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0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3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4.xml" ContentType="application/vnd.openxmlformats-officedocument.drawing+xml"/>
  <Override PartName="/xl/charts/chart29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2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Davide Cicchini\Documents\6.VARIE PER LA PROFESSIONE\PROGRAMMI UTILI\MURO DI SOSTEGNO\"/>
    </mc:Choice>
  </mc:AlternateContent>
  <workbookProtection workbookAlgorithmName="SHA-512" workbookHashValue="OR3I3vOn/+2PV5FkSqJYqUmikYwXg+FKxt4lAQu/P3IeG4HEod/luD8rCRlFKv6Ny1d2ZSjU6tzHkoGn566Z6A==" workbookSaltValue="YxOJlF9pY9jNlJ3fjpPRfQ==" workbookSpinCount="100000" revisionsAlgorithmName="SHA-512" revisionsHashValue="NG9cdydyoEjLAShEavyuArkpDR9ihROBpd/YQNd82aFIXebiHzAZaXvFwT3QvkfyXsUFsNMQnAXa6wZbbXP3eg==" revisionsSaltValue="nxsmMB9OJ18LtJqzOA+yRQ==" revisionsSpinCount="100000" lockStructure="1" lockRevision="1"/>
  <bookViews>
    <workbookView xWindow="0" yWindow="0" windowWidth="20490" windowHeight="7755" tabRatio="889"/>
  </bookViews>
  <sheets>
    <sheet name="ISTRUZIONI" sheetId="1" r:id="rId1"/>
    <sheet name="FOGLIO DEPOSITO" sheetId="2" state="hidden" r:id="rId2"/>
    <sheet name="DATI" sheetId="3" r:id="rId3"/>
    <sheet name="SPINTE" sheetId="4" r:id="rId4"/>
    <sheet name="ANALISI DELLE SPINTE" sheetId="5" r:id="rId5"/>
    <sheet name="VER. EQU COND. NON DRENATE" sheetId="6" r:id="rId6"/>
    <sheet name="VER. EQU COND. DRENATE" sheetId="7" r:id="rId7"/>
    <sheet name="VER. GEO CONDIZIONI NON DRENATE" sheetId="8" r:id="rId8"/>
    <sheet name="VER. GEO CONDIZIONI DRENATE" sheetId="9" r:id="rId9"/>
    <sheet name="SOLLECITAZ NASCOSTO" sheetId="10" state="hidden" r:id="rId10"/>
    <sheet name="geom masse muro+tensioni" sheetId="11" state="hidden" r:id="rId11"/>
    <sheet name="Sollecitazioni nel paramento" sheetId="12" r:id="rId12"/>
    <sheet name="Foglio deposito bis" sheetId="13" state="hidden" r:id="rId13"/>
    <sheet name="sezione" sheetId="14" state="hidden" r:id="rId14"/>
    <sheet name="Sollecitazioni nella zattera" sheetId="15" r:id="rId15"/>
    <sheet name="SPETTRO DI PROGETTO ORIZZONTALE" sheetId="16" r:id="rId16"/>
    <sheet name="Formule coefficienti correttivi" sheetId="17" r:id="rId17"/>
    <sheet name="tabelle NTC 08" sheetId="18" r:id="rId18"/>
  </sheets>
  <externalReferences>
    <externalReference r:id="rId19"/>
  </externalReferences>
  <definedNames>
    <definedName name="app">'FOGLIO DEPOSITO'!$I$66:$I$68</definedName>
    <definedName name="_xlnm.Print_Area" localSheetId="2">DATI!$C$2:$H$277</definedName>
    <definedName name="_xlnm.Print_Area" localSheetId="3">SPINTE!$B$2:$J$166</definedName>
    <definedName name="class">'FOGLIO DEPOSITO'!$G$197:$G$207</definedName>
    <definedName name="COMBO">'FOGLIO DEPOSITO'!$I$66:$I$69</definedName>
    <definedName name="dis">sezione!$AC$2:$AC$3</definedName>
    <definedName name="dr">'FOGLIO DEPOSITO'!$B$26:$B$27</definedName>
    <definedName name="fer">'FOGLIO DEPOSITO'!$J$197:$J$198</definedName>
    <definedName name="fond">'FOGLIO DEPOSITO'!$H$174:$J$175</definedName>
    <definedName name="fonda">'FOGLIO DEPOSITO'!$H$174:$H$175</definedName>
    <definedName name="graf1">'FOGLIO DEPOSITO'!$AD$164:$AD$165</definedName>
    <definedName name="graf2">'FOGLIO DEPOSITO'!$AD$167:$AD$168</definedName>
    <definedName name="graf3">'FOGLIO DEPOSITO'!$AD$170:$AD$171</definedName>
    <definedName name="graf4">'FOGLIO DEPOSITO'!$AD$173:$AD$174</definedName>
    <definedName name="mey">'FOGLIO DEPOSITO'!$F$26:$F$28</definedName>
    <definedName name="mur">'FOGLIO DEPOSITO'!$B$14:$B$16</definedName>
    <definedName name="NUMCOST">'geom masse muro+tensioni'!$M$43:$M$47</definedName>
    <definedName name="PASDEN">'FOGLIO DEPOSITO'!$U$2:$U$22</definedName>
    <definedName name="perm">'FOGLIO DEPOSITO'!$T$179:$T$180</definedName>
    <definedName name="posdent">'FOGLIO DEPOSITO'!$U$1:$U$22</definedName>
    <definedName name="posza">'FOGLIO DEPOSITO'!$C$205:$C$207</definedName>
    <definedName name="pr">'FOGLIO DEPOSITO'!$H$165:$H$166</definedName>
    <definedName name="RAN">'FOGLIO DEPOSITO'!$K$178:$K$180</definedName>
    <definedName name="RANK">'FOGLIO DEPOSITO'!$K$178:$L$180</definedName>
    <definedName name="sd">'geom masse muro+tensioni'!$L$87:$L$88</definedName>
    <definedName name="sec">'FOGLIO DEPOSITO'!$H$168:$H$169</definedName>
    <definedName name="SISM">'FOGLIO DEPOSITO'!$I$72:$I$73</definedName>
    <definedName name="sn">'FOGLIO DEPOSITO'!$I$26:$I$27</definedName>
    <definedName name="snn">'[1]FOGLIO DEPOSITO'!$I$16:$I$17</definedName>
    <definedName name="speg">'FOGLIO DEPOSITO'!$AD$164:$AD$170</definedName>
    <definedName name="spegn">'FOGLIO DEPOSITO'!$AD$165:$AD$170</definedName>
    <definedName name="spin">'FOGLIO DEPOSITO'!$N$178:$N$182</definedName>
    <definedName name="spint">'FOGLIO DEPOSITO'!$N$178:$N$184</definedName>
    <definedName name="ss">'FOGLIO DEPOSITO'!$R$197:$R$201</definedName>
    <definedName name="st">'FOGLIO DEPOSITO'!$R$2:$R$152</definedName>
    <definedName name="str">'FOGLIO DEPOSITO'!$Q$2:$Q$152</definedName>
    <definedName name="ter">'FOGLIO DEPOSITO'!$H$171:$H$172</definedName>
    <definedName name="terrr">'FOGLIO DEPOSITO'!$B$275:$B$286</definedName>
    <definedName name="terrrr">'FOGLIO DEPOSITO'!$B$275:$B$286</definedName>
    <definedName name="tfit">'SOLLECITAZ NASCOSTO'!$AN$23:$AN$43</definedName>
    <definedName name="tip">'FOGLIO DEPOSITO'!$F$26:$G$28</definedName>
    <definedName name="TOP">'FOGLIO DEPOSITO'!$S$197:$S$200</definedName>
    <definedName name="Z_101D851C_E4EE_4443_B6A9_9040ACB2A650_.wvu.PrintArea" localSheetId="2" hidden="1">DATI!$C$2:$H$277</definedName>
    <definedName name="Z_101D851C_E4EE_4443_B6A9_9040ACB2A650_.wvu.PrintArea" localSheetId="3" hidden="1">SPINTE!$B$2:$J$166</definedName>
  </definedNames>
  <calcPr calcId="152511"/>
  <customWorkbookViews>
    <customWorkbookView name="Davide Cicchini - Visualizzazione personale" guid="{101D851C-E4EE-4443-B6A9-9040ACB2A650}" mergeInterval="0" personalView="1" maximized="1" xWindow="1358" yWindow="-8" windowWidth="1456" windowHeight="876" tabRatio="889" activeSheetId="1"/>
  </customWorkbookViews>
</workbook>
</file>

<file path=xl/calcChain.xml><?xml version="1.0" encoding="utf-8"?>
<calcChain xmlns="http://schemas.openxmlformats.org/spreadsheetml/2006/main">
  <c r="B93" i="4" l="1"/>
  <c r="B87" i="4"/>
  <c r="I123" i="5"/>
  <c r="H123" i="5"/>
  <c r="I116" i="5"/>
  <c r="H116" i="5"/>
  <c r="C72" i="5"/>
  <c r="I113" i="5"/>
  <c r="H113" i="5"/>
  <c r="G113" i="5"/>
  <c r="F113" i="5"/>
  <c r="E113" i="5"/>
  <c r="D113" i="5"/>
  <c r="C113" i="5"/>
  <c r="F71" i="5"/>
  <c r="I59" i="5"/>
  <c r="H59" i="5"/>
  <c r="I52" i="5"/>
  <c r="H52" i="5"/>
  <c r="D8" i="5"/>
  <c r="I49" i="5"/>
  <c r="H49" i="5"/>
  <c r="G49" i="5"/>
  <c r="F49" i="5"/>
  <c r="E49" i="5"/>
  <c r="D49" i="5"/>
  <c r="C49" i="5"/>
  <c r="F7" i="5"/>
  <c r="E4" i="5"/>
  <c r="E68" i="5" s="1"/>
  <c r="D72" i="5" l="1"/>
  <c r="B505" i="16"/>
  <c r="B504" i="16"/>
  <c r="B503" i="16"/>
  <c r="B502" i="16"/>
  <c r="B501" i="16"/>
  <c r="B500" i="16"/>
  <c r="B499" i="16"/>
  <c r="B498" i="16"/>
  <c r="B497" i="16"/>
  <c r="B496" i="16"/>
  <c r="B495" i="16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F182" i="15"/>
  <c r="B176" i="15"/>
  <c r="B189" i="15" s="1"/>
  <c r="B198" i="15" s="1"/>
  <c r="B173" i="15"/>
  <c r="B186" i="15" s="1"/>
  <c r="B195" i="15" s="1"/>
  <c r="B169" i="15"/>
  <c r="C167" i="15"/>
  <c r="B167" i="15"/>
  <c r="G132" i="15"/>
  <c r="E114" i="15"/>
  <c r="E113" i="15"/>
  <c r="B71" i="15"/>
  <c r="D7" i="15"/>
  <c r="B2727" i="14"/>
  <c r="B2726" i="14"/>
  <c r="B2725" i="14"/>
  <c r="B2724" i="14"/>
  <c r="B2723" i="14"/>
  <c r="B2722" i="14"/>
  <c r="B2721" i="14"/>
  <c r="B2720" i="14"/>
  <c r="B2719" i="14"/>
  <c r="B2718" i="14"/>
  <c r="B2717" i="14"/>
  <c r="B2716" i="14"/>
  <c r="B2715" i="14"/>
  <c r="B2714" i="14"/>
  <c r="B2713" i="14"/>
  <c r="B2712" i="14"/>
  <c r="B2711" i="14"/>
  <c r="B2710" i="14"/>
  <c r="B2709" i="14"/>
  <c r="B2708" i="14"/>
  <c r="B2707" i="14"/>
  <c r="B2706" i="14"/>
  <c r="B2705" i="14"/>
  <c r="B2704" i="14"/>
  <c r="B2703" i="14"/>
  <c r="B2702" i="14"/>
  <c r="B2701" i="14"/>
  <c r="B2700" i="14"/>
  <c r="B2699" i="14"/>
  <c r="B2698" i="14"/>
  <c r="B2697" i="14"/>
  <c r="B2696" i="14"/>
  <c r="B2695" i="14"/>
  <c r="B2694" i="14"/>
  <c r="B2693" i="14"/>
  <c r="B2692" i="14"/>
  <c r="B2691" i="14"/>
  <c r="B2690" i="14"/>
  <c r="B2689" i="14"/>
  <c r="B2688" i="14"/>
  <c r="B2687" i="14"/>
  <c r="B2686" i="14"/>
  <c r="B2685" i="14"/>
  <c r="B2684" i="14"/>
  <c r="B2683" i="14"/>
  <c r="B2682" i="14"/>
  <c r="B2681" i="14"/>
  <c r="B2680" i="14"/>
  <c r="B2679" i="14"/>
  <c r="B2678" i="14"/>
  <c r="B2677" i="14"/>
  <c r="B2676" i="14"/>
  <c r="B2675" i="14"/>
  <c r="B2674" i="14"/>
  <c r="B2673" i="14"/>
  <c r="B2672" i="14"/>
  <c r="B2671" i="14"/>
  <c r="B2670" i="14"/>
  <c r="B2669" i="14"/>
  <c r="B2668" i="14"/>
  <c r="B2667" i="14"/>
  <c r="B2666" i="14"/>
  <c r="B2665" i="14"/>
  <c r="B2664" i="14"/>
  <c r="B2663" i="14"/>
  <c r="B2662" i="14"/>
  <c r="B2661" i="14"/>
  <c r="B2660" i="14"/>
  <c r="B2659" i="14"/>
  <c r="B2658" i="14"/>
  <c r="B2657" i="14"/>
  <c r="B2656" i="14"/>
  <c r="B2655" i="14"/>
  <c r="B2654" i="14"/>
  <c r="B2653" i="14"/>
  <c r="B2652" i="14"/>
  <c r="B2651" i="14"/>
  <c r="B2650" i="14"/>
  <c r="B2649" i="14"/>
  <c r="B2648" i="14"/>
  <c r="B2647" i="14"/>
  <c r="B2646" i="14"/>
  <c r="B2645" i="14"/>
  <c r="B2644" i="14"/>
  <c r="B2643" i="14"/>
  <c r="B2642" i="14"/>
  <c r="B2641" i="14"/>
  <c r="B2640" i="14"/>
  <c r="B2639" i="14"/>
  <c r="B2638" i="14"/>
  <c r="B2637" i="14"/>
  <c r="B2636" i="14"/>
  <c r="B2635" i="14"/>
  <c r="B2634" i="14"/>
  <c r="B2633" i="14"/>
  <c r="B2632" i="14"/>
  <c r="B2631" i="14"/>
  <c r="B2630" i="14"/>
  <c r="B2629" i="14"/>
  <c r="B2628" i="14"/>
  <c r="B2627" i="14"/>
  <c r="B2626" i="14"/>
  <c r="B2625" i="14"/>
  <c r="B2624" i="14"/>
  <c r="B2623" i="14"/>
  <c r="B2622" i="14"/>
  <c r="B2621" i="14"/>
  <c r="B2620" i="14"/>
  <c r="B2619" i="14"/>
  <c r="B2618" i="14"/>
  <c r="B2617" i="14"/>
  <c r="B2616" i="14"/>
  <c r="B2615" i="14"/>
  <c r="B2614" i="14"/>
  <c r="B2613" i="14"/>
  <c r="B2612" i="14"/>
  <c r="B2611" i="14"/>
  <c r="B2610" i="14"/>
  <c r="B2609" i="14"/>
  <c r="B2608" i="14"/>
  <c r="B2607" i="14"/>
  <c r="B2606" i="14"/>
  <c r="B2605" i="14"/>
  <c r="B2604" i="14"/>
  <c r="B2603" i="14"/>
  <c r="B2602" i="14"/>
  <c r="B2601" i="14"/>
  <c r="B2600" i="14"/>
  <c r="B2599" i="14"/>
  <c r="B2598" i="14"/>
  <c r="B2597" i="14"/>
  <c r="B2596" i="14"/>
  <c r="B2595" i="14"/>
  <c r="B2594" i="14"/>
  <c r="B2593" i="14"/>
  <c r="B2592" i="14"/>
  <c r="B2591" i="14"/>
  <c r="B2590" i="14"/>
  <c r="B2589" i="14"/>
  <c r="B2588" i="14"/>
  <c r="B2587" i="14"/>
  <c r="B2586" i="14"/>
  <c r="B2585" i="14"/>
  <c r="B2584" i="14"/>
  <c r="B2583" i="14"/>
  <c r="B2582" i="14"/>
  <c r="B2581" i="14"/>
  <c r="B2580" i="14"/>
  <c r="B2579" i="14"/>
  <c r="B2578" i="14"/>
  <c r="B2577" i="14"/>
  <c r="B2576" i="14"/>
  <c r="B2575" i="14"/>
  <c r="B2574" i="14"/>
  <c r="B2573" i="14"/>
  <c r="B2572" i="14"/>
  <c r="B2571" i="14"/>
  <c r="B2570" i="14"/>
  <c r="B2569" i="14"/>
  <c r="B2568" i="14"/>
  <c r="B2567" i="14"/>
  <c r="B2566" i="14"/>
  <c r="B2565" i="14"/>
  <c r="B2564" i="14"/>
  <c r="B2563" i="14"/>
  <c r="B2562" i="14"/>
  <c r="B2561" i="14"/>
  <c r="B2560" i="14"/>
  <c r="B2559" i="14"/>
  <c r="B2558" i="14"/>
  <c r="B2557" i="14"/>
  <c r="B2556" i="14"/>
  <c r="B2555" i="14"/>
  <c r="B2554" i="14"/>
  <c r="B2553" i="14"/>
  <c r="B2552" i="14"/>
  <c r="B2551" i="14"/>
  <c r="B2550" i="14"/>
  <c r="B2549" i="14"/>
  <c r="B2548" i="14"/>
  <c r="B2547" i="14"/>
  <c r="B2546" i="14"/>
  <c r="B2545" i="14"/>
  <c r="B2544" i="14"/>
  <c r="B2543" i="14"/>
  <c r="B2542" i="14"/>
  <c r="B2541" i="14"/>
  <c r="B2540" i="14"/>
  <c r="B2539" i="14"/>
  <c r="B2538" i="14"/>
  <c r="B2537" i="14"/>
  <c r="B2536" i="14"/>
  <c r="B2535" i="14"/>
  <c r="B2534" i="14"/>
  <c r="B2533" i="14"/>
  <c r="B2532" i="14"/>
  <c r="B2531" i="14"/>
  <c r="B2530" i="14"/>
  <c r="B2529" i="14"/>
  <c r="B2528" i="14"/>
  <c r="B2527" i="14"/>
  <c r="B2526" i="14"/>
  <c r="B2525" i="14"/>
  <c r="B2524" i="14"/>
  <c r="B2523" i="14"/>
  <c r="B2522" i="14"/>
  <c r="B2521" i="14"/>
  <c r="B2520" i="14"/>
  <c r="B2519" i="14"/>
  <c r="B2518" i="14"/>
  <c r="B2517" i="14"/>
  <c r="B2516" i="14"/>
  <c r="B2515" i="14"/>
  <c r="B2514" i="14"/>
  <c r="B2513" i="14"/>
  <c r="B2512" i="14"/>
  <c r="B2511" i="14"/>
  <c r="B2510" i="14"/>
  <c r="B2509" i="14"/>
  <c r="B2508" i="14"/>
  <c r="B2507" i="14"/>
  <c r="B2506" i="14"/>
  <c r="B2505" i="14"/>
  <c r="B2504" i="14"/>
  <c r="B2503" i="14"/>
  <c r="B2502" i="14"/>
  <c r="B2501" i="14"/>
  <c r="B2500" i="14"/>
  <c r="B2499" i="14"/>
  <c r="B2498" i="14"/>
  <c r="B2497" i="14"/>
  <c r="B2496" i="14"/>
  <c r="B2495" i="14"/>
  <c r="B2494" i="14"/>
  <c r="B2493" i="14"/>
  <c r="B2492" i="14"/>
  <c r="B2491" i="14"/>
  <c r="B2490" i="14"/>
  <c r="B2489" i="14"/>
  <c r="B2488" i="14"/>
  <c r="B2487" i="14"/>
  <c r="B2486" i="14"/>
  <c r="B2479" i="14"/>
  <c r="B2478" i="14"/>
  <c r="B2477" i="14"/>
  <c r="B2476" i="14"/>
  <c r="B2475" i="14"/>
  <c r="B2474" i="14"/>
  <c r="B2473" i="14"/>
  <c r="B2472" i="14"/>
  <c r="B2471" i="14"/>
  <c r="B2470" i="14"/>
  <c r="B2469" i="14"/>
  <c r="B2468" i="14"/>
  <c r="B2467" i="14"/>
  <c r="B2466" i="14"/>
  <c r="B2465" i="14"/>
  <c r="B2464" i="14"/>
  <c r="B2463" i="14"/>
  <c r="B2462" i="14"/>
  <c r="B2461" i="14"/>
  <c r="B2460" i="14"/>
  <c r="B2459" i="14"/>
  <c r="B2458" i="14"/>
  <c r="B2457" i="14"/>
  <c r="B2456" i="14"/>
  <c r="B2455" i="14"/>
  <c r="B2454" i="14"/>
  <c r="B2453" i="14"/>
  <c r="B2452" i="14"/>
  <c r="B2451" i="14"/>
  <c r="B2450" i="14"/>
  <c r="B2449" i="14"/>
  <c r="B2448" i="14"/>
  <c r="B2447" i="14"/>
  <c r="B2446" i="14"/>
  <c r="B2445" i="14"/>
  <c r="B2444" i="14"/>
  <c r="B2443" i="14"/>
  <c r="B2442" i="14"/>
  <c r="B2441" i="14"/>
  <c r="B2440" i="14"/>
  <c r="B2439" i="14"/>
  <c r="B2438" i="14"/>
  <c r="B2437" i="14"/>
  <c r="B2436" i="14"/>
  <c r="B2435" i="14"/>
  <c r="B2434" i="14"/>
  <c r="B2433" i="14"/>
  <c r="B2432" i="14"/>
  <c r="B2431" i="14"/>
  <c r="B2430" i="14"/>
  <c r="B2429" i="14"/>
  <c r="B2428" i="14"/>
  <c r="B2427" i="14"/>
  <c r="B2426" i="14"/>
  <c r="B2425" i="14"/>
  <c r="B2424" i="14"/>
  <c r="B2423" i="14"/>
  <c r="B2422" i="14"/>
  <c r="B2421" i="14"/>
  <c r="B2420" i="14"/>
  <c r="B2419" i="14"/>
  <c r="B2418" i="14"/>
  <c r="B2417" i="14"/>
  <c r="B2416" i="14"/>
  <c r="B2415" i="14"/>
  <c r="B2414" i="14"/>
  <c r="B2413" i="14"/>
  <c r="B2412" i="14"/>
  <c r="B2411" i="14"/>
  <c r="B2410" i="14"/>
  <c r="B2409" i="14"/>
  <c r="B2408" i="14"/>
  <c r="B2407" i="14"/>
  <c r="B2406" i="14"/>
  <c r="B2405" i="14"/>
  <c r="B2404" i="14"/>
  <c r="B2403" i="14"/>
  <c r="B2402" i="14"/>
  <c r="B2401" i="14"/>
  <c r="B2400" i="14"/>
  <c r="B2399" i="14"/>
  <c r="B2398" i="14"/>
  <c r="B2397" i="14"/>
  <c r="B2396" i="14"/>
  <c r="B2395" i="14"/>
  <c r="B2394" i="14"/>
  <c r="B2393" i="14"/>
  <c r="B2392" i="14"/>
  <c r="B2391" i="14"/>
  <c r="B2390" i="14"/>
  <c r="B2389" i="14"/>
  <c r="B2388" i="14"/>
  <c r="B2387" i="14"/>
  <c r="B2386" i="14"/>
  <c r="B2385" i="14"/>
  <c r="B2384" i="14"/>
  <c r="B2383" i="14"/>
  <c r="B2382" i="14"/>
  <c r="B2381" i="14"/>
  <c r="B2380" i="14"/>
  <c r="B2379" i="14"/>
  <c r="B2378" i="14"/>
  <c r="B2377" i="14"/>
  <c r="B2376" i="14"/>
  <c r="B2375" i="14"/>
  <c r="B2374" i="14"/>
  <c r="B2373" i="14"/>
  <c r="B2372" i="14"/>
  <c r="B2371" i="14"/>
  <c r="B2370" i="14"/>
  <c r="B2369" i="14"/>
  <c r="B2368" i="14"/>
  <c r="B2367" i="14"/>
  <c r="B2366" i="14"/>
  <c r="B2365" i="14"/>
  <c r="B2364" i="14"/>
  <c r="B2363" i="14"/>
  <c r="B2362" i="14"/>
  <c r="B2361" i="14"/>
  <c r="B2360" i="14"/>
  <c r="B2359" i="14"/>
  <c r="B2358" i="14"/>
  <c r="B2357" i="14"/>
  <c r="B2356" i="14"/>
  <c r="B2355" i="14"/>
  <c r="B2354" i="14"/>
  <c r="B2353" i="14"/>
  <c r="B2352" i="14"/>
  <c r="B2351" i="14"/>
  <c r="B2350" i="14"/>
  <c r="B2349" i="14"/>
  <c r="B2348" i="14"/>
  <c r="B2347" i="14"/>
  <c r="B2346" i="14"/>
  <c r="B2345" i="14"/>
  <c r="B2344" i="14"/>
  <c r="B2343" i="14"/>
  <c r="B2342" i="14"/>
  <c r="B2341" i="14"/>
  <c r="B2340" i="14"/>
  <c r="B2339" i="14"/>
  <c r="B2338" i="14"/>
  <c r="B2337" i="14"/>
  <c r="B2336" i="14"/>
  <c r="B2335" i="14"/>
  <c r="B2334" i="14"/>
  <c r="B2333" i="14"/>
  <c r="B2332" i="14"/>
  <c r="B2331" i="14"/>
  <c r="B2330" i="14"/>
  <c r="B2329" i="14"/>
  <c r="B2328" i="14"/>
  <c r="B2327" i="14"/>
  <c r="B2326" i="14"/>
  <c r="B2325" i="14"/>
  <c r="B2324" i="14"/>
  <c r="B2323" i="14"/>
  <c r="B2322" i="14"/>
  <c r="B2321" i="14"/>
  <c r="B2320" i="14"/>
  <c r="B2319" i="14"/>
  <c r="B2318" i="14"/>
  <c r="B2317" i="14"/>
  <c r="B2316" i="14"/>
  <c r="B2315" i="14"/>
  <c r="B2314" i="14"/>
  <c r="B2313" i="14"/>
  <c r="B2312" i="14"/>
  <c r="B2311" i="14"/>
  <c r="B2310" i="14"/>
  <c r="B2309" i="14"/>
  <c r="B2308" i="14"/>
  <c r="B2307" i="14"/>
  <c r="B2306" i="14"/>
  <c r="B2305" i="14"/>
  <c r="B2304" i="14"/>
  <c r="B2303" i="14"/>
  <c r="B2302" i="14"/>
  <c r="B2301" i="14"/>
  <c r="B2300" i="14"/>
  <c r="B2299" i="14"/>
  <c r="B2298" i="14"/>
  <c r="B2297" i="14"/>
  <c r="B2296" i="14"/>
  <c r="B2295" i="14"/>
  <c r="B2294" i="14"/>
  <c r="B2293" i="14"/>
  <c r="B2292" i="14"/>
  <c r="B2291" i="14"/>
  <c r="B2290" i="14"/>
  <c r="B2289" i="14"/>
  <c r="B2288" i="14"/>
  <c r="B2287" i="14"/>
  <c r="B2286" i="14"/>
  <c r="B2285" i="14"/>
  <c r="B2284" i="14"/>
  <c r="B2283" i="14"/>
  <c r="B2282" i="14"/>
  <c r="B2281" i="14"/>
  <c r="B2280" i="14"/>
  <c r="B2279" i="14"/>
  <c r="B2278" i="14"/>
  <c r="B2277" i="14"/>
  <c r="B2276" i="14"/>
  <c r="B2275" i="14"/>
  <c r="B2274" i="14"/>
  <c r="B2273" i="14"/>
  <c r="B2272" i="14"/>
  <c r="B2271" i="14"/>
  <c r="B2270" i="14"/>
  <c r="B2269" i="14"/>
  <c r="B2268" i="14"/>
  <c r="B2267" i="14"/>
  <c r="B2266" i="14"/>
  <c r="B2265" i="14"/>
  <c r="B2264" i="14"/>
  <c r="B2263" i="14"/>
  <c r="B2262" i="14"/>
  <c r="B2261" i="14"/>
  <c r="B2260" i="14"/>
  <c r="B2259" i="14"/>
  <c r="B2258" i="14"/>
  <c r="B2257" i="14"/>
  <c r="B2256" i="14"/>
  <c r="B2255" i="14"/>
  <c r="B2254" i="14"/>
  <c r="B2253" i="14"/>
  <c r="B2252" i="14"/>
  <c r="B2251" i="14"/>
  <c r="B2250" i="14"/>
  <c r="B2249" i="14"/>
  <c r="B2248" i="14"/>
  <c r="B2247" i="14"/>
  <c r="B2246" i="14"/>
  <c r="B2245" i="14"/>
  <c r="B2244" i="14"/>
  <c r="B2243" i="14"/>
  <c r="B2242" i="14"/>
  <c r="B2241" i="14"/>
  <c r="B2240" i="14"/>
  <c r="B2239" i="14"/>
  <c r="B2238" i="14"/>
  <c r="B2231" i="14"/>
  <c r="B2230" i="14"/>
  <c r="B2229" i="14"/>
  <c r="B2228" i="14"/>
  <c r="B2227" i="14"/>
  <c r="B2226" i="14"/>
  <c r="B2225" i="14"/>
  <c r="B2224" i="14"/>
  <c r="B2223" i="14"/>
  <c r="B2222" i="14"/>
  <c r="B2221" i="14"/>
  <c r="B2220" i="14"/>
  <c r="B2219" i="14"/>
  <c r="B2218" i="14"/>
  <c r="B2217" i="14"/>
  <c r="B2216" i="14"/>
  <c r="B2215" i="14"/>
  <c r="B2214" i="14"/>
  <c r="B2213" i="14"/>
  <c r="B2212" i="14"/>
  <c r="B2211" i="14"/>
  <c r="B2210" i="14"/>
  <c r="B2209" i="14"/>
  <c r="B2208" i="14"/>
  <c r="B2207" i="14"/>
  <c r="B2206" i="14"/>
  <c r="B2205" i="14"/>
  <c r="B2204" i="14"/>
  <c r="B2203" i="14"/>
  <c r="B2202" i="14"/>
  <c r="B2201" i="14"/>
  <c r="B2200" i="14"/>
  <c r="B2199" i="14"/>
  <c r="B2198" i="14"/>
  <c r="B2197" i="14"/>
  <c r="B2196" i="14"/>
  <c r="B2195" i="14"/>
  <c r="B2194" i="14"/>
  <c r="B2193" i="14"/>
  <c r="B2192" i="14"/>
  <c r="B2191" i="14"/>
  <c r="B2190" i="14"/>
  <c r="B2189" i="14"/>
  <c r="B2188" i="14"/>
  <c r="B2187" i="14"/>
  <c r="B2186" i="14"/>
  <c r="B2185" i="14"/>
  <c r="B2184" i="14"/>
  <c r="B2183" i="14"/>
  <c r="B2182" i="14"/>
  <c r="B2181" i="14"/>
  <c r="B2180" i="14"/>
  <c r="B2179" i="14"/>
  <c r="B2178" i="14"/>
  <c r="B2177" i="14"/>
  <c r="B2176" i="14"/>
  <c r="B2175" i="14"/>
  <c r="B2174" i="14"/>
  <c r="B2173" i="14"/>
  <c r="B2172" i="14"/>
  <c r="B2171" i="14"/>
  <c r="B2170" i="14"/>
  <c r="B2169" i="14"/>
  <c r="B2168" i="14"/>
  <c r="B2167" i="14"/>
  <c r="B2166" i="14"/>
  <c r="B2165" i="14"/>
  <c r="B2164" i="14"/>
  <c r="B2163" i="14"/>
  <c r="B2162" i="14"/>
  <c r="B2161" i="14"/>
  <c r="B2160" i="14"/>
  <c r="B2159" i="14"/>
  <c r="B2158" i="14"/>
  <c r="B2157" i="14"/>
  <c r="B2156" i="14"/>
  <c r="B2155" i="14"/>
  <c r="B2154" i="14"/>
  <c r="B2153" i="14"/>
  <c r="B2152" i="14"/>
  <c r="B2151" i="14"/>
  <c r="B2150" i="14"/>
  <c r="B2149" i="14"/>
  <c r="B2148" i="14"/>
  <c r="B2147" i="14"/>
  <c r="B2146" i="14"/>
  <c r="B2145" i="14"/>
  <c r="B2144" i="14"/>
  <c r="B2143" i="14"/>
  <c r="B2142" i="14"/>
  <c r="B2141" i="14"/>
  <c r="B2140" i="14"/>
  <c r="B2139" i="14"/>
  <c r="B2138" i="14"/>
  <c r="B2137" i="14"/>
  <c r="B2136" i="14"/>
  <c r="B2135" i="14"/>
  <c r="B2134" i="14"/>
  <c r="B2133" i="14"/>
  <c r="B2132" i="14"/>
  <c r="B2131" i="14"/>
  <c r="B2130" i="14"/>
  <c r="B2129" i="14"/>
  <c r="B2128" i="14"/>
  <c r="B2127" i="14"/>
  <c r="B2126" i="14"/>
  <c r="B2125" i="14"/>
  <c r="B2124" i="14"/>
  <c r="B2123" i="14"/>
  <c r="B2122" i="14"/>
  <c r="B2121" i="14"/>
  <c r="B2120" i="14"/>
  <c r="B2119" i="14"/>
  <c r="B2118" i="14"/>
  <c r="B2117" i="14"/>
  <c r="B2116" i="14"/>
  <c r="B2115" i="14"/>
  <c r="B2114" i="14"/>
  <c r="B2113" i="14"/>
  <c r="B2112" i="14"/>
  <c r="B2111" i="14"/>
  <c r="B2110" i="14"/>
  <c r="B2109" i="14"/>
  <c r="B2108" i="14"/>
  <c r="B2107" i="14"/>
  <c r="B2106" i="14"/>
  <c r="B2105" i="14"/>
  <c r="B2104" i="14"/>
  <c r="B2103" i="14"/>
  <c r="B2102" i="14"/>
  <c r="B2101" i="14"/>
  <c r="B2100" i="14"/>
  <c r="B2099" i="14"/>
  <c r="B2098" i="14"/>
  <c r="B2097" i="14"/>
  <c r="B2096" i="14"/>
  <c r="B2095" i="14"/>
  <c r="B2094" i="14"/>
  <c r="B2093" i="14"/>
  <c r="B2092" i="14"/>
  <c r="B2091" i="14"/>
  <c r="B2090" i="14"/>
  <c r="B2089" i="14"/>
  <c r="B2088" i="14"/>
  <c r="B2087" i="14"/>
  <c r="B2086" i="14"/>
  <c r="B2085" i="14"/>
  <c r="B2084" i="14"/>
  <c r="B2083" i="14"/>
  <c r="B2082" i="14"/>
  <c r="B2081" i="14"/>
  <c r="B2080" i="14"/>
  <c r="B2079" i="14"/>
  <c r="B2078" i="14"/>
  <c r="B2077" i="14"/>
  <c r="B2076" i="14"/>
  <c r="B2075" i="14"/>
  <c r="B2074" i="14"/>
  <c r="B2073" i="14"/>
  <c r="B2072" i="14"/>
  <c r="B2071" i="14"/>
  <c r="B2070" i="14"/>
  <c r="B2069" i="14"/>
  <c r="B2068" i="14"/>
  <c r="B2067" i="14"/>
  <c r="B2066" i="14"/>
  <c r="B2065" i="14"/>
  <c r="B2064" i="14"/>
  <c r="B2063" i="14"/>
  <c r="B2062" i="14"/>
  <c r="B2061" i="14"/>
  <c r="B2060" i="14"/>
  <c r="B2059" i="14"/>
  <c r="B2058" i="14"/>
  <c r="B2057" i="14"/>
  <c r="B2056" i="14"/>
  <c r="B2055" i="14"/>
  <c r="B2054" i="14"/>
  <c r="B2053" i="14"/>
  <c r="B2052" i="14"/>
  <c r="B2051" i="14"/>
  <c r="B2050" i="14"/>
  <c r="B2049" i="14"/>
  <c r="B2048" i="14"/>
  <c r="B2047" i="14"/>
  <c r="B2046" i="14"/>
  <c r="B2045" i="14"/>
  <c r="B2044" i="14"/>
  <c r="B2043" i="14"/>
  <c r="B2042" i="14"/>
  <c r="B2041" i="14"/>
  <c r="B2040" i="14"/>
  <c r="B2039" i="14"/>
  <c r="B2038" i="14"/>
  <c r="B2037" i="14"/>
  <c r="B2036" i="14"/>
  <c r="B2035" i="14"/>
  <c r="B2034" i="14"/>
  <c r="B2033" i="14"/>
  <c r="B2032" i="14"/>
  <c r="B2031" i="14"/>
  <c r="B2030" i="14"/>
  <c r="B2029" i="14"/>
  <c r="B2028" i="14"/>
  <c r="B2027" i="14"/>
  <c r="B2026" i="14"/>
  <c r="B2025" i="14"/>
  <c r="B2024" i="14"/>
  <c r="B2023" i="14"/>
  <c r="B2022" i="14"/>
  <c r="B2021" i="14"/>
  <c r="B2020" i="14"/>
  <c r="B2019" i="14"/>
  <c r="B2018" i="14"/>
  <c r="B2017" i="14"/>
  <c r="B2016" i="14"/>
  <c r="B2015" i="14"/>
  <c r="B2014" i="14"/>
  <c r="B2013" i="14"/>
  <c r="B2012" i="14"/>
  <c r="B2011" i="14"/>
  <c r="B2010" i="14"/>
  <c r="B2009" i="14"/>
  <c r="B2008" i="14"/>
  <c r="B2007" i="14"/>
  <c r="B2006" i="14"/>
  <c r="B2005" i="14"/>
  <c r="B2004" i="14"/>
  <c r="B2003" i="14"/>
  <c r="B2002" i="14"/>
  <c r="B2001" i="14"/>
  <c r="B2000" i="14"/>
  <c r="B1999" i="14"/>
  <c r="B1998" i="14"/>
  <c r="B1997" i="14"/>
  <c r="B1996" i="14"/>
  <c r="B1995" i="14"/>
  <c r="B1994" i="14"/>
  <c r="B1993" i="14"/>
  <c r="B1992" i="14"/>
  <c r="B1991" i="14"/>
  <c r="B1990" i="14"/>
  <c r="B1983" i="14"/>
  <c r="B1982" i="14"/>
  <c r="B1981" i="14"/>
  <c r="B1980" i="14"/>
  <c r="B1979" i="14"/>
  <c r="B1978" i="14"/>
  <c r="B1977" i="14"/>
  <c r="B1976" i="14"/>
  <c r="B1975" i="14"/>
  <c r="B1974" i="14"/>
  <c r="B1973" i="14"/>
  <c r="B1972" i="14"/>
  <c r="B1971" i="14"/>
  <c r="B1970" i="14"/>
  <c r="B1969" i="14"/>
  <c r="B1968" i="14"/>
  <c r="B1967" i="14"/>
  <c r="B1966" i="14"/>
  <c r="B1965" i="14"/>
  <c r="B1964" i="14"/>
  <c r="B1963" i="14"/>
  <c r="B1962" i="14"/>
  <c r="B1961" i="14"/>
  <c r="B1960" i="14"/>
  <c r="B1959" i="14"/>
  <c r="B1958" i="14"/>
  <c r="B1957" i="14"/>
  <c r="B1956" i="14"/>
  <c r="B1955" i="14"/>
  <c r="B1954" i="14"/>
  <c r="B1953" i="14"/>
  <c r="B1952" i="14"/>
  <c r="B1951" i="14"/>
  <c r="B1950" i="14"/>
  <c r="B1949" i="14"/>
  <c r="B1948" i="14"/>
  <c r="B1947" i="14"/>
  <c r="B1946" i="14"/>
  <c r="B1945" i="14"/>
  <c r="B1944" i="14"/>
  <c r="B1943" i="14"/>
  <c r="B1942" i="14"/>
  <c r="B1941" i="14"/>
  <c r="B1940" i="14"/>
  <c r="B1939" i="14"/>
  <c r="B1938" i="14"/>
  <c r="B1937" i="14"/>
  <c r="B1936" i="14"/>
  <c r="B1935" i="14"/>
  <c r="B1934" i="14"/>
  <c r="B1933" i="14"/>
  <c r="B1932" i="14"/>
  <c r="B1931" i="14"/>
  <c r="B1930" i="14"/>
  <c r="B1929" i="14"/>
  <c r="B1928" i="14"/>
  <c r="B1927" i="14"/>
  <c r="B1926" i="14"/>
  <c r="B1925" i="14"/>
  <c r="B1924" i="14"/>
  <c r="B1923" i="14"/>
  <c r="B1922" i="14"/>
  <c r="B1921" i="14"/>
  <c r="B1920" i="14"/>
  <c r="B1919" i="14"/>
  <c r="B1918" i="14"/>
  <c r="B1917" i="14"/>
  <c r="B1916" i="14"/>
  <c r="B1915" i="14"/>
  <c r="B1914" i="14"/>
  <c r="B1913" i="14"/>
  <c r="B1912" i="14"/>
  <c r="B1911" i="14"/>
  <c r="B1910" i="14"/>
  <c r="B1909" i="14"/>
  <c r="B1908" i="14"/>
  <c r="B1907" i="14"/>
  <c r="B1906" i="14"/>
  <c r="B1905" i="14"/>
  <c r="B1904" i="14"/>
  <c r="B1903" i="14"/>
  <c r="B1902" i="14"/>
  <c r="B1901" i="14"/>
  <c r="B1900" i="14"/>
  <c r="B1899" i="14"/>
  <c r="B1898" i="14"/>
  <c r="B1897" i="14"/>
  <c r="B1896" i="14"/>
  <c r="B1895" i="14"/>
  <c r="B1894" i="14"/>
  <c r="B1893" i="14"/>
  <c r="B1892" i="14"/>
  <c r="B1891" i="14"/>
  <c r="B1890" i="14"/>
  <c r="B1889" i="14"/>
  <c r="B1888" i="14"/>
  <c r="B1887" i="14"/>
  <c r="B1886" i="14"/>
  <c r="B1885" i="14"/>
  <c r="B1884" i="14"/>
  <c r="B1883" i="14"/>
  <c r="B1882" i="14"/>
  <c r="B1881" i="14"/>
  <c r="B1880" i="14"/>
  <c r="B1879" i="14"/>
  <c r="B1878" i="14"/>
  <c r="B1877" i="14"/>
  <c r="B1876" i="14"/>
  <c r="B1875" i="14"/>
  <c r="B1874" i="14"/>
  <c r="B1873" i="14"/>
  <c r="B1872" i="14"/>
  <c r="B1871" i="14"/>
  <c r="B1870" i="14"/>
  <c r="B1869" i="14"/>
  <c r="B1868" i="14"/>
  <c r="B1867" i="14"/>
  <c r="B1866" i="14"/>
  <c r="B1865" i="14"/>
  <c r="B1864" i="14"/>
  <c r="B1863" i="14"/>
  <c r="B1862" i="14"/>
  <c r="B1861" i="14"/>
  <c r="B1860" i="14"/>
  <c r="B1859" i="14"/>
  <c r="B1858" i="14"/>
  <c r="B1857" i="14"/>
  <c r="B1856" i="14"/>
  <c r="B1855" i="14"/>
  <c r="B1854" i="14"/>
  <c r="B1853" i="14"/>
  <c r="B1852" i="14"/>
  <c r="B1851" i="14"/>
  <c r="B1850" i="14"/>
  <c r="B1849" i="14"/>
  <c r="B1848" i="14"/>
  <c r="B1847" i="14"/>
  <c r="B1846" i="14"/>
  <c r="B1845" i="14"/>
  <c r="B1844" i="14"/>
  <c r="B1843" i="14"/>
  <c r="B1842" i="14"/>
  <c r="B1841" i="14"/>
  <c r="B1840" i="14"/>
  <c r="B1839" i="14"/>
  <c r="B1838" i="14"/>
  <c r="B1837" i="14"/>
  <c r="B1836" i="14"/>
  <c r="B1835" i="14"/>
  <c r="B1834" i="14"/>
  <c r="B1833" i="14"/>
  <c r="B1832" i="14"/>
  <c r="B1831" i="14"/>
  <c r="B1830" i="14"/>
  <c r="B1829" i="14"/>
  <c r="B1828" i="14"/>
  <c r="B1827" i="14"/>
  <c r="B1826" i="14"/>
  <c r="B1825" i="14"/>
  <c r="B1824" i="14"/>
  <c r="B1823" i="14"/>
  <c r="B1822" i="14"/>
  <c r="B1821" i="14"/>
  <c r="B1820" i="14"/>
  <c r="B1819" i="14"/>
  <c r="B1818" i="14"/>
  <c r="B1817" i="14"/>
  <c r="B1816" i="14"/>
  <c r="B1815" i="14"/>
  <c r="B1814" i="14"/>
  <c r="B1813" i="14"/>
  <c r="B1812" i="14"/>
  <c r="B1811" i="14"/>
  <c r="B1810" i="14"/>
  <c r="B1809" i="14"/>
  <c r="B1808" i="14"/>
  <c r="B1807" i="14"/>
  <c r="B1806" i="14"/>
  <c r="B1805" i="14"/>
  <c r="B1804" i="14"/>
  <c r="B1803" i="14"/>
  <c r="B1802" i="14"/>
  <c r="B1801" i="14"/>
  <c r="B1800" i="14"/>
  <c r="B1799" i="14"/>
  <c r="B1798" i="14"/>
  <c r="B1797" i="14"/>
  <c r="B1796" i="14"/>
  <c r="B1795" i="14"/>
  <c r="B1794" i="14"/>
  <c r="B1793" i="14"/>
  <c r="B1792" i="14"/>
  <c r="B1791" i="14"/>
  <c r="B1790" i="14"/>
  <c r="B1789" i="14"/>
  <c r="B1788" i="14"/>
  <c r="B1787" i="14"/>
  <c r="B1786" i="14"/>
  <c r="B1785" i="14"/>
  <c r="B1784" i="14"/>
  <c r="B1783" i="14"/>
  <c r="B1782" i="14"/>
  <c r="B1781" i="14"/>
  <c r="B1780" i="14"/>
  <c r="B1779" i="14"/>
  <c r="B1778" i="14"/>
  <c r="B1777" i="14"/>
  <c r="B1776" i="14"/>
  <c r="B1775" i="14"/>
  <c r="B1774" i="14"/>
  <c r="B1773" i="14"/>
  <c r="B1772" i="14"/>
  <c r="B1771" i="14"/>
  <c r="B1770" i="14"/>
  <c r="B1769" i="14"/>
  <c r="B1768" i="14"/>
  <c r="B1767" i="14"/>
  <c r="B1766" i="14"/>
  <c r="B1765" i="14"/>
  <c r="B1764" i="14"/>
  <c r="B1763" i="14"/>
  <c r="B1762" i="14"/>
  <c r="B1761" i="14"/>
  <c r="B1760" i="14"/>
  <c r="B1759" i="14"/>
  <c r="B1758" i="14"/>
  <c r="B1757" i="14"/>
  <c r="B1756" i="14"/>
  <c r="B1755" i="14"/>
  <c r="B1754" i="14"/>
  <c r="B1753" i="14"/>
  <c r="B1752" i="14"/>
  <c r="B1751" i="14"/>
  <c r="B1750" i="14"/>
  <c r="B1749" i="14"/>
  <c r="B1748" i="14"/>
  <c r="B1747" i="14"/>
  <c r="B1746" i="14"/>
  <c r="B1745" i="14"/>
  <c r="B1744" i="14"/>
  <c r="B1743" i="14"/>
  <c r="B1742" i="14"/>
  <c r="B1735" i="14"/>
  <c r="B1734" i="14"/>
  <c r="B1733" i="14"/>
  <c r="B1732" i="14"/>
  <c r="B1731" i="14"/>
  <c r="B1730" i="14"/>
  <c r="B1729" i="14"/>
  <c r="B1728" i="14"/>
  <c r="B1727" i="14"/>
  <c r="B1726" i="14"/>
  <c r="B1725" i="14"/>
  <c r="B1724" i="14"/>
  <c r="B1723" i="14"/>
  <c r="B1722" i="14"/>
  <c r="B1721" i="14"/>
  <c r="B1720" i="14"/>
  <c r="B1719" i="14"/>
  <c r="B1718" i="14"/>
  <c r="B1717" i="14"/>
  <c r="B1716" i="14"/>
  <c r="B1715" i="14"/>
  <c r="B1714" i="14"/>
  <c r="B1713" i="14"/>
  <c r="B1712" i="14"/>
  <c r="B1711" i="14"/>
  <c r="B1710" i="14"/>
  <c r="B1709" i="14"/>
  <c r="B1708" i="14"/>
  <c r="B1707" i="14"/>
  <c r="B1706" i="14"/>
  <c r="B1705" i="14"/>
  <c r="B1704" i="14"/>
  <c r="B1703" i="14"/>
  <c r="B1702" i="14"/>
  <c r="B1701" i="14"/>
  <c r="B1700" i="14"/>
  <c r="B1699" i="14"/>
  <c r="B1698" i="14"/>
  <c r="B1697" i="14"/>
  <c r="B1696" i="14"/>
  <c r="B1695" i="14"/>
  <c r="B1694" i="14"/>
  <c r="B1693" i="14"/>
  <c r="B1692" i="14"/>
  <c r="B1691" i="14"/>
  <c r="B1690" i="14"/>
  <c r="B1689" i="14"/>
  <c r="B1688" i="14"/>
  <c r="B1687" i="14"/>
  <c r="B1686" i="14"/>
  <c r="B1685" i="14"/>
  <c r="B1684" i="14"/>
  <c r="B1683" i="14"/>
  <c r="B1682" i="14"/>
  <c r="B1681" i="14"/>
  <c r="B1680" i="14"/>
  <c r="B1679" i="14"/>
  <c r="B1678" i="14"/>
  <c r="B1677" i="14"/>
  <c r="B1676" i="14"/>
  <c r="B1675" i="14"/>
  <c r="B1674" i="14"/>
  <c r="B1673" i="14"/>
  <c r="B1672" i="14"/>
  <c r="B1671" i="14"/>
  <c r="B1670" i="14"/>
  <c r="B1669" i="14"/>
  <c r="B1668" i="14"/>
  <c r="B1667" i="14"/>
  <c r="B1666" i="14"/>
  <c r="B1665" i="14"/>
  <c r="B1664" i="14"/>
  <c r="B1663" i="14"/>
  <c r="B1662" i="14"/>
  <c r="B1661" i="14"/>
  <c r="B1660" i="14"/>
  <c r="B1659" i="14"/>
  <c r="B1658" i="14"/>
  <c r="B1657" i="14"/>
  <c r="B1656" i="14"/>
  <c r="B1655" i="14"/>
  <c r="B1654" i="14"/>
  <c r="B1653" i="14"/>
  <c r="B1652" i="14"/>
  <c r="B1651" i="14"/>
  <c r="B1650" i="14"/>
  <c r="B1649" i="14"/>
  <c r="B1648" i="14"/>
  <c r="B1647" i="14"/>
  <c r="B1646" i="14"/>
  <c r="B1645" i="14"/>
  <c r="B1644" i="14"/>
  <c r="B1643" i="14"/>
  <c r="B1642" i="14"/>
  <c r="B1641" i="14"/>
  <c r="B1640" i="14"/>
  <c r="B1639" i="14"/>
  <c r="B1638" i="14"/>
  <c r="B1637" i="14"/>
  <c r="B1636" i="14"/>
  <c r="B1635" i="14"/>
  <c r="B1634" i="14"/>
  <c r="B1633" i="14"/>
  <c r="B1632" i="14"/>
  <c r="B1631" i="14"/>
  <c r="B1630" i="14"/>
  <c r="B1629" i="14"/>
  <c r="B1628" i="14"/>
  <c r="B1627" i="14"/>
  <c r="B1626" i="14"/>
  <c r="B1625" i="14"/>
  <c r="B1624" i="14"/>
  <c r="B1623" i="14"/>
  <c r="B1622" i="14"/>
  <c r="B1621" i="14"/>
  <c r="B1620" i="14"/>
  <c r="B1619" i="14"/>
  <c r="B1618" i="14"/>
  <c r="B1617" i="14"/>
  <c r="B1616" i="14"/>
  <c r="B1615" i="14"/>
  <c r="B1614" i="14"/>
  <c r="B1613" i="14"/>
  <c r="B1612" i="14"/>
  <c r="B1611" i="14"/>
  <c r="B1610" i="14"/>
  <c r="B1609" i="14"/>
  <c r="B1608" i="14"/>
  <c r="B1607" i="14"/>
  <c r="B1606" i="14"/>
  <c r="B1605" i="14"/>
  <c r="B1604" i="14"/>
  <c r="B1603" i="14"/>
  <c r="B1602" i="14"/>
  <c r="B1601" i="14"/>
  <c r="B1600" i="14"/>
  <c r="B1599" i="14"/>
  <c r="B1598" i="14"/>
  <c r="B1597" i="14"/>
  <c r="B1596" i="14"/>
  <c r="B1595" i="14"/>
  <c r="B1594" i="14"/>
  <c r="B1593" i="14"/>
  <c r="B1592" i="14"/>
  <c r="B1591" i="14"/>
  <c r="B1590" i="14"/>
  <c r="B1589" i="14"/>
  <c r="B1588" i="14"/>
  <c r="B1587" i="14"/>
  <c r="B1586" i="14"/>
  <c r="B1585" i="14"/>
  <c r="B1584" i="14"/>
  <c r="B1583" i="14"/>
  <c r="B1582" i="14"/>
  <c r="B1581" i="14"/>
  <c r="B1580" i="14"/>
  <c r="B1579" i="14"/>
  <c r="B1578" i="14"/>
  <c r="B1577" i="14"/>
  <c r="B1576" i="14"/>
  <c r="B1575" i="14"/>
  <c r="B1574" i="14"/>
  <c r="B1573" i="14"/>
  <c r="B1572" i="14"/>
  <c r="B1571" i="14"/>
  <c r="B1570" i="14"/>
  <c r="B1569" i="14"/>
  <c r="B1568" i="14"/>
  <c r="B1567" i="14"/>
  <c r="B1566" i="14"/>
  <c r="B1565" i="14"/>
  <c r="B1564" i="14"/>
  <c r="B1563" i="14"/>
  <c r="B1562" i="14"/>
  <c r="B1561" i="14"/>
  <c r="B1560" i="14"/>
  <c r="B1559" i="14"/>
  <c r="B1558" i="14"/>
  <c r="B1557" i="14"/>
  <c r="B1556" i="14"/>
  <c r="B1555" i="14"/>
  <c r="B1554" i="14"/>
  <c r="B1553" i="14"/>
  <c r="B1552" i="14"/>
  <c r="B1551" i="14"/>
  <c r="B1550" i="14"/>
  <c r="B1549" i="14"/>
  <c r="B1548" i="14"/>
  <c r="B1547" i="14"/>
  <c r="B1546" i="14"/>
  <c r="B1545" i="14"/>
  <c r="B1544" i="14"/>
  <c r="B1543" i="14"/>
  <c r="B1542" i="14"/>
  <c r="B1541" i="14"/>
  <c r="B1540" i="14"/>
  <c r="B1539" i="14"/>
  <c r="B1538" i="14"/>
  <c r="B1537" i="14"/>
  <c r="B1536" i="14"/>
  <c r="B1535" i="14"/>
  <c r="B1534" i="14"/>
  <c r="B1533" i="14"/>
  <c r="B1532" i="14"/>
  <c r="B1531" i="14"/>
  <c r="B1530" i="14"/>
  <c r="B1529" i="14"/>
  <c r="B1528" i="14"/>
  <c r="B1527" i="14"/>
  <c r="B1526" i="14"/>
  <c r="B1525" i="14"/>
  <c r="B1524" i="14"/>
  <c r="B1523" i="14"/>
  <c r="B1522" i="14"/>
  <c r="B1521" i="14"/>
  <c r="B1520" i="14"/>
  <c r="B1519" i="14"/>
  <c r="B1518" i="14"/>
  <c r="B1517" i="14"/>
  <c r="B1516" i="14"/>
  <c r="B1515" i="14"/>
  <c r="B1514" i="14"/>
  <c r="B1513" i="14"/>
  <c r="B1512" i="14"/>
  <c r="B1511" i="14"/>
  <c r="B1510" i="14"/>
  <c r="B1509" i="14"/>
  <c r="B1508" i="14"/>
  <c r="B1507" i="14"/>
  <c r="B1506" i="14"/>
  <c r="B1505" i="14"/>
  <c r="B1504" i="14"/>
  <c r="B1503" i="14"/>
  <c r="B1502" i="14"/>
  <c r="B1501" i="14"/>
  <c r="B1500" i="14"/>
  <c r="B1499" i="14"/>
  <c r="B1498" i="14"/>
  <c r="B1497" i="14"/>
  <c r="B1496" i="14"/>
  <c r="B1495" i="14"/>
  <c r="B1494" i="14"/>
  <c r="B1487" i="14"/>
  <c r="B1486" i="14"/>
  <c r="B1485" i="14"/>
  <c r="B1484" i="14"/>
  <c r="B1483" i="14"/>
  <c r="B1482" i="14"/>
  <c r="B1481" i="14"/>
  <c r="B1480" i="14"/>
  <c r="B1479" i="14"/>
  <c r="B1478" i="14"/>
  <c r="B1477" i="14"/>
  <c r="B1476" i="14"/>
  <c r="B1475" i="14"/>
  <c r="B1474" i="14"/>
  <c r="B1473" i="14"/>
  <c r="B1472" i="14"/>
  <c r="B1471" i="14"/>
  <c r="B1470" i="14"/>
  <c r="B1469" i="14"/>
  <c r="B1468" i="14"/>
  <c r="B1467" i="14"/>
  <c r="B1466" i="14"/>
  <c r="B1465" i="14"/>
  <c r="B1464" i="14"/>
  <c r="B1463" i="14"/>
  <c r="B1462" i="14"/>
  <c r="B1461" i="14"/>
  <c r="B1460" i="14"/>
  <c r="B1459" i="14"/>
  <c r="B1458" i="14"/>
  <c r="B1457" i="14"/>
  <c r="B1456" i="14"/>
  <c r="B1455" i="14"/>
  <c r="B1454" i="14"/>
  <c r="B1453" i="14"/>
  <c r="B1452" i="14"/>
  <c r="B1451" i="14"/>
  <c r="B1450" i="14"/>
  <c r="B1449" i="14"/>
  <c r="B1448" i="14"/>
  <c r="B1447" i="14"/>
  <c r="B1446" i="14"/>
  <c r="B1445" i="14"/>
  <c r="B1444" i="14"/>
  <c r="B1443" i="14"/>
  <c r="B1442" i="14"/>
  <c r="B1441" i="14"/>
  <c r="B1440" i="14"/>
  <c r="B1439" i="14"/>
  <c r="B1438" i="14"/>
  <c r="B1437" i="14"/>
  <c r="B1436" i="14"/>
  <c r="B1435" i="14"/>
  <c r="B1434" i="14"/>
  <c r="B1433" i="14"/>
  <c r="B1432" i="14"/>
  <c r="B1431" i="14"/>
  <c r="B1430" i="14"/>
  <c r="B1429" i="14"/>
  <c r="B1428" i="14"/>
  <c r="B1427" i="14"/>
  <c r="B1426" i="14"/>
  <c r="B1425" i="14"/>
  <c r="B1424" i="14"/>
  <c r="B1423" i="14"/>
  <c r="B1422" i="14"/>
  <c r="B1421" i="14"/>
  <c r="B1420" i="14"/>
  <c r="B1419" i="14"/>
  <c r="B1418" i="14"/>
  <c r="B1417" i="14"/>
  <c r="B1416" i="14"/>
  <c r="B1415" i="14"/>
  <c r="B1414" i="14"/>
  <c r="B1413" i="14"/>
  <c r="B1412" i="14"/>
  <c r="B1411" i="14"/>
  <c r="B1410" i="14"/>
  <c r="B1409" i="14"/>
  <c r="B1408" i="14"/>
  <c r="B1407" i="14"/>
  <c r="B1406" i="14"/>
  <c r="B1405" i="14"/>
  <c r="B1404" i="14"/>
  <c r="B1403" i="14"/>
  <c r="B1402" i="14"/>
  <c r="B1401" i="14"/>
  <c r="B1400" i="14"/>
  <c r="B1399" i="14"/>
  <c r="B1398" i="14"/>
  <c r="B1397" i="14"/>
  <c r="B1396" i="14"/>
  <c r="B1395" i="14"/>
  <c r="B1394" i="14"/>
  <c r="B1393" i="14"/>
  <c r="B1392" i="14"/>
  <c r="B1391" i="14"/>
  <c r="B1390" i="14"/>
  <c r="B1389" i="14"/>
  <c r="B1388" i="14"/>
  <c r="B1387" i="14"/>
  <c r="B1386" i="14"/>
  <c r="B1385" i="14"/>
  <c r="B1384" i="14"/>
  <c r="B1383" i="14"/>
  <c r="B1382" i="14"/>
  <c r="B1381" i="14"/>
  <c r="B1380" i="14"/>
  <c r="B1379" i="14"/>
  <c r="B1378" i="14"/>
  <c r="B1377" i="14"/>
  <c r="B1376" i="14"/>
  <c r="B1375" i="14"/>
  <c r="B1374" i="14"/>
  <c r="B1373" i="14"/>
  <c r="B1372" i="14"/>
  <c r="B1371" i="14"/>
  <c r="B1370" i="14"/>
  <c r="B1369" i="14"/>
  <c r="B1368" i="14"/>
  <c r="B1367" i="14"/>
  <c r="B1366" i="14"/>
  <c r="B1365" i="14"/>
  <c r="B1364" i="14"/>
  <c r="B1363" i="14"/>
  <c r="B1362" i="14"/>
  <c r="B1361" i="14"/>
  <c r="B1360" i="14"/>
  <c r="B1359" i="14"/>
  <c r="B1358" i="14"/>
  <c r="B1357" i="14"/>
  <c r="B1356" i="14"/>
  <c r="B1355" i="14"/>
  <c r="B1354" i="14"/>
  <c r="B1353" i="14"/>
  <c r="B1352" i="14"/>
  <c r="B1351" i="14"/>
  <c r="B1350" i="14"/>
  <c r="B1349" i="14"/>
  <c r="B1348" i="14"/>
  <c r="B1347" i="14"/>
  <c r="B1346" i="14"/>
  <c r="B1345" i="14"/>
  <c r="B1344" i="14"/>
  <c r="B1343" i="14"/>
  <c r="B1342" i="14"/>
  <c r="B1341" i="14"/>
  <c r="B1340" i="14"/>
  <c r="B1339" i="14"/>
  <c r="B1338" i="14"/>
  <c r="B1337" i="14"/>
  <c r="B1336" i="14"/>
  <c r="B1335" i="14"/>
  <c r="B1334" i="14"/>
  <c r="B1333" i="14"/>
  <c r="B1332" i="14"/>
  <c r="B1331" i="14"/>
  <c r="B1330" i="14"/>
  <c r="B1329" i="14"/>
  <c r="B1328" i="14"/>
  <c r="B1327" i="14"/>
  <c r="B1326" i="14"/>
  <c r="B1325" i="14"/>
  <c r="B1324" i="14"/>
  <c r="B1323" i="14"/>
  <c r="B1322" i="14"/>
  <c r="B1321" i="14"/>
  <c r="B1320" i="14"/>
  <c r="B1319" i="14"/>
  <c r="B1318" i="14"/>
  <c r="B1317" i="14"/>
  <c r="B1316" i="14"/>
  <c r="B1315" i="14"/>
  <c r="B1314" i="14"/>
  <c r="B1313" i="14"/>
  <c r="B1312" i="14"/>
  <c r="B1311" i="14"/>
  <c r="B1310" i="14"/>
  <c r="B1309" i="14"/>
  <c r="B1308" i="14"/>
  <c r="B1307" i="14"/>
  <c r="B1306" i="14"/>
  <c r="B1305" i="14"/>
  <c r="B1304" i="14"/>
  <c r="B1303" i="14"/>
  <c r="B1302" i="14"/>
  <c r="B1301" i="14"/>
  <c r="B1300" i="14"/>
  <c r="B1299" i="14"/>
  <c r="B1298" i="14"/>
  <c r="B1297" i="14"/>
  <c r="B1296" i="14"/>
  <c r="B1295" i="14"/>
  <c r="B1294" i="14"/>
  <c r="B1293" i="14"/>
  <c r="B1292" i="14"/>
  <c r="B1291" i="14"/>
  <c r="B1290" i="14"/>
  <c r="B1289" i="14"/>
  <c r="B1288" i="14"/>
  <c r="B1287" i="14"/>
  <c r="B1286" i="14"/>
  <c r="B1285" i="14"/>
  <c r="B1284" i="14"/>
  <c r="B1283" i="14"/>
  <c r="B1282" i="14"/>
  <c r="B1281" i="14"/>
  <c r="B1280" i="14"/>
  <c r="B1279" i="14"/>
  <c r="B1278" i="14"/>
  <c r="B1277" i="14"/>
  <c r="B1276" i="14"/>
  <c r="B1275" i="14"/>
  <c r="B1274" i="14"/>
  <c r="B1273" i="14"/>
  <c r="B1272" i="14"/>
  <c r="B1271" i="14"/>
  <c r="B1270" i="14"/>
  <c r="B1269" i="14"/>
  <c r="B1268" i="14"/>
  <c r="B1267" i="14"/>
  <c r="B1266" i="14"/>
  <c r="B1265" i="14"/>
  <c r="B1264" i="14"/>
  <c r="B1263" i="14"/>
  <c r="B1262" i="14"/>
  <c r="B1261" i="14"/>
  <c r="B1260" i="14"/>
  <c r="B1259" i="14"/>
  <c r="B1258" i="14"/>
  <c r="B1257" i="14"/>
  <c r="B1256" i="14"/>
  <c r="B1255" i="14"/>
  <c r="B1254" i="14"/>
  <c r="B1253" i="14"/>
  <c r="B1252" i="14"/>
  <c r="B1251" i="14"/>
  <c r="B1250" i="14"/>
  <c r="B1249" i="14"/>
  <c r="B1248" i="14"/>
  <c r="B1247" i="14"/>
  <c r="B1246" i="14"/>
  <c r="B1239" i="14"/>
  <c r="B1238" i="14"/>
  <c r="B1237" i="14"/>
  <c r="B1236" i="14"/>
  <c r="B1235" i="14"/>
  <c r="B1234" i="14"/>
  <c r="B1233" i="14"/>
  <c r="B1232" i="14"/>
  <c r="B1231" i="14"/>
  <c r="B1230" i="14"/>
  <c r="B1229" i="14"/>
  <c r="B1228" i="14"/>
  <c r="B1227" i="14"/>
  <c r="B1226" i="14"/>
  <c r="B1225" i="14"/>
  <c r="B1224" i="14"/>
  <c r="B1223" i="14"/>
  <c r="B1222" i="14"/>
  <c r="B1221" i="14"/>
  <c r="B1220" i="14"/>
  <c r="B1219" i="14"/>
  <c r="B1218" i="14"/>
  <c r="B1217" i="14"/>
  <c r="B1216" i="14"/>
  <c r="B1215" i="14"/>
  <c r="B1214" i="14"/>
  <c r="B1213" i="14"/>
  <c r="B1212" i="14"/>
  <c r="B1211" i="14"/>
  <c r="B1210" i="14"/>
  <c r="B1209" i="14"/>
  <c r="B1208" i="14"/>
  <c r="B1207" i="14"/>
  <c r="B1206" i="14"/>
  <c r="B1205" i="14"/>
  <c r="B1204" i="14"/>
  <c r="B1203" i="14"/>
  <c r="B1202" i="14"/>
  <c r="B1201" i="14"/>
  <c r="B1200" i="14"/>
  <c r="B1199" i="14"/>
  <c r="B1198" i="14"/>
  <c r="B1197" i="14"/>
  <c r="B1196" i="14"/>
  <c r="B1195" i="14"/>
  <c r="B1194" i="14"/>
  <c r="B1193" i="14"/>
  <c r="B1192" i="14"/>
  <c r="B1191" i="14"/>
  <c r="B1190" i="14"/>
  <c r="B1189" i="14"/>
  <c r="B1188" i="14"/>
  <c r="B1187" i="14"/>
  <c r="B1186" i="14"/>
  <c r="B1185" i="14"/>
  <c r="B1184" i="14"/>
  <c r="B1183" i="14"/>
  <c r="B1182" i="14"/>
  <c r="B1181" i="14"/>
  <c r="B1180" i="14"/>
  <c r="B1179" i="14"/>
  <c r="B1178" i="14"/>
  <c r="B1177" i="14"/>
  <c r="B1176" i="14"/>
  <c r="B1175" i="14"/>
  <c r="B1174" i="14"/>
  <c r="B1173" i="14"/>
  <c r="B1172" i="14"/>
  <c r="B1171" i="14"/>
  <c r="B1170" i="14"/>
  <c r="B1169" i="14"/>
  <c r="B1168" i="14"/>
  <c r="B1167" i="14"/>
  <c r="B1166" i="14"/>
  <c r="B1165" i="14"/>
  <c r="B1164" i="14"/>
  <c r="B1163" i="14"/>
  <c r="B1162" i="14"/>
  <c r="B1161" i="14"/>
  <c r="B1160" i="14"/>
  <c r="B1159" i="14"/>
  <c r="B1158" i="14"/>
  <c r="B1157" i="14"/>
  <c r="B1156" i="14"/>
  <c r="B1155" i="14"/>
  <c r="B1154" i="14"/>
  <c r="B1153" i="14"/>
  <c r="B1152" i="14"/>
  <c r="B1151" i="14"/>
  <c r="B1150" i="14"/>
  <c r="B1149" i="14"/>
  <c r="B1148" i="14"/>
  <c r="B1147" i="14"/>
  <c r="B1146" i="14"/>
  <c r="B1145" i="14"/>
  <c r="B1144" i="14"/>
  <c r="B1143" i="14"/>
  <c r="B1142" i="14"/>
  <c r="B1141" i="14"/>
  <c r="B1140" i="14"/>
  <c r="B1139" i="14"/>
  <c r="B1138" i="14"/>
  <c r="B1137" i="14"/>
  <c r="B1136" i="14"/>
  <c r="B1135" i="14"/>
  <c r="B1134" i="14"/>
  <c r="B1133" i="14"/>
  <c r="B1132" i="14"/>
  <c r="B1131" i="14"/>
  <c r="B1130" i="14"/>
  <c r="B1129" i="14"/>
  <c r="B1128" i="14"/>
  <c r="B1127" i="14"/>
  <c r="B1126" i="14"/>
  <c r="B1125" i="14"/>
  <c r="B1124" i="14"/>
  <c r="B1123" i="14"/>
  <c r="B1122" i="14"/>
  <c r="B1121" i="14"/>
  <c r="B1120" i="14"/>
  <c r="B1119" i="14"/>
  <c r="B1118" i="14"/>
  <c r="B1117" i="14"/>
  <c r="B1116" i="14"/>
  <c r="B1115" i="14"/>
  <c r="B1114" i="14"/>
  <c r="B1113" i="14"/>
  <c r="B1112" i="14"/>
  <c r="B1111" i="14"/>
  <c r="B1110" i="14"/>
  <c r="B1109" i="14"/>
  <c r="B1108" i="14"/>
  <c r="B1107" i="14"/>
  <c r="B1106" i="14"/>
  <c r="B1105" i="14"/>
  <c r="B1104" i="14"/>
  <c r="B1103" i="14"/>
  <c r="B1102" i="14"/>
  <c r="B1101" i="14"/>
  <c r="B1100" i="14"/>
  <c r="B1099" i="14"/>
  <c r="B1098" i="14"/>
  <c r="B1097" i="14"/>
  <c r="B1096" i="14"/>
  <c r="B1095" i="14"/>
  <c r="B1094" i="14"/>
  <c r="B1093" i="14"/>
  <c r="B1092" i="14"/>
  <c r="B1091" i="14"/>
  <c r="B1090" i="14"/>
  <c r="B1089" i="14"/>
  <c r="B1088" i="14"/>
  <c r="B1087" i="14"/>
  <c r="B1086" i="14"/>
  <c r="B1085" i="14"/>
  <c r="B1084" i="14"/>
  <c r="B1083" i="14"/>
  <c r="B1082" i="14"/>
  <c r="B1081" i="14"/>
  <c r="B1080" i="14"/>
  <c r="B1079" i="14"/>
  <c r="B1078" i="14"/>
  <c r="B1077" i="14"/>
  <c r="B1076" i="14"/>
  <c r="B1075" i="14"/>
  <c r="B1074" i="14"/>
  <c r="B1073" i="14"/>
  <c r="B1072" i="14"/>
  <c r="B1071" i="14"/>
  <c r="B1070" i="14"/>
  <c r="B1069" i="14"/>
  <c r="B1068" i="14"/>
  <c r="B1067" i="14"/>
  <c r="B1066" i="14"/>
  <c r="B1065" i="14"/>
  <c r="B1064" i="14"/>
  <c r="B1063" i="14"/>
  <c r="B1062" i="14"/>
  <c r="B1061" i="14"/>
  <c r="B1060" i="14"/>
  <c r="B1059" i="14"/>
  <c r="B1058" i="14"/>
  <c r="B1057" i="14"/>
  <c r="B1056" i="14"/>
  <c r="B1055" i="14"/>
  <c r="B1054" i="14"/>
  <c r="B1053" i="14"/>
  <c r="B1052" i="14"/>
  <c r="B1051" i="14"/>
  <c r="B1050" i="14"/>
  <c r="B1049" i="14"/>
  <c r="B1048" i="14"/>
  <c r="B1047" i="14"/>
  <c r="B1046" i="14"/>
  <c r="B1045" i="14"/>
  <c r="B1044" i="14"/>
  <c r="B1043" i="14"/>
  <c r="B1042" i="14"/>
  <c r="B1041" i="14"/>
  <c r="B1040" i="14"/>
  <c r="B1039" i="14"/>
  <c r="B1038" i="14"/>
  <c r="B1037" i="14"/>
  <c r="B1036" i="14"/>
  <c r="B1035" i="14"/>
  <c r="B1034" i="14"/>
  <c r="B1033" i="14"/>
  <c r="B1032" i="14"/>
  <c r="B1031" i="14"/>
  <c r="B1030" i="14"/>
  <c r="B1029" i="14"/>
  <c r="B1028" i="14"/>
  <c r="B1027" i="14"/>
  <c r="B1026" i="14"/>
  <c r="B1025" i="14"/>
  <c r="B1024" i="14"/>
  <c r="B1023" i="14"/>
  <c r="B1022" i="14"/>
  <c r="B1021" i="14"/>
  <c r="B1020" i="14"/>
  <c r="B1019" i="14"/>
  <c r="B1018" i="14"/>
  <c r="B1017" i="14"/>
  <c r="B1016" i="14"/>
  <c r="B1015" i="14"/>
  <c r="B1014" i="14"/>
  <c r="B1013" i="14"/>
  <c r="B1012" i="14"/>
  <c r="B1011" i="14"/>
  <c r="B1010" i="14"/>
  <c r="B1009" i="14"/>
  <c r="B1008" i="14"/>
  <c r="B1007" i="14"/>
  <c r="B1006" i="14"/>
  <c r="B1005" i="14"/>
  <c r="B1004" i="14"/>
  <c r="B1003" i="14"/>
  <c r="B1002" i="14"/>
  <c r="B1001" i="14"/>
  <c r="B1000" i="14"/>
  <c r="B999" i="14"/>
  <c r="B998" i="14"/>
  <c r="B991" i="14"/>
  <c r="B990" i="14"/>
  <c r="B989" i="14"/>
  <c r="B988" i="14"/>
  <c r="B987" i="14"/>
  <c r="B986" i="14"/>
  <c r="B985" i="14"/>
  <c r="B984" i="14"/>
  <c r="B983" i="14"/>
  <c r="B982" i="14"/>
  <c r="B981" i="14"/>
  <c r="B980" i="14"/>
  <c r="B979" i="14"/>
  <c r="B978" i="14"/>
  <c r="B977" i="14"/>
  <c r="B976" i="14"/>
  <c r="B975" i="14"/>
  <c r="B974" i="14"/>
  <c r="B973" i="14"/>
  <c r="B972" i="14"/>
  <c r="B971" i="14"/>
  <c r="B970" i="14"/>
  <c r="B969" i="14"/>
  <c r="B968" i="14"/>
  <c r="B967" i="14"/>
  <c r="B966" i="14"/>
  <c r="B965" i="14"/>
  <c r="B964" i="14"/>
  <c r="B963" i="14"/>
  <c r="B962" i="14"/>
  <c r="B961" i="14"/>
  <c r="B960" i="14"/>
  <c r="B959" i="14"/>
  <c r="B958" i="14"/>
  <c r="B957" i="14"/>
  <c r="B956" i="14"/>
  <c r="B955" i="14"/>
  <c r="B954" i="14"/>
  <c r="B953" i="14"/>
  <c r="B952" i="14"/>
  <c r="B951" i="14"/>
  <c r="B950" i="14"/>
  <c r="B949" i="14"/>
  <c r="B948" i="14"/>
  <c r="B947" i="14"/>
  <c r="B946" i="14"/>
  <c r="B945" i="14"/>
  <c r="B944" i="14"/>
  <c r="B943" i="14"/>
  <c r="B942" i="14"/>
  <c r="B941" i="14"/>
  <c r="B940" i="14"/>
  <c r="B939" i="14"/>
  <c r="B938" i="14"/>
  <c r="B937" i="14"/>
  <c r="B936" i="14"/>
  <c r="B935" i="14"/>
  <c r="B934" i="14"/>
  <c r="B933" i="14"/>
  <c r="B932" i="14"/>
  <c r="B931" i="14"/>
  <c r="B930" i="14"/>
  <c r="B929" i="14"/>
  <c r="B928" i="14"/>
  <c r="B927" i="14"/>
  <c r="B926" i="14"/>
  <c r="B925" i="14"/>
  <c r="B924" i="14"/>
  <c r="B923" i="14"/>
  <c r="B922" i="14"/>
  <c r="B921" i="14"/>
  <c r="B920" i="14"/>
  <c r="B919" i="14"/>
  <c r="B918" i="14"/>
  <c r="B917" i="14"/>
  <c r="B916" i="14"/>
  <c r="B915" i="14"/>
  <c r="B914" i="14"/>
  <c r="B913" i="14"/>
  <c r="B912" i="14"/>
  <c r="B911" i="14"/>
  <c r="B910" i="14"/>
  <c r="B909" i="14"/>
  <c r="B908" i="14"/>
  <c r="B907" i="14"/>
  <c r="B906" i="14"/>
  <c r="B905" i="14"/>
  <c r="B904" i="14"/>
  <c r="B903" i="14"/>
  <c r="B902" i="14"/>
  <c r="B901" i="14"/>
  <c r="B900" i="14"/>
  <c r="B899" i="14"/>
  <c r="B898" i="14"/>
  <c r="B897" i="14"/>
  <c r="B896" i="14"/>
  <c r="B895" i="14"/>
  <c r="B894" i="14"/>
  <c r="B893" i="14"/>
  <c r="B892" i="14"/>
  <c r="B891" i="14"/>
  <c r="B890" i="14"/>
  <c r="B889" i="14"/>
  <c r="B888" i="14"/>
  <c r="B887" i="14"/>
  <c r="B886" i="14"/>
  <c r="B885" i="14"/>
  <c r="B884" i="14"/>
  <c r="B883" i="14"/>
  <c r="B882" i="14"/>
  <c r="B881" i="14"/>
  <c r="B880" i="14"/>
  <c r="B879" i="14"/>
  <c r="B878" i="14"/>
  <c r="B877" i="14"/>
  <c r="B876" i="14"/>
  <c r="B875" i="14"/>
  <c r="B874" i="14"/>
  <c r="B873" i="14"/>
  <c r="B872" i="14"/>
  <c r="B871" i="14"/>
  <c r="B870" i="14"/>
  <c r="B869" i="14"/>
  <c r="B868" i="14"/>
  <c r="B867" i="14"/>
  <c r="B866" i="14"/>
  <c r="B865" i="14"/>
  <c r="B864" i="14"/>
  <c r="B863" i="14"/>
  <c r="B862" i="14"/>
  <c r="B861" i="14"/>
  <c r="B860" i="14"/>
  <c r="B859" i="14"/>
  <c r="B858" i="14"/>
  <c r="B857" i="14"/>
  <c r="B856" i="14"/>
  <c r="B855" i="14"/>
  <c r="B854" i="14"/>
  <c r="B853" i="14"/>
  <c r="B852" i="14"/>
  <c r="B851" i="14"/>
  <c r="B850" i="14"/>
  <c r="B849" i="14"/>
  <c r="B848" i="14"/>
  <c r="B847" i="14"/>
  <c r="B846" i="14"/>
  <c r="B845" i="14"/>
  <c r="B844" i="14"/>
  <c r="B843" i="14"/>
  <c r="B842" i="14"/>
  <c r="B841" i="14"/>
  <c r="B840" i="14"/>
  <c r="B839" i="14"/>
  <c r="B838" i="14"/>
  <c r="B837" i="14"/>
  <c r="B836" i="14"/>
  <c r="B835" i="14"/>
  <c r="B834" i="14"/>
  <c r="B833" i="14"/>
  <c r="B832" i="14"/>
  <c r="B831" i="14"/>
  <c r="B830" i="14"/>
  <c r="B829" i="14"/>
  <c r="B828" i="14"/>
  <c r="B827" i="14"/>
  <c r="B826" i="14"/>
  <c r="B825" i="14"/>
  <c r="B824" i="14"/>
  <c r="B823" i="14"/>
  <c r="B822" i="14"/>
  <c r="B821" i="14"/>
  <c r="B820" i="14"/>
  <c r="B819" i="14"/>
  <c r="B818" i="14"/>
  <c r="B817" i="14"/>
  <c r="B816" i="14"/>
  <c r="B815" i="14"/>
  <c r="B814" i="14"/>
  <c r="B813" i="14"/>
  <c r="B812" i="14"/>
  <c r="B811" i="14"/>
  <c r="B810" i="14"/>
  <c r="B809" i="14"/>
  <c r="B808" i="14"/>
  <c r="B807" i="14"/>
  <c r="B806" i="14"/>
  <c r="B805" i="14"/>
  <c r="B804" i="14"/>
  <c r="B803" i="14"/>
  <c r="B802" i="14"/>
  <c r="B801" i="14"/>
  <c r="B800" i="14"/>
  <c r="B799" i="14"/>
  <c r="B798" i="14"/>
  <c r="B797" i="14"/>
  <c r="B796" i="14"/>
  <c r="B795" i="14"/>
  <c r="B794" i="14"/>
  <c r="B793" i="14"/>
  <c r="B792" i="14"/>
  <c r="B791" i="14"/>
  <c r="B790" i="14"/>
  <c r="B789" i="14"/>
  <c r="B788" i="14"/>
  <c r="B787" i="14"/>
  <c r="B786" i="14"/>
  <c r="B785" i="14"/>
  <c r="B784" i="14"/>
  <c r="B783" i="14"/>
  <c r="B782" i="14"/>
  <c r="B781" i="14"/>
  <c r="B780" i="14"/>
  <c r="B779" i="14"/>
  <c r="B778" i="14"/>
  <c r="B777" i="14"/>
  <c r="B776" i="14"/>
  <c r="B775" i="14"/>
  <c r="B774" i="14"/>
  <c r="B773" i="14"/>
  <c r="B772" i="14"/>
  <c r="B771" i="14"/>
  <c r="B770" i="14"/>
  <c r="B769" i="14"/>
  <c r="B768" i="14"/>
  <c r="B767" i="14"/>
  <c r="B766" i="14"/>
  <c r="B765" i="14"/>
  <c r="B764" i="14"/>
  <c r="B763" i="14"/>
  <c r="B762" i="14"/>
  <c r="B761" i="14"/>
  <c r="B760" i="14"/>
  <c r="B759" i="14"/>
  <c r="B758" i="14"/>
  <c r="B757" i="14"/>
  <c r="B756" i="14"/>
  <c r="B755" i="14"/>
  <c r="B754" i="14"/>
  <c r="B753" i="14"/>
  <c r="B752" i="14"/>
  <c r="B751" i="14"/>
  <c r="B750" i="14"/>
  <c r="B743" i="14"/>
  <c r="B742" i="14"/>
  <c r="B741" i="14"/>
  <c r="B740" i="14"/>
  <c r="B739" i="14"/>
  <c r="B738" i="14"/>
  <c r="B737" i="14"/>
  <c r="B736" i="14"/>
  <c r="B735" i="14"/>
  <c r="B734" i="14"/>
  <c r="B733" i="14"/>
  <c r="B732" i="14"/>
  <c r="B731" i="14"/>
  <c r="B730" i="14"/>
  <c r="B729" i="14"/>
  <c r="B728" i="14"/>
  <c r="B727" i="14"/>
  <c r="B726" i="14"/>
  <c r="B725" i="14"/>
  <c r="B724" i="14"/>
  <c r="B723" i="14"/>
  <c r="B722" i="14"/>
  <c r="B721" i="14"/>
  <c r="B720" i="14"/>
  <c r="B719" i="14"/>
  <c r="B718" i="14"/>
  <c r="B717" i="14"/>
  <c r="B716" i="14"/>
  <c r="B715" i="14"/>
  <c r="B714" i="14"/>
  <c r="B713" i="14"/>
  <c r="B712" i="14"/>
  <c r="B711" i="14"/>
  <c r="B710" i="14"/>
  <c r="B709" i="14"/>
  <c r="B708" i="14"/>
  <c r="B707" i="14"/>
  <c r="B706" i="14"/>
  <c r="B705" i="14"/>
  <c r="B704" i="14"/>
  <c r="B703" i="14"/>
  <c r="B702" i="14"/>
  <c r="B701" i="14"/>
  <c r="B700" i="14"/>
  <c r="B699" i="14"/>
  <c r="B698" i="14"/>
  <c r="B697" i="14"/>
  <c r="B696" i="14"/>
  <c r="B695" i="14"/>
  <c r="B694" i="14"/>
  <c r="B693" i="14"/>
  <c r="B692" i="14"/>
  <c r="B691" i="14"/>
  <c r="B690" i="14"/>
  <c r="B689" i="14"/>
  <c r="B688" i="14"/>
  <c r="B687" i="14"/>
  <c r="B686" i="14"/>
  <c r="B685" i="14"/>
  <c r="B684" i="14"/>
  <c r="B683" i="14"/>
  <c r="B682" i="14"/>
  <c r="B681" i="14"/>
  <c r="B680" i="14"/>
  <c r="B679" i="14"/>
  <c r="B678" i="14"/>
  <c r="B677" i="14"/>
  <c r="B676" i="14"/>
  <c r="B675" i="14"/>
  <c r="B674" i="14"/>
  <c r="B673" i="14"/>
  <c r="B672" i="14"/>
  <c r="B671" i="14"/>
  <c r="B670" i="14"/>
  <c r="B669" i="14"/>
  <c r="B668" i="14"/>
  <c r="B667" i="14"/>
  <c r="B666" i="14"/>
  <c r="B665" i="14"/>
  <c r="B664" i="14"/>
  <c r="B663" i="14"/>
  <c r="B662" i="14"/>
  <c r="B661" i="14"/>
  <c r="B660" i="14"/>
  <c r="B659" i="14"/>
  <c r="B658" i="14"/>
  <c r="B657" i="14"/>
  <c r="B656" i="14"/>
  <c r="B655" i="14"/>
  <c r="B654" i="14"/>
  <c r="B653" i="14"/>
  <c r="B652" i="14"/>
  <c r="B651" i="14"/>
  <c r="B650" i="14"/>
  <c r="B649" i="14"/>
  <c r="B648" i="14"/>
  <c r="B647" i="14"/>
  <c r="B646" i="14"/>
  <c r="B645" i="14"/>
  <c r="B644" i="14"/>
  <c r="B643" i="14"/>
  <c r="B642" i="14"/>
  <c r="B641" i="14"/>
  <c r="B640" i="14"/>
  <c r="B639" i="14"/>
  <c r="B638" i="14"/>
  <c r="B637" i="14"/>
  <c r="B636" i="14"/>
  <c r="B635" i="14"/>
  <c r="B634" i="14"/>
  <c r="B633" i="14"/>
  <c r="B632" i="14"/>
  <c r="B631" i="14"/>
  <c r="B630" i="14"/>
  <c r="B629" i="14"/>
  <c r="B628" i="14"/>
  <c r="B627" i="14"/>
  <c r="B626" i="14"/>
  <c r="B625" i="14"/>
  <c r="B624" i="14"/>
  <c r="B623" i="14"/>
  <c r="B622" i="14"/>
  <c r="B621" i="14"/>
  <c r="B620" i="14"/>
  <c r="B619" i="14"/>
  <c r="B618" i="14"/>
  <c r="B617" i="14"/>
  <c r="B616" i="14"/>
  <c r="B615" i="14"/>
  <c r="B614" i="14"/>
  <c r="B613" i="14"/>
  <c r="B612" i="14"/>
  <c r="B611" i="14"/>
  <c r="B610" i="14"/>
  <c r="B609" i="14"/>
  <c r="B608" i="14"/>
  <c r="B607" i="14"/>
  <c r="B606" i="14"/>
  <c r="B605" i="14"/>
  <c r="B604" i="14"/>
  <c r="B603" i="14"/>
  <c r="B602" i="14"/>
  <c r="B601" i="14"/>
  <c r="B600" i="14"/>
  <c r="B599" i="14"/>
  <c r="B598" i="14"/>
  <c r="B597" i="14"/>
  <c r="B596" i="14"/>
  <c r="B595" i="14"/>
  <c r="B594" i="14"/>
  <c r="B593" i="14"/>
  <c r="B592" i="14"/>
  <c r="B591" i="14"/>
  <c r="B590" i="14"/>
  <c r="B589" i="14"/>
  <c r="B588" i="14"/>
  <c r="B587" i="14"/>
  <c r="B586" i="14"/>
  <c r="B585" i="14"/>
  <c r="B584" i="14"/>
  <c r="B583" i="14"/>
  <c r="B582" i="14"/>
  <c r="B581" i="14"/>
  <c r="B580" i="14"/>
  <c r="B579" i="14"/>
  <c r="B578" i="14"/>
  <c r="B577" i="14"/>
  <c r="B576" i="14"/>
  <c r="B575" i="14"/>
  <c r="B574" i="14"/>
  <c r="B573" i="14"/>
  <c r="B572" i="14"/>
  <c r="B571" i="14"/>
  <c r="B570" i="14"/>
  <c r="B569" i="14"/>
  <c r="B568" i="14"/>
  <c r="B567" i="14"/>
  <c r="B566" i="14"/>
  <c r="B565" i="14"/>
  <c r="B564" i="14"/>
  <c r="B563" i="14"/>
  <c r="B562" i="14"/>
  <c r="B561" i="14"/>
  <c r="B560" i="14"/>
  <c r="B559" i="14"/>
  <c r="B558" i="14"/>
  <c r="B557" i="14"/>
  <c r="B556" i="14"/>
  <c r="B555" i="14"/>
  <c r="B554" i="14"/>
  <c r="B553" i="14"/>
  <c r="B552" i="14"/>
  <c r="B551" i="14"/>
  <c r="B550" i="14"/>
  <c r="B549" i="14"/>
  <c r="B548" i="14"/>
  <c r="B547" i="14"/>
  <c r="B546" i="14"/>
  <c r="B545" i="14"/>
  <c r="B544" i="14"/>
  <c r="B543" i="14"/>
  <c r="B542" i="14"/>
  <c r="B541" i="14"/>
  <c r="B540" i="14"/>
  <c r="B539" i="14"/>
  <c r="B538" i="14"/>
  <c r="B537" i="14"/>
  <c r="B536" i="14"/>
  <c r="B535" i="14"/>
  <c r="B534" i="14"/>
  <c r="B533" i="14"/>
  <c r="B532" i="14"/>
  <c r="B531" i="14"/>
  <c r="B530" i="14"/>
  <c r="B529" i="14"/>
  <c r="B528" i="14"/>
  <c r="B527" i="14"/>
  <c r="B526" i="14"/>
  <c r="B525" i="14"/>
  <c r="B524" i="14"/>
  <c r="B523" i="14"/>
  <c r="B522" i="14"/>
  <c r="B521" i="14"/>
  <c r="B520" i="14"/>
  <c r="B519" i="14"/>
  <c r="B518" i="14"/>
  <c r="B517" i="14"/>
  <c r="B516" i="14"/>
  <c r="B515" i="14"/>
  <c r="B514" i="14"/>
  <c r="B513" i="14"/>
  <c r="B512" i="14"/>
  <c r="B511" i="14"/>
  <c r="B510" i="14"/>
  <c r="B509" i="14"/>
  <c r="B508" i="14"/>
  <c r="B507" i="14"/>
  <c r="B506" i="14"/>
  <c r="B505" i="14"/>
  <c r="B504" i="14"/>
  <c r="B503" i="14"/>
  <c r="B502" i="14"/>
  <c r="B495" i="14"/>
  <c r="B494" i="14"/>
  <c r="B493" i="14"/>
  <c r="B492" i="14"/>
  <c r="B491" i="14"/>
  <c r="B490" i="14"/>
  <c r="B489" i="14"/>
  <c r="B488" i="14"/>
  <c r="B487" i="14"/>
  <c r="B486" i="14"/>
  <c r="B485" i="14"/>
  <c r="B484" i="14"/>
  <c r="B483" i="14"/>
  <c r="B482" i="14"/>
  <c r="B481" i="14"/>
  <c r="B480" i="14"/>
  <c r="B479" i="14"/>
  <c r="B478" i="14"/>
  <c r="B477" i="14"/>
  <c r="B476" i="14"/>
  <c r="B475" i="14"/>
  <c r="B474" i="14"/>
  <c r="B473" i="14"/>
  <c r="B472" i="14"/>
  <c r="B471" i="14"/>
  <c r="B470" i="14"/>
  <c r="B469" i="14"/>
  <c r="B468" i="14"/>
  <c r="B467" i="14"/>
  <c r="B466" i="14"/>
  <c r="B465" i="14"/>
  <c r="B464" i="14"/>
  <c r="B463" i="14"/>
  <c r="B462" i="14"/>
  <c r="B461" i="14"/>
  <c r="B460" i="14"/>
  <c r="B459" i="14"/>
  <c r="B458" i="14"/>
  <c r="B457" i="14"/>
  <c r="B456" i="14"/>
  <c r="B455" i="14"/>
  <c r="B454" i="14"/>
  <c r="B453" i="14"/>
  <c r="B452" i="14"/>
  <c r="B451" i="14"/>
  <c r="B450" i="14"/>
  <c r="B449" i="14"/>
  <c r="B448" i="14"/>
  <c r="B447" i="14"/>
  <c r="B446" i="14"/>
  <c r="B445" i="14"/>
  <c r="B444" i="14"/>
  <c r="B443" i="14"/>
  <c r="B442" i="14"/>
  <c r="B441" i="14"/>
  <c r="B440" i="14"/>
  <c r="B439" i="14"/>
  <c r="B438" i="14"/>
  <c r="B437" i="14"/>
  <c r="B436" i="14"/>
  <c r="B435" i="14"/>
  <c r="B434" i="14"/>
  <c r="B433" i="14"/>
  <c r="B432" i="14"/>
  <c r="B431" i="14"/>
  <c r="B430" i="14"/>
  <c r="B429" i="14"/>
  <c r="B428" i="14"/>
  <c r="B427" i="14"/>
  <c r="B426" i="14"/>
  <c r="B425" i="14"/>
  <c r="B424" i="14"/>
  <c r="B423" i="14"/>
  <c r="B422" i="14"/>
  <c r="B421" i="14"/>
  <c r="B420" i="14"/>
  <c r="B419" i="14"/>
  <c r="B418" i="14"/>
  <c r="B417" i="14"/>
  <c r="B416" i="14"/>
  <c r="B415" i="14"/>
  <c r="B414" i="14"/>
  <c r="B413" i="14"/>
  <c r="B412" i="14"/>
  <c r="B411" i="14"/>
  <c r="B410" i="14"/>
  <c r="B409" i="14"/>
  <c r="B408" i="14"/>
  <c r="B407" i="14"/>
  <c r="B406" i="14"/>
  <c r="B405" i="14"/>
  <c r="B404" i="14"/>
  <c r="B403" i="14"/>
  <c r="B402" i="14"/>
  <c r="B401" i="14"/>
  <c r="B400" i="14"/>
  <c r="B399" i="14"/>
  <c r="B398" i="14"/>
  <c r="B397" i="14"/>
  <c r="B396" i="14"/>
  <c r="B395" i="14"/>
  <c r="B394" i="14"/>
  <c r="B393" i="14"/>
  <c r="B392" i="14"/>
  <c r="B391" i="14"/>
  <c r="B390" i="14"/>
  <c r="B389" i="14"/>
  <c r="B388" i="14"/>
  <c r="B387" i="14"/>
  <c r="B386" i="14"/>
  <c r="B385" i="14"/>
  <c r="B384" i="14"/>
  <c r="B383" i="14"/>
  <c r="B382" i="14"/>
  <c r="B381" i="14"/>
  <c r="B380" i="14"/>
  <c r="B379" i="14"/>
  <c r="B378" i="14"/>
  <c r="B377" i="14"/>
  <c r="B376" i="14"/>
  <c r="B375" i="14"/>
  <c r="B374" i="14"/>
  <c r="B373" i="14"/>
  <c r="B372" i="14"/>
  <c r="B371" i="14"/>
  <c r="B370" i="14"/>
  <c r="B369" i="14"/>
  <c r="B368" i="14"/>
  <c r="B367" i="14"/>
  <c r="B366" i="14"/>
  <c r="B365" i="14"/>
  <c r="B364" i="14"/>
  <c r="B363" i="14"/>
  <c r="B362" i="14"/>
  <c r="B361" i="14"/>
  <c r="B360" i="14"/>
  <c r="B359" i="14"/>
  <c r="B358" i="14"/>
  <c r="B357" i="14"/>
  <c r="B356" i="14"/>
  <c r="B355" i="14"/>
  <c r="B354" i="14"/>
  <c r="B353" i="14"/>
  <c r="B352" i="14"/>
  <c r="B351" i="14"/>
  <c r="B350" i="14"/>
  <c r="B349" i="14"/>
  <c r="B348" i="14"/>
  <c r="B347" i="14"/>
  <c r="B346" i="14"/>
  <c r="B345" i="14"/>
  <c r="B344" i="14"/>
  <c r="B343" i="14"/>
  <c r="B342" i="14"/>
  <c r="B341" i="14"/>
  <c r="B340" i="14"/>
  <c r="B339" i="14"/>
  <c r="B338" i="14"/>
  <c r="B337" i="14"/>
  <c r="B336" i="14"/>
  <c r="B335" i="14"/>
  <c r="B334" i="14"/>
  <c r="B333" i="14"/>
  <c r="B332" i="14"/>
  <c r="B331" i="14"/>
  <c r="B330" i="14"/>
  <c r="B329" i="14"/>
  <c r="B328" i="14"/>
  <c r="B327" i="14"/>
  <c r="B326" i="14"/>
  <c r="B325" i="14"/>
  <c r="B324" i="14"/>
  <c r="B323" i="14"/>
  <c r="B322" i="14"/>
  <c r="B321" i="14"/>
  <c r="B320" i="14"/>
  <c r="B319" i="14"/>
  <c r="B318" i="14"/>
  <c r="B317" i="14"/>
  <c r="B316" i="14"/>
  <c r="B315" i="14"/>
  <c r="B314" i="14"/>
  <c r="B313" i="14"/>
  <c r="B312" i="14"/>
  <c r="B311" i="14"/>
  <c r="B310" i="14"/>
  <c r="B309" i="14"/>
  <c r="B308" i="14"/>
  <c r="B307" i="14"/>
  <c r="B306" i="14"/>
  <c r="B305" i="14"/>
  <c r="B304" i="14"/>
  <c r="B303" i="14"/>
  <c r="B302" i="14"/>
  <c r="B301" i="14"/>
  <c r="B300" i="14"/>
  <c r="B299" i="14"/>
  <c r="B298" i="14"/>
  <c r="B297" i="14"/>
  <c r="B296" i="14"/>
  <c r="B295" i="14"/>
  <c r="B294" i="14"/>
  <c r="B293" i="14"/>
  <c r="B292" i="14"/>
  <c r="B291" i="14"/>
  <c r="B290" i="14"/>
  <c r="B289" i="14"/>
  <c r="B288" i="14"/>
  <c r="B287" i="14"/>
  <c r="B286" i="14"/>
  <c r="B285" i="14"/>
  <c r="B284" i="14"/>
  <c r="B283" i="14"/>
  <c r="B282" i="14"/>
  <c r="B281" i="14"/>
  <c r="B280" i="14"/>
  <c r="B279" i="14"/>
  <c r="B278" i="14"/>
  <c r="B277" i="14"/>
  <c r="B276" i="14"/>
  <c r="B275" i="14"/>
  <c r="B274" i="14"/>
  <c r="B273" i="14"/>
  <c r="B272" i="14"/>
  <c r="B271" i="14"/>
  <c r="B270" i="14"/>
  <c r="B269" i="14"/>
  <c r="B268" i="14"/>
  <c r="B267" i="14"/>
  <c r="B266" i="14"/>
  <c r="B265" i="14"/>
  <c r="B264" i="14"/>
  <c r="B263" i="14"/>
  <c r="B262" i="14"/>
  <c r="B261" i="14"/>
  <c r="B260" i="14"/>
  <c r="B259" i="14"/>
  <c r="B258" i="14"/>
  <c r="B257" i="14"/>
  <c r="B256" i="14"/>
  <c r="B255" i="14"/>
  <c r="B254" i="14"/>
  <c r="B247" i="14"/>
  <c r="B246" i="14"/>
  <c r="B245" i="14"/>
  <c r="B244" i="14"/>
  <c r="B243" i="14"/>
  <c r="B242" i="14"/>
  <c r="B241" i="14"/>
  <c r="B240" i="14"/>
  <c r="B239" i="14"/>
  <c r="B238" i="14"/>
  <c r="B237" i="14"/>
  <c r="B236" i="14"/>
  <c r="B235" i="14"/>
  <c r="B234" i="14"/>
  <c r="B233" i="14"/>
  <c r="B232" i="14"/>
  <c r="B231" i="14"/>
  <c r="B230" i="14"/>
  <c r="B229" i="14"/>
  <c r="B228" i="14"/>
  <c r="B227" i="14"/>
  <c r="B226" i="14"/>
  <c r="B225" i="14"/>
  <c r="B224" i="14"/>
  <c r="B223" i="14"/>
  <c r="B222" i="14"/>
  <c r="B221" i="14"/>
  <c r="B220" i="14"/>
  <c r="B219" i="14"/>
  <c r="B218" i="14"/>
  <c r="B217" i="14"/>
  <c r="B216" i="14"/>
  <c r="B215" i="14"/>
  <c r="B214" i="14"/>
  <c r="B213" i="14"/>
  <c r="B212" i="14"/>
  <c r="B211" i="14"/>
  <c r="B210" i="14"/>
  <c r="B209" i="14"/>
  <c r="B208" i="14"/>
  <c r="B207" i="14"/>
  <c r="B206" i="14"/>
  <c r="B205" i="14"/>
  <c r="B204" i="14"/>
  <c r="B203" i="14"/>
  <c r="B202" i="14"/>
  <c r="B201" i="14"/>
  <c r="B200" i="14"/>
  <c r="B199" i="14"/>
  <c r="B198" i="14"/>
  <c r="B197" i="14"/>
  <c r="B196" i="14"/>
  <c r="B195" i="14"/>
  <c r="B194" i="14"/>
  <c r="B193" i="14"/>
  <c r="B192" i="14"/>
  <c r="B191" i="14"/>
  <c r="B190" i="14"/>
  <c r="B189" i="14"/>
  <c r="B188" i="14"/>
  <c r="B187" i="14"/>
  <c r="B186" i="14"/>
  <c r="B185" i="14"/>
  <c r="B184" i="14"/>
  <c r="B183" i="14"/>
  <c r="B182" i="14"/>
  <c r="B181" i="14"/>
  <c r="B180" i="14"/>
  <c r="B179" i="14"/>
  <c r="B178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B124" i="14"/>
  <c r="B123" i="14"/>
  <c r="B122" i="14"/>
  <c r="B121" i="14"/>
  <c r="B120" i="14"/>
  <c r="B119" i="14"/>
  <c r="B118" i="14"/>
  <c r="B117" i="14"/>
  <c r="B116" i="14"/>
  <c r="B115" i="14"/>
  <c r="B114" i="14"/>
  <c r="B113" i="14"/>
  <c r="B112" i="14"/>
  <c r="B111" i="14"/>
  <c r="B110" i="14"/>
  <c r="B109" i="14"/>
  <c r="B108" i="14"/>
  <c r="B107" i="14"/>
  <c r="B106" i="14"/>
  <c r="B105" i="14"/>
  <c r="B104" i="14"/>
  <c r="B103" i="14"/>
  <c r="B102" i="14"/>
  <c r="B101" i="14"/>
  <c r="B100" i="14"/>
  <c r="B99" i="14"/>
  <c r="B98" i="14"/>
  <c r="B97" i="14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AD58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AC41" i="14"/>
  <c r="Z41" i="14"/>
  <c r="B41" i="14"/>
  <c r="Z40" i="14"/>
  <c r="AC40" i="14" s="1"/>
  <c r="B40" i="14"/>
  <c r="B39" i="14"/>
  <c r="B38" i="14"/>
  <c r="AH37" i="14"/>
  <c r="B37" i="14"/>
  <c r="AH36" i="14"/>
  <c r="AC36" i="14"/>
  <c r="Z36" i="14"/>
  <c r="B36" i="14"/>
  <c r="AH35" i="14"/>
  <c r="Z35" i="14"/>
  <c r="AC35" i="14" s="1"/>
  <c r="B35" i="14"/>
  <c r="AH34" i="14"/>
  <c r="B34" i="14"/>
  <c r="AH33" i="14"/>
  <c r="B33" i="14"/>
  <c r="AH32" i="14"/>
  <c r="B32" i="14"/>
  <c r="AH31" i="14"/>
  <c r="AC31" i="14"/>
  <c r="Z31" i="14"/>
  <c r="B31" i="14"/>
  <c r="AH30" i="14"/>
  <c r="Z30" i="14"/>
  <c r="B30" i="14"/>
  <c r="AH29" i="14"/>
  <c r="B29" i="14"/>
  <c r="AH28" i="14"/>
  <c r="B28" i="14"/>
  <c r="AC27" i="14"/>
  <c r="Z27" i="14"/>
  <c r="B27" i="14"/>
  <c r="Z26" i="14"/>
  <c r="AD26" i="14" s="1"/>
  <c r="AD27" i="14" s="1"/>
  <c r="B26" i="14"/>
  <c r="B25" i="14"/>
  <c r="B24" i="14"/>
  <c r="AC23" i="14"/>
  <c r="Z23" i="14"/>
  <c r="B23" i="14"/>
  <c r="AA22" i="14"/>
  <c r="AA23" i="14" s="1"/>
  <c r="Z22" i="14"/>
  <c r="AC22" i="14" s="1"/>
  <c r="B22" i="14"/>
  <c r="B21" i="14"/>
  <c r="AK20" i="14"/>
  <c r="AA35" i="14" s="1"/>
  <c r="AJ20" i="14"/>
  <c r="AA30" i="14" s="1"/>
  <c r="AA31" i="14" s="1"/>
  <c r="AI20" i="14"/>
  <c r="AS12" i="14" s="1"/>
  <c r="AH20" i="14"/>
  <c r="B20" i="14"/>
  <c r="Z19" i="14"/>
  <c r="B19" i="14"/>
  <c r="Z18" i="14"/>
  <c r="AC18" i="14" s="1"/>
  <c r="AC19" i="14" s="1"/>
  <c r="B18" i="14"/>
  <c r="AU17" i="14"/>
  <c r="AR17" i="14"/>
  <c r="AP17" i="14"/>
  <c r="AH17" i="14"/>
  <c r="B17" i="14"/>
  <c r="AU16" i="14"/>
  <c r="AR16" i="14"/>
  <c r="AP16" i="14"/>
  <c r="AH16" i="14"/>
  <c r="B16" i="14"/>
  <c r="AU15" i="14"/>
  <c r="AR15" i="14"/>
  <c r="AP15" i="14"/>
  <c r="AH15" i="14"/>
  <c r="B15" i="14"/>
  <c r="AU14" i="14"/>
  <c r="AR14" i="14"/>
  <c r="AP14" i="14"/>
  <c r="AH14" i="14"/>
  <c r="Z14" i="14"/>
  <c r="B14" i="14"/>
  <c r="AU13" i="14"/>
  <c r="AR13" i="14"/>
  <c r="AP13" i="14"/>
  <c r="AH13" i="14"/>
  <c r="Z13" i="14"/>
  <c r="B13" i="14"/>
  <c r="AU12" i="14"/>
  <c r="AR12" i="14"/>
  <c r="AP12" i="14"/>
  <c r="AH12" i="14"/>
  <c r="Z12" i="14"/>
  <c r="B12" i="14"/>
  <c r="AU11" i="14"/>
  <c r="AR11" i="14"/>
  <c r="AP11" i="14"/>
  <c r="AH11" i="14"/>
  <c r="Z11" i="14"/>
  <c r="B11" i="14"/>
  <c r="AU10" i="14"/>
  <c r="AR10" i="14"/>
  <c r="AP10" i="14"/>
  <c r="AH10" i="14"/>
  <c r="Z10" i="14"/>
  <c r="B10" i="14"/>
  <c r="AU9" i="14"/>
  <c r="AR9" i="14"/>
  <c r="AP9" i="14"/>
  <c r="AH9" i="14"/>
  <c r="Z9" i="14"/>
  <c r="B9" i="14"/>
  <c r="AU8" i="14"/>
  <c r="AR8" i="14"/>
  <c r="AP8" i="14"/>
  <c r="AH8" i="14"/>
  <c r="Z8" i="14"/>
  <c r="B8" i="14"/>
  <c r="AU7" i="14"/>
  <c r="AR7" i="14"/>
  <c r="Z7" i="14"/>
  <c r="B7" i="14"/>
  <c r="Z6" i="14"/>
  <c r="B6" i="14"/>
  <c r="Z5" i="14"/>
  <c r="G277" i="13"/>
  <c r="C277" i="13"/>
  <c r="G262" i="13"/>
  <c r="C262" i="13"/>
  <c r="G232" i="13"/>
  <c r="D232" i="13"/>
  <c r="C232" i="13"/>
  <c r="B210" i="13"/>
  <c r="B209" i="13"/>
  <c r="B208" i="13"/>
  <c r="B207" i="13"/>
  <c r="B206" i="13"/>
  <c r="B205" i="13"/>
  <c r="B204" i="13"/>
  <c r="B203" i="13"/>
  <c r="B202" i="13"/>
  <c r="B201" i="13"/>
  <c r="H188" i="13"/>
  <c r="H183" i="13"/>
  <c r="I163" i="13"/>
  <c r="G163" i="13"/>
  <c r="B163" i="13"/>
  <c r="I162" i="13"/>
  <c r="G162" i="13"/>
  <c r="B162" i="13"/>
  <c r="I161" i="13"/>
  <c r="G161" i="13"/>
  <c r="B161" i="13"/>
  <c r="I160" i="13"/>
  <c r="G160" i="13"/>
  <c r="B160" i="13"/>
  <c r="I159" i="13"/>
  <c r="G159" i="13"/>
  <c r="B159" i="13"/>
  <c r="I158" i="13"/>
  <c r="G158" i="13"/>
  <c r="B158" i="13"/>
  <c r="I157" i="13"/>
  <c r="G157" i="13"/>
  <c r="B157" i="13"/>
  <c r="I156" i="13"/>
  <c r="G156" i="13"/>
  <c r="B156" i="13"/>
  <c r="I155" i="13"/>
  <c r="G155" i="13"/>
  <c r="B155" i="13"/>
  <c r="I154" i="13"/>
  <c r="G154" i="13"/>
  <c r="B154" i="13"/>
  <c r="I153" i="13"/>
  <c r="G153" i="13"/>
  <c r="H143" i="13"/>
  <c r="F143" i="13"/>
  <c r="B143" i="13"/>
  <c r="H142" i="13"/>
  <c r="F142" i="13"/>
  <c r="B142" i="13"/>
  <c r="H141" i="13"/>
  <c r="F141" i="13"/>
  <c r="B141" i="13"/>
  <c r="H140" i="13"/>
  <c r="F140" i="13"/>
  <c r="B140" i="13"/>
  <c r="H139" i="13"/>
  <c r="F139" i="13"/>
  <c r="B139" i="13"/>
  <c r="H138" i="13"/>
  <c r="F138" i="13"/>
  <c r="B138" i="13"/>
  <c r="H137" i="13"/>
  <c r="F137" i="13"/>
  <c r="B137" i="13"/>
  <c r="H136" i="13"/>
  <c r="F136" i="13"/>
  <c r="B136" i="13"/>
  <c r="H135" i="13"/>
  <c r="F135" i="13"/>
  <c r="B135" i="13"/>
  <c r="H134" i="13"/>
  <c r="F134" i="13"/>
  <c r="B134" i="13"/>
  <c r="H133" i="13"/>
  <c r="F133" i="13"/>
  <c r="B110" i="13"/>
  <c r="B109" i="13"/>
  <c r="B108" i="13"/>
  <c r="B107" i="13"/>
  <c r="B106" i="13"/>
  <c r="B105" i="13"/>
  <c r="B104" i="13"/>
  <c r="B103" i="13"/>
  <c r="B102" i="13"/>
  <c r="B101" i="13"/>
  <c r="F92" i="13"/>
  <c r="E92" i="13"/>
  <c r="B92" i="13"/>
  <c r="F91" i="13"/>
  <c r="E91" i="13"/>
  <c r="B91" i="13"/>
  <c r="F90" i="13"/>
  <c r="E90" i="13"/>
  <c r="B90" i="13"/>
  <c r="F89" i="13"/>
  <c r="E89" i="13"/>
  <c r="B89" i="13"/>
  <c r="F88" i="13"/>
  <c r="E88" i="13"/>
  <c r="B88" i="13"/>
  <c r="F82" i="13"/>
  <c r="E82" i="13"/>
  <c r="B82" i="13"/>
  <c r="F81" i="13"/>
  <c r="E81" i="13"/>
  <c r="B81" i="13"/>
  <c r="F80" i="13"/>
  <c r="E80" i="13"/>
  <c r="B80" i="13"/>
  <c r="F79" i="13"/>
  <c r="E79" i="13"/>
  <c r="B79" i="13"/>
  <c r="F78" i="13"/>
  <c r="E78" i="13"/>
  <c r="B78" i="13"/>
  <c r="F72" i="13"/>
  <c r="E72" i="13"/>
  <c r="B72" i="13"/>
  <c r="F71" i="13"/>
  <c r="E71" i="13"/>
  <c r="B71" i="13"/>
  <c r="F70" i="13"/>
  <c r="E70" i="13"/>
  <c r="B70" i="13"/>
  <c r="F69" i="13"/>
  <c r="E69" i="13"/>
  <c r="B69" i="13"/>
  <c r="F68" i="13"/>
  <c r="E68" i="13"/>
  <c r="B68" i="13"/>
  <c r="F62" i="13"/>
  <c r="E62" i="13"/>
  <c r="B62" i="13"/>
  <c r="F61" i="13"/>
  <c r="E61" i="13"/>
  <c r="B61" i="13"/>
  <c r="F60" i="13"/>
  <c r="E60" i="13"/>
  <c r="B60" i="13"/>
  <c r="F59" i="13"/>
  <c r="E59" i="13"/>
  <c r="B59" i="13"/>
  <c r="F58" i="13"/>
  <c r="E58" i="13"/>
  <c r="B58" i="13"/>
  <c r="F52" i="13"/>
  <c r="E52" i="13"/>
  <c r="B52" i="13"/>
  <c r="F51" i="13"/>
  <c r="E51" i="13"/>
  <c r="B51" i="13"/>
  <c r="F50" i="13"/>
  <c r="E50" i="13"/>
  <c r="B50" i="13"/>
  <c r="F49" i="13"/>
  <c r="E49" i="13"/>
  <c r="B49" i="13"/>
  <c r="F48" i="13"/>
  <c r="E48" i="13"/>
  <c r="B48" i="13"/>
  <c r="I35" i="13"/>
  <c r="I34" i="13"/>
  <c r="J33" i="13"/>
  <c r="I32" i="13"/>
  <c r="I30" i="13"/>
  <c r="I24" i="13"/>
  <c r="J35" i="13" s="1"/>
  <c r="I23" i="13"/>
  <c r="J34" i="13" s="1"/>
  <c r="J22" i="13"/>
  <c r="I21" i="13"/>
  <c r="J32" i="13" s="1"/>
  <c r="I16" i="13"/>
  <c r="J30" i="13" s="1"/>
  <c r="B152" i="12"/>
  <c r="B153" i="12" s="1"/>
  <c r="B154" i="12" s="1"/>
  <c r="B155" i="12" s="1"/>
  <c r="B156" i="12" s="1"/>
  <c r="B157" i="12" s="1"/>
  <c r="B158" i="12" s="1"/>
  <c r="B159" i="12" s="1"/>
  <c r="B160" i="12" s="1"/>
  <c r="B161" i="12" s="1"/>
  <c r="C75" i="12"/>
  <c r="G54" i="12"/>
  <c r="F52" i="15" s="1"/>
  <c r="G51" i="12"/>
  <c r="F49" i="15" s="1"/>
  <c r="G36" i="12"/>
  <c r="F35" i="15" s="1"/>
  <c r="G35" i="12"/>
  <c r="F34" i="15" s="1"/>
  <c r="G34" i="12"/>
  <c r="F33" i="15" s="1"/>
  <c r="D7" i="12"/>
  <c r="M116" i="11"/>
  <c r="N115" i="11"/>
  <c r="N116" i="11" s="1"/>
  <c r="M115" i="11"/>
  <c r="M105" i="11"/>
  <c r="M103" i="11"/>
  <c r="D103" i="11"/>
  <c r="P102" i="11"/>
  <c r="D102" i="11"/>
  <c r="D99" i="11"/>
  <c r="H96" i="11"/>
  <c r="D96" i="11"/>
  <c r="C96" i="11"/>
  <c r="O92" i="11"/>
  <c r="O93" i="11" s="1"/>
  <c r="O85" i="11" s="1"/>
  <c r="E108" i="11" s="1"/>
  <c r="N88" i="11"/>
  <c r="N84" i="11" s="1"/>
  <c r="N86" i="11"/>
  <c r="N82" i="11" s="1"/>
  <c r="E85" i="11"/>
  <c r="C85" i="11"/>
  <c r="C95" i="11" s="1"/>
  <c r="O84" i="11"/>
  <c r="E107" i="11" s="1"/>
  <c r="G84" i="11"/>
  <c r="G85" i="11" s="1"/>
  <c r="O83" i="11"/>
  <c r="E106" i="11" s="1"/>
  <c r="O82" i="11"/>
  <c r="E105" i="11" s="1"/>
  <c r="E109" i="11" s="1"/>
  <c r="I81" i="11"/>
  <c r="F73" i="11"/>
  <c r="F74" i="11" s="1"/>
  <c r="F75" i="11" s="1"/>
  <c r="C72" i="11"/>
  <c r="C73" i="11" s="1"/>
  <c r="C74" i="11" s="1"/>
  <c r="C75" i="11" s="1"/>
  <c r="C76" i="11" s="1"/>
  <c r="C77" i="11" s="1"/>
  <c r="S68" i="11"/>
  <c r="G67" i="11"/>
  <c r="G68" i="11" s="1"/>
  <c r="G69" i="11" s="1"/>
  <c r="D67" i="11"/>
  <c r="D68" i="11" s="1"/>
  <c r="D69" i="11" s="1"/>
  <c r="S64" i="11"/>
  <c r="G63" i="11"/>
  <c r="D63" i="11"/>
  <c r="G59" i="11"/>
  <c r="D59" i="11"/>
  <c r="B59" i="11"/>
  <c r="D62" i="11" s="1"/>
  <c r="S58" i="11"/>
  <c r="M93" i="11" s="1"/>
  <c r="S57" i="11"/>
  <c r="P90" i="11" s="1"/>
  <c r="G55" i="11"/>
  <c r="D55" i="11"/>
  <c r="B55" i="11"/>
  <c r="D56" i="11" s="1"/>
  <c r="D57" i="11" s="1"/>
  <c r="G51" i="11"/>
  <c r="D51" i="11"/>
  <c r="B51" i="11"/>
  <c r="G52" i="11" s="1"/>
  <c r="G53" i="11" s="1"/>
  <c r="S50" i="11"/>
  <c r="S49" i="11"/>
  <c r="S48" i="11"/>
  <c r="G47" i="11"/>
  <c r="D47" i="11"/>
  <c r="S46" i="11"/>
  <c r="K46" i="11"/>
  <c r="K47" i="11" s="1"/>
  <c r="K48" i="11" s="1"/>
  <c r="G46" i="11"/>
  <c r="D46" i="11"/>
  <c r="S45" i="11"/>
  <c r="F45" i="11"/>
  <c r="F47" i="11" s="1"/>
  <c r="F48" i="11" s="1"/>
  <c r="F49" i="11" s="1"/>
  <c r="F50" i="11" s="1"/>
  <c r="C45" i="11"/>
  <c r="C46" i="11" s="1"/>
  <c r="S44" i="11"/>
  <c r="D41" i="11"/>
  <c r="Q33" i="11"/>
  <c r="J32" i="11"/>
  <c r="M26" i="11"/>
  <c r="J26" i="11"/>
  <c r="J22" i="11"/>
  <c r="D21" i="11"/>
  <c r="P19" i="11"/>
  <c r="E21" i="11" s="1"/>
  <c r="D18" i="11"/>
  <c r="D15" i="11"/>
  <c r="J13" i="11"/>
  <c r="J16" i="11" s="1"/>
  <c r="J33" i="11" s="1"/>
  <c r="J34" i="11" s="1"/>
  <c r="D12" i="11"/>
  <c r="E11" i="11"/>
  <c r="G11" i="11" s="1"/>
  <c r="D11" i="11"/>
  <c r="D8" i="11"/>
  <c r="G5" i="11"/>
  <c r="D5" i="11"/>
  <c r="P468" i="10"/>
  <c r="B468" i="10"/>
  <c r="P467" i="10"/>
  <c r="B467" i="10"/>
  <c r="P466" i="10"/>
  <c r="B466" i="10"/>
  <c r="P465" i="10"/>
  <c r="B465" i="10"/>
  <c r="P464" i="10"/>
  <c r="B464" i="10"/>
  <c r="P463" i="10"/>
  <c r="B463" i="10"/>
  <c r="P462" i="10"/>
  <c r="B462" i="10"/>
  <c r="P461" i="10"/>
  <c r="B461" i="10"/>
  <c r="P460" i="10"/>
  <c r="B460" i="10"/>
  <c r="P459" i="10"/>
  <c r="B459" i="10"/>
  <c r="P458" i="10"/>
  <c r="B458" i="10"/>
  <c r="P457" i="10"/>
  <c r="B457" i="10"/>
  <c r="P456" i="10"/>
  <c r="B456" i="10"/>
  <c r="P455" i="10"/>
  <c r="B455" i="10"/>
  <c r="P454" i="10"/>
  <c r="B454" i="10"/>
  <c r="P453" i="10"/>
  <c r="B453" i="10"/>
  <c r="P452" i="10"/>
  <c r="B452" i="10"/>
  <c r="P451" i="10"/>
  <c r="B451" i="10"/>
  <c r="P450" i="10"/>
  <c r="B450" i="10"/>
  <c r="P449" i="10"/>
  <c r="P448" i="10"/>
  <c r="B448" i="10"/>
  <c r="P447" i="10"/>
  <c r="B447" i="10"/>
  <c r="P446" i="10"/>
  <c r="B446" i="10"/>
  <c r="P445" i="10"/>
  <c r="B445" i="10"/>
  <c r="P444" i="10"/>
  <c r="B444" i="10"/>
  <c r="P443" i="10"/>
  <c r="B443" i="10"/>
  <c r="P442" i="10"/>
  <c r="B442" i="10"/>
  <c r="P441" i="10"/>
  <c r="B441" i="10"/>
  <c r="P440" i="10"/>
  <c r="B440" i="10"/>
  <c r="P439" i="10"/>
  <c r="B439" i="10"/>
  <c r="P438" i="10"/>
  <c r="B438" i="10"/>
  <c r="P437" i="10"/>
  <c r="B437" i="10"/>
  <c r="P436" i="10"/>
  <c r="B436" i="10"/>
  <c r="P435" i="10"/>
  <c r="B435" i="10"/>
  <c r="P434" i="10"/>
  <c r="B434" i="10"/>
  <c r="P433" i="10"/>
  <c r="B433" i="10"/>
  <c r="P432" i="10"/>
  <c r="B432" i="10"/>
  <c r="P431" i="10"/>
  <c r="B431" i="10"/>
  <c r="P430" i="10"/>
  <c r="B430" i="10"/>
  <c r="P429" i="10"/>
  <c r="B429" i="10"/>
  <c r="P428" i="10"/>
  <c r="B428" i="10"/>
  <c r="P427" i="10"/>
  <c r="B427" i="10"/>
  <c r="P426" i="10"/>
  <c r="B426" i="10"/>
  <c r="P425" i="10"/>
  <c r="B425" i="10"/>
  <c r="P424" i="10"/>
  <c r="B424" i="10"/>
  <c r="P423" i="10"/>
  <c r="B423" i="10"/>
  <c r="P422" i="10"/>
  <c r="B422" i="10"/>
  <c r="P421" i="10"/>
  <c r="B421" i="10"/>
  <c r="P420" i="10"/>
  <c r="B420" i="10"/>
  <c r="P419" i="10"/>
  <c r="B419" i="10"/>
  <c r="P418" i="10"/>
  <c r="B418" i="10"/>
  <c r="P417" i="10"/>
  <c r="B417" i="10"/>
  <c r="P416" i="10"/>
  <c r="B416" i="10"/>
  <c r="P415" i="10"/>
  <c r="B415" i="10"/>
  <c r="P414" i="10"/>
  <c r="B414" i="10"/>
  <c r="P413" i="10"/>
  <c r="B413" i="10"/>
  <c r="P412" i="10"/>
  <c r="B412" i="10"/>
  <c r="P411" i="10"/>
  <c r="B411" i="10"/>
  <c r="P410" i="10"/>
  <c r="B410" i="10"/>
  <c r="P409" i="10"/>
  <c r="B409" i="10"/>
  <c r="P408" i="10"/>
  <c r="B408" i="10"/>
  <c r="P407" i="10"/>
  <c r="B407" i="10"/>
  <c r="P406" i="10"/>
  <c r="B406" i="10"/>
  <c r="P405" i="10"/>
  <c r="B405" i="10"/>
  <c r="P404" i="10"/>
  <c r="B404" i="10"/>
  <c r="P403" i="10"/>
  <c r="B403" i="10"/>
  <c r="P402" i="10"/>
  <c r="B402" i="10"/>
  <c r="P401" i="10"/>
  <c r="B401" i="10"/>
  <c r="P400" i="10"/>
  <c r="B400" i="10"/>
  <c r="P399" i="10"/>
  <c r="B399" i="10"/>
  <c r="P398" i="10"/>
  <c r="B398" i="10"/>
  <c r="P397" i="10"/>
  <c r="B397" i="10"/>
  <c r="P396" i="10"/>
  <c r="B396" i="10"/>
  <c r="P395" i="10"/>
  <c r="B395" i="10"/>
  <c r="P394" i="10"/>
  <c r="B394" i="10"/>
  <c r="P393" i="10"/>
  <c r="B393" i="10"/>
  <c r="P392" i="10"/>
  <c r="B392" i="10"/>
  <c r="P391" i="10"/>
  <c r="B391" i="10"/>
  <c r="P390" i="10"/>
  <c r="B390" i="10"/>
  <c r="P389" i="10"/>
  <c r="B389" i="10"/>
  <c r="P388" i="10"/>
  <c r="B388" i="10"/>
  <c r="P387" i="10"/>
  <c r="B387" i="10"/>
  <c r="P386" i="10"/>
  <c r="B386" i="10"/>
  <c r="P385" i="10"/>
  <c r="B385" i="10"/>
  <c r="P384" i="10"/>
  <c r="B384" i="10"/>
  <c r="P383" i="10"/>
  <c r="B383" i="10"/>
  <c r="P382" i="10"/>
  <c r="B382" i="10"/>
  <c r="P381" i="10"/>
  <c r="B381" i="10"/>
  <c r="P380" i="10"/>
  <c r="B380" i="10"/>
  <c r="P379" i="10"/>
  <c r="B379" i="10"/>
  <c r="P378" i="10"/>
  <c r="B378" i="10"/>
  <c r="P377" i="10"/>
  <c r="B377" i="10"/>
  <c r="P376" i="10"/>
  <c r="B376" i="10"/>
  <c r="P375" i="10"/>
  <c r="B375" i="10"/>
  <c r="P374" i="10"/>
  <c r="B374" i="10"/>
  <c r="P373" i="10"/>
  <c r="B373" i="10"/>
  <c r="P372" i="10"/>
  <c r="B372" i="10"/>
  <c r="P371" i="10"/>
  <c r="B371" i="10"/>
  <c r="P370" i="10"/>
  <c r="B370" i="10"/>
  <c r="P369" i="10"/>
  <c r="B369" i="10"/>
  <c r="P368" i="10"/>
  <c r="B368" i="10"/>
  <c r="P367" i="10"/>
  <c r="B367" i="10"/>
  <c r="P366" i="10"/>
  <c r="B366" i="10"/>
  <c r="P365" i="10"/>
  <c r="B365" i="10"/>
  <c r="P364" i="10"/>
  <c r="B364" i="10"/>
  <c r="P363" i="10"/>
  <c r="B363" i="10"/>
  <c r="P362" i="10"/>
  <c r="B362" i="10"/>
  <c r="P361" i="10"/>
  <c r="B361" i="10"/>
  <c r="P360" i="10"/>
  <c r="B360" i="10"/>
  <c r="P359" i="10"/>
  <c r="B359" i="10"/>
  <c r="P358" i="10"/>
  <c r="B358" i="10"/>
  <c r="P357" i="10"/>
  <c r="B357" i="10"/>
  <c r="P356" i="10"/>
  <c r="B356" i="10"/>
  <c r="P355" i="10"/>
  <c r="B355" i="10"/>
  <c r="P354" i="10"/>
  <c r="B354" i="10"/>
  <c r="P353" i="10"/>
  <c r="B353" i="10"/>
  <c r="P352" i="10"/>
  <c r="B352" i="10"/>
  <c r="P351" i="10"/>
  <c r="B351" i="10"/>
  <c r="P350" i="10"/>
  <c r="B350" i="10"/>
  <c r="P349" i="10"/>
  <c r="B349" i="10"/>
  <c r="P348" i="10"/>
  <c r="B348" i="10"/>
  <c r="P347" i="10"/>
  <c r="B347" i="10"/>
  <c r="P346" i="10"/>
  <c r="B346" i="10"/>
  <c r="P345" i="10"/>
  <c r="B345" i="10"/>
  <c r="P344" i="10"/>
  <c r="B344" i="10"/>
  <c r="P343" i="10"/>
  <c r="B343" i="10"/>
  <c r="P342" i="10"/>
  <c r="B342" i="10"/>
  <c r="P341" i="10"/>
  <c r="B341" i="10"/>
  <c r="P340" i="10"/>
  <c r="B340" i="10"/>
  <c r="P339" i="10"/>
  <c r="B339" i="10"/>
  <c r="P338" i="10"/>
  <c r="B338" i="10"/>
  <c r="P337" i="10"/>
  <c r="B337" i="10"/>
  <c r="P336" i="10"/>
  <c r="B336" i="10"/>
  <c r="P335" i="10"/>
  <c r="B335" i="10"/>
  <c r="P334" i="10"/>
  <c r="B334" i="10"/>
  <c r="P333" i="10"/>
  <c r="B333" i="10"/>
  <c r="P332" i="10"/>
  <c r="B332" i="10"/>
  <c r="P331" i="10"/>
  <c r="B331" i="10"/>
  <c r="P330" i="10"/>
  <c r="B330" i="10"/>
  <c r="P329" i="10"/>
  <c r="B329" i="10"/>
  <c r="P328" i="10"/>
  <c r="B328" i="10"/>
  <c r="P327" i="10"/>
  <c r="B327" i="10"/>
  <c r="P326" i="10"/>
  <c r="B326" i="10"/>
  <c r="P325" i="10"/>
  <c r="B325" i="10"/>
  <c r="P324" i="10"/>
  <c r="B324" i="10"/>
  <c r="P323" i="10"/>
  <c r="B323" i="10"/>
  <c r="P322" i="10"/>
  <c r="B322" i="10"/>
  <c r="P321" i="10"/>
  <c r="B321" i="10"/>
  <c r="P320" i="10"/>
  <c r="B320" i="10"/>
  <c r="P319" i="10"/>
  <c r="B319" i="10"/>
  <c r="P318" i="10"/>
  <c r="B318" i="10"/>
  <c r="P317" i="10"/>
  <c r="B317" i="10"/>
  <c r="P316" i="10"/>
  <c r="B316" i="10"/>
  <c r="P315" i="10"/>
  <c r="B315" i="10"/>
  <c r="P314" i="10"/>
  <c r="B314" i="10"/>
  <c r="P313" i="10"/>
  <c r="B313" i="10"/>
  <c r="P312" i="10"/>
  <c r="B312" i="10"/>
  <c r="P311" i="10"/>
  <c r="B311" i="10"/>
  <c r="P310" i="10"/>
  <c r="B310" i="10"/>
  <c r="P309" i="10"/>
  <c r="B309" i="10"/>
  <c r="P308" i="10"/>
  <c r="B308" i="10"/>
  <c r="P307" i="10"/>
  <c r="B307" i="10"/>
  <c r="P306" i="10"/>
  <c r="B306" i="10"/>
  <c r="P305" i="10"/>
  <c r="B305" i="10"/>
  <c r="P304" i="10"/>
  <c r="B304" i="10"/>
  <c r="P303" i="10"/>
  <c r="B303" i="10"/>
  <c r="P302" i="10"/>
  <c r="B302" i="10"/>
  <c r="P301" i="10"/>
  <c r="B301" i="10"/>
  <c r="P300" i="10"/>
  <c r="B300" i="10"/>
  <c r="P299" i="10"/>
  <c r="B299" i="10"/>
  <c r="P298" i="10"/>
  <c r="B298" i="10"/>
  <c r="P297" i="10"/>
  <c r="B297" i="10"/>
  <c r="P296" i="10"/>
  <c r="B296" i="10"/>
  <c r="P295" i="10"/>
  <c r="B295" i="10"/>
  <c r="P294" i="10"/>
  <c r="B294" i="10"/>
  <c r="P293" i="10"/>
  <c r="B293" i="10"/>
  <c r="P292" i="10"/>
  <c r="B292" i="10"/>
  <c r="P291" i="10"/>
  <c r="B291" i="10"/>
  <c r="P290" i="10"/>
  <c r="B290" i="10"/>
  <c r="P289" i="10"/>
  <c r="B289" i="10"/>
  <c r="P288" i="10"/>
  <c r="B288" i="10"/>
  <c r="P287" i="10"/>
  <c r="B287" i="10"/>
  <c r="P286" i="10"/>
  <c r="B286" i="10"/>
  <c r="P285" i="10"/>
  <c r="B285" i="10"/>
  <c r="P284" i="10"/>
  <c r="B284" i="10"/>
  <c r="P283" i="10"/>
  <c r="B283" i="10"/>
  <c r="P282" i="10"/>
  <c r="B282" i="10"/>
  <c r="P281" i="10"/>
  <c r="B281" i="10"/>
  <c r="P280" i="10"/>
  <c r="B280" i="10"/>
  <c r="P279" i="10"/>
  <c r="B279" i="10"/>
  <c r="P278" i="10"/>
  <c r="B278" i="10"/>
  <c r="P277" i="10"/>
  <c r="B277" i="10"/>
  <c r="P276" i="10"/>
  <c r="B276" i="10"/>
  <c r="P275" i="10"/>
  <c r="B275" i="10"/>
  <c r="P274" i="10"/>
  <c r="B274" i="10"/>
  <c r="P273" i="10"/>
  <c r="B273" i="10"/>
  <c r="P272" i="10"/>
  <c r="B272" i="10"/>
  <c r="P271" i="10"/>
  <c r="B271" i="10"/>
  <c r="P270" i="10"/>
  <c r="B270" i="10"/>
  <c r="P269" i="10"/>
  <c r="B269" i="10"/>
  <c r="P268" i="10"/>
  <c r="B268" i="10"/>
  <c r="P267" i="10"/>
  <c r="B267" i="10"/>
  <c r="P266" i="10"/>
  <c r="B266" i="10"/>
  <c r="P265" i="10"/>
  <c r="B265" i="10"/>
  <c r="P264" i="10"/>
  <c r="B264" i="10"/>
  <c r="P263" i="10"/>
  <c r="B263" i="10"/>
  <c r="P262" i="10"/>
  <c r="B262" i="10"/>
  <c r="P261" i="10"/>
  <c r="B261" i="10"/>
  <c r="P260" i="10"/>
  <c r="B260" i="10"/>
  <c r="P259" i="10"/>
  <c r="B259" i="10"/>
  <c r="P258" i="10"/>
  <c r="B258" i="10"/>
  <c r="P257" i="10"/>
  <c r="B257" i="10"/>
  <c r="P256" i="10"/>
  <c r="B256" i="10"/>
  <c r="P255" i="10"/>
  <c r="B255" i="10"/>
  <c r="P254" i="10"/>
  <c r="B254" i="10"/>
  <c r="P253" i="10"/>
  <c r="B253" i="10"/>
  <c r="P252" i="10"/>
  <c r="B252" i="10"/>
  <c r="P251" i="10"/>
  <c r="B251" i="10"/>
  <c r="P250" i="10"/>
  <c r="B250" i="10"/>
  <c r="P249" i="10"/>
  <c r="B249" i="10"/>
  <c r="P248" i="10"/>
  <c r="B248" i="10"/>
  <c r="P247" i="10"/>
  <c r="B247" i="10"/>
  <c r="P246" i="10"/>
  <c r="B246" i="10"/>
  <c r="P245" i="10"/>
  <c r="B245" i="10"/>
  <c r="P244" i="10"/>
  <c r="B244" i="10"/>
  <c r="P243" i="10"/>
  <c r="B243" i="10"/>
  <c r="P242" i="10"/>
  <c r="B242" i="10"/>
  <c r="P241" i="10"/>
  <c r="B241" i="10"/>
  <c r="P240" i="10"/>
  <c r="B240" i="10"/>
  <c r="P239" i="10"/>
  <c r="B239" i="10"/>
  <c r="P238" i="10"/>
  <c r="B238" i="10"/>
  <c r="P237" i="10"/>
  <c r="B237" i="10"/>
  <c r="P236" i="10"/>
  <c r="B236" i="10"/>
  <c r="P235" i="10"/>
  <c r="B235" i="10"/>
  <c r="P234" i="10"/>
  <c r="B234" i="10"/>
  <c r="P233" i="10"/>
  <c r="B233" i="10"/>
  <c r="P232" i="10"/>
  <c r="B232" i="10"/>
  <c r="P231" i="10"/>
  <c r="B231" i="10"/>
  <c r="P230" i="10"/>
  <c r="B230" i="10"/>
  <c r="P229" i="10"/>
  <c r="B229" i="10"/>
  <c r="P228" i="10"/>
  <c r="B228" i="10"/>
  <c r="P227" i="10"/>
  <c r="B227" i="10"/>
  <c r="P226" i="10"/>
  <c r="B226" i="10"/>
  <c r="P225" i="10"/>
  <c r="B225" i="10"/>
  <c r="P224" i="10"/>
  <c r="B224" i="10"/>
  <c r="P223" i="10"/>
  <c r="B223" i="10"/>
  <c r="P222" i="10"/>
  <c r="B222" i="10"/>
  <c r="P221" i="10"/>
  <c r="B221" i="10"/>
  <c r="P220" i="10"/>
  <c r="B220" i="10"/>
  <c r="P219" i="10"/>
  <c r="B219" i="10"/>
  <c r="P218" i="10"/>
  <c r="B218" i="10"/>
  <c r="P217" i="10"/>
  <c r="B217" i="10"/>
  <c r="P216" i="10"/>
  <c r="B216" i="10"/>
  <c r="P215" i="10"/>
  <c r="B215" i="10"/>
  <c r="P214" i="10"/>
  <c r="B214" i="10"/>
  <c r="P213" i="10"/>
  <c r="B213" i="10"/>
  <c r="P212" i="10"/>
  <c r="B212" i="10"/>
  <c r="P211" i="10"/>
  <c r="B211" i="10"/>
  <c r="P210" i="10"/>
  <c r="B210" i="10"/>
  <c r="P209" i="10"/>
  <c r="B209" i="10"/>
  <c r="P208" i="10"/>
  <c r="B208" i="10"/>
  <c r="P207" i="10"/>
  <c r="B207" i="10"/>
  <c r="P206" i="10"/>
  <c r="B206" i="10"/>
  <c r="P205" i="10"/>
  <c r="B205" i="10"/>
  <c r="P204" i="10"/>
  <c r="B204" i="10"/>
  <c r="P203" i="10"/>
  <c r="B203" i="10"/>
  <c r="P202" i="10"/>
  <c r="B202" i="10"/>
  <c r="P201" i="10"/>
  <c r="B201" i="10"/>
  <c r="P200" i="10"/>
  <c r="B200" i="10"/>
  <c r="P199" i="10"/>
  <c r="B199" i="10"/>
  <c r="P198" i="10"/>
  <c r="B198" i="10"/>
  <c r="P197" i="10"/>
  <c r="B197" i="10"/>
  <c r="P196" i="10"/>
  <c r="B196" i="10"/>
  <c r="P195" i="10"/>
  <c r="B195" i="10"/>
  <c r="P194" i="10"/>
  <c r="B194" i="10"/>
  <c r="P193" i="10"/>
  <c r="B193" i="10"/>
  <c r="P192" i="10"/>
  <c r="B192" i="10"/>
  <c r="P191" i="10"/>
  <c r="B191" i="10"/>
  <c r="P190" i="10"/>
  <c r="B190" i="10"/>
  <c r="P189" i="10"/>
  <c r="B189" i="10"/>
  <c r="P188" i="10"/>
  <c r="B188" i="10"/>
  <c r="P187" i="10"/>
  <c r="B187" i="10"/>
  <c r="P186" i="10"/>
  <c r="B186" i="10"/>
  <c r="P185" i="10"/>
  <c r="B185" i="10"/>
  <c r="P184" i="10"/>
  <c r="B184" i="10"/>
  <c r="P183" i="10"/>
  <c r="B183" i="10"/>
  <c r="P182" i="10"/>
  <c r="B182" i="10"/>
  <c r="P181" i="10"/>
  <c r="B181" i="10"/>
  <c r="P180" i="10"/>
  <c r="B180" i="10"/>
  <c r="P179" i="10"/>
  <c r="B179" i="10"/>
  <c r="P178" i="10"/>
  <c r="B178" i="10"/>
  <c r="P177" i="10"/>
  <c r="B177" i="10"/>
  <c r="P176" i="10"/>
  <c r="B176" i="10"/>
  <c r="P175" i="10"/>
  <c r="B175" i="10"/>
  <c r="P174" i="10"/>
  <c r="B174" i="10"/>
  <c r="P173" i="10"/>
  <c r="B173" i="10"/>
  <c r="P172" i="10"/>
  <c r="B172" i="10"/>
  <c r="P171" i="10"/>
  <c r="B171" i="10"/>
  <c r="P170" i="10"/>
  <c r="B170" i="10"/>
  <c r="P169" i="10"/>
  <c r="B169" i="10"/>
  <c r="P168" i="10"/>
  <c r="B168" i="10"/>
  <c r="P167" i="10"/>
  <c r="B167" i="10"/>
  <c r="P166" i="10"/>
  <c r="B166" i="10"/>
  <c r="P165" i="10"/>
  <c r="B165" i="10"/>
  <c r="P164" i="10"/>
  <c r="B164" i="10"/>
  <c r="P163" i="10"/>
  <c r="B163" i="10"/>
  <c r="P162" i="10"/>
  <c r="B162" i="10"/>
  <c r="P161" i="10"/>
  <c r="B161" i="10"/>
  <c r="P160" i="10"/>
  <c r="B160" i="10"/>
  <c r="P159" i="10"/>
  <c r="B159" i="10"/>
  <c r="P158" i="10"/>
  <c r="B158" i="10"/>
  <c r="P157" i="10"/>
  <c r="B157" i="10"/>
  <c r="P156" i="10"/>
  <c r="B156" i="10"/>
  <c r="P155" i="10"/>
  <c r="B155" i="10"/>
  <c r="P154" i="10"/>
  <c r="B154" i="10"/>
  <c r="P153" i="10"/>
  <c r="B153" i="10"/>
  <c r="P152" i="10"/>
  <c r="B152" i="10"/>
  <c r="P151" i="10"/>
  <c r="B151" i="10"/>
  <c r="P150" i="10"/>
  <c r="B150" i="10"/>
  <c r="P149" i="10"/>
  <c r="B149" i="10"/>
  <c r="P148" i="10"/>
  <c r="B148" i="10"/>
  <c r="P147" i="10"/>
  <c r="B147" i="10"/>
  <c r="P146" i="10"/>
  <c r="B146" i="10"/>
  <c r="P145" i="10"/>
  <c r="B145" i="10"/>
  <c r="P144" i="10"/>
  <c r="B144" i="10"/>
  <c r="P143" i="10"/>
  <c r="B143" i="10"/>
  <c r="P142" i="10"/>
  <c r="B142" i="10"/>
  <c r="P141" i="10"/>
  <c r="B141" i="10"/>
  <c r="P140" i="10"/>
  <c r="B140" i="10"/>
  <c r="P139" i="10"/>
  <c r="B139" i="10"/>
  <c r="P138" i="10"/>
  <c r="B138" i="10"/>
  <c r="P137" i="10"/>
  <c r="B137" i="10"/>
  <c r="P136" i="10"/>
  <c r="B136" i="10"/>
  <c r="P135" i="10"/>
  <c r="B135" i="10"/>
  <c r="P134" i="10"/>
  <c r="B134" i="10"/>
  <c r="P133" i="10"/>
  <c r="B133" i="10"/>
  <c r="P132" i="10"/>
  <c r="B132" i="10"/>
  <c r="P131" i="10"/>
  <c r="B131" i="10"/>
  <c r="P130" i="10"/>
  <c r="B130" i="10"/>
  <c r="P129" i="10"/>
  <c r="B129" i="10"/>
  <c r="P128" i="10"/>
  <c r="B128" i="10"/>
  <c r="P127" i="10"/>
  <c r="B127" i="10"/>
  <c r="P126" i="10"/>
  <c r="B126" i="10"/>
  <c r="P125" i="10"/>
  <c r="B125" i="10"/>
  <c r="P124" i="10"/>
  <c r="B124" i="10"/>
  <c r="P123" i="10"/>
  <c r="B123" i="10"/>
  <c r="P122" i="10"/>
  <c r="B122" i="10"/>
  <c r="P121" i="10"/>
  <c r="B121" i="10"/>
  <c r="P120" i="10"/>
  <c r="B120" i="10"/>
  <c r="P119" i="10"/>
  <c r="B119" i="10"/>
  <c r="P118" i="10"/>
  <c r="B118" i="10"/>
  <c r="P117" i="10"/>
  <c r="B117" i="10"/>
  <c r="P116" i="10"/>
  <c r="B116" i="10"/>
  <c r="P115" i="10"/>
  <c r="B115" i="10"/>
  <c r="P114" i="10"/>
  <c r="B114" i="10"/>
  <c r="P113" i="10"/>
  <c r="B113" i="10"/>
  <c r="P112" i="10"/>
  <c r="B112" i="10"/>
  <c r="P111" i="10"/>
  <c r="B111" i="10"/>
  <c r="P110" i="10"/>
  <c r="B110" i="10"/>
  <c r="P109" i="10"/>
  <c r="B109" i="10"/>
  <c r="P108" i="10"/>
  <c r="B108" i="10"/>
  <c r="P107" i="10"/>
  <c r="B107" i="10"/>
  <c r="P106" i="10"/>
  <c r="B106" i="10"/>
  <c r="P105" i="10"/>
  <c r="B105" i="10"/>
  <c r="P104" i="10"/>
  <c r="B104" i="10"/>
  <c r="P103" i="10"/>
  <c r="B103" i="10"/>
  <c r="P102" i="10"/>
  <c r="B102" i="10"/>
  <c r="P101" i="10"/>
  <c r="B101" i="10"/>
  <c r="P100" i="10"/>
  <c r="B100" i="10"/>
  <c r="P99" i="10"/>
  <c r="B99" i="10"/>
  <c r="P98" i="10"/>
  <c r="B98" i="10"/>
  <c r="P97" i="10"/>
  <c r="B97" i="10"/>
  <c r="P96" i="10"/>
  <c r="B96" i="10"/>
  <c r="P95" i="10"/>
  <c r="B95" i="10"/>
  <c r="P94" i="10"/>
  <c r="B94" i="10"/>
  <c r="P93" i="10"/>
  <c r="B93" i="10"/>
  <c r="P92" i="10"/>
  <c r="B92" i="10"/>
  <c r="P91" i="10"/>
  <c r="B91" i="10"/>
  <c r="P90" i="10"/>
  <c r="B90" i="10"/>
  <c r="P89" i="10"/>
  <c r="B89" i="10"/>
  <c r="P88" i="10"/>
  <c r="B88" i="10"/>
  <c r="P87" i="10"/>
  <c r="B87" i="10"/>
  <c r="P86" i="10"/>
  <c r="B86" i="10"/>
  <c r="P85" i="10"/>
  <c r="B85" i="10"/>
  <c r="P84" i="10"/>
  <c r="B84" i="10"/>
  <c r="P83" i="10"/>
  <c r="B83" i="10"/>
  <c r="P82" i="10"/>
  <c r="B82" i="10"/>
  <c r="P81" i="10"/>
  <c r="B81" i="10"/>
  <c r="P80" i="10"/>
  <c r="B80" i="10"/>
  <c r="P79" i="10"/>
  <c r="B79" i="10"/>
  <c r="P78" i="10"/>
  <c r="B78" i="10"/>
  <c r="P77" i="10"/>
  <c r="B77" i="10"/>
  <c r="P76" i="10"/>
  <c r="B76" i="10"/>
  <c r="P75" i="10"/>
  <c r="B75" i="10"/>
  <c r="P74" i="10"/>
  <c r="B74" i="10"/>
  <c r="P73" i="10"/>
  <c r="B73" i="10"/>
  <c r="P72" i="10"/>
  <c r="B72" i="10"/>
  <c r="P71" i="10"/>
  <c r="B71" i="10"/>
  <c r="P70" i="10"/>
  <c r="B70" i="10"/>
  <c r="P69" i="10"/>
  <c r="B69" i="10"/>
  <c r="P68" i="10"/>
  <c r="B68" i="10"/>
  <c r="P67" i="10"/>
  <c r="B67" i="10"/>
  <c r="P66" i="10"/>
  <c r="B66" i="10"/>
  <c r="P65" i="10"/>
  <c r="B65" i="10"/>
  <c r="P64" i="10"/>
  <c r="B64" i="10"/>
  <c r="P63" i="10"/>
  <c r="B63" i="10"/>
  <c r="P62" i="10"/>
  <c r="B62" i="10"/>
  <c r="P61" i="10"/>
  <c r="B61" i="10"/>
  <c r="P60" i="10"/>
  <c r="B60" i="10"/>
  <c r="P59" i="10"/>
  <c r="B59" i="10"/>
  <c r="P58" i="10"/>
  <c r="B58" i="10"/>
  <c r="P57" i="10"/>
  <c r="B57" i="10"/>
  <c r="P56" i="10"/>
  <c r="B56" i="10"/>
  <c r="P55" i="10"/>
  <c r="B55" i="10"/>
  <c r="P54" i="10"/>
  <c r="B54" i="10"/>
  <c r="P53" i="10"/>
  <c r="B53" i="10"/>
  <c r="P52" i="10"/>
  <c r="B52" i="10"/>
  <c r="P51" i="10"/>
  <c r="B51" i="10"/>
  <c r="P50" i="10"/>
  <c r="B50" i="10"/>
  <c r="P49" i="10"/>
  <c r="B49" i="10"/>
  <c r="P48" i="10"/>
  <c r="B48" i="10"/>
  <c r="P47" i="10"/>
  <c r="B47" i="10"/>
  <c r="P46" i="10"/>
  <c r="B46" i="10"/>
  <c r="P45" i="10"/>
  <c r="B45" i="10"/>
  <c r="P44" i="10"/>
  <c r="B44" i="10"/>
  <c r="AQ43" i="10"/>
  <c r="AN43" i="10"/>
  <c r="P43" i="10"/>
  <c r="B43" i="10"/>
  <c r="AQ42" i="10"/>
  <c r="AN42" i="10"/>
  <c r="P42" i="10"/>
  <c r="B42" i="10"/>
  <c r="AQ41" i="10"/>
  <c r="AN41" i="10"/>
  <c r="P41" i="10"/>
  <c r="B41" i="10"/>
  <c r="AQ40" i="10"/>
  <c r="AN40" i="10"/>
  <c r="P40" i="10"/>
  <c r="B40" i="10"/>
  <c r="AQ39" i="10"/>
  <c r="AN39" i="10"/>
  <c r="P39" i="10"/>
  <c r="B39" i="10"/>
  <c r="AQ38" i="10"/>
  <c r="AN38" i="10"/>
  <c r="P38" i="10"/>
  <c r="B38" i="10"/>
  <c r="AQ37" i="10"/>
  <c r="AN37" i="10"/>
  <c r="P37" i="10"/>
  <c r="B37" i="10"/>
  <c r="AQ36" i="10"/>
  <c r="AN36" i="10"/>
  <c r="P36" i="10"/>
  <c r="B36" i="10"/>
  <c r="AQ35" i="10"/>
  <c r="AN35" i="10"/>
  <c r="P35" i="10"/>
  <c r="B35" i="10"/>
  <c r="AQ34" i="10"/>
  <c r="AN34" i="10"/>
  <c r="P34" i="10"/>
  <c r="B34" i="10"/>
  <c r="AQ33" i="10"/>
  <c r="AN33" i="10"/>
  <c r="B33" i="10"/>
  <c r="AQ32" i="10"/>
  <c r="AN32" i="10"/>
  <c r="AQ31" i="10"/>
  <c r="AN31" i="10"/>
  <c r="AQ30" i="10"/>
  <c r="AN30" i="10"/>
  <c r="AQ29" i="10"/>
  <c r="AN29" i="10"/>
  <c r="AQ28" i="10"/>
  <c r="AN28" i="10"/>
  <c r="AQ27" i="10"/>
  <c r="AN27" i="10"/>
  <c r="AQ26" i="10"/>
  <c r="AN26" i="10"/>
  <c r="AQ25" i="10"/>
  <c r="AN25" i="10"/>
  <c r="AQ24" i="10"/>
  <c r="AN24" i="10"/>
  <c r="D13" i="10"/>
  <c r="D12" i="10"/>
  <c r="D11" i="10"/>
  <c r="D9" i="10"/>
  <c r="D8" i="10"/>
  <c r="D5" i="10"/>
  <c r="D7" i="11" s="1"/>
  <c r="D4" i="10"/>
  <c r="G70" i="12" s="1"/>
  <c r="K130" i="9"/>
  <c r="O129" i="9"/>
  <c r="N126" i="9"/>
  <c r="D44" i="9"/>
  <c r="P58" i="9" s="1"/>
  <c r="P60" i="9" s="1"/>
  <c r="I43" i="9"/>
  <c r="D43" i="9"/>
  <c r="I42" i="9"/>
  <c r="D39" i="9"/>
  <c r="K77" i="8"/>
  <c r="D51" i="8"/>
  <c r="D50" i="8"/>
  <c r="D49" i="8"/>
  <c r="D44" i="8"/>
  <c r="I43" i="8"/>
  <c r="D43" i="8"/>
  <c r="P57" i="8" s="1"/>
  <c r="I42" i="8"/>
  <c r="D39" i="8"/>
  <c r="H83" i="8" s="1"/>
  <c r="B121" i="7"/>
  <c r="D120" i="7"/>
  <c r="F110" i="7"/>
  <c r="D104" i="7"/>
  <c r="D102" i="7"/>
  <c r="C85" i="7"/>
  <c r="C80" i="7"/>
  <c r="D64" i="7"/>
  <c r="D63" i="7"/>
  <c r="D62" i="7"/>
  <c r="H61" i="7"/>
  <c r="D61" i="7"/>
  <c r="B121" i="6"/>
  <c r="D120" i="6"/>
  <c r="D119" i="6"/>
  <c r="F110" i="6"/>
  <c r="D104" i="6"/>
  <c r="D102" i="6"/>
  <c r="C85" i="6"/>
  <c r="C80" i="6"/>
  <c r="D64" i="6"/>
  <c r="D63" i="6"/>
  <c r="D62" i="6"/>
  <c r="H61" i="6"/>
  <c r="D61" i="6"/>
  <c r="J242" i="4"/>
  <c r="B77" i="4"/>
  <c r="J82" i="4"/>
  <c r="G82" i="4"/>
  <c r="B82" i="4"/>
  <c r="C81" i="4"/>
  <c r="I80" i="4"/>
  <c r="H80" i="4"/>
  <c r="G80" i="4"/>
  <c r="F80" i="4"/>
  <c r="D70" i="4"/>
  <c r="D69" i="4"/>
  <c r="L119" i="4"/>
  <c r="D61" i="4"/>
  <c r="D59" i="4"/>
  <c r="D56" i="4"/>
  <c r="D57" i="4" s="1"/>
  <c r="B104" i="4"/>
  <c r="B103" i="4"/>
  <c r="B102" i="4"/>
  <c r="B101" i="4"/>
  <c r="B100" i="4"/>
  <c r="F33" i="4"/>
  <c r="B8" i="5" s="1"/>
  <c r="D25" i="4"/>
  <c r="H23" i="6" s="1"/>
  <c r="D24" i="4"/>
  <c r="H29" i="8" s="1"/>
  <c r="D23" i="4"/>
  <c r="D22" i="4"/>
  <c r="D21" i="4"/>
  <c r="H19" i="6" s="1"/>
  <c r="D15" i="4"/>
  <c r="C8" i="4"/>
  <c r="D10" i="7" s="1"/>
  <c r="F265" i="3"/>
  <c r="E265" i="3"/>
  <c r="F264" i="3"/>
  <c r="E264" i="3"/>
  <c r="F263" i="3"/>
  <c r="E263" i="3"/>
  <c r="E251" i="3"/>
  <c r="E240" i="3"/>
  <c r="E239" i="3"/>
  <c r="E238" i="3"/>
  <c r="D105" i="9" s="1"/>
  <c r="E237" i="3"/>
  <c r="E163" i="3"/>
  <c r="E84" i="3"/>
  <c r="S63" i="11" s="1"/>
  <c r="C71" i="3"/>
  <c r="C69" i="3"/>
  <c r="K33" i="13" s="1"/>
  <c r="E49" i="3"/>
  <c r="E47" i="3"/>
  <c r="J34" i="16" s="1"/>
  <c r="E40" i="3"/>
  <c r="E39" i="3"/>
  <c r="H217" i="2" s="1"/>
  <c r="E50" i="3" s="1"/>
  <c r="D26" i="4" s="1"/>
  <c r="E25" i="3"/>
  <c r="G53" i="12" s="1"/>
  <c r="F51" i="15" s="1"/>
  <c r="E11" i="3"/>
  <c r="G38" i="12" s="1"/>
  <c r="F37" i="15" s="1"/>
  <c r="H286" i="2"/>
  <c r="G286" i="2"/>
  <c r="E286" i="2"/>
  <c r="H285" i="2"/>
  <c r="G285" i="2"/>
  <c r="E285" i="2"/>
  <c r="H284" i="2"/>
  <c r="G284" i="2"/>
  <c r="E284" i="2"/>
  <c r="H283" i="2"/>
  <c r="G283" i="2"/>
  <c r="E283" i="2"/>
  <c r="H282" i="2"/>
  <c r="G282" i="2"/>
  <c r="E282" i="2"/>
  <c r="H281" i="2"/>
  <c r="G281" i="2"/>
  <c r="E281" i="2"/>
  <c r="H280" i="2"/>
  <c r="E280" i="2"/>
  <c r="H279" i="2"/>
  <c r="E279" i="2"/>
  <c r="H278" i="2"/>
  <c r="E278" i="2"/>
  <c r="H277" i="2"/>
  <c r="E277" i="2"/>
  <c r="H276" i="2"/>
  <c r="E276" i="2"/>
  <c r="H275" i="2"/>
  <c r="E275" i="2"/>
  <c r="G254" i="2"/>
  <c r="G253" i="2"/>
  <c r="W238" i="2"/>
  <c r="W237" i="2"/>
  <c r="W236" i="2"/>
  <c r="W235" i="2"/>
  <c r="W232" i="2"/>
  <c r="W231" i="2"/>
  <c r="W230" i="2"/>
  <c r="W229" i="2"/>
  <c r="D229" i="2"/>
  <c r="B229" i="2"/>
  <c r="D210" i="2" s="1"/>
  <c r="W226" i="2"/>
  <c r="C226" i="2"/>
  <c r="W225" i="2"/>
  <c r="W224" i="2"/>
  <c r="W223" i="2"/>
  <c r="D209" i="2"/>
  <c r="S51" i="11" s="1"/>
  <c r="M206" i="2"/>
  <c r="O202" i="2"/>
  <c r="E44" i="3" s="1"/>
  <c r="E46" i="3" s="1"/>
  <c r="N202" i="2"/>
  <c r="E41" i="3" s="1"/>
  <c r="E42" i="3" s="1"/>
  <c r="E43" i="3" s="1"/>
  <c r="O201" i="2"/>
  <c r="N201" i="2"/>
  <c r="O200" i="2"/>
  <c r="N200" i="2"/>
  <c r="O199" i="2"/>
  <c r="N199" i="2"/>
  <c r="H197" i="2"/>
  <c r="N180" i="2"/>
  <c r="N179" i="2"/>
  <c r="N178" i="2"/>
  <c r="Q166" i="2"/>
  <c r="M166" i="2"/>
  <c r="O166" i="2" s="1"/>
  <c r="M154" i="2"/>
  <c r="K154" i="2"/>
  <c r="P152" i="2"/>
  <c r="P151" i="2"/>
  <c r="P150" i="2"/>
  <c r="P149" i="2"/>
  <c r="P148" i="2"/>
  <c r="P147" i="2"/>
  <c r="P146" i="2"/>
  <c r="P145" i="2"/>
  <c r="P144" i="2"/>
  <c r="P143" i="2"/>
  <c r="P142" i="2"/>
  <c r="P141" i="2"/>
  <c r="P140" i="2"/>
  <c r="P139" i="2"/>
  <c r="P138" i="2"/>
  <c r="P137" i="2"/>
  <c r="P136" i="2"/>
  <c r="P135" i="2"/>
  <c r="P134" i="2"/>
  <c r="P133" i="2"/>
  <c r="P132" i="2"/>
  <c r="P131" i="2"/>
  <c r="P130" i="2"/>
  <c r="P129" i="2"/>
  <c r="P128" i="2"/>
  <c r="P127" i="2"/>
  <c r="P126" i="2"/>
  <c r="P125" i="2"/>
  <c r="P124" i="2"/>
  <c r="D124" i="2"/>
  <c r="P123" i="2"/>
  <c r="D123" i="2"/>
  <c r="P122" i="2"/>
  <c r="P121" i="2"/>
  <c r="D121" i="2"/>
  <c r="C263" i="13" s="1"/>
  <c r="G263" i="13" s="1"/>
  <c r="P120" i="2"/>
  <c r="P119" i="2"/>
  <c r="D119" i="2"/>
  <c r="C276" i="13" s="1"/>
  <c r="G323" i="13" s="1"/>
  <c r="P118" i="2"/>
  <c r="P117" i="2"/>
  <c r="P116" i="2"/>
  <c r="P115" i="2"/>
  <c r="P114" i="2"/>
  <c r="P113" i="2"/>
  <c r="P112" i="2"/>
  <c r="P111" i="2"/>
  <c r="P110" i="2"/>
  <c r="P109" i="2"/>
  <c r="P108" i="2"/>
  <c r="P107" i="2"/>
  <c r="P106" i="2"/>
  <c r="P105" i="2"/>
  <c r="P104" i="2"/>
  <c r="P103" i="2"/>
  <c r="P102" i="2"/>
  <c r="P101" i="2"/>
  <c r="P100" i="2"/>
  <c r="P99" i="2"/>
  <c r="P98" i="2"/>
  <c r="P97" i="2"/>
  <c r="P96" i="2"/>
  <c r="P95" i="2"/>
  <c r="P94" i="2"/>
  <c r="P93" i="2"/>
  <c r="P92" i="2"/>
  <c r="P91" i="2"/>
  <c r="P90" i="2"/>
  <c r="P89" i="2"/>
  <c r="P88" i="2"/>
  <c r="E88" i="2"/>
  <c r="P87" i="2"/>
  <c r="P86" i="2"/>
  <c r="P85" i="2"/>
  <c r="D85" i="2"/>
  <c r="I41" i="9" s="1"/>
  <c r="I98" i="9" s="1"/>
  <c r="P84" i="2"/>
  <c r="D84" i="2"/>
  <c r="I39" i="8" s="1"/>
  <c r="P83" i="2"/>
  <c r="P82" i="2"/>
  <c r="P81" i="2"/>
  <c r="P80" i="2"/>
  <c r="P79" i="2"/>
  <c r="P78" i="2"/>
  <c r="P77" i="2"/>
  <c r="P76" i="2"/>
  <c r="P75" i="2"/>
  <c r="P74" i="2"/>
  <c r="P73" i="2"/>
  <c r="I73" i="2"/>
  <c r="C265" i="3" s="1"/>
  <c r="P72" i="2"/>
  <c r="P71" i="2"/>
  <c r="P70" i="2"/>
  <c r="I70" i="2"/>
  <c r="E271" i="3" s="1"/>
  <c r="P69" i="2"/>
  <c r="P68" i="2"/>
  <c r="G68" i="2"/>
  <c r="E68" i="2"/>
  <c r="P67" i="2"/>
  <c r="G67" i="2"/>
  <c r="E67" i="2"/>
  <c r="P66" i="2"/>
  <c r="E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F46" i="2"/>
  <c r="E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G26" i="2"/>
  <c r="P25" i="2"/>
  <c r="P24" i="2"/>
  <c r="P23" i="2"/>
  <c r="U22" i="2"/>
  <c r="P22" i="2"/>
  <c r="U21" i="2"/>
  <c r="P21" i="2"/>
  <c r="U20" i="2"/>
  <c r="P20" i="2"/>
  <c r="U19" i="2"/>
  <c r="P19" i="2"/>
  <c r="U18" i="2"/>
  <c r="P18" i="2"/>
  <c r="U17" i="2"/>
  <c r="P17" i="2"/>
  <c r="U16" i="2"/>
  <c r="P16" i="2"/>
  <c r="U15" i="2"/>
  <c r="P15" i="2"/>
  <c r="U14" i="2"/>
  <c r="P14" i="2"/>
  <c r="U13" i="2"/>
  <c r="P13" i="2"/>
  <c r="U12" i="2"/>
  <c r="P12" i="2"/>
  <c r="U11" i="2"/>
  <c r="P11" i="2"/>
  <c r="U10" i="2"/>
  <c r="P10" i="2"/>
  <c r="D10" i="2"/>
  <c r="U9" i="2"/>
  <c r="P9" i="2"/>
  <c r="U8" i="2"/>
  <c r="P8" i="2"/>
  <c r="U7" i="2"/>
  <c r="P7" i="2"/>
  <c r="U6" i="2"/>
  <c r="P6" i="2"/>
  <c r="U5" i="2"/>
  <c r="P5" i="2"/>
  <c r="U4" i="2"/>
  <c r="P4" i="2"/>
  <c r="U3" i="2"/>
  <c r="P3" i="2"/>
  <c r="B72" i="5" l="1"/>
  <c r="B21" i="5"/>
  <c r="B37" i="5"/>
  <c r="B51" i="5"/>
  <c r="V150" i="2"/>
  <c r="V166" i="2"/>
  <c r="E87" i="5"/>
  <c r="E85" i="5"/>
  <c r="E23" i="5"/>
  <c r="E21" i="5"/>
  <c r="E86" i="5"/>
  <c r="E22" i="5"/>
  <c r="D22" i="5"/>
  <c r="D87" i="5"/>
  <c r="D85" i="5"/>
  <c r="D21" i="5"/>
  <c r="D23" i="5"/>
  <c r="D86" i="5"/>
  <c r="C123" i="5"/>
  <c r="C59" i="5"/>
  <c r="C39" i="5"/>
  <c r="C38" i="5"/>
  <c r="C102" i="5"/>
  <c r="C103" i="5"/>
  <c r="D54" i="4"/>
  <c r="E72" i="5"/>
  <c r="E38" i="5"/>
  <c r="E39" i="5"/>
  <c r="E103" i="5"/>
  <c r="E102" i="5"/>
  <c r="D103" i="5"/>
  <c r="D102" i="5"/>
  <c r="D38" i="5"/>
  <c r="D39" i="5"/>
  <c r="AS7" i="14"/>
  <c r="D18" i="10"/>
  <c r="E18" i="10" s="1"/>
  <c r="AS11" i="14"/>
  <c r="G217" i="2"/>
  <c r="C37" i="6"/>
  <c r="F46" i="11"/>
  <c r="AS10" i="14"/>
  <c r="AS14" i="14"/>
  <c r="E15" i="11"/>
  <c r="AS9" i="14"/>
  <c r="AS13" i="14"/>
  <c r="C37" i="7"/>
  <c r="AS8" i="14"/>
  <c r="E268" i="3"/>
  <c r="D40" i="4" s="1"/>
  <c r="J23" i="13"/>
  <c r="AC26" i="14"/>
  <c r="J60" i="11"/>
  <c r="J65" i="11"/>
  <c r="J68" i="11" s="1"/>
  <c r="J24" i="13"/>
  <c r="H21" i="11"/>
  <c r="I21" i="11" s="1"/>
  <c r="L21" i="11" s="1"/>
  <c r="P91" i="11"/>
  <c r="P92" i="11" s="1"/>
  <c r="P84" i="11" s="1"/>
  <c r="P82" i="11"/>
  <c r="E14" i="3"/>
  <c r="G41" i="12" s="1"/>
  <c r="P1741" i="14" s="1"/>
  <c r="E69" i="3"/>
  <c r="F69" i="3" s="1"/>
  <c r="E274" i="3"/>
  <c r="H20" i="9" s="1"/>
  <c r="I41" i="8"/>
  <c r="I88" i="8" s="1"/>
  <c r="N93" i="11"/>
  <c r="D48" i="11"/>
  <c r="D49" i="11" s="1"/>
  <c r="D50" i="11" s="1"/>
  <c r="G60" i="11"/>
  <c r="G61" i="11" s="1"/>
  <c r="F72" i="11"/>
  <c r="F76" i="11" s="1"/>
  <c r="P86" i="11"/>
  <c r="J16" i="13"/>
  <c r="AT7" i="14"/>
  <c r="AT8" i="14"/>
  <c r="AT9" i="14"/>
  <c r="AT10" i="14"/>
  <c r="AT11" i="14"/>
  <c r="AT12" i="14"/>
  <c r="AT13" i="14"/>
  <c r="AT14" i="14"/>
  <c r="AT16" i="14"/>
  <c r="C47" i="11"/>
  <c r="C48" i="11" s="1"/>
  <c r="C49" i="11" s="1"/>
  <c r="C50" i="11" s="1"/>
  <c r="C51" i="11" s="1"/>
  <c r="C52" i="11" s="1"/>
  <c r="C53" i="11" s="1"/>
  <c r="C54" i="11" s="1"/>
  <c r="C55" i="11" s="1"/>
  <c r="C56" i="11" s="1"/>
  <c r="C57" i="11" s="1"/>
  <c r="C58" i="11" s="1"/>
  <c r="C59" i="11" s="1"/>
  <c r="C60" i="11" s="1"/>
  <c r="C61" i="11" s="1"/>
  <c r="C62" i="11" s="1"/>
  <c r="G62" i="11"/>
  <c r="AD22" i="14"/>
  <c r="AD23" i="14" s="1"/>
  <c r="I39" i="9"/>
  <c r="D64" i="11"/>
  <c r="D65" i="11" s="1"/>
  <c r="D66" i="11" s="1"/>
  <c r="K65" i="11"/>
  <c r="D75" i="11"/>
  <c r="D76" i="11" s="1"/>
  <c r="N91" i="11"/>
  <c r="N92" i="11" s="1"/>
  <c r="J21" i="13"/>
  <c r="AT15" i="14"/>
  <c r="AT17" i="14"/>
  <c r="D34" i="4"/>
  <c r="H8" i="5" s="1"/>
  <c r="H72" i="5" s="1"/>
  <c r="D41" i="4"/>
  <c r="E51" i="3"/>
  <c r="K94" i="9"/>
  <c r="N123" i="9"/>
  <c r="D38" i="9" s="1"/>
  <c r="D51" i="9" s="1"/>
  <c r="J33" i="16"/>
  <c r="E45" i="3"/>
  <c r="H20" i="8"/>
  <c r="H11" i="11"/>
  <c r="F18" i="15"/>
  <c r="G18" i="12"/>
  <c r="D41" i="8"/>
  <c r="D40" i="8"/>
  <c r="G278" i="13"/>
  <c r="C278" i="13"/>
  <c r="C343" i="13"/>
  <c r="C330" i="13"/>
  <c r="D47" i="4"/>
  <c r="H181" i="2" s="1"/>
  <c r="Q178" i="2" s="1"/>
  <c r="F100" i="4" s="1"/>
  <c r="G34" i="16"/>
  <c r="D33" i="4"/>
  <c r="D37" i="4" s="1"/>
  <c r="I189" i="2" s="1"/>
  <c r="H189" i="2" s="1"/>
  <c r="O180" i="2" s="1"/>
  <c r="D102" i="4" s="1"/>
  <c r="D48" i="4"/>
  <c r="H5" i="11"/>
  <c r="D20" i="11"/>
  <c r="K49" i="11"/>
  <c r="K50" i="11"/>
  <c r="K51" i="11" s="1"/>
  <c r="K52" i="11" s="1"/>
  <c r="K53" i="11" s="1"/>
  <c r="K54" i="11" s="1"/>
  <c r="K55" i="11" s="1"/>
  <c r="K56" i="11" s="1"/>
  <c r="K57" i="11" s="1"/>
  <c r="K58" i="11" s="1"/>
  <c r="D212" i="2"/>
  <c r="N87" i="11" s="1"/>
  <c r="N83" i="11" s="1"/>
  <c r="D202" i="2"/>
  <c r="D201" i="2" s="1"/>
  <c r="D196" i="2" s="1"/>
  <c r="E13" i="3"/>
  <c r="E269" i="3"/>
  <c r="E276" i="3"/>
  <c r="M57" i="8"/>
  <c r="J15" i="10"/>
  <c r="E7" i="11"/>
  <c r="G15" i="11"/>
  <c r="H15" i="11" s="1"/>
  <c r="P21" i="11"/>
  <c r="F63" i="11"/>
  <c r="F64" i="11" s="1"/>
  <c r="F65" i="11" s="1"/>
  <c r="F66" i="11" s="1"/>
  <c r="F67" i="11" s="1"/>
  <c r="F68" i="11" s="1"/>
  <c r="F69" i="11" s="1"/>
  <c r="F51" i="11"/>
  <c r="F52" i="11" s="1"/>
  <c r="F53" i="11" s="1"/>
  <c r="F54" i="11" s="1"/>
  <c r="F55" i="11" s="1"/>
  <c r="F56" i="11" s="1"/>
  <c r="F57" i="11" s="1"/>
  <c r="F58" i="11" s="1"/>
  <c r="F59" i="11" s="1"/>
  <c r="F60" i="11" s="1"/>
  <c r="F61" i="11" s="1"/>
  <c r="F62" i="11" s="1"/>
  <c r="J53" i="11"/>
  <c r="J54" i="11" s="1"/>
  <c r="J55" i="11" s="1"/>
  <c r="J56" i="11" s="1"/>
  <c r="J57" i="11" s="1"/>
  <c r="J58" i="11" s="1"/>
  <c r="G58" i="11"/>
  <c r="G56" i="11"/>
  <c r="G57" i="11" s="1"/>
  <c r="D58" i="11"/>
  <c r="K24" i="13"/>
  <c r="AA26" i="14"/>
  <c r="AA27" i="14" s="1"/>
  <c r="AS15" i="14"/>
  <c r="AS16" i="14"/>
  <c r="AS17" i="14"/>
  <c r="G69" i="12"/>
  <c r="C344" i="13"/>
  <c r="I200" i="13"/>
  <c r="C314" i="13"/>
  <c r="H200" i="13"/>
  <c r="D2485" i="14"/>
  <c r="P1245" i="14"/>
  <c r="P501" i="14"/>
  <c r="K34" i="13"/>
  <c r="K30" i="13"/>
  <c r="K35" i="13"/>
  <c r="K32" i="13"/>
  <c r="K22" i="13"/>
  <c r="K23" i="13"/>
  <c r="K16" i="13"/>
  <c r="D70" i="3"/>
  <c r="E270" i="3"/>
  <c r="J25" i="11"/>
  <c r="J27" i="11" s="1"/>
  <c r="K61" i="11"/>
  <c r="P83" i="11"/>
  <c r="C105" i="11"/>
  <c r="AQ25" i="14"/>
  <c r="G330" i="13"/>
  <c r="G276" i="13"/>
  <c r="E19" i="3"/>
  <c r="G46" i="12" s="1"/>
  <c r="F45" i="15" s="1"/>
  <c r="D69" i="3"/>
  <c r="E70" i="3"/>
  <c r="F70" i="3" s="1"/>
  <c r="G64" i="6"/>
  <c r="B76" i="6"/>
  <c r="G64" i="7"/>
  <c r="B76" i="7"/>
  <c r="J61" i="11"/>
  <c r="J62" i="11"/>
  <c r="G54" i="11"/>
  <c r="D52" i="11"/>
  <c r="D53" i="11" s="1"/>
  <c r="D54" i="11"/>
  <c r="P93" i="11"/>
  <c r="P85" i="11" s="1"/>
  <c r="K21" i="13"/>
  <c r="AA36" i="14"/>
  <c r="AD35" i="14"/>
  <c r="AD36" i="14" s="1"/>
  <c r="AD30" i="14"/>
  <c r="AD31" i="14" s="1"/>
  <c r="AC30" i="14"/>
  <c r="P749" i="14"/>
  <c r="D60" i="11"/>
  <c r="D61" i="11" s="1"/>
  <c r="K60" i="11"/>
  <c r="K68" i="11"/>
  <c r="P89" i="11"/>
  <c r="P87" i="11"/>
  <c r="P88" i="11" s="1"/>
  <c r="K211" i="2"/>
  <c r="H22" i="6"/>
  <c r="K212" i="2"/>
  <c r="C10" i="8"/>
  <c r="C96" i="2"/>
  <c r="C10" i="9"/>
  <c r="F25" i="15"/>
  <c r="G26" i="12"/>
  <c r="H31" i="8"/>
  <c r="H24" i="6"/>
  <c r="D66" i="15"/>
  <c r="D71" i="15"/>
  <c r="F10" i="15"/>
  <c r="D67" i="15"/>
  <c r="G10" i="12"/>
  <c r="C93" i="2"/>
  <c r="F22" i="15"/>
  <c r="G23" i="12"/>
  <c r="H28" i="9"/>
  <c r="H21" i="7"/>
  <c r="H28" i="8"/>
  <c r="F21" i="15"/>
  <c r="G22" i="12"/>
  <c r="H27" i="8"/>
  <c r="H20" i="6"/>
  <c r="H27" i="9"/>
  <c r="D69" i="15"/>
  <c r="F12" i="15"/>
  <c r="G12" i="12"/>
  <c r="K213" i="2"/>
  <c r="D51" i="4"/>
  <c r="C103" i="12"/>
  <c r="H24" i="7"/>
  <c r="D36" i="4"/>
  <c r="D35" i="4"/>
  <c r="H20" i="7"/>
  <c r="Z166" i="2"/>
  <c r="S166" i="2"/>
  <c r="H21" i="6"/>
  <c r="H31" i="9"/>
  <c r="D6" i="15"/>
  <c r="C6" i="4" s="1"/>
  <c r="D6" i="12"/>
  <c r="G11" i="12"/>
  <c r="D68" i="15"/>
  <c r="F11" i="15"/>
  <c r="F23" i="15"/>
  <c r="G24" i="12"/>
  <c r="H29" i="9"/>
  <c r="D10" i="6"/>
  <c r="H22" i="7"/>
  <c r="F20" i="15"/>
  <c r="G21" i="12"/>
  <c r="H26" i="9"/>
  <c r="H26" i="8"/>
  <c r="F24" i="15"/>
  <c r="G25" i="12"/>
  <c r="H30" i="9"/>
  <c r="H30" i="8"/>
  <c r="H19" i="7"/>
  <c r="H23" i="7"/>
  <c r="D501" i="14"/>
  <c r="D1493" i="14"/>
  <c r="Z150" i="2"/>
  <c r="F15" i="15" l="1"/>
  <c r="D16" i="4" s="1"/>
  <c r="H14" i="8" s="1"/>
  <c r="D105" i="12"/>
  <c r="AE156" i="2" s="1"/>
  <c r="H14" i="6"/>
  <c r="Q183" i="2"/>
  <c r="G15" i="12"/>
  <c r="B85" i="5"/>
  <c r="B101" i="5"/>
  <c r="B115" i="5"/>
  <c r="H14" i="7"/>
  <c r="H14" i="9"/>
  <c r="E8" i="5"/>
  <c r="C85" i="5"/>
  <c r="D2237" i="14"/>
  <c r="D1741" i="14"/>
  <c r="D749" i="14"/>
  <c r="F40" i="15"/>
  <c r="D104" i="12"/>
  <c r="AE157" i="2" s="1"/>
  <c r="O183" i="2"/>
  <c r="I253" i="2" s="1"/>
  <c r="P5" i="14"/>
  <c r="P253" i="14"/>
  <c r="P1989" i="14"/>
  <c r="D1245" i="14"/>
  <c r="D253" i="14"/>
  <c r="D103" i="12"/>
  <c r="AE158" i="2" s="1"/>
  <c r="P1493" i="14"/>
  <c r="P2237" i="14"/>
  <c r="D1989" i="14"/>
  <c r="D997" i="14"/>
  <c r="D5" i="14"/>
  <c r="H179" i="2"/>
  <c r="O178" i="2" s="1"/>
  <c r="D100" i="4" s="1"/>
  <c r="P2485" i="14"/>
  <c r="P997" i="14"/>
  <c r="D330" i="13"/>
  <c r="K21" i="11"/>
  <c r="N21" i="11" s="1"/>
  <c r="C63" i="11"/>
  <c r="C64" i="11" s="1"/>
  <c r="C65" i="11" s="1"/>
  <c r="C66" i="11" s="1"/>
  <c r="C67" i="11" s="1"/>
  <c r="C68" i="11" s="1"/>
  <c r="C69" i="11" s="1"/>
  <c r="M58" i="9"/>
  <c r="M60" i="9" s="1"/>
  <c r="D44" i="4"/>
  <c r="I190" i="2" s="1"/>
  <c r="H190" i="2" s="1"/>
  <c r="P180" i="2" s="1"/>
  <c r="E102" i="4" s="1"/>
  <c r="P183" i="2"/>
  <c r="H180" i="2"/>
  <c r="P178" i="2" s="1"/>
  <c r="E100" i="4" s="1"/>
  <c r="D42" i="8"/>
  <c r="C238" i="13"/>
  <c r="J200" i="13"/>
  <c r="M15" i="11"/>
  <c r="E64" i="7"/>
  <c r="F64" i="7" s="1"/>
  <c r="E64" i="6"/>
  <c r="F64" i="6" s="1"/>
  <c r="K15" i="11"/>
  <c r="N15" i="11" s="1"/>
  <c r="F16" i="15"/>
  <c r="D17" i="4" s="1"/>
  <c r="G16" i="12"/>
  <c r="N124" i="9"/>
  <c r="D50" i="9"/>
  <c r="P59" i="9" s="1"/>
  <c r="D49" i="9"/>
  <c r="R188" i="2"/>
  <c r="S188" i="2" s="1"/>
  <c r="D27" i="4"/>
  <c r="S184" i="2"/>
  <c r="E52" i="3"/>
  <c r="D28" i="4" s="1"/>
  <c r="S182" i="2"/>
  <c r="S181" i="2"/>
  <c r="K62" i="11"/>
  <c r="K63" i="11"/>
  <c r="C345" i="13"/>
  <c r="C340" i="13"/>
  <c r="G40" i="12"/>
  <c r="F39" i="15" s="1"/>
  <c r="E15" i="3"/>
  <c r="E12" i="3"/>
  <c r="G39" i="12" s="1"/>
  <c r="F38" i="15" s="1"/>
  <c r="S52" i="11"/>
  <c r="D15" i="10"/>
  <c r="D16" i="10" s="1"/>
  <c r="D63" i="4"/>
  <c r="H186" i="2" s="1"/>
  <c r="Q179" i="2" s="1"/>
  <c r="F101" i="4" s="1"/>
  <c r="D198" i="2"/>
  <c r="D19" i="4"/>
  <c r="H13" i="9"/>
  <c r="H13" i="7"/>
  <c r="H13" i="6"/>
  <c r="H13" i="8"/>
  <c r="J52" i="11"/>
  <c r="F7" i="11"/>
  <c r="C69" i="15"/>
  <c r="E69" i="15" s="1"/>
  <c r="C68" i="15"/>
  <c r="E68" i="15" s="1"/>
  <c r="F70" i="15"/>
  <c r="S59" i="11"/>
  <c r="C119" i="7"/>
  <c r="E119" i="7" s="1"/>
  <c r="F120" i="6"/>
  <c r="C119" i="6"/>
  <c r="E119" i="6" s="1"/>
  <c r="F120" i="7"/>
  <c r="E78" i="3"/>
  <c r="C118" i="7"/>
  <c r="C118" i="6"/>
  <c r="G209" i="3"/>
  <c r="F59" i="5" s="1"/>
  <c r="I11" i="11"/>
  <c r="K11" i="11"/>
  <c r="C505" i="16"/>
  <c r="C503" i="16"/>
  <c r="C501" i="16"/>
  <c r="C499" i="16"/>
  <c r="C497" i="16"/>
  <c r="C495" i="16"/>
  <c r="C493" i="16"/>
  <c r="C491" i="16"/>
  <c r="C489" i="16"/>
  <c r="C487" i="16"/>
  <c r="C485" i="16"/>
  <c r="C483" i="16"/>
  <c r="C481" i="16"/>
  <c r="C479" i="16"/>
  <c r="C477" i="16"/>
  <c r="C475" i="16"/>
  <c r="C473" i="16"/>
  <c r="C471" i="16"/>
  <c r="C469" i="16"/>
  <c r="C467" i="16"/>
  <c r="C465" i="16"/>
  <c r="C463" i="16"/>
  <c r="C461" i="16"/>
  <c r="C459" i="16"/>
  <c r="C457" i="16"/>
  <c r="C455" i="16"/>
  <c r="C453" i="16"/>
  <c r="C451" i="16"/>
  <c r="C449" i="16"/>
  <c r="C447" i="16"/>
  <c r="C445" i="16"/>
  <c r="C443" i="16"/>
  <c r="C441" i="16"/>
  <c r="C439" i="16"/>
  <c r="C437" i="16"/>
  <c r="C435" i="16"/>
  <c r="C433" i="16"/>
  <c r="C431" i="16"/>
  <c r="C429" i="16"/>
  <c r="C427" i="16"/>
  <c r="C425" i="16"/>
  <c r="C423" i="16"/>
  <c r="C421" i="16"/>
  <c r="C419" i="16"/>
  <c r="C417" i="16"/>
  <c r="C415" i="16"/>
  <c r="C413" i="16"/>
  <c r="C411" i="16"/>
  <c r="C409" i="16"/>
  <c r="C407" i="16"/>
  <c r="C405" i="16"/>
  <c r="C403" i="16"/>
  <c r="C401" i="16"/>
  <c r="C399" i="16"/>
  <c r="C397" i="16"/>
  <c r="C395" i="16"/>
  <c r="C393" i="16"/>
  <c r="C391" i="16"/>
  <c r="C389" i="16"/>
  <c r="C387" i="16"/>
  <c r="C385" i="16"/>
  <c r="C383" i="16"/>
  <c r="C381" i="16"/>
  <c r="C379" i="16"/>
  <c r="C377" i="16"/>
  <c r="C375" i="16"/>
  <c r="C373" i="16"/>
  <c r="C371" i="16"/>
  <c r="C369" i="16"/>
  <c r="C367" i="16"/>
  <c r="C365" i="16"/>
  <c r="C363" i="16"/>
  <c r="C361" i="16"/>
  <c r="C359" i="16"/>
  <c r="C357" i="16"/>
  <c r="C355" i="16"/>
  <c r="C353" i="16"/>
  <c r="C351" i="16"/>
  <c r="C349" i="16"/>
  <c r="C347" i="16"/>
  <c r="C345" i="16"/>
  <c r="C343" i="16"/>
  <c r="C341" i="16"/>
  <c r="C30" i="16"/>
  <c r="C28" i="16"/>
  <c r="C26" i="16"/>
  <c r="C24" i="16"/>
  <c r="C22" i="16"/>
  <c r="C20" i="16"/>
  <c r="C18" i="16"/>
  <c r="C16" i="16"/>
  <c r="C14" i="16"/>
  <c r="C12" i="16"/>
  <c r="C10" i="16"/>
  <c r="C8" i="16"/>
  <c r="C6" i="16"/>
  <c r="C504" i="16"/>
  <c r="C502" i="16"/>
  <c r="C500" i="16"/>
  <c r="C498" i="16"/>
  <c r="C496" i="16"/>
  <c r="C494" i="16"/>
  <c r="C492" i="16"/>
  <c r="C490" i="16"/>
  <c r="C488" i="16"/>
  <c r="C486" i="16"/>
  <c r="C484" i="16"/>
  <c r="C482" i="16"/>
  <c r="C480" i="16"/>
  <c r="C478" i="16"/>
  <c r="C476" i="16"/>
  <c r="C474" i="16"/>
  <c r="C472" i="16"/>
  <c r="C470" i="16"/>
  <c r="C468" i="16"/>
  <c r="C466" i="16"/>
  <c r="C464" i="16"/>
  <c r="C462" i="16"/>
  <c r="C460" i="16"/>
  <c r="C458" i="16"/>
  <c r="C456" i="16"/>
  <c r="C454" i="16"/>
  <c r="C452" i="16"/>
  <c r="C450" i="16"/>
  <c r="C448" i="16"/>
  <c r="C446" i="16"/>
  <c r="C444" i="16"/>
  <c r="C442" i="16"/>
  <c r="C440" i="16"/>
  <c r="C438" i="16"/>
  <c r="C436" i="16"/>
  <c r="C434" i="16"/>
  <c r="C432" i="16"/>
  <c r="C430" i="16"/>
  <c r="C428" i="16"/>
  <c r="C426" i="16"/>
  <c r="C424" i="16"/>
  <c r="C422" i="16"/>
  <c r="C420" i="16"/>
  <c r="C418" i="16"/>
  <c r="C416" i="16"/>
  <c r="C414" i="16"/>
  <c r="C412" i="16"/>
  <c r="C410" i="16"/>
  <c r="C408" i="16"/>
  <c r="C406" i="16"/>
  <c r="C404" i="16"/>
  <c r="C402" i="16"/>
  <c r="C400" i="16"/>
  <c r="C398" i="16"/>
  <c r="C396" i="16"/>
  <c r="C394" i="16"/>
  <c r="C392" i="16"/>
  <c r="C390" i="16"/>
  <c r="C388" i="16"/>
  <c r="C386" i="16"/>
  <c r="C384" i="16"/>
  <c r="C382" i="16"/>
  <c r="C380" i="16"/>
  <c r="C378" i="16"/>
  <c r="C376" i="16"/>
  <c r="C374" i="16"/>
  <c r="C372" i="16"/>
  <c r="C370" i="16"/>
  <c r="C368" i="16"/>
  <c r="C366" i="16"/>
  <c r="C364" i="16"/>
  <c r="C362" i="16"/>
  <c r="C360" i="16"/>
  <c r="C358" i="16"/>
  <c r="C356" i="16"/>
  <c r="C354" i="16"/>
  <c r="C352" i="16"/>
  <c r="C350" i="16"/>
  <c r="C348" i="16"/>
  <c r="C346" i="16"/>
  <c r="C344" i="16"/>
  <c r="C342" i="16"/>
  <c r="C340" i="16"/>
  <c r="C338" i="16"/>
  <c r="C336" i="16"/>
  <c r="C335" i="16"/>
  <c r="C333" i="16"/>
  <c r="C331" i="16"/>
  <c r="C329" i="16"/>
  <c r="C327" i="16"/>
  <c r="C325" i="16"/>
  <c r="C323" i="16"/>
  <c r="C321" i="16"/>
  <c r="C319" i="16"/>
  <c r="C317" i="16"/>
  <c r="C315" i="16"/>
  <c r="C313" i="16"/>
  <c r="C311" i="16"/>
  <c r="C309" i="16"/>
  <c r="C307" i="16"/>
  <c r="C305" i="16"/>
  <c r="C303" i="16"/>
  <c r="C301" i="16"/>
  <c r="C299" i="16"/>
  <c r="C297" i="16"/>
  <c r="C295" i="16"/>
  <c r="C293" i="16"/>
  <c r="C291" i="16"/>
  <c r="C289" i="16"/>
  <c r="C287" i="16"/>
  <c r="C285" i="16"/>
  <c r="C283" i="16"/>
  <c r="C281" i="16"/>
  <c r="C279" i="16"/>
  <c r="C277" i="16"/>
  <c r="C275" i="16"/>
  <c r="C273" i="16"/>
  <c r="C271" i="16"/>
  <c r="C269" i="16"/>
  <c r="C267" i="16"/>
  <c r="C265" i="16"/>
  <c r="C263" i="16"/>
  <c r="C261" i="16"/>
  <c r="C259" i="16"/>
  <c r="C257" i="16"/>
  <c r="C255" i="16"/>
  <c r="C253" i="16"/>
  <c r="C251" i="16"/>
  <c r="C249" i="16"/>
  <c r="C247" i="16"/>
  <c r="C245" i="16"/>
  <c r="C243" i="16"/>
  <c r="C241" i="16"/>
  <c r="C239" i="16"/>
  <c r="C237" i="16"/>
  <c r="C235" i="16"/>
  <c r="C233" i="16"/>
  <c r="C231" i="16"/>
  <c r="C229" i="16"/>
  <c r="C227" i="16"/>
  <c r="C225" i="16"/>
  <c r="C223" i="16"/>
  <c r="C221" i="16"/>
  <c r="C219" i="16"/>
  <c r="C217" i="16"/>
  <c r="C215" i="16"/>
  <c r="C213" i="16"/>
  <c r="C211" i="16"/>
  <c r="C209" i="16"/>
  <c r="C207" i="16"/>
  <c r="C205" i="16"/>
  <c r="C203" i="16"/>
  <c r="C201" i="16"/>
  <c r="C199" i="16"/>
  <c r="C197" i="16"/>
  <c r="C195" i="16"/>
  <c r="C193" i="16"/>
  <c r="C191" i="16"/>
  <c r="C189" i="16"/>
  <c r="C187" i="16"/>
  <c r="C185" i="16"/>
  <c r="C183" i="16"/>
  <c r="C181" i="16"/>
  <c r="C179" i="16"/>
  <c r="C177" i="16"/>
  <c r="C175" i="16"/>
  <c r="C173" i="16"/>
  <c r="C171" i="16"/>
  <c r="C169" i="16"/>
  <c r="C167" i="16"/>
  <c r="C337" i="16"/>
  <c r="C27" i="16"/>
  <c r="C19" i="16"/>
  <c r="C11" i="16"/>
  <c r="C339" i="16"/>
  <c r="C334" i="16"/>
  <c r="C332" i="16"/>
  <c r="C330" i="16"/>
  <c r="C328" i="16"/>
  <c r="C326" i="16"/>
  <c r="C324" i="16"/>
  <c r="C322" i="16"/>
  <c r="C320" i="16"/>
  <c r="C318" i="16"/>
  <c r="C316" i="16"/>
  <c r="C314" i="16"/>
  <c r="C312" i="16"/>
  <c r="C310" i="16"/>
  <c r="C308" i="16"/>
  <c r="C306" i="16"/>
  <c r="C304" i="16"/>
  <c r="C302" i="16"/>
  <c r="C300" i="16"/>
  <c r="C298" i="16"/>
  <c r="C296" i="16"/>
  <c r="C294" i="16"/>
  <c r="C292" i="16"/>
  <c r="C290" i="16"/>
  <c r="C288" i="16"/>
  <c r="C286" i="16"/>
  <c r="C284" i="16"/>
  <c r="C282" i="16"/>
  <c r="C280" i="16"/>
  <c r="C278" i="16"/>
  <c r="C276" i="16"/>
  <c r="C274" i="16"/>
  <c r="C272" i="16"/>
  <c r="C270" i="16"/>
  <c r="C268" i="16"/>
  <c r="C266" i="16"/>
  <c r="C264" i="16"/>
  <c r="C262" i="16"/>
  <c r="C260" i="16"/>
  <c r="C258" i="16"/>
  <c r="C256" i="16"/>
  <c r="C254" i="16"/>
  <c r="C252" i="16"/>
  <c r="C250" i="16"/>
  <c r="C248" i="16"/>
  <c r="C246" i="16"/>
  <c r="C244" i="16"/>
  <c r="C242" i="16"/>
  <c r="C240" i="16"/>
  <c r="C238" i="16"/>
  <c r="C236" i="16"/>
  <c r="C234" i="16"/>
  <c r="C232" i="16"/>
  <c r="C230" i="16"/>
  <c r="C228" i="16"/>
  <c r="C226" i="16"/>
  <c r="C224" i="16"/>
  <c r="C222" i="16"/>
  <c r="C220" i="16"/>
  <c r="C218" i="16"/>
  <c r="C216" i="16"/>
  <c r="C214" i="16"/>
  <c r="C212" i="16"/>
  <c r="C210" i="16"/>
  <c r="C208" i="16"/>
  <c r="C206" i="16"/>
  <c r="C204" i="16"/>
  <c r="C202" i="16"/>
  <c r="C200" i="16"/>
  <c r="C198" i="16"/>
  <c r="C196" i="16"/>
  <c r="C194" i="16"/>
  <c r="C192" i="16"/>
  <c r="C190" i="16"/>
  <c r="C188" i="16"/>
  <c r="C186" i="16"/>
  <c r="C184" i="16"/>
  <c r="C182" i="16"/>
  <c r="C180" i="16"/>
  <c r="C178" i="16"/>
  <c r="C176" i="16"/>
  <c r="C174" i="16"/>
  <c r="C172" i="16"/>
  <c r="C170" i="16"/>
  <c r="C168" i="16"/>
  <c r="C166" i="16"/>
  <c r="C164" i="16"/>
  <c r="C162" i="16"/>
  <c r="C160" i="16"/>
  <c r="C158" i="16"/>
  <c r="C156" i="16"/>
  <c r="C154" i="16"/>
  <c r="C152" i="16"/>
  <c r="C150" i="16"/>
  <c r="C165" i="16"/>
  <c r="C157" i="16"/>
  <c r="C149" i="16"/>
  <c r="C147" i="16"/>
  <c r="C145" i="16"/>
  <c r="C143" i="16"/>
  <c r="C141" i="16"/>
  <c r="C139" i="16"/>
  <c r="C137" i="16"/>
  <c r="C135" i="16"/>
  <c r="C133" i="16"/>
  <c r="C131" i="16"/>
  <c r="C129" i="16"/>
  <c r="C127" i="16"/>
  <c r="C125" i="16"/>
  <c r="C123" i="16"/>
  <c r="C121" i="16"/>
  <c r="C119" i="16"/>
  <c r="C117" i="16"/>
  <c r="C115" i="16"/>
  <c r="C113" i="16"/>
  <c r="C111" i="16"/>
  <c r="C109" i="16"/>
  <c r="C107" i="16"/>
  <c r="C105" i="16"/>
  <c r="C103" i="16"/>
  <c r="C101" i="16"/>
  <c r="C99" i="16"/>
  <c r="C97" i="16"/>
  <c r="C95" i="16"/>
  <c r="C93" i="16"/>
  <c r="C91" i="16"/>
  <c r="C89" i="16"/>
  <c r="C87" i="16"/>
  <c r="C85" i="16"/>
  <c r="C83" i="16"/>
  <c r="C81" i="16"/>
  <c r="C79" i="16"/>
  <c r="C77" i="16"/>
  <c r="C75" i="16"/>
  <c r="C73" i="16"/>
  <c r="C71" i="16"/>
  <c r="C69" i="16"/>
  <c r="C67" i="16"/>
  <c r="C65" i="16"/>
  <c r="C63" i="16"/>
  <c r="C61" i="16"/>
  <c r="C59" i="16"/>
  <c r="C57" i="16"/>
  <c r="C55" i="16"/>
  <c r="C53" i="16"/>
  <c r="C51" i="16"/>
  <c r="C49" i="16"/>
  <c r="C47" i="16"/>
  <c r="C45" i="16"/>
  <c r="C43" i="16"/>
  <c r="C41" i="16"/>
  <c r="C39" i="16"/>
  <c r="C37" i="16"/>
  <c r="C35" i="16"/>
  <c r="C34" i="16"/>
  <c r="C33" i="16"/>
  <c r="C32" i="16"/>
  <c r="C13" i="16"/>
  <c r="C7" i="16"/>
  <c r="C159" i="16"/>
  <c r="C151" i="16"/>
  <c r="C21" i="16"/>
  <c r="C15" i="16"/>
  <c r="C9" i="16"/>
  <c r="C161" i="16"/>
  <c r="C153" i="16"/>
  <c r="C148" i="16"/>
  <c r="C146" i="16"/>
  <c r="C144" i="16"/>
  <c r="C142" i="16"/>
  <c r="C140" i="16"/>
  <c r="C138" i="16"/>
  <c r="C136" i="16"/>
  <c r="C134" i="16"/>
  <c r="C132" i="16"/>
  <c r="C130" i="16"/>
  <c r="C128" i="16"/>
  <c r="C126" i="16"/>
  <c r="C124" i="16"/>
  <c r="C122" i="16"/>
  <c r="C120" i="16"/>
  <c r="C118" i="16"/>
  <c r="C116" i="16"/>
  <c r="C114" i="16"/>
  <c r="C112" i="16"/>
  <c r="C110" i="16"/>
  <c r="C108" i="16"/>
  <c r="C106" i="16"/>
  <c r="C104" i="16"/>
  <c r="C102" i="16"/>
  <c r="C100" i="16"/>
  <c r="C98" i="16"/>
  <c r="C96" i="16"/>
  <c r="C94" i="16"/>
  <c r="C92" i="16"/>
  <c r="C90" i="16"/>
  <c r="C88" i="16"/>
  <c r="C86" i="16"/>
  <c r="C84" i="16"/>
  <c r="C82" i="16"/>
  <c r="C80" i="16"/>
  <c r="C78" i="16"/>
  <c r="C76" i="16"/>
  <c r="C74" i="16"/>
  <c r="C72" i="16"/>
  <c r="C70" i="16"/>
  <c r="C68" i="16"/>
  <c r="C66" i="16"/>
  <c r="C64" i="16"/>
  <c r="C62" i="16"/>
  <c r="C60" i="16"/>
  <c r="C58" i="16"/>
  <c r="C56" i="16"/>
  <c r="C54" i="16"/>
  <c r="C52" i="16"/>
  <c r="C50" i="16"/>
  <c r="C48" i="16"/>
  <c r="C46" i="16"/>
  <c r="C44" i="16"/>
  <c r="C42" i="16"/>
  <c r="C40" i="16"/>
  <c r="C38" i="16"/>
  <c r="C36" i="16"/>
  <c r="J32" i="16"/>
  <c r="G32" i="16" s="1"/>
  <c r="G31" i="16"/>
  <c r="C29" i="16"/>
  <c r="C23" i="16"/>
  <c r="C17" i="16"/>
  <c r="C163" i="16"/>
  <c r="C25" i="16"/>
  <c r="C155" i="16"/>
  <c r="C31" i="16"/>
  <c r="C5" i="16"/>
  <c r="C106" i="11"/>
  <c r="C112" i="11" s="1"/>
  <c r="C118" i="11" s="1"/>
  <c r="C111" i="11"/>
  <c r="C117" i="11" s="1"/>
  <c r="C109" i="11"/>
  <c r="C115" i="11" s="1"/>
  <c r="C121" i="11" s="1"/>
  <c r="F17" i="15"/>
  <c r="D18" i="4" s="1"/>
  <c r="G17" i="12"/>
  <c r="C315" i="13"/>
  <c r="M86" i="11"/>
  <c r="H20" i="11"/>
  <c r="E18" i="11"/>
  <c r="H18" i="11" s="1"/>
  <c r="E20" i="11"/>
  <c r="H22" i="8"/>
  <c r="H22" i="9"/>
  <c r="I5" i="11"/>
  <c r="E61" i="7"/>
  <c r="F61" i="7" s="1"/>
  <c r="E61" i="6"/>
  <c r="F61" i="6" s="1"/>
  <c r="M5" i="11"/>
  <c r="K5" i="11"/>
  <c r="G33" i="16"/>
  <c r="F117" i="15"/>
  <c r="F116" i="15"/>
  <c r="F115" i="15"/>
  <c r="D11" i="4"/>
  <c r="I186" i="2"/>
  <c r="I191" i="2"/>
  <c r="H191" i="2" s="1"/>
  <c r="Q180" i="2" s="1"/>
  <c r="F102" i="4" s="1"/>
  <c r="D242" i="2"/>
  <c r="C242" i="2" s="1"/>
  <c r="C21" i="5" s="1"/>
  <c r="F114" i="15"/>
  <c r="G114" i="15" s="1"/>
  <c r="D12" i="4"/>
  <c r="K253" i="2"/>
  <c r="Q184" i="2"/>
  <c r="K254" i="2" s="1"/>
  <c r="C8" i="9"/>
  <c r="C8" i="8"/>
  <c r="D116" i="7"/>
  <c r="D117" i="6"/>
  <c r="D116" i="6"/>
  <c r="D118" i="7"/>
  <c r="D117" i="7"/>
  <c r="D121" i="7"/>
  <c r="D8" i="7"/>
  <c r="D121" i="6"/>
  <c r="D118" i="6"/>
  <c r="D8" i="6"/>
  <c r="F113" i="15"/>
  <c r="G113" i="15" s="1"/>
  <c r="D13" i="4"/>
  <c r="F123" i="5" l="1"/>
  <c r="O184" i="2"/>
  <c r="I254" i="2" s="1"/>
  <c r="E118" i="6"/>
  <c r="L200" i="13"/>
  <c r="E118" i="7"/>
  <c r="C342" i="13"/>
  <c r="J253" i="2"/>
  <c r="P184" i="2"/>
  <c r="J254" i="2" s="1"/>
  <c r="L5" i="11"/>
  <c r="K18" i="11"/>
  <c r="H17" i="9"/>
  <c r="H17" i="6"/>
  <c r="H17" i="8"/>
  <c r="H17" i="7"/>
  <c r="H15" i="9"/>
  <c r="H15" i="6"/>
  <c r="H15" i="8"/>
  <c r="H15" i="7"/>
  <c r="H64" i="6"/>
  <c r="H64" i="7"/>
  <c r="K20" i="11"/>
  <c r="N20" i="11" s="1"/>
  <c r="I20" i="11"/>
  <c r="L20" i="11" s="1"/>
  <c r="G7" i="11"/>
  <c r="P95" i="11"/>
  <c r="S53" i="11"/>
  <c r="E8" i="11"/>
  <c r="H32" i="9"/>
  <c r="H32" i="8"/>
  <c r="G27" i="12"/>
  <c r="F26" i="15"/>
  <c r="H25" i="7"/>
  <c r="H25" i="6"/>
  <c r="M59" i="9"/>
  <c r="I64" i="6"/>
  <c r="I64" i="7"/>
  <c r="I18" i="11"/>
  <c r="G68" i="12"/>
  <c r="P100" i="11"/>
  <c r="E183" i="3"/>
  <c r="H115" i="11"/>
  <c r="K121" i="11" s="1"/>
  <c r="K108" i="11" s="1"/>
  <c r="K92" i="11" s="1"/>
  <c r="K93" i="11" s="1"/>
  <c r="I15" i="10"/>
  <c r="D60" i="4"/>
  <c r="Q1" i="2"/>
  <c r="D62" i="4"/>
  <c r="H185" i="2"/>
  <c r="P179" i="2" s="1"/>
  <c r="E101" i="4" s="1"/>
  <c r="I184" i="2"/>
  <c r="I185" i="2"/>
  <c r="H184" i="2"/>
  <c r="O179" i="2" s="1"/>
  <c r="D101" i="4" s="1"/>
  <c r="G42" i="12"/>
  <c r="F41" i="15" s="1"/>
  <c r="E16" i="3"/>
  <c r="R184" i="2"/>
  <c r="R182" i="2"/>
  <c r="R181" i="2"/>
  <c r="F82" i="4"/>
  <c r="H236" i="2"/>
  <c r="N5" i="11"/>
  <c r="M96" i="11"/>
  <c r="M82" i="11"/>
  <c r="M87" i="11" s="1"/>
  <c r="H16" i="9"/>
  <c r="H16" i="8"/>
  <c r="H16" i="6"/>
  <c r="H16" i="7"/>
  <c r="H26" i="6"/>
  <c r="F27" i="15"/>
  <c r="H33" i="9"/>
  <c r="H26" i="7"/>
  <c r="H33" i="8"/>
  <c r="G28" i="12"/>
  <c r="H11" i="9"/>
  <c r="H11" i="8"/>
  <c r="H11" i="6"/>
  <c r="H11" i="7"/>
  <c r="P242" i="2"/>
  <c r="D256" i="2"/>
  <c r="J242" i="2"/>
  <c r="R166" i="2" s="1"/>
  <c r="H9" i="9"/>
  <c r="H9" i="8"/>
  <c r="H9" i="7"/>
  <c r="H9" i="6"/>
  <c r="P225" i="2"/>
  <c r="J225" i="2"/>
  <c r="N166" i="2" s="1"/>
  <c r="H10" i="9"/>
  <c r="H10" i="6"/>
  <c r="H10" i="8"/>
  <c r="H10" i="7"/>
  <c r="I61" i="7" l="1"/>
  <c r="I61" i="6"/>
  <c r="Y188" i="2"/>
  <c r="AF189" i="2"/>
  <c r="Y189" i="2"/>
  <c r="AF188" i="2"/>
  <c r="Y190" i="2"/>
  <c r="AF190" i="2"/>
  <c r="D14" i="10"/>
  <c r="L15" i="10"/>
  <c r="M97" i="11"/>
  <c r="M110" i="11" s="1"/>
  <c r="M83" i="11"/>
  <c r="M88" i="11" s="1"/>
  <c r="M84" i="11" s="1"/>
  <c r="M99" i="11"/>
  <c r="M112" i="11" s="1"/>
  <c r="L18" i="11"/>
  <c r="N18" i="11"/>
  <c r="M109" i="11"/>
  <c r="M98" i="11"/>
  <c r="M111" i="11" s="1"/>
  <c r="G43" i="12"/>
  <c r="F42" i="15" s="1"/>
  <c r="E18" i="3"/>
  <c r="G45" i="12" s="1"/>
  <c r="F44" i="15" s="1"/>
  <c r="E17" i="3"/>
  <c r="G44" i="12" s="1"/>
  <c r="F43" i="15" s="1"/>
  <c r="Q149" i="2"/>
  <c r="Q145" i="2"/>
  <c r="Q140" i="2"/>
  <c r="Q133" i="2"/>
  <c r="Q129" i="2"/>
  <c r="Q125" i="2"/>
  <c r="Q116" i="2"/>
  <c r="Q112" i="2"/>
  <c r="Q108" i="2"/>
  <c r="Q104" i="2"/>
  <c r="Q100" i="2"/>
  <c r="Q96" i="2"/>
  <c r="Q92" i="2"/>
  <c r="Q88" i="2"/>
  <c r="Q87" i="2"/>
  <c r="Q80" i="2"/>
  <c r="Q76" i="2"/>
  <c r="Q71" i="2"/>
  <c r="Q66" i="2"/>
  <c r="Q65" i="2"/>
  <c r="Q151" i="2"/>
  <c r="Q150" i="2"/>
  <c r="Q146" i="2"/>
  <c r="Q141" i="2"/>
  <c r="Q134" i="2"/>
  <c r="Q130" i="2"/>
  <c r="Q126" i="2"/>
  <c r="Q117" i="2"/>
  <c r="Q113" i="2"/>
  <c r="Q109" i="2"/>
  <c r="Q105" i="2"/>
  <c r="Q101" i="2"/>
  <c r="Q97" i="2"/>
  <c r="Q93" i="2"/>
  <c r="Q89" i="2"/>
  <c r="Q81" i="2"/>
  <c r="Q77" i="2"/>
  <c r="Q73" i="2"/>
  <c r="Q72" i="2"/>
  <c r="Q62" i="2"/>
  <c r="Q58" i="2"/>
  <c r="Q54" i="2"/>
  <c r="Q50" i="2"/>
  <c r="Q46" i="2"/>
  <c r="Q44" i="2"/>
  <c r="Q152" i="2"/>
  <c r="Q147" i="2"/>
  <c r="Q143" i="2"/>
  <c r="Q142" i="2"/>
  <c r="Q135" i="2"/>
  <c r="Q131" i="2"/>
  <c r="Q127" i="2"/>
  <c r="Q121" i="2"/>
  <c r="Q120" i="2"/>
  <c r="Q119" i="2"/>
  <c r="Q118" i="2"/>
  <c r="Q114" i="2"/>
  <c r="Q110" i="2"/>
  <c r="Q106" i="2"/>
  <c r="Q102" i="2"/>
  <c r="Q98" i="2"/>
  <c r="Q94" i="2"/>
  <c r="Q90" i="2"/>
  <c r="Q85" i="2"/>
  <c r="Q84" i="2"/>
  <c r="Q83" i="2"/>
  <c r="Q82" i="2"/>
  <c r="Q78" i="2"/>
  <c r="Q74" i="2"/>
  <c r="Q68" i="2"/>
  <c r="Q63" i="2"/>
  <c r="Q59" i="2"/>
  <c r="Q55" i="2"/>
  <c r="Q51" i="2"/>
  <c r="Q47" i="2"/>
  <c r="Q45" i="2"/>
  <c r="Q148" i="2"/>
  <c r="Q111" i="2"/>
  <c r="Q103" i="2"/>
  <c r="Q95" i="2"/>
  <c r="Q75" i="2"/>
  <c r="Q70" i="2"/>
  <c r="Q67" i="2"/>
  <c r="Q43" i="2"/>
  <c r="Q40" i="2"/>
  <c r="Q22" i="2"/>
  <c r="Q20" i="2"/>
  <c r="Q18" i="2"/>
  <c r="Q15" i="2"/>
  <c r="Q13" i="2"/>
  <c r="Q139" i="2"/>
  <c r="Q137" i="2"/>
  <c r="Q132" i="2"/>
  <c r="Q124" i="2"/>
  <c r="Q64" i="2"/>
  <c r="Q60" i="2"/>
  <c r="Q56" i="2"/>
  <c r="Q52" i="2"/>
  <c r="Q48" i="2"/>
  <c r="Q41" i="2"/>
  <c r="Q37" i="2"/>
  <c r="Q33" i="2"/>
  <c r="Q29" i="2"/>
  <c r="Q24" i="2"/>
  <c r="Q9" i="2"/>
  <c r="Q8" i="2"/>
  <c r="Q7" i="2"/>
  <c r="Q6" i="2"/>
  <c r="Q5" i="2"/>
  <c r="Q4" i="2"/>
  <c r="Q3" i="2"/>
  <c r="S1" i="2"/>
  <c r="R1" i="2" s="1"/>
  <c r="Q144" i="2"/>
  <c r="Q79" i="2"/>
  <c r="Q34" i="2"/>
  <c r="Q30" i="2"/>
  <c r="Q25" i="2"/>
  <c r="Q16" i="2"/>
  <c r="Q11" i="2"/>
  <c r="Q115" i="2"/>
  <c r="Q107" i="2"/>
  <c r="Q99" i="2"/>
  <c r="Q91" i="2"/>
  <c r="Q42" i="2"/>
  <c r="Q38" i="2"/>
  <c r="Q26" i="2"/>
  <c r="Q10" i="2"/>
  <c r="Q2" i="2"/>
  <c r="Q138" i="2"/>
  <c r="Q136" i="2"/>
  <c r="Q128" i="2"/>
  <c r="Q122" i="2"/>
  <c r="Q86" i="2"/>
  <c r="Q69" i="2"/>
  <c r="Q61" i="2"/>
  <c r="Q57" i="2"/>
  <c r="Q53" i="2"/>
  <c r="Q49" i="2"/>
  <c r="Q39" i="2"/>
  <c r="Q35" i="2"/>
  <c r="Q31" i="2"/>
  <c r="Q27" i="2"/>
  <c r="Q123" i="2"/>
  <c r="Q36" i="2"/>
  <c r="Q32" i="2"/>
  <c r="Q28" i="2"/>
  <c r="Q23" i="2"/>
  <c r="Q21" i="2"/>
  <c r="Q19" i="2"/>
  <c r="Q17" i="2"/>
  <c r="Q14" i="2"/>
  <c r="Q12" i="2"/>
  <c r="Y225" i="2"/>
  <c r="Y223" i="2"/>
  <c r="Y226" i="2"/>
  <c r="Y224" i="2"/>
  <c r="D7" i="10"/>
  <c r="D6" i="10"/>
  <c r="J63" i="11"/>
  <c r="J51" i="11"/>
  <c r="F8" i="11"/>
  <c r="E12" i="11"/>
  <c r="G12" i="11" s="1"/>
  <c r="G61" i="7"/>
  <c r="G61" i="6"/>
  <c r="Y228" i="2" l="1"/>
  <c r="G64" i="11"/>
  <c r="G65" i="11" s="1"/>
  <c r="G66" i="11" s="1"/>
  <c r="G8" i="11"/>
  <c r="G9" i="11" s="1"/>
  <c r="D203" i="2"/>
  <c r="G48" i="11"/>
  <c r="G49" i="11" s="1"/>
  <c r="G50" i="11" s="1"/>
  <c r="I9" i="11"/>
  <c r="H9" i="11"/>
  <c r="K9" i="11"/>
  <c r="C66" i="10"/>
  <c r="C414" i="10"/>
  <c r="C401" i="10"/>
  <c r="C338" i="10"/>
  <c r="D338" i="10" s="1"/>
  <c r="E338" i="10" s="1"/>
  <c r="C268" i="10"/>
  <c r="C314" i="10"/>
  <c r="C226" i="10"/>
  <c r="C203" i="10"/>
  <c r="D203" i="10" s="1"/>
  <c r="E203" i="10" s="1"/>
  <c r="C83" i="10"/>
  <c r="C204" i="10"/>
  <c r="C90" i="10"/>
  <c r="C299" i="10"/>
  <c r="D299" i="10" s="1"/>
  <c r="E299" i="10" s="1"/>
  <c r="C138" i="10"/>
  <c r="C174" i="10"/>
  <c r="C77" i="10"/>
  <c r="D77" i="10" s="1"/>
  <c r="E77" i="10" s="1"/>
  <c r="C127" i="10"/>
  <c r="D127" i="10" s="1"/>
  <c r="E127" i="10" s="1"/>
  <c r="C143" i="10"/>
  <c r="C134" i="10"/>
  <c r="C386" i="10"/>
  <c r="D386" i="10" s="1"/>
  <c r="E386" i="10" s="1"/>
  <c r="C397" i="10"/>
  <c r="D397" i="10" s="1"/>
  <c r="E397" i="10" s="1"/>
  <c r="C351" i="10"/>
  <c r="C368" i="10"/>
  <c r="C282" i="10"/>
  <c r="C194" i="10"/>
  <c r="D194" i="10" s="1"/>
  <c r="E194" i="10" s="1"/>
  <c r="C344" i="10"/>
  <c r="C51" i="10"/>
  <c r="C169" i="10"/>
  <c r="D169" i="10" s="1"/>
  <c r="E169" i="10" s="1"/>
  <c r="C76" i="10"/>
  <c r="D76" i="10" s="1"/>
  <c r="E76" i="10" s="1"/>
  <c r="C209" i="10"/>
  <c r="C122" i="10"/>
  <c r="C92" i="10"/>
  <c r="D92" i="10" s="1"/>
  <c r="E92" i="10" s="1"/>
  <c r="C50" i="10"/>
  <c r="D50" i="10" s="1"/>
  <c r="E50" i="10" s="1"/>
  <c r="C423" i="10"/>
  <c r="C411" i="10"/>
  <c r="C353" i="10"/>
  <c r="C332" i="10"/>
  <c r="D332" i="10" s="1"/>
  <c r="E332" i="10" s="1"/>
  <c r="C313" i="10"/>
  <c r="C250" i="10"/>
  <c r="C291" i="10"/>
  <c r="D291" i="10" s="1"/>
  <c r="E291" i="10" s="1"/>
  <c r="C144" i="10"/>
  <c r="D144" i="10" s="1"/>
  <c r="E144" i="10" s="1"/>
  <c r="C287" i="10"/>
  <c r="C137" i="10"/>
  <c r="C60" i="10"/>
  <c r="C170" i="10"/>
  <c r="D170" i="10" s="1"/>
  <c r="E170" i="10" s="1"/>
  <c r="C97" i="10"/>
  <c r="C273" i="10"/>
  <c r="C45" i="10"/>
  <c r="C57" i="10"/>
  <c r="D57" i="10" s="1"/>
  <c r="E57" i="10" s="1"/>
  <c r="C446" i="10"/>
  <c r="C424" i="10"/>
  <c r="C370" i="10"/>
  <c r="D370" i="10" s="1"/>
  <c r="E370" i="10" s="1"/>
  <c r="C300" i="10"/>
  <c r="D300" i="10" s="1"/>
  <c r="E300" i="10" s="1"/>
  <c r="C381" i="10"/>
  <c r="C263" i="10"/>
  <c r="C235" i="10"/>
  <c r="D235" i="10" s="1"/>
  <c r="E235" i="10" s="1"/>
  <c r="C112" i="10"/>
  <c r="D112" i="10" s="1"/>
  <c r="E112" i="10" s="1"/>
  <c r="C236" i="10"/>
  <c r="C102" i="10"/>
  <c r="C44" i="10"/>
  <c r="D44" i="10" s="1"/>
  <c r="E44" i="10" s="1"/>
  <c r="C154" i="10"/>
  <c r="D154" i="10" s="1"/>
  <c r="E154" i="10" s="1"/>
  <c r="C233" i="10"/>
  <c r="C192" i="10"/>
  <c r="C303" i="10"/>
  <c r="D303" i="10" s="1"/>
  <c r="E303" i="10" s="1"/>
  <c r="C61" i="10"/>
  <c r="D61" i="10" s="1"/>
  <c r="E61" i="10" s="1"/>
  <c r="C142" i="10"/>
  <c r="C62" i="10"/>
  <c r="C150" i="10"/>
  <c r="D150" i="10" s="1"/>
  <c r="E150" i="10" s="1"/>
  <c r="C123" i="10"/>
  <c r="D123" i="10" s="1"/>
  <c r="E123" i="10" s="1"/>
  <c r="C225" i="10"/>
  <c r="C80" i="10"/>
  <c r="C173" i="10"/>
  <c r="D173" i="10" s="1"/>
  <c r="E173" i="10" s="1"/>
  <c r="C55" i="10"/>
  <c r="D55" i="10" s="1"/>
  <c r="E55" i="10" s="1"/>
  <c r="C175" i="10"/>
  <c r="C198" i="10"/>
  <c r="C286" i="10"/>
  <c r="D286" i="10" s="1"/>
  <c r="E286" i="10" s="1"/>
  <c r="C380" i="10"/>
  <c r="D380" i="10" s="1"/>
  <c r="E380" i="10" s="1"/>
  <c r="C355" i="10"/>
  <c r="C379" i="10"/>
  <c r="C390" i="10"/>
  <c r="C38" i="10"/>
  <c r="D38" i="10" s="1"/>
  <c r="E38" i="10" s="1"/>
  <c r="C158" i="10"/>
  <c r="C106" i="10"/>
  <c r="C201" i="10"/>
  <c r="D201" i="10" s="1"/>
  <c r="E201" i="10" s="1"/>
  <c r="C146" i="10"/>
  <c r="D146" i="10" s="1"/>
  <c r="E146" i="10" s="1"/>
  <c r="C36" i="10"/>
  <c r="C95" i="10"/>
  <c r="C220" i="10"/>
  <c r="D220" i="10" s="1"/>
  <c r="E220" i="10" s="1"/>
  <c r="C87" i="10"/>
  <c r="D87" i="10" s="1"/>
  <c r="E87" i="10" s="1"/>
  <c r="C219" i="10"/>
  <c r="C242" i="10"/>
  <c r="C330" i="10"/>
  <c r="D330" i="10" s="1"/>
  <c r="E330" i="10" s="1"/>
  <c r="C284" i="10"/>
  <c r="D284" i="10" s="1"/>
  <c r="E284" i="10" s="1"/>
  <c r="C354" i="10"/>
  <c r="C387" i="10"/>
  <c r="C429" i="10"/>
  <c r="D429" i="10" s="1"/>
  <c r="E429" i="10" s="1"/>
  <c r="C119" i="10"/>
  <c r="C54" i="10"/>
  <c r="C135" i="10"/>
  <c r="C115" i="10"/>
  <c r="C193" i="10"/>
  <c r="D193" i="10" s="1"/>
  <c r="E193" i="10" s="1"/>
  <c r="C72" i="10"/>
  <c r="C157" i="10"/>
  <c r="C39" i="10"/>
  <c r="D39" i="10" s="1"/>
  <c r="E39" i="10" s="1"/>
  <c r="C164" i="10"/>
  <c r="D164" i="10" s="1"/>
  <c r="E164" i="10" s="1"/>
  <c r="C182" i="10"/>
  <c r="C270" i="10"/>
  <c r="C333" i="10"/>
  <c r="D333" i="10" s="1"/>
  <c r="E333" i="10" s="1"/>
  <c r="C339" i="10"/>
  <c r="D339" i="10" s="1"/>
  <c r="E339" i="10" s="1"/>
  <c r="C373" i="10"/>
  <c r="C437" i="10"/>
  <c r="C443" i="10"/>
  <c r="D443" i="10" s="1"/>
  <c r="E443" i="10" s="1"/>
  <c r="C49" i="10"/>
  <c r="D49" i="10" s="1"/>
  <c r="E49" i="10" s="1"/>
  <c r="C65" i="10"/>
  <c r="C435" i="10"/>
  <c r="C436" i="10"/>
  <c r="D436" i="10" s="1"/>
  <c r="E436" i="10" s="1"/>
  <c r="C420" i="10"/>
  <c r="D420" i="10" s="1"/>
  <c r="E420" i="10" s="1"/>
  <c r="C385" i="10"/>
  <c r="C365" i="10"/>
  <c r="C350" i="10"/>
  <c r="D350" i="10" s="1"/>
  <c r="E350" i="10" s="1"/>
  <c r="C372" i="10"/>
  <c r="C280" i="10"/>
  <c r="C325" i="10"/>
  <c r="C326" i="10"/>
  <c r="C262" i="10"/>
  <c r="C238" i="10"/>
  <c r="C376" i="10"/>
  <c r="C215" i="10"/>
  <c r="D215" i="10" s="1"/>
  <c r="E215" i="10" s="1"/>
  <c r="C156" i="10"/>
  <c r="C86" i="10"/>
  <c r="C32" i="10"/>
  <c r="C213" i="10"/>
  <c r="D213" i="10" s="1"/>
  <c r="E213" i="10" s="1"/>
  <c r="C149" i="10"/>
  <c r="C81" i="10"/>
  <c r="C431" i="10"/>
  <c r="C425" i="10"/>
  <c r="C418" i="10"/>
  <c r="D418" i="10" s="1"/>
  <c r="E418" i="10" s="1"/>
  <c r="C409" i="10"/>
  <c r="C361" i="10"/>
  <c r="C346" i="10"/>
  <c r="D346" i="10" s="1"/>
  <c r="E346" i="10" s="1"/>
  <c r="C356" i="10"/>
  <c r="C276" i="10"/>
  <c r="C321" i="10"/>
  <c r="C322" i="10"/>
  <c r="C258" i="10"/>
  <c r="C234" i="10"/>
  <c r="C323" i="10"/>
  <c r="C211" i="10"/>
  <c r="D211" i="10" s="1"/>
  <c r="E211" i="10" s="1"/>
  <c r="C152" i="10"/>
  <c r="D152" i="10" s="1"/>
  <c r="E152" i="10" s="1"/>
  <c r="C85" i="10"/>
  <c r="C319" i="10"/>
  <c r="C212" i="10"/>
  <c r="C145" i="10"/>
  <c r="D145" i="10" s="1"/>
  <c r="E145" i="10" s="1"/>
  <c r="C151" i="10"/>
  <c r="C78" i="10"/>
  <c r="C185" i="10"/>
  <c r="C139" i="10"/>
  <c r="D139" i="10" s="1"/>
  <c r="E139" i="10" s="1"/>
  <c r="C33" i="10"/>
  <c r="C91" i="10"/>
  <c r="C205" i="10"/>
  <c r="D205" i="10" s="1"/>
  <c r="E205" i="10" s="1"/>
  <c r="C84" i="10"/>
  <c r="C207" i="10"/>
  <c r="C230" i="10"/>
  <c r="C318" i="10"/>
  <c r="D318" i="10" s="1"/>
  <c r="E318" i="10" s="1"/>
  <c r="C272" i="10"/>
  <c r="D272" i="10" s="1"/>
  <c r="E272" i="10" s="1"/>
  <c r="C342" i="10"/>
  <c r="C408" i="10"/>
  <c r="C416" i="10"/>
  <c r="D416" i="10" s="1"/>
  <c r="E416" i="10" s="1"/>
  <c r="C105" i="10"/>
  <c r="D105" i="10" s="1"/>
  <c r="E105" i="10" s="1"/>
  <c r="C34" i="10"/>
  <c r="C224" i="10"/>
  <c r="C41" i="10"/>
  <c r="D41" i="10" s="1"/>
  <c r="E41" i="10" s="1"/>
  <c r="C162" i="10"/>
  <c r="D162" i="10" s="1"/>
  <c r="E162" i="10" s="1"/>
  <c r="C52" i="10"/>
  <c r="C121" i="10"/>
  <c r="C265" i="10"/>
  <c r="D265" i="10" s="1"/>
  <c r="E265" i="10" s="1"/>
  <c r="C128" i="10"/>
  <c r="C253" i="10"/>
  <c r="C311" i="10"/>
  <c r="C297" i="10"/>
  <c r="C316" i="10"/>
  <c r="D316" i="10" s="1"/>
  <c r="E316" i="10" s="1"/>
  <c r="C337" i="10"/>
  <c r="C395" i="10"/>
  <c r="C442" i="10"/>
  <c r="C118" i="10"/>
  <c r="D118" i="10" s="1"/>
  <c r="E118" i="10" s="1"/>
  <c r="C70" i="10"/>
  <c r="C167" i="10"/>
  <c r="C131" i="10"/>
  <c r="D131" i="10" s="1"/>
  <c r="E131" i="10" s="1"/>
  <c r="C267" i="10"/>
  <c r="D267" i="10" s="1"/>
  <c r="E267" i="10" s="1"/>
  <c r="C89" i="10"/>
  <c r="C189" i="10"/>
  <c r="C71" i="10"/>
  <c r="D71" i="10" s="1"/>
  <c r="E71" i="10" s="1"/>
  <c r="C191" i="10"/>
  <c r="D191" i="10" s="1"/>
  <c r="E191" i="10" s="1"/>
  <c r="C214" i="10"/>
  <c r="C302" i="10"/>
  <c r="C256" i="10"/>
  <c r="D256" i="10" s="1"/>
  <c r="E256" i="10" s="1"/>
  <c r="C371" i="10"/>
  <c r="C392" i="10"/>
  <c r="C406" i="10"/>
  <c r="C93" i="10"/>
  <c r="D93" i="10" s="1"/>
  <c r="E93" i="10" s="1"/>
  <c r="C103" i="10"/>
  <c r="D103" i="10" s="1"/>
  <c r="E103" i="10" s="1"/>
  <c r="C419" i="10"/>
  <c r="C413" i="10"/>
  <c r="C407" i="10"/>
  <c r="D407" i="10" s="1"/>
  <c r="E407" i="10" s="1"/>
  <c r="C400" i="10"/>
  <c r="D400" i="10" s="1"/>
  <c r="E400" i="10" s="1"/>
  <c r="C349" i="10"/>
  <c r="C404" i="10"/>
  <c r="C328" i="10"/>
  <c r="D328" i="10" s="1"/>
  <c r="E328" i="10" s="1"/>
  <c r="C264" i="10"/>
  <c r="D264" i="10" s="1"/>
  <c r="E264" i="10" s="1"/>
  <c r="C309" i="10"/>
  <c r="C310" i="10"/>
  <c r="C405" i="10"/>
  <c r="C222" i="10"/>
  <c r="C277" i="10"/>
  <c r="C199" i="10"/>
  <c r="C140" i="10"/>
  <c r="D140" i="10" s="1"/>
  <c r="E140" i="10" s="1"/>
  <c r="C79" i="10"/>
  <c r="D79" i="10" s="1"/>
  <c r="E79" i="10" s="1"/>
  <c r="C283" i="10"/>
  <c r="C197" i="10"/>
  <c r="C133" i="10"/>
  <c r="D133" i="10" s="1"/>
  <c r="E133" i="10" s="1"/>
  <c r="C184" i="10"/>
  <c r="C415" i="10"/>
  <c r="C410" i="10"/>
  <c r="C403" i="10"/>
  <c r="D403" i="10" s="1"/>
  <c r="E403" i="10" s="1"/>
  <c r="C393" i="10"/>
  <c r="C345" i="10"/>
  <c r="C375" i="10"/>
  <c r="C324" i="10"/>
  <c r="D324" i="10" s="1"/>
  <c r="E324" i="10" s="1"/>
  <c r="C260" i="10"/>
  <c r="D260" i="10" s="1"/>
  <c r="E260" i="10" s="1"/>
  <c r="C305" i="10"/>
  <c r="C306" i="10"/>
  <c r="C396" i="10"/>
  <c r="D396" i="10" s="1"/>
  <c r="E396" i="10" s="1"/>
  <c r="C218" i="10"/>
  <c r="C269" i="10"/>
  <c r="C195" i="10"/>
  <c r="C136" i="10"/>
  <c r="D136" i="10" s="1"/>
  <c r="E136" i="10" s="1"/>
  <c r="C75" i="10"/>
  <c r="D75" i="10" s="1"/>
  <c r="E75" i="10" s="1"/>
  <c r="C281" i="10"/>
  <c r="C196" i="10"/>
  <c r="C129" i="10"/>
  <c r="D129" i="10" s="1"/>
  <c r="E129" i="10" s="1"/>
  <c r="C216" i="10"/>
  <c r="D216" i="10" s="1"/>
  <c r="E216" i="10" s="1"/>
  <c r="C331" i="10"/>
  <c r="C208" i="10"/>
  <c r="C251" i="10"/>
  <c r="D251" i="10" s="1"/>
  <c r="E251" i="10" s="1"/>
  <c r="C155" i="10"/>
  <c r="D155" i="10" s="1"/>
  <c r="E155" i="10" s="1"/>
  <c r="C48" i="10"/>
  <c r="C109" i="10"/>
  <c r="C237" i="10"/>
  <c r="D237" i="10" s="1"/>
  <c r="E237" i="10" s="1"/>
  <c r="C116" i="10"/>
  <c r="D116" i="10" s="1"/>
  <c r="E116" i="10" s="1"/>
  <c r="C239" i="10"/>
  <c r="C271" i="10"/>
  <c r="C285" i="10"/>
  <c r="D285" i="10" s="1"/>
  <c r="E285" i="10" s="1"/>
  <c r="C304" i="10"/>
  <c r="D304" i="10" s="1"/>
  <c r="E304" i="10" s="1"/>
  <c r="C374" i="10"/>
  <c r="C426" i="10"/>
  <c r="C448" i="10"/>
  <c r="D448" i="10" s="1"/>
  <c r="E448" i="10" s="1"/>
  <c r="C110" i="10"/>
  <c r="D110" i="10" s="1"/>
  <c r="E110" i="10" s="1"/>
  <c r="C53" i="10"/>
  <c r="C126" i="10"/>
  <c r="C114" i="10"/>
  <c r="D114" i="10" s="1"/>
  <c r="E114" i="10" s="1"/>
  <c r="C177" i="10"/>
  <c r="D177" i="10" s="1"/>
  <c r="E177" i="10" s="1"/>
  <c r="C68" i="10"/>
  <c r="C153" i="10"/>
  <c r="C35" i="10"/>
  <c r="D35" i="10" s="1"/>
  <c r="E35" i="10" s="1"/>
  <c r="C160" i="10"/>
  <c r="D160" i="10" s="1"/>
  <c r="E160" i="10" s="1"/>
  <c r="C178" i="10"/>
  <c r="C266" i="10"/>
  <c r="C329" i="10"/>
  <c r="D329" i="10" s="1"/>
  <c r="E329" i="10" s="1"/>
  <c r="C335" i="10"/>
  <c r="D335" i="10" s="1"/>
  <c r="E335" i="10" s="1"/>
  <c r="C369" i="10"/>
  <c r="C433" i="10"/>
  <c r="C439" i="10"/>
  <c r="D439" i="10" s="1"/>
  <c r="E439" i="10" s="1"/>
  <c r="C166" i="10"/>
  <c r="D166" i="10" s="1"/>
  <c r="E166" i="10" s="1"/>
  <c r="C176" i="10"/>
  <c r="C217" i="10"/>
  <c r="C147" i="10"/>
  <c r="D147" i="10" s="1"/>
  <c r="E147" i="10" s="1"/>
  <c r="C40" i="10"/>
  <c r="D40" i="10" s="1"/>
  <c r="E40" i="10" s="1"/>
  <c r="C99" i="10"/>
  <c r="C221" i="10"/>
  <c r="C94" i="10"/>
  <c r="D94" i="10" s="1"/>
  <c r="E94" i="10" s="1"/>
  <c r="C223" i="10"/>
  <c r="D223" i="10" s="1"/>
  <c r="E223" i="10" s="1"/>
  <c r="C243" i="10"/>
  <c r="C334" i="10"/>
  <c r="C288" i="10"/>
  <c r="D288" i="10" s="1"/>
  <c r="E288" i="10" s="1"/>
  <c r="C358" i="10"/>
  <c r="D358" i="10" s="1"/>
  <c r="E358" i="10" s="1"/>
  <c r="C412" i="10"/>
  <c r="C430" i="10"/>
  <c r="C200" i="10"/>
  <c r="D200" i="10" s="1"/>
  <c r="E200" i="10" s="1"/>
  <c r="C74" i="10"/>
  <c r="D74" i="10" s="1"/>
  <c r="E74" i="10" s="1"/>
  <c r="C232" i="10"/>
  <c r="C441" i="10"/>
  <c r="C398" i="10"/>
  <c r="D398" i="10" s="1"/>
  <c r="E398" i="10" s="1"/>
  <c r="C391" i="10"/>
  <c r="D391" i="10" s="1"/>
  <c r="E391" i="10" s="1"/>
  <c r="C378" i="10"/>
  <c r="C389" i="10"/>
  <c r="C363" i="10"/>
  <c r="D363" i="10" s="1"/>
  <c r="E363" i="10" s="1"/>
  <c r="C312" i="10"/>
  <c r="D312" i="10" s="1"/>
  <c r="E312" i="10" s="1"/>
  <c r="C248" i="10"/>
  <c r="C293" i="10"/>
  <c r="C294" i="10"/>
  <c r="D294" i="10" s="1"/>
  <c r="E294" i="10" s="1"/>
  <c r="C295" i="10"/>
  <c r="D295" i="10" s="1"/>
  <c r="E295" i="10" s="1"/>
  <c r="C206" i="10"/>
  <c r="C247" i="10"/>
  <c r="C183" i="10"/>
  <c r="D183" i="10" s="1"/>
  <c r="E183" i="10" s="1"/>
  <c r="C124" i="10"/>
  <c r="D124" i="10" s="1"/>
  <c r="E124" i="10" s="1"/>
  <c r="C63" i="10"/>
  <c r="C259" i="10"/>
  <c r="C181" i="10"/>
  <c r="D181" i="10" s="1"/>
  <c r="E181" i="10" s="1"/>
  <c r="C117" i="10"/>
  <c r="D117" i="10" s="1"/>
  <c r="E117" i="10" s="1"/>
  <c r="C104" i="10"/>
  <c r="C428" i="10"/>
  <c r="C394" i="10"/>
  <c r="D394" i="10" s="1"/>
  <c r="E394" i="10" s="1"/>
  <c r="C434" i="10"/>
  <c r="D434" i="10" s="1"/>
  <c r="E434" i="10" s="1"/>
  <c r="C383" i="10"/>
  <c r="C384" i="10"/>
  <c r="C359" i="10"/>
  <c r="D359" i="10" s="1"/>
  <c r="E359" i="10" s="1"/>
  <c r="C308" i="10"/>
  <c r="D308" i="10" s="1"/>
  <c r="E308" i="10" s="1"/>
  <c r="C244" i="10"/>
  <c r="C289" i="10"/>
  <c r="C290" i="10"/>
  <c r="D290" i="10" s="1"/>
  <c r="E290" i="10" s="1"/>
  <c r="C279" i="10"/>
  <c r="D279" i="10" s="1"/>
  <c r="E279" i="10" s="1"/>
  <c r="C202" i="10"/>
  <c r="C246" i="10"/>
  <c r="C179" i="10"/>
  <c r="D179" i="10" s="1"/>
  <c r="E179" i="10" s="1"/>
  <c r="C120" i="10"/>
  <c r="D120" i="10" s="1"/>
  <c r="E120" i="10" s="1"/>
  <c r="C59" i="10"/>
  <c r="C249" i="10"/>
  <c r="C180" i="10"/>
  <c r="D180" i="10" s="1"/>
  <c r="E180" i="10" s="1"/>
  <c r="C113" i="10"/>
  <c r="D113" i="10" s="1"/>
  <c r="E113" i="10" s="1"/>
  <c r="C37" i="10"/>
  <c r="C46" i="10"/>
  <c r="C360" i="10"/>
  <c r="D360" i="10" s="1"/>
  <c r="E360" i="10" s="1"/>
  <c r="C107" i="10"/>
  <c r="D107" i="10" s="1"/>
  <c r="E107" i="10" s="1"/>
  <c r="C171" i="10"/>
  <c r="C64" i="10"/>
  <c r="C141" i="10"/>
  <c r="D141" i="10" s="1"/>
  <c r="E141" i="10" s="1"/>
  <c r="C315" i="10"/>
  <c r="D315" i="10" s="1"/>
  <c r="E315" i="10" s="1"/>
  <c r="C148" i="10"/>
  <c r="C307" i="10"/>
  <c r="C254" i="10"/>
  <c r="D254" i="10" s="1"/>
  <c r="E254" i="10" s="1"/>
  <c r="C317" i="10"/>
  <c r="D317" i="10" s="1"/>
  <c r="E317" i="10" s="1"/>
  <c r="C340" i="10"/>
  <c r="C357" i="10"/>
  <c r="C417" i="10"/>
  <c r="D417" i="10" s="1"/>
  <c r="E417" i="10" s="1"/>
  <c r="C427" i="10"/>
  <c r="D427" i="10" s="1"/>
  <c r="E427" i="10" s="1"/>
  <c r="C111" i="10"/>
  <c r="C69" i="10"/>
  <c r="C159" i="10"/>
  <c r="D159" i="10" s="1"/>
  <c r="E159" i="10" s="1"/>
  <c r="C130" i="10"/>
  <c r="C241" i="10"/>
  <c r="C88" i="10"/>
  <c r="C188" i="10"/>
  <c r="D188" i="10" s="1"/>
  <c r="E188" i="10" s="1"/>
  <c r="C67" i="10"/>
  <c r="D67" i="10" s="1"/>
  <c r="E67" i="10" s="1"/>
  <c r="C187" i="10"/>
  <c r="C210" i="10"/>
  <c r="C298" i="10"/>
  <c r="D298" i="10" s="1"/>
  <c r="E298" i="10" s="1"/>
  <c r="C252" i="10"/>
  <c r="D252" i="10" s="1"/>
  <c r="E252" i="10" s="1"/>
  <c r="C367" i="10"/>
  <c r="C382" i="10"/>
  <c r="C402" i="10"/>
  <c r="D402" i="10" s="1"/>
  <c r="E402" i="10" s="1"/>
  <c r="C73" i="10"/>
  <c r="D73" i="10" s="1"/>
  <c r="E73" i="10" s="1"/>
  <c r="C42" i="10"/>
  <c r="D42" i="10" s="1"/>
  <c r="E42" i="10" s="1"/>
  <c r="C240" i="10"/>
  <c r="C96" i="10"/>
  <c r="D96" i="10" s="1"/>
  <c r="E96" i="10" s="1"/>
  <c r="C163" i="10"/>
  <c r="D163" i="10" s="1"/>
  <c r="E163" i="10" s="1"/>
  <c r="C56" i="10"/>
  <c r="D56" i="10" s="1"/>
  <c r="E56" i="10" s="1"/>
  <c r="C125" i="10"/>
  <c r="D125" i="10" s="1"/>
  <c r="E125" i="10" s="1"/>
  <c r="C275" i="10"/>
  <c r="D275" i="10" s="1"/>
  <c r="E275" i="10" s="1"/>
  <c r="C132" i="10"/>
  <c r="D132" i="10" s="1"/>
  <c r="E132" i="10" s="1"/>
  <c r="C261" i="10"/>
  <c r="D261" i="10" s="1"/>
  <c r="E261" i="10" s="1"/>
  <c r="C327" i="10"/>
  <c r="D327" i="10" s="1"/>
  <c r="E327" i="10" s="1"/>
  <c r="C301" i="10"/>
  <c r="D301" i="10" s="1"/>
  <c r="E301" i="10" s="1"/>
  <c r="C320" i="10"/>
  <c r="D320" i="10" s="1"/>
  <c r="E320" i="10" s="1"/>
  <c r="C341" i="10"/>
  <c r="D341" i="10" s="1"/>
  <c r="E341" i="10" s="1"/>
  <c r="C399" i="10"/>
  <c r="C444" i="10"/>
  <c r="D444" i="10" s="1"/>
  <c r="E444" i="10" s="1"/>
  <c r="C58" i="10"/>
  <c r="D58" i="10" s="1"/>
  <c r="E58" i="10" s="1"/>
  <c r="C257" i="10"/>
  <c r="C82" i="10"/>
  <c r="D82" i="10" s="1"/>
  <c r="E82" i="10" s="1"/>
  <c r="C445" i="10"/>
  <c r="D445" i="10" s="1"/>
  <c r="E445" i="10" s="1"/>
  <c r="C440" i="10"/>
  <c r="D440" i="10" s="1"/>
  <c r="E440" i="10" s="1"/>
  <c r="C422" i="10"/>
  <c r="C388" i="10"/>
  <c r="C366" i="10"/>
  <c r="D366" i="10" s="1"/>
  <c r="E366" i="10" s="1"/>
  <c r="C347" i="10"/>
  <c r="D347" i="10" s="1"/>
  <c r="E347" i="10" s="1"/>
  <c r="C296" i="10"/>
  <c r="C352" i="10"/>
  <c r="C364" i="10"/>
  <c r="D364" i="10" s="1"/>
  <c r="E364" i="10" s="1"/>
  <c r="C278" i="10"/>
  <c r="D278" i="10" s="1"/>
  <c r="E278" i="10" s="1"/>
  <c r="C255" i="10"/>
  <c r="C190" i="10"/>
  <c r="C231" i="10"/>
  <c r="D231" i="10" s="1"/>
  <c r="E231" i="10" s="1"/>
  <c r="C172" i="10"/>
  <c r="D172" i="10" s="1"/>
  <c r="E172" i="10" s="1"/>
  <c r="C108" i="10"/>
  <c r="C47" i="10"/>
  <c r="C229" i="10"/>
  <c r="D229" i="10" s="1"/>
  <c r="E229" i="10" s="1"/>
  <c r="C165" i="10"/>
  <c r="D165" i="10" s="1"/>
  <c r="E165" i="10" s="1"/>
  <c r="C101" i="10"/>
  <c r="C447" i="10"/>
  <c r="C432" i="10"/>
  <c r="D432" i="10" s="1"/>
  <c r="E432" i="10" s="1"/>
  <c r="C438" i="10"/>
  <c r="D438" i="10" s="1"/>
  <c r="E438" i="10" s="1"/>
  <c r="C421" i="10"/>
  <c r="C377" i="10"/>
  <c r="C362" i="10"/>
  <c r="D362" i="10" s="1"/>
  <c r="E362" i="10" s="1"/>
  <c r="C343" i="10"/>
  <c r="D343" i="10" s="1"/>
  <c r="E343" i="10" s="1"/>
  <c r="C292" i="10"/>
  <c r="C336" i="10"/>
  <c r="C348" i="10"/>
  <c r="D348" i="10" s="1"/>
  <c r="E348" i="10" s="1"/>
  <c r="C274" i="10"/>
  <c r="D274" i="10" s="1"/>
  <c r="E274" i="10" s="1"/>
  <c r="C245" i="10"/>
  <c r="C186" i="10"/>
  <c r="C227" i="10"/>
  <c r="D227" i="10" s="1"/>
  <c r="E227" i="10" s="1"/>
  <c r="C168" i="10"/>
  <c r="D168" i="10" s="1"/>
  <c r="E168" i="10" s="1"/>
  <c r="C98" i="10"/>
  <c r="D98" i="10" s="1"/>
  <c r="E98" i="10" s="1"/>
  <c r="C43" i="10"/>
  <c r="C228" i="10"/>
  <c r="D228" i="10" s="1"/>
  <c r="E228" i="10" s="1"/>
  <c r="C161" i="10"/>
  <c r="D161" i="10" s="1"/>
  <c r="E161" i="10" s="1"/>
  <c r="C100" i="10"/>
  <c r="W239" i="2"/>
  <c r="W227" i="2"/>
  <c r="W233" i="2"/>
  <c r="D32" i="10"/>
  <c r="E32" i="10" s="1"/>
  <c r="D158" i="10"/>
  <c r="E158" i="10" s="1"/>
  <c r="D137" i="10"/>
  <c r="E137" i="10" s="1"/>
  <c r="D51" i="10"/>
  <c r="E51" i="10" s="1"/>
  <c r="D313" i="10"/>
  <c r="E313" i="10" s="1"/>
  <c r="D368" i="10"/>
  <c r="E368" i="10" s="1"/>
  <c r="D367" i="10"/>
  <c r="E367" i="10" s="1"/>
  <c r="D176" i="10"/>
  <c r="E176" i="10" s="1"/>
  <c r="D307" i="10"/>
  <c r="E307" i="10" s="1"/>
  <c r="D198" i="10"/>
  <c r="E198" i="10" s="1"/>
  <c r="D271" i="10"/>
  <c r="E271" i="10" s="1"/>
  <c r="D353" i="10"/>
  <c r="E353" i="10" s="1"/>
  <c r="D382" i="10"/>
  <c r="E382" i="10" s="1"/>
  <c r="D414" i="10"/>
  <c r="E414" i="10" s="1"/>
  <c r="D70" i="10"/>
  <c r="E70" i="10" s="1"/>
  <c r="D109" i="10"/>
  <c r="E109" i="10" s="1"/>
  <c r="D221" i="10"/>
  <c r="E221" i="10" s="1"/>
  <c r="D148" i="10"/>
  <c r="E148" i="10" s="1"/>
  <c r="D239" i="10"/>
  <c r="E239" i="10" s="1"/>
  <c r="D182" i="10"/>
  <c r="E182" i="10" s="1"/>
  <c r="D95" i="10"/>
  <c r="E95" i="10" s="1"/>
  <c r="D381" i="10"/>
  <c r="E381" i="10" s="1"/>
  <c r="D411" i="10"/>
  <c r="E411" i="10" s="1"/>
  <c r="D446" i="10"/>
  <c r="E446" i="10" s="1"/>
  <c r="D423" i="10"/>
  <c r="E423" i="10" s="1"/>
  <c r="D53" i="10"/>
  <c r="E53" i="10" s="1"/>
  <c r="D250" i="10"/>
  <c r="E250" i="10" s="1"/>
  <c r="D217" i="10"/>
  <c r="E217" i="10" s="1"/>
  <c r="D374" i="10"/>
  <c r="E374" i="10" s="1"/>
  <c r="D379" i="10"/>
  <c r="E379" i="10" s="1"/>
  <c r="D430" i="10"/>
  <c r="E430" i="10" s="1"/>
  <c r="D69" i="10"/>
  <c r="E69" i="10" s="1"/>
  <c r="D226" i="10"/>
  <c r="E226" i="10" s="1"/>
  <c r="D174" i="10"/>
  <c r="E174" i="10" s="1"/>
  <c r="D138" i="10"/>
  <c r="E138" i="10" s="1"/>
  <c r="D245" i="10"/>
  <c r="E245" i="10" s="1"/>
  <c r="D424" i="10"/>
  <c r="E424" i="10" s="1"/>
  <c r="D175" i="10"/>
  <c r="E175" i="10" s="1"/>
  <c r="D243" i="10"/>
  <c r="E243" i="10" s="1"/>
  <c r="D355" i="10"/>
  <c r="E355" i="10" s="1"/>
  <c r="D426" i="10"/>
  <c r="E426" i="10" s="1"/>
  <c r="D390" i="10"/>
  <c r="E390" i="10" s="1"/>
  <c r="D241" i="10"/>
  <c r="E241" i="10" s="1"/>
  <c r="D153" i="10"/>
  <c r="E153" i="10" s="1"/>
  <c r="D204" i="10"/>
  <c r="E204" i="10" s="1"/>
  <c r="D219" i="10"/>
  <c r="E219" i="10" s="1"/>
  <c r="D351" i="10"/>
  <c r="E351" i="10" s="1"/>
  <c r="D134" i="10"/>
  <c r="E134" i="10" s="1"/>
  <c r="D273" i="10"/>
  <c r="E273" i="10" s="1"/>
  <c r="D143" i="10"/>
  <c r="E143" i="10" s="1"/>
  <c r="D122" i="10"/>
  <c r="E122" i="10" s="1"/>
  <c r="D209" i="10"/>
  <c r="E209" i="10" s="1"/>
  <c r="D60" i="10"/>
  <c r="E60" i="10" s="1"/>
  <c r="D43" i="10"/>
  <c r="E43" i="10" s="1"/>
  <c r="D59" i="10"/>
  <c r="E59" i="10" s="1"/>
  <c r="D246" i="10"/>
  <c r="E246" i="10" s="1"/>
  <c r="D202" i="10"/>
  <c r="E202" i="10" s="1"/>
  <c r="D377" i="10"/>
  <c r="E377" i="10" s="1"/>
  <c r="D111" i="10"/>
  <c r="E111" i="10" s="1"/>
  <c r="D187" i="10"/>
  <c r="E187" i="10" s="1"/>
  <c r="D263" i="10"/>
  <c r="E263" i="10" s="1"/>
  <c r="D282" i="10"/>
  <c r="E282" i="10" s="1"/>
  <c r="D46" i="10"/>
  <c r="E46" i="10" s="1"/>
  <c r="D64" i="10"/>
  <c r="E64" i="10" s="1"/>
  <c r="D72" i="10"/>
  <c r="E72" i="10" s="1"/>
  <c r="D373" i="10"/>
  <c r="E373" i="10" s="1"/>
  <c r="D412" i="10"/>
  <c r="E412" i="10" s="1"/>
  <c r="D437" i="10"/>
  <c r="E437" i="10" s="1"/>
  <c r="D257" i="10"/>
  <c r="E257" i="10" s="1"/>
  <c r="D102" i="10"/>
  <c r="E102" i="10" s="1"/>
  <c r="D45" i="10"/>
  <c r="E45" i="10" s="1"/>
  <c r="D233" i="10"/>
  <c r="E233" i="10" s="1"/>
  <c r="D97" i="10"/>
  <c r="E97" i="10" s="1"/>
  <c r="D240" i="10"/>
  <c r="E240" i="10" s="1"/>
  <c r="D99" i="10"/>
  <c r="E99" i="10" s="1"/>
  <c r="D270" i="10"/>
  <c r="E270" i="10" s="1"/>
  <c r="D334" i="10"/>
  <c r="E334" i="10" s="1"/>
  <c r="D340" i="10"/>
  <c r="E340" i="10" s="1"/>
  <c r="D357" i="10"/>
  <c r="E357" i="10" s="1"/>
  <c r="D408" i="10"/>
  <c r="E408" i="10" s="1"/>
  <c r="D399" i="10"/>
  <c r="E399" i="10" s="1"/>
  <c r="D126" i="10"/>
  <c r="E126" i="10" s="1"/>
  <c r="D68" i="10"/>
  <c r="E68" i="10" s="1"/>
  <c r="D83" i="10"/>
  <c r="E83" i="10" s="1"/>
  <c r="D344" i="10"/>
  <c r="E344" i="10" s="1"/>
  <c r="D266" i="10"/>
  <c r="E266" i="10" s="1"/>
  <c r="D314" i="10"/>
  <c r="E314" i="10" s="1"/>
  <c r="D354" i="10"/>
  <c r="E354" i="10" s="1"/>
  <c r="D401" i="10"/>
  <c r="E401" i="10" s="1"/>
  <c r="D192" i="10"/>
  <c r="E192" i="10" s="1"/>
  <c r="D90" i="10"/>
  <c r="E90" i="10" s="1"/>
  <c r="D384" i="10"/>
  <c r="E384" i="10" s="1"/>
  <c r="D447" i="10"/>
  <c r="E447" i="10" s="1"/>
  <c r="D66" i="10"/>
  <c r="E66" i="10" s="1"/>
  <c r="D88" i="10"/>
  <c r="E88" i="10" s="1"/>
  <c r="D236" i="10"/>
  <c r="E236" i="10" s="1"/>
  <c r="D210" i="10"/>
  <c r="E210" i="10" s="1"/>
  <c r="D142" i="10"/>
  <c r="E142" i="10" s="1"/>
  <c r="D208" i="10"/>
  <c r="E208" i="10" s="1"/>
  <c r="D171" i="10"/>
  <c r="E171" i="10" s="1"/>
  <c r="D225" i="10"/>
  <c r="E225" i="10" s="1"/>
  <c r="D100" i="10"/>
  <c r="E100" i="10" s="1"/>
  <c r="D249" i="10"/>
  <c r="E249" i="10" s="1"/>
  <c r="D186" i="10"/>
  <c r="E186" i="10" s="1"/>
  <c r="D289" i="10"/>
  <c r="E289" i="10" s="1"/>
  <c r="D383" i="10"/>
  <c r="E383" i="10" s="1"/>
  <c r="D395" i="10"/>
  <c r="E395" i="10" s="1"/>
  <c r="D292" i="10"/>
  <c r="E292" i="10" s="1"/>
  <c r="D287" i="10"/>
  <c r="E287" i="10" s="1"/>
  <c r="D433" i="10"/>
  <c r="E433" i="10" s="1"/>
  <c r="D331" i="10"/>
  <c r="E331" i="10" s="1"/>
  <c r="D259" i="10"/>
  <c r="E259" i="10" s="1"/>
  <c r="D190" i="10"/>
  <c r="E190" i="10" s="1"/>
  <c r="D255" i="10"/>
  <c r="E255" i="10" s="1"/>
  <c r="D280" i="10"/>
  <c r="E280" i="10" s="1"/>
  <c r="D389" i="10"/>
  <c r="E389" i="10" s="1"/>
  <c r="D388" i="10"/>
  <c r="E388" i="10" s="1"/>
  <c r="D104" i="10"/>
  <c r="E104" i="10" s="1"/>
  <c r="D178" i="10"/>
  <c r="E178" i="10" s="1"/>
  <c r="D80" i="10"/>
  <c r="E80" i="10" s="1"/>
  <c r="D108" i="10"/>
  <c r="E108" i="10" s="1"/>
  <c r="D248" i="10"/>
  <c r="E248" i="10" s="1"/>
  <c r="D378" i="10"/>
  <c r="E378" i="10" s="1"/>
  <c r="D422" i="10"/>
  <c r="E422" i="10" s="1"/>
  <c r="D441" i="10"/>
  <c r="E441" i="10" s="1"/>
  <c r="D336" i="10"/>
  <c r="E336" i="10" s="1"/>
  <c r="D421" i="10"/>
  <c r="E421" i="10" s="1"/>
  <c r="D428" i="10"/>
  <c r="E428" i="10" s="1"/>
  <c r="D106" i="10"/>
  <c r="E106" i="10" s="1"/>
  <c r="D36" i="10"/>
  <c r="E36" i="10" s="1"/>
  <c r="D247" i="10"/>
  <c r="E247" i="10" s="1"/>
  <c r="D404" i="10"/>
  <c r="E404" i="10" s="1"/>
  <c r="D65" i="10"/>
  <c r="E65" i="10" s="1"/>
  <c r="D244" i="10"/>
  <c r="E244" i="10" s="1"/>
  <c r="D37" i="10"/>
  <c r="E37" i="10" s="1"/>
  <c r="D268" i="10"/>
  <c r="E268" i="10" s="1"/>
  <c r="D337" i="10"/>
  <c r="E337" i="10" s="1"/>
  <c r="D387" i="10"/>
  <c r="E387" i="10" s="1"/>
  <c r="D48" i="10"/>
  <c r="E48" i="10" s="1"/>
  <c r="D283" i="10"/>
  <c r="E283" i="10" s="1"/>
  <c r="D63" i="10"/>
  <c r="E63" i="10" s="1"/>
  <c r="D293" i="10"/>
  <c r="E293" i="10" s="1"/>
  <c r="D369" i="10"/>
  <c r="E369" i="10" s="1"/>
  <c r="D62" i="10"/>
  <c r="E62" i="10" s="1"/>
  <c r="D101" i="10"/>
  <c r="E101" i="10" s="1"/>
  <c r="D47" i="10"/>
  <c r="E47" i="10" s="1"/>
  <c r="D206" i="10"/>
  <c r="E206" i="10" s="1"/>
  <c r="D352" i="10"/>
  <c r="E352" i="10" s="1"/>
  <c r="D296" i="10"/>
  <c r="E296" i="10" s="1"/>
  <c r="D232" i="10"/>
  <c r="E232" i="10" s="1"/>
  <c r="D167" i="10"/>
  <c r="E167" i="10" s="1"/>
  <c r="D345" i="10"/>
  <c r="E345" i="10" s="1"/>
  <c r="D214" i="10"/>
  <c r="E214" i="10" s="1"/>
  <c r="D151" i="10"/>
  <c r="E151" i="10" s="1"/>
  <c r="D185" i="10"/>
  <c r="E185" i="10" s="1"/>
  <c r="D238" i="10"/>
  <c r="E238" i="10" s="1"/>
  <c r="D86" i="10"/>
  <c r="E86" i="10" s="1"/>
  <c r="D199" i="10"/>
  <c r="E199" i="10" s="1"/>
  <c r="D91" i="10"/>
  <c r="E91" i="10" s="1"/>
  <c r="D121" i="10"/>
  <c r="E121" i="10" s="1"/>
  <c r="D410" i="10"/>
  <c r="E410" i="10" s="1"/>
  <c r="D342" i="10"/>
  <c r="E342" i="10" s="1"/>
  <c r="D207" i="10"/>
  <c r="E207" i="10" s="1"/>
  <c r="D253" i="10"/>
  <c r="E253" i="10" s="1"/>
  <c r="D309" i="10"/>
  <c r="E309" i="10" s="1"/>
  <c r="D413" i="10"/>
  <c r="E413" i="10" s="1"/>
  <c r="D310" i="10"/>
  <c r="E310" i="10" s="1"/>
  <c r="D197" i="10"/>
  <c r="E197" i="10" s="1"/>
  <c r="D435" i="10"/>
  <c r="E435" i="10" s="1"/>
  <c r="D325" i="10"/>
  <c r="E325" i="10" s="1"/>
  <c r="D361" i="10"/>
  <c r="E361" i="10" s="1"/>
  <c r="D306" i="10"/>
  <c r="E306" i="10" s="1"/>
  <c r="D419" i="10"/>
  <c r="E419" i="10" s="1"/>
  <c r="D269" i="10"/>
  <c r="E269" i="10" s="1"/>
  <c r="D33" i="10"/>
  <c r="E33" i="10" s="1"/>
  <c r="D224" i="10"/>
  <c r="E224" i="10" s="1"/>
  <c r="D81" i="10"/>
  <c r="E81" i="10" s="1"/>
  <c r="D196" i="10"/>
  <c r="E196" i="10" s="1"/>
  <c r="D34" i="10"/>
  <c r="E34" i="10" s="1"/>
  <c r="D89" i="10"/>
  <c r="E89" i="10" s="1"/>
  <c r="D78" i="10"/>
  <c r="E78" i="10" s="1"/>
  <c r="D375" i="10"/>
  <c r="E375" i="10" s="1"/>
  <c r="D242" i="10"/>
  <c r="E242" i="10" s="1"/>
  <c r="D365" i="10"/>
  <c r="E365" i="10" s="1"/>
  <c r="D431" i="10"/>
  <c r="E431" i="10" s="1"/>
  <c r="D321" i="10"/>
  <c r="E321" i="10" s="1"/>
  <c r="B103" i="12"/>
  <c r="AD158" i="2" s="1"/>
  <c r="Y86" i="10"/>
  <c r="F103" i="12"/>
  <c r="H12" i="11"/>
  <c r="G13" i="11"/>
  <c r="R151" i="2"/>
  <c r="R150" i="2"/>
  <c r="R146" i="2"/>
  <c r="R141" i="2"/>
  <c r="R134" i="2"/>
  <c r="R130" i="2"/>
  <c r="R126" i="2"/>
  <c r="R117" i="2"/>
  <c r="R113" i="2"/>
  <c r="R109" i="2"/>
  <c r="R105" i="2"/>
  <c r="R101" i="2"/>
  <c r="R97" i="2"/>
  <c r="R93" i="2"/>
  <c r="R89" i="2"/>
  <c r="R81" i="2"/>
  <c r="R77" i="2"/>
  <c r="R73" i="2"/>
  <c r="R72" i="2"/>
  <c r="R152" i="2"/>
  <c r="R147" i="2"/>
  <c r="R143" i="2"/>
  <c r="R142" i="2"/>
  <c r="R135" i="2"/>
  <c r="R131" i="2"/>
  <c r="R127" i="2"/>
  <c r="R121" i="2"/>
  <c r="R120" i="2"/>
  <c r="R119" i="2"/>
  <c r="R118" i="2"/>
  <c r="R114" i="2"/>
  <c r="R110" i="2"/>
  <c r="R106" i="2"/>
  <c r="R102" i="2"/>
  <c r="R98" i="2"/>
  <c r="R94" i="2"/>
  <c r="R90" i="2"/>
  <c r="R85" i="2"/>
  <c r="R84" i="2"/>
  <c r="R83" i="2"/>
  <c r="R82" i="2"/>
  <c r="R78" i="2"/>
  <c r="R74" i="2"/>
  <c r="R68" i="2"/>
  <c r="R63" i="2"/>
  <c r="R59" i="2"/>
  <c r="R55" i="2"/>
  <c r="R51" i="2"/>
  <c r="R47" i="2"/>
  <c r="R45" i="2"/>
  <c r="R148" i="2"/>
  <c r="R144" i="2"/>
  <c r="R139" i="2"/>
  <c r="R138" i="2"/>
  <c r="R137" i="2"/>
  <c r="R136" i="2"/>
  <c r="R132" i="2"/>
  <c r="R128" i="2"/>
  <c r="R124" i="2"/>
  <c r="R123" i="2"/>
  <c r="R122" i="2"/>
  <c r="R115" i="2"/>
  <c r="R111" i="2"/>
  <c r="R107" i="2"/>
  <c r="R103" i="2"/>
  <c r="R99" i="2"/>
  <c r="R95" i="2"/>
  <c r="R91" i="2"/>
  <c r="R86" i="2"/>
  <c r="R79" i="2"/>
  <c r="R75" i="2"/>
  <c r="R70" i="2"/>
  <c r="R69" i="2"/>
  <c r="R67" i="2"/>
  <c r="R64" i="2"/>
  <c r="R60" i="2"/>
  <c r="R56" i="2"/>
  <c r="R52" i="2"/>
  <c r="R48" i="2"/>
  <c r="R42" i="2"/>
  <c r="R145" i="2"/>
  <c r="R116" i="2"/>
  <c r="R80" i="2"/>
  <c r="R66" i="2"/>
  <c r="R62" i="2"/>
  <c r="R58" i="2"/>
  <c r="R54" i="2"/>
  <c r="R50" i="2"/>
  <c r="R46" i="2"/>
  <c r="R41" i="2"/>
  <c r="R37" i="2"/>
  <c r="R33" i="2"/>
  <c r="R29" i="2"/>
  <c r="R24" i="2"/>
  <c r="R9" i="2"/>
  <c r="R3" i="2"/>
  <c r="R129" i="2"/>
  <c r="R87" i="2"/>
  <c r="R44" i="2"/>
  <c r="R38" i="2"/>
  <c r="R34" i="2"/>
  <c r="R30" i="2"/>
  <c r="R26" i="2"/>
  <c r="R25" i="2"/>
  <c r="R96" i="2"/>
  <c r="R88" i="2"/>
  <c r="R71" i="2"/>
  <c r="R39" i="2"/>
  <c r="R27" i="2"/>
  <c r="R7" i="2"/>
  <c r="R4" i="2"/>
  <c r="R149" i="2"/>
  <c r="R112" i="2"/>
  <c r="R104" i="2"/>
  <c r="R76" i="2"/>
  <c r="R61" i="2"/>
  <c r="R57" i="2"/>
  <c r="R53" i="2"/>
  <c r="R49" i="2"/>
  <c r="R35" i="2"/>
  <c r="R31" i="2"/>
  <c r="R6" i="2"/>
  <c r="R140" i="2"/>
  <c r="R133" i="2"/>
  <c r="R125" i="2"/>
  <c r="R65" i="2"/>
  <c r="R43" i="2"/>
  <c r="R40" i="2"/>
  <c r="R36" i="2"/>
  <c r="R32" i="2"/>
  <c r="R28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2" i="2"/>
  <c r="R108" i="2"/>
  <c r="R100" i="2"/>
  <c r="R92" i="2"/>
  <c r="R8" i="2"/>
  <c r="R5" i="2"/>
  <c r="F327" i="10" l="1"/>
  <c r="H327" i="10" s="1"/>
  <c r="A327" i="10"/>
  <c r="G327" i="10"/>
  <c r="G125" i="10"/>
  <c r="A125" i="10"/>
  <c r="F125" i="10"/>
  <c r="H125" i="10" s="1"/>
  <c r="A431" i="10"/>
  <c r="G431" i="10"/>
  <c r="F431" i="10"/>
  <c r="H431" i="10" s="1"/>
  <c r="F375" i="10"/>
  <c r="H375" i="10" s="1"/>
  <c r="A375" i="10"/>
  <c r="G375" i="10"/>
  <c r="A272" i="10"/>
  <c r="F272" i="10"/>
  <c r="H272" i="10" s="1"/>
  <c r="G272" i="10"/>
  <c r="F136" i="10"/>
  <c r="H136" i="10" s="1"/>
  <c r="A136" i="10"/>
  <c r="G136" i="10"/>
  <c r="G152" i="10"/>
  <c r="F152" i="10"/>
  <c r="H152" i="10" s="1"/>
  <c r="A152" i="10"/>
  <c r="G129" i="10"/>
  <c r="A129" i="10"/>
  <c r="F129" i="10"/>
  <c r="H129" i="10" s="1"/>
  <c r="A260" i="10"/>
  <c r="F260" i="10"/>
  <c r="H260" i="10" s="1"/>
  <c r="G260" i="10"/>
  <c r="A306" i="10"/>
  <c r="G306" i="10"/>
  <c r="F306" i="10"/>
  <c r="H306" i="10" s="1"/>
  <c r="A325" i="10"/>
  <c r="G325" i="10"/>
  <c r="F325" i="10"/>
  <c r="H325" i="10" s="1"/>
  <c r="A413" i="10"/>
  <c r="G413" i="10"/>
  <c r="F413" i="10"/>
  <c r="H413" i="10" s="1"/>
  <c r="G207" i="10"/>
  <c r="A207" i="10"/>
  <c r="F207" i="10"/>
  <c r="H207" i="10" s="1"/>
  <c r="G121" i="10"/>
  <c r="A121" i="10"/>
  <c r="F121" i="10"/>
  <c r="H121" i="10" s="1"/>
  <c r="F238" i="10"/>
  <c r="H238" i="10" s="1"/>
  <c r="G238" i="10"/>
  <c r="A238" i="10"/>
  <c r="F185" i="10"/>
  <c r="H185" i="10" s="1"/>
  <c r="G185" i="10"/>
  <c r="A185" i="10"/>
  <c r="G71" i="10"/>
  <c r="A71" i="10"/>
  <c r="F71" i="10"/>
  <c r="H71" i="10" s="1"/>
  <c r="G396" i="10"/>
  <c r="A396" i="10"/>
  <c r="F396" i="10"/>
  <c r="H396" i="10" s="1"/>
  <c r="A118" i="10"/>
  <c r="G118" i="10"/>
  <c r="F118" i="10"/>
  <c r="H118" i="10" s="1"/>
  <c r="F436" i="10"/>
  <c r="H436" i="10" s="1"/>
  <c r="A436" i="10"/>
  <c r="G436" i="10"/>
  <c r="G206" i="10"/>
  <c r="F206" i="10"/>
  <c r="H206" i="10" s="1"/>
  <c r="A206" i="10"/>
  <c r="A101" i="10"/>
  <c r="G101" i="10"/>
  <c r="F101" i="10"/>
  <c r="H101" i="10" s="1"/>
  <c r="F330" i="10"/>
  <c r="H330" i="10" s="1"/>
  <c r="A330" i="10"/>
  <c r="G330" i="10"/>
  <c r="F293" i="10"/>
  <c r="H293" i="10" s="1"/>
  <c r="A293" i="10"/>
  <c r="G293" i="10"/>
  <c r="G229" i="10"/>
  <c r="F229" i="10"/>
  <c r="H229" i="10" s="1"/>
  <c r="A229" i="10"/>
  <c r="F387" i="10"/>
  <c r="H387" i="10" s="1"/>
  <c r="A387" i="10"/>
  <c r="G387" i="10"/>
  <c r="F434" i="10"/>
  <c r="H434" i="10" s="1"/>
  <c r="A434" i="10"/>
  <c r="G434" i="10"/>
  <c r="F65" i="10"/>
  <c r="H65" i="10" s="1"/>
  <c r="A65" i="10"/>
  <c r="G65" i="10"/>
  <c r="G247" i="10"/>
  <c r="A247" i="10"/>
  <c r="F247" i="10"/>
  <c r="H247" i="10" s="1"/>
  <c r="G36" i="10"/>
  <c r="F36" i="10"/>
  <c r="H36" i="10" s="1"/>
  <c r="A36" i="10"/>
  <c r="G421" i="10"/>
  <c r="A421" i="10"/>
  <c r="F421" i="10"/>
  <c r="H421" i="10" s="1"/>
  <c r="A441" i="10"/>
  <c r="G441" i="10"/>
  <c r="F441" i="10"/>
  <c r="H441" i="10" s="1"/>
  <c r="F378" i="10"/>
  <c r="H378" i="10" s="1"/>
  <c r="A378" i="10"/>
  <c r="G378" i="10"/>
  <c r="A165" i="10"/>
  <c r="F165" i="10"/>
  <c r="H165" i="10" s="1"/>
  <c r="G165" i="10"/>
  <c r="A338" i="10"/>
  <c r="G338" i="10"/>
  <c r="F338" i="10"/>
  <c r="H338" i="10" s="1"/>
  <c r="A388" i="10"/>
  <c r="G388" i="10"/>
  <c r="F388" i="10"/>
  <c r="H388" i="10" s="1"/>
  <c r="A280" i="10"/>
  <c r="F280" i="10"/>
  <c r="H280" i="10" s="1"/>
  <c r="G280" i="10"/>
  <c r="A255" i="10"/>
  <c r="G255" i="10"/>
  <c r="F255" i="10"/>
  <c r="H255" i="10" s="1"/>
  <c r="G259" i="10"/>
  <c r="A259" i="10"/>
  <c r="F259" i="10"/>
  <c r="H259" i="10" s="1"/>
  <c r="A433" i="10"/>
  <c r="F433" i="10"/>
  <c r="H433" i="10" s="1"/>
  <c r="G433" i="10"/>
  <c r="G287" i="10"/>
  <c r="F287" i="10"/>
  <c r="H287" i="10" s="1"/>
  <c r="A287" i="10"/>
  <c r="G264" i="10"/>
  <c r="A264" i="10"/>
  <c r="F264" i="10"/>
  <c r="H264" i="10" s="1"/>
  <c r="A383" i="10"/>
  <c r="G383" i="10"/>
  <c r="F383" i="10"/>
  <c r="H383" i="10" s="1"/>
  <c r="F249" i="10"/>
  <c r="H249" i="10" s="1"/>
  <c r="G249" i="10"/>
  <c r="A249" i="10"/>
  <c r="G251" i="10"/>
  <c r="A251" i="10"/>
  <c r="F251" i="10"/>
  <c r="H251" i="10" s="1"/>
  <c r="F210" i="10"/>
  <c r="H210" i="10" s="1"/>
  <c r="A210" i="10"/>
  <c r="G210" i="10"/>
  <c r="F159" i="10"/>
  <c r="H159" i="10" s="1"/>
  <c r="A159" i="10"/>
  <c r="G159" i="10"/>
  <c r="A384" i="10"/>
  <c r="F384" i="10"/>
  <c r="H384" i="10" s="1"/>
  <c r="G384" i="10"/>
  <c r="G90" i="10"/>
  <c r="A90" i="10"/>
  <c r="F90" i="10"/>
  <c r="H90" i="10" s="1"/>
  <c r="F401" i="10"/>
  <c r="H401" i="10" s="1"/>
  <c r="A401" i="10"/>
  <c r="G401" i="10"/>
  <c r="F266" i="10"/>
  <c r="H266" i="10" s="1"/>
  <c r="A266" i="10"/>
  <c r="G266" i="10"/>
  <c r="F68" i="10"/>
  <c r="H68" i="10" s="1"/>
  <c r="A68" i="10"/>
  <c r="G68" i="10"/>
  <c r="A408" i="10"/>
  <c r="F408" i="10"/>
  <c r="H408" i="10" s="1"/>
  <c r="G408" i="10"/>
  <c r="G317" i="10"/>
  <c r="F317" i="10"/>
  <c r="H317" i="10" s="1"/>
  <c r="A317" i="10"/>
  <c r="G55" i="10"/>
  <c r="F55" i="10"/>
  <c r="H55" i="10" s="1"/>
  <c r="A55" i="10"/>
  <c r="G44" i="10"/>
  <c r="F44" i="10"/>
  <c r="H44" i="10" s="1"/>
  <c r="A44" i="10"/>
  <c r="A45" i="10"/>
  <c r="F45" i="10"/>
  <c r="H45" i="10" s="1"/>
  <c r="G45" i="10"/>
  <c r="F257" i="10"/>
  <c r="H257" i="10" s="1"/>
  <c r="G257" i="10"/>
  <c r="A257" i="10"/>
  <c r="G417" i="10"/>
  <c r="F417" i="10"/>
  <c r="H417" i="10" s="1"/>
  <c r="A417" i="10"/>
  <c r="G256" i="10"/>
  <c r="A256" i="10"/>
  <c r="F256" i="10"/>
  <c r="H256" i="10" s="1"/>
  <c r="G94" i="10"/>
  <c r="F94" i="10"/>
  <c r="H94" i="10" s="1"/>
  <c r="A94" i="10"/>
  <c r="F155" i="10"/>
  <c r="H155" i="10" s="1"/>
  <c r="A155" i="10"/>
  <c r="G155" i="10"/>
  <c r="F282" i="10"/>
  <c r="H282" i="10" s="1"/>
  <c r="A282" i="10"/>
  <c r="G282" i="10"/>
  <c r="F111" i="10"/>
  <c r="H111" i="10" s="1"/>
  <c r="A111" i="10"/>
  <c r="G111" i="10"/>
  <c r="F346" i="10"/>
  <c r="H346" i="10" s="1"/>
  <c r="A346" i="10"/>
  <c r="G346" i="10"/>
  <c r="G246" i="10"/>
  <c r="F246" i="10"/>
  <c r="H246" i="10" s="1"/>
  <c r="A246" i="10"/>
  <c r="F113" i="10"/>
  <c r="H113" i="10" s="1"/>
  <c r="G113" i="10"/>
  <c r="A113" i="10"/>
  <c r="A143" i="10"/>
  <c r="G143" i="10"/>
  <c r="F143" i="10"/>
  <c r="H143" i="10" s="1"/>
  <c r="G351" i="10"/>
  <c r="F351" i="10"/>
  <c r="H351" i="10" s="1"/>
  <c r="A351" i="10"/>
  <c r="G153" i="10"/>
  <c r="A153" i="10"/>
  <c r="F153" i="10"/>
  <c r="H153" i="10" s="1"/>
  <c r="A82" i="10"/>
  <c r="G82" i="10"/>
  <c r="F82" i="10"/>
  <c r="H82" i="10" s="1"/>
  <c r="A358" i="10"/>
  <c r="G358" i="10"/>
  <c r="F358" i="10"/>
  <c r="H358" i="10" s="1"/>
  <c r="A243" i="10"/>
  <c r="G243" i="10"/>
  <c r="F243" i="10"/>
  <c r="H243" i="10" s="1"/>
  <c r="A193" i="10"/>
  <c r="G193" i="10"/>
  <c r="F193" i="10"/>
  <c r="H193" i="10" s="1"/>
  <c r="G211" i="10"/>
  <c r="F211" i="10"/>
  <c r="H211" i="10" s="1"/>
  <c r="A211" i="10"/>
  <c r="F161" i="10"/>
  <c r="H161" i="10" s="1"/>
  <c r="G161" i="10"/>
  <c r="A161" i="10"/>
  <c r="G174" i="10"/>
  <c r="F174" i="10"/>
  <c r="H174" i="10" s="1"/>
  <c r="A174" i="10"/>
  <c r="G226" i="10"/>
  <c r="F226" i="10"/>
  <c r="H226" i="10" s="1"/>
  <c r="A226" i="10"/>
  <c r="A430" i="10"/>
  <c r="G430" i="10"/>
  <c r="F430" i="10"/>
  <c r="H430" i="10" s="1"/>
  <c r="G304" i="10"/>
  <c r="F304" i="10"/>
  <c r="H304" i="10" s="1"/>
  <c r="A304" i="10"/>
  <c r="F217" i="10"/>
  <c r="H217" i="10" s="1"/>
  <c r="A217" i="10"/>
  <c r="G217" i="10"/>
  <c r="F53" i="10"/>
  <c r="H53" i="10" s="1"/>
  <c r="G53" i="10"/>
  <c r="A53" i="10"/>
  <c r="G446" i="10"/>
  <c r="F446" i="10"/>
  <c r="H446" i="10" s="1"/>
  <c r="A446" i="10"/>
  <c r="G112" i="10"/>
  <c r="F112" i="10"/>
  <c r="H112" i="10" s="1"/>
  <c r="A112" i="10"/>
  <c r="F182" i="10"/>
  <c r="H182" i="10" s="1"/>
  <c r="A182" i="10"/>
  <c r="G182" i="10"/>
  <c r="G109" i="10"/>
  <c r="A109" i="10"/>
  <c r="F109" i="10"/>
  <c r="H109" i="10" s="1"/>
  <c r="A386" i="10"/>
  <c r="G386" i="10"/>
  <c r="F386" i="10"/>
  <c r="H386" i="10" s="1"/>
  <c r="A284" i="10"/>
  <c r="G284" i="10"/>
  <c r="F284" i="10"/>
  <c r="H284" i="10" s="1"/>
  <c r="G261" i="10"/>
  <c r="A261" i="10"/>
  <c r="F261" i="10"/>
  <c r="H261" i="10" s="1"/>
  <c r="G237" i="10"/>
  <c r="F237" i="10"/>
  <c r="H237" i="10" s="1"/>
  <c r="A237" i="10"/>
  <c r="G147" i="10"/>
  <c r="F147" i="10"/>
  <c r="H147" i="10" s="1"/>
  <c r="A147" i="10"/>
  <c r="G313" i="10"/>
  <c r="F313" i="10"/>
  <c r="H313" i="10" s="1"/>
  <c r="A313" i="10"/>
  <c r="G188" i="10"/>
  <c r="A188" i="10"/>
  <c r="F188" i="10"/>
  <c r="H188" i="10" s="1"/>
  <c r="A32" i="10"/>
  <c r="F32" i="10"/>
  <c r="H32" i="10" s="1"/>
  <c r="G32" i="10"/>
  <c r="Q100" i="10"/>
  <c r="S100" i="10" s="1"/>
  <c r="R100" i="10"/>
  <c r="Q98" i="10"/>
  <c r="S98" i="10" s="1"/>
  <c r="R98" i="10"/>
  <c r="R245" i="10"/>
  <c r="Q245" i="10"/>
  <c r="S245" i="10" s="1"/>
  <c r="R292" i="10"/>
  <c r="Q292" i="10"/>
  <c r="S292" i="10" s="1"/>
  <c r="Q421" i="10"/>
  <c r="S421" i="10" s="1"/>
  <c r="R421" i="10"/>
  <c r="R101" i="10"/>
  <c r="Q101" i="10"/>
  <c r="S101" i="10" s="1"/>
  <c r="Q108" i="10"/>
  <c r="S108" i="10" s="1"/>
  <c r="R108" i="10"/>
  <c r="R255" i="10"/>
  <c r="Q255" i="10"/>
  <c r="S255" i="10" s="1"/>
  <c r="R296" i="10"/>
  <c r="Q296" i="10"/>
  <c r="S296" i="10" s="1"/>
  <c r="R422" i="10"/>
  <c r="Q422" i="10"/>
  <c r="S422" i="10" s="1"/>
  <c r="Q257" i="10"/>
  <c r="S257" i="10" s="1"/>
  <c r="R257" i="10"/>
  <c r="R341" i="10"/>
  <c r="Q341" i="10"/>
  <c r="S341" i="10" s="1"/>
  <c r="R261" i="10"/>
  <c r="Q261" i="10"/>
  <c r="S261" i="10" s="1"/>
  <c r="R56" i="10"/>
  <c r="Q56" i="10"/>
  <c r="S56" i="10" s="1"/>
  <c r="R42" i="10"/>
  <c r="Q42" i="10"/>
  <c r="S42" i="10" s="1"/>
  <c r="R367" i="10"/>
  <c r="Q367" i="10"/>
  <c r="S367" i="10" s="1"/>
  <c r="Q187" i="10"/>
  <c r="S187" i="10" s="1"/>
  <c r="R187" i="10"/>
  <c r="Q241" i="10"/>
  <c r="S241" i="10" s="1"/>
  <c r="R241" i="10"/>
  <c r="R111" i="10"/>
  <c r="Q111" i="10"/>
  <c r="S111" i="10" s="1"/>
  <c r="R340" i="10"/>
  <c r="Q340" i="10"/>
  <c r="S340" i="10" s="1"/>
  <c r="Q148" i="10"/>
  <c r="S148" i="10" s="1"/>
  <c r="R148" i="10"/>
  <c r="R171" i="10"/>
  <c r="Q171" i="10"/>
  <c r="S171" i="10" s="1"/>
  <c r="Q37" i="10"/>
  <c r="S37" i="10" s="1"/>
  <c r="R37" i="10"/>
  <c r="Q59" i="10"/>
  <c r="S59" i="10" s="1"/>
  <c r="R59" i="10"/>
  <c r="Q202" i="10"/>
  <c r="S202" i="10" s="1"/>
  <c r="R202" i="10"/>
  <c r="R244" i="10"/>
  <c r="Q244" i="10"/>
  <c r="S244" i="10" s="1"/>
  <c r="R383" i="10"/>
  <c r="Q383" i="10"/>
  <c r="S383" i="10" s="1"/>
  <c r="Q104" i="10"/>
  <c r="S104" i="10" s="1"/>
  <c r="R104" i="10"/>
  <c r="R63" i="10"/>
  <c r="Q63" i="10"/>
  <c r="S63" i="10" s="1"/>
  <c r="R206" i="10"/>
  <c r="Q206" i="10"/>
  <c r="S206" i="10" s="1"/>
  <c r="R248" i="10"/>
  <c r="Q248" i="10"/>
  <c r="S248" i="10" s="1"/>
  <c r="Q378" i="10"/>
  <c r="S378" i="10" s="1"/>
  <c r="R378" i="10"/>
  <c r="R232" i="10"/>
  <c r="Q232" i="10"/>
  <c r="S232" i="10" s="1"/>
  <c r="R412" i="10"/>
  <c r="Q412" i="10"/>
  <c r="S412" i="10" s="1"/>
  <c r="R243" i="10"/>
  <c r="Q243" i="10"/>
  <c r="S243" i="10" s="1"/>
  <c r="Q99" i="10"/>
  <c r="S99" i="10" s="1"/>
  <c r="R99" i="10"/>
  <c r="R176" i="10"/>
  <c r="Q176" i="10"/>
  <c r="S176" i="10" s="1"/>
  <c r="Q369" i="10"/>
  <c r="S369" i="10" s="1"/>
  <c r="R369" i="10"/>
  <c r="Q178" i="10"/>
  <c r="S178" i="10" s="1"/>
  <c r="R178" i="10"/>
  <c r="R68" i="10"/>
  <c r="Q68" i="10"/>
  <c r="S68" i="10" s="1"/>
  <c r="R53" i="10"/>
  <c r="Q53" i="10"/>
  <c r="S53" i="10" s="1"/>
  <c r="R374" i="10"/>
  <c r="Q374" i="10"/>
  <c r="S374" i="10" s="1"/>
  <c r="Q239" i="10"/>
  <c r="S239" i="10" s="1"/>
  <c r="R239" i="10"/>
  <c r="Q48" i="10"/>
  <c r="S48" i="10" s="1"/>
  <c r="R48" i="10"/>
  <c r="Q331" i="10"/>
  <c r="S331" i="10" s="1"/>
  <c r="R331" i="10"/>
  <c r="D281" i="10"/>
  <c r="E281" i="10" s="1"/>
  <c r="R281" i="10"/>
  <c r="Q281" i="10"/>
  <c r="S281" i="10" s="1"/>
  <c r="Q269" i="10"/>
  <c r="S269" i="10" s="1"/>
  <c r="R269" i="10"/>
  <c r="D305" i="10"/>
  <c r="E305" i="10" s="1"/>
  <c r="Q305" i="10"/>
  <c r="S305" i="10" s="1"/>
  <c r="R305" i="10"/>
  <c r="R345" i="10"/>
  <c r="Q345" i="10"/>
  <c r="S345" i="10" s="1"/>
  <c r="D415" i="10"/>
  <c r="E415" i="10" s="1"/>
  <c r="Q415" i="10"/>
  <c r="S415" i="10" s="1"/>
  <c r="R415" i="10"/>
  <c r="R283" i="10"/>
  <c r="Q283" i="10"/>
  <c r="S283" i="10" s="1"/>
  <c r="D277" i="10"/>
  <c r="E277" i="10" s="1"/>
  <c r="Q277" i="10"/>
  <c r="S277" i="10" s="1"/>
  <c r="R277" i="10"/>
  <c r="Q309" i="10"/>
  <c r="S309" i="10" s="1"/>
  <c r="R309" i="10"/>
  <c r="D349" i="10"/>
  <c r="E349" i="10" s="1"/>
  <c r="R349" i="10"/>
  <c r="Q349" i="10"/>
  <c r="S349" i="10" s="1"/>
  <c r="R419" i="10"/>
  <c r="Q419" i="10"/>
  <c r="S419" i="10" s="1"/>
  <c r="D392" i="10"/>
  <c r="E392" i="10" s="1"/>
  <c r="Q392" i="10"/>
  <c r="S392" i="10" s="1"/>
  <c r="R392" i="10"/>
  <c r="Q214" i="10"/>
  <c r="S214" i="10" s="1"/>
  <c r="R214" i="10"/>
  <c r="Q89" i="10"/>
  <c r="S89" i="10" s="1"/>
  <c r="R89" i="10"/>
  <c r="R70" i="10"/>
  <c r="Q70" i="10"/>
  <c r="S70" i="10" s="1"/>
  <c r="Q337" i="10"/>
  <c r="S337" i="10" s="1"/>
  <c r="R337" i="10"/>
  <c r="Q253" i="10"/>
  <c r="S253" i="10" s="1"/>
  <c r="R253" i="10"/>
  <c r="D52" i="10"/>
  <c r="E52" i="10" s="1"/>
  <c r="Q52" i="10"/>
  <c r="S52" i="10" s="1"/>
  <c r="R52" i="10"/>
  <c r="R34" i="10"/>
  <c r="Q34" i="10"/>
  <c r="S34" i="10" s="1"/>
  <c r="Q342" i="10"/>
  <c r="S342" i="10" s="1"/>
  <c r="R342" i="10"/>
  <c r="Q207" i="10"/>
  <c r="S207" i="10" s="1"/>
  <c r="R207" i="10"/>
  <c r="R33" i="10"/>
  <c r="S33" i="10"/>
  <c r="Q33" i="10"/>
  <c r="R151" i="10"/>
  <c r="Q151" i="10"/>
  <c r="S151" i="10" s="1"/>
  <c r="D85" i="10"/>
  <c r="E85" i="10" s="1"/>
  <c r="Q85" i="10"/>
  <c r="S85" i="10" s="1"/>
  <c r="R85" i="10"/>
  <c r="D234" i="10"/>
  <c r="E234" i="10" s="1"/>
  <c r="Q234" i="10"/>
  <c r="S234" i="10" s="1"/>
  <c r="R234" i="10"/>
  <c r="D276" i="10"/>
  <c r="E276" i="10" s="1"/>
  <c r="Q276" i="10"/>
  <c r="S276" i="10" s="1"/>
  <c r="R276" i="10"/>
  <c r="D409" i="10"/>
  <c r="E409" i="10" s="1"/>
  <c r="Q409" i="10"/>
  <c r="S409" i="10" s="1"/>
  <c r="R409" i="10"/>
  <c r="R81" i="10"/>
  <c r="Q81" i="10"/>
  <c r="S81" i="10" s="1"/>
  <c r="R86" i="10"/>
  <c r="Q86" i="10"/>
  <c r="S86" i="10" s="1"/>
  <c r="Q238" i="10"/>
  <c r="S238" i="10" s="1"/>
  <c r="R238" i="10"/>
  <c r="Q280" i="10"/>
  <c r="S280" i="10" s="1"/>
  <c r="R280" i="10"/>
  <c r="D385" i="10"/>
  <c r="E385" i="10" s="1"/>
  <c r="Q385" i="10"/>
  <c r="S385" i="10" s="1"/>
  <c r="R385" i="10"/>
  <c r="R65" i="10"/>
  <c r="Q65" i="10"/>
  <c r="S65" i="10" s="1"/>
  <c r="R373" i="10"/>
  <c r="Q373" i="10"/>
  <c r="S373" i="10" s="1"/>
  <c r="R182" i="10"/>
  <c r="Q182" i="10"/>
  <c r="S182" i="10" s="1"/>
  <c r="R72" i="10"/>
  <c r="Q72" i="10"/>
  <c r="S72" i="10" s="1"/>
  <c r="D54" i="10"/>
  <c r="E54" i="10" s="1"/>
  <c r="Q54" i="10"/>
  <c r="S54" i="10" s="1"/>
  <c r="R54" i="10"/>
  <c r="R354" i="10"/>
  <c r="Q354" i="10"/>
  <c r="S354" i="10" s="1"/>
  <c r="Q219" i="10"/>
  <c r="S219" i="10" s="1"/>
  <c r="R219" i="10"/>
  <c r="R36" i="10"/>
  <c r="Q36" i="10"/>
  <c r="S36" i="10" s="1"/>
  <c r="R158" i="10"/>
  <c r="Q158" i="10"/>
  <c r="S158" i="10" s="1"/>
  <c r="Q355" i="10"/>
  <c r="S355" i="10" s="1"/>
  <c r="R355" i="10"/>
  <c r="Q175" i="10"/>
  <c r="S175" i="10" s="1"/>
  <c r="R175" i="10"/>
  <c r="R225" i="10"/>
  <c r="Q225" i="10"/>
  <c r="S225" i="10" s="1"/>
  <c r="R142" i="10"/>
  <c r="Q142" i="10"/>
  <c r="S142" i="10" s="1"/>
  <c r="R233" i="10"/>
  <c r="Q233" i="10"/>
  <c r="S233" i="10" s="1"/>
  <c r="R236" i="10"/>
  <c r="Q236" i="10"/>
  <c r="S236" i="10" s="1"/>
  <c r="R381" i="10"/>
  <c r="Q381" i="10"/>
  <c r="S381" i="10" s="1"/>
  <c r="Q446" i="10"/>
  <c r="S446" i="10" s="1"/>
  <c r="R446" i="10"/>
  <c r="R97" i="10"/>
  <c r="Q97" i="10"/>
  <c r="S97" i="10" s="1"/>
  <c r="Q287" i="10"/>
  <c r="S287" i="10" s="1"/>
  <c r="R287" i="10"/>
  <c r="R313" i="10"/>
  <c r="Q313" i="10"/>
  <c r="S313" i="10" s="1"/>
  <c r="R423" i="10"/>
  <c r="Q423" i="10"/>
  <c r="S423" i="10" s="1"/>
  <c r="Q209" i="10"/>
  <c r="S209" i="10" s="1"/>
  <c r="R209" i="10"/>
  <c r="R344" i="10"/>
  <c r="Q344" i="10"/>
  <c r="S344" i="10" s="1"/>
  <c r="Q351" i="10"/>
  <c r="S351" i="10" s="1"/>
  <c r="R351" i="10"/>
  <c r="Q143" i="10"/>
  <c r="S143" i="10" s="1"/>
  <c r="R143" i="10"/>
  <c r="R138" i="10"/>
  <c r="Q138" i="10"/>
  <c r="S138" i="10" s="1"/>
  <c r="R83" i="10"/>
  <c r="Q83" i="10"/>
  <c r="S83" i="10" s="1"/>
  <c r="Q268" i="10"/>
  <c r="S268" i="10" s="1"/>
  <c r="R268" i="10"/>
  <c r="R66" i="10"/>
  <c r="Q66" i="10"/>
  <c r="S66" i="10" s="1"/>
  <c r="G365" i="10"/>
  <c r="F365" i="10"/>
  <c r="H365" i="10" s="1"/>
  <c r="A365" i="10"/>
  <c r="G139" i="10"/>
  <c r="F139" i="10"/>
  <c r="H139" i="10" s="1"/>
  <c r="A139" i="10"/>
  <c r="F34" i="10"/>
  <c r="H34" i="10" s="1"/>
  <c r="A34" i="10"/>
  <c r="G34" i="10"/>
  <c r="G265" i="10"/>
  <c r="A265" i="10"/>
  <c r="F265" i="10"/>
  <c r="H265" i="10" s="1"/>
  <c r="A420" i="10"/>
  <c r="F420" i="10"/>
  <c r="H420" i="10" s="1"/>
  <c r="G420" i="10"/>
  <c r="A403" i="10"/>
  <c r="F403" i="10"/>
  <c r="H403" i="10" s="1"/>
  <c r="G403" i="10"/>
  <c r="A162" i="10"/>
  <c r="G162" i="10"/>
  <c r="F162" i="10"/>
  <c r="H162" i="10" s="1"/>
  <c r="G200" i="10"/>
  <c r="F200" i="10"/>
  <c r="H200" i="10" s="1"/>
  <c r="A200" i="10"/>
  <c r="A435" i="10"/>
  <c r="G435" i="10"/>
  <c r="F435" i="10"/>
  <c r="H435" i="10" s="1"/>
  <c r="F309" i="10"/>
  <c r="H309" i="10" s="1"/>
  <c r="A309" i="10"/>
  <c r="G309" i="10"/>
  <c r="G342" i="10"/>
  <c r="F342" i="10"/>
  <c r="H342" i="10" s="1"/>
  <c r="A342" i="10"/>
  <c r="G91" i="10"/>
  <c r="A91" i="10"/>
  <c r="F91" i="10"/>
  <c r="H91" i="10" s="1"/>
  <c r="A145" i="10"/>
  <c r="G145" i="10"/>
  <c r="F145" i="10"/>
  <c r="H145" i="10" s="1"/>
  <c r="F151" i="10"/>
  <c r="H151" i="10" s="1"/>
  <c r="G151" i="10"/>
  <c r="A151" i="10"/>
  <c r="G214" i="10"/>
  <c r="A214" i="10"/>
  <c r="F214" i="10"/>
  <c r="H214" i="10" s="1"/>
  <c r="G345" i="10"/>
  <c r="A345" i="10"/>
  <c r="F345" i="10"/>
  <c r="H345" i="10" s="1"/>
  <c r="F324" i="10"/>
  <c r="H324" i="10" s="1"/>
  <c r="A324" i="10"/>
  <c r="G324" i="10"/>
  <c r="G407" i="10"/>
  <c r="F407" i="10"/>
  <c r="H407" i="10" s="1"/>
  <c r="A407" i="10"/>
  <c r="A172" i="10"/>
  <c r="G172" i="10"/>
  <c r="F172" i="10"/>
  <c r="H172" i="10" s="1"/>
  <c r="A62" i="10"/>
  <c r="G62" i="10"/>
  <c r="F62" i="10"/>
  <c r="H62" i="10" s="1"/>
  <c r="F87" i="10"/>
  <c r="H87" i="10" s="1"/>
  <c r="A87" i="10"/>
  <c r="G87" i="10"/>
  <c r="F231" i="10"/>
  <c r="H231" i="10" s="1"/>
  <c r="G231" i="10"/>
  <c r="A231" i="10"/>
  <c r="G48" i="10"/>
  <c r="A48" i="10"/>
  <c r="F48" i="10"/>
  <c r="H48" i="10" s="1"/>
  <c r="F337" i="10"/>
  <c r="H337" i="10" s="1"/>
  <c r="A337" i="10"/>
  <c r="G337" i="10"/>
  <c r="F244" i="10"/>
  <c r="H244" i="10" s="1"/>
  <c r="A244" i="10"/>
  <c r="G244" i="10"/>
  <c r="F398" i="10"/>
  <c r="H398" i="10" s="1"/>
  <c r="A398" i="10"/>
  <c r="G398" i="10"/>
  <c r="F183" i="10"/>
  <c r="H183" i="10" s="1"/>
  <c r="G183" i="10"/>
  <c r="A183" i="10"/>
  <c r="F106" i="10"/>
  <c r="H106" i="10" s="1"/>
  <c r="A106" i="10"/>
  <c r="G106" i="10"/>
  <c r="F359" i="10"/>
  <c r="H359" i="10" s="1"/>
  <c r="A359" i="10"/>
  <c r="G359" i="10"/>
  <c r="A445" i="10"/>
  <c r="G445" i="10"/>
  <c r="F445" i="10"/>
  <c r="H445" i="10" s="1"/>
  <c r="A347" i="10"/>
  <c r="G347" i="10"/>
  <c r="F347" i="10"/>
  <c r="H347" i="10" s="1"/>
  <c r="G117" i="10"/>
  <c r="A117" i="10"/>
  <c r="F117" i="10"/>
  <c r="H117" i="10" s="1"/>
  <c r="G178" i="10"/>
  <c r="F178" i="10"/>
  <c r="H178" i="10" s="1"/>
  <c r="A178" i="10"/>
  <c r="F389" i="10"/>
  <c r="H389" i="10" s="1"/>
  <c r="A389" i="10"/>
  <c r="G389" i="10"/>
  <c r="F364" i="10"/>
  <c r="H364" i="10" s="1"/>
  <c r="A364" i="10"/>
  <c r="G364" i="10"/>
  <c r="G190" i="10"/>
  <c r="F190" i="10"/>
  <c r="H190" i="10" s="1"/>
  <c r="A190" i="10"/>
  <c r="G123" i="10"/>
  <c r="F123" i="10"/>
  <c r="H123" i="10" s="1"/>
  <c r="A123" i="10"/>
  <c r="F335" i="10"/>
  <c r="H335" i="10" s="1"/>
  <c r="A335" i="10"/>
  <c r="G335" i="10"/>
  <c r="A114" i="10"/>
  <c r="G114" i="10"/>
  <c r="F114" i="10"/>
  <c r="H114" i="10" s="1"/>
  <c r="A294" i="10"/>
  <c r="G294" i="10"/>
  <c r="F294" i="10"/>
  <c r="H294" i="10" s="1"/>
  <c r="G289" i="10"/>
  <c r="F289" i="10"/>
  <c r="H289" i="10" s="1"/>
  <c r="A289" i="10"/>
  <c r="G100" i="10"/>
  <c r="F100" i="10"/>
  <c r="H100" i="10" s="1"/>
  <c r="A100" i="10"/>
  <c r="A208" i="10"/>
  <c r="G208" i="10"/>
  <c r="F208" i="10"/>
  <c r="H208" i="10" s="1"/>
  <c r="A236" i="10"/>
  <c r="F236" i="10"/>
  <c r="H236" i="10" s="1"/>
  <c r="G236" i="10"/>
  <c r="G66" i="10"/>
  <c r="F66" i="10"/>
  <c r="H66" i="10" s="1"/>
  <c r="A66" i="10"/>
  <c r="F362" i="10"/>
  <c r="H362" i="10" s="1"/>
  <c r="A362" i="10"/>
  <c r="G362" i="10"/>
  <c r="G154" i="10"/>
  <c r="F154" i="10"/>
  <c r="H154" i="10" s="1"/>
  <c r="A154" i="10"/>
  <c r="G354" i="10"/>
  <c r="F354" i="10"/>
  <c r="H354" i="10" s="1"/>
  <c r="A354" i="10"/>
  <c r="F344" i="10"/>
  <c r="H344" i="10" s="1"/>
  <c r="A344" i="10"/>
  <c r="G344" i="10"/>
  <c r="G126" i="10"/>
  <c r="F126" i="10"/>
  <c r="H126" i="10" s="1"/>
  <c r="A126" i="10"/>
  <c r="G357" i="10"/>
  <c r="F357" i="10"/>
  <c r="H357" i="10" s="1"/>
  <c r="A357" i="10"/>
  <c r="G334" i="10"/>
  <c r="A334" i="10"/>
  <c r="F334" i="10"/>
  <c r="H334" i="10" s="1"/>
  <c r="A275" i="10"/>
  <c r="F275" i="10"/>
  <c r="H275" i="10" s="1"/>
  <c r="G275" i="10"/>
  <c r="G170" i="10"/>
  <c r="F170" i="10"/>
  <c r="H170" i="10" s="1"/>
  <c r="A170" i="10"/>
  <c r="G300" i="10"/>
  <c r="F300" i="10"/>
  <c r="H300" i="10" s="1"/>
  <c r="A300" i="10"/>
  <c r="F38" i="10"/>
  <c r="H38" i="10" s="1"/>
  <c r="A38" i="10"/>
  <c r="G38" i="10"/>
  <c r="G412" i="10"/>
  <c r="F412" i="10"/>
  <c r="H412" i="10" s="1"/>
  <c r="A412" i="10"/>
  <c r="G301" i="10"/>
  <c r="F301" i="10"/>
  <c r="H301" i="10" s="1"/>
  <c r="A301" i="10"/>
  <c r="A72" i="10"/>
  <c r="F72" i="10"/>
  <c r="H72" i="10" s="1"/>
  <c r="G72" i="10"/>
  <c r="A150" i="10"/>
  <c r="G150" i="10"/>
  <c r="F150" i="10"/>
  <c r="H150" i="10" s="1"/>
  <c r="F263" i="10"/>
  <c r="H263" i="10" s="1"/>
  <c r="G263" i="10"/>
  <c r="A263" i="10"/>
  <c r="A58" i="10"/>
  <c r="G58" i="10"/>
  <c r="F58" i="10"/>
  <c r="H58" i="10" s="1"/>
  <c r="F343" i="10"/>
  <c r="H343" i="10" s="1"/>
  <c r="A343" i="10"/>
  <c r="G343" i="10"/>
  <c r="G179" i="10"/>
  <c r="F179" i="10"/>
  <c r="H179" i="10" s="1"/>
  <c r="A179" i="10"/>
  <c r="A60" i="10"/>
  <c r="G60" i="10"/>
  <c r="F60" i="10"/>
  <c r="H60" i="10" s="1"/>
  <c r="F273" i="10"/>
  <c r="H273" i="10" s="1"/>
  <c r="G273" i="10"/>
  <c r="A273" i="10"/>
  <c r="F291" i="10"/>
  <c r="H291" i="10" s="1"/>
  <c r="A291" i="10"/>
  <c r="G291" i="10"/>
  <c r="F241" i="10"/>
  <c r="H241" i="10" s="1"/>
  <c r="A241" i="10"/>
  <c r="G241" i="10"/>
  <c r="G448" i="10"/>
  <c r="F448" i="10"/>
  <c r="H448" i="10" s="1"/>
  <c r="A448" i="10"/>
  <c r="G355" i="10"/>
  <c r="F355" i="10"/>
  <c r="H355" i="10" s="1"/>
  <c r="A355" i="10"/>
  <c r="G175" i="10"/>
  <c r="A175" i="10"/>
  <c r="F175" i="10"/>
  <c r="H175" i="10" s="1"/>
  <c r="A96" i="10"/>
  <c r="G96" i="10"/>
  <c r="F96" i="10"/>
  <c r="H96" i="10" s="1"/>
  <c r="A98" i="10"/>
  <c r="G98" i="10"/>
  <c r="F98" i="10"/>
  <c r="H98" i="10" s="1"/>
  <c r="G76" i="10"/>
  <c r="F76" i="10"/>
  <c r="H76" i="10" s="1"/>
  <c r="A76" i="10"/>
  <c r="G77" i="10"/>
  <c r="A77" i="10"/>
  <c r="F77" i="10"/>
  <c r="H77" i="10" s="1"/>
  <c r="F69" i="10"/>
  <c r="H69" i="10" s="1"/>
  <c r="G69" i="10"/>
  <c r="A69" i="10"/>
  <c r="G379" i="10"/>
  <c r="A379" i="10"/>
  <c r="F379" i="10"/>
  <c r="H379" i="10" s="1"/>
  <c r="F116" i="10"/>
  <c r="H116" i="10" s="1"/>
  <c r="A116" i="10"/>
  <c r="G116" i="10"/>
  <c r="A166" i="10"/>
  <c r="G166" i="10"/>
  <c r="F166" i="10"/>
  <c r="H166" i="10" s="1"/>
  <c r="A42" i="10"/>
  <c r="G42" i="10"/>
  <c r="F42" i="10"/>
  <c r="H42" i="10" s="1"/>
  <c r="G411" i="10"/>
  <c r="F411" i="10"/>
  <c r="H411" i="10" s="1"/>
  <c r="A411" i="10"/>
  <c r="A95" i="10"/>
  <c r="G95" i="10"/>
  <c r="F95" i="10"/>
  <c r="H95" i="10" s="1"/>
  <c r="F239" i="10"/>
  <c r="H239" i="10" s="1"/>
  <c r="G239" i="10"/>
  <c r="A239" i="10"/>
  <c r="F40" i="10"/>
  <c r="H40" i="10" s="1"/>
  <c r="G40" i="10"/>
  <c r="A40" i="10"/>
  <c r="G382" i="10"/>
  <c r="F382" i="10"/>
  <c r="H382" i="10" s="1"/>
  <c r="A382" i="10"/>
  <c r="G160" i="10"/>
  <c r="F160" i="10"/>
  <c r="H160" i="10" s="1"/>
  <c r="A160" i="10"/>
  <c r="F271" i="10"/>
  <c r="H271" i="10" s="1"/>
  <c r="A271" i="10"/>
  <c r="G271" i="10"/>
  <c r="F191" i="10"/>
  <c r="H191" i="10" s="1"/>
  <c r="G191" i="10"/>
  <c r="A191" i="10"/>
  <c r="F173" i="10"/>
  <c r="H173" i="10" s="1"/>
  <c r="G173" i="10"/>
  <c r="A173" i="10"/>
  <c r="A176" i="10"/>
  <c r="G176" i="10"/>
  <c r="F176" i="10"/>
  <c r="H176" i="10" s="1"/>
  <c r="G194" i="10"/>
  <c r="F194" i="10"/>
  <c r="H194" i="10" s="1"/>
  <c r="A194" i="10"/>
  <c r="G137" i="10"/>
  <c r="A137" i="10"/>
  <c r="F137" i="10"/>
  <c r="H137" i="10" s="1"/>
  <c r="P97" i="11"/>
  <c r="D45" i="4"/>
  <c r="R161" i="10"/>
  <c r="Q161" i="10"/>
  <c r="S161" i="10" s="1"/>
  <c r="Q168" i="10"/>
  <c r="S168" i="10" s="1"/>
  <c r="R168" i="10"/>
  <c r="R274" i="10"/>
  <c r="Q274" i="10"/>
  <c r="S274" i="10" s="1"/>
  <c r="R343" i="10"/>
  <c r="Q343" i="10"/>
  <c r="S343" i="10" s="1"/>
  <c r="Q438" i="10"/>
  <c r="S438" i="10" s="1"/>
  <c r="R438" i="10"/>
  <c r="Q165" i="10"/>
  <c r="S165" i="10" s="1"/>
  <c r="R165" i="10"/>
  <c r="Q172" i="10"/>
  <c r="S172" i="10" s="1"/>
  <c r="R172" i="10"/>
  <c r="R278" i="10"/>
  <c r="Q278" i="10"/>
  <c r="S278" i="10" s="1"/>
  <c r="Q347" i="10"/>
  <c r="S347" i="10" s="1"/>
  <c r="R347" i="10"/>
  <c r="Q440" i="10"/>
  <c r="S440" i="10" s="1"/>
  <c r="R440" i="10"/>
  <c r="R58" i="10"/>
  <c r="Q58" i="10"/>
  <c r="S58" i="10" s="1"/>
  <c r="Q320" i="10"/>
  <c r="S320" i="10" s="1"/>
  <c r="R320" i="10"/>
  <c r="R132" i="10"/>
  <c r="Q132" i="10"/>
  <c r="S132" i="10" s="1"/>
  <c r="R163" i="10"/>
  <c r="Q163" i="10"/>
  <c r="S163" i="10" s="1"/>
  <c r="R73" i="10"/>
  <c r="Q73" i="10"/>
  <c r="S73" i="10" s="1"/>
  <c r="R252" i="10"/>
  <c r="Q252" i="10"/>
  <c r="S252" i="10" s="1"/>
  <c r="R67" i="10"/>
  <c r="Q67" i="10"/>
  <c r="S67" i="10" s="1"/>
  <c r="R130" i="10"/>
  <c r="Q130" i="10"/>
  <c r="S130" i="10" s="1"/>
  <c r="R427" i="10"/>
  <c r="Q427" i="10"/>
  <c r="S427" i="10" s="1"/>
  <c r="Q317" i="10"/>
  <c r="S317" i="10" s="1"/>
  <c r="R317" i="10"/>
  <c r="R315" i="10"/>
  <c r="Q315" i="10"/>
  <c r="S315" i="10" s="1"/>
  <c r="R107" i="10"/>
  <c r="Q107" i="10"/>
  <c r="S107" i="10" s="1"/>
  <c r="Q113" i="10"/>
  <c r="S113" i="10" s="1"/>
  <c r="R113" i="10"/>
  <c r="R120" i="10"/>
  <c r="Q120" i="10"/>
  <c r="S120" i="10" s="1"/>
  <c r="R279" i="10"/>
  <c r="Q279" i="10"/>
  <c r="S279" i="10" s="1"/>
  <c r="R308" i="10"/>
  <c r="Q308" i="10"/>
  <c r="S308" i="10" s="1"/>
  <c r="R434" i="10"/>
  <c r="Q434" i="10"/>
  <c r="S434" i="10" s="1"/>
  <c r="Q117" i="10"/>
  <c r="S117" i="10" s="1"/>
  <c r="R117" i="10"/>
  <c r="Q124" i="10"/>
  <c r="S124" i="10" s="1"/>
  <c r="R124" i="10"/>
  <c r="Q295" i="10"/>
  <c r="S295" i="10" s="1"/>
  <c r="R295" i="10"/>
  <c r="R312" i="10"/>
  <c r="Q312" i="10"/>
  <c r="S312" i="10" s="1"/>
  <c r="Q391" i="10"/>
  <c r="S391" i="10" s="1"/>
  <c r="R391" i="10"/>
  <c r="R74" i="10"/>
  <c r="Q74" i="10"/>
  <c r="S74" i="10" s="1"/>
  <c r="Q358" i="10"/>
  <c r="S358" i="10" s="1"/>
  <c r="R358" i="10"/>
  <c r="Q223" i="10"/>
  <c r="S223" i="10" s="1"/>
  <c r="R223" i="10"/>
  <c r="Q40" i="10"/>
  <c r="S40" i="10" s="1"/>
  <c r="R40" i="10"/>
  <c r="R166" i="10"/>
  <c r="Q166" i="10"/>
  <c r="S166" i="10" s="1"/>
  <c r="Q335" i="10"/>
  <c r="S335" i="10" s="1"/>
  <c r="R335" i="10"/>
  <c r="Q160" i="10"/>
  <c r="S160" i="10" s="1"/>
  <c r="R160" i="10"/>
  <c r="R177" i="10"/>
  <c r="Q177" i="10"/>
  <c r="S177" i="10" s="1"/>
  <c r="Q110" i="10"/>
  <c r="S110" i="10" s="1"/>
  <c r="R110" i="10"/>
  <c r="Q304" i="10"/>
  <c r="S304" i="10" s="1"/>
  <c r="R304" i="10"/>
  <c r="R116" i="10"/>
  <c r="Q116" i="10"/>
  <c r="S116" i="10" s="1"/>
  <c r="R155" i="10"/>
  <c r="Q155" i="10"/>
  <c r="S155" i="10" s="1"/>
  <c r="Q216" i="10"/>
  <c r="S216" i="10" s="1"/>
  <c r="R216" i="10"/>
  <c r="R75" i="10"/>
  <c r="Q75" i="10"/>
  <c r="S75" i="10" s="1"/>
  <c r="D218" i="10"/>
  <c r="E218" i="10" s="1"/>
  <c r="Q218" i="10"/>
  <c r="S218" i="10" s="1"/>
  <c r="R218" i="10"/>
  <c r="R260" i="10"/>
  <c r="Q260" i="10"/>
  <c r="S260" i="10" s="1"/>
  <c r="D393" i="10"/>
  <c r="E393" i="10" s="1"/>
  <c r="Q393" i="10"/>
  <c r="S393" i="10" s="1"/>
  <c r="R393" i="10"/>
  <c r="D184" i="10"/>
  <c r="E184" i="10" s="1"/>
  <c r="Q184" i="10"/>
  <c r="S184" i="10" s="1"/>
  <c r="R184" i="10"/>
  <c r="Q79" i="10"/>
  <c r="S79" i="10" s="1"/>
  <c r="R79" i="10"/>
  <c r="D222" i="10"/>
  <c r="E222" i="10" s="1"/>
  <c r="Q222" i="10"/>
  <c r="S222" i="10" s="1"/>
  <c r="R222" i="10"/>
  <c r="Q264" i="10"/>
  <c r="S264" i="10" s="1"/>
  <c r="R264" i="10"/>
  <c r="R400" i="10"/>
  <c r="Q400" i="10"/>
  <c r="S400" i="10" s="1"/>
  <c r="R103" i="10"/>
  <c r="Q103" i="10"/>
  <c r="S103" i="10" s="1"/>
  <c r="D371" i="10"/>
  <c r="E371" i="10" s="1"/>
  <c r="Q371" i="10"/>
  <c r="S371" i="10" s="1"/>
  <c r="R371" i="10"/>
  <c r="R191" i="10"/>
  <c r="Q191" i="10"/>
  <c r="S191" i="10" s="1"/>
  <c r="Q267" i="10"/>
  <c r="S267" i="10" s="1"/>
  <c r="R267" i="10"/>
  <c r="R118" i="10"/>
  <c r="Q118" i="10"/>
  <c r="S118" i="10" s="1"/>
  <c r="R316" i="10"/>
  <c r="Q316" i="10"/>
  <c r="S316" i="10" s="1"/>
  <c r="D128" i="10"/>
  <c r="E128" i="10" s="1"/>
  <c r="Q128" i="10"/>
  <c r="S128" i="10" s="1"/>
  <c r="R128" i="10"/>
  <c r="R162" i="10"/>
  <c r="Q162" i="10"/>
  <c r="S162" i="10" s="1"/>
  <c r="Q105" i="10"/>
  <c r="S105" i="10" s="1"/>
  <c r="R105" i="10"/>
  <c r="R272" i="10"/>
  <c r="Q272" i="10"/>
  <c r="S272" i="10" s="1"/>
  <c r="D84" i="10"/>
  <c r="E84" i="10" s="1"/>
  <c r="R84" i="10"/>
  <c r="Q84" i="10"/>
  <c r="S84" i="10" s="1"/>
  <c r="R139" i="10"/>
  <c r="Q139" i="10"/>
  <c r="S139" i="10" s="1"/>
  <c r="R145" i="10"/>
  <c r="Q145" i="10"/>
  <c r="S145" i="10" s="1"/>
  <c r="R152" i="10"/>
  <c r="Q152" i="10"/>
  <c r="S152" i="10" s="1"/>
  <c r="D258" i="10"/>
  <c r="E258" i="10" s="1"/>
  <c r="Q258" i="10"/>
  <c r="S258" i="10" s="1"/>
  <c r="R258" i="10"/>
  <c r="D356" i="10"/>
  <c r="E356" i="10" s="1"/>
  <c r="R356" i="10"/>
  <c r="Q356" i="10"/>
  <c r="S356" i="10" s="1"/>
  <c r="Q418" i="10"/>
  <c r="S418" i="10" s="1"/>
  <c r="R418" i="10"/>
  <c r="D149" i="10"/>
  <c r="E149" i="10" s="1"/>
  <c r="R149" i="10"/>
  <c r="Q149" i="10"/>
  <c r="S149" i="10" s="1"/>
  <c r="D156" i="10"/>
  <c r="E156" i="10" s="1"/>
  <c r="Q156" i="10"/>
  <c r="S156" i="10" s="1"/>
  <c r="R156" i="10"/>
  <c r="D262" i="10"/>
  <c r="E262" i="10" s="1"/>
  <c r="Q262" i="10"/>
  <c r="S262" i="10" s="1"/>
  <c r="R262" i="10"/>
  <c r="D372" i="10"/>
  <c r="E372" i="10" s="1"/>
  <c r="Q372" i="10"/>
  <c r="S372" i="10" s="1"/>
  <c r="R372" i="10"/>
  <c r="R420" i="10"/>
  <c r="Q420" i="10"/>
  <c r="S420" i="10" s="1"/>
  <c r="R49" i="10"/>
  <c r="Q49" i="10"/>
  <c r="S49" i="10" s="1"/>
  <c r="R339" i="10"/>
  <c r="Q339" i="10"/>
  <c r="S339" i="10" s="1"/>
  <c r="Q164" i="10"/>
  <c r="S164" i="10" s="1"/>
  <c r="R164" i="10"/>
  <c r="R193" i="10"/>
  <c r="Q193" i="10"/>
  <c r="S193" i="10" s="1"/>
  <c r="D119" i="10"/>
  <c r="E119" i="10" s="1"/>
  <c r="Q119" i="10"/>
  <c r="S119" i="10" s="1"/>
  <c r="R119" i="10"/>
  <c r="R284" i="10"/>
  <c r="Q284" i="10"/>
  <c r="S284" i="10" s="1"/>
  <c r="Q87" i="10"/>
  <c r="S87" i="10" s="1"/>
  <c r="R87" i="10"/>
  <c r="R146" i="10"/>
  <c r="Q146" i="10"/>
  <c r="S146" i="10" s="1"/>
  <c r="R38" i="10"/>
  <c r="Q38" i="10"/>
  <c r="S38" i="10" s="1"/>
  <c r="Q380" i="10"/>
  <c r="S380" i="10" s="1"/>
  <c r="R380" i="10"/>
  <c r="R55" i="10"/>
  <c r="Q55" i="10"/>
  <c r="S55" i="10" s="1"/>
  <c r="Q123" i="10"/>
  <c r="S123" i="10" s="1"/>
  <c r="R123" i="10"/>
  <c r="Q61" i="10"/>
  <c r="S61" i="10" s="1"/>
  <c r="R61" i="10"/>
  <c r="R154" i="10"/>
  <c r="Q154" i="10"/>
  <c r="S154" i="10" s="1"/>
  <c r="Q112" i="10"/>
  <c r="S112" i="10" s="1"/>
  <c r="R112" i="10"/>
  <c r="R300" i="10"/>
  <c r="Q300" i="10"/>
  <c r="S300" i="10" s="1"/>
  <c r="Q57" i="10"/>
  <c r="S57" i="10" s="1"/>
  <c r="R57" i="10"/>
  <c r="R170" i="10"/>
  <c r="Q170" i="10"/>
  <c r="S170" i="10" s="1"/>
  <c r="Q144" i="10"/>
  <c r="S144" i="10" s="1"/>
  <c r="R144" i="10"/>
  <c r="Q332" i="10"/>
  <c r="S332" i="10" s="1"/>
  <c r="R332" i="10"/>
  <c r="Q50" i="10"/>
  <c r="S50" i="10" s="1"/>
  <c r="R50" i="10"/>
  <c r="R76" i="10"/>
  <c r="Q76" i="10"/>
  <c r="S76" i="10" s="1"/>
  <c r="R194" i="10"/>
  <c r="Q194" i="10"/>
  <c r="S194" i="10" s="1"/>
  <c r="Q397" i="10"/>
  <c r="S397" i="10" s="1"/>
  <c r="R397" i="10"/>
  <c r="R127" i="10"/>
  <c r="Q127" i="10"/>
  <c r="S127" i="10" s="1"/>
  <c r="R299" i="10"/>
  <c r="Q299" i="10"/>
  <c r="S299" i="10" s="1"/>
  <c r="R203" i="10"/>
  <c r="Q203" i="10"/>
  <c r="S203" i="10" s="1"/>
  <c r="R338" i="10"/>
  <c r="Q338" i="10"/>
  <c r="S338" i="10" s="1"/>
  <c r="N9" i="11"/>
  <c r="D211" i="2"/>
  <c r="E19" i="11"/>
  <c r="K12" i="11"/>
  <c r="K13" i="11" s="1"/>
  <c r="I12" i="11"/>
  <c r="I13" i="11" s="1"/>
  <c r="H13" i="11"/>
  <c r="A213" i="10"/>
  <c r="G213" i="10"/>
  <c r="F213" i="10"/>
  <c r="H213" i="10" s="1"/>
  <c r="A400" i="10"/>
  <c r="F400" i="10"/>
  <c r="H400" i="10" s="1"/>
  <c r="G400" i="10"/>
  <c r="A78" i="10"/>
  <c r="G78" i="10"/>
  <c r="F78" i="10"/>
  <c r="H78" i="10" s="1"/>
  <c r="G79" i="10"/>
  <c r="F79" i="10"/>
  <c r="H79" i="10" s="1"/>
  <c r="A79" i="10"/>
  <c r="F196" i="10"/>
  <c r="H196" i="10" s="1"/>
  <c r="G196" i="10"/>
  <c r="A196" i="10"/>
  <c r="A224" i="10"/>
  <c r="G224" i="10"/>
  <c r="F224" i="10"/>
  <c r="H224" i="10" s="1"/>
  <c r="G33" i="10"/>
  <c r="A33" i="10"/>
  <c r="F33" i="10"/>
  <c r="H33" i="10" s="1"/>
  <c r="G140" i="10"/>
  <c r="F140" i="10"/>
  <c r="H140" i="10" s="1"/>
  <c r="A140" i="10"/>
  <c r="G418" i="10"/>
  <c r="A418" i="10"/>
  <c r="F418" i="10"/>
  <c r="H418" i="10" s="1"/>
  <c r="G197" i="10"/>
  <c r="F197" i="10"/>
  <c r="H197" i="10" s="1"/>
  <c r="A197" i="10"/>
  <c r="A253" i="10"/>
  <c r="G253" i="10"/>
  <c r="F253" i="10"/>
  <c r="H253" i="10" s="1"/>
  <c r="G416" i="10"/>
  <c r="F416" i="10"/>
  <c r="H416" i="10" s="1"/>
  <c r="A416" i="10"/>
  <c r="G199" i="10"/>
  <c r="A199" i="10"/>
  <c r="F199" i="10"/>
  <c r="H199" i="10" s="1"/>
  <c r="A49" i="10"/>
  <c r="G49" i="10"/>
  <c r="F49" i="10"/>
  <c r="H49" i="10" s="1"/>
  <c r="A328" i="10"/>
  <c r="F328" i="10"/>
  <c r="H328" i="10" s="1"/>
  <c r="G328" i="10"/>
  <c r="A41" i="10"/>
  <c r="F41" i="10"/>
  <c r="H41" i="10" s="1"/>
  <c r="G41" i="10"/>
  <c r="A316" i="10"/>
  <c r="F316" i="10"/>
  <c r="H316" i="10" s="1"/>
  <c r="G316" i="10"/>
  <c r="F232" i="10"/>
  <c r="H232" i="10" s="1"/>
  <c r="A232" i="10"/>
  <c r="G232" i="10"/>
  <c r="F296" i="10"/>
  <c r="H296" i="10" s="1"/>
  <c r="A296" i="10"/>
  <c r="G296" i="10"/>
  <c r="G47" i="10"/>
  <c r="F47" i="10"/>
  <c r="H47" i="10" s="1"/>
  <c r="A47" i="10"/>
  <c r="A429" i="10"/>
  <c r="F429" i="10"/>
  <c r="H429" i="10" s="1"/>
  <c r="G429" i="10"/>
  <c r="A350" i="10"/>
  <c r="G350" i="10"/>
  <c r="F350" i="10"/>
  <c r="H350" i="10" s="1"/>
  <c r="F63" i="10"/>
  <c r="H63" i="10" s="1"/>
  <c r="A63" i="10"/>
  <c r="G63" i="10"/>
  <c r="F107" i="10"/>
  <c r="H107" i="10" s="1"/>
  <c r="A107" i="10"/>
  <c r="G107" i="10"/>
  <c r="G268" i="10"/>
  <c r="A268" i="10"/>
  <c r="F268" i="10"/>
  <c r="H268" i="10" s="1"/>
  <c r="A348" i="10"/>
  <c r="G348" i="10"/>
  <c r="F348" i="10"/>
  <c r="H348" i="10" s="1"/>
  <c r="F391" i="10"/>
  <c r="H391" i="10" s="1"/>
  <c r="A391" i="10"/>
  <c r="G391" i="10"/>
  <c r="A181" i="10"/>
  <c r="G181" i="10"/>
  <c r="F181" i="10"/>
  <c r="H181" i="10" s="1"/>
  <c r="G428" i="10"/>
  <c r="A428" i="10"/>
  <c r="F428" i="10"/>
  <c r="H428" i="10" s="1"/>
  <c r="F336" i="10"/>
  <c r="H336" i="10" s="1"/>
  <c r="A336" i="10"/>
  <c r="G336" i="10"/>
  <c r="A440" i="10"/>
  <c r="G440" i="10"/>
  <c r="F440" i="10"/>
  <c r="H440" i="10" s="1"/>
  <c r="G248" i="10"/>
  <c r="A248" i="10"/>
  <c r="F248" i="10"/>
  <c r="H248" i="10" s="1"/>
  <c r="G80" i="10"/>
  <c r="A80" i="10"/>
  <c r="F80" i="10"/>
  <c r="H80" i="10" s="1"/>
  <c r="G103" i="10"/>
  <c r="F103" i="10"/>
  <c r="H103" i="10" s="1"/>
  <c r="A103" i="10"/>
  <c r="G366" i="10"/>
  <c r="F366" i="10"/>
  <c r="H366" i="10" s="1"/>
  <c r="A366" i="10"/>
  <c r="F278" i="10"/>
  <c r="H278" i="10" s="1"/>
  <c r="A278" i="10"/>
  <c r="G278" i="10"/>
  <c r="G215" i="10"/>
  <c r="A215" i="10"/>
  <c r="F215" i="10"/>
  <c r="H215" i="10" s="1"/>
  <c r="F331" i="10"/>
  <c r="H331" i="10" s="1"/>
  <c r="A331" i="10"/>
  <c r="G331" i="10"/>
  <c r="G329" i="10"/>
  <c r="F329" i="10"/>
  <c r="H329" i="10" s="1"/>
  <c r="A329" i="10"/>
  <c r="G292" i="10"/>
  <c r="F292" i="10"/>
  <c r="H292" i="10" s="1"/>
  <c r="A292" i="10"/>
  <c r="G395" i="10"/>
  <c r="A395" i="10"/>
  <c r="F395" i="10"/>
  <c r="H395" i="10" s="1"/>
  <c r="A186" i="10"/>
  <c r="G186" i="10"/>
  <c r="F186" i="10"/>
  <c r="H186" i="10" s="1"/>
  <c r="F225" i="10"/>
  <c r="H225" i="10" s="1"/>
  <c r="A225" i="10"/>
  <c r="G225" i="10"/>
  <c r="F142" i="10"/>
  <c r="H142" i="10" s="1"/>
  <c r="A142" i="10"/>
  <c r="G142" i="10"/>
  <c r="F169" i="10"/>
  <c r="H169" i="10" s="1"/>
  <c r="G169" i="10"/>
  <c r="A169" i="10"/>
  <c r="G447" i="10"/>
  <c r="A447" i="10"/>
  <c r="F447" i="10"/>
  <c r="H447" i="10" s="1"/>
  <c r="F279" i="10"/>
  <c r="H279" i="10" s="1"/>
  <c r="G279" i="10"/>
  <c r="A279" i="10"/>
  <c r="F192" i="10"/>
  <c r="H192" i="10" s="1"/>
  <c r="A192" i="10"/>
  <c r="G192" i="10"/>
  <c r="A252" i="10"/>
  <c r="F252" i="10"/>
  <c r="H252" i="10" s="1"/>
  <c r="G252" i="10"/>
  <c r="G83" i="10"/>
  <c r="F83" i="10"/>
  <c r="H83" i="10" s="1"/>
  <c r="A83" i="10"/>
  <c r="G427" i="10"/>
  <c r="F427" i="10"/>
  <c r="H427" i="10" s="1"/>
  <c r="A427" i="10"/>
  <c r="A340" i="10"/>
  <c r="G340" i="10"/>
  <c r="F340" i="10"/>
  <c r="H340" i="10" s="1"/>
  <c r="G270" i="10"/>
  <c r="F270" i="10"/>
  <c r="H270" i="10" s="1"/>
  <c r="A270" i="10"/>
  <c r="F99" i="10"/>
  <c r="H99" i="10" s="1"/>
  <c r="G99" i="10"/>
  <c r="A99" i="10"/>
  <c r="G97" i="10"/>
  <c r="F97" i="10"/>
  <c r="H97" i="10" s="1"/>
  <c r="A97" i="10"/>
  <c r="A102" i="10"/>
  <c r="F102" i="10"/>
  <c r="H102" i="10" s="1"/>
  <c r="G102" i="10"/>
  <c r="G443" i="10"/>
  <c r="A443" i="10"/>
  <c r="F443" i="10"/>
  <c r="H443" i="10" s="1"/>
  <c r="G373" i="10"/>
  <c r="F373" i="10"/>
  <c r="H373" i="10" s="1"/>
  <c r="A373" i="10"/>
  <c r="G318" i="10"/>
  <c r="F318" i="10"/>
  <c r="H318" i="10" s="1"/>
  <c r="A318" i="10"/>
  <c r="G298" i="10"/>
  <c r="F298" i="10"/>
  <c r="H298" i="10" s="1"/>
  <c r="A298" i="10"/>
  <c r="F46" i="10"/>
  <c r="H46" i="10" s="1"/>
  <c r="A46" i="10"/>
  <c r="G46" i="10"/>
  <c r="G187" i="10"/>
  <c r="F187" i="10"/>
  <c r="H187" i="10" s="1"/>
  <c r="A187" i="10"/>
  <c r="A432" i="10"/>
  <c r="G432" i="10"/>
  <c r="F432" i="10"/>
  <c r="H432" i="10" s="1"/>
  <c r="G308" i="10"/>
  <c r="F308" i="10"/>
  <c r="H308" i="10" s="1"/>
  <c r="A308" i="10"/>
  <c r="G59" i="10"/>
  <c r="F59" i="10"/>
  <c r="H59" i="10" s="1"/>
  <c r="A59" i="10"/>
  <c r="F209" i="10"/>
  <c r="H209" i="10" s="1"/>
  <c r="A209" i="10"/>
  <c r="G209" i="10"/>
  <c r="A61" i="10"/>
  <c r="F61" i="10"/>
  <c r="H61" i="10" s="1"/>
  <c r="G61" i="10"/>
  <c r="A219" i="10"/>
  <c r="G219" i="10"/>
  <c r="F219" i="10"/>
  <c r="H219" i="10" s="1"/>
  <c r="A110" i="10"/>
  <c r="G110" i="10"/>
  <c r="F110" i="10"/>
  <c r="H110" i="10" s="1"/>
  <c r="G390" i="10"/>
  <c r="F390" i="10"/>
  <c r="H390" i="10" s="1"/>
  <c r="A390" i="10"/>
  <c r="A288" i="10"/>
  <c r="G288" i="10"/>
  <c r="F288" i="10"/>
  <c r="H288" i="10" s="1"/>
  <c r="G132" i="10"/>
  <c r="F132" i="10"/>
  <c r="H132" i="10" s="1"/>
  <c r="A132" i="10"/>
  <c r="F424" i="10"/>
  <c r="H424" i="10" s="1"/>
  <c r="G424" i="10"/>
  <c r="A424" i="10"/>
  <c r="A228" i="10"/>
  <c r="F228" i="10"/>
  <c r="H228" i="10" s="1"/>
  <c r="G228" i="10"/>
  <c r="G299" i="10"/>
  <c r="F299" i="10"/>
  <c r="H299" i="10" s="1"/>
  <c r="A299" i="10"/>
  <c r="F127" i="10"/>
  <c r="H127" i="10" s="1"/>
  <c r="A127" i="10"/>
  <c r="G127" i="10"/>
  <c r="F92" i="10"/>
  <c r="H92" i="10" s="1"/>
  <c r="A92" i="10"/>
  <c r="G92" i="10"/>
  <c r="F341" i="10"/>
  <c r="H341" i="10" s="1"/>
  <c r="A341" i="10"/>
  <c r="G341" i="10"/>
  <c r="A141" i="10"/>
  <c r="F141" i="10"/>
  <c r="H141" i="10" s="1"/>
  <c r="G141" i="10"/>
  <c r="F250" i="10"/>
  <c r="H250" i="10" s="1"/>
  <c r="A250" i="10"/>
  <c r="G250" i="10"/>
  <c r="F74" i="10"/>
  <c r="H74" i="10" s="1"/>
  <c r="A74" i="10"/>
  <c r="G74" i="10"/>
  <c r="G370" i="10"/>
  <c r="F370" i="10"/>
  <c r="H370" i="10" s="1"/>
  <c r="A370" i="10"/>
  <c r="G333" i="10"/>
  <c r="F333" i="10"/>
  <c r="H333" i="10" s="1"/>
  <c r="A333" i="10"/>
  <c r="G148" i="10"/>
  <c r="F148" i="10"/>
  <c r="H148" i="10" s="1"/>
  <c r="A148" i="10"/>
  <c r="F70" i="10"/>
  <c r="H70" i="10" s="1"/>
  <c r="A70" i="10"/>
  <c r="G70" i="10"/>
  <c r="G353" i="10"/>
  <c r="F353" i="10"/>
  <c r="H353" i="10" s="1"/>
  <c r="A353" i="10"/>
  <c r="F201" i="10"/>
  <c r="H201" i="10" s="1"/>
  <c r="A201" i="10"/>
  <c r="G201" i="10"/>
  <c r="G198" i="10"/>
  <c r="F198" i="10"/>
  <c r="H198" i="10" s="1"/>
  <c r="A198" i="10"/>
  <c r="G164" i="10"/>
  <c r="F164" i="10"/>
  <c r="H164" i="10" s="1"/>
  <c r="A164" i="10"/>
  <c r="F367" i="10"/>
  <c r="H367" i="10" s="1"/>
  <c r="G367" i="10"/>
  <c r="A367" i="10"/>
  <c r="G203" i="10"/>
  <c r="F203" i="10"/>
  <c r="H203" i="10" s="1"/>
  <c r="A203" i="10"/>
  <c r="D130" i="10"/>
  <c r="E130" i="10" s="1"/>
  <c r="D38" i="4"/>
  <c r="Q32" i="11"/>
  <c r="G162" i="3"/>
  <c r="P96" i="11"/>
  <c r="C172" i="3"/>
  <c r="Q228" i="10"/>
  <c r="S228" i="10" s="1"/>
  <c r="R228" i="10"/>
  <c r="Q227" i="10"/>
  <c r="S227" i="10" s="1"/>
  <c r="R227" i="10"/>
  <c r="Q348" i="10"/>
  <c r="S348" i="10" s="1"/>
  <c r="R348" i="10"/>
  <c r="R362" i="10"/>
  <c r="Q362" i="10"/>
  <c r="S362" i="10" s="1"/>
  <c r="Q432" i="10"/>
  <c r="S432" i="10" s="1"/>
  <c r="R432" i="10"/>
  <c r="R229" i="10"/>
  <c r="Q229" i="10"/>
  <c r="S229" i="10" s="1"/>
  <c r="Q231" i="10"/>
  <c r="S231" i="10" s="1"/>
  <c r="R231" i="10"/>
  <c r="R364" i="10"/>
  <c r="Q364" i="10"/>
  <c r="S364" i="10" s="1"/>
  <c r="R366" i="10"/>
  <c r="Q366" i="10"/>
  <c r="S366" i="10" s="1"/>
  <c r="R445" i="10"/>
  <c r="Q445" i="10"/>
  <c r="S445" i="10" s="1"/>
  <c r="R444" i="10"/>
  <c r="Q444" i="10"/>
  <c r="S444" i="10" s="1"/>
  <c r="R301" i="10"/>
  <c r="Q301" i="10"/>
  <c r="S301" i="10" s="1"/>
  <c r="Q275" i="10"/>
  <c r="S275" i="10" s="1"/>
  <c r="R275" i="10"/>
  <c r="R96" i="10"/>
  <c r="Q96" i="10"/>
  <c r="S96" i="10" s="1"/>
  <c r="R402" i="10"/>
  <c r="Q402" i="10"/>
  <c r="S402" i="10" s="1"/>
  <c r="R298" i="10"/>
  <c r="Q298" i="10"/>
  <c r="S298" i="10" s="1"/>
  <c r="R188" i="10"/>
  <c r="Q188" i="10"/>
  <c r="S188" i="10" s="1"/>
  <c r="R159" i="10"/>
  <c r="Q159" i="10"/>
  <c r="S159" i="10" s="1"/>
  <c r="R417" i="10"/>
  <c r="Q417" i="10"/>
  <c r="S417" i="10" s="1"/>
  <c r="R254" i="10"/>
  <c r="Q254" i="10"/>
  <c r="S254" i="10" s="1"/>
  <c r="R141" i="10"/>
  <c r="Q141" i="10"/>
  <c r="S141" i="10" s="1"/>
  <c r="Q360" i="10"/>
  <c r="S360" i="10" s="1"/>
  <c r="R360" i="10"/>
  <c r="Q180" i="10"/>
  <c r="S180" i="10" s="1"/>
  <c r="R180" i="10"/>
  <c r="Q179" i="10"/>
  <c r="S179" i="10" s="1"/>
  <c r="R179" i="10"/>
  <c r="Q290" i="10"/>
  <c r="S290" i="10" s="1"/>
  <c r="R290" i="10"/>
  <c r="Q359" i="10"/>
  <c r="S359" i="10" s="1"/>
  <c r="R359" i="10"/>
  <c r="R394" i="10"/>
  <c r="Q394" i="10"/>
  <c r="S394" i="10" s="1"/>
  <c r="R181" i="10"/>
  <c r="Q181" i="10"/>
  <c r="S181" i="10" s="1"/>
  <c r="Q183" i="10"/>
  <c r="S183" i="10" s="1"/>
  <c r="R183" i="10"/>
  <c r="R294" i="10"/>
  <c r="Q294" i="10"/>
  <c r="S294" i="10" s="1"/>
  <c r="Q363" i="10"/>
  <c r="S363" i="10" s="1"/>
  <c r="R363" i="10"/>
  <c r="R398" i="10"/>
  <c r="Q398" i="10"/>
  <c r="S398" i="10" s="1"/>
  <c r="Q200" i="10"/>
  <c r="S200" i="10" s="1"/>
  <c r="R200" i="10"/>
  <c r="R288" i="10"/>
  <c r="Q288" i="10"/>
  <c r="S288" i="10" s="1"/>
  <c r="R94" i="10"/>
  <c r="Q94" i="10"/>
  <c r="S94" i="10" s="1"/>
  <c r="R147" i="10"/>
  <c r="Q147" i="10"/>
  <c r="S147" i="10" s="1"/>
  <c r="Q439" i="10"/>
  <c r="S439" i="10" s="1"/>
  <c r="R439" i="10"/>
  <c r="Q329" i="10"/>
  <c r="S329" i="10" s="1"/>
  <c r="R329" i="10"/>
  <c r="R35" i="10"/>
  <c r="Q35" i="10"/>
  <c r="S35" i="10" s="1"/>
  <c r="Q114" i="10"/>
  <c r="S114" i="10" s="1"/>
  <c r="R114" i="10"/>
  <c r="C464" i="10"/>
  <c r="C463" i="10"/>
  <c r="C454" i="10"/>
  <c r="Q448" i="10"/>
  <c r="S448" i="10" s="1"/>
  <c r="C457" i="10"/>
  <c r="C458" i="10"/>
  <c r="C460" i="10"/>
  <c r="C459" i="10"/>
  <c r="C461" i="10"/>
  <c r="C451" i="10"/>
  <c r="C452" i="10"/>
  <c r="C456" i="10"/>
  <c r="C455" i="10"/>
  <c r="C453" i="10"/>
  <c r="C466" i="10"/>
  <c r="C465" i="10"/>
  <c r="D10" i="10"/>
  <c r="C468" i="10"/>
  <c r="C467" i="10"/>
  <c r="C462" i="10"/>
  <c r="C449" i="10"/>
  <c r="C450" i="10"/>
  <c r="R448" i="10"/>
  <c r="R285" i="10"/>
  <c r="Q285" i="10"/>
  <c r="S285" i="10" s="1"/>
  <c r="R237" i="10"/>
  <c r="Q237" i="10"/>
  <c r="S237" i="10" s="1"/>
  <c r="Q251" i="10"/>
  <c r="S251" i="10" s="1"/>
  <c r="R251" i="10"/>
  <c r="Q129" i="10"/>
  <c r="S129" i="10" s="1"/>
  <c r="R129" i="10"/>
  <c r="R136" i="10"/>
  <c r="Q136" i="10"/>
  <c r="S136" i="10" s="1"/>
  <c r="R396" i="10"/>
  <c r="Q396" i="10"/>
  <c r="S396" i="10" s="1"/>
  <c r="Q324" i="10"/>
  <c r="S324" i="10" s="1"/>
  <c r="R324" i="10"/>
  <c r="Q403" i="10"/>
  <c r="S403" i="10" s="1"/>
  <c r="R403" i="10"/>
  <c r="R133" i="10"/>
  <c r="Q133" i="10"/>
  <c r="S133" i="10" s="1"/>
  <c r="R140" i="10"/>
  <c r="Q140" i="10"/>
  <c r="S140" i="10" s="1"/>
  <c r="D405" i="10"/>
  <c r="E405" i="10" s="1"/>
  <c r="Q405" i="10"/>
  <c r="S405" i="10" s="1"/>
  <c r="R405" i="10"/>
  <c r="R328" i="10"/>
  <c r="Q328" i="10"/>
  <c r="S328" i="10" s="1"/>
  <c r="R407" i="10"/>
  <c r="Q407" i="10"/>
  <c r="S407" i="10" s="1"/>
  <c r="R93" i="10"/>
  <c r="Q93" i="10"/>
  <c r="S93" i="10" s="1"/>
  <c r="Q256" i="10"/>
  <c r="S256" i="10" s="1"/>
  <c r="R256" i="10"/>
  <c r="R71" i="10"/>
  <c r="Q71" i="10"/>
  <c r="S71" i="10" s="1"/>
  <c r="R131" i="10"/>
  <c r="Q131" i="10"/>
  <c r="S131" i="10" s="1"/>
  <c r="D442" i="10"/>
  <c r="E442" i="10" s="1"/>
  <c r="Q442" i="10"/>
  <c r="S442" i="10" s="1"/>
  <c r="R442" i="10"/>
  <c r="D297" i="10"/>
  <c r="E297" i="10" s="1"/>
  <c r="Q297" i="10"/>
  <c r="S297" i="10" s="1"/>
  <c r="R297" i="10"/>
  <c r="R265" i="10"/>
  <c r="Q265" i="10"/>
  <c r="S265" i="10" s="1"/>
  <c r="R41" i="10"/>
  <c r="Q41" i="10"/>
  <c r="S41" i="10" s="1"/>
  <c r="Q416" i="10"/>
  <c r="S416" i="10" s="1"/>
  <c r="R416" i="10"/>
  <c r="R318" i="10"/>
  <c r="Q318" i="10"/>
  <c r="S318" i="10" s="1"/>
  <c r="R205" i="10"/>
  <c r="Q205" i="10"/>
  <c r="S205" i="10" s="1"/>
  <c r="R185" i="10"/>
  <c r="Q185" i="10"/>
  <c r="S185" i="10" s="1"/>
  <c r="D212" i="10"/>
  <c r="E212" i="10" s="1"/>
  <c r="Q212" i="10"/>
  <c r="S212" i="10" s="1"/>
  <c r="R212" i="10"/>
  <c r="R211" i="10"/>
  <c r="Q211" i="10"/>
  <c r="S211" i="10" s="1"/>
  <c r="D322" i="10"/>
  <c r="E322" i="10" s="1"/>
  <c r="Q322" i="10"/>
  <c r="S322" i="10" s="1"/>
  <c r="R322" i="10"/>
  <c r="R346" i="10"/>
  <c r="Q346" i="10"/>
  <c r="S346" i="10" s="1"/>
  <c r="D425" i="10"/>
  <c r="E425" i="10" s="1"/>
  <c r="Q425" i="10"/>
  <c r="S425" i="10" s="1"/>
  <c r="R425" i="10"/>
  <c r="Q213" i="10"/>
  <c r="S213" i="10" s="1"/>
  <c r="R213" i="10"/>
  <c r="R215" i="10"/>
  <c r="Q215" i="10"/>
  <c r="S215" i="10" s="1"/>
  <c r="D326" i="10"/>
  <c r="E326" i="10" s="1"/>
  <c r="Q326" i="10"/>
  <c r="S326" i="10" s="1"/>
  <c r="R326" i="10"/>
  <c r="R350" i="10"/>
  <c r="Q350" i="10"/>
  <c r="S350" i="10" s="1"/>
  <c r="R436" i="10"/>
  <c r="Q436" i="10"/>
  <c r="S436" i="10" s="1"/>
  <c r="R443" i="10"/>
  <c r="Q443" i="10"/>
  <c r="S443" i="10" s="1"/>
  <c r="Q333" i="10"/>
  <c r="S333" i="10" s="1"/>
  <c r="R333" i="10"/>
  <c r="Q39" i="10"/>
  <c r="S39" i="10" s="1"/>
  <c r="R39" i="10"/>
  <c r="D115" i="10"/>
  <c r="E115" i="10" s="1"/>
  <c r="R115" i="10"/>
  <c r="Q115" i="10"/>
  <c r="S115" i="10" s="1"/>
  <c r="Q429" i="10"/>
  <c r="S429" i="10" s="1"/>
  <c r="R429" i="10"/>
  <c r="Q330" i="10"/>
  <c r="S330" i="10" s="1"/>
  <c r="R330" i="10"/>
  <c r="Q220" i="10"/>
  <c r="S220" i="10" s="1"/>
  <c r="R220" i="10"/>
  <c r="Q201" i="10"/>
  <c r="S201" i="10" s="1"/>
  <c r="R201" i="10"/>
  <c r="Q390" i="10"/>
  <c r="S390" i="10" s="1"/>
  <c r="R390" i="10"/>
  <c r="Q286" i="10"/>
  <c r="S286" i="10" s="1"/>
  <c r="R286" i="10"/>
  <c r="R173" i="10"/>
  <c r="Q173" i="10"/>
  <c r="S173" i="10" s="1"/>
  <c r="R150" i="10"/>
  <c r="Q150" i="10"/>
  <c r="S150" i="10" s="1"/>
  <c r="R303" i="10"/>
  <c r="Q303" i="10"/>
  <c r="S303" i="10" s="1"/>
  <c r="Q44" i="10"/>
  <c r="S44" i="10" s="1"/>
  <c r="R44" i="10"/>
  <c r="R235" i="10"/>
  <c r="Q235" i="10"/>
  <c r="S235" i="10" s="1"/>
  <c r="Q370" i="10"/>
  <c r="S370" i="10" s="1"/>
  <c r="R370" i="10"/>
  <c r="R45" i="10"/>
  <c r="Q45" i="10"/>
  <c r="S45" i="10" s="1"/>
  <c r="Q60" i="10"/>
  <c r="S60" i="10" s="1"/>
  <c r="R60" i="10"/>
  <c r="Q291" i="10"/>
  <c r="S291" i="10" s="1"/>
  <c r="R291" i="10"/>
  <c r="R353" i="10"/>
  <c r="Q353" i="10"/>
  <c r="S353" i="10" s="1"/>
  <c r="R92" i="10"/>
  <c r="Q92" i="10"/>
  <c r="S92" i="10" s="1"/>
  <c r="Q169" i="10"/>
  <c r="S169" i="10" s="1"/>
  <c r="R169" i="10"/>
  <c r="R282" i="10"/>
  <c r="Q282" i="10"/>
  <c r="S282" i="10" s="1"/>
  <c r="R386" i="10"/>
  <c r="Q386" i="10"/>
  <c r="S386" i="10" s="1"/>
  <c r="R77" i="10"/>
  <c r="Q77" i="10"/>
  <c r="S77" i="10" s="1"/>
  <c r="R90" i="10"/>
  <c r="Q90" i="10"/>
  <c r="S90" i="10" s="1"/>
  <c r="R226" i="10"/>
  <c r="Q226" i="10"/>
  <c r="S226" i="10" s="1"/>
  <c r="R401" i="10"/>
  <c r="Q401" i="10"/>
  <c r="S401" i="10" s="1"/>
  <c r="M9" i="11"/>
  <c r="E62" i="7"/>
  <c r="F62" i="7" s="1"/>
  <c r="E62" i="6"/>
  <c r="F62" i="6" s="1"/>
  <c r="H16" i="11"/>
  <c r="F104" i="12"/>
  <c r="AG158" i="2"/>
  <c r="G321" i="10"/>
  <c r="F321" i="10"/>
  <c r="H321" i="10" s="1"/>
  <c r="A321" i="10"/>
  <c r="G242" i="10"/>
  <c r="A242" i="10"/>
  <c r="F242" i="10"/>
  <c r="H242" i="10" s="1"/>
  <c r="A89" i="10"/>
  <c r="F89" i="10"/>
  <c r="H89" i="10" s="1"/>
  <c r="G89" i="10"/>
  <c r="F205" i="10"/>
  <c r="H205" i="10" s="1"/>
  <c r="A205" i="10"/>
  <c r="G205" i="10"/>
  <c r="G81" i="10"/>
  <c r="A81" i="10"/>
  <c r="F81" i="10"/>
  <c r="H81" i="10" s="1"/>
  <c r="G105" i="10"/>
  <c r="F105" i="10"/>
  <c r="H105" i="10" s="1"/>
  <c r="A105" i="10"/>
  <c r="F269" i="10"/>
  <c r="H269" i="10" s="1"/>
  <c r="A269" i="10"/>
  <c r="G269" i="10"/>
  <c r="A419" i="10"/>
  <c r="G419" i="10"/>
  <c r="F419" i="10"/>
  <c r="H419" i="10" s="1"/>
  <c r="G361" i="10"/>
  <c r="F361" i="10"/>
  <c r="H361" i="10" s="1"/>
  <c r="A361" i="10"/>
  <c r="F310" i="10"/>
  <c r="H310" i="10" s="1"/>
  <c r="A310" i="10"/>
  <c r="G310" i="10"/>
  <c r="G131" i="10"/>
  <c r="F131" i="10"/>
  <c r="H131" i="10" s="1"/>
  <c r="A131" i="10"/>
  <c r="G410" i="10"/>
  <c r="F410" i="10"/>
  <c r="H410" i="10" s="1"/>
  <c r="A410" i="10"/>
  <c r="G86" i="10"/>
  <c r="A86" i="10"/>
  <c r="F86" i="10"/>
  <c r="H86" i="10" s="1"/>
  <c r="A220" i="10"/>
  <c r="G220" i="10"/>
  <c r="F220" i="10"/>
  <c r="H220" i="10" s="1"/>
  <c r="F267" i="10"/>
  <c r="H267" i="10" s="1"/>
  <c r="A267" i="10"/>
  <c r="G267" i="10"/>
  <c r="G75" i="10"/>
  <c r="A75" i="10"/>
  <c r="F75" i="10"/>
  <c r="H75" i="10" s="1"/>
  <c r="G167" i="10"/>
  <c r="F167" i="10"/>
  <c r="H167" i="10" s="1"/>
  <c r="A167" i="10"/>
  <c r="F50" i="10"/>
  <c r="H50" i="10" s="1"/>
  <c r="A50" i="10"/>
  <c r="G50" i="10"/>
  <c r="F352" i="10"/>
  <c r="H352" i="10" s="1"/>
  <c r="A352" i="10"/>
  <c r="G352" i="10"/>
  <c r="F133" i="10"/>
  <c r="H133" i="10" s="1"/>
  <c r="G133" i="10"/>
  <c r="A133" i="10"/>
  <c r="F369" i="10"/>
  <c r="H369" i="10" s="1"/>
  <c r="A369" i="10"/>
  <c r="G369" i="10"/>
  <c r="A312" i="10"/>
  <c r="G312" i="10"/>
  <c r="F312" i="10"/>
  <c r="H312" i="10" s="1"/>
  <c r="F283" i="10"/>
  <c r="H283" i="10" s="1"/>
  <c r="A283" i="10"/>
  <c r="G283" i="10"/>
  <c r="G360" i="10"/>
  <c r="F360" i="10"/>
  <c r="H360" i="10" s="1"/>
  <c r="A360" i="10"/>
  <c r="G37" i="10"/>
  <c r="F37" i="10"/>
  <c r="H37" i="10" s="1"/>
  <c r="A37" i="10"/>
  <c r="G274" i="10"/>
  <c r="F274" i="10"/>
  <c r="H274" i="10" s="1"/>
  <c r="A274" i="10"/>
  <c r="A404" i="10"/>
  <c r="G404" i="10"/>
  <c r="F404" i="10"/>
  <c r="H404" i="10" s="1"/>
  <c r="A397" i="10"/>
  <c r="G397" i="10"/>
  <c r="F397" i="10"/>
  <c r="H397" i="10" s="1"/>
  <c r="A394" i="10"/>
  <c r="G394" i="10"/>
  <c r="F394" i="10"/>
  <c r="H394" i="10" s="1"/>
  <c r="G227" i="10"/>
  <c r="F227" i="10"/>
  <c r="H227" i="10" s="1"/>
  <c r="A227" i="10"/>
  <c r="G422" i="10"/>
  <c r="F422" i="10"/>
  <c r="H422" i="10" s="1"/>
  <c r="A422" i="10"/>
  <c r="G108" i="10"/>
  <c r="F108" i="10"/>
  <c r="H108" i="10" s="1"/>
  <c r="A108" i="10"/>
  <c r="G402" i="10"/>
  <c r="F402" i="10"/>
  <c r="H402" i="10" s="1"/>
  <c r="A402" i="10"/>
  <c r="G104" i="10"/>
  <c r="F104" i="10"/>
  <c r="H104" i="10" s="1"/>
  <c r="A104" i="10"/>
  <c r="G363" i="10"/>
  <c r="F363" i="10"/>
  <c r="H363" i="10" s="1"/>
  <c r="A363" i="10"/>
  <c r="F295" i="10"/>
  <c r="H295" i="10" s="1"/>
  <c r="A295" i="10"/>
  <c r="G295" i="10"/>
  <c r="G124" i="10"/>
  <c r="F124" i="10"/>
  <c r="H124" i="10" s="1"/>
  <c r="A124" i="10"/>
  <c r="A57" i="10"/>
  <c r="G57" i="10"/>
  <c r="F57" i="10"/>
  <c r="H57" i="10" s="1"/>
  <c r="F144" i="10"/>
  <c r="H144" i="10" s="1"/>
  <c r="A144" i="10"/>
  <c r="G144" i="10"/>
  <c r="A290" i="10"/>
  <c r="G290" i="10"/>
  <c r="F290" i="10"/>
  <c r="H290" i="10" s="1"/>
  <c r="F235" i="10"/>
  <c r="H235" i="10" s="1"/>
  <c r="A235" i="10"/>
  <c r="G235" i="10"/>
  <c r="F168" i="10"/>
  <c r="H168" i="10" s="1"/>
  <c r="A168" i="10"/>
  <c r="G168" i="10"/>
  <c r="A171" i="10"/>
  <c r="G171" i="10"/>
  <c r="F171" i="10"/>
  <c r="H171" i="10" s="1"/>
  <c r="G93" i="10"/>
  <c r="F93" i="10"/>
  <c r="H93" i="10" s="1"/>
  <c r="A93" i="10"/>
  <c r="A88" i="10"/>
  <c r="G88" i="10"/>
  <c r="F88" i="10"/>
  <c r="H88" i="10" s="1"/>
  <c r="F438" i="10"/>
  <c r="H438" i="10" s="1"/>
  <c r="G438" i="10"/>
  <c r="A438" i="10"/>
  <c r="G120" i="10"/>
  <c r="F120" i="10"/>
  <c r="H120" i="10" s="1"/>
  <c r="A120" i="10"/>
  <c r="F303" i="10"/>
  <c r="H303" i="10" s="1"/>
  <c r="A303" i="10"/>
  <c r="G303" i="10"/>
  <c r="G314" i="10"/>
  <c r="F314" i="10"/>
  <c r="H314" i="10" s="1"/>
  <c r="A314" i="10"/>
  <c r="G35" i="10"/>
  <c r="F35" i="10"/>
  <c r="H35" i="10" s="1"/>
  <c r="A35" i="10"/>
  <c r="A399" i="10"/>
  <c r="G399" i="10"/>
  <c r="F399" i="10"/>
  <c r="H399" i="10" s="1"/>
  <c r="A320" i="10"/>
  <c r="G320" i="10"/>
  <c r="F320" i="10"/>
  <c r="H320" i="10" s="1"/>
  <c r="G223" i="10"/>
  <c r="A223" i="10"/>
  <c r="F223" i="10"/>
  <c r="H223" i="10" s="1"/>
  <c r="A240" i="10"/>
  <c r="G240" i="10"/>
  <c r="F240" i="10"/>
  <c r="H240" i="10" s="1"/>
  <c r="F233" i="10"/>
  <c r="H233" i="10" s="1"/>
  <c r="A233" i="10"/>
  <c r="G233" i="10"/>
  <c r="F146" i="10"/>
  <c r="H146" i="10" s="1"/>
  <c r="A146" i="10"/>
  <c r="G146" i="10"/>
  <c r="A437" i="10"/>
  <c r="G437" i="10"/>
  <c r="F437" i="10"/>
  <c r="H437" i="10" s="1"/>
  <c r="G339" i="10"/>
  <c r="A339" i="10"/>
  <c r="F339" i="10"/>
  <c r="H339" i="10" s="1"/>
  <c r="F254" i="10"/>
  <c r="H254" i="10" s="1"/>
  <c r="A254" i="10"/>
  <c r="G254" i="10"/>
  <c r="G64" i="10"/>
  <c r="A64" i="10"/>
  <c r="F64" i="10"/>
  <c r="H64" i="10" s="1"/>
  <c r="G439" i="10"/>
  <c r="F439" i="10"/>
  <c r="H439" i="10" s="1"/>
  <c r="A439" i="10"/>
  <c r="F67" i="10"/>
  <c r="H67" i="10" s="1"/>
  <c r="A67" i="10"/>
  <c r="G67" i="10"/>
  <c r="G377" i="10"/>
  <c r="F377" i="10"/>
  <c r="H377" i="10" s="1"/>
  <c r="A377" i="10"/>
  <c r="G202" i="10"/>
  <c r="F202" i="10"/>
  <c r="H202" i="10" s="1"/>
  <c r="A202" i="10"/>
  <c r="G43" i="10"/>
  <c r="F43" i="10"/>
  <c r="H43" i="10" s="1"/>
  <c r="A43" i="10"/>
  <c r="G122" i="10"/>
  <c r="F122" i="10"/>
  <c r="H122" i="10" s="1"/>
  <c r="A122" i="10"/>
  <c r="A134" i="10"/>
  <c r="G134" i="10"/>
  <c r="F134" i="10"/>
  <c r="H134" i="10" s="1"/>
  <c r="G204" i="10"/>
  <c r="A204" i="10"/>
  <c r="F204" i="10"/>
  <c r="H204" i="10" s="1"/>
  <c r="A216" i="10"/>
  <c r="G216" i="10"/>
  <c r="F216" i="10"/>
  <c r="H216" i="10" s="1"/>
  <c r="G426" i="10"/>
  <c r="A426" i="10"/>
  <c r="F426" i="10"/>
  <c r="H426" i="10" s="1"/>
  <c r="A380" i="10"/>
  <c r="G380" i="10"/>
  <c r="F380" i="10"/>
  <c r="H380" i="10" s="1"/>
  <c r="A315" i="10"/>
  <c r="G315" i="10"/>
  <c r="F315" i="10"/>
  <c r="H315" i="10" s="1"/>
  <c r="A245" i="10"/>
  <c r="G245" i="10"/>
  <c r="F245" i="10"/>
  <c r="H245" i="10" s="1"/>
  <c r="F180" i="10"/>
  <c r="H180" i="10" s="1"/>
  <c r="G180" i="10"/>
  <c r="A180" i="10"/>
  <c r="A138" i="10"/>
  <c r="G138" i="10"/>
  <c r="F138" i="10"/>
  <c r="H138" i="10" s="1"/>
  <c r="A73" i="10"/>
  <c r="G73" i="10"/>
  <c r="F73" i="10"/>
  <c r="H73" i="10" s="1"/>
  <c r="F444" i="10"/>
  <c r="H444" i="10" s="1"/>
  <c r="G444" i="10"/>
  <c r="A444" i="10"/>
  <c r="A374" i="10"/>
  <c r="G374" i="10"/>
  <c r="F374" i="10"/>
  <c r="H374" i="10" s="1"/>
  <c r="F163" i="10"/>
  <c r="H163" i="10" s="1"/>
  <c r="A163" i="10"/>
  <c r="G163" i="10"/>
  <c r="F177" i="10"/>
  <c r="H177" i="10" s="1"/>
  <c r="A177" i="10"/>
  <c r="G177" i="10"/>
  <c r="F423" i="10"/>
  <c r="H423" i="10" s="1"/>
  <c r="A423" i="10"/>
  <c r="G423" i="10"/>
  <c r="F381" i="10"/>
  <c r="H381" i="10" s="1"/>
  <c r="A381" i="10"/>
  <c r="G381" i="10"/>
  <c r="A286" i="10"/>
  <c r="G286" i="10"/>
  <c r="F286" i="10"/>
  <c r="H286" i="10" s="1"/>
  <c r="F221" i="10"/>
  <c r="H221" i="10" s="1"/>
  <c r="A221" i="10"/>
  <c r="G221" i="10"/>
  <c r="G414" i="10"/>
  <c r="A414" i="10"/>
  <c r="F414" i="10"/>
  <c r="H414" i="10" s="1"/>
  <c r="F332" i="10"/>
  <c r="H332" i="10" s="1"/>
  <c r="A332" i="10"/>
  <c r="G332" i="10"/>
  <c r="F285" i="10"/>
  <c r="H285" i="10" s="1"/>
  <c r="A285" i="10"/>
  <c r="G285" i="10"/>
  <c r="F307" i="10"/>
  <c r="H307" i="10" s="1"/>
  <c r="A307" i="10"/>
  <c r="G307" i="10"/>
  <c r="F39" i="10"/>
  <c r="H39" i="10" s="1"/>
  <c r="A39" i="10"/>
  <c r="G39" i="10"/>
  <c r="G56" i="10"/>
  <c r="A56" i="10"/>
  <c r="F56" i="10"/>
  <c r="H56" i="10" s="1"/>
  <c r="F368" i="10"/>
  <c r="H368" i="10" s="1"/>
  <c r="A368" i="10"/>
  <c r="G368" i="10"/>
  <c r="G51" i="10"/>
  <c r="F51" i="10"/>
  <c r="H51" i="10" s="1"/>
  <c r="A51" i="10"/>
  <c r="G158" i="10"/>
  <c r="F158" i="10"/>
  <c r="H158" i="10" s="1"/>
  <c r="A158" i="10"/>
  <c r="P98" i="11"/>
  <c r="C178" i="3"/>
  <c r="D52" i="4"/>
  <c r="Q43" i="10"/>
  <c r="S43" i="10" s="1"/>
  <c r="R43" i="10"/>
  <c r="R186" i="10"/>
  <c r="Q186" i="10"/>
  <c r="S186" i="10" s="1"/>
  <c r="Q336" i="10"/>
  <c r="S336" i="10" s="1"/>
  <c r="R336" i="10"/>
  <c r="R377" i="10"/>
  <c r="Q377" i="10"/>
  <c r="S377" i="10" s="1"/>
  <c r="Q447" i="10"/>
  <c r="S447" i="10" s="1"/>
  <c r="R447" i="10"/>
  <c r="R47" i="10"/>
  <c r="Q47" i="10"/>
  <c r="S47" i="10" s="1"/>
  <c r="R190" i="10"/>
  <c r="Q190" i="10"/>
  <c r="S190" i="10" s="1"/>
  <c r="R352" i="10"/>
  <c r="Q352" i="10"/>
  <c r="S352" i="10" s="1"/>
  <c r="R388" i="10"/>
  <c r="Q388" i="10"/>
  <c r="S388" i="10" s="1"/>
  <c r="R82" i="10"/>
  <c r="Q82" i="10"/>
  <c r="S82" i="10" s="1"/>
  <c r="R399" i="10"/>
  <c r="Q399" i="10"/>
  <c r="S399" i="10" s="1"/>
  <c r="Q327" i="10"/>
  <c r="S327" i="10" s="1"/>
  <c r="R327" i="10"/>
  <c r="R125" i="10"/>
  <c r="Q125" i="10"/>
  <c r="S125" i="10" s="1"/>
  <c r="R240" i="10"/>
  <c r="Q240" i="10"/>
  <c r="S240" i="10" s="1"/>
  <c r="Q382" i="10"/>
  <c r="S382" i="10" s="1"/>
  <c r="R382" i="10"/>
  <c r="R210" i="10"/>
  <c r="Q210" i="10"/>
  <c r="S210" i="10" s="1"/>
  <c r="R88" i="10"/>
  <c r="Q88" i="10"/>
  <c r="S88" i="10" s="1"/>
  <c r="R69" i="10"/>
  <c r="Q69" i="10"/>
  <c r="S69" i="10" s="1"/>
  <c r="R357" i="10"/>
  <c r="Q357" i="10"/>
  <c r="S357" i="10" s="1"/>
  <c r="Q307" i="10"/>
  <c r="S307" i="10" s="1"/>
  <c r="R307" i="10"/>
  <c r="Q64" i="10"/>
  <c r="S64" i="10" s="1"/>
  <c r="R64" i="10"/>
  <c r="R46" i="10"/>
  <c r="Q46" i="10"/>
  <c r="S46" i="10" s="1"/>
  <c r="Q249" i="10"/>
  <c r="S249" i="10" s="1"/>
  <c r="R249" i="10"/>
  <c r="R246" i="10"/>
  <c r="Q246" i="10"/>
  <c r="S246" i="10" s="1"/>
  <c r="R289" i="10"/>
  <c r="Q289" i="10"/>
  <c r="S289" i="10" s="1"/>
  <c r="R384" i="10"/>
  <c r="Q384" i="10"/>
  <c r="S384" i="10" s="1"/>
  <c r="R428" i="10"/>
  <c r="Q428" i="10"/>
  <c r="S428" i="10" s="1"/>
  <c r="Q259" i="10"/>
  <c r="S259" i="10" s="1"/>
  <c r="R259" i="10"/>
  <c r="Q247" i="10"/>
  <c r="S247" i="10" s="1"/>
  <c r="R247" i="10"/>
  <c r="R293" i="10"/>
  <c r="Q293" i="10"/>
  <c r="S293" i="10" s="1"/>
  <c r="Q389" i="10"/>
  <c r="S389" i="10" s="1"/>
  <c r="R389" i="10"/>
  <c r="R441" i="10"/>
  <c r="Q441" i="10"/>
  <c r="S441" i="10" s="1"/>
  <c r="R430" i="10"/>
  <c r="Q430" i="10"/>
  <c r="S430" i="10" s="1"/>
  <c r="Q334" i="10"/>
  <c r="S334" i="10" s="1"/>
  <c r="R334" i="10"/>
  <c r="Q221" i="10"/>
  <c r="S221" i="10" s="1"/>
  <c r="R221" i="10"/>
  <c r="Q217" i="10"/>
  <c r="S217" i="10" s="1"/>
  <c r="R217" i="10"/>
  <c r="R433" i="10"/>
  <c r="Q433" i="10"/>
  <c r="S433" i="10" s="1"/>
  <c r="Q266" i="10"/>
  <c r="S266" i="10" s="1"/>
  <c r="R266" i="10"/>
  <c r="Q153" i="10"/>
  <c r="S153" i="10" s="1"/>
  <c r="R153" i="10"/>
  <c r="R126" i="10"/>
  <c r="Q126" i="10"/>
  <c r="S126" i="10" s="1"/>
  <c r="R426" i="10"/>
  <c r="Q426" i="10"/>
  <c r="S426" i="10" s="1"/>
  <c r="R271" i="10"/>
  <c r="Q271" i="10"/>
  <c r="S271" i="10" s="1"/>
  <c r="Q109" i="10"/>
  <c r="S109" i="10" s="1"/>
  <c r="R109" i="10"/>
  <c r="R208" i="10"/>
  <c r="Q208" i="10"/>
  <c r="S208" i="10" s="1"/>
  <c r="R196" i="10"/>
  <c r="Q196" i="10"/>
  <c r="S196" i="10" s="1"/>
  <c r="D195" i="10"/>
  <c r="E195" i="10" s="1"/>
  <c r="Q195" i="10"/>
  <c r="S195" i="10" s="1"/>
  <c r="R195" i="10"/>
  <c r="R306" i="10"/>
  <c r="Q306" i="10"/>
  <c r="S306" i="10" s="1"/>
  <c r="Q375" i="10"/>
  <c r="S375" i="10" s="1"/>
  <c r="R375" i="10"/>
  <c r="R410" i="10"/>
  <c r="Q410" i="10"/>
  <c r="S410" i="10" s="1"/>
  <c r="Q197" i="10"/>
  <c r="S197" i="10" s="1"/>
  <c r="R197" i="10"/>
  <c r="Q199" i="10"/>
  <c r="S199" i="10" s="1"/>
  <c r="R199" i="10"/>
  <c r="Q310" i="10"/>
  <c r="S310" i="10" s="1"/>
  <c r="R310" i="10"/>
  <c r="R404" i="10"/>
  <c r="Q404" i="10"/>
  <c r="S404" i="10" s="1"/>
  <c r="Q413" i="10"/>
  <c r="S413" i="10" s="1"/>
  <c r="R413" i="10"/>
  <c r="D406" i="10"/>
  <c r="E406" i="10" s="1"/>
  <c r="Q406" i="10"/>
  <c r="S406" i="10" s="1"/>
  <c r="R406" i="10"/>
  <c r="D302" i="10"/>
  <c r="E302" i="10" s="1"/>
  <c r="Q302" i="10"/>
  <c r="S302" i="10" s="1"/>
  <c r="R302" i="10"/>
  <c r="D189" i="10"/>
  <c r="E189" i="10" s="1"/>
  <c r="Q189" i="10"/>
  <c r="S189" i="10" s="1"/>
  <c r="R189" i="10"/>
  <c r="R167" i="10"/>
  <c r="Q167" i="10"/>
  <c r="S167" i="10" s="1"/>
  <c r="R395" i="10"/>
  <c r="Q395" i="10"/>
  <c r="S395" i="10" s="1"/>
  <c r="D311" i="10"/>
  <c r="E311" i="10" s="1"/>
  <c r="Q311" i="10"/>
  <c r="S311" i="10" s="1"/>
  <c r="R311" i="10"/>
  <c r="Q121" i="10"/>
  <c r="S121" i="10" s="1"/>
  <c r="R121" i="10"/>
  <c r="Q224" i="10"/>
  <c r="S224" i="10" s="1"/>
  <c r="R224" i="10"/>
  <c r="R408" i="10"/>
  <c r="Q408" i="10"/>
  <c r="S408" i="10" s="1"/>
  <c r="D230" i="10"/>
  <c r="E230" i="10" s="1"/>
  <c r="Q230" i="10"/>
  <c r="S230" i="10" s="1"/>
  <c r="R230" i="10"/>
  <c r="Q91" i="10"/>
  <c r="S91" i="10" s="1"/>
  <c r="R91" i="10"/>
  <c r="R78" i="10"/>
  <c r="Q78" i="10"/>
  <c r="S78" i="10" s="1"/>
  <c r="D319" i="10"/>
  <c r="E319" i="10" s="1"/>
  <c r="Q319" i="10"/>
  <c r="S319" i="10" s="1"/>
  <c r="R319" i="10"/>
  <c r="D323" i="10"/>
  <c r="E323" i="10" s="1"/>
  <c r="Q323" i="10"/>
  <c r="S323" i="10" s="1"/>
  <c r="R323" i="10"/>
  <c r="R321" i="10"/>
  <c r="Q321" i="10"/>
  <c r="S321" i="10" s="1"/>
  <c r="Q361" i="10"/>
  <c r="S361" i="10" s="1"/>
  <c r="R361" i="10"/>
  <c r="Q431" i="10"/>
  <c r="S431" i="10" s="1"/>
  <c r="R431" i="10"/>
  <c r="R32" i="10"/>
  <c r="S32" i="10"/>
  <c r="D376" i="10"/>
  <c r="E376" i="10" s="1"/>
  <c r="R376" i="10"/>
  <c r="Q376" i="10"/>
  <c r="S376" i="10" s="1"/>
  <c r="R325" i="10"/>
  <c r="Q325" i="10"/>
  <c r="S325" i="10" s="1"/>
  <c r="Q365" i="10"/>
  <c r="S365" i="10" s="1"/>
  <c r="R365" i="10"/>
  <c r="R435" i="10"/>
  <c r="Q435" i="10"/>
  <c r="S435" i="10" s="1"/>
  <c r="R437" i="10"/>
  <c r="Q437" i="10"/>
  <c r="S437" i="10" s="1"/>
  <c r="R270" i="10"/>
  <c r="Q270" i="10"/>
  <c r="S270" i="10" s="1"/>
  <c r="D157" i="10"/>
  <c r="E157" i="10" s="1"/>
  <c r="Q157" i="10"/>
  <c r="S157" i="10" s="1"/>
  <c r="R157" i="10"/>
  <c r="D135" i="10"/>
  <c r="E135" i="10" s="1"/>
  <c r="R135" i="10"/>
  <c r="Q135" i="10"/>
  <c r="S135" i="10" s="1"/>
  <c r="Q387" i="10"/>
  <c r="S387" i="10" s="1"/>
  <c r="R387" i="10"/>
  <c r="Q242" i="10"/>
  <c r="S242" i="10" s="1"/>
  <c r="R242" i="10"/>
  <c r="R95" i="10"/>
  <c r="Q95" i="10"/>
  <c r="S95" i="10" s="1"/>
  <c r="Q106" i="10"/>
  <c r="S106" i="10" s="1"/>
  <c r="R106" i="10"/>
  <c r="R379" i="10"/>
  <c r="Q379" i="10"/>
  <c r="S379" i="10" s="1"/>
  <c r="R198" i="10"/>
  <c r="Q198" i="10"/>
  <c r="S198" i="10" s="1"/>
  <c r="R80" i="10"/>
  <c r="Q80" i="10"/>
  <c r="S80" i="10" s="1"/>
  <c r="Q62" i="10"/>
  <c r="S62" i="10" s="1"/>
  <c r="R62" i="10"/>
  <c r="R192" i="10"/>
  <c r="Q192" i="10"/>
  <c r="S192" i="10" s="1"/>
  <c r="Q102" i="10"/>
  <c r="S102" i="10" s="1"/>
  <c r="R102" i="10"/>
  <c r="R263" i="10"/>
  <c r="Q263" i="10"/>
  <c r="S263" i="10" s="1"/>
  <c r="R424" i="10"/>
  <c r="Q424" i="10"/>
  <c r="S424" i="10" s="1"/>
  <c r="Q273" i="10"/>
  <c r="S273" i="10" s="1"/>
  <c r="R273" i="10"/>
  <c r="R137" i="10"/>
  <c r="Q137" i="10"/>
  <c r="S137" i="10" s="1"/>
  <c r="Q250" i="10"/>
  <c r="S250" i="10" s="1"/>
  <c r="R250" i="10"/>
  <c r="Q411" i="10"/>
  <c r="S411" i="10" s="1"/>
  <c r="R411" i="10"/>
  <c r="Q122" i="10"/>
  <c r="S122" i="10" s="1"/>
  <c r="R122" i="10"/>
  <c r="R51" i="10"/>
  <c r="Q51" i="10"/>
  <c r="S51" i="10" s="1"/>
  <c r="R368" i="10"/>
  <c r="Q368" i="10"/>
  <c r="S368" i="10" s="1"/>
  <c r="Q134" i="10"/>
  <c r="S134" i="10" s="1"/>
  <c r="R134" i="10"/>
  <c r="R174" i="10"/>
  <c r="Q174" i="10"/>
  <c r="S174" i="10" s="1"/>
  <c r="Q204" i="10"/>
  <c r="S204" i="10" s="1"/>
  <c r="R204" i="10"/>
  <c r="R314" i="10"/>
  <c r="Q314" i="10"/>
  <c r="S314" i="10" s="1"/>
  <c r="Q414" i="10"/>
  <c r="S414" i="10" s="1"/>
  <c r="R414" i="10"/>
  <c r="L9" i="11"/>
  <c r="J194" i="10" l="1"/>
  <c r="K194" i="10" s="1"/>
  <c r="J42" i="10"/>
  <c r="K42" i="10" s="1"/>
  <c r="J62" i="10"/>
  <c r="K62" i="10" s="1"/>
  <c r="J342" i="10"/>
  <c r="K342" i="10" s="1"/>
  <c r="J137" i="10"/>
  <c r="K137" i="10" s="1"/>
  <c r="J116" i="10"/>
  <c r="K116" i="10" s="1"/>
  <c r="J334" i="10"/>
  <c r="K334" i="10" s="1"/>
  <c r="J362" i="10"/>
  <c r="K362" i="10" s="1"/>
  <c r="J335" i="10"/>
  <c r="K335" i="10" s="1"/>
  <c r="J389" i="10"/>
  <c r="K389" i="10" s="1"/>
  <c r="J117" i="10"/>
  <c r="K117" i="10" s="1"/>
  <c r="J398" i="10"/>
  <c r="K398" i="10" s="1"/>
  <c r="J345" i="10"/>
  <c r="K345" i="10" s="1"/>
  <c r="J91" i="10"/>
  <c r="K91" i="10" s="1"/>
  <c r="J309" i="10"/>
  <c r="K309" i="10" s="1"/>
  <c r="J265" i="10"/>
  <c r="K265" i="10" s="1"/>
  <c r="J109" i="10"/>
  <c r="K109" i="10" s="1"/>
  <c r="J153" i="10"/>
  <c r="K153" i="10" s="1"/>
  <c r="J111" i="10"/>
  <c r="K111" i="10" s="1"/>
  <c r="J68" i="10"/>
  <c r="K68" i="10" s="1"/>
  <c r="J264" i="10"/>
  <c r="K264" i="10" s="1"/>
  <c r="J65" i="10"/>
  <c r="K65" i="10" s="1"/>
  <c r="J293" i="10"/>
  <c r="K293" i="10" s="1"/>
  <c r="J436" i="10"/>
  <c r="K436" i="10" s="1"/>
  <c r="J396" i="10"/>
  <c r="K396" i="10" s="1"/>
  <c r="J121" i="10"/>
  <c r="K121" i="10" s="1"/>
  <c r="J375" i="10"/>
  <c r="K375" i="10" s="1"/>
  <c r="J368" i="10"/>
  <c r="K368" i="10" s="1"/>
  <c r="J231" i="10"/>
  <c r="K231" i="10" s="1"/>
  <c r="J161" i="10"/>
  <c r="K161" i="10" s="1"/>
  <c r="D109" i="5"/>
  <c r="C108" i="5"/>
  <c r="E92" i="5"/>
  <c r="D91" i="5"/>
  <c r="E45" i="5"/>
  <c r="C44" i="5"/>
  <c r="E28" i="5"/>
  <c r="E43" i="5"/>
  <c r="C109" i="5"/>
  <c r="E93" i="5"/>
  <c r="D92" i="5"/>
  <c r="E107" i="5"/>
  <c r="D45" i="5"/>
  <c r="D16" i="5"/>
  <c r="D80" i="5" s="1"/>
  <c r="D28" i="5"/>
  <c r="D43" i="5"/>
  <c r="D14" i="5"/>
  <c r="D78" i="5" s="1"/>
  <c r="D93" i="5"/>
  <c r="E108" i="5"/>
  <c r="D107" i="5"/>
  <c r="D27" i="5"/>
  <c r="D29" i="5"/>
  <c r="D108" i="5"/>
  <c r="C43" i="5"/>
  <c r="E109" i="5"/>
  <c r="C107" i="5"/>
  <c r="E91" i="5"/>
  <c r="C45" i="5"/>
  <c r="E29" i="5"/>
  <c r="E44" i="5"/>
  <c r="D44" i="5"/>
  <c r="E27" i="5"/>
  <c r="J273" i="10"/>
  <c r="K273" i="10" s="1"/>
  <c r="J45" i="10"/>
  <c r="K45" i="10" s="1"/>
  <c r="J408" i="10"/>
  <c r="K408" i="10" s="1"/>
  <c r="J249" i="10"/>
  <c r="K249" i="10" s="1"/>
  <c r="J280" i="10"/>
  <c r="K280" i="10" s="1"/>
  <c r="J185" i="10"/>
  <c r="K185" i="10" s="1"/>
  <c r="J260" i="10"/>
  <c r="K260" i="10" s="1"/>
  <c r="J272" i="10"/>
  <c r="K272" i="10" s="1"/>
  <c r="I106" i="5"/>
  <c r="E106" i="5"/>
  <c r="K90" i="5"/>
  <c r="G90" i="5"/>
  <c r="C90" i="5"/>
  <c r="L105" i="5"/>
  <c r="H105" i="5"/>
  <c r="D105" i="5"/>
  <c r="J89" i="5"/>
  <c r="F89" i="5"/>
  <c r="G76" i="5"/>
  <c r="K104" i="5"/>
  <c r="G104" i="5"/>
  <c r="C104" i="5"/>
  <c r="I88" i="5"/>
  <c r="E88" i="5"/>
  <c r="F75" i="5"/>
  <c r="L42" i="5"/>
  <c r="H42" i="5"/>
  <c r="D42" i="5"/>
  <c r="J26" i="5"/>
  <c r="F26" i="5"/>
  <c r="H13" i="5"/>
  <c r="H77" i="5" s="1"/>
  <c r="D13" i="5"/>
  <c r="D77" i="5" s="1"/>
  <c r="J41" i="5"/>
  <c r="F41" i="5"/>
  <c r="L25" i="5"/>
  <c r="H25" i="5"/>
  <c r="D25" i="5"/>
  <c r="F12" i="5"/>
  <c r="L40" i="5"/>
  <c r="H40" i="5"/>
  <c r="D40" i="5"/>
  <c r="J24" i="5"/>
  <c r="F24" i="5"/>
  <c r="H11" i="5"/>
  <c r="H75" i="5" s="1"/>
  <c r="D11" i="5"/>
  <c r="D75" i="5" s="1"/>
  <c r="L106" i="5"/>
  <c r="H106" i="5"/>
  <c r="D106" i="5"/>
  <c r="J90" i="5"/>
  <c r="F90" i="5"/>
  <c r="G77" i="5"/>
  <c r="K105" i="5"/>
  <c r="G105" i="5"/>
  <c r="C105" i="5"/>
  <c r="I89" i="5"/>
  <c r="E89" i="5"/>
  <c r="F76" i="5"/>
  <c r="J104" i="5"/>
  <c r="F104" i="5"/>
  <c r="L88" i="5"/>
  <c r="H88" i="5"/>
  <c r="D88" i="5"/>
  <c r="E75" i="5"/>
  <c r="K42" i="5"/>
  <c r="G42" i="5"/>
  <c r="C42" i="5"/>
  <c r="I26" i="5"/>
  <c r="E26" i="5"/>
  <c r="G13" i="5"/>
  <c r="C13" i="5"/>
  <c r="C77" i="5" s="1"/>
  <c r="I41" i="5"/>
  <c r="E41" i="5"/>
  <c r="K25" i="5"/>
  <c r="G25" i="5"/>
  <c r="C25" i="5"/>
  <c r="E12" i="5"/>
  <c r="K40" i="5"/>
  <c r="G40" i="5"/>
  <c r="C40" i="5"/>
  <c r="I24" i="5"/>
  <c r="E24" i="5"/>
  <c r="G11" i="5"/>
  <c r="C11" i="5"/>
  <c r="C75" i="5" s="1"/>
  <c r="K106" i="5"/>
  <c r="C106" i="5"/>
  <c r="E90" i="5"/>
  <c r="J105" i="5"/>
  <c r="L89" i="5"/>
  <c r="D89" i="5"/>
  <c r="I104" i="5"/>
  <c r="K88" i="5"/>
  <c r="C88" i="5"/>
  <c r="E42" i="5"/>
  <c r="G26" i="5"/>
  <c r="E13" i="5"/>
  <c r="G41" i="5"/>
  <c r="I25" i="5"/>
  <c r="G12" i="5"/>
  <c r="I40" i="5"/>
  <c r="K24" i="5"/>
  <c r="C24" i="5"/>
  <c r="I42" i="5"/>
  <c r="C26" i="5"/>
  <c r="C41" i="5"/>
  <c r="C12" i="5"/>
  <c r="C76" i="5" s="1"/>
  <c r="G24" i="5"/>
  <c r="E105" i="5"/>
  <c r="L104" i="5"/>
  <c r="F88" i="5"/>
  <c r="H26" i="5"/>
  <c r="H41" i="5"/>
  <c r="H12" i="5"/>
  <c r="H76" i="5" s="1"/>
  <c r="L24" i="5"/>
  <c r="B11" i="5"/>
  <c r="J106" i="5"/>
  <c r="L90" i="5"/>
  <c r="D90" i="5"/>
  <c r="I105" i="5"/>
  <c r="K89" i="5"/>
  <c r="C89" i="5"/>
  <c r="H104" i="5"/>
  <c r="J88" i="5"/>
  <c r="G75" i="5"/>
  <c r="J42" i="5"/>
  <c r="L26" i="5"/>
  <c r="D26" i="5"/>
  <c r="L41" i="5"/>
  <c r="D41" i="5"/>
  <c r="F25" i="5"/>
  <c r="D12" i="5"/>
  <c r="D76" i="5" s="1"/>
  <c r="F40" i="5"/>
  <c r="H24" i="5"/>
  <c r="F11" i="5"/>
  <c r="G106" i="5"/>
  <c r="I90" i="5"/>
  <c r="F77" i="5"/>
  <c r="F105" i="5"/>
  <c r="H89" i="5"/>
  <c r="E76" i="5"/>
  <c r="E104" i="5"/>
  <c r="G88" i="5"/>
  <c r="K26" i="5"/>
  <c r="K41" i="5"/>
  <c r="E25" i="5"/>
  <c r="E40" i="5"/>
  <c r="E11" i="5"/>
  <c r="F106" i="5"/>
  <c r="H90" i="5"/>
  <c r="E77" i="5"/>
  <c r="G89" i="5"/>
  <c r="D104" i="5"/>
  <c r="F42" i="5"/>
  <c r="F13" i="5"/>
  <c r="J25" i="5"/>
  <c r="J40" i="5"/>
  <c r="D24" i="5"/>
  <c r="J96" i="10"/>
  <c r="K96" i="10" s="1"/>
  <c r="J174" i="10"/>
  <c r="K174" i="10" s="1"/>
  <c r="J193" i="10"/>
  <c r="K193" i="10" s="1"/>
  <c r="J351" i="10"/>
  <c r="K351" i="10" s="1"/>
  <c r="J94" i="10"/>
  <c r="K94" i="10" s="1"/>
  <c r="J287" i="10"/>
  <c r="K287" i="10" s="1"/>
  <c r="J255" i="10"/>
  <c r="K255" i="10" s="1"/>
  <c r="C10" i="5"/>
  <c r="D10" i="5"/>
  <c r="J125" i="10"/>
  <c r="K125" i="10" s="1"/>
  <c r="J72" i="10"/>
  <c r="K72" i="10" s="1"/>
  <c r="J285" i="10"/>
  <c r="K285" i="10" s="1"/>
  <c r="J414" i="10"/>
  <c r="K414" i="10" s="1"/>
  <c r="J163" i="10"/>
  <c r="K163" i="10" s="1"/>
  <c r="J254" i="10"/>
  <c r="K254" i="10" s="1"/>
  <c r="J233" i="10"/>
  <c r="K233" i="10" s="1"/>
  <c r="J223" i="10"/>
  <c r="K223" i="10" s="1"/>
  <c r="J144" i="10"/>
  <c r="K144" i="10" s="1"/>
  <c r="J283" i="10"/>
  <c r="K283" i="10" s="1"/>
  <c r="J352" i="10"/>
  <c r="K352" i="10" s="1"/>
  <c r="J267" i="10"/>
  <c r="K267" i="10" s="1"/>
  <c r="J86" i="10"/>
  <c r="K86" i="10" s="1"/>
  <c r="J269" i="10"/>
  <c r="K269" i="10" s="1"/>
  <c r="J81" i="10"/>
  <c r="K81" i="10" s="1"/>
  <c r="J70" i="10"/>
  <c r="K70" i="10" s="1"/>
  <c r="J74" i="10"/>
  <c r="K74" i="10" s="1"/>
  <c r="J92" i="10"/>
  <c r="K92" i="10" s="1"/>
  <c r="J46" i="10"/>
  <c r="K46" i="10" s="1"/>
  <c r="J33" i="10"/>
  <c r="K33" i="10" s="1"/>
  <c r="J271" i="10"/>
  <c r="K271" i="10" s="1"/>
  <c r="J379" i="10"/>
  <c r="K379" i="10" s="1"/>
  <c r="J291" i="10"/>
  <c r="K291" i="10" s="1"/>
  <c r="J343" i="10"/>
  <c r="K343" i="10" s="1"/>
  <c r="J364" i="10"/>
  <c r="K364" i="10" s="1"/>
  <c r="J151" i="10"/>
  <c r="K151" i="10" s="1"/>
  <c r="J34" i="10"/>
  <c r="K34" i="10" s="1"/>
  <c r="J182" i="10"/>
  <c r="K182" i="10" s="1"/>
  <c r="J217" i="10"/>
  <c r="K217" i="10" s="1"/>
  <c r="J346" i="10"/>
  <c r="K346" i="10" s="1"/>
  <c r="J259" i="10"/>
  <c r="K259" i="10" s="1"/>
  <c r="J327" i="10"/>
  <c r="K327" i="10" s="1"/>
  <c r="J150" i="10"/>
  <c r="K150" i="10" s="1"/>
  <c r="J300" i="10"/>
  <c r="K300" i="10" s="1"/>
  <c r="J357" i="10"/>
  <c r="K357" i="10" s="1"/>
  <c r="J51" i="10"/>
  <c r="K51" i="10" s="1"/>
  <c r="J245" i="10"/>
  <c r="K245" i="10" s="1"/>
  <c r="J216" i="10"/>
  <c r="K216" i="10" s="1"/>
  <c r="J202" i="10"/>
  <c r="K202" i="10" s="1"/>
  <c r="J437" i="10"/>
  <c r="K437" i="10" s="1"/>
  <c r="J88" i="10"/>
  <c r="K88" i="10" s="1"/>
  <c r="J93" i="10"/>
  <c r="K93" i="10" s="1"/>
  <c r="J108" i="10"/>
  <c r="K108" i="10" s="1"/>
  <c r="J394" i="10"/>
  <c r="K394" i="10" s="1"/>
  <c r="J360" i="10"/>
  <c r="K360" i="10" s="1"/>
  <c r="J410" i="10"/>
  <c r="K410" i="10" s="1"/>
  <c r="J353" i="10"/>
  <c r="K353" i="10" s="1"/>
  <c r="J370" i="10"/>
  <c r="K370" i="10" s="1"/>
  <c r="J288" i="10"/>
  <c r="K288" i="10" s="1"/>
  <c r="J390" i="10"/>
  <c r="K390" i="10" s="1"/>
  <c r="J432" i="10"/>
  <c r="K432" i="10" s="1"/>
  <c r="J187" i="10"/>
  <c r="K187" i="10" s="1"/>
  <c r="J373" i="10"/>
  <c r="K373" i="10" s="1"/>
  <c r="J228" i="10"/>
  <c r="K228" i="10" s="1"/>
  <c r="J424" i="10"/>
  <c r="K424" i="10" s="1"/>
  <c r="J169" i="10"/>
  <c r="K169" i="10" s="1"/>
  <c r="J176" i="10"/>
  <c r="K176" i="10" s="1"/>
  <c r="J382" i="10"/>
  <c r="K382" i="10" s="1"/>
  <c r="J95" i="10"/>
  <c r="K95" i="10" s="1"/>
  <c r="J411" i="10"/>
  <c r="K411" i="10" s="1"/>
  <c r="J448" i="10"/>
  <c r="K448" i="10" s="1"/>
  <c r="J58" i="10"/>
  <c r="K58" i="10" s="1"/>
  <c r="J412" i="10"/>
  <c r="K412" i="10" s="1"/>
  <c r="J66" i="10"/>
  <c r="K66" i="10" s="1"/>
  <c r="J289" i="10"/>
  <c r="K289" i="10" s="1"/>
  <c r="J123" i="10"/>
  <c r="K123" i="10" s="1"/>
  <c r="J178" i="10"/>
  <c r="K178" i="10" s="1"/>
  <c r="J445" i="10"/>
  <c r="K445" i="10" s="1"/>
  <c r="J365" i="10"/>
  <c r="K365" i="10" s="1"/>
  <c r="J147" i="10"/>
  <c r="K147" i="10" s="1"/>
  <c r="J284" i="10"/>
  <c r="K284" i="10" s="1"/>
  <c r="J446" i="10"/>
  <c r="K446" i="10" s="1"/>
  <c r="J211" i="10"/>
  <c r="K211" i="10" s="1"/>
  <c r="J358" i="10"/>
  <c r="K358" i="10" s="1"/>
  <c r="J143" i="10"/>
  <c r="K143" i="10" s="1"/>
  <c r="J417" i="10"/>
  <c r="K417" i="10" s="1"/>
  <c r="J413" i="10"/>
  <c r="K413" i="10" s="1"/>
  <c r="J331" i="10"/>
  <c r="K331" i="10" s="1"/>
  <c r="J248" i="10"/>
  <c r="K248" i="10" s="1"/>
  <c r="J336" i="10"/>
  <c r="K336" i="10" s="1"/>
  <c r="J232" i="10"/>
  <c r="K232" i="10" s="1"/>
  <c r="N13" i="11"/>
  <c r="J83" i="10"/>
  <c r="K83" i="10" s="1"/>
  <c r="J103" i="10"/>
  <c r="K103" i="10" s="1"/>
  <c r="J440" i="10"/>
  <c r="K440" i="10" s="1"/>
  <c r="J253" i="10"/>
  <c r="K253" i="10" s="1"/>
  <c r="J205" i="10"/>
  <c r="K205" i="10" s="1"/>
  <c r="J242" i="10"/>
  <c r="K242" i="10" s="1"/>
  <c r="J341" i="10"/>
  <c r="K341" i="10" s="1"/>
  <c r="J209" i="10"/>
  <c r="K209" i="10" s="1"/>
  <c r="J196" i="10"/>
  <c r="K196" i="10" s="1"/>
  <c r="J400" i="10"/>
  <c r="K400" i="10" s="1"/>
  <c r="J191" i="10"/>
  <c r="K191" i="10" s="1"/>
  <c r="J40" i="10"/>
  <c r="K40" i="10" s="1"/>
  <c r="J69" i="10"/>
  <c r="K69" i="10" s="1"/>
  <c r="J229" i="10"/>
  <c r="K229" i="10" s="1"/>
  <c r="J332" i="10"/>
  <c r="K332" i="10" s="1"/>
  <c r="J381" i="10"/>
  <c r="K381" i="10" s="1"/>
  <c r="J444" i="10"/>
  <c r="K444" i="10" s="1"/>
  <c r="J204" i="10"/>
  <c r="K204" i="10" s="1"/>
  <c r="J67" i="10"/>
  <c r="K67" i="10" s="1"/>
  <c r="J64" i="10"/>
  <c r="K64" i="10" s="1"/>
  <c r="J168" i="10"/>
  <c r="K168" i="10" s="1"/>
  <c r="J102" i="10"/>
  <c r="K102" i="10" s="1"/>
  <c r="J279" i="10"/>
  <c r="K279" i="10" s="1"/>
  <c r="J41" i="10"/>
  <c r="K41" i="10" s="1"/>
  <c r="J197" i="10"/>
  <c r="K197" i="10" s="1"/>
  <c r="J78" i="10"/>
  <c r="K78" i="10" s="1"/>
  <c r="J55" i="10"/>
  <c r="K55" i="10" s="1"/>
  <c r="J388" i="10"/>
  <c r="K388" i="10" s="1"/>
  <c r="J441" i="10"/>
  <c r="K441" i="10" s="1"/>
  <c r="J152" i="10"/>
  <c r="K152" i="10" s="1"/>
  <c r="J286" i="10"/>
  <c r="K286" i="10" s="1"/>
  <c r="J138" i="10"/>
  <c r="K138" i="10" s="1"/>
  <c r="J380" i="10"/>
  <c r="K380" i="10" s="1"/>
  <c r="J134" i="10"/>
  <c r="K134" i="10" s="1"/>
  <c r="J122" i="10"/>
  <c r="K122" i="10" s="1"/>
  <c r="J399" i="10"/>
  <c r="K399" i="10" s="1"/>
  <c r="J35" i="10"/>
  <c r="K35" i="10" s="1"/>
  <c r="J171" i="10"/>
  <c r="K171" i="10" s="1"/>
  <c r="J104" i="10"/>
  <c r="K104" i="10" s="1"/>
  <c r="J227" i="10"/>
  <c r="K227" i="10" s="1"/>
  <c r="J404" i="10"/>
  <c r="K404" i="10" s="1"/>
  <c r="J274" i="10"/>
  <c r="K274" i="10" s="1"/>
  <c r="J105" i="10"/>
  <c r="K105" i="10" s="1"/>
  <c r="J198" i="10"/>
  <c r="K198" i="10" s="1"/>
  <c r="J148" i="10"/>
  <c r="K148" i="10" s="1"/>
  <c r="J132" i="10"/>
  <c r="K132" i="10" s="1"/>
  <c r="J110" i="10"/>
  <c r="K110" i="10" s="1"/>
  <c r="J308" i="10"/>
  <c r="K308" i="10" s="1"/>
  <c r="J298" i="10"/>
  <c r="K298" i="10" s="1"/>
  <c r="J292" i="10"/>
  <c r="K292" i="10" s="1"/>
  <c r="J47" i="10"/>
  <c r="K47" i="10" s="1"/>
  <c r="J416" i="10"/>
  <c r="K416" i="10" s="1"/>
  <c r="J140" i="10"/>
  <c r="K140" i="10" s="1"/>
  <c r="J79" i="10"/>
  <c r="K79" i="10" s="1"/>
  <c r="J213" i="10"/>
  <c r="K213" i="10" s="1"/>
  <c r="J275" i="10"/>
  <c r="K275" i="10" s="1"/>
  <c r="J154" i="10"/>
  <c r="K154" i="10" s="1"/>
  <c r="J294" i="10"/>
  <c r="K294" i="10" s="1"/>
  <c r="J420" i="10"/>
  <c r="K420" i="10" s="1"/>
  <c r="J53" i="10"/>
  <c r="K53" i="10" s="1"/>
  <c r="J257" i="10"/>
  <c r="K257" i="10" s="1"/>
  <c r="J247" i="10"/>
  <c r="K247" i="10" s="1"/>
  <c r="J434" i="10"/>
  <c r="K434" i="10" s="1"/>
  <c r="J101" i="10"/>
  <c r="K101" i="10" s="1"/>
  <c r="J206" i="10"/>
  <c r="K206" i="10" s="1"/>
  <c r="J306" i="10"/>
  <c r="K306" i="10" s="1"/>
  <c r="A319" i="10"/>
  <c r="G319" i="10"/>
  <c r="F319" i="10"/>
  <c r="H319" i="10" s="1"/>
  <c r="F311" i="10"/>
  <c r="H311" i="10" s="1"/>
  <c r="A311" i="10"/>
  <c r="G311" i="10"/>
  <c r="F195" i="10"/>
  <c r="H195" i="10" s="1"/>
  <c r="A195" i="10"/>
  <c r="G195" i="10"/>
  <c r="J158" i="10"/>
  <c r="K158" i="10" s="1"/>
  <c r="J374" i="10"/>
  <c r="K374" i="10" s="1"/>
  <c r="J180" i="10"/>
  <c r="K180" i="10" s="1"/>
  <c r="J43" i="10"/>
  <c r="K43" i="10" s="1"/>
  <c r="J439" i="10"/>
  <c r="K439" i="10" s="1"/>
  <c r="J240" i="10"/>
  <c r="K240" i="10" s="1"/>
  <c r="J314" i="10"/>
  <c r="K314" i="10" s="1"/>
  <c r="J438" i="10"/>
  <c r="K438" i="10" s="1"/>
  <c r="J57" i="10"/>
  <c r="K57" i="10" s="1"/>
  <c r="J124" i="10"/>
  <c r="K124" i="10" s="1"/>
  <c r="J402" i="10"/>
  <c r="K402" i="10" s="1"/>
  <c r="J37" i="10"/>
  <c r="K37" i="10" s="1"/>
  <c r="J312" i="10"/>
  <c r="K312" i="10" s="1"/>
  <c r="J167" i="10"/>
  <c r="K167" i="10" s="1"/>
  <c r="J220" i="10"/>
  <c r="K220" i="10" s="1"/>
  <c r="J361" i="10"/>
  <c r="K361" i="10" s="1"/>
  <c r="J89" i="10"/>
  <c r="K89" i="10" s="1"/>
  <c r="J321" i="10"/>
  <c r="K321" i="10" s="1"/>
  <c r="F405" i="10"/>
  <c r="H405" i="10" s="1"/>
  <c r="A405" i="10"/>
  <c r="G405" i="10"/>
  <c r="Q462" i="10"/>
  <c r="R462" i="10"/>
  <c r="R465" i="10"/>
  <c r="Q465" i="10"/>
  <c r="R456" i="10"/>
  <c r="Q456" i="10"/>
  <c r="Q459" i="10"/>
  <c r="R459" i="10"/>
  <c r="K122" i="4"/>
  <c r="P188" i="2"/>
  <c r="Q190" i="2"/>
  <c r="P190" i="2"/>
  <c r="Q188" i="2"/>
  <c r="J203" i="10"/>
  <c r="K203" i="10" s="1"/>
  <c r="J333" i="10"/>
  <c r="K333" i="10" s="1"/>
  <c r="J299" i="10"/>
  <c r="K299" i="10" s="1"/>
  <c r="J219" i="10"/>
  <c r="K219" i="10" s="1"/>
  <c r="J318" i="10"/>
  <c r="K318" i="10" s="1"/>
  <c r="J97" i="10"/>
  <c r="K97" i="10" s="1"/>
  <c r="J340" i="10"/>
  <c r="K340" i="10" s="1"/>
  <c r="J427" i="10"/>
  <c r="K427" i="10" s="1"/>
  <c r="J252" i="10"/>
  <c r="K252" i="10" s="1"/>
  <c r="J329" i="10"/>
  <c r="K329" i="10" s="1"/>
  <c r="J366" i="10"/>
  <c r="K366" i="10" s="1"/>
  <c r="J181" i="10"/>
  <c r="K181" i="10" s="1"/>
  <c r="J429" i="10"/>
  <c r="K429" i="10" s="1"/>
  <c r="J316" i="10"/>
  <c r="K316" i="10" s="1"/>
  <c r="L13" i="11"/>
  <c r="K16" i="11"/>
  <c r="G149" i="10"/>
  <c r="A149" i="10"/>
  <c r="F149" i="10"/>
  <c r="H149" i="10" s="1"/>
  <c r="A258" i="10"/>
  <c r="G258" i="10"/>
  <c r="F258" i="10"/>
  <c r="H258" i="10" s="1"/>
  <c r="J245" i="2"/>
  <c r="Q229" i="2"/>
  <c r="J247" i="2"/>
  <c r="J246" i="2"/>
  <c r="AN167" i="2"/>
  <c r="C247" i="2"/>
  <c r="J228" i="2"/>
  <c r="D246" i="2"/>
  <c r="I246" i="2"/>
  <c r="O246" i="2" s="1"/>
  <c r="F40" i="4"/>
  <c r="Q246" i="2"/>
  <c r="Q230" i="2"/>
  <c r="Q228" i="2"/>
  <c r="K246" i="2"/>
  <c r="AO180" i="2" s="1"/>
  <c r="K230" i="2"/>
  <c r="AO168" i="2" s="1"/>
  <c r="G228" i="2"/>
  <c r="M228" i="2" s="1"/>
  <c r="AN166" i="2"/>
  <c r="I228" i="2"/>
  <c r="O228" i="2" s="1"/>
  <c r="D260" i="2"/>
  <c r="H229" i="2"/>
  <c r="N229" i="2" s="1"/>
  <c r="D247" i="2"/>
  <c r="I229" i="2"/>
  <c r="O229" i="2" s="1"/>
  <c r="I247" i="2"/>
  <c r="O247" i="2" s="1"/>
  <c r="D259" i="2"/>
  <c r="H246" i="2"/>
  <c r="N246" i="2" s="1"/>
  <c r="H230" i="2"/>
  <c r="N230" i="2" s="1"/>
  <c r="H228" i="2"/>
  <c r="N228" i="2" s="1"/>
  <c r="G246" i="2"/>
  <c r="M246" i="2" s="1"/>
  <c r="G230" i="2"/>
  <c r="M230" i="2" s="1"/>
  <c r="P189" i="2"/>
  <c r="C245" i="2"/>
  <c r="I230" i="2"/>
  <c r="O230" i="2" s="1"/>
  <c r="J230" i="2"/>
  <c r="Q247" i="2"/>
  <c r="Q245" i="2"/>
  <c r="K229" i="2"/>
  <c r="AO167" i="2" s="1"/>
  <c r="Q189" i="2"/>
  <c r="C246" i="2"/>
  <c r="AN168" i="2"/>
  <c r="D245" i="2"/>
  <c r="I245" i="2"/>
  <c r="O245" i="2" s="1"/>
  <c r="H247" i="2"/>
  <c r="N247" i="2" s="1"/>
  <c r="H245" i="2"/>
  <c r="N245" i="2" s="1"/>
  <c r="G229" i="2"/>
  <c r="M229" i="2" s="1"/>
  <c r="AN181" i="2"/>
  <c r="G247" i="2"/>
  <c r="M247" i="2" s="1"/>
  <c r="G245" i="2"/>
  <c r="M245" i="2" s="1"/>
  <c r="K228" i="2"/>
  <c r="AO166" i="2" s="1"/>
  <c r="AN179" i="2"/>
  <c r="K245" i="2"/>
  <c r="AO179" i="2" s="1"/>
  <c r="J229" i="2"/>
  <c r="AN180" i="2"/>
  <c r="K247" i="2"/>
  <c r="AO181" i="2" s="1"/>
  <c r="D261" i="2"/>
  <c r="J173" i="10"/>
  <c r="K173" i="10" s="1"/>
  <c r="J98" i="10"/>
  <c r="K98" i="10" s="1"/>
  <c r="J60" i="10"/>
  <c r="K60" i="10" s="1"/>
  <c r="J179" i="10"/>
  <c r="K179" i="10" s="1"/>
  <c r="J263" i="10"/>
  <c r="K263" i="10" s="1"/>
  <c r="J354" i="10"/>
  <c r="K354" i="10" s="1"/>
  <c r="J190" i="10"/>
  <c r="K190" i="10" s="1"/>
  <c r="J145" i="10"/>
  <c r="K145" i="10" s="1"/>
  <c r="J435" i="10"/>
  <c r="K435" i="10" s="1"/>
  <c r="J200" i="10"/>
  <c r="K200" i="10" s="1"/>
  <c r="J403" i="10"/>
  <c r="K403" i="10" s="1"/>
  <c r="F54" i="10"/>
  <c r="H54" i="10" s="1"/>
  <c r="A54" i="10"/>
  <c r="G54" i="10"/>
  <c r="G234" i="10"/>
  <c r="F234" i="10"/>
  <c r="H234" i="10" s="1"/>
  <c r="A234" i="10"/>
  <c r="A277" i="10"/>
  <c r="F277" i="10"/>
  <c r="H277" i="10" s="1"/>
  <c r="G277" i="10"/>
  <c r="J237" i="10"/>
  <c r="K237" i="10" s="1"/>
  <c r="J386" i="10"/>
  <c r="K386" i="10" s="1"/>
  <c r="J430" i="10"/>
  <c r="K430" i="10" s="1"/>
  <c r="J226" i="10"/>
  <c r="K226" i="10" s="1"/>
  <c r="J82" i="10"/>
  <c r="K82" i="10" s="1"/>
  <c r="J113" i="10"/>
  <c r="K113" i="10" s="1"/>
  <c r="J246" i="10"/>
  <c r="K246" i="10" s="1"/>
  <c r="J317" i="10"/>
  <c r="K317" i="10" s="1"/>
  <c r="J384" i="10"/>
  <c r="K384" i="10" s="1"/>
  <c r="J383" i="10"/>
  <c r="K383" i="10" s="1"/>
  <c r="J433" i="10"/>
  <c r="K433" i="10" s="1"/>
  <c r="J338" i="10"/>
  <c r="K338" i="10" s="1"/>
  <c r="J36" i="10"/>
  <c r="K36" i="10" s="1"/>
  <c r="J118" i="10"/>
  <c r="K118" i="10" s="1"/>
  <c r="J238" i="10"/>
  <c r="K238" i="10" s="1"/>
  <c r="J325" i="10"/>
  <c r="K325" i="10" s="1"/>
  <c r="J431" i="10"/>
  <c r="K431" i="10" s="1"/>
  <c r="G62" i="7"/>
  <c r="G62" i="6"/>
  <c r="G230" i="10"/>
  <c r="F230" i="10"/>
  <c r="H230" i="10" s="1"/>
  <c r="A230" i="10"/>
  <c r="A189" i="10"/>
  <c r="G189" i="10"/>
  <c r="F189" i="10"/>
  <c r="H189" i="10" s="1"/>
  <c r="G157" i="10"/>
  <c r="A157" i="10"/>
  <c r="F157" i="10"/>
  <c r="H157" i="10" s="1"/>
  <c r="F323" i="10"/>
  <c r="H323" i="10" s="1"/>
  <c r="A323" i="10"/>
  <c r="G323" i="10"/>
  <c r="A406" i="10"/>
  <c r="G406" i="10"/>
  <c r="F406" i="10"/>
  <c r="H406" i="10" s="1"/>
  <c r="J56" i="10"/>
  <c r="K56" i="10" s="1"/>
  <c r="J426" i="10"/>
  <c r="K426" i="10" s="1"/>
  <c r="J339" i="10"/>
  <c r="K339" i="10" s="1"/>
  <c r="J303" i="10"/>
  <c r="K303" i="10" s="1"/>
  <c r="G115" i="10"/>
  <c r="F115" i="10"/>
  <c r="H115" i="10" s="1"/>
  <c r="A115" i="10"/>
  <c r="A442" i="10"/>
  <c r="F442" i="10"/>
  <c r="H442" i="10" s="1"/>
  <c r="G442" i="10"/>
  <c r="R467" i="10"/>
  <c r="Q467" i="10"/>
  <c r="Q466" i="10"/>
  <c r="R466" i="10"/>
  <c r="Q452" i="10"/>
  <c r="R452" i="10"/>
  <c r="R460" i="10"/>
  <c r="Q460" i="10"/>
  <c r="Q454" i="10"/>
  <c r="R454" i="10"/>
  <c r="N98" i="11"/>
  <c r="N96" i="11"/>
  <c r="A130" i="10"/>
  <c r="G130" i="10"/>
  <c r="F130" i="10"/>
  <c r="H130" i="10" s="1"/>
  <c r="I63" i="7"/>
  <c r="I63" i="6"/>
  <c r="I62" i="7"/>
  <c r="I62" i="6"/>
  <c r="G156" i="10"/>
  <c r="F156" i="10"/>
  <c r="H156" i="10" s="1"/>
  <c r="A156" i="10"/>
  <c r="A356" i="10"/>
  <c r="G356" i="10"/>
  <c r="F356" i="10"/>
  <c r="H356" i="10" s="1"/>
  <c r="F84" i="10"/>
  <c r="H84" i="10" s="1"/>
  <c r="A84" i="10"/>
  <c r="G84" i="10"/>
  <c r="A371" i="10"/>
  <c r="G371" i="10"/>
  <c r="F371" i="10"/>
  <c r="H371" i="10" s="1"/>
  <c r="G276" i="10"/>
  <c r="A276" i="10"/>
  <c r="F276" i="10"/>
  <c r="H276" i="10" s="1"/>
  <c r="F52" i="10"/>
  <c r="H52" i="10" s="1"/>
  <c r="A52" i="10"/>
  <c r="G52" i="10"/>
  <c r="G415" i="10"/>
  <c r="F415" i="10"/>
  <c r="H415" i="10" s="1"/>
  <c r="A415" i="10"/>
  <c r="J378" i="10"/>
  <c r="K378" i="10" s="1"/>
  <c r="J421" i="10"/>
  <c r="K421" i="10" s="1"/>
  <c r="J307" i="10"/>
  <c r="K307" i="10" s="1"/>
  <c r="J221" i="10"/>
  <c r="K221" i="10" s="1"/>
  <c r="J177" i="10"/>
  <c r="K177" i="10" s="1"/>
  <c r="J146" i="10"/>
  <c r="K146" i="10" s="1"/>
  <c r="J295" i="10"/>
  <c r="K295" i="10" s="1"/>
  <c r="G425" i="10"/>
  <c r="F425" i="10"/>
  <c r="H425" i="10" s="1"/>
  <c r="A425" i="10"/>
  <c r="F135" i="10"/>
  <c r="H135" i="10" s="1"/>
  <c r="A135" i="10"/>
  <c r="G135" i="10"/>
  <c r="A376" i="10"/>
  <c r="G376" i="10"/>
  <c r="F376" i="10"/>
  <c r="H376" i="10" s="1"/>
  <c r="F302" i="10"/>
  <c r="H302" i="10" s="1"/>
  <c r="A302" i="10"/>
  <c r="G302" i="10"/>
  <c r="J39" i="10"/>
  <c r="K39" i="10" s="1"/>
  <c r="J423" i="10"/>
  <c r="K423" i="10" s="1"/>
  <c r="J73" i="10"/>
  <c r="K73" i="10" s="1"/>
  <c r="J315" i="10"/>
  <c r="K315" i="10" s="1"/>
  <c r="J377" i="10"/>
  <c r="K377" i="10" s="1"/>
  <c r="J320" i="10"/>
  <c r="K320" i="10" s="1"/>
  <c r="J120" i="10"/>
  <c r="K120" i="10" s="1"/>
  <c r="J235" i="10"/>
  <c r="K235" i="10" s="1"/>
  <c r="J290" i="10"/>
  <c r="K290" i="10" s="1"/>
  <c r="J363" i="10"/>
  <c r="K363" i="10" s="1"/>
  <c r="J422" i="10"/>
  <c r="K422" i="10" s="1"/>
  <c r="J397" i="10"/>
  <c r="K397" i="10" s="1"/>
  <c r="J369" i="10"/>
  <c r="K369" i="10" s="1"/>
  <c r="J133" i="10"/>
  <c r="K133" i="10" s="1"/>
  <c r="J131" i="10"/>
  <c r="K131" i="10" s="1"/>
  <c r="J419" i="10"/>
  <c r="K419" i="10" s="1"/>
  <c r="F105" i="12"/>
  <c r="AG156" i="2" s="1"/>
  <c r="AG157" i="2"/>
  <c r="H62" i="6"/>
  <c r="H62" i="7"/>
  <c r="F326" i="10"/>
  <c r="H326" i="10" s="1"/>
  <c r="A326" i="10"/>
  <c r="G326" i="10"/>
  <c r="F322" i="10"/>
  <c r="H322" i="10" s="1"/>
  <c r="A322" i="10"/>
  <c r="G322" i="10"/>
  <c r="A297" i="10"/>
  <c r="G297" i="10"/>
  <c r="F297" i="10"/>
  <c r="H297" i="10" s="1"/>
  <c r="R450" i="10"/>
  <c r="Q450" i="10"/>
  <c r="R468" i="10"/>
  <c r="Q468" i="10"/>
  <c r="Q453" i="10"/>
  <c r="R453" i="10"/>
  <c r="Q451" i="10"/>
  <c r="R451" i="10"/>
  <c r="Q458" i="10"/>
  <c r="R458" i="10"/>
  <c r="Q463" i="10"/>
  <c r="R463" i="10"/>
  <c r="J367" i="10"/>
  <c r="K367" i="10" s="1"/>
  <c r="J164" i="10"/>
  <c r="K164" i="10" s="1"/>
  <c r="J201" i="10"/>
  <c r="K201" i="10" s="1"/>
  <c r="J141" i="10"/>
  <c r="K141" i="10" s="1"/>
  <c r="J61" i="10"/>
  <c r="K61" i="10" s="1"/>
  <c r="J59" i="10"/>
  <c r="K59" i="10" s="1"/>
  <c r="J443" i="10"/>
  <c r="K443" i="10" s="1"/>
  <c r="J99" i="10"/>
  <c r="K99" i="10" s="1"/>
  <c r="J270" i="10"/>
  <c r="K270" i="10" s="1"/>
  <c r="J225" i="10"/>
  <c r="K225" i="10" s="1"/>
  <c r="J186" i="10"/>
  <c r="K186" i="10" s="1"/>
  <c r="J395" i="10"/>
  <c r="K395" i="10" s="1"/>
  <c r="J215" i="10"/>
  <c r="K215" i="10" s="1"/>
  <c r="J80" i="10"/>
  <c r="K80" i="10" s="1"/>
  <c r="J428" i="10"/>
  <c r="K428" i="10" s="1"/>
  <c r="J391" i="10"/>
  <c r="K391" i="10" s="1"/>
  <c r="J348" i="10"/>
  <c r="K348" i="10" s="1"/>
  <c r="J268" i="10"/>
  <c r="K268" i="10" s="1"/>
  <c r="J63" i="10"/>
  <c r="K63" i="10" s="1"/>
  <c r="J350" i="10"/>
  <c r="K350" i="10" s="1"/>
  <c r="J296" i="10"/>
  <c r="K296" i="10" s="1"/>
  <c r="J328" i="10"/>
  <c r="K328" i="10" s="1"/>
  <c r="J49" i="10"/>
  <c r="K49" i="10" s="1"/>
  <c r="J199" i="10"/>
  <c r="K199" i="10" s="1"/>
  <c r="J418" i="10"/>
  <c r="K418" i="10" s="1"/>
  <c r="J224" i="10"/>
  <c r="K224" i="10" s="1"/>
  <c r="D19" i="11"/>
  <c r="H19" i="11" s="1"/>
  <c r="A119" i="10"/>
  <c r="G119" i="10"/>
  <c r="F119" i="10"/>
  <c r="H119" i="10" s="1"/>
  <c r="A262" i="10"/>
  <c r="G262" i="10"/>
  <c r="F262" i="10"/>
  <c r="H262" i="10" s="1"/>
  <c r="F128" i="10"/>
  <c r="H128" i="10" s="1"/>
  <c r="A128" i="10"/>
  <c r="G128" i="10"/>
  <c r="F222" i="10"/>
  <c r="H222" i="10" s="1"/>
  <c r="A222" i="10"/>
  <c r="G222" i="10"/>
  <c r="F393" i="10"/>
  <c r="H393" i="10" s="1"/>
  <c r="A393" i="10"/>
  <c r="G393" i="10"/>
  <c r="J160" i="10"/>
  <c r="K160" i="10" s="1"/>
  <c r="J239" i="10"/>
  <c r="K239" i="10" s="1"/>
  <c r="J166" i="10"/>
  <c r="K166" i="10" s="1"/>
  <c r="J76" i="10"/>
  <c r="K76" i="10" s="1"/>
  <c r="J355" i="10"/>
  <c r="K355" i="10" s="1"/>
  <c r="J241" i="10"/>
  <c r="K241" i="10" s="1"/>
  <c r="J301" i="10"/>
  <c r="K301" i="10" s="1"/>
  <c r="J38" i="10"/>
  <c r="K38" i="10" s="1"/>
  <c r="J170" i="10"/>
  <c r="K170" i="10" s="1"/>
  <c r="J126" i="10"/>
  <c r="K126" i="10" s="1"/>
  <c r="J236" i="10"/>
  <c r="K236" i="10" s="1"/>
  <c r="J208" i="10"/>
  <c r="K208" i="10" s="1"/>
  <c r="J100" i="10"/>
  <c r="K100" i="10" s="1"/>
  <c r="J114" i="10"/>
  <c r="K114" i="10" s="1"/>
  <c r="J347" i="10"/>
  <c r="K347" i="10" s="1"/>
  <c r="J106" i="10"/>
  <c r="K106" i="10" s="1"/>
  <c r="J183" i="10"/>
  <c r="K183" i="10" s="1"/>
  <c r="J337" i="10"/>
  <c r="K337" i="10" s="1"/>
  <c r="J172" i="10"/>
  <c r="K172" i="10" s="1"/>
  <c r="J407" i="10"/>
  <c r="K407" i="10" s="1"/>
  <c r="J162" i="10"/>
  <c r="K162" i="10" s="1"/>
  <c r="J139" i="10"/>
  <c r="K139" i="10" s="1"/>
  <c r="F409" i="10"/>
  <c r="H409" i="10" s="1"/>
  <c r="A409" i="10"/>
  <c r="G409" i="10"/>
  <c r="A392" i="10"/>
  <c r="F392" i="10"/>
  <c r="H392" i="10" s="1"/>
  <c r="G392" i="10"/>
  <c r="A305" i="10"/>
  <c r="G305" i="10"/>
  <c r="F305" i="10"/>
  <c r="H305" i="10" s="1"/>
  <c r="J32" i="10"/>
  <c r="K32" i="10" s="1"/>
  <c r="J313" i="10"/>
  <c r="K313" i="10" s="1"/>
  <c r="J112" i="10"/>
  <c r="K112" i="10" s="1"/>
  <c r="J304" i="10"/>
  <c r="K304" i="10" s="1"/>
  <c r="J243" i="10"/>
  <c r="K243" i="10" s="1"/>
  <c r="J155" i="10"/>
  <c r="K155" i="10" s="1"/>
  <c r="J256" i="10"/>
  <c r="K256" i="10" s="1"/>
  <c r="J44" i="10"/>
  <c r="K44" i="10" s="1"/>
  <c r="J401" i="10"/>
  <c r="K401" i="10" s="1"/>
  <c r="J210" i="10"/>
  <c r="K210" i="10" s="1"/>
  <c r="J165" i="10"/>
  <c r="K165" i="10" s="1"/>
  <c r="J387" i="10"/>
  <c r="K387" i="10" s="1"/>
  <c r="J129" i="10"/>
  <c r="K129" i="10" s="1"/>
  <c r="J136" i="10"/>
  <c r="K136" i="10" s="1"/>
  <c r="F47" i="4"/>
  <c r="J50" i="10"/>
  <c r="K50" i="10" s="1"/>
  <c r="J75" i="10"/>
  <c r="K75" i="10" s="1"/>
  <c r="J310" i="10"/>
  <c r="K310" i="10" s="1"/>
  <c r="H33" i="11"/>
  <c r="C35" i="7"/>
  <c r="C36" i="7" s="1"/>
  <c r="C47" i="7" s="1"/>
  <c r="C116" i="7" s="1"/>
  <c r="E116" i="7" s="1"/>
  <c r="C35" i="6"/>
  <c r="C36" i="6" s="1"/>
  <c r="C47" i="6" s="1"/>
  <c r="H25" i="11"/>
  <c r="M16" i="11"/>
  <c r="G212" i="10"/>
  <c r="A212" i="10"/>
  <c r="F212" i="10"/>
  <c r="H212" i="10" s="1"/>
  <c r="R449" i="10"/>
  <c r="Q449" i="10"/>
  <c r="R455" i="10"/>
  <c r="Q455" i="10"/>
  <c r="Q461" i="10"/>
  <c r="R461" i="10"/>
  <c r="Q457" i="10"/>
  <c r="R457" i="10"/>
  <c r="R464" i="10"/>
  <c r="Q464" i="10"/>
  <c r="C75" i="6"/>
  <c r="C75" i="7"/>
  <c r="J250" i="10"/>
  <c r="K250" i="10" s="1"/>
  <c r="J127" i="10"/>
  <c r="K127" i="10" s="1"/>
  <c r="J192" i="10"/>
  <c r="K192" i="10" s="1"/>
  <c r="J447" i="10"/>
  <c r="K447" i="10" s="1"/>
  <c r="J142" i="10"/>
  <c r="K142" i="10" s="1"/>
  <c r="J278" i="10"/>
  <c r="K278" i="10" s="1"/>
  <c r="J107" i="10"/>
  <c r="K107" i="10" s="1"/>
  <c r="E63" i="7"/>
  <c r="F63" i="7" s="1"/>
  <c r="E63" i="6"/>
  <c r="F63" i="6" s="1"/>
  <c r="M13" i="11"/>
  <c r="G131" i="15"/>
  <c r="O88" i="11"/>
  <c r="O89" i="11" s="1"/>
  <c r="E86" i="11"/>
  <c r="E87" i="11" s="1"/>
  <c r="C101" i="11"/>
  <c r="C102" i="11" s="1"/>
  <c r="O87" i="11"/>
  <c r="O86" i="11" s="1"/>
  <c r="C87" i="11"/>
  <c r="C88" i="11" s="1"/>
  <c r="G86" i="11"/>
  <c r="G87" i="11" s="1"/>
  <c r="C107" i="11"/>
  <c r="G133" i="15"/>
  <c r="F68" i="15"/>
  <c r="G68" i="15" s="1"/>
  <c r="F118" i="7"/>
  <c r="G118" i="7" s="1"/>
  <c r="F119" i="6"/>
  <c r="G119" i="6" s="1"/>
  <c r="F119" i="7"/>
  <c r="G119" i="7" s="1"/>
  <c r="F69" i="15"/>
  <c r="G69" i="15" s="1"/>
  <c r="D120" i="2"/>
  <c r="E116" i="15" s="1"/>
  <c r="G116" i="15" s="1"/>
  <c r="F118" i="6"/>
  <c r="G118" i="6" s="1"/>
  <c r="D73" i="11"/>
  <c r="D74" i="11" s="1"/>
  <c r="E85" i="3"/>
  <c r="J49" i="11"/>
  <c r="J50" i="11" s="1"/>
  <c r="F372" i="10"/>
  <c r="H372" i="10" s="1"/>
  <c r="A372" i="10"/>
  <c r="G372" i="10"/>
  <c r="F184" i="10"/>
  <c r="H184" i="10" s="1"/>
  <c r="A184" i="10"/>
  <c r="G184" i="10"/>
  <c r="F218" i="10"/>
  <c r="H218" i="10" s="1"/>
  <c r="A218" i="10"/>
  <c r="G218" i="10"/>
  <c r="J77" i="10"/>
  <c r="K77" i="10" s="1"/>
  <c r="J175" i="10"/>
  <c r="K175" i="10" s="1"/>
  <c r="J344" i="10"/>
  <c r="K344" i="10" s="1"/>
  <c r="J359" i="10"/>
  <c r="K359" i="10" s="1"/>
  <c r="J244" i="10"/>
  <c r="K244" i="10" s="1"/>
  <c r="J48" i="10"/>
  <c r="K48" i="10" s="1"/>
  <c r="J87" i="10"/>
  <c r="K87" i="10" s="1"/>
  <c r="J324" i="10"/>
  <c r="K324" i="10" s="1"/>
  <c r="J214" i="10"/>
  <c r="K214" i="10" s="1"/>
  <c r="F385" i="10"/>
  <c r="H385" i="10" s="1"/>
  <c r="G385" i="10"/>
  <c r="A385" i="10"/>
  <c r="A85" i="10"/>
  <c r="G85" i="10"/>
  <c r="F85" i="10"/>
  <c r="H85" i="10" s="1"/>
  <c r="A349" i="10"/>
  <c r="G349" i="10"/>
  <c r="F349" i="10"/>
  <c r="H349" i="10" s="1"/>
  <c r="F281" i="10"/>
  <c r="H281" i="10" s="1"/>
  <c r="G281" i="10"/>
  <c r="A281" i="10"/>
  <c r="J188" i="10"/>
  <c r="K188" i="10" s="1"/>
  <c r="J261" i="10"/>
  <c r="K261" i="10" s="1"/>
  <c r="J282" i="10"/>
  <c r="K282" i="10" s="1"/>
  <c r="J266" i="10"/>
  <c r="K266" i="10" s="1"/>
  <c r="J90" i="10"/>
  <c r="K90" i="10" s="1"/>
  <c r="J159" i="10"/>
  <c r="K159" i="10" s="1"/>
  <c r="J251" i="10"/>
  <c r="K251" i="10" s="1"/>
  <c r="J330" i="10"/>
  <c r="K330" i="10" s="1"/>
  <c r="J71" i="10"/>
  <c r="K71" i="10" s="1"/>
  <c r="J207" i="10"/>
  <c r="K207" i="10" s="1"/>
  <c r="H14" i="5" l="1"/>
  <c r="B14" i="5"/>
  <c r="B78" i="5" s="1"/>
  <c r="H16" i="5"/>
  <c r="C14" i="5"/>
  <c r="K27" i="5" s="1"/>
  <c r="H43" i="5" s="1"/>
  <c r="B75" i="5"/>
  <c r="B40" i="5"/>
  <c r="B54" i="5"/>
  <c r="B24" i="5"/>
  <c r="B57" i="5"/>
  <c r="B43" i="5"/>
  <c r="P247" i="2"/>
  <c r="J54" i="10"/>
  <c r="K54" i="10" s="1"/>
  <c r="I55" i="5"/>
  <c r="H119" i="5"/>
  <c r="I119" i="5"/>
  <c r="H55" i="5"/>
  <c r="AG54" i="14"/>
  <c r="AQ34" i="14" s="1"/>
  <c r="D74" i="5"/>
  <c r="H10" i="5"/>
  <c r="H74" i="5" s="1"/>
  <c r="C74" i="5"/>
  <c r="E74" i="5" s="1"/>
  <c r="E10" i="5" s="1"/>
  <c r="C9" i="5"/>
  <c r="J135" i="10"/>
  <c r="K135" i="10" s="1"/>
  <c r="J405" i="10"/>
  <c r="K405" i="10" s="1"/>
  <c r="J356" i="10"/>
  <c r="K356" i="10" s="1"/>
  <c r="J156" i="10"/>
  <c r="K156" i="10" s="1"/>
  <c r="J442" i="10"/>
  <c r="K442" i="10" s="1"/>
  <c r="P228" i="2"/>
  <c r="J415" i="10"/>
  <c r="K415" i="10" s="1"/>
  <c r="J371" i="10"/>
  <c r="K371" i="10" s="1"/>
  <c r="J130" i="10"/>
  <c r="K130" i="10" s="1"/>
  <c r="J157" i="10"/>
  <c r="K157" i="10" s="1"/>
  <c r="J149" i="10"/>
  <c r="K149" i="10" s="1"/>
  <c r="J409" i="10"/>
  <c r="K409" i="10" s="1"/>
  <c r="J222" i="10"/>
  <c r="K222" i="10" s="1"/>
  <c r="J372" i="10"/>
  <c r="K372" i="10" s="1"/>
  <c r="J392" i="10"/>
  <c r="K392" i="10" s="1"/>
  <c r="J297" i="10"/>
  <c r="K297" i="10" s="1"/>
  <c r="J302" i="10"/>
  <c r="K302" i="10" s="1"/>
  <c r="J376" i="10"/>
  <c r="K376" i="10" s="1"/>
  <c r="J311" i="10"/>
  <c r="K311" i="10" s="1"/>
  <c r="AG56" i="14"/>
  <c r="J276" i="10"/>
  <c r="K276" i="10" s="1"/>
  <c r="J84" i="10"/>
  <c r="K84" i="10" s="1"/>
  <c r="J305" i="10"/>
  <c r="K305" i="10" s="1"/>
  <c r="J262" i="10"/>
  <c r="K262" i="10" s="1"/>
  <c r="AG53" i="14"/>
  <c r="AQ33" i="14" s="1"/>
  <c r="J234" i="10"/>
  <c r="K234" i="10" s="1"/>
  <c r="J349" i="10"/>
  <c r="K349" i="10" s="1"/>
  <c r="AG49" i="14"/>
  <c r="AG50" i="14"/>
  <c r="D154" i="12" s="1"/>
  <c r="J323" i="10"/>
  <c r="K323" i="10" s="1"/>
  <c r="J128" i="10"/>
  <c r="K128" i="10" s="1"/>
  <c r="J385" i="10"/>
  <c r="K385" i="10" s="1"/>
  <c r="AG47" i="14"/>
  <c r="AQ27" i="14" s="1"/>
  <c r="J189" i="10"/>
  <c r="K189" i="10" s="1"/>
  <c r="J230" i="10"/>
  <c r="K230" i="10" s="1"/>
  <c r="K148" i="2"/>
  <c r="J85" i="10"/>
  <c r="K85" i="10" s="1"/>
  <c r="G73" i="11"/>
  <c r="G74" i="11" s="1"/>
  <c r="G72" i="11"/>
  <c r="M50" i="11"/>
  <c r="J45" i="11" s="1"/>
  <c r="J46" i="11" s="1"/>
  <c r="J47" i="11" s="1"/>
  <c r="J48" i="11" s="1"/>
  <c r="Q15" i="11"/>
  <c r="I15" i="11" s="1"/>
  <c r="U461" i="10"/>
  <c r="S461" i="10"/>
  <c r="T461" i="10" s="1"/>
  <c r="V461" i="10"/>
  <c r="C39" i="7"/>
  <c r="C90" i="7" s="1"/>
  <c r="C39" i="6"/>
  <c r="C90" i="6" s="1"/>
  <c r="M25" i="11"/>
  <c r="C109" i="12"/>
  <c r="S468" i="10"/>
  <c r="T468" i="10" s="1"/>
  <c r="V468" i="10"/>
  <c r="U468" i="10"/>
  <c r="J425" i="10"/>
  <c r="K425" i="10" s="1"/>
  <c r="AG51" i="14"/>
  <c r="AG55" i="14"/>
  <c r="AG52" i="14"/>
  <c r="N104" i="11"/>
  <c r="N111" i="11" s="1"/>
  <c r="N99" i="11"/>
  <c r="N105" i="11" s="1"/>
  <c r="N112" i="11" s="1"/>
  <c r="U466" i="10"/>
  <c r="V466" i="10"/>
  <c r="S466" i="10"/>
  <c r="T466" i="10" s="1"/>
  <c r="J115" i="10"/>
  <c r="K115" i="10" s="1"/>
  <c r="C107" i="12"/>
  <c r="P229" i="2"/>
  <c r="G63" i="7"/>
  <c r="G63" i="6"/>
  <c r="T190" i="2"/>
  <c r="V190" i="2"/>
  <c r="AE190" i="2"/>
  <c r="N190" i="2"/>
  <c r="U190" i="2"/>
  <c r="V188" i="2"/>
  <c r="T188" i="2"/>
  <c r="AE188" i="2"/>
  <c r="U188" i="2"/>
  <c r="N188" i="2"/>
  <c r="S456" i="10"/>
  <c r="T456" i="10" s="1"/>
  <c r="V456" i="10"/>
  <c r="U456" i="10"/>
  <c r="J184" i="10"/>
  <c r="K184" i="10" s="1"/>
  <c r="C169" i="15"/>
  <c r="G129" i="15"/>
  <c r="D83" i="2"/>
  <c r="F137" i="2"/>
  <c r="U455" i="10"/>
  <c r="V455" i="10"/>
  <c r="S455" i="10"/>
  <c r="T455" i="10" s="1"/>
  <c r="J393" i="10"/>
  <c r="K393" i="10" s="1"/>
  <c r="K19" i="11"/>
  <c r="I19" i="11"/>
  <c r="H22" i="11"/>
  <c r="V463" i="10"/>
  <c r="U463" i="10"/>
  <c r="S463" i="10"/>
  <c r="T463" i="10" s="1"/>
  <c r="U451" i="10"/>
  <c r="V451" i="10"/>
  <c r="S451" i="10"/>
  <c r="T451" i="10" s="1"/>
  <c r="T443" i="10"/>
  <c r="T427" i="10"/>
  <c r="T432" i="10"/>
  <c r="T434" i="10"/>
  <c r="T418" i="10"/>
  <c r="T402" i="10"/>
  <c r="T386" i="10"/>
  <c r="T421" i="10"/>
  <c r="T399" i="10"/>
  <c r="T442" i="10"/>
  <c r="T405" i="10"/>
  <c r="T389" i="10"/>
  <c r="T440" i="10"/>
  <c r="T409" i="10"/>
  <c r="T392" i="10"/>
  <c r="T365" i="10"/>
  <c r="T349" i="10"/>
  <c r="T381" i="10"/>
  <c r="T366" i="10"/>
  <c r="T350" i="10"/>
  <c r="T334" i="10"/>
  <c r="T371" i="10"/>
  <c r="T355" i="10"/>
  <c r="T339" i="10"/>
  <c r="T360" i="10"/>
  <c r="T324" i="10"/>
  <c r="T308" i="10"/>
  <c r="T292" i="10"/>
  <c r="T276" i="10"/>
  <c r="T260" i="10"/>
  <c r="T244" i="10"/>
  <c r="T340" i="10"/>
  <c r="T321" i="10"/>
  <c r="T305" i="10"/>
  <c r="T289" i="10"/>
  <c r="T352" i="10"/>
  <c r="T322" i="10"/>
  <c r="T306" i="10"/>
  <c r="T290" i="10"/>
  <c r="T274" i="10"/>
  <c r="T258" i="10"/>
  <c r="T315" i="10"/>
  <c r="T267" i="10"/>
  <c r="T238" i="10"/>
  <c r="T222" i="10"/>
  <c r="T206" i="10"/>
  <c r="T190" i="10"/>
  <c r="T364" i="10"/>
  <c r="T273" i="10"/>
  <c r="T239" i="10"/>
  <c r="T223" i="10"/>
  <c r="T207" i="10"/>
  <c r="T191" i="10"/>
  <c r="T175" i="10"/>
  <c r="T164" i="10"/>
  <c r="T148" i="10"/>
  <c r="T132" i="10"/>
  <c r="T116" i="10"/>
  <c r="T94" i="10"/>
  <c r="T84" i="10"/>
  <c r="T71" i="10"/>
  <c r="T55" i="10"/>
  <c r="T39" i="10"/>
  <c r="T303" i="10"/>
  <c r="T263" i="10"/>
  <c r="T241" i="10"/>
  <c r="T225" i="10"/>
  <c r="T209" i="10"/>
  <c r="T193" i="10"/>
  <c r="T177" i="10"/>
  <c r="T165" i="10"/>
  <c r="T149" i="10"/>
  <c r="T133" i="10"/>
  <c r="T117" i="10"/>
  <c r="T101" i="10"/>
  <c r="T91" i="10"/>
  <c r="T80" i="10"/>
  <c r="T64" i="10"/>
  <c r="T48" i="10"/>
  <c r="T32" i="10"/>
  <c r="T243" i="10"/>
  <c r="T188" i="10"/>
  <c r="T159" i="10"/>
  <c r="T143" i="10"/>
  <c r="T127" i="10"/>
  <c r="T111" i="10"/>
  <c r="T92" i="10"/>
  <c r="T228" i="10"/>
  <c r="T154" i="10"/>
  <c r="T307" i="10"/>
  <c r="T197" i="10"/>
  <c r="T82" i="10"/>
  <c r="T66" i="10"/>
  <c r="T50" i="10"/>
  <c r="T212" i="10"/>
  <c r="T155" i="10"/>
  <c r="T131" i="10"/>
  <c r="T107" i="10"/>
  <c r="T62" i="10"/>
  <c r="T189" i="10"/>
  <c r="T221" i="10"/>
  <c r="T45" i="10"/>
  <c r="T42" i="10"/>
  <c r="T439" i="10"/>
  <c r="T423" i="10"/>
  <c r="T448" i="10"/>
  <c r="T430" i="10"/>
  <c r="T433" i="10"/>
  <c r="T417" i="10"/>
  <c r="T398" i="10"/>
  <c r="T441" i="10"/>
  <c r="T411" i="10"/>
  <c r="T395" i="10"/>
  <c r="T428" i="10"/>
  <c r="T426" i="10"/>
  <c r="T404" i="10"/>
  <c r="T388" i="10"/>
  <c r="T438" i="10"/>
  <c r="T383" i="10"/>
  <c r="T377" i="10"/>
  <c r="T361" i="10"/>
  <c r="T345" i="10"/>
  <c r="T380" i="10"/>
  <c r="T362" i="10"/>
  <c r="T346" i="10"/>
  <c r="T408" i="10"/>
  <c r="T367" i="10"/>
  <c r="T351" i="10"/>
  <c r="T335" i="10"/>
  <c r="T344" i="10"/>
  <c r="T320" i="10"/>
  <c r="T304" i="10"/>
  <c r="T288" i="10"/>
  <c r="T272" i="10"/>
  <c r="T256" i="10"/>
  <c r="T384" i="10"/>
  <c r="T333" i="10"/>
  <c r="T317" i="10"/>
  <c r="T301" i="10"/>
  <c r="T285" i="10"/>
  <c r="T336" i="10"/>
  <c r="T318" i="10"/>
  <c r="T302" i="10"/>
  <c r="T286" i="10"/>
  <c r="T270" i="10"/>
  <c r="T254" i="10"/>
  <c r="T299" i="10"/>
  <c r="T259" i="10"/>
  <c r="T234" i="10"/>
  <c r="T218" i="10"/>
  <c r="T202" i="10"/>
  <c r="T186" i="10"/>
  <c r="T327" i="10"/>
  <c r="T265" i="10"/>
  <c r="T235" i="10"/>
  <c r="T219" i="10"/>
  <c r="T203" i="10"/>
  <c r="T187" i="10"/>
  <c r="T348" i="10"/>
  <c r="T160" i="10"/>
  <c r="T144" i="10"/>
  <c r="T128" i="10"/>
  <c r="T112" i="10"/>
  <c r="T87" i="10"/>
  <c r="T83" i="10"/>
  <c r="T67" i="10"/>
  <c r="T51" i="10"/>
  <c r="T35" i="10"/>
  <c r="T291" i="10"/>
  <c r="T261" i="10"/>
  <c r="T240" i="10"/>
  <c r="T224" i="10"/>
  <c r="T208" i="10"/>
  <c r="T192" i="10"/>
  <c r="T176" i="10"/>
  <c r="T161" i="10"/>
  <c r="T145" i="10"/>
  <c r="T129" i="10"/>
  <c r="T113" i="10"/>
  <c r="T100" i="10"/>
  <c r="T90" i="10"/>
  <c r="T76" i="10"/>
  <c r="T60" i="10"/>
  <c r="T44" i="10"/>
  <c r="T287" i="10"/>
  <c r="T236" i="10"/>
  <c r="T174" i="10"/>
  <c r="T158" i="10"/>
  <c r="T142" i="10"/>
  <c r="T126" i="10"/>
  <c r="T110" i="10"/>
  <c r="T37" i="10"/>
  <c r="T196" i="10"/>
  <c r="T139" i="10"/>
  <c r="T242" i="10"/>
  <c r="T181" i="10"/>
  <c r="T81" i="10"/>
  <c r="T65" i="10"/>
  <c r="T49" i="10"/>
  <c r="T180" i="10"/>
  <c r="T130" i="10"/>
  <c r="T123" i="10"/>
  <c r="T237" i="10"/>
  <c r="T46" i="10"/>
  <c r="T97" i="10"/>
  <c r="T96" i="10"/>
  <c r="T205" i="10"/>
  <c r="T41" i="10"/>
  <c r="T435" i="10"/>
  <c r="T419" i="10"/>
  <c r="T446" i="10"/>
  <c r="T429" i="10"/>
  <c r="T444" i="10"/>
  <c r="T410" i="10"/>
  <c r="T394" i="10"/>
  <c r="T425" i="10"/>
  <c r="T407" i="10"/>
  <c r="T391" i="10"/>
  <c r="T424" i="10"/>
  <c r="T414" i="10"/>
  <c r="T397" i="10"/>
  <c r="T382" i="10"/>
  <c r="T437" i="10"/>
  <c r="T379" i="10"/>
  <c r="T373" i="10"/>
  <c r="T357" i="10"/>
  <c r="T341" i="10"/>
  <c r="T374" i="10"/>
  <c r="T358" i="10"/>
  <c r="T342" i="10"/>
  <c r="T385" i="10"/>
  <c r="T363" i="10"/>
  <c r="T347" i="10"/>
  <c r="T401" i="10"/>
  <c r="T332" i="10"/>
  <c r="T316" i="10"/>
  <c r="T300" i="10"/>
  <c r="T284" i="10"/>
  <c r="T268" i="10"/>
  <c r="T252" i="10"/>
  <c r="T372" i="10"/>
  <c r="T329" i="10"/>
  <c r="T313" i="10"/>
  <c r="T297" i="10"/>
  <c r="T281" i="10"/>
  <c r="T330" i="10"/>
  <c r="T314" i="10"/>
  <c r="T298" i="10"/>
  <c r="T282" i="10"/>
  <c r="T266" i="10"/>
  <c r="T250" i="10"/>
  <c r="T283" i="10"/>
  <c r="T251" i="10"/>
  <c r="T230" i="10"/>
  <c r="T214" i="10"/>
  <c r="T198" i="10"/>
  <c r="T182" i="10"/>
  <c r="T311" i="10"/>
  <c r="T257" i="10"/>
  <c r="T231" i="10"/>
  <c r="T215" i="10"/>
  <c r="T199" i="10"/>
  <c r="T183" i="10"/>
  <c r="T172" i="10"/>
  <c r="T156" i="10"/>
  <c r="T140" i="10"/>
  <c r="T124" i="10"/>
  <c r="T108" i="10"/>
  <c r="T86" i="10"/>
  <c r="T79" i="10"/>
  <c r="T63" i="10"/>
  <c r="T47" i="10"/>
  <c r="T400" i="10"/>
  <c r="T279" i="10"/>
  <c r="T247" i="10"/>
  <c r="T233" i="10"/>
  <c r="T217" i="10"/>
  <c r="T201" i="10"/>
  <c r="T185" i="10"/>
  <c r="T173" i="10"/>
  <c r="T157" i="10"/>
  <c r="T141" i="10"/>
  <c r="T125" i="10"/>
  <c r="T109" i="10"/>
  <c r="T99" i="10"/>
  <c r="T89" i="10"/>
  <c r="T72" i="10"/>
  <c r="T56" i="10"/>
  <c r="T40" i="10"/>
  <c r="T255" i="10"/>
  <c r="T220" i="10"/>
  <c r="T167" i="10"/>
  <c r="T151" i="10"/>
  <c r="T135" i="10"/>
  <c r="T119" i="10"/>
  <c r="T105" i="10"/>
  <c r="T319" i="10"/>
  <c r="T171" i="10"/>
  <c r="T138" i="10"/>
  <c r="T229" i="10"/>
  <c r="T104" i="10"/>
  <c r="T74" i="10"/>
  <c r="T58" i="10"/>
  <c r="T38" i="10"/>
  <c r="T163" i="10"/>
  <c r="T147" i="10"/>
  <c r="T115" i="10"/>
  <c r="T106" i="10"/>
  <c r="T34" i="10"/>
  <c r="T69" i="10"/>
  <c r="T77" i="10"/>
  <c r="T70" i="10"/>
  <c r="T447" i="10"/>
  <c r="T431" i="10"/>
  <c r="T415" i="10"/>
  <c r="T445" i="10"/>
  <c r="T436" i="10"/>
  <c r="T420" i="10"/>
  <c r="T406" i="10"/>
  <c r="T390" i="10"/>
  <c r="T422" i="10"/>
  <c r="T403" i="10"/>
  <c r="T387" i="10"/>
  <c r="T412" i="10"/>
  <c r="T413" i="10"/>
  <c r="T396" i="10"/>
  <c r="T378" i="10"/>
  <c r="T416" i="10"/>
  <c r="T393" i="10"/>
  <c r="T369" i="10"/>
  <c r="T353" i="10"/>
  <c r="T337" i="10"/>
  <c r="T370" i="10"/>
  <c r="T354" i="10"/>
  <c r="T338" i="10"/>
  <c r="T375" i="10"/>
  <c r="T359" i="10"/>
  <c r="T343" i="10"/>
  <c r="T376" i="10"/>
  <c r="T328" i="10"/>
  <c r="T312" i="10"/>
  <c r="T296" i="10"/>
  <c r="T280" i="10"/>
  <c r="T264" i="10"/>
  <c r="T248" i="10"/>
  <c r="T356" i="10"/>
  <c r="T325" i="10"/>
  <c r="T309" i="10"/>
  <c r="T293" i="10"/>
  <c r="T368" i="10"/>
  <c r="T326" i="10"/>
  <c r="T310" i="10"/>
  <c r="T294" i="10"/>
  <c r="T278" i="10"/>
  <c r="T262" i="10"/>
  <c r="T331" i="10"/>
  <c r="T275" i="10"/>
  <c r="T246" i="10"/>
  <c r="T226" i="10"/>
  <c r="T210" i="10"/>
  <c r="T194" i="10"/>
  <c r="T178" i="10"/>
  <c r="T295" i="10"/>
  <c r="T249" i="10"/>
  <c r="T227" i="10"/>
  <c r="T211" i="10"/>
  <c r="T195" i="10"/>
  <c r="T179" i="10"/>
  <c r="T168" i="10"/>
  <c r="T152" i="10"/>
  <c r="T136" i="10"/>
  <c r="T120" i="10"/>
  <c r="T98" i="10"/>
  <c r="T85" i="10"/>
  <c r="T75" i="10"/>
  <c r="T59" i="10"/>
  <c r="T43" i="10"/>
  <c r="T323" i="10"/>
  <c r="T277" i="10"/>
  <c r="T245" i="10"/>
  <c r="T232" i="10"/>
  <c r="T216" i="10"/>
  <c r="T200" i="10"/>
  <c r="T184" i="10"/>
  <c r="T169" i="10"/>
  <c r="T153" i="10"/>
  <c r="T137" i="10"/>
  <c r="T121" i="10"/>
  <c r="T102" i="10"/>
  <c r="T95" i="10"/>
  <c r="T88" i="10"/>
  <c r="T68" i="10"/>
  <c r="T52" i="10"/>
  <c r="T36" i="10"/>
  <c r="T253" i="10"/>
  <c r="T204" i="10"/>
  <c r="T166" i="10"/>
  <c r="T150" i="10"/>
  <c r="T134" i="10"/>
  <c r="T118" i="10"/>
  <c r="T93" i="10"/>
  <c r="T269" i="10"/>
  <c r="T170" i="10"/>
  <c r="T122" i="10"/>
  <c r="T213" i="10"/>
  <c r="T103" i="10"/>
  <c r="T73" i="10"/>
  <c r="T57" i="10"/>
  <c r="T271" i="10"/>
  <c r="T162" i="10"/>
  <c r="T146" i="10"/>
  <c r="T114" i="10"/>
  <c r="T78" i="10"/>
  <c r="T33" i="10"/>
  <c r="T53" i="10"/>
  <c r="T61" i="10"/>
  <c r="T54" i="10"/>
  <c r="S467" i="10"/>
  <c r="T467" i="10" s="1"/>
  <c r="V467" i="10"/>
  <c r="U467" i="10"/>
  <c r="D81" i="4"/>
  <c r="D82" i="4"/>
  <c r="P245" i="2"/>
  <c r="W190" i="2"/>
  <c r="O190" i="2"/>
  <c r="S462" i="10"/>
  <c r="T462" i="10" s="1"/>
  <c r="U462" i="10"/>
  <c r="V462" i="10"/>
  <c r="J281" i="10"/>
  <c r="K281" i="10" s="1"/>
  <c r="J218" i="10"/>
  <c r="K218" i="10" s="1"/>
  <c r="C108" i="11"/>
  <c r="C114" i="11" s="1"/>
  <c r="C120" i="11" s="1"/>
  <c r="C113" i="11"/>
  <c r="C119" i="11" s="1"/>
  <c r="H63" i="7"/>
  <c r="H63" i="6"/>
  <c r="S457" i="10"/>
  <c r="T457" i="10" s="1"/>
  <c r="V457" i="10"/>
  <c r="U457" i="10"/>
  <c r="C66" i="15"/>
  <c r="E66" i="15" s="1"/>
  <c r="C116" i="6"/>
  <c r="E116" i="6" s="1"/>
  <c r="J119" i="10"/>
  <c r="K119" i="10" s="1"/>
  <c r="V450" i="10"/>
  <c r="S450" i="10"/>
  <c r="T450" i="10" s="1"/>
  <c r="U450" i="10"/>
  <c r="J326" i="10"/>
  <c r="K326" i="10" s="1"/>
  <c r="AG48" i="14"/>
  <c r="AG57" i="14"/>
  <c r="J52" i="10"/>
  <c r="K52" i="10" s="1"/>
  <c r="U454" i="10"/>
  <c r="V454" i="10"/>
  <c r="S454" i="10"/>
  <c r="T454" i="10" s="1"/>
  <c r="V452" i="10"/>
  <c r="U452" i="10"/>
  <c r="S452" i="10"/>
  <c r="T452" i="10" s="1"/>
  <c r="J406" i="10"/>
  <c r="K406" i="10" s="1"/>
  <c r="O189" i="2"/>
  <c r="W189" i="2"/>
  <c r="C106" i="12"/>
  <c r="P230" i="2"/>
  <c r="J258" i="10"/>
  <c r="K258" i="10" s="1"/>
  <c r="U465" i="10"/>
  <c r="S465" i="10"/>
  <c r="T465" i="10" s="1"/>
  <c r="V465" i="10"/>
  <c r="J319" i="10"/>
  <c r="K319" i="10" s="1"/>
  <c r="C261" i="13"/>
  <c r="L143" i="2"/>
  <c r="E117" i="15"/>
  <c r="G117" i="15"/>
  <c r="V464" i="10"/>
  <c r="U464" i="10"/>
  <c r="S464" i="10"/>
  <c r="T464" i="10" s="1"/>
  <c r="V449" i="10"/>
  <c r="U449" i="10"/>
  <c r="S449" i="10"/>
  <c r="T449" i="10" s="1"/>
  <c r="J212" i="10"/>
  <c r="K212" i="10" s="1"/>
  <c r="D49" i="4"/>
  <c r="D50" i="4"/>
  <c r="U458" i="10"/>
  <c r="S458" i="10"/>
  <c r="T458" i="10" s="1"/>
  <c r="V458" i="10"/>
  <c r="S453" i="10"/>
  <c r="T453" i="10" s="1"/>
  <c r="V453" i="10"/>
  <c r="U453" i="10"/>
  <c r="J322" i="10"/>
  <c r="K322" i="10" s="1"/>
  <c r="M28" i="10"/>
  <c r="N102" i="11"/>
  <c r="N109" i="11" s="1"/>
  <c r="N97" i="11"/>
  <c r="N103" i="11" s="1"/>
  <c r="N110" i="11" s="1"/>
  <c r="S460" i="10"/>
  <c r="T460" i="10" s="1"/>
  <c r="V460" i="10"/>
  <c r="U460" i="10"/>
  <c r="J277" i="10"/>
  <c r="K277" i="10" s="1"/>
  <c r="P246" i="2"/>
  <c r="U189" i="2"/>
  <c r="V189" i="2"/>
  <c r="AE189" i="2"/>
  <c r="T189" i="2"/>
  <c r="N189" i="2"/>
  <c r="D43" i="4"/>
  <c r="D42" i="4"/>
  <c r="K33" i="11"/>
  <c r="K25" i="11"/>
  <c r="N16" i="11"/>
  <c r="C82" i="4"/>
  <c r="W188" i="2"/>
  <c r="O188" i="2"/>
  <c r="M168" i="2"/>
  <c r="P6" i="10"/>
  <c r="B105" i="12" s="1"/>
  <c r="AD156" i="2" s="1"/>
  <c r="V459" i="10"/>
  <c r="U459" i="10"/>
  <c r="S459" i="10"/>
  <c r="T459" i="10" s="1"/>
  <c r="J195" i="10"/>
  <c r="K195" i="10" s="1"/>
  <c r="E81" i="4" l="1"/>
  <c r="E82" i="4"/>
  <c r="B27" i="5"/>
  <c r="C78" i="5"/>
  <c r="C16" i="5"/>
  <c r="H78" i="5"/>
  <c r="H80" i="5"/>
  <c r="J27" i="5"/>
  <c r="G43" i="5" s="1"/>
  <c r="B121" i="5"/>
  <c r="B91" i="5"/>
  <c r="B107" i="5"/>
  <c r="B104" i="5"/>
  <c r="B118" i="5"/>
  <c r="B88" i="5"/>
  <c r="C153" i="12"/>
  <c r="E55" i="13" s="1"/>
  <c r="C160" i="12"/>
  <c r="C209" i="13" s="1"/>
  <c r="D153" i="12"/>
  <c r="AV9" i="14" s="1"/>
  <c r="AQ36" i="14"/>
  <c r="AQ29" i="14"/>
  <c r="D160" i="12"/>
  <c r="AV16" i="14" s="1"/>
  <c r="V152" i="2"/>
  <c r="Z152" i="2" s="1"/>
  <c r="O168" i="2"/>
  <c r="V168" i="2"/>
  <c r="C158" i="12"/>
  <c r="C107" i="13" s="1"/>
  <c r="D158" i="12"/>
  <c r="E160" i="13" s="1"/>
  <c r="AQ30" i="14"/>
  <c r="C151" i="12"/>
  <c r="C200" i="13" s="1"/>
  <c r="D151" i="12"/>
  <c r="AV7" i="14" s="1"/>
  <c r="AD40" i="14" s="1"/>
  <c r="AD41" i="14" s="1"/>
  <c r="D157" i="12"/>
  <c r="AV13" i="14" s="1"/>
  <c r="C154" i="12"/>
  <c r="C103" i="13" s="1"/>
  <c r="C157" i="12"/>
  <c r="G65" i="13" s="1"/>
  <c r="C87" i="5"/>
  <c r="C73" i="5"/>
  <c r="E73" i="5" s="1"/>
  <c r="E9" i="5" s="1"/>
  <c r="D9" i="5"/>
  <c r="Q181" i="2"/>
  <c r="F103" i="4" s="1"/>
  <c r="Q182" i="2"/>
  <c r="C40" i="7"/>
  <c r="C91" i="7" s="1"/>
  <c r="C40" i="6"/>
  <c r="C91" i="6" s="1"/>
  <c r="N25" i="11"/>
  <c r="P182" i="2"/>
  <c r="E104" i="4" s="1"/>
  <c r="P181" i="2"/>
  <c r="E103" i="4" s="1"/>
  <c r="AV10" i="14"/>
  <c r="E156" i="13"/>
  <c r="G300" i="13"/>
  <c r="G261" i="13"/>
  <c r="G293" i="13"/>
  <c r="M171" i="2"/>
  <c r="L19" i="11"/>
  <c r="I22" i="11"/>
  <c r="I38" i="8"/>
  <c r="I38" i="9"/>
  <c r="D156" i="12"/>
  <c r="C156" i="12"/>
  <c r="AQ32" i="14"/>
  <c r="D109" i="12"/>
  <c r="AE152" i="2" s="1"/>
  <c r="P10" i="10"/>
  <c r="B109" i="12" s="1"/>
  <c r="AD152" i="2" s="1"/>
  <c r="G76" i="11"/>
  <c r="G75" i="11"/>
  <c r="G45" i="13"/>
  <c r="K152" i="2"/>
  <c r="D100" i="11"/>
  <c r="P7" i="10"/>
  <c r="B106" i="12"/>
  <c r="AD155" i="2" s="1"/>
  <c r="D106" i="12"/>
  <c r="AE155" i="2" s="1"/>
  <c r="G106" i="12"/>
  <c r="E106" i="12"/>
  <c r="AF155" i="2" s="1"/>
  <c r="F106" i="12"/>
  <c r="AG155" i="2" s="1"/>
  <c r="AQ37" i="14"/>
  <c r="C161" i="12"/>
  <c r="D161" i="12"/>
  <c r="N19" i="11"/>
  <c r="K22" i="11"/>
  <c r="P8" i="10"/>
  <c r="D107" i="12"/>
  <c r="AE154" i="2" s="1"/>
  <c r="E107" i="12"/>
  <c r="AF154" i="2" s="1"/>
  <c r="C108" i="12"/>
  <c r="B107" i="12"/>
  <c r="AD154" i="2" s="1"/>
  <c r="F107" i="12"/>
  <c r="AG154" i="2" s="1"/>
  <c r="G107" i="12"/>
  <c r="AQ35" i="14"/>
  <c r="D159" i="12"/>
  <c r="C159" i="12"/>
  <c r="Q168" i="2"/>
  <c r="AQ28" i="14"/>
  <c r="D152" i="12"/>
  <c r="C152" i="12"/>
  <c r="M169" i="2"/>
  <c r="O182" i="2"/>
  <c r="O181" i="2"/>
  <c r="D103" i="4" s="1"/>
  <c r="AQ31" i="14"/>
  <c r="D155" i="12"/>
  <c r="C155" i="12"/>
  <c r="L15" i="11"/>
  <c r="I16" i="11"/>
  <c r="P5" i="10"/>
  <c r="B104" i="12" s="1"/>
  <c r="AD157" i="2" s="1"/>
  <c r="M167" i="2"/>
  <c r="E155" i="13"/>
  <c r="M170" i="2"/>
  <c r="H26" i="11"/>
  <c r="H27" i="11" s="1"/>
  <c r="C71" i="7"/>
  <c r="C117" i="7" s="1"/>
  <c r="E117" i="7" s="1"/>
  <c r="C71" i="6"/>
  <c r="H32" i="11"/>
  <c r="H34" i="11" s="1"/>
  <c r="F138" i="2"/>
  <c r="F139" i="2" s="1"/>
  <c r="AV14" i="14" l="1"/>
  <c r="C109" i="13"/>
  <c r="C202" i="13"/>
  <c r="C102" i="13"/>
  <c r="E78" i="5"/>
  <c r="C91" i="5" s="1"/>
  <c r="J91" i="5"/>
  <c r="G107" i="5" s="1"/>
  <c r="K91" i="5"/>
  <c r="H107" i="5" s="1"/>
  <c r="F104" i="4"/>
  <c r="F80" i="5"/>
  <c r="F79" i="5"/>
  <c r="F78" i="5"/>
  <c r="F14" i="5"/>
  <c r="F15" i="5"/>
  <c r="F16" i="5"/>
  <c r="C80" i="5"/>
  <c r="E80" i="5" s="1"/>
  <c r="C15" i="5"/>
  <c r="E162" i="13"/>
  <c r="C2324" i="14" s="1"/>
  <c r="C203" i="13"/>
  <c r="V154" i="2"/>
  <c r="Z154" i="2" s="1"/>
  <c r="V170" i="2"/>
  <c r="O170" i="2"/>
  <c r="V151" i="2"/>
  <c r="Z151" i="2" s="1"/>
  <c r="O167" i="2"/>
  <c r="V167" i="2"/>
  <c r="V153" i="2"/>
  <c r="Z153" i="2" s="1"/>
  <c r="V169" i="2"/>
  <c r="O169" i="2"/>
  <c r="V171" i="2"/>
  <c r="O171" i="2"/>
  <c r="C207" i="13"/>
  <c r="E45" i="13"/>
  <c r="C100" i="13"/>
  <c r="E153" i="13"/>
  <c r="C172" i="14" s="1"/>
  <c r="E159" i="13"/>
  <c r="C1682" i="14" s="1"/>
  <c r="C206" i="13"/>
  <c r="E75" i="13"/>
  <c r="C106" i="13"/>
  <c r="AC53" i="14" s="1"/>
  <c r="D73" i="5"/>
  <c r="H9" i="5"/>
  <c r="H73" i="5" s="1"/>
  <c r="C86" i="5" s="1"/>
  <c r="F73" i="5"/>
  <c r="F72" i="5"/>
  <c r="F10" i="5"/>
  <c r="G10" i="5" s="1"/>
  <c r="F74" i="5"/>
  <c r="G74" i="5" s="1"/>
  <c r="F8" i="5"/>
  <c r="F9" i="5"/>
  <c r="C1960" i="14"/>
  <c r="C1832" i="14"/>
  <c r="C1841" i="14"/>
  <c r="C1798" i="14"/>
  <c r="C1934" i="14"/>
  <c r="C1943" i="14"/>
  <c r="C1815" i="14"/>
  <c r="C1772" i="14"/>
  <c r="C1908" i="14"/>
  <c r="C1917" i="14"/>
  <c r="C1789" i="14"/>
  <c r="C1746" i="14"/>
  <c r="C1776" i="14"/>
  <c r="C1875" i="14"/>
  <c r="C1858" i="14"/>
  <c r="C1968" i="14"/>
  <c r="C1753" i="14"/>
  <c r="C1823" i="14"/>
  <c r="C1957" i="14"/>
  <c r="C1842" i="14"/>
  <c r="C1899" i="14"/>
  <c r="C1920" i="14"/>
  <c r="C1929" i="14"/>
  <c r="C1801" i="14"/>
  <c r="C1758" i="14"/>
  <c r="C1894" i="14"/>
  <c r="C1903" i="14"/>
  <c r="C1775" i="14"/>
  <c r="C1977" i="14"/>
  <c r="C1868" i="14"/>
  <c r="C1877" i="14"/>
  <c r="C1749" i="14"/>
  <c r="C1906" i="14"/>
  <c r="C1923" i="14"/>
  <c r="C1800" i="14"/>
  <c r="C1835" i="14"/>
  <c r="C1904" i="14"/>
  <c r="C1942" i="14"/>
  <c r="C1980" i="14"/>
  <c r="C1818" i="14"/>
  <c r="AI14" i="14"/>
  <c r="C1912" i="14"/>
  <c r="C1921" i="14"/>
  <c r="C1793" i="14"/>
  <c r="C1750" i="14"/>
  <c r="C1886" i="14"/>
  <c r="C1895" i="14"/>
  <c r="C1767" i="14"/>
  <c r="C1969" i="14"/>
  <c r="C1860" i="14"/>
  <c r="C1869" i="14"/>
  <c r="C1826" i="14"/>
  <c r="C1874" i="14"/>
  <c r="C1827" i="14"/>
  <c r="C1768" i="14"/>
  <c r="C1803" i="14"/>
  <c r="C1840" i="14"/>
  <c r="C1974" i="14"/>
  <c r="C1759" i="14"/>
  <c r="C1893" i="14"/>
  <c r="C1816" i="14"/>
  <c r="C1928" i="14"/>
  <c r="C1937" i="14"/>
  <c r="C1809" i="14"/>
  <c r="C1766" i="14"/>
  <c r="C1902" i="14"/>
  <c r="C1911" i="14"/>
  <c r="C1783" i="14"/>
  <c r="D207" i="13"/>
  <c r="C1876" i="14"/>
  <c r="C1885" i="14"/>
  <c r="C1757" i="14"/>
  <c r="C1938" i="14"/>
  <c r="C1850" i="14"/>
  <c r="C1747" i="14"/>
  <c r="C1867" i="14"/>
  <c r="C1872" i="14"/>
  <c r="C1742" i="14"/>
  <c r="C1812" i="14"/>
  <c r="C1861" i="14"/>
  <c r="C1946" i="14"/>
  <c r="C1784" i="14"/>
  <c r="C1888" i="14"/>
  <c r="C1897" i="14"/>
  <c r="C1769" i="14"/>
  <c r="C1971" i="14"/>
  <c r="C1862" i="14"/>
  <c r="C1871" i="14"/>
  <c r="C1743" i="14"/>
  <c r="C1964" i="14"/>
  <c r="C1836" i="14"/>
  <c r="C1845" i="14"/>
  <c r="C1802" i="14"/>
  <c r="C1915" i="14"/>
  <c r="C1962" i="14"/>
  <c r="C1891" i="14"/>
  <c r="C1792" i="14"/>
  <c r="C1913" i="14"/>
  <c r="C1846" i="14"/>
  <c r="C1884" i="14"/>
  <c r="C1970" i="14"/>
  <c r="C1771" i="14"/>
  <c r="C1880" i="14"/>
  <c r="C1889" i="14"/>
  <c r="C1761" i="14"/>
  <c r="C1982" i="14"/>
  <c r="C1854" i="14"/>
  <c r="C1863" i="14"/>
  <c r="C1820" i="14"/>
  <c r="C1956" i="14"/>
  <c r="C1828" i="14"/>
  <c r="C1837" i="14"/>
  <c r="C1794" i="14"/>
  <c r="C1883" i="14"/>
  <c r="C1930" i="14"/>
  <c r="C1763" i="14"/>
  <c r="C1760" i="14"/>
  <c r="C1881" i="14"/>
  <c r="C1878" i="14"/>
  <c r="C1780" i="14"/>
  <c r="C1797" i="14"/>
  <c r="C1779" i="14"/>
  <c r="C1896" i="14"/>
  <c r="C1905" i="14"/>
  <c r="C1777" i="14"/>
  <c r="C1979" i="14"/>
  <c r="C1870" i="14"/>
  <c r="C1879" i="14"/>
  <c r="C1751" i="14"/>
  <c r="C1972" i="14"/>
  <c r="C1844" i="14"/>
  <c r="C1853" i="14"/>
  <c r="C1810" i="14"/>
  <c r="C1947" i="14"/>
  <c r="C1975" i="14"/>
  <c r="C1882" i="14"/>
  <c r="C1824" i="14"/>
  <c r="C1945" i="14"/>
  <c r="C1910" i="14"/>
  <c r="C1748" i="14"/>
  <c r="C1765" i="14"/>
  <c r="C1907" i="14"/>
  <c r="C1965" i="14"/>
  <c r="C1856" i="14"/>
  <c r="C1865" i="14"/>
  <c r="C1822" i="14"/>
  <c r="C1958" i="14"/>
  <c r="C1830" i="14"/>
  <c r="C1839" i="14"/>
  <c r="C1796" i="14"/>
  <c r="C1932" i="14"/>
  <c r="C1941" i="14"/>
  <c r="C1813" i="14"/>
  <c r="C1770" i="14"/>
  <c r="C1787" i="14"/>
  <c r="C1834" i="14"/>
  <c r="C1954" i="14"/>
  <c r="C1859" i="14"/>
  <c r="C1785" i="14"/>
  <c r="C1887" i="14"/>
  <c r="C1925" i="14"/>
  <c r="C1808" i="14"/>
  <c r="C1976" i="14"/>
  <c r="C1848" i="14"/>
  <c r="C1857" i="14"/>
  <c r="C1814" i="14"/>
  <c r="C1950" i="14"/>
  <c r="C1959" i="14"/>
  <c r="C1831" i="14"/>
  <c r="C1788" i="14"/>
  <c r="C1924" i="14"/>
  <c r="C1933" i="14"/>
  <c r="C1805" i="14"/>
  <c r="C1762" i="14"/>
  <c r="C1755" i="14"/>
  <c r="C1939" i="14"/>
  <c r="C1922" i="14"/>
  <c r="C1795" i="14"/>
  <c r="C1817" i="14"/>
  <c r="C1951" i="14"/>
  <c r="C1948" i="14"/>
  <c r="C1754" i="14"/>
  <c r="C1890" i="14"/>
  <c r="C1973" i="14"/>
  <c r="C1864" i="14"/>
  <c r="C1873" i="14"/>
  <c r="C1745" i="14"/>
  <c r="C1966" i="14"/>
  <c r="C1838" i="14"/>
  <c r="C1847" i="14"/>
  <c r="C1804" i="14"/>
  <c r="C1940" i="14"/>
  <c r="C1949" i="14"/>
  <c r="C1821" i="14"/>
  <c r="C1778" i="14"/>
  <c r="C1819" i="14"/>
  <c r="C1866" i="14"/>
  <c r="C1967" i="14"/>
  <c r="C1955" i="14"/>
  <c r="C1849" i="14"/>
  <c r="C1919" i="14"/>
  <c r="C1916" i="14"/>
  <c r="C1786" i="14"/>
  <c r="C1752" i="14"/>
  <c r="C1952" i="14"/>
  <c r="C1961" i="14"/>
  <c r="C1833" i="14"/>
  <c r="C1790" i="14"/>
  <c r="C1926" i="14"/>
  <c r="C1935" i="14"/>
  <c r="C1807" i="14"/>
  <c r="C1764" i="14"/>
  <c r="C1900" i="14"/>
  <c r="C1909" i="14"/>
  <c r="C1781" i="14"/>
  <c r="F160" i="13"/>
  <c r="E207" i="13" s="1"/>
  <c r="C1744" i="14"/>
  <c r="C1843" i="14"/>
  <c r="C1963" i="14"/>
  <c r="C1981" i="14"/>
  <c r="C1774" i="14"/>
  <c r="C1791" i="14"/>
  <c r="C1829" i="14"/>
  <c r="C1898" i="14"/>
  <c r="C1944" i="14"/>
  <c r="C1953" i="14"/>
  <c r="C1825" i="14"/>
  <c r="C1782" i="14"/>
  <c r="C1918" i="14"/>
  <c r="C1927" i="14"/>
  <c r="C1799" i="14"/>
  <c r="C1756" i="14"/>
  <c r="C1892" i="14"/>
  <c r="C1901" i="14"/>
  <c r="C1773" i="14"/>
  <c r="C1983" i="14"/>
  <c r="C1978" i="14"/>
  <c r="C1811" i="14"/>
  <c r="C1931" i="14"/>
  <c r="C1936" i="14"/>
  <c r="C1806" i="14"/>
  <c r="C1855" i="14"/>
  <c r="C1852" i="14"/>
  <c r="C1851" i="14"/>
  <c r="C1914" i="14"/>
  <c r="G115" i="15"/>
  <c r="K150" i="2" s="1"/>
  <c r="H82" i="4"/>
  <c r="E115" i="15"/>
  <c r="C117" i="6"/>
  <c r="E117" i="6" s="1"/>
  <c r="C67" i="15"/>
  <c r="E67" i="15" s="1"/>
  <c r="I82" i="4"/>
  <c r="D106" i="13"/>
  <c r="AV8" i="14"/>
  <c r="E154" i="13"/>
  <c r="AC47" i="14"/>
  <c r="AC46" i="14" s="1"/>
  <c r="D100" i="13"/>
  <c r="C133" i="13"/>
  <c r="C153" i="13" s="1"/>
  <c r="AI27" i="14" s="1"/>
  <c r="S168" i="2"/>
  <c r="Z168" i="2"/>
  <c r="K119" i="11" s="1"/>
  <c r="K106" i="11" s="1"/>
  <c r="K90" i="11" s="1"/>
  <c r="Q169" i="2"/>
  <c r="Q171" i="2"/>
  <c r="Q170" i="2"/>
  <c r="C110" i="13"/>
  <c r="G85" i="13"/>
  <c r="C210" i="13"/>
  <c r="D105" i="11"/>
  <c r="D101" i="11"/>
  <c r="C205" i="13"/>
  <c r="C105" i="13"/>
  <c r="L22" i="11"/>
  <c r="I26" i="11"/>
  <c r="I32" i="11"/>
  <c r="C1515" i="14"/>
  <c r="C313" i="13"/>
  <c r="C310" i="13" s="1"/>
  <c r="C300" i="13"/>
  <c r="G55" i="13"/>
  <c r="C104" i="13"/>
  <c r="E65" i="13"/>
  <c r="C204" i="13"/>
  <c r="D104" i="4"/>
  <c r="G75" i="13"/>
  <c r="E85" i="13"/>
  <c r="C208" i="13"/>
  <c r="C108" i="13"/>
  <c r="AC56" i="14"/>
  <c r="D109" i="13"/>
  <c r="C142" i="13"/>
  <c r="C162" i="13" s="1"/>
  <c r="AI36" i="14" s="1"/>
  <c r="AV12" i="14"/>
  <c r="E158" i="13"/>
  <c r="C643" i="14"/>
  <c r="C515" i="14"/>
  <c r="C628" i="14"/>
  <c r="AI9" i="14"/>
  <c r="C617" i="14"/>
  <c r="C730" i="14"/>
  <c r="C602" i="14"/>
  <c r="C727" i="14"/>
  <c r="C599" i="14"/>
  <c r="C712" i="14"/>
  <c r="C584" i="14"/>
  <c r="C613" i="14"/>
  <c r="C605" i="14"/>
  <c r="C565" i="14"/>
  <c r="C670" i="14"/>
  <c r="C699" i="14"/>
  <c r="C571" i="14"/>
  <c r="C684" i="14"/>
  <c r="C556" i="14"/>
  <c r="C673" i="14"/>
  <c r="C545" i="14"/>
  <c r="C658" i="14"/>
  <c r="C530" i="14"/>
  <c r="C655" i="14"/>
  <c r="C527" i="14"/>
  <c r="C640" i="14"/>
  <c r="C512" i="14"/>
  <c r="C566" i="14"/>
  <c r="C558" i="14"/>
  <c r="C518" i="14"/>
  <c r="C723" i="14"/>
  <c r="C595" i="14"/>
  <c r="C708" i="14"/>
  <c r="C580" i="14"/>
  <c r="C697" i="14"/>
  <c r="C569" i="14"/>
  <c r="C682" i="14"/>
  <c r="C554" i="14"/>
  <c r="C679" i="14"/>
  <c r="C551" i="14"/>
  <c r="C664" i="14"/>
  <c r="C536" i="14"/>
  <c r="C662" i="14"/>
  <c r="C654" i="14"/>
  <c r="C614" i="14"/>
  <c r="C621" i="14"/>
  <c r="C508" i="14"/>
  <c r="C735" i="14"/>
  <c r="C645" i="14"/>
  <c r="C555" i="14"/>
  <c r="C725" i="14"/>
  <c r="C721" i="14"/>
  <c r="C703" i="14"/>
  <c r="C517" i="14"/>
  <c r="C668" i="14"/>
  <c r="C589" i="14"/>
  <c r="C572" i="14"/>
  <c r="C546" i="14"/>
  <c r="C528" i="14"/>
  <c r="C734" i="14"/>
  <c r="C511" i="14"/>
  <c r="C739" i="14"/>
  <c r="C611" i="14"/>
  <c r="C724" i="14"/>
  <c r="C596" i="14"/>
  <c r="C713" i="14"/>
  <c r="C585" i="14"/>
  <c r="C698" i="14"/>
  <c r="C570" i="14"/>
  <c r="C695" i="14"/>
  <c r="C567" i="14"/>
  <c r="C680" i="14"/>
  <c r="C552" i="14"/>
  <c r="C726" i="14"/>
  <c r="C718" i="14"/>
  <c r="C678" i="14"/>
  <c r="C638" i="14"/>
  <c r="C667" i="14"/>
  <c r="C539" i="14"/>
  <c r="C652" i="14"/>
  <c r="C524" i="14"/>
  <c r="C641" i="14"/>
  <c r="C513" i="14"/>
  <c r="C626" i="14"/>
  <c r="D202" i="13"/>
  <c r="C623" i="14"/>
  <c r="C736" i="14"/>
  <c r="C608" i="14"/>
  <c r="C709" i="14"/>
  <c r="C701" i="14"/>
  <c r="C661" i="14"/>
  <c r="C574" i="14"/>
  <c r="C691" i="14"/>
  <c r="C563" i="14"/>
  <c r="C676" i="14"/>
  <c r="C548" i="14"/>
  <c r="C665" i="14"/>
  <c r="C537" i="14"/>
  <c r="C650" i="14"/>
  <c r="C522" i="14"/>
  <c r="C647" i="14"/>
  <c r="C519" i="14"/>
  <c r="C632" i="14"/>
  <c r="C504" i="14"/>
  <c r="C534" i="14"/>
  <c r="C526" i="14"/>
  <c r="C717" i="14"/>
  <c r="C651" i="14"/>
  <c r="C625" i="14"/>
  <c r="C607" i="14"/>
  <c r="C637" i="14"/>
  <c r="C657" i="14"/>
  <c r="C619" i="14"/>
  <c r="C593" i="14"/>
  <c r="C575" i="14"/>
  <c r="C509" i="14"/>
  <c r="C529" i="14"/>
  <c r="C715" i="14"/>
  <c r="C689" i="14"/>
  <c r="C671" i="14"/>
  <c r="C630" i="14"/>
  <c r="C683" i="14"/>
  <c r="C502" i="14"/>
  <c r="C707" i="14"/>
  <c r="C579" i="14"/>
  <c r="C692" i="14"/>
  <c r="C564" i="14"/>
  <c r="C681" i="14"/>
  <c r="C553" i="14"/>
  <c r="C666" i="14"/>
  <c r="C538" i="14"/>
  <c r="C663" i="14"/>
  <c r="C535" i="14"/>
  <c r="C648" i="14"/>
  <c r="C520" i="14"/>
  <c r="C598" i="14"/>
  <c r="C590" i="14"/>
  <c r="C550" i="14"/>
  <c r="C606" i="14"/>
  <c r="C635" i="14"/>
  <c r="C507" i="14"/>
  <c r="C620" i="14"/>
  <c r="C737" i="14"/>
  <c r="C609" i="14"/>
  <c r="C722" i="14"/>
  <c r="C594" i="14"/>
  <c r="C719" i="14"/>
  <c r="C591" i="14"/>
  <c r="C704" i="14"/>
  <c r="C576" i="14"/>
  <c r="C581" i="14"/>
  <c r="C573" i="14"/>
  <c r="C533" i="14"/>
  <c r="C542" i="14"/>
  <c r="C659" i="14"/>
  <c r="C531" i="14"/>
  <c r="C644" i="14"/>
  <c r="C516" i="14"/>
  <c r="C633" i="14"/>
  <c r="C505" i="14"/>
  <c r="C618" i="14"/>
  <c r="C743" i="14"/>
  <c r="C615" i="14"/>
  <c r="C728" i="14"/>
  <c r="C600" i="14"/>
  <c r="C677" i="14"/>
  <c r="C669" i="14"/>
  <c r="C629" i="14"/>
  <c r="C685" i="14"/>
  <c r="C523" i="14"/>
  <c r="C738" i="14"/>
  <c r="C720" i="14"/>
  <c r="C597" i="14"/>
  <c r="C514" i="14"/>
  <c r="C732" i="14"/>
  <c r="C706" i="14"/>
  <c r="C688" i="14"/>
  <c r="C710" i="14"/>
  <c r="C639" i="14"/>
  <c r="C587" i="14"/>
  <c r="C561" i="14"/>
  <c r="C543" i="14"/>
  <c r="C622" i="14"/>
  <c r="C540" i="14"/>
  <c r="C675" i="14"/>
  <c r="C547" i="14"/>
  <c r="C660" i="14"/>
  <c r="C532" i="14"/>
  <c r="C649" i="14"/>
  <c r="C521" i="14"/>
  <c r="C634" i="14"/>
  <c r="C506" i="14"/>
  <c r="C631" i="14"/>
  <c r="C503" i="14"/>
  <c r="C616" i="14"/>
  <c r="C741" i="14"/>
  <c r="C733" i="14"/>
  <c r="C693" i="14"/>
  <c r="C702" i="14"/>
  <c r="C731" i="14"/>
  <c r="C603" i="14"/>
  <c r="C716" i="14"/>
  <c r="C588" i="14"/>
  <c r="C705" i="14"/>
  <c r="C577" i="14"/>
  <c r="C690" i="14"/>
  <c r="C562" i="14"/>
  <c r="C687" i="14"/>
  <c r="C559" i="14"/>
  <c r="C672" i="14"/>
  <c r="C544" i="14"/>
  <c r="C694" i="14"/>
  <c r="C686" i="14"/>
  <c r="C646" i="14"/>
  <c r="C510" i="14"/>
  <c r="C627" i="14"/>
  <c r="C740" i="14"/>
  <c r="C612" i="14"/>
  <c r="C729" i="14"/>
  <c r="C601" i="14"/>
  <c r="C714" i="14"/>
  <c r="C586" i="14"/>
  <c r="C711" i="14"/>
  <c r="C583" i="14"/>
  <c r="C696" i="14"/>
  <c r="C568" i="14"/>
  <c r="C549" i="14"/>
  <c r="C541" i="14"/>
  <c r="C742" i="14"/>
  <c r="C653" i="14"/>
  <c r="C636" i="14"/>
  <c r="C610" i="14"/>
  <c r="C592" i="14"/>
  <c r="C557" i="14"/>
  <c r="C624" i="14"/>
  <c r="C604" i="14"/>
  <c r="C578" i="14"/>
  <c r="C560" i="14"/>
  <c r="C525" i="14"/>
  <c r="F155" i="13"/>
  <c r="E202" i="13" s="1"/>
  <c r="C700" i="14"/>
  <c r="C674" i="14"/>
  <c r="C656" i="14"/>
  <c r="C582" i="14"/>
  <c r="C642" i="14"/>
  <c r="AC50" i="14"/>
  <c r="D103" i="13"/>
  <c r="C136" i="13"/>
  <c r="C156" i="13" s="1"/>
  <c r="AI30" i="14" s="1"/>
  <c r="C104" i="12"/>
  <c r="C105" i="12" s="1"/>
  <c r="AV11" i="14"/>
  <c r="E157" i="13"/>
  <c r="AV15" i="14"/>
  <c r="E161" i="13"/>
  <c r="AC49" i="14"/>
  <c r="C135" i="13"/>
  <c r="C155" i="13" s="1"/>
  <c r="AI29" i="14" s="1"/>
  <c r="D102" i="13"/>
  <c r="V155" i="2"/>
  <c r="Z155" i="2" s="1"/>
  <c r="D300" i="13"/>
  <c r="Q167" i="2"/>
  <c r="I33" i="11"/>
  <c r="I25" i="11"/>
  <c r="I27" i="11" s="1"/>
  <c r="L27" i="11" s="1"/>
  <c r="L16" i="11"/>
  <c r="C101" i="13"/>
  <c r="C201" i="13"/>
  <c r="D244" i="2"/>
  <c r="C244" i="2" s="1"/>
  <c r="C23" i="5" s="1"/>
  <c r="D108" i="12"/>
  <c r="AE153" i="2" s="1"/>
  <c r="G108" i="12"/>
  <c r="B108" i="12"/>
  <c r="AD153" i="2" s="1"/>
  <c r="P9" i="10"/>
  <c r="F108" i="12"/>
  <c r="E108" i="12"/>
  <c r="AF153" i="2" s="1"/>
  <c r="N22" i="11"/>
  <c r="K26" i="11"/>
  <c r="K27" i="11" s="1"/>
  <c r="N27" i="11" s="1"/>
  <c r="K32" i="11"/>
  <c r="K34" i="11" s="1"/>
  <c r="N34" i="11" s="1"/>
  <c r="AV17" i="14"/>
  <c r="AA40" i="14" s="1"/>
  <c r="AA41" i="14" s="1"/>
  <c r="E163" i="13"/>
  <c r="C2304" i="14"/>
  <c r="C2350" i="14"/>
  <c r="C2303" i="14"/>
  <c r="C2426" i="14"/>
  <c r="C2462" i="14"/>
  <c r="C2459" i="14"/>
  <c r="C2458" i="14"/>
  <c r="C2332" i="14"/>
  <c r="C2273" i="14"/>
  <c r="C2406" i="14"/>
  <c r="C2375" i="14"/>
  <c r="C2437" i="14"/>
  <c r="C2259" i="14"/>
  <c r="C2415" i="14"/>
  <c r="C2331" i="14"/>
  <c r="C2378" i="14"/>
  <c r="C2238" i="14"/>
  <c r="C2369" i="14"/>
  <c r="C2322" i="14"/>
  <c r="C910" i="14"/>
  <c r="C983" i="14"/>
  <c r="C916" i="14"/>
  <c r="C989" i="14"/>
  <c r="C861" i="14"/>
  <c r="C866" i="14"/>
  <c r="C939" i="14"/>
  <c r="C824" i="14"/>
  <c r="C789" i="14"/>
  <c r="C816" i="14"/>
  <c r="C787" i="14"/>
  <c r="C808" i="14"/>
  <c r="C785" i="14"/>
  <c r="C791" i="14"/>
  <c r="C896" i="14"/>
  <c r="C918" i="14"/>
  <c r="C892" i="14"/>
  <c r="C938" i="14"/>
  <c r="C929" i="14"/>
  <c r="C827" i="14"/>
  <c r="C960" i="14"/>
  <c r="C934" i="14"/>
  <c r="C806" i="14"/>
  <c r="C940" i="14"/>
  <c r="C812" i="14"/>
  <c r="C885" i="14"/>
  <c r="C890" i="14"/>
  <c r="C963" i="14"/>
  <c r="C920" i="14"/>
  <c r="C813" i="14"/>
  <c r="C912" i="14"/>
  <c r="C811" i="14"/>
  <c r="C904" i="14"/>
  <c r="C809" i="14"/>
  <c r="C919" i="14"/>
  <c r="C751" i="14"/>
  <c r="C959" i="14"/>
  <c r="C856" i="14"/>
  <c r="C840" i="14"/>
  <c r="C831" i="14"/>
  <c r="C894" i="14"/>
  <c r="C967" i="14"/>
  <c r="C900" i="14"/>
  <c r="C973" i="14"/>
  <c r="C978" i="14"/>
  <c r="C850" i="14"/>
  <c r="C923" i="14"/>
  <c r="C961" i="14"/>
  <c r="C773" i="14"/>
  <c r="C953" i="14"/>
  <c r="C771" i="14"/>
  <c r="C945" i="14"/>
  <c r="C769" i="14"/>
  <c r="C768" i="14"/>
  <c r="C887" i="14"/>
  <c r="C886" i="14"/>
  <c r="C860" i="14"/>
  <c r="C906" i="14"/>
  <c r="C865" i="14"/>
  <c r="C795" i="14"/>
  <c r="C823" i="14"/>
  <c r="C878" i="14"/>
  <c r="C951" i="14"/>
  <c r="C884" i="14"/>
  <c r="C957" i="14"/>
  <c r="C962" i="14"/>
  <c r="C834" i="14"/>
  <c r="C907" i="14"/>
  <c r="C913" i="14"/>
  <c r="C757" i="14"/>
  <c r="C911" i="14"/>
  <c r="C755" i="14"/>
  <c r="C905" i="14"/>
  <c r="C753" i="14"/>
  <c r="C871" i="14"/>
  <c r="C807" i="14"/>
  <c r="C854" i="14"/>
  <c r="C828" i="14"/>
  <c r="C842" i="14"/>
  <c r="C829" i="14"/>
  <c r="C772" i="14"/>
  <c r="C928" i="14"/>
  <c r="C902" i="14"/>
  <c r="C975" i="14"/>
  <c r="C908" i="14"/>
  <c r="C981" i="14"/>
  <c r="C986" i="14"/>
  <c r="C858" i="14"/>
  <c r="C931" i="14"/>
  <c r="C792" i="14"/>
  <c r="C781" i="14"/>
  <c r="C985" i="14"/>
  <c r="C779" i="14"/>
  <c r="C977" i="14"/>
  <c r="C777" i="14"/>
  <c r="C759" i="14"/>
  <c r="C969" i="14"/>
  <c r="C933" i="14"/>
  <c r="C765" i="14"/>
  <c r="C825" i="14"/>
  <c r="C990" i="14"/>
  <c r="C862" i="14"/>
  <c r="C935" i="14"/>
  <c r="C868" i="14"/>
  <c r="C941" i="14"/>
  <c r="C946" i="14"/>
  <c r="C818" i="14"/>
  <c r="C891" i="14"/>
  <c r="C881" i="14"/>
  <c r="C782" i="14"/>
  <c r="C879" i="14"/>
  <c r="C780" i="14"/>
  <c r="C873" i="14"/>
  <c r="C778" i="14"/>
  <c r="C776" i="14"/>
  <c r="C784" i="14"/>
  <c r="C822" i="14"/>
  <c r="C796" i="14"/>
  <c r="C810" i="14"/>
  <c r="C797" i="14"/>
  <c r="C968" i="14"/>
  <c r="C815" i="14"/>
  <c r="C974" i="14"/>
  <c r="C846" i="14"/>
  <c r="C980" i="14"/>
  <c r="C852" i="14"/>
  <c r="C925" i="14"/>
  <c r="C930" i="14"/>
  <c r="C802" i="14"/>
  <c r="C875" i="14"/>
  <c r="C853" i="14"/>
  <c r="C766" i="14"/>
  <c r="C851" i="14"/>
  <c r="C764" i="14"/>
  <c r="C849" i="14"/>
  <c r="C762" i="14"/>
  <c r="C800" i="14"/>
  <c r="C864" i="14"/>
  <c r="C991" i="14"/>
  <c r="C965" i="14"/>
  <c r="C979" i="14"/>
  <c r="C774" i="14"/>
  <c r="C921" i="14"/>
  <c r="C839" i="14"/>
  <c r="C870" i="14"/>
  <c r="C943" i="14"/>
  <c r="C876" i="14"/>
  <c r="C949" i="14"/>
  <c r="C954" i="14"/>
  <c r="C826" i="14"/>
  <c r="C899" i="14"/>
  <c r="C897" i="14"/>
  <c r="C790" i="14"/>
  <c r="C895" i="14"/>
  <c r="C788" i="14"/>
  <c r="C889" i="14"/>
  <c r="C786" i="14"/>
  <c r="C799" i="14"/>
  <c r="C775" i="14"/>
  <c r="C874" i="14"/>
  <c r="C927" i="14"/>
  <c r="C770" i="14"/>
  <c r="C958" i="14"/>
  <c r="C830" i="14"/>
  <c r="C964" i="14"/>
  <c r="C836" i="14"/>
  <c r="C909" i="14"/>
  <c r="C914" i="14"/>
  <c r="C987" i="14"/>
  <c r="C859" i="14"/>
  <c r="C837" i="14"/>
  <c r="C750" i="14"/>
  <c r="C835" i="14"/>
  <c r="D203" i="13"/>
  <c r="C833" i="14"/>
  <c r="F156" i="13"/>
  <c r="E203" i="13" s="1"/>
  <c r="C847" i="14"/>
  <c r="AI10" i="14"/>
  <c r="C988" i="14"/>
  <c r="C901" i="14"/>
  <c r="C915" i="14"/>
  <c r="C976" i="14"/>
  <c r="C857" i="14"/>
  <c r="C752" i="14"/>
  <c r="C942" i="14"/>
  <c r="C814" i="14"/>
  <c r="C948" i="14"/>
  <c r="C820" i="14"/>
  <c r="C893" i="14"/>
  <c r="C898" i="14"/>
  <c r="C971" i="14"/>
  <c r="C952" i="14"/>
  <c r="C821" i="14"/>
  <c r="C944" i="14"/>
  <c r="C819" i="14"/>
  <c r="C936" i="14"/>
  <c r="C817" i="14"/>
  <c r="C832" i="14"/>
  <c r="C783" i="14"/>
  <c r="C982" i="14"/>
  <c r="C956" i="14"/>
  <c r="C869" i="14"/>
  <c r="C883" i="14"/>
  <c r="C848" i="14"/>
  <c r="C793" i="14"/>
  <c r="C966" i="14"/>
  <c r="C838" i="14"/>
  <c r="C972" i="14"/>
  <c r="C844" i="14"/>
  <c r="C917" i="14"/>
  <c r="C922" i="14"/>
  <c r="C794" i="14"/>
  <c r="C867" i="14"/>
  <c r="C845" i="14"/>
  <c r="C758" i="14"/>
  <c r="C843" i="14"/>
  <c r="C756" i="14"/>
  <c r="C841" i="14"/>
  <c r="C754" i="14"/>
  <c r="C903" i="14"/>
  <c r="C767" i="14"/>
  <c r="C947" i="14"/>
  <c r="C763" i="14"/>
  <c r="C937" i="14"/>
  <c r="C926" i="14"/>
  <c r="C798" i="14"/>
  <c r="C932" i="14"/>
  <c r="C804" i="14"/>
  <c r="C877" i="14"/>
  <c r="C882" i="14"/>
  <c r="C955" i="14"/>
  <c r="C888" i="14"/>
  <c r="C805" i="14"/>
  <c r="C880" i="14"/>
  <c r="C803" i="14"/>
  <c r="C872" i="14"/>
  <c r="C801" i="14"/>
  <c r="C855" i="14"/>
  <c r="C760" i="14"/>
  <c r="C950" i="14"/>
  <c r="C924" i="14"/>
  <c r="C970" i="14"/>
  <c r="C984" i="14"/>
  <c r="C863" i="14"/>
  <c r="C761" i="14"/>
  <c r="D107" i="13"/>
  <c r="C140" i="13"/>
  <c r="C160" i="13" s="1"/>
  <c r="AI34" i="14" s="1"/>
  <c r="AC54" i="14"/>
  <c r="C2316" i="14" l="1"/>
  <c r="C2288" i="14"/>
  <c r="C2398" i="14"/>
  <c r="C2344" i="14"/>
  <c r="P2344" i="14" s="1"/>
  <c r="C2434" i="14"/>
  <c r="C2414" i="14"/>
  <c r="C2270" i="14"/>
  <c r="C2477" i="14"/>
  <c r="D2477" i="14" s="1"/>
  <c r="C2354" i="14"/>
  <c r="C2412" i="14"/>
  <c r="D209" i="13"/>
  <c r="C2348" i="14"/>
  <c r="D2348" i="14" s="1"/>
  <c r="C2254" i="14"/>
  <c r="C2305" i="14"/>
  <c r="C2407" i="14"/>
  <c r="C2478" i="14"/>
  <c r="D2478" i="14" s="1"/>
  <c r="C2433" i="14"/>
  <c r="C2461" i="14"/>
  <c r="C2335" i="14"/>
  <c r="C2337" i="14"/>
  <c r="P2337" i="14" s="1"/>
  <c r="C2300" i="14"/>
  <c r="C2319" i="14"/>
  <c r="C2311" i="14"/>
  <c r="C2257" i="14"/>
  <c r="D2257" i="14" s="1"/>
  <c r="C2456" i="14"/>
  <c r="C2333" i="14"/>
  <c r="C2388" i="14"/>
  <c r="C2255" i="14"/>
  <c r="D2255" i="14" s="1"/>
  <c r="C2443" i="14"/>
  <c r="C2418" i="14"/>
  <c r="C2263" i="14"/>
  <c r="C2453" i="14"/>
  <c r="P2453" i="14" s="1"/>
  <c r="C2285" i="14"/>
  <c r="C2240" i="14"/>
  <c r="C2286" i="14"/>
  <c r="C2383" i="14"/>
  <c r="D2383" i="14" s="1"/>
  <c r="C2405" i="14"/>
  <c r="C2345" i="14"/>
  <c r="C2465" i="14"/>
  <c r="C2329" i="14"/>
  <c r="P2329" i="14" s="1"/>
  <c r="C2260" i="14"/>
  <c r="C2410" i="14"/>
  <c r="C2249" i="14"/>
  <c r="C2469" i="14"/>
  <c r="D2469" i="14" s="1"/>
  <c r="C2330" i="14"/>
  <c r="C2366" i="14"/>
  <c r="C2334" i="14"/>
  <c r="C2308" i="14"/>
  <c r="P2308" i="14" s="1"/>
  <c r="C2267" i="14"/>
  <c r="C2468" i="14"/>
  <c r="C2454" i="14"/>
  <c r="C2431" i="14"/>
  <c r="P2431" i="14" s="1"/>
  <c r="C2361" i="14"/>
  <c r="C2271" i="14"/>
  <c r="C2317" i="14"/>
  <c r="C2272" i="14"/>
  <c r="D2272" i="14" s="1"/>
  <c r="C2318" i="14"/>
  <c r="C79" i="5"/>
  <c r="E79" i="5" s="1"/>
  <c r="D15" i="5"/>
  <c r="H232" i="2"/>
  <c r="I232" i="2"/>
  <c r="I250" i="2"/>
  <c r="H250" i="2"/>
  <c r="G80" i="5"/>
  <c r="E16" i="5"/>
  <c r="D250" i="2"/>
  <c r="H231" i="2"/>
  <c r="I231" i="2"/>
  <c r="G14" i="5"/>
  <c r="G15" i="5"/>
  <c r="AG153" i="2"/>
  <c r="F109" i="12"/>
  <c r="C93" i="5"/>
  <c r="I248" i="2"/>
  <c r="H248" i="2"/>
  <c r="G79" i="5"/>
  <c r="G78" i="5"/>
  <c r="G248" i="2" s="1"/>
  <c r="J248" i="2"/>
  <c r="D262" i="2"/>
  <c r="P248" i="2"/>
  <c r="E14" i="5"/>
  <c r="D248" i="2"/>
  <c r="C248" i="2" s="1"/>
  <c r="H233" i="2"/>
  <c r="I233" i="2"/>
  <c r="G16" i="5"/>
  <c r="I249" i="2"/>
  <c r="H249" i="2"/>
  <c r="C2397" i="14"/>
  <c r="P2397" i="14" s="1"/>
  <c r="C2314" i="14"/>
  <c r="P2314" i="14" s="1"/>
  <c r="C2401" i="14"/>
  <c r="C2367" i="14"/>
  <c r="D2367" i="14" s="1"/>
  <c r="C2476" i="14"/>
  <c r="P2476" i="14" s="1"/>
  <c r="C2360" i="14"/>
  <c r="P2360" i="14" s="1"/>
  <c r="C2328" i="14"/>
  <c r="C2313" i="14"/>
  <c r="P2313" i="14" s="1"/>
  <c r="C2470" i="14"/>
  <c r="D2470" i="14" s="1"/>
  <c r="C2365" i="14"/>
  <c r="D2365" i="14" s="1"/>
  <c r="C2282" i="14"/>
  <c r="C2349" i="14"/>
  <c r="P2349" i="14" s="1"/>
  <c r="C2297" i="14"/>
  <c r="P2297" i="14" s="1"/>
  <c r="C2457" i="14"/>
  <c r="P2457" i="14" s="1"/>
  <c r="C2327" i="14"/>
  <c r="C2296" i="14"/>
  <c r="D2296" i="14" s="1"/>
  <c r="C2292" i="14"/>
  <c r="P2292" i="14" s="1"/>
  <c r="C2451" i="14"/>
  <c r="P2451" i="14" s="1"/>
  <c r="C2463" i="14"/>
  <c r="C2250" i="14"/>
  <c r="P2250" i="14" s="1"/>
  <c r="C2380" i="14"/>
  <c r="D2380" i="14" s="1"/>
  <c r="C2276" i="14"/>
  <c r="D2276" i="14" s="1"/>
  <c r="C2425" i="14"/>
  <c r="C2295" i="14"/>
  <c r="D2295" i="14" s="1"/>
  <c r="C2264" i="14"/>
  <c r="P2264" i="14" s="1"/>
  <c r="C2402" i="14"/>
  <c r="D2402" i="14" s="1"/>
  <c r="C2419" i="14"/>
  <c r="C2363" i="14"/>
  <c r="P2363" i="14" s="1"/>
  <c r="C2358" i="14"/>
  <c r="D2358" i="14" s="1"/>
  <c r="C2326" i="14"/>
  <c r="P2326" i="14" s="1"/>
  <c r="C2411" i="14"/>
  <c r="C2455" i="14"/>
  <c r="D2455" i="14" s="1"/>
  <c r="C2242" i="14"/>
  <c r="P2242" i="14" s="1"/>
  <c r="C2372" i="14"/>
  <c r="D2372" i="14" s="1"/>
  <c r="C2244" i="14"/>
  <c r="D2244" i="14" s="1"/>
  <c r="C2391" i="14"/>
  <c r="P2391" i="14" s="1"/>
  <c r="C2357" i="14"/>
  <c r="P2357" i="14" s="1"/>
  <c r="C2353" i="14"/>
  <c r="P2353" i="14" s="1"/>
  <c r="C2277" i="14"/>
  <c r="P2277" i="14" s="1"/>
  <c r="C2246" i="14"/>
  <c r="P2246" i="14" s="1"/>
  <c r="C2436" i="14"/>
  <c r="D2436" i="14" s="1"/>
  <c r="C2440" i="14"/>
  <c r="P2440" i="14" s="1"/>
  <c r="C2291" i="14"/>
  <c r="C2446" i="14"/>
  <c r="D2446" i="14" s="1"/>
  <c r="AI16" i="14"/>
  <c r="AL16" i="14" s="1"/>
  <c r="C2364" i="14"/>
  <c r="D2364" i="14" s="1"/>
  <c r="C2441" i="14"/>
  <c r="C2302" i="14"/>
  <c r="P2302" i="14" s="1"/>
  <c r="C2379" i="14"/>
  <c r="P2379" i="14" s="1"/>
  <c r="C2301" i="14"/>
  <c r="D2301" i="14" s="1"/>
  <c r="C2429" i="14"/>
  <c r="D2429" i="14" s="1"/>
  <c r="C2341" i="14"/>
  <c r="P2341" i="14" s="1"/>
  <c r="C2310" i="14"/>
  <c r="D2310" i="14" s="1"/>
  <c r="C2438" i="14"/>
  <c r="P2438" i="14" s="1"/>
  <c r="C2343" i="14"/>
  <c r="D2343" i="14" s="1"/>
  <c r="C2280" i="14"/>
  <c r="P2280" i="14" s="1"/>
  <c r="C2381" i="14"/>
  <c r="P2381" i="14" s="1"/>
  <c r="C2298" i="14"/>
  <c r="P2298" i="14" s="1"/>
  <c r="C2299" i="14"/>
  <c r="P2299" i="14" s="1"/>
  <c r="C2471" i="14"/>
  <c r="P2471" i="14" s="1"/>
  <c r="C2432" i="14"/>
  <c r="P2432" i="14" s="1"/>
  <c r="C2442" i="14"/>
  <c r="D2442" i="14" s="1"/>
  <c r="C2294" i="14"/>
  <c r="C2409" i="14"/>
  <c r="P2409" i="14" s="1"/>
  <c r="C2421" i="14"/>
  <c r="D2421" i="14" s="1"/>
  <c r="C2339" i="14"/>
  <c r="D2339" i="14" s="1"/>
  <c r="C2467" i="14"/>
  <c r="C2293" i="14"/>
  <c r="P2293" i="14" s="1"/>
  <c r="C2373" i="14"/>
  <c r="P2373" i="14" s="1"/>
  <c r="C2408" i="14"/>
  <c r="P2408" i="14" s="1"/>
  <c r="C2321" i="14"/>
  <c r="C2400" i="14"/>
  <c r="P2400" i="14" s="1"/>
  <c r="C2261" i="14"/>
  <c r="P2261" i="14" s="1"/>
  <c r="C2439" i="14"/>
  <c r="P2439" i="14" s="1"/>
  <c r="C2351" i="14"/>
  <c r="C2268" i="14"/>
  <c r="P2268" i="14" s="1"/>
  <c r="C2239" i="14"/>
  <c r="D2239" i="14" s="1"/>
  <c r="C2284" i="14"/>
  <c r="D2284" i="14" s="1"/>
  <c r="C2253" i="14"/>
  <c r="C2376" i="14"/>
  <c r="P2376" i="14" s="1"/>
  <c r="C2479" i="14"/>
  <c r="P2479" i="14" s="1"/>
  <c r="C2396" i="14"/>
  <c r="D2396" i="14" s="1"/>
  <c r="C2340" i="14"/>
  <c r="F162" i="13"/>
  <c r="E209" i="13" s="1"/>
  <c r="C2245" i="14"/>
  <c r="P2245" i="14" s="1"/>
  <c r="C2460" i="14"/>
  <c r="P2460" i="14" s="1"/>
  <c r="C2424" i="14"/>
  <c r="C2315" i="14"/>
  <c r="P2315" i="14" s="1"/>
  <c r="C2416" i="14"/>
  <c r="P2416" i="14" s="1"/>
  <c r="C2422" i="14"/>
  <c r="P2422" i="14" s="1"/>
  <c r="C2338" i="14"/>
  <c r="C2450" i="14"/>
  <c r="D2450" i="14" s="1"/>
  <c r="C2252" i="14"/>
  <c r="P2252" i="14" s="1"/>
  <c r="C2449" i="14"/>
  <c r="D2449" i="14" s="1"/>
  <c r="C2428" i="14"/>
  <c r="C2359" i="14"/>
  <c r="P2359" i="14" s="1"/>
  <c r="C2283" i="14"/>
  <c r="P2283" i="14" s="1"/>
  <c r="C2289" i="14"/>
  <c r="P2289" i="14" s="1"/>
  <c r="C2389" i="14"/>
  <c r="C2306" i="14"/>
  <c r="D2306" i="14" s="1"/>
  <c r="C2385" i="14"/>
  <c r="P2385" i="14" s="1"/>
  <c r="C2394" i="14"/>
  <c r="D2394" i="14" s="1"/>
  <c r="C2417" i="14"/>
  <c r="C2395" i="14"/>
  <c r="D2395" i="14" s="1"/>
  <c r="C2390" i="14"/>
  <c r="P2390" i="14" s="1"/>
  <c r="C2251" i="14"/>
  <c r="P2251" i="14" s="1"/>
  <c r="C2475" i="14"/>
  <c r="C2474" i="14"/>
  <c r="D2474" i="14" s="1"/>
  <c r="C2274" i="14"/>
  <c r="D2274" i="14" s="1"/>
  <c r="C2404" i="14"/>
  <c r="D2404" i="14" s="1"/>
  <c r="C2265" i="14"/>
  <c r="C2464" i="14"/>
  <c r="D2464" i="14" s="1"/>
  <c r="C2368" i="14"/>
  <c r="P2368" i="14" s="1"/>
  <c r="C2336" i="14"/>
  <c r="D2336" i="14" s="1"/>
  <c r="C2346" i="14"/>
  <c r="C2371" i="14"/>
  <c r="D2371" i="14" s="1"/>
  <c r="C2387" i="14"/>
  <c r="D2387" i="14" s="1"/>
  <c r="C2382" i="14"/>
  <c r="P2382" i="14" s="1"/>
  <c r="C2243" i="14"/>
  <c r="C2473" i="14"/>
  <c r="D2473" i="14" s="1"/>
  <c r="C2362" i="14"/>
  <c r="P2362" i="14" s="1"/>
  <c r="C2269" i="14"/>
  <c r="P2269" i="14" s="1"/>
  <c r="C2287" i="14"/>
  <c r="C2256" i="14"/>
  <c r="D2256" i="14" s="1"/>
  <c r="C2370" i="14"/>
  <c r="D2370" i="14" s="1"/>
  <c r="C2472" i="14"/>
  <c r="D2472" i="14" s="1"/>
  <c r="C2323" i="14"/>
  <c r="C2355" i="14"/>
  <c r="D2355" i="14" s="1"/>
  <c r="C2447" i="14"/>
  <c r="P2447" i="14" s="1"/>
  <c r="C2374" i="14"/>
  <c r="P2374" i="14" s="1"/>
  <c r="C2342" i="14"/>
  <c r="C2403" i="14"/>
  <c r="D2403" i="14" s="1"/>
  <c r="C2258" i="14"/>
  <c r="D2258" i="14" s="1"/>
  <c r="C2241" i="14"/>
  <c r="D2241" i="14" s="1"/>
  <c r="C2279" i="14"/>
  <c r="C2352" i="14"/>
  <c r="D2352" i="14" s="1"/>
  <c r="C2320" i="14"/>
  <c r="P2320" i="14" s="1"/>
  <c r="C2281" i="14"/>
  <c r="P2281" i="14" s="1"/>
  <c r="C2393" i="14"/>
  <c r="C2312" i="14"/>
  <c r="D2312" i="14" s="1"/>
  <c r="C2448" i="14"/>
  <c r="D2448" i="14" s="1"/>
  <c r="C2444" i="14"/>
  <c r="P2444" i="14" s="1"/>
  <c r="C2309" i="14"/>
  <c r="C2278" i="14"/>
  <c r="P2278" i="14" s="1"/>
  <c r="C2247" i="14"/>
  <c r="P2247" i="14" s="1"/>
  <c r="C2290" i="14"/>
  <c r="D2290" i="14" s="1"/>
  <c r="C2325" i="14"/>
  <c r="C2423" i="14"/>
  <c r="P2423" i="14" s="1"/>
  <c r="C2386" i="14"/>
  <c r="P2386" i="14" s="1"/>
  <c r="C2377" i="14"/>
  <c r="P2377" i="14" s="1"/>
  <c r="C2262" i="14"/>
  <c r="C2452" i="14"/>
  <c r="D2452" i="14" s="1"/>
  <c r="C2307" i="14"/>
  <c r="P2307" i="14" s="1"/>
  <c r="C2435" i="14"/>
  <c r="D2435" i="14" s="1"/>
  <c r="C2466" i="14"/>
  <c r="C2420" i="14"/>
  <c r="D2420" i="14" s="1"/>
  <c r="C2275" i="14"/>
  <c r="D2275" i="14" s="1"/>
  <c r="C2430" i="14"/>
  <c r="P2430" i="14" s="1"/>
  <c r="C2413" i="14"/>
  <c r="C2427" i="14"/>
  <c r="D2427" i="14" s="1"/>
  <c r="C2392" i="14"/>
  <c r="P2392" i="14" s="1"/>
  <c r="C2399" i="14"/>
  <c r="D2399" i="14" s="1"/>
  <c r="C2445" i="14"/>
  <c r="C2266" i="14"/>
  <c r="P2266" i="14" s="1"/>
  <c r="C2356" i="14"/>
  <c r="D2356" i="14" s="1"/>
  <c r="C2248" i="14"/>
  <c r="D2248" i="14" s="1"/>
  <c r="C2384" i="14"/>
  <c r="C2347" i="14"/>
  <c r="D2347" i="14" s="1"/>
  <c r="C204" i="14"/>
  <c r="P204" i="14" s="1"/>
  <c r="C1561" i="14"/>
  <c r="P1561" i="14" s="1"/>
  <c r="C1669" i="14"/>
  <c r="F159" i="13"/>
  <c r="E206" i="13" s="1"/>
  <c r="C163" i="14"/>
  <c r="P163" i="14" s="1"/>
  <c r="C30" i="14"/>
  <c r="D30" i="14" s="1"/>
  <c r="C132" i="14"/>
  <c r="D132" i="14" s="1"/>
  <c r="C13" i="14"/>
  <c r="D13" i="14" s="1"/>
  <c r="F153" i="13"/>
  <c r="E200" i="13" s="1"/>
  <c r="C127" i="14"/>
  <c r="D127" i="14" s="1"/>
  <c r="C199" i="14"/>
  <c r="D199" i="14" s="1"/>
  <c r="C192" i="14"/>
  <c r="P192" i="14" s="1"/>
  <c r="C85" i="14"/>
  <c r="D85" i="14" s="1"/>
  <c r="C198" i="14"/>
  <c r="D198" i="14" s="1"/>
  <c r="C177" i="14"/>
  <c r="D177" i="14" s="1"/>
  <c r="C117" i="14"/>
  <c r="P117" i="14" s="1"/>
  <c r="C182" i="14"/>
  <c r="D182" i="14" s="1"/>
  <c r="C129" i="14"/>
  <c r="D129" i="14" s="1"/>
  <c r="C7" i="14"/>
  <c r="D7" i="14" s="1"/>
  <c r="C53" i="14"/>
  <c r="P53" i="14" s="1"/>
  <c r="C157" i="14"/>
  <c r="D157" i="14" s="1"/>
  <c r="C238" i="14"/>
  <c r="P238" i="14" s="1"/>
  <c r="C46" i="14"/>
  <c r="P46" i="14" s="1"/>
  <c r="C151" i="14"/>
  <c r="P151" i="14" s="1"/>
  <c r="C65" i="14"/>
  <c r="D65" i="14" s="1"/>
  <c r="C169" i="14"/>
  <c r="P169" i="14" s="1"/>
  <c r="C156" i="14"/>
  <c r="P156" i="14" s="1"/>
  <c r="C19" i="14"/>
  <c r="D19" i="14" s="1"/>
  <c r="C74" i="14"/>
  <c r="P74" i="14" s="1"/>
  <c r="C106" i="14"/>
  <c r="D106" i="14" s="1"/>
  <c r="C20" i="14"/>
  <c r="P20" i="14" s="1"/>
  <c r="C88" i="14"/>
  <c r="P88" i="14" s="1"/>
  <c r="C202" i="14"/>
  <c r="D202" i="14" s="1"/>
  <c r="C59" i="14"/>
  <c r="D59" i="14" s="1"/>
  <c r="C175" i="14"/>
  <c r="D175" i="14" s="1"/>
  <c r="C121" i="14"/>
  <c r="D121" i="14" s="1"/>
  <c r="C209" i="14"/>
  <c r="D209" i="14" s="1"/>
  <c r="C180" i="14"/>
  <c r="P180" i="14" s="1"/>
  <c r="C36" i="14"/>
  <c r="P36" i="14" s="1"/>
  <c r="C138" i="14"/>
  <c r="D138" i="14" s="1"/>
  <c r="C146" i="14"/>
  <c r="P146" i="14" s="1"/>
  <c r="C125" i="14"/>
  <c r="P125" i="14" s="1"/>
  <c r="C144" i="14"/>
  <c r="P144" i="14" s="1"/>
  <c r="C18" i="14"/>
  <c r="P18" i="14" s="1"/>
  <c r="C115" i="14"/>
  <c r="P115" i="14" s="1"/>
  <c r="C86" i="14"/>
  <c r="P86" i="14" s="1"/>
  <c r="C216" i="14"/>
  <c r="D216" i="14" s="1"/>
  <c r="C189" i="14"/>
  <c r="P189" i="14" s="1"/>
  <c r="C187" i="14"/>
  <c r="P187" i="14" s="1"/>
  <c r="C64" i="14"/>
  <c r="P64" i="14" s="1"/>
  <c r="C170" i="14"/>
  <c r="D170" i="14" s="1"/>
  <c r="C47" i="14"/>
  <c r="P47" i="14" s="1"/>
  <c r="C181" i="14"/>
  <c r="P181" i="14" s="1"/>
  <c r="C168" i="14"/>
  <c r="P168" i="14" s="1"/>
  <c r="C56" i="14"/>
  <c r="P56" i="14" s="1"/>
  <c r="C139" i="14"/>
  <c r="D139" i="14" s="1"/>
  <c r="C230" i="14"/>
  <c r="P230" i="14" s="1"/>
  <c r="C45" i="14"/>
  <c r="P45" i="14" s="1"/>
  <c r="C118" i="14"/>
  <c r="D118" i="14" s="1"/>
  <c r="C243" i="14"/>
  <c r="D243" i="14" s="1"/>
  <c r="C71" i="14"/>
  <c r="P71" i="14" s="1"/>
  <c r="C245" i="14"/>
  <c r="D245" i="14" s="1"/>
  <c r="C26" i="14"/>
  <c r="P26" i="14" s="1"/>
  <c r="C76" i="14"/>
  <c r="P76" i="14" s="1"/>
  <c r="C110" i="14"/>
  <c r="P110" i="14" s="1"/>
  <c r="C79" i="14"/>
  <c r="P79" i="14" s="1"/>
  <c r="C207" i="14"/>
  <c r="P207" i="14" s="1"/>
  <c r="C96" i="14"/>
  <c r="D96" i="14" s="1"/>
  <c r="C224" i="14"/>
  <c r="D224" i="14" s="1"/>
  <c r="C31" i="14"/>
  <c r="D31" i="14" s="1"/>
  <c r="C201" i="14"/>
  <c r="P201" i="14" s="1"/>
  <c r="C210" i="14"/>
  <c r="P210" i="14" s="1"/>
  <c r="C213" i="14"/>
  <c r="P213" i="14" s="1"/>
  <c r="C54" i="14"/>
  <c r="P54" i="14" s="1"/>
  <c r="C29" i="14"/>
  <c r="P29" i="14" s="1"/>
  <c r="C67" i="14"/>
  <c r="P67" i="14" s="1"/>
  <c r="C195" i="14"/>
  <c r="D195" i="14" s="1"/>
  <c r="C84" i="14"/>
  <c r="D84" i="14" s="1"/>
  <c r="C212" i="14"/>
  <c r="D212" i="14" s="1"/>
  <c r="C35" i="14"/>
  <c r="D35" i="14" s="1"/>
  <c r="C57" i="14"/>
  <c r="P57" i="14" s="1"/>
  <c r="C183" i="14"/>
  <c r="D183" i="14" s="1"/>
  <c r="C72" i="14"/>
  <c r="D72" i="14" s="1"/>
  <c r="C200" i="14"/>
  <c r="P200" i="14" s="1"/>
  <c r="C197" i="14"/>
  <c r="P197" i="14" s="1"/>
  <c r="C145" i="14"/>
  <c r="P145" i="14" s="1"/>
  <c r="C186" i="14"/>
  <c r="P186" i="14" s="1"/>
  <c r="C149" i="14"/>
  <c r="P149" i="14" s="1"/>
  <c r="C22" i="14"/>
  <c r="P22" i="14" s="1"/>
  <c r="C217" i="14"/>
  <c r="P217" i="14" s="1"/>
  <c r="C51" i="14"/>
  <c r="P51" i="14" s="1"/>
  <c r="C171" i="14"/>
  <c r="D171" i="14" s="1"/>
  <c r="C60" i="14"/>
  <c r="D60" i="14" s="1"/>
  <c r="C188" i="14"/>
  <c r="P188" i="14" s="1"/>
  <c r="C205" i="14"/>
  <c r="D205" i="14" s="1"/>
  <c r="C14" i="14"/>
  <c r="P14" i="14" s="1"/>
  <c r="C159" i="14"/>
  <c r="D159" i="14" s="1"/>
  <c r="C42" i="14"/>
  <c r="P42" i="14" s="1"/>
  <c r="C176" i="14"/>
  <c r="P176" i="14" s="1"/>
  <c r="C109" i="14"/>
  <c r="P109" i="14" s="1"/>
  <c r="C81" i="14"/>
  <c r="P81" i="14" s="1"/>
  <c r="C154" i="14"/>
  <c r="P154" i="14" s="1"/>
  <c r="C69" i="14"/>
  <c r="P69" i="14" s="1"/>
  <c r="C206" i="14"/>
  <c r="D206" i="14" s="1"/>
  <c r="C185" i="14"/>
  <c r="P185" i="14" s="1"/>
  <c r="C178" i="14"/>
  <c r="P178" i="14" s="1"/>
  <c r="C147" i="14"/>
  <c r="D147" i="14" s="1"/>
  <c r="C34" i="14"/>
  <c r="P34" i="14" s="1"/>
  <c r="C164" i="14"/>
  <c r="D164" i="14" s="1"/>
  <c r="C52" i="14"/>
  <c r="P52" i="14" s="1"/>
  <c r="C174" i="14"/>
  <c r="P174" i="14" s="1"/>
  <c r="C103" i="14"/>
  <c r="P103" i="14" s="1"/>
  <c r="C231" i="14"/>
  <c r="D231" i="14" s="1"/>
  <c r="C120" i="14"/>
  <c r="P120" i="14" s="1"/>
  <c r="D200" i="13"/>
  <c r="C102" i="14"/>
  <c r="D102" i="14" s="1"/>
  <c r="C21" i="14"/>
  <c r="P21" i="14" s="1"/>
  <c r="C234" i="14"/>
  <c r="P234" i="14" s="1"/>
  <c r="C40" i="14"/>
  <c r="P40" i="14" s="1"/>
  <c r="C89" i="14"/>
  <c r="P89" i="14" s="1"/>
  <c r="C66" i="14"/>
  <c r="P66" i="14" s="1"/>
  <c r="C91" i="14"/>
  <c r="P91" i="14" s="1"/>
  <c r="C219" i="14"/>
  <c r="D219" i="14" s="1"/>
  <c r="C108" i="14"/>
  <c r="P108" i="14" s="1"/>
  <c r="C236" i="14"/>
  <c r="P236" i="14" s="1"/>
  <c r="C77" i="14"/>
  <c r="P77" i="14" s="1"/>
  <c r="C190" i="14"/>
  <c r="D190" i="14" s="1"/>
  <c r="C111" i="14"/>
  <c r="D111" i="14" s="1"/>
  <c r="C239" i="14"/>
  <c r="P239" i="14" s="1"/>
  <c r="C128" i="14"/>
  <c r="P128" i="14" s="1"/>
  <c r="C17" i="14"/>
  <c r="D17" i="14" s="1"/>
  <c r="C126" i="14"/>
  <c r="P126" i="14" s="1"/>
  <c r="C37" i="14"/>
  <c r="D37" i="14" s="1"/>
  <c r="C242" i="14"/>
  <c r="D242" i="14" s="1"/>
  <c r="C70" i="14"/>
  <c r="D70" i="14" s="1"/>
  <c r="C97" i="14"/>
  <c r="D97" i="14" s="1"/>
  <c r="C82" i="14"/>
  <c r="D82" i="14" s="1"/>
  <c r="C99" i="14"/>
  <c r="P99" i="14" s="1"/>
  <c r="C227" i="14"/>
  <c r="P227" i="14" s="1"/>
  <c r="C116" i="14"/>
  <c r="P116" i="14" s="1"/>
  <c r="C244" i="14"/>
  <c r="D244" i="14" s="1"/>
  <c r="C134" i="14"/>
  <c r="D134" i="14" s="1"/>
  <c r="C87" i="14"/>
  <c r="P87" i="14" s="1"/>
  <c r="C215" i="14"/>
  <c r="P215" i="14" s="1"/>
  <c r="C104" i="14"/>
  <c r="P104" i="14" s="1"/>
  <c r="C232" i="14"/>
  <c r="P232" i="14" s="1"/>
  <c r="C8" i="14"/>
  <c r="P8" i="14" s="1"/>
  <c r="C225" i="14"/>
  <c r="D225" i="14" s="1"/>
  <c r="C218" i="14"/>
  <c r="D218" i="14" s="1"/>
  <c r="C237" i="14"/>
  <c r="D237" i="14" s="1"/>
  <c r="C58" i="14"/>
  <c r="D58" i="14" s="1"/>
  <c r="C33" i="14"/>
  <c r="D33" i="14" s="1"/>
  <c r="C75" i="14"/>
  <c r="D75" i="14" s="1"/>
  <c r="C203" i="14"/>
  <c r="D203" i="14" s="1"/>
  <c r="C92" i="14"/>
  <c r="D92" i="14" s="1"/>
  <c r="C220" i="14"/>
  <c r="D220" i="14" s="1"/>
  <c r="C62" i="14"/>
  <c r="D62" i="14" s="1"/>
  <c r="C63" i="14"/>
  <c r="D63" i="14" s="1"/>
  <c r="C191" i="14"/>
  <c r="D191" i="14" s="1"/>
  <c r="C80" i="14"/>
  <c r="P80" i="14" s="1"/>
  <c r="C208" i="14"/>
  <c r="P208" i="14" s="1"/>
  <c r="C221" i="14"/>
  <c r="D221" i="14" s="1"/>
  <c r="C161" i="14"/>
  <c r="P161" i="14" s="1"/>
  <c r="C194" i="14"/>
  <c r="P194" i="14" s="1"/>
  <c r="C173" i="14"/>
  <c r="D173" i="14" s="1"/>
  <c r="C6" i="14"/>
  <c r="D6" i="14" s="1"/>
  <c r="C233" i="14"/>
  <c r="P233" i="14" s="1"/>
  <c r="C55" i="14"/>
  <c r="D55" i="14" s="1"/>
  <c r="C179" i="14"/>
  <c r="P179" i="14" s="1"/>
  <c r="C68" i="14"/>
  <c r="D68" i="14" s="1"/>
  <c r="C196" i="14"/>
  <c r="D196" i="14" s="1"/>
  <c r="C141" i="14"/>
  <c r="D141" i="14" s="1"/>
  <c r="C246" i="14"/>
  <c r="P246" i="14" s="1"/>
  <c r="C135" i="14"/>
  <c r="P135" i="14" s="1"/>
  <c r="C28" i="14"/>
  <c r="D28" i="14" s="1"/>
  <c r="C152" i="14"/>
  <c r="D152" i="14" s="1"/>
  <c r="C48" i="14"/>
  <c r="P48" i="14" s="1"/>
  <c r="C16" i="14"/>
  <c r="P16" i="14" s="1"/>
  <c r="C98" i="14"/>
  <c r="D98" i="14" s="1"/>
  <c r="C39" i="14"/>
  <c r="D39" i="14" s="1"/>
  <c r="C142" i="14"/>
  <c r="P142" i="14" s="1"/>
  <c r="C137" i="14"/>
  <c r="P137" i="14" s="1"/>
  <c r="C114" i="14"/>
  <c r="D114" i="14" s="1"/>
  <c r="C123" i="14"/>
  <c r="P123" i="14" s="1"/>
  <c r="C9" i="14"/>
  <c r="P9" i="14" s="1"/>
  <c r="C140" i="14"/>
  <c r="P140" i="14" s="1"/>
  <c r="C41" i="14"/>
  <c r="P41" i="14" s="1"/>
  <c r="C139" i="13"/>
  <c r="C159" i="13" s="1"/>
  <c r="AI33" i="14" s="1"/>
  <c r="C165" i="14"/>
  <c r="D165" i="14" s="1"/>
  <c r="C43" i="14"/>
  <c r="D43" i="14" s="1"/>
  <c r="C143" i="14"/>
  <c r="D143" i="14" s="1"/>
  <c r="C32" i="14"/>
  <c r="D32" i="14" s="1"/>
  <c r="C160" i="14"/>
  <c r="D160" i="14" s="1"/>
  <c r="C61" i="14"/>
  <c r="P61" i="14" s="1"/>
  <c r="C50" i="14"/>
  <c r="P50" i="14" s="1"/>
  <c r="C122" i="14"/>
  <c r="P122" i="14" s="1"/>
  <c r="C10" i="14"/>
  <c r="P10" i="14" s="1"/>
  <c r="C166" i="14"/>
  <c r="D166" i="14" s="1"/>
  <c r="C153" i="14"/>
  <c r="P153" i="14" s="1"/>
  <c r="C130" i="14"/>
  <c r="P130" i="14" s="1"/>
  <c r="C131" i="14"/>
  <c r="D131" i="14" s="1"/>
  <c r="C23" i="14"/>
  <c r="P23" i="14" s="1"/>
  <c r="C148" i="14"/>
  <c r="D148" i="14" s="1"/>
  <c r="C101" i="14"/>
  <c r="D101" i="14" s="1"/>
  <c r="C214" i="14"/>
  <c r="D214" i="14" s="1"/>
  <c r="C119" i="14"/>
  <c r="P119" i="14" s="1"/>
  <c r="C247" i="14"/>
  <c r="D247" i="14" s="1"/>
  <c r="C136" i="14"/>
  <c r="D136" i="14" s="1"/>
  <c r="C24" i="14"/>
  <c r="D24" i="14" s="1"/>
  <c r="C158" i="14"/>
  <c r="D158" i="14" s="1"/>
  <c r="C27" i="14"/>
  <c r="P27" i="14" s="1"/>
  <c r="C11" i="14"/>
  <c r="P11" i="14" s="1"/>
  <c r="C94" i="14"/>
  <c r="P94" i="14" s="1"/>
  <c r="C113" i="14"/>
  <c r="P113" i="14" s="1"/>
  <c r="C90" i="14"/>
  <c r="P90" i="14" s="1"/>
  <c r="C107" i="14"/>
  <c r="P107" i="14" s="1"/>
  <c r="C235" i="14"/>
  <c r="P235" i="14" s="1"/>
  <c r="C124" i="14"/>
  <c r="D124" i="14" s="1"/>
  <c r="C15" i="14"/>
  <c r="D15" i="14" s="1"/>
  <c r="C150" i="14"/>
  <c r="P150" i="14" s="1"/>
  <c r="C95" i="14"/>
  <c r="P95" i="14" s="1"/>
  <c r="C223" i="14"/>
  <c r="D223" i="14" s="1"/>
  <c r="C112" i="14"/>
  <c r="P112" i="14" s="1"/>
  <c r="C240" i="14"/>
  <c r="P240" i="14" s="1"/>
  <c r="C78" i="14"/>
  <c r="D78" i="14" s="1"/>
  <c r="C241" i="14"/>
  <c r="D241" i="14" s="1"/>
  <c r="C226" i="14"/>
  <c r="P226" i="14" s="1"/>
  <c r="C25" i="14"/>
  <c r="P25" i="14" s="1"/>
  <c r="C73" i="14"/>
  <c r="P73" i="14" s="1"/>
  <c r="C44" i="14"/>
  <c r="D44" i="14" s="1"/>
  <c r="C83" i="14"/>
  <c r="D83" i="14" s="1"/>
  <c r="C211" i="14"/>
  <c r="D211" i="14" s="1"/>
  <c r="C100" i="14"/>
  <c r="D100" i="14" s="1"/>
  <c r="C228" i="14"/>
  <c r="P228" i="14" s="1"/>
  <c r="C229" i="14"/>
  <c r="P229" i="14" s="1"/>
  <c r="C49" i="14"/>
  <c r="P49" i="14" s="1"/>
  <c r="C167" i="14"/>
  <c r="P167" i="14" s="1"/>
  <c r="C12" i="14"/>
  <c r="D12" i="14" s="1"/>
  <c r="C184" i="14"/>
  <c r="P184" i="14" s="1"/>
  <c r="C133" i="14"/>
  <c r="P133" i="14" s="1"/>
  <c r="C105" i="14"/>
  <c r="D105" i="14" s="1"/>
  <c r="C162" i="14"/>
  <c r="P162" i="14" s="1"/>
  <c r="C93" i="14"/>
  <c r="D93" i="14" s="1"/>
  <c r="C222" i="14"/>
  <c r="D222" i="14" s="1"/>
  <c r="C193" i="14"/>
  <c r="P193" i="14" s="1"/>
  <c r="AI7" i="14"/>
  <c r="AJ7" i="14" s="1"/>
  <c r="C155" i="14"/>
  <c r="P155" i="14" s="1"/>
  <c r="C38" i="14"/>
  <c r="P38" i="14" s="1"/>
  <c r="C1698" i="14"/>
  <c r="P1698" i="14" s="1"/>
  <c r="C1724" i="14"/>
  <c r="P1724" i="14" s="1"/>
  <c r="C1599" i="14"/>
  <c r="D1599" i="14" s="1"/>
  <c r="C1711" i="14"/>
  <c r="D1711" i="14" s="1"/>
  <c r="C1661" i="14"/>
  <c r="P1661" i="14" s="1"/>
  <c r="C1635" i="14"/>
  <c r="D1635" i="14" s="1"/>
  <c r="C1556" i="14"/>
  <c r="D1556" i="14" s="1"/>
  <c r="C1558" i="14"/>
  <c r="P1558" i="14" s="1"/>
  <c r="C1593" i="14"/>
  <c r="D1593" i="14" s="1"/>
  <c r="C1707" i="14"/>
  <c r="P1707" i="14" s="1"/>
  <c r="C1582" i="14"/>
  <c r="P1582" i="14" s="1"/>
  <c r="C1729" i="14"/>
  <c r="D1729" i="14" s="1"/>
  <c r="C1727" i="14"/>
  <c r="P1727" i="14" s="1"/>
  <c r="C1536" i="14"/>
  <c r="D1536" i="14" s="1"/>
  <c r="C1715" i="14"/>
  <c r="P1715" i="14" s="1"/>
  <c r="C1615" i="14"/>
  <c r="D1615" i="14" s="1"/>
  <c r="C1531" i="14"/>
  <c r="P1531" i="14" s="1"/>
  <c r="C1500" i="14"/>
  <c r="P1500" i="14" s="1"/>
  <c r="C1680" i="14"/>
  <c r="P1680" i="14" s="1"/>
  <c r="C1510" i="14"/>
  <c r="D1510" i="14" s="1"/>
  <c r="C1501" i="14"/>
  <c r="D1501" i="14" s="1"/>
  <c r="C1573" i="14"/>
  <c r="D1573" i="14" s="1"/>
  <c r="C1596" i="14"/>
  <c r="D1596" i="14" s="1"/>
  <c r="C1559" i="14"/>
  <c r="D1559" i="14" s="1"/>
  <c r="C1632" i="14"/>
  <c r="D1632" i="14" s="1"/>
  <c r="C1704" i="14"/>
  <c r="P1704" i="14" s="1"/>
  <c r="C1710" i="14"/>
  <c r="D1710" i="14" s="1"/>
  <c r="C1636" i="14"/>
  <c r="D1636" i="14" s="1"/>
  <c r="C1518" i="14"/>
  <c r="P1518" i="14" s="1"/>
  <c r="C1509" i="14"/>
  <c r="D1509" i="14" s="1"/>
  <c r="C1676" i="14"/>
  <c r="P1676" i="14" s="1"/>
  <c r="C1654" i="14"/>
  <c r="D1654" i="14" s="1"/>
  <c r="C1734" i="14"/>
  <c r="D1734" i="14" s="1"/>
  <c r="C1717" i="14"/>
  <c r="P1717" i="14" s="1"/>
  <c r="C1690" i="14"/>
  <c r="P1690" i="14" s="1"/>
  <c r="C1656" i="14"/>
  <c r="P1656" i="14" s="1"/>
  <c r="C1575" i="14"/>
  <c r="D1575" i="14" s="1"/>
  <c r="C1719" i="14"/>
  <c r="P1719" i="14" s="1"/>
  <c r="C1514" i="14"/>
  <c r="D1514" i="14" s="1"/>
  <c r="C1666" i="14"/>
  <c r="D1666" i="14" s="1"/>
  <c r="C1597" i="14"/>
  <c r="P1597" i="14" s="1"/>
  <c r="C1722" i="14"/>
  <c r="P1722" i="14" s="1"/>
  <c r="C1614" i="14"/>
  <c r="P1614" i="14" s="1"/>
  <c r="C1592" i="14"/>
  <c r="P1592" i="14" s="1"/>
  <c r="C1664" i="14"/>
  <c r="D1664" i="14" s="1"/>
  <c r="C1591" i="14"/>
  <c r="P1591" i="14" s="1"/>
  <c r="C1503" i="14"/>
  <c r="D1503" i="14" s="1"/>
  <c r="C1554" i="14"/>
  <c r="P1554" i="14" s="1"/>
  <c r="C1545" i="14"/>
  <c r="D1545" i="14" s="1"/>
  <c r="C1618" i="14"/>
  <c r="P1618" i="14" s="1"/>
  <c r="C1697" i="14"/>
  <c r="P1697" i="14" s="1"/>
  <c r="C1645" i="14"/>
  <c r="D1645" i="14" s="1"/>
  <c r="C1585" i="14"/>
  <c r="D1585" i="14" s="1"/>
  <c r="C1657" i="14"/>
  <c r="P1657" i="14" s="1"/>
  <c r="C1601" i="14"/>
  <c r="D1601" i="14" s="1"/>
  <c r="C1552" i="14"/>
  <c r="P1552" i="14" s="1"/>
  <c r="C1520" i="14"/>
  <c r="D1520" i="14" s="1"/>
  <c r="C1529" i="14"/>
  <c r="D1529" i="14" s="1"/>
  <c r="C1512" i="14"/>
  <c r="P1512" i="14" s="1"/>
  <c r="C1716" i="14"/>
  <c r="D1716" i="14" s="1"/>
  <c r="C1612" i="14"/>
  <c r="D1612" i="14" s="1"/>
  <c r="C1574" i="14"/>
  <c r="P1574" i="14" s="1"/>
  <c r="C1720" i="14"/>
  <c r="P1720" i="14" s="1"/>
  <c r="C1577" i="14"/>
  <c r="P1577" i="14" s="1"/>
  <c r="C1540" i="14"/>
  <c r="P1540" i="14" s="1"/>
  <c r="C1565" i="14"/>
  <c r="D1565" i="14" s="1"/>
  <c r="C1703" i="14"/>
  <c r="P1703" i="14" s="1"/>
  <c r="C1649" i="14"/>
  <c r="P1649" i="14" s="1"/>
  <c r="C1684" i="14"/>
  <c r="P1684" i="14" s="1"/>
  <c r="C1638" i="14"/>
  <c r="P1638" i="14" s="1"/>
  <c r="C1538" i="14"/>
  <c r="P1538" i="14" s="1"/>
  <c r="C1721" i="14"/>
  <c r="D1721" i="14" s="1"/>
  <c r="C1499" i="14"/>
  <c r="P1499" i="14" s="1"/>
  <c r="C1626" i="14"/>
  <c r="D1626" i="14" s="1"/>
  <c r="C1605" i="14"/>
  <c r="P1605" i="14" s="1"/>
  <c r="C1594" i="14"/>
  <c r="D1594" i="14" s="1"/>
  <c r="C1631" i="14"/>
  <c r="P1631" i="14" s="1"/>
  <c r="C1685" i="14"/>
  <c r="D1685" i="14" s="1"/>
  <c r="C1602" i="14"/>
  <c r="D1602" i="14" s="1"/>
  <c r="C1691" i="14"/>
  <c r="D1691" i="14" s="1"/>
  <c r="C1539" i="14"/>
  <c r="P1539" i="14" s="1"/>
  <c r="C1567" i="14"/>
  <c r="D1567" i="14" s="1"/>
  <c r="C1674" i="14"/>
  <c r="P1674" i="14" s="1"/>
  <c r="C1547" i="14"/>
  <c r="P1547" i="14" s="1"/>
  <c r="C1494" i="14"/>
  <c r="P1494" i="14" s="1"/>
  <c r="C1640" i="14"/>
  <c r="D1640" i="14" s="1"/>
  <c r="C1613" i="14"/>
  <c r="P1613" i="14" s="1"/>
  <c r="C1502" i="14"/>
  <c r="P1502" i="14" s="1"/>
  <c r="C1693" i="14"/>
  <c r="D1693" i="14" s="1"/>
  <c r="C1671" i="14"/>
  <c r="D1671" i="14" s="1"/>
  <c r="C1583" i="14"/>
  <c r="D1583" i="14" s="1"/>
  <c r="C1524" i="14"/>
  <c r="P1524" i="14" s="1"/>
  <c r="C1557" i="14"/>
  <c r="P1557" i="14" s="1"/>
  <c r="C1687" i="14"/>
  <c r="P1687" i="14" s="1"/>
  <c r="C1641" i="14"/>
  <c r="D1641" i="14" s="1"/>
  <c r="C1652" i="14"/>
  <c r="D1652" i="14" s="1"/>
  <c r="C1630" i="14"/>
  <c r="P1630" i="14" s="1"/>
  <c r="C1530" i="14"/>
  <c r="D1530" i="14" s="1"/>
  <c r="C1713" i="14"/>
  <c r="P1713" i="14" s="1"/>
  <c r="C1560" i="14"/>
  <c r="P1560" i="14" s="1"/>
  <c r="C1702" i="14"/>
  <c r="P1702" i="14" s="1"/>
  <c r="C1521" i="14"/>
  <c r="P1521" i="14" s="1"/>
  <c r="C1611" i="14"/>
  <c r="D1611" i="14" s="1"/>
  <c r="C1735" i="14"/>
  <c r="P1735" i="14" s="1"/>
  <c r="C1651" i="14"/>
  <c r="D1651" i="14" s="1"/>
  <c r="C1519" i="14"/>
  <c r="P1519" i="14" s="1"/>
  <c r="C1580" i="14"/>
  <c r="P1580" i="14" s="1"/>
  <c r="C1542" i="14"/>
  <c r="P1542" i="14" s="1"/>
  <c r="C1688" i="14"/>
  <c r="D1688" i="14" s="1"/>
  <c r="C1709" i="14"/>
  <c r="P1709" i="14" s="1"/>
  <c r="C1663" i="14"/>
  <c r="P1663" i="14" s="1"/>
  <c r="C1533" i="14"/>
  <c r="P1533" i="14" s="1"/>
  <c r="C1639" i="14"/>
  <c r="D1639" i="14" s="1"/>
  <c r="C1617" i="14"/>
  <c r="P1617" i="14" s="1"/>
  <c r="C1555" i="14"/>
  <c r="D1555" i="14" s="1"/>
  <c r="C1606" i="14"/>
  <c r="P1606" i="14" s="1"/>
  <c r="C1506" i="14"/>
  <c r="P1506" i="14" s="1"/>
  <c r="C1689" i="14"/>
  <c r="D1689" i="14" s="1"/>
  <c r="C1497" i="14"/>
  <c r="D1497" i="14" s="1"/>
  <c r="C1619" i="14"/>
  <c r="D1619" i="14" s="1"/>
  <c r="C1587" i="14"/>
  <c r="P1587" i="14" s="1"/>
  <c r="C1646" i="14"/>
  <c r="P1646" i="14" s="1"/>
  <c r="C1620" i="14"/>
  <c r="D1620" i="14" s="1"/>
  <c r="C1622" i="14"/>
  <c r="P1622" i="14" s="1"/>
  <c r="C1522" i="14"/>
  <c r="D1522" i="14" s="1"/>
  <c r="C1705" i="14"/>
  <c r="D1705" i="14" s="1"/>
  <c r="C1544" i="14"/>
  <c r="D1544" i="14" s="1"/>
  <c r="C1694" i="14"/>
  <c r="P1694" i="14" s="1"/>
  <c r="C1513" i="14"/>
  <c r="D1513" i="14" s="1"/>
  <c r="C1603" i="14"/>
  <c r="D1603" i="14" s="1"/>
  <c r="C1692" i="14"/>
  <c r="D1692" i="14" s="1"/>
  <c r="C1653" i="14"/>
  <c r="D1653" i="14" s="1"/>
  <c r="C1586" i="14"/>
  <c r="P1586" i="14" s="1"/>
  <c r="C1675" i="14"/>
  <c r="P1675" i="14" s="1"/>
  <c r="C1551" i="14"/>
  <c r="D1551" i="14" s="1"/>
  <c r="C1712" i="14"/>
  <c r="P1712" i="14" s="1"/>
  <c r="C1730" i="14"/>
  <c r="D1730" i="14" s="1"/>
  <c r="C1683" i="14"/>
  <c r="P1683" i="14" s="1"/>
  <c r="C1647" i="14"/>
  <c r="D1647" i="14" s="1"/>
  <c r="C1624" i="14"/>
  <c r="D1624" i="14" s="1"/>
  <c r="C1581" i="14"/>
  <c r="P1581" i="14" s="1"/>
  <c r="C1708" i="14"/>
  <c r="P1708" i="14" s="1"/>
  <c r="C1550" i="14"/>
  <c r="P1550" i="14" s="1"/>
  <c r="C1696" i="14"/>
  <c r="P1696" i="14" s="1"/>
  <c r="C1725" i="14"/>
  <c r="P1725" i="14" s="1"/>
  <c r="AI13" i="14"/>
  <c r="AK13" i="14" s="1"/>
  <c r="C1541" i="14"/>
  <c r="P1541" i="14" s="1"/>
  <c r="C1655" i="14"/>
  <c r="D1655" i="14" s="1"/>
  <c r="C1625" i="14"/>
  <c r="D1625" i="14" s="1"/>
  <c r="C1568" i="14"/>
  <c r="D1568" i="14" s="1"/>
  <c r="C1516" i="14"/>
  <c r="D1516" i="14" s="1"/>
  <c r="C1588" i="14"/>
  <c r="P1588" i="14" s="1"/>
  <c r="C1616" i="14"/>
  <c r="P1616" i="14" s="1"/>
  <c r="C1528" i="14"/>
  <c r="D1528" i="14" s="1"/>
  <c r="C1686" i="14"/>
  <c r="D1686" i="14" s="1"/>
  <c r="C1505" i="14"/>
  <c r="D1505" i="14" s="1"/>
  <c r="C1595" i="14"/>
  <c r="D1595" i="14" s="1"/>
  <c r="C1660" i="14"/>
  <c r="P1660" i="14" s="1"/>
  <c r="C1637" i="14"/>
  <c r="D1637" i="14" s="1"/>
  <c r="C1578" i="14"/>
  <c r="P1578" i="14" s="1"/>
  <c r="C1667" i="14"/>
  <c r="P1667" i="14" s="1"/>
  <c r="C1564" i="14"/>
  <c r="P1564" i="14" s="1"/>
  <c r="C1543" i="14"/>
  <c r="P1543" i="14" s="1"/>
  <c r="C1650" i="14"/>
  <c r="D1650" i="14" s="1"/>
  <c r="C1733" i="14"/>
  <c r="P1733" i="14" s="1"/>
  <c r="C1665" i="14"/>
  <c r="D1665" i="14" s="1"/>
  <c r="C1629" i="14"/>
  <c r="D1629" i="14" s="1"/>
  <c r="C1517" i="14"/>
  <c r="D1517" i="14" s="1"/>
  <c r="C1507" i="14"/>
  <c r="D1507" i="14" s="1"/>
  <c r="C1590" i="14"/>
  <c r="D1590" i="14" s="1"/>
  <c r="D206" i="13"/>
  <c r="C1673" i="14"/>
  <c r="D1673" i="14" s="1"/>
  <c r="C1679" i="14"/>
  <c r="P1679" i="14" s="1"/>
  <c r="C1662" i="14"/>
  <c r="P1662" i="14" s="1"/>
  <c r="C1562" i="14"/>
  <c r="D1562" i="14" s="1"/>
  <c r="C1732" i="14"/>
  <c r="D1732" i="14" s="1"/>
  <c r="C1563" i="14"/>
  <c r="P1563" i="14" s="1"/>
  <c r="C1589" i="14"/>
  <c r="P1589" i="14" s="1"/>
  <c r="C1553" i="14"/>
  <c r="P1553" i="14" s="1"/>
  <c r="C1643" i="14"/>
  <c r="P1643" i="14" s="1"/>
  <c r="C1495" i="14"/>
  <c r="D1495" i="14" s="1"/>
  <c r="C1648" i="14"/>
  <c r="D1648" i="14" s="1"/>
  <c r="C1566" i="14"/>
  <c r="D1566" i="14" s="1"/>
  <c r="C1546" i="14"/>
  <c r="P1546" i="14" s="1"/>
  <c r="C1628" i="14"/>
  <c r="D1628" i="14" s="1"/>
  <c r="C1621" i="14"/>
  <c r="D1621" i="14" s="1"/>
  <c r="C1569" i="14"/>
  <c r="P1569" i="14" s="1"/>
  <c r="C1659" i="14"/>
  <c r="D1659" i="14" s="1"/>
  <c r="C1548" i="14"/>
  <c r="D1548" i="14" s="1"/>
  <c r="C1535" i="14"/>
  <c r="D1535" i="14" s="1"/>
  <c r="C1642" i="14"/>
  <c r="P1642" i="14" s="1"/>
  <c r="C1731" i="14"/>
  <c r="P1731" i="14" s="1"/>
  <c r="C1700" i="14"/>
  <c r="P1700" i="14" s="1"/>
  <c r="C1608" i="14"/>
  <c r="P1608" i="14" s="1"/>
  <c r="C1714" i="14"/>
  <c r="P1714" i="14" s="1"/>
  <c r="C1508" i="14"/>
  <c r="D1508" i="14" s="1"/>
  <c r="C1658" i="14"/>
  <c r="D1658" i="14" s="1"/>
  <c r="C1549" i="14"/>
  <c r="P1549" i="14" s="1"/>
  <c r="C1728" i="14"/>
  <c r="P1728" i="14" s="1"/>
  <c r="C1644" i="14"/>
  <c r="P1644" i="14" s="1"/>
  <c r="C1525" i="14"/>
  <c r="P1525" i="14" s="1"/>
  <c r="C1623" i="14"/>
  <c r="P1623" i="14" s="1"/>
  <c r="C1609" i="14"/>
  <c r="P1609" i="14" s="1"/>
  <c r="C1523" i="14"/>
  <c r="P1523" i="14" s="1"/>
  <c r="C1598" i="14"/>
  <c r="D1598" i="14" s="1"/>
  <c r="C1498" i="14"/>
  <c r="P1498" i="14" s="1"/>
  <c r="C1681" i="14"/>
  <c r="D1681" i="14" s="1"/>
  <c r="C1496" i="14"/>
  <c r="D1496" i="14" s="1"/>
  <c r="C1670" i="14"/>
  <c r="P1670" i="14" s="1"/>
  <c r="C1570" i="14"/>
  <c r="P1570" i="14" s="1"/>
  <c r="C1579" i="14"/>
  <c r="P1579" i="14" s="1"/>
  <c r="C1534" i="14"/>
  <c r="D1534" i="14" s="1"/>
  <c r="C1633" i="14"/>
  <c r="D1633" i="14" s="1"/>
  <c r="C1584" i="14"/>
  <c r="D1584" i="14" s="1"/>
  <c r="C1726" i="14"/>
  <c r="P1726" i="14" s="1"/>
  <c r="C1532" i="14"/>
  <c r="P1532" i="14" s="1"/>
  <c r="C1527" i="14"/>
  <c r="D1527" i="14" s="1"/>
  <c r="C1634" i="14"/>
  <c r="P1634" i="14" s="1"/>
  <c r="C1723" i="14"/>
  <c r="P1723" i="14" s="1"/>
  <c r="C1668" i="14"/>
  <c r="D1668" i="14" s="1"/>
  <c r="C1600" i="14"/>
  <c r="P1600" i="14" s="1"/>
  <c r="C1706" i="14"/>
  <c r="D1706" i="14" s="1"/>
  <c r="C1504" i="14"/>
  <c r="D1504" i="14" s="1"/>
  <c r="C1526" i="14"/>
  <c r="P1526" i="14" s="1"/>
  <c r="C1672" i="14"/>
  <c r="D1672" i="14" s="1"/>
  <c r="C1677" i="14"/>
  <c r="P1677" i="14" s="1"/>
  <c r="C1572" i="14"/>
  <c r="D1572" i="14" s="1"/>
  <c r="C1678" i="14"/>
  <c r="P1678" i="14" s="1"/>
  <c r="C1604" i="14"/>
  <c r="D1604" i="14" s="1"/>
  <c r="C1607" i="14"/>
  <c r="D1607" i="14" s="1"/>
  <c r="C1511" i="14"/>
  <c r="D1511" i="14" s="1"/>
  <c r="C1718" i="14"/>
  <c r="P1718" i="14" s="1"/>
  <c r="C1537" i="14"/>
  <c r="D1537" i="14" s="1"/>
  <c r="C1627" i="14"/>
  <c r="P1627" i="14" s="1"/>
  <c r="C1695" i="14"/>
  <c r="P1695" i="14" s="1"/>
  <c r="C1701" i="14"/>
  <c r="P1701" i="14" s="1"/>
  <c r="C1610" i="14"/>
  <c r="P1610" i="14" s="1"/>
  <c r="C1699" i="14"/>
  <c r="D1699" i="14" s="1"/>
  <c r="C1571" i="14"/>
  <c r="D1571" i="14" s="1"/>
  <c r="C1576" i="14"/>
  <c r="D1576" i="14" s="1"/>
  <c r="E123" i="5"/>
  <c r="D59" i="5"/>
  <c r="E59" i="5"/>
  <c r="D123" i="5"/>
  <c r="G9" i="5"/>
  <c r="G8" i="5"/>
  <c r="G225" i="2" s="1"/>
  <c r="F21" i="5" s="1"/>
  <c r="G73" i="5"/>
  <c r="G243" i="2" s="1"/>
  <c r="F86" i="5" s="1"/>
  <c r="G72" i="5"/>
  <c r="G242" i="2" s="1"/>
  <c r="F85" i="5" s="1"/>
  <c r="D855" i="14"/>
  <c r="P855" i="14"/>
  <c r="D882" i="14"/>
  <c r="P882" i="14"/>
  <c r="D798" i="14"/>
  <c r="P798" i="14"/>
  <c r="P841" i="14"/>
  <c r="D841" i="14"/>
  <c r="D917" i="14"/>
  <c r="P917" i="14"/>
  <c r="P966" i="14"/>
  <c r="D966" i="14"/>
  <c r="D832" i="14"/>
  <c r="P832" i="14"/>
  <c r="P898" i="14"/>
  <c r="D898" i="14"/>
  <c r="P976" i="14"/>
  <c r="D976" i="14"/>
  <c r="P859" i="14"/>
  <c r="D859" i="14"/>
  <c r="D836" i="14"/>
  <c r="P836" i="14"/>
  <c r="D799" i="14"/>
  <c r="P799" i="14"/>
  <c r="P895" i="14"/>
  <c r="D895" i="14"/>
  <c r="D943" i="14"/>
  <c r="P943" i="14"/>
  <c r="D864" i="14"/>
  <c r="P864" i="14"/>
  <c r="P875" i="14"/>
  <c r="D875" i="14"/>
  <c r="P796" i="14"/>
  <c r="D796" i="14"/>
  <c r="P761" i="14"/>
  <c r="D761" i="14"/>
  <c r="P924" i="14"/>
  <c r="D924" i="14"/>
  <c r="P801" i="14"/>
  <c r="D801" i="14"/>
  <c r="D805" i="14"/>
  <c r="P805" i="14"/>
  <c r="D877" i="14"/>
  <c r="P877" i="14"/>
  <c r="D926" i="14"/>
  <c r="P926" i="14"/>
  <c r="D767" i="14"/>
  <c r="P767" i="14"/>
  <c r="P756" i="14"/>
  <c r="D756" i="14"/>
  <c r="D867" i="14"/>
  <c r="P867" i="14"/>
  <c r="D844" i="14"/>
  <c r="P844" i="14"/>
  <c r="D793" i="14"/>
  <c r="P793" i="14"/>
  <c r="D956" i="14"/>
  <c r="P956" i="14"/>
  <c r="P817" i="14"/>
  <c r="D817" i="14"/>
  <c r="P821" i="14"/>
  <c r="D821" i="14"/>
  <c r="P893" i="14"/>
  <c r="D893" i="14"/>
  <c r="P942" i="14"/>
  <c r="D942" i="14"/>
  <c r="D915" i="14"/>
  <c r="P915" i="14"/>
  <c r="D847" i="14"/>
  <c r="P847" i="14"/>
  <c r="P835" i="14"/>
  <c r="D835" i="14"/>
  <c r="P987" i="14"/>
  <c r="D987" i="14"/>
  <c r="D964" i="14"/>
  <c r="P964" i="14"/>
  <c r="P927" i="14"/>
  <c r="D927" i="14"/>
  <c r="D786" i="14"/>
  <c r="P786" i="14"/>
  <c r="D790" i="14"/>
  <c r="P790" i="14"/>
  <c r="P954" i="14"/>
  <c r="D954" i="14"/>
  <c r="D870" i="14"/>
  <c r="P870" i="14"/>
  <c r="P979" i="14"/>
  <c r="D979" i="14"/>
  <c r="P800" i="14"/>
  <c r="D800" i="14"/>
  <c r="P851" i="14"/>
  <c r="D851" i="14"/>
  <c r="P802" i="14"/>
  <c r="D802" i="14"/>
  <c r="P980" i="14"/>
  <c r="D980" i="14"/>
  <c r="P968" i="14"/>
  <c r="D968" i="14"/>
  <c r="D822" i="14"/>
  <c r="P822" i="14"/>
  <c r="P873" i="14"/>
  <c r="D873" i="14"/>
  <c r="P881" i="14"/>
  <c r="D881" i="14"/>
  <c r="P941" i="14"/>
  <c r="D941" i="14"/>
  <c r="P990" i="14"/>
  <c r="D990" i="14"/>
  <c r="D969" i="14"/>
  <c r="P969" i="14"/>
  <c r="P779" i="14"/>
  <c r="D779" i="14"/>
  <c r="D931" i="14"/>
  <c r="P931" i="14"/>
  <c r="D908" i="14"/>
  <c r="P908" i="14"/>
  <c r="D772" i="14"/>
  <c r="P772" i="14"/>
  <c r="P854" i="14"/>
  <c r="D854" i="14"/>
  <c r="P905" i="14"/>
  <c r="D905" i="14"/>
  <c r="D913" i="14"/>
  <c r="P913" i="14"/>
  <c r="D957" i="14"/>
  <c r="P957" i="14"/>
  <c r="D823" i="14"/>
  <c r="P823" i="14"/>
  <c r="D860" i="14"/>
  <c r="P860" i="14"/>
  <c r="P769" i="14"/>
  <c r="D769" i="14"/>
  <c r="D773" i="14"/>
  <c r="P773" i="14"/>
  <c r="D978" i="14"/>
  <c r="P978" i="14"/>
  <c r="D894" i="14"/>
  <c r="P894" i="14"/>
  <c r="D959" i="14"/>
  <c r="P959" i="14"/>
  <c r="D904" i="14"/>
  <c r="P904" i="14"/>
  <c r="D920" i="14"/>
  <c r="P920" i="14"/>
  <c r="D812" i="14"/>
  <c r="P812" i="14"/>
  <c r="D960" i="14"/>
  <c r="P960" i="14"/>
  <c r="P892" i="14"/>
  <c r="D892" i="14"/>
  <c r="D785" i="14"/>
  <c r="P785" i="14"/>
  <c r="D789" i="14"/>
  <c r="P789" i="14"/>
  <c r="D861" i="14"/>
  <c r="P861" i="14"/>
  <c r="D910" i="14"/>
  <c r="P910" i="14"/>
  <c r="D2471" i="14"/>
  <c r="D2299" i="14"/>
  <c r="D2280" i="14"/>
  <c r="D2341" i="14"/>
  <c r="P2429" i="14"/>
  <c r="P2301" i="14"/>
  <c r="D2302" i="14"/>
  <c r="D2441" i="14"/>
  <c r="P2441" i="14"/>
  <c r="P2364" i="14"/>
  <c r="AQ16" i="14"/>
  <c r="AJ16" i="14"/>
  <c r="P2446" i="14"/>
  <c r="D2291" i="14"/>
  <c r="P2291" i="14"/>
  <c r="D2440" i="14"/>
  <c r="P2436" i="14"/>
  <c r="D2246" i="14"/>
  <c r="D2277" i="14"/>
  <c r="D2357" i="14"/>
  <c r="D2391" i="14"/>
  <c r="P2244" i="14"/>
  <c r="P2372" i="14"/>
  <c r="D2242" i="14"/>
  <c r="P2455" i="14"/>
  <c r="D2411" i="14"/>
  <c r="P2411" i="14"/>
  <c r="D2363" i="14"/>
  <c r="D2419" i="14"/>
  <c r="P2419" i="14"/>
  <c r="P2295" i="14"/>
  <c r="D2425" i="14"/>
  <c r="P2425" i="14"/>
  <c r="P2276" i="14"/>
  <c r="P2380" i="14"/>
  <c r="D2250" i="14"/>
  <c r="D2463" i="14"/>
  <c r="P2463" i="14"/>
  <c r="D2451" i="14"/>
  <c r="P2296" i="14"/>
  <c r="P2327" i="14"/>
  <c r="D2327" i="14"/>
  <c r="D2297" i="14"/>
  <c r="D2349" i="14"/>
  <c r="P2282" i="14"/>
  <c r="D2282" i="14"/>
  <c r="P2470" i="14"/>
  <c r="D2313" i="14"/>
  <c r="D2328" i="14"/>
  <c r="P2328" i="14"/>
  <c r="D2360" i="14"/>
  <c r="P2367" i="14"/>
  <c r="D2401" i="14"/>
  <c r="P2401" i="14"/>
  <c r="D2314" i="14"/>
  <c r="D2397" i="14"/>
  <c r="C81" i="6"/>
  <c r="Y85" i="10" s="1"/>
  <c r="C81" i="7"/>
  <c r="P82" i="14"/>
  <c r="P221" i="14"/>
  <c r="D674" i="14"/>
  <c r="P674" i="14"/>
  <c r="D560" i="14"/>
  <c r="P560" i="14"/>
  <c r="D557" i="14"/>
  <c r="P557" i="14"/>
  <c r="D653" i="14"/>
  <c r="P653" i="14"/>
  <c r="D568" i="14"/>
  <c r="P568" i="14"/>
  <c r="P586" i="14"/>
  <c r="D586" i="14"/>
  <c r="P612" i="14"/>
  <c r="D612" i="14"/>
  <c r="P646" i="14"/>
  <c r="D646" i="14"/>
  <c r="P672" i="14"/>
  <c r="D672" i="14"/>
  <c r="D690" i="14"/>
  <c r="P690" i="14"/>
  <c r="D716" i="14"/>
  <c r="P716" i="14"/>
  <c r="P693" i="14"/>
  <c r="D693" i="14"/>
  <c r="D503" i="14"/>
  <c r="P503" i="14"/>
  <c r="P521" i="14"/>
  <c r="D521" i="14"/>
  <c r="P547" i="14"/>
  <c r="D547" i="14"/>
  <c r="P543" i="14"/>
  <c r="D543" i="14"/>
  <c r="P710" i="14"/>
  <c r="D710" i="14"/>
  <c r="D514" i="14"/>
  <c r="P514" i="14"/>
  <c r="D523" i="14"/>
  <c r="P523" i="14"/>
  <c r="P677" i="14"/>
  <c r="D677" i="14"/>
  <c r="D743" i="14"/>
  <c r="P743" i="14"/>
  <c r="P516" i="14"/>
  <c r="D516" i="14"/>
  <c r="D542" i="14"/>
  <c r="P542" i="14"/>
  <c r="P576" i="14"/>
  <c r="D576" i="14"/>
  <c r="D594" i="14"/>
  <c r="P594" i="14"/>
  <c r="D620" i="14"/>
  <c r="P620" i="14"/>
  <c r="P550" i="14"/>
  <c r="D550" i="14"/>
  <c r="D648" i="14"/>
  <c r="P648" i="14"/>
  <c r="P666" i="14"/>
  <c r="D666" i="14"/>
  <c r="D692" i="14"/>
  <c r="P692" i="14"/>
  <c r="D683" i="14"/>
  <c r="P683" i="14"/>
  <c r="D715" i="14"/>
  <c r="P715" i="14"/>
  <c r="D593" i="14"/>
  <c r="P593" i="14"/>
  <c r="P607" i="14"/>
  <c r="D607" i="14"/>
  <c r="D526" i="14"/>
  <c r="P526" i="14"/>
  <c r="D519" i="14"/>
  <c r="P519" i="14"/>
  <c r="P537" i="14"/>
  <c r="D537" i="14"/>
  <c r="P563" i="14"/>
  <c r="D563" i="14"/>
  <c r="D701" i="14"/>
  <c r="P701" i="14"/>
  <c r="P623" i="14"/>
  <c r="D623" i="14"/>
  <c r="D641" i="14"/>
  <c r="P641" i="14"/>
  <c r="D667" i="14"/>
  <c r="P667" i="14"/>
  <c r="P726" i="14"/>
  <c r="D726" i="14"/>
  <c r="D695" i="14"/>
  <c r="P695" i="14"/>
  <c r="P713" i="14"/>
  <c r="D713" i="14"/>
  <c r="P739" i="14"/>
  <c r="D739" i="14"/>
  <c r="D546" i="14"/>
  <c r="P546" i="14"/>
  <c r="P517" i="14"/>
  <c r="D517" i="14"/>
  <c r="D555" i="14"/>
  <c r="P555" i="14"/>
  <c r="D621" i="14"/>
  <c r="P621" i="14"/>
  <c r="D536" i="14"/>
  <c r="P536" i="14"/>
  <c r="P554" i="14"/>
  <c r="D554" i="14"/>
  <c r="P580" i="14"/>
  <c r="D580" i="14"/>
  <c r="P518" i="14"/>
  <c r="D518" i="14"/>
  <c r="P640" i="14"/>
  <c r="D640" i="14"/>
  <c r="D658" i="14"/>
  <c r="P658" i="14"/>
  <c r="D684" i="14"/>
  <c r="P684" i="14"/>
  <c r="P565" i="14"/>
  <c r="D565" i="14"/>
  <c r="D712" i="14"/>
  <c r="P712" i="14"/>
  <c r="P730" i="14"/>
  <c r="D730" i="14"/>
  <c r="P515" i="14"/>
  <c r="D515" i="14"/>
  <c r="C141" i="13"/>
  <c r="C161" i="13" s="1"/>
  <c r="AI35" i="14" s="1"/>
  <c r="AC55" i="14"/>
  <c r="D108" i="13"/>
  <c r="H227" i="2"/>
  <c r="G23" i="5" s="1"/>
  <c r="G227" i="2"/>
  <c r="F23" i="5" s="1"/>
  <c r="I227" i="2"/>
  <c r="H23" i="5" s="1"/>
  <c r="I242" i="2"/>
  <c r="H85" i="5" s="1"/>
  <c r="K86" i="5" s="1"/>
  <c r="H242" i="2"/>
  <c r="G85" i="5" s="1"/>
  <c r="J86" i="5" s="1"/>
  <c r="P1594" i="14"/>
  <c r="L26" i="11"/>
  <c r="C84" i="7"/>
  <c r="C73" i="7" s="1"/>
  <c r="F117" i="7" s="1"/>
  <c r="G117" i="7" s="1"/>
  <c r="C84" i="6"/>
  <c r="C73" i="6" s="1"/>
  <c r="D106" i="11"/>
  <c r="D109" i="11"/>
  <c r="F105" i="11"/>
  <c r="D108" i="11"/>
  <c r="Z170" i="2"/>
  <c r="K117" i="11" s="1"/>
  <c r="K104" i="11" s="1"/>
  <c r="K88" i="11" s="1"/>
  <c r="S170" i="2"/>
  <c r="C475" i="14"/>
  <c r="C347" i="14"/>
  <c r="C430" i="14"/>
  <c r="C401" i="14"/>
  <c r="C484" i="14"/>
  <c r="C463" i="14"/>
  <c r="C335" i="14"/>
  <c r="C418" i="14"/>
  <c r="C368" i="14"/>
  <c r="C275" i="14"/>
  <c r="C366" i="14"/>
  <c r="C273" i="14"/>
  <c r="C364" i="14"/>
  <c r="C271" i="14"/>
  <c r="C266" i="14"/>
  <c r="C306" i="14"/>
  <c r="C371" i="14"/>
  <c r="C454" i="14"/>
  <c r="C425" i="14"/>
  <c r="C297" i="14"/>
  <c r="C487" i="14"/>
  <c r="C359" i="14"/>
  <c r="C442" i="14"/>
  <c r="C392" i="14"/>
  <c r="C264" i="14"/>
  <c r="C390" i="14"/>
  <c r="C262" i="14"/>
  <c r="C388" i="14"/>
  <c r="C260" i="14"/>
  <c r="C362" i="14"/>
  <c r="D201" i="13"/>
  <c r="C427" i="14"/>
  <c r="C299" i="14"/>
  <c r="C481" i="14"/>
  <c r="C353" i="14"/>
  <c r="C436" i="14"/>
  <c r="C415" i="14"/>
  <c r="C287" i="14"/>
  <c r="C405" i="14"/>
  <c r="C320" i="14"/>
  <c r="C397" i="14"/>
  <c r="C318" i="14"/>
  <c r="C389" i="14"/>
  <c r="C316" i="14"/>
  <c r="C381" i="14"/>
  <c r="C258" i="14"/>
  <c r="C451" i="14"/>
  <c r="C460" i="14"/>
  <c r="C344" i="14"/>
  <c r="C340" i="14"/>
  <c r="C409" i="14"/>
  <c r="C281" i="14"/>
  <c r="C291" i="14"/>
  <c r="C407" i="14"/>
  <c r="C365" i="14"/>
  <c r="C349" i="14"/>
  <c r="C441" i="14"/>
  <c r="C458" i="14"/>
  <c r="C278" i="14"/>
  <c r="C282" i="14"/>
  <c r="C343" i="14"/>
  <c r="C298" i="14"/>
  <c r="C443" i="14"/>
  <c r="C315" i="14"/>
  <c r="C398" i="14"/>
  <c r="C369" i="14"/>
  <c r="C452" i="14"/>
  <c r="C431" i="14"/>
  <c r="C303" i="14"/>
  <c r="C469" i="14"/>
  <c r="C336" i="14"/>
  <c r="C461" i="14"/>
  <c r="C334" i="14"/>
  <c r="C453" i="14"/>
  <c r="C332" i="14"/>
  <c r="C445" i="14"/>
  <c r="C322" i="14"/>
  <c r="C467" i="14"/>
  <c r="C339" i="14"/>
  <c r="C422" i="14"/>
  <c r="C393" i="14"/>
  <c r="C476" i="14"/>
  <c r="C455" i="14"/>
  <c r="C327" i="14"/>
  <c r="C410" i="14"/>
  <c r="C360" i="14"/>
  <c r="C267" i="14"/>
  <c r="C358" i="14"/>
  <c r="C265" i="14"/>
  <c r="C356" i="14"/>
  <c r="C263" i="14"/>
  <c r="C269" i="14"/>
  <c r="C274" i="14"/>
  <c r="C395" i="14"/>
  <c r="C478" i="14"/>
  <c r="C449" i="14"/>
  <c r="C321" i="14"/>
  <c r="C404" i="14"/>
  <c r="C383" i="14"/>
  <c r="C466" i="14"/>
  <c r="C488" i="14"/>
  <c r="C288" i="14"/>
  <c r="C480" i="14"/>
  <c r="C286" i="14"/>
  <c r="C472" i="14"/>
  <c r="C284" i="14"/>
  <c r="C464" i="14"/>
  <c r="C314" i="14"/>
  <c r="C323" i="14"/>
  <c r="C439" i="14"/>
  <c r="C493" i="14"/>
  <c r="C477" i="14"/>
  <c r="C471" i="14"/>
  <c r="C279" i="14"/>
  <c r="C473" i="14"/>
  <c r="C490" i="14"/>
  <c r="C310" i="14"/>
  <c r="C261" i="14"/>
  <c r="C313" i="14"/>
  <c r="C456" i="14"/>
  <c r="C440" i="14"/>
  <c r="C483" i="14"/>
  <c r="C376" i="14"/>
  <c r="C411" i="14"/>
  <c r="C494" i="14"/>
  <c r="C465" i="14"/>
  <c r="C337" i="14"/>
  <c r="C420" i="14"/>
  <c r="C399" i="14"/>
  <c r="C482" i="14"/>
  <c r="C341" i="14"/>
  <c r="C304" i="14"/>
  <c r="C333" i="14"/>
  <c r="C302" i="14"/>
  <c r="C325" i="14"/>
  <c r="C300" i="14"/>
  <c r="C317" i="14"/>
  <c r="C378" i="14"/>
  <c r="C435" i="14"/>
  <c r="C307" i="14"/>
  <c r="C489" i="14"/>
  <c r="C361" i="14"/>
  <c r="C444" i="14"/>
  <c r="C423" i="14"/>
  <c r="C295" i="14"/>
  <c r="C437" i="14"/>
  <c r="C328" i="14"/>
  <c r="C429" i="14"/>
  <c r="C326" i="14"/>
  <c r="C421" i="14"/>
  <c r="C324" i="14"/>
  <c r="C413" i="14"/>
  <c r="C290" i="14"/>
  <c r="C491" i="14"/>
  <c r="C363" i="14"/>
  <c r="C446" i="14"/>
  <c r="C417" i="14"/>
  <c r="C289" i="14"/>
  <c r="C479" i="14"/>
  <c r="C351" i="14"/>
  <c r="C434" i="14"/>
  <c r="C384" i="14"/>
  <c r="C256" i="14"/>
  <c r="C382" i="14"/>
  <c r="C254" i="14"/>
  <c r="C380" i="14"/>
  <c r="AI8" i="14"/>
  <c r="C330" i="14"/>
  <c r="C370" i="14"/>
  <c r="C406" i="14"/>
  <c r="C311" i="14"/>
  <c r="C342" i="14"/>
  <c r="C354" i="14"/>
  <c r="C426" i="14"/>
  <c r="C338" i="14"/>
  <c r="C345" i="14"/>
  <c r="C373" i="14"/>
  <c r="C357" i="14"/>
  <c r="C387" i="14"/>
  <c r="C396" i="14"/>
  <c r="C280" i="14"/>
  <c r="C276" i="14"/>
  <c r="C438" i="14"/>
  <c r="C374" i="14"/>
  <c r="C379" i="14"/>
  <c r="C462" i="14"/>
  <c r="C433" i="14"/>
  <c r="C305" i="14"/>
  <c r="C495" i="14"/>
  <c r="C367" i="14"/>
  <c r="C450" i="14"/>
  <c r="C424" i="14"/>
  <c r="C272" i="14"/>
  <c r="C416" i="14"/>
  <c r="C270" i="14"/>
  <c r="C408" i="14"/>
  <c r="C268" i="14"/>
  <c r="C400" i="14"/>
  <c r="F154" i="13"/>
  <c r="E201" i="13" s="1"/>
  <c r="C403" i="14"/>
  <c r="C486" i="14"/>
  <c r="C457" i="14"/>
  <c r="C329" i="14"/>
  <c r="C412" i="14"/>
  <c r="C391" i="14"/>
  <c r="C474" i="14"/>
  <c r="C309" i="14"/>
  <c r="C296" i="14"/>
  <c r="C301" i="14"/>
  <c r="C294" i="14"/>
  <c r="C293" i="14"/>
  <c r="C292" i="14"/>
  <c r="C285" i="14"/>
  <c r="C346" i="14"/>
  <c r="C459" i="14"/>
  <c r="C331" i="14"/>
  <c r="C414" i="14"/>
  <c r="C385" i="14"/>
  <c r="C468" i="14"/>
  <c r="C447" i="14"/>
  <c r="C319" i="14"/>
  <c r="C402" i="14"/>
  <c r="C352" i="14"/>
  <c r="C259" i="14"/>
  <c r="C350" i="14"/>
  <c r="C257" i="14"/>
  <c r="C348" i="14"/>
  <c r="C255" i="14"/>
  <c r="C386" i="14"/>
  <c r="C277" i="14"/>
  <c r="C377" i="14"/>
  <c r="C394" i="14"/>
  <c r="C485" i="14"/>
  <c r="C355" i="14"/>
  <c r="C283" i="14"/>
  <c r="C419" i="14"/>
  <c r="C428" i="14"/>
  <c r="C312" i="14"/>
  <c r="C308" i="14"/>
  <c r="C470" i="14"/>
  <c r="C375" i="14"/>
  <c r="C448" i="14"/>
  <c r="C432" i="14"/>
  <c r="C492" i="14"/>
  <c r="C372" i="14"/>
  <c r="D1851" i="14"/>
  <c r="P1851" i="14"/>
  <c r="D1936" i="14"/>
  <c r="P1936" i="14"/>
  <c r="P1983" i="14"/>
  <c r="D1983" i="14"/>
  <c r="P1756" i="14"/>
  <c r="D1756" i="14"/>
  <c r="P1782" i="14"/>
  <c r="D1782" i="14"/>
  <c r="D1898" i="14"/>
  <c r="P1898" i="14"/>
  <c r="D1981" i="14"/>
  <c r="P1981" i="14"/>
  <c r="D1764" i="14"/>
  <c r="P1764" i="14"/>
  <c r="P1790" i="14"/>
  <c r="D1790" i="14"/>
  <c r="P1752" i="14"/>
  <c r="D1752" i="14"/>
  <c r="D1849" i="14"/>
  <c r="P1849" i="14"/>
  <c r="D1819" i="14"/>
  <c r="P1819" i="14"/>
  <c r="P1940" i="14"/>
  <c r="D1940" i="14"/>
  <c r="D1966" i="14"/>
  <c r="P1966" i="14"/>
  <c r="D1973" i="14"/>
  <c r="P1973" i="14"/>
  <c r="P1951" i="14"/>
  <c r="D1951" i="14"/>
  <c r="P1939" i="14"/>
  <c r="D1939" i="14"/>
  <c r="D1933" i="14"/>
  <c r="P1933" i="14"/>
  <c r="P1959" i="14"/>
  <c r="D1959" i="14"/>
  <c r="P1848" i="14"/>
  <c r="D1848" i="14"/>
  <c r="P1887" i="14"/>
  <c r="D1887" i="14"/>
  <c r="P1834" i="14"/>
  <c r="D1834" i="14"/>
  <c r="P1941" i="14"/>
  <c r="D1941" i="14"/>
  <c r="P1830" i="14"/>
  <c r="D1830" i="14"/>
  <c r="P1856" i="14"/>
  <c r="D1856" i="14"/>
  <c r="D1748" i="14"/>
  <c r="P1748" i="14"/>
  <c r="P1882" i="14"/>
  <c r="D1882" i="14"/>
  <c r="D1853" i="14"/>
  <c r="P1853" i="14"/>
  <c r="P1879" i="14"/>
  <c r="D1879" i="14"/>
  <c r="P1905" i="14"/>
  <c r="D1905" i="14"/>
  <c r="D1780" i="14"/>
  <c r="P1780" i="14"/>
  <c r="D1763" i="14"/>
  <c r="P1763" i="14"/>
  <c r="P1837" i="14"/>
  <c r="D1837" i="14"/>
  <c r="D1863" i="14"/>
  <c r="P1863" i="14"/>
  <c r="D1889" i="14"/>
  <c r="P1889" i="14"/>
  <c r="P1884" i="14"/>
  <c r="D1884" i="14"/>
  <c r="D1891" i="14"/>
  <c r="P1891" i="14"/>
  <c r="P1845" i="14"/>
  <c r="D1845" i="14"/>
  <c r="D1871" i="14"/>
  <c r="P1871" i="14"/>
  <c r="P1897" i="14"/>
  <c r="D1897" i="14"/>
  <c r="D1861" i="14"/>
  <c r="P1861" i="14"/>
  <c r="D1867" i="14"/>
  <c r="P1867" i="14"/>
  <c r="P1757" i="14"/>
  <c r="D1757" i="14"/>
  <c r="P1783" i="14"/>
  <c r="D1783" i="14"/>
  <c r="P1809" i="14"/>
  <c r="D1809" i="14"/>
  <c r="D1893" i="14"/>
  <c r="P1893" i="14"/>
  <c r="P1803" i="14"/>
  <c r="D1803" i="14"/>
  <c r="D1826" i="14"/>
  <c r="P1826" i="14"/>
  <c r="P1767" i="14"/>
  <c r="D1767" i="14"/>
  <c r="P1793" i="14"/>
  <c r="D1793" i="14"/>
  <c r="P1818" i="14"/>
  <c r="D1818" i="14"/>
  <c r="P1835" i="14"/>
  <c r="D1835" i="14"/>
  <c r="P1749" i="14"/>
  <c r="D1749" i="14"/>
  <c r="P1775" i="14"/>
  <c r="D1775" i="14"/>
  <c r="P1801" i="14"/>
  <c r="D1801" i="14"/>
  <c r="P1842" i="14"/>
  <c r="D1842" i="14"/>
  <c r="P1968" i="14"/>
  <c r="D1968" i="14"/>
  <c r="D1746" i="14"/>
  <c r="P1746" i="14"/>
  <c r="P1772" i="14"/>
  <c r="D1772" i="14"/>
  <c r="P1798" i="14"/>
  <c r="D1798" i="14"/>
  <c r="P950" i="14"/>
  <c r="D950" i="14"/>
  <c r="D888" i="14"/>
  <c r="P888" i="14"/>
  <c r="D903" i="14"/>
  <c r="P903" i="14"/>
  <c r="D794" i="14"/>
  <c r="P794" i="14"/>
  <c r="D848" i="14"/>
  <c r="P848" i="14"/>
  <c r="P952" i="14"/>
  <c r="D952" i="14"/>
  <c r="D752" i="14"/>
  <c r="P752" i="14"/>
  <c r="D750" i="14"/>
  <c r="P750" i="14"/>
  <c r="P830" i="14"/>
  <c r="D830" i="14"/>
  <c r="D889" i="14"/>
  <c r="P889" i="14"/>
  <c r="D839" i="14"/>
  <c r="P839" i="14"/>
  <c r="P762" i="14"/>
  <c r="D762" i="14"/>
  <c r="P930" i="14"/>
  <c r="D930" i="14"/>
  <c r="P846" i="14"/>
  <c r="D846" i="14"/>
  <c r="P797" i="14"/>
  <c r="D797" i="14"/>
  <c r="D780" i="14"/>
  <c r="P780" i="14"/>
  <c r="D891" i="14"/>
  <c r="P891" i="14"/>
  <c r="D868" i="14"/>
  <c r="P868" i="14"/>
  <c r="P825" i="14"/>
  <c r="D825" i="14"/>
  <c r="P759" i="14"/>
  <c r="D759" i="14"/>
  <c r="D985" i="14"/>
  <c r="P985" i="14"/>
  <c r="D858" i="14"/>
  <c r="P858" i="14"/>
  <c r="P975" i="14"/>
  <c r="D975" i="14"/>
  <c r="D829" i="14"/>
  <c r="P829" i="14"/>
  <c r="P807" i="14"/>
  <c r="D807" i="14"/>
  <c r="P755" i="14"/>
  <c r="D755" i="14"/>
  <c r="P907" i="14"/>
  <c r="D907" i="14"/>
  <c r="P884" i="14"/>
  <c r="D884" i="14"/>
  <c r="P795" i="14"/>
  <c r="D795" i="14"/>
  <c r="P886" i="14"/>
  <c r="D886" i="14"/>
  <c r="D945" i="14"/>
  <c r="P945" i="14"/>
  <c r="P961" i="14"/>
  <c r="D961" i="14"/>
  <c r="P973" i="14"/>
  <c r="D973" i="14"/>
  <c r="D831" i="14"/>
  <c r="P831" i="14"/>
  <c r="D751" i="14"/>
  <c r="P751" i="14"/>
  <c r="P811" i="14"/>
  <c r="D811" i="14"/>
  <c r="P963" i="14"/>
  <c r="D963" i="14"/>
  <c r="P940" i="14"/>
  <c r="D940" i="14"/>
  <c r="D827" i="14"/>
  <c r="P827" i="14"/>
  <c r="D918" i="14"/>
  <c r="P918" i="14"/>
  <c r="P808" i="14"/>
  <c r="D808" i="14"/>
  <c r="P824" i="14"/>
  <c r="D824" i="14"/>
  <c r="P989" i="14"/>
  <c r="D989" i="14"/>
  <c r="D2322" i="14"/>
  <c r="P2322" i="14"/>
  <c r="D2300" i="14"/>
  <c r="P2300" i="14"/>
  <c r="D2369" i="14"/>
  <c r="P2369" i="14"/>
  <c r="P2319" i="14"/>
  <c r="D2319" i="14"/>
  <c r="D2238" i="14"/>
  <c r="P2238" i="14"/>
  <c r="D2311" i="14"/>
  <c r="P2311" i="14"/>
  <c r="D2378" i="14"/>
  <c r="P2378" i="14"/>
  <c r="P2331" i="14"/>
  <c r="D2331" i="14"/>
  <c r="D2456" i="14"/>
  <c r="P2456" i="14"/>
  <c r="D2415" i="14"/>
  <c r="P2415" i="14"/>
  <c r="P2333" i="14"/>
  <c r="D2333" i="14"/>
  <c r="P2259" i="14"/>
  <c r="D2259" i="14"/>
  <c r="D2388" i="14"/>
  <c r="P2388" i="14"/>
  <c r="D2437" i="14"/>
  <c r="P2437" i="14"/>
  <c r="P2255" i="14"/>
  <c r="P2375" i="14"/>
  <c r="D2375" i="14"/>
  <c r="D2354" i="14"/>
  <c r="P2354" i="14"/>
  <c r="D2443" i="14"/>
  <c r="P2443" i="14"/>
  <c r="P2267" i="14"/>
  <c r="D2267" i="14"/>
  <c r="D2406" i="14"/>
  <c r="P2406" i="14"/>
  <c r="D2412" i="14"/>
  <c r="P2412" i="14"/>
  <c r="P2418" i="14"/>
  <c r="D2418" i="14"/>
  <c r="P2468" i="14"/>
  <c r="D2468" i="14"/>
  <c r="P2273" i="14"/>
  <c r="D2273" i="14"/>
  <c r="P2263" i="14"/>
  <c r="D2263" i="14"/>
  <c r="P2454" i="14"/>
  <c r="D2454" i="14"/>
  <c r="P2332" i="14"/>
  <c r="D2332" i="14"/>
  <c r="P2348" i="14"/>
  <c r="D2431" i="14"/>
  <c r="P2458" i="14"/>
  <c r="D2458" i="14"/>
  <c r="P2254" i="14"/>
  <c r="D2254" i="14"/>
  <c r="P2285" i="14"/>
  <c r="D2285" i="14"/>
  <c r="P2361" i="14"/>
  <c r="D2361" i="14"/>
  <c r="P2459" i="14"/>
  <c r="D2459" i="14"/>
  <c r="D2305" i="14"/>
  <c r="P2305" i="14"/>
  <c r="P2240" i="14"/>
  <c r="D2240" i="14"/>
  <c r="P2271" i="14"/>
  <c r="D2271" i="14"/>
  <c r="D2462" i="14"/>
  <c r="P2462" i="14"/>
  <c r="P2407" i="14"/>
  <c r="D2407" i="14"/>
  <c r="P2286" i="14"/>
  <c r="D2286" i="14"/>
  <c r="D2317" i="14"/>
  <c r="P2317" i="14"/>
  <c r="D2426" i="14"/>
  <c r="P2426" i="14"/>
  <c r="P2478" i="14"/>
  <c r="P2272" i="14"/>
  <c r="D2303" i="14"/>
  <c r="P2303" i="14"/>
  <c r="P2433" i="14"/>
  <c r="D2433" i="14"/>
  <c r="P2405" i="14"/>
  <c r="D2405" i="14"/>
  <c r="P2318" i="14"/>
  <c r="D2318" i="14"/>
  <c r="D2350" i="14"/>
  <c r="P2350" i="14"/>
  <c r="P2461" i="14"/>
  <c r="D2461" i="14"/>
  <c r="D2345" i="14"/>
  <c r="P2345" i="14"/>
  <c r="P2324" i="14"/>
  <c r="D2324" i="14"/>
  <c r="P2304" i="14"/>
  <c r="D2304" i="14"/>
  <c r="P2335" i="14"/>
  <c r="D2335" i="14"/>
  <c r="D2465" i="14"/>
  <c r="P2465" i="14"/>
  <c r="P227" i="2"/>
  <c r="J227" i="2"/>
  <c r="N168" i="2" s="1"/>
  <c r="P43" i="14"/>
  <c r="P247" i="14"/>
  <c r="P100" i="14"/>
  <c r="AL7" i="14"/>
  <c r="P172" i="14"/>
  <c r="D172" i="14"/>
  <c r="C1117" i="14"/>
  <c r="C1160" i="14"/>
  <c r="C1032" i="14"/>
  <c r="C1219" i="14"/>
  <c r="C1091" i="14"/>
  <c r="C1134" i="14"/>
  <c r="C1006" i="14"/>
  <c r="C1193" i="14"/>
  <c r="C1236" i="14"/>
  <c r="C1108" i="14"/>
  <c r="C1051" i="14"/>
  <c r="C1138" i="14"/>
  <c r="C1098" i="14"/>
  <c r="C1090" i="14"/>
  <c r="C1082" i="14"/>
  <c r="C1173" i="14"/>
  <c r="C1216" i="14"/>
  <c r="C1088" i="14"/>
  <c r="C1031" i="14"/>
  <c r="C1147" i="14"/>
  <c r="C1190" i="14"/>
  <c r="C1062" i="14"/>
  <c r="C1005" i="14"/>
  <c r="C1121" i="14"/>
  <c r="C1164" i="14"/>
  <c r="C1036" i="14"/>
  <c r="C1191" i="14"/>
  <c r="C1151" i="14"/>
  <c r="C1143" i="14"/>
  <c r="C1135" i="14"/>
  <c r="C1229" i="14"/>
  <c r="C1101" i="14"/>
  <c r="C1144" i="14"/>
  <c r="C1016" i="14"/>
  <c r="C1203" i="14"/>
  <c r="C1075" i="14"/>
  <c r="C1118" i="14"/>
  <c r="C1061" i="14"/>
  <c r="C1177" i="14"/>
  <c r="C1220" i="14"/>
  <c r="C1092" i="14"/>
  <c r="C1035" i="14"/>
  <c r="C1074" i="14"/>
  <c r="C1034" i="14"/>
  <c r="C1026" i="14"/>
  <c r="C1018" i="14"/>
  <c r="C1227" i="14"/>
  <c r="C1201" i="14"/>
  <c r="C1170" i="14"/>
  <c r="C1093" i="14"/>
  <c r="C1053" i="14"/>
  <c r="C1002" i="14"/>
  <c r="C1046" i="14"/>
  <c r="C1221" i="14"/>
  <c r="C1042" i="14"/>
  <c r="C1148" i="14"/>
  <c r="C1104" i="14"/>
  <c r="C1078" i="14"/>
  <c r="C1052" i="14"/>
  <c r="C1199" i="14"/>
  <c r="C1020" i="14"/>
  <c r="C1213" i="14"/>
  <c r="C1085" i="14"/>
  <c r="C1128" i="14"/>
  <c r="C1000" i="14"/>
  <c r="C1187" i="14"/>
  <c r="C1230" i="14"/>
  <c r="C1102" i="14"/>
  <c r="C1045" i="14"/>
  <c r="C1161" i="14"/>
  <c r="C1204" i="14"/>
  <c r="C1076" i="14"/>
  <c r="C1019" i="14"/>
  <c r="C1010" i="14"/>
  <c r="C1041" i="14"/>
  <c r="C1033" i="14"/>
  <c r="C1025" i="14"/>
  <c r="C1141" i="14"/>
  <c r="C1184" i="14"/>
  <c r="C1056" i="14"/>
  <c r="C999" i="14"/>
  <c r="C1115" i="14"/>
  <c r="C1158" i="14"/>
  <c r="C1030" i="14"/>
  <c r="C1217" i="14"/>
  <c r="C1089" i="14"/>
  <c r="C1132" i="14"/>
  <c r="C1004" i="14"/>
  <c r="C1234" i="14"/>
  <c r="C1194" i="14"/>
  <c r="C1186" i="14"/>
  <c r="C1178" i="14"/>
  <c r="C1197" i="14"/>
  <c r="C1069" i="14"/>
  <c r="C1112" i="14"/>
  <c r="C1055" i="14"/>
  <c r="C1171" i="14"/>
  <c r="C1214" i="14"/>
  <c r="C1086" i="14"/>
  <c r="C1029" i="14"/>
  <c r="C1145" i="14"/>
  <c r="C1188" i="14"/>
  <c r="C1060" i="14"/>
  <c r="C1003" i="14"/>
  <c r="C1017" i="14"/>
  <c r="C1239" i="14"/>
  <c r="C1231" i="14"/>
  <c r="C1125" i="14"/>
  <c r="C1099" i="14"/>
  <c r="C1073" i="14"/>
  <c r="C1130" i="14"/>
  <c r="C1136" i="14"/>
  <c r="C1169" i="14"/>
  <c r="C1065" i="14"/>
  <c r="C1105" i="14"/>
  <c r="C1008" i="14"/>
  <c r="C1057" i="14"/>
  <c r="C1087" i="14"/>
  <c r="C1047" i="14"/>
  <c r="C1021" i="14"/>
  <c r="D204" i="13"/>
  <c r="C1200" i="14"/>
  <c r="C1079" i="14"/>
  <c r="C1181" i="14"/>
  <c r="C1224" i="14"/>
  <c r="C1096" i="14"/>
  <c r="C1039" i="14"/>
  <c r="C1155" i="14"/>
  <c r="C1198" i="14"/>
  <c r="C1070" i="14"/>
  <c r="C1013" i="14"/>
  <c r="C1129" i="14"/>
  <c r="C1172" i="14"/>
  <c r="C1044" i="14"/>
  <c r="C1223" i="14"/>
  <c r="C1183" i="14"/>
  <c r="C1175" i="14"/>
  <c r="C1167" i="14"/>
  <c r="C1237" i="14"/>
  <c r="C1109" i="14"/>
  <c r="C1152" i="14"/>
  <c r="C1024" i="14"/>
  <c r="C1211" i="14"/>
  <c r="C1083" i="14"/>
  <c r="C1126" i="14"/>
  <c r="C998" i="14"/>
  <c r="C1185" i="14"/>
  <c r="C1228" i="14"/>
  <c r="C1100" i="14"/>
  <c r="C1043" i="14"/>
  <c r="C1106" i="14"/>
  <c r="C1066" i="14"/>
  <c r="C1058" i="14"/>
  <c r="C1050" i="14"/>
  <c r="C1165" i="14"/>
  <c r="C1208" i="14"/>
  <c r="C1080" i="14"/>
  <c r="C1023" i="14"/>
  <c r="C1139" i="14"/>
  <c r="C1182" i="14"/>
  <c r="C1054" i="14"/>
  <c r="AI11" i="14"/>
  <c r="C1113" i="14"/>
  <c r="C1156" i="14"/>
  <c r="C1028" i="14"/>
  <c r="C1159" i="14"/>
  <c r="C1119" i="14"/>
  <c r="C1111" i="14"/>
  <c r="C1103" i="14"/>
  <c r="C1168" i="14"/>
  <c r="C1142" i="14"/>
  <c r="C1116" i="14"/>
  <c r="C1122" i="14"/>
  <c r="C1195" i="14"/>
  <c r="C1084" i="14"/>
  <c r="C1157" i="14"/>
  <c r="C1127" i="14"/>
  <c r="C1110" i="14"/>
  <c r="C1072" i="14"/>
  <c r="C1189" i="14"/>
  <c r="C1163" i="14"/>
  <c r="C1137" i="14"/>
  <c r="C1215" i="14"/>
  <c r="C1131" i="14"/>
  <c r="C1149" i="14"/>
  <c r="C1192" i="14"/>
  <c r="C1064" i="14"/>
  <c r="C1007" i="14"/>
  <c r="C1123" i="14"/>
  <c r="C1166" i="14"/>
  <c r="C1038" i="14"/>
  <c r="C1225" i="14"/>
  <c r="C1097" i="14"/>
  <c r="C1140" i="14"/>
  <c r="C1012" i="14"/>
  <c r="C1095" i="14"/>
  <c r="C1226" i="14"/>
  <c r="C1218" i="14"/>
  <c r="C1210" i="14"/>
  <c r="C1205" i="14"/>
  <c r="C1077" i="14"/>
  <c r="C1120" i="14"/>
  <c r="C1063" i="14"/>
  <c r="C1179" i="14"/>
  <c r="C1222" i="14"/>
  <c r="C1094" i="14"/>
  <c r="C1037" i="14"/>
  <c r="C1153" i="14"/>
  <c r="C1196" i="14"/>
  <c r="C1068" i="14"/>
  <c r="C1011" i="14"/>
  <c r="C1049" i="14"/>
  <c r="C1009" i="14"/>
  <c r="C1001" i="14"/>
  <c r="F157" i="13"/>
  <c r="E204" i="13" s="1"/>
  <c r="C1133" i="14"/>
  <c r="C1176" i="14"/>
  <c r="C1048" i="14"/>
  <c r="C1235" i="14"/>
  <c r="C1107" i="14"/>
  <c r="C1150" i="14"/>
  <c r="C1022" i="14"/>
  <c r="C1209" i="14"/>
  <c r="C1081" i="14"/>
  <c r="C1124" i="14"/>
  <c r="C1067" i="14"/>
  <c r="C1202" i="14"/>
  <c r="C1162" i="14"/>
  <c r="C1154" i="14"/>
  <c r="C1146" i="14"/>
  <c r="C1040" i="14"/>
  <c r="C1014" i="14"/>
  <c r="C1059" i="14"/>
  <c r="C1114" i="14"/>
  <c r="C1238" i="14"/>
  <c r="C1027" i="14"/>
  <c r="C1015" i="14"/>
  <c r="C1071" i="14"/>
  <c r="C1212" i="14"/>
  <c r="C1174" i="14"/>
  <c r="C1232" i="14"/>
  <c r="C1206" i="14"/>
  <c r="C1180" i="14"/>
  <c r="C1207" i="14"/>
  <c r="C1233" i="14"/>
  <c r="P642" i="14"/>
  <c r="D642" i="14"/>
  <c r="P700" i="14"/>
  <c r="D700" i="14"/>
  <c r="D578" i="14"/>
  <c r="P578" i="14"/>
  <c r="D592" i="14"/>
  <c r="P592" i="14"/>
  <c r="D742" i="14"/>
  <c r="P742" i="14"/>
  <c r="P696" i="14"/>
  <c r="D696" i="14"/>
  <c r="D714" i="14"/>
  <c r="P714" i="14"/>
  <c r="D740" i="14"/>
  <c r="P740" i="14"/>
  <c r="D686" i="14"/>
  <c r="P686" i="14"/>
  <c r="P559" i="14"/>
  <c r="D559" i="14"/>
  <c r="D577" i="14"/>
  <c r="P577" i="14"/>
  <c r="D603" i="14"/>
  <c r="P603" i="14"/>
  <c r="D733" i="14"/>
  <c r="P733" i="14"/>
  <c r="D631" i="14"/>
  <c r="P631" i="14"/>
  <c r="P649" i="14"/>
  <c r="D649" i="14"/>
  <c r="P675" i="14"/>
  <c r="D675" i="14"/>
  <c r="P561" i="14"/>
  <c r="D561" i="14"/>
  <c r="D688" i="14"/>
  <c r="P688" i="14"/>
  <c r="D597" i="14"/>
  <c r="P597" i="14"/>
  <c r="P685" i="14"/>
  <c r="D685" i="14"/>
  <c r="P600" i="14"/>
  <c r="D600" i="14"/>
  <c r="D618" i="14"/>
  <c r="P618" i="14"/>
  <c r="D644" i="14"/>
  <c r="P644" i="14"/>
  <c r="D533" i="14"/>
  <c r="P533" i="14"/>
  <c r="D704" i="14"/>
  <c r="P704" i="14"/>
  <c r="P722" i="14"/>
  <c r="D722" i="14"/>
  <c r="P507" i="14"/>
  <c r="D507" i="14"/>
  <c r="P590" i="14"/>
  <c r="D590" i="14"/>
  <c r="P535" i="14"/>
  <c r="D535" i="14"/>
  <c r="D553" i="14"/>
  <c r="P553" i="14"/>
  <c r="P579" i="14"/>
  <c r="D579" i="14"/>
  <c r="P630" i="14"/>
  <c r="D630" i="14"/>
  <c r="D529" i="14"/>
  <c r="P529" i="14"/>
  <c r="D619" i="14"/>
  <c r="P619" i="14"/>
  <c r="D625" i="14"/>
  <c r="P625" i="14"/>
  <c r="P534" i="14"/>
  <c r="D534" i="14"/>
  <c r="D647" i="14"/>
  <c r="P647" i="14"/>
  <c r="P665" i="14"/>
  <c r="D665" i="14"/>
  <c r="P691" i="14"/>
  <c r="D691" i="14"/>
  <c r="P709" i="14"/>
  <c r="D709" i="14"/>
  <c r="D524" i="14"/>
  <c r="P524" i="14"/>
  <c r="D638" i="14"/>
  <c r="P638" i="14"/>
  <c r="D552" i="14"/>
  <c r="P552" i="14"/>
  <c r="P570" i="14"/>
  <c r="D570" i="14"/>
  <c r="P596" i="14"/>
  <c r="D596" i="14"/>
  <c r="P511" i="14"/>
  <c r="D511" i="14"/>
  <c r="D572" i="14"/>
  <c r="P572" i="14"/>
  <c r="P703" i="14"/>
  <c r="D703" i="14"/>
  <c r="P645" i="14"/>
  <c r="D645" i="14"/>
  <c r="P614" i="14"/>
  <c r="D614" i="14"/>
  <c r="D664" i="14"/>
  <c r="P664" i="14"/>
  <c r="P682" i="14"/>
  <c r="D682" i="14"/>
  <c r="P708" i="14"/>
  <c r="D708" i="14"/>
  <c r="D558" i="14"/>
  <c r="P558" i="14"/>
  <c r="P527" i="14"/>
  <c r="D527" i="14"/>
  <c r="D545" i="14"/>
  <c r="P545" i="14"/>
  <c r="D571" i="14"/>
  <c r="P571" i="14"/>
  <c r="D605" i="14"/>
  <c r="P605" i="14"/>
  <c r="D599" i="14"/>
  <c r="P599" i="14"/>
  <c r="P617" i="14"/>
  <c r="D617" i="14"/>
  <c r="D643" i="14"/>
  <c r="P643" i="14"/>
  <c r="H225" i="2"/>
  <c r="G21" i="5" s="1"/>
  <c r="J22" i="5" s="1"/>
  <c r="I225" i="2"/>
  <c r="H21" i="5" s="1"/>
  <c r="K22" i="5" s="1"/>
  <c r="C137" i="13"/>
  <c r="C157" i="13" s="1"/>
  <c r="AI31" i="14" s="1"/>
  <c r="D104" i="13"/>
  <c r="AC51" i="14"/>
  <c r="D1622" i="14"/>
  <c r="P1705" i="14"/>
  <c r="P1513" i="14"/>
  <c r="D1712" i="14"/>
  <c r="P1624" i="14"/>
  <c r="D1588" i="14"/>
  <c r="P1505" i="14"/>
  <c r="D1667" i="14"/>
  <c r="P1517" i="14"/>
  <c r="P1673" i="14"/>
  <c r="D105" i="13"/>
  <c r="C138" i="13"/>
  <c r="C158" i="13" s="1"/>
  <c r="AI32" i="14" s="1"/>
  <c r="AC52" i="14"/>
  <c r="Z171" i="2"/>
  <c r="K116" i="11" s="1"/>
  <c r="K103" i="11" s="1"/>
  <c r="K87" i="11" s="1"/>
  <c r="S171" i="2"/>
  <c r="Q172" i="2"/>
  <c r="Q173" i="2"/>
  <c r="Q174" i="2"/>
  <c r="D1852" i="14"/>
  <c r="P1852" i="14"/>
  <c r="D1931" i="14"/>
  <c r="P1931" i="14"/>
  <c r="P1773" i="14"/>
  <c r="D1773" i="14"/>
  <c r="D1799" i="14"/>
  <c r="P1799" i="14"/>
  <c r="D1825" i="14"/>
  <c r="P1825" i="14"/>
  <c r="P1829" i="14"/>
  <c r="D1829" i="14"/>
  <c r="D1963" i="14"/>
  <c r="P1963" i="14"/>
  <c r="P1781" i="14"/>
  <c r="D1781" i="14"/>
  <c r="D1807" i="14"/>
  <c r="P1807" i="14"/>
  <c r="D1833" i="14"/>
  <c r="P1833" i="14"/>
  <c r="D1786" i="14"/>
  <c r="P1786" i="14"/>
  <c r="P1955" i="14"/>
  <c r="D1955" i="14"/>
  <c r="D1778" i="14"/>
  <c r="P1778" i="14"/>
  <c r="P1804" i="14"/>
  <c r="D1804" i="14"/>
  <c r="P1745" i="14"/>
  <c r="D1745" i="14"/>
  <c r="D1890" i="14"/>
  <c r="P1890" i="14"/>
  <c r="P1817" i="14"/>
  <c r="D1817" i="14"/>
  <c r="D1755" i="14"/>
  <c r="P1755" i="14"/>
  <c r="P1924" i="14"/>
  <c r="D1924" i="14"/>
  <c r="D1950" i="14"/>
  <c r="P1950" i="14"/>
  <c r="D1976" i="14"/>
  <c r="P1976" i="14"/>
  <c r="D1785" i="14"/>
  <c r="P1785" i="14"/>
  <c r="P1787" i="14"/>
  <c r="D1787" i="14"/>
  <c r="D1932" i="14"/>
  <c r="P1932" i="14"/>
  <c r="D1958" i="14"/>
  <c r="P1958" i="14"/>
  <c r="P1965" i="14"/>
  <c r="D1965" i="14"/>
  <c r="P1910" i="14"/>
  <c r="D1910" i="14"/>
  <c r="D1975" i="14"/>
  <c r="P1975" i="14"/>
  <c r="P1844" i="14"/>
  <c r="D1844" i="14"/>
  <c r="D1870" i="14"/>
  <c r="P1870" i="14"/>
  <c r="D1896" i="14"/>
  <c r="P1896" i="14"/>
  <c r="P1878" i="14"/>
  <c r="D1878" i="14"/>
  <c r="P1930" i="14"/>
  <c r="D1930" i="14"/>
  <c r="D1828" i="14"/>
  <c r="P1828" i="14"/>
  <c r="P1854" i="14"/>
  <c r="D1854" i="14"/>
  <c r="P1880" i="14"/>
  <c r="D1880" i="14"/>
  <c r="D1846" i="14"/>
  <c r="P1846" i="14"/>
  <c r="P1962" i="14"/>
  <c r="D1962" i="14"/>
  <c r="P1836" i="14"/>
  <c r="D1836" i="14"/>
  <c r="D1862" i="14"/>
  <c r="P1862" i="14"/>
  <c r="D1888" i="14"/>
  <c r="P1888" i="14"/>
  <c r="D1812" i="14"/>
  <c r="P1812" i="14"/>
  <c r="P1747" i="14"/>
  <c r="D1747" i="14"/>
  <c r="D1885" i="14"/>
  <c r="P1885" i="14"/>
  <c r="D1911" i="14"/>
  <c r="P1911" i="14"/>
  <c r="D1937" i="14"/>
  <c r="P1937" i="14"/>
  <c r="D1759" i="14"/>
  <c r="P1759" i="14"/>
  <c r="P1768" i="14"/>
  <c r="D1768" i="14"/>
  <c r="D1869" i="14"/>
  <c r="P1869" i="14"/>
  <c r="D1895" i="14"/>
  <c r="P1895" i="14"/>
  <c r="P1921" i="14"/>
  <c r="D1921" i="14"/>
  <c r="P1980" i="14"/>
  <c r="D1980" i="14"/>
  <c r="D1800" i="14"/>
  <c r="P1800" i="14"/>
  <c r="P1877" i="14"/>
  <c r="D1877" i="14"/>
  <c r="P1903" i="14"/>
  <c r="D1903" i="14"/>
  <c r="P1929" i="14"/>
  <c r="D1929" i="14"/>
  <c r="D1957" i="14"/>
  <c r="P1957" i="14"/>
  <c r="P1858" i="14"/>
  <c r="D1858" i="14"/>
  <c r="D1789" i="14"/>
  <c r="P1789" i="14"/>
  <c r="P1815" i="14"/>
  <c r="D1815" i="14"/>
  <c r="P1841" i="14"/>
  <c r="D1841" i="14"/>
  <c r="D863" i="14"/>
  <c r="P863" i="14"/>
  <c r="P872" i="14"/>
  <c r="D872" i="14"/>
  <c r="D804" i="14"/>
  <c r="P804" i="14"/>
  <c r="P937" i="14"/>
  <c r="D937" i="14"/>
  <c r="D843" i="14"/>
  <c r="P843" i="14"/>
  <c r="D972" i="14"/>
  <c r="P972" i="14"/>
  <c r="D982" i="14"/>
  <c r="P982" i="14"/>
  <c r="P936" i="14"/>
  <c r="D936" i="14"/>
  <c r="P820" i="14"/>
  <c r="D820" i="14"/>
  <c r="D901" i="14"/>
  <c r="P901" i="14"/>
  <c r="P914" i="14"/>
  <c r="D914" i="14"/>
  <c r="D874" i="14"/>
  <c r="P874" i="14"/>
  <c r="P897" i="14"/>
  <c r="D897" i="14"/>
  <c r="D949" i="14"/>
  <c r="P949" i="14"/>
  <c r="D965" i="14"/>
  <c r="P965" i="14"/>
  <c r="P766" i="14"/>
  <c r="D766" i="14"/>
  <c r="D784" i="14"/>
  <c r="P784" i="14"/>
  <c r="D984" i="14"/>
  <c r="P984" i="14"/>
  <c r="P760" i="14"/>
  <c r="D760" i="14"/>
  <c r="D803" i="14"/>
  <c r="P803" i="14"/>
  <c r="D955" i="14"/>
  <c r="P955" i="14"/>
  <c r="D932" i="14"/>
  <c r="P932" i="14"/>
  <c r="D763" i="14"/>
  <c r="P763" i="14"/>
  <c r="P754" i="14"/>
  <c r="D754" i="14"/>
  <c r="D758" i="14"/>
  <c r="P758" i="14"/>
  <c r="P922" i="14"/>
  <c r="D922" i="14"/>
  <c r="D838" i="14"/>
  <c r="P838" i="14"/>
  <c r="P883" i="14"/>
  <c r="D883" i="14"/>
  <c r="D783" i="14"/>
  <c r="P783" i="14"/>
  <c r="P819" i="14"/>
  <c r="D819" i="14"/>
  <c r="P971" i="14"/>
  <c r="D971" i="14"/>
  <c r="P948" i="14"/>
  <c r="D948" i="14"/>
  <c r="D857" i="14"/>
  <c r="P857" i="14"/>
  <c r="P988" i="14"/>
  <c r="D988" i="14"/>
  <c r="D833" i="14"/>
  <c r="P833" i="14"/>
  <c r="D837" i="14"/>
  <c r="P837" i="14"/>
  <c r="P909" i="14"/>
  <c r="D909" i="14"/>
  <c r="P958" i="14"/>
  <c r="D958" i="14"/>
  <c r="D775" i="14"/>
  <c r="P775" i="14"/>
  <c r="P788" i="14"/>
  <c r="D788" i="14"/>
  <c r="P899" i="14"/>
  <c r="D899" i="14"/>
  <c r="D876" i="14"/>
  <c r="P876" i="14"/>
  <c r="P921" i="14"/>
  <c r="D921" i="14"/>
  <c r="D991" i="14"/>
  <c r="P991" i="14"/>
  <c r="D849" i="14"/>
  <c r="P849" i="14"/>
  <c r="D853" i="14"/>
  <c r="P853" i="14"/>
  <c r="D925" i="14"/>
  <c r="P925" i="14"/>
  <c r="P974" i="14"/>
  <c r="D974" i="14"/>
  <c r="D810" i="14"/>
  <c r="P810" i="14"/>
  <c r="D776" i="14"/>
  <c r="P776" i="14"/>
  <c r="D879" i="14"/>
  <c r="P879" i="14"/>
  <c r="P818" i="14"/>
  <c r="D818" i="14"/>
  <c r="P935" i="14"/>
  <c r="D935" i="14"/>
  <c r="P765" i="14"/>
  <c r="D765" i="14"/>
  <c r="P777" i="14"/>
  <c r="D777" i="14"/>
  <c r="P781" i="14"/>
  <c r="D781" i="14"/>
  <c r="P986" i="14"/>
  <c r="D986" i="14"/>
  <c r="D902" i="14"/>
  <c r="P902" i="14"/>
  <c r="P842" i="14"/>
  <c r="D842" i="14"/>
  <c r="D871" i="14"/>
  <c r="P871" i="14"/>
  <c r="P911" i="14"/>
  <c r="D911" i="14"/>
  <c r="D834" i="14"/>
  <c r="P834" i="14"/>
  <c r="D951" i="14"/>
  <c r="P951" i="14"/>
  <c r="D865" i="14"/>
  <c r="P865" i="14"/>
  <c r="D887" i="14"/>
  <c r="P887" i="14"/>
  <c r="D771" i="14"/>
  <c r="P771" i="14"/>
  <c r="D923" i="14"/>
  <c r="P923" i="14"/>
  <c r="D900" i="14"/>
  <c r="P900" i="14"/>
  <c r="D840" i="14"/>
  <c r="P840" i="14"/>
  <c r="D919" i="14"/>
  <c r="P919" i="14"/>
  <c r="P912" i="14"/>
  <c r="D912" i="14"/>
  <c r="D890" i="14"/>
  <c r="P890" i="14"/>
  <c r="P806" i="14"/>
  <c r="D806" i="14"/>
  <c r="P929" i="14"/>
  <c r="D929" i="14"/>
  <c r="P896" i="14"/>
  <c r="D896" i="14"/>
  <c r="D787" i="14"/>
  <c r="P787" i="14"/>
  <c r="D939" i="14"/>
  <c r="P939" i="14"/>
  <c r="D916" i="14"/>
  <c r="P916" i="14"/>
  <c r="P2316" i="14"/>
  <c r="D2316" i="14"/>
  <c r="D2260" i="14"/>
  <c r="P2260" i="14"/>
  <c r="D2288" i="14"/>
  <c r="P2288" i="14"/>
  <c r="P2410" i="14"/>
  <c r="D2410" i="14"/>
  <c r="P2398" i="14"/>
  <c r="D2398" i="14"/>
  <c r="P2249" i="14"/>
  <c r="D2249" i="14"/>
  <c r="D2344" i="14"/>
  <c r="P2434" i="14"/>
  <c r="D2434" i="14"/>
  <c r="P2330" i="14"/>
  <c r="D2330" i="14"/>
  <c r="D2414" i="14"/>
  <c r="P2414" i="14"/>
  <c r="P2366" i="14"/>
  <c r="D2366" i="14"/>
  <c r="D2270" i="14"/>
  <c r="P2270" i="14"/>
  <c r="P2334" i="14"/>
  <c r="D2334" i="14"/>
  <c r="P2347" i="14"/>
  <c r="D2245" i="14"/>
  <c r="D2384" i="14"/>
  <c r="P2384" i="14"/>
  <c r="P2356" i="14"/>
  <c r="P2340" i="14"/>
  <c r="D2340" i="14"/>
  <c r="P2396" i="14"/>
  <c r="P2445" i="14"/>
  <c r="D2445" i="14"/>
  <c r="D2376" i="14"/>
  <c r="D2253" i="14"/>
  <c r="P2253" i="14"/>
  <c r="D2392" i="14"/>
  <c r="P2427" i="14"/>
  <c r="D2413" i="14"/>
  <c r="P2413" i="14"/>
  <c r="D2430" i="14"/>
  <c r="P2275" i="14"/>
  <c r="P2351" i="14"/>
  <c r="D2351" i="14"/>
  <c r="P2420" i="14"/>
  <c r="P2466" i="14"/>
  <c r="D2466" i="14"/>
  <c r="D2261" i="14"/>
  <c r="D2400" i="14"/>
  <c r="P2321" i="14"/>
  <c r="D2321" i="14"/>
  <c r="D2307" i="14"/>
  <c r="D2408" i="14"/>
  <c r="D2373" i="14"/>
  <c r="D2262" i="14"/>
  <c r="P2262" i="14"/>
  <c r="D2293" i="14"/>
  <c r="D2467" i="14"/>
  <c r="P2467" i="14"/>
  <c r="P2339" i="14"/>
  <c r="D2423" i="14"/>
  <c r="D2294" i="14"/>
  <c r="P2294" i="14"/>
  <c r="P2325" i="14"/>
  <c r="D2325" i="14"/>
  <c r="C2705" i="14"/>
  <c r="C2704" i="14"/>
  <c r="C2692" i="14"/>
  <c r="C2600" i="14"/>
  <c r="C2550" i="14"/>
  <c r="C2495" i="14"/>
  <c r="C2624" i="14"/>
  <c r="C2581" i="14"/>
  <c r="C2490" i="14"/>
  <c r="C2642" i="14"/>
  <c r="C2655" i="14"/>
  <c r="C2528" i="14"/>
  <c r="C2639" i="14"/>
  <c r="C2631" i="14"/>
  <c r="C2549" i="14"/>
  <c r="C2601" i="14"/>
  <c r="C2727" i="14"/>
  <c r="C2652" i="14"/>
  <c r="C2651" i="14"/>
  <c r="C2599" i="14"/>
  <c r="C2508" i="14"/>
  <c r="C2681" i="14"/>
  <c r="C2566" i="14"/>
  <c r="C2545" i="14"/>
  <c r="C2700" i="14"/>
  <c r="C2604" i="14"/>
  <c r="C2554" i="14"/>
  <c r="C2499" i="14"/>
  <c r="F163" i="13"/>
  <c r="E210" i="13" s="1"/>
  <c r="C2677" i="14"/>
  <c r="C2544" i="14"/>
  <c r="C2676" i="14"/>
  <c r="C2675" i="14"/>
  <c r="C2648" i="14"/>
  <c r="C2625" i="14"/>
  <c r="C2531" i="14"/>
  <c r="C2691" i="14"/>
  <c r="C2590" i="14"/>
  <c r="C2540" i="14"/>
  <c r="D210" i="13"/>
  <c r="C2614" i="14"/>
  <c r="C2571" i="14"/>
  <c r="C2523" i="14"/>
  <c r="C2533" i="14"/>
  <c r="C2505" i="14"/>
  <c r="C2521" i="14"/>
  <c r="C2689" i="14"/>
  <c r="C2674" i="14"/>
  <c r="C2641" i="14"/>
  <c r="C2696" i="14"/>
  <c r="C2662" i="14"/>
  <c r="C2497" i="14"/>
  <c r="C2583" i="14"/>
  <c r="C2529" i="14"/>
  <c r="C2666" i="14"/>
  <c r="C2627" i="14"/>
  <c r="C2694" i="14"/>
  <c r="C2503" i="14"/>
  <c r="C2654" i="14"/>
  <c r="C2578" i="14"/>
  <c r="C2556" i="14"/>
  <c r="C2693" i="14"/>
  <c r="C2672" i="14"/>
  <c r="C2708" i="14"/>
  <c r="C2568" i="14"/>
  <c r="C2547" i="14"/>
  <c r="C2703" i="14"/>
  <c r="C2606" i="14"/>
  <c r="C2558" i="14"/>
  <c r="C2501" i="14"/>
  <c r="C2630" i="14"/>
  <c r="C2587" i="14"/>
  <c r="C2496" i="14"/>
  <c r="C2561" i="14"/>
  <c r="C2526" i="14"/>
  <c r="C2612" i="14"/>
  <c r="C2715" i="14"/>
  <c r="C2709" i="14"/>
  <c r="C2725" i="14"/>
  <c r="C2657" i="14"/>
  <c r="C2567" i="14"/>
  <c r="C2519" i="14"/>
  <c r="C2645" i="14"/>
  <c r="C2605" i="14"/>
  <c r="C2514" i="14"/>
  <c r="C2667" i="14"/>
  <c r="C2572" i="14"/>
  <c r="C2551" i="14"/>
  <c r="C2682" i="14"/>
  <c r="C2628" i="14"/>
  <c r="C2609" i="14"/>
  <c r="C2541" i="14"/>
  <c r="C2719" i="14"/>
  <c r="C2644" i="14"/>
  <c r="C2634" i="14"/>
  <c r="C2591" i="14"/>
  <c r="C2500" i="14"/>
  <c r="C2656" i="14"/>
  <c r="C2669" i="14"/>
  <c r="C2537" i="14"/>
  <c r="C2710" i="14"/>
  <c r="C2596" i="14"/>
  <c r="C2546" i="14"/>
  <c r="C2491" i="14"/>
  <c r="C2711" i="14"/>
  <c r="C2620" i="14"/>
  <c r="C2489" i="14"/>
  <c r="C2638" i="14"/>
  <c r="C2582" i="14"/>
  <c r="C2563" i="14"/>
  <c r="C2699" i="14"/>
  <c r="C2720" i="14"/>
  <c r="C2726" i="14"/>
  <c r="C2492" i="14"/>
  <c r="C2686" i="14"/>
  <c r="C2602" i="14"/>
  <c r="C2595" i="14"/>
  <c r="C2707" i="14"/>
  <c r="C2632" i="14"/>
  <c r="C2647" i="14"/>
  <c r="C2552" i="14"/>
  <c r="C2629" i="14"/>
  <c r="C2701" i="14"/>
  <c r="C2660" i="14"/>
  <c r="C2653" i="14"/>
  <c r="C2607" i="14"/>
  <c r="C2516" i="14"/>
  <c r="C2683" i="14"/>
  <c r="C2574" i="14"/>
  <c r="C2553" i="14"/>
  <c r="C2716" i="14"/>
  <c r="C2619" i="14"/>
  <c r="C2613" i="14"/>
  <c r="C2507" i="14"/>
  <c r="C2513" i="14"/>
  <c r="C2663" i="14"/>
  <c r="C2594" i="14"/>
  <c r="C2698" i="14"/>
  <c r="C2697" i="14"/>
  <c r="C2695" i="14"/>
  <c r="C2592" i="14"/>
  <c r="C2542" i="14"/>
  <c r="C2487" i="14"/>
  <c r="C2616" i="14"/>
  <c r="C2573" i="14"/>
  <c r="C2525" i="14"/>
  <c r="C2671" i="14"/>
  <c r="C2611" i="14"/>
  <c r="C2520" i="14"/>
  <c r="C2586" i="14"/>
  <c r="C2585" i="14"/>
  <c r="C2518" i="14"/>
  <c r="C2722" i="14"/>
  <c r="C2706" i="14"/>
  <c r="C2724" i="14"/>
  <c r="C2635" i="14"/>
  <c r="C2559" i="14"/>
  <c r="C2511" i="14"/>
  <c r="C2643" i="14"/>
  <c r="C2597" i="14"/>
  <c r="C2506" i="14"/>
  <c r="C2673" i="14"/>
  <c r="C2564" i="14"/>
  <c r="C2543" i="14"/>
  <c r="C2650" i="14"/>
  <c r="C2610" i="14"/>
  <c r="C2577" i="14"/>
  <c r="C2510" i="14"/>
  <c r="C2623" i="14"/>
  <c r="C2532" i="14"/>
  <c r="C2515" i="14"/>
  <c r="C2538" i="14"/>
  <c r="C2509" i="14"/>
  <c r="C2687" i="14"/>
  <c r="C2646" i="14"/>
  <c r="C2588" i="14"/>
  <c r="C2702" i="14"/>
  <c r="C2557" i="14"/>
  <c r="C2608" i="14"/>
  <c r="C2589" i="14"/>
  <c r="C2535" i="14"/>
  <c r="C2659" i="14"/>
  <c r="C2637" i="14"/>
  <c r="C2723" i="14"/>
  <c r="C2718" i="14"/>
  <c r="C2661" i="14"/>
  <c r="C2618" i="14"/>
  <c r="C2575" i="14"/>
  <c r="C2527" i="14"/>
  <c r="C2679" i="14"/>
  <c r="C2615" i="14"/>
  <c r="C2522" i="14"/>
  <c r="C2670" i="14"/>
  <c r="C2580" i="14"/>
  <c r="C2530" i="14"/>
  <c r="C2713" i="14"/>
  <c r="C2640" i="14"/>
  <c r="C2570" i="14"/>
  <c r="C2562" i="14"/>
  <c r="C2684" i="14"/>
  <c r="C2664" i="14"/>
  <c r="C2658" i="14"/>
  <c r="C2560" i="14"/>
  <c r="C2539" i="14"/>
  <c r="C2712" i="14"/>
  <c r="C2598" i="14"/>
  <c r="C2548" i="14"/>
  <c r="C2493" i="14"/>
  <c r="C2622" i="14"/>
  <c r="C2579" i="14"/>
  <c r="C2488" i="14"/>
  <c r="C2536" i="14"/>
  <c r="C2494" i="14"/>
  <c r="C2569" i="14"/>
  <c r="C2690" i="14"/>
  <c r="C2688" i="14"/>
  <c r="C2678" i="14"/>
  <c r="C2584" i="14"/>
  <c r="C2534" i="14"/>
  <c r="C2721" i="14"/>
  <c r="C2649" i="14"/>
  <c r="C2565" i="14"/>
  <c r="C2517" i="14"/>
  <c r="C2685" i="14"/>
  <c r="C2603" i="14"/>
  <c r="C2512" i="14"/>
  <c r="C2633" i="14"/>
  <c r="C2621" i="14"/>
  <c r="C2486" i="14"/>
  <c r="C2668" i="14"/>
  <c r="C2524" i="14"/>
  <c r="C2717" i="14"/>
  <c r="C2502" i="14"/>
  <c r="C2665" i="14"/>
  <c r="C2504" i="14"/>
  <c r="C2626" i="14"/>
  <c r="C2617" i="14"/>
  <c r="AI17" i="14"/>
  <c r="C2576" i="14"/>
  <c r="C2714" i="14"/>
  <c r="C2555" i="14"/>
  <c r="C2498" i="14"/>
  <c r="C2636" i="14"/>
  <c r="C2680" i="14"/>
  <c r="C2593" i="14"/>
  <c r="C86" i="7"/>
  <c r="C86" i="6"/>
  <c r="N26" i="11"/>
  <c r="AC48" i="14"/>
  <c r="D101" i="13"/>
  <c r="C134" i="13"/>
  <c r="C154" i="13" s="1"/>
  <c r="AI28" i="14" s="1"/>
  <c r="Z167" i="2"/>
  <c r="K120" i="11" s="1"/>
  <c r="K107" i="11" s="1"/>
  <c r="K91" i="11" s="1"/>
  <c r="S167" i="2"/>
  <c r="P175" i="14"/>
  <c r="D181" i="14"/>
  <c r="D56" i="14"/>
  <c r="P127" i="14"/>
  <c r="D20" i="14"/>
  <c r="P202" i="14"/>
  <c r="D26" i="14"/>
  <c r="D204" i="14"/>
  <c r="P582" i="14"/>
  <c r="D582" i="14"/>
  <c r="D604" i="14"/>
  <c r="P604" i="14"/>
  <c r="D610" i="14"/>
  <c r="P610" i="14"/>
  <c r="D541" i="14"/>
  <c r="P541" i="14"/>
  <c r="D583" i="14"/>
  <c r="P583" i="14"/>
  <c r="P601" i="14"/>
  <c r="D601" i="14"/>
  <c r="D627" i="14"/>
  <c r="P627" i="14"/>
  <c r="D694" i="14"/>
  <c r="P694" i="14"/>
  <c r="D687" i="14"/>
  <c r="P687" i="14"/>
  <c r="P705" i="14"/>
  <c r="D705" i="14"/>
  <c r="P731" i="14"/>
  <c r="D731" i="14"/>
  <c r="D741" i="14"/>
  <c r="P741" i="14"/>
  <c r="D506" i="14"/>
  <c r="P506" i="14"/>
  <c r="P532" i="14"/>
  <c r="D532" i="14"/>
  <c r="D540" i="14"/>
  <c r="P540" i="14"/>
  <c r="D587" i="14"/>
  <c r="P587" i="14"/>
  <c r="D706" i="14"/>
  <c r="P706" i="14"/>
  <c r="P720" i="14"/>
  <c r="D720" i="14"/>
  <c r="P629" i="14"/>
  <c r="D629" i="14"/>
  <c r="D728" i="14"/>
  <c r="P728" i="14"/>
  <c r="P505" i="14"/>
  <c r="D505" i="14"/>
  <c r="P531" i="14"/>
  <c r="D531" i="14"/>
  <c r="D573" i="14"/>
  <c r="P573" i="14"/>
  <c r="P591" i="14"/>
  <c r="D591" i="14"/>
  <c r="D609" i="14"/>
  <c r="P609" i="14"/>
  <c r="D635" i="14"/>
  <c r="P635" i="14"/>
  <c r="P598" i="14"/>
  <c r="D598" i="14"/>
  <c r="D663" i="14"/>
  <c r="P663" i="14"/>
  <c r="P681" i="14"/>
  <c r="D681" i="14"/>
  <c r="D707" i="14"/>
  <c r="P707" i="14"/>
  <c r="P671" i="14"/>
  <c r="D671" i="14"/>
  <c r="D509" i="14"/>
  <c r="P509" i="14"/>
  <c r="D657" i="14"/>
  <c r="P657" i="14"/>
  <c r="D651" i="14"/>
  <c r="P651" i="14"/>
  <c r="D504" i="14"/>
  <c r="P504" i="14"/>
  <c r="P522" i="14"/>
  <c r="D522" i="14"/>
  <c r="P548" i="14"/>
  <c r="D548" i="14"/>
  <c r="D574" i="14"/>
  <c r="P574" i="14"/>
  <c r="P608" i="14"/>
  <c r="D608" i="14"/>
  <c r="D626" i="14"/>
  <c r="P626" i="14"/>
  <c r="D652" i="14"/>
  <c r="P652" i="14"/>
  <c r="P678" i="14"/>
  <c r="D678" i="14"/>
  <c r="D680" i="14"/>
  <c r="P680" i="14"/>
  <c r="P698" i="14"/>
  <c r="D698" i="14"/>
  <c r="P724" i="14"/>
  <c r="D724" i="14"/>
  <c r="D734" i="14"/>
  <c r="P734" i="14"/>
  <c r="D589" i="14"/>
  <c r="P589" i="14"/>
  <c r="D721" i="14"/>
  <c r="P721" i="14"/>
  <c r="P735" i="14"/>
  <c r="D735" i="14"/>
  <c r="D654" i="14"/>
  <c r="P654" i="14"/>
  <c r="D551" i="14"/>
  <c r="P551" i="14"/>
  <c r="P569" i="14"/>
  <c r="D569" i="14"/>
  <c r="P595" i="14"/>
  <c r="D595" i="14"/>
  <c r="P566" i="14"/>
  <c r="D566" i="14"/>
  <c r="P655" i="14"/>
  <c r="D655" i="14"/>
  <c r="D673" i="14"/>
  <c r="P673" i="14"/>
  <c r="D699" i="14"/>
  <c r="P699" i="14"/>
  <c r="P613" i="14"/>
  <c r="D613" i="14"/>
  <c r="D727" i="14"/>
  <c r="P727" i="14"/>
  <c r="AQ9" i="14"/>
  <c r="AL9" i="14"/>
  <c r="AK9" i="14"/>
  <c r="AN9" i="14"/>
  <c r="AJ9" i="14"/>
  <c r="AM9" i="14"/>
  <c r="AK29" i="14"/>
  <c r="H243" i="2"/>
  <c r="G86" i="5" s="1"/>
  <c r="J87" i="5" s="1"/>
  <c r="G103" i="5" s="1"/>
  <c r="I243" i="2"/>
  <c r="H86" i="5" s="1"/>
  <c r="K87" i="5" s="1"/>
  <c r="H103" i="5" s="1"/>
  <c r="G244" i="2"/>
  <c r="F87" i="5" s="1"/>
  <c r="I244" i="2"/>
  <c r="H87" i="5" s="1"/>
  <c r="H244" i="2"/>
  <c r="G87" i="5" s="1"/>
  <c r="D1546" i="14"/>
  <c r="D1731" i="14"/>
  <c r="D1644" i="14"/>
  <c r="P1496" i="14"/>
  <c r="D1532" i="14"/>
  <c r="D1526" i="14"/>
  <c r="D1718" i="14"/>
  <c r="P1576" i="14"/>
  <c r="P1682" i="14"/>
  <c r="D1682" i="14"/>
  <c r="I34" i="11"/>
  <c r="L34" i="11" s="1"/>
  <c r="S169" i="2"/>
  <c r="Z169" i="2"/>
  <c r="K118" i="11" s="1"/>
  <c r="K105" i="11" s="1"/>
  <c r="K89" i="11" s="1"/>
  <c r="D1855" i="14"/>
  <c r="P1855" i="14"/>
  <c r="P1811" i="14"/>
  <c r="D1811" i="14"/>
  <c r="D1901" i="14"/>
  <c r="P1901" i="14"/>
  <c r="P1927" i="14"/>
  <c r="D1927" i="14"/>
  <c r="P1953" i="14"/>
  <c r="D1953" i="14"/>
  <c r="D1791" i="14"/>
  <c r="P1791" i="14"/>
  <c r="P1843" i="14"/>
  <c r="D1843" i="14"/>
  <c r="P1909" i="14"/>
  <c r="D1909" i="14"/>
  <c r="P1935" i="14"/>
  <c r="D1935" i="14"/>
  <c r="D1961" i="14"/>
  <c r="P1961" i="14"/>
  <c r="D1916" i="14"/>
  <c r="P1916" i="14"/>
  <c r="D1967" i="14"/>
  <c r="P1967" i="14"/>
  <c r="P1821" i="14"/>
  <c r="D1821" i="14"/>
  <c r="D1847" i="14"/>
  <c r="P1847" i="14"/>
  <c r="D1873" i="14"/>
  <c r="P1873" i="14"/>
  <c r="P1754" i="14"/>
  <c r="D1754" i="14"/>
  <c r="P1795" i="14"/>
  <c r="D1795" i="14"/>
  <c r="D1762" i="14"/>
  <c r="P1762" i="14"/>
  <c r="P1788" i="14"/>
  <c r="D1788" i="14"/>
  <c r="P1814" i="14"/>
  <c r="D1814" i="14"/>
  <c r="P1808" i="14"/>
  <c r="D1808" i="14"/>
  <c r="D1859" i="14"/>
  <c r="P1859" i="14"/>
  <c r="P1770" i="14"/>
  <c r="D1770" i="14"/>
  <c r="P1796" i="14"/>
  <c r="D1796" i="14"/>
  <c r="P1822" i="14"/>
  <c r="D1822" i="14"/>
  <c r="P1907" i="14"/>
  <c r="D1907" i="14"/>
  <c r="D1945" i="14"/>
  <c r="P1945" i="14"/>
  <c r="P1947" i="14"/>
  <c r="D1947" i="14"/>
  <c r="D1972" i="14"/>
  <c r="P1972" i="14"/>
  <c r="P1979" i="14"/>
  <c r="D1979" i="14"/>
  <c r="P1779" i="14"/>
  <c r="D1779" i="14"/>
  <c r="P1881" i="14"/>
  <c r="D1881" i="14"/>
  <c r="D1883" i="14"/>
  <c r="P1883" i="14"/>
  <c r="P1956" i="14"/>
  <c r="D1956" i="14"/>
  <c r="D1982" i="14"/>
  <c r="P1982" i="14"/>
  <c r="D1771" i="14"/>
  <c r="P1771" i="14"/>
  <c r="D1913" i="14"/>
  <c r="P1913" i="14"/>
  <c r="D1915" i="14"/>
  <c r="P1915" i="14"/>
  <c r="P1964" i="14"/>
  <c r="D1964" i="14"/>
  <c r="P1971" i="14"/>
  <c r="D1971" i="14"/>
  <c r="D1784" i="14"/>
  <c r="P1784" i="14"/>
  <c r="D1742" i="14"/>
  <c r="P1742" i="14"/>
  <c r="D1850" i="14"/>
  <c r="P1850" i="14"/>
  <c r="P1876" i="14"/>
  <c r="D1876" i="14"/>
  <c r="P1902" i="14"/>
  <c r="D1902" i="14"/>
  <c r="P1928" i="14"/>
  <c r="D1928" i="14"/>
  <c r="D1974" i="14"/>
  <c r="P1974" i="14"/>
  <c r="P1827" i="14"/>
  <c r="D1827" i="14"/>
  <c r="D1860" i="14"/>
  <c r="P1860" i="14"/>
  <c r="P1886" i="14"/>
  <c r="D1886" i="14"/>
  <c r="P1912" i="14"/>
  <c r="D1912" i="14"/>
  <c r="P1942" i="14"/>
  <c r="D1942" i="14"/>
  <c r="D1923" i="14"/>
  <c r="P1923" i="14"/>
  <c r="P1868" i="14"/>
  <c r="D1868" i="14"/>
  <c r="P1894" i="14"/>
  <c r="D1894" i="14"/>
  <c r="P1920" i="14"/>
  <c r="D1920" i="14"/>
  <c r="P1823" i="14"/>
  <c r="D1823" i="14"/>
  <c r="P1875" i="14"/>
  <c r="D1875" i="14"/>
  <c r="D1917" i="14"/>
  <c r="P1917" i="14"/>
  <c r="P1943" i="14"/>
  <c r="D1943" i="14"/>
  <c r="P1832" i="14"/>
  <c r="D1832" i="14"/>
  <c r="D970" i="14"/>
  <c r="P970" i="14"/>
  <c r="P880" i="14"/>
  <c r="D880" i="14"/>
  <c r="P947" i="14"/>
  <c r="D947" i="14"/>
  <c r="P845" i="14"/>
  <c r="D845" i="14"/>
  <c r="P869" i="14"/>
  <c r="D869" i="14"/>
  <c r="D944" i="14"/>
  <c r="P944" i="14"/>
  <c r="P814" i="14"/>
  <c r="D814" i="14"/>
  <c r="AM10" i="14"/>
  <c r="AQ10" i="14"/>
  <c r="AL10" i="14"/>
  <c r="AK10" i="14"/>
  <c r="AN10" i="14"/>
  <c r="AJ10" i="14"/>
  <c r="AK30" i="14"/>
  <c r="D770" i="14"/>
  <c r="P770" i="14"/>
  <c r="P826" i="14"/>
  <c r="D826" i="14"/>
  <c r="D774" i="14"/>
  <c r="P774" i="14"/>
  <c r="P764" i="14"/>
  <c r="D764" i="14"/>
  <c r="D852" i="14"/>
  <c r="P852" i="14"/>
  <c r="P815" i="14"/>
  <c r="D815" i="14"/>
  <c r="P778" i="14"/>
  <c r="D778" i="14"/>
  <c r="D782" i="14"/>
  <c r="P782" i="14"/>
  <c r="D946" i="14"/>
  <c r="P946" i="14"/>
  <c r="D862" i="14"/>
  <c r="P862" i="14"/>
  <c r="P933" i="14"/>
  <c r="D933" i="14"/>
  <c r="D977" i="14"/>
  <c r="P977" i="14"/>
  <c r="D792" i="14"/>
  <c r="P792" i="14"/>
  <c r="P981" i="14"/>
  <c r="D981" i="14"/>
  <c r="D928" i="14"/>
  <c r="P928" i="14"/>
  <c r="D828" i="14"/>
  <c r="P828" i="14"/>
  <c r="P753" i="14"/>
  <c r="D753" i="14"/>
  <c r="P757" i="14"/>
  <c r="D757" i="14"/>
  <c r="P962" i="14"/>
  <c r="D962" i="14"/>
  <c r="P878" i="14"/>
  <c r="D878" i="14"/>
  <c r="D906" i="14"/>
  <c r="P906" i="14"/>
  <c r="P768" i="14"/>
  <c r="D768" i="14"/>
  <c r="D953" i="14"/>
  <c r="P953" i="14"/>
  <c r="P850" i="14"/>
  <c r="D850" i="14"/>
  <c r="P967" i="14"/>
  <c r="D967" i="14"/>
  <c r="P856" i="14"/>
  <c r="D856" i="14"/>
  <c r="D809" i="14"/>
  <c r="P809" i="14"/>
  <c r="P813" i="14"/>
  <c r="D813" i="14"/>
  <c r="P885" i="14"/>
  <c r="D885" i="14"/>
  <c r="D934" i="14"/>
  <c r="P934" i="14"/>
  <c r="P938" i="14"/>
  <c r="D938" i="14"/>
  <c r="P791" i="14"/>
  <c r="D791" i="14"/>
  <c r="D816" i="14"/>
  <c r="P816" i="14"/>
  <c r="P866" i="14"/>
  <c r="D866" i="14"/>
  <c r="P983" i="14"/>
  <c r="D983" i="14"/>
  <c r="P2290" i="14"/>
  <c r="D2247" i="14"/>
  <c r="P2309" i="14"/>
  <c r="D2309" i="14"/>
  <c r="P2448" i="14"/>
  <c r="D2393" i="14"/>
  <c r="P2393" i="14"/>
  <c r="D2281" i="14"/>
  <c r="D2320" i="14"/>
  <c r="P2279" i="14"/>
  <c r="D2279" i="14"/>
  <c r="P2258" i="14"/>
  <c r="P2342" i="14"/>
  <c r="D2342" i="14"/>
  <c r="D2374" i="14"/>
  <c r="D2323" i="14"/>
  <c r="P2323" i="14"/>
  <c r="D2287" i="14"/>
  <c r="P2287" i="14"/>
  <c r="D2269" i="14"/>
  <c r="D2243" i="14"/>
  <c r="P2243" i="14"/>
  <c r="P2346" i="14"/>
  <c r="D2346" i="14"/>
  <c r="P2336" i="14"/>
  <c r="D2368" i="14"/>
  <c r="D2265" i="14"/>
  <c r="P2265" i="14"/>
  <c r="P2274" i="14"/>
  <c r="P2475" i="14"/>
  <c r="D2475" i="14"/>
  <c r="D2251" i="14"/>
  <c r="D2390" i="14"/>
  <c r="P2417" i="14"/>
  <c r="D2417" i="14"/>
  <c r="D2385" i="14"/>
  <c r="D2389" i="14"/>
  <c r="P2389" i="14"/>
  <c r="D2289" i="14"/>
  <c r="D2428" i="14"/>
  <c r="P2428" i="14"/>
  <c r="D2338" i="14"/>
  <c r="P2338" i="14"/>
  <c r="D2422" i="14"/>
  <c r="P2424" i="14"/>
  <c r="D2424" i="14"/>
  <c r="J244" i="2"/>
  <c r="R168" i="2" s="1"/>
  <c r="D258" i="2"/>
  <c r="P244" i="2"/>
  <c r="C38" i="7"/>
  <c r="C38" i="6"/>
  <c r="L25" i="11"/>
  <c r="D243" i="2"/>
  <c r="C243" i="2" s="1"/>
  <c r="D79" i="14"/>
  <c r="P84" i="14"/>
  <c r="D145" i="14"/>
  <c r="P159" i="14"/>
  <c r="D42" i="14"/>
  <c r="D52" i="14"/>
  <c r="P231" i="14"/>
  <c r="D234" i="14"/>
  <c r="C2223" i="14"/>
  <c r="C2110" i="14"/>
  <c r="C2105" i="14"/>
  <c r="C2080" i="14"/>
  <c r="C2220" i="14"/>
  <c r="C2215" i="14"/>
  <c r="C2087" i="14"/>
  <c r="C2062" i="14"/>
  <c r="C2194" i="14"/>
  <c r="C2189" i="14"/>
  <c r="C2061" i="14"/>
  <c r="C2036" i="14"/>
  <c r="C2059" i="14"/>
  <c r="C2019" i="14"/>
  <c r="C2011" i="14"/>
  <c r="C2168" i="14"/>
  <c r="C2134" i="14"/>
  <c r="C2129" i="14"/>
  <c r="C2001" i="14"/>
  <c r="C2229" i="14"/>
  <c r="C2116" i="14"/>
  <c r="C2111" i="14"/>
  <c r="C2086" i="14"/>
  <c r="C2218" i="14"/>
  <c r="C2213" i="14"/>
  <c r="C2085" i="14"/>
  <c r="C2060" i="14"/>
  <c r="C2155" i="14"/>
  <c r="C2115" i="14"/>
  <c r="C2107" i="14"/>
  <c r="C2195" i="14"/>
  <c r="C2158" i="14"/>
  <c r="C2153" i="14"/>
  <c r="C2025" i="14"/>
  <c r="C2000" i="14"/>
  <c r="C2140" i="14"/>
  <c r="C2135" i="14"/>
  <c r="C2007" i="14"/>
  <c r="C2227" i="14"/>
  <c r="C2114" i="14"/>
  <c r="C2109" i="14"/>
  <c r="C2084" i="14"/>
  <c r="C2128" i="14"/>
  <c r="C2211" i="14"/>
  <c r="C2203" i="14"/>
  <c r="C2131" i="14"/>
  <c r="C2118" i="14"/>
  <c r="C2100" i="14"/>
  <c r="C2197" i="14"/>
  <c r="C2051" i="14"/>
  <c r="C2132" i="14"/>
  <c r="C2003" i="14"/>
  <c r="C2056" i="14"/>
  <c r="C2038" i="14"/>
  <c r="C2012" i="14"/>
  <c r="C2010" i="14"/>
  <c r="C2182" i="14"/>
  <c r="C2164" i="14"/>
  <c r="C2138" i="14"/>
  <c r="C2184" i="14"/>
  <c r="C1992" i="14"/>
  <c r="C2179" i="14"/>
  <c r="C2206" i="14"/>
  <c r="C2201" i="14"/>
  <c r="C2073" i="14"/>
  <c r="C2048" i="14"/>
  <c r="C2188" i="14"/>
  <c r="C2183" i="14"/>
  <c r="C2055" i="14"/>
  <c r="C2030" i="14"/>
  <c r="C2162" i="14"/>
  <c r="C2157" i="14"/>
  <c r="C2029" i="14"/>
  <c r="C2004" i="14"/>
  <c r="C2034" i="14"/>
  <c r="C1994" i="14"/>
  <c r="AI15" i="14"/>
  <c r="C2230" i="14"/>
  <c r="C2102" i="14"/>
  <c r="C2097" i="14"/>
  <c r="C2072" i="14"/>
  <c r="C2212" i="14"/>
  <c r="C2207" i="14"/>
  <c r="C2079" i="14"/>
  <c r="C2054" i="14"/>
  <c r="C2186" i="14"/>
  <c r="C2181" i="14"/>
  <c r="C2053" i="14"/>
  <c r="C2028" i="14"/>
  <c r="C2027" i="14"/>
  <c r="C2090" i="14"/>
  <c r="C2082" i="14"/>
  <c r="C2163" i="14"/>
  <c r="C2126" i="14"/>
  <c r="C2121" i="14"/>
  <c r="C1993" i="14"/>
  <c r="C2221" i="14"/>
  <c r="C2108" i="14"/>
  <c r="C2103" i="14"/>
  <c r="C2078" i="14"/>
  <c r="C2210" i="14"/>
  <c r="C2205" i="14"/>
  <c r="C2077" i="14"/>
  <c r="C2052" i="14"/>
  <c r="C2123" i="14"/>
  <c r="C2083" i="14"/>
  <c r="C2075" i="14"/>
  <c r="C2067" i="14"/>
  <c r="C2113" i="14"/>
  <c r="C2095" i="14"/>
  <c r="C2069" i="14"/>
  <c r="C2043" i="14"/>
  <c r="C1999" i="14"/>
  <c r="C2214" i="14"/>
  <c r="C2196" i="14"/>
  <c r="C2170" i="14"/>
  <c r="C2066" i="14"/>
  <c r="C2145" i="14"/>
  <c r="C2177" i="14"/>
  <c r="C2159" i="14"/>
  <c r="C2133" i="14"/>
  <c r="C2176" i="14"/>
  <c r="C2127" i="14"/>
  <c r="C2174" i="14"/>
  <c r="C2169" i="14"/>
  <c r="C2041" i="14"/>
  <c r="C2016" i="14"/>
  <c r="C2156" i="14"/>
  <c r="C2151" i="14"/>
  <c r="C2023" i="14"/>
  <c r="C1998" i="14"/>
  <c r="C2130" i="14"/>
  <c r="C2125" i="14"/>
  <c r="C1997" i="14"/>
  <c r="C2192" i="14"/>
  <c r="C2152" i="14"/>
  <c r="C2144" i="14"/>
  <c r="C2074" i="14"/>
  <c r="C2198" i="14"/>
  <c r="C2193" i="14"/>
  <c r="C2065" i="14"/>
  <c r="C2040" i="14"/>
  <c r="C2180" i="14"/>
  <c r="C2175" i="14"/>
  <c r="C2047" i="14"/>
  <c r="C2022" i="14"/>
  <c r="C2154" i="14"/>
  <c r="C2149" i="14"/>
  <c r="C2021" i="14"/>
  <c r="C1996" i="14"/>
  <c r="C2002" i="14"/>
  <c r="C2225" i="14"/>
  <c r="C2217" i="14"/>
  <c r="C2222" i="14"/>
  <c r="C2094" i="14"/>
  <c r="C2089" i="14"/>
  <c r="C2064" i="14"/>
  <c r="C2204" i="14"/>
  <c r="C2199" i="14"/>
  <c r="C2071" i="14"/>
  <c r="C2046" i="14"/>
  <c r="C2178" i="14"/>
  <c r="C2173" i="14"/>
  <c r="C2045" i="14"/>
  <c r="C2020" i="14"/>
  <c r="C1995" i="14"/>
  <c r="C2058" i="14"/>
  <c r="C2050" i="14"/>
  <c r="C2035" i="14"/>
  <c r="C2088" i="14"/>
  <c r="C2070" i="14"/>
  <c r="C2044" i="14"/>
  <c r="C2042" i="14"/>
  <c r="C2106" i="14"/>
  <c r="C2209" i="14"/>
  <c r="C2191" i="14"/>
  <c r="C2165" i="14"/>
  <c r="C2026" i="14"/>
  <c r="C2101" i="14"/>
  <c r="C2049" i="14"/>
  <c r="C2031" i="14"/>
  <c r="C2005" i="14"/>
  <c r="C2099" i="14"/>
  <c r="C2219" i="14"/>
  <c r="C2142" i="14"/>
  <c r="C2137" i="14"/>
  <c r="C2009" i="14"/>
  <c r="F161" i="13"/>
  <c r="E208" i="13" s="1"/>
  <c r="C2124" i="14"/>
  <c r="C2119" i="14"/>
  <c r="C1991" i="14"/>
  <c r="C2226" i="14"/>
  <c r="C2098" i="14"/>
  <c r="C2093" i="14"/>
  <c r="C2068" i="14"/>
  <c r="C2187" i="14"/>
  <c r="C2147" i="14"/>
  <c r="C2139" i="14"/>
  <c r="C2200" i="14"/>
  <c r="C2166" i="14"/>
  <c r="C2161" i="14"/>
  <c r="C2033" i="14"/>
  <c r="C2008" i="14"/>
  <c r="C2148" i="14"/>
  <c r="C2143" i="14"/>
  <c r="C2015" i="14"/>
  <c r="C1990" i="14"/>
  <c r="C2122" i="14"/>
  <c r="C2117" i="14"/>
  <c r="C2092" i="14"/>
  <c r="C2160" i="14"/>
  <c r="C2120" i="14"/>
  <c r="C2112" i="14"/>
  <c r="C2136" i="14"/>
  <c r="C2190" i="14"/>
  <c r="C2185" i="14"/>
  <c r="C2057" i="14"/>
  <c r="C2032" i="14"/>
  <c r="C2172" i="14"/>
  <c r="C2167" i="14"/>
  <c r="C2039" i="14"/>
  <c r="C2014" i="14"/>
  <c r="C2146" i="14"/>
  <c r="C2141" i="14"/>
  <c r="C2013" i="14"/>
  <c r="D208" i="13"/>
  <c r="C2216" i="14"/>
  <c r="C2208" i="14"/>
  <c r="C2104" i="14"/>
  <c r="C2231" i="14"/>
  <c r="C2228" i="14"/>
  <c r="C2202" i="14"/>
  <c r="C2091" i="14"/>
  <c r="C2017" i="14"/>
  <c r="C2096" i="14"/>
  <c r="C2081" i="14"/>
  <c r="C2063" i="14"/>
  <c r="C2037" i="14"/>
  <c r="C2018" i="14"/>
  <c r="C2171" i="14"/>
  <c r="C2024" i="14"/>
  <c r="C2006" i="14"/>
  <c r="C2224" i="14"/>
  <c r="C2150" i="14"/>
  <c r="C2076" i="14"/>
  <c r="P656" i="14"/>
  <c r="D656" i="14"/>
  <c r="D525" i="14"/>
  <c r="P525" i="14"/>
  <c r="P624" i="14"/>
  <c r="D624" i="14"/>
  <c r="D636" i="14"/>
  <c r="P636" i="14"/>
  <c r="P549" i="14"/>
  <c r="D549" i="14"/>
  <c r="D711" i="14"/>
  <c r="P711" i="14"/>
  <c r="P729" i="14"/>
  <c r="D729" i="14"/>
  <c r="D510" i="14"/>
  <c r="P510" i="14"/>
  <c r="P544" i="14"/>
  <c r="D544" i="14"/>
  <c r="D562" i="14"/>
  <c r="P562" i="14"/>
  <c r="D588" i="14"/>
  <c r="P588" i="14"/>
  <c r="D702" i="14"/>
  <c r="P702" i="14"/>
  <c r="D616" i="14"/>
  <c r="P616" i="14"/>
  <c r="P634" i="14"/>
  <c r="D634" i="14"/>
  <c r="D660" i="14"/>
  <c r="P660" i="14"/>
  <c r="P622" i="14"/>
  <c r="D622" i="14"/>
  <c r="D639" i="14"/>
  <c r="P639" i="14"/>
  <c r="P732" i="14"/>
  <c r="D732" i="14"/>
  <c r="P738" i="14"/>
  <c r="D738" i="14"/>
  <c r="P669" i="14"/>
  <c r="D669" i="14"/>
  <c r="P615" i="14"/>
  <c r="D615" i="14"/>
  <c r="D633" i="14"/>
  <c r="P633" i="14"/>
  <c r="D659" i="14"/>
  <c r="P659" i="14"/>
  <c r="D581" i="14"/>
  <c r="P581" i="14"/>
  <c r="D719" i="14"/>
  <c r="P719" i="14"/>
  <c r="P737" i="14"/>
  <c r="D737" i="14"/>
  <c r="P606" i="14"/>
  <c r="D606" i="14"/>
  <c r="P520" i="14"/>
  <c r="D520" i="14"/>
  <c r="D538" i="14"/>
  <c r="P538" i="14"/>
  <c r="P564" i="14"/>
  <c r="D564" i="14"/>
  <c r="P502" i="14"/>
  <c r="D502" i="14"/>
  <c r="D689" i="14"/>
  <c r="P689" i="14"/>
  <c r="P575" i="14"/>
  <c r="D575" i="14"/>
  <c r="D637" i="14"/>
  <c r="P637" i="14"/>
  <c r="D717" i="14"/>
  <c r="P717" i="14"/>
  <c r="D632" i="14"/>
  <c r="P632" i="14"/>
  <c r="P650" i="14"/>
  <c r="D650" i="14"/>
  <c r="P676" i="14"/>
  <c r="D676" i="14"/>
  <c r="P661" i="14"/>
  <c r="D661" i="14"/>
  <c r="P736" i="14"/>
  <c r="D736" i="14"/>
  <c r="D513" i="14"/>
  <c r="P513" i="14"/>
  <c r="D539" i="14"/>
  <c r="P539" i="14"/>
  <c r="D718" i="14"/>
  <c r="P718" i="14"/>
  <c r="D567" i="14"/>
  <c r="P567" i="14"/>
  <c r="P585" i="14"/>
  <c r="D585" i="14"/>
  <c r="P611" i="14"/>
  <c r="D611" i="14"/>
  <c r="P528" i="14"/>
  <c r="D528" i="14"/>
  <c r="D668" i="14"/>
  <c r="P668" i="14"/>
  <c r="P725" i="14"/>
  <c r="D725" i="14"/>
  <c r="D508" i="14"/>
  <c r="P508" i="14"/>
  <c r="P662" i="14"/>
  <c r="D662" i="14"/>
  <c r="D679" i="14"/>
  <c r="P679" i="14"/>
  <c r="P697" i="14"/>
  <c r="D697" i="14"/>
  <c r="P723" i="14"/>
  <c r="D723" i="14"/>
  <c r="P512" i="14"/>
  <c r="D512" i="14"/>
  <c r="D530" i="14"/>
  <c r="P530" i="14"/>
  <c r="D556" i="14"/>
  <c r="P556" i="14"/>
  <c r="D670" i="14"/>
  <c r="P670" i="14"/>
  <c r="D584" i="14"/>
  <c r="P584" i="14"/>
  <c r="P602" i="14"/>
  <c r="D602" i="14"/>
  <c r="D628" i="14"/>
  <c r="P628" i="14"/>
  <c r="C1455" i="14"/>
  <c r="C1327" i="14"/>
  <c r="C1364" i="14"/>
  <c r="C1423" i="14"/>
  <c r="C1460" i="14"/>
  <c r="C1332" i="14"/>
  <c r="C1280" i="14"/>
  <c r="C1405" i="14"/>
  <c r="C1391" i="14"/>
  <c r="C1428" i="14"/>
  <c r="C1487" i="14"/>
  <c r="C1359" i="14"/>
  <c r="C1396" i="14"/>
  <c r="C1269" i="14"/>
  <c r="C1469" i="14"/>
  <c r="C1341" i="14"/>
  <c r="C1248" i="14"/>
  <c r="C1442" i="14"/>
  <c r="C1315" i="14"/>
  <c r="C1262" i="14"/>
  <c r="C1379" i="14"/>
  <c r="C1416" i="14"/>
  <c r="C1289" i="14"/>
  <c r="C1481" i="14"/>
  <c r="C1473" i="14"/>
  <c r="C1433" i="14"/>
  <c r="C1303" i="14"/>
  <c r="C1479" i="14"/>
  <c r="C1351" i="14"/>
  <c r="C1388" i="14"/>
  <c r="C1261" i="14"/>
  <c r="C1461" i="14"/>
  <c r="C1333" i="14"/>
  <c r="C1370" i="14"/>
  <c r="C1318" i="14"/>
  <c r="C1435" i="14"/>
  <c r="C1472" i="14"/>
  <c r="C1344" i="14"/>
  <c r="C1292" i="14"/>
  <c r="C1358" i="14"/>
  <c r="C1350" i="14"/>
  <c r="C1311" i="14"/>
  <c r="C1425" i="14"/>
  <c r="C1375" i="14"/>
  <c r="C1412" i="14"/>
  <c r="C1285" i="14"/>
  <c r="C1485" i="14"/>
  <c r="C1357" i="14"/>
  <c r="C1394" i="14"/>
  <c r="C1267" i="14"/>
  <c r="C1459" i="14"/>
  <c r="C1331" i="14"/>
  <c r="C1368" i="14"/>
  <c r="C1316" i="14"/>
  <c r="C1454" i="14"/>
  <c r="C1446" i="14"/>
  <c r="C1406" i="14"/>
  <c r="C1329" i="14"/>
  <c r="C1372" i="14"/>
  <c r="C1354" i="14"/>
  <c r="C1328" i="14"/>
  <c r="C1247" i="14"/>
  <c r="C1386" i="14"/>
  <c r="C1431" i="14"/>
  <c r="C1413" i="14"/>
  <c r="C1387" i="14"/>
  <c r="F158" i="13"/>
  <c r="E205" i="13" s="1"/>
  <c r="C1477" i="14"/>
  <c r="C1399" i="14"/>
  <c r="C1381" i="14"/>
  <c r="C1355" i="14"/>
  <c r="C1377" i="14"/>
  <c r="C1451" i="14"/>
  <c r="C1437" i="14"/>
  <c r="C1410" i="14"/>
  <c r="C1283" i="14"/>
  <c r="C1475" i="14"/>
  <c r="C1347" i="14"/>
  <c r="C1384" i="14"/>
  <c r="C1257" i="14"/>
  <c r="C1353" i="14"/>
  <c r="C1345" i="14"/>
  <c r="C1470" i="14"/>
  <c r="C1271" i="14"/>
  <c r="C1447" i="14"/>
  <c r="C1484" i="14"/>
  <c r="C1356" i="14"/>
  <c r="C1304" i="14"/>
  <c r="C1429" i="14"/>
  <c r="C1466" i="14"/>
  <c r="C1338" i="14"/>
  <c r="C1286" i="14"/>
  <c r="C1403" i="14"/>
  <c r="C1440" i="14"/>
  <c r="C1313" i="14"/>
  <c r="C1260" i="14"/>
  <c r="C1306" i="14"/>
  <c r="C1298" i="14"/>
  <c r="C1258" i="14"/>
  <c r="C1471" i="14"/>
  <c r="C1343" i="14"/>
  <c r="C1380" i="14"/>
  <c r="C1253" i="14"/>
  <c r="C1453" i="14"/>
  <c r="C1325" i="14"/>
  <c r="C1362" i="14"/>
  <c r="C1310" i="14"/>
  <c r="C1427" i="14"/>
  <c r="C1464" i="14"/>
  <c r="C1336" i="14"/>
  <c r="C1284" i="14"/>
  <c r="C1326" i="14"/>
  <c r="C1319" i="14"/>
  <c r="C1279" i="14"/>
  <c r="C1462" i="14"/>
  <c r="C1320" i="14"/>
  <c r="C1302" i="14"/>
  <c r="C1276" i="14"/>
  <c r="C1334" i="14"/>
  <c r="C1323" i="14"/>
  <c r="C1468" i="14"/>
  <c r="C1450" i="14"/>
  <c r="C1424" i="14"/>
  <c r="C1465" i="14"/>
  <c r="C1259" i="14"/>
  <c r="C1436" i="14"/>
  <c r="C1418" i="14"/>
  <c r="C1392" i="14"/>
  <c r="C1337" i="14"/>
  <c r="C1308" i="14"/>
  <c r="C1301" i="14"/>
  <c r="C1373" i="14"/>
  <c r="C1378" i="14"/>
  <c r="C1251" i="14"/>
  <c r="C1443" i="14"/>
  <c r="C1480" i="14"/>
  <c r="C1352" i="14"/>
  <c r="C1300" i="14"/>
  <c r="C1390" i="14"/>
  <c r="C1382" i="14"/>
  <c r="C1342" i="14"/>
  <c r="C1314" i="14"/>
  <c r="C1415" i="14"/>
  <c r="C1452" i="14"/>
  <c r="C1324" i="14"/>
  <c r="C1272" i="14"/>
  <c r="C1397" i="14"/>
  <c r="C1434" i="14"/>
  <c r="C1307" i="14"/>
  <c r="C1254" i="14"/>
  <c r="C1371" i="14"/>
  <c r="C1408" i="14"/>
  <c r="C1281" i="14"/>
  <c r="C1449" i="14"/>
  <c r="C1441" i="14"/>
  <c r="C1401" i="14"/>
  <c r="C1250" i="14"/>
  <c r="C1439" i="14"/>
  <c r="C1476" i="14"/>
  <c r="C1348" i="14"/>
  <c r="C1296" i="14"/>
  <c r="C1421" i="14"/>
  <c r="C1458" i="14"/>
  <c r="C1330" i="14"/>
  <c r="C1278" i="14"/>
  <c r="C1395" i="14"/>
  <c r="C1432" i="14"/>
  <c r="C1305" i="14"/>
  <c r="C1252" i="14"/>
  <c r="C1274" i="14"/>
  <c r="C1266" i="14"/>
  <c r="C1393" i="14"/>
  <c r="C1463" i="14"/>
  <c r="C1445" i="14"/>
  <c r="C1419" i="14"/>
  <c r="C1295" i="14"/>
  <c r="C1367" i="14"/>
  <c r="C1422" i="14"/>
  <c r="C1340" i="14"/>
  <c r="C1322" i="14"/>
  <c r="C1297" i="14"/>
  <c r="C1430" i="14"/>
  <c r="C1360" i="14"/>
  <c r="C1309" i="14"/>
  <c r="C1291" i="14"/>
  <c r="C1265" i="14"/>
  <c r="C1398" i="14"/>
  <c r="C1374" i="14"/>
  <c r="C1312" i="14"/>
  <c r="C1474" i="14"/>
  <c r="C1346" i="14"/>
  <c r="C1294" i="14"/>
  <c r="C1411" i="14"/>
  <c r="C1448" i="14"/>
  <c r="C1321" i="14"/>
  <c r="C1268" i="14"/>
  <c r="C1263" i="14"/>
  <c r="C1255" i="14"/>
  <c r="C1290" i="14"/>
  <c r="C1282" i="14"/>
  <c r="C1383" i="14"/>
  <c r="C1420" i="14"/>
  <c r="C1293" i="14"/>
  <c r="D205" i="13"/>
  <c r="C1365" i="14"/>
  <c r="C1402" i="14"/>
  <c r="C1275" i="14"/>
  <c r="C1467" i="14"/>
  <c r="C1339" i="14"/>
  <c r="C1376" i="14"/>
  <c r="C1249" i="14"/>
  <c r="C1486" i="14"/>
  <c r="C1478" i="14"/>
  <c r="C1438" i="14"/>
  <c r="C1457" i="14"/>
  <c r="C1407" i="14"/>
  <c r="C1444" i="14"/>
  <c r="C1317" i="14"/>
  <c r="C1264" i="14"/>
  <c r="C1389" i="14"/>
  <c r="C1426" i="14"/>
  <c r="C1299" i="14"/>
  <c r="C1246" i="14"/>
  <c r="C1363" i="14"/>
  <c r="C1400" i="14"/>
  <c r="C1273" i="14"/>
  <c r="C1417" i="14"/>
  <c r="C1409" i="14"/>
  <c r="C1369" i="14"/>
  <c r="C1361" i="14"/>
  <c r="C1335" i="14"/>
  <c r="C1482" i="14"/>
  <c r="C1456" i="14"/>
  <c r="C1287" i="14"/>
  <c r="C1277" i="14"/>
  <c r="C1366" i="14"/>
  <c r="C1288" i="14"/>
  <c r="C1270" i="14"/>
  <c r="AI12" i="14"/>
  <c r="C1404" i="14"/>
  <c r="C1414" i="14"/>
  <c r="C1256" i="14"/>
  <c r="C1483" i="14"/>
  <c r="C1385" i="14"/>
  <c r="C1349" i="14"/>
  <c r="H226" i="2"/>
  <c r="G22" i="5" s="1"/>
  <c r="J23" i="5" s="1"/>
  <c r="G39" i="5" s="1"/>
  <c r="I226" i="2"/>
  <c r="H22" i="5" s="1"/>
  <c r="K23" i="5" s="1"/>
  <c r="H39" i="5" s="1"/>
  <c r="D1561" i="14"/>
  <c r="P1664" i="14"/>
  <c r="D1669" i="14"/>
  <c r="P1669" i="14"/>
  <c r="P1734" i="14"/>
  <c r="D1500" i="14"/>
  <c r="P1575" i="14"/>
  <c r="P1515" i="14"/>
  <c r="D1515" i="14"/>
  <c r="P1632" i="14"/>
  <c r="D1722" i="14"/>
  <c r="AC57" i="14"/>
  <c r="AC58" i="14" s="1"/>
  <c r="C143" i="13"/>
  <c r="C163" i="13" s="1"/>
  <c r="AI37" i="14" s="1"/>
  <c r="D110" i="13"/>
  <c r="D1914" i="14"/>
  <c r="P1914" i="14"/>
  <c r="D1806" i="14"/>
  <c r="P1806" i="14"/>
  <c r="D1978" i="14"/>
  <c r="P1978" i="14"/>
  <c r="P1892" i="14"/>
  <c r="D1892" i="14"/>
  <c r="D1918" i="14"/>
  <c r="P1918" i="14"/>
  <c r="D1944" i="14"/>
  <c r="P1944" i="14"/>
  <c r="P1774" i="14"/>
  <c r="D1774" i="14"/>
  <c r="D1744" i="14"/>
  <c r="P1744" i="14"/>
  <c r="D1900" i="14"/>
  <c r="P1900" i="14"/>
  <c r="P1926" i="14"/>
  <c r="D1926" i="14"/>
  <c r="D1952" i="14"/>
  <c r="P1952" i="14"/>
  <c r="D1919" i="14"/>
  <c r="P1919" i="14"/>
  <c r="P1866" i="14"/>
  <c r="D1866" i="14"/>
  <c r="D1949" i="14"/>
  <c r="P1949" i="14"/>
  <c r="P1838" i="14"/>
  <c r="D1838" i="14"/>
  <c r="P1864" i="14"/>
  <c r="D1864" i="14"/>
  <c r="P1948" i="14"/>
  <c r="D1948" i="14"/>
  <c r="D1922" i="14"/>
  <c r="P1922" i="14"/>
  <c r="P1805" i="14"/>
  <c r="D1805" i="14"/>
  <c r="D1831" i="14"/>
  <c r="P1831" i="14"/>
  <c r="D1857" i="14"/>
  <c r="P1857" i="14"/>
  <c r="D1925" i="14"/>
  <c r="P1925" i="14"/>
  <c r="P1954" i="14"/>
  <c r="D1954" i="14"/>
  <c r="D1813" i="14"/>
  <c r="P1813" i="14"/>
  <c r="D1839" i="14"/>
  <c r="P1839" i="14"/>
  <c r="D1865" i="14"/>
  <c r="P1865" i="14"/>
  <c r="P1765" i="14"/>
  <c r="D1765" i="14"/>
  <c r="D1824" i="14"/>
  <c r="P1824" i="14"/>
  <c r="P1810" i="14"/>
  <c r="D1810" i="14"/>
  <c r="D1751" i="14"/>
  <c r="P1751" i="14"/>
  <c r="D1777" i="14"/>
  <c r="P1777" i="14"/>
  <c r="P1797" i="14"/>
  <c r="D1797" i="14"/>
  <c r="P1760" i="14"/>
  <c r="D1760" i="14"/>
  <c r="D1794" i="14"/>
  <c r="P1794" i="14"/>
  <c r="P1820" i="14"/>
  <c r="D1820" i="14"/>
  <c r="P1761" i="14"/>
  <c r="D1761" i="14"/>
  <c r="D1970" i="14"/>
  <c r="P1970" i="14"/>
  <c r="P1792" i="14"/>
  <c r="D1792" i="14"/>
  <c r="D1802" i="14"/>
  <c r="P1802" i="14"/>
  <c r="D1743" i="14"/>
  <c r="P1743" i="14"/>
  <c r="P1769" i="14"/>
  <c r="D1769" i="14"/>
  <c r="D1946" i="14"/>
  <c r="P1946" i="14"/>
  <c r="D1872" i="14"/>
  <c r="P1872" i="14"/>
  <c r="P1938" i="14"/>
  <c r="D1938" i="14"/>
  <c r="D1766" i="14"/>
  <c r="P1766" i="14"/>
  <c r="P1816" i="14"/>
  <c r="D1816" i="14"/>
  <c r="P1840" i="14"/>
  <c r="D1840" i="14"/>
  <c r="D1874" i="14"/>
  <c r="P1874" i="14"/>
  <c r="D1969" i="14"/>
  <c r="P1969" i="14"/>
  <c r="P1750" i="14"/>
  <c r="D1750" i="14"/>
  <c r="AK34" i="14"/>
  <c r="AJ14" i="14"/>
  <c r="AM14" i="14"/>
  <c r="AL14" i="14"/>
  <c r="AQ14" i="14"/>
  <c r="AK14" i="14"/>
  <c r="AN14" i="14"/>
  <c r="P1904" i="14"/>
  <c r="D1904" i="14"/>
  <c r="P1906" i="14"/>
  <c r="D1906" i="14"/>
  <c r="P1977" i="14"/>
  <c r="D1977" i="14"/>
  <c r="P1758" i="14"/>
  <c r="D1758" i="14"/>
  <c r="P1899" i="14"/>
  <c r="D1899" i="14"/>
  <c r="D1753" i="14"/>
  <c r="P1753" i="14"/>
  <c r="P1776" i="14"/>
  <c r="D1776" i="14"/>
  <c r="D1908" i="14"/>
  <c r="P1908" i="14"/>
  <c r="P1934" i="14"/>
  <c r="D1934" i="14"/>
  <c r="P1960" i="14"/>
  <c r="D1960" i="14"/>
  <c r="P1501" i="14" l="1"/>
  <c r="D1727" i="14"/>
  <c r="P224" i="14"/>
  <c r="D2416" i="14"/>
  <c r="P2387" i="14"/>
  <c r="D2362" i="14"/>
  <c r="P1495" i="14"/>
  <c r="D71" i="14"/>
  <c r="D146" i="14"/>
  <c r="P209" i="14"/>
  <c r="D2386" i="14"/>
  <c r="P1507" i="14"/>
  <c r="P1595" i="14"/>
  <c r="P1625" i="14"/>
  <c r="P1730" i="14"/>
  <c r="P78" i="14"/>
  <c r="P131" i="14"/>
  <c r="D2476" i="14"/>
  <c r="D2292" i="14"/>
  <c r="D2264" i="14"/>
  <c r="AN16" i="14"/>
  <c r="D2379" i="14"/>
  <c r="D2381" i="14"/>
  <c r="D2432" i="14"/>
  <c r="P1520" i="14"/>
  <c r="D81" i="14"/>
  <c r="D197" i="14"/>
  <c r="D2252" i="14"/>
  <c r="D2283" i="14"/>
  <c r="P2370" i="14"/>
  <c r="D2447" i="14"/>
  <c r="D187" i="14"/>
  <c r="P157" i="14"/>
  <c r="P2421" i="14"/>
  <c r="P2239" i="14"/>
  <c r="D2479" i="14"/>
  <c r="P2469" i="14"/>
  <c r="D2329" i="14"/>
  <c r="D1563" i="14"/>
  <c r="D1725" i="14"/>
  <c r="D193" i="14"/>
  <c r="D235" i="14"/>
  <c r="D10" i="14"/>
  <c r="P2383" i="14"/>
  <c r="D2453" i="14"/>
  <c r="D2308" i="14"/>
  <c r="P2477" i="14"/>
  <c r="P2257" i="14"/>
  <c r="D2337" i="14"/>
  <c r="P2358" i="14"/>
  <c r="AM16" i="14"/>
  <c r="AK16" i="14"/>
  <c r="P2310" i="14"/>
  <c r="D1597" i="14"/>
  <c r="P1585" i="14"/>
  <c r="D21" i="14"/>
  <c r="D57" i="14"/>
  <c r="D110" i="14"/>
  <c r="D115" i="14"/>
  <c r="P65" i="14"/>
  <c r="D1679" i="14"/>
  <c r="D1733" i="14"/>
  <c r="D1616" i="14"/>
  <c r="D1581" i="14"/>
  <c r="D1586" i="14"/>
  <c r="P105" i="14"/>
  <c r="D94" i="14"/>
  <c r="AK36" i="14"/>
  <c r="D1591" i="14"/>
  <c r="D178" i="14"/>
  <c r="D54" i="14"/>
  <c r="D2460" i="14"/>
  <c r="P2449" i="14"/>
  <c r="P2394" i="14"/>
  <c r="P2404" i="14"/>
  <c r="D2382" i="14"/>
  <c r="P2472" i="14"/>
  <c r="P2241" i="14"/>
  <c r="D2444" i="14"/>
  <c r="P245" i="14"/>
  <c r="D125" i="14"/>
  <c r="D238" i="14"/>
  <c r="D2377" i="14"/>
  <c r="D2439" i="14"/>
  <c r="P2399" i="14"/>
  <c r="AK7" i="14"/>
  <c r="P166" i="14"/>
  <c r="D2457" i="14"/>
  <c r="D2326" i="14"/>
  <c r="D2438" i="14"/>
  <c r="D1657" i="14"/>
  <c r="P1536" i="14"/>
  <c r="D120" i="14"/>
  <c r="D154" i="14"/>
  <c r="D188" i="14"/>
  <c r="P183" i="14"/>
  <c r="P31" i="14"/>
  <c r="P59" i="14"/>
  <c r="P129" i="14"/>
  <c r="P30" i="14"/>
  <c r="P2442" i="14"/>
  <c r="P2435" i="14"/>
  <c r="P2284" i="14"/>
  <c r="P2248" i="14"/>
  <c r="D119" i="14"/>
  <c r="D128" i="14"/>
  <c r="P2365" i="14"/>
  <c r="P2402" i="14"/>
  <c r="D2353" i="14"/>
  <c r="D2298" i="14"/>
  <c r="P1573" i="14"/>
  <c r="D1618" i="14"/>
  <c r="D91" i="14"/>
  <c r="D217" i="14"/>
  <c r="P1648" i="14"/>
  <c r="D86" i="14"/>
  <c r="D64" i="14"/>
  <c r="D162" i="14"/>
  <c r="D23" i="14"/>
  <c r="D61" i="14"/>
  <c r="D77" i="14"/>
  <c r="G231" i="2"/>
  <c r="M231" i="2" s="1"/>
  <c r="D179" i="14"/>
  <c r="D104" i="14"/>
  <c r="D208" i="14"/>
  <c r="P75" i="14"/>
  <c r="P2343" i="14"/>
  <c r="G250" i="2"/>
  <c r="AN184" i="2" s="1"/>
  <c r="N249" i="2"/>
  <c r="G92" i="5"/>
  <c r="J93" i="5" s="1"/>
  <c r="G109" i="5" s="1"/>
  <c r="O248" i="2"/>
  <c r="H91" i="5"/>
  <c r="K92" i="5" s="1"/>
  <c r="H108" i="5" s="1"/>
  <c r="N232" i="2"/>
  <c r="G28" i="5"/>
  <c r="J29" i="5" s="1"/>
  <c r="G45" i="5" s="1"/>
  <c r="O249" i="2"/>
  <c r="H92" i="5"/>
  <c r="K93" i="5" s="1"/>
  <c r="H109" i="5" s="1"/>
  <c r="O233" i="2"/>
  <c r="H29" i="5"/>
  <c r="D264" i="2"/>
  <c r="J250" i="2"/>
  <c r="P250" i="2"/>
  <c r="I122" i="5"/>
  <c r="H58" i="5"/>
  <c r="H122" i="5"/>
  <c r="I58" i="5"/>
  <c r="C250" i="2"/>
  <c r="N250" i="2"/>
  <c r="G93" i="5"/>
  <c r="N233" i="2"/>
  <c r="G29" i="5"/>
  <c r="N248" i="2"/>
  <c r="G91" i="5"/>
  <c r="J92" i="5" s="1"/>
  <c r="G108" i="5" s="1"/>
  <c r="F110" i="12"/>
  <c r="AG152" i="2"/>
  <c r="O231" i="2"/>
  <c r="H27" i="5"/>
  <c r="K28" i="5" s="1"/>
  <c r="H44" i="5" s="1"/>
  <c r="O250" i="2"/>
  <c r="H93" i="5"/>
  <c r="D79" i="5"/>
  <c r="H15" i="5"/>
  <c r="C110" i="12"/>
  <c r="P231" i="2"/>
  <c r="C27" i="5"/>
  <c r="J231" i="2"/>
  <c r="M248" i="2"/>
  <c r="Q248" i="2" s="1"/>
  <c r="L91" i="5" s="1"/>
  <c r="K248" i="2"/>
  <c r="F91" i="5"/>
  <c r="AN182" i="2"/>
  <c r="N231" i="2"/>
  <c r="G27" i="5"/>
  <c r="J28" i="5" s="1"/>
  <c r="G44" i="5" s="1"/>
  <c r="O232" i="2"/>
  <c r="H28" i="5"/>
  <c r="K29" i="5" s="1"/>
  <c r="H45" i="5" s="1"/>
  <c r="E15" i="5"/>
  <c r="D249" i="2"/>
  <c r="P2306" i="14"/>
  <c r="P2395" i="14"/>
  <c r="P2474" i="14"/>
  <c r="P2371" i="14"/>
  <c r="P2473" i="14"/>
  <c r="P2256" i="14"/>
  <c r="P2355" i="14"/>
  <c r="P2403" i="14"/>
  <c r="P2352" i="14"/>
  <c r="P2312" i="14"/>
  <c r="D2278" i="14"/>
  <c r="P219" i="14"/>
  <c r="D2315" i="14"/>
  <c r="P2450" i="14"/>
  <c r="D2359" i="14"/>
  <c r="P2464" i="14"/>
  <c r="D2409" i="14"/>
  <c r="P2452" i="14"/>
  <c r="D2268" i="14"/>
  <c r="D2266" i="14"/>
  <c r="D184" i="14"/>
  <c r="D90" i="14"/>
  <c r="P1599" i="14"/>
  <c r="D9" i="14"/>
  <c r="D48" i="14"/>
  <c r="D1735" i="14"/>
  <c r="P1545" i="14"/>
  <c r="D66" i="14"/>
  <c r="D22" i="14"/>
  <c r="D213" i="14"/>
  <c r="P182" i="14"/>
  <c r="P1732" i="14"/>
  <c r="D1578" i="14"/>
  <c r="D1696" i="14"/>
  <c r="D1694" i="14"/>
  <c r="P24" i="14"/>
  <c r="P214" i="14"/>
  <c r="P165" i="14"/>
  <c r="D142" i="14"/>
  <c r="D246" i="14"/>
  <c r="P173" i="14"/>
  <c r="D239" i="14"/>
  <c r="D1531" i="14"/>
  <c r="P1593" i="14"/>
  <c r="D1661" i="14"/>
  <c r="D1518" i="14"/>
  <c r="D1698" i="14"/>
  <c r="D236" i="14"/>
  <c r="D185" i="14"/>
  <c r="P164" i="14"/>
  <c r="P60" i="14"/>
  <c r="P195" i="14"/>
  <c r="D1701" i="14"/>
  <c r="D1678" i="14"/>
  <c r="P1668" i="14"/>
  <c r="P1534" i="14"/>
  <c r="D1523" i="14"/>
  <c r="P1508" i="14"/>
  <c r="P1659" i="14"/>
  <c r="D74" i="14"/>
  <c r="D230" i="14"/>
  <c r="P85" i="14"/>
  <c r="D163" i="14"/>
  <c r="D1643" i="14"/>
  <c r="P1650" i="14"/>
  <c r="P1655" i="14"/>
  <c r="P1653" i="14"/>
  <c r="P1619" i="14"/>
  <c r="D167" i="14"/>
  <c r="D73" i="14"/>
  <c r="D95" i="14"/>
  <c r="P160" i="14"/>
  <c r="P62" i="14"/>
  <c r="P218" i="14"/>
  <c r="P244" i="14"/>
  <c r="P37" i="14"/>
  <c r="P17" i="14"/>
  <c r="P1607" i="14"/>
  <c r="D1707" i="14"/>
  <c r="P1635" i="14"/>
  <c r="D1724" i="14"/>
  <c r="P1509" i="14"/>
  <c r="D1610" i="14"/>
  <c r="P1537" i="14"/>
  <c r="P1604" i="14"/>
  <c r="P1672" i="14"/>
  <c r="D1600" i="14"/>
  <c r="P1527" i="14"/>
  <c r="P1633" i="14"/>
  <c r="D1670" i="14"/>
  <c r="P1598" i="14"/>
  <c r="D1525" i="14"/>
  <c r="P1658" i="14"/>
  <c r="D1700" i="14"/>
  <c r="P1548" i="14"/>
  <c r="P1628" i="14"/>
  <c r="P106" i="14"/>
  <c r="D45" i="14"/>
  <c r="D169" i="14"/>
  <c r="D168" i="14"/>
  <c r="D180" i="14"/>
  <c r="P1522" i="14"/>
  <c r="D1587" i="14"/>
  <c r="AM7" i="14"/>
  <c r="P12" i="14"/>
  <c r="D228" i="14"/>
  <c r="P44" i="14"/>
  <c r="P241" i="14"/>
  <c r="P223" i="14"/>
  <c r="P124" i="14"/>
  <c r="D113" i="14"/>
  <c r="P158" i="14"/>
  <c r="D1524" i="14"/>
  <c r="D1577" i="14"/>
  <c r="D16" i="14"/>
  <c r="D232" i="14"/>
  <c r="P134" i="14"/>
  <c r="D99" i="14"/>
  <c r="P242" i="14"/>
  <c r="D1717" i="14"/>
  <c r="D1704" i="14"/>
  <c r="D1719" i="14"/>
  <c r="P198" i="14"/>
  <c r="AK27" i="14"/>
  <c r="AQ7" i="14"/>
  <c r="D1542" i="14"/>
  <c r="D1502" i="14"/>
  <c r="P1716" i="14"/>
  <c r="P63" i="14"/>
  <c r="AN7" i="14"/>
  <c r="P1652" i="14"/>
  <c r="P1721" i="14"/>
  <c r="D135" i="14"/>
  <c r="D41" i="14"/>
  <c r="P191" i="14"/>
  <c r="P92" i="14"/>
  <c r="P1651" i="14"/>
  <c r="D1695" i="14"/>
  <c r="D1714" i="14"/>
  <c r="P1556" i="14"/>
  <c r="D1690" i="14"/>
  <c r="D40" i="14"/>
  <c r="P1584" i="14"/>
  <c r="P132" i="14"/>
  <c r="P118" i="14"/>
  <c r="P83" i="14"/>
  <c r="D153" i="14"/>
  <c r="P98" i="14"/>
  <c r="D8" i="14"/>
  <c r="D1582" i="14"/>
  <c r="D1549" i="14"/>
  <c r="D156" i="14"/>
  <c r="AM13" i="14"/>
  <c r="D155" i="14"/>
  <c r="D112" i="14"/>
  <c r="P143" i="14"/>
  <c r="P114" i="14"/>
  <c r="P58" i="14"/>
  <c r="D227" i="14"/>
  <c r="P102" i="14"/>
  <c r="P1729" i="14"/>
  <c r="D200" i="14"/>
  <c r="P1645" i="14"/>
  <c r="D34" i="14"/>
  <c r="D67" i="14"/>
  <c r="P1681" i="14"/>
  <c r="D1569" i="14"/>
  <c r="P139" i="14"/>
  <c r="D117" i="14"/>
  <c r="P1629" i="14"/>
  <c r="P1711" i="14"/>
  <c r="P1510" i="14"/>
  <c r="P1654" i="14"/>
  <c r="D89" i="14"/>
  <c r="D109" i="14"/>
  <c r="P96" i="14"/>
  <c r="P1504" i="14"/>
  <c r="D1728" i="14"/>
  <c r="D88" i="14"/>
  <c r="P243" i="14"/>
  <c r="D1558" i="14"/>
  <c r="P1666" i="14"/>
  <c r="D1592" i="14"/>
  <c r="P171" i="14"/>
  <c r="D1726" i="14"/>
  <c r="P13" i="14"/>
  <c r="P1551" i="14"/>
  <c r="D1552" i="14"/>
  <c r="P1559" i="14"/>
  <c r="D1554" i="14"/>
  <c r="P1615" i="14"/>
  <c r="P1636" i="14"/>
  <c r="D108" i="14"/>
  <c r="D103" i="14"/>
  <c r="P206" i="14"/>
  <c r="D14" i="14"/>
  <c r="D149" i="14"/>
  <c r="P35" i="14"/>
  <c r="D210" i="14"/>
  <c r="P1572" i="14"/>
  <c r="D1723" i="14"/>
  <c r="D1642" i="14"/>
  <c r="P1566" i="14"/>
  <c r="D189" i="14"/>
  <c r="D18" i="14"/>
  <c r="P19" i="14"/>
  <c r="P138" i="14"/>
  <c r="D151" i="14"/>
  <c r="D47" i="14"/>
  <c r="P121" i="14"/>
  <c r="D192" i="14"/>
  <c r="P1686" i="14"/>
  <c r="P1692" i="14"/>
  <c r="D1656" i="14"/>
  <c r="P1571" i="14"/>
  <c r="P1511" i="14"/>
  <c r="D1579" i="14"/>
  <c r="D1609" i="14"/>
  <c r="D76" i="14"/>
  <c r="D53" i="14"/>
  <c r="P1516" i="14"/>
  <c r="D38" i="14"/>
  <c r="P1562" i="14"/>
  <c r="P1497" i="14"/>
  <c r="D174" i="14"/>
  <c r="P147" i="14"/>
  <c r="D69" i="14"/>
  <c r="D176" i="14"/>
  <c r="P205" i="14"/>
  <c r="D51" i="14"/>
  <c r="D186" i="14"/>
  <c r="P72" i="14"/>
  <c r="P212" i="14"/>
  <c r="D29" i="14"/>
  <c r="D201" i="14"/>
  <c r="D207" i="14"/>
  <c r="D1627" i="14"/>
  <c r="D1634" i="14"/>
  <c r="D1623" i="14"/>
  <c r="P1621" i="14"/>
  <c r="P7" i="14"/>
  <c r="P177" i="14"/>
  <c r="P216" i="14"/>
  <c r="P199" i="14"/>
  <c r="D144" i="14"/>
  <c r="D36" i="14"/>
  <c r="D46" i="14"/>
  <c r="P170" i="14"/>
  <c r="P1665" i="14"/>
  <c r="P1528" i="14"/>
  <c r="AL13" i="14"/>
  <c r="D1675" i="14"/>
  <c r="D1646" i="14"/>
  <c r="P1693" i="14"/>
  <c r="D1499" i="14"/>
  <c r="P28" i="14"/>
  <c r="P1601" i="14"/>
  <c r="P1710" i="14"/>
  <c r="P1699" i="14"/>
  <c r="P1706" i="14"/>
  <c r="D1498" i="14"/>
  <c r="P1535" i="14"/>
  <c r="D1564" i="14"/>
  <c r="D1708" i="14"/>
  <c r="P93" i="14"/>
  <c r="D229" i="14"/>
  <c r="D226" i="14"/>
  <c r="P15" i="14"/>
  <c r="D27" i="14"/>
  <c r="P148" i="14"/>
  <c r="D50" i="14"/>
  <c r="P1639" i="14"/>
  <c r="D1630" i="14"/>
  <c r="P196" i="14"/>
  <c r="D233" i="14"/>
  <c r="D161" i="14"/>
  <c r="D87" i="14"/>
  <c r="P70" i="14"/>
  <c r="P190" i="14"/>
  <c r="P1596" i="14"/>
  <c r="D1676" i="14"/>
  <c r="D1677" i="14"/>
  <c r="D1570" i="14"/>
  <c r="D1608" i="14"/>
  <c r="P1590" i="14"/>
  <c r="D1660" i="14"/>
  <c r="P1568" i="14"/>
  <c r="D1683" i="14"/>
  <c r="P1603" i="14"/>
  <c r="D1539" i="14"/>
  <c r="D1540" i="14"/>
  <c r="P1529" i="14"/>
  <c r="D1687" i="14"/>
  <c r="P1637" i="14"/>
  <c r="P1647" i="14"/>
  <c r="P1620" i="14"/>
  <c r="P222" i="14"/>
  <c r="D133" i="14"/>
  <c r="D49" i="14"/>
  <c r="P211" i="14"/>
  <c r="D25" i="14"/>
  <c r="D240" i="14"/>
  <c r="D150" i="14"/>
  <c r="D107" i="14"/>
  <c r="D11" i="14"/>
  <c r="P136" i="14"/>
  <c r="P101" i="14"/>
  <c r="D130" i="14"/>
  <c r="D122" i="14"/>
  <c r="P32" i="14"/>
  <c r="P1689" i="14"/>
  <c r="P55" i="14"/>
  <c r="D1553" i="14"/>
  <c r="D1543" i="14"/>
  <c r="D1541" i="14"/>
  <c r="D1550" i="14"/>
  <c r="P1544" i="14"/>
  <c r="D1574" i="14"/>
  <c r="P97" i="14"/>
  <c r="D1617" i="14"/>
  <c r="P1640" i="14"/>
  <c r="P152" i="14"/>
  <c r="D194" i="14"/>
  <c r="P220" i="14"/>
  <c r="D116" i="14"/>
  <c r="P1671" i="14"/>
  <c r="P1567" i="14"/>
  <c r="D123" i="14"/>
  <c r="P33" i="14"/>
  <c r="D215" i="14"/>
  <c r="P111" i="14"/>
  <c r="P39" i="14"/>
  <c r="P141" i="14"/>
  <c r="D80" i="14"/>
  <c r="P225" i="14"/>
  <c r="D126" i="14"/>
  <c r="D1606" i="14"/>
  <c r="D1533" i="14"/>
  <c r="D1560" i="14"/>
  <c r="D1547" i="14"/>
  <c r="P1691" i="14"/>
  <c r="D1649" i="14"/>
  <c r="D140" i="14"/>
  <c r="D137" i="14"/>
  <c r="P68" i="14"/>
  <c r="P6" i="14"/>
  <c r="P203" i="14"/>
  <c r="P237" i="14"/>
  <c r="D1709" i="14"/>
  <c r="D1519" i="14"/>
  <c r="P1685" i="14"/>
  <c r="P1626" i="14"/>
  <c r="D1521" i="14"/>
  <c r="P1530" i="14"/>
  <c r="D1638" i="14"/>
  <c r="P1565" i="14"/>
  <c r="P1514" i="14"/>
  <c r="D1697" i="14"/>
  <c r="D1680" i="14"/>
  <c r="P1503" i="14"/>
  <c r="D1715" i="14"/>
  <c r="D1614" i="14"/>
  <c r="D1589" i="14"/>
  <c r="D1662" i="14"/>
  <c r="AK33" i="14"/>
  <c r="AQ13" i="14"/>
  <c r="AN13" i="14"/>
  <c r="D1506" i="14"/>
  <c r="P1688" i="14"/>
  <c r="D1702" i="14"/>
  <c r="D1557" i="14"/>
  <c r="D1494" i="14"/>
  <c r="D1631" i="14"/>
  <c r="D1684" i="14"/>
  <c r="P1612" i="14"/>
  <c r="AJ13" i="14"/>
  <c r="P1555" i="14"/>
  <c r="D1663" i="14"/>
  <c r="D1580" i="14"/>
  <c r="P1611" i="14"/>
  <c r="D1713" i="14"/>
  <c r="P1641" i="14"/>
  <c r="P1583" i="14"/>
  <c r="D1613" i="14"/>
  <c r="D1674" i="14"/>
  <c r="P1602" i="14"/>
  <c r="D1605" i="14"/>
  <c r="D1538" i="14"/>
  <c r="D1703" i="14"/>
  <c r="D1720" i="14"/>
  <c r="D1512" i="14"/>
  <c r="G59" i="5"/>
  <c r="G58" i="5"/>
  <c r="H38" i="5"/>
  <c r="K30" i="5"/>
  <c r="J94" i="5"/>
  <c r="G102" i="5"/>
  <c r="K94" i="5"/>
  <c r="H102" i="5"/>
  <c r="G122" i="5"/>
  <c r="G123" i="5"/>
  <c r="G226" i="2"/>
  <c r="F22" i="5" s="1"/>
  <c r="C22" i="5"/>
  <c r="J30" i="5"/>
  <c r="G38" i="5"/>
  <c r="O226" i="2"/>
  <c r="D1483" i="14"/>
  <c r="P1483" i="14"/>
  <c r="AJ12" i="14"/>
  <c r="AQ12" i="14"/>
  <c r="AM12" i="14"/>
  <c r="AL12" i="14"/>
  <c r="AK32" i="14"/>
  <c r="AN12" i="14"/>
  <c r="AK12" i="14"/>
  <c r="P1277" i="14"/>
  <c r="D1277" i="14"/>
  <c r="P1335" i="14"/>
  <c r="D1335" i="14"/>
  <c r="P1417" i="14"/>
  <c r="D1417" i="14"/>
  <c r="D1246" i="14"/>
  <c r="P1246" i="14"/>
  <c r="D1264" i="14"/>
  <c r="P1264" i="14"/>
  <c r="D1457" i="14"/>
  <c r="P1457" i="14"/>
  <c r="P1249" i="14"/>
  <c r="D1249" i="14"/>
  <c r="P1275" i="14"/>
  <c r="D1275" i="14"/>
  <c r="P1293" i="14"/>
  <c r="D1293" i="14"/>
  <c r="D1290" i="14"/>
  <c r="P1290" i="14"/>
  <c r="P1321" i="14"/>
  <c r="D1321" i="14"/>
  <c r="D1346" i="14"/>
  <c r="P1346" i="14"/>
  <c r="D1398" i="14"/>
  <c r="P1398" i="14"/>
  <c r="P1360" i="14"/>
  <c r="D1360" i="14"/>
  <c r="P1340" i="14"/>
  <c r="D1340" i="14"/>
  <c r="P1419" i="14"/>
  <c r="D1419" i="14"/>
  <c r="P1266" i="14"/>
  <c r="D1266" i="14"/>
  <c r="P1432" i="14"/>
  <c r="D1432" i="14"/>
  <c r="D1458" i="14"/>
  <c r="P1458" i="14"/>
  <c r="D1476" i="14"/>
  <c r="P1476" i="14"/>
  <c r="P1441" i="14"/>
  <c r="D1441" i="14"/>
  <c r="P1371" i="14"/>
  <c r="D1371" i="14"/>
  <c r="P1397" i="14"/>
  <c r="D1397" i="14"/>
  <c r="P1415" i="14"/>
  <c r="D1415" i="14"/>
  <c r="P1390" i="14"/>
  <c r="D1390" i="14"/>
  <c r="P1443" i="14"/>
  <c r="D1443" i="14"/>
  <c r="D1301" i="14"/>
  <c r="P1301" i="14"/>
  <c r="D1418" i="14"/>
  <c r="P1418" i="14"/>
  <c r="P1424" i="14"/>
  <c r="D1424" i="14"/>
  <c r="P1334" i="14"/>
  <c r="D1334" i="14"/>
  <c r="D1462" i="14"/>
  <c r="P1462" i="14"/>
  <c r="P1284" i="14"/>
  <c r="D1284" i="14"/>
  <c r="D1310" i="14"/>
  <c r="P1310" i="14"/>
  <c r="D1253" i="14"/>
  <c r="P1253" i="14"/>
  <c r="P1258" i="14"/>
  <c r="D1258" i="14"/>
  <c r="P1313" i="14"/>
  <c r="D1313" i="14"/>
  <c r="P1338" i="14"/>
  <c r="D1338" i="14"/>
  <c r="P1356" i="14"/>
  <c r="D1356" i="14"/>
  <c r="P1470" i="14"/>
  <c r="D1470" i="14"/>
  <c r="D1384" i="14"/>
  <c r="P1384" i="14"/>
  <c r="D1410" i="14"/>
  <c r="P1410" i="14"/>
  <c r="P1355" i="14"/>
  <c r="D1355" i="14"/>
  <c r="D1386" i="14"/>
  <c r="P1386" i="14"/>
  <c r="P1372" i="14"/>
  <c r="D1372" i="14"/>
  <c r="P1454" i="14"/>
  <c r="D1454" i="14"/>
  <c r="P1459" i="14"/>
  <c r="D1459" i="14"/>
  <c r="D1485" i="14"/>
  <c r="P1485" i="14"/>
  <c r="D1425" i="14"/>
  <c r="P1425" i="14"/>
  <c r="P1292" i="14"/>
  <c r="D1292" i="14"/>
  <c r="P1318" i="14"/>
  <c r="D1318" i="14"/>
  <c r="P1261" i="14"/>
  <c r="D1261" i="14"/>
  <c r="D1303" i="14"/>
  <c r="P1303" i="14"/>
  <c r="P1289" i="14"/>
  <c r="D1289" i="14"/>
  <c r="D1315" i="14"/>
  <c r="P1315" i="14"/>
  <c r="D1469" i="14"/>
  <c r="P1469" i="14"/>
  <c r="D1487" i="14"/>
  <c r="P1487" i="14"/>
  <c r="D1280" i="14"/>
  <c r="P1280" i="14"/>
  <c r="D1364" i="14"/>
  <c r="P1364" i="14"/>
  <c r="P2006" i="14"/>
  <c r="D2006" i="14"/>
  <c r="D2037" i="14"/>
  <c r="P2037" i="14"/>
  <c r="P2017" i="14"/>
  <c r="D2017" i="14"/>
  <c r="P2231" i="14"/>
  <c r="D2231" i="14"/>
  <c r="P2014" i="14"/>
  <c r="D2014" i="14"/>
  <c r="D2032" i="14"/>
  <c r="P2032" i="14"/>
  <c r="P2136" i="14"/>
  <c r="D2136" i="14"/>
  <c r="D2092" i="14"/>
  <c r="P2092" i="14"/>
  <c r="D2015" i="14"/>
  <c r="P2015" i="14"/>
  <c r="D2033" i="14"/>
  <c r="P2033" i="14"/>
  <c r="P2139" i="14"/>
  <c r="D2139" i="14"/>
  <c r="D2093" i="14"/>
  <c r="P2093" i="14"/>
  <c r="P2119" i="14"/>
  <c r="D2119" i="14"/>
  <c r="P2137" i="14"/>
  <c r="D2137" i="14"/>
  <c r="D2005" i="14"/>
  <c r="P2005" i="14"/>
  <c r="D2026" i="14"/>
  <c r="P2026" i="14"/>
  <c r="D2106" i="14"/>
  <c r="P2106" i="14"/>
  <c r="P2088" i="14"/>
  <c r="D2088" i="14"/>
  <c r="D1995" i="14"/>
  <c r="P1995" i="14"/>
  <c r="P2178" i="14"/>
  <c r="D2178" i="14"/>
  <c r="D2204" i="14"/>
  <c r="P2204" i="14"/>
  <c r="D2222" i="14"/>
  <c r="P2222" i="14"/>
  <c r="D1996" i="14"/>
  <c r="P1996" i="14"/>
  <c r="D2022" i="14"/>
  <c r="P2022" i="14"/>
  <c r="P2040" i="14"/>
  <c r="D2040" i="14"/>
  <c r="P2074" i="14"/>
  <c r="D2074" i="14"/>
  <c r="P1997" i="14"/>
  <c r="D1997" i="14"/>
  <c r="D2023" i="14"/>
  <c r="P2023" i="14"/>
  <c r="D2041" i="14"/>
  <c r="P2041" i="14"/>
  <c r="D2176" i="14"/>
  <c r="P2176" i="14"/>
  <c r="P2145" i="14"/>
  <c r="D2145" i="14"/>
  <c r="P2214" i="14"/>
  <c r="D2214" i="14"/>
  <c r="D2095" i="14"/>
  <c r="P2095" i="14"/>
  <c r="D2083" i="14"/>
  <c r="P2083" i="14"/>
  <c r="P2205" i="14"/>
  <c r="D2205" i="14"/>
  <c r="D2108" i="14"/>
  <c r="P2108" i="14"/>
  <c r="D2126" i="14"/>
  <c r="P2126" i="14"/>
  <c r="D2027" i="14"/>
  <c r="P2027" i="14"/>
  <c r="D2186" i="14"/>
  <c r="P2186" i="14"/>
  <c r="D2212" i="14"/>
  <c r="P2212" i="14"/>
  <c r="P2230" i="14"/>
  <c r="D2230" i="14"/>
  <c r="D2004" i="14"/>
  <c r="P2004" i="14"/>
  <c r="P2030" i="14"/>
  <c r="D2030" i="14"/>
  <c r="P2048" i="14"/>
  <c r="D2048" i="14"/>
  <c r="P2179" i="14"/>
  <c r="D2179" i="14"/>
  <c r="P2164" i="14"/>
  <c r="D2164" i="14"/>
  <c r="P2038" i="14"/>
  <c r="D2038" i="14"/>
  <c r="P2051" i="14"/>
  <c r="D2051" i="14"/>
  <c r="P2131" i="14"/>
  <c r="D2131" i="14"/>
  <c r="D2084" i="14"/>
  <c r="P2084" i="14"/>
  <c r="P2007" i="14"/>
  <c r="D2007" i="14"/>
  <c r="P2025" i="14"/>
  <c r="D2025" i="14"/>
  <c r="P2107" i="14"/>
  <c r="D2107" i="14"/>
  <c r="P2085" i="14"/>
  <c r="D2085" i="14"/>
  <c r="P2111" i="14"/>
  <c r="D2111" i="14"/>
  <c r="D2129" i="14"/>
  <c r="P2129" i="14"/>
  <c r="P2019" i="14"/>
  <c r="D2019" i="14"/>
  <c r="D2189" i="14"/>
  <c r="P2189" i="14"/>
  <c r="P2215" i="14"/>
  <c r="D2215" i="14"/>
  <c r="P2110" i="14"/>
  <c r="D2110" i="14"/>
  <c r="P226" i="2"/>
  <c r="J226" i="2"/>
  <c r="N167" i="2" s="1"/>
  <c r="C49" i="7"/>
  <c r="F116" i="7" s="1"/>
  <c r="G116" i="7" s="1"/>
  <c r="C89" i="7"/>
  <c r="M243" i="2"/>
  <c r="AN177" i="2"/>
  <c r="P2593" i="14"/>
  <c r="D2593" i="14"/>
  <c r="D2555" i="14"/>
  <c r="P2555" i="14"/>
  <c r="D2617" i="14"/>
  <c r="P2617" i="14"/>
  <c r="P2502" i="14"/>
  <c r="D2502" i="14"/>
  <c r="P2486" i="14"/>
  <c r="D2486" i="14"/>
  <c r="D2603" i="14"/>
  <c r="P2603" i="14"/>
  <c r="P2649" i="14"/>
  <c r="D2649" i="14"/>
  <c r="P2678" i="14"/>
  <c r="D2678" i="14"/>
  <c r="P2494" i="14"/>
  <c r="D2494" i="14"/>
  <c r="P2622" i="14"/>
  <c r="D2622" i="14"/>
  <c r="P2712" i="14"/>
  <c r="D2712" i="14"/>
  <c r="P2664" i="14"/>
  <c r="D2664" i="14"/>
  <c r="D2640" i="14"/>
  <c r="P2640" i="14"/>
  <c r="P2670" i="14"/>
  <c r="D2670" i="14"/>
  <c r="P2527" i="14"/>
  <c r="D2527" i="14"/>
  <c r="P2718" i="14"/>
  <c r="D2718" i="14"/>
  <c r="D2535" i="14"/>
  <c r="P2535" i="14"/>
  <c r="P2702" i="14"/>
  <c r="D2702" i="14"/>
  <c r="D2509" i="14"/>
  <c r="P2509" i="14"/>
  <c r="D2623" i="14"/>
  <c r="P2623" i="14"/>
  <c r="P2650" i="14"/>
  <c r="D2650" i="14"/>
  <c r="D2506" i="14"/>
  <c r="P2506" i="14"/>
  <c r="P2559" i="14"/>
  <c r="D2559" i="14"/>
  <c r="P2722" i="14"/>
  <c r="D2722" i="14"/>
  <c r="P2520" i="14"/>
  <c r="D2520" i="14"/>
  <c r="D2573" i="14"/>
  <c r="P2573" i="14"/>
  <c r="D2592" i="14"/>
  <c r="P2592" i="14"/>
  <c r="D2594" i="14"/>
  <c r="P2594" i="14"/>
  <c r="D2613" i="14"/>
  <c r="P2613" i="14"/>
  <c r="D2574" i="14"/>
  <c r="P2574" i="14"/>
  <c r="P2653" i="14"/>
  <c r="D2653" i="14"/>
  <c r="P2552" i="14"/>
  <c r="D2552" i="14"/>
  <c r="P2595" i="14"/>
  <c r="D2595" i="14"/>
  <c r="P2726" i="14"/>
  <c r="D2726" i="14"/>
  <c r="D2582" i="14"/>
  <c r="P2582" i="14"/>
  <c r="D2711" i="14"/>
  <c r="P2711" i="14"/>
  <c r="P2710" i="14"/>
  <c r="D2710" i="14"/>
  <c r="P2500" i="14"/>
  <c r="D2500" i="14"/>
  <c r="D2719" i="14"/>
  <c r="P2719" i="14"/>
  <c r="D2682" i="14"/>
  <c r="P2682" i="14"/>
  <c r="D2514" i="14"/>
  <c r="P2514" i="14"/>
  <c r="P2567" i="14"/>
  <c r="D2567" i="14"/>
  <c r="P2715" i="14"/>
  <c r="D2715" i="14"/>
  <c r="D2496" i="14"/>
  <c r="P2496" i="14"/>
  <c r="P2558" i="14"/>
  <c r="D2558" i="14"/>
  <c r="D2568" i="14"/>
  <c r="P2568" i="14"/>
  <c r="P2556" i="14"/>
  <c r="D2556" i="14"/>
  <c r="P2694" i="14"/>
  <c r="D2694" i="14"/>
  <c r="P2583" i="14"/>
  <c r="D2583" i="14"/>
  <c r="D2641" i="14"/>
  <c r="P2641" i="14"/>
  <c r="P2505" i="14"/>
  <c r="D2505" i="14"/>
  <c r="D2614" i="14"/>
  <c r="P2614" i="14"/>
  <c r="D2691" i="14"/>
  <c r="P2691" i="14"/>
  <c r="D2675" i="14"/>
  <c r="P2675" i="14"/>
  <c r="D2700" i="14"/>
  <c r="P2700" i="14"/>
  <c r="P2508" i="14"/>
  <c r="D2508" i="14"/>
  <c r="D2727" i="14"/>
  <c r="P2727" i="14"/>
  <c r="P2639" i="14"/>
  <c r="D2639" i="14"/>
  <c r="P2490" i="14"/>
  <c r="D2490" i="14"/>
  <c r="P2550" i="14"/>
  <c r="D2550" i="14"/>
  <c r="P2705" i="14"/>
  <c r="D2705" i="14"/>
  <c r="S173" i="2"/>
  <c r="Z173" i="2"/>
  <c r="K114" i="11" s="1"/>
  <c r="K101" i="11" s="1"/>
  <c r="K85" i="11" s="1"/>
  <c r="N225" i="2"/>
  <c r="D1233" i="14"/>
  <c r="P1233" i="14"/>
  <c r="D1232" i="14"/>
  <c r="P1232" i="14"/>
  <c r="D1015" i="14"/>
  <c r="P1015" i="14"/>
  <c r="D1059" i="14"/>
  <c r="P1059" i="14"/>
  <c r="D1154" i="14"/>
  <c r="P1154" i="14"/>
  <c r="D1124" i="14"/>
  <c r="P1124" i="14"/>
  <c r="D1150" i="14"/>
  <c r="P1150" i="14"/>
  <c r="D1176" i="14"/>
  <c r="P1176" i="14"/>
  <c r="P1009" i="14"/>
  <c r="D1009" i="14"/>
  <c r="P1196" i="14"/>
  <c r="D1196" i="14"/>
  <c r="D1222" i="14"/>
  <c r="P1222" i="14"/>
  <c r="P1077" i="14"/>
  <c r="D1077" i="14"/>
  <c r="P1226" i="14"/>
  <c r="D1226" i="14"/>
  <c r="P1097" i="14"/>
  <c r="D1097" i="14"/>
  <c r="P1123" i="14"/>
  <c r="D1123" i="14"/>
  <c r="D1149" i="14"/>
  <c r="P1149" i="14"/>
  <c r="P1163" i="14"/>
  <c r="D1163" i="14"/>
  <c r="D1127" i="14"/>
  <c r="P1127" i="14"/>
  <c r="D1122" i="14"/>
  <c r="P1122" i="14"/>
  <c r="P1103" i="14"/>
  <c r="D1103" i="14"/>
  <c r="D1028" i="14"/>
  <c r="P1028" i="14"/>
  <c r="P1054" i="14"/>
  <c r="D1054" i="14"/>
  <c r="P1080" i="14"/>
  <c r="D1080" i="14"/>
  <c r="D1058" i="14"/>
  <c r="P1058" i="14"/>
  <c r="P1100" i="14"/>
  <c r="D1100" i="14"/>
  <c r="D1126" i="14"/>
  <c r="P1126" i="14"/>
  <c r="P1152" i="14"/>
  <c r="D1152" i="14"/>
  <c r="D1175" i="14"/>
  <c r="P1175" i="14"/>
  <c r="D1172" i="14"/>
  <c r="P1172" i="14"/>
  <c r="D1198" i="14"/>
  <c r="P1198" i="14"/>
  <c r="P1224" i="14"/>
  <c r="D1224" i="14"/>
  <c r="P1057" i="14"/>
  <c r="D1057" i="14"/>
  <c r="P1169" i="14"/>
  <c r="D1169" i="14"/>
  <c r="D1099" i="14"/>
  <c r="P1099" i="14"/>
  <c r="P1017" i="14"/>
  <c r="D1017" i="14"/>
  <c r="P1145" i="14"/>
  <c r="D1145" i="14"/>
  <c r="D1171" i="14"/>
  <c r="P1171" i="14"/>
  <c r="P1197" i="14"/>
  <c r="D1197" i="14"/>
  <c r="D1234" i="14"/>
  <c r="P1234" i="14"/>
  <c r="P1217" i="14"/>
  <c r="D1217" i="14"/>
  <c r="P999" i="14"/>
  <c r="D999" i="14"/>
  <c r="P1025" i="14"/>
  <c r="D1025" i="14"/>
  <c r="D1019" i="14"/>
  <c r="P1019" i="14"/>
  <c r="P1045" i="14"/>
  <c r="D1045" i="14"/>
  <c r="P1000" i="14"/>
  <c r="D1000" i="14"/>
  <c r="P1020" i="14"/>
  <c r="D1020" i="14"/>
  <c r="P1104" i="14"/>
  <c r="D1104" i="14"/>
  <c r="P1046" i="14"/>
  <c r="D1046" i="14"/>
  <c r="D1170" i="14"/>
  <c r="P1170" i="14"/>
  <c r="D1026" i="14"/>
  <c r="P1026" i="14"/>
  <c r="P1092" i="14"/>
  <c r="D1092" i="14"/>
  <c r="P1118" i="14"/>
  <c r="D1118" i="14"/>
  <c r="P1144" i="14"/>
  <c r="D1144" i="14"/>
  <c r="P1143" i="14"/>
  <c r="D1143" i="14"/>
  <c r="P1164" i="14"/>
  <c r="D1164" i="14"/>
  <c r="P1190" i="14"/>
  <c r="D1190" i="14"/>
  <c r="P1216" i="14"/>
  <c r="D1216" i="14"/>
  <c r="P1098" i="14"/>
  <c r="D1098" i="14"/>
  <c r="D1236" i="14"/>
  <c r="P1236" i="14"/>
  <c r="D1091" i="14"/>
  <c r="P1091" i="14"/>
  <c r="P1117" i="14"/>
  <c r="D1117" i="14"/>
  <c r="P448" i="14"/>
  <c r="D448" i="14"/>
  <c r="D312" i="14"/>
  <c r="P312" i="14"/>
  <c r="P355" i="14"/>
  <c r="D355" i="14"/>
  <c r="D277" i="14"/>
  <c r="P277" i="14"/>
  <c r="D257" i="14"/>
  <c r="P257" i="14"/>
  <c r="D402" i="14"/>
  <c r="P402" i="14"/>
  <c r="D385" i="14"/>
  <c r="P385" i="14"/>
  <c r="P346" i="14"/>
  <c r="D346" i="14"/>
  <c r="P294" i="14"/>
  <c r="D294" i="14"/>
  <c r="D474" i="14"/>
  <c r="P474" i="14"/>
  <c r="D457" i="14"/>
  <c r="P457" i="14"/>
  <c r="D400" i="14"/>
  <c r="P400" i="14"/>
  <c r="D416" i="14"/>
  <c r="P416" i="14"/>
  <c r="D367" i="14"/>
  <c r="P367" i="14"/>
  <c r="D462" i="14"/>
  <c r="P462" i="14"/>
  <c r="P276" i="14"/>
  <c r="D276" i="14"/>
  <c r="D357" i="14"/>
  <c r="P357" i="14"/>
  <c r="D426" i="14"/>
  <c r="P426" i="14"/>
  <c r="P406" i="14"/>
  <c r="D406" i="14"/>
  <c r="P380" i="14"/>
  <c r="D380" i="14"/>
  <c r="P384" i="14"/>
  <c r="D384" i="14"/>
  <c r="P289" i="14"/>
  <c r="D289" i="14"/>
  <c r="P491" i="14"/>
  <c r="D491" i="14"/>
  <c r="D421" i="14"/>
  <c r="P421" i="14"/>
  <c r="D437" i="14"/>
  <c r="P437" i="14"/>
  <c r="P361" i="14"/>
  <c r="D361" i="14"/>
  <c r="D378" i="14"/>
  <c r="P378" i="14"/>
  <c r="P302" i="14"/>
  <c r="D302" i="14"/>
  <c r="P482" i="14"/>
  <c r="D482" i="14"/>
  <c r="P465" i="14"/>
  <c r="D465" i="14"/>
  <c r="D483" i="14"/>
  <c r="P483" i="14"/>
  <c r="P261" i="14"/>
  <c r="D261" i="14"/>
  <c r="P279" i="14"/>
  <c r="D279" i="14"/>
  <c r="P439" i="14"/>
  <c r="D439" i="14"/>
  <c r="D284" i="14"/>
  <c r="P284" i="14"/>
  <c r="P288" i="14"/>
  <c r="D288" i="14"/>
  <c r="P404" i="14"/>
  <c r="D404" i="14"/>
  <c r="P395" i="14"/>
  <c r="D395" i="14"/>
  <c r="D356" i="14"/>
  <c r="P356" i="14"/>
  <c r="P360" i="14"/>
  <c r="D360" i="14"/>
  <c r="D476" i="14"/>
  <c r="P476" i="14"/>
  <c r="P467" i="14"/>
  <c r="D467" i="14"/>
  <c r="P453" i="14"/>
  <c r="D453" i="14"/>
  <c r="P469" i="14"/>
  <c r="D469" i="14"/>
  <c r="D369" i="14"/>
  <c r="P369" i="14"/>
  <c r="D298" i="14"/>
  <c r="P298" i="14"/>
  <c r="D458" i="14"/>
  <c r="P458" i="14"/>
  <c r="P407" i="14"/>
  <c r="D407" i="14"/>
  <c r="P340" i="14"/>
  <c r="D340" i="14"/>
  <c r="P258" i="14"/>
  <c r="D258" i="14"/>
  <c r="P318" i="14"/>
  <c r="D318" i="14"/>
  <c r="P287" i="14"/>
  <c r="D287" i="14"/>
  <c r="P481" i="14"/>
  <c r="D481" i="14"/>
  <c r="D362" i="14"/>
  <c r="P362" i="14"/>
  <c r="P390" i="14"/>
  <c r="D390" i="14"/>
  <c r="D359" i="14"/>
  <c r="P359" i="14"/>
  <c r="P454" i="14"/>
  <c r="D454" i="14"/>
  <c r="P271" i="14"/>
  <c r="D271" i="14"/>
  <c r="D275" i="14"/>
  <c r="P275" i="14"/>
  <c r="P463" i="14"/>
  <c r="D463" i="14"/>
  <c r="P347" i="14"/>
  <c r="D347" i="14"/>
  <c r="F67" i="15"/>
  <c r="G67" i="15" s="1"/>
  <c r="F117" i="6"/>
  <c r="G117" i="6" s="1"/>
  <c r="M242" i="2"/>
  <c r="AN176" i="2"/>
  <c r="N226" i="2"/>
  <c r="P1256" i="14"/>
  <c r="D1256" i="14"/>
  <c r="D1270" i="14"/>
  <c r="P1270" i="14"/>
  <c r="D1287" i="14"/>
  <c r="P1287" i="14"/>
  <c r="D1361" i="14"/>
  <c r="P1361" i="14"/>
  <c r="P1273" i="14"/>
  <c r="D1273" i="14"/>
  <c r="D1299" i="14"/>
  <c r="P1299" i="14"/>
  <c r="D1317" i="14"/>
  <c r="P1317" i="14"/>
  <c r="P1438" i="14"/>
  <c r="D1438" i="14"/>
  <c r="P1376" i="14"/>
  <c r="D1376" i="14"/>
  <c r="P1402" i="14"/>
  <c r="D1402" i="14"/>
  <c r="P1420" i="14"/>
  <c r="D1420" i="14"/>
  <c r="P1255" i="14"/>
  <c r="D1255" i="14"/>
  <c r="P1448" i="14"/>
  <c r="D1448" i="14"/>
  <c r="D1474" i="14"/>
  <c r="P1474" i="14"/>
  <c r="P1265" i="14"/>
  <c r="D1265" i="14"/>
  <c r="D1430" i="14"/>
  <c r="P1430" i="14"/>
  <c r="P1422" i="14"/>
  <c r="D1422" i="14"/>
  <c r="D1445" i="14"/>
  <c r="P1445" i="14"/>
  <c r="P1274" i="14"/>
  <c r="D1274" i="14"/>
  <c r="P1395" i="14"/>
  <c r="D1395" i="14"/>
  <c r="D1421" i="14"/>
  <c r="P1421" i="14"/>
  <c r="D1439" i="14"/>
  <c r="P1439" i="14"/>
  <c r="P1449" i="14"/>
  <c r="D1449" i="14"/>
  <c r="P1254" i="14"/>
  <c r="D1254" i="14"/>
  <c r="P1272" i="14"/>
  <c r="D1272" i="14"/>
  <c r="P1314" i="14"/>
  <c r="D1314" i="14"/>
  <c r="P1300" i="14"/>
  <c r="D1300" i="14"/>
  <c r="P1251" i="14"/>
  <c r="D1251" i="14"/>
  <c r="D1308" i="14"/>
  <c r="P1308" i="14"/>
  <c r="D1436" i="14"/>
  <c r="P1436" i="14"/>
  <c r="P1450" i="14"/>
  <c r="D1450" i="14"/>
  <c r="D1276" i="14"/>
  <c r="P1276" i="14"/>
  <c r="D1279" i="14"/>
  <c r="P1279" i="14"/>
  <c r="D1336" i="14"/>
  <c r="P1336" i="14"/>
  <c r="P1362" i="14"/>
  <c r="D1362" i="14"/>
  <c r="P1380" i="14"/>
  <c r="D1380" i="14"/>
  <c r="P1298" i="14"/>
  <c r="D1298" i="14"/>
  <c r="D1440" i="14"/>
  <c r="P1440" i="14"/>
  <c r="D1466" i="14"/>
  <c r="P1466" i="14"/>
  <c r="D1484" i="14"/>
  <c r="P1484" i="14"/>
  <c r="P1345" i="14"/>
  <c r="D1345" i="14"/>
  <c r="D1347" i="14"/>
  <c r="P1347" i="14"/>
  <c r="D1437" i="14"/>
  <c r="P1437" i="14"/>
  <c r="D1381" i="14"/>
  <c r="P1381" i="14"/>
  <c r="P1387" i="14"/>
  <c r="D1387" i="14"/>
  <c r="P1247" i="14"/>
  <c r="D1247" i="14"/>
  <c r="P1329" i="14"/>
  <c r="D1329" i="14"/>
  <c r="P1316" i="14"/>
  <c r="D1316" i="14"/>
  <c r="D1267" i="14"/>
  <c r="P1267" i="14"/>
  <c r="D1285" i="14"/>
  <c r="P1285" i="14"/>
  <c r="P1311" i="14"/>
  <c r="D1311" i="14"/>
  <c r="P1344" i="14"/>
  <c r="D1344" i="14"/>
  <c r="P1370" i="14"/>
  <c r="D1370" i="14"/>
  <c r="P1388" i="14"/>
  <c r="D1388" i="14"/>
  <c r="P1433" i="14"/>
  <c r="D1433" i="14"/>
  <c r="P1416" i="14"/>
  <c r="D1416" i="14"/>
  <c r="P1442" i="14"/>
  <c r="D1442" i="14"/>
  <c r="D1269" i="14"/>
  <c r="P1269" i="14"/>
  <c r="D1428" i="14"/>
  <c r="P1428" i="14"/>
  <c r="P1332" i="14"/>
  <c r="D1332" i="14"/>
  <c r="D1327" i="14"/>
  <c r="P1327" i="14"/>
  <c r="P2076" i="14"/>
  <c r="D2076" i="14"/>
  <c r="D2024" i="14"/>
  <c r="P2024" i="14"/>
  <c r="P2063" i="14"/>
  <c r="D2063" i="14"/>
  <c r="P2091" i="14"/>
  <c r="D2091" i="14"/>
  <c r="D2104" i="14"/>
  <c r="P2104" i="14"/>
  <c r="D2013" i="14"/>
  <c r="P2013" i="14"/>
  <c r="P2039" i="14"/>
  <c r="D2039" i="14"/>
  <c r="P2057" i="14"/>
  <c r="D2057" i="14"/>
  <c r="P2112" i="14"/>
  <c r="D2112" i="14"/>
  <c r="P2117" i="14"/>
  <c r="D2117" i="14"/>
  <c r="P2143" i="14"/>
  <c r="D2143" i="14"/>
  <c r="D2161" i="14"/>
  <c r="P2161" i="14"/>
  <c r="D2147" i="14"/>
  <c r="P2147" i="14"/>
  <c r="D2098" i="14"/>
  <c r="P2098" i="14"/>
  <c r="D2124" i="14"/>
  <c r="P2124" i="14"/>
  <c r="P2142" i="14"/>
  <c r="D2142" i="14"/>
  <c r="P2031" i="14"/>
  <c r="D2031" i="14"/>
  <c r="P2165" i="14"/>
  <c r="D2165" i="14"/>
  <c r="P2042" i="14"/>
  <c r="D2042" i="14"/>
  <c r="P2035" i="14"/>
  <c r="D2035" i="14"/>
  <c r="D2020" i="14"/>
  <c r="P2020" i="14"/>
  <c r="P2046" i="14"/>
  <c r="D2046" i="14"/>
  <c r="P2064" i="14"/>
  <c r="D2064" i="14"/>
  <c r="D2217" i="14"/>
  <c r="P2217" i="14"/>
  <c r="P2021" i="14"/>
  <c r="D2021" i="14"/>
  <c r="P2047" i="14"/>
  <c r="D2047" i="14"/>
  <c r="D2065" i="14"/>
  <c r="P2065" i="14"/>
  <c r="P2144" i="14"/>
  <c r="D2144" i="14"/>
  <c r="D2125" i="14"/>
  <c r="P2125" i="14"/>
  <c r="P2151" i="14"/>
  <c r="D2151" i="14"/>
  <c r="P2169" i="14"/>
  <c r="D2169" i="14"/>
  <c r="P2133" i="14"/>
  <c r="D2133" i="14"/>
  <c r="P2066" i="14"/>
  <c r="D2066" i="14"/>
  <c r="P1999" i="14"/>
  <c r="D1999" i="14"/>
  <c r="D2113" i="14"/>
  <c r="P2113" i="14"/>
  <c r="P2123" i="14"/>
  <c r="D2123" i="14"/>
  <c r="D2210" i="14"/>
  <c r="P2210" i="14"/>
  <c r="P2221" i="14"/>
  <c r="D2221" i="14"/>
  <c r="P2163" i="14"/>
  <c r="D2163" i="14"/>
  <c r="P2028" i="14"/>
  <c r="D2028" i="14"/>
  <c r="P2054" i="14"/>
  <c r="D2054" i="14"/>
  <c r="D2072" i="14"/>
  <c r="P2072" i="14"/>
  <c r="AK35" i="14"/>
  <c r="AM15" i="14"/>
  <c r="AQ15" i="14"/>
  <c r="AL15" i="14"/>
  <c r="AJ15" i="14"/>
  <c r="AN15" i="14"/>
  <c r="AK15" i="14"/>
  <c r="D2029" i="14"/>
  <c r="P2029" i="14"/>
  <c r="P2055" i="14"/>
  <c r="D2055" i="14"/>
  <c r="P2073" i="14"/>
  <c r="D2073" i="14"/>
  <c r="D1992" i="14"/>
  <c r="P1992" i="14"/>
  <c r="D2182" i="14"/>
  <c r="P2182" i="14"/>
  <c r="D2056" i="14"/>
  <c r="P2056" i="14"/>
  <c r="P2197" i="14"/>
  <c r="D2197" i="14"/>
  <c r="P2203" i="14"/>
  <c r="D2203" i="14"/>
  <c r="D2109" i="14"/>
  <c r="P2109" i="14"/>
  <c r="P2135" i="14"/>
  <c r="D2135" i="14"/>
  <c r="P2153" i="14"/>
  <c r="D2153" i="14"/>
  <c r="P2115" i="14"/>
  <c r="D2115" i="14"/>
  <c r="P2213" i="14"/>
  <c r="D2213" i="14"/>
  <c r="P2116" i="14"/>
  <c r="D2116" i="14"/>
  <c r="D2134" i="14"/>
  <c r="P2134" i="14"/>
  <c r="P2059" i="14"/>
  <c r="D2059" i="14"/>
  <c r="D2194" i="14"/>
  <c r="P2194" i="14"/>
  <c r="P2220" i="14"/>
  <c r="D2220" i="14"/>
  <c r="P2223" i="14"/>
  <c r="D2223" i="14"/>
  <c r="N244" i="2"/>
  <c r="O243" i="2"/>
  <c r="D2680" i="14"/>
  <c r="P2680" i="14"/>
  <c r="D2714" i="14"/>
  <c r="P2714" i="14"/>
  <c r="P2626" i="14"/>
  <c r="D2626" i="14"/>
  <c r="P2717" i="14"/>
  <c r="D2717" i="14"/>
  <c r="P2621" i="14"/>
  <c r="D2621" i="14"/>
  <c r="D2685" i="14"/>
  <c r="P2685" i="14"/>
  <c r="D2721" i="14"/>
  <c r="P2721" i="14"/>
  <c r="P2688" i="14"/>
  <c r="D2688" i="14"/>
  <c r="P2536" i="14"/>
  <c r="D2536" i="14"/>
  <c r="D2493" i="14"/>
  <c r="P2493" i="14"/>
  <c r="P2539" i="14"/>
  <c r="D2539" i="14"/>
  <c r="D2684" i="14"/>
  <c r="P2684" i="14"/>
  <c r="P2713" i="14"/>
  <c r="D2713" i="14"/>
  <c r="P2522" i="14"/>
  <c r="D2522" i="14"/>
  <c r="P2575" i="14"/>
  <c r="D2575" i="14"/>
  <c r="P2723" i="14"/>
  <c r="D2723" i="14"/>
  <c r="P2589" i="14"/>
  <c r="D2589" i="14"/>
  <c r="P2588" i="14"/>
  <c r="D2588" i="14"/>
  <c r="P2538" i="14"/>
  <c r="D2538" i="14"/>
  <c r="P2510" i="14"/>
  <c r="D2510" i="14"/>
  <c r="D2543" i="14"/>
  <c r="P2543" i="14"/>
  <c r="P2597" i="14"/>
  <c r="D2597" i="14"/>
  <c r="P2635" i="14"/>
  <c r="D2635" i="14"/>
  <c r="P2518" i="14"/>
  <c r="D2518" i="14"/>
  <c r="D2611" i="14"/>
  <c r="P2611" i="14"/>
  <c r="D2616" i="14"/>
  <c r="P2616" i="14"/>
  <c r="P2695" i="14"/>
  <c r="D2695" i="14"/>
  <c r="D2663" i="14"/>
  <c r="P2663" i="14"/>
  <c r="D2619" i="14"/>
  <c r="P2619" i="14"/>
  <c r="D2683" i="14"/>
  <c r="P2683" i="14"/>
  <c r="P2660" i="14"/>
  <c r="D2660" i="14"/>
  <c r="D2647" i="14"/>
  <c r="P2647" i="14"/>
  <c r="P2602" i="14"/>
  <c r="D2602" i="14"/>
  <c r="P2720" i="14"/>
  <c r="D2720" i="14"/>
  <c r="D2638" i="14"/>
  <c r="P2638" i="14"/>
  <c r="D2491" i="14"/>
  <c r="P2491" i="14"/>
  <c r="P2537" i="14"/>
  <c r="D2537" i="14"/>
  <c r="P2591" i="14"/>
  <c r="D2591" i="14"/>
  <c r="D2541" i="14"/>
  <c r="P2541" i="14"/>
  <c r="D2551" i="14"/>
  <c r="P2551" i="14"/>
  <c r="P2605" i="14"/>
  <c r="D2605" i="14"/>
  <c r="D2657" i="14"/>
  <c r="P2657" i="14"/>
  <c r="D2612" i="14"/>
  <c r="P2612" i="14"/>
  <c r="P2587" i="14"/>
  <c r="D2587" i="14"/>
  <c r="D2606" i="14"/>
  <c r="P2606" i="14"/>
  <c r="P2708" i="14"/>
  <c r="D2708" i="14"/>
  <c r="P2578" i="14"/>
  <c r="D2578" i="14"/>
  <c r="P2627" i="14"/>
  <c r="D2627" i="14"/>
  <c r="D2497" i="14"/>
  <c r="P2497" i="14"/>
  <c r="P2674" i="14"/>
  <c r="D2674" i="14"/>
  <c r="D2533" i="14"/>
  <c r="P2533" i="14"/>
  <c r="D2531" i="14"/>
  <c r="P2531" i="14"/>
  <c r="P2676" i="14"/>
  <c r="D2676" i="14"/>
  <c r="D2499" i="14"/>
  <c r="P2499" i="14"/>
  <c r="P2545" i="14"/>
  <c r="D2545" i="14"/>
  <c r="D2599" i="14"/>
  <c r="P2599" i="14"/>
  <c r="D2601" i="14"/>
  <c r="P2601" i="14"/>
  <c r="P2528" i="14"/>
  <c r="D2528" i="14"/>
  <c r="D2581" i="14"/>
  <c r="P2581" i="14"/>
  <c r="D2600" i="14"/>
  <c r="P2600" i="14"/>
  <c r="C121" i="7"/>
  <c r="E121" i="7" s="1"/>
  <c r="C121" i="6"/>
  <c r="C71" i="15"/>
  <c r="S172" i="2"/>
  <c r="Z172" i="2"/>
  <c r="K115" i="11" s="1"/>
  <c r="K102" i="11" s="1"/>
  <c r="K86" i="11" s="1"/>
  <c r="D1207" i="14"/>
  <c r="P1207" i="14"/>
  <c r="D1174" i="14"/>
  <c r="P1174" i="14"/>
  <c r="P1027" i="14"/>
  <c r="D1027" i="14"/>
  <c r="D1014" i="14"/>
  <c r="P1014" i="14"/>
  <c r="D1162" i="14"/>
  <c r="P1162" i="14"/>
  <c r="D1081" i="14"/>
  <c r="P1081" i="14"/>
  <c r="P1107" i="14"/>
  <c r="D1107" i="14"/>
  <c r="P1133" i="14"/>
  <c r="D1133" i="14"/>
  <c r="P1049" i="14"/>
  <c r="D1049" i="14"/>
  <c r="D1153" i="14"/>
  <c r="P1153" i="14"/>
  <c r="P1179" i="14"/>
  <c r="D1179" i="14"/>
  <c r="D1205" i="14"/>
  <c r="P1205" i="14"/>
  <c r="D1095" i="14"/>
  <c r="P1095" i="14"/>
  <c r="D1225" i="14"/>
  <c r="P1225" i="14"/>
  <c r="D1007" i="14"/>
  <c r="P1007" i="14"/>
  <c r="D1131" i="14"/>
  <c r="P1131" i="14"/>
  <c r="P1189" i="14"/>
  <c r="D1189" i="14"/>
  <c r="D1157" i="14"/>
  <c r="P1157" i="14"/>
  <c r="D1116" i="14"/>
  <c r="P1116" i="14"/>
  <c r="D1111" i="14"/>
  <c r="P1111" i="14"/>
  <c r="D1156" i="14"/>
  <c r="P1156" i="14"/>
  <c r="P1182" i="14"/>
  <c r="D1182" i="14"/>
  <c r="P1208" i="14"/>
  <c r="D1208" i="14"/>
  <c r="P1066" i="14"/>
  <c r="D1066" i="14"/>
  <c r="P1228" i="14"/>
  <c r="D1228" i="14"/>
  <c r="D1083" i="14"/>
  <c r="P1083" i="14"/>
  <c r="D1109" i="14"/>
  <c r="P1109" i="14"/>
  <c r="P1183" i="14"/>
  <c r="D1183" i="14"/>
  <c r="P1129" i="14"/>
  <c r="D1129" i="14"/>
  <c r="P1155" i="14"/>
  <c r="D1155" i="14"/>
  <c r="D1181" i="14"/>
  <c r="P1181" i="14"/>
  <c r="P1021" i="14"/>
  <c r="D1021" i="14"/>
  <c r="D1008" i="14"/>
  <c r="P1008" i="14"/>
  <c r="D1136" i="14"/>
  <c r="P1136" i="14"/>
  <c r="D1125" i="14"/>
  <c r="P1125" i="14"/>
  <c r="P1003" i="14"/>
  <c r="D1003" i="14"/>
  <c r="D1029" i="14"/>
  <c r="P1029" i="14"/>
  <c r="D1055" i="14"/>
  <c r="P1055" i="14"/>
  <c r="D1178" i="14"/>
  <c r="P1178" i="14"/>
  <c r="D1004" i="14"/>
  <c r="P1004" i="14"/>
  <c r="P1030" i="14"/>
  <c r="D1030" i="14"/>
  <c r="D1056" i="14"/>
  <c r="P1056" i="14"/>
  <c r="D1033" i="14"/>
  <c r="P1033" i="14"/>
  <c r="D1076" i="14"/>
  <c r="P1076" i="14"/>
  <c r="D1102" i="14"/>
  <c r="P1102" i="14"/>
  <c r="D1128" i="14"/>
  <c r="P1128" i="14"/>
  <c r="D1199" i="14"/>
  <c r="P1199" i="14"/>
  <c r="P1148" i="14"/>
  <c r="D1148" i="14"/>
  <c r="P1002" i="14"/>
  <c r="D1002" i="14"/>
  <c r="P1201" i="14"/>
  <c r="D1201" i="14"/>
  <c r="P1034" i="14"/>
  <c r="D1034" i="14"/>
  <c r="D1220" i="14"/>
  <c r="P1220" i="14"/>
  <c r="P1075" i="14"/>
  <c r="D1075" i="14"/>
  <c r="P1101" i="14"/>
  <c r="D1101" i="14"/>
  <c r="P1151" i="14"/>
  <c r="D1151" i="14"/>
  <c r="P1121" i="14"/>
  <c r="D1121" i="14"/>
  <c r="D1147" i="14"/>
  <c r="P1147" i="14"/>
  <c r="P1173" i="14"/>
  <c r="D1173" i="14"/>
  <c r="D1138" i="14"/>
  <c r="P1138" i="14"/>
  <c r="D1193" i="14"/>
  <c r="P1193" i="14"/>
  <c r="D1219" i="14"/>
  <c r="P1219" i="14"/>
  <c r="D372" i="14"/>
  <c r="P372" i="14"/>
  <c r="P375" i="14"/>
  <c r="D375" i="14"/>
  <c r="D428" i="14"/>
  <c r="P428" i="14"/>
  <c r="P485" i="14"/>
  <c r="D485" i="14"/>
  <c r="D386" i="14"/>
  <c r="P386" i="14"/>
  <c r="P350" i="14"/>
  <c r="D350" i="14"/>
  <c r="P319" i="14"/>
  <c r="D319" i="14"/>
  <c r="P414" i="14"/>
  <c r="D414" i="14"/>
  <c r="D285" i="14"/>
  <c r="P285" i="14"/>
  <c r="D301" i="14"/>
  <c r="P301" i="14"/>
  <c r="P391" i="14"/>
  <c r="D391" i="14"/>
  <c r="D486" i="14"/>
  <c r="P486" i="14"/>
  <c r="P268" i="14"/>
  <c r="D268" i="14"/>
  <c r="P272" i="14"/>
  <c r="D272" i="14"/>
  <c r="P495" i="14"/>
  <c r="D495" i="14"/>
  <c r="P379" i="14"/>
  <c r="D379" i="14"/>
  <c r="P280" i="14"/>
  <c r="D280" i="14"/>
  <c r="D373" i="14"/>
  <c r="P373" i="14"/>
  <c r="P354" i="14"/>
  <c r="D354" i="14"/>
  <c r="P370" i="14"/>
  <c r="D370" i="14"/>
  <c r="D254" i="14"/>
  <c r="P254" i="14"/>
  <c r="D434" i="14"/>
  <c r="P434" i="14"/>
  <c r="D417" i="14"/>
  <c r="P417" i="14"/>
  <c r="D290" i="14"/>
  <c r="P290" i="14"/>
  <c r="D326" i="14"/>
  <c r="P326" i="14"/>
  <c r="D295" i="14"/>
  <c r="P295" i="14"/>
  <c r="D489" i="14"/>
  <c r="P489" i="14"/>
  <c r="D317" i="14"/>
  <c r="P317" i="14"/>
  <c r="D333" i="14"/>
  <c r="P333" i="14"/>
  <c r="D399" i="14"/>
  <c r="P399" i="14"/>
  <c r="D494" i="14"/>
  <c r="P494" i="14"/>
  <c r="P440" i="14"/>
  <c r="D440" i="14"/>
  <c r="P310" i="14"/>
  <c r="D310" i="14"/>
  <c r="D471" i="14"/>
  <c r="P471" i="14"/>
  <c r="P323" i="14"/>
  <c r="D323" i="14"/>
  <c r="P472" i="14"/>
  <c r="D472" i="14"/>
  <c r="P488" i="14"/>
  <c r="D488" i="14"/>
  <c r="D321" i="14"/>
  <c r="P321" i="14"/>
  <c r="P274" i="14"/>
  <c r="D274" i="14"/>
  <c r="P265" i="14"/>
  <c r="D265" i="14"/>
  <c r="D410" i="14"/>
  <c r="P410" i="14"/>
  <c r="P393" i="14"/>
  <c r="D393" i="14"/>
  <c r="P322" i="14"/>
  <c r="D322" i="14"/>
  <c r="P334" i="14"/>
  <c r="D334" i="14"/>
  <c r="P303" i="14"/>
  <c r="D303" i="14"/>
  <c r="P398" i="14"/>
  <c r="D398" i="14"/>
  <c r="D343" i="14"/>
  <c r="P343" i="14"/>
  <c r="P441" i="14"/>
  <c r="D441" i="14"/>
  <c r="D291" i="14"/>
  <c r="P291" i="14"/>
  <c r="D344" i="14"/>
  <c r="P344" i="14"/>
  <c r="P381" i="14"/>
  <c r="D381" i="14"/>
  <c r="D397" i="14"/>
  <c r="P397" i="14"/>
  <c r="P415" i="14"/>
  <c r="D415" i="14"/>
  <c r="P299" i="14"/>
  <c r="D299" i="14"/>
  <c r="D260" i="14"/>
  <c r="P260" i="14"/>
  <c r="D264" i="14"/>
  <c r="P264" i="14"/>
  <c r="D487" i="14"/>
  <c r="P487" i="14"/>
  <c r="P371" i="14"/>
  <c r="D371" i="14"/>
  <c r="P364" i="14"/>
  <c r="D364" i="14"/>
  <c r="P368" i="14"/>
  <c r="D368" i="14"/>
  <c r="P484" i="14"/>
  <c r="D484" i="14"/>
  <c r="P475" i="14"/>
  <c r="D475" i="14"/>
  <c r="F108" i="11"/>
  <c r="F109" i="11" s="1"/>
  <c r="F106" i="11"/>
  <c r="F107" i="11" s="1"/>
  <c r="N242" i="2"/>
  <c r="O227" i="2"/>
  <c r="P1349" i="14"/>
  <c r="D1349" i="14"/>
  <c r="D1414" i="14"/>
  <c r="P1414" i="14"/>
  <c r="P1288" i="14"/>
  <c r="D1288" i="14"/>
  <c r="P1456" i="14"/>
  <c r="D1456" i="14"/>
  <c r="P1369" i="14"/>
  <c r="D1369" i="14"/>
  <c r="D1400" i="14"/>
  <c r="P1400" i="14"/>
  <c r="D1426" i="14"/>
  <c r="P1426" i="14"/>
  <c r="P1444" i="14"/>
  <c r="D1444" i="14"/>
  <c r="D1478" i="14"/>
  <c r="P1478" i="14"/>
  <c r="P1339" i="14"/>
  <c r="D1339" i="14"/>
  <c r="P1365" i="14"/>
  <c r="D1365" i="14"/>
  <c r="P1383" i="14"/>
  <c r="D1383" i="14"/>
  <c r="P1263" i="14"/>
  <c r="D1263" i="14"/>
  <c r="D1411" i="14"/>
  <c r="P1411" i="14"/>
  <c r="D1312" i="14"/>
  <c r="P1312" i="14"/>
  <c r="D1291" i="14"/>
  <c r="P1291" i="14"/>
  <c r="P1297" i="14"/>
  <c r="D1297" i="14"/>
  <c r="P1367" i="14"/>
  <c r="D1367" i="14"/>
  <c r="P1463" i="14"/>
  <c r="D1463" i="14"/>
  <c r="P1252" i="14"/>
  <c r="D1252" i="14"/>
  <c r="D1278" i="14"/>
  <c r="P1278" i="14"/>
  <c r="D1296" i="14"/>
  <c r="P1296" i="14"/>
  <c r="D1250" i="14"/>
  <c r="P1250" i="14"/>
  <c r="P1281" i="14"/>
  <c r="D1281" i="14"/>
  <c r="P1307" i="14"/>
  <c r="D1307" i="14"/>
  <c r="P1324" i="14"/>
  <c r="D1324" i="14"/>
  <c r="P1342" i="14"/>
  <c r="D1342" i="14"/>
  <c r="P1352" i="14"/>
  <c r="D1352" i="14"/>
  <c r="D1378" i="14"/>
  <c r="P1378" i="14"/>
  <c r="P1337" i="14"/>
  <c r="D1337" i="14"/>
  <c r="D1259" i="14"/>
  <c r="P1259" i="14"/>
  <c r="P1468" i="14"/>
  <c r="D1468" i="14"/>
  <c r="D1302" i="14"/>
  <c r="P1302" i="14"/>
  <c r="D1319" i="14"/>
  <c r="P1319" i="14"/>
  <c r="P1464" i="14"/>
  <c r="D1464" i="14"/>
  <c r="D1325" i="14"/>
  <c r="P1325" i="14"/>
  <c r="P1343" i="14"/>
  <c r="D1343" i="14"/>
  <c r="P1306" i="14"/>
  <c r="D1306" i="14"/>
  <c r="P1403" i="14"/>
  <c r="D1403" i="14"/>
  <c r="P1429" i="14"/>
  <c r="D1429" i="14"/>
  <c r="P1447" i="14"/>
  <c r="D1447" i="14"/>
  <c r="P1353" i="14"/>
  <c r="D1353" i="14"/>
  <c r="P1475" i="14"/>
  <c r="D1475" i="14"/>
  <c r="P1451" i="14"/>
  <c r="D1451" i="14"/>
  <c r="P1399" i="14"/>
  <c r="D1399" i="14"/>
  <c r="D1413" i="14"/>
  <c r="P1413" i="14"/>
  <c r="P1328" i="14"/>
  <c r="D1328" i="14"/>
  <c r="P1406" i="14"/>
  <c r="D1406" i="14"/>
  <c r="P1368" i="14"/>
  <c r="D1368" i="14"/>
  <c r="D1394" i="14"/>
  <c r="P1394" i="14"/>
  <c r="D1412" i="14"/>
  <c r="P1412" i="14"/>
  <c r="D1350" i="14"/>
  <c r="P1350" i="14"/>
  <c r="P1472" i="14"/>
  <c r="D1472" i="14"/>
  <c r="P1333" i="14"/>
  <c r="D1333" i="14"/>
  <c r="P1351" i="14"/>
  <c r="D1351" i="14"/>
  <c r="P1473" i="14"/>
  <c r="D1473" i="14"/>
  <c r="P1379" i="14"/>
  <c r="D1379" i="14"/>
  <c r="D1248" i="14"/>
  <c r="P1248" i="14"/>
  <c r="P1396" i="14"/>
  <c r="D1396" i="14"/>
  <c r="P1391" i="14"/>
  <c r="D1391" i="14"/>
  <c r="P1460" i="14"/>
  <c r="D1460" i="14"/>
  <c r="P1455" i="14"/>
  <c r="D1455" i="14"/>
  <c r="P2150" i="14"/>
  <c r="D2150" i="14"/>
  <c r="D2171" i="14"/>
  <c r="P2171" i="14"/>
  <c r="D2081" i="14"/>
  <c r="P2081" i="14"/>
  <c r="P2202" i="14"/>
  <c r="D2202" i="14"/>
  <c r="P2208" i="14"/>
  <c r="D2208" i="14"/>
  <c r="P2141" i="14"/>
  <c r="D2141" i="14"/>
  <c r="P2167" i="14"/>
  <c r="D2167" i="14"/>
  <c r="D2185" i="14"/>
  <c r="P2185" i="14"/>
  <c r="D2120" i="14"/>
  <c r="P2120" i="14"/>
  <c r="P2122" i="14"/>
  <c r="D2122" i="14"/>
  <c r="D2148" i="14"/>
  <c r="P2148" i="14"/>
  <c r="P2166" i="14"/>
  <c r="D2166" i="14"/>
  <c r="P2187" i="14"/>
  <c r="D2187" i="14"/>
  <c r="D2226" i="14"/>
  <c r="P2226" i="14"/>
  <c r="D2219" i="14"/>
  <c r="P2219" i="14"/>
  <c r="P2049" i="14"/>
  <c r="D2049" i="14"/>
  <c r="D2191" i="14"/>
  <c r="P2191" i="14"/>
  <c r="D2044" i="14"/>
  <c r="P2044" i="14"/>
  <c r="D2050" i="14"/>
  <c r="P2050" i="14"/>
  <c r="P2045" i="14"/>
  <c r="D2045" i="14"/>
  <c r="D2071" i="14"/>
  <c r="P2071" i="14"/>
  <c r="D2089" i="14"/>
  <c r="P2089" i="14"/>
  <c r="D2225" i="14"/>
  <c r="P2225" i="14"/>
  <c r="D2149" i="14"/>
  <c r="P2149" i="14"/>
  <c r="D2175" i="14"/>
  <c r="P2175" i="14"/>
  <c r="P2193" i="14"/>
  <c r="D2193" i="14"/>
  <c r="D2152" i="14"/>
  <c r="P2152" i="14"/>
  <c r="P2130" i="14"/>
  <c r="D2130" i="14"/>
  <c r="D2156" i="14"/>
  <c r="P2156" i="14"/>
  <c r="D2174" i="14"/>
  <c r="P2174" i="14"/>
  <c r="D2159" i="14"/>
  <c r="P2159" i="14"/>
  <c r="D2170" i="14"/>
  <c r="P2170" i="14"/>
  <c r="D2043" i="14"/>
  <c r="P2043" i="14"/>
  <c r="D2067" i="14"/>
  <c r="P2067" i="14"/>
  <c r="P2052" i="14"/>
  <c r="D2052" i="14"/>
  <c r="D2078" i="14"/>
  <c r="P2078" i="14"/>
  <c r="D1993" i="14"/>
  <c r="P1993" i="14"/>
  <c r="D2082" i="14"/>
  <c r="P2082" i="14"/>
  <c r="D2053" i="14"/>
  <c r="P2053" i="14"/>
  <c r="D2079" i="14"/>
  <c r="P2079" i="14"/>
  <c r="P2097" i="14"/>
  <c r="D2097" i="14"/>
  <c r="P1994" i="14"/>
  <c r="D1994" i="14"/>
  <c r="D2157" i="14"/>
  <c r="P2157" i="14"/>
  <c r="P2183" i="14"/>
  <c r="D2183" i="14"/>
  <c r="P2201" i="14"/>
  <c r="D2201" i="14"/>
  <c r="P2184" i="14"/>
  <c r="D2184" i="14"/>
  <c r="P2010" i="14"/>
  <c r="D2010" i="14"/>
  <c r="P2003" i="14"/>
  <c r="D2003" i="14"/>
  <c r="P2100" i="14"/>
  <c r="D2100" i="14"/>
  <c r="P2211" i="14"/>
  <c r="D2211" i="14"/>
  <c r="D2114" i="14"/>
  <c r="P2114" i="14"/>
  <c r="P2140" i="14"/>
  <c r="D2140" i="14"/>
  <c r="P2158" i="14"/>
  <c r="D2158" i="14"/>
  <c r="P2155" i="14"/>
  <c r="D2155" i="14"/>
  <c r="P2218" i="14"/>
  <c r="D2218" i="14"/>
  <c r="P2229" i="14"/>
  <c r="D2229" i="14"/>
  <c r="D2168" i="14"/>
  <c r="P2168" i="14"/>
  <c r="D2036" i="14"/>
  <c r="P2036" i="14"/>
  <c r="P2062" i="14"/>
  <c r="D2062" i="14"/>
  <c r="P2080" i="14"/>
  <c r="D2080" i="14"/>
  <c r="C79" i="7"/>
  <c r="F121" i="7" s="1"/>
  <c r="C79" i="6"/>
  <c r="O244" i="2"/>
  <c r="N243" i="2"/>
  <c r="P2636" i="14"/>
  <c r="D2636" i="14"/>
  <c r="D2576" i="14"/>
  <c r="P2576" i="14"/>
  <c r="P2504" i="14"/>
  <c r="D2504" i="14"/>
  <c r="D2524" i="14"/>
  <c r="P2524" i="14"/>
  <c r="P2633" i="14"/>
  <c r="D2633" i="14"/>
  <c r="P2517" i="14"/>
  <c r="D2517" i="14"/>
  <c r="D2534" i="14"/>
  <c r="P2534" i="14"/>
  <c r="D2690" i="14"/>
  <c r="P2690" i="14"/>
  <c r="P2488" i="14"/>
  <c r="D2488" i="14"/>
  <c r="D2548" i="14"/>
  <c r="P2548" i="14"/>
  <c r="P2560" i="14"/>
  <c r="D2560" i="14"/>
  <c r="D2562" i="14"/>
  <c r="P2562" i="14"/>
  <c r="P2530" i="14"/>
  <c r="D2530" i="14"/>
  <c r="P2615" i="14"/>
  <c r="D2615" i="14"/>
  <c r="D2618" i="14"/>
  <c r="P2618" i="14"/>
  <c r="P2637" i="14"/>
  <c r="D2637" i="14"/>
  <c r="D2608" i="14"/>
  <c r="P2608" i="14"/>
  <c r="D2646" i="14"/>
  <c r="P2646" i="14"/>
  <c r="D2515" i="14"/>
  <c r="P2515" i="14"/>
  <c r="D2577" i="14"/>
  <c r="P2577" i="14"/>
  <c r="P2564" i="14"/>
  <c r="D2564" i="14"/>
  <c r="P2643" i="14"/>
  <c r="D2643" i="14"/>
  <c r="P2724" i="14"/>
  <c r="D2724" i="14"/>
  <c r="P2585" i="14"/>
  <c r="D2585" i="14"/>
  <c r="P2671" i="14"/>
  <c r="D2671" i="14"/>
  <c r="P2487" i="14"/>
  <c r="D2487" i="14"/>
  <c r="P2697" i="14"/>
  <c r="D2697" i="14"/>
  <c r="P2513" i="14"/>
  <c r="D2513" i="14"/>
  <c r="D2716" i="14"/>
  <c r="P2716" i="14"/>
  <c r="P2516" i="14"/>
  <c r="D2516" i="14"/>
  <c r="P2701" i="14"/>
  <c r="D2701" i="14"/>
  <c r="P2632" i="14"/>
  <c r="D2632" i="14"/>
  <c r="P2686" i="14"/>
  <c r="D2686" i="14"/>
  <c r="D2699" i="14"/>
  <c r="P2699" i="14"/>
  <c r="P2489" i="14"/>
  <c r="D2489" i="14"/>
  <c r="D2546" i="14"/>
  <c r="P2546" i="14"/>
  <c r="P2669" i="14"/>
  <c r="D2669" i="14"/>
  <c r="P2634" i="14"/>
  <c r="D2634" i="14"/>
  <c r="P2609" i="14"/>
  <c r="D2609" i="14"/>
  <c r="D2572" i="14"/>
  <c r="P2572" i="14"/>
  <c r="D2645" i="14"/>
  <c r="P2645" i="14"/>
  <c r="D2725" i="14"/>
  <c r="P2725" i="14"/>
  <c r="P2526" i="14"/>
  <c r="D2526" i="14"/>
  <c r="D2630" i="14"/>
  <c r="P2630" i="14"/>
  <c r="P2703" i="14"/>
  <c r="D2703" i="14"/>
  <c r="D2672" i="14"/>
  <c r="P2672" i="14"/>
  <c r="P2654" i="14"/>
  <c r="D2654" i="14"/>
  <c r="D2666" i="14"/>
  <c r="P2666" i="14"/>
  <c r="P2662" i="14"/>
  <c r="D2662" i="14"/>
  <c r="D2689" i="14"/>
  <c r="P2689" i="14"/>
  <c r="D2523" i="14"/>
  <c r="P2523" i="14"/>
  <c r="D2540" i="14"/>
  <c r="P2540" i="14"/>
  <c r="D2625" i="14"/>
  <c r="P2625" i="14"/>
  <c r="D2544" i="14"/>
  <c r="P2544" i="14"/>
  <c r="P2554" i="14"/>
  <c r="D2554" i="14"/>
  <c r="P2566" i="14"/>
  <c r="D2566" i="14"/>
  <c r="P2651" i="14"/>
  <c r="D2651" i="14"/>
  <c r="P2549" i="14"/>
  <c r="D2549" i="14"/>
  <c r="P2655" i="14"/>
  <c r="D2655" i="14"/>
  <c r="P2624" i="14"/>
  <c r="D2624" i="14"/>
  <c r="D2692" i="14"/>
  <c r="P2692" i="14"/>
  <c r="O225" i="2"/>
  <c r="D1180" i="14"/>
  <c r="P1180" i="14"/>
  <c r="D1212" i="14"/>
  <c r="P1212" i="14"/>
  <c r="P1238" i="14"/>
  <c r="D1238" i="14"/>
  <c r="D1040" i="14"/>
  <c r="P1040" i="14"/>
  <c r="D1202" i="14"/>
  <c r="P1202" i="14"/>
  <c r="P1209" i="14"/>
  <c r="D1209" i="14"/>
  <c r="D1235" i="14"/>
  <c r="P1235" i="14"/>
  <c r="P1011" i="14"/>
  <c r="D1011" i="14"/>
  <c r="D1037" i="14"/>
  <c r="P1037" i="14"/>
  <c r="P1063" i="14"/>
  <c r="D1063" i="14"/>
  <c r="D1210" i="14"/>
  <c r="P1210" i="14"/>
  <c r="P1012" i="14"/>
  <c r="D1012" i="14"/>
  <c r="D1038" i="14"/>
  <c r="P1038" i="14"/>
  <c r="P1064" i="14"/>
  <c r="D1064" i="14"/>
  <c r="P1215" i="14"/>
  <c r="D1215" i="14"/>
  <c r="D1072" i="14"/>
  <c r="P1072" i="14"/>
  <c r="D1084" i="14"/>
  <c r="P1084" i="14"/>
  <c r="P1142" i="14"/>
  <c r="D1142" i="14"/>
  <c r="D1119" i="14"/>
  <c r="P1119" i="14"/>
  <c r="P1113" i="14"/>
  <c r="D1113" i="14"/>
  <c r="D1139" i="14"/>
  <c r="P1139" i="14"/>
  <c r="D1165" i="14"/>
  <c r="P1165" i="14"/>
  <c r="D1106" i="14"/>
  <c r="P1106" i="14"/>
  <c r="P1185" i="14"/>
  <c r="D1185" i="14"/>
  <c r="D1211" i="14"/>
  <c r="P1211" i="14"/>
  <c r="D1237" i="14"/>
  <c r="P1237" i="14"/>
  <c r="D1223" i="14"/>
  <c r="P1223" i="14"/>
  <c r="D1013" i="14"/>
  <c r="P1013" i="14"/>
  <c r="D1039" i="14"/>
  <c r="P1039" i="14"/>
  <c r="P1079" i="14"/>
  <c r="D1079" i="14"/>
  <c r="P1047" i="14"/>
  <c r="D1047" i="14"/>
  <c r="P1105" i="14"/>
  <c r="D1105" i="14"/>
  <c r="P1130" i="14"/>
  <c r="D1130" i="14"/>
  <c r="D1231" i="14"/>
  <c r="P1231" i="14"/>
  <c r="P1060" i="14"/>
  <c r="D1060" i="14"/>
  <c r="P1086" i="14"/>
  <c r="D1086" i="14"/>
  <c r="P1112" i="14"/>
  <c r="D1112" i="14"/>
  <c r="D1186" i="14"/>
  <c r="P1186" i="14"/>
  <c r="P1132" i="14"/>
  <c r="D1132" i="14"/>
  <c r="D1158" i="14"/>
  <c r="P1158" i="14"/>
  <c r="P1184" i="14"/>
  <c r="D1184" i="14"/>
  <c r="D1041" i="14"/>
  <c r="P1041" i="14"/>
  <c r="P1204" i="14"/>
  <c r="D1204" i="14"/>
  <c r="D1230" i="14"/>
  <c r="P1230" i="14"/>
  <c r="P1085" i="14"/>
  <c r="D1085" i="14"/>
  <c r="P1052" i="14"/>
  <c r="D1052" i="14"/>
  <c r="D1042" i="14"/>
  <c r="P1042" i="14"/>
  <c r="D1053" i="14"/>
  <c r="P1053" i="14"/>
  <c r="P1227" i="14"/>
  <c r="D1227" i="14"/>
  <c r="D1074" i="14"/>
  <c r="P1074" i="14"/>
  <c r="D1177" i="14"/>
  <c r="P1177" i="14"/>
  <c r="D1203" i="14"/>
  <c r="P1203" i="14"/>
  <c r="P1229" i="14"/>
  <c r="D1229" i="14"/>
  <c r="D1191" i="14"/>
  <c r="P1191" i="14"/>
  <c r="D1005" i="14"/>
  <c r="P1005" i="14"/>
  <c r="D1031" i="14"/>
  <c r="P1031" i="14"/>
  <c r="D1082" i="14"/>
  <c r="P1082" i="14"/>
  <c r="P1051" i="14"/>
  <c r="D1051" i="14"/>
  <c r="D1006" i="14"/>
  <c r="P1006" i="14"/>
  <c r="D1032" i="14"/>
  <c r="P1032" i="14"/>
  <c r="P492" i="14"/>
  <c r="D492" i="14"/>
  <c r="P470" i="14"/>
  <c r="D470" i="14"/>
  <c r="P419" i="14"/>
  <c r="D419" i="14"/>
  <c r="P394" i="14"/>
  <c r="D394" i="14"/>
  <c r="D255" i="14"/>
  <c r="P255" i="14"/>
  <c r="D259" i="14"/>
  <c r="P259" i="14"/>
  <c r="D447" i="14"/>
  <c r="P447" i="14"/>
  <c r="D331" i="14"/>
  <c r="P331" i="14"/>
  <c r="P292" i="14"/>
  <c r="D292" i="14"/>
  <c r="D296" i="14"/>
  <c r="P296" i="14"/>
  <c r="D412" i="14"/>
  <c r="P412" i="14"/>
  <c r="P403" i="14"/>
  <c r="D403" i="14"/>
  <c r="P408" i="14"/>
  <c r="D408" i="14"/>
  <c r="P424" i="14"/>
  <c r="D424" i="14"/>
  <c r="D305" i="14"/>
  <c r="P305" i="14"/>
  <c r="D374" i="14"/>
  <c r="P374" i="14"/>
  <c r="P396" i="14"/>
  <c r="D396" i="14"/>
  <c r="P345" i="14"/>
  <c r="D345" i="14"/>
  <c r="P342" i="14"/>
  <c r="D342" i="14"/>
  <c r="D330" i="14"/>
  <c r="P330" i="14"/>
  <c r="P382" i="14"/>
  <c r="D382" i="14"/>
  <c r="P351" i="14"/>
  <c r="D351" i="14"/>
  <c r="P446" i="14"/>
  <c r="D446" i="14"/>
  <c r="P413" i="14"/>
  <c r="D413" i="14"/>
  <c r="P429" i="14"/>
  <c r="D429" i="14"/>
  <c r="D423" i="14"/>
  <c r="P423" i="14"/>
  <c r="P307" i="14"/>
  <c r="D307" i="14"/>
  <c r="P300" i="14"/>
  <c r="D300" i="14"/>
  <c r="P304" i="14"/>
  <c r="D304" i="14"/>
  <c r="P420" i="14"/>
  <c r="D420" i="14"/>
  <c r="P411" i="14"/>
  <c r="D411" i="14"/>
  <c r="P456" i="14"/>
  <c r="D456" i="14"/>
  <c r="P490" i="14"/>
  <c r="D490" i="14"/>
  <c r="D477" i="14"/>
  <c r="P477" i="14"/>
  <c r="P314" i="14"/>
  <c r="D314" i="14"/>
  <c r="P286" i="14"/>
  <c r="D286" i="14"/>
  <c r="P466" i="14"/>
  <c r="D466" i="14"/>
  <c r="P449" i="14"/>
  <c r="D449" i="14"/>
  <c r="D269" i="14"/>
  <c r="P269" i="14"/>
  <c r="D358" i="14"/>
  <c r="P358" i="14"/>
  <c r="P327" i="14"/>
  <c r="D327" i="14"/>
  <c r="D422" i="14"/>
  <c r="P422" i="14"/>
  <c r="D445" i="14"/>
  <c r="P445" i="14"/>
  <c r="D461" i="14"/>
  <c r="P461" i="14"/>
  <c r="D431" i="14"/>
  <c r="P431" i="14"/>
  <c r="D315" i="14"/>
  <c r="P315" i="14"/>
  <c r="D282" i="14"/>
  <c r="P282" i="14"/>
  <c r="P349" i="14"/>
  <c r="D349" i="14"/>
  <c r="P281" i="14"/>
  <c r="D281" i="14"/>
  <c r="P460" i="14"/>
  <c r="D460" i="14"/>
  <c r="P316" i="14"/>
  <c r="D316" i="14"/>
  <c r="P320" i="14"/>
  <c r="D320" i="14"/>
  <c r="P436" i="14"/>
  <c r="D436" i="14"/>
  <c r="P427" i="14"/>
  <c r="D427" i="14"/>
  <c r="P388" i="14"/>
  <c r="D388" i="14"/>
  <c r="P392" i="14"/>
  <c r="D392" i="14"/>
  <c r="P297" i="14"/>
  <c r="D297" i="14"/>
  <c r="D306" i="14"/>
  <c r="P306" i="14"/>
  <c r="P273" i="14"/>
  <c r="D273" i="14"/>
  <c r="P418" i="14"/>
  <c r="D418" i="14"/>
  <c r="D401" i="14"/>
  <c r="P401" i="14"/>
  <c r="O242" i="2"/>
  <c r="M227" i="2"/>
  <c r="AN165" i="2"/>
  <c r="P168" i="2" s="1"/>
  <c r="D1385" i="14"/>
  <c r="P1385" i="14"/>
  <c r="P1404" i="14"/>
  <c r="D1404" i="14"/>
  <c r="P1366" i="14"/>
  <c r="D1366" i="14"/>
  <c r="D1482" i="14"/>
  <c r="P1482" i="14"/>
  <c r="D1409" i="14"/>
  <c r="P1409" i="14"/>
  <c r="P1363" i="14"/>
  <c r="D1363" i="14"/>
  <c r="D1389" i="14"/>
  <c r="P1389" i="14"/>
  <c r="P1407" i="14"/>
  <c r="D1407" i="14"/>
  <c r="P1486" i="14"/>
  <c r="D1486" i="14"/>
  <c r="P1467" i="14"/>
  <c r="D1467" i="14"/>
  <c r="D1282" i="14"/>
  <c r="P1282" i="14"/>
  <c r="D1268" i="14"/>
  <c r="P1268" i="14"/>
  <c r="D1294" i="14"/>
  <c r="P1294" i="14"/>
  <c r="D1374" i="14"/>
  <c r="P1374" i="14"/>
  <c r="P1309" i="14"/>
  <c r="D1309" i="14"/>
  <c r="D1322" i="14"/>
  <c r="P1322" i="14"/>
  <c r="D1295" i="14"/>
  <c r="P1295" i="14"/>
  <c r="P1393" i="14"/>
  <c r="D1393" i="14"/>
  <c r="P1305" i="14"/>
  <c r="D1305" i="14"/>
  <c r="D1330" i="14"/>
  <c r="P1330" i="14"/>
  <c r="P1348" i="14"/>
  <c r="D1348" i="14"/>
  <c r="P1401" i="14"/>
  <c r="D1401" i="14"/>
  <c r="P1408" i="14"/>
  <c r="D1408" i="14"/>
  <c r="P1434" i="14"/>
  <c r="D1434" i="14"/>
  <c r="P1452" i="14"/>
  <c r="D1452" i="14"/>
  <c r="P1382" i="14"/>
  <c r="D1382" i="14"/>
  <c r="P1480" i="14"/>
  <c r="D1480" i="14"/>
  <c r="P1373" i="14"/>
  <c r="D1373" i="14"/>
  <c r="D1392" i="14"/>
  <c r="P1392" i="14"/>
  <c r="P1465" i="14"/>
  <c r="D1465" i="14"/>
  <c r="D1323" i="14"/>
  <c r="P1323" i="14"/>
  <c r="D1320" i="14"/>
  <c r="P1320" i="14"/>
  <c r="D1326" i="14"/>
  <c r="P1326" i="14"/>
  <c r="D1427" i="14"/>
  <c r="P1427" i="14"/>
  <c r="P1453" i="14"/>
  <c r="D1453" i="14"/>
  <c r="P1471" i="14"/>
  <c r="D1471" i="14"/>
  <c r="D1260" i="14"/>
  <c r="P1260" i="14"/>
  <c r="D1286" i="14"/>
  <c r="P1286" i="14"/>
  <c r="D1304" i="14"/>
  <c r="P1304" i="14"/>
  <c r="P1271" i="14"/>
  <c r="D1271" i="14"/>
  <c r="D1257" i="14"/>
  <c r="P1257" i="14"/>
  <c r="P1283" i="14"/>
  <c r="D1283" i="14"/>
  <c r="D1377" i="14"/>
  <c r="P1377" i="14"/>
  <c r="D1477" i="14"/>
  <c r="P1477" i="14"/>
  <c r="P1431" i="14"/>
  <c r="D1431" i="14"/>
  <c r="D1354" i="14"/>
  <c r="P1354" i="14"/>
  <c r="D1446" i="14"/>
  <c r="P1446" i="14"/>
  <c r="P1331" i="14"/>
  <c r="D1331" i="14"/>
  <c r="D1357" i="14"/>
  <c r="P1357" i="14"/>
  <c r="D1375" i="14"/>
  <c r="P1375" i="14"/>
  <c r="P1358" i="14"/>
  <c r="D1358" i="14"/>
  <c r="P1435" i="14"/>
  <c r="D1435" i="14"/>
  <c r="P1461" i="14"/>
  <c r="D1461" i="14"/>
  <c r="P1479" i="14"/>
  <c r="D1479" i="14"/>
  <c r="P1481" i="14"/>
  <c r="D1481" i="14"/>
  <c r="D1262" i="14"/>
  <c r="P1262" i="14"/>
  <c r="D1341" i="14"/>
  <c r="P1341" i="14"/>
  <c r="D1359" i="14"/>
  <c r="P1359" i="14"/>
  <c r="P1405" i="14"/>
  <c r="D1405" i="14"/>
  <c r="P1423" i="14"/>
  <c r="D1423" i="14"/>
  <c r="P2224" i="14"/>
  <c r="D2224" i="14"/>
  <c r="P2018" i="14"/>
  <c r="D2018" i="14"/>
  <c r="P2096" i="14"/>
  <c r="D2096" i="14"/>
  <c r="P2228" i="14"/>
  <c r="D2228" i="14"/>
  <c r="D2216" i="14"/>
  <c r="P2216" i="14"/>
  <c r="P2146" i="14"/>
  <c r="D2146" i="14"/>
  <c r="P2172" i="14"/>
  <c r="D2172" i="14"/>
  <c r="P2190" i="14"/>
  <c r="D2190" i="14"/>
  <c r="P2160" i="14"/>
  <c r="D2160" i="14"/>
  <c r="P1990" i="14"/>
  <c r="D1990" i="14"/>
  <c r="D2008" i="14"/>
  <c r="P2008" i="14"/>
  <c r="P2200" i="14"/>
  <c r="D2200" i="14"/>
  <c r="P2068" i="14"/>
  <c r="D2068" i="14"/>
  <c r="D1991" i="14"/>
  <c r="P1991" i="14"/>
  <c r="P2009" i="14"/>
  <c r="D2009" i="14"/>
  <c r="P2099" i="14"/>
  <c r="D2099" i="14"/>
  <c r="P2101" i="14"/>
  <c r="D2101" i="14"/>
  <c r="D2209" i="14"/>
  <c r="P2209" i="14"/>
  <c r="P2070" i="14"/>
  <c r="D2070" i="14"/>
  <c r="P2058" i="14"/>
  <c r="D2058" i="14"/>
  <c r="D2173" i="14"/>
  <c r="P2173" i="14"/>
  <c r="P2199" i="14"/>
  <c r="D2199" i="14"/>
  <c r="P2094" i="14"/>
  <c r="D2094" i="14"/>
  <c r="P2002" i="14"/>
  <c r="D2002" i="14"/>
  <c r="P2154" i="14"/>
  <c r="D2154" i="14"/>
  <c r="P2180" i="14"/>
  <c r="D2180" i="14"/>
  <c r="D2198" i="14"/>
  <c r="P2198" i="14"/>
  <c r="P2192" i="14"/>
  <c r="D2192" i="14"/>
  <c r="P1998" i="14"/>
  <c r="D1998" i="14"/>
  <c r="P2016" i="14"/>
  <c r="D2016" i="14"/>
  <c r="P2127" i="14"/>
  <c r="D2127" i="14"/>
  <c r="D2177" i="14"/>
  <c r="P2177" i="14"/>
  <c r="P2196" i="14"/>
  <c r="D2196" i="14"/>
  <c r="P2069" i="14"/>
  <c r="D2069" i="14"/>
  <c r="P2075" i="14"/>
  <c r="D2075" i="14"/>
  <c r="D2077" i="14"/>
  <c r="P2077" i="14"/>
  <c r="P2103" i="14"/>
  <c r="D2103" i="14"/>
  <c r="P2121" i="14"/>
  <c r="D2121" i="14"/>
  <c r="P2090" i="14"/>
  <c r="D2090" i="14"/>
  <c r="P2181" i="14"/>
  <c r="D2181" i="14"/>
  <c r="P2207" i="14"/>
  <c r="D2207" i="14"/>
  <c r="D2102" i="14"/>
  <c r="P2102" i="14"/>
  <c r="P2034" i="14"/>
  <c r="D2034" i="14"/>
  <c r="D2162" i="14"/>
  <c r="P2162" i="14"/>
  <c r="P2188" i="14"/>
  <c r="D2188" i="14"/>
  <c r="P2206" i="14"/>
  <c r="D2206" i="14"/>
  <c r="P2138" i="14"/>
  <c r="D2138" i="14"/>
  <c r="P2012" i="14"/>
  <c r="D2012" i="14"/>
  <c r="P2132" i="14"/>
  <c r="D2132" i="14"/>
  <c r="D2118" i="14"/>
  <c r="P2118" i="14"/>
  <c r="P2128" i="14"/>
  <c r="D2128" i="14"/>
  <c r="D2227" i="14"/>
  <c r="P2227" i="14"/>
  <c r="P2000" i="14"/>
  <c r="D2000" i="14"/>
  <c r="P2195" i="14"/>
  <c r="D2195" i="14"/>
  <c r="P2060" i="14"/>
  <c r="D2060" i="14"/>
  <c r="P2086" i="14"/>
  <c r="D2086" i="14"/>
  <c r="D2001" i="14"/>
  <c r="P2001" i="14"/>
  <c r="P2011" i="14"/>
  <c r="D2011" i="14"/>
  <c r="D2061" i="14"/>
  <c r="P2061" i="14"/>
  <c r="P2087" i="14"/>
  <c r="D2087" i="14"/>
  <c r="P2105" i="14"/>
  <c r="D2105" i="14"/>
  <c r="C49" i="6"/>
  <c r="C89" i="6"/>
  <c r="R169" i="2"/>
  <c r="R170" i="2"/>
  <c r="R171" i="2"/>
  <c r="AN178" i="2"/>
  <c r="T168" i="2" s="1"/>
  <c r="M244" i="2"/>
  <c r="D2498" i="14"/>
  <c r="P2498" i="14"/>
  <c r="AN17" i="14"/>
  <c r="AM17" i="14"/>
  <c r="AJ17" i="14"/>
  <c r="AK37" i="14"/>
  <c r="AK17" i="14"/>
  <c r="AQ17" i="14"/>
  <c r="AL17" i="14"/>
  <c r="P2665" i="14"/>
  <c r="D2665" i="14"/>
  <c r="P2668" i="14"/>
  <c r="D2668" i="14"/>
  <c r="D2512" i="14"/>
  <c r="P2512" i="14"/>
  <c r="P2565" i="14"/>
  <c r="D2565" i="14"/>
  <c r="D2584" i="14"/>
  <c r="P2584" i="14"/>
  <c r="P2569" i="14"/>
  <c r="D2569" i="14"/>
  <c r="P2579" i="14"/>
  <c r="D2579" i="14"/>
  <c r="D2598" i="14"/>
  <c r="P2598" i="14"/>
  <c r="P2658" i="14"/>
  <c r="D2658" i="14"/>
  <c r="D2570" i="14"/>
  <c r="P2570" i="14"/>
  <c r="P2580" i="14"/>
  <c r="D2580" i="14"/>
  <c r="D2679" i="14"/>
  <c r="P2679" i="14"/>
  <c r="P2661" i="14"/>
  <c r="D2661" i="14"/>
  <c r="P2659" i="14"/>
  <c r="D2659" i="14"/>
  <c r="P2557" i="14"/>
  <c r="D2557" i="14"/>
  <c r="P2687" i="14"/>
  <c r="D2687" i="14"/>
  <c r="P2532" i="14"/>
  <c r="D2532" i="14"/>
  <c r="P2610" i="14"/>
  <c r="D2610" i="14"/>
  <c r="P2673" i="14"/>
  <c r="D2673" i="14"/>
  <c r="P2511" i="14"/>
  <c r="D2511" i="14"/>
  <c r="D2706" i="14"/>
  <c r="P2706" i="14"/>
  <c r="D2586" i="14"/>
  <c r="P2586" i="14"/>
  <c r="D2525" i="14"/>
  <c r="P2525" i="14"/>
  <c r="P2542" i="14"/>
  <c r="D2542" i="14"/>
  <c r="P2698" i="14"/>
  <c r="D2698" i="14"/>
  <c r="D2507" i="14"/>
  <c r="P2507" i="14"/>
  <c r="P2553" i="14"/>
  <c r="D2553" i="14"/>
  <c r="P2607" i="14"/>
  <c r="D2607" i="14"/>
  <c r="D2629" i="14"/>
  <c r="P2629" i="14"/>
  <c r="D2707" i="14"/>
  <c r="P2707" i="14"/>
  <c r="P2492" i="14"/>
  <c r="D2492" i="14"/>
  <c r="D2563" i="14"/>
  <c r="P2563" i="14"/>
  <c r="P2620" i="14"/>
  <c r="D2620" i="14"/>
  <c r="D2596" i="14"/>
  <c r="P2596" i="14"/>
  <c r="D2656" i="14"/>
  <c r="P2656" i="14"/>
  <c r="D2644" i="14"/>
  <c r="P2644" i="14"/>
  <c r="D2628" i="14"/>
  <c r="P2628" i="14"/>
  <c r="D2667" i="14"/>
  <c r="P2667" i="14"/>
  <c r="D2519" i="14"/>
  <c r="P2519" i="14"/>
  <c r="D2709" i="14"/>
  <c r="P2709" i="14"/>
  <c r="D2561" i="14"/>
  <c r="P2561" i="14"/>
  <c r="D2501" i="14"/>
  <c r="P2501" i="14"/>
  <c r="P2547" i="14"/>
  <c r="D2547" i="14"/>
  <c r="D2693" i="14"/>
  <c r="P2693" i="14"/>
  <c r="P2503" i="14"/>
  <c r="D2503" i="14"/>
  <c r="P2529" i="14"/>
  <c r="D2529" i="14"/>
  <c r="D2696" i="14"/>
  <c r="P2696" i="14"/>
  <c r="D2521" i="14"/>
  <c r="P2521" i="14"/>
  <c r="P2571" i="14"/>
  <c r="D2571" i="14"/>
  <c r="P2590" i="14"/>
  <c r="D2590" i="14"/>
  <c r="P2648" i="14"/>
  <c r="D2648" i="14"/>
  <c r="P2677" i="14"/>
  <c r="D2677" i="14"/>
  <c r="D2604" i="14"/>
  <c r="P2604" i="14"/>
  <c r="D2681" i="14"/>
  <c r="P2681" i="14"/>
  <c r="D2652" i="14"/>
  <c r="P2652" i="14"/>
  <c r="P2631" i="14"/>
  <c r="D2631" i="14"/>
  <c r="D2642" i="14"/>
  <c r="P2642" i="14"/>
  <c r="D2495" i="14"/>
  <c r="P2495" i="14"/>
  <c r="D2704" i="14"/>
  <c r="P2704" i="14"/>
  <c r="Y84" i="10"/>
  <c r="Y83" i="10"/>
  <c r="S174" i="2"/>
  <c r="Z174" i="2"/>
  <c r="K113" i="11" s="1"/>
  <c r="K100" i="11" s="1"/>
  <c r="K84" i="11" s="1"/>
  <c r="K94" i="11" s="1"/>
  <c r="K95" i="11" s="1"/>
  <c r="M225" i="2"/>
  <c r="AN163" i="2"/>
  <c r="P243" i="2"/>
  <c r="D257" i="2"/>
  <c r="J243" i="2"/>
  <c r="R167" i="2" s="1"/>
  <c r="D1206" i="14"/>
  <c r="P1206" i="14"/>
  <c r="P1071" i="14"/>
  <c r="D1071" i="14"/>
  <c r="P1114" i="14"/>
  <c r="D1114" i="14"/>
  <c r="D1146" i="14"/>
  <c r="P1146" i="14"/>
  <c r="P1067" i="14"/>
  <c r="D1067" i="14"/>
  <c r="P1022" i="14"/>
  <c r="D1022" i="14"/>
  <c r="P1048" i="14"/>
  <c r="D1048" i="14"/>
  <c r="P1001" i="14"/>
  <c r="D1001" i="14"/>
  <c r="D1068" i="14"/>
  <c r="P1068" i="14"/>
  <c r="P1094" i="14"/>
  <c r="D1094" i="14"/>
  <c r="D1120" i="14"/>
  <c r="P1120" i="14"/>
  <c r="P1218" i="14"/>
  <c r="D1218" i="14"/>
  <c r="P1140" i="14"/>
  <c r="D1140" i="14"/>
  <c r="D1166" i="14"/>
  <c r="P1166" i="14"/>
  <c r="D1192" i="14"/>
  <c r="P1192" i="14"/>
  <c r="D1137" i="14"/>
  <c r="P1137" i="14"/>
  <c r="D1110" i="14"/>
  <c r="P1110" i="14"/>
  <c r="D1195" i="14"/>
  <c r="P1195" i="14"/>
  <c r="P1168" i="14"/>
  <c r="D1168" i="14"/>
  <c r="D1159" i="14"/>
  <c r="P1159" i="14"/>
  <c r="AK31" i="14"/>
  <c r="AJ11" i="14"/>
  <c r="AN11" i="14"/>
  <c r="AM11" i="14"/>
  <c r="AL11" i="14"/>
  <c r="AQ11" i="14"/>
  <c r="AK11" i="14"/>
  <c r="P1023" i="14"/>
  <c r="D1023" i="14"/>
  <c r="P1050" i="14"/>
  <c r="D1050" i="14"/>
  <c r="P1043" i="14"/>
  <c r="D1043" i="14"/>
  <c r="D998" i="14"/>
  <c r="P998" i="14"/>
  <c r="D1024" i="14"/>
  <c r="P1024" i="14"/>
  <c r="P1167" i="14"/>
  <c r="D1167" i="14"/>
  <c r="P1044" i="14"/>
  <c r="D1044" i="14"/>
  <c r="D1070" i="14"/>
  <c r="P1070" i="14"/>
  <c r="D1096" i="14"/>
  <c r="P1096" i="14"/>
  <c r="P1200" i="14"/>
  <c r="D1200" i="14"/>
  <c r="D1087" i="14"/>
  <c r="P1087" i="14"/>
  <c r="P1065" i="14"/>
  <c r="D1065" i="14"/>
  <c r="D1073" i="14"/>
  <c r="P1073" i="14"/>
  <c r="D1239" i="14"/>
  <c r="P1239" i="14"/>
  <c r="D1188" i="14"/>
  <c r="P1188" i="14"/>
  <c r="D1214" i="14"/>
  <c r="P1214" i="14"/>
  <c r="D1069" i="14"/>
  <c r="P1069" i="14"/>
  <c r="D1194" i="14"/>
  <c r="P1194" i="14"/>
  <c r="D1089" i="14"/>
  <c r="P1089" i="14"/>
  <c r="P1115" i="14"/>
  <c r="D1115" i="14"/>
  <c r="D1141" i="14"/>
  <c r="P1141" i="14"/>
  <c r="D1010" i="14"/>
  <c r="P1010" i="14"/>
  <c r="P1161" i="14"/>
  <c r="D1161" i="14"/>
  <c r="P1187" i="14"/>
  <c r="D1187" i="14"/>
  <c r="D1213" i="14"/>
  <c r="P1213" i="14"/>
  <c r="D1078" i="14"/>
  <c r="P1078" i="14"/>
  <c r="P1221" i="14"/>
  <c r="D1221" i="14"/>
  <c r="P1093" i="14"/>
  <c r="D1093" i="14"/>
  <c r="P1018" i="14"/>
  <c r="D1018" i="14"/>
  <c r="D1035" i="14"/>
  <c r="P1035" i="14"/>
  <c r="P1061" i="14"/>
  <c r="D1061" i="14"/>
  <c r="P1016" i="14"/>
  <c r="D1016" i="14"/>
  <c r="P1135" i="14"/>
  <c r="D1135" i="14"/>
  <c r="P1036" i="14"/>
  <c r="D1036" i="14"/>
  <c r="D1062" i="14"/>
  <c r="P1062" i="14"/>
  <c r="P1088" i="14"/>
  <c r="D1088" i="14"/>
  <c r="D1090" i="14"/>
  <c r="P1090" i="14"/>
  <c r="P1108" i="14"/>
  <c r="D1108" i="14"/>
  <c r="D1134" i="14"/>
  <c r="P1134" i="14"/>
  <c r="D1160" i="14"/>
  <c r="P1160" i="14"/>
  <c r="N171" i="2"/>
  <c r="N170" i="2"/>
  <c r="N169" i="2"/>
  <c r="D432" i="14"/>
  <c r="P432" i="14"/>
  <c r="D308" i="14"/>
  <c r="P308" i="14"/>
  <c r="P283" i="14"/>
  <c r="D283" i="14"/>
  <c r="D377" i="14"/>
  <c r="P377" i="14"/>
  <c r="D348" i="14"/>
  <c r="P348" i="14"/>
  <c r="P352" i="14"/>
  <c r="D352" i="14"/>
  <c r="P468" i="14"/>
  <c r="D468" i="14"/>
  <c r="P459" i="14"/>
  <c r="D459" i="14"/>
  <c r="D293" i="14"/>
  <c r="P293" i="14"/>
  <c r="P309" i="14"/>
  <c r="D309" i="14"/>
  <c r="D329" i="14"/>
  <c r="P329" i="14"/>
  <c r="P270" i="14"/>
  <c r="D270" i="14"/>
  <c r="P450" i="14"/>
  <c r="D450" i="14"/>
  <c r="P433" i="14"/>
  <c r="D433" i="14"/>
  <c r="D438" i="14"/>
  <c r="P438" i="14"/>
  <c r="P387" i="14"/>
  <c r="D387" i="14"/>
  <c r="P338" i="14"/>
  <c r="D338" i="14"/>
  <c r="D311" i="14"/>
  <c r="P311" i="14"/>
  <c r="AJ8" i="14"/>
  <c r="AN8" i="14"/>
  <c r="AM8" i="14"/>
  <c r="AQ8" i="14"/>
  <c r="AK28" i="14"/>
  <c r="AL8" i="14"/>
  <c r="AK8" i="14"/>
  <c r="D256" i="14"/>
  <c r="P256" i="14"/>
  <c r="D479" i="14"/>
  <c r="P479" i="14"/>
  <c r="D363" i="14"/>
  <c r="P363" i="14"/>
  <c r="D324" i="14"/>
  <c r="P324" i="14"/>
  <c r="D328" i="14"/>
  <c r="P328" i="14"/>
  <c r="D444" i="14"/>
  <c r="P444" i="14"/>
  <c r="D435" i="14"/>
  <c r="P435" i="14"/>
  <c r="P325" i="14"/>
  <c r="D325" i="14"/>
  <c r="D341" i="14"/>
  <c r="P341" i="14"/>
  <c r="D337" i="14"/>
  <c r="P337" i="14"/>
  <c r="D376" i="14"/>
  <c r="P376" i="14"/>
  <c r="P313" i="14"/>
  <c r="D313" i="14"/>
  <c r="P473" i="14"/>
  <c r="D473" i="14"/>
  <c r="P493" i="14"/>
  <c r="D493" i="14"/>
  <c r="P464" i="14"/>
  <c r="D464" i="14"/>
  <c r="D480" i="14"/>
  <c r="P480" i="14"/>
  <c r="D383" i="14"/>
  <c r="P383" i="14"/>
  <c r="D478" i="14"/>
  <c r="P478" i="14"/>
  <c r="D263" i="14"/>
  <c r="P263" i="14"/>
  <c r="P267" i="14"/>
  <c r="D267" i="14"/>
  <c r="P455" i="14"/>
  <c r="D455" i="14"/>
  <c r="P339" i="14"/>
  <c r="D339" i="14"/>
  <c r="P332" i="14"/>
  <c r="D332" i="14"/>
  <c r="P336" i="14"/>
  <c r="D336" i="14"/>
  <c r="P452" i="14"/>
  <c r="D452" i="14"/>
  <c r="P443" i="14"/>
  <c r="D443" i="14"/>
  <c r="D278" i="14"/>
  <c r="P278" i="14"/>
  <c r="P365" i="14"/>
  <c r="D365" i="14"/>
  <c r="P409" i="14"/>
  <c r="D409" i="14"/>
  <c r="D451" i="14"/>
  <c r="P451" i="14"/>
  <c r="P389" i="14"/>
  <c r="D389" i="14"/>
  <c r="D405" i="14"/>
  <c r="P405" i="14"/>
  <c r="D353" i="14"/>
  <c r="P353" i="14"/>
  <c r="P262" i="14"/>
  <c r="D262" i="14"/>
  <c r="P442" i="14"/>
  <c r="D442" i="14"/>
  <c r="P425" i="14"/>
  <c r="D425" i="14"/>
  <c r="P266" i="14"/>
  <c r="D266" i="14"/>
  <c r="P366" i="14"/>
  <c r="D366" i="14"/>
  <c r="P335" i="14"/>
  <c r="D335" i="14"/>
  <c r="P430" i="14"/>
  <c r="D430" i="14"/>
  <c r="D107" i="11"/>
  <c r="D111" i="11"/>
  <c r="N227" i="2"/>
  <c r="F27" i="5" l="1"/>
  <c r="AN169" i="2"/>
  <c r="K250" i="2"/>
  <c r="AO184" i="2" s="1"/>
  <c r="F93" i="5"/>
  <c r="M250" i="2"/>
  <c r="M173" i="2"/>
  <c r="M174" i="2"/>
  <c r="M172" i="2"/>
  <c r="H79" i="5"/>
  <c r="C92" i="5" s="1"/>
  <c r="C249" i="2"/>
  <c r="K231" i="2"/>
  <c r="AO182" i="2"/>
  <c r="L107" i="5"/>
  <c r="I107" i="5"/>
  <c r="C29" i="5"/>
  <c r="J233" i="2"/>
  <c r="P233" i="2"/>
  <c r="G233" i="2"/>
  <c r="B110" i="12"/>
  <c r="AD151" i="2" s="1"/>
  <c r="E110" i="12"/>
  <c r="AF151" i="2" s="1"/>
  <c r="C111" i="12"/>
  <c r="P11" i="10"/>
  <c r="G110" i="12"/>
  <c r="D110" i="12"/>
  <c r="AE151" i="2" s="1"/>
  <c r="F111" i="12"/>
  <c r="AG150" i="2" s="1"/>
  <c r="AG151" i="2"/>
  <c r="Q231" i="2"/>
  <c r="L27" i="5" s="1"/>
  <c r="Q250" i="2"/>
  <c r="P170" i="2"/>
  <c r="P169" i="2"/>
  <c r="P171" i="2"/>
  <c r="AM164" i="2"/>
  <c r="P166" i="2"/>
  <c r="AN164" i="2"/>
  <c r="M226" i="2"/>
  <c r="D112" i="11"/>
  <c r="D115" i="11"/>
  <c r="D114" i="11" s="1"/>
  <c r="G121" i="7"/>
  <c r="T169" i="2"/>
  <c r="T171" i="2"/>
  <c r="T170" i="2"/>
  <c r="AM178" i="2"/>
  <c r="T167" i="2"/>
  <c r="Y88" i="10"/>
  <c r="Y101" i="10" s="1"/>
  <c r="R173" i="2"/>
  <c r="R174" i="2"/>
  <c r="R172" i="2"/>
  <c r="F66" i="15"/>
  <c r="G66" i="15" s="1"/>
  <c r="C103" i="2" s="1"/>
  <c r="F116" i="6"/>
  <c r="G116" i="6" s="1"/>
  <c r="N172" i="2"/>
  <c r="N173" i="2"/>
  <c r="N174" i="2"/>
  <c r="F71" i="15"/>
  <c r="F121" i="6"/>
  <c r="E121" i="6"/>
  <c r="E71" i="15"/>
  <c r="AM177" i="2"/>
  <c r="T166" i="2"/>
  <c r="M233" i="2" l="1"/>
  <c r="Q233" i="2" s="1"/>
  <c r="F29" i="5"/>
  <c r="AN171" i="2"/>
  <c r="K233" i="2"/>
  <c r="K107" i="5"/>
  <c r="J107" i="5"/>
  <c r="I91" i="5"/>
  <c r="F107" i="5" s="1"/>
  <c r="AO169" i="2"/>
  <c r="L43" i="5"/>
  <c r="I43" i="5"/>
  <c r="V158" i="2"/>
  <c r="Z158" i="2" s="1"/>
  <c r="V174" i="2"/>
  <c r="O174" i="2"/>
  <c r="D111" i="12"/>
  <c r="AE150" i="2" s="1"/>
  <c r="E111" i="12"/>
  <c r="AF150" i="2" s="1"/>
  <c r="B111" i="12"/>
  <c r="AD150" i="2" s="1"/>
  <c r="X141" i="2" s="1"/>
  <c r="G111" i="12"/>
  <c r="P12" i="10"/>
  <c r="C28" i="5"/>
  <c r="J232" i="2"/>
  <c r="P232" i="2"/>
  <c r="G232" i="2"/>
  <c r="V157" i="2"/>
  <c r="Z157" i="2" s="1"/>
  <c r="V173" i="2"/>
  <c r="O173" i="2"/>
  <c r="D263" i="2"/>
  <c r="J249" i="2"/>
  <c r="P249" i="2"/>
  <c r="G249" i="2"/>
  <c r="V156" i="2"/>
  <c r="Z156" i="2" s="1"/>
  <c r="O172" i="2"/>
  <c r="V172" i="2"/>
  <c r="P173" i="2"/>
  <c r="P174" i="2"/>
  <c r="P172" i="2"/>
  <c r="AM165" i="2"/>
  <c r="AM167" i="2" s="1"/>
  <c r="P167" i="2"/>
  <c r="AM182" i="2"/>
  <c r="AM183" i="2"/>
  <c r="AM181" i="2"/>
  <c r="AM180" i="2"/>
  <c r="AM184" i="2"/>
  <c r="AM179" i="2"/>
  <c r="Y89" i="10"/>
  <c r="Y90" i="10" s="1"/>
  <c r="Y99" i="10" s="1"/>
  <c r="G71" i="15"/>
  <c r="G121" i="6"/>
  <c r="T172" i="2"/>
  <c r="T174" i="2"/>
  <c r="T173" i="2"/>
  <c r="D117" i="11"/>
  <c r="D113" i="11"/>
  <c r="AO171" i="2" l="1"/>
  <c r="K43" i="5"/>
  <c r="J43" i="5"/>
  <c r="I27" i="5"/>
  <c r="F43" i="5" s="1"/>
  <c r="M249" i="2"/>
  <c r="Q249" i="2" s="1"/>
  <c r="K249" i="2"/>
  <c r="AN183" i="2"/>
  <c r="F92" i="5"/>
  <c r="M232" i="2"/>
  <c r="Q232" i="2" s="1"/>
  <c r="L28" i="5" s="1"/>
  <c r="K232" i="2"/>
  <c r="F28" i="5"/>
  <c r="AN170" i="2"/>
  <c r="AM168" i="2"/>
  <c r="AM171" i="2"/>
  <c r="AM169" i="2"/>
  <c r="AM166" i="2"/>
  <c r="AM170" i="2"/>
  <c r="C127" i="5"/>
  <c r="C128" i="5" s="1"/>
  <c r="Q244" i="2" s="1"/>
  <c r="D121" i="11"/>
  <c r="D120" i="11" s="1"/>
  <c r="D118" i="11"/>
  <c r="D119" i="11" s="1"/>
  <c r="Y105" i="10"/>
  <c r="Y100" i="10"/>
  <c r="E109" i="12" s="1"/>
  <c r="AF152" i="2" s="1"/>
  <c r="Y104" i="10"/>
  <c r="AO170" i="2" l="1"/>
  <c r="I45" i="5"/>
  <c r="L44" i="5"/>
  <c r="I44" i="5"/>
  <c r="AO183" i="2"/>
  <c r="I109" i="5"/>
  <c r="L108" i="5"/>
  <c r="L109" i="5"/>
  <c r="I108" i="5"/>
  <c r="L92" i="5"/>
  <c r="L93" i="5"/>
  <c r="L45" i="5"/>
  <c r="L29" i="5"/>
  <c r="C62" i="5"/>
  <c r="C63" i="5" s="1"/>
  <c r="K227" i="2" s="1"/>
  <c r="X168" i="2" s="1"/>
  <c r="Q242" i="2"/>
  <c r="K243" i="2"/>
  <c r="AO177" i="2" s="1"/>
  <c r="K242" i="2"/>
  <c r="Q243" i="2"/>
  <c r="K244" i="2"/>
  <c r="Y106" i="10"/>
  <c r="E105" i="12"/>
  <c r="AF156" i="2" s="1"/>
  <c r="AC150" i="2" s="1"/>
  <c r="E104" i="12"/>
  <c r="AF157" i="2" s="1"/>
  <c r="E103" i="12"/>
  <c r="AF158" i="2" s="1"/>
  <c r="K108" i="5" l="1"/>
  <c r="J108" i="5"/>
  <c r="I92" i="5"/>
  <c r="F108" i="5" s="1"/>
  <c r="I28" i="5"/>
  <c r="F44" i="5" s="1"/>
  <c r="K44" i="5"/>
  <c r="J44" i="5"/>
  <c r="J109" i="5"/>
  <c r="I93" i="5"/>
  <c r="F109" i="5" s="1"/>
  <c r="K109" i="5"/>
  <c r="I29" i="5"/>
  <c r="F45" i="5" s="1"/>
  <c r="J45" i="5"/>
  <c r="K45" i="5"/>
  <c r="K225" i="2"/>
  <c r="X166" i="2" s="1"/>
  <c r="X150" i="2" s="1"/>
  <c r="I108" i="11" s="1"/>
  <c r="J108" i="11" s="1"/>
  <c r="L86" i="5"/>
  <c r="AB167" i="2"/>
  <c r="AB151" i="2" s="1"/>
  <c r="I120" i="11" s="1"/>
  <c r="J120" i="11" s="1"/>
  <c r="K226" i="2"/>
  <c r="X167" i="2" s="1"/>
  <c r="X151" i="2" s="1"/>
  <c r="I107" i="11" s="1"/>
  <c r="J107" i="11" s="1"/>
  <c r="L103" i="5"/>
  <c r="Q227" i="2"/>
  <c r="L102" i="5"/>
  <c r="Q226" i="2"/>
  <c r="Q225" i="2"/>
  <c r="I102" i="5"/>
  <c r="K102" i="5" s="1"/>
  <c r="AB166" i="2"/>
  <c r="AB150" i="2" s="1"/>
  <c r="I121" i="11" s="1"/>
  <c r="J121" i="11" s="1"/>
  <c r="AO176" i="2"/>
  <c r="AO165" i="2"/>
  <c r="X171" i="2"/>
  <c r="X170" i="2"/>
  <c r="X154" i="2" s="1"/>
  <c r="I104" i="11" s="1"/>
  <c r="J104" i="11" s="1"/>
  <c r="X169" i="2"/>
  <c r="X153" i="2" s="1"/>
  <c r="I105" i="11" s="1"/>
  <c r="J105" i="11" s="1"/>
  <c r="X152" i="2"/>
  <c r="I106" i="11" s="1"/>
  <c r="J106" i="11" s="1"/>
  <c r="AO178" i="2"/>
  <c r="AB168" i="2"/>
  <c r="AB169" i="2" s="1"/>
  <c r="AB153" i="2" s="1"/>
  <c r="I118" i="11" s="1"/>
  <c r="J118" i="11" s="1"/>
  <c r="L87" i="5"/>
  <c r="L94" i="5" s="1"/>
  <c r="I103" i="5"/>
  <c r="AO163" i="2" l="1"/>
  <c r="I39" i="5"/>
  <c r="J39" i="5" s="1"/>
  <c r="AO164" i="2"/>
  <c r="L39" i="5"/>
  <c r="I38" i="5"/>
  <c r="I22" i="5" s="1"/>
  <c r="F38" i="5" s="1"/>
  <c r="I23" i="5"/>
  <c r="F39" i="5" s="1"/>
  <c r="L23" i="5"/>
  <c r="H94" i="4"/>
  <c r="L38" i="5"/>
  <c r="I110" i="5"/>
  <c r="J102" i="5"/>
  <c r="L110" i="5"/>
  <c r="I86" i="5"/>
  <c r="F102" i="5" s="1"/>
  <c r="L22" i="5"/>
  <c r="X173" i="2"/>
  <c r="X157" i="2" s="1"/>
  <c r="I101" i="11" s="1"/>
  <c r="J101" i="11" s="1"/>
  <c r="X174" i="2"/>
  <c r="X158" i="2" s="1"/>
  <c r="I100" i="11" s="1"/>
  <c r="J100" i="11" s="1"/>
  <c r="X172" i="2"/>
  <c r="X156" i="2" s="1"/>
  <c r="I102" i="11" s="1"/>
  <c r="J102" i="11" s="1"/>
  <c r="X155" i="2"/>
  <c r="I103" i="11" s="1"/>
  <c r="J103" i="11" s="1"/>
  <c r="AB171" i="2"/>
  <c r="AB155" i="2" s="1"/>
  <c r="I116" i="11" s="1"/>
  <c r="J116" i="11" s="1"/>
  <c r="AB170" i="2"/>
  <c r="AB154" i="2" s="1"/>
  <c r="I117" i="11" s="1"/>
  <c r="J117" i="11" s="1"/>
  <c r="AB152" i="2"/>
  <c r="I119" i="11" s="1"/>
  <c r="J119" i="11" s="1"/>
  <c r="J103" i="5"/>
  <c r="K103" i="5"/>
  <c r="K110" i="5" s="1"/>
  <c r="I87" i="5"/>
  <c r="F103" i="5" s="1"/>
  <c r="L30" i="5" l="1"/>
  <c r="H88" i="4"/>
  <c r="G67" i="12" s="1"/>
  <c r="C225" i="13" s="1"/>
  <c r="D225" i="13" s="1"/>
  <c r="L96" i="5"/>
  <c r="E110" i="7" s="1"/>
  <c r="G110" i="7" s="1"/>
  <c r="G111" i="7" s="1"/>
  <c r="K39" i="5"/>
  <c r="I30" i="5"/>
  <c r="G60" i="15"/>
  <c r="G61" i="15" s="1"/>
  <c r="C76" i="15" s="1"/>
  <c r="I46" i="5"/>
  <c r="K38" i="5"/>
  <c r="L46" i="5"/>
  <c r="J38" i="5"/>
  <c r="J110" i="5"/>
  <c r="AB173" i="2"/>
  <c r="AB157" i="2" s="1"/>
  <c r="I114" i="11" s="1"/>
  <c r="J114" i="11" s="1"/>
  <c r="AB174" i="2"/>
  <c r="AB158" i="2" s="1"/>
  <c r="I113" i="11" s="1"/>
  <c r="J113" i="11" s="1"/>
  <c r="AB172" i="2"/>
  <c r="AB156" i="2" s="1"/>
  <c r="I115" i="11" s="1"/>
  <c r="J115" i="11" s="1"/>
  <c r="H93" i="4"/>
  <c r="I94" i="5"/>
  <c r="C120" i="7"/>
  <c r="AR19" i="10" l="1"/>
  <c r="AR24" i="10" s="1"/>
  <c r="L32" i="5"/>
  <c r="E110" i="6" s="1"/>
  <c r="G110" i="6" s="1"/>
  <c r="G111" i="6" s="1"/>
  <c r="K46" i="5"/>
  <c r="C70" i="15" s="1"/>
  <c r="E70" i="15" s="1"/>
  <c r="H87" i="4"/>
  <c r="J46" i="5"/>
  <c r="I85" i="11" s="1"/>
  <c r="J85" i="11" s="1"/>
  <c r="E120" i="7"/>
  <c r="C122" i="7"/>
  <c r="AR42" i="10" l="1"/>
  <c r="AR31" i="10"/>
  <c r="AR32" i="10"/>
  <c r="AR30" i="10"/>
  <c r="AR25" i="10"/>
  <c r="AR39" i="10"/>
  <c r="AR41" i="10"/>
  <c r="AR43" i="10"/>
  <c r="AR40" i="10"/>
  <c r="AR36" i="10"/>
  <c r="AR26" i="10"/>
  <c r="AR37" i="10"/>
  <c r="AR34" i="10"/>
  <c r="AR23" i="10"/>
  <c r="I7" i="10" s="1"/>
  <c r="M32" i="10" s="1"/>
  <c r="V32" i="10" s="1"/>
  <c r="AR33" i="10"/>
  <c r="AR38" i="10"/>
  <c r="AR27" i="10"/>
  <c r="AR29" i="10"/>
  <c r="AR35" i="10"/>
  <c r="AR28" i="10"/>
  <c r="G105" i="12"/>
  <c r="G109" i="12"/>
  <c r="C120" i="6"/>
  <c r="E120" i="6" s="1"/>
  <c r="I84" i="11"/>
  <c r="J84" i="11" s="1"/>
  <c r="J95" i="11" s="1"/>
  <c r="I89" i="11"/>
  <c r="J89" i="11" s="1"/>
  <c r="I88" i="11"/>
  <c r="J88" i="11" s="1"/>
  <c r="I86" i="11"/>
  <c r="J86" i="11" s="1"/>
  <c r="C72" i="15"/>
  <c r="G104" i="12"/>
  <c r="F60" i="15"/>
  <c r="G103" i="12"/>
  <c r="F64" i="12"/>
  <c r="AO19" i="10"/>
  <c r="AO29" i="10" s="1"/>
  <c r="I90" i="11"/>
  <c r="J90" i="11" s="1"/>
  <c r="I92" i="11"/>
  <c r="J92" i="11" s="1"/>
  <c r="J93" i="11" s="1"/>
  <c r="J94" i="11" s="1"/>
  <c r="G66" i="12"/>
  <c r="C239" i="13" s="1"/>
  <c r="N39" i="9"/>
  <c r="D91" i="9" s="1"/>
  <c r="I87" i="11"/>
  <c r="J87" i="11" s="1"/>
  <c r="I91" i="11"/>
  <c r="J91" i="11" s="1"/>
  <c r="N39" i="8"/>
  <c r="G120" i="7"/>
  <c r="G122" i="7" s="1"/>
  <c r="F124" i="7" s="1"/>
  <c r="G124" i="7" s="1"/>
  <c r="E122" i="7"/>
  <c r="G70" i="15"/>
  <c r="G72" i="15" s="1"/>
  <c r="D76" i="15" s="1"/>
  <c r="E72" i="15"/>
  <c r="C122" i="6" l="1"/>
  <c r="N405" i="10"/>
  <c r="N54" i="10"/>
  <c r="O129" i="10"/>
  <c r="N296" i="10"/>
  <c r="O436" i="10"/>
  <c r="O307" i="10"/>
  <c r="O167" i="10"/>
  <c r="O151" i="10"/>
  <c r="O417" i="10"/>
  <c r="N100" i="10"/>
  <c r="O72" i="10"/>
  <c r="N147" i="10"/>
  <c r="O298" i="10"/>
  <c r="O461" i="10"/>
  <c r="N287" i="10"/>
  <c r="O253" i="10"/>
  <c r="N206" i="10"/>
  <c r="O77" i="10"/>
  <c r="O435" i="10"/>
  <c r="O325" i="10"/>
  <c r="N426" i="10"/>
  <c r="O453" i="10"/>
  <c r="N275" i="10"/>
  <c r="O271" i="10"/>
  <c r="N436" i="10"/>
  <c r="O85" i="10"/>
  <c r="N449" i="10"/>
  <c r="N164" i="10"/>
  <c r="O434" i="10"/>
  <c r="O433" i="10"/>
  <c r="N352" i="10"/>
  <c r="O319" i="10"/>
  <c r="O113" i="10"/>
  <c r="N143" i="10"/>
  <c r="N92" i="10"/>
  <c r="N327" i="10"/>
  <c r="N410" i="10"/>
  <c r="O330" i="10"/>
  <c r="N393" i="10"/>
  <c r="O234" i="10"/>
  <c r="N256" i="10"/>
  <c r="N89" i="10"/>
  <c r="O397" i="10"/>
  <c r="O225" i="10"/>
  <c r="N394" i="10"/>
  <c r="O447" i="10"/>
  <c r="O140" i="10"/>
  <c r="N234" i="10"/>
  <c r="N193" i="10"/>
  <c r="N154" i="10"/>
  <c r="O174" i="10"/>
  <c r="N245" i="10"/>
  <c r="N417" i="10"/>
  <c r="O214" i="10"/>
  <c r="N216" i="10"/>
  <c r="N452" i="10"/>
  <c r="O300" i="10"/>
  <c r="N315" i="10"/>
  <c r="O91" i="10"/>
  <c r="O35" i="10"/>
  <c r="O286" i="10"/>
  <c r="N123" i="10"/>
  <c r="N316" i="10"/>
  <c r="O127" i="10"/>
  <c r="N79" i="10"/>
  <c r="N457" i="10"/>
  <c r="N47" i="10"/>
  <c r="O349" i="10"/>
  <c r="N261" i="10"/>
  <c r="N351" i="10"/>
  <c r="O103" i="10"/>
  <c r="O100" i="10"/>
  <c r="N228" i="10"/>
  <c r="N396" i="10"/>
  <c r="N318" i="10"/>
  <c r="O222" i="10"/>
  <c r="O423" i="10"/>
  <c r="N182" i="10"/>
  <c r="N362" i="10"/>
  <c r="N134" i="10"/>
  <c r="N358" i="10"/>
  <c r="O42" i="10"/>
  <c r="N153" i="10"/>
  <c r="O130" i="10"/>
  <c r="N171" i="10"/>
  <c r="N109" i="10"/>
  <c r="O297" i="10"/>
  <c r="N60" i="10"/>
  <c r="O341" i="10"/>
  <c r="O199" i="10"/>
  <c r="N267" i="10"/>
  <c r="N419" i="10"/>
  <c r="N155" i="10"/>
  <c r="N326" i="10"/>
  <c r="O58" i="10"/>
  <c r="O142" i="10"/>
  <c r="N195" i="10"/>
  <c r="N34" i="10"/>
  <c r="O172" i="10"/>
  <c r="O52" i="10"/>
  <c r="O207" i="10"/>
  <c r="O375" i="10"/>
  <c r="N428" i="10"/>
  <c r="N106" i="10"/>
  <c r="N197" i="10"/>
  <c r="N355" i="10"/>
  <c r="O289" i="10"/>
  <c r="N56" i="10"/>
  <c r="N274" i="10"/>
  <c r="O387" i="10"/>
  <c r="N218" i="10"/>
  <c r="O261" i="10"/>
  <c r="O159" i="10"/>
  <c r="O343" i="10"/>
  <c r="N328" i="10"/>
  <c r="O197" i="10"/>
  <c r="N241" i="10"/>
  <c r="O291" i="10"/>
  <c r="O182" i="10"/>
  <c r="N72" i="10"/>
  <c r="O255" i="10"/>
  <c r="O61" i="10"/>
  <c r="O120" i="10"/>
  <c r="N88" i="10"/>
  <c r="O179" i="10"/>
  <c r="O251" i="10"/>
  <c r="N94" i="10"/>
  <c r="N75" i="10"/>
  <c r="O389" i="10"/>
  <c r="O388" i="10"/>
  <c r="O193" i="10"/>
  <c r="O184" i="10"/>
  <c r="N52" i="10"/>
  <c r="N91" i="10"/>
  <c r="O243" i="10"/>
  <c r="N344" i="10"/>
  <c r="O355" i="10"/>
  <c r="N138" i="10"/>
  <c r="O404" i="10"/>
  <c r="O262" i="10"/>
  <c r="N323" i="10"/>
  <c r="N309" i="10"/>
  <c r="O170" i="10"/>
  <c r="N353" i="10"/>
  <c r="N349" i="10"/>
  <c r="N272" i="10"/>
  <c r="N221" i="10"/>
  <c r="N183" i="10"/>
  <c r="O99" i="10"/>
  <c r="O339" i="10"/>
  <c r="O366" i="10"/>
  <c r="N416" i="10"/>
  <c r="O336" i="10"/>
  <c r="N95" i="10"/>
  <c r="N226" i="10"/>
  <c r="N305" i="10"/>
  <c r="N411" i="10"/>
  <c r="O438" i="10"/>
  <c r="O466" i="10"/>
  <c r="N62" i="10"/>
  <c r="N248" i="10"/>
  <c r="N211" i="10"/>
  <c r="N112" i="10"/>
  <c r="O332" i="10"/>
  <c r="N294" i="10"/>
  <c r="N74" i="10"/>
  <c r="O323" i="10"/>
  <c r="O157" i="10"/>
  <c r="O164" i="10"/>
  <c r="N468" i="10"/>
  <c r="O126" i="10"/>
  <c r="O145" i="10"/>
  <c r="N217" i="10"/>
  <c r="N311" i="10"/>
  <c r="O391" i="10"/>
  <c r="O84" i="10"/>
  <c r="O155" i="10"/>
  <c r="O465" i="10"/>
  <c r="O187" i="10"/>
  <c r="N42" i="10"/>
  <c r="N65" i="10"/>
  <c r="O322" i="10"/>
  <c r="N209" i="10"/>
  <c r="N239" i="10"/>
  <c r="O401" i="10"/>
  <c r="N312" i="10"/>
  <c r="O78" i="10"/>
  <c r="O173" i="10"/>
  <c r="O412" i="10"/>
  <c r="N165" i="10"/>
  <c r="O299" i="10"/>
  <c r="N163" i="10"/>
  <c r="N167" i="10"/>
  <c r="N430" i="10"/>
  <c r="N260" i="10"/>
  <c r="N148" i="10"/>
  <c r="O248" i="10"/>
  <c r="O421" i="10"/>
  <c r="N196" i="10"/>
  <c r="O359" i="10"/>
  <c r="O329" i="10"/>
  <c r="N330" i="10"/>
  <c r="O37" i="10"/>
  <c r="O409" i="10"/>
  <c r="O455" i="10"/>
  <c r="N446" i="10"/>
  <c r="N437" i="10"/>
  <c r="N117" i="10"/>
  <c r="O149" i="10"/>
  <c r="N137" i="10"/>
  <c r="N86" i="10"/>
  <c r="N329" i="10"/>
  <c r="O281" i="10"/>
  <c r="O137" i="10"/>
  <c r="N453" i="10"/>
  <c r="N397" i="10"/>
  <c r="N101" i="10"/>
  <c r="N140" i="10"/>
  <c r="O275" i="10"/>
  <c r="O143" i="10"/>
  <c r="N385" i="10"/>
  <c r="O272" i="10"/>
  <c r="O284" i="10"/>
  <c r="N291" i="10"/>
  <c r="O340" i="10"/>
  <c r="N286" i="10"/>
  <c r="O96" i="10"/>
  <c r="N404" i="10"/>
  <c r="O342" i="10"/>
  <c r="N152" i="10"/>
  <c r="N45" i="10"/>
  <c r="O218" i="10"/>
  <c r="O46" i="10"/>
  <c r="N406" i="10"/>
  <c r="O383" i="10"/>
  <c r="O92" i="10"/>
  <c r="N413" i="10"/>
  <c r="N235" i="10"/>
  <c r="O224" i="10"/>
  <c r="N371" i="10"/>
  <c r="N276" i="10"/>
  <c r="N313" i="10"/>
  <c r="O459" i="10"/>
  <c r="O256" i="10"/>
  <c r="O338" i="10"/>
  <c r="O408" i="10"/>
  <c r="O254" i="10"/>
  <c r="O279" i="10"/>
  <c r="N199" i="10"/>
  <c r="N401" i="10"/>
  <c r="O176" i="10"/>
  <c r="N136" i="10"/>
  <c r="N81" i="10"/>
  <c r="N350" i="10"/>
  <c r="O418" i="10"/>
  <c r="N265" i="10"/>
  <c r="O41" i="10"/>
  <c r="N407" i="10"/>
  <c r="O44" i="10"/>
  <c r="O410" i="10"/>
  <c r="O121" i="10"/>
  <c r="N102" i="10"/>
  <c r="N114" i="10"/>
  <c r="N448" i="10"/>
  <c r="O110" i="10"/>
  <c r="O194" i="10"/>
  <c r="N365" i="10"/>
  <c r="O181" i="10"/>
  <c r="N432" i="10"/>
  <c r="N166" i="10"/>
  <c r="N53" i="10"/>
  <c r="N127" i="10"/>
  <c r="O276" i="10"/>
  <c r="O71" i="10"/>
  <c r="O376" i="10"/>
  <c r="O118" i="10"/>
  <c r="O66" i="10"/>
  <c r="N118" i="10"/>
  <c r="O458" i="10"/>
  <c r="N307" i="10"/>
  <c r="N61" i="10"/>
  <c r="O268" i="10"/>
  <c r="N176" i="10"/>
  <c r="O280" i="10"/>
  <c r="O98" i="10"/>
  <c r="O367" i="10"/>
  <c r="N262" i="10"/>
  <c r="N132" i="10"/>
  <c r="O161" i="10"/>
  <c r="N87" i="10"/>
  <c r="N96" i="10"/>
  <c r="N462" i="10"/>
  <c r="N122" i="10"/>
  <c r="O294" i="10"/>
  <c r="N157" i="10"/>
  <c r="O226" i="10"/>
  <c r="O440" i="10"/>
  <c r="O55" i="10"/>
  <c r="O183" i="10"/>
  <c r="N373" i="10"/>
  <c r="O153" i="10"/>
  <c r="N281" i="10"/>
  <c r="N264" i="10"/>
  <c r="O426" i="10"/>
  <c r="N110" i="10"/>
  <c r="O69" i="10"/>
  <c r="N44" i="10"/>
  <c r="O241" i="10"/>
  <c r="N381" i="10"/>
  <c r="O451" i="10"/>
  <c r="N97" i="10"/>
  <c r="O102" i="10"/>
  <c r="N135" i="10"/>
  <c r="O353" i="10"/>
  <c r="N310" i="10"/>
  <c r="N78" i="10"/>
  <c r="O257" i="10"/>
  <c r="N390" i="10"/>
  <c r="N119" i="10"/>
  <c r="O163" i="10"/>
  <c r="O282" i="10"/>
  <c r="N440" i="10"/>
  <c r="O128" i="10"/>
  <c r="N324" i="10"/>
  <c r="N257" i="10"/>
  <c r="O380" i="10"/>
  <c r="O144" i="10"/>
  <c r="O328" i="10"/>
  <c r="N202" i="10"/>
  <c r="O114" i="10"/>
  <c r="N271" i="10"/>
  <c r="O56" i="10"/>
  <c r="O63" i="10"/>
  <c r="O147" i="10"/>
  <c r="N374" i="10"/>
  <c r="O457" i="10"/>
  <c r="N273" i="10"/>
  <c r="O398" i="10"/>
  <c r="O138" i="10"/>
  <c r="N203" i="10"/>
  <c r="N277" i="10"/>
  <c r="O456" i="10"/>
  <c r="N76" i="10"/>
  <c r="O452" i="10"/>
  <c r="N375" i="10"/>
  <c r="N149" i="10"/>
  <c r="O420" i="10"/>
  <c r="N334" i="10"/>
  <c r="O439" i="10"/>
  <c r="O406" i="10"/>
  <c r="N244" i="10"/>
  <c r="O82" i="10"/>
  <c r="N409" i="10"/>
  <c r="N231" i="10"/>
  <c r="O51" i="10"/>
  <c r="O115" i="10"/>
  <c r="N438" i="10"/>
  <c r="N454" i="10"/>
  <c r="O81" i="10"/>
  <c r="O422" i="10"/>
  <c r="O290" i="10"/>
  <c r="O371" i="10"/>
  <c r="N377" i="10"/>
  <c r="O122" i="10"/>
  <c r="O301" i="10"/>
  <c r="O186" i="10"/>
  <c r="O413" i="10"/>
  <c r="O57" i="10"/>
  <c r="O384" i="10"/>
  <c r="O419" i="10"/>
  <c r="O266" i="10"/>
  <c r="N268" i="10"/>
  <c r="O212" i="10"/>
  <c r="O303" i="10"/>
  <c r="O385" i="10"/>
  <c r="N314" i="10"/>
  <c r="N369" i="10"/>
  <c r="N36" i="10"/>
  <c r="N331" i="10"/>
  <c r="O315" i="10"/>
  <c r="N105" i="10"/>
  <c r="O188" i="10"/>
  <c r="N443" i="10"/>
  <c r="O191" i="10"/>
  <c r="O386" i="10"/>
  <c r="O89" i="10"/>
  <c r="O231" i="10"/>
  <c r="O429" i="10"/>
  <c r="N214" i="10"/>
  <c r="O250" i="10"/>
  <c r="O87" i="10"/>
  <c r="O33" i="10"/>
  <c r="N172" i="10"/>
  <c r="O363" i="10"/>
  <c r="O318" i="10"/>
  <c r="O76" i="10"/>
  <c r="N33" i="10"/>
  <c r="K6" i="10" s="1"/>
  <c r="K9" i="10" s="1"/>
  <c r="O416" i="10"/>
  <c r="N70" i="10"/>
  <c r="O198" i="10"/>
  <c r="N240" i="10"/>
  <c r="N382" i="10"/>
  <c r="O171" i="10"/>
  <c r="N297" i="10"/>
  <c r="O73" i="10"/>
  <c r="N41" i="10"/>
  <c r="O235" i="10"/>
  <c r="O305" i="10"/>
  <c r="O407" i="10"/>
  <c r="N467" i="10"/>
  <c r="O351" i="10"/>
  <c r="O190" i="10"/>
  <c r="O326" i="10"/>
  <c r="N246" i="10"/>
  <c r="O320" i="10"/>
  <c r="N204" i="10"/>
  <c r="O432" i="10"/>
  <c r="N144" i="10"/>
  <c r="O36" i="10"/>
  <c r="O313" i="10"/>
  <c r="N57" i="10"/>
  <c r="N370" i="10"/>
  <c r="O350" i="10"/>
  <c r="N363" i="10"/>
  <c r="N280" i="10"/>
  <c r="N39" i="10"/>
  <c r="N325" i="10"/>
  <c r="O215" i="10"/>
  <c r="O180" i="10"/>
  <c r="N399" i="10"/>
  <c r="O324" i="10"/>
  <c r="N233" i="10"/>
  <c r="O136" i="10"/>
  <c r="N168" i="10"/>
  <c r="O67" i="10"/>
  <c r="O68" i="10"/>
  <c r="O217" i="10"/>
  <c r="N295" i="10"/>
  <c r="N336" i="10"/>
  <c r="N175" i="10"/>
  <c r="N357" i="10"/>
  <c r="O236" i="10"/>
  <c r="O296" i="10"/>
  <c r="O292" i="10"/>
  <c r="O449" i="10"/>
  <c r="O227" i="10"/>
  <c r="O377" i="10"/>
  <c r="N184" i="10"/>
  <c r="O158" i="10"/>
  <c r="N252" i="10"/>
  <c r="O361" i="10"/>
  <c r="N35" i="10"/>
  <c r="N50" i="10"/>
  <c r="O240" i="10"/>
  <c r="N434" i="10"/>
  <c r="N368" i="10"/>
  <c r="O79" i="10"/>
  <c r="N364" i="10"/>
  <c r="N425" i="10"/>
  <c r="N170" i="10"/>
  <c r="N71" i="10"/>
  <c r="O392" i="10"/>
  <c r="N403" i="10"/>
  <c r="O460" i="10"/>
  <c r="O260" i="10"/>
  <c r="N201" i="10"/>
  <c r="O302" i="10"/>
  <c r="O467" i="10"/>
  <c r="O245" i="10"/>
  <c r="N186" i="10"/>
  <c r="O441" i="10"/>
  <c r="O62" i="10"/>
  <c r="O347" i="10"/>
  <c r="N90" i="10"/>
  <c r="O317" i="10"/>
  <c r="N48" i="10"/>
  <c r="N139" i="10"/>
  <c r="O177" i="10"/>
  <c r="N461" i="10"/>
  <c r="N51" i="10"/>
  <c r="N412" i="10"/>
  <c r="O293" i="10"/>
  <c r="N422" i="10"/>
  <c r="O94" i="10"/>
  <c r="N302" i="10"/>
  <c r="N442" i="10"/>
  <c r="O277" i="10"/>
  <c r="O219" i="10"/>
  <c r="O358" i="10"/>
  <c r="N447" i="10"/>
  <c r="O38" i="10"/>
  <c r="O431" i="10"/>
  <c r="N298" i="10"/>
  <c r="N460" i="10"/>
  <c r="O106" i="10"/>
  <c r="N263" i="10"/>
  <c r="N441" i="10"/>
  <c r="O427" i="10"/>
  <c r="N242" i="10"/>
  <c r="N389" i="10"/>
  <c r="N451" i="10"/>
  <c r="N243" i="10"/>
  <c r="O312" i="10"/>
  <c r="O95" i="10"/>
  <c r="O154" i="10"/>
  <c r="O258" i="10"/>
  <c r="N464" i="10"/>
  <c r="N63" i="10"/>
  <c r="O123" i="10"/>
  <c r="N433" i="10"/>
  <c r="O463" i="10"/>
  <c r="N38" i="10"/>
  <c r="O424" i="10"/>
  <c r="O116" i="10"/>
  <c r="N84" i="10"/>
  <c r="O464" i="10"/>
  <c r="O360" i="10"/>
  <c r="N178" i="10"/>
  <c r="O107" i="10"/>
  <c r="O70" i="10"/>
  <c r="N67" i="10"/>
  <c r="O75" i="10"/>
  <c r="O269" i="10"/>
  <c r="N333" i="10"/>
  <c r="O252" i="10"/>
  <c r="O393" i="10"/>
  <c r="N159" i="10"/>
  <c r="O242" i="10"/>
  <c r="O468" i="10"/>
  <c r="O333" i="10"/>
  <c r="N128" i="10"/>
  <c r="N185" i="10"/>
  <c r="O287" i="10"/>
  <c r="O316" i="10"/>
  <c r="O203" i="10"/>
  <c r="N80" i="10"/>
  <c r="N372" i="10"/>
  <c r="O462" i="10"/>
  <c r="N423" i="10"/>
  <c r="O321" i="10"/>
  <c r="O249" i="10"/>
  <c r="N319" i="10"/>
  <c r="O263" i="10"/>
  <c r="O168" i="10"/>
  <c r="O278" i="10"/>
  <c r="N162" i="10"/>
  <c r="N208" i="10"/>
  <c r="O396" i="10"/>
  <c r="N249" i="10"/>
  <c r="N210" i="10"/>
  <c r="O244" i="10"/>
  <c r="O344" i="10"/>
  <c r="O109" i="10"/>
  <c r="O166" i="10"/>
  <c r="N321" i="10"/>
  <c r="O352" i="10"/>
  <c r="N161" i="10"/>
  <c r="N69" i="10"/>
  <c r="O306" i="10"/>
  <c r="O346" i="10"/>
  <c r="N458" i="10"/>
  <c r="N251" i="10"/>
  <c r="O309" i="10"/>
  <c r="N322" i="10"/>
  <c r="O270" i="10"/>
  <c r="O178" i="10"/>
  <c r="N191" i="10"/>
  <c r="O356" i="10"/>
  <c r="N220" i="10"/>
  <c r="O311" i="10"/>
  <c r="N173" i="10"/>
  <c r="N360" i="10"/>
  <c r="O104" i="10"/>
  <c r="N367" i="10"/>
  <c r="N160" i="10"/>
  <c r="N227" i="10"/>
  <c r="N258" i="10"/>
  <c r="N177" i="10"/>
  <c r="O48" i="10"/>
  <c r="N126" i="10"/>
  <c r="O378" i="10"/>
  <c r="N284" i="10"/>
  <c r="O40" i="10"/>
  <c r="N346" i="10"/>
  <c r="N194" i="10"/>
  <c r="N150" i="10"/>
  <c r="N339" i="10"/>
  <c r="O189" i="10"/>
  <c r="O304" i="10"/>
  <c r="N43" i="10"/>
  <c r="O450" i="10"/>
  <c r="N158" i="10"/>
  <c r="O334" i="10"/>
  <c r="O283" i="10"/>
  <c r="O192" i="10"/>
  <c r="N103" i="10"/>
  <c r="O394" i="10"/>
  <c r="O223" i="10"/>
  <c r="O370" i="10"/>
  <c r="N337" i="10"/>
  <c r="O50" i="10"/>
  <c r="N384" i="10"/>
  <c r="N124" i="10"/>
  <c r="N142" i="10"/>
  <c r="N420" i="10"/>
  <c r="N466" i="10"/>
  <c r="N300" i="10"/>
  <c r="N366" i="10"/>
  <c r="O117" i="10"/>
  <c r="N125" i="10"/>
  <c r="O274" i="10"/>
  <c r="O230" i="10"/>
  <c r="N255" i="10"/>
  <c r="N237" i="10"/>
  <c r="N427" i="10"/>
  <c r="O425" i="10"/>
  <c r="O369" i="10"/>
  <c r="N303" i="10"/>
  <c r="O216" i="10"/>
  <c r="N429" i="10"/>
  <c r="O54" i="10"/>
  <c r="O395" i="10"/>
  <c r="N320" i="10"/>
  <c r="N308" i="10"/>
  <c r="N115" i="10"/>
  <c r="O165" i="10"/>
  <c r="N187" i="10"/>
  <c r="N77" i="10"/>
  <c r="N174" i="10"/>
  <c r="N198" i="10"/>
  <c r="O90" i="10"/>
  <c r="O112" i="10"/>
  <c r="O134" i="10"/>
  <c r="N68" i="10"/>
  <c r="O220" i="10"/>
  <c r="N290" i="10"/>
  <c r="N190" i="10"/>
  <c r="O86" i="10"/>
  <c r="O390" i="10"/>
  <c r="N116" i="10"/>
  <c r="O101" i="10"/>
  <c r="O411" i="10"/>
  <c r="N359" i="10"/>
  <c r="N450" i="10"/>
  <c r="O206" i="10"/>
  <c r="N232" i="10"/>
  <c r="O65" i="10"/>
  <c r="N225" i="10"/>
  <c r="O47" i="10"/>
  <c r="O97" i="10"/>
  <c r="O229" i="10"/>
  <c r="N317" i="10"/>
  <c r="N408" i="10"/>
  <c r="N188" i="10"/>
  <c r="N146" i="10"/>
  <c r="O400" i="10"/>
  <c r="O210" i="10"/>
  <c r="N212" i="10"/>
  <c r="N238" i="10"/>
  <c r="O88" i="10"/>
  <c r="O444" i="10"/>
  <c r="O213" i="10"/>
  <c r="O445" i="10"/>
  <c r="N129" i="10"/>
  <c r="N398" i="10"/>
  <c r="O59" i="10"/>
  <c r="N341" i="10"/>
  <c r="O372" i="10"/>
  <c r="O204" i="10"/>
  <c r="O354" i="10"/>
  <c r="N288" i="10"/>
  <c r="N99" i="10"/>
  <c r="O237" i="10"/>
  <c r="O131" i="10"/>
  <c r="O232" i="10"/>
  <c r="N64" i="10"/>
  <c r="O150" i="10"/>
  <c r="N444" i="10"/>
  <c r="N392" i="10"/>
  <c r="O364" i="10"/>
  <c r="O442" i="10"/>
  <c r="N282" i="10"/>
  <c r="O399" i="10"/>
  <c r="O310" i="10"/>
  <c r="O428" i="10"/>
  <c r="O74" i="10"/>
  <c r="N456" i="10"/>
  <c r="O45" i="10"/>
  <c r="N435" i="10"/>
  <c r="N338" i="10"/>
  <c r="O169" i="10"/>
  <c r="N259" i="10"/>
  <c r="O365" i="10"/>
  <c r="N301" i="10"/>
  <c r="N73" i="10"/>
  <c r="N85" i="10"/>
  <c r="N299" i="10"/>
  <c r="N391" i="10"/>
  <c r="N402" i="10"/>
  <c r="O267" i="10"/>
  <c r="N141" i="10"/>
  <c r="N292" i="10"/>
  <c r="O125" i="10"/>
  <c r="N335" i="10"/>
  <c r="O124" i="10"/>
  <c r="O185" i="10"/>
  <c r="N270" i="10"/>
  <c r="N145" i="10"/>
  <c r="N293" i="10"/>
  <c r="O211" i="10"/>
  <c r="O327" i="10"/>
  <c r="N465" i="10"/>
  <c r="N345" i="10"/>
  <c r="O331" i="10"/>
  <c r="O175" i="10"/>
  <c r="N306" i="10"/>
  <c r="O133" i="10"/>
  <c r="N83" i="10"/>
  <c r="O135" i="10"/>
  <c r="N289" i="10"/>
  <c r="N156" i="10"/>
  <c r="N46" i="10"/>
  <c r="O374" i="10"/>
  <c r="N207" i="10"/>
  <c r="O239" i="10"/>
  <c r="N200" i="10"/>
  <c r="O228" i="10"/>
  <c r="N387" i="10"/>
  <c r="O53" i="10"/>
  <c r="O382" i="10"/>
  <c r="N459" i="10"/>
  <c r="N120" i="10"/>
  <c r="O345" i="10"/>
  <c r="O195" i="10"/>
  <c r="N66" i="10"/>
  <c r="N424" i="10"/>
  <c r="O264" i="10"/>
  <c r="N361" i="10"/>
  <c r="O148" i="10"/>
  <c r="O196" i="10"/>
  <c r="O105" i="10"/>
  <c r="O308" i="10"/>
  <c r="N55" i="10"/>
  <c r="N113" i="10"/>
  <c r="N151" i="10"/>
  <c r="N222" i="10"/>
  <c r="N378" i="10"/>
  <c r="O415" i="10"/>
  <c r="O162" i="10"/>
  <c r="O381" i="10"/>
  <c r="N431" i="10"/>
  <c r="N283" i="10"/>
  <c r="N421" i="10"/>
  <c r="O108" i="10"/>
  <c r="N219" i="10"/>
  <c r="O141" i="10"/>
  <c r="O403" i="10"/>
  <c r="O357" i="10"/>
  <c r="O83" i="10"/>
  <c r="N111" i="10"/>
  <c r="N205" i="10"/>
  <c r="N395" i="10"/>
  <c r="N415" i="10"/>
  <c r="N347" i="10"/>
  <c r="N179" i="10"/>
  <c r="O160" i="10"/>
  <c r="O60" i="10"/>
  <c r="N223" i="10"/>
  <c r="O233" i="10"/>
  <c r="N104" i="10"/>
  <c r="N278" i="10"/>
  <c r="O348" i="10"/>
  <c r="O201" i="10"/>
  <c r="N253" i="10"/>
  <c r="N383" i="10"/>
  <c r="N332" i="10"/>
  <c r="O39" i="10"/>
  <c r="N343" i="10"/>
  <c r="O146" i="10"/>
  <c r="O221" i="10"/>
  <c r="O285" i="10"/>
  <c r="N388" i="10"/>
  <c r="O265" i="10"/>
  <c r="N131" i="10"/>
  <c r="N40" i="10"/>
  <c r="N247" i="10"/>
  <c r="O402" i="10"/>
  <c r="O362" i="10"/>
  <c r="N379" i="10"/>
  <c r="O64" i="10"/>
  <c r="O259" i="10"/>
  <c r="O202" i="10"/>
  <c r="O111" i="10"/>
  <c r="N189" i="10"/>
  <c r="O454" i="10"/>
  <c r="O132" i="10"/>
  <c r="N93" i="10"/>
  <c r="N82" i="10"/>
  <c r="N49" i="10"/>
  <c r="N133" i="10"/>
  <c r="O43" i="10"/>
  <c r="N463" i="10"/>
  <c r="O437" i="10"/>
  <c r="N230" i="10"/>
  <c r="O119" i="10"/>
  <c r="N98" i="10"/>
  <c r="N354" i="10"/>
  <c r="N445" i="10"/>
  <c r="N279" i="10"/>
  <c r="O314" i="10"/>
  <c r="O337" i="10"/>
  <c r="O373" i="10"/>
  <c r="N304" i="10"/>
  <c r="N180" i="10"/>
  <c r="O430" i="10"/>
  <c r="O443" i="10"/>
  <c r="N181" i="10"/>
  <c r="O139" i="10"/>
  <c r="O205" i="10"/>
  <c r="N455" i="10"/>
  <c r="O379" i="10"/>
  <c r="O448" i="10"/>
  <c r="N224" i="10"/>
  <c r="O295" i="10"/>
  <c r="O247" i="10"/>
  <c r="N250" i="10"/>
  <c r="N37" i="10"/>
  <c r="O368" i="10"/>
  <c r="N269" i="10"/>
  <c r="N380" i="10"/>
  <c r="N130" i="10"/>
  <c r="O156" i="10"/>
  <c r="N342" i="10"/>
  <c r="O93" i="10"/>
  <c r="O238" i="10"/>
  <c r="N266" i="10"/>
  <c r="N439" i="10"/>
  <c r="N285" i="10"/>
  <c r="N169" i="10"/>
  <c r="N376" i="10"/>
  <c r="O80" i="10"/>
  <c r="O273" i="10"/>
  <c r="O208" i="10"/>
  <c r="N418" i="10"/>
  <c r="O200" i="10"/>
  <c r="O405" i="10"/>
  <c r="O446" i="10"/>
  <c r="N400" i="10"/>
  <c r="O414" i="10"/>
  <c r="N414" i="10"/>
  <c r="N340" i="10"/>
  <c r="O152" i="10"/>
  <c r="N107" i="10"/>
  <c r="N213" i="10"/>
  <c r="N59" i="10"/>
  <c r="O246" i="10"/>
  <c r="O335" i="10"/>
  <c r="O34" i="10"/>
  <c r="N192" i="10"/>
  <c r="N386" i="10"/>
  <c r="N108" i="10"/>
  <c r="O209" i="10"/>
  <c r="N229" i="10"/>
  <c r="N58" i="10"/>
  <c r="AO34" i="10"/>
  <c r="AO33" i="10"/>
  <c r="AO41" i="10"/>
  <c r="AO35" i="10"/>
  <c r="O49" i="10"/>
  <c r="B76" i="15"/>
  <c r="D42" i="2"/>
  <c r="D46" i="2" s="1"/>
  <c r="D83" i="8" s="1"/>
  <c r="AO23" i="10"/>
  <c r="I9" i="10" s="1"/>
  <c r="AO38" i="10"/>
  <c r="AO42" i="10"/>
  <c r="AO36" i="10"/>
  <c r="AO40" i="10"/>
  <c r="AO27" i="10"/>
  <c r="AO37" i="10"/>
  <c r="AO28" i="10"/>
  <c r="AO43" i="10"/>
  <c r="AO31" i="10"/>
  <c r="O288" i="10"/>
  <c r="AO25" i="10"/>
  <c r="AO39" i="10"/>
  <c r="AO24" i="10"/>
  <c r="AO30" i="10"/>
  <c r="AO26" i="10"/>
  <c r="AO32" i="10"/>
  <c r="N348" i="10"/>
  <c r="N121" i="10"/>
  <c r="N254" i="10"/>
  <c r="N236" i="10"/>
  <c r="N215" i="10"/>
  <c r="N356" i="10"/>
  <c r="E122" i="6"/>
  <c r="G120" i="6"/>
  <c r="G122" i="6" s="1"/>
  <c r="F124" i="6" s="1"/>
  <c r="G124" i="6" s="1"/>
  <c r="L6" i="10"/>
  <c r="L9" i="10" s="1"/>
  <c r="G121" i="15"/>
  <c r="N156" i="2" s="1"/>
  <c r="D40" i="2"/>
  <c r="N40" i="9"/>
  <c r="K108" i="2" s="1"/>
  <c r="C108" i="2" s="1"/>
  <c r="N40" i="8"/>
  <c r="K110" i="2" s="1"/>
  <c r="C110" i="2" s="1"/>
  <c r="G127" i="15"/>
  <c r="R8" i="10" l="1"/>
  <c r="L32" i="10"/>
  <c r="M9" i="10"/>
  <c r="L141" i="2"/>
  <c r="G128" i="15"/>
  <c r="N38" i="9"/>
  <c r="N38" i="8"/>
  <c r="U32" i="10" l="1"/>
  <c r="L33" i="10"/>
  <c r="G122" i="15"/>
  <c r="N157" i="2" s="1"/>
  <c r="B125" i="15"/>
  <c r="L142" i="2"/>
  <c r="G123" i="15"/>
  <c r="N158" i="2" s="1"/>
  <c r="D75" i="8"/>
  <c r="D61" i="8"/>
  <c r="D62" i="8" s="1"/>
  <c r="I40" i="8" s="1"/>
  <c r="D83" i="9"/>
  <c r="D65" i="9"/>
  <c r="D66" i="9" s="1"/>
  <c r="U33" i="10" l="1"/>
  <c r="L34" i="10"/>
  <c r="M33" i="10"/>
  <c r="J57" i="8"/>
  <c r="D78" i="8"/>
  <c r="D84" i="8"/>
  <c r="H84" i="8" s="1"/>
  <c r="J58" i="8"/>
  <c r="D57" i="8"/>
  <c r="D45" i="8"/>
  <c r="G57" i="8"/>
  <c r="G131" i="2"/>
  <c r="G144" i="2"/>
  <c r="B133" i="2"/>
  <c r="B146" i="2"/>
  <c r="I40" i="9"/>
  <c r="D86" i="9" s="1"/>
  <c r="N66" i="9"/>
  <c r="K83" i="9" s="1"/>
  <c r="V33" i="10" l="1"/>
  <c r="M34" i="10"/>
  <c r="U34" i="10"/>
  <c r="L35" i="10"/>
  <c r="F84" i="11"/>
  <c r="I138" i="2"/>
  <c r="H95" i="11" s="1"/>
  <c r="I139" i="2"/>
  <c r="D45" i="9"/>
  <c r="F100" i="2" s="1"/>
  <c r="I100" i="2" s="1"/>
  <c r="J61" i="9"/>
  <c r="J60" i="9" s="1"/>
  <c r="J59" i="9" s="1"/>
  <c r="D110" i="9"/>
  <c r="G60" i="9"/>
  <c r="G59" i="9" s="1"/>
  <c r="D60" i="9"/>
  <c r="D58" i="9"/>
  <c r="D59" i="9"/>
  <c r="D83" i="11"/>
  <c r="G150" i="2"/>
  <c r="I145" i="2"/>
  <c r="I146" i="2"/>
  <c r="I144" i="2" s="1"/>
  <c r="I142" i="2"/>
  <c r="F98" i="11"/>
  <c r="F86" i="11"/>
  <c r="D129" i="2"/>
  <c r="D142" i="2"/>
  <c r="F85" i="11" s="1"/>
  <c r="C159" i="2"/>
  <c r="D87" i="11"/>
  <c r="D66" i="8"/>
  <c r="H66" i="8" s="1"/>
  <c r="D76" i="8" s="1"/>
  <c r="L36" i="10" l="1"/>
  <c r="U35" i="10"/>
  <c r="V34" i="10"/>
  <c r="M35" i="10"/>
  <c r="J58" i="9"/>
  <c r="D41" i="9"/>
  <c r="D40" i="9"/>
  <c r="I140" i="2"/>
  <c r="G126" i="15" s="1"/>
  <c r="F97" i="11"/>
  <c r="I136" i="2"/>
  <c r="I135" i="2"/>
  <c r="D174" i="15"/>
  <c r="H86" i="11"/>
  <c r="E152" i="2"/>
  <c r="F157" i="2"/>
  <c r="G124" i="15"/>
  <c r="H83" i="11"/>
  <c r="D177" i="15"/>
  <c r="I143" i="2"/>
  <c r="H75" i="8"/>
  <c r="H76" i="8"/>
  <c r="D79" i="8"/>
  <c r="C84" i="11"/>
  <c r="D84" i="11" s="1"/>
  <c r="C86" i="11"/>
  <c r="D86" i="11" s="1"/>
  <c r="V35" i="10" l="1"/>
  <c r="M36" i="10"/>
  <c r="L37" i="10"/>
  <c r="U36" i="10"/>
  <c r="D85" i="11"/>
  <c r="D95" i="11" s="1"/>
  <c r="E90" i="11"/>
  <c r="G260" i="13"/>
  <c r="D173" i="15"/>
  <c r="H85" i="11"/>
  <c r="C260" i="13"/>
  <c r="D176" i="15"/>
  <c r="H84" i="11"/>
  <c r="G275" i="13"/>
  <c r="C275" i="13"/>
  <c r="D42" i="9"/>
  <c r="D103" i="9" s="1"/>
  <c r="D108" i="9" s="1"/>
  <c r="I110" i="9" s="1"/>
  <c r="S58" i="9" s="1"/>
  <c r="S60" i="9" s="1"/>
  <c r="S59" i="9" s="1"/>
  <c r="D92" i="9"/>
  <c r="U37" i="10" l="1"/>
  <c r="L38" i="10"/>
  <c r="M37" i="10"/>
  <c r="V36" i="10"/>
  <c r="D71" i="9"/>
  <c r="H71" i="9" s="1"/>
  <c r="D186" i="15"/>
  <c r="D195" i="15"/>
  <c r="D198" i="15"/>
  <c r="D189" i="15"/>
  <c r="G256" i="13"/>
  <c r="G258" i="13" s="1"/>
  <c r="G255" i="13"/>
  <c r="C271" i="13"/>
  <c r="C270" i="13"/>
  <c r="C255" i="13"/>
  <c r="C256" i="13"/>
  <c r="H91" i="9"/>
  <c r="H92" i="9"/>
  <c r="G271" i="13"/>
  <c r="G273" i="13" s="1"/>
  <c r="G270" i="13"/>
  <c r="V37" i="10" l="1"/>
  <c r="M38" i="10"/>
  <c r="U38" i="10"/>
  <c r="L39" i="10"/>
  <c r="K255" i="13"/>
  <c r="C293" i="13" s="1"/>
  <c r="D293" i="13" s="1"/>
  <c r="K270" i="13"/>
  <c r="C323" i="13" s="1"/>
  <c r="D323" i="13" s="1"/>
  <c r="C273" i="13"/>
  <c r="K273" i="13" s="1"/>
  <c r="K271" i="13"/>
  <c r="C341" i="13" s="1"/>
  <c r="C258" i="13"/>
  <c r="K258" i="13" s="1"/>
  <c r="K256" i="13"/>
  <c r="D84" i="9"/>
  <c r="H83" i="9" s="1"/>
  <c r="L40" i="10" l="1"/>
  <c r="U39" i="10"/>
  <c r="V38" i="10"/>
  <c r="M39" i="10"/>
  <c r="H84" i="9"/>
  <c r="D87" i="9"/>
  <c r="C311" i="13"/>
  <c r="C312" i="13"/>
  <c r="V39" i="10" l="1"/>
  <c r="M40" i="10"/>
  <c r="L41" i="10"/>
  <c r="U40" i="10"/>
  <c r="U41" i="10" l="1"/>
  <c r="L42" i="10"/>
  <c r="V40" i="10"/>
  <c r="M41" i="10"/>
  <c r="V41" i="10" l="1"/>
  <c r="M42" i="10"/>
  <c r="U42" i="10"/>
  <c r="L43" i="10"/>
  <c r="U43" i="10" l="1"/>
  <c r="L44" i="10"/>
  <c r="V42" i="10"/>
  <c r="M43" i="10"/>
  <c r="M44" i="10" l="1"/>
  <c r="V43" i="10"/>
  <c r="U44" i="10"/>
  <c r="L45" i="10"/>
  <c r="U45" i="10" l="1"/>
  <c r="L46" i="10"/>
  <c r="M45" i="10"/>
  <c r="V44" i="10"/>
  <c r="V45" i="10" l="1"/>
  <c r="M46" i="10"/>
  <c r="U46" i="10"/>
  <c r="L47" i="10"/>
  <c r="L48" i="10" l="1"/>
  <c r="U47" i="10"/>
  <c r="M47" i="10"/>
  <c r="V46" i="10"/>
  <c r="V47" i="10" l="1"/>
  <c r="M48" i="10"/>
  <c r="U48" i="10"/>
  <c r="L49" i="10"/>
  <c r="M49" i="10" l="1"/>
  <c r="V48" i="10"/>
  <c r="U49" i="10"/>
  <c r="L50" i="10"/>
  <c r="U50" i="10" l="1"/>
  <c r="L51" i="10"/>
  <c r="V49" i="10"/>
  <c r="M50" i="10"/>
  <c r="L52" i="10" l="1"/>
  <c r="U51" i="10"/>
  <c r="M51" i="10"/>
  <c r="V50" i="10"/>
  <c r="M52" i="10" l="1"/>
  <c r="V51" i="10"/>
  <c r="U52" i="10"/>
  <c r="L53" i="10"/>
  <c r="E151" i="12" l="1"/>
  <c r="L54" i="10"/>
  <c r="U53" i="10"/>
  <c r="M53" i="10"/>
  <c r="V52" i="10"/>
  <c r="M54" i="10" l="1"/>
  <c r="V53" i="10"/>
  <c r="F151" i="12"/>
  <c r="F100" i="13" s="1"/>
  <c r="U54" i="10"/>
  <c r="L55" i="10"/>
  <c r="E100" i="13"/>
  <c r="F200" i="13"/>
  <c r="AO27" i="14" l="1"/>
  <c r="AD47" i="14"/>
  <c r="AM27" i="14"/>
  <c r="H171" i="13"/>
  <c r="AN27" i="14"/>
  <c r="Z47" i="14"/>
  <c r="H176" i="13"/>
  <c r="AL27" i="14"/>
  <c r="AP27" i="14"/>
  <c r="U55" i="10"/>
  <c r="L56" i="10"/>
  <c r="M55" i="10"/>
  <c r="V54" i="10"/>
  <c r="V55" i="10" l="1"/>
  <c r="M56" i="10"/>
  <c r="K53" i="14"/>
  <c r="Q53" i="14" s="1"/>
  <c r="K10" i="14"/>
  <c r="Q10" i="14" s="1"/>
  <c r="K55" i="14"/>
  <c r="Q55" i="14" s="1"/>
  <c r="K26" i="14"/>
  <c r="Q26" i="14" s="1"/>
  <c r="K187" i="14"/>
  <c r="Q187" i="14" s="1"/>
  <c r="K231" i="14"/>
  <c r="Q231" i="14" s="1"/>
  <c r="K245" i="14"/>
  <c r="Q245" i="14" s="1"/>
  <c r="K139" i="14"/>
  <c r="Q139" i="14" s="1"/>
  <c r="K121" i="14"/>
  <c r="Q121" i="14" s="1"/>
  <c r="K219" i="14"/>
  <c r="Q219" i="14" s="1"/>
  <c r="K13" i="14"/>
  <c r="Q13" i="14" s="1"/>
  <c r="K141" i="14"/>
  <c r="Q141" i="14" s="1"/>
  <c r="K99" i="14"/>
  <c r="Q99" i="14" s="1"/>
  <c r="K54" i="14"/>
  <c r="Q54" i="14" s="1"/>
  <c r="K190" i="14"/>
  <c r="Q190" i="14" s="1"/>
  <c r="K172" i="14"/>
  <c r="Q172" i="14" s="1"/>
  <c r="K194" i="14"/>
  <c r="Q194" i="14" s="1"/>
  <c r="K184" i="14"/>
  <c r="Q184" i="14" s="1"/>
  <c r="K215" i="14"/>
  <c r="Q215" i="14" s="1"/>
  <c r="K128" i="14"/>
  <c r="Q128" i="14" s="1"/>
  <c r="K103" i="14"/>
  <c r="Q103" i="14" s="1"/>
  <c r="K117" i="14"/>
  <c r="Q117" i="14" s="1"/>
  <c r="K45" i="14"/>
  <c r="Q45" i="14" s="1"/>
  <c r="K198" i="14"/>
  <c r="Q198" i="14" s="1"/>
  <c r="K96" i="14"/>
  <c r="Q96" i="14" s="1"/>
  <c r="K127" i="14"/>
  <c r="Q127" i="14" s="1"/>
  <c r="K242" i="14"/>
  <c r="Q242" i="14" s="1"/>
  <c r="K200" i="14"/>
  <c r="Q200" i="14" s="1"/>
  <c r="K22" i="14"/>
  <c r="Q22" i="14" s="1"/>
  <c r="K62" i="14"/>
  <c r="Q62" i="14" s="1"/>
  <c r="K38" i="14"/>
  <c r="Q38" i="14" s="1"/>
  <c r="K66" i="14"/>
  <c r="Q66" i="14" s="1"/>
  <c r="K12" i="14"/>
  <c r="Q12" i="14" s="1"/>
  <c r="K116" i="14"/>
  <c r="Q116" i="14" s="1"/>
  <c r="K246" i="14"/>
  <c r="Q246" i="14" s="1"/>
  <c r="K20" i="14"/>
  <c r="Q20" i="14" s="1"/>
  <c r="K154" i="14"/>
  <c r="Q154" i="14" s="1"/>
  <c r="K144" i="14"/>
  <c r="Q144" i="14" s="1"/>
  <c r="K87" i="14"/>
  <c r="Q87" i="14" s="1"/>
  <c r="K43" i="14"/>
  <c r="Q43" i="14" s="1"/>
  <c r="K156" i="14"/>
  <c r="Q156" i="14" s="1"/>
  <c r="K114" i="14"/>
  <c r="Q114" i="14" s="1"/>
  <c r="K72" i="14"/>
  <c r="Q72" i="14" s="1"/>
  <c r="K119" i="14"/>
  <c r="Q119" i="14" s="1"/>
  <c r="K175" i="14"/>
  <c r="Q175" i="14" s="1"/>
  <c r="K157" i="14"/>
  <c r="Q157" i="14" s="1"/>
  <c r="K179" i="14"/>
  <c r="Q179" i="14" s="1"/>
  <c r="K161" i="14"/>
  <c r="Q161" i="14" s="1"/>
  <c r="K48" i="14"/>
  <c r="Q48" i="14" s="1"/>
  <c r="K118" i="14"/>
  <c r="Q118" i="14" s="1"/>
  <c r="K132" i="14"/>
  <c r="Q132" i="14" s="1"/>
  <c r="K29" i="14"/>
  <c r="Q29" i="14" s="1"/>
  <c r="K19" i="14"/>
  <c r="Q19" i="14" s="1"/>
  <c r="K101" i="14"/>
  <c r="Q101" i="14" s="1"/>
  <c r="K142" i="14"/>
  <c r="Q142" i="14" s="1"/>
  <c r="K30" i="14"/>
  <c r="Q30" i="14" s="1"/>
  <c r="K227" i="14"/>
  <c r="Q227" i="14" s="1"/>
  <c r="K177" i="14"/>
  <c r="Q177" i="14" s="1"/>
  <c r="K46" i="14"/>
  <c r="Q46" i="14" s="1"/>
  <c r="K123" i="14"/>
  <c r="Q123" i="14" s="1"/>
  <c r="K230" i="14"/>
  <c r="Q230" i="14" s="1"/>
  <c r="K31" i="14"/>
  <c r="Q31" i="14" s="1"/>
  <c r="K9" i="14"/>
  <c r="Q9" i="14" s="1"/>
  <c r="K147" i="14"/>
  <c r="Q147" i="14" s="1"/>
  <c r="K183" i="14"/>
  <c r="Q183" i="14" s="1"/>
  <c r="K64" i="14"/>
  <c r="Q64" i="14" s="1"/>
  <c r="K71" i="14"/>
  <c r="Q71" i="14" s="1"/>
  <c r="K85" i="14"/>
  <c r="Q85" i="14" s="1"/>
  <c r="K107" i="14"/>
  <c r="Q107" i="14" s="1"/>
  <c r="K89" i="14"/>
  <c r="Q89" i="14" s="1"/>
  <c r="K155" i="14"/>
  <c r="Q155" i="14" s="1"/>
  <c r="K223" i="14"/>
  <c r="Q223" i="14" s="1"/>
  <c r="K237" i="14"/>
  <c r="Q237" i="14" s="1"/>
  <c r="K239" i="14"/>
  <c r="Q239" i="14" s="1"/>
  <c r="K221" i="14"/>
  <c r="Q221" i="14" s="1"/>
  <c r="K243" i="14"/>
  <c r="Q243" i="14" s="1"/>
  <c r="K225" i="14"/>
  <c r="Q225" i="14" s="1"/>
  <c r="K197" i="14"/>
  <c r="Q197" i="14" s="1"/>
  <c r="K8" i="14"/>
  <c r="Q8" i="14" s="1"/>
  <c r="K68" i="14"/>
  <c r="Q68" i="14" s="1"/>
  <c r="K90" i="14"/>
  <c r="Q90" i="14" s="1"/>
  <c r="K80" i="14"/>
  <c r="Q80" i="14" s="1"/>
  <c r="K84" i="14"/>
  <c r="Q84" i="14" s="1"/>
  <c r="K206" i="14"/>
  <c r="Q206" i="14" s="1"/>
  <c r="K220" i="14"/>
  <c r="Q220" i="14" s="1"/>
  <c r="K178" i="14"/>
  <c r="Q178" i="14" s="1"/>
  <c r="K24" i="14"/>
  <c r="Q24" i="14" s="1"/>
  <c r="K134" i="14"/>
  <c r="Q134" i="14" s="1"/>
  <c r="K17" i="14"/>
  <c r="Q17" i="14" s="1"/>
  <c r="K145" i="14"/>
  <c r="Q145" i="14" s="1"/>
  <c r="K79" i="14"/>
  <c r="Q79" i="14" s="1"/>
  <c r="K61" i="14"/>
  <c r="Q61" i="14" s="1"/>
  <c r="K83" i="14"/>
  <c r="Q83" i="14" s="1"/>
  <c r="K65" i="14"/>
  <c r="Q65" i="14" s="1"/>
  <c r="K37" i="14"/>
  <c r="Q37" i="14" s="1"/>
  <c r="K25" i="14"/>
  <c r="Q25" i="14" s="1"/>
  <c r="K149" i="14"/>
  <c r="Q149" i="14" s="1"/>
  <c r="K51" i="14"/>
  <c r="Q51" i="14" s="1"/>
  <c r="K151" i="14"/>
  <c r="Q151" i="14" s="1"/>
  <c r="K174" i="14"/>
  <c r="Q174" i="14" s="1"/>
  <c r="K32" i="14"/>
  <c r="Q32" i="14" s="1"/>
  <c r="K202" i="14"/>
  <c r="Q202" i="14" s="1"/>
  <c r="K143" i="14"/>
  <c r="Q143" i="14" s="1"/>
  <c r="K125" i="14"/>
  <c r="Q125" i="14" s="1"/>
  <c r="K152" i="14"/>
  <c r="Q152" i="14" s="1"/>
  <c r="K23" i="14"/>
  <c r="Q23" i="14" s="1"/>
  <c r="K214" i="14"/>
  <c r="Q214" i="14" s="1"/>
  <c r="K228" i="14"/>
  <c r="Q228" i="14" s="1"/>
  <c r="K11" i="14"/>
  <c r="Q11" i="14" s="1"/>
  <c r="K240" i="14"/>
  <c r="Q240" i="14" s="1"/>
  <c r="K102" i="14"/>
  <c r="Q102" i="14" s="1"/>
  <c r="K233" i="14"/>
  <c r="Q233" i="14" s="1"/>
  <c r="K95" i="14"/>
  <c r="Q95" i="14" s="1"/>
  <c r="K109" i="14"/>
  <c r="Q109" i="14" s="1"/>
  <c r="K111" i="14"/>
  <c r="Q111" i="14" s="1"/>
  <c r="K93" i="14"/>
  <c r="Q93" i="14" s="1"/>
  <c r="K115" i="14"/>
  <c r="Q115" i="14" s="1"/>
  <c r="K97" i="14"/>
  <c r="Q97" i="14" s="1"/>
  <c r="K138" i="14"/>
  <c r="Q138" i="14" s="1"/>
  <c r="K167" i="14"/>
  <c r="Q167" i="14" s="1"/>
  <c r="K181" i="14"/>
  <c r="Q181" i="14" s="1"/>
  <c r="K203" i="14"/>
  <c r="Q203" i="14" s="1"/>
  <c r="K185" i="14"/>
  <c r="Q185" i="14" s="1"/>
  <c r="K170" i="14"/>
  <c r="Q170" i="14" s="1"/>
  <c r="K78" i="14"/>
  <c r="Q78" i="14" s="1"/>
  <c r="K92" i="14"/>
  <c r="Q92" i="14" s="1"/>
  <c r="K44" i="14"/>
  <c r="Q44" i="14" s="1"/>
  <c r="K136" i="14"/>
  <c r="Q136" i="14" s="1"/>
  <c r="K244" i="14"/>
  <c r="Q244" i="14" s="1"/>
  <c r="K137" i="14"/>
  <c r="Q137" i="14" s="1"/>
  <c r="K222" i="14"/>
  <c r="Q222" i="14" s="1"/>
  <c r="K204" i="14"/>
  <c r="Q204" i="14" s="1"/>
  <c r="K226" i="14"/>
  <c r="Q226" i="14" s="1"/>
  <c r="K216" i="14"/>
  <c r="Q216" i="14" s="1"/>
  <c r="K70" i="14"/>
  <c r="Q70" i="14" s="1"/>
  <c r="K224" i="14"/>
  <c r="Q224" i="14" s="1"/>
  <c r="K135" i="14"/>
  <c r="Q135" i="14" s="1"/>
  <c r="K186" i="14"/>
  <c r="Q186" i="14" s="1"/>
  <c r="K176" i="14"/>
  <c r="Q176" i="14" s="1"/>
  <c r="K229" i="14"/>
  <c r="Q229" i="14" s="1"/>
  <c r="K40" i="14"/>
  <c r="Q40" i="14" s="1"/>
  <c r="K60" i="14"/>
  <c r="Q60" i="14" s="1"/>
  <c r="K21" i="14"/>
  <c r="Q21" i="14" s="1"/>
  <c r="K209" i="14"/>
  <c r="Q209" i="14" s="1"/>
  <c r="K7" i="14"/>
  <c r="Q7" i="14" s="1"/>
  <c r="K195" i="14"/>
  <c r="Q195" i="14" s="1"/>
  <c r="E43" i="14"/>
  <c r="K67" i="14"/>
  <c r="Q67" i="14" s="1"/>
  <c r="K201" i="14"/>
  <c r="Q201" i="14" s="1"/>
  <c r="K41" i="14"/>
  <c r="Q41" i="14" s="1"/>
  <c r="K162" i="14"/>
  <c r="Q162" i="14" s="1"/>
  <c r="K28" i="14"/>
  <c r="Q28" i="14" s="1"/>
  <c r="K234" i="14"/>
  <c r="Q234" i="14" s="1"/>
  <c r="K86" i="14"/>
  <c r="Q86" i="14" s="1"/>
  <c r="K100" i="14"/>
  <c r="Q100" i="14" s="1"/>
  <c r="K122" i="14"/>
  <c r="Q122" i="14" s="1"/>
  <c r="K112" i="14"/>
  <c r="Q112" i="14" s="1"/>
  <c r="K180" i="14"/>
  <c r="Q180" i="14" s="1"/>
  <c r="K238" i="14"/>
  <c r="Q238" i="14" s="1"/>
  <c r="K15" i="14"/>
  <c r="Q15" i="14" s="1"/>
  <c r="K16" i="14"/>
  <c r="Q16" i="14" s="1"/>
  <c r="K236" i="14"/>
  <c r="Q236" i="14" s="1"/>
  <c r="K18" i="14"/>
  <c r="Q18" i="14" s="1"/>
  <c r="K5" i="14"/>
  <c r="Q5" i="14" s="1"/>
  <c r="K166" i="14"/>
  <c r="Q166" i="14" s="1"/>
  <c r="K169" i="14"/>
  <c r="Q169" i="14" s="1"/>
  <c r="K49" i="14"/>
  <c r="Q49" i="14" s="1"/>
  <c r="K56" i="14"/>
  <c r="Q56" i="14" s="1"/>
  <c r="K75" i="14"/>
  <c r="Q75" i="14" s="1"/>
  <c r="K58" i="14"/>
  <c r="Q58" i="14" s="1"/>
  <c r="K59" i="14"/>
  <c r="Q59" i="14" s="1"/>
  <c r="K191" i="14"/>
  <c r="Q191" i="14" s="1"/>
  <c r="K205" i="14"/>
  <c r="Q205" i="14" s="1"/>
  <c r="K163" i="14"/>
  <c r="Q163" i="14" s="1"/>
  <c r="K241" i="14"/>
  <c r="Q241" i="14" s="1"/>
  <c r="K69" i="14"/>
  <c r="Q69" i="14" s="1"/>
  <c r="K94" i="14"/>
  <c r="Q94" i="14" s="1"/>
  <c r="K76" i="14"/>
  <c r="Q76" i="14" s="1"/>
  <c r="K98" i="14"/>
  <c r="Q98" i="14" s="1"/>
  <c r="K88" i="14"/>
  <c r="Q88" i="14" s="1"/>
  <c r="K212" i="14"/>
  <c r="Q212" i="14" s="1"/>
  <c r="K73" i="14"/>
  <c r="Q73" i="14" s="1"/>
  <c r="K164" i="14"/>
  <c r="Q164" i="14" s="1"/>
  <c r="K27" i="14"/>
  <c r="Q27" i="14" s="1"/>
  <c r="K42" i="14"/>
  <c r="Q42" i="14" s="1"/>
  <c r="K74" i="14"/>
  <c r="Q74" i="14" s="1"/>
  <c r="K36" i="14"/>
  <c r="Q36" i="14" s="1"/>
  <c r="K158" i="14"/>
  <c r="Q158" i="14" s="1"/>
  <c r="K140" i="14"/>
  <c r="Q140" i="14" s="1"/>
  <c r="K33" i="14"/>
  <c r="Q33" i="14" s="1"/>
  <c r="K129" i="14"/>
  <c r="Q129" i="14" s="1"/>
  <c r="K91" i="14"/>
  <c r="Q91" i="14" s="1"/>
  <c r="K199" i="14"/>
  <c r="Q199" i="14" s="1"/>
  <c r="K213" i="14"/>
  <c r="Q213" i="14" s="1"/>
  <c r="K235" i="14"/>
  <c r="Q235" i="14" s="1"/>
  <c r="K217" i="14"/>
  <c r="Q217" i="14" s="1"/>
  <c r="K39" i="14"/>
  <c r="Q39" i="14" s="1"/>
  <c r="K110" i="14"/>
  <c r="Q110" i="14" s="1"/>
  <c r="K124" i="14"/>
  <c r="Q124" i="14" s="1"/>
  <c r="K126" i="14"/>
  <c r="Q126" i="14" s="1"/>
  <c r="K108" i="14"/>
  <c r="Q108" i="14" s="1"/>
  <c r="K130" i="14"/>
  <c r="Q130" i="14" s="1"/>
  <c r="K120" i="14"/>
  <c r="Q120" i="14" s="1"/>
  <c r="K57" i="14"/>
  <c r="Q57" i="14" s="1"/>
  <c r="K182" i="14"/>
  <c r="Q182" i="14" s="1"/>
  <c r="K196" i="14"/>
  <c r="Q196" i="14" s="1"/>
  <c r="K218" i="14"/>
  <c r="Q218" i="14" s="1"/>
  <c r="K208" i="14"/>
  <c r="Q208" i="14" s="1"/>
  <c r="K247" i="14"/>
  <c r="Q247" i="14" s="1"/>
  <c r="K105" i="14"/>
  <c r="Q105" i="14" s="1"/>
  <c r="K63" i="14"/>
  <c r="Q63" i="14" s="1"/>
  <c r="K77" i="14"/>
  <c r="Q77" i="14" s="1"/>
  <c r="K47" i="14"/>
  <c r="Q47" i="14" s="1"/>
  <c r="K113" i="14"/>
  <c r="Q113" i="14" s="1"/>
  <c r="K106" i="14"/>
  <c r="Q106" i="14" s="1"/>
  <c r="K82" i="14"/>
  <c r="Q82" i="14" s="1"/>
  <c r="K207" i="14"/>
  <c r="Q207" i="14" s="1"/>
  <c r="K189" i="14"/>
  <c r="Q189" i="14" s="1"/>
  <c r="K211" i="14"/>
  <c r="Q211" i="14" s="1"/>
  <c r="K193" i="14"/>
  <c r="Q193" i="14" s="1"/>
  <c r="K133" i="14"/>
  <c r="Q133" i="14" s="1"/>
  <c r="K150" i="14"/>
  <c r="Q150" i="14" s="1"/>
  <c r="K34" i="14"/>
  <c r="Q34" i="14" s="1"/>
  <c r="K171" i="14"/>
  <c r="Q171" i="14" s="1"/>
  <c r="K153" i="14"/>
  <c r="Q153" i="14" s="1"/>
  <c r="K192" i="14"/>
  <c r="Q192" i="14" s="1"/>
  <c r="K14" i="14"/>
  <c r="Q14" i="14" s="1"/>
  <c r="K52" i="14"/>
  <c r="Q52" i="14" s="1"/>
  <c r="K232" i="14"/>
  <c r="Q232" i="14" s="1"/>
  <c r="K35" i="14"/>
  <c r="Q35" i="14" s="1"/>
  <c r="K50" i="14"/>
  <c r="Q50" i="14" s="1"/>
  <c r="K165" i="14"/>
  <c r="Q165" i="14" s="1"/>
  <c r="K159" i="14"/>
  <c r="Q159" i="14" s="1"/>
  <c r="K131" i="14"/>
  <c r="Q131" i="14" s="1"/>
  <c r="K160" i="14"/>
  <c r="Q160" i="14" s="1"/>
  <c r="K188" i="14"/>
  <c r="Q188" i="14" s="1"/>
  <c r="K104" i="14"/>
  <c r="Q104" i="14" s="1"/>
  <c r="K210" i="14"/>
  <c r="Q210" i="14" s="1"/>
  <c r="K173" i="14"/>
  <c r="Q173" i="14" s="1"/>
  <c r="K81" i="14"/>
  <c r="Q81" i="14" s="1"/>
  <c r="K168" i="14"/>
  <c r="Q168" i="14" s="1"/>
  <c r="K146" i="14"/>
  <c r="Q146" i="14" s="1"/>
  <c r="K148" i="14"/>
  <c r="Q148" i="14" s="1"/>
  <c r="K6" i="14"/>
  <c r="Q6" i="14" s="1"/>
  <c r="E123" i="14"/>
  <c r="E93" i="14"/>
  <c r="E206" i="14"/>
  <c r="E204" i="14"/>
  <c r="E5" i="14"/>
  <c r="E246" i="14"/>
  <c r="E141" i="14"/>
  <c r="E49" i="14"/>
  <c r="E161" i="14"/>
  <c r="E150" i="14"/>
  <c r="E143" i="14"/>
  <c r="E119" i="14"/>
  <c r="E72" i="14"/>
  <c r="E245" i="14"/>
  <c r="E190" i="14"/>
  <c r="E198" i="14"/>
  <c r="E185" i="14"/>
  <c r="E61" i="14"/>
  <c r="E215" i="14"/>
  <c r="E121" i="14"/>
  <c r="E71" i="14"/>
  <c r="E241" i="14"/>
  <c r="E55" i="14"/>
  <c r="E238" i="14"/>
  <c r="E68" i="14"/>
  <c r="E243" i="14"/>
  <c r="E29" i="14"/>
  <c r="E229" i="14"/>
  <c r="E84" i="14"/>
  <c r="E242" i="14"/>
  <c r="E162" i="14"/>
  <c r="E138" i="14"/>
  <c r="E15" i="14"/>
  <c r="E139" i="14"/>
  <c r="E18" i="14"/>
  <c r="E46" i="14"/>
  <c r="E67" i="14"/>
  <c r="E132" i="14"/>
  <c r="E102" i="14"/>
  <c r="E106" i="14"/>
  <c r="E24" i="14"/>
  <c r="E73" i="14"/>
  <c r="E235" i="14"/>
  <c r="E179" i="14"/>
  <c r="E69" i="14"/>
  <c r="E50" i="14"/>
  <c r="E125" i="14"/>
  <c r="E209" i="14"/>
  <c r="E174" i="14"/>
  <c r="E9" i="14"/>
  <c r="E176" i="14"/>
  <c r="E200" i="14"/>
  <c r="E111" i="14"/>
  <c r="E233" i="14"/>
  <c r="E100" i="14"/>
  <c r="E14" i="14"/>
  <c r="E142" i="14"/>
  <c r="E8" i="14"/>
  <c r="E20" i="14"/>
  <c r="E37" i="14"/>
  <c r="E45" i="14"/>
  <c r="E28" i="14"/>
  <c r="E164" i="14"/>
  <c r="E44" i="14"/>
  <c r="E172" i="14"/>
  <c r="E148" i="14"/>
  <c r="E26" i="14"/>
  <c r="E56" i="14"/>
  <c r="E228" i="14"/>
  <c r="E214" i="14"/>
  <c r="E59" i="14"/>
  <c r="E36" i="14"/>
  <c r="E38" i="14"/>
  <c r="E79" i="14"/>
  <c r="E223" i="14"/>
  <c r="E128" i="14"/>
  <c r="E21" i="14"/>
  <c r="E66" i="14"/>
  <c r="E34" i="14"/>
  <c r="E170" i="14"/>
  <c r="E151" i="14"/>
  <c r="E224" i="14"/>
  <c r="E87" i="14"/>
  <c r="E147" i="14"/>
  <c r="E134" i="14"/>
  <c r="E70" i="14"/>
  <c r="E136" i="14"/>
  <c r="E167" i="14"/>
  <c r="E13" i="14"/>
  <c r="E85" i="14"/>
  <c r="E98" i="14"/>
  <c r="E25" i="14"/>
  <c r="E222" i="14"/>
  <c r="E211" i="14"/>
  <c r="E221" i="14"/>
  <c r="E30" i="14"/>
  <c r="E155" i="14"/>
  <c r="L24" i="14"/>
  <c r="R24" i="14" s="1"/>
  <c r="L126" i="14"/>
  <c r="R126" i="14" s="1"/>
  <c r="L108" i="14"/>
  <c r="R108" i="14" s="1"/>
  <c r="L28" i="14"/>
  <c r="R28" i="14" s="1"/>
  <c r="L218" i="14"/>
  <c r="R218" i="14" s="1"/>
  <c r="L136" i="14"/>
  <c r="R136" i="14" s="1"/>
  <c r="L8" i="14"/>
  <c r="R8" i="14" s="1"/>
  <c r="L204" i="14"/>
  <c r="R204" i="14" s="1"/>
  <c r="L216" i="14"/>
  <c r="R216" i="14" s="1"/>
  <c r="L210" i="14"/>
  <c r="R210" i="14" s="1"/>
  <c r="L224" i="14"/>
  <c r="R224" i="14" s="1"/>
  <c r="L142" i="14"/>
  <c r="R142" i="14" s="1"/>
  <c r="L155" i="14"/>
  <c r="R155" i="14" s="1"/>
  <c r="L152" i="14"/>
  <c r="R152" i="14" s="1"/>
  <c r="L211" i="14"/>
  <c r="R211" i="14" s="1"/>
  <c r="L240" i="14"/>
  <c r="R240" i="14" s="1"/>
  <c r="L222" i="14"/>
  <c r="R222" i="14" s="1"/>
  <c r="L47" i="14"/>
  <c r="R47" i="14" s="1"/>
  <c r="L45" i="14"/>
  <c r="R45" i="14" s="1"/>
  <c r="L186" i="14"/>
  <c r="R186" i="14" s="1"/>
  <c r="L232" i="14"/>
  <c r="R232" i="14" s="1"/>
  <c r="L150" i="14"/>
  <c r="R150" i="14" s="1"/>
  <c r="L131" i="14"/>
  <c r="R131" i="14" s="1"/>
  <c r="L185" i="14"/>
  <c r="R185" i="14" s="1"/>
  <c r="L178" i="14"/>
  <c r="R178" i="14" s="1"/>
  <c r="L192" i="14"/>
  <c r="R192" i="14" s="1"/>
  <c r="L238" i="14"/>
  <c r="R238" i="14" s="1"/>
  <c r="L244" i="14"/>
  <c r="R244" i="14" s="1"/>
  <c r="L153" i="14"/>
  <c r="R153" i="14" s="1"/>
  <c r="L140" i="14"/>
  <c r="R140" i="14" s="1"/>
  <c r="L98" i="14"/>
  <c r="R98" i="14" s="1"/>
  <c r="L80" i="14"/>
  <c r="R80" i="14" s="1"/>
  <c r="L62" i="14"/>
  <c r="R62" i="14" s="1"/>
  <c r="L91" i="14"/>
  <c r="R91" i="14" s="1"/>
  <c r="L184" i="14"/>
  <c r="R184" i="14" s="1"/>
  <c r="L156" i="14"/>
  <c r="R156" i="14" s="1"/>
  <c r="L17" i="14"/>
  <c r="R17" i="14" s="1"/>
  <c r="L57" i="14"/>
  <c r="R57" i="14" s="1"/>
  <c r="L33" i="14"/>
  <c r="R33" i="14" s="1"/>
  <c r="L19" i="14"/>
  <c r="R19" i="14" s="1"/>
  <c r="L109" i="14"/>
  <c r="R109" i="14" s="1"/>
  <c r="L107" i="14"/>
  <c r="R107" i="14" s="1"/>
  <c r="L117" i="14"/>
  <c r="R117" i="14" s="1"/>
  <c r="L201" i="14"/>
  <c r="R201" i="14" s="1"/>
  <c r="L119" i="14"/>
  <c r="R119" i="14" s="1"/>
  <c r="L48" i="14"/>
  <c r="R48" i="14" s="1"/>
  <c r="L75" i="14"/>
  <c r="R75" i="14" s="1"/>
  <c r="L56" i="14"/>
  <c r="R56" i="14" s="1"/>
  <c r="L193" i="14"/>
  <c r="R193" i="14" s="1"/>
  <c r="L207" i="14"/>
  <c r="R207" i="14" s="1"/>
  <c r="L125" i="14"/>
  <c r="R125" i="14" s="1"/>
  <c r="L188" i="14"/>
  <c r="R188" i="14" s="1"/>
  <c r="L213" i="14"/>
  <c r="R213" i="14" s="1"/>
  <c r="L241" i="14"/>
  <c r="R241" i="14" s="1"/>
  <c r="L223" i="14"/>
  <c r="R223" i="14" s="1"/>
  <c r="L205" i="14"/>
  <c r="R205" i="14" s="1"/>
  <c r="L68" i="14"/>
  <c r="R68" i="14" s="1"/>
  <c r="L102" i="14"/>
  <c r="R102" i="14" s="1"/>
  <c r="L169" i="14"/>
  <c r="R169" i="14" s="1"/>
  <c r="L215" i="14"/>
  <c r="R215" i="14" s="1"/>
  <c r="L133" i="14"/>
  <c r="R133" i="14" s="1"/>
  <c r="L34" i="14"/>
  <c r="R34" i="14" s="1"/>
  <c r="L166" i="14"/>
  <c r="R166" i="14" s="1"/>
  <c r="L161" i="14"/>
  <c r="R161" i="14" s="1"/>
  <c r="L175" i="14"/>
  <c r="R175" i="14" s="1"/>
  <c r="L221" i="14"/>
  <c r="R221" i="14" s="1"/>
  <c r="L115" i="14"/>
  <c r="R115" i="14" s="1"/>
  <c r="L198" i="14"/>
  <c r="R198" i="14" s="1"/>
  <c r="L81" i="14"/>
  <c r="R81" i="14" s="1"/>
  <c r="L63" i="14"/>
  <c r="R63" i="14" s="1"/>
  <c r="L52" i="14"/>
  <c r="R52" i="14" s="1"/>
  <c r="L124" i="14"/>
  <c r="R124" i="14" s="1"/>
  <c r="L245" i="14"/>
  <c r="R245" i="14" s="1"/>
  <c r="L29" i="14"/>
  <c r="R29" i="14" s="1"/>
  <c r="L72" i="14"/>
  <c r="R72" i="14" s="1"/>
  <c r="L118" i="14"/>
  <c r="R118" i="14" s="1"/>
  <c r="L162" i="14"/>
  <c r="R162" i="14" s="1"/>
  <c r="L237" i="14"/>
  <c r="R237" i="14" s="1"/>
  <c r="L230" i="14"/>
  <c r="R230" i="14" s="1"/>
  <c r="L247" i="14"/>
  <c r="R247" i="14" s="1"/>
  <c r="L164" i="14"/>
  <c r="R164" i="14" s="1"/>
  <c r="L82" i="14"/>
  <c r="R82" i="14" s="1"/>
  <c r="L13" i="14"/>
  <c r="R13" i="14" s="1"/>
  <c r="L71" i="14"/>
  <c r="R71" i="14" s="1"/>
  <c r="L112" i="14"/>
  <c r="R112" i="14" s="1"/>
  <c r="L219" i="14"/>
  <c r="L27" i="14"/>
  <c r="R27" i="14" s="1"/>
  <c r="L25" i="14"/>
  <c r="R25" i="14" s="1"/>
  <c r="L12" i="14"/>
  <c r="R12" i="14" s="1"/>
  <c r="L64" i="14"/>
  <c r="L6" i="14"/>
  <c r="R6" i="14" s="1"/>
  <c r="L18" i="14"/>
  <c r="R18" i="14" s="1"/>
  <c r="L191" i="14"/>
  <c r="R191" i="14" s="1"/>
  <c r="L179" i="14"/>
  <c r="L145" i="14"/>
  <c r="R145" i="14" s="1"/>
  <c r="L163" i="14"/>
  <c r="R163" i="14" s="1"/>
  <c r="L9" i="14"/>
  <c r="R9" i="14" s="1"/>
  <c r="L182" i="14"/>
  <c r="L37" i="14"/>
  <c r="R37" i="14" s="1"/>
  <c r="L65" i="14"/>
  <c r="R65" i="14" s="1"/>
  <c r="L99" i="14"/>
  <c r="R99" i="14" s="1"/>
  <c r="L67" i="14"/>
  <c r="L95" i="14"/>
  <c r="R95" i="14" s="1"/>
  <c r="L170" i="14"/>
  <c r="R170" i="14" s="1"/>
  <c r="L50" i="14"/>
  <c r="R50" i="14" s="1"/>
  <c r="L15" i="14"/>
  <c r="L30" i="14"/>
  <c r="R30" i="14" s="1"/>
  <c r="L53" i="14"/>
  <c r="R53" i="14" s="1"/>
  <c r="L60" i="14"/>
  <c r="R60" i="14" s="1"/>
  <c r="L226" i="14"/>
  <c r="R226" i="14" s="1"/>
  <c r="L190" i="14"/>
  <c r="R190" i="14" s="1"/>
  <c r="L74" i="14"/>
  <c r="R74" i="14" s="1"/>
  <c r="L137" i="14"/>
  <c r="R137" i="14" s="1"/>
  <c r="L229" i="14"/>
  <c r="R229" i="14" s="1"/>
  <c r="L147" i="14"/>
  <c r="R147" i="14" s="1"/>
  <c r="L199" i="14"/>
  <c r="R199" i="14" s="1"/>
  <c r="L21" i="14"/>
  <c r="R21" i="14" s="1"/>
  <c r="L32" i="14"/>
  <c r="R32" i="14" s="1"/>
  <c r="L78" i="14"/>
  <c r="R78" i="14" s="1"/>
  <c r="L172" i="14"/>
  <c r="R172" i="14" s="1"/>
  <c r="L231" i="14"/>
  <c r="R231" i="14" s="1"/>
  <c r="L66" i="14"/>
  <c r="L42" i="14"/>
  <c r="R42" i="14" s="1"/>
  <c r="L31" i="14"/>
  <c r="R31" i="14" s="1"/>
  <c r="L236" i="14"/>
  <c r="R236" i="14" s="1"/>
  <c r="L120" i="14"/>
  <c r="L122" i="14"/>
  <c r="R122" i="14" s="1"/>
  <c r="L36" i="14"/>
  <c r="R36" i="14" s="1"/>
  <c r="L86" i="14"/>
  <c r="R86" i="14" s="1"/>
  <c r="L59" i="14"/>
  <c r="L103" i="14"/>
  <c r="R103" i="14" s="1"/>
  <c r="L114" i="14"/>
  <c r="R114" i="14" s="1"/>
  <c r="L239" i="14"/>
  <c r="R239" i="14" s="1"/>
  <c r="L157" i="14"/>
  <c r="L132" i="14"/>
  <c r="R132" i="14" s="1"/>
  <c r="L70" i="14"/>
  <c r="R70" i="14" s="1"/>
  <c r="L144" i="14"/>
  <c r="R144" i="14" s="1"/>
  <c r="L196" i="14"/>
  <c r="L90" i="14"/>
  <c r="R90" i="14" s="1"/>
  <c r="L165" i="14"/>
  <c r="R165" i="14" s="1"/>
  <c r="L16" i="14"/>
  <c r="R16" i="14" s="1"/>
  <c r="L96" i="14"/>
  <c r="R96" i="14" s="1"/>
  <c r="L243" i="14"/>
  <c r="R243" i="14" s="1"/>
  <c r="L130" i="14"/>
  <c r="R130" i="14" s="1"/>
  <c r="L94" i="14"/>
  <c r="R94" i="14" s="1"/>
  <c r="L135" i="14"/>
  <c r="L104" i="14"/>
  <c r="R104" i="14" s="1"/>
  <c r="L76" i="14"/>
  <c r="R76" i="14" s="1"/>
  <c r="L44" i="14"/>
  <c r="R44" i="14" s="1"/>
  <c r="L110" i="14"/>
  <c r="L88" i="14"/>
  <c r="R88" i="14" s="1"/>
  <c r="L209" i="14"/>
  <c r="R209" i="14" s="1"/>
  <c r="L173" i="14"/>
  <c r="R173" i="14" s="1"/>
  <c r="L49" i="14"/>
  <c r="L127" i="14"/>
  <c r="R127" i="14" s="1"/>
  <c r="L121" i="14"/>
  <c r="R121" i="14" s="1"/>
  <c r="L73" i="14"/>
  <c r="R73" i="14" s="1"/>
  <c r="L23" i="14"/>
  <c r="L100" i="14"/>
  <c r="R100" i="14" s="1"/>
  <c r="L79" i="14"/>
  <c r="R79" i="14" s="1"/>
  <c r="L7" i="14"/>
  <c r="R7" i="14" s="1"/>
  <c r="L113" i="14"/>
  <c r="R113" i="14" s="1"/>
  <c r="L77" i="14"/>
  <c r="R77" i="14" s="1"/>
  <c r="L83" i="14"/>
  <c r="R83" i="14" s="1"/>
  <c r="L87" i="14"/>
  <c r="R87" i="14" s="1"/>
  <c r="L220" i="14"/>
  <c r="L26" i="14"/>
  <c r="R26" i="14" s="1"/>
  <c r="L93" i="14"/>
  <c r="R93" i="14" s="1"/>
  <c r="L85" i="14"/>
  <c r="R85" i="14" s="1"/>
  <c r="L208" i="14"/>
  <c r="R208" i="14" s="1"/>
  <c r="L180" i="14"/>
  <c r="R180" i="14" s="1"/>
  <c r="L212" i="14"/>
  <c r="R212" i="14" s="1"/>
  <c r="L183" i="14"/>
  <c r="R183" i="14" s="1"/>
  <c r="L11" i="14"/>
  <c r="L234" i="14"/>
  <c r="R234" i="14" s="1"/>
  <c r="L84" i="14"/>
  <c r="R84" i="14" s="1"/>
  <c r="L5" i="14"/>
  <c r="R5" i="14" s="1"/>
  <c r="L22" i="14"/>
  <c r="L61" i="14"/>
  <c r="R61" i="14" s="1"/>
  <c r="L202" i="14"/>
  <c r="R202" i="14" s="1"/>
  <c r="L41" i="14"/>
  <c r="R41" i="14" s="1"/>
  <c r="L54" i="14"/>
  <c r="L14" i="14"/>
  <c r="R14" i="14" s="1"/>
  <c r="L20" i="14"/>
  <c r="R20" i="14" s="1"/>
  <c r="L235" i="14"/>
  <c r="R235" i="14" s="1"/>
  <c r="L195" i="14"/>
  <c r="L105" i="14"/>
  <c r="R105" i="14" s="1"/>
  <c r="L43" i="14"/>
  <c r="R43" i="14" s="1"/>
  <c r="L69" i="14"/>
  <c r="R69" i="14" s="1"/>
  <c r="L203" i="14"/>
  <c r="L123" i="14"/>
  <c r="R123" i="14" s="1"/>
  <c r="L97" i="14"/>
  <c r="R97" i="14" s="1"/>
  <c r="L174" i="14"/>
  <c r="R174" i="14" s="1"/>
  <c r="L227" i="14"/>
  <c r="L106" i="14"/>
  <c r="R106" i="14" s="1"/>
  <c r="L154" i="14"/>
  <c r="R154" i="14" s="1"/>
  <c r="L187" i="14"/>
  <c r="R187" i="14" s="1"/>
  <c r="L146" i="14"/>
  <c r="R146" i="14" s="1"/>
  <c r="L206" i="14"/>
  <c r="R206" i="14" s="1"/>
  <c r="L58" i="14"/>
  <c r="R58" i="14" s="1"/>
  <c r="L176" i="14"/>
  <c r="L46" i="14"/>
  <c r="R46" i="14" s="1"/>
  <c r="L139" i="14"/>
  <c r="R139" i="14" s="1"/>
  <c r="L214" i="14"/>
  <c r="R214" i="14" s="1"/>
  <c r="L138" i="14"/>
  <c r="R138" i="14" s="1"/>
  <c r="L128" i="14"/>
  <c r="R128" i="14" s="1"/>
  <c r="L38" i="14"/>
  <c r="R38" i="14" s="1"/>
  <c r="L200" i="14"/>
  <c r="R200" i="14" s="1"/>
  <c r="L92" i="14"/>
  <c r="R92" i="14" s="1"/>
  <c r="L129" i="14"/>
  <c r="R129" i="14" s="1"/>
  <c r="L189" i="14"/>
  <c r="R189" i="14" s="1"/>
  <c r="L134" i="14"/>
  <c r="R134" i="14" s="1"/>
  <c r="L159" i="14"/>
  <c r="L55" i="14"/>
  <c r="R55" i="14" s="1"/>
  <c r="L233" i="14"/>
  <c r="R233" i="14" s="1"/>
  <c r="L197" i="14"/>
  <c r="R197" i="14" s="1"/>
  <c r="L149" i="14"/>
  <c r="R149" i="14" s="1"/>
  <c r="L111" i="14"/>
  <c r="R111" i="14" s="1"/>
  <c r="L51" i="14"/>
  <c r="R51" i="14" s="1"/>
  <c r="L246" i="14"/>
  <c r="R246" i="14" s="1"/>
  <c r="L89" i="14"/>
  <c r="L160" i="14"/>
  <c r="R160" i="14" s="1"/>
  <c r="L116" i="14"/>
  <c r="R116" i="14" s="1"/>
  <c r="L194" i="14"/>
  <c r="R194" i="14" s="1"/>
  <c r="L158" i="14"/>
  <c r="R158" i="14" s="1"/>
  <c r="L217" i="14"/>
  <c r="R217" i="14" s="1"/>
  <c r="L168" i="14"/>
  <c r="R168" i="14" s="1"/>
  <c r="L148" i="14"/>
  <c r="R148" i="14" s="1"/>
  <c r="L242" i="14"/>
  <c r="R242" i="14" s="1"/>
  <c r="L40" i="14"/>
  <c r="R40" i="14" s="1"/>
  <c r="L167" i="14"/>
  <c r="R167" i="14" s="1"/>
  <c r="L101" i="14"/>
  <c r="R101" i="14" s="1"/>
  <c r="L35" i="14"/>
  <c r="R35" i="14" s="1"/>
  <c r="L143" i="14"/>
  <c r="R143" i="14" s="1"/>
  <c r="L171" i="14"/>
  <c r="R171" i="14" s="1"/>
  <c r="L177" i="14"/>
  <c r="R177" i="14" s="1"/>
  <c r="L141" i="14"/>
  <c r="L181" i="14"/>
  <c r="R181" i="14" s="1"/>
  <c r="L151" i="14"/>
  <c r="R151" i="14" s="1"/>
  <c r="L39" i="14"/>
  <c r="R39" i="14" s="1"/>
  <c r="L225" i="14"/>
  <c r="R225" i="14" s="1"/>
  <c r="L10" i="14"/>
  <c r="R10" i="14" s="1"/>
  <c r="L228" i="14"/>
  <c r="R228" i="14" s="1"/>
  <c r="F147" i="14"/>
  <c r="U56" i="10"/>
  <c r="L57" i="10"/>
  <c r="O150" i="14"/>
  <c r="U150" i="14" s="1"/>
  <c r="O132" i="14"/>
  <c r="U132" i="14" s="1"/>
  <c r="O112" i="14"/>
  <c r="U112" i="14" s="1"/>
  <c r="O163" i="14"/>
  <c r="U163" i="14" s="1"/>
  <c r="O236" i="14"/>
  <c r="U236" i="14" s="1"/>
  <c r="O18" i="14"/>
  <c r="U18" i="14" s="1"/>
  <c r="O63" i="14"/>
  <c r="U63" i="14" s="1"/>
  <c r="O52" i="14"/>
  <c r="U52" i="14" s="1"/>
  <c r="O139" i="14"/>
  <c r="U139" i="14" s="1"/>
  <c r="O111" i="14"/>
  <c r="U111" i="14" s="1"/>
  <c r="O230" i="14"/>
  <c r="U230" i="14" s="1"/>
  <c r="O212" i="14"/>
  <c r="U212" i="14" s="1"/>
  <c r="O192" i="14"/>
  <c r="U192" i="14" s="1"/>
  <c r="O235" i="14"/>
  <c r="U235" i="14" s="1"/>
  <c r="O108" i="14"/>
  <c r="I163" i="14"/>
  <c r="O231" i="14"/>
  <c r="U231" i="14" s="1"/>
  <c r="O213" i="14"/>
  <c r="U213" i="14" s="1"/>
  <c r="O185" i="14"/>
  <c r="O6" i="14"/>
  <c r="U6" i="14" s="1"/>
  <c r="O61" i="14"/>
  <c r="U61" i="14" s="1"/>
  <c r="O174" i="14"/>
  <c r="U174" i="14" s="1"/>
  <c r="O156" i="14"/>
  <c r="O136" i="14"/>
  <c r="U136" i="14" s="1"/>
  <c r="O7" i="14"/>
  <c r="U7" i="14" s="1"/>
  <c r="O184" i="14"/>
  <c r="U184" i="14" s="1"/>
  <c r="O183" i="14"/>
  <c r="O165" i="14"/>
  <c r="U165" i="14" s="1"/>
  <c r="O137" i="14"/>
  <c r="U137" i="14" s="1"/>
  <c r="O106" i="14"/>
  <c r="U106" i="14" s="1"/>
  <c r="O9" i="14"/>
  <c r="U9" i="14" s="1"/>
  <c r="O86" i="14"/>
  <c r="U86" i="14" s="1"/>
  <c r="O68" i="14"/>
  <c r="U68" i="14" s="1"/>
  <c r="O42" i="14"/>
  <c r="O170" i="14"/>
  <c r="U170" i="14" s="1"/>
  <c r="O38" i="14"/>
  <c r="U38" i="14" s="1"/>
  <c r="O43" i="14"/>
  <c r="U43" i="14" s="1"/>
  <c r="O15" i="14"/>
  <c r="O232" i="14"/>
  <c r="U232" i="14" s="1"/>
  <c r="O154" i="14"/>
  <c r="U154" i="14" s="1"/>
  <c r="O76" i="14"/>
  <c r="U76" i="14" s="1"/>
  <c r="O166" i="14"/>
  <c r="O23" i="14"/>
  <c r="U23" i="14" s="1"/>
  <c r="O233" i="14"/>
  <c r="U233" i="14" s="1"/>
  <c r="O219" i="14"/>
  <c r="U219" i="14" s="1"/>
  <c r="O41" i="14"/>
  <c r="O66" i="14"/>
  <c r="U66" i="14" s="1"/>
  <c r="O182" i="14"/>
  <c r="U182" i="14" s="1"/>
  <c r="O164" i="14"/>
  <c r="U164" i="14" s="1"/>
  <c r="O144" i="14"/>
  <c r="U144" i="14" s="1"/>
  <c r="O44" i="14"/>
  <c r="U44" i="14" s="1"/>
  <c r="O53" i="14"/>
  <c r="U53" i="14" s="1"/>
  <c r="O59" i="14"/>
  <c r="U59" i="14" s="1"/>
  <c r="O95" i="14"/>
  <c r="O77" i="14"/>
  <c r="U77" i="14" s="1"/>
  <c r="O54" i="14"/>
  <c r="U54" i="14" s="1"/>
  <c r="O207" i="14"/>
  <c r="U207" i="14" s="1"/>
  <c r="O134" i="14"/>
  <c r="O116" i="14"/>
  <c r="U116" i="14" s="1"/>
  <c r="O96" i="14"/>
  <c r="U96" i="14" s="1"/>
  <c r="O242" i="14"/>
  <c r="U242" i="14" s="1"/>
  <c r="O172" i="14"/>
  <c r="O25" i="14"/>
  <c r="U25" i="14" s="1"/>
  <c r="O245" i="14"/>
  <c r="U245" i="14" s="1"/>
  <c r="O217" i="14"/>
  <c r="U217" i="14" s="1"/>
  <c r="O155" i="14"/>
  <c r="O125" i="14"/>
  <c r="U125" i="14" s="1"/>
  <c r="O206" i="14"/>
  <c r="U206" i="14" s="1"/>
  <c r="O188" i="14"/>
  <c r="U188" i="14" s="1"/>
  <c r="O168" i="14"/>
  <c r="U168" i="14" s="1"/>
  <c r="O21" i="14"/>
  <c r="U21" i="14" s="1"/>
  <c r="O93" i="14"/>
  <c r="U93" i="14" s="1"/>
  <c r="O102" i="14"/>
  <c r="U102" i="14" s="1"/>
  <c r="O84" i="14"/>
  <c r="O64" i="14"/>
  <c r="U64" i="14" s="1"/>
  <c r="O114" i="14"/>
  <c r="U114" i="14" s="1"/>
  <c r="O216" i="14"/>
  <c r="U216" i="14" s="1"/>
  <c r="O103" i="14"/>
  <c r="U103" i="14" s="1"/>
  <c r="O85" i="14"/>
  <c r="U85" i="14" s="1"/>
  <c r="O58" i="14"/>
  <c r="U58" i="14" s="1"/>
  <c r="O179" i="14"/>
  <c r="O97" i="14"/>
  <c r="U97" i="14" s="1"/>
  <c r="O40" i="14"/>
  <c r="U40" i="14" s="1"/>
  <c r="O30" i="14"/>
  <c r="U30" i="14" s="1"/>
  <c r="O241" i="14"/>
  <c r="O243" i="14"/>
  <c r="U243" i="14" s="1"/>
  <c r="O187" i="14"/>
  <c r="U187" i="14" s="1"/>
  <c r="O57" i="14"/>
  <c r="U57" i="14" s="1"/>
  <c r="O48" i="14"/>
  <c r="O83" i="14"/>
  <c r="U83" i="14" s="1"/>
  <c r="O152" i="14"/>
  <c r="U152" i="14" s="1"/>
  <c r="O199" i="14"/>
  <c r="U199" i="14" s="1"/>
  <c r="O181" i="14"/>
  <c r="U181" i="14" s="1"/>
  <c r="O153" i="14"/>
  <c r="U153" i="14" s="1"/>
  <c r="O147" i="14"/>
  <c r="O5" i="14"/>
  <c r="U5" i="14" s="1"/>
  <c r="O142" i="14"/>
  <c r="U142" i="14" s="1"/>
  <c r="O124" i="14"/>
  <c r="U124" i="14" s="1"/>
  <c r="O104" i="14"/>
  <c r="O123" i="14"/>
  <c r="U123" i="14" s="1"/>
  <c r="O88" i="14"/>
  <c r="U88" i="14" s="1"/>
  <c r="O35" i="14"/>
  <c r="U35" i="14" s="1"/>
  <c r="O133" i="14"/>
  <c r="O105" i="14"/>
  <c r="U105" i="14" s="1"/>
  <c r="O162" i="14"/>
  <c r="U162" i="14" s="1"/>
  <c r="O157" i="14"/>
  <c r="U157" i="14" s="1"/>
  <c r="O8" i="14"/>
  <c r="U8" i="14" s="1"/>
  <c r="O34" i="14"/>
  <c r="U34" i="14" s="1"/>
  <c r="O19" i="14"/>
  <c r="U19" i="14" s="1"/>
  <c r="O37" i="14"/>
  <c r="U37" i="14" s="1"/>
  <c r="O221" i="14"/>
  <c r="U221" i="14" s="1"/>
  <c r="O238" i="14"/>
  <c r="U238" i="14" s="1"/>
  <c r="O220" i="14"/>
  <c r="U220" i="14" s="1"/>
  <c r="O200" i="14"/>
  <c r="U200" i="14" s="1"/>
  <c r="O29" i="14"/>
  <c r="U29" i="14" s="1"/>
  <c r="O189" i="14"/>
  <c r="U189" i="14" s="1"/>
  <c r="O247" i="14"/>
  <c r="U247" i="14" s="1"/>
  <c r="O229" i="14"/>
  <c r="O201" i="14"/>
  <c r="U201" i="14" s="1"/>
  <c r="O91" i="14"/>
  <c r="U91" i="14" s="1"/>
  <c r="O10" i="14"/>
  <c r="U10" i="14" s="1"/>
  <c r="O135" i="14"/>
  <c r="U135" i="14" s="1"/>
  <c r="O117" i="14"/>
  <c r="O89" i="14"/>
  <c r="U89" i="14" s="1"/>
  <c r="O98" i="14"/>
  <c r="U98" i="14" s="1"/>
  <c r="O193" i="14"/>
  <c r="U193" i="14" s="1"/>
  <c r="O78" i="14"/>
  <c r="O60" i="14"/>
  <c r="U60" i="14" s="1"/>
  <c r="O36" i="14"/>
  <c r="U36" i="14" s="1"/>
  <c r="O138" i="14"/>
  <c r="U138" i="14" s="1"/>
  <c r="O161" i="14"/>
  <c r="O215" i="14"/>
  <c r="U215" i="14" s="1"/>
  <c r="O197" i="14"/>
  <c r="U197" i="14" s="1"/>
  <c r="O169" i="14"/>
  <c r="U169" i="14" s="1"/>
  <c r="O234" i="14"/>
  <c r="U234" i="14" s="1"/>
  <c r="O129" i="14"/>
  <c r="U129" i="14" s="1"/>
  <c r="O246" i="14"/>
  <c r="U246" i="14" s="1"/>
  <c r="O228" i="14"/>
  <c r="U228" i="14" s="1"/>
  <c r="O208" i="14"/>
  <c r="O51" i="14"/>
  <c r="U51" i="14" s="1"/>
  <c r="O31" i="14"/>
  <c r="U31" i="14" s="1"/>
  <c r="O67" i="14"/>
  <c r="U67" i="14" s="1"/>
  <c r="O159" i="14"/>
  <c r="O141" i="14"/>
  <c r="U141" i="14" s="1"/>
  <c r="O113" i="14"/>
  <c r="U113" i="14" s="1"/>
  <c r="O158" i="14"/>
  <c r="U158" i="14" s="1"/>
  <c r="O198" i="14"/>
  <c r="O180" i="14"/>
  <c r="U180" i="14" s="1"/>
  <c r="O160" i="14"/>
  <c r="U160" i="14" s="1"/>
  <c r="O107" i="14"/>
  <c r="U107" i="14" s="1"/>
  <c r="O190" i="14"/>
  <c r="O65" i="14"/>
  <c r="U65" i="14" s="1"/>
  <c r="O71" i="14"/>
  <c r="U71" i="14" s="1"/>
  <c r="O56" i="14"/>
  <c r="O186" i="14"/>
  <c r="U186" i="14" s="1"/>
  <c r="O55" i="14"/>
  <c r="U55" i="14" s="1"/>
  <c r="O26" i="14"/>
  <c r="U26" i="14" s="1"/>
  <c r="O13" i="14"/>
  <c r="O237" i="14"/>
  <c r="U237" i="14" s="1"/>
  <c r="O209" i="14"/>
  <c r="U209" i="14" s="1"/>
  <c r="O211" i="14"/>
  <c r="U211" i="14" s="1"/>
  <c r="O90" i="14"/>
  <c r="O151" i="14"/>
  <c r="U151" i="14" s="1"/>
  <c r="O17" i="14"/>
  <c r="U17" i="14" s="1"/>
  <c r="O11" i="14"/>
  <c r="U11" i="14" s="1"/>
  <c r="O194" i="14"/>
  <c r="U194" i="14" s="1"/>
  <c r="O12" i="14"/>
  <c r="U12" i="14" s="1"/>
  <c r="O167" i="14"/>
  <c r="U167" i="14" s="1"/>
  <c r="O149" i="14"/>
  <c r="O121" i="14"/>
  <c r="U121" i="14" s="1"/>
  <c r="O130" i="14"/>
  <c r="U130" i="14" s="1"/>
  <c r="O120" i="14"/>
  <c r="U120" i="14" s="1"/>
  <c r="O110" i="14"/>
  <c r="O92" i="14"/>
  <c r="U92" i="14" s="1"/>
  <c r="O72" i="14"/>
  <c r="U72" i="14" s="1"/>
  <c r="O146" i="14"/>
  <c r="U146" i="14" s="1"/>
  <c r="O28" i="14"/>
  <c r="O119" i="14"/>
  <c r="U119" i="14" s="1"/>
  <c r="O101" i="14"/>
  <c r="U101" i="14" s="1"/>
  <c r="O73" i="14"/>
  <c r="U73" i="14" s="1"/>
  <c r="O115" i="14"/>
  <c r="O225" i="14"/>
  <c r="U225" i="14" s="1"/>
  <c r="O20" i="14"/>
  <c r="U20" i="14" s="1"/>
  <c r="O240" i="14"/>
  <c r="U240" i="14" s="1"/>
  <c r="O171" i="14"/>
  <c r="U171" i="14" s="1"/>
  <c r="O126" i="14"/>
  <c r="O203" i="14"/>
  <c r="U203" i="14" s="1"/>
  <c r="O191" i="14"/>
  <c r="U191" i="14" s="1"/>
  <c r="O173" i="14"/>
  <c r="U173" i="14" s="1"/>
  <c r="O145" i="14"/>
  <c r="U145" i="14" s="1"/>
  <c r="O16" i="14"/>
  <c r="U16" i="14" s="1"/>
  <c r="O82" i="14"/>
  <c r="U82" i="14" s="1"/>
  <c r="O87" i="14"/>
  <c r="U87" i="14" s="1"/>
  <c r="O69" i="14"/>
  <c r="O50" i="14"/>
  <c r="U50" i="14" s="1"/>
  <c r="O143" i="14"/>
  <c r="U143" i="14" s="1"/>
  <c r="O74" i="14"/>
  <c r="U74" i="14" s="1"/>
  <c r="O118" i="14"/>
  <c r="U118" i="14" s="1"/>
  <c r="O100" i="14"/>
  <c r="U100" i="14" s="1"/>
  <c r="O80" i="14"/>
  <c r="U80" i="14" s="1"/>
  <c r="O47" i="14"/>
  <c r="U47" i="14" s="1"/>
  <c r="O140" i="14"/>
  <c r="O226" i="14"/>
  <c r="U226" i="14" s="1"/>
  <c r="O14" i="14"/>
  <c r="U14" i="14" s="1"/>
  <c r="O24" i="14"/>
  <c r="U24" i="14" s="1"/>
  <c r="O131" i="14"/>
  <c r="U131" i="14" s="1"/>
  <c r="O204" i="14"/>
  <c r="U204" i="14" s="1"/>
  <c r="O70" i="14"/>
  <c r="U70" i="14" s="1"/>
  <c r="O46" i="14"/>
  <c r="U46" i="14" s="1"/>
  <c r="O32" i="14"/>
  <c r="O227" i="14"/>
  <c r="U227" i="14" s="1"/>
  <c r="O79" i="14"/>
  <c r="U79" i="14" s="1"/>
  <c r="O210" i="14"/>
  <c r="U210" i="14" s="1"/>
  <c r="O214" i="14"/>
  <c r="O196" i="14"/>
  <c r="U196" i="14" s="1"/>
  <c r="O176" i="14"/>
  <c r="U176" i="14" s="1"/>
  <c r="O178" i="14"/>
  <c r="U178" i="14" s="1"/>
  <c r="O175" i="14"/>
  <c r="O202" i="14"/>
  <c r="U202" i="14" s="1"/>
  <c r="O127" i="14"/>
  <c r="U127" i="14" s="1"/>
  <c r="O109" i="14"/>
  <c r="U109" i="14" s="1"/>
  <c r="O81" i="14"/>
  <c r="O62" i="14"/>
  <c r="U62" i="14" s="1"/>
  <c r="O33" i="14"/>
  <c r="U33" i="14" s="1"/>
  <c r="O148" i="14"/>
  <c r="U148" i="14" s="1"/>
  <c r="O128" i="14"/>
  <c r="O99" i="14"/>
  <c r="U99" i="14" s="1"/>
  <c r="O94" i="14"/>
  <c r="U94" i="14" s="1"/>
  <c r="O195" i="14"/>
  <c r="U195" i="14" s="1"/>
  <c r="O49" i="14"/>
  <c r="U49" i="14" s="1"/>
  <c r="O45" i="14"/>
  <c r="U45" i="14" s="1"/>
  <c r="O27" i="14"/>
  <c r="U27" i="14" s="1"/>
  <c r="O222" i="14"/>
  <c r="O218" i="14"/>
  <c r="U218" i="14" s="1"/>
  <c r="O223" i="14"/>
  <c r="U223" i="14" s="1"/>
  <c r="O205" i="14"/>
  <c r="U205" i="14" s="1"/>
  <c r="O177" i="14"/>
  <c r="O39" i="14"/>
  <c r="U39" i="14" s="1"/>
  <c r="O22" i="14"/>
  <c r="U22" i="14" s="1"/>
  <c r="O244" i="14"/>
  <c r="U244" i="14" s="1"/>
  <c r="O224" i="14"/>
  <c r="U224" i="14" s="1"/>
  <c r="O122" i="14"/>
  <c r="U122" i="14" s="1"/>
  <c r="O239" i="14"/>
  <c r="U239" i="14" s="1"/>
  <c r="O75" i="14"/>
  <c r="U75" i="14" s="1"/>
  <c r="M145" i="14"/>
  <c r="M103" i="14"/>
  <c r="S103" i="14" s="1"/>
  <c r="M125" i="14"/>
  <c r="S125" i="14" s="1"/>
  <c r="M203" i="14"/>
  <c r="S203" i="14" s="1"/>
  <c r="M89" i="14"/>
  <c r="S89" i="14" s="1"/>
  <c r="M115" i="14"/>
  <c r="S115" i="14" s="1"/>
  <c r="M160" i="14"/>
  <c r="S160" i="14" s="1"/>
  <c r="M150" i="14"/>
  <c r="S150" i="14" s="1"/>
  <c r="M76" i="14"/>
  <c r="M7" i="14"/>
  <c r="S7" i="14" s="1"/>
  <c r="M9" i="14"/>
  <c r="S9" i="14" s="1"/>
  <c r="M88" i="14"/>
  <c r="S88" i="14" s="1"/>
  <c r="M110" i="14"/>
  <c r="M68" i="14"/>
  <c r="S68" i="14" s="1"/>
  <c r="M6" i="14"/>
  <c r="S6" i="14" s="1"/>
  <c r="M188" i="14"/>
  <c r="S188" i="14" s="1"/>
  <c r="M232" i="14"/>
  <c r="S232" i="14" s="1"/>
  <c r="M190" i="14"/>
  <c r="S190" i="14" s="1"/>
  <c r="M212" i="14"/>
  <c r="S212" i="14" s="1"/>
  <c r="M163" i="14"/>
  <c r="S163" i="14" s="1"/>
  <c r="M32" i="14"/>
  <c r="M29" i="14"/>
  <c r="S29" i="14" s="1"/>
  <c r="M19" i="14"/>
  <c r="S19" i="14" s="1"/>
  <c r="M179" i="14"/>
  <c r="S179" i="14" s="1"/>
  <c r="M207" i="14"/>
  <c r="S207" i="14" s="1"/>
  <c r="M123" i="14"/>
  <c r="S123" i="14" s="1"/>
  <c r="M12" i="14"/>
  <c r="S12" i="14" s="1"/>
  <c r="M78" i="14"/>
  <c r="S78" i="14" s="1"/>
  <c r="M147" i="14"/>
  <c r="S147" i="14" s="1"/>
  <c r="M58" i="14"/>
  <c r="S58" i="14" s="1"/>
  <c r="M67" i="14"/>
  <c r="S67" i="14" s="1"/>
  <c r="M200" i="14"/>
  <c r="S200" i="14" s="1"/>
  <c r="M158" i="14"/>
  <c r="S158" i="14" s="1"/>
  <c r="M202" i="14"/>
  <c r="S202" i="14" s="1"/>
  <c r="M185" i="14"/>
  <c r="S185" i="14" s="1"/>
  <c r="M156" i="14"/>
  <c r="S156" i="14" s="1"/>
  <c r="M96" i="14"/>
  <c r="S96" i="14" s="1"/>
  <c r="M86" i="14"/>
  <c r="S86" i="14" s="1"/>
  <c r="M140" i="14"/>
  <c r="S140" i="14" s="1"/>
  <c r="M178" i="14"/>
  <c r="S178" i="14" s="1"/>
  <c r="M136" i="14"/>
  <c r="S136" i="14" s="1"/>
  <c r="M94" i="14"/>
  <c r="S94" i="14" s="1"/>
  <c r="M116" i="14"/>
  <c r="S116" i="14" s="1"/>
  <c r="M219" i="14"/>
  <c r="S219" i="14" s="1"/>
  <c r="M22" i="14"/>
  <c r="S22" i="14" s="1"/>
  <c r="M169" i="14"/>
  <c r="S169" i="14" s="1"/>
  <c r="M159" i="14"/>
  <c r="M85" i="14"/>
  <c r="S85" i="14" s="1"/>
  <c r="M131" i="14"/>
  <c r="S131" i="14" s="1"/>
  <c r="M220" i="14"/>
  <c r="S220" i="14" s="1"/>
  <c r="M97" i="14"/>
  <c r="M119" i="14"/>
  <c r="S119" i="14" s="1"/>
  <c r="M77" i="14"/>
  <c r="S77" i="14" s="1"/>
  <c r="M30" i="14"/>
  <c r="S30" i="14" s="1"/>
  <c r="M112" i="14"/>
  <c r="S112" i="14" s="1"/>
  <c r="M241" i="14"/>
  <c r="S241" i="14" s="1"/>
  <c r="M199" i="14"/>
  <c r="S199" i="14" s="1"/>
  <c r="M221" i="14"/>
  <c r="S221" i="14" s="1"/>
  <c r="M83" i="14"/>
  <c r="S83" i="14" s="1"/>
  <c r="M217" i="14"/>
  <c r="S217" i="14" s="1"/>
  <c r="M15" i="14"/>
  <c r="S15" i="14" s="1"/>
  <c r="M17" i="14"/>
  <c r="S17" i="14" s="1"/>
  <c r="M246" i="14"/>
  <c r="S246" i="14" s="1"/>
  <c r="M56" i="14"/>
  <c r="S56" i="14" s="1"/>
  <c r="M11" i="14"/>
  <c r="S11" i="14" s="1"/>
  <c r="M124" i="14"/>
  <c r="S124" i="14" s="1"/>
  <c r="M65" i="14"/>
  <c r="S65" i="14" s="1"/>
  <c r="M87" i="14"/>
  <c r="S87" i="14" s="1"/>
  <c r="M52" i="14"/>
  <c r="S52" i="14" s="1"/>
  <c r="M227" i="14"/>
  <c r="S227" i="14" s="1"/>
  <c r="M197" i="14"/>
  <c r="M209" i="14"/>
  <c r="S209" i="14" s="1"/>
  <c r="M167" i="14"/>
  <c r="S167" i="14" s="1"/>
  <c r="M61" i="14"/>
  <c r="S61" i="14" s="1"/>
  <c r="M47" i="14"/>
  <c r="S47" i="14" s="1"/>
  <c r="M175" i="14"/>
  <c r="S175" i="14" s="1"/>
  <c r="M105" i="14"/>
  <c r="S105" i="14" s="1"/>
  <c r="M95" i="14"/>
  <c r="M149" i="14"/>
  <c r="S149" i="14" s="1"/>
  <c r="M33" i="14"/>
  <c r="S33" i="14" s="1"/>
  <c r="M13" i="14"/>
  <c r="S13" i="14" s="1"/>
  <c r="M37" i="14"/>
  <c r="S37" i="14" s="1"/>
  <c r="M50" i="14"/>
  <c r="S50" i="14" s="1"/>
  <c r="M204" i="14"/>
  <c r="S204" i="14" s="1"/>
  <c r="M235" i="14"/>
  <c r="S235" i="14" s="1"/>
  <c r="M238" i="14"/>
  <c r="S238" i="14" s="1"/>
  <c r="M90" i="14"/>
  <c r="S90" i="14" s="1"/>
  <c r="M113" i="14"/>
  <c r="S113" i="14" s="1"/>
  <c r="M93" i="14"/>
  <c r="S93" i="14" s="1"/>
  <c r="M45" i="14"/>
  <c r="M128" i="14"/>
  <c r="S128" i="14" s="1"/>
  <c r="M172" i="14"/>
  <c r="S172" i="14" s="1"/>
  <c r="M98" i="14"/>
  <c r="S98" i="14" s="1"/>
  <c r="M206" i="14"/>
  <c r="M146" i="14"/>
  <c r="S146" i="14" s="1"/>
  <c r="M49" i="14"/>
  <c r="S49" i="14" s="1"/>
  <c r="M210" i="14"/>
  <c r="S210" i="14" s="1"/>
  <c r="M224" i="14"/>
  <c r="S224" i="14" s="1"/>
  <c r="M41" i="14"/>
  <c r="S41" i="14" s="1"/>
  <c r="M79" i="14"/>
  <c r="S79" i="14" s="1"/>
  <c r="M161" i="14"/>
  <c r="M57" i="14"/>
  <c r="S57" i="14" s="1"/>
  <c r="M20" i="14"/>
  <c r="S20" i="14" s="1"/>
  <c r="M99" i="14"/>
  <c r="S99" i="14" s="1"/>
  <c r="M133" i="14"/>
  <c r="S133" i="14" s="1"/>
  <c r="M168" i="14"/>
  <c r="S168" i="14" s="1"/>
  <c r="M126" i="14"/>
  <c r="S126" i="14" s="1"/>
  <c r="M148" i="14"/>
  <c r="S148" i="14" s="1"/>
  <c r="M82" i="14"/>
  <c r="S82" i="14" s="1"/>
  <c r="M229" i="14"/>
  <c r="S229" i="14" s="1"/>
  <c r="M73" i="14"/>
  <c r="S73" i="14" s="1"/>
  <c r="M63" i="14"/>
  <c r="S63" i="14" s="1"/>
  <c r="M117" i="14"/>
  <c r="S117" i="14" s="1"/>
  <c r="M23" i="14"/>
  <c r="S23" i="14" s="1"/>
  <c r="M27" i="14"/>
  <c r="S27" i="14" s="1"/>
  <c r="M120" i="14"/>
  <c r="S120" i="14" s="1"/>
  <c r="M142" i="14"/>
  <c r="M100" i="14"/>
  <c r="S100" i="14" s="1"/>
  <c r="M155" i="14"/>
  <c r="S155" i="14" s="1"/>
  <c r="M48" i="14"/>
  <c r="S48" i="14" s="1"/>
  <c r="M24" i="14"/>
  <c r="S24" i="14" s="1"/>
  <c r="M244" i="14"/>
  <c r="S244" i="14" s="1"/>
  <c r="M80" i="14"/>
  <c r="S80" i="14" s="1"/>
  <c r="M42" i="14"/>
  <c r="S42" i="14" s="1"/>
  <c r="M171" i="14"/>
  <c r="S171" i="14" s="1"/>
  <c r="M225" i="14"/>
  <c r="S225" i="14" s="1"/>
  <c r="M205" i="14"/>
  <c r="S205" i="14" s="1"/>
  <c r="M153" i="14"/>
  <c r="S153" i="14" s="1"/>
  <c r="M104" i="14"/>
  <c r="S104" i="14" s="1"/>
  <c r="M84" i="14"/>
  <c r="S84" i="14" s="1"/>
  <c r="M166" i="14"/>
  <c r="S166" i="14" s="1"/>
  <c r="M127" i="14"/>
  <c r="S127" i="14" s="1"/>
  <c r="M51" i="14"/>
  <c r="M193" i="14"/>
  <c r="S193" i="14" s="1"/>
  <c r="M173" i="14"/>
  <c r="S173" i="14" s="1"/>
  <c r="M53" i="14"/>
  <c r="S53" i="14" s="1"/>
  <c r="M189" i="14"/>
  <c r="S189" i="14" s="1"/>
  <c r="M208" i="14"/>
  <c r="S208" i="14" s="1"/>
  <c r="M223" i="14"/>
  <c r="S223" i="14" s="1"/>
  <c r="M55" i="14"/>
  <c r="M165" i="14"/>
  <c r="S165" i="14" s="1"/>
  <c r="M26" i="14"/>
  <c r="S26" i="14" s="1"/>
  <c r="M174" i="14"/>
  <c r="S174" i="14" s="1"/>
  <c r="M132" i="14"/>
  <c r="M38" i="14"/>
  <c r="S38" i="14" s="1"/>
  <c r="M243" i="14"/>
  <c r="S243" i="14" s="1"/>
  <c r="M28" i="14"/>
  <c r="S28" i="14" s="1"/>
  <c r="M40" i="14"/>
  <c r="S40" i="14" s="1"/>
  <c r="M74" i="14"/>
  <c r="S74" i="14" s="1"/>
  <c r="M121" i="14"/>
  <c r="S121" i="14" s="1"/>
  <c r="M60" i="14"/>
  <c r="S60" i="14" s="1"/>
  <c r="M192" i="14"/>
  <c r="S192" i="14" s="1"/>
  <c r="M182" i="14"/>
  <c r="S182" i="14" s="1"/>
  <c r="M236" i="14"/>
  <c r="S236" i="14" s="1"/>
  <c r="M198" i="14"/>
  <c r="S198" i="14" s="1"/>
  <c r="M21" i="14"/>
  <c r="M36" i="14"/>
  <c r="S36" i="14" s="1"/>
  <c r="M237" i="14"/>
  <c r="S237" i="14" s="1"/>
  <c r="M138" i="14"/>
  <c r="S138" i="14" s="1"/>
  <c r="M176" i="14"/>
  <c r="S176" i="14" s="1"/>
  <c r="M106" i="14"/>
  <c r="S106" i="14" s="1"/>
  <c r="M239" i="14"/>
  <c r="S239" i="14" s="1"/>
  <c r="M231" i="14"/>
  <c r="S231" i="14" s="1"/>
  <c r="M211" i="14"/>
  <c r="S211" i="14" s="1"/>
  <c r="M101" i="14"/>
  <c r="S101" i="14" s="1"/>
  <c r="M14" i="14"/>
  <c r="S14" i="14" s="1"/>
  <c r="M187" i="14"/>
  <c r="S187" i="14" s="1"/>
  <c r="M216" i="14"/>
  <c r="S216" i="14" s="1"/>
  <c r="M196" i="14"/>
  <c r="S196" i="14" s="1"/>
  <c r="M143" i="14"/>
  <c r="S143" i="14" s="1"/>
  <c r="M71" i="14"/>
  <c r="S71" i="14" s="1"/>
  <c r="M75" i="14"/>
  <c r="S75" i="14" s="1"/>
  <c r="M226" i="14"/>
  <c r="S226" i="14" s="1"/>
  <c r="M118" i="14"/>
  <c r="S118" i="14" s="1"/>
  <c r="M59" i="14"/>
  <c r="S59" i="14" s="1"/>
  <c r="M184" i="14"/>
  <c r="M164" i="14"/>
  <c r="S164" i="14" s="1"/>
  <c r="M92" i="14"/>
  <c r="S92" i="14" s="1"/>
  <c r="M81" i="14"/>
  <c r="S81" i="14" s="1"/>
  <c r="M180" i="14"/>
  <c r="S180" i="14" s="1"/>
  <c r="M102" i="14"/>
  <c r="S102" i="14" s="1"/>
  <c r="M214" i="14"/>
  <c r="S214" i="14" s="1"/>
  <c r="M162" i="14"/>
  <c r="S162" i="14" s="1"/>
  <c r="M195" i="14"/>
  <c r="S195" i="14" s="1"/>
  <c r="M152" i="14"/>
  <c r="S152" i="14" s="1"/>
  <c r="M31" i="14"/>
  <c r="S31" i="14" s="1"/>
  <c r="M39" i="14"/>
  <c r="S39" i="14" s="1"/>
  <c r="M240" i="14"/>
  <c r="S240" i="14" s="1"/>
  <c r="M177" i="14"/>
  <c r="S177" i="14" s="1"/>
  <c r="M135" i="14"/>
  <c r="S135" i="14" s="1"/>
  <c r="M157" i="14"/>
  <c r="S157" i="14" s="1"/>
  <c r="M66" i="14"/>
  <c r="S66" i="14" s="1"/>
  <c r="M144" i="14"/>
  <c r="S144" i="14" s="1"/>
  <c r="M186" i="14"/>
  <c r="S186" i="14" s="1"/>
  <c r="M64" i="14"/>
  <c r="S64" i="14" s="1"/>
  <c r="M8" i="14"/>
  <c r="M108" i="14"/>
  <c r="S108" i="14" s="1"/>
  <c r="M69" i="14"/>
  <c r="S69" i="14" s="1"/>
  <c r="M129" i="14"/>
  <c r="S129" i="14" s="1"/>
  <c r="M151" i="14"/>
  <c r="M109" i="14"/>
  <c r="S109" i="14" s="1"/>
  <c r="M130" i="14"/>
  <c r="S130" i="14" s="1"/>
  <c r="M114" i="14"/>
  <c r="S114" i="14" s="1"/>
  <c r="M222" i="14"/>
  <c r="M46" i="14"/>
  <c r="S46" i="14" s="1"/>
  <c r="M242" i="14"/>
  <c r="S242" i="14" s="1"/>
  <c r="M213" i="14"/>
  <c r="S213" i="14" s="1"/>
  <c r="M70" i="14"/>
  <c r="S70" i="14" s="1"/>
  <c r="M247" i="14"/>
  <c r="S247" i="14" s="1"/>
  <c r="M34" i="14"/>
  <c r="S34" i="14" s="1"/>
  <c r="M107" i="14"/>
  <c r="S107" i="14" s="1"/>
  <c r="M62" i="14"/>
  <c r="S62" i="14" s="1"/>
  <c r="M91" i="14"/>
  <c r="S91" i="14" s="1"/>
  <c r="M137" i="14"/>
  <c r="S137" i="14" s="1"/>
  <c r="M181" i="14"/>
  <c r="S181" i="14" s="1"/>
  <c r="M25" i="14"/>
  <c r="M215" i="14"/>
  <c r="S215" i="14" s="1"/>
  <c r="M139" i="14"/>
  <c r="S139" i="14" s="1"/>
  <c r="M72" i="14"/>
  <c r="S72" i="14" s="1"/>
  <c r="M194" i="14"/>
  <c r="S194" i="14" s="1"/>
  <c r="M233" i="14"/>
  <c r="S233" i="14" s="1"/>
  <c r="M35" i="14"/>
  <c r="S35" i="14" s="1"/>
  <c r="M122" i="14"/>
  <c r="S122" i="14" s="1"/>
  <c r="M44" i="14"/>
  <c r="S44" i="14" s="1"/>
  <c r="M183" i="14"/>
  <c r="S183" i="14" s="1"/>
  <c r="M141" i="14"/>
  <c r="S141" i="14" s="1"/>
  <c r="M18" i="14"/>
  <c r="M230" i="14"/>
  <c r="S230" i="14" s="1"/>
  <c r="M54" i="14"/>
  <c r="S54" i="14" s="1"/>
  <c r="M16" i="14"/>
  <c r="S16" i="14" s="1"/>
  <c r="M10" i="14"/>
  <c r="S10" i="14" s="1"/>
  <c r="M154" i="14"/>
  <c r="S154" i="14" s="1"/>
  <c r="M111" i="14"/>
  <c r="S111" i="14" s="1"/>
  <c r="M201" i="14"/>
  <c r="S201" i="14" s="1"/>
  <c r="M191" i="14"/>
  <c r="M245" i="14"/>
  <c r="S245" i="14" s="1"/>
  <c r="M170" i="14"/>
  <c r="S170" i="14" s="1"/>
  <c r="M234" i="14"/>
  <c r="S234" i="14" s="1"/>
  <c r="M5" i="14"/>
  <c r="S5" i="14" s="1"/>
  <c r="M43" i="14"/>
  <c r="S43" i="14" s="1"/>
  <c r="M228" i="14"/>
  <c r="S228" i="14" s="1"/>
  <c r="M218" i="14"/>
  <c r="S218" i="14" s="1"/>
  <c r="M134" i="14"/>
  <c r="S134" i="14" s="1"/>
  <c r="N201" i="14"/>
  <c r="T201" i="14" s="1"/>
  <c r="N207" i="14"/>
  <c r="T207" i="14" s="1"/>
  <c r="N171" i="14"/>
  <c r="T171" i="14" s="1"/>
  <c r="N76" i="14"/>
  <c r="T76" i="14" s="1"/>
  <c r="N54" i="14"/>
  <c r="T54" i="14" s="1"/>
  <c r="N108" i="14"/>
  <c r="T108" i="14" s="1"/>
  <c r="N88" i="14"/>
  <c r="T88" i="14" s="1"/>
  <c r="N62" i="14"/>
  <c r="T62" i="14" s="1"/>
  <c r="N27" i="14"/>
  <c r="T27" i="14" s="1"/>
  <c r="N69" i="14"/>
  <c r="T69" i="14" s="1"/>
  <c r="N13" i="14"/>
  <c r="T13" i="14" s="1"/>
  <c r="N58" i="14"/>
  <c r="T58" i="14" s="1"/>
  <c r="N63" i="14"/>
  <c r="T63" i="14" s="1"/>
  <c r="N123" i="14"/>
  <c r="T123" i="14" s="1"/>
  <c r="N244" i="14"/>
  <c r="T244" i="14" s="1"/>
  <c r="N247" i="14"/>
  <c r="T247" i="14" s="1"/>
  <c r="N212" i="14"/>
  <c r="T212" i="14" s="1"/>
  <c r="N32" i="14"/>
  <c r="T32" i="14" s="1"/>
  <c r="N35" i="14"/>
  <c r="T35" i="14" s="1"/>
  <c r="N213" i="14"/>
  <c r="T213" i="14" s="1"/>
  <c r="N200" i="14"/>
  <c r="T200" i="14" s="1"/>
  <c r="N237" i="14"/>
  <c r="T237" i="14" s="1"/>
  <c r="N12" i="14"/>
  <c r="T12" i="14" s="1"/>
  <c r="N31" i="14"/>
  <c r="T31" i="14" s="1"/>
  <c r="N29" i="14"/>
  <c r="T29" i="14" s="1"/>
  <c r="N188" i="14"/>
  <c r="T188" i="14" s="1"/>
  <c r="N179" i="14"/>
  <c r="T179" i="14" s="1"/>
  <c r="N144" i="14"/>
  <c r="T144" i="14" s="1"/>
  <c r="N150" i="14"/>
  <c r="T150" i="14" s="1"/>
  <c r="N210" i="14"/>
  <c r="T210" i="14" s="1"/>
  <c r="N156" i="14"/>
  <c r="T156" i="14" s="1"/>
  <c r="N78" i="14"/>
  <c r="T78" i="14" s="1"/>
  <c r="N143" i="14"/>
  <c r="T143" i="14" s="1"/>
  <c r="N107" i="14"/>
  <c r="T107" i="14" s="1"/>
  <c r="N125" i="14"/>
  <c r="T125" i="14" s="1"/>
  <c r="N238" i="14"/>
  <c r="T238" i="14" s="1"/>
  <c r="N161" i="14"/>
  <c r="T161" i="14" s="1"/>
  <c r="N135" i="14"/>
  <c r="T135" i="14" s="1"/>
  <c r="N11" i="14"/>
  <c r="T11" i="14" s="1"/>
  <c r="N60" i="14"/>
  <c r="T60" i="14" s="1"/>
  <c r="N15" i="14"/>
  <c r="T15" i="14" s="1"/>
  <c r="N127" i="14"/>
  <c r="T127" i="14" s="1"/>
  <c r="N59" i="14"/>
  <c r="T59" i="14" s="1"/>
  <c r="N124" i="14"/>
  <c r="T124" i="14" s="1"/>
  <c r="N73" i="14"/>
  <c r="T73" i="14" s="1"/>
  <c r="N79" i="14"/>
  <c r="T79" i="14" s="1"/>
  <c r="N51" i="14"/>
  <c r="T51" i="14" s="1"/>
  <c r="N205" i="14"/>
  <c r="T205" i="14" s="1"/>
  <c r="N151" i="14"/>
  <c r="T151" i="14" s="1"/>
  <c r="N225" i="14"/>
  <c r="T225" i="14" s="1"/>
  <c r="N199" i="14"/>
  <c r="T199" i="14" s="1"/>
  <c r="N195" i="14"/>
  <c r="T195" i="14" s="1"/>
  <c r="N181" i="14"/>
  <c r="T181" i="14" s="1"/>
  <c r="N93" i="14"/>
  <c r="T93" i="14" s="1"/>
  <c r="N106" i="14"/>
  <c r="T106" i="14" s="1"/>
  <c r="N176" i="14"/>
  <c r="T176" i="14" s="1"/>
  <c r="N182" i="14"/>
  <c r="T182" i="14" s="1"/>
  <c r="N242" i="14"/>
  <c r="T242" i="14" s="1"/>
  <c r="N48" i="14"/>
  <c r="T48" i="14" s="1"/>
  <c r="N174" i="14"/>
  <c r="T174" i="14" s="1"/>
  <c r="N169" i="14"/>
  <c r="T169" i="14" s="1"/>
  <c r="N175" i="14"/>
  <c r="T175" i="14" s="1"/>
  <c r="N139" i="14"/>
  <c r="T139" i="14" s="1"/>
  <c r="N77" i="14"/>
  <c r="T77" i="14" s="1"/>
  <c r="N57" i="14"/>
  <c r="T57" i="14" s="1"/>
  <c r="N193" i="14"/>
  <c r="T193" i="14" s="1"/>
  <c r="N167" i="14"/>
  <c r="T167" i="14" s="1"/>
  <c r="N163" i="14"/>
  <c r="T163" i="14" s="1"/>
  <c r="N56" i="14"/>
  <c r="T56" i="14" s="1"/>
  <c r="N84" i="14"/>
  <c r="T84" i="14" s="1"/>
  <c r="N7" i="14"/>
  <c r="T7" i="14" s="1"/>
  <c r="N19" i="14"/>
  <c r="T19" i="14" s="1"/>
  <c r="N25" i="14"/>
  <c r="T25" i="14" s="1"/>
  <c r="N82" i="14"/>
  <c r="T82" i="14" s="1"/>
  <c r="N23" i="14"/>
  <c r="T23" i="14" s="1"/>
  <c r="N170" i="14"/>
  <c r="T170" i="14" s="1"/>
  <c r="N137" i="14"/>
  <c r="T137" i="14" s="1"/>
  <c r="N22" i="14"/>
  <c r="T22" i="14" s="1"/>
  <c r="N226" i="14"/>
  <c r="T226" i="14" s="1"/>
  <c r="N196" i="14"/>
  <c r="T196" i="14" s="1"/>
  <c r="N147" i="14"/>
  <c r="T147" i="14" s="1"/>
  <c r="N26" i="14"/>
  <c r="T26" i="14" s="1"/>
  <c r="N16" i="14"/>
  <c r="T16" i="14" s="1"/>
  <c r="N122" i="14"/>
  <c r="T122" i="14" s="1"/>
  <c r="N136" i="14"/>
  <c r="T136" i="14" s="1"/>
  <c r="N121" i="14"/>
  <c r="T121" i="14" s="1"/>
  <c r="N246" i="14"/>
  <c r="T246" i="14" s="1"/>
  <c r="N178" i="14"/>
  <c r="T178" i="14" s="1"/>
  <c r="N30" i="14"/>
  <c r="T30" i="14" s="1"/>
  <c r="N243" i="14"/>
  <c r="T243" i="14" s="1"/>
  <c r="N233" i="14"/>
  <c r="T233" i="14" s="1"/>
  <c r="N239" i="14"/>
  <c r="T239" i="14" s="1"/>
  <c r="N203" i="14"/>
  <c r="T203" i="14" s="1"/>
  <c r="N204" i="14"/>
  <c r="T204" i="14" s="1"/>
  <c r="N145" i="14"/>
  <c r="T145" i="14" s="1"/>
  <c r="N129" i="14"/>
  <c r="T129" i="14" s="1"/>
  <c r="N103" i="14"/>
  <c r="T103" i="14" s="1"/>
  <c r="N99" i="14"/>
  <c r="T99" i="14" s="1"/>
  <c r="N52" i="14"/>
  <c r="T52" i="14" s="1"/>
  <c r="N110" i="14"/>
  <c r="T110" i="14" s="1"/>
  <c r="N208" i="14"/>
  <c r="T208" i="14" s="1"/>
  <c r="N214" i="14"/>
  <c r="T214" i="14" s="1"/>
  <c r="N146" i="14"/>
  <c r="T146" i="14" s="1"/>
  <c r="N165" i="14"/>
  <c r="T165" i="14" s="1"/>
  <c r="N43" i="14"/>
  <c r="T43" i="14" s="1"/>
  <c r="H84" i="14"/>
  <c r="N192" i="14"/>
  <c r="T192" i="14" s="1"/>
  <c r="N198" i="14"/>
  <c r="T198" i="14" s="1"/>
  <c r="N162" i="14"/>
  <c r="T162" i="14" s="1"/>
  <c r="N229" i="14"/>
  <c r="T229" i="14" s="1"/>
  <c r="N97" i="14"/>
  <c r="T97" i="14" s="1"/>
  <c r="N71" i="14"/>
  <c r="T71" i="14" s="1"/>
  <c r="N67" i="14"/>
  <c r="T67" i="14" s="1"/>
  <c r="N81" i="14"/>
  <c r="T81" i="14" s="1"/>
  <c r="N42" i="14"/>
  <c r="T42" i="14" s="1"/>
  <c r="N8" i="14"/>
  <c r="T8" i="14" s="1"/>
  <c r="N10" i="14"/>
  <c r="T10" i="14" s="1"/>
  <c r="N50" i="14"/>
  <c r="T50" i="14" s="1"/>
  <c r="N18" i="14"/>
  <c r="T18" i="14" s="1"/>
  <c r="N211" i="14"/>
  <c r="T211" i="14" s="1"/>
  <c r="N65" i="14"/>
  <c r="T65" i="14" s="1"/>
  <c r="N47" i="14"/>
  <c r="T47" i="14" s="1"/>
  <c r="N232" i="14"/>
  <c r="T232" i="14" s="1"/>
  <c r="N153" i="14"/>
  <c r="T153" i="14" s="1"/>
  <c r="N219" i="14"/>
  <c r="T219" i="14" s="1"/>
  <c r="N41" i="14"/>
  <c r="T41" i="14" s="1"/>
  <c r="N236" i="14"/>
  <c r="T236" i="14" s="1"/>
  <c r="N17" i="14"/>
  <c r="T17" i="14" s="1"/>
  <c r="N98" i="14"/>
  <c r="T98" i="14" s="1"/>
  <c r="N220" i="14"/>
  <c r="T220" i="14" s="1"/>
  <c r="N152" i="14"/>
  <c r="T152" i="14" s="1"/>
  <c r="N126" i="14"/>
  <c r="T126" i="14" s="1"/>
  <c r="N206" i="14"/>
  <c r="T206" i="14" s="1"/>
  <c r="N240" i="14"/>
  <c r="T240" i="14" s="1"/>
  <c r="N44" i="14"/>
  <c r="T44" i="14" s="1"/>
  <c r="N74" i="14"/>
  <c r="T74" i="14" s="1"/>
  <c r="N105" i="14"/>
  <c r="T105" i="14" s="1"/>
  <c r="N75" i="14"/>
  <c r="T75" i="14" s="1"/>
  <c r="N116" i="14"/>
  <c r="T116" i="14" s="1"/>
  <c r="N5" i="14"/>
  <c r="T5" i="14" s="1"/>
  <c r="N218" i="14"/>
  <c r="T218" i="14" s="1"/>
  <c r="N197" i="14"/>
  <c r="T197" i="14" s="1"/>
  <c r="N80" i="14"/>
  <c r="T80" i="14" s="1"/>
  <c r="N21" i="14"/>
  <c r="T21" i="14" s="1"/>
  <c r="N221" i="14"/>
  <c r="T221" i="14" s="1"/>
  <c r="N140" i="14"/>
  <c r="T140" i="14" s="1"/>
  <c r="N180" i="14"/>
  <c r="T180" i="14" s="1"/>
  <c r="N224" i="14"/>
  <c r="T224" i="14" s="1"/>
  <c r="N194" i="14"/>
  <c r="T194" i="14" s="1"/>
  <c r="N83" i="14"/>
  <c r="T83" i="14" s="1"/>
  <c r="N94" i="14"/>
  <c r="T94" i="14" s="1"/>
  <c r="N177" i="14"/>
  <c r="T177" i="14" s="1"/>
  <c r="N223" i="14"/>
  <c r="T223" i="14" s="1"/>
  <c r="N9" i="14"/>
  <c r="T9" i="14" s="1"/>
  <c r="N109" i="14"/>
  <c r="T109" i="14" s="1"/>
  <c r="N87" i="14"/>
  <c r="T87" i="14" s="1"/>
  <c r="N40" i="14"/>
  <c r="T40" i="14" s="1"/>
  <c r="N61" i="14"/>
  <c r="T61" i="14" s="1"/>
  <c r="N228" i="14"/>
  <c r="T228" i="14" s="1"/>
  <c r="N114" i="14"/>
  <c r="T114" i="14" s="1"/>
  <c r="N39" i="14"/>
  <c r="T39" i="14" s="1"/>
  <c r="N53" i="14"/>
  <c r="T53" i="14" s="1"/>
  <c r="N101" i="14"/>
  <c r="T101" i="14" s="1"/>
  <c r="N49" i="14"/>
  <c r="T49" i="14" s="1"/>
  <c r="N46" i="14"/>
  <c r="T46" i="14" s="1"/>
  <c r="N159" i="14"/>
  <c r="T159" i="14" s="1"/>
  <c r="N24" i="14"/>
  <c r="T24" i="14" s="1"/>
  <c r="N134" i="14"/>
  <c r="T134" i="14" s="1"/>
  <c r="N37" i="14"/>
  <c r="T37" i="14" s="1"/>
  <c r="N172" i="14"/>
  <c r="T172" i="14" s="1"/>
  <c r="N118" i="14"/>
  <c r="T118" i="14" s="1"/>
  <c r="N241" i="14"/>
  <c r="T241" i="14" s="1"/>
  <c r="N111" i="14"/>
  <c r="T111" i="14" s="1"/>
  <c r="N142" i="14"/>
  <c r="T142" i="14" s="1"/>
  <c r="N222" i="14"/>
  <c r="T222" i="14" s="1"/>
  <c r="N202" i="14"/>
  <c r="T202" i="14" s="1"/>
  <c r="N86" i="14"/>
  <c r="T86" i="14" s="1"/>
  <c r="N115" i="14"/>
  <c r="T115" i="14" s="1"/>
  <c r="N168" i="14"/>
  <c r="T168" i="14" s="1"/>
  <c r="N230" i="14"/>
  <c r="T230" i="14" s="1"/>
  <c r="N68" i="14"/>
  <c r="T68" i="14" s="1"/>
  <c r="N120" i="14"/>
  <c r="T120" i="14" s="1"/>
  <c r="N90" i="14"/>
  <c r="T90" i="14" s="1"/>
  <c r="N217" i="14"/>
  <c r="T217" i="14" s="1"/>
  <c r="N155" i="14"/>
  <c r="T155" i="14" s="1"/>
  <c r="N209" i="14"/>
  <c r="T209" i="14" s="1"/>
  <c r="N20" i="14"/>
  <c r="T20" i="14" s="1"/>
  <c r="N64" i="14"/>
  <c r="T64" i="14" s="1"/>
  <c r="N70" i="14"/>
  <c r="T70" i="14" s="1"/>
  <c r="N33" i="14"/>
  <c r="T33" i="14" s="1"/>
  <c r="N157" i="14"/>
  <c r="T157" i="14" s="1"/>
  <c r="N234" i="14"/>
  <c r="T234" i="14" s="1"/>
  <c r="N216" i="14"/>
  <c r="T216" i="14" s="1"/>
  <c r="N190" i="14"/>
  <c r="T190" i="14" s="1"/>
  <c r="N186" i="14"/>
  <c r="T186" i="14" s="1"/>
  <c r="N164" i="14"/>
  <c r="T164" i="14" s="1"/>
  <c r="N215" i="14"/>
  <c r="T215" i="14" s="1"/>
  <c r="N185" i="14"/>
  <c r="T185" i="14" s="1"/>
  <c r="N191" i="14"/>
  <c r="T191" i="14" s="1"/>
  <c r="N149" i="14"/>
  <c r="T149" i="14" s="1"/>
  <c r="N113" i="14"/>
  <c r="T113" i="14" s="1"/>
  <c r="N245" i="14"/>
  <c r="T245" i="14" s="1"/>
  <c r="N160" i="14"/>
  <c r="T160" i="14" s="1"/>
  <c r="N166" i="14"/>
  <c r="T166" i="14" s="1"/>
  <c r="N130" i="14"/>
  <c r="T130" i="14" s="1"/>
  <c r="N148" i="14"/>
  <c r="T148" i="14" s="1"/>
  <c r="N138" i="14"/>
  <c r="T138" i="14" s="1"/>
  <c r="N184" i="14"/>
  <c r="T184" i="14" s="1"/>
  <c r="N158" i="14"/>
  <c r="T158" i="14" s="1"/>
  <c r="N154" i="14"/>
  <c r="T154" i="14" s="1"/>
  <c r="N34" i="14"/>
  <c r="T34" i="14" s="1"/>
  <c r="N119" i="14"/>
  <c r="T119" i="14" s="1"/>
  <c r="N45" i="14"/>
  <c r="T45" i="14" s="1"/>
  <c r="N14" i="14"/>
  <c r="T14" i="14" s="1"/>
  <c r="N91" i="14"/>
  <c r="T91" i="14" s="1"/>
  <c r="N141" i="14"/>
  <c r="T141" i="14" s="1"/>
  <c r="N183" i="14"/>
  <c r="T183" i="14" s="1"/>
  <c r="N133" i="14"/>
  <c r="T133" i="14" s="1"/>
  <c r="N128" i="14"/>
  <c r="T128" i="14" s="1"/>
  <c r="N235" i="14"/>
  <c r="T235" i="14" s="1"/>
  <c r="N85" i="14"/>
  <c r="T85" i="14" s="1"/>
  <c r="N104" i="14"/>
  <c r="T104" i="14" s="1"/>
  <c r="N100" i="14"/>
  <c r="T100" i="14" s="1"/>
  <c r="N28" i="14"/>
  <c r="T28" i="14" s="1"/>
  <c r="N131" i="14"/>
  <c r="T131" i="14" s="1"/>
  <c r="N173" i="14"/>
  <c r="T173" i="14" s="1"/>
  <c r="N55" i="14"/>
  <c r="T55" i="14" s="1"/>
  <c r="N112" i="14"/>
  <c r="T112" i="14" s="1"/>
  <c r="N187" i="14"/>
  <c r="T187" i="14" s="1"/>
  <c r="N96" i="14"/>
  <c r="T96" i="14" s="1"/>
  <c r="N117" i="14"/>
  <c r="T117" i="14" s="1"/>
  <c r="N36" i="14"/>
  <c r="T36" i="14" s="1"/>
  <c r="N132" i="14"/>
  <c r="T132" i="14" s="1"/>
  <c r="N38" i="14"/>
  <c r="T38" i="14" s="1"/>
  <c r="N102" i="14"/>
  <c r="T102" i="14" s="1"/>
  <c r="N231" i="14"/>
  <c r="T231" i="14" s="1"/>
  <c r="N89" i="14"/>
  <c r="T89" i="14" s="1"/>
  <c r="N72" i="14"/>
  <c r="T72" i="14" s="1"/>
  <c r="N66" i="14"/>
  <c r="T66" i="14" s="1"/>
  <c r="N227" i="14"/>
  <c r="T227" i="14" s="1"/>
  <c r="N95" i="14"/>
  <c r="T95" i="14" s="1"/>
  <c r="N189" i="14"/>
  <c r="T189" i="14" s="1"/>
  <c r="N92" i="14"/>
  <c r="T92" i="14" s="1"/>
  <c r="N6" i="14"/>
  <c r="T6" i="14" s="1"/>
  <c r="H181" i="14"/>
  <c r="E74" i="14" l="1"/>
  <c r="E189" i="14"/>
  <c r="E35" i="14"/>
  <c r="E33" i="14"/>
  <c r="E192" i="14"/>
  <c r="E213" i="14"/>
  <c r="E110" i="14"/>
  <c r="E130" i="14"/>
  <c r="E76" i="14"/>
  <c r="E105" i="14"/>
  <c r="E131" i="14"/>
  <c r="E196" i="14"/>
  <c r="I141" i="14"/>
  <c r="E210" i="14"/>
  <c r="E146" i="14"/>
  <c r="E113" i="14"/>
  <c r="E122" i="14"/>
  <c r="G9" i="14"/>
  <c r="G245" i="14"/>
  <c r="G37" i="14"/>
  <c r="G131" i="14"/>
  <c r="G167" i="14"/>
  <c r="G224" i="14"/>
  <c r="G115" i="14"/>
  <c r="G123" i="14"/>
  <c r="G58" i="14"/>
  <c r="I121" i="14"/>
  <c r="I40" i="14"/>
  <c r="I187" i="14"/>
  <c r="I63" i="14"/>
  <c r="F230" i="14"/>
  <c r="F6" i="14"/>
  <c r="E99" i="14"/>
  <c r="E53" i="14"/>
  <c r="E181" i="14"/>
  <c r="E173" i="14"/>
  <c r="E218" i="14"/>
  <c r="E124" i="14"/>
  <c r="E160" i="14"/>
  <c r="E129" i="14"/>
  <c r="E63" i="14"/>
  <c r="E191" i="14"/>
  <c r="E120" i="14"/>
  <c r="H91" i="14"/>
  <c r="H126" i="14"/>
  <c r="H211" i="14"/>
  <c r="G111" i="14"/>
  <c r="H71" i="14"/>
  <c r="H124" i="14"/>
  <c r="H36" i="14"/>
  <c r="F140" i="14"/>
  <c r="H231" i="14"/>
  <c r="F47" i="14"/>
  <c r="H149" i="14"/>
  <c r="G11" i="14"/>
  <c r="G93" i="14"/>
  <c r="G98" i="14"/>
  <c r="G22" i="14"/>
  <c r="F226" i="14"/>
  <c r="F210" i="14"/>
  <c r="H141" i="14"/>
  <c r="G144" i="14"/>
  <c r="G158" i="14"/>
  <c r="F29" i="14"/>
  <c r="F107" i="14"/>
  <c r="F82" i="14"/>
  <c r="G105" i="14"/>
  <c r="G196" i="14"/>
  <c r="G15" i="14"/>
  <c r="F136" i="14"/>
  <c r="G235" i="14"/>
  <c r="G199" i="14"/>
  <c r="G77" i="14"/>
  <c r="I239" i="14"/>
  <c r="E175" i="14"/>
  <c r="E12" i="14"/>
  <c r="E11" i="14"/>
  <c r="E237" i="14"/>
  <c r="E156" i="14"/>
  <c r="G96" i="14"/>
  <c r="G13" i="14"/>
  <c r="G136" i="14"/>
  <c r="I154" i="14"/>
  <c r="G43" i="14"/>
  <c r="I129" i="14"/>
  <c r="I89" i="14"/>
  <c r="H102" i="14"/>
  <c r="H161" i="14"/>
  <c r="I237" i="14"/>
  <c r="I219" i="14"/>
  <c r="I231" i="14"/>
  <c r="H155" i="14"/>
  <c r="I12" i="14"/>
  <c r="G78" i="14"/>
  <c r="H30" i="14"/>
  <c r="H201" i="14"/>
  <c r="H15" i="14"/>
  <c r="G91" i="14"/>
  <c r="H228" i="14"/>
  <c r="I170" i="14"/>
  <c r="I46" i="14"/>
  <c r="I23" i="14"/>
  <c r="I50" i="14"/>
  <c r="I151" i="14"/>
  <c r="F60" i="14"/>
  <c r="H145" i="14"/>
  <c r="H97" i="14"/>
  <c r="G66" i="14"/>
  <c r="I116" i="14"/>
  <c r="I45" i="14"/>
  <c r="I85" i="14"/>
  <c r="I11" i="14"/>
  <c r="I178" i="14"/>
  <c r="I186" i="14"/>
  <c r="F148" i="14"/>
  <c r="I142" i="14"/>
  <c r="I215" i="14"/>
  <c r="G26" i="14"/>
  <c r="I60" i="14"/>
  <c r="I65" i="14"/>
  <c r="I88" i="14"/>
  <c r="I180" i="14"/>
  <c r="I162" i="14"/>
  <c r="F85" i="14"/>
  <c r="I242" i="14"/>
  <c r="I92" i="14"/>
  <c r="F239" i="14"/>
  <c r="F94" i="14"/>
  <c r="F162" i="14"/>
  <c r="F232" i="14"/>
  <c r="H87" i="14"/>
  <c r="H110" i="14"/>
  <c r="H176" i="14"/>
  <c r="H195" i="14"/>
  <c r="H112" i="14"/>
  <c r="H153" i="14"/>
  <c r="H198" i="14"/>
  <c r="G155" i="14"/>
  <c r="G160" i="14"/>
  <c r="I7" i="14"/>
  <c r="I182" i="14"/>
  <c r="I200" i="14"/>
  <c r="I164" i="14"/>
  <c r="I47" i="14"/>
  <c r="I52" i="14"/>
  <c r="F69" i="14"/>
  <c r="F62" i="14"/>
  <c r="F7" i="14"/>
  <c r="F183" i="14"/>
  <c r="F138" i="14"/>
  <c r="F50" i="14"/>
  <c r="H122" i="14"/>
  <c r="H49" i="14"/>
  <c r="H238" i="14"/>
  <c r="H8" i="14"/>
  <c r="H19" i="14"/>
  <c r="H100" i="14"/>
  <c r="H217" i="14"/>
  <c r="H118" i="14"/>
  <c r="H205" i="14"/>
  <c r="H35" i="14"/>
  <c r="H6" i="14"/>
  <c r="H165" i="14"/>
  <c r="H166" i="14"/>
  <c r="H192" i="14"/>
  <c r="H34" i="14"/>
  <c r="H60" i="14"/>
  <c r="G118" i="14"/>
  <c r="I225" i="14"/>
  <c r="I210" i="14"/>
  <c r="I171" i="14"/>
  <c r="I152" i="14"/>
  <c r="I119" i="14"/>
  <c r="I76" i="14"/>
  <c r="F149" i="14"/>
  <c r="F86" i="14"/>
  <c r="F5" i="14"/>
  <c r="F134" i="14"/>
  <c r="F245" i="14"/>
  <c r="F81" i="14"/>
  <c r="F9" i="14"/>
  <c r="G126" i="14"/>
  <c r="F13" i="14"/>
  <c r="F127" i="14"/>
  <c r="I240" i="14"/>
  <c r="I27" i="14"/>
  <c r="H21" i="14"/>
  <c r="H227" i="14"/>
  <c r="H187" i="14"/>
  <c r="H5" i="14"/>
  <c r="H144" i="14"/>
  <c r="H170" i="14"/>
  <c r="H31" i="14"/>
  <c r="H196" i="14"/>
  <c r="H114" i="14"/>
  <c r="H163" i="14"/>
  <c r="H162" i="14"/>
  <c r="H119" i="14"/>
  <c r="H64" i="14"/>
  <c r="H224" i="14"/>
  <c r="H235" i="14"/>
  <c r="G173" i="14"/>
  <c r="G67" i="14"/>
  <c r="G73" i="14"/>
  <c r="G169" i="14"/>
  <c r="G12" i="14"/>
  <c r="G202" i="14"/>
  <c r="I196" i="14"/>
  <c r="I202" i="14"/>
  <c r="I68" i="14"/>
  <c r="I59" i="14"/>
  <c r="I150" i="14"/>
  <c r="I139" i="14"/>
  <c r="I192" i="14"/>
  <c r="F30" i="14"/>
  <c r="F61" i="14"/>
  <c r="F95" i="14"/>
  <c r="F45" i="14"/>
  <c r="F125" i="14"/>
  <c r="F166" i="14"/>
  <c r="I194" i="14"/>
  <c r="H77" i="14"/>
  <c r="H202" i="14"/>
  <c r="H174" i="14"/>
  <c r="H164" i="14"/>
  <c r="H129" i="14"/>
  <c r="H178" i="14"/>
  <c r="H17" i="14"/>
  <c r="H177" i="14"/>
  <c r="H239" i="14"/>
  <c r="H27" i="14"/>
  <c r="H74" i="14"/>
  <c r="H134" i="14"/>
  <c r="H230" i="14"/>
  <c r="H241" i="14"/>
  <c r="H234" i="14"/>
  <c r="G16" i="14"/>
  <c r="G30" i="14"/>
  <c r="G27" i="14"/>
  <c r="G20" i="14"/>
  <c r="G220" i="14"/>
  <c r="G205" i="14"/>
  <c r="G227" i="14"/>
  <c r="G168" i="14"/>
  <c r="I137" i="14"/>
  <c r="I43" i="14"/>
  <c r="I79" i="14"/>
  <c r="I99" i="14"/>
  <c r="I234" i="14"/>
  <c r="I207" i="14"/>
  <c r="I236" i="14"/>
  <c r="F72" i="14"/>
  <c r="F102" i="14"/>
  <c r="F27" i="14"/>
  <c r="F184" i="14"/>
  <c r="F115" i="14"/>
  <c r="E82" i="14"/>
  <c r="E16" i="14"/>
  <c r="H61" i="14"/>
  <c r="G127" i="14"/>
  <c r="G147" i="14"/>
  <c r="I114" i="14"/>
  <c r="I93" i="14"/>
  <c r="I245" i="14"/>
  <c r="F197" i="14"/>
  <c r="F214" i="14"/>
  <c r="E108" i="14"/>
  <c r="H175" i="14"/>
  <c r="G44" i="14"/>
  <c r="G194" i="14"/>
  <c r="G75" i="14"/>
  <c r="I173" i="14"/>
  <c r="I61" i="14"/>
  <c r="F198" i="14"/>
  <c r="F201" i="14"/>
  <c r="F158" i="14"/>
  <c r="F58" i="14"/>
  <c r="F186" i="14"/>
  <c r="E104" i="14"/>
  <c r="H69" i="14"/>
  <c r="H172" i="14"/>
  <c r="H115" i="14"/>
  <c r="H130" i="14"/>
  <c r="G195" i="14"/>
  <c r="G154" i="14"/>
  <c r="G216" i="14"/>
  <c r="I29" i="14"/>
  <c r="I8" i="14"/>
  <c r="F154" i="14"/>
  <c r="F156" i="14"/>
  <c r="E81" i="14"/>
  <c r="G130" i="14"/>
  <c r="G121" i="14"/>
  <c r="I86" i="14"/>
  <c r="I6" i="14"/>
  <c r="F34" i="14"/>
  <c r="F221" i="14"/>
  <c r="E41" i="14"/>
  <c r="E137" i="14"/>
  <c r="H210" i="14"/>
  <c r="H197" i="14"/>
  <c r="G128" i="14"/>
  <c r="G149" i="14"/>
  <c r="G186" i="14"/>
  <c r="G69" i="14"/>
  <c r="G203" i="14"/>
  <c r="I233" i="14"/>
  <c r="I73" i="14"/>
  <c r="I228" i="14"/>
  <c r="I212" i="14"/>
  <c r="F126" i="14"/>
  <c r="F241" i="14"/>
  <c r="H45" i="14"/>
  <c r="H56" i="14"/>
  <c r="H221" i="14"/>
  <c r="H132" i="14"/>
  <c r="H150" i="14"/>
  <c r="H93" i="14"/>
  <c r="G228" i="14"/>
  <c r="G201" i="14"/>
  <c r="G34" i="14"/>
  <c r="G214" i="14"/>
  <c r="G125" i="14"/>
  <c r="G150" i="14"/>
  <c r="G221" i="14"/>
  <c r="G35" i="14"/>
  <c r="G218" i="14"/>
  <c r="G135" i="14"/>
  <c r="G208" i="14"/>
  <c r="G38" i="14"/>
  <c r="G139" i="14"/>
  <c r="G6" i="14"/>
  <c r="G124" i="14"/>
  <c r="G90" i="14"/>
  <c r="G242" i="14"/>
  <c r="G19" i="14"/>
  <c r="G92" i="14"/>
  <c r="G80" i="14"/>
  <c r="I122" i="14"/>
  <c r="I24" i="14"/>
  <c r="I66" i="14"/>
  <c r="I199" i="14"/>
  <c r="I165" i="14"/>
  <c r="I74" i="14"/>
  <c r="I38" i="14"/>
  <c r="I87" i="14"/>
  <c r="I44" i="14"/>
  <c r="I221" i="14"/>
  <c r="I201" i="14"/>
  <c r="I230" i="14"/>
  <c r="F143" i="14"/>
  <c r="F144" i="14"/>
  <c r="F41" i="14"/>
  <c r="F112" i="14"/>
  <c r="F91" i="14"/>
  <c r="F96" i="14"/>
  <c r="F181" i="14"/>
  <c r="F109" i="14"/>
  <c r="F87" i="14"/>
  <c r="F191" i="14"/>
  <c r="F32" i="14"/>
  <c r="F152" i="14"/>
  <c r="F48" i="14"/>
  <c r="F21" i="14"/>
  <c r="F46" i="14"/>
  <c r="F153" i="14"/>
  <c r="F57" i="14"/>
  <c r="F16" i="14"/>
  <c r="E7" i="14"/>
  <c r="E22" i="14"/>
  <c r="E217" i="14"/>
  <c r="E103" i="14"/>
  <c r="E188" i="14"/>
  <c r="G31" i="14"/>
  <c r="G137" i="14"/>
  <c r="I238" i="14"/>
  <c r="I136" i="14"/>
  <c r="I91" i="14"/>
  <c r="F113" i="14"/>
  <c r="H140" i="14"/>
  <c r="H193" i="14"/>
  <c r="G243" i="14"/>
  <c r="G236" i="14"/>
  <c r="G94" i="14"/>
  <c r="G17" i="14"/>
  <c r="G86" i="14"/>
  <c r="G106" i="14"/>
  <c r="G234" i="14"/>
  <c r="G14" i="14"/>
  <c r="G188" i="14"/>
  <c r="G41" i="14"/>
  <c r="G239" i="14"/>
  <c r="G237" i="14"/>
  <c r="G88" i="14"/>
  <c r="G166" i="14"/>
  <c r="G141" i="14"/>
  <c r="G212" i="14"/>
  <c r="G163" i="14"/>
  <c r="G54" i="14"/>
  <c r="I146" i="14"/>
  <c r="I148" i="14"/>
  <c r="I58" i="14"/>
  <c r="I193" i="14"/>
  <c r="I232" i="14"/>
  <c r="I77" i="14"/>
  <c r="I96" i="14"/>
  <c r="I57" i="14"/>
  <c r="I53" i="14"/>
  <c r="I54" i="14"/>
  <c r="F137" i="14"/>
  <c r="F235" i="14"/>
  <c r="F231" i="14"/>
  <c r="F150" i="14"/>
  <c r="F187" i="14"/>
  <c r="F173" i="14"/>
  <c r="F229" i="14"/>
  <c r="F99" i="14"/>
  <c r="F44" i="14"/>
  <c r="F192" i="14"/>
  <c r="F101" i="14"/>
  <c r="F236" i="14"/>
  <c r="F73" i="14"/>
  <c r="F12" i="14"/>
  <c r="F129" i="14"/>
  <c r="F207" i="14"/>
  <c r="F164" i="14"/>
  <c r="E75" i="14"/>
  <c r="E154" i="14"/>
  <c r="E194" i="14"/>
  <c r="E48" i="14"/>
  <c r="E91" i="14"/>
  <c r="E187" i="14"/>
  <c r="E96" i="14"/>
  <c r="H111" i="14"/>
  <c r="H208" i="14"/>
  <c r="H70" i="14"/>
  <c r="H218" i="14"/>
  <c r="H29" i="14"/>
  <c r="H194" i="14"/>
  <c r="H98" i="14"/>
  <c r="H223" i="14"/>
  <c r="H182" i="14"/>
  <c r="H203" i="14"/>
  <c r="H136" i="14"/>
  <c r="H143" i="14"/>
  <c r="H54" i="14"/>
  <c r="H37" i="14"/>
  <c r="H10" i="14"/>
  <c r="G72" i="14"/>
  <c r="G230" i="14"/>
  <c r="G162" i="14"/>
  <c r="G85" i="14"/>
  <c r="I167" i="14"/>
  <c r="I243" i="14"/>
  <c r="I14" i="14"/>
  <c r="I176" i="14"/>
  <c r="I181" i="14"/>
  <c r="I158" i="14"/>
  <c r="I244" i="14"/>
  <c r="I33" i="14"/>
  <c r="I205" i="14"/>
  <c r="I103" i="14"/>
  <c r="I135" i="14"/>
  <c r="I70" i="14"/>
  <c r="I26" i="14"/>
  <c r="I82" i="14"/>
  <c r="I109" i="14"/>
  <c r="I211" i="14"/>
  <c r="I125" i="14"/>
  <c r="I18" i="14"/>
  <c r="I35" i="14"/>
  <c r="I112" i="14"/>
  <c r="F106" i="14"/>
  <c r="F105" i="14"/>
  <c r="F19" i="14"/>
  <c r="F39" i="14"/>
  <c r="F90" i="14"/>
  <c r="F132" i="14"/>
  <c r="F88" i="14"/>
  <c r="F234" i="14"/>
  <c r="F146" i="14"/>
  <c r="F151" i="14"/>
  <c r="F145" i="14"/>
  <c r="F123" i="14"/>
  <c r="F122" i="14"/>
  <c r="F246" i="14"/>
  <c r="F128" i="14"/>
  <c r="F20" i="14"/>
  <c r="F194" i="14"/>
  <c r="F142" i="14"/>
  <c r="E145" i="14"/>
  <c r="E140" i="14"/>
  <c r="E86" i="14"/>
  <c r="H85" i="14"/>
  <c r="H65" i="14"/>
  <c r="H215" i="14"/>
  <c r="H206" i="14"/>
  <c r="H95" i="14"/>
  <c r="H43" i="14"/>
  <c r="H137" i="14"/>
  <c r="H151" i="14"/>
  <c r="H57" i="14"/>
  <c r="H219" i="14"/>
  <c r="H73" i="14"/>
  <c r="H63" i="14"/>
  <c r="H212" i="14"/>
  <c r="G53" i="14"/>
  <c r="G122" i="14"/>
  <c r="I94" i="14"/>
  <c r="I10" i="14"/>
  <c r="I71" i="14"/>
  <c r="I80" i="14"/>
  <c r="I247" i="14"/>
  <c r="I97" i="14"/>
  <c r="I120" i="14"/>
  <c r="I169" i="14"/>
  <c r="I25" i="14"/>
  <c r="F42" i="14"/>
  <c r="F103" i="14"/>
  <c r="F26" i="14"/>
  <c r="F100" i="14"/>
  <c r="F40" i="14"/>
  <c r="F190" i="14"/>
  <c r="F56" i="14"/>
  <c r="F77" i="14"/>
  <c r="F14" i="14"/>
  <c r="F240" i="14"/>
  <c r="F205" i="14"/>
  <c r="F78" i="14"/>
  <c r="F28" i="14"/>
  <c r="F55" i="14"/>
  <c r="F215" i="14"/>
  <c r="E133" i="14"/>
  <c r="E23" i="14"/>
  <c r="E231" i="14"/>
  <c r="H169" i="14"/>
  <c r="H68" i="14"/>
  <c r="H46" i="14"/>
  <c r="H25" i="14"/>
  <c r="H200" i="14"/>
  <c r="H105" i="14"/>
  <c r="H113" i="14"/>
  <c r="H131" i="14"/>
  <c r="H39" i="14"/>
  <c r="H147" i="14"/>
  <c r="H86" i="14"/>
  <c r="H67" i="14"/>
  <c r="H103" i="14"/>
  <c r="G198" i="14"/>
  <c r="G99" i="14"/>
  <c r="G200" i="14"/>
  <c r="G219" i="14"/>
  <c r="I64" i="14"/>
  <c r="I138" i="14"/>
  <c r="I143" i="14"/>
  <c r="I75" i="14"/>
  <c r="I191" i="14"/>
  <c r="I83" i="14"/>
  <c r="I67" i="14"/>
  <c r="I21" i="14"/>
  <c r="F185" i="14"/>
  <c r="F180" i="14"/>
  <c r="F217" i="14"/>
  <c r="F80" i="14"/>
  <c r="F52" i="14"/>
  <c r="F10" i="14"/>
  <c r="F111" i="14"/>
  <c r="F188" i="14"/>
  <c r="F204" i="14"/>
  <c r="F104" i="14"/>
  <c r="F37" i="14"/>
  <c r="F244" i="14"/>
  <c r="F160" i="14"/>
  <c r="F243" i="14"/>
  <c r="F161" i="14"/>
  <c r="E62" i="14"/>
  <c r="E42" i="14"/>
  <c r="E182" i="14"/>
  <c r="E114" i="14"/>
  <c r="H214" i="14"/>
  <c r="H242" i="14"/>
  <c r="H33" i="14"/>
  <c r="H142" i="14"/>
  <c r="H41" i="14"/>
  <c r="H127" i="14"/>
  <c r="H225" i="14"/>
  <c r="H26" i="14"/>
  <c r="H240" i="14"/>
  <c r="H108" i="14"/>
  <c r="H53" i="14"/>
  <c r="H32" i="14"/>
  <c r="H204" i="14"/>
  <c r="G174" i="14"/>
  <c r="G48" i="14"/>
  <c r="G113" i="14"/>
  <c r="G103" i="14"/>
  <c r="G138" i="14"/>
  <c r="G5" i="14"/>
  <c r="G60" i="14"/>
  <c r="G209" i="14"/>
  <c r="G56" i="14"/>
  <c r="G231" i="14"/>
  <c r="G10" i="14"/>
  <c r="G223" i="14"/>
  <c r="I100" i="14"/>
  <c r="I218" i="14"/>
  <c r="I62" i="14"/>
  <c r="I184" i="14"/>
  <c r="I105" i="14"/>
  <c r="I227" i="14"/>
  <c r="I123" i="14"/>
  <c r="I223" i="14"/>
  <c r="I127" i="14"/>
  <c r="I168" i="14"/>
  <c r="I235" i="14"/>
  <c r="F216" i="14"/>
  <c r="F222" i="14"/>
  <c r="F202" i="14"/>
  <c r="E195" i="14"/>
  <c r="E153" i="14"/>
  <c r="E247" i="14"/>
  <c r="E31" i="14"/>
  <c r="E212" i="14"/>
  <c r="E89" i="14"/>
  <c r="E47" i="14"/>
  <c r="E65" i="14"/>
  <c r="E216" i="14"/>
  <c r="E101" i="14"/>
  <c r="E144" i="14"/>
  <c r="E92" i="14"/>
  <c r="E60" i="14"/>
  <c r="E177" i="14"/>
  <c r="E10" i="14"/>
  <c r="E219" i="14"/>
  <c r="H237" i="14"/>
  <c r="H83" i="14"/>
  <c r="H81" i="14"/>
  <c r="H99" i="14"/>
  <c r="H9" i="14"/>
  <c r="H75" i="14"/>
  <c r="H188" i="14"/>
  <c r="H22" i="14"/>
  <c r="H82" i="14"/>
  <c r="H173" i="14"/>
  <c r="H120" i="14"/>
  <c r="H89" i="14"/>
  <c r="H47" i="14"/>
  <c r="H50" i="14"/>
  <c r="G178" i="14"/>
  <c r="G49" i="14"/>
  <c r="G134" i="14"/>
  <c r="G28" i="14"/>
  <c r="G7" i="14"/>
  <c r="G156" i="14"/>
  <c r="G68" i="14"/>
  <c r="G33" i="14"/>
  <c r="G241" i="14"/>
  <c r="G71" i="14"/>
  <c r="G148" i="14"/>
  <c r="G157" i="14"/>
  <c r="G64" i="14"/>
  <c r="G114" i="14"/>
  <c r="G59" i="14"/>
  <c r="G79" i="14"/>
  <c r="G107" i="14"/>
  <c r="G119" i="14"/>
  <c r="G213" i="14"/>
  <c r="G29" i="14"/>
  <c r="I226" i="14"/>
  <c r="I49" i="14"/>
  <c r="I20" i="14"/>
  <c r="I5" i="14"/>
  <c r="I189" i="14"/>
  <c r="I204" i="14"/>
  <c r="I130" i="14"/>
  <c r="F119" i="14"/>
  <c r="F124" i="14"/>
  <c r="F155" i="14"/>
  <c r="F178" i="14"/>
  <c r="F177" i="14"/>
  <c r="E169" i="14"/>
  <c r="E186" i="14"/>
  <c r="E197" i="14"/>
  <c r="E157" i="14"/>
  <c r="E39" i="14"/>
  <c r="E51" i="14"/>
  <c r="E239" i="14"/>
  <c r="E94" i="14"/>
  <c r="E202" i="14"/>
  <c r="E116" i="14"/>
  <c r="E118" i="14"/>
  <c r="E64" i="14"/>
  <c r="E203" i="14"/>
  <c r="E127" i="14"/>
  <c r="H121" i="14"/>
  <c r="H243" i="14"/>
  <c r="H190" i="14"/>
  <c r="H209" i="14"/>
  <c r="H220" i="14"/>
  <c r="H135" i="14"/>
  <c r="H185" i="14"/>
  <c r="H159" i="14"/>
  <c r="H229" i="14"/>
  <c r="H123" i="14"/>
  <c r="H107" i="14"/>
  <c r="H79" i="14"/>
  <c r="H183" i="14"/>
  <c r="G129" i="14"/>
  <c r="G175" i="14"/>
  <c r="G172" i="14"/>
  <c r="G187" i="14"/>
  <c r="G153" i="14"/>
  <c r="G207" i="14"/>
  <c r="G63" i="14"/>
  <c r="G81" i="14"/>
  <c r="G120" i="14"/>
  <c r="G42" i="14"/>
  <c r="G39" i="14"/>
  <c r="G87" i="14"/>
  <c r="G190" i="14"/>
  <c r="G217" i="14"/>
  <c r="G181" i="14"/>
  <c r="G204" i="14"/>
  <c r="I39" i="14"/>
  <c r="I203" i="14"/>
  <c r="I34" i="14"/>
  <c r="I213" i="14"/>
  <c r="I16" i="14"/>
  <c r="F24" i="14"/>
  <c r="F167" i="14"/>
  <c r="F139" i="14"/>
  <c r="F218" i="14"/>
  <c r="F17" i="14"/>
  <c r="E240" i="14"/>
  <c r="E168" i="14"/>
  <c r="E159" i="14"/>
  <c r="E80" i="14"/>
  <c r="E117" i="14"/>
  <c r="E54" i="14"/>
  <c r="E58" i="14"/>
  <c r="E180" i="14"/>
  <c r="E178" i="14"/>
  <c r="E236" i="14"/>
  <c r="E184" i="14"/>
  <c r="E97" i="14"/>
  <c r="E109" i="14"/>
  <c r="H160" i="14"/>
  <c r="H128" i="14"/>
  <c r="H244" i="14"/>
  <c r="H12" i="14"/>
  <c r="H66" i="14"/>
  <c r="H158" i="14"/>
  <c r="G109" i="14"/>
  <c r="G232" i="14"/>
  <c r="G152" i="14"/>
  <c r="G84" i="14"/>
  <c r="G46" i="14"/>
  <c r="G83" i="14"/>
  <c r="G247" i="14"/>
  <c r="G226" i="14"/>
  <c r="G244" i="14"/>
  <c r="G215" i="14"/>
  <c r="I17" i="14"/>
  <c r="I157" i="14"/>
  <c r="I153" i="14"/>
  <c r="I144" i="14"/>
  <c r="I197" i="14"/>
  <c r="I111" i="14"/>
  <c r="F18" i="14"/>
  <c r="F76" i="14"/>
  <c r="F70" i="14"/>
  <c r="F93" i="14"/>
  <c r="F53" i="14"/>
  <c r="F38" i="14"/>
  <c r="F25" i="14"/>
  <c r="F172" i="14"/>
  <c r="F68" i="14"/>
  <c r="E199" i="14"/>
  <c r="E232" i="14"/>
  <c r="H59" i="14"/>
  <c r="H13" i="14"/>
  <c r="H106" i="14"/>
  <c r="H90" i="14"/>
  <c r="H171" i="14"/>
  <c r="H125" i="14"/>
  <c r="H88" i="14"/>
  <c r="G140" i="14"/>
  <c r="G112" i="14"/>
  <c r="G23" i="14"/>
  <c r="G36" i="14"/>
  <c r="G100" i="14"/>
  <c r="G146" i="14"/>
  <c r="G229" i="14"/>
  <c r="G65" i="14"/>
  <c r="G185" i="14"/>
  <c r="G50" i="14"/>
  <c r="G225" i="14"/>
  <c r="G102" i="14"/>
  <c r="G179" i="14"/>
  <c r="G182" i="14"/>
  <c r="I101" i="14"/>
  <c r="I102" i="14"/>
  <c r="I209" i="14"/>
  <c r="I145" i="14"/>
  <c r="I220" i="14"/>
  <c r="I224" i="14"/>
  <c r="I98" i="14"/>
  <c r="I113" i="14"/>
  <c r="I160" i="14"/>
  <c r="I132" i="14"/>
  <c r="I174" i="14"/>
  <c r="F212" i="14"/>
  <c r="F74" i="14"/>
  <c r="F228" i="14"/>
  <c r="F171" i="14"/>
  <c r="F130" i="14"/>
  <c r="F31" i="14"/>
  <c r="F199" i="14"/>
  <c r="F233" i="14"/>
  <c r="F43" i="14"/>
  <c r="F114" i="14"/>
  <c r="F133" i="14"/>
  <c r="F247" i="14"/>
  <c r="F206" i="14"/>
  <c r="F79" i="14"/>
  <c r="F170" i="14"/>
  <c r="F189" i="14"/>
  <c r="F200" i="14"/>
  <c r="F174" i="14"/>
  <c r="F65" i="14"/>
  <c r="E163" i="14"/>
  <c r="H222" i="14"/>
  <c r="H179" i="14"/>
  <c r="H80" i="14"/>
  <c r="H180" i="14"/>
  <c r="H92" i="14"/>
  <c r="H117" i="14"/>
  <c r="H156" i="14"/>
  <c r="H138" i="14"/>
  <c r="G57" i="14"/>
  <c r="G108" i="14"/>
  <c r="G116" i="14"/>
  <c r="G74" i="14"/>
  <c r="G165" i="14"/>
  <c r="G183" i="14"/>
  <c r="G47" i="14"/>
  <c r="G89" i="14"/>
  <c r="G101" i="14"/>
  <c r="G189" i="14"/>
  <c r="G233" i="14"/>
  <c r="G193" i="14"/>
  <c r="G177" i="14"/>
  <c r="G164" i="14"/>
  <c r="I106" i="14"/>
  <c r="I30" i="14"/>
  <c r="I55" i="14"/>
  <c r="I72" i="14"/>
  <c r="I19" i="14"/>
  <c r="I124" i="14"/>
  <c r="I36" i="14"/>
  <c r="I31" i="14"/>
  <c r="I195" i="14"/>
  <c r="I188" i="14"/>
  <c r="I216" i="14"/>
  <c r="I107" i="14"/>
  <c r="F36" i="14"/>
  <c r="F175" i="14"/>
  <c r="F193" i="14"/>
  <c r="F51" i="14"/>
  <c r="F121" i="14"/>
  <c r="F71" i="14"/>
  <c r="F97" i="14"/>
  <c r="F213" i="14"/>
  <c r="F168" i="14"/>
  <c r="F118" i="14"/>
  <c r="F209" i="14"/>
  <c r="F84" i="14"/>
  <c r="F165" i="14"/>
  <c r="F116" i="14"/>
  <c r="F83" i="14"/>
  <c r="F163" i="14"/>
  <c r="E207" i="14"/>
  <c r="S222" i="14"/>
  <c r="G222" i="14"/>
  <c r="S8" i="14"/>
  <c r="V8" i="14" s="1"/>
  <c r="A8" i="14" s="1"/>
  <c r="G8" i="14"/>
  <c r="S132" i="14"/>
  <c r="V132" i="14" s="1"/>
  <c r="A132" i="14" s="1"/>
  <c r="G132" i="14"/>
  <c r="S45" i="14"/>
  <c r="V45" i="14" s="1"/>
  <c r="A45" i="14" s="1"/>
  <c r="G45" i="14"/>
  <c r="H23" i="14"/>
  <c r="H226" i="14"/>
  <c r="H154" i="14"/>
  <c r="H20" i="14"/>
  <c r="H168" i="14"/>
  <c r="H7" i="14"/>
  <c r="H24" i="14"/>
  <c r="H14" i="14"/>
  <c r="H44" i="14"/>
  <c r="H157" i="14"/>
  <c r="H109" i="14"/>
  <c r="H28" i="14"/>
  <c r="H42" i="14"/>
  <c r="H184" i="14"/>
  <c r="H199" i="14"/>
  <c r="H246" i="14"/>
  <c r="H72" i="14"/>
  <c r="H16" i="14"/>
  <c r="H78" i="14"/>
  <c r="H94" i="14"/>
  <c r="H55" i="14"/>
  <c r="H101" i="14"/>
  <c r="H40" i="14"/>
  <c r="H76" i="14"/>
  <c r="H152" i="14"/>
  <c r="G40" i="14"/>
  <c r="G117" i="14"/>
  <c r="G238" i="14"/>
  <c r="G82" i="14"/>
  <c r="G211" i="14"/>
  <c r="G246" i="14"/>
  <c r="S191" i="14"/>
  <c r="V191" i="14" s="1"/>
  <c r="A191" i="14" s="1"/>
  <c r="G191" i="14"/>
  <c r="S18" i="14"/>
  <c r="V18" i="14" s="1"/>
  <c r="A18" i="14" s="1"/>
  <c r="G18" i="14"/>
  <c r="I131" i="14"/>
  <c r="I37" i="14"/>
  <c r="I9" i="14"/>
  <c r="U115" i="14"/>
  <c r="V115" i="14" s="1"/>
  <c r="A115" i="14" s="1"/>
  <c r="I115" i="14"/>
  <c r="U28" i="14"/>
  <c r="V28" i="14" s="1"/>
  <c r="A28" i="14" s="1"/>
  <c r="I28" i="14"/>
  <c r="U110" i="14"/>
  <c r="I110" i="14"/>
  <c r="U149" i="14"/>
  <c r="V149" i="14" s="1"/>
  <c r="A149" i="14" s="1"/>
  <c r="I149" i="14"/>
  <c r="U90" i="14"/>
  <c r="V90" i="14" s="1"/>
  <c r="A90" i="14" s="1"/>
  <c r="I90" i="14"/>
  <c r="U13" i="14"/>
  <c r="V13" i="14" s="1"/>
  <c r="A13" i="14" s="1"/>
  <c r="I13" i="14"/>
  <c r="U56" i="14"/>
  <c r="I56" i="14"/>
  <c r="U190" i="14"/>
  <c r="V190" i="14" s="1"/>
  <c r="A190" i="14" s="1"/>
  <c r="I190" i="14"/>
  <c r="U198" i="14"/>
  <c r="V198" i="14" s="1"/>
  <c r="A198" i="14" s="1"/>
  <c r="I198" i="14"/>
  <c r="U159" i="14"/>
  <c r="I159" i="14"/>
  <c r="U208" i="14"/>
  <c r="V208" i="14" s="1"/>
  <c r="A208" i="14" s="1"/>
  <c r="I208" i="14"/>
  <c r="U161" i="14"/>
  <c r="I161" i="14"/>
  <c r="U78" i="14"/>
  <c r="V78" i="14" s="1"/>
  <c r="A78" i="14" s="1"/>
  <c r="I78" i="14"/>
  <c r="U117" i="14"/>
  <c r="V117" i="14" s="1"/>
  <c r="A117" i="14" s="1"/>
  <c r="I117" i="14"/>
  <c r="F208" i="14"/>
  <c r="F35" i="14"/>
  <c r="F92" i="14"/>
  <c r="F242" i="14"/>
  <c r="F225" i="14"/>
  <c r="S151" i="14"/>
  <c r="V151" i="14" s="1"/>
  <c r="A151" i="14" s="1"/>
  <c r="G151" i="14"/>
  <c r="S21" i="14"/>
  <c r="V21" i="14" s="1"/>
  <c r="A21" i="14" s="1"/>
  <c r="G21" i="14"/>
  <c r="S142" i="14"/>
  <c r="V142" i="14" s="1"/>
  <c r="A142" i="14" s="1"/>
  <c r="G142" i="14"/>
  <c r="S161" i="14"/>
  <c r="G161" i="14"/>
  <c r="S206" i="14"/>
  <c r="V206" i="14" s="1"/>
  <c r="A206" i="14" s="1"/>
  <c r="G206" i="14"/>
  <c r="H139" i="14"/>
  <c r="H133" i="14"/>
  <c r="H247" i="14"/>
  <c r="H96" i="14"/>
  <c r="H11" i="14"/>
  <c r="H58" i="14"/>
  <c r="H38" i="14"/>
  <c r="H18" i="14"/>
  <c r="H233" i="14"/>
  <c r="G104" i="14"/>
  <c r="G210" i="14"/>
  <c r="G133" i="14"/>
  <c r="G180" i="14"/>
  <c r="G171" i="14"/>
  <c r="G70" i="14"/>
  <c r="U177" i="14"/>
  <c r="V177" i="14" s="1"/>
  <c r="A177" i="14" s="1"/>
  <c r="I177" i="14"/>
  <c r="U222" i="14"/>
  <c r="I222" i="14"/>
  <c r="U128" i="14"/>
  <c r="V128" i="14" s="1"/>
  <c r="A128" i="14" s="1"/>
  <c r="I128" i="14"/>
  <c r="U81" i="14"/>
  <c r="V81" i="14" s="1"/>
  <c r="A81" i="14" s="1"/>
  <c r="I81" i="14"/>
  <c r="U175" i="14"/>
  <c r="V175" i="14" s="1"/>
  <c r="A175" i="14" s="1"/>
  <c r="I175" i="14"/>
  <c r="U214" i="14"/>
  <c r="V214" i="14" s="1"/>
  <c r="A214" i="14" s="1"/>
  <c r="I214" i="14"/>
  <c r="U32" i="14"/>
  <c r="I32" i="14"/>
  <c r="U140" i="14"/>
  <c r="V140" i="14" s="1"/>
  <c r="A140" i="14" s="1"/>
  <c r="I140" i="14"/>
  <c r="U69" i="14"/>
  <c r="V69" i="14" s="1"/>
  <c r="A69" i="14" s="1"/>
  <c r="I69" i="14"/>
  <c r="U126" i="14"/>
  <c r="V126" i="14" s="1"/>
  <c r="A126" i="14" s="1"/>
  <c r="I126" i="14"/>
  <c r="U229" i="14"/>
  <c r="V229" i="14" s="1"/>
  <c r="A229" i="14" s="1"/>
  <c r="I229" i="14"/>
  <c r="U133" i="14"/>
  <c r="V133" i="14" s="1"/>
  <c r="A133" i="14" s="1"/>
  <c r="I133" i="14"/>
  <c r="U104" i="14"/>
  <c r="V104" i="14" s="1"/>
  <c r="A104" i="14" s="1"/>
  <c r="I104" i="14"/>
  <c r="U147" i="14"/>
  <c r="V147" i="14" s="1"/>
  <c r="A147" i="14" s="1"/>
  <c r="I147" i="14"/>
  <c r="U48" i="14"/>
  <c r="V48" i="14" s="1"/>
  <c r="A48" i="14" s="1"/>
  <c r="I48" i="14"/>
  <c r="U241" i="14"/>
  <c r="V241" i="14" s="1"/>
  <c r="A241" i="14" s="1"/>
  <c r="I241" i="14"/>
  <c r="U179" i="14"/>
  <c r="I179" i="14"/>
  <c r="U84" i="14"/>
  <c r="V84" i="14" s="1"/>
  <c r="A84" i="14" s="1"/>
  <c r="I84" i="14"/>
  <c r="U155" i="14"/>
  <c r="V155" i="14" s="1"/>
  <c r="A155" i="14" s="1"/>
  <c r="I155" i="14"/>
  <c r="U183" i="14"/>
  <c r="V183" i="14" s="1"/>
  <c r="A183" i="14" s="1"/>
  <c r="I183" i="14"/>
  <c r="U156" i="14"/>
  <c r="V156" i="14" s="1"/>
  <c r="A156" i="14" s="1"/>
  <c r="I156" i="14"/>
  <c r="U185" i="14"/>
  <c r="V185" i="14" s="1"/>
  <c r="A185" i="14" s="1"/>
  <c r="I185" i="14"/>
  <c r="U108" i="14"/>
  <c r="V108" i="14" s="1"/>
  <c r="A108" i="14" s="1"/>
  <c r="I108" i="14"/>
  <c r="R141" i="14"/>
  <c r="V141" i="14" s="1"/>
  <c r="A141" i="14" s="1"/>
  <c r="F141" i="14"/>
  <c r="R89" i="14"/>
  <c r="V89" i="14" s="1"/>
  <c r="A89" i="14" s="1"/>
  <c r="F89" i="14"/>
  <c r="R159" i="14"/>
  <c r="F159" i="14"/>
  <c r="R176" i="14"/>
  <c r="V176" i="14" s="1"/>
  <c r="A176" i="14" s="1"/>
  <c r="F176" i="14"/>
  <c r="R227" i="14"/>
  <c r="V227" i="14" s="1"/>
  <c r="A227" i="14" s="1"/>
  <c r="F227" i="14"/>
  <c r="R203" i="14"/>
  <c r="V203" i="14" s="1"/>
  <c r="A203" i="14" s="1"/>
  <c r="F203" i="14"/>
  <c r="R195" i="14"/>
  <c r="V195" i="14" s="1"/>
  <c r="A195" i="14" s="1"/>
  <c r="F195" i="14"/>
  <c r="R54" i="14"/>
  <c r="V54" i="14" s="1"/>
  <c r="A54" i="14" s="1"/>
  <c r="F54" i="14"/>
  <c r="R22" i="14"/>
  <c r="V22" i="14" s="1"/>
  <c r="A22" i="14" s="1"/>
  <c r="F22" i="14"/>
  <c r="R11" i="14"/>
  <c r="V11" i="14" s="1"/>
  <c r="A11" i="14" s="1"/>
  <c r="F11" i="14"/>
  <c r="R220" i="14"/>
  <c r="V220" i="14" s="1"/>
  <c r="A220" i="14" s="1"/>
  <c r="F220" i="14"/>
  <c r="R23" i="14"/>
  <c r="V23" i="14" s="1"/>
  <c r="A23" i="14" s="1"/>
  <c r="F23" i="14"/>
  <c r="R49" i="14"/>
  <c r="V49" i="14" s="1"/>
  <c r="A49" i="14" s="1"/>
  <c r="F49" i="14"/>
  <c r="R110" i="14"/>
  <c r="F110" i="14"/>
  <c r="R135" i="14"/>
  <c r="V135" i="14" s="1"/>
  <c r="A135" i="14" s="1"/>
  <c r="F135" i="14"/>
  <c r="R196" i="14"/>
  <c r="V196" i="14" s="1"/>
  <c r="A196" i="14" s="1"/>
  <c r="F196" i="14"/>
  <c r="R157" i="14"/>
  <c r="V157" i="14" s="1"/>
  <c r="A157" i="14" s="1"/>
  <c r="F157" i="14"/>
  <c r="R59" i="14"/>
  <c r="V59" i="14" s="1"/>
  <c r="A59" i="14" s="1"/>
  <c r="F59" i="14"/>
  <c r="R120" i="14"/>
  <c r="V120" i="14" s="1"/>
  <c r="A120" i="14" s="1"/>
  <c r="F120" i="14"/>
  <c r="R66" i="14"/>
  <c r="V66" i="14" s="1"/>
  <c r="A66" i="14" s="1"/>
  <c r="F66" i="14"/>
  <c r="R15" i="14"/>
  <c r="F15" i="14"/>
  <c r="R67" i="14"/>
  <c r="V67" i="14" s="1"/>
  <c r="A67" i="14" s="1"/>
  <c r="F67" i="14"/>
  <c r="R182" i="14"/>
  <c r="V182" i="14" s="1"/>
  <c r="A182" i="14" s="1"/>
  <c r="F182" i="14"/>
  <c r="R179" i="14"/>
  <c r="V179" i="14" s="1"/>
  <c r="A179" i="14" s="1"/>
  <c r="F179" i="14"/>
  <c r="R64" i="14"/>
  <c r="V64" i="14" s="1"/>
  <c r="A64" i="14" s="1"/>
  <c r="F64" i="14"/>
  <c r="R219" i="14"/>
  <c r="V219" i="14" s="1"/>
  <c r="A219" i="14" s="1"/>
  <c r="F219" i="14"/>
  <c r="S25" i="14"/>
  <c r="V25" i="14" s="1"/>
  <c r="A25" i="14" s="1"/>
  <c r="G25" i="14"/>
  <c r="S184" i="14"/>
  <c r="V184" i="14" s="1"/>
  <c r="A184" i="14" s="1"/>
  <c r="G184" i="14"/>
  <c r="S55" i="14"/>
  <c r="V55" i="14" s="1"/>
  <c r="A55" i="14" s="1"/>
  <c r="G55" i="14"/>
  <c r="S51" i="14"/>
  <c r="V51" i="14" s="1"/>
  <c r="A51" i="14" s="1"/>
  <c r="G51" i="14"/>
  <c r="S95" i="14"/>
  <c r="G95" i="14"/>
  <c r="H104" i="14"/>
  <c r="H189" i="14"/>
  <c r="H232" i="14"/>
  <c r="H186" i="14"/>
  <c r="H213" i="14"/>
  <c r="H245" i="14"/>
  <c r="H51" i="14"/>
  <c r="H52" i="14"/>
  <c r="H191" i="14"/>
  <c r="H48" i="14"/>
  <c r="H116" i="14"/>
  <c r="H167" i="14"/>
  <c r="H148" i="14"/>
  <c r="H236" i="14"/>
  <c r="H146" i="14"/>
  <c r="H62" i="14"/>
  <c r="H216" i="14"/>
  <c r="H207" i="14"/>
  <c r="G62" i="14"/>
  <c r="G240" i="14"/>
  <c r="G61" i="14"/>
  <c r="G192" i="14"/>
  <c r="G24" i="14"/>
  <c r="G176" i="14"/>
  <c r="S197" i="14"/>
  <c r="V197" i="14" s="1"/>
  <c r="A197" i="14" s="1"/>
  <c r="G197" i="14"/>
  <c r="S97" i="14"/>
  <c r="G97" i="14"/>
  <c r="S159" i="14"/>
  <c r="G159" i="14"/>
  <c r="S32" i="14"/>
  <c r="G32" i="14"/>
  <c r="S110" i="14"/>
  <c r="G110" i="14"/>
  <c r="S76" i="14"/>
  <c r="V76" i="14" s="1"/>
  <c r="A76" i="14" s="1"/>
  <c r="G76" i="14"/>
  <c r="S145" i="14"/>
  <c r="V145" i="14" s="1"/>
  <c r="A145" i="14" s="1"/>
  <c r="G145" i="14"/>
  <c r="I118" i="14"/>
  <c r="U172" i="14"/>
  <c r="V172" i="14" s="1"/>
  <c r="A172" i="14" s="1"/>
  <c r="I172" i="14"/>
  <c r="U134" i="14"/>
  <c r="V134" i="14" s="1"/>
  <c r="A134" i="14" s="1"/>
  <c r="I134" i="14"/>
  <c r="U95" i="14"/>
  <c r="I95" i="14"/>
  <c r="U41" i="14"/>
  <c r="V41" i="14" s="1"/>
  <c r="A41" i="14" s="1"/>
  <c r="I41" i="14"/>
  <c r="U166" i="14"/>
  <c r="V166" i="14" s="1"/>
  <c r="A166" i="14" s="1"/>
  <c r="I166" i="14"/>
  <c r="U15" i="14"/>
  <c r="I15" i="14"/>
  <c r="U42" i="14"/>
  <c r="V42" i="14" s="1"/>
  <c r="A42" i="14" s="1"/>
  <c r="I42" i="14"/>
  <c r="G52" i="14"/>
  <c r="I22" i="14"/>
  <c r="I246" i="14"/>
  <c r="I217" i="14"/>
  <c r="L58" i="10"/>
  <c r="U57" i="10"/>
  <c r="F169" i="14"/>
  <c r="F238" i="14"/>
  <c r="F98" i="14"/>
  <c r="F237" i="14"/>
  <c r="F33" i="14"/>
  <c r="E171" i="14"/>
  <c r="E201" i="14"/>
  <c r="E208" i="14"/>
  <c r="E88" i="14"/>
  <c r="E234" i="14"/>
  <c r="E205" i="14"/>
  <c r="E226" i="14"/>
  <c r="E19" i="14"/>
  <c r="E230" i="14"/>
  <c r="E78" i="14"/>
  <c r="E152" i="14"/>
  <c r="E166" i="14"/>
  <c r="E193" i="14"/>
  <c r="E107" i="14"/>
  <c r="E83" i="14"/>
  <c r="E95" i="14"/>
  <c r="E90" i="14"/>
  <c r="V168" i="14"/>
  <c r="A168" i="14" s="1"/>
  <c r="V232" i="14"/>
  <c r="A232" i="14" s="1"/>
  <c r="V153" i="14"/>
  <c r="A153" i="14" s="1"/>
  <c r="V207" i="14"/>
  <c r="A207" i="14" s="1"/>
  <c r="V47" i="14"/>
  <c r="A47" i="14" s="1"/>
  <c r="V247" i="14"/>
  <c r="A247" i="14" s="1"/>
  <c r="V39" i="14"/>
  <c r="A39" i="14" s="1"/>
  <c r="V199" i="14"/>
  <c r="A199" i="14" s="1"/>
  <c r="V212" i="14"/>
  <c r="A212" i="14" s="1"/>
  <c r="V94" i="14"/>
  <c r="A94" i="14" s="1"/>
  <c r="V163" i="14"/>
  <c r="A163" i="14" s="1"/>
  <c r="V58" i="14"/>
  <c r="A58" i="14" s="1"/>
  <c r="V169" i="14"/>
  <c r="A169" i="14" s="1"/>
  <c r="V236" i="14"/>
  <c r="A236" i="14" s="1"/>
  <c r="V180" i="14"/>
  <c r="A180" i="14" s="1"/>
  <c r="V86" i="14"/>
  <c r="A86" i="14" s="1"/>
  <c r="V60" i="14"/>
  <c r="A60" i="14" s="1"/>
  <c r="V186" i="14"/>
  <c r="A186" i="14" s="1"/>
  <c r="V216" i="14"/>
  <c r="A216" i="14" s="1"/>
  <c r="V137" i="14"/>
  <c r="A137" i="14" s="1"/>
  <c r="V92" i="14"/>
  <c r="A92" i="14" s="1"/>
  <c r="V97" i="14"/>
  <c r="A97" i="14" s="1"/>
  <c r="V109" i="14"/>
  <c r="A109" i="14" s="1"/>
  <c r="V240" i="14"/>
  <c r="A240" i="14" s="1"/>
  <c r="V202" i="14"/>
  <c r="A202" i="14" s="1"/>
  <c r="V65" i="14"/>
  <c r="A65" i="14" s="1"/>
  <c r="V178" i="14"/>
  <c r="A178" i="14" s="1"/>
  <c r="V80" i="14"/>
  <c r="A80" i="14" s="1"/>
  <c r="V239" i="14"/>
  <c r="A239" i="14" s="1"/>
  <c r="V31" i="14"/>
  <c r="A31" i="14" s="1"/>
  <c r="V101" i="14"/>
  <c r="A101" i="14" s="1"/>
  <c r="V118" i="14"/>
  <c r="A118" i="14" s="1"/>
  <c r="V114" i="14"/>
  <c r="A114" i="14" s="1"/>
  <c r="V144" i="14"/>
  <c r="A144" i="14" s="1"/>
  <c r="V116" i="14"/>
  <c r="A116" i="14" s="1"/>
  <c r="V62" i="14"/>
  <c r="A62" i="14" s="1"/>
  <c r="V127" i="14"/>
  <c r="A127" i="14" s="1"/>
  <c r="V231" i="14"/>
  <c r="A231" i="14" s="1"/>
  <c r="V10" i="14"/>
  <c r="A10" i="14" s="1"/>
  <c r="V6" i="14"/>
  <c r="A6" i="14" s="1"/>
  <c r="V188" i="14"/>
  <c r="A188" i="14" s="1"/>
  <c r="V165" i="14"/>
  <c r="A165" i="14" s="1"/>
  <c r="V52" i="14"/>
  <c r="A52" i="14" s="1"/>
  <c r="V171" i="14"/>
  <c r="A171" i="14" s="1"/>
  <c r="V193" i="14"/>
  <c r="A193" i="14" s="1"/>
  <c r="V82" i="14"/>
  <c r="A82" i="14" s="1"/>
  <c r="V77" i="14"/>
  <c r="A77" i="14" s="1"/>
  <c r="V57" i="14"/>
  <c r="A57" i="14" s="1"/>
  <c r="V217" i="14"/>
  <c r="A217" i="14" s="1"/>
  <c r="V91" i="14"/>
  <c r="A91" i="14" s="1"/>
  <c r="V158" i="14"/>
  <c r="A158" i="14" s="1"/>
  <c r="V27" i="14"/>
  <c r="A27" i="14" s="1"/>
  <c r="V88" i="14"/>
  <c r="A88" i="14" s="1"/>
  <c r="V205" i="14"/>
  <c r="A205" i="14" s="1"/>
  <c r="V75" i="14"/>
  <c r="A75" i="14" s="1"/>
  <c r="V16" i="14"/>
  <c r="A16" i="14" s="1"/>
  <c r="V112" i="14"/>
  <c r="A112" i="14" s="1"/>
  <c r="V234" i="14"/>
  <c r="A234" i="14" s="1"/>
  <c r="V201" i="14"/>
  <c r="A201" i="14" s="1"/>
  <c r="V7" i="14"/>
  <c r="A7" i="14" s="1"/>
  <c r="V40" i="14"/>
  <c r="A40" i="14" s="1"/>
  <c r="V226" i="14"/>
  <c r="A226" i="14" s="1"/>
  <c r="V244" i="14"/>
  <c r="A244" i="14" s="1"/>
  <c r="V181" i="14"/>
  <c r="A181" i="14" s="1"/>
  <c r="V152" i="14"/>
  <c r="A152" i="14" s="1"/>
  <c r="V83" i="14"/>
  <c r="A83" i="14" s="1"/>
  <c r="V17" i="14"/>
  <c r="A17" i="14" s="1"/>
  <c r="V225" i="14"/>
  <c r="A225" i="14" s="1"/>
  <c r="V237" i="14"/>
  <c r="A237" i="14" s="1"/>
  <c r="V107" i="14"/>
  <c r="A107" i="14" s="1"/>
  <c r="V230" i="14"/>
  <c r="A230" i="14" s="1"/>
  <c r="V19" i="14"/>
  <c r="A19" i="14" s="1"/>
  <c r="V154" i="14"/>
  <c r="A154" i="14" s="1"/>
  <c r="V12" i="14"/>
  <c r="A12" i="14" s="1"/>
  <c r="V96" i="14"/>
  <c r="A96" i="14" s="1"/>
  <c r="V103" i="14"/>
  <c r="A103" i="14" s="1"/>
  <c r="V194" i="14"/>
  <c r="A194" i="14" s="1"/>
  <c r="V99" i="14"/>
  <c r="A99" i="14" s="1"/>
  <c r="V121" i="14"/>
  <c r="A121" i="14" s="1"/>
  <c r="V187" i="14"/>
  <c r="A187" i="14" s="1"/>
  <c r="V53" i="14"/>
  <c r="A53" i="14" s="1"/>
  <c r="G170" i="14"/>
  <c r="G143" i="14"/>
  <c r="I206" i="14"/>
  <c r="F75" i="14"/>
  <c r="F108" i="14"/>
  <c r="F224" i="14"/>
  <c r="F8" i="14"/>
  <c r="F63" i="14"/>
  <c r="F211" i="14"/>
  <c r="E27" i="14"/>
  <c r="E165" i="14"/>
  <c r="E32" i="14"/>
  <c r="E244" i="14"/>
  <c r="E149" i="14"/>
  <c r="E227" i="14"/>
  <c r="E126" i="14"/>
  <c r="V148" i="14"/>
  <c r="A148" i="14" s="1"/>
  <c r="V173" i="14"/>
  <c r="A173" i="14" s="1"/>
  <c r="V160" i="14"/>
  <c r="A160" i="14" s="1"/>
  <c r="V50" i="14"/>
  <c r="A50" i="14" s="1"/>
  <c r="V14" i="14"/>
  <c r="A14" i="14" s="1"/>
  <c r="V34" i="14"/>
  <c r="A34" i="14" s="1"/>
  <c r="V211" i="14"/>
  <c r="A211" i="14" s="1"/>
  <c r="V106" i="14"/>
  <c r="A106" i="14" s="1"/>
  <c r="V63" i="14"/>
  <c r="A63" i="14" s="1"/>
  <c r="V218" i="14"/>
  <c r="A218" i="14" s="1"/>
  <c r="V124" i="14"/>
  <c r="A124" i="14" s="1"/>
  <c r="V235" i="14"/>
  <c r="A235" i="14" s="1"/>
  <c r="V129" i="14"/>
  <c r="A129" i="14" s="1"/>
  <c r="V36" i="14"/>
  <c r="A36" i="14" s="1"/>
  <c r="V164" i="14"/>
  <c r="A164" i="14" s="1"/>
  <c r="V98" i="14"/>
  <c r="A98" i="14" s="1"/>
  <c r="V56" i="14"/>
  <c r="A56" i="14" s="1"/>
  <c r="V5" i="14"/>
  <c r="A5" i="14" s="1"/>
  <c r="V122" i="14"/>
  <c r="A122" i="14" s="1"/>
  <c r="V209" i="14"/>
  <c r="A209" i="14" s="1"/>
  <c r="V224" i="14"/>
  <c r="A224" i="14" s="1"/>
  <c r="V204" i="14"/>
  <c r="A204" i="14" s="1"/>
  <c r="V136" i="14"/>
  <c r="A136" i="14" s="1"/>
  <c r="V170" i="14"/>
  <c r="A170" i="14" s="1"/>
  <c r="V167" i="14"/>
  <c r="A167" i="14" s="1"/>
  <c r="V93" i="14"/>
  <c r="A93" i="14" s="1"/>
  <c r="V233" i="14"/>
  <c r="A233" i="14" s="1"/>
  <c r="V228" i="14"/>
  <c r="A228" i="14" s="1"/>
  <c r="V125" i="14"/>
  <c r="A125" i="14" s="1"/>
  <c r="V174" i="14"/>
  <c r="A174" i="14" s="1"/>
  <c r="V61" i="14"/>
  <c r="A61" i="14" s="1"/>
  <c r="V68" i="14"/>
  <c r="A68" i="14" s="1"/>
  <c r="V243" i="14"/>
  <c r="A243" i="14" s="1"/>
  <c r="V223" i="14"/>
  <c r="A223" i="14" s="1"/>
  <c r="V85" i="14"/>
  <c r="A85" i="14" s="1"/>
  <c r="V123" i="14"/>
  <c r="A123" i="14" s="1"/>
  <c r="V30" i="14"/>
  <c r="A30" i="14" s="1"/>
  <c r="V29" i="14"/>
  <c r="A29" i="14" s="1"/>
  <c r="V119" i="14"/>
  <c r="A119" i="14" s="1"/>
  <c r="V43" i="14"/>
  <c r="A43" i="14" s="1"/>
  <c r="V20" i="14"/>
  <c r="A20" i="14" s="1"/>
  <c r="V200" i="14"/>
  <c r="A200" i="14" s="1"/>
  <c r="V139" i="14"/>
  <c r="A139" i="14" s="1"/>
  <c r="V26" i="14"/>
  <c r="A26" i="14" s="1"/>
  <c r="M57" i="10"/>
  <c r="V56" i="10"/>
  <c r="I51" i="14"/>
  <c r="F131" i="14"/>
  <c r="F223" i="14"/>
  <c r="F117" i="14"/>
  <c r="E225" i="14"/>
  <c r="E52" i="14"/>
  <c r="E158" i="14"/>
  <c r="E112" i="14"/>
  <c r="E77" i="14"/>
  <c r="E6" i="14"/>
  <c r="E183" i="14"/>
  <c r="E115" i="14"/>
  <c r="E17" i="14"/>
  <c r="E40" i="14"/>
  <c r="E57" i="14"/>
  <c r="E220" i="14"/>
  <c r="E135" i="14"/>
  <c r="V146" i="14"/>
  <c r="A146" i="14" s="1"/>
  <c r="V210" i="14"/>
  <c r="A210" i="14" s="1"/>
  <c r="V131" i="14"/>
  <c r="A131" i="14" s="1"/>
  <c r="V35" i="14"/>
  <c r="A35" i="14" s="1"/>
  <c r="V192" i="14"/>
  <c r="A192" i="14" s="1"/>
  <c r="V150" i="14"/>
  <c r="A150" i="14" s="1"/>
  <c r="V189" i="14"/>
  <c r="A189" i="14" s="1"/>
  <c r="V113" i="14"/>
  <c r="A113" i="14" s="1"/>
  <c r="V105" i="14"/>
  <c r="A105" i="14" s="1"/>
  <c r="V130" i="14"/>
  <c r="A130" i="14" s="1"/>
  <c r="V213" i="14"/>
  <c r="A213" i="14" s="1"/>
  <c r="V33" i="14"/>
  <c r="A33" i="14" s="1"/>
  <c r="V74" i="14"/>
  <c r="A74" i="14" s="1"/>
  <c r="V73" i="14"/>
  <c r="A73" i="14" s="1"/>
  <c r="V238" i="14"/>
  <c r="A238" i="14" s="1"/>
  <c r="V100" i="14"/>
  <c r="A100" i="14" s="1"/>
  <c r="V162" i="14"/>
  <c r="A162" i="14" s="1"/>
  <c r="V70" i="14"/>
  <c r="A70" i="14" s="1"/>
  <c r="V44" i="14"/>
  <c r="A44" i="14" s="1"/>
  <c r="V138" i="14"/>
  <c r="A138" i="14" s="1"/>
  <c r="V111" i="14"/>
  <c r="A111" i="14" s="1"/>
  <c r="V102" i="14"/>
  <c r="A102" i="14" s="1"/>
  <c r="V143" i="14"/>
  <c r="A143" i="14" s="1"/>
  <c r="V37" i="14"/>
  <c r="A37" i="14" s="1"/>
  <c r="V79" i="14"/>
  <c r="A79" i="14" s="1"/>
  <c r="V24" i="14"/>
  <c r="A24" i="14" s="1"/>
  <c r="V221" i="14"/>
  <c r="A221" i="14" s="1"/>
  <c r="V71" i="14"/>
  <c r="A71" i="14" s="1"/>
  <c r="V9" i="14"/>
  <c r="A9" i="14" s="1"/>
  <c r="V46" i="14"/>
  <c r="A46" i="14" s="1"/>
  <c r="V72" i="14"/>
  <c r="A72" i="14" s="1"/>
  <c r="V87" i="14"/>
  <c r="A87" i="14" s="1"/>
  <c r="V246" i="14"/>
  <c r="A246" i="14" s="1"/>
  <c r="V38" i="14"/>
  <c r="A38" i="14" s="1"/>
  <c r="V242" i="14"/>
  <c r="A242" i="14" s="1"/>
  <c r="V215" i="14"/>
  <c r="A215" i="14" s="1"/>
  <c r="V245" i="14"/>
  <c r="A245" i="14" s="1"/>
  <c r="J37" i="14" l="1"/>
  <c r="J125" i="14"/>
  <c r="J186" i="14"/>
  <c r="J210" i="14"/>
  <c r="J73" i="14"/>
  <c r="J24" i="14"/>
  <c r="J150" i="14"/>
  <c r="J127" i="14"/>
  <c r="J154" i="14"/>
  <c r="J11" i="14"/>
  <c r="J117" i="14"/>
  <c r="J61" i="14"/>
  <c r="J60" i="14"/>
  <c r="J167" i="14"/>
  <c r="J49" i="14"/>
  <c r="J141" i="14"/>
  <c r="J147" i="14"/>
  <c r="J38" i="14"/>
  <c r="J198" i="14"/>
  <c r="J181" i="14"/>
  <c r="J99" i="14"/>
  <c r="J46" i="14"/>
  <c r="J230" i="14"/>
  <c r="J202" i="14"/>
  <c r="J105" i="14"/>
  <c r="J164" i="14"/>
  <c r="J86" i="14"/>
  <c r="J30" i="14"/>
  <c r="J45" i="14"/>
  <c r="J34" i="14"/>
  <c r="J63" i="14"/>
  <c r="J196" i="14"/>
  <c r="J155" i="14"/>
  <c r="J69" i="14"/>
  <c r="J16" i="14"/>
  <c r="J129" i="14"/>
  <c r="J243" i="14"/>
  <c r="J119" i="14"/>
  <c r="J5" i="14"/>
  <c r="J115" i="14"/>
  <c r="J77" i="14"/>
  <c r="J225" i="14"/>
  <c r="J224" i="14"/>
  <c r="J217" i="14"/>
  <c r="J142" i="14"/>
  <c r="J151" i="14"/>
  <c r="J82" i="14"/>
  <c r="J44" i="14"/>
  <c r="J71" i="14"/>
  <c r="J87" i="14"/>
  <c r="J91" i="14"/>
  <c r="J134" i="14"/>
  <c r="J231" i="14"/>
  <c r="J27" i="14"/>
  <c r="J201" i="14"/>
  <c r="J6" i="14"/>
  <c r="J245" i="14"/>
  <c r="J50" i="14"/>
  <c r="J93" i="14"/>
  <c r="J29" i="14"/>
  <c r="J177" i="14"/>
  <c r="J153" i="14"/>
  <c r="J96" i="14"/>
  <c r="J187" i="14"/>
  <c r="J239" i="14"/>
  <c r="J56" i="14"/>
  <c r="J112" i="14"/>
  <c r="J161" i="14"/>
  <c r="J136" i="14"/>
  <c r="V159" i="14"/>
  <c r="A159" i="14" s="1"/>
  <c r="J18" i="14"/>
  <c r="J72" i="14"/>
  <c r="J124" i="14"/>
  <c r="J74" i="14"/>
  <c r="J138" i="14"/>
  <c r="J100" i="14"/>
  <c r="J204" i="14"/>
  <c r="J162" i="14"/>
  <c r="J84" i="14"/>
  <c r="J132" i="14"/>
  <c r="J102" i="14"/>
  <c r="J144" i="14"/>
  <c r="J170" i="14"/>
  <c r="J31" i="14"/>
  <c r="J36" i="14"/>
  <c r="J8" i="14"/>
  <c r="J238" i="14"/>
  <c r="J116" i="14"/>
  <c r="J160" i="14"/>
  <c r="J178" i="14"/>
  <c r="J213" i="14"/>
  <c r="J10" i="14"/>
  <c r="J114" i="14"/>
  <c r="J53" i="14"/>
  <c r="J65" i="14"/>
  <c r="J35" i="14"/>
  <c r="J109" i="14"/>
  <c r="J14" i="14"/>
  <c r="J194" i="14"/>
  <c r="J192" i="14"/>
  <c r="J235" i="14"/>
  <c r="J242" i="14"/>
  <c r="J218" i="14"/>
  <c r="J221" i="14"/>
  <c r="J143" i="14"/>
  <c r="J107" i="14"/>
  <c r="J246" i="14"/>
  <c r="J241" i="14"/>
  <c r="J228" i="14"/>
  <c r="J12" i="14"/>
  <c r="J17" i="14"/>
  <c r="J152" i="14"/>
  <c r="V32" i="14"/>
  <c r="A32" i="14" s="1"/>
  <c r="J78" i="14"/>
  <c r="V15" i="14"/>
  <c r="A15" i="14" s="1"/>
  <c r="J145" i="14"/>
  <c r="J48" i="14"/>
  <c r="J219" i="14"/>
  <c r="J67" i="14"/>
  <c r="J59" i="14"/>
  <c r="J110" i="14"/>
  <c r="J203" i="14"/>
  <c r="J108" i="14"/>
  <c r="J180" i="14"/>
  <c r="J13" i="14"/>
  <c r="J7" i="14"/>
  <c r="J92" i="14"/>
  <c r="J200" i="14"/>
  <c r="J43" i="14"/>
  <c r="J146" i="14"/>
  <c r="J111" i="14"/>
  <c r="J128" i="14"/>
  <c r="J184" i="14"/>
  <c r="J58" i="14"/>
  <c r="J159" i="14"/>
  <c r="J190" i="14"/>
  <c r="J79" i="14"/>
  <c r="J28" i="14"/>
  <c r="J173" i="14"/>
  <c r="J101" i="14"/>
  <c r="J103" i="14"/>
  <c r="J41" i="14"/>
  <c r="J21" i="14"/>
  <c r="J215" i="14"/>
  <c r="J122" i="14"/>
  <c r="J137" i="14"/>
  <c r="J39" i="14"/>
  <c r="J85" i="14"/>
  <c r="J51" i="14"/>
  <c r="J75" i="14"/>
  <c r="J83" i="14"/>
  <c r="J205" i="14"/>
  <c r="J234" i="14"/>
  <c r="J40" i="14"/>
  <c r="J158" i="14"/>
  <c r="J223" i="14"/>
  <c r="J149" i="14"/>
  <c r="J172" i="14"/>
  <c r="J104" i="14"/>
  <c r="V110" i="14"/>
  <c r="A110" i="14" s="1"/>
  <c r="V161" i="14"/>
  <c r="A161" i="14" s="1"/>
  <c r="J191" i="14"/>
  <c r="J55" i="14"/>
  <c r="J42" i="14"/>
  <c r="J23" i="14"/>
  <c r="V222" i="14"/>
  <c r="A222" i="14" s="1"/>
  <c r="J175" i="14"/>
  <c r="J188" i="14"/>
  <c r="J89" i="14"/>
  <c r="J163" i="14"/>
  <c r="J189" i="14"/>
  <c r="J247" i="14"/>
  <c r="J233" i="14"/>
  <c r="J174" i="14"/>
  <c r="J209" i="14"/>
  <c r="J179" i="14"/>
  <c r="J66" i="14"/>
  <c r="J236" i="14"/>
  <c r="J54" i="14"/>
  <c r="J139" i="14"/>
  <c r="J229" i="14"/>
  <c r="J118" i="14"/>
  <c r="J197" i="14"/>
  <c r="J130" i="14"/>
  <c r="J148" i="14"/>
  <c r="J68" i="14"/>
  <c r="J47" i="14"/>
  <c r="J9" i="14"/>
  <c r="J237" i="14"/>
  <c r="J216" i="14"/>
  <c r="J212" i="14"/>
  <c r="J123" i="14"/>
  <c r="J113" i="14"/>
  <c r="J26" i="14"/>
  <c r="J57" i="14"/>
  <c r="J244" i="14"/>
  <c r="J211" i="14"/>
  <c r="J193" i="14"/>
  <c r="J226" i="14"/>
  <c r="J33" i="14"/>
  <c r="J169" i="14"/>
  <c r="J97" i="14"/>
  <c r="J176" i="14"/>
  <c r="J240" i="14"/>
  <c r="J64" i="14"/>
  <c r="J182" i="14"/>
  <c r="J120" i="14"/>
  <c r="J157" i="14"/>
  <c r="J214" i="14"/>
  <c r="J222" i="14"/>
  <c r="J94" i="14"/>
  <c r="J166" i="14"/>
  <c r="V95" i="14"/>
  <c r="A95" i="14" s="1"/>
  <c r="J62" i="14"/>
  <c r="J25" i="14"/>
  <c r="J15" i="14"/>
  <c r="J22" i="14"/>
  <c r="J195" i="14"/>
  <c r="J185" i="14"/>
  <c r="J140" i="14"/>
  <c r="J81" i="14"/>
  <c r="J70" i="14"/>
  <c r="J20" i="14"/>
  <c r="J207" i="14"/>
  <c r="J168" i="14"/>
  <c r="J121" i="14"/>
  <c r="J156" i="14"/>
  <c r="J80" i="14"/>
  <c r="J133" i="14"/>
  <c r="J106" i="14"/>
  <c r="J199" i="14"/>
  <c r="J76" i="14"/>
  <c r="J232" i="14"/>
  <c r="J220" i="14"/>
  <c r="J171" i="14"/>
  <c r="J206" i="14"/>
  <c r="J98" i="14"/>
  <c r="J183" i="14"/>
  <c r="J126" i="14"/>
  <c r="J165" i="14"/>
  <c r="J90" i="14"/>
  <c r="J32" i="14"/>
  <c r="J95" i="14"/>
  <c r="J88" i="14"/>
  <c r="J135" i="14"/>
  <c r="J52" i="14"/>
  <c r="J131" i="14"/>
  <c r="J227" i="14"/>
  <c r="J19" i="14"/>
  <c r="J208" i="14"/>
  <c r="M58" i="10"/>
  <c r="V57" i="10"/>
  <c r="L59" i="10"/>
  <c r="U58" i="10"/>
  <c r="AA4" i="14" l="1"/>
  <c r="J153" i="13" s="1"/>
  <c r="L60" i="10"/>
  <c r="U59" i="10"/>
  <c r="V58" i="10"/>
  <c r="M59" i="10"/>
  <c r="E133" i="13" l="1"/>
  <c r="J133" i="13"/>
  <c r="H153" i="13"/>
  <c r="K153" i="13"/>
  <c r="I133" i="13"/>
  <c r="AB4" i="14"/>
  <c r="D133" i="13"/>
  <c r="AD18" i="14" s="1"/>
  <c r="AD19" i="14" s="1"/>
  <c r="G133" i="13"/>
  <c r="M60" i="10"/>
  <c r="V59" i="10"/>
  <c r="L61" i="10"/>
  <c r="U60" i="10"/>
  <c r="L133" i="13" l="1"/>
  <c r="D153" i="13"/>
  <c r="AJ27" i="14" s="1"/>
  <c r="K133" i="13"/>
  <c r="U61" i="10"/>
  <c r="L62" i="10"/>
  <c r="V60" i="10"/>
  <c r="M61" i="10"/>
  <c r="M62" i="10" l="1"/>
  <c r="V61" i="10"/>
  <c r="U62" i="10"/>
  <c r="L63" i="10"/>
  <c r="L64" i="10" l="1"/>
  <c r="U63" i="10"/>
  <c r="M63" i="10"/>
  <c r="V62" i="10"/>
  <c r="V63" i="10" l="1"/>
  <c r="M64" i="10"/>
  <c r="L65" i="10"/>
  <c r="U64" i="10"/>
  <c r="U65" i="10" l="1"/>
  <c r="L66" i="10"/>
  <c r="V64" i="10"/>
  <c r="M65" i="10"/>
  <c r="M66" i="10" l="1"/>
  <c r="V65" i="10"/>
  <c r="U66" i="10"/>
  <c r="L67" i="10"/>
  <c r="L68" i="10" l="1"/>
  <c r="U67" i="10"/>
  <c r="V66" i="10"/>
  <c r="M67" i="10"/>
  <c r="V67" i="10" l="1"/>
  <c r="M68" i="10"/>
  <c r="L69" i="10"/>
  <c r="U68" i="10"/>
  <c r="U69" i="10" l="1"/>
  <c r="L70" i="10"/>
  <c r="V68" i="10"/>
  <c r="M69" i="10"/>
  <c r="M70" i="10" l="1"/>
  <c r="V69" i="10"/>
  <c r="L71" i="10"/>
  <c r="U70" i="10"/>
  <c r="L72" i="10" l="1"/>
  <c r="U71" i="10"/>
  <c r="V70" i="10"/>
  <c r="M71" i="10"/>
  <c r="M72" i="10" l="1"/>
  <c r="V71" i="10"/>
  <c r="L73" i="10"/>
  <c r="U72" i="10"/>
  <c r="L74" i="10" l="1"/>
  <c r="U73" i="10"/>
  <c r="V72" i="10"/>
  <c r="M73" i="10"/>
  <c r="V73" i="10" l="1"/>
  <c r="M74" i="10"/>
  <c r="L75" i="10"/>
  <c r="U74" i="10"/>
  <c r="L76" i="10" l="1"/>
  <c r="U75" i="10"/>
  <c r="M75" i="10"/>
  <c r="V74" i="10"/>
  <c r="V75" i="10" l="1"/>
  <c r="M76" i="10"/>
  <c r="L77" i="10"/>
  <c r="U76" i="10"/>
  <c r="U77" i="10" l="1"/>
  <c r="L78" i="10"/>
  <c r="M77" i="10"/>
  <c r="V76" i="10"/>
  <c r="M78" i="10" l="1"/>
  <c r="V77" i="10"/>
  <c r="L79" i="10"/>
  <c r="U78" i="10"/>
  <c r="L80" i="10" l="1"/>
  <c r="U79" i="10"/>
  <c r="M79" i="10"/>
  <c r="V78" i="10"/>
  <c r="M80" i="10" l="1"/>
  <c r="V79" i="10"/>
  <c r="U80" i="10"/>
  <c r="L81" i="10"/>
  <c r="L82" i="10" l="1"/>
  <c r="U81" i="10"/>
  <c r="M81" i="10"/>
  <c r="V80" i="10"/>
  <c r="M82" i="10" l="1"/>
  <c r="V81" i="10"/>
  <c r="U82" i="10"/>
  <c r="L83" i="10"/>
  <c r="L84" i="10" l="1"/>
  <c r="U83" i="10"/>
  <c r="M83" i="10"/>
  <c r="V82" i="10"/>
  <c r="V83" i="10" l="1"/>
  <c r="M84" i="10"/>
  <c r="U84" i="10"/>
  <c r="L85" i="10"/>
  <c r="L86" i="10" l="1"/>
  <c r="U85" i="10"/>
  <c r="M85" i="10"/>
  <c r="V84" i="10"/>
  <c r="V85" i="10" l="1"/>
  <c r="M86" i="10"/>
  <c r="U86" i="10"/>
  <c r="L87" i="10"/>
  <c r="L88" i="10" l="1"/>
  <c r="U87" i="10"/>
  <c r="V86" i="10"/>
  <c r="M87" i="10"/>
  <c r="V87" i="10" l="1"/>
  <c r="M88" i="10"/>
  <c r="U88" i="10"/>
  <c r="L89" i="10"/>
  <c r="L90" i="10" l="1"/>
  <c r="U89" i="10"/>
  <c r="M89" i="10"/>
  <c r="V88" i="10"/>
  <c r="U90" i="10" l="1"/>
  <c r="L91" i="10"/>
  <c r="V89" i="10"/>
  <c r="M90" i="10"/>
  <c r="V90" i="10" l="1"/>
  <c r="M91" i="10"/>
  <c r="U91" i="10"/>
  <c r="L92" i="10"/>
  <c r="E152" i="12" l="1"/>
  <c r="U92" i="10"/>
  <c r="L93" i="10"/>
  <c r="M92" i="10"/>
  <c r="V91" i="10"/>
  <c r="M93" i="10" l="1"/>
  <c r="V92" i="10"/>
  <c r="F152" i="12"/>
  <c r="F101" i="13" s="1"/>
  <c r="L94" i="10"/>
  <c r="U93" i="10"/>
  <c r="F201" i="13"/>
  <c r="E101" i="13"/>
  <c r="AL28" i="14" l="1"/>
  <c r="AD48" i="14"/>
  <c r="AO28" i="14"/>
  <c r="AM28" i="14"/>
  <c r="Z48" i="14"/>
  <c r="AN28" i="14"/>
  <c r="AP28" i="14"/>
  <c r="L95" i="10"/>
  <c r="U94" i="10"/>
  <c r="V93" i="10"/>
  <c r="M94" i="10"/>
  <c r="L425" i="14" l="1"/>
  <c r="R425" i="14" s="1"/>
  <c r="L487" i="14"/>
  <c r="R487" i="14" s="1"/>
  <c r="L342" i="14"/>
  <c r="R342" i="14" s="1"/>
  <c r="L256" i="14"/>
  <c r="R256" i="14" s="1"/>
  <c r="L468" i="14"/>
  <c r="R468" i="14" s="1"/>
  <c r="L287" i="14"/>
  <c r="R287" i="14" s="1"/>
  <c r="L325" i="14"/>
  <c r="R325" i="14" s="1"/>
  <c r="L331" i="14"/>
  <c r="R331" i="14" s="1"/>
  <c r="L268" i="14"/>
  <c r="R268" i="14" s="1"/>
  <c r="L330" i="14"/>
  <c r="R330" i="14" s="1"/>
  <c r="L400" i="14"/>
  <c r="R400" i="14" s="1"/>
  <c r="L406" i="14"/>
  <c r="R406" i="14" s="1"/>
  <c r="L366" i="14"/>
  <c r="R366" i="14" s="1"/>
  <c r="L290" i="14"/>
  <c r="R290" i="14" s="1"/>
  <c r="L424" i="14"/>
  <c r="R424" i="14" s="1"/>
  <c r="L398" i="14"/>
  <c r="R398" i="14" s="1"/>
  <c r="L461" i="14"/>
  <c r="R461" i="14" s="1"/>
  <c r="L357" i="14"/>
  <c r="R357" i="14" s="1"/>
  <c r="L432" i="14"/>
  <c r="R432" i="14" s="1"/>
  <c r="L456" i="14"/>
  <c r="R456" i="14" s="1"/>
  <c r="L476" i="14"/>
  <c r="R476" i="14" s="1"/>
  <c r="L327" i="14"/>
  <c r="R327" i="14" s="1"/>
  <c r="L397" i="14"/>
  <c r="R397" i="14" s="1"/>
  <c r="L371" i="14"/>
  <c r="R371" i="14" s="1"/>
  <c r="L308" i="14"/>
  <c r="R308" i="14" s="1"/>
  <c r="L338" i="14"/>
  <c r="R338" i="14" s="1"/>
  <c r="L376" i="14"/>
  <c r="R376" i="14" s="1"/>
  <c r="L409" i="14"/>
  <c r="R409" i="14" s="1"/>
  <c r="L471" i="14"/>
  <c r="R471" i="14" s="1"/>
  <c r="L310" i="14"/>
  <c r="R310" i="14" s="1"/>
  <c r="L271" i="14"/>
  <c r="R271" i="14" s="1"/>
  <c r="L337" i="14"/>
  <c r="R337" i="14" s="1"/>
  <c r="L431" i="14"/>
  <c r="R431" i="14" s="1"/>
  <c r="L294" i="14"/>
  <c r="R294" i="14" s="1"/>
  <c r="L264" i="14"/>
  <c r="R264" i="14" s="1"/>
  <c r="L454" i="14"/>
  <c r="R454" i="14" s="1"/>
  <c r="F330" i="14"/>
  <c r="L372" i="14"/>
  <c r="R372" i="14" s="1"/>
  <c r="L318" i="14"/>
  <c r="R318" i="14" s="1"/>
  <c r="L495" i="14"/>
  <c r="R495" i="14" s="1"/>
  <c r="F468" i="14"/>
  <c r="L316" i="14"/>
  <c r="R316" i="14" s="1"/>
  <c r="L378" i="14"/>
  <c r="R378" i="14" s="1"/>
  <c r="L448" i="14"/>
  <c r="R448" i="14" s="1"/>
  <c r="L449" i="14"/>
  <c r="R449" i="14" s="1"/>
  <c r="L479" i="14"/>
  <c r="R479" i="14" s="1"/>
  <c r="L262" i="14"/>
  <c r="R262" i="14" s="1"/>
  <c r="L395" i="14"/>
  <c r="R395" i="14" s="1"/>
  <c r="L332" i="14"/>
  <c r="R332" i="14" s="1"/>
  <c r="L394" i="14"/>
  <c r="R394" i="14" s="1"/>
  <c r="L464" i="14"/>
  <c r="R464" i="14" s="1"/>
  <c r="L433" i="14"/>
  <c r="R433" i="14" s="1"/>
  <c r="L269" i="14"/>
  <c r="R269" i="14" s="1"/>
  <c r="L257" i="14"/>
  <c r="R257" i="14" s="1"/>
  <c r="L360" i="14"/>
  <c r="R360" i="14" s="1"/>
  <c r="L446" i="14"/>
  <c r="R446" i="14" s="1"/>
  <c r="L284" i="14"/>
  <c r="R284" i="14" s="1"/>
  <c r="L275" i="14"/>
  <c r="R275" i="14" s="1"/>
  <c r="L407" i="14"/>
  <c r="R407" i="14" s="1"/>
  <c r="L367" i="14"/>
  <c r="R367" i="14" s="1"/>
  <c r="L416" i="14"/>
  <c r="R416" i="14" s="1"/>
  <c r="L491" i="14"/>
  <c r="R491" i="14" s="1"/>
  <c r="L355" i="14"/>
  <c r="R355" i="14" s="1"/>
  <c r="L475" i="14"/>
  <c r="R475" i="14" s="1"/>
  <c r="L297" i="14"/>
  <c r="R297" i="14" s="1"/>
  <c r="L359" i="14"/>
  <c r="R359" i="14" s="1"/>
  <c r="L429" i="14"/>
  <c r="R429" i="14" s="1"/>
  <c r="L403" i="14"/>
  <c r="R403" i="14" s="1"/>
  <c r="L340" i="14"/>
  <c r="R340" i="14" s="1"/>
  <c r="L370" i="14"/>
  <c r="R370" i="14" s="1"/>
  <c r="L408" i="14"/>
  <c r="R408" i="14" s="1"/>
  <c r="L441" i="14"/>
  <c r="R441" i="14" s="1"/>
  <c r="L254" i="14"/>
  <c r="R254" i="14" s="1"/>
  <c r="L382" i="14"/>
  <c r="R382" i="14" s="1"/>
  <c r="L272" i="14"/>
  <c r="R272" i="14" s="1"/>
  <c r="L369" i="14"/>
  <c r="R369" i="14" s="1"/>
  <c r="L463" i="14"/>
  <c r="R463" i="14" s="1"/>
  <c r="L358" i="14"/>
  <c r="R358" i="14" s="1"/>
  <c r="L296" i="14"/>
  <c r="R296" i="14" s="1"/>
  <c r="L414" i="14"/>
  <c r="R414" i="14" s="1"/>
  <c r="F297" i="14"/>
  <c r="L288" i="14"/>
  <c r="R288" i="14" s="1"/>
  <c r="L363" i="14"/>
  <c r="R363" i="14" s="1"/>
  <c r="L401" i="14"/>
  <c r="R401" i="14" s="1"/>
  <c r="L347" i="14"/>
  <c r="R347" i="14" s="1"/>
  <c r="L348" i="14"/>
  <c r="R348" i="14" s="1"/>
  <c r="L410" i="14"/>
  <c r="R410" i="14" s="1"/>
  <c r="L480" i="14"/>
  <c r="R480" i="14" s="1"/>
  <c r="L481" i="14"/>
  <c r="R481" i="14" s="1"/>
  <c r="L270" i="14"/>
  <c r="R270" i="14" s="1"/>
  <c r="L326" i="14"/>
  <c r="R326" i="14" s="1"/>
  <c r="L279" i="14"/>
  <c r="R279" i="14" s="1"/>
  <c r="L492" i="14"/>
  <c r="R492" i="14" s="1"/>
  <c r="L343" i="14"/>
  <c r="R343" i="14" s="1"/>
  <c r="L413" i="14"/>
  <c r="R413" i="14" s="1"/>
  <c r="L419" i="14"/>
  <c r="R419" i="14" s="1"/>
  <c r="L420" i="14"/>
  <c r="R420" i="14" s="1"/>
  <c r="L303" i="14"/>
  <c r="R303" i="14" s="1"/>
  <c r="L437" i="14"/>
  <c r="R437" i="14" s="1"/>
  <c r="L390" i="14"/>
  <c r="R390" i="14" s="1"/>
  <c r="L329" i="14"/>
  <c r="R329" i="14" s="1"/>
  <c r="L402" i="14"/>
  <c r="R402" i="14" s="1"/>
  <c r="L362" i="14"/>
  <c r="R362" i="14" s="1"/>
  <c r="L328" i="14"/>
  <c r="R328" i="14" s="1"/>
  <c r="L489" i="14"/>
  <c r="R489" i="14" s="1"/>
  <c r="L286" i="14"/>
  <c r="R286" i="14" s="1"/>
  <c r="L281" i="14"/>
  <c r="R281" i="14" s="1"/>
  <c r="L320" i="14"/>
  <c r="R320" i="14" s="1"/>
  <c r="L321" i="14"/>
  <c r="R321" i="14" s="1"/>
  <c r="L351" i="14"/>
  <c r="R351" i="14" s="1"/>
  <c r="L389" i="14"/>
  <c r="R389" i="14" s="1"/>
  <c r="L478" i="14"/>
  <c r="R478" i="14" s="1"/>
  <c r="L374" i="14"/>
  <c r="R374" i="14" s="1"/>
  <c r="L266" i="14"/>
  <c r="R266" i="14" s="1"/>
  <c r="L336" i="14"/>
  <c r="R336" i="14" s="1"/>
  <c r="L305" i="14"/>
  <c r="R305" i="14" s="1"/>
  <c r="L399" i="14"/>
  <c r="R399" i="14" s="1"/>
  <c r="L261" i="14"/>
  <c r="R261" i="14" s="1"/>
  <c r="L263" i="14"/>
  <c r="R263" i="14" s="1"/>
  <c r="F487" i="14"/>
  <c r="L346" i="14"/>
  <c r="R346" i="14" s="1"/>
  <c r="L274" i="14"/>
  <c r="R274" i="14" s="1"/>
  <c r="L477" i="14"/>
  <c r="R477" i="14" s="1"/>
  <c r="L417" i="14"/>
  <c r="R417" i="14" s="1"/>
  <c r="L428" i="14"/>
  <c r="R428" i="14" s="1"/>
  <c r="L356" i="14"/>
  <c r="R356" i="14" s="1"/>
  <c r="L422" i="14"/>
  <c r="R422" i="14" s="1"/>
  <c r="F347" i="14"/>
  <c r="F254" i="14"/>
  <c r="L380" i="14"/>
  <c r="R380" i="14" s="1"/>
  <c r="L442" i="14"/>
  <c r="R442" i="14" s="1"/>
  <c r="L301" i="14"/>
  <c r="R301" i="14" s="1"/>
  <c r="L486" i="14"/>
  <c r="R486" i="14" s="1"/>
  <c r="L334" i="14"/>
  <c r="R334" i="14" s="1"/>
  <c r="L273" i="14"/>
  <c r="R273" i="14" s="1"/>
  <c r="L280" i="14"/>
  <c r="R280" i="14" s="1"/>
  <c r="L313" i="14"/>
  <c r="R313" i="14" s="1"/>
  <c r="L375" i="14"/>
  <c r="R375" i="14" s="1"/>
  <c r="L445" i="14"/>
  <c r="R445" i="14" s="1"/>
  <c r="L451" i="14"/>
  <c r="R451" i="14" s="1"/>
  <c r="L452" i="14"/>
  <c r="R452" i="14" s="1"/>
  <c r="L335" i="14"/>
  <c r="R335" i="14" s="1"/>
  <c r="L469" i="14"/>
  <c r="R469" i="14" s="1"/>
  <c r="L443" i="14"/>
  <c r="R443" i="14" s="1"/>
  <c r="L457" i="14"/>
  <c r="R457" i="14" s="1"/>
  <c r="L289" i="14"/>
  <c r="R289" i="14" s="1"/>
  <c r="L300" i="14"/>
  <c r="R300" i="14" s="1"/>
  <c r="L259" i="14"/>
  <c r="R259" i="14" s="1"/>
  <c r="F287" i="14"/>
  <c r="L350" i="14"/>
  <c r="R350" i="14" s="1"/>
  <c r="L282" i="14"/>
  <c r="R282" i="14" s="1"/>
  <c r="L352" i="14"/>
  <c r="R352" i="14" s="1"/>
  <c r="L353" i="14"/>
  <c r="R353" i="14" s="1"/>
  <c r="L383" i="14"/>
  <c r="R383" i="14" s="1"/>
  <c r="L421" i="14"/>
  <c r="R421" i="14" s="1"/>
  <c r="L427" i="14"/>
  <c r="R427" i="14" s="1"/>
  <c r="L364" i="14"/>
  <c r="R364" i="14" s="1"/>
  <c r="L426" i="14"/>
  <c r="R426" i="14" s="1"/>
  <c r="L285" i="14"/>
  <c r="R285" i="14" s="1"/>
  <c r="L291" i="14"/>
  <c r="R291" i="14" s="1"/>
  <c r="L292" i="14"/>
  <c r="R292" i="14" s="1"/>
  <c r="L386" i="14"/>
  <c r="R386" i="14" s="1"/>
  <c r="L309" i="14"/>
  <c r="R309" i="14" s="1"/>
  <c r="L411" i="14"/>
  <c r="R411" i="14" s="1"/>
  <c r="L391" i="14"/>
  <c r="R391" i="14" s="1"/>
  <c r="L440" i="14"/>
  <c r="R440" i="14" s="1"/>
  <c r="L304" i="14"/>
  <c r="R304" i="14" s="1"/>
  <c r="L430" i="14"/>
  <c r="R430" i="14" s="1"/>
  <c r="L361" i="14"/>
  <c r="R361" i="14" s="1"/>
  <c r="L423" i="14"/>
  <c r="R423" i="14" s="1"/>
  <c r="L493" i="14"/>
  <c r="R493" i="14" s="1"/>
  <c r="L467" i="14"/>
  <c r="R467" i="14" s="1"/>
  <c r="L404" i="14"/>
  <c r="R404" i="14" s="1"/>
  <c r="L434" i="14"/>
  <c r="R434" i="14" s="1"/>
  <c r="L472" i="14"/>
  <c r="R472" i="14" s="1"/>
  <c r="L377" i="14"/>
  <c r="R377" i="14" s="1"/>
  <c r="L439" i="14"/>
  <c r="R439" i="14" s="1"/>
  <c r="L277" i="14"/>
  <c r="R277" i="14" s="1"/>
  <c r="L387" i="14"/>
  <c r="R387" i="14" s="1"/>
  <c r="L388" i="14"/>
  <c r="R388" i="14" s="1"/>
  <c r="L482" i="14"/>
  <c r="R482" i="14" s="1"/>
  <c r="L405" i="14"/>
  <c r="R405" i="14" s="1"/>
  <c r="L379" i="14"/>
  <c r="R379" i="14" s="1"/>
  <c r="L333" i="14"/>
  <c r="R333" i="14" s="1"/>
  <c r="L312" i="14"/>
  <c r="R312" i="14" s="1"/>
  <c r="L483" i="14"/>
  <c r="R483" i="14" s="1"/>
  <c r="L412" i="14"/>
  <c r="R412" i="14" s="1"/>
  <c r="L447" i="14"/>
  <c r="R447" i="14" s="1"/>
  <c r="L490" i="14"/>
  <c r="R490" i="14" s="1"/>
  <c r="L450" i="14"/>
  <c r="R450" i="14" s="1"/>
  <c r="L283" i="14"/>
  <c r="R283" i="14" s="1"/>
  <c r="L314" i="14"/>
  <c r="R314" i="14" s="1"/>
  <c r="L384" i="14"/>
  <c r="R384" i="14" s="1"/>
  <c r="L385" i="14"/>
  <c r="R385" i="14" s="1"/>
  <c r="L415" i="14"/>
  <c r="R415" i="14" s="1"/>
  <c r="L453" i="14"/>
  <c r="R453" i="14" s="1"/>
  <c r="L459" i="14"/>
  <c r="R459" i="14" s="1"/>
  <c r="L396" i="14"/>
  <c r="R396" i="14" s="1"/>
  <c r="L458" i="14"/>
  <c r="R458" i="14" s="1"/>
  <c r="L317" i="14"/>
  <c r="R317" i="14" s="1"/>
  <c r="L323" i="14"/>
  <c r="R323" i="14" s="1"/>
  <c r="L324" i="14"/>
  <c r="R324" i="14" s="1"/>
  <c r="L418" i="14"/>
  <c r="R418" i="14" s="1"/>
  <c r="L341" i="14"/>
  <c r="R341" i="14" s="1"/>
  <c r="L315" i="14"/>
  <c r="R315" i="14" s="1"/>
  <c r="L253" i="14"/>
  <c r="R253" i="14" s="1"/>
  <c r="L319" i="14"/>
  <c r="R319" i="14" s="1"/>
  <c r="L265" i="14"/>
  <c r="R265" i="14" s="1"/>
  <c r="L322" i="14"/>
  <c r="R322" i="14" s="1"/>
  <c r="L393" i="14"/>
  <c r="R393" i="14" s="1"/>
  <c r="L455" i="14"/>
  <c r="R455" i="14" s="1"/>
  <c r="L278" i="14"/>
  <c r="R278" i="14" s="1"/>
  <c r="L255" i="14"/>
  <c r="R255" i="14" s="1"/>
  <c r="L436" i="14"/>
  <c r="R436" i="14" s="1"/>
  <c r="L466" i="14"/>
  <c r="R466" i="14" s="1"/>
  <c r="L293" i="14"/>
  <c r="R293" i="14" s="1"/>
  <c r="L299" i="14"/>
  <c r="R299" i="14" s="1"/>
  <c r="L267" i="14"/>
  <c r="R267" i="14" s="1"/>
  <c r="L298" i="14"/>
  <c r="R298" i="14" s="1"/>
  <c r="L368" i="14"/>
  <c r="R368" i="14" s="1"/>
  <c r="L465" i="14"/>
  <c r="R465" i="14" s="1"/>
  <c r="L302" i="14"/>
  <c r="R302" i="14" s="1"/>
  <c r="L258" i="14"/>
  <c r="R258" i="14" s="1"/>
  <c r="L392" i="14"/>
  <c r="R392" i="14" s="1"/>
  <c r="L494" i="14"/>
  <c r="R494" i="14" s="1"/>
  <c r="F425" i="14"/>
  <c r="L435" i="14"/>
  <c r="R435" i="14" s="1"/>
  <c r="L473" i="14"/>
  <c r="R473" i="14" s="1"/>
  <c r="L438" i="14"/>
  <c r="R438" i="14" s="1"/>
  <c r="F340" i="14"/>
  <c r="L444" i="14"/>
  <c r="R444" i="14" s="1"/>
  <c r="L295" i="14"/>
  <c r="R295" i="14" s="1"/>
  <c r="L365" i="14"/>
  <c r="R365" i="14" s="1"/>
  <c r="L339" i="14"/>
  <c r="R339" i="14" s="1"/>
  <c r="L276" i="14"/>
  <c r="R276" i="14" s="1"/>
  <c r="L306" i="14"/>
  <c r="R306" i="14" s="1"/>
  <c r="L344" i="14"/>
  <c r="R344" i="14" s="1"/>
  <c r="L460" i="14"/>
  <c r="R460" i="14" s="1"/>
  <c r="L311" i="14"/>
  <c r="R311" i="14" s="1"/>
  <c r="L381" i="14"/>
  <c r="R381" i="14" s="1"/>
  <c r="L470" i="14"/>
  <c r="R470" i="14" s="1"/>
  <c r="L260" i="14"/>
  <c r="R260" i="14" s="1"/>
  <c r="L354" i="14"/>
  <c r="R354" i="14" s="1"/>
  <c r="L488" i="14"/>
  <c r="R488" i="14" s="1"/>
  <c r="L462" i="14"/>
  <c r="R462" i="14" s="1"/>
  <c r="L307" i="14"/>
  <c r="R307" i="14" s="1"/>
  <c r="L345" i="14"/>
  <c r="R345" i="14" s="1"/>
  <c r="L484" i="14"/>
  <c r="R484" i="14" s="1"/>
  <c r="L474" i="14"/>
  <c r="R474" i="14" s="1"/>
  <c r="L485" i="14"/>
  <c r="R485" i="14" s="1"/>
  <c r="L349" i="14"/>
  <c r="R349" i="14" s="1"/>
  <c r="L373" i="14"/>
  <c r="R373" i="14" s="1"/>
  <c r="F268" i="14"/>
  <c r="F366" i="14"/>
  <c r="F449" i="14"/>
  <c r="F332" i="14"/>
  <c r="F471" i="14"/>
  <c r="F461" i="14"/>
  <c r="F481" i="14"/>
  <c r="F338" i="14"/>
  <c r="F346" i="14"/>
  <c r="F357" i="14"/>
  <c r="F284" i="14"/>
  <c r="F420" i="14"/>
  <c r="F290" i="14"/>
  <c r="F308" i="14"/>
  <c r="F257" i="14"/>
  <c r="F476" i="14"/>
  <c r="F431" i="14"/>
  <c r="F269" i="14"/>
  <c r="F416" i="14"/>
  <c r="F492" i="14"/>
  <c r="V94" i="10"/>
  <c r="M95" i="10"/>
  <c r="O444" i="14"/>
  <c r="U444" i="14" s="1"/>
  <c r="O385" i="14"/>
  <c r="U385" i="14" s="1"/>
  <c r="O367" i="14"/>
  <c r="U367" i="14" s="1"/>
  <c r="O370" i="14"/>
  <c r="U370" i="14" s="1"/>
  <c r="O344" i="14"/>
  <c r="U344" i="14" s="1"/>
  <c r="O452" i="14"/>
  <c r="U452" i="14" s="1"/>
  <c r="O413" i="14"/>
  <c r="U413" i="14" s="1"/>
  <c r="O395" i="14"/>
  <c r="U395" i="14" s="1"/>
  <c r="O345" i="14"/>
  <c r="U345" i="14" s="1"/>
  <c r="O290" i="14"/>
  <c r="U290" i="14" s="1"/>
  <c r="O264" i="14"/>
  <c r="U264" i="14" s="1"/>
  <c r="O278" i="14"/>
  <c r="U278" i="14" s="1"/>
  <c r="O442" i="14"/>
  <c r="U442" i="14" s="1"/>
  <c r="O480" i="14"/>
  <c r="U480" i="14" s="1"/>
  <c r="O315" i="14"/>
  <c r="U315" i="14" s="1"/>
  <c r="O329" i="14"/>
  <c r="U329" i="14" s="1"/>
  <c r="O481" i="14"/>
  <c r="U481" i="14" s="1"/>
  <c r="O463" i="14"/>
  <c r="U463" i="14" s="1"/>
  <c r="O466" i="14"/>
  <c r="U466" i="14" s="1"/>
  <c r="O440" i="14"/>
  <c r="U440" i="14" s="1"/>
  <c r="O422" i="14"/>
  <c r="U422" i="14" s="1"/>
  <c r="O383" i="14"/>
  <c r="U383" i="14" s="1"/>
  <c r="O464" i="14"/>
  <c r="U464" i="14" s="1"/>
  <c r="O446" i="14"/>
  <c r="U446" i="14" s="1"/>
  <c r="O303" i="14"/>
  <c r="U303" i="14" s="1"/>
  <c r="O488" i="14"/>
  <c r="U488" i="14" s="1"/>
  <c r="O291" i="14"/>
  <c r="U291" i="14" s="1"/>
  <c r="O292" i="14"/>
  <c r="U292" i="14" s="1"/>
  <c r="O493" i="14"/>
  <c r="U493" i="14" s="1"/>
  <c r="O411" i="14"/>
  <c r="U411" i="14" s="1"/>
  <c r="O425" i="14"/>
  <c r="U425" i="14" s="1"/>
  <c r="O375" i="14"/>
  <c r="U375" i="14" s="1"/>
  <c r="O276" i="14"/>
  <c r="U276" i="14" s="1"/>
  <c r="O391" i="14"/>
  <c r="U391" i="14" s="1"/>
  <c r="O325" i="14"/>
  <c r="U325" i="14" s="1"/>
  <c r="O307" i="14"/>
  <c r="U307" i="14" s="1"/>
  <c r="O324" i="14"/>
  <c r="U324" i="14" s="1"/>
  <c r="O477" i="14"/>
  <c r="U477" i="14" s="1"/>
  <c r="O459" i="14"/>
  <c r="U459" i="14" s="1"/>
  <c r="O473" i="14"/>
  <c r="U473" i="14" s="1"/>
  <c r="O354" i="14"/>
  <c r="U354" i="14" s="1"/>
  <c r="O328" i="14"/>
  <c r="U328" i="14" s="1"/>
  <c r="O484" i="14"/>
  <c r="U484" i="14" s="1"/>
  <c r="O281" i="14"/>
  <c r="U281" i="14" s="1"/>
  <c r="O288" i="14"/>
  <c r="U288" i="14" s="1"/>
  <c r="O471" i="14"/>
  <c r="U471" i="14" s="1"/>
  <c r="O372" i="14"/>
  <c r="U372" i="14" s="1"/>
  <c r="O332" i="14"/>
  <c r="U332" i="14" s="1"/>
  <c r="O421" i="14"/>
  <c r="U421" i="14" s="1"/>
  <c r="O403" i="14"/>
  <c r="U403" i="14" s="1"/>
  <c r="O305" i="14"/>
  <c r="U305" i="14" s="1"/>
  <c r="O265" i="14"/>
  <c r="U265" i="14" s="1"/>
  <c r="O272" i="14"/>
  <c r="U272" i="14" s="1"/>
  <c r="O254" i="14"/>
  <c r="U254" i="14" s="1"/>
  <c r="O450" i="14"/>
  <c r="U450" i="14" s="1"/>
  <c r="O424" i="14"/>
  <c r="U424" i="14" s="1"/>
  <c r="O438" i="14"/>
  <c r="U438" i="14" s="1"/>
  <c r="O479" i="14"/>
  <c r="U479" i="14" s="1"/>
  <c r="O301" i="14"/>
  <c r="U301" i="14" s="1"/>
  <c r="O347" i="14"/>
  <c r="U347" i="14" s="1"/>
  <c r="O311" i="14"/>
  <c r="U311" i="14" s="1"/>
  <c r="O472" i="14"/>
  <c r="U472" i="14" s="1"/>
  <c r="O271" i="14"/>
  <c r="U271" i="14" s="1"/>
  <c r="O418" i="14"/>
  <c r="U418" i="14" s="1"/>
  <c r="O406" i="14"/>
  <c r="U406" i="14" s="1"/>
  <c r="O457" i="14"/>
  <c r="U457" i="14" s="1"/>
  <c r="O455" i="14"/>
  <c r="U455" i="14" s="1"/>
  <c r="O381" i="14"/>
  <c r="U381" i="14" s="1"/>
  <c r="O405" i="14"/>
  <c r="U405" i="14" s="1"/>
  <c r="O282" i="14"/>
  <c r="U282" i="14" s="1"/>
  <c r="O283" i="14"/>
  <c r="U283" i="14" s="1"/>
  <c r="O453" i="14"/>
  <c r="U453" i="14" s="1"/>
  <c r="O369" i="14"/>
  <c r="U369" i="14" s="1"/>
  <c r="O286" i="14"/>
  <c r="U286" i="14" s="1"/>
  <c r="O456" i="14"/>
  <c r="U456" i="14" s="1"/>
  <c r="O416" i="14"/>
  <c r="U416" i="14" s="1"/>
  <c r="O289" i="14"/>
  <c r="U289" i="14" s="1"/>
  <c r="O279" i="14"/>
  <c r="U279" i="14" s="1"/>
  <c r="O400" i="14"/>
  <c r="U400" i="14" s="1"/>
  <c r="O341" i="14"/>
  <c r="U341" i="14" s="1"/>
  <c r="O475" i="14"/>
  <c r="U475" i="14" s="1"/>
  <c r="O316" i="14"/>
  <c r="U316" i="14" s="1"/>
  <c r="O468" i="14"/>
  <c r="U468" i="14" s="1"/>
  <c r="O313" i="14"/>
  <c r="U313" i="14" s="1"/>
  <c r="O273" i="14"/>
  <c r="U273" i="14" s="1"/>
  <c r="O371" i="14"/>
  <c r="U371" i="14" s="1"/>
  <c r="O447" i="14"/>
  <c r="U447" i="14" s="1"/>
  <c r="O285" i="14"/>
  <c r="U285" i="14" s="1"/>
  <c r="O478" i="14"/>
  <c r="U478" i="14" s="1"/>
  <c r="O300" i="14"/>
  <c r="U300" i="14" s="1"/>
  <c r="O437" i="14"/>
  <c r="U437" i="14" s="1"/>
  <c r="O451" i="14"/>
  <c r="U451" i="14" s="1"/>
  <c r="O401" i="14"/>
  <c r="U401" i="14" s="1"/>
  <c r="O314" i="14"/>
  <c r="U314" i="14" s="1"/>
  <c r="O352" i="14"/>
  <c r="U352" i="14" s="1"/>
  <c r="O398" i="14"/>
  <c r="U398" i="14" s="1"/>
  <c r="O412" i="14"/>
  <c r="U412" i="14" s="1"/>
  <c r="O353" i="14"/>
  <c r="U353" i="14" s="1"/>
  <c r="O335" i="14"/>
  <c r="U335" i="14" s="1"/>
  <c r="O338" i="14"/>
  <c r="U338" i="14" s="1"/>
  <c r="O312" i="14"/>
  <c r="U312" i="14" s="1"/>
  <c r="O294" i="14"/>
  <c r="U294" i="14" s="1"/>
  <c r="O426" i="14"/>
  <c r="U426" i="14" s="1"/>
  <c r="O336" i="14"/>
  <c r="U336" i="14" s="1"/>
  <c r="O318" i="14"/>
  <c r="U318" i="14" s="1"/>
  <c r="O386" i="14"/>
  <c r="U386" i="14" s="1"/>
  <c r="O360" i="14"/>
  <c r="U360" i="14" s="1"/>
  <c r="O374" i="14"/>
  <c r="U374" i="14" s="1"/>
  <c r="O351" i="14"/>
  <c r="U351" i="14" s="1"/>
  <c r="O365" i="14"/>
  <c r="U365" i="14" s="1"/>
  <c r="O494" i="14"/>
  <c r="U494" i="14" s="1"/>
  <c r="O297" i="14"/>
  <c r="U297" i="14" s="1"/>
  <c r="O449" i="14"/>
  <c r="U449" i="14" s="1"/>
  <c r="O431" i="14"/>
  <c r="U431" i="14" s="1"/>
  <c r="O434" i="14"/>
  <c r="U434" i="14" s="1"/>
  <c r="O408" i="14"/>
  <c r="U408" i="14" s="1"/>
  <c r="O390" i="14"/>
  <c r="U390" i="14" s="1"/>
  <c r="O319" i="14"/>
  <c r="U319" i="14" s="1"/>
  <c r="O349" i="14"/>
  <c r="U349" i="14" s="1"/>
  <c r="O331" i="14"/>
  <c r="U331" i="14" s="1"/>
  <c r="O428" i="14"/>
  <c r="U428" i="14" s="1"/>
  <c r="O257" i="14"/>
  <c r="U257" i="14" s="1"/>
  <c r="O387" i="14"/>
  <c r="U387" i="14" s="1"/>
  <c r="O259" i="14"/>
  <c r="U259" i="14" s="1"/>
  <c r="O461" i="14"/>
  <c r="U461" i="14" s="1"/>
  <c r="O379" i="14"/>
  <c r="U379" i="14" s="1"/>
  <c r="O393" i="14"/>
  <c r="U393" i="14" s="1"/>
  <c r="O343" i="14"/>
  <c r="U343" i="14" s="1"/>
  <c r="O275" i="14"/>
  <c r="U275" i="14" s="1"/>
  <c r="O327" i="14"/>
  <c r="U327" i="14" s="1"/>
  <c r="O293" i="14"/>
  <c r="U293" i="14" s="1"/>
  <c r="O486" i="14"/>
  <c r="U486" i="14" s="1"/>
  <c r="O260" i="14"/>
  <c r="U260" i="14" s="1"/>
  <c r="O445" i="14"/>
  <c r="U445" i="14" s="1"/>
  <c r="O427" i="14"/>
  <c r="U427" i="14" s="1"/>
  <c r="O409" i="14"/>
  <c r="U409" i="14" s="1"/>
  <c r="O322" i="14"/>
  <c r="U322" i="14" s="1"/>
  <c r="O296" i="14"/>
  <c r="U296" i="14" s="1"/>
  <c r="O310" i="14"/>
  <c r="U310" i="14" s="1"/>
  <c r="O474" i="14"/>
  <c r="U474" i="14" s="1"/>
  <c r="O384" i="14"/>
  <c r="U384" i="14" s="1"/>
  <c r="O430" i="14"/>
  <c r="U430" i="14" s="1"/>
  <c r="O361" i="14"/>
  <c r="U361" i="14" s="1"/>
  <c r="O287" i="14"/>
  <c r="U287" i="14" s="1"/>
  <c r="O326" i="14"/>
  <c r="U326" i="14" s="1"/>
  <c r="O392" i="14"/>
  <c r="U392" i="14" s="1"/>
  <c r="O397" i="14"/>
  <c r="U397" i="14" s="1"/>
  <c r="O407" i="14"/>
  <c r="U407" i="14" s="1"/>
  <c r="O357" i="14"/>
  <c r="U357" i="14" s="1"/>
  <c r="O339" i="14"/>
  <c r="U339" i="14" s="1"/>
  <c r="O363" i="14"/>
  <c r="U363" i="14" s="1"/>
  <c r="O419" i="14"/>
  <c r="U419" i="14" s="1"/>
  <c r="O320" i="14"/>
  <c r="U320" i="14" s="1"/>
  <c r="O404" i="14"/>
  <c r="U404" i="14" s="1"/>
  <c r="O435" i="14"/>
  <c r="U435" i="14" s="1"/>
  <c r="O304" i="14"/>
  <c r="U304" i="14" s="1"/>
  <c r="O342" i="14"/>
  <c r="U342" i="14" s="1"/>
  <c r="O348" i="14"/>
  <c r="U348" i="14" s="1"/>
  <c r="O274" i="14"/>
  <c r="U274" i="14" s="1"/>
  <c r="O362" i="14"/>
  <c r="U362" i="14" s="1"/>
  <c r="O423" i="14"/>
  <c r="U423" i="14" s="1"/>
  <c r="O420" i="14"/>
  <c r="U420" i="14" s="1"/>
  <c r="O489" i="14"/>
  <c r="U489" i="14" s="1"/>
  <c r="O439" i="14"/>
  <c r="U439" i="14" s="1"/>
  <c r="O340" i="14"/>
  <c r="U340" i="14" s="1"/>
  <c r="O268" i="14"/>
  <c r="U268" i="14" s="1"/>
  <c r="O389" i="14"/>
  <c r="U389" i="14" s="1"/>
  <c r="O454" i="14"/>
  <c r="U454" i="14" s="1"/>
  <c r="O458" i="14"/>
  <c r="U458" i="14" s="1"/>
  <c r="O368" i="14"/>
  <c r="U368" i="14" s="1"/>
  <c r="O350" i="14"/>
  <c r="U350" i="14" s="1"/>
  <c r="O359" i="14"/>
  <c r="U359" i="14" s="1"/>
  <c r="O309" i="14"/>
  <c r="U309" i="14" s="1"/>
  <c r="O323" i="14"/>
  <c r="U323" i="14" s="1"/>
  <c r="O356" i="14"/>
  <c r="U356" i="14" s="1"/>
  <c r="O255" i="14"/>
  <c r="U255" i="14" s="1"/>
  <c r="O270" i="14"/>
  <c r="U270" i="14" s="1"/>
  <c r="O284" i="14"/>
  <c r="U284" i="14" s="1"/>
  <c r="O436" i="14"/>
  <c r="U436" i="14" s="1"/>
  <c r="O460" i="14"/>
  <c r="U460" i="14" s="1"/>
  <c r="O485" i="14"/>
  <c r="U485" i="14" s="1"/>
  <c r="O467" i="14"/>
  <c r="U467" i="14" s="1"/>
  <c r="O433" i="14"/>
  <c r="U433" i="14" s="1"/>
  <c r="O298" i="14"/>
  <c r="U298" i="14" s="1"/>
  <c r="O491" i="14"/>
  <c r="U491" i="14" s="1"/>
  <c r="O492" i="14"/>
  <c r="U492" i="14" s="1"/>
  <c r="O258" i="14"/>
  <c r="U258" i="14" s="1"/>
  <c r="O263" i="14"/>
  <c r="U263" i="14" s="1"/>
  <c r="O277" i="14"/>
  <c r="U277" i="14" s="1"/>
  <c r="O410" i="14"/>
  <c r="U410" i="14" s="1"/>
  <c r="O448" i="14"/>
  <c r="U448" i="14" s="1"/>
  <c r="O366" i="14"/>
  <c r="U366" i="14" s="1"/>
  <c r="O380" i="14"/>
  <c r="U380" i="14" s="1"/>
  <c r="O321" i="14"/>
  <c r="U321" i="14" s="1"/>
  <c r="O441" i="14"/>
  <c r="U441" i="14" s="1"/>
  <c r="O306" i="14"/>
  <c r="U306" i="14" s="1"/>
  <c r="O280" i="14"/>
  <c r="U280" i="14" s="1"/>
  <c r="O262" i="14"/>
  <c r="U262" i="14" s="1"/>
  <c r="O394" i="14"/>
  <c r="U394" i="14" s="1"/>
  <c r="O432" i="14"/>
  <c r="U432" i="14" s="1"/>
  <c r="O414" i="14"/>
  <c r="U414" i="14" s="1"/>
  <c r="O487" i="14"/>
  <c r="U487" i="14" s="1"/>
  <c r="O373" i="14"/>
  <c r="U373" i="14" s="1"/>
  <c r="O470" i="14"/>
  <c r="U470" i="14" s="1"/>
  <c r="O295" i="14"/>
  <c r="U295" i="14" s="1"/>
  <c r="O333" i="14"/>
  <c r="U333" i="14" s="1"/>
  <c r="O462" i="14"/>
  <c r="U462" i="14" s="1"/>
  <c r="O476" i="14"/>
  <c r="U476" i="14" s="1"/>
  <c r="O417" i="14"/>
  <c r="U417" i="14" s="1"/>
  <c r="O399" i="14"/>
  <c r="U399" i="14" s="1"/>
  <c r="O402" i="14"/>
  <c r="U402" i="14" s="1"/>
  <c r="O376" i="14"/>
  <c r="U376" i="14" s="1"/>
  <c r="O358" i="14"/>
  <c r="U358" i="14" s="1"/>
  <c r="O490" i="14"/>
  <c r="U490" i="14" s="1"/>
  <c r="O317" i="14"/>
  <c r="U317" i="14" s="1"/>
  <c r="O299" i="14"/>
  <c r="U299" i="14" s="1"/>
  <c r="O364" i="14"/>
  <c r="U364" i="14" s="1"/>
  <c r="O469" i="14"/>
  <c r="U469" i="14" s="1"/>
  <c r="O483" i="14"/>
  <c r="U483" i="14" s="1"/>
  <c r="O465" i="14"/>
  <c r="U465" i="14" s="1"/>
  <c r="O346" i="14"/>
  <c r="U346" i="14" s="1"/>
  <c r="O256" i="14"/>
  <c r="U256" i="14" s="1"/>
  <c r="O302" i="14"/>
  <c r="U302" i="14" s="1"/>
  <c r="O495" i="14"/>
  <c r="U495" i="14" s="1"/>
  <c r="O330" i="14"/>
  <c r="U330" i="14" s="1"/>
  <c r="O253" i="14"/>
  <c r="U253" i="14" s="1"/>
  <c r="O415" i="14"/>
  <c r="U415" i="14" s="1"/>
  <c r="O443" i="14"/>
  <c r="U443" i="14" s="1"/>
  <c r="O308" i="14"/>
  <c r="U308" i="14" s="1"/>
  <c r="O388" i="14"/>
  <c r="U388" i="14" s="1"/>
  <c r="O267" i="14"/>
  <c r="U267" i="14" s="1"/>
  <c r="O337" i="14"/>
  <c r="U337" i="14" s="1"/>
  <c r="O269" i="14"/>
  <c r="U269" i="14" s="1"/>
  <c r="O396" i="14"/>
  <c r="U396" i="14" s="1"/>
  <c r="O266" i="14"/>
  <c r="U266" i="14" s="1"/>
  <c r="O482" i="14"/>
  <c r="U482" i="14" s="1"/>
  <c r="O378" i="14"/>
  <c r="U378" i="14" s="1"/>
  <c r="O334" i="14"/>
  <c r="U334" i="14" s="1"/>
  <c r="O377" i="14"/>
  <c r="U377" i="14" s="1"/>
  <c r="O261" i="14"/>
  <c r="U261" i="14" s="1"/>
  <c r="O382" i="14"/>
  <c r="U382" i="14" s="1"/>
  <c r="O355" i="14"/>
  <c r="U355" i="14" s="1"/>
  <c r="O429" i="14"/>
  <c r="U429" i="14" s="1"/>
  <c r="N476" i="14"/>
  <c r="T476" i="14" s="1"/>
  <c r="N263" i="14"/>
  <c r="T263" i="14" s="1"/>
  <c r="N285" i="14"/>
  <c r="T285" i="14" s="1"/>
  <c r="N267" i="14"/>
  <c r="T267" i="14" s="1"/>
  <c r="N289" i="14"/>
  <c r="T289" i="14" s="1"/>
  <c r="N287" i="14"/>
  <c r="T287" i="14" s="1"/>
  <c r="N277" i="14"/>
  <c r="T277" i="14" s="1"/>
  <c r="N259" i="14"/>
  <c r="T259" i="14" s="1"/>
  <c r="N388" i="14"/>
  <c r="T388" i="14" s="1"/>
  <c r="N461" i="14"/>
  <c r="T461" i="14" s="1"/>
  <c r="N379" i="14"/>
  <c r="T379" i="14" s="1"/>
  <c r="N337" i="14"/>
  <c r="T337" i="14" s="1"/>
  <c r="N272" i="14"/>
  <c r="T272" i="14" s="1"/>
  <c r="N262" i="14"/>
  <c r="T262" i="14" s="1"/>
  <c r="N470" i="14"/>
  <c r="T470" i="14" s="1"/>
  <c r="N366" i="14"/>
  <c r="T366" i="14" s="1"/>
  <c r="N291" i="14"/>
  <c r="T291" i="14" s="1"/>
  <c r="N283" i="14"/>
  <c r="T283" i="14" s="1"/>
  <c r="N288" i="14"/>
  <c r="T288" i="14" s="1"/>
  <c r="N359" i="14"/>
  <c r="T359" i="14" s="1"/>
  <c r="N381" i="14"/>
  <c r="T381" i="14" s="1"/>
  <c r="N363" i="14"/>
  <c r="T363" i="14" s="1"/>
  <c r="N385" i="14"/>
  <c r="T385" i="14" s="1"/>
  <c r="N383" i="14"/>
  <c r="T383" i="14" s="1"/>
  <c r="N373" i="14"/>
  <c r="T373" i="14" s="1"/>
  <c r="N355" i="14"/>
  <c r="T355" i="14" s="1"/>
  <c r="N441" i="14"/>
  <c r="T441" i="14" s="1"/>
  <c r="N311" i="14"/>
  <c r="T311" i="14" s="1"/>
  <c r="N301" i="14"/>
  <c r="T301" i="14" s="1"/>
  <c r="N478" i="14"/>
  <c r="T478" i="14" s="1"/>
  <c r="N380" i="14"/>
  <c r="T380" i="14" s="1"/>
  <c r="N453" i="14"/>
  <c r="T453" i="14" s="1"/>
  <c r="N435" i="14"/>
  <c r="T435" i="14" s="1"/>
  <c r="N393" i="14"/>
  <c r="T393" i="14" s="1"/>
  <c r="N472" i="14"/>
  <c r="T472" i="14" s="1"/>
  <c r="N464" i="14"/>
  <c r="T464" i="14" s="1"/>
  <c r="N274" i="14"/>
  <c r="T274" i="14" s="1"/>
  <c r="N457" i="14"/>
  <c r="T457" i="14" s="1"/>
  <c r="N327" i="14"/>
  <c r="T327" i="14" s="1"/>
  <c r="N254" i="14"/>
  <c r="T254" i="14" s="1"/>
  <c r="N398" i="14"/>
  <c r="T398" i="14" s="1"/>
  <c r="N396" i="14"/>
  <c r="T396" i="14" s="1"/>
  <c r="N386" i="14"/>
  <c r="T386" i="14" s="1"/>
  <c r="N451" i="14"/>
  <c r="T451" i="14" s="1"/>
  <c r="N409" i="14"/>
  <c r="T409" i="14" s="1"/>
  <c r="N407" i="14"/>
  <c r="T407" i="14" s="1"/>
  <c r="N397" i="14"/>
  <c r="T397" i="14" s="1"/>
  <c r="N443" i="14"/>
  <c r="T443" i="14" s="1"/>
  <c r="N401" i="14"/>
  <c r="T401" i="14" s="1"/>
  <c r="N303" i="14"/>
  <c r="T303" i="14" s="1"/>
  <c r="N293" i="14"/>
  <c r="T293" i="14" s="1"/>
  <c r="N275" i="14"/>
  <c r="T275" i="14" s="1"/>
  <c r="N266" i="14"/>
  <c r="T266" i="14" s="1"/>
  <c r="N449" i="14"/>
  <c r="T449" i="14" s="1"/>
  <c r="N282" i="14"/>
  <c r="T282" i="14" s="1"/>
  <c r="N414" i="14"/>
  <c r="T414" i="14" s="1"/>
  <c r="N299" i="14"/>
  <c r="T299" i="14" s="1"/>
  <c r="N294" i="14"/>
  <c r="T294" i="14" s="1"/>
  <c r="N286" i="14"/>
  <c r="T286" i="14" s="1"/>
  <c r="N276" i="14"/>
  <c r="T276" i="14" s="1"/>
  <c r="N436" i="14"/>
  <c r="T436" i="14" s="1"/>
  <c r="N458" i="14"/>
  <c r="T458" i="14" s="1"/>
  <c r="N440" i="14"/>
  <c r="T440" i="14" s="1"/>
  <c r="N462" i="14"/>
  <c r="T462" i="14" s="1"/>
  <c r="N460" i="14"/>
  <c r="T460" i="14" s="1"/>
  <c r="N450" i="14"/>
  <c r="T450" i="14" s="1"/>
  <c r="N432" i="14"/>
  <c r="T432" i="14" s="1"/>
  <c r="N390" i="14"/>
  <c r="T390" i="14" s="1"/>
  <c r="N471" i="14"/>
  <c r="T471" i="14" s="1"/>
  <c r="N333" i="14"/>
  <c r="T333" i="14" s="1"/>
  <c r="N284" i="14"/>
  <c r="T284" i="14" s="1"/>
  <c r="N412" i="14"/>
  <c r="T412" i="14" s="1"/>
  <c r="N402" i="14"/>
  <c r="T402" i="14" s="1"/>
  <c r="N384" i="14"/>
  <c r="T384" i="14" s="1"/>
  <c r="N342" i="14"/>
  <c r="T342" i="14" s="1"/>
  <c r="N340" i="14"/>
  <c r="T340" i="14" s="1"/>
  <c r="N321" i="14"/>
  <c r="T321" i="14" s="1"/>
  <c r="N377" i="14"/>
  <c r="T377" i="14" s="1"/>
  <c r="N369" i="14"/>
  <c r="T369" i="14" s="1"/>
  <c r="N468" i="14"/>
  <c r="T468" i="14" s="1"/>
  <c r="N264" i="14"/>
  <c r="T264" i="14" s="1"/>
  <c r="N253" i="14"/>
  <c r="T253" i="14" s="1"/>
  <c r="N268" i="14"/>
  <c r="T268" i="14" s="1"/>
  <c r="N257" i="14"/>
  <c r="T257" i="14" s="1"/>
  <c r="N255" i="14"/>
  <c r="T255" i="14" s="1"/>
  <c r="N278" i="14"/>
  <c r="T278" i="14" s="1"/>
  <c r="N260" i="14"/>
  <c r="T260" i="14" s="1"/>
  <c r="N313" i="14"/>
  <c r="T313" i="14" s="1"/>
  <c r="N474" i="14"/>
  <c r="T474" i="14" s="1"/>
  <c r="N392" i="14"/>
  <c r="T392" i="14" s="1"/>
  <c r="N350" i="14"/>
  <c r="T350" i="14" s="1"/>
  <c r="N463" i="14"/>
  <c r="T463" i="14" s="1"/>
  <c r="N325" i="14"/>
  <c r="T325" i="14" s="1"/>
  <c r="N307" i="14"/>
  <c r="T307" i="14" s="1"/>
  <c r="N265" i="14"/>
  <c r="T265" i="14" s="1"/>
  <c r="N494" i="14"/>
  <c r="T494" i="14" s="1"/>
  <c r="N420" i="14"/>
  <c r="T420" i="14" s="1"/>
  <c r="N271" i="14"/>
  <c r="T271" i="14" s="1"/>
  <c r="N492" i="14"/>
  <c r="T492" i="14" s="1"/>
  <c r="N394" i="14"/>
  <c r="T394" i="14" s="1"/>
  <c r="N376" i="14"/>
  <c r="T376" i="14" s="1"/>
  <c r="N481" i="14"/>
  <c r="T481" i="14" s="1"/>
  <c r="N479" i="14"/>
  <c r="T479" i="14" s="1"/>
  <c r="N469" i="14"/>
  <c r="T469" i="14" s="1"/>
  <c r="N323" i="14"/>
  <c r="T323" i="14" s="1"/>
  <c r="N281" i="14"/>
  <c r="T281" i="14" s="1"/>
  <c r="N279" i="14"/>
  <c r="T279" i="14" s="1"/>
  <c r="N269" i="14"/>
  <c r="T269" i="14" s="1"/>
  <c r="N315" i="14"/>
  <c r="T315" i="14" s="1"/>
  <c r="N273" i="14"/>
  <c r="T273" i="14" s="1"/>
  <c r="N466" i="14"/>
  <c r="T466" i="14" s="1"/>
  <c r="N448" i="14"/>
  <c r="T448" i="14" s="1"/>
  <c r="N406" i="14"/>
  <c r="T406" i="14" s="1"/>
  <c r="N354" i="14"/>
  <c r="T354" i="14" s="1"/>
  <c r="N375" i="14"/>
  <c r="T375" i="14" s="1"/>
  <c r="N444" i="14"/>
  <c r="T444" i="14" s="1"/>
  <c r="N362" i="14"/>
  <c r="T362" i="14" s="1"/>
  <c r="N447" i="14"/>
  <c r="T447" i="14" s="1"/>
  <c r="N292" i="14"/>
  <c r="T292" i="14" s="1"/>
  <c r="N316" i="14"/>
  <c r="T316" i="14" s="1"/>
  <c r="N329" i="14"/>
  <c r="T329" i="14" s="1"/>
  <c r="N308" i="14"/>
  <c r="T308" i="14" s="1"/>
  <c r="N330" i="14"/>
  <c r="T330" i="14" s="1"/>
  <c r="N312" i="14"/>
  <c r="T312" i="14" s="1"/>
  <c r="N334" i="14"/>
  <c r="T334" i="14" s="1"/>
  <c r="N332" i="14"/>
  <c r="T332" i="14" s="1"/>
  <c r="N322" i="14"/>
  <c r="T322" i="14" s="1"/>
  <c r="N304" i="14"/>
  <c r="T304" i="14" s="1"/>
  <c r="N473" i="14"/>
  <c r="T473" i="14" s="1"/>
  <c r="N343" i="14"/>
  <c r="T343" i="14" s="1"/>
  <c r="N424" i="14"/>
  <c r="T424" i="14" s="1"/>
  <c r="N382" i="14"/>
  <c r="T382" i="14" s="1"/>
  <c r="N495" i="14"/>
  <c r="T495" i="14" s="1"/>
  <c r="N485" i="14"/>
  <c r="T485" i="14" s="1"/>
  <c r="N467" i="14"/>
  <c r="T467" i="14" s="1"/>
  <c r="N425" i="14"/>
  <c r="T425" i="14" s="1"/>
  <c r="N490" i="14"/>
  <c r="T490" i="14" s="1"/>
  <c r="N319" i="14"/>
  <c r="T319" i="14" s="1"/>
  <c r="N280" i="14"/>
  <c r="T280" i="14" s="1"/>
  <c r="N399" i="14"/>
  <c r="T399" i="14" s="1"/>
  <c r="N404" i="14"/>
  <c r="T404" i="14" s="1"/>
  <c r="N426" i="14"/>
  <c r="T426" i="14" s="1"/>
  <c r="N408" i="14"/>
  <c r="T408" i="14" s="1"/>
  <c r="N430" i="14"/>
  <c r="T430" i="14" s="1"/>
  <c r="N428" i="14"/>
  <c r="T428" i="14" s="1"/>
  <c r="N418" i="14"/>
  <c r="T418" i="14" s="1"/>
  <c r="N400" i="14"/>
  <c r="T400" i="14" s="1"/>
  <c r="N486" i="14"/>
  <c r="T486" i="14" s="1"/>
  <c r="N356" i="14"/>
  <c r="T356" i="14" s="1"/>
  <c r="N346" i="14"/>
  <c r="T346" i="14" s="1"/>
  <c r="N475" i="14"/>
  <c r="T475" i="14" s="1"/>
  <c r="N433" i="14"/>
  <c r="T433" i="14" s="1"/>
  <c r="N335" i="14"/>
  <c r="T335" i="14" s="1"/>
  <c r="N480" i="14"/>
  <c r="T480" i="14" s="1"/>
  <c r="N438" i="14"/>
  <c r="T438" i="14" s="1"/>
  <c r="N484" i="14"/>
  <c r="T484" i="14" s="1"/>
  <c r="N364" i="14"/>
  <c r="T364" i="14" s="1"/>
  <c r="N410" i="14"/>
  <c r="T410" i="14" s="1"/>
  <c r="N261" i="14"/>
  <c r="T261" i="14" s="1"/>
  <c r="N372" i="14"/>
  <c r="T372" i="14" s="1"/>
  <c r="N477" i="14"/>
  <c r="T477" i="14" s="1"/>
  <c r="N459" i="14"/>
  <c r="T459" i="14" s="1"/>
  <c r="N353" i="14"/>
  <c r="T353" i="14" s="1"/>
  <c r="N351" i="14"/>
  <c r="T351" i="14" s="1"/>
  <c r="N341" i="14"/>
  <c r="T341" i="14" s="1"/>
  <c r="N454" i="14"/>
  <c r="T454" i="14" s="1"/>
  <c r="N452" i="14"/>
  <c r="T452" i="14" s="1"/>
  <c r="N442" i="14"/>
  <c r="T442" i="14" s="1"/>
  <c r="N488" i="14"/>
  <c r="T488" i="14" s="1"/>
  <c r="N446" i="14"/>
  <c r="T446" i="14" s="1"/>
  <c r="N348" i="14"/>
  <c r="T348" i="14" s="1"/>
  <c r="N338" i="14"/>
  <c r="T338" i="14" s="1"/>
  <c r="N320" i="14"/>
  <c r="T320" i="14" s="1"/>
  <c r="N489" i="14"/>
  <c r="T489" i="14" s="1"/>
  <c r="N423" i="14"/>
  <c r="T423" i="14" s="1"/>
  <c r="N336" i="14"/>
  <c r="T336" i="14" s="1"/>
  <c r="N365" i="14"/>
  <c r="T365" i="14" s="1"/>
  <c r="N434" i="14"/>
  <c r="T434" i="14" s="1"/>
  <c r="N445" i="14"/>
  <c r="T445" i="14" s="1"/>
  <c r="N437" i="14"/>
  <c r="T437" i="14" s="1"/>
  <c r="N493" i="14"/>
  <c r="T493" i="14" s="1"/>
  <c r="N306" i="14"/>
  <c r="T306" i="14" s="1"/>
  <c r="N391" i="14"/>
  <c r="T391" i="14" s="1"/>
  <c r="N413" i="14"/>
  <c r="T413" i="14" s="1"/>
  <c r="N395" i="14"/>
  <c r="T395" i="14" s="1"/>
  <c r="N417" i="14"/>
  <c r="T417" i="14" s="1"/>
  <c r="N415" i="14"/>
  <c r="T415" i="14" s="1"/>
  <c r="N405" i="14"/>
  <c r="T405" i="14" s="1"/>
  <c r="N387" i="14"/>
  <c r="T387" i="14" s="1"/>
  <c r="N345" i="14"/>
  <c r="T345" i="14" s="1"/>
  <c r="N378" i="14"/>
  <c r="T378" i="14" s="1"/>
  <c r="N296" i="14"/>
  <c r="T296" i="14" s="1"/>
  <c r="N465" i="14"/>
  <c r="T465" i="14" s="1"/>
  <c r="N367" i="14"/>
  <c r="T367" i="14" s="1"/>
  <c r="N357" i="14"/>
  <c r="T357" i="14" s="1"/>
  <c r="N339" i="14"/>
  <c r="T339" i="14" s="1"/>
  <c r="N297" i="14"/>
  <c r="T297" i="14" s="1"/>
  <c r="N427" i="14"/>
  <c r="T427" i="14" s="1"/>
  <c r="N309" i="14"/>
  <c r="T309" i="14" s="1"/>
  <c r="N270" i="14"/>
  <c r="T270" i="14" s="1"/>
  <c r="N389" i="14"/>
  <c r="T389" i="14" s="1"/>
  <c r="N487" i="14"/>
  <c r="T487" i="14" s="1"/>
  <c r="N298" i="14"/>
  <c r="T298" i="14" s="1"/>
  <c r="N491" i="14"/>
  <c r="T491" i="14" s="1"/>
  <c r="N302" i="14"/>
  <c r="T302" i="14" s="1"/>
  <c r="N300" i="14"/>
  <c r="T300" i="14" s="1"/>
  <c r="N290" i="14"/>
  <c r="T290" i="14" s="1"/>
  <c r="N483" i="14"/>
  <c r="T483" i="14" s="1"/>
  <c r="N358" i="14"/>
  <c r="T358" i="14" s="1"/>
  <c r="N439" i="14"/>
  <c r="T439" i="14" s="1"/>
  <c r="N429" i="14"/>
  <c r="T429" i="14" s="1"/>
  <c r="N347" i="14"/>
  <c r="T347" i="14" s="1"/>
  <c r="N305" i="14"/>
  <c r="T305" i="14" s="1"/>
  <c r="N370" i="14"/>
  <c r="T370" i="14" s="1"/>
  <c r="N352" i="14"/>
  <c r="T352" i="14" s="1"/>
  <c r="N310" i="14"/>
  <c r="T310" i="14" s="1"/>
  <c r="N295" i="14"/>
  <c r="T295" i="14" s="1"/>
  <c r="N482" i="14"/>
  <c r="T482" i="14" s="1"/>
  <c r="N456" i="14"/>
  <c r="T456" i="14" s="1"/>
  <c r="N371" i="14"/>
  <c r="T371" i="14" s="1"/>
  <c r="N455" i="14"/>
  <c r="T455" i="14" s="1"/>
  <c r="N349" i="14"/>
  <c r="T349" i="14" s="1"/>
  <c r="N331" i="14"/>
  <c r="T331" i="14" s="1"/>
  <c r="N258" i="14"/>
  <c r="T258" i="14" s="1"/>
  <c r="N256" i="14"/>
  <c r="T256" i="14" s="1"/>
  <c r="N368" i="14"/>
  <c r="T368" i="14" s="1"/>
  <c r="N326" i="14"/>
  <c r="T326" i="14" s="1"/>
  <c r="N324" i="14"/>
  <c r="T324" i="14" s="1"/>
  <c r="N314" i="14"/>
  <c r="T314" i="14" s="1"/>
  <c r="N360" i="14"/>
  <c r="T360" i="14" s="1"/>
  <c r="N318" i="14"/>
  <c r="T318" i="14" s="1"/>
  <c r="N431" i="14"/>
  <c r="T431" i="14" s="1"/>
  <c r="N421" i="14"/>
  <c r="T421" i="14" s="1"/>
  <c r="N403" i="14"/>
  <c r="T403" i="14" s="1"/>
  <c r="N361" i="14"/>
  <c r="T361" i="14" s="1"/>
  <c r="N344" i="14"/>
  <c r="T344" i="14" s="1"/>
  <c r="N422" i="14"/>
  <c r="T422" i="14" s="1"/>
  <c r="N411" i="14"/>
  <c r="T411" i="14" s="1"/>
  <c r="N374" i="14"/>
  <c r="T374" i="14" s="1"/>
  <c r="N317" i="14"/>
  <c r="T317" i="14" s="1"/>
  <c r="N419" i="14"/>
  <c r="T419" i="14" s="1"/>
  <c r="N328" i="14"/>
  <c r="T328" i="14" s="1"/>
  <c r="N416" i="14"/>
  <c r="T416" i="14" s="1"/>
  <c r="M426" i="14"/>
  <c r="S426" i="14" s="1"/>
  <c r="M292" i="14"/>
  <c r="S292" i="14" s="1"/>
  <c r="M275" i="14"/>
  <c r="S275" i="14" s="1"/>
  <c r="M409" i="14"/>
  <c r="S409" i="14" s="1"/>
  <c r="M418" i="14"/>
  <c r="S418" i="14" s="1"/>
  <c r="M479" i="14"/>
  <c r="S479" i="14" s="1"/>
  <c r="M299" i="14"/>
  <c r="S299" i="14" s="1"/>
  <c r="M401" i="14"/>
  <c r="S401" i="14" s="1"/>
  <c r="M346" i="14"/>
  <c r="S346" i="14" s="1"/>
  <c r="M255" i="14"/>
  <c r="S255" i="14" s="1"/>
  <c r="M407" i="14"/>
  <c r="S407" i="14" s="1"/>
  <c r="M487" i="14"/>
  <c r="S487" i="14" s="1"/>
  <c r="M261" i="14"/>
  <c r="S261" i="14" s="1"/>
  <c r="M443" i="14"/>
  <c r="S443" i="14" s="1"/>
  <c r="M481" i="14"/>
  <c r="S481" i="14" s="1"/>
  <c r="M313" i="14"/>
  <c r="S313" i="14" s="1"/>
  <c r="M380" i="14"/>
  <c r="S380" i="14" s="1"/>
  <c r="M361" i="14"/>
  <c r="S361" i="14" s="1"/>
  <c r="M257" i="14"/>
  <c r="S257" i="14" s="1"/>
  <c r="M254" i="14"/>
  <c r="S254" i="14" s="1"/>
  <c r="M371" i="14"/>
  <c r="S371" i="14" s="1"/>
  <c r="M294" i="14"/>
  <c r="S294" i="14" s="1"/>
  <c r="M280" i="14"/>
  <c r="S280" i="14" s="1"/>
  <c r="M375" i="14"/>
  <c r="S375" i="14" s="1"/>
  <c r="M267" i="14"/>
  <c r="S267" i="14" s="1"/>
  <c r="M286" i="14"/>
  <c r="S286" i="14" s="1"/>
  <c r="M442" i="14"/>
  <c r="S442" i="14" s="1"/>
  <c r="M348" i="14"/>
  <c r="S348" i="14" s="1"/>
  <c r="M291" i="14"/>
  <c r="S291" i="14" s="1"/>
  <c r="M425" i="14"/>
  <c r="S425" i="14" s="1"/>
  <c r="M485" i="14"/>
  <c r="S485" i="14" s="1"/>
  <c r="M456" i="14"/>
  <c r="S456" i="14" s="1"/>
  <c r="M449" i="14"/>
  <c r="S449" i="14" s="1"/>
  <c r="M277" i="14"/>
  <c r="S277" i="14" s="1"/>
  <c r="M400" i="14"/>
  <c r="S400" i="14" s="1"/>
  <c r="M298" i="14"/>
  <c r="S298" i="14" s="1"/>
  <c r="M448" i="14"/>
  <c r="S448" i="14" s="1"/>
  <c r="M455" i="14"/>
  <c r="S455" i="14" s="1"/>
  <c r="M281" i="14"/>
  <c r="S281" i="14" s="1"/>
  <c r="M290" i="14"/>
  <c r="S290" i="14" s="1"/>
  <c r="M472" i="14"/>
  <c r="S472" i="14" s="1"/>
  <c r="M327" i="14"/>
  <c r="S327" i="14" s="1"/>
  <c r="M273" i="14"/>
  <c r="S273" i="14" s="1"/>
  <c r="M429" i="14"/>
  <c r="S429" i="14" s="1"/>
  <c r="M368" i="14"/>
  <c r="S368" i="14" s="1"/>
  <c r="M374" i="14"/>
  <c r="S374" i="14" s="1"/>
  <c r="M434" i="14"/>
  <c r="S434" i="14" s="1"/>
  <c r="M324" i="14"/>
  <c r="S324" i="14" s="1"/>
  <c r="M315" i="14"/>
  <c r="S315" i="14" s="1"/>
  <c r="M353" i="14"/>
  <c r="S353" i="14" s="1"/>
  <c r="M405" i="14"/>
  <c r="S405" i="14" s="1"/>
  <c r="M378" i="14"/>
  <c r="S378" i="14" s="1"/>
  <c r="M356" i="14"/>
  <c r="S356" i="14" s="1"/>
  <c r="M394" i="14"/>
  <c r="S394" i="14" s="1"/>
  <c r="M399" i="14"/>
  <c r="S399" i="14" s="1"/>
  <c r="M276" i="14"/>
  <c r="S276" i="14" s="1"/>
  <c r="M377" i="14"/>
  <c r="S377" i="14" s="1"/>
  <c r="M386" i="14"/>
  <c r="S386" i="14" s="1"/>
  <c r="M440" i="14"/>
  <c r="S440" i="14" s="1"/>
  <c r="M420" i="14"/>
  <c r="S420" i="14" s="1"/>
  <c r="M369" i="14"/>
  <c r="S369" i="14" s="1"/>
  <c r="M314" i="14"/>
  <c r="S314" i="14" s="1"/>
  <c r="M464" i="14"/>
  <c r="S464" i="14" s="1"/>
  <c r="M303" i="14"/>
  <c r="S303" i="14" s="1"/>
  <c r="M297" i="14"/>
  <c r="S297" i="14" s="1"/>
  <c r="M357" i="14"/>
  <c r="S357" i="14" s="1"/>
  <c r="M328" i="14"/>
  <c r="S328" i="14" s="1"/>
  <c r="M383" i="14"/>
  <c r="S383" i="14" s="1"/>
  <c r="M321" i="14"/>
  <c r="S321" i="14" s="1"/>
  <c r="M459" i="14"/>
  <c r="S459" i="14" s="1"/>
  <c r="M260" i="14"/>
  <c r="S260" i="14" s="1"/>
  <c r="M372" i="14"/>
  <c r="S372" i="14" s="1"/>
  <c r="M362" i="14"/>
  <c r="S362" i="14" s="1"/>
  <c r="M381" i="14"/>
  <c r="S381" i="14" s="1"/>
  <c r="M320" i="14"/>
  <c r="S320" i="14" s="1"/>
  <c r="M454" i="14"/>
  <c r="S454" i="14" s="1"/>
  <c r="M492" i="14"/>
  <c r="S492" i="14" s="1"/>
  <c r="M373" i="14"/>
  <c r="S373" i="14" s="1"/>
  <c r="M344" i="14"/>
  <c r="S344" i="14" s="1"/>
  <c r="M446" i="14"/>
  <c r="S446" i="14" s="1"/>
  <c r="M300" i="14"/>
  <c r="S300" i="14" s="1"/>
  <c r="M301" i="14"/>
  <c r="S301" i="14" s="1"/>
  <c r="M451" i="14"/>
  <c r="S451" i="14" s="1"/>
  <c r="M457" i="14"/>
  <c r="S457" i="14" s="1"/>
  <c r="M306" i="14"/>
  <c r="S306" i="14" s="1"/>
  <c r="M488" i="14"/>
  <c r="S488" i="14" s="1"/>
  <c r="M471" i="14"/>
  <c r="S471" i="14" s="1"/>
  <c r="M258" i="14"/>
  <c r="S258" i="14" s="1"/>
  <c r="M376" i="14"/>
  <c r="S376" i="14" s="1"/>
  <c r="M359" i="14"/>
  <c r="S359" i="14" s="1"/>
  <c r="M293" i="14"/>
  <c r="S293" i="14" s="1"/>
  <c r="M477" i="14"/>
  <c r="S477" i="14" s="1"/>
  <c r="M416" i="14"/>
  <c r="S416" i="14" s="1"/>
  <c r="M351" i="14"/>
  <c r="S351" i="14" s="1"/>
  <c r="M282" i="14"/>
  <c r="S282" i="14" s="1"/>
  <c r="M469" i="14"/>
  <c r="S469" i="14" s="1"/>
  <c r="M312" i="14"/>
  <c r="S312" i="14" s="1"/>
  <c r="M272" i="14"/>
  <c r="S272" i="14" s="1"/>
  <c r="M274" i="14"/>
  <c r="S274" i="14" s="1"/>
  <c r="M397" i="14"/>
  <c r="S397" i="14" s="1"/>
  <c r="M336" i="14"/>
  <c r="S336" i="14" s="1"/>
  <c r="M470" i="14"/>
  <c r="S470" i="14" s="1"/>
  <c r="M391" i="14"/>
  <c r="S391" i="14" s="1"/>
  <c r="M262" i="14"/>
  <c r="S262" i="14" s="1"/>
  <c r="M411" i="14"/>
  <c r="S411" i="14" s="1"/>
  <c r="M494" i="14"/>
  <c r="S494" i="14" s="1"/>
  <c r="M463" i="14"/>
  <c r="S463" i="14" s="1"/>
  <c r="M433" i="14"/>
  <c r="S433" i="14" s="1"/>
  <c r="M489" i="14"/>
  <c r="S489" i="14" s="1"/>
  <c r="M253" i="14"/>
  <c r="S253" i="14" s="1"/>
  <c r="M403" i="14"/>
  <c r="S403" i="14" s="1"/>
  <c r="M326" i="14"/>
  <c r="S326" i="14" s="1"/>
  <c r="M343" i="14"/>
  <c r="S343" i="14" s="1"/>
  <c r="M278" i="14"/>
  <c r="S278" i="14" s="1"/>
  <c r="M427" i="14"/>
  <c r="S427" i="14" s="1"/>
  <c r="M318" i="14"/>
  <c r="S318" i="14" s="1"/>
  <c r="M474" i="14"/>
  <c r="S474" i="14" s="1"/>
  <c r="M436" i="14"/>
  <c r="S436" i="14" s="1"/>
  <c r="M323" i="14"/>
  <c r="S323" i="14" s="1"/>
  <c r="M329" i="14"/>
  <c r="S329" i="14" s="1"/>
  <c r="M389" i="14"/>
  <c r="S389" i="14" s="1"/>
  <c r="M360" i="14"/>
  <c r="S360" i="14" s="1"/>
  <c r="M398" i="14"/>
  <c r="S398" i="14" s="1"/>
  <c r="M340" i="14"/>
  <c r="S340" i="14" s="1"/>
  <c r="M478" i="14"/>
  <c r="S478" i="14" s="1"/>
  <c r="M495" i="14"/>
  <c r="S495" i="14" s="1"/>
  <c r="M475" i="14"/>
  <c r="S475" i="14" s="1"/>
  <c r="M349" i="14"/>
  <c r="S349" i="14" s="1"/>
  <c r="M288" i="14"/>
  <c r="S288" i="14" s="1"/>
  <c r="M422" i="14"/>
  <c r="S422" i="14" s="1"/>
  <c r="M404" i="14"/>
  <c r="S404" i="14" s="1"/>
  <c r="M341" i="14"/>
  <c r="S341" i="14" s="1"/>
  <c r="M395" i="14"/>
  <c r="S395" i="14" s="1"/>
  <c r="M414" i="14"/>
  <c r="S414" i="14" s="1"/>
  <c r="M415" i="14"/>
  <c r="S415" i="14" s="1"/>
  <c r="M269" i="14"/>
  <c r="S269" i="14" s="1"/>
  <c r="M419" i="14"/>
  <c r="S419" i="14" s="1"/>
  <c r="M342" i="14"/>
  <c r="S342" i="14" s="1"/>
  <c r="M402" i="14"/>
  <c r="S402" i="14" s="1"/>
  <c r="M423" i="14"/>
  <c r="S423" i="14" s="1"/>
  <c r="M283" i="14"/>
  <c r="S283" i="14" s="1"/>
  <c r="M366" i="14"/>
  <c r="S366" i="14" s="1"/>
  <c r="M441" i="14"/>
  <c r="S441" i="14" s="1"/>
  <c r="M333" i="14"/>
  <c r="S333" i="14" s="1"/>
  <c r="M338" i="14"/>
  <c r="S338" i="14" s="1"/>
  <c r="M271" i="14"/>
  <c r="S271" i="14" s="1"/>
  <c r="M392" i="14"/>
  <c r="S392" i="14" s="1"/>
  <c r="M317" i="14"/>
  <c r="S317" i="14" s="1"/>
  <c r="M467" i="14"/>
  <c r="S467" i="14" s="1"/>
  <c r="M390" i="14"/>
  <c r="S390" i="14" s="1"/>
  <c r="M316" i="14"/>
  <c r="S316" i="14" s="1"/>
  <c r="M309" i="14"/>
  <c r="S309" i="14" s="1"/>
  <c r="M491" i="14"/>
  <c r="S491" i="14" s="1"/>
  <c r="M382" i="14"/>
  <c r="S382" i="14" s="1"/>
  <c r="M319" i="14"/>
  <c r="S319" i="14" s="1"/>
  <c r="M270" i="14"/>
  <c r="S270" i="14" s="1"/>
  <c r="M387" i="14"/>
  <c r="S387" i="14" s="1"/>
  <c r="M310" i="14"/>
  <c r="S310" i="14" s="1"/>
  <c r="M295" i="14"/>
  <c r="S295" i="14" s="1"/>
  <c r="M335" i="14"/>
  <c r="S335" i="14" s="1"/>
  <c r="M284" i="14"/>
  <c r="S284" i="14" s="1"/>
  <c r="M334" i="14"/>
  <c r="S334" i="14" s="1"/>
  <c r="M431" i="14"/>
  <c r="S431" i="14" s="1"/>
  <c r="M421" i="14"/>
  <c r="S421" i="14" s="1"/>
  <c r="M458" i="14"/>
  <c r="S458" i="14" s="1"/>
  <c r="M388" i="14"/>
  <c r="S388" i="14" s="1"/>
  <c r="M307" i="14"/>
  <c r="S307" i="14" s="1"/>
  <c r="M439" i="14"/>
  <c r="S439" i="14" s="1"/>
  <c r="M331" i="14"/>
  <c r="S331" i="14" s="1"/>
  <c r="M406" i="14"/>
  <c r="S406" i="14" s="1"/>
  <c r="M347" i="14"/>
  <c r="S347" i="14" s="1"/>
  <c r="M384" i="14"/>
  <c r="S384" i="14" s="1"/>
  <c r="M462" i="14"/>
  <c r="M285" i="14"/>
  <c r="S285" i="14" s="1"/>
  <c r="M355" i="14"/>
  <c r="S355" i="14" s="1"/>
  <c r="M385" i="14"/>
  <c r="S385" i="14" s="1"/>
  <c r="M484" i="14"/>
  <c r="S484" i="14" s="1"/>
  <c r="M339" i="14"/>
  <c r="S339" i="14" s="1"/>
  <c r="M473" i="14"/>
  <c r="S473" i="14" s="1"/>
  <c r="M482" i="14"/>
  <c r="S482" i="14" s="1"/>
  <c r="M460" i="14"/>
  <c r="S460" i="14" s="1"/>
  <c r="M363" i="14"/>
  <c r="S363" i="14" s="1"/>
  <c r="M465" i="14"/>
  <c r="S465" i="14" s="1"/>
  <c r="M410" i="14"/>
  <c r="S410" i="14" s="1"/>
  <c r="M447" i="14"/>
  <c r="M259" i="14"/>
  <c r="S259" i="14" s="1"/>
  <c r="M393" i="14"/>
  <c r="S393" i="14" s="1"/>
  <c r="M370" i="14"/>
  <c r="S370" i="14" s="1"/>
  <c r="M424" i="14"/>
  <c r="S424" i="14" s="1"/>
  <c r="M468" i="14"/>
  <c r="S468" i="14" s="1"/>
  <c r="M417" i="14"/>
  <c r="S417" i="14" s="1"/>
  <c r="M305" i="14"/>
  <c r="S305" i="14" s="1"/>
  <c r="M264" i="14"/>
  <c r="S264" i="14" s="1"/>
  <c r="M330" i="14"/>
  <c r="S330" i="14" s="1"/>
  <c r="M480" i="14"/>
  <c r="S480" i="14" s="1"/>
  <c r="M332" i="14"/>
  <c r="S332" i="14" s="1"/>
  <c r="M450" i="14"/>
  <c r="S450" i="14" s="1"/>
  <c r="M350" i="14"/>
  <c r="S350" i="14" s="1"/>
  <c r="M266" i="14"/>
  <c r="S266" i="14" s="1"/>
  <c r="M430" i="14"/>
  <c r="S430" i="14" s="1"/>
  <c r="M445" i="14"/>
  <c r="S445" i="14" s="1"/>
  <c r="M437" i="14"/>
  <c r="S437" i="14" s="1"/>
  <c r="M308" i="14"/>
  <c r="S308" i="14" s="1"/>
  <c r="M365" i="14"/>
  <c r="S365" i="14" s="1"/>
  <c r="M304" i="14"/>
  <c r="M452" i="14"/>
  <c r="S452" i="14" s="1"/>
  <c r="M379" i="14"/>
  <c r="S379" i="14" s="1"/>
  <c r="M483" i="14"/>
  <c r="S483" i="14" s="1"/>
  <c r="M435" i="14"/>
  <c r="S435" i="14" s="1"/>
  <c r="M364" i="14"/>
  <c r="S364" i="14" s="1"/>
  <c r="M490" i="14"/>
  <c r="S490" i="14" s="1"/>
  <c r="M311" i="14"/>
  <c r="S311" i="14" s="1"/>
  <c r="M444" i="14"/>
  <c r="M345" i="14"/>
  <c r="S345" i="14" s="1"/>
  <c r="M354" i="14"/>
  <c r="S354" i="14" s="1"/>
  <c r="M287" i="14"/>
  <c r="S287" i="14" s="1"/>
  <c r="M268" i="14"/>
  <c r="M337" i="14"/>
  <c r="S337" i="14" s="1"/>
  <c r="M493" i="14"/>
  <c r="S493" i="14" s="1"/>
  <c r="M432" i="14"/>
  <c r="S432" i="14" s="1"/>
  <c r="M396" i="14"/>
  <c r="M265" i="14"/>
  <c r="S265" i="14" s="1"/>
  <c r="M453" i="14"/>
  <c r="S453" i="14" s="1"/>
  <c r="M296" i="14"/>
  <c r="S296" i="14" s="1"/>
  <c r="M279" i="14"/>
  <c r="S279" i="14" s="1"/>
  <c r="M289" i="14"/>
  <c r="S289" i="14" s="1"/>
  <c r="M461" i="14"/>
  <c r="S461" i="14" s="1"/>
  <c r="M302" i="14"/>
  <c r="M413" i="14"/>
  <c r="S413" i="14" s="1"/>
  <c r="M352" i="14"/>
  <c r="S352" i="14" s="1"/>
  <c r="M486" i="14"/>
  <c r="S486" i="14" s="1"/>
  <c r="M322" i="14"/>
  <c r="M256" i="14"/>
  <c r="S256" i="14" s="1"/>
  <c r="M466" i="14"/>
  <c r="S466" i="14" s="1"/>
  <c r="M263" i="14"/>
  <c r="S263" i="14" s="1"/>
  <c r="G384" i="14"/>
  <c r="M408" i="14"/>
  <c r="M476" i="14"/>
  <c r="S476" i="14" s="1"/>
  <c r="M438" i="14"/>
  <c r="S438" i="14" s="1"/>
  <c r="M325" i="14"/>
  <c r="S325" i="14" s="1"/>
  <c r="M367" i="14"/>
  <c r="S367" i="14" s="1"/>
  <c r="M428" i="14"/>
  <c r="S428" i="14" s="1"/>
  <c r="M358" i="14"/>
  <c r="S358" i="14" s="1"/>
  <c r="M412" i="14"/>
  <c r="S412" i="14" s="1"/>
  <c r="G380" i="14"/>
  <c r="U95" i="10"/>
  <c r="L96" i="10"/>
  <c r="K486" i="14"/>
  <c r="Q486" i="14" s="1"/>
  <c r="K460" i="14"/>
  <c r="Q460" i="14" s="1"/>
  <c r="K370" i="14"/>
  <c r="K446" i="14"/>
  <c r="Q446" i="14" s="1"/>
  <c r="K420" i="14"/>
  <c r="Q420" i="14" s="1"/>
  <c r="K330" i="14"/>
  <c r="Q330" i="14" s="1"/>
  <c r="K291" i="14"/>
  <c r="Q291" i="14" s="1"/>
  <c r="K476" i="14"/>
  <c r="Q476" i="14" s="1"/>
  <c r="K354" i="14"/>
  <c r="Q354" i="14" s="1"/>
  <c r="K384" i="14"/>
  <c r="Q384" i="14" s="1"/>
  <c r="K379" i="14"/>
  <c r="Q379" i="14" s="1"/>
  <c r="K468" i="14"/>
  <c r="Q468" i="14" s="1"/>
  <c r="K378" i="14"/>
  <c r="Q378" i="14" s="1"/>
  <c r="K344" i="14"/>
  <c r="Q344" i="14" s="1"/>
  <c r="K267" i="14"/>
  <c r="K407" i="14"/>
  <c r="Q407" i="14" s="1"/>
  <c r="K303" i="14"/>
  <c r="Q303" i="14" s="1"/>
  <c r="K289" i="14"/>
  <c r="Q289" i="14" s="1"/>
  <c r="K454" i="14"/>
  <c r="Q454" i="14" s="1"/>
  <c r="K428" i="14"/>
  <c r="K274" i="14"/>
  <c r="Q274" i="14" s="1"/>
  <c r="K414" i="14"/>
  <c r="Q414" i="14" s="1"/>
  <c r="K388" i="14"/>
  <c r="Q388" i="14" s="1"/>
  <c r="K426" i="14"/>
  <c r="K387" i="14"/>
  <c r="Q387" i="14" s="1"/>
  <c r="K361" i="14"/>
  <c r="Q361" i="14" s="1"/>
  <c r="K367" i="14"/>
  <c r="Q367" i="14" s="1"/>
  <c r="K397" i="14"/>
  <c r="K338" i="14"/>
  <c r="Q338" i="14" s="1"/>
  <c r="K347" i="14"/>
  <c r="Q347" i="14" s="1"/>
  <c r="K353" i="14"/>
  <c r="Q353" i="14" s="1"/>
  <c r="K474" i="14"/>
  <c r="Q474" i="14" s="1"/>
  <c r="K440" i="14"/>
  <c r="Q440" i="14" s="1"/>
  <c r="K392" i="14"/>
  <c r="Q392" i="14" s="1"/>
  <c r="K390" i="14"/>
  <c r="Q390" i="14" s="1"/>
  <c r="K324" i="14"/>
  <c r="K431" i="14"/>
  <c r="Q431" i="14" s="1"/>
  <c r="K366" i="14"/>
  <c r="Q366" i="14" s="1"/>
  <c r="K376" i="14"/>
  <c r="Q376" i="14" s="1"/>
  <c r="K294" i="14"/>
  <c r="Q294" i="14" s="1"/>
  <c r="K268" i="14"/>
  <c r="Q268" i="14" s="1"/>
  <c r="K273" i="14"/>
  <c r="Q273" i="14" s="1"/>
  <c r="K382" i="14"/>
  <c r="Q382" i="14" s="1"/>
  <c r="K356" i="14"/>
  <c r="Q356" i="14" s="1"/>
  <c r="K394" i="14"/>
  <c r="Q394" i="14" s="1"/>
  <c r="K483" i="14"/>
  <c r="Q483" i="14" s="1"/>
  <c r="K457" i="14"/>
  <c r="Q457" i="14" s="1"/>
  <c r="K463" i="14"/>
  <c r="K493" i="14"/>
  <c r="Q493" i="14" s="1"/>
  <c r="K432" i="14"/>
  <c r="Q432" i="14" s="1"/>
  <c r="K398" i="14"/>
  <c r="Q398" i="14" s="1"/>
  <c r="K404" i="14"/>
  <c r="Q404" i="14" s="1"/>
  <c r="K442" i="14"/>
  <c r="Q442" i="14" s="1"/>
  <c r="K408" i="14"/>
  <c r="Q408" i="14" s="1"/>
  <c r="K271" i="14"/>
  <c r="K409" i="14"/>
  <c r="Q409" i="14" s="1"/>
  <c r="K437" i="14"/>
  <c r="Q437" i="14" s="1"/>
  <c r="K411" i="14"/>
  <c r="Q411" i="14" s="1"/>
  <c r="K293" i="14"/>
  <c r="Q293" i="14" s="1"/>
  <c r="K319" i="14"/>
  <c r="Q319" i="14" s="1"/>
  <c r="K278" i="14"/>
  <c r="Q278" i="14" s="1"/>
  <c r="K328" i="14"/>
  <c r="Q328" i="14" s="1"/>
  <c r="K287" i="14"/>
  <c r="Q287" i="14" s="1"/>
  <c r="K363" i="14"/>
  <c r="Q363" i="14" s="1"/>
  <c r="K393" i="14"/>
  <c r="Q393" i="14" s="1"/>
  <c r="K301" i="14"/>
  <c r="Q301" i="14" s="1"/>
  <c r="K295" i="14"/>
  <c r="Q295" i="14" s="1"/>
  <c r="K369" i="14"/>
  <c r="K371" i="14"/>
  <c r="Q371" i="14" s="1"/>
  <c r="K466" i="14"/>
  <c r="Q466" i="14" s="1"/>
  <c r="K343" i="14"/>
  <c r="K495" i="14"/>
  <c r="Q495" i="14" s="1"/>
  <c r="K475" i="14"/>
  <c r="Q475" i="14" s="1"/>
  <c r="K357" i="14"/>
  <c r="Q357" i="14" s="1"/>
  <c r="E295" i="14"/>
  <c r="K422" i="14"/>
  <c r="Q422" i="14" s="1"/>
  <c r="K299" i="14"/>
  <c r="Q299" i="14" s="1"/>
  <c r="K311" i="14"/>
  <c r="Q311" i="14" s="1"/>
  <c r="K284" i="14"/>
  <c r="Q284" i="14" s="1"/>
  <c r="K315" i="14"/>
  <c r="Q315" i="14" s="1"/>
  <c r="K325" i="14"/>
  <c r="Q325" i="14" s="1"/>
  <c r="K490" i="14"/>
  <c r="Q490" i="14" s="1"/>
  <c r="K492" i="14"/>
  <c r="Q492" i="14" s="1"/>
  <c r="K358" i="14"/>
  <c r="Q358" i="14" s="1"/>
  <c r="K332" i="14"/>
  <c r="Q332" i="14" s="1"/>
  <c r="K349" i="14"/>
  <c r="Q349" i="14" s="1"/>
  <c r="K318" i="14"/>
  <c r="Q318" i="14" s="1"/>
  <c r="K292" i="14"/>
  <c r="K405" i="14"/>
  <c r="Q405" i="14" s="1"/>
  <c r="K374" i="14"/>
  <c r="Q374" i="14" s="1"/>
  <c r="K348" i="14"/>
  <c r="Q348" i="14" s="1"/>
  <c r="K257" i="14"/>
  <c r="Q257" i="14" s="1"/>
  <c r="K256" i="14"/>
  <c r="Q256" i="14" s="1"/>
  <c r="K462" i="14"/>
  <c r="Q462" i="14" s="1"/>
  <c r="K340" i="14"/>
  <c r="Q340" i="14" s="1"/>
  <c r="K281" i="14"/>
  <c r="Q281" i="14" s="1"/>
  <c r="K368" i="14"/>
  <c r="Q368" i="14" s="1"/>
  <c r="K477" i="14"/>
  <c r="Q477" i="14" s="1"/>
  <c r="K265" i="14"/>
  <c r="Q265" i="14" s="1"/>
  <c r="K333" i="14"/>
  <c r="Q333" i="14" s="1"/>
  <c r="K327" i="14"/>
  <c r="Q327" i="14" s="1"/>
  <c r="K326" i="14"/>
  <c r="Q326" i="14" s="1"/>
  <c r="K300" i="14"/>
  <c r="Q300" i="14" s="1"/>
  <c r="K400" i="14"/>
  <c r="Q400" i="14" s="1"/>
  <c r="K286" i="14"/>
  <c r="Q286" i="14" s="1"/>
  <c r="K260" i="14"/>
  <c r="Q260" i="14" s="1"/>
  <c r="K298" i="14"/>
  <c r="Q298" i="14" s="1"/>
  <c r="K470" i="14"/>
  <c r="K444" i="14"/>
  <c r="Q444" i="14" s="1"/>
  <c r="K450" i="14"/>
  <c r="Q450" i="14" s="1"/>
  <c r="K480" i="14"/>
  <c r="K285" i="14"/>
  <c r="K430" i="14"/>
  <c r="Q430" i="14" s="1"/>
  <c r="K436" i="14"/>
  <c r="Q436" i="14" s="1"/>
  <c r="K346" i="14"/>
  <c r="Q346" i="14" s="1"/>
  <c r="K312" i="14"/>
  <c r="K364" i="14"/>
  <c r="Q364" i="14" s="1"/>
  <c r="K362" i="14"/>
  <c r="Q362" i="14" s="1"/>
  <c r="K386" i="14"/>
  <c r="K372" i="14"/>
  <c r="Q372" i="14" s="1"/>
  <c r="K467" i="14"/>
  <c r="Q467" i="14" s="1"/>
  <c r="K441" i="14"/>
  <c r="Q441" i="14" s="1"/>
  <c r="K479" i="14"/>
  <c r="K264" i="14"/>
  <c r="Q264" i="14" s="1"/>
  <c r="K254" i="14"/>
  <c r="Q254" i="14" s="1"/>
  <c r="K259" i="14"/>
  <c r="Q259" i="14" s="1"/>
  <c r="K266" i="14"/>
  <c r="Q266" i="14" s="1"/>
  <c r="K355" i="14"/>
  <c r="Q355" i="14" s="1"/>
  <c r="K329" i="14"/>
  <c r="Q329" i="14" s="1"/>
  <c r="K335" i="14"/>
  <c r="Q335" i="14" s="1"/>
  <c r="K365" i="14"/>
  <c r="K424" i="14"/>
  <c r="Q424" i="14" s="1"/>
  <c r="K270" i="14"/>
  <c r="Q270" i="14" s="1"/>
  <c r="K276" i="14"/>
  <c r="Q276" i="14" s="1"/>
  <c r="K314" i="14"/>
  <c r="K280" i="14"/>
  <c r="Q280" i="14" s="1"/>
  <c r="K296" i="14"/>
  <c r="Q296" i="14" s="1"/>
  <c r="K447" i="14"/>
  <c r="Q447" i="14" s="1"/>
  <c r="K406" i="14"/>
  <c r="K417" i="14"/>
  <c r="Q417" i="14" s="1"/>
  <c r="K279" i="14"/>
  <c r="Q279" i="14" s="1"/>
  <c r="K395" i="14"/>
  <c r="Q395" i="14" s="1"/>
  <c r="K283" i="14"/>
  <c r="Q283" i="14" s="1"/>
  <c r="K269" i="14"/>
  <c r="Q269" i="14" s="1"/>
  <c r="K316" i="14"/>
  <c r="Q316" i="14" s="1"/>
  <c r="K302" i="14"/>
  <c r="Q302" i="14" s="1"/>
  <c r="K485" i="14"/>
  <c r="Q485" i="14" s="1"/>
  <c r="K451" i="14"/>
  <c r="Q451" i="14" s="1"/>
  <c r="K410" i="14"/>
  <c r="Q410" i="14" s="1"/>
  <c r="K313" i="14"/>
  <c r="K351" i="14"/>
  <c r="Q351" i="14" s="1"/>
  <c r="K401" i="14"/>
  <c r="Q401" i="14" s="1"/>
  <c r="K469" i="14"/>
  <c r="Q469" i="14" s="1"/>
  <c r="K438" i="14"/>
  <c r="Q438" i="14" s="1"/>
  <c r="K418" i="14"/>
  <c r="K443" i="14"/>
  <c r="Q443" i="14" s="1"/>
  <c r="K449" i="14"/>
  <c r="Q449" i="14" s="1"/>
  <c r="K453" i="14"/>
  <c r="K380" i="14"/>
  <c r="Q380" i="14" s="1"/>
  <c r="K435" i="14"/>
  <c r="Q435" i="14" s="1"/>
  <c r="K461" i="14"/>
  <c r="Q461" i="14" s="1"/>
  <c r="K455" i="14"/>
  <c r="Q455" i="14" s="1"/>
  <c r="K403" i="14"/>
  <c r="Q403" i="14" s="1"/>
  <c r="K458" i="14"/>
  <c r="Q458" i="14" s="1"/>
  <c r="K482" i="14"/>
  <c r="Q482" i="14" s="1"/>
  <c r="K385" i="14"/>
  <c r="Q385" i="14" s="1"/>
  <c r="K262" i="14"/>
  <c r="Q262" i="14" s="1"/>
  <c r="K494" i="14"/>
  <c r="Q494" i="14" s="1"/>
  <c r="K331" i="14"/>
  <c r="Q331" i="14" s="1"/>
  <c r="K263" i="14"/>
  <c r="K391" i="14"/>
  <c r="Q391" i="14" s="1"/>
  <c r="K350" i="14"/>
  <c r="Q350" i="14" s="1"/>
  <c r="K336" i="14"/>
  <c r="Q336" i="14" s="1"/>
  <c r="K434" i="14"/>
  <c r="K341" i="14"/>
  <c r="Q341" i="14" s="1"/>
  <c r="K290" i="14"/>
  <c r="Q290" i="14" s="1"/>
  <c r="K321" i="14"/>
  <c r="Q321" i="14" s="1"/>
  <c r="K317" i="14"/>
  <c r="Q317" i="14" s="1"/>
  <c r="K258" i="14"/>
  <c r="Q258" i="14" s="1"/>
  <c r="K456" i="14"/>
  <c r="Q456" i="14" s="1"/>
  <c r="K261" i="14"/>
  <c r="Q261" i="14" s="1"/>
  <c r="K415" i="14"/>
  <c r="Q415" i="14" s="1"/>
  <c r="K491" i="14"/>
  <c r="Q491" i="14" s="1"/>
  <c r="K465" i="14"/>
  <c r="Q465" i="14" s="1"/>
  <c r="K375" i="14"/>
  <c r="Q375" i="14" s="1"/>
  <c r="K360" i="14"/>
  <c r="Q360" i="14" s="1"/>
  <c r="K277" i="14"/>
  <c r="Q277" i="14" s="1"/>
  <c r="K399" i="14"/>
  <c r="Q399" i="14" s="1"/>
  <c r="K429" i="14"/>
  <c r="Q429" i="14" s="1"/>
  <c r="K381" i="14"/>
  <c r="Q381" i="14" s="1"/>
  <c r="K334" i="14"/>
  <c r="Q334" i="14" s="1"/>
  <c r="K423" i="14"/>
  <c r="Q423" i="14" s="1"/>
  <c r="K389" i="14"/>
  <c r="Q389" i="14" s="1"/>
  <c r="K488" i="14"/>
  <c r="Q488" i="14" s="1"/>
  <c r="K478" i="14"/>
  <c r="Q478" i="14" s="1"/>
  <c r="K323" i="14"/>
  <c r="Q323" i="14" s="1"/>
  <c r="K445" i="14"/>
  <c r="Q445" i="14" s="1"/>
  <c r="K464" i="14"/>
  <c r="K473" i="14"/>
  <c r="Q473" i="14" s="1"/>
  <c r="K383" i="14"/>
  <c r="Q383" i="14" s="1"/>
  <c r="K459" i="14"/>
  <c r="K433" i="14"/>
  <c r="K471" i="14"/>
  <c r="Q471" i="14" s="1"/>
  <c r="K373" i="14"/>
  <c r="Q373" i="14" s="1"/>
  <c r="K342" i="14"/>
  <c r="K322" i="14"/>
  <c r="Q322" i="14" s="1"/>
  <c r="K352" i="14"/>
  <c r="Q352" i="14" s="1"/>
  <c r="K309" i="14"/>
  <c r="Q309" i="14" s="1"/>
  <c r="K308" i="14"/>
  <c r="Q308" i="14" s="1"/>
  <c r="K413" i="14"/>
  <c r="Q413" i="14" s="1"/>
  <c r="K402" i="14"/>
  <c r="Q402" i="14" s="1"/>
  <c r="K416" i="14"/>
  <c r="Q416" i="14" s="1"/>
  <c r="K339" i="14"/>
  <c r="Q339" i="14" s="1"/>
  <c r="K427" i="14"/>
  <c r="Q427" i="14" s="1"/>
  <c r="K439" i="14"/>
  <c r="Q439" i="14" s="1"/>
  <c r="K412" i="14"/>
  <c r="Q412" i="14" s="1"/>
  <c r="K448" i="14"/>
  <c r="K487" i="14"/>
  <c r="K306" i="14"/>
  <c r="Q306" i="14" s="1"/>
  <c r="K452" i="14"/>
  <c r="Q452" i="14" s="1"/>
  <c r="K275" i="14"/>
  <c r="Q275" i="14" s="1"/>
  <c r="K253" i="14"/>
  <c r="K377" i="14"/>
  <c r="Q377" i="14" s="1"/>
  <c r="K337" i="14"/>
  <c r="Q337" i="14" s="1"/>
  <c r="K419" i="14"/>
  <c r="K272" i="14"/>
  <c r="Q272" i="14" s="1"/>
  <c r="K472" i="14"/>
  <c r="Q472" i="14" s="1"/>
  <c r="K297" i="14"/>
  <c r="Q297" i="14" s="1"/>
  <c r="K345" i="14"/>
  <c r="Q345" i="14" s="1"/>
  <c r="K305" i="14"/>
  <c r="Q305" i="14" s="1"/>
  <c r="K489" i="14"/>
  <c r="Q489" i="14" s="1"/>
  <c r="K255" i="14"/>
  <c r="Q255" i="14" s="1"/>
  <c r="K481" i="14"/>
  <c r="Q481" i="14" s="1"/>
  <c r="K304" i="14"/>
  <c r="Q304" i="14" s="1"/>
  <c r="K425" i="14"/>
  <c r="Q425" i="14" s="1"/>
  <c r="K421" i="14"/>
  <c r="Q421" i="14" s="1"/>
  <c r="K396" i="14"/>
  <c r="Q396" i="14" s="1"/>
  <c r="K484" i="14"/>
  <c r="Q484" i="14" s="1"/>
  <c r="K310" i="14"/>
  <c r="Q310" i="14" s="1"/>
  <c r="K320" i="14"/>
  <c r="Q320" i="14" s="1"/>
  <c r="K359" i="14"/>
  <c r="Q359" i="14" s="1"/>
  <c r="K307" i="14"/>
  <c r="Q307" i="14" s="1"/>
  <c r="K282" i="14"/>
  <c r="Q282" i="14" s="1"/>
  <c r="K288" i="14"/>
  <c r="Q288" i="14" s="1"/>
  <c r="H400" i="14" l="1"/>
  <c r="F303" i="14"/>
  <c r="F451" i="14"/>
  <c r="F443" i="14"/>
  <c r="F372" i="14"/>
  <c r="F310" i="14"/>
  <c r="F316" i="14"/>
  <c r="F394" i="14"/>
  <c r="F491" i="14"/>
  <c r="F294" i="14"/>
  <c r="F479" i="14"/>
  <c r="F275" i="14"/>
  <c r="F327" i="14"/>
  <c r="F353" i="14"/>
  <c r="F464" i="14"/>
  <c r="F360" i="14"/>
  <c r="F335" i="14"/>
  <c r="F378" i="14"/>
  <c r="F407" i="14"/>
  <c r="F262" i="14"/>
  <c r="F432" i="14"/>
  <c r="F318" i="14"/>
  <c r="G458" i="14"/>
  <c r="E374" i="14"/>
  <c r="E366" i="14"/>
  <c r="E330" i="14"/>
  <c r="E490" i="14"/>
  <c r="I455" i="14"/>
  <c r="G492" i="14"/>
  <c r="G472" i="14"/>
  <c r="G460" i="14"/>
  <c r="I274" i="14"/>
  <c r="G283" i="14"/>
  <c r="G356" i="14"/>
  <c r="I393" i="14"/>
  <c r="F393" i="14"/>
  <c r="F305" i="14"/>
  <c r="I372" i="14"/>
  <c r="I447" i="14"/>
  <c r="F405" i="14"/>
  <c r="E414" i="14"/>
  <c r="E326" i="14"/>
  <c r="I367" i="14"/>
  <c r="I433" i="14"/>
  <c r="I387" i="14"/>
  <c r="F458" i="14"/>
  <c r="F328" i="14"/>
  <c r="F386" i="14"/>
  <c r="F400" i="14"/>
  <c r="F325" i="14"/>
  <c r="F397" i="14"/>
  <c r="I450" i="14"/>
  <c r="F298" i="14"/>
  <c r="E384" i="14"/>
  <c r="E273" i="14"/>
  <c r="I434" i="14"/>
  <c r="I293" i="14"/>
  <c r="I389" i="14"/>
  <c r="F376" i="14"/>
  <c r="F477" i="14"/>
  <c r="F263" i="14"/>
  <c r="F350" i="14"/>
  <c r="G312" i="14"/>
  <c r="G418" i="14"/>
  <c r="G256" i="14"/>
  <c r="G389" i="14"/>
  <c r="G315" i="14"/>
  <c r="G435" i="14"/>
  <c r="H300" i="14"/>
  <c r="F423" i="14"/>
  <c r="F277" i="14"/>
  <c r="F455" i="14"/>
  <c r="F285" i="14"/>
  <c r="G413" i="14"/>
  <c r="G424" i="14"/>
  <c r="G491" i="14"/>
  <c r="G448" i="14"/>
  <c r="G416" i="14"/>
  <c r="G331" i="14"/>
  <c r="G411" i="14"/>
  <c r="F440" i="14"/>
  <c r="F300" i="14"/>
  <c r="F320" i="14"/>
  <c r="F309" i="14"/>
  <c r="G264" i="14"/>
  <c r="G371" i="14"/>
  <c r="G419" i="14"/>
  <c r="G291" i="14"/>
  <c r="G484" i="14"/>
  <c r="G362" i="14"/>
  <c r="G306" i="14"/>
  <c r="F282" i="14"/>
  <c r="F319" i="14"/>
  <c r="F478" i="14"/>
  <c r="F421" i="14"/>
  <c r="F422" i="14"/>
  <c r="F434" i="14"/>
  <c r="E460" i="14"/>
  <c r="E349" i="14"/>
  <c r="E311" i="14"/>
  <c r="E408" i="14"/>
  <c r="E260" i="14"/>
  <c r="E347" i="14"/>
  <c r="E438" i="14"/>
  <c r="E289" i="14"/>
  <c r="E411" i="14"/>
  <c r="E357" i="14"/>
  <c r="E270" i="14"/>
  <c r="E344" i="14"/>
  <c r="I311" i="14"/>
  <c r="I340" i="14"/>
  <c r="F355" i="14"/>
  <c r="F271" i="14"/>
  <c r="F381" i="14"/>
  <c r="F329" i="14"/>
  <c r="F459" i="14"/>
  <c r="F280" i="14"/>
  <c r="F342" i="14"/>
  <c r="E385" i="14"/>
  <c r="E301" i="14"/>
  <c r="E466" i="14"/>
  <c r="E436" i="14"/>
  <c r="E483" i="14"/>
  <c r="E432" i="14"/>
  <c r="E462" i="14"/>
  <c r="E361" i="14"/>
  <c r="E328" i="14"/>
  <c r="E392" i="14"/>
  <c r="E450" i="14"/>
  <c r="H437" i="14"/>
  <c r="F278" i="14"/>
  <c r="F301" i="14"/>
  <c r="F450" i="14"/>
  <c r="F473" i="14"/>
  <c r="F368" i="14"/>
  <c r="F359" i="14"/>
  <c r="F264" i="14"/>
  <c r="F424" i="14"/>
  <c r="G266" i="14"/>
  <c r="G463" i="14"/>
  <c r="G471" i="14"/>
  <c r="G281" i="14"/>
  <c r="G402" i="14"/>
  <c r="E367" i="14"/>
  <c r="G464" i="14"/>
  <c r="G490" i="14"/>
  <c r="G316" i="14"/>
  <c r="G299" i="14"/>
  <c r="G274" i="14"/>
  <c r="G344" i="14"/>
  <c r="G308" i="14"/>
  <c r="G295" i="14"/>
  <c r="G431" i="14"/>
  <c r="G319" i="14"/>
  <c r="G480" i="14"/>
  <c r="G399" i="14"/>
  <c r="G405" i="14"/>
  <c r="G415" i="14"/>
  <c r="G320" i="14"/>
  <c r="G393" i="14"/>
  <c r="V415" i="14"/>
  <c r="A415" i="14" s="1"/>
  <c r="G307" i="14"/>
  <c r="G473" i="14"/>
  <c r="G403" i="14"/>
  <c r="G293" i="14"/>
  <c r="G328" i="14"/>
  <c r="G400" i="14"/>
  <c r="G282" i="14"/>
  <c r="G273" i="14"/>
  <c r="G434" i="14"/>
  <c r="G260" i="14"/>
  <c r="G404" i="14"/>
  <c r="G323" i="14"/>
  <c r="G451" i="14"/>
  <c r="G465" i="14"/>
  <c r="G417" i="14"/>
  <c r="G392" i="14"/>
  <c r="G355" i="14"/>
  <c r="G263" i="14"/>
  <c r="G347" i="14"/>
  <c r="G391" i="14"/>
  <c r="G398" i="14"/>
  <c r="G441" i="14"/>
  <c r="G475" i="14"/>
  <c r="G440" i="14"/>
  <c r="G427" i="14"/>
  <c r="E338" i="14"/>
  <c r="H416" i="14"/>
  <c r="H321" i="14"/>
  <c r="V291" i="14"/>
  <c r="A291" i="14" s="1"/>
  <c r="H301" i="14"/>
  <c r="E437" i="14"/>
  <c r="H471" i="14"/>
  <c r="H291" i="14"/>
  <c r="H381" i="14"/>
  <c r="E368" i="14"/>
  <c r="H325" i="14"/>
  <c r="E354" i="14"/>
  <c r="H304" i="14"/>
  <c r="E467" i="14"/>
  <c r="E278" i="14"/>
  <c r="E321" i="14"/>
  <c r="E396" i="14"/>
  <c r="H344" i="14"/>
  <c r="H296" i="14"/>
  <c r="I404" i="14"/>
  <c r="V282" i="14"/>
  <c r="A282" i="14" s="1"/>
  <c r="V283" i="14"/>
  <c r="A283" i="14" s="1"/>
  <c r="G254" i="14"/>
  <c r="H481" i="14"/>
  <c r="H396" i="14"/>
  <c r="H449" i="14"/>
  <c r="I327" i="14"/>
  <c r="F437" i="14"/>
  <c r="F266" i="14"/>
  <c r="F457" i="14"/>
  <c r="F402" i="14"/>
  <c r="F462" i="14"/>
  <c r="F412" i="14"/>
  <c r="E424" i="14"/>
  <c r="V307" i="14"/>
  <c r="A307" i="14" s="1"/>
  <c r="H454" i="14"/>
  <c r="H287" i="14"/>
  <c r="I480" i="14"/>
  <c r="I396" i="14"/>
  <c r="I333" i="14"/>
  <c r="F428" i="14"/>
  <c r="F326" i="14"/>
  <c r="F351" i="14"/>
  <c r="E309" i="14"/>
  <c r="E412" i="14"/>
  <c r="E372" i="14"/>
  <c r="H363" i="14"/>
  <c r="I452" i="14"/>
  <c r="I253" i="14"/>
  <c r="F413" i="14"/>
  <c r="F286" i="14"/>
  <c r="F377" i="14"/>
  <c r="E364" i="14"/>
  <c r="E329" i="14"/>
  <c r="E431" i="14"/>
  <c r="E323" i="14"/>
  <c r="E254" i="14"/>
  <c r="E327" i="14"/>
  <c r="E493" i="14"/>
  <c r="G410" i="14"/>
  <c r="H399" i="14"/>
  <c r="H310" i="14"/>
  <c r="I461" i="14"/>
  <c r="I384" i="14"/>
  <c r="I357" i="14"/>
  <c r="F344" i="14"/>
  <c r="F273" i="14"/>
  <c r="F482" i="14"/>
  <c r="F417" i="14"/>
  <c r="F322" i="14"/>
  <c r="F261" i="14"/>
  <c r="F324" i="14"/>
  <c r="F363" i="14"/>
  <c r="F296" i="14"/>
  <c r="E486" i="14"/>
  <c r="E393" i="14"/>
  <c r="E378" i="14"/>
  <c r="E399" i="14"/>
  <c r="E256" i="14"/>
  <c r="V317" i="14"/>
  <c r="A317" i="14" s="1"/>
  <c r="E371" i="14"/>
  <c r="V262" i="14"/>
  <c r="A262" i="14" s="1"/>
  <c r="V266" i="14"/>
  <c r="A266" i="14" s="1"/>
  <c r="V298" i="14"/>
  <c r="A298" i="14" s="1"/>
  <c r="V348" i="14"/>
  <c r="A348" i="14" s="1"/>
  <c r="V295" i="14"/>
  <c r="A295" i="14" s="1"/>
  <c r="V398" i="14"/>
  <c r="A398" i="14" s="1"/>
  <c r="V457" i="14"/>
  <c r="A457" i="14" s="1"/>
  <c r="G456" i="14"/>
  <c r="G433" i="14"/>
  <c r="H448" i="14"/>
  <c r="I428" i="14"/>
  <c r="I309" i="14"/>
  <c r="I438" i="14"/>
  <c r="F396" i="14"/>
  <c r="F361" i="14"/>
  <c r="F447" i="14"/>
  <c r="F404" i="14"/>
  <c r="F385" i="14"/>
  <c r="F439" i="14"/>
  <c r="F289" i="14"/>
  <c r="F426" i="14"/>
  <c r="F469" i="14"/>
  <c r="F442" i="14"/>
  <c r="F429" i="14"/>
  <c r="E332" i="14"/>
  <c r="E303" i="14"/>
  <c r="E274" i="14"/>
  <c r="E325" i="14"/>
  <c r="E405" i="14"/>
  <c r="E387" i="14"/>
  <c r="E268" i="14"/>
  <c r="E442" i="14"/>
  <c r="E430" i="14"/>
  <c r="E440" i="14"/>
  <c r="E475" i="14"/>
  <c r="E394" i="14"/>
  <c r="E420" i="14"/>
  <c r="E444" i="14"/>
  <c r="E286" i="14"/>
  <c r="E299" i="14"/>
  <c r="H412" i="14"/>
  <c r="H483" i="14"/>
  <c r="H316" i="14"/>
  <c r="I458" i="14"/>
  <c r="I485" i="14"/>
  <c r="I342" i="14"/>
  <c r="F255" i="14"/>
  <c r="F410" i="14"/>
  <c r="F445" i="14"/>
  <c r="F383" i="14"/>
  <c r="F465" i="14"/>
  <c r="F299" i="14"/>
  <c r="F333" i="14"/>
  <c r="F391" i="14"/>
  <c r="F408" i="14"/>
  <c r="V321" i="14"/>
  <c r="A321" i="14" s="1"/>
  <c r="V344" i="14"/>
  <c r="A344" i="14" s="1"/>
  <c r="H406" i="14"/>
  <c r="H258" i="14"/>
  <c r="H398" i="14"/>
  <c r="H491" i="14"/>
  <c r="H420" i="14"/>
  <c r="H413" i="14"/>
  <c r="H431" i="14"/>
  <c r="H324" i="14"/>
  <c r="H433" i="14"/>
  <c r="H264" i="14"/>
  <c r="H339" i="14"/>
  <c r="I358" i="14"/>
  <c r="I406" i="14"/>
  <c r="I412" i="14"/>
  <c r="I421" i="14"/>
  <c r="I423" i="14"/>
  <c r="I303" i="14"/>
  <c r="I401" i="14"/>
  <c r="I322" i="14"/>
  <c r="I275" i="14"/>
  <c r="F488" i="14"/>
  <c r="F367" i="14"/>
  <c r="F433" i="14"/>
  <c r="F456" i="14"/>
  <c r="F489" i="14"/>
  <c r="F323" i="14"/>
  <c r="F406" i="14"/>
  <c r="F395" i="14"/>
  <c r="F343" i="14"/>
  <c r="F371" i="14"/>
  <c r="F358" i="14"/>
  <c r="F409" i="14"/>
  <c r="F370" i="14"/>
  <c r="V399" i="14"/>
  <c r="A399" i="14" s="1"/>
  <c r="V405" i="14"/>
  <c r="A405" i="14" s="1"/>
  <c r="V274" i="14"/>
  <c r="A274" i="14" s="1"/>
  <c r="H315" i="14"/>
  <c r="H484" i="14"/>
  <c r="H317" i="14"/>
  <c r="H405" i="14"/>
  <c r="H382" i="14"/>
  <c r="H460" i="14"/>
  <c r="H347" i="14"/>
  <c r="H299" i="14"/>
  <c r="H371" i="14"/>
  <c r="H372" i="14"/>
  <c r="H425" i="14"/>
  <c r="H351" i="14"/>
  <c r="H336" i="14"/>
  <c r="I289" i="14"/>
  <c r="I312" i="14"/>
  <c r="I318" i="14"/>
  <c r="I260" i="14"/>
  <c r="I449" i="14"/>
  <c r="I369" i="14"/>
  <c r="I405" i="14"/>
  <c r="I390" i="14"/>
  <c r="I320" i="14"/>
  <c r="F454" i="14"/>
  <c r="F306" i="14"/>
  <c r="F475" i="14"/>
  <c r="F270" i="14"/>
  <c r="F486" i="14"/>
  <c r="F472" i="14"/>
  <c r="F474" i="14"/>
  <c r="F315" i="14"/>
  <c r="F295" i="14"/>
  <c r="F493" i="14"/>
  <c r="F337" i="14"/>
  <c r="V402" i="14"/>
  <c r="A402" i="14" s="1"/>
  <c r="V471" i="14"/>
  <c r="A471" i="14" s="1"/>
  <c r="H442" i="14"/>
  <c r="H474" i="14"/>
  <c r="H430" i="14"/>
  <c r="H270" i="14"/>
  <c r="H486" i="14"/>
  <c r="H402" i="14"/>
  <c r="H401" i="14"/>
  <c r="H255" i="14"/>
  <c r="H373" i="14"/>
  <c r="H436" i="14"/>
  <c r="H338" i="14"/>
  <c r="H312" i="14"/>
  <c r="H444" i="14"/>
  <c r="H323" i="14"/>
  <c r="H376" i="14"/>
  <c r="I272" i="14"/>
  <c r="I478" i="14"/>
  <c r="I414" i="14"/>
  <c r="I273" i="14"/>
  <c r="I475" i="14"/>
  <c r="I295" i="14"/>
  <c r="I351" i="14"/>
  <c r="I364" i="14"/>
  <c r="I326" i="14"/>
  <c r="F392" i="14"/>
  <c r="F399" i="14"/>
  <c r="F307" i="14"/>
  <c r="F348" i="14"/>
  <c r="F321" i="14"/>
  <c r="F448" i="14"/>
  <c r="F313" i="14"/>
  <c r="F495" i="14"/>
  <c r="F384" i="14"/>
  <c r="F256" i="14"/>
  <c r="F293" i="14"/>
  <c r="F374" i="14"/>
  <c r="F356" i="14"/>
  <c r="F265" i="14"/>
  <c r="F288" i="14"/>
  <c r="F382" i="14"/>
  <c r="V261" i="14"/>
  <c r="A261" i="14" s="1"/>
  <c r="V336" i="14"/>
  <c r="A336" i="14" s="1"/>
  <c r="V347" i="14"/>
  <c r="A347" i="14" s="1"/>
  <c r="G370" i="14"/>
  <c r="G262" i="14"/>
  <c r="H467" i="14"/>
  <c r="H391" i="14"/>
  <c r="H438" i="14"/>
  <c r="H494" i="14"/>
  <c r="H292" i="14"/>
  <c r="H456" i="14"/>
  <c r="H424" i="14"/>
  <c r="H337" i="14"/>
  <c r="F364" i="14"/>
  <c r="F341" i="14"/>
  <c r="F354" i="14"/>
  <c r="F311" i="14"/>
  <c r="F480" i="14"/>
  <c r="F380" i="14"/>
  <c r="F336" i="14"/>
  <c r="F362" i="14"/>
  <c r="F419" i="14"/>
  <c r="F444" i="14"/>
  <c r="F276" i="14"/>
  <c r="F441" i="14"/>
  <c r="V475" i="14"/>
  <c r="A475" i="14" s="1"/>
  <c r="G383" i="14"/>
  <c r="G423" i="14"/>
  <c r="H408" i="14"/>
  <c r="H267" i="14"/>
  <c r="H469" i="14"/>
  <c r="F279" i="14"/>
  <c r="F483" i="14"/>
  <c r="F375" i="14"/>
  <c r="F373" i="14"/>
  <c r="F446" i="14"/>
  <c r="F334" i="14"/>
  <c r="F467" i="14"/>
  <c r="F388" i="14"/>
  <c r="F466" i="14"/>
  <c r="F414" i="14"/>
  <c r="F331" i="14"/>
  <c r="V258" i="14"/>
  <c r="A258" i="14" s="1"/>
  <c r="V391" i="14"/>
  <c r="A391" i="14" s="1"/>
  <c r="V401" i="14"/>
  <c r="A401" i="14" s="1"/>
  <c r="V372" i="14"/>
  <c r="A372" i="14" s="1"/>
  <c r="V400" i="14"/>
  <c r="A400" i="14" s="1"/>
  <c r="V409" i="14"/>
  <c r="A409" i="14" s="1"/>
  <c r="V474" i="14"/>
  <c r="A474" i="14" s="1"/>
  <c r="G430" i="14"/>
  <c r="G432" i="14"/>
  <c r="G409" i="14"/>
  <c r="G270" i="14"/>
  <c r="G290" i="14"/>
  <c r="G329" i="14"/>
  <c r="H348" i="14"/>
  <c r="H352" i="14"/>
  <c r="F274" i="14"/>
  <c r="F281" i="14"/>
  <c r="F430" i="14"/>
  <c r="F258" i="14"/>
  <c r="F453" i="14"/>
  <c r="F490" i="14"/>
  <c r="F435" i="14"/>
  <c r="F389" i="14"/>
  <c r="F292" i="14"/>
  <c r="F390" i="14"/>
  <c r="F314" i="14"/>
  <c r="F317" i="14"/>
  <c r="F369" i="14"/>
  <c r="F398" i="14"/>
  <c r="V389" i="14"/>
  <c r="A389" i="14" s="1"/>
  <c r="G277" i="14"/>
  <c r="H263" i="14"/>
  <c r="H356" i="14"/>
  <c r="H419" i="14"/>
  <c r="H407" i="14"/>
  <c r="H495" i="14"/>
  <c r="I418" i="14"/>
  <c r="E351" i="14"/>
  <c r="V320" i="14"/>
  <c r="A320" i="14" s="1"/>
  <c r="V393" i="14"/>
  <c r="A393" i="14" s="1"/>
  <c r="H335" i="14"/>
  <c r="H278" i="14"/>
  <c r="H314" i="14"/>
  <c r="H478" i="14"/>
  <c r="H364" i="14"/>
  <c r="H303" i="14"/>
  <c r="H253" i="14"/>
  <c r="H355" i="14"/>
  <c r="H461" i="14"/>
  <c r="I486" i="14"/>
  <c r="V473" i="14"/>
  <c r="A473" i="14" s="1"/>
  <c r="V341" i="14"/>
  <c r="A341" i="14" s="1"/>
  <c r="V355" i="14"/>
  <c r="A355" i="14" s="1"/>
  <c r="V333" i="14"/>
  <c r="A333" i="14" s="1"/>
  <c r="V281" i="14"/>
  <c r="A281" i="14" s="1"/>
  <c r="V356" i="14"/>
  <c r="A356" i="14" s="1"/>
  <c r="G259" i="14"/>
  <c r="H334" i="14"/>
  <c r="H457" i="14"/>
  <c r="H493" i="14"/>
  <c r="H320" i="14"/>
  <c r="H283" i="14"/>
  <c r="H393" i="14"/>
  <c r="E290" i="14"/>
  <c r="E373" i="14"/>
  <c r="E461" i="14"/>
  <c r="E337" i="14"/>
  <c r="E456" i="14"/>
  <c r="E452" i="14"/>
  <c r="E363" i="14"/>
  <c r="E421" i="14"/>
  <c r="E350" i="14"/>
  <c r="E482" i="14"/>
  <c r="E316" i="14"/>
  <c r="E416" i="14"/>
  <c r="V293" i="14"/>
  <c r="A293" i="14" s="1"/>
  <c r="V379" i="14"/>
  <c r="A379" i="14" s="1"/>
  <c r="G363" i="14"/>
  <c r="G453" i="14"/>
  <c r="H285" i="14"/>
  <c r="H379" i="14"/>
  <c r="H293" i="14"/>
  <c r="I482" i="14"/>
  <c r="I265" i="14"/>
  <c r="I307" i="14"/>
  <c r="E296" i="14"/>
  <c r="E297" i="14"/>
  <c r="E465" i="14"/>
  <c r="E331" i="14"/>
  <c r="E279" i="14"/>
  <c r="E423" i="14"/>
  <c r="V441" i="14"/>
  <c r="A441" i="14" s="1"/>
  <c r="G493" i="14"/>
  <c r="H397" i="14"/>
  <c r="H367" i="14"/>
  <c r="H343" i="14"/>
  <c r="H277" i="14"/>
  <c r="I341" i="14"/>
  <c r="I473" i="14"/>
  <c r="I306" i="14"/>
  <c r="I259" i="14"/>
  <c r="H282" i="14"/>
  <c r="H342" i="14"/>
  <c r="I329" i="14"/>
  <c r="I451" i="14"/>
  <c r="I419" i="14"/>
  <c r="I263" i="14"/>
  <c r="E269" i="14"/>
  <c r="E495" i="14"/>
  <c r="E443" i="14"/>
  <c r="V305" i="14"/>
  <c r="A305" i="14" s="1"/>
  <c r="V340" i="14"/>
  <c r="A340" i="14" s="1"/>
  <c r="V318" i="14"/>
  <c r="A318" i="14" s="1"/>
  <c r="G305" i="14"/>
  <c r="G333" i="14"/>
  <c r="G439" i="14"/>
  <c r="G276" i="14"/>
  <c r="G309" i="14"/>
  <c r="E272" i="14"/>
  <c r="E280" i="14"/>
  <c r="E494" i="14"/>
  <c r="E404" i="14"/>
  <c r="E474" i="14"/>
  <c r="E451" i="14"/>
  <c r="E264" i="14"/>
  <c r="E427" i="14"/>
  <c r="E489" i="14"/>
  <c r="V421" i="14"/>
  <c r="A421" i="14" s="1"/>
  <c r="V309" i="14"/>
  <c r="A309" i="14" s="1"/>
  <c r="V423" i="14"/>
  <c r="A423" i="14" s="1"/>
  <c r="V465" i="14"/>
  <c r="A465" i="14" s="1"/>
  <c r="V456" i="14"/>
  <c r="A456" i="14" s="1"/>
  <c r="V290" i="14"/>
  <c r="A290" i="14" s="1"/>
  <c r="V461" i="14"/>
  <c r="A461" i="14" s="1"/>
  <c r="V469" i="14"/>
  <c r="A469" i="14" s="1"/>
  <c r="V329" i="14"/>
  <c r="A329" i="14" s="1"/>
  <c r="V493" i="14"/>
  <c r="A493" i="14" s="1"/>
  <c r="V303" i="14"/>
  <c r="A303" i="14" s="1"/>
  <c r="G486" i="14"/>
  <c r="G341" i="14"/>
  <c r="G482" i="14"/>
  <c r="G477" i="14"/>
  <c r="G298" i="14"/>
  <c r="G378" i="14"/>
  <c r="G318" i="14"/>
  <c r="G365" i="14"/>
  <c r="G269" i="14"/>
  <c r="G311" i="14"/>
  <c r="G438" i="14"/>
  <c r="G348" i="14"/>
  <c r="G303" i="14"/>
  <c r="G335" i="14"/>
  <c r="G401" i="14"/>
  <c r="G397" i="14"/>
  <c r="G429" i="14"/>
  <c r="G446" i="14"/>
  <c r="H305" i="14"/>
  <c r="H490" i="14"/>
  <c r="H281" i="14"/>
  <c r="H256" i="14"/>
  <c r="H385" i="14"/>
  <c r="H380" i="14"/>
  <c r="H422" i="14"/>
  <c r="H421" i="14"/>
  <c r="H389" i="14"/>
  <c r="H465" i="14"/>
  <c r="H327" i="14"/>
  <c r="H358" i="14"/>
  <c r="H273" i="14"/>
  <c r="I316" i="14"/>
  <c r="I472" i="14"/>
  <c r="I492" i="14"/>
  <c r="I487" i="14"/>
  <c r="I391" i="14"/>
  <c r="I262" i="14"/>
  <c r="I488" i="14"/>
  <c r="I321" i="14"/>
  <c r="I467" i="14"/>
  <c r="F259" i="14"/>
  <c r="F418" i="14"/>
  <c r="F452" i="14"/>
  <c r="F260" i="14"/>
  <c r="F312" i="14"/>
  <c r="H477" i="14"/>
  <c r="H297" i="14"/>
  <c r="H428" i="14"/>
  <c r="H362" i="14"/>
  <c r="H377" i="14"/>
  <c r="H470" i="14"/>
  <c r="H387" i="14"/>
  <c r="H488" i="14"/>
  <c r="H302" i="14"/>
  <c r="H473" i="14"/>
  <c r="H404" i="14"/>
  <c r="H288" i="14"/>
  <c r="I403" i="14"/>
  <c r="I383" i="14"/>
  <c r="I355" i="14"/>
  <c r="I296" i="14"/>
  <c r="I385" i="14"/>
  <c r="I386" i="14"/>
  <c r="I490" i="14"/>
  <c r="I282" i="14"/>
  <c r="I254" i="14"/>
  <c r="I334" i="14"/>
  <c r="I294" i="14"/>
  <c r="I290" i="14"/>
  <c r="F387" i="14"/>
  <c r="F302" i="14"/>
  <c r="F411" i="14"/>
  <c r="F484" i="14"/>
  <c r="F436" i="14"/>
  <c r="F460" i="14"/>
  <c r="F339" i="14"/>
  <c r="F427" i="14"/>
  <c r="E391" i="14"/>
  <c r="V287" i="14"/>
  <c r="A287" i="14" s="1"/>
  <c r="G340" i="14"/>
  <c r="G420" i="14"/>
  <c r="G326" i="14"/>
  <c r="G375" i="14"/>
  <c r="E417" i="14"/>
  <c r="E355" i="14"/>
  <c r="E473" i="14"/>
  <c r="E401" i="14"/>
  <c r="E380" i="14"/>
  <c r="V429" i="14"/>
  <c r="A429" i="14" s="1"/>
  <c r="V375" i="14"/>
  <c r="A375" i="14" s="1"/>
  <c r="V385" i="14"/>
  <c r="A385" i="14" s="1"/>
  <c r="V438" i="14"/>
  <c r="A438" i="14" s="1"/>
  <c r="V395" i="14"/>
  <c r="A395" i="14" s="1"/>
  <c r="V276" i="14"/>
  <c r="A276" i="14" s="1"/>
  <c r="V335" i="14"/>
  <c r="A335" i="14" s="1"/>
  <c r="V362" i="14"/>
  <c r="A362" i="14" s="1"/>
  <c r="V477" i="14"/>
  <c r="A477" i="14" s="1"/>
  <c r="V490" i="14"/>
  <c r="A490" i="14" s="1"/>
  <c r="V483" i="14"/>
  <c r="A483" i="14" s="1"/>
  <c r="V273" i="14"/>
  <c r="A273" i="14" s="1"/>
  <c r="V384" i="14"/>
  <c r="A384" i="14" s="1"/>
  <c r="G483" i="14"/>
  <c r="G332" i="14"/>
  <c r="G461" i="14"/>
  <c r="G324" i="14"/>
  <c r="G379" i="14"/>
  <c r="G457" i="14"/>
  <c r="G385" i="14"/>
  <c r="G487" i="14"/>
  <c r="G358" i="14"/>
  <c r="G454" i="14"/>
  <c r="G354" i="14"/>
  <c r="G469" i="14"/>
  <c r="G421" i="14"/>
  <c r="G372" i="14"/>
  <c r="G287" i="14"/>
  <c r="G349" i="14"/>
  <c r="G313" i="14"/>
  <c r="G258" i="14"/>
  <c r="G317" i="14"/>
  <c r="H458" i="14"/>
  <c r="H472" i="14"/>
  <c r="H271" i="14"/>
  <c r="H395" i="14"/>
  <c r="H392" i="14"/>
  <c r="H333" i="14"/>
  <c r="H365" i="14"/>
  <c r="H450" i="14"/>
  <c r="H295" i="14"/>
  <c r="H384" i="14"/>
  <c r="H307" i="14"/>
  <c r="H341" i="14"/>
  <c r="H294" i="14"/>
  <c r="H329" i="14"/>
  <c r="H455" i="14"/>
  <c r="H441" i="14"/>
  <c r="H386" i="14"/>
  <c r="I256" i="14"/>
  <c r="I463" i="14"/>
  <c r="I410" i="14"/>
  <c r="I328" i="14"/>
  <c r="I284" i="14"/>
  <c r="I430" i="14"/>
  <c r="I388" i="14"/>
  <c r="I477" i="14"/>
  <c r="I411" i="14"/>
  <c r="F283" i="14"/>
  <c r="F349" i="14"/>
  <c r="F379" i="14"/>
  <c r="F267" i="14"/>
  <c r="F415" i="14"/>
  <c r="F253" i="14"/>
  <c r="F304" i="14"/>
  <c r="F352" i="14"/>
  <c r="E468" i="14"/>
  <c r="E333" i="14"/>
  <c r="E262" i="14"/>
  <c r="E266" i="14"/>
  <c r="E304" i="14"/>
  <c r="E315" i="14"/>
  <c r="V255" i="14"/>
  <c r="A255" i="14" s="1"/>
  <c r="V410" i="14"/>
  <c r="A410" i="14" s="1"/>
  <c r="G352" i="14"/>
  <c r="G459" i="14"/>
  <c r="G455" i="14"/>
  <c r="G422" i="14"/>
  <c r="G479" i="14"/>
  <c r="G436" i="14"/>
  <c r="G443" i="14"/>
  <c r="G394" i="14"/>
  <c r="G286" i="14"/>
  <c r="H354" i="14"/>
  <c r="H319" i="14"/>
  <c r="H349" i="14"/>
  <c r="H346" i="14"/>
  <c r="H284" i="14"/>
  <c r="I409" i="14"/>
  <c r="I313" i="14"/>
  <c r="I298" i="14"/>
  <c r="I495" i="14"/>
  <c r="I454" i="14"/>
  <c r="I476" i="14"/>
  <c r="I376" i="14"/>
  <c r="I470" i="14"/>
  <c r="I366" i="14"/>
  <c r="I276" i="14"/>
  <c r="I442" i="14"/>
  <c r="I381" i="14"/>
  <c r="I288" i="14"/>
  <c r="I408" i="14"/>
  <c r="I299" i="14"/>
  <c r="I345" i="14"/>
  <c r="I460" i="14"/>
  <c r="I255" i="14"/>
  <c r="E488" i="14"/>
  <c r="E360" i="14"/>
  <c r="E283" i="14"/>
  <c r="E320" i="14"/>
  <c r="E476" i="14"/>
  <c r="V310" i="14"/>
  <c r="A310" i="14" s="1"/>
  <c r="V425" i="14"/>
  <c r="A425" i="14" s="1"/>
  <c r="V439" i="14"/>
  <c r="A439" i="14" s="1"/>
  <c r="V352" i="14"/>
  <c r="A352" i="14" s="1"/>
  <c r="V334" i="14"/>
  <c r="A334" i="14" s="1"/>
  <c r="V277" i="14"/>
  <c r="A277" i="14" s="1"/>
  <c r="V494" i="14"/>
  <c r="A494" i="14" s="1"/>
  <c r="E477" i="14"/>
  <c r="V486" i="14"/>
  <c r="A486" i="14" s="1"/>
  <c r="G470" i="14"/>
  <c r="G351" i="14"/>
  <c r="G292" i="14"/>
  <c r="G361" i="14"/>
  <c r="G255" i="14"/>
  <c r="G342" i="14"/>
  <c r="G359" i="14"/>
  <c r="H466" i="14"/>
  <c r="H453" i="14"/>
  <c r="I324" i="14"/>
  <c r="I285" i="14"/>
  <c r="I398" i="14"/>
  <c r="I416" i="14"/>
  <c r="I474" i="14"/>
  <c r="I432" i="14"/>
  <c r="I337" i="14"/>
  <c r="I481" i="14"/>
  <c r="I362" i="14"/>
  <c r="I338" i="14"/>
  <c r="I439" i="14"/>
  <c r="I354" i="14"/>
  <c r="I359" i="14"/>
  <c r="I336" i="14"/>
  <c r="I343" i="14"/>
  <c r="I444" i="14"/>
  <c r="I261" i="14"/>
  <c r="I422" i="14"/>
  <c r="E413" i="14"/>
  <c r="E485" i="14"/>
  <c r="E317" i="14"/>
  <c r="E381" i="14"/>
  <c r="E322" i="14"/>
  <c r="E288" i="14"/>
  <c r="E255" i="14"/>
  <c r="V259" i="14"/>
  <c r="A259" i="14" s="1"/>
  <c r="V346" i="14"/>
  <c r="A346" i="14" s="1"/>
  <c r="V300" i="14"/>
  <c r="A300" i="14" s="1"/>
  <c r="V265" i="14"/>
  <c r="A265" i="14" s="1"/>
  <c r="V492" i="14"/>
  <c r="A492" i="14" s="1"/>
  <c r="V284" i="14"/>
  <c r="A284" i="14" s="1"/>
  <c r="V382" i="14"/>
  <c r="A382" i="14" s="1"/>
  <c r="V376" i="14"/>
  <c r="A376" i="14" s="1"/>
  <c r="V390" i="14"/>
  <c r="A390" i="14" s="1"/>
  <c r="V353" i="14"/>
  <c r="A353" i="14" s="1"/>
  <c r="V367" i="14"/>
  <c r="A367" i="14" s="1"/>
  <c r="V388" i="14"/>
  <c r="A388" i="14" s="1"/>
  <c r="V454" i="14"/>
  <c r="A454" i="14" s="1"/>
  <c r="G285" i="14"/>
  <c r="G386" i="14"/>
  <c r="G294" i="14"/>
  <c r="G334" i="14"/>
  <c r="G425" i="14"/>
  <c r="G468" i="14"/>
  <c r="H360" i="14"/>
  <c r="H259" i="14"/>
  <c r="H427" i="14"/>
  <c r="H443" i="14"/>
  <c r="H254" i="14"/>
  <c r="H275" i="14"/>
  <c r="H434" i="14"/>
  <c r="H345" i="14"/>
  <c r="I304" i="14"/>
  <c r="I332" i="14"/>
  <c r="I344" i="14"/>
  <c r="I453" i="14"/>
  <c r="I347" i="14"/>
  <c r="I331" i="14"/>
  <c r="I465" i="14"/>
  <c r="I424" i="14"/>
  <c r="I374" i="14"/>
  <c r="I287" i="14"/>
  <c r="I407" i="14"/>
  <c r="I443" i="14"/>
  <c r="I493" i="14"/>
  <c r="I297" i="14"/>
  <c r="Q419" i="14"/>
  <c r="V419" i="14" s="1"/>
  <c r="A419" i="14" s="1"/>
  <c r="E419" i="14"/>
  <c r="Q448" i="14"/>
  <c r="V448" i="14" s="1"/>
  <c r="A448" i="14" s="1"/>
  <c r="E448" i="14"/>
  <c r="Q459" i="14"/>
  <c r="V459" i="14" s="1"/>
  <c r="A459" i="14" s="1"/>
  <c r="E459" i="14"/>
  <c r="Q480" i="14"/>
  <c r="V480" i="14" s="1"/>
  <c r="A480" i="14" s="1"/>
  <c r="E480" i="14"/>
  <c r="Q343" i="14"/>
  <c r="V343" i="14" s="1"/>
  <c r="A343" i="14" s="1"/>
  <c r="E343" i="14"/>
  <c r="S322" i="14"/>
  <c r="V322" i="14" s="1"/>
  <c r="A322" i="14" s="1"/>
  <c r="G322" i="14"/>
  <c r="S302" i="14"/>
  <c r="V302" i="14" s="1"/>
  <c r="A302" i="14" s="1"/>
  <c r="G302" i="14"/>
  <c r="E339" i="14"/>
  <c r="E400" i="14"/>
  <c r="E415" i="14"/>
  <c r="E281" i="14"/>
  <c r="E389" i="14"/>
  <c r="E307" i="14"/>
  <c r="E308" i="14"/>
  <c r="E409" i="14"/>
  <c r="E422" i="14"/>
  <c r="E305" i="14"/>
  <c r="E336" i="14"/>
  <c r="E446" i="14"/>
  <c r="E429" i="14"/>
  <c r="E403" i="14"/>
  <c r="G367" i="14"/>
  <c r="G279" i="14"/>
  <c r="G325" i="14"/>
  <c r="G296" i="14"/>
  <c r="G450" i="14"/>
  <c r="Q342" i="14"/>
  <c r="V342" i="14" s="1"/>
  <c r="A342" i="14" s="1"/>
  <c r="E342" i="14"/>
  <c r="Q263" i="14"/>
  <c r="V263" i="14" s="1"/>
  <c r="A263" i="14" s="1"/>
  <c r="E263" i="14"/>
  <c r="Q453" i="14"/>
  <c r="V453" i="14" s="1"/>
  <c r="A453" i="14" s="1"/>
  <c r="E453" i="14"/>
  <c r="Q313" i="14"/>
  <c r="V313" i="14" s="1"/>
  <c r="A313" i="14" s="1"/>
  <c r="E313" i="14"/>
  <c r="Q271" i="14"/>
  <c r="V271" i="14" s="1"/>
  <c r="A271" i="14" s="1"/>
  <c r="E271" i="14"/>
  <c r="Q267" i="14"/>
  <c r="V267" i="14" s="1"/>
  <c r="A267" i="14" s="1"/>
  <c r="E267" i="14"/>
  <c r="Q370" i="14"/>
  <c r="V370" i="14" s="1"/>
  <c r="A370" i="14" s="1"/>
  <c r="E370" i="14"/>
  <c r="E348" i="14"/>
  <c r="E492" i="14"/>
  <c r="E398" i="14"/>
  <c r="E358" i="14"/>
  <c r="E261" i="14"/>
  <c r="E375" i="14"/>
  <c r="E345" i="14"/>
  <c r="E294" i="14"/>
  <c r="E481" i="14"/>
  <c r="E407" i="14"/>
  <c r="E319" i="14"/>
  <c r="E356" i="14"/>
  <c r="E265" i="14"/>
  <c r="E257" i="14"/>
  <c r="E441" i="14"/>
  <c r="E275" i="14"/>
  <c r="E455" i="14"/>
  <c r="E484" i="14"/>
  <c r="E259" i="14"/>
  <c r="G445" i="14"/>
  <c r="E359" i="14"/>
  <c r="Q253" i="14"/>
  <c r="V253" i="14" s="1"/>
  <c r="A253" i="14" s="1"/>
  <c r="E253" i="14"/>
  <c r="Q487" i="14"/>
  <c r="V487" i="14" s="1"/>
  <c r="A487" i="14" s="1"/>
  <c r="E487" i="14"/>
  <c r="Q433" i="14"/>
  <c r="V433" i="14" s="1"/>
  <c r="A433" i="14" s="1"/>
  <c r="E433" i="14"/>
  <c r="Q464" i="14"/>
  <c r="V464" i="14" s="1"/>
  <c r="A464" i="14" s="1"/>
  <c r="E464" i="14"/>
  <c r="Q434" i="14"/>
  <c r="V434" i="14" s="1"/>
  <c r="A434" i="14" s="1"/>
  <c r="E434" i="14"/>
  <c r="Q418" i="14"/>
  <c r="V418" i="14" s="1"/>
  <c r="A418" i="14" s="1"/>
  <c r="E418" i="14"/>
  <c r="Q406" i="14"/>
  <c r="V406" i="14" s="1"/>
  <c r="A406" i="14" s="1"/>
  <c r="E406" i="14"/>
  <c r="Q314" i="14"/>
  <c r="V314" i="14" s="1"/>
  <c r="A314" i="14" s="1"/>
  <c r="E314" i="14"/>
  <c r="Q365" i="14"/>
  <c r="V365" i="14" s="1"/>
  <c r="A365" i="14" s="1"/>
  <c r="E365" i="14"/>
  <c r="Q479" i="14"/>
  <c r="V479" i="14" s="1"/>
  <c r="A479" i="14" s="1"/>
  <c r="E479" i="14"/>
  <c r="Q386" i="14"/>
  <c r="V386" i="14" s="1"/>
  <c r="A386" i="14" s="1"/>
  <c r="E386" i="14"/>
  <c r="Q312" i="14"/>
  <c r="V312" i="14" s="1"/>
  <c r="A312" i="14" s="1"/>
  <c r="E312" i="14"/>
  <c r="Q285" i="14"/>
  <c r="V285" i="14" s="1"/>
  <c r="A285" i="14" s="1"/>
  <c r="E285" i="14"/>
  <c r="Q470" i="14"/>
  <c r="V470" i="14" s="1"/>
  <c r="A470" i="14" s="1"/>
  <c r="E470" i="14"/>
  <c r="Q292" i="14"/>
  <c r="V292" i="14" s="1"/>
  <c r="A292" i="14" s="1"/>
  <c r="E292" i="14"/>
  <c r="Q369" i="14"/>
  <c r="V369" i="14" s="1"/>
  <c r="A369" i="14" s="1"/>
  <c r="E369" i="14"/>
  <c r="Q463" i="14"/>
  <c r="V463" i="14" s="1"/>
  <c r="A463" i="14" s="1"/>
  <c r="E463" i="14"/>
  <c r="Q324" i="14"/>
  <c r="V324" i="14" s="1"/>
  <c r="A324" i="14" s="1"/>
  <c r="E324" i="14"/>
  <c r="Q397" i="14"/>
  <c r="V397" i="14" s="1"/>
  <c r="A397" i="14" s="1"/>
  <c r="E397" i="14"/>
  <c r="Q426" i="14"/>
  <c r="V426" i="14" s="1"/>
  <c r="A426" i="14" s="1"/>
  <c r="E426" i="14"/>
  <c r="Q428" i="14"/>
  <c r="V428" i="14" s="1"/>
  <c r="A428" i="14" s="1"/>
  <c r="E428" i="14"/>
  <c r="G412" i="14"/>
  <c r="S408" i="14"/>
  <c r="V408" i="14" s="1"/>
  <c r="A408" i="14" s="1"/>
  <c r="G408" i="14"/>
  <c r="S396" i="14"/>
  <c r="V396" i="14" s="1"/>
  <c r="A396" i="14" s="1"/>
  <c r="G396" i="14"/>
  <c r="S268" i="14"/>
  <c r="V268" i="14" s="1"/>
  <c r="A268" i="14" s="1"/>
  <c r="G268" i="14"/>
  <c r="S444" i="14"/>
  <c r="V444" i="14" s="1"/>
  <c r="A444" i="14" s="1"/>
  <c r="G444" i="14"/>
  <c r="S304" i="14"/>
  <c r="V304" i="14" s="1"/>
  <c r="A304" i="14" s="1"/>
  <c r="G304" i="14"/>
  <c r="S447" i="14"/>
  <c r="V447" i="14" s="1"/>
  <c r="A447" i="14" s="1"/>
  <c r="G447" i="14"/>
  <c r="S462" i="14"/>
  <c r="V462" i="14" s="1"/>
  <c r="A462" i="14" s="1"/>
  <c r="G462" i="14"/>
  <c r="V489" i="14"/>
  <c r="A489" i="14" s="1"/>
  <c r="V472" i="14"/>
  <c r="A472" i="14" s="1"/>
  <c r="V377" i="14"/>
  <c r="A377" i="14" s="1"/>
  <c r="V306" i="14"/>
  <c r="A306" i="14" s="1"/>
  <c r="V478" i="14"/>
  <c r="A478" i="14" s="1"/>
  <c r="V491" i="14"/>
  <c r="A491" i="14" s="1"/>
  <c r="V458" i="14"/>
  <c r="A458" i="14" s="1"/>
  <c r="V435" i="14"/>
  <c r="A435" i="14" s="1"/>
  <c r="V424" i="14"/>
  <c r="A424" i="14" s="1"/>
  <c r="V256" i="14"/>
  <c r="A256" i="14" s="1"/>
  <c r="V338" i="14"/>
  <c r="A338" i="14" s="1"/>
  <c r="V387" i="14"/>
  <c r="A387" i="14" s="1"/>
  <c r="G343" i="14"/>
  <c r="G261" i="14"/>
  <c r="G267" i="14"/>
  <c r="G369" i="14"/>
  <c r="G368" i="14"/>
  <c r="G288" i="14"/>
  <c r="G387" i="14"/>
  <c r="G426" i="14"/>
  <c r="H353" i="14"/>
  <c r="H375" i="14"/>
  <c r="H290" i="14"/>
  <c r="H452" i="14"/>
  <c r="H326" i="14"/>
  <c r="H331" i="14"/>
  <c r="H340" i="14"/>
  <c r="H298" i="14"/>
  <c r="H415" i="14"/>
  <c r="H322" i="14"/>
  <c r="I441" i="14"/>
  <c r="I397" i="14"/>
  <c r="I456" i="14"/>
  <c r="I446" i="14"/>
  <c r="I302" i="14"/>
  <c r="I361" i="14"/>
  <c r="I489" i="14"/>
  <c r="I394" i="14"/>
  <c r="I267" i="14"/>
  <c r="I349" i="14"/>
  <c r="I494" i="14"/>
  <c r="I436" i="14"/>
  <c r="I435" i="14"/>
  <c r="I400" i="14"/>
  <c r="I363" i="14"/>
  <c r="I377" i="14"/>
  <c r="I335" i="14"/>
  <c r="F470" i="14"/>
  <c r="F463" i="14"/>
  <c r="H269" i="14"/>
  <c r="H357" i="14"/>
  <c r="H423" i="14"/>
  <c r="H394" i="14"/>
  <c r="H475" i="14"/>
  <c r="H266" i="14"/>
  <c r="H280" i="14"/>
  <c r="H374" i="14"/>
  <c r="H309" i="14"/>
  <c r="H330" i="14"/>
  <c r="H318" i="14"/>
  <c r="H261" i="14"/>
  <c r="H390" i="14"/>
  <c r="H272" i="14"/>
  <c r="I258" i="14"/>
  <c r="I440" i="14"/>
  <c r="I402" i="14"/>
  <c r="I360" i="14"/>
  <c r="I448" i="14"/>
  <c r="I395" i="14"/>
  <c r="I352" i="14"/>
  <c r="I462" i="14"/>
  <c r="I281" i="14"/>
  <c r="I305" i="14"/>
  <c r="I301" i="14"/>
  <c r="I415" i="14"/>
  <c r="I427" i="14"/>
  <c r="I317" i="14"/>
  <c r="I375" i="14"/>
  <c r="I437" i="14"/>
  <c r="I468" i="14"/>
  <c r="F345" i="14"/>
  <c r="F494" i="14"/>
  <c r="V288" i="14"/>
  <c r="A288" i="14" s="1"/>
  <c r="V297" i="14"/>
  <c r="A297" i="14" s="1"/>
  <c r="V412" i="14"/>
  <c r="A412" i="14" s="1"/>
  <c r="V416" i="14"/>
  <c r="A416" i="14" s="1"/>
  <c r="V331" i="14"/>
  <c r="A331" i="14" s="1"/>
  <c r="V449" i="14"/>
  <c r="A449" i="14" s="1"/>
  <c r="V467" i="14"/>
  <c r="A467" i="14" s="1"/>
  <c r="V450" i="14"/>
  <c r="A450" i="14" s="1"/>
  <c r="V326" i="14"/>
  <c r="A326" i="14" s="1"/>
  <c r="V361" i="14"/>
  <c r="A361" i="14" s="1"/>
  <c r="V460" i="14"/>
  <c r="A460" i="14" s="1"/>
  <c r="G377" i="14"/>
  <c r="G297" i="14"/>
  <c r="G449" i="14"/>
  <c r="G284" i="14"/>
  <c r="G478" i="14"/>
  <c r="G376" i="14"/>
  <c r="G395" i="14"/>
  <c r="G474" i="14"/>
  <c r="G300" i="14"/>
  <c r="G321" i="14"/>
  <c r="G346" i="14"/>
  <c r="G467" i="14"/>
  <c r="G336" i="14"/>
  <c r="G338" i="14"/>
  <c r="G489" i="14"/>
  <c r="H409" i="14"/>
  <c r="H429" i="14"/>
  <c r="H274" i="14"/>
  <c r="H462" i="14"/>
  <c r="H476" i="14"/>
  <c r="H435" i="14"/>
  <c r="H445" i="14"/>
  <c r="H468" i="14"/>
  <c r="H313" i="14"/>
  <c r="H463" i="14"/>
  <c r="H378" i="14"/>
  <c r="H257" i="14"/>
  <c r="H276" i="14"/>
  <c r="H403" i="14"/>
  <c r="I350" i="14"/>
  <c r="I370" i="14"/>
  <c r="I271" i="14"/>
  <c r="I283" i="14"/>
  <c r="I292" i="14"/>
  <c r="I266" i="14"/>
  <c r="I426" i="14"/>
  <c r="I278" i="14"/>
  <c r="I483" i="14"/>
  <c r="I373" i="14"/>
  <c r="I429" i="14"/>
  <c r="I310" i="14"/>
  <c r="F485" i="14"/>
  <c r="F365" i="14"/>
  <c r="E334" i="14"/>
  <c r="E276" i="14"/>
  <c r="E395" i="14"/>
  <c r="E382" i="14"/>
  <c r="E287" i="14"/>
  <c r="E284" i="14"/>
  <c r="E291" i="14"/>
  <c r="E282" i="14"/>
  <c r="E402" i="14"/>
  <c r="E300" i="14"/>
  <c r="V337" i="14"/>
  <c r="A337" i="14" s="1"/>
  <c r="V452" i="14"/>
  <c r="A452" i="14" s="1"/>
  <c r="V373" i="14"/>
  <c r="A373" i="14" s="1"/>
  <c r="V383" i="14"/>
  <c r="A383" i="14" s="1"/>
  <c r="V323" i="14"/>
  <c r="A323" i="14" s="1"/>
  <c r="V350" i="14"/>
  <c r="A350" i="14" s="1"/>
  <c r="V482" i="14"/>
  <c r="A482" i="14" s="1"/>
  <c r="V485" i="14"/>
  <c r="A485" i="14" s="1"/>
  <c r="V257" i="14"/>
  <c r="A257" i="14" s="1"/>
  <c r="V358" i="14"/>
  <c r="A358" i="14" s="1"/>
  <c r="V315" i="14"/>
  <c r="A315" i="14" s="1"/>
  <c r="V422" i="14"/>
  <c r="A422" i="14" s="1"/>
  <c r="V495" i="14"/>
  <c r="A495" i="14" s="1"/>
  <c r="V363" i="14"/>
  <c r="A363" i="14" s="1"/>
  <c r="V319" i="14"/>
  <c r="A319" i="14" s="1"/>
  <c r="V404" i="14"/>
  <c r="A404" i="14" s="1"/>
  <c r="V294" i="14"/>
  <c r="A294" i="14" s="1"/>
  <c r="V407" i="14"/>
  <c r="A407" i="14" s="1"/>
  <c r="V468" i="14"/>
  <c r="A468" i="14" s="1"/>
  <c r="V476" i="14"/>
  <c r="A476" i="14" s="1"/>
  <c r="V446" i="14"/>
  <c r="A446" i="14" s="1"/>
  <c r="L97" i="10"/>
  <c r="U96" i="10"/>
  <c r="G476" i="14"/>
  <c r="G360" i="14"/>
  <c r="G314" i="14"/>
  <c r="G373" i="14"/>
  <c r="G366" i="14"/>
  <c r="G485" i="14"/>
  <c r="G257" i="14"/>
  <c r="G414" i="14"/>
  <c r="G390" i="14"/>
  <c r="G428" i="14"/>
  <c r="H410" i="14"/>
  <c r="H411" i="14"/>
  <c r="H383" i="14"/>
  <c r="H279" i="14"/>
  <c r="H260" i="14"/>
  <c r="H265" i="14"/>
  <c r="H289" i="14"/>
  <c r="H485" i="14"/>
  <c r="H487" i="14"/>
  <c r="H482" i="14"/>
  <c r="H286" i="14"/>
  <c r="H451" i="14"/>
  <c r="I380" i="14"/>
  <c r="I269" i="14"/>
  <c r="I457" i="14"/>
  <c r="I264" i="14"/>
  <c r="I413" i="14"/>
  <c r="I464" i="14"/>
  <c r="I257" i="14"/>
  <c r="I431" i="14"/>
  <c r="I445" i="14"/>
  <c r="I270" i="14"/>
  <c r="I365" i="14"/>
  <c r="I315" i="14"/>
  <c r="I280" i="14"/>
  <c r="I471" i="14"/>
  <c r="I286" i="14"/>
  <c r="V95" i="10"/>
  <c r="M96" i="10"/>
  <c r="F291" i="14"/>
  <c r="F401" i="14"/>
  <c r="E362" i="14"/>
  <c r="E341" i="14"/>
  <c r="E469" i="14"/>
  <c r="E457" i="14"/>
  <c r="E379" i="14"/>
  <c r="E435" i="14"/>
  <c r="E377" i="14"/>
  <c r="E306" i="14"/>
  <c r="E491" i="14"/>
  <c r="E298" i="14"/>
  <c r="E447" i="14"/>
  <c r="E352" i="14"/>
  <c r="E346" i="14"/>
  <c r="E310" i="14"/>
  <c r="E425" i="14"/>
  <c r="E277" i="14"/>
  <c r="E388" i="14"/>
  <c r="V484" i="14"/>
  <c r="A484" i="14" s="1"/>
  <c r="V272" i="14"/>
  <c r="A272" i="14" s="1"/>
  <c r="V427" i="14"/>
  <c r="A427" i="14" s="1"/>
  <c r="V413" i="14"/>
  <c r="A413" i="14" s="1"/>
  <c r="V488" i="14"/>
  <c r="A488" i="14" s="1"/>
  <c r="V381" i="14"/>
  <c r="A381" i="14" s="1"/>
  <c r="V360" i="14"/>
  <c r="A360" i="14" s="1"/>
  <c r="V403" i="14"/>
  <c r="A403" i="14" s="1"/>
  <c r="V380" i="14"/>
  <c r="A380" i="14" s="1"/>
  <c r="V443" i="14"/>
  <c r="A443" i="14" s="1"/>
  <c r="V451" i="14"/>
  <c r="A451" i="14" s="1"/>
  <c r="V316" i="14"/>
  <c r="A316" i="14" s="1"/>
  <c r="V279" i="14"/>
  <c r="A279" i="14" s="1"/>
  <c r="V296" i="14"/>
  <c r="A296" i="14" s="1"/>
  <c r="V270" i="14"/>
  <c r="A270" i="14" s="1"/>
  <c r="V254" i="14"/>
  <c r="A254" i="14" s="1"/>
  <c r="V364" i="14"/>
  <c r="A364" i="14" s="1"/>
  <c r="V436" i="14"/>
  <c r="A436" i="14" s="1"/>
  <c r="V260" i="14"/>
  <c r="A260" i="14" s="1"/>
  <c r="V374" i="14"/>
  <c r="A374" i="14" s="1"/>
  <c r="V349" i="14"/>
  <c r="A349" i="14" s="1"/>
  <c r="V311" i="14"/>
  <c r="A311" i="14" s="1"/>
  <c r="V357" i="14"/>
  <c r="A357" i="14" s="1"/>
  <c r="V466" i="14"/>
  <c r="A466" i="14" s="1"/>
  <c r="V301" i="14"/>
  <c r="A301" i="14" s="1"/>
  <c r="V328" i="14"/>
  <c r="A328" i="14" s="1"/>
  <c r="V411" i="14"/>
  <c r="A411" i="14" s="1"/>
  <c r="V432" i="14"/>
  <c r="A432" i="14" s="1"/>
  <c r="V366" i="14"/>
  <c r="A366" i="14" s="1"/>
  <c r="V392" i="14"/>
  <c r="A392" i="14" s="1"/>
  <c r="V414" i="14"/>
  <c r="A414" i="14" s="1"/>
  <c r="V289" i="14"/>
  <c r="A289" i="14" s="1"/>
  <c r="V330" i="14"/>
  <c r="A330" i="14" s="1"/>
  <c r="G494" i="14"/>
  <c r="G289" i="14"/>
  <c r="G272" i="14"/>
  <c r="G278" i="14"/>
  <c r="G382" i="14"/>
  <c r="G337" i="14"/>
  <c r="G452" i="14"/>
  <c r="G253" i="14"/>
  <c r="G437" i="14"/>
  <c r="G488" i="14"/>
  <c r="G481" i="14"/>
  <c r="G374" i="14"/>
  <c r="G406" i="14"/>
  <c r="G345" i="14"/>
  <c r="G364" i="14"/>
  <c r="G310" i="14"/>
  <c r="G327" i="14"/>
  <c r="G301" i="14"/>
  <c r="H268" i="14"/>
  <c r="H489" i="14"/>
  <c r="H328" i="14"/>
  <c r="H464" i="14"/>
  <c r="H366" i="14"/>
  <c r="H417" i="14"/>
  <c r="H359" i="14"/>
  <c r="H368" i="14"/>
  <c r="H480" i="14"/>
  <c r="H311" i="14"/>
  <c r="H459" i="14"/>
  <c r="H370" i="14"/>
  <c r="H369" i="14"/>
  <c r="H332" i="14"/>
  <c r="H432" i="14"/>
  <c r="H447" i="14"/>
  <c r="H361" i="14"/>
  <c r="H426" i="14"/>
  <c r="H439" i="14"/>
  <c r="H262" i="14"/>
  <c r="I420" i="14"/>
  <c r="I339" i="14"/>
  <c r="I319" i="14"/>
  <c r="I484" i="14"/>
  <c r="I291" i="14"/>
  <c r="I323" i="14"/>
  <c r="I308" i="14"/>
  <c r="I314" i="14"/>
  <c r="I491" i="14"/>
  <c r="I425" i="14"/>
  <c r="I392" i="14"/>
  <c r="I300" i="14"/>
  <c r="I399" i="14"/>
  <c r="F438" i="14"/>
  <c r="F272" i="14"/>
  <c r="E439" i="14"/>
  <c r="E472" i="14"/>
  <c r="E449" i="14"/>
  <c r="E376" i="14"/>
  <c r="E353" i="14"/>
  <c r="E335" i="14"/>
  <c r="E258" i="14"/>
  <c r="E410" i="14"/>
  <c r="E478" i="14"/>
  <c r="E302" i="14"/>
  <c r="E318" i="14"/>
  <c r="E293" i="14"/>
  <c r="E454" i="14"/>
  <c r="E340" i="14"/>
  <c r="E390" i="14"/>
  <c r="E458" i="14"/>
  <c r="E471" i="14"/>
  <c r="V359" i="14"/>
  <c r="A359" i="14" s="1"/>
  <c r="V481" i="14"/>
  <c r="A481" i="14" s="1"/>
  <c r="V345" i="14"/>
  <c r="A345" i="14" s="1"/>
  <c r="V275" i="14"/>
  <c r="A275" i="14" s="1"/>
  <c r="V339" i="14"/>
  <c r="A339" i="14" s="1"/>
  <c r="V308" i="14"/>
  <c r="A308" i="14" s="1"/>
  <c r="V445" i="14"/>
  <c r="A445" i="14" s="1"/>
  <c r="V455" i="14"/>
  <c r="A455" i="14" s="1"/>
  <c r="E445" i="14"/>
  <c r="V351" i="14"/>
  <c r="A351" i="14" s="1"/>
  <c r="E383" i="14"/>
  <c r="V269" i="14"/>
  <c r="A269" i="14" s="1"/>
  <c r="V417" i="14"/>
  <c r="A417" i="14" s="1"/>
  <c r="V280" i="14"/>
  <c r="A280" i="14" s="1"/>
  <c r="V264" i="14"/>
  <c r="A264" i="14" s="1"/>
  <c r="V430" i="14"/>
  <c r="A430" i="14" s="1"/>
  <c r="V286" i="14"/>
  <c r="A286" i="14" s="1"/>
  <c r="V327" i="14"/>
  <c r="A327" i="14" s="1"/>
  <c r="V368" i="14"/>
  <c r="A368" i="14" s="1"/>
  <c r="V332" i="14"/>
  <c r="A332" i="14" s="1"/>
  <c r="V325" i="14"/>
  <c r="A325" i="14" s="1"/>
  <c r="V299" i="14"/>
  <c r="A299" i="14" s="1"/>
  <c r="V371" i="14"/>
  <c r="A371" i="14" s="1"/>
  <c r="V278" i="14"/>
  <c r="A278" i="14" s="1"/>
  <c r="V437" i="14"/>
  <c r="A437" i="14" s="1"/>
  <c r="V442" i="14"/>
  <c r="A442" i="14" s="1"/>
  <c r="V394" i="14"/>
  <c r="A394" i="14" s="1"/>
  <c r="V431" i="14"/>
  <c r="A431" i="14" s="1"/>
  <c r="V440" i="14"/>
  <c r="A440" i="14" s="1"/>
  <c r="V378" i="14"/>
  <c r="A378" i="14" s="1"/>
  <c r="V354" i="14"/>
  <c r="A354" i="14" s="1"/>
  <c r="V420" i="14"/>
  <c r="A420" i="14" s="1"/>
  <c r="G330" i="14"/>
  <c r="G353" i="14"/>
  <c r="G495" i="14"/>
  <c r="G388" i="14"/>
  <c r="G280" i="14"/>
  <c r="G275" i="14"/>
  <c r="G271" i="14"/>
  <c r="G407" i="14"/>
  <c r="G339" i="14"/>
  <c r="G357" i="14"/>
  <c r="G350" i="14"/>
  <c r="G466" i="14"/>
  <c r="G381" i="14"/>
  <c r="G265" i="14"/>
  <c r="G442" i="14"/>
  <c r="H446" i="14"/>
  <c r="H418" i="14"/>
  <c r="H440" i="14"/>
  <c r="H492" i="14"/>
  <c r="H414" i="14"/>
  <c r="H350" i="14"/>
  <c r="H308" i="14"/>
  <c r="H306" i="14"/>
  <c r="H479" i="14"/>
  <c r="H388" i="14"/>
  <c r="I479" i="14"/>
  <c r="I417" i="14"/>
  <c r="I382" i="14"/>
  <c r="I325" i="14"/>
  <c r="I353" i="14"/>
  <c r="I348" i="14"/>
  <c r="I346" i="14"/>
  <c r="I279" i="14"/>
  <c r="I330" i="14"/>
  <c r="I466" i="14"/>
  <c r="I268" i="14"/>
  <c r="I277" i="14"/>
  <c r="I469" i="14"/>
  <c r="I379" i="14"/>
  <c r="I368" i="14"/>
  <c r="I459" i="14"/>
  <c r="I378" i="14"/>
  <c r="I371" i="14"/>
  <c r="I356" i="14"/>
  <c r="F403" i="14"/>
  <c r="J419" i="14" l="1"/>
  <c r="J363" i="14"/>
  <c r="J348" i="14"/>
  <c r="J320" i="14"/>
  <c r="J260" i="14"/>
  <c r="J423" i="14"/>
  <c r="J303" i="14"/>
  <c r="J299" i="14"/>
  <c r="J420" i="14"/>
  <c r="J486" i="14"/>
  <c r="J458" i="14"/>
  <c r="J399" i="14"/>
  <c r="J431" i="14"/>
  <c r="J287" i="14"/>
  <c r="J396" i="14"/>
  <c r="J273" i="14"/>
  <c r="J344" i="14"/>
  <c r="J416" i="14"/>
  <c r="J405" i="14"/>
  <c r="J404" i="14"/>
  <c r="J296" i="14"/>
  <c r="J337" i="14"/>
  <c r="J282" i="14"/>
  <c r="J312" i="14"/>
  <c r="J327" i="14"/>
  <c r="J412" i="14"/>
  <c r="J347" i="14"/>
  <c r="J351" i="14"/>
  <c r="J384" i="14"/>
  <c r="J492" i="14"/>
  <c r="J332" i="14"/>
  <c r="J311" i="14"/>
  <c r="J253" i="14"/>
  <c r="J326" i="14"/>
  <c r="J433" i="14"/>
  <c r="J424" i="14"/>
  <c r="J295" i="14"/>
  <c r="J355" i="14"/>
  <c r="J258" i="14"/>
  <c r="J365" i="14"/>
  <c r="J490" i="14"/>
  <c r="J372" i="14"/>
  <c r="J316" i="14"/>
  <c r="J393" i="14"/>
  <c r="J309" i="14"/>
  <c r="J380" i="14"/>
  <c r="J402" i="14"/>
  <c r="J456" i="14"/>
  <c r="J325" i="14"/>
  <c r="J301" i="14"/>
  <c r="J471" i="14"/>
  <c r="J432" i="14"/>
  <c r="J293" i="14"/>
  <c r="J472" i="14"/>
  <c r="J323" i="14"/>
  <c r="J398" i="14"/>
  <c r="J371" i="14"/>
  <c r="J442" i="14"/>
  <c r="J361" i="14"/>
  <c r="J275" i="14"/>
  <c r="J484" i="14"/>
  <c r="J370" i="14"/>
  <c r="J270" i="14"/>
  <c r="J482" i="14"/>
  <c r="J411" i="14"/>
  <c r="J483" i="14"/>
  <c r="J338" i="14"/>
  <c r="J321" i="14"/>
  <c r="J297" i="14"/>
  <c r="J475" i="14"/>
  <c r="J449" i="14"/>
  <c r="J406" i="14"/>
  <c r="J468" i="14"/>
  <c r="J386" i="14"/>
  <c r="J255" i="14"/>
  <c r="J443" i="14"/>
  <c r="J391" i="14"/>
  <c r="J358" i="14"/>
  <c r="J451" i="14"/>
  <c r="J453" i="14"/>
  <c r="J430" i="14"/>
  <c r="J489" i="14"/>
  <c r="J428" i="14"/>
  <c r="J467" i="14"/>
  <c r="J403" i="14"/>
  <c r="J454" i="14"/>
  <c r="J478" i="14"/>
  <c r="J262" i="14"/>
  <c r="J488" i="14"/>
  <c r="J377" i="14"/>
  <c r="J274" i="14"/>
  <c r="J290" i="14"/>
  <c r="J387" i="14"/>
  <c r="J444" i="14"/>
  <c r="J455" i="14"/>
  <c r="J477" i="14"/>
  <c r="J392" i="14"/>
  <c r="J319" i="14"/>
  <c r="J328" i="14"/>
  <c r="J341" i="14"/>
  <c r="J269" i="14"/>
  <c r="J283" i="14"/>
  <c r="J254" i="14"/>
  <c r="J474" i="14"/>
  <c r="J256" i="14"/>
  <c r="J329" i="14"/>
  <c r="J333" i="14"/>
  <c r="J421" i="14"/>
  <c r="J385" i="14"/>
  <c r="J305" i="14"/>
  <c r="J331" i="14"/>
  <c r="J307" i="14"/>
  <c r="J373" i="14"/>
  <c r="J263" i="14"/>
  <c r="J465" i="14"/>
  <c r="J434" i="14"/>
  <c r="J340" i="14"/>
  <c r="J318" i="14"/>
  <c r="J494" i="14"/>
  <c r="J352" i="14"/>
  <c r="J285" i="14"/>
  <c r="J460" i="14"/>
  <c r="J438" i="14"/>
  <c r="J264" i="14"/>
  <c r="J334" i="14"/>
  <c r="J394" i="14"/>
  <c r="J408" i="14"/>
  <c r="J389" i="14"/>
  <c r="J493" i="14"/>
  <c r="J349" i="14"/>
  <c r="J461" i="14"/>
  <c r="J356" i="14"/>
  <c r="J414" i="14"/>
  <c r="J407" i="14"/>
  <c r="J364" i="14"/>
  <c r="J481" i="14"/>
  <c r="J452" i="14"/>
  <c r="J401" i="14"/>
  <c r="J427" i="14"/>
  <c r="J298" i="14"/>
  <c r="J278" i="14"/>
  <c r="J450" i="14"/>
  <c r="J367" i="14"/>
  <c r="J376" i="14"/>
  <c r="J288" i="14"/>
  <c r="J473" i="14"/>
  <c r="J413" i="14"/>
  <c r="J317" i="14"/>
  <c r="J259" i="14"/>
  <c r="J422" i="14"/>
  <c r="J357" i="14"/>
  <c r="J261" i="14"/>
  <c r="J342" i="14"/>
  <c r="J304" i="14"/>
  <c r="J294" i="14"/>
  <c r="J266" i="14"/>
  <c r="J487" i="14"/>
  <c r="J281" i="14"/>
  <c r="J354" i="14"/>
  <c r="J315" i="14"/>
  <c r="J466" i="14"/>
  <c r="J279" i="14"/>
  <c r="J381" i="14"/>
  <c r="J280" i="14"/>
  <c r="J410" i="14"/>
  <c r="J335" i="14"/>
  <c r="J272" i="14"/>
  <c r="J459" i="14"/>
  <c r="J359" i="14"/>
  <c r="J437" i="14"/>
  <c r="J360" i="14"/>
  <c r="J436" i="14"/>
  <c r="J409" i="14"/>
  <c r="J368" i="14"/>
  <c r="J446" i="14"/>
  <c r="J302" i="14"/>
  <c r="J435" i="14"/>
  <c r="J257" i="14"/>
  <c r="J286" i="14"/>
  <c r="J366" i="14"/>
  <c r="J476" i="14"/>
  <c r="J284" i="14"/>
  <c r="J485" i="14"/>
  <c r="J415" i="14"/>
  <c r="J462" i="14"/>
  <c r="J400" i="14"/>
  <c r="J322" i="14"/>
  <c r="J480" i="14"/>
  <c r="J479" i="14"/>
  <c r="J271" i="14"/>
  <c r="J495" i="14"/>
  <c r="J362" i="14"/>
  <c r="J276" i="14"/>
  <c r="J324" i="14"/>
  <c r="J470" i="14"/>
  <c r="J314" i="14"/>
  <c r="J350" i="14"/>
  <c r="J426" i="14"/>
  <c r="J417" i="14"/>
  <c r="J374" i="14"/>
  <c r="J267" i="14"/>
  <c r="J313" i="14"/>
  <c r="J336" i="14"/>
  <c r="J445" i="14"/>
  <c r="J439" i="14"/>
  <c r="J378" i="14"/>
  <c r="J308" i="14"/>
  <c r="J440" i="14"/>
  <c r="J265" i="14"/>
  <c r="J383" i="14"/>
  <c r="J369" i="14"/>
  <c r="J268" i="14"/>
  <c r="J457" i="14"/>
  <c r="J397" i="14"/>
  <c r="J463" i="14"/>
  <c r="J292" i="14"/>
  <c r="J441" i="14"/>
  <c r="J343" i="14"/>
  <c r="J448" i="14"/>
  <c r="J418" i="14"/>
  <c r="J339" i="14"/>
  <c r="J330" i="14"/>
  <c r="J390" i="14"/>
  <c r="J464" i="14"/>
  <c r="J345" i="14"/>
  <c r="J289" i="14"/>
  <c r="J395" i="14"/>
  <c r="J375" i="14"/>
  <c r="J429" i="14"/>
  <c r="J277" i="14"/>
  <c r="J310" i="14"/>
  <c r="J469" i="14"/>
  <c r="V96" i="10"/>
  <c r="M97" i="10"/>
  <c r="U97" i="10"/>
  <c r="L98" i="10"/>
  <c r="J388" i="14"/>
  <c r="J382" i="14"/>
  <c r="AA5" i="14"/>
  <c r="J425" i="14"/>
  <c r="J346" i="14"/>
  <c r="J447" i="14"/>
  <c r="J491" i="14"/>
  <c r="J379" i="14"/>
  <c r="J291" i="14"/>
  <c r="J353" i="14"/>
  <c r="J306" i="14"/>
  <c r="J300" i="14"/>
  <c r="L99" i="10" l="1"/>
  <c r="U98" i="10"/>
  <c r="J134" i="13"/>
  <c r="J154" i="13"/>
  <c r="G134" i="13"/>
  <c r="D134" i="13"/>
  <c r="I134" i="13"/>
  <c r="H154" i="13"/>
  <c r="K154" i="13"/>
  <c r="AB5" i="14"/>
  <c r="E134" i="13"/>
  <c r="V97" i="10"/>
  <c r="M98" i="10"/>
  <c r="V98" i="10" l="1"/>
  <c r="M99" i="10"/>
  <c r="D154" i="13"/>
  <c r="AJ28" i="14" s="1"/>
  <c r="L134" i="13"/>
  <c r="K134" i="13"/>
  <c r="G101" i="13" s="1"/>
  <c r="U99" i="10"/>
  <c r="L100" i="10"/>
  <c r="L101" i="10" l="1"/>
  <c r="U100" i="10"/>
  <c r="V99" i="10"/>
  <c r="M100" i="10"/>
  <c r="AB48" i="14"/>
  <c r="G100" i="13"/>
  <c r="I101" i="13"/>
  <c r="AA48" i="14"/>
  <c r="H101" i="13" s="1"/>
  <c r="M101" i="10" l="1"/>
  <c r="V100" i="10"/>
  <c r="AB47" i="14"/>
  <c r="AA47" i="14"/>
  <c r="H100" i="13" s="1"/>
  <c r="I100" i="13"/>
  <c r="U101" i="10"/>
  <c r="L102" i="10"/>
  <c r="U102" i="10" l="1"/>
  <c r="L103" i="10"/>
  <c r="V101" i="10"/>
  <c r="M102" i="10"/>
  <c r="M103" i="10" l="1"/>
  <c r="V102" i="10"/>
  <c r="L104" i="10"/>
  <c r="U103" i="10"/>
  <c r="U104" i="10" l="1"/>
  <c r="L105" i="10"/>
  <c r="V103" i="10"/>
  <c r="M104" i="10"/>
  <c r="M105" i="10" l="1"/>
  <c r="V104" i="10"/>
  <c r="U105" i="10"/>
  <c r="L106" i="10"/>
  <c r="L107" i="10" l="1"/>
  <c r="U106" i="10"/>
  <c r="M106" i="10"/>
  <c r="V105" i="10"/>
  <c r="V106" i="10" l="1"/>
  <c r="M107" i="10"/>
  <c r="L108" i="10"/>
  <c r="U107" i="10"/>
  <c r="U108" i="10" l="1"/>
  <c r="L109" i="10"/>
  <c r="V107" i="10"/>
  <c r="M108" i="10"/>
  <c r="M109" i="10" l="1"/>
  <c r="V108" i="10"/>
  <c r="U109" i="10"/>
  <c r="L110" i="10"/>
  <c r="L111" i="10" l="1"/>
  <c r="U110" i="10"/>
  <c r="V109" i="10"/>
  <c r="M110" i="10"/>
  <c r="V110" i="10" l="1"/>
  <c r="M111" i="10"/>
  <c r="L112" i="10"/>
  <c r="U111" i="10"/>
  <c r="M112" i="10" l="1"/>
  <c r="V111" i="10"/>
  <c r="L113" i="10"/>
  <c r="U112" i="10"/>
  <c r="U113" i="10" l="1"/>
  <c r="L114" i="10"/>
  <c r="M113" i="10"/>
  <c r="V112" i="10"/>
  <c r="L115" i="10" l="1"/>
  <c r="U114" i="10"/>
  <c r="M114" i="10"/>
  <c r="V113" i="10"/>
  <c r="M115" i="10" l="1"/>
  <c r="V114" i="10"/>
  <c r="U115" i="10"/>
  <c r="L116" i="10"/>
  <c r="L117" i="10" l="1"/>
  <c r="U116" i="10"/>
  <c r="M116" i="10"/>
  <c r="V115" i="10"/>
  <c r="V116" i="10" l="1"/>
  <c r="M117" i="10"/>
  <c r="U117" i="10"/>
  <c r="L118" i="10"/>
  <c r="U118" i="10" l="1"/>
  <c r="L119" i="10"/>
  <c r="V117" i="10"/>
  <c r="M118" i="10"/>
  <c r="L120" i="10" l="1"/>
  <c r="U119" i="10"/>
  <c r="M119" i="10"/>
  <c r="V118" i="10"/>
  <c r="M120" i="10" l="1"/>
  <c r="V119" i="10"/>
  <c r="L121" i="10"/>
  <c r="U120" i="10"/>
  <c r="L122" i="10" l="1"/>
  <c r="U121" i="10"/>
  <c r="M121" i="10"/>
  <c r="V120" i="10"/>
  <c r="V121" i="10" l="1"/>
  <c r="M122" i="10"/>
  <c r="L123" i="10"/>
  <c r="U122" i="10"/>
  <c r="U123" i="10" l="1"/>
  <c r="L124" i="10"/>
  <c r="M123" i="10"/>
  <c r="V122" i="10"/>
  <c r="V123" i="10" l="1"/>
  <c r="M124" i="10"/>
  <c r="U124" i="10"/>
  <c r="L125" i="10"/>
  <c r="U125" i="10" l="1"/>
  <c r="L126" i="10"/>
  <c r="M125" i="10"/>
  <c r="V124" i="10"/>
  <c r="M126" i="10" l="1"/>
  <c r="V125" i="10"/>
  <c r="U126" i="10"/>
  <c r="L127" i="10"/>
  <c r="L128" i="10" l="1"/>
  <c r="U127" i="10"/>
  <c r="M127" i="10"/>
  <c r="V126" i="10"/>
  <c r="M128" i="10" l="1"/>
  <c r="V127" i="10"/>
  <c r="U128" i="10"/>
  <c r="L129" i="10"/>
  <c r="L130" i="10" l="1"/>
  <c r="U129" i="10"/>
  <c r="V128" i="10"/>
  <c r="M129" i="10"/>
  <c r="M130" i="10" l="1"/>
  <c r="V129" i="10"/>
  <c r="L131" i="10"/>
  <c r="U130" i="10"/>
  <c r="E153" i="12" l="1"/>
  <c r="L132" i="10"/>
  <c r="U131" i="10"/>
  <c r="V130" i="10"/>
  <c r="M131" i="10"/>
  <c r="L133" i="10" l="1"/>
  <c r="U132" i="10"/>
  <c r="M132" i="10"/>
  <c r="V131" i="10"/>
  <c r="F153" i="12"/>
  <c r="F102" i="13" s="1"/>
  <c r="E102" i="13"/>
  <c r="F202" i="13"/>
  <c r="M133" i="10" l="1"/>
  <c r="V132" i="10"/>
  <c r="AN29" i="14"/>
  <c r="AM29" i="14"/>
  <c r="AD49" i="14"/>
  <c r="AO29" i="14"/>
  <c r="AL29" i="14"/>
  <c r="AP29" i="14"/>
  <c r="Z49" i="14"/>
  <c r="U133" i="10"/>
  <c r="L134" i="10"/>
  <c r="O677" i="14" l="1"/>
  <c r="U677" i="14" s="1"/>
  <c r="O651" i="14"/>
  <c r="U651" i="14" s="1"/>
  <c r="O641" i="14"/>
  <c r="U641" i="14" s="1"/>
  <c r="O519" i="14"/>
  <c r="U519" i="14" s="1"/>
  <c r="O605" i="14"/>
  <c r="U605" i="14" s="1"/>
  <c r="O611" i="14"/>
  <c r="U611" i="14" s="1"/>
  <c r="O601" i="14"/>
  <c r="U601" i="14" s="1"/>
  <c r="O575" i="14"/>
  <c r="U575" i="14" s="1"/>
  <c r="O533" i="14"/>
  <c r="U533" i="14" s="1"/>
  <c r="O571" i="14"/>
  <c r="U571" i="14" s="1"/>
  <c r="O740" i="14"/>
  <c r="U740" i="14" s="1"/>
  <c r="O618" i="14"/>
  <c r="U618" i="14" s="1"/>
  <c r="O544" i="14"/>
  <c r="U544" i="14" s="1"/>
  <c r="O550" i="14"/>
  <c r="U550" i="14" s="1"/>
  <c r="O540" i="14"/>
  <c r="U540" i="14" s="1"/>
  <c r="O578" i="14"/>
  <c r="U578" i="14" s="1"/>
  <c r="O504" i="14"/>
  <c r="U504" i="14" s="1"/>
  <c r="O737" i="14"/>
  <c r="U737" i="14" s="1"/>
  <c r="O743" i="14"/>
  <c r="U743" i="14" s="1"/>
  <c r="O701" i="14"/>
  <c r="U701" i="14" s="1"/>
  <c r="O707" i="14"/>
  <c r="U707" i="14" s="1"/>
  <c r="O697" i="14"/>
  <c r="U697" i="14" s="1"/>
  <c r="O671" i="14"/>
  <c r="U671" i="14" s="1"/>
  <c r="O629" i="14"/>
  <c r="U629" i="14" s="1"/>
  <c r="O539" i="14"/>
  <c r="U539" i="14" s="1"/>
  <c r="O593" i="14"/>
  <c r="U593" i="14" s="1"/>
  <c r="O599" i="14"/>
  <c r="U599" i="14" s="1"/>
  <c r="O525" i="14"/>
  <c r="U525" i="14" s="1"/>
  <c r="O531" i="14"/>
  <c r="U531" i="14" s="1"/>
  <c r="O521" i="14"/>
  <c r="U521" i="14" s="1"/>
  <c r="O559" i="14"/>
  <c r="U559" i="14" s="1"/>
  <c r="I533" i="14"/>
  <c r="O600" i="14"/>
  <c r="U600" i="14" s="1"/>
  <c r="O574" i="14"/>
  <c r="U574" i="14" s="1"/>
  <c r="O564" i="14"/>
  <c r="U564" i="14" s="1"/>
  <c r="O570" i="14"/>
  <c r="U570" i="14" s="1"/>
  <c r="O656" i="14"/>
  <c r="U656" i="14" s="1"/>
  <c r="O662" i="14"/>
  <c r="U662" i="14" s="1"/>
  <c r="O652" i="14"/>
  <c r="U652" i="14" s="1"/>
  <c r="O626" i="14"/>
  <c r="U626" i="14" s="1"/>
  <c r="O584" i="14"/>
  <c r="U584" i="14" s="1"/>
  <c r="O548" i="14"/>
  <c r="U548" i="14" s="1"/>
  <c r="O554" i="14"/>
  <c r="U554" i="14" s="1"/>
  <c r="O627" i="14"/>
  <c r="U627" i="14" s="1"/>
  <c r="O617" i="14"/>
  <c r="U617" i="14" s="1"/>
  <c r="O527" i="14"/>
  <c r="U527" i="14" s="1"/>
  <c r="O581" i="14"/>
  <c r="U581" i="14" s="1"/>
  <c r="O555" i="14"/>
  <c r="U555" i="14" s="1"/>
  <c r="O545" i="14"/>
  <c r="U545" i="14" s="1"/>
  <c r="O551" i="14"/>
  <c r="U551" i="14" s="1"/>
  <c r="O509" i="14"/>
  <c r="U509" i="14" s="1"/>
  <c r="O515" i="14"/>
  <c r="U515" i="14" s="1"/>
  <c r="O505" i="14"/>
  <c r="U505" i="14" s="1"/>
  <c r="O722" i="14"/>
  <c r="U722" i="14" s="1"/>
  <c r="O680" i="14"/>
  <c r="U680" i="14" s="1"/>
  <c r="O718" i="14"/>
  <c r="U718" i="14" s="1"/>
  <c r="O529" i="14"/>
  <c r="U529" i="14" s="1"/>
  <c r="O535" i="14"/>
  <c r="U535" i="14" s="1"/>
  <c r="O589" i="14"/>
  <c r="U589" i="14" s="1"/>
  <c r="O595" i="14"/>
  <c r="U595" i="14" s="1"/>
  <c r="O585" i="14"/>
  <c r="U585" i="14" s="1"/>
  <c r="O738" i="14"/>
  <c r="U738" i="14" s="1"/>
  <c r="I504" i="14"/>
  <c r="I548" i="14"/>
  <c r="O549" i="14"/>
  <c r="U549" i="14" s="1"/>
  <c r="O523" i="14"/>
  <c r="U523" i="14" s="1"/>
  <c r="O513" i="14"/>
  <c r="U513" i="14" s="1"/>
  <c r="O634" i="14"/>
  <c r="U634" i="14" s="1"/>
  <c r="O720" i="14"/>
  <c r="U720" i="14" s="1"/>
  <c r="O726" i="14"/>
  <c r="U726" i="14" s="1"/>
  <c r="O716" i="14"/>
  <c r="U716" i="14" s="1"/>
  <c r="O690" i="14"/>
  <c r="U690" i="14" s="1"/>
  <c r="O648" i="14"/>
  <c r="U648" i="14" s="1"/>
  <c r="O686" i="14"/>
  <c r="U686" i="14" s="1"/>
  <c r="O612" i="14"/>
  <c r="U612" i="14" s="1"/>
  <c r="O685" i="14"/>
  <c r="U685" i="14" s="1"/>
  <c r="O691" i="14"/>
  <c r="U691" i="14" s="1"/>
  <c r="O681" i="14"/>
  <c r="U681" i="14" s="1"/>
  <c r="O719" i="14"/>
  <c r="U719" i="14" s="1"/>
  <c r="O645" i="14"/>
  <c r="U645" i="14" s="1"/>
  <c r="O619" i="14"/>
  <c r="U619" i="14" s="1"/>
  <c r="O609" i="14"/>
  <c r="U609" i="14" s="1"/>
  <c r="O615" i="14"/>
  <c r="U615" i="14" s="1"/>
  <c r="O573" i="14"/>
  <c r="U573" i="14" s="1"/>
  <c r="O579" i="14"/>
  <c r="U579" i="14" s="1"/>
  <c r="O569" i="14"/>
  <c r="U569" i="14" s="1"/>
  <c r="O543" i="14"/>
  <c r="U543" i="14" s="1"/>
  <c r="O501" i="14"/>
  <c r="U501" i="14" s="1"/>
  <c r="O654" i="14"/>
  <c r="U654" i="14" s="1"/>
  <c r="O708" i="14"/>
  <c r="U708" i="14" s="1"/>
  <c r="O714" i="14"/>
  <c r="U714" i="14" s="1"/>
  <c r="O640" i="14"/>
  <c r="U640" i="14" s="1"/>
  <c r="O646" i="14"/>
  <c r="U646" i="14" s="1"/>
  <c r="O636" i="14"/>
  <c r="U636" i="14" s="1"/>
  <c r="O674" i="14"/>
  <c r="U674" i="14" s="1"/>
  <c r="O741" i="14"/>
  <c r="U741" i="14" s="1"/>
  <c r="O715" i="14"/>
  <c r="U715" i="14" s="1"/>
  <c r="O705" i="14"/>
  <c r="U705" i="14" s="1"/>
  <c r="O711" i="14"/>
  <c r="U711" i="14" s="1"/>
  <c r="O528" i="14"/>
  <c r="U528" i="14" s="1"/>
  <c r="O534" i="14"/>
  <c r="U534" i="14" s="1"/>
  <c r="O524" i="14"/>
  <c r="U524" i="14" s="1"/>
  <c r="O725" i="14"/>
  <c r="U725" i="14" s="1"/>
  <c r="O635" i="14"/>
  <c r="U635" i="14" s="1"/>
  <c r="O689" i="14"/>
  <c r="U689" i="14" s="1"/>
  <c r="O695" i="14"/>
  <c r="U695" i="14" s="1"/>
  <c r="O621" i="14"/>
  <c r="U621" i="14" s="1"/>
  <c r="O742" i="14"/>
  <c r="U742" i="14" s="1"/>
  <c r="O732" i="14"/>
  <c r="U732" i="14" s="1"/>
  <c r="O642" i="14"/>
  <c r="U642" i="14" s="1"/>
  <c r="O696" i="14"/>
  <c r="U696" i="14" s="1"/>
  <c r="O670" i="14"/>
  <c r="U670" i="14" s="1"/>
  <c r="O660" i="14"/>
  <c r="U660" i="14" s="1"/>
  <c r="O666" i="14"/>
  <c r="U666" i="14" s="1"/>
  <c r="O624" i="14"/>
  <c r="U624" i="14" s="1"/>
  <c r="O630" i="14"/>
  <c r="U630" i="14" s="1"/>
  <c r="O620" i="14"/>
  <c r="U620" i="14" s="1"/>
  <c r="O594" i="14"/>
  <c r="U594" i="14" s="1"/>
  <c r="O552" i="14"/>
  <c r="U552" i="14" s="1"/>
  <c r="O590" i="14"/>
  <c r="U590" i="14" s="1"/>
  <c r="O644" i="14"/>
  <c r="U644" i="14" s="1"/>
  <c r="O650" i="14"/>
  <c r="U650" i="14" s="1"/>
  <c r="O704" i="14"/>
  <c r="U704" i="14" s="1"/>
  <c r="O710" i="14"/>
  <c r="U710" i="14" s="1"/>
  <c r="O700" i="14"/>
  <c r="U700" i="14" s="1"/>
  <c r="O610" i="14"/>
  <c r="U610" i="14" s="1"/>
  <c r="I600" i="14"/>
  <c r="I521" i="14"/>
  <c r="O664" i="14"/>
  <c r="U664" i="14" s="1"/>
  <c r="O638" i="14"/>
  <c r="U638" i="14" s="1"/>
  <c r="O628" i="14"/>
  <c r="U628" i="14" s="1"/>
  <c r="O506" i="14"/>
  <c r="U506" i="14" s="1"/>
  <c r="O592" i="14"/>
  <c r="U592" i="14" s="1"/>
  <c r="O598" i="14"/>
  <c r="U598" i="14" s="1"/>
  <c r="O588" i="14"/>
  <c r="U588" i="14" s="1"/>
  <c r="O562" i="14"/>
  <c r="U562" i="14" s="1"/>
  <c r="O520" i="14"/>
  <c r="U520" i="14" s="1"/>
  <c r="O558" i="14"/>
  <c r="U558" i="14" s="1"/>
  <c r="O631" i="14"/>
  <c r="U631" i="14" s="1"/>
  <c r="O557" i="14"/>
  <c r="U557" i="14" s="1"/>
  <c r="O563" i="14"/>
  <c r="U563" i="14" s="1"/>
  <c r="O553" i="14"/>
  <c r="U553" i="14" s="1"/>
  <c r="O591" i="14"/>
  <c r="U591" i="14" s="1"/>
  <c r="O517" i="14"/>
  <c r="U517" i="14" s="1"/>
  <c r="O734" i="14"/>
  <c r="U734" i="14" s="1"/>
  <c r="O724" i="14"/>
  <c r="U724" i="14" s="1"/>
  <c r="O730" i="14"/>
  <c r="U730" i="14" s="1"/>
  <c r="O688" i="14"/>
  <c r="U688" i="14" s="1"/>
  <c r="O694" i="14"/>
  <c r="U694" i="14" s="1"/>
  <c r="O684" i="14"/>
  <c r="U684" i="14" s="1"/>
  <c r="O658" i="14"/>
  <c r="U658" i="14" s="1"/>
  <c r="O616" i="14"/>
  <c r="U616" i="14" s="1"/>
  <c r="O526" i="14"/>
  <c r="U526" i="14" s="1"/>
  <c r="O580" i="14"/>
  <c r="U580" i="14" s="1"/>
  <c r="O586" i="14"/>
  <c r="U586" i="14" s="1"/>
  <c r="O512" i="14"/>
  <c r="U512" i="14" s="1"/>
  <c r="O518" i="14"/>
  <c r="U518" i="14" s="1"/>
  <c r="O508" i="14"/>
  <c r="U508" i="14" s="1"/>
  <c r="O546" i="14"/>
  <c r="U546" i="14" s="1"/>
  <c r="O613" i="14"/>
  <c r="U613" i="14" s="1"/>
  <c r="O587" i="14"/>
  <c r="U587" i="14" s="1"/>
  <c r="O577" i="14"/>
  <c r="U577" i="14" s="1"/>
  <c r="O583" i="14"/>
  <c r="U583" i="14" s="1"/>
  <c r="O669" i="14"/>
  <c r="U669" i="14" s="1"/>
  <c r="O675" i="14"/>
  <c r="U675" i="14" s="1"/>
  <c r="O665" i="14"/>
  <c r="U665" i="14" s="1"/>
  <c r="O639" i="14"/>
  <c r="U639" i="14" s="1"/>
  <c r="O597" i="14"/>
  <c r="U597" i="14" s="1"/>
  <c r="O507" i="14"/>
  <c r="U507" i="14" s="1"/>
  <c r="O561" i="14"/>
  <c r="U561" i="14" s="1"/>
  <c r="O567" i="14"/>
  <c r="U567" i="14" s="1"/>
  <c r="O736" i="14"/>
  <c r="U736" i="14" s="1"/>
  <c r="O614" i="14"/>
  <c r="U614" i="14" s="1"/>
  <c r="O604" i="14"/>
  <c r="U604" i="14" s="1"/>
  <c r="O514" i="14"/>
  <c r="U514" i="14" s="1"/>
  <c r="O568" i="14"/>
  <c r="U568" i="14" s="1"/>
  <c r="O542" i="14"/>
  <c r="U542" i="14" s="1"/>
  <c r="O532" i="14"/>
  <c r="U532" i="14" s="1"/>
  <c r="O538" i="14"/>
  <c r="U538" i="14" s="1"/>
  <c r="I677" i="14"/>
  <c r="O502" i="14"/>
  <c r="U502" i="14" s="1"/>
  <c r="O735" i="14"/>
  <c r="U735" i="14" s="1"/>
  <c r="O693" i="14"/>
  <c r="U693" i="14" s="1"/>
  <c r="O731" i="14"/>
  <c r="U731" i="14" s="1"/>
  <c r="O516" i="14"/>
  <c r="U516" i="14" s="1"/>
  <c r="O522" i="14"/>
  <c r="U522" i="14" s="1"/>
  <c r="O576" i="14"/>
  <c r="U576" i="14" s="1"/>
  <c r="O582" i="14"/>
  <c r="U582" i="14" s="1"/>
  <c r="O572" i="14"/>
  <c r="U572" i="14" s="1"/>
  <c r="I571" i="14"/>
  <c r="I707" i="14"/>
  <c r="O536" i="14"/>
  <c r="U536" i="14" s="1"/>
  <c r="O510" i="14"/>
  <c r="U510" i="14" s="1"/>
  <c r="O647" i="14"/>
  <c r="U647" i="14" s="1"/>
  <c r="O733" i="14"/>
  <c r="U733" i="14" s="1"/>
  <c r="O739" i="14"/>
  <c r="U739" i="14" s="1"/>
  <c r="O729" i="14"/>
  <c r="U729" i="14" s="1"/>
  <c r="O703" i="14"/>
  <c r="U703" i="14" s="1"/>
  <c r="O661" i="14"/>
  <c r="U661" i="14" s="1"/>
  <c r="O699" i="14"/>
  <c r="U699" i="14" s="1"/>
  <c r="O625" i="14"/>
  <c r="U625" i="14" s="1"/>
  <c r="O503" i="14"/>
  <c r="U503" i="14" s="1"/>
  <c r="O672" i="14"/>
  <c r="U672" i="14" s="1"/>
  <c r="O678" i="14"/>
  <c r="U678" i="14" s="1"/>
  <c r="O668" i="14"/>
  <c r="U668" i="14" s="1"/>
  <c r="O706" i="14"/>
  <c r="U706" i="14" s="1"/>
  <c r="O632" i="14"/>
  <c r="U632" i="14" s="1"/>
  <c r="O606" i="14"/>
  <c r="U606" i="14" s="1"/>
  <c r="O596" i="14"/>
  <c r="U596" i="14" s="1"/>
  <c r="O602" i="14"/>
  <c r="U602" i="14" s="1"/>
  <c r="O560" i="14"/>
  <c r="U560" i="14" s="1"/>
  <c r="O566" i="14"/>
  <c r="U566" i="14" s="1"/>
  <c r="O556" i="14"/>
  <c r="U556" i="14" s="1"/>
  <c r="O530" i="14"/>
  <c r="U530" i="14" s="1"/>
  <c r="O667" i="14"/>
  <c r="U667" i="14" s="1"/>
  <c r="O721" i="14"/>
  <c r="U721" i="14" s="1"/>
  <c r="O727" i="14"/>
  <c r="U727" i="14" s="1"/>
  <c r="O653" i="14"/>
  <c r="U653" i="14" s="1"/>
  <c r="O659" i="14"/>
  <c r="U659" i="14" s="1"/>
  <c r="O649" i="14"/>
  <c r="U649" i="14" s="1"/>
  <c r="O687" i="14"/>
  <c r="U687" i="14" s="1"/>
  <c r="I611" i="14"/>
  <c r="O728" i="14"/>
  <c r="U728" i="14" s="1"/>
  <c r="O702" i="14"/>
  <c r="U702" i="14" s="1"/>
  <c r="O692" i="14"/>
  <c r="U692" i="14" s="1"/>
  <c r="O698" i="14"/>
  <c r="U698" i="14" s="1"/>
  <c r="O541" i="14"/>
  <c r="U541" i="14" s="1"/>
  <c r="O547" i="14"/>
  <c r="U547" i="14" s="1"/>
  <c r="O537" i="14"/>
  <c r="U537" i="14" s="1"/>
  <c r="O511" i="14"/>
  <c r="U511" i="14" s="1"/>
  <c r="O712" i="14"/>
  <c r="U712" i="14" s="1"/>
  <c r="O622" i="14"/>
  <c r="U622" i="14" s="1"/>
  <c r="O676" i="14"/>
  <c r="U676" i="14" s="1"/>
  <c r="O682" i="14"/>
  <c r="U682" i="14" s="1"/>
  <c r="O608" i="14"/>
  <c r="U608" i="14" s="1"/>
  <c r="I651" i="14"/>
  <c r="O655" i="14"/>
  <c r="U655" i="14" s="1"/>
  <c r="O709" i="14"/>
  <c r="U709" i="14" s="1"/>
  <c r="O683" i="14"/>
  <c r="U683" i="14" s="1"/>
  <c r="O673" i="14"/>
  <c r="U673" i="14" s="1"/>
  <c r="O679" i="14"/>
  <c r="U679" i="14" s="1"/>
  <c r="O637" i="14"/>
  <c r="U637" i="14" s="1"/>
  <c r="O643" i="14"/>
  <c r="U643" i="14" s="1"/>
  <c r="O633" i="14"/>
  <c r="U633" i="14" s="1"/>
  <c r="O607" i="14"/>
  <c r="U607" i="14" s="1"/>
  <c r="O565" i="14"/>
  <c r="U565" i="14" s="1"/>
  <c r="O603" i="14"/>
  <c r="U603" i="14" s="1"/>
  <c r="O657" i="14"/>
  <c r="U657" i="14" s="1"/>
  <c r="O663" i="14"/>
  <c r="U663" i="14" s="1"/>
  <c r="O717" i="14"/>
  <c r="U717" i="14" s="1"/>
  <c r="O723" i="14"/>
  <c r="U723" i="14" s="1"/>
  <c r="O713" i="14"/>
  <c r="U713" i="14" s="1"/>
  <c r="O623" i="14"/>
  <c r="U623" i="14" s="1"/>
  <c r="I605" i="14"/>
  <c r="I654" i="14"/>
  <c r="I584" i="14"/>
  <c r="I646" i="14"/>
  <c r="I529" i="14"/>
  <c r="I720" i="14"/>
  <c r="I544" i="14"/>
  <c r="I531" i="14"/>
  <c r="I593" i="14"/>
  <c r="I574" i="14"/>
  <c r="I640" i="14"/>
  <c r="I662" i="14"/>
  <c r="I656" i="14"/>
  <c r="I625" i="14"/>
  <c r="I691" i="14"/>
  <c r="I671" i="14"/>
  <c r="I737" i="14"/>
  <c r="I617" i="14"/>
  <c r="I579" i="14"/>
  <c r="I545" i="14"/>
  <c r="I550" i="14"/>
  <c r="I648" i="14"/>
  <c r="I539" i="14"/>
  <c r="I585" i="14"/>
  <c r="I505" i="14"/>
  <c r="I527" i="14"/>
  <c r="I715" i="14"/>
  <c r="I619" i="14"/>
  <c r="I534" i="14"/>
  <c r="I697" i="14"/>
  <c r="K605" i="14"/>
  <c r="Q605" i="14" s="1"/>
  <c r="K579" i="14"/>
  <c r="Q579" i="14" s="1"/>
  <c r="K577" i="14"/>
  <c r="Q577" i="14" s="1"/>
  <c r="K583" i="14"/>
  <c r="Q583" i="14" s="1"/>
  <c r="K597" i="14"/>
  <c r="Q597" i="14" s="1"/>
  <c r="K571" i="14"/>
  <c r="Q571" i="14" s="1"/>
  <c r="K569" i="14"/>
  <c r="Q569" i="14" s="1"/>
  <c r="K543" i="14"/>
  <c r="Q543" i="14" s="1"/>
  <c r="K736" i="14"/>
  <c r="Q736" i="14" s="1"/>
  <c r="K614" i="14"/>
  <c r="Q614" i="14" s="1"/>
  <c r="K548" i="14"/>
  <c r="Q548" i="14" s="1"/>
  <c r="K522" i="14"/>
  <c r="Q522" i="14" s="1"/>
  <c r="K600" i="14"/>
  <c r="Q600" i="14" s="1"/>
  <c r="K649" i="14"/>
  <c r="Q649" i="14" s="1"/>
  <c r="K655" i="14"/>
  <c r="Q655" i="14" s="1"/>
  <c r="K701" i="14"/>
  <c r="Q701" i="14" s="1"/>
  <c r="K675" i="14"/>
  <c r="Q675" i="14" s="1"/>
  <c r="K673" i="14"/>
  <c r="Q673" i="14" s="1"/>
  <c r="K679" i="14"/>
  <c r="Q679" i="14" s="1"/>
  <c r="K693" i="14"/>
  <c r="Q693" i="14" s="1"/>
  <c r="K667" i="14"/>
  <c r="Q667" i="14" s="1"/>
  <c r="K665" i="14"/>
  <c r="Q665" i="14" s="1"/>
  <c r="K639" i="14"/>
  <c r="Q639" i="14" s="1"/>
  <c r="K589" i="14"/>
  <c r="Q589" i="14" s="1"/>
  <c r="K595" i="14"/>
  <c r="Q595" i="14" s="1"/>
  <c r="K529" i="14"/>
  <c r="Q529" i="14" s="1"/>
  <c r="K503" i="14"/>
  <c r="Q503" i="14" s="1"/>
  <c r="K696" i="14"/>
  <c r="Q696" i="14" s="1"/>
  <c r="K702" i="14"/>
  <c r="Q702" i="14" s="1"/>
  <c r="K604" i="14"/>
  <c r="Q604" i="14" s="1"/>
  <c r="K656" i="14"/>
  <c r="Q656" i="14" s="1"/>
  <c r="K630" i="14"/>
  <c r="Q630" i="14" s="1"/>
  <c r="K628" i="14"/>
  <c r="Q628" i="14" s="1"/>
  <c r="K506" i="14"/>
  <c r="Q506" i="14" s="1"/>
  <c r="K520" i="14"/>
  <c r="Q520" i="14" s="1"/>
  <c r="K633" i="14"/>
  <c r="Q633" i="14" s="1"/>
  <c r="K607" i="14"/>
  <c r="Q607" i="14" s="1"/>
  <c r="K557" i="14"/>
  <c r="Q557" i="14" s="1"/>
  <c r="K563" i="14"/>
  <c r="Q563" i="14" s="1"/>
  <c r="K625" i="14"/>
  <c r="Q625" i="14" s="1"/>
  <c r="K599" i="14"/>
  <c r="Q599" i="14" s="1"/>
  <c r="K549" i="14"/>
  <c r="Q549" i="14" s="1"/>
  <c r="K555" i="14"/>
  <c r="Q555" i="14" s="1"/>
  <c r="K585" i="14"/>
  <c r="Q585" i="14" s="1"/>
  <c r="K591" i="14"/>
  <c r="Q591" i="14" s="1"/>
  <c r="K509" i="14"/>
  <c r="Q509" i="14" s="1"/>
  <c r="K726" i="14"/>
  <c r="Q726" i="14" s="1"/>
  <c r="K724" i="14"/>
  <c r="Q724" i="14" s="1"/>
  <c r="K730" i="14"/>
  <c r="Q730" i="14" s="1"/>
  <c r="K616" i="14"/>
  <c r="Q616" i="14" s="1"/>
  <c r="K590" i="14"/>
  <c r="Q590" i="14" s="1"/>
  <c r="K588" i="14"/>
  <c r="Q588" i="14" s="1"/>
  <c r="K562" i="14"/>
  <c r="Q562" i="14" s="1"/>
  <c r="K512" i="14"/>
  <c r="Q512" i="14" s="1"/>
  <c r="K518" i="14"/>
  <c r="Q518" i="14" s="1"/>
  <c r="K580" i="14"/>
  <c r="Q580" i="14" s="1"/>
  <c r="K682" i="14"/>
  <c r="Q682" i="14" s="1"/>
  <c r="K632" i="14"/>
  <c r="Q632" i="14" s="1"/>
  <c r="K638" i="14"/>
  <c r="Q638" i="14" s="1"/>
  <c r="K668" i="14"/>
  <c r="Q668" i="14" s="1"/>
  <c r="K674" i="14"/>
  <c r="Q674" i="14" s="1"/>
  <c r="K720" i="14"/>
  <c r="Q720" i="14" s="1"/>
  <c r="K694" i="14"/>
  <c r="Q694" i="14" s="1"/>
  <c r="K692" i="14"/>
  <c r="Q692" i="14" s="1"/>
  <c r="K698" i="14"/>
  <c r="Q698" i="14" s="1"/>
  <c r="K712" i="14"/>
  <c r="Q712" i="14" s="1"/>
  <c r="K686" i="14"/>
  <c r="Q686" i="14" s="1"/>
  <c r="K684" i="14"/>
  <c r="Q684" i="14" s="1"/>
  <c r="K658" i="14"/>
  <c r="Q658" i="14" s="1"/>
  <c r="K608" i="14"/>
  <c r="Q608" i="14" s="1"/>
  <c r="K689" i="14"/>
  <c r="Q689" i="14" s="1"/>
  <c r="K663" i="14"/>
  <c r="Q663" i="14" s="1"/>
  <c r="K741" i="14"/>
  <c r="Q741" i="14" s="1"/>
  <c r="K619" i="14"/>
  <c r="Q619" i="14" s="1"/>
  <c r="K521" i="14"/>
  <c r="Q521" i="14" s="1"/>
  <c r="K527" i="14"/>
  <c r="Q527" i="14" s="1"/>
  <c r="K573" i="14"/>
  <c r="Q573" i="14" s="1"/>
  <c r="K547" i="14"/>
  <c r="Q547" i="14" s="1"/>
  <c r="K545" i="14"/>
  <c r="Q545" i="14" s="1"/>
  <c r="K551" i="14"/>
  <c r="Q551" i="14" s="1"/>
  <c r="K565" i="14"/>
  <c r="Q565" i="14" s="1"/>
  <c r="K539" i="14"/>
  <c r="Q539" i="14" s="1"/>
  <c r="K537" i="14"/>
  <c r="Q537" i="14" s="1"/>
  <c r="K511" i="14"/>
  <c r="Q511" i="14" s="1"/>
  <c r="K704" i="14"/>
  <c r="Q704" i="14" s="1"/>
  <c r="K710" i="14"/>
  <c r="Q710" i="14" s="1"/>
  <c r="K644" i="14"/>
  <c r="Q644" i="14" s="1"/>
  <c r="K618" i="14"/>
  <c r="Q618" i="14" s="1"/>
  <c r="K568" i="14"/>
  <c r="Q568" i="14" s="1"/>
  <c r="K574" i="14"/>
  <c r="Q574" i="14" s="1"/>
  <c r="K623" i="14"/>
  <c r="Q623" i="14" s="1"/>
  <c r="E663" i="14"/>
  <c r="K528" i="14"/>
  <c r="Q528" i="14" s="1"/>
  <c r="K502" i="14"/>
  <c r="Q502" i="14" s="1"/>
  <c r="K647" i="14"/>
  <c r="Q647" i="14" s="1"/>
  <c r="K661" i="14"/>
  <c r="Q661" i="14" s="1"/>
  <c r="K635" i="14"/>
  <c r="Q635" i="14" s="1"/>
  <c r="K505" i="14"/>
  <c r="Q505" i="14" s="1"/>
  <c r="K722" i="14"/>
  <c r="Q722" i="14" s="1"/>
  <c r="K672" i="14"/>
  <c r="Q672" i="14" s="1"/>
  <c r="K678" i="14"/>
  <c r="Q678" i="14" s="1"/>
  <c r="K740" i="14"/>
  <c r="Q740" i="14" s="1"/>
  <c r="K714" i="14"/>
  <c r="Q714" i="14" s="1"/>
  <c r="K664" i="14"/>
  <c r="Q664" i="14" s="1"/>
  <c r="K670" i="14"/>
  <c r="Q670" i="14" s="1"/>
  <c r="K700" i="14"/>
  <c r="Q700" i="14" s="1"/>
  <c r="K706" i="14"/>
  <c r="Q706" i="14" s="1"/>
  <c r="K624" i="14"/>
  <c r="Q624" i="14" s="1"/>
  <c r="K598" i="14"/>
  <c r="Q598" i="14" s="1"/>
  <c r="K596" i="14"/>
  <c r="Q596" i="14" s="1"/>
  <c r="K602" i="14"/>
  <c r="Q602" i="14" s="1"/>
  <c r="K731" i="14"/>
  <c r="Q731" i="14" s="1"/>
  <c r="K729" i="14"/>
  <c r="Q729" i="14" s="1"/>
  <c r="K703" i="14"/>
  <c r="Q703" i="14" s="1"/>
  <c r="K653" i="14"/>
  <c r="Q653" i="14" s="1"/>
  <c r="K659" i="14"/>
  <c r="Q659" i="14" s="1"/>
  <c r="K721" i="14"/>
  <c r="Q721" i="14" s="1"/>
  <c r="K554" i="14"/>
  <c r="Q554" i="14" s="1"/>
  <c r="K504" i="14"/>
  <c r="Q504" i="14" s="1"/>
  <c r="K510" i="14"/>
  <c r="Q510" i="14" s="1"/>
  <c r="K540" i="14"/>
  <c r="Q540" i="14" s="1"/>
  <c r="K546" i="14"/>
  <c r="Q546" i="14" s="1"/>
  <c r="K592" i="14"/>
  <c r="Q592" i="14" s="1"/>
  <c r="K566" i="14"/>
  <c r="Q566" i="14" s="1"/>
  <c r="K564" i="14"/>
  <c r="Q564" i="14" s="1"/>
  <c r="K570" i="14"/>
  <c r="Q570" i="14" s="1"/>
  <c r="K584" i="14"/>
  <c r="Q584" i="14" s="1"/>
  <c r="K558" i="14"/>
  <c r="Q558" i="14" s="1"/>
  <c r="K556" i="14"/>
  <c r="Q556" i="14" s="1"/>
  <c r="K530" i="14"/>
  <c r="Q530" i="14" s="1"/>
  <c r="K627" i="14"/>
  <c r="Q627" i="14" s="1"/>
  <c r="K561" i="14"/>
  <c r="Q561" i="14" s="1"/>
  <c r="K535" i="14"/>
  <c r="Q535" i="14" s="1"/>
  <c r="K613" i="14"/>
  <c r="Q613" i="14" s="1"/>
  <c r="K734" i="14"/>
  <c r="Q734" i="14" s="1"/>
  <c r="K636" i="14"/>
  <c r="Q636" i="14" s="1"/>
  <c r="K642" i="14"/>
  <c r="Q642" i="14" s="1"/>
  <c r="K688" i="14"/>
  <c r="Q688" i="14" s="1"/>
  <c r="K662" i="14"/>
  <c r="Q662" i="14" s="1"/>
  <c r="K660" i="14"/>
  <c r="Q660" i="14" s="1"/>
  <c r="K666" i="14"/>
  <c r="Q666" i="14" s="1"/>
  <c r="K680" i="14"/>
  <c r="Q680" i="14" s="1"/>
  <c r="K654" i="14"/>
  <c r="Q654" i="14" s="1"/>
  <c r="K652" i="14"/>
  <c r="Q652" i="14" s="1"/>
  <c r="K626" i="14"/>
  <c r="Q626" i="14" s="1"/>
  <c r="K576" i="14"/>
  <c r="Q576" i="14" s="1"/>
  <c r="K582" i="14"/>
  <c r="Q582" i="14" s="1"/>
  <c r="K516" i="14"/>
  <c r="Q516" i="14" s="1"/>
  <c r="K709" i="14"/>
  <c r="Q709" i="14" s="1"/>
  <c r="K715" i="14"/>
  <c r="Q715" i="14" s="1"/>
  <c r="K617" i="14"/>
  <c r="Q617" i="14" s="1"/>
  <c r="K738" i="14"/>
  <c r="Q738" i="14" s="1"/>
  <c r="K669" i="14"/>
  <c r="Q669" i="14" s="1"/>
  <c r="K643" i="14"/>
  <c r="Q643" i="14" s="1"/>
  <c r="K641" i="14"/>
  <c r="Q641" i="14" s="1"/>
  <c r="K519" i="14"/>
  <c r="Q519" i="14" s="1"/>
  <c r="K533" i="14"/>
  <c r="Q533" i="14" s="1"/>
  <c r="K507" i="14"/>
  <c r="Q507" i="14" s="1"/>
  <c r="K620" i="14"/>
  <c r="Q620" i="14" s="1"/>
  <c r="K594" i="14"/>
  <c r="Q594" i="14" s="1"/>
  <c r="K544" i="14"/>
  <c r="Q544" i="14" s="1"/>
  <c r="K550" i="14"/>
  <c r="Q550" i="14" s="1"/>
  <c r="K612" i="14"/>
  <c r="Q612" i="14" s="1"/>
  <c r="K586" i="14"/>
  <c r="Q586" i="14" s="1"/>
  <c r="K536" i="14"/>
  <c r="Q536" i="14" s="1"/>
  <c r="K542" i="14"/>
  <c r="Q542" i="14" s="1"/>
  <c r="K572" i="14"/>
  <c r="Q572" i="14" s="1"/>
  <c r="K578" i="14"/>
  <c r="Q578" i="14" s="1"/>
  <c r="K739" i="14"/>
  <c r="Q739" i="14" s="1"/>
  <c r="K737" i="14"/>
  <c r="Q737" i="14" s="1"/>
  <c r="K743" i="14"/>
  <c r="Q743" i="14" s="1"/>
  <c r="K629" i="14"/>
  <c r="Q629" i="14" s="1"/>
  <c r="K603" i="14"/>
  <c r="Q603" i="14" s="1"/>
  <c r="K601" i="14"/>
  <c r="Q601" i="14" s="1"/>
  <c r="K575" i="14"/>
  <c r="Q575" i="14" s="1"/>
  <c r="K525" i="14"/>
  <c r="Q525" i="14" s="1"/>
  <c r="K531" i="14"/>
  <c r="Q531" i="14" s="1"/>
  <c r="K593" i="14"/>
  <c r="Q593" i="14" s="1"/>
  <c r="K695" i="14"/>
  <c r="Q695" i="14" s="1"/>
  <c r="K645" i="14"/>
  <c r="Q645" i="14" s="1"/>
  <c r="K651" i="14"/>
  <c r="Q651" i="14" s="1"/>
  <c r="K681" i="14"/>
  <c r="Q681" i="14" s="1"/>
  <c r="K687" i="14"/>
  <c r="Q687" i="14" s="1"/>
  <c r="E558" i="14"/>
  <c r="K733" i="14"/>
  <c r="Q733" i="14" s="1"/>
  <c r="K707" i="14"/>
  <c r="Q707" i="14" s="1"/>
  <c r="K705" i="14"/>
  <c r="Q705" i="14" s="1"/>
  <c r="K711" i="14"/>
  <c r="Q711" i="14" s="1"/>
  <c r="K725" i="14"/>
  <c r="Q725" i="14" s="1"/>
  <c r="K699" i="14"/>
  <c r="Q699" i="14" s="1"/>
  <c r="K697" i="14"/>
  <c r="Q697" i="14" s="1"/>
  <c r="K671" i="14"/>
  <c r="Q671" i="14" s="1"/>
  <c r="K621" i="14"/>
  <c r="Q621" i="14" s="1"/>
  <c r="K742" i="14"/>
  <c r="Q742" i="14" s="1"/>
  <c r="K676" i="14"/>
  <c r="Q676" i="14" s="1"/>
  <c r="K650" i="14"/>
  <c r="Q650" i="14" s="1"/>
  <c r="K728" i="14"/>
  <c r="Q728" i="14" s="1"/>
  <c r="K606" i="14"/>
  <c r="Q606" i="14" s="1"/>
  <c r="K508" i="14"/>
  <c r="Q508" i="14" s="1"/>
  <c r="K514" i="14"/>
  <c r="Q514" i="14" s="1"/>
  <c r="K560" i="14"/>
  <c r="Q560" i="14" s="1"/>
  <c r="K534" i="14"/>
  <c r="Q534" i="14" s="1"/>
  <c r="K532" i="14"/>
  <c r="Q532" i="14" s="1"/>
  <c r="K538" i="14"/>
  <c r="Q538" i="14" s="1"/>
  <c r="K552" i="14"/>
  <c r="Q552" i="14" s="1"/>
  <c r="K526" i="14"/>
  <c r="Q526" i="14" s="1"/>
  <c r="K524" i="14"/>
  <c r="Q524" i="14" s="1"/>
  <c r="K717" i="14"/>
  <c r="Q717" i="14" s="1"/>
  <c r="K723" i="14"/>
  <c r="Q723" i="14" s="1"/>
  <c r="K657" i="14"/>
  <c r="Q657" i="14" s="1"/>
  <c r="K631" i="14"/>
  <c r="Q631" i="14" s="1"/>
  <c r="K581" i="14"/>
  <c r="Q581" i="14" s="1"/>
  <c r="K587" i="14"/>
  <c r="Q587" i="14" s="1"/>
  <c r="K732" i="14"/>
  <c r="Q732" i="14" s="1"/>
  <c r="K610" i="14"/>
  <c r="Q610" i="14" s="1"/>
  <c r="K541" i="14"/>
  <c r="Q541" i="14" s="1"/>
  <c r="K515" i="14"/>
  <c r="Q515" i="14" s="1"/>
  <c r="K513" i="14"/>
  <c r="Q513" i="14" s="1"/>
  <c r="K634" i="14"/>
  <c r="Q634" i="14" s="1"/>
  <c r="K648" i="14"/>
  <c r="Q648" i="14" s="1"/>
  <c r="K622" i="14"/>
  <c r="Q622" i="14" s="1"/>
  <c r="K735" i="14"/>
  <c r="Q735" i="14" s="1"/>
  <c r="K685" i="14"/>
  <c r="Q685" i="14" s="1"/>
  <c r="K691" i="14"/>
  <c r="Q691" i="14" s="1"/>
  <c r="K727" i="14"/>
  <c r="Q727" i="14" s="1"/>
  <c r="K677" i="14"/>
  <c r="Q677" i="14" s="1"/>
  <c r="K683" i="14"/>
  <c r="Q683" i="14" s="1"/>
  <c r="K713" i="14"/>
  <c r="Q713" i="14" s="1"/>
  <c r="K719" i="14"/>
  <c r="Q719" i="14" s="1"/>
  <c r="K637" i="14"/>
  <c r="Q637" i="14" s="1"/>
  <c r="K611" i="14"/>
  <c r="Q611" i="14" s="1"/>
  <c r="K609" i="14"/>
  <c r="Q609" i="14" s="1"/>
  <c r="K615" i="14"/>
  <c r="Q615" i="14" s="1"/>
  <c r="K501" i="14"/>
  <c r="Q501" i="14" s="1"/>
  <c r="K718" i="14"/>
  <c r="Q718" i="14" s="1"/>
  <c r="K716" i="14"/>
  <c r="Q716" i="14" s="1"/>
  <c r="K690" i="14"/>
  <c r="Q690" i="14" s="1"/>
  <c r="K640" i="14"/>
  <c r="Q640" i="14" s="1"/>
  <c r="K646" i="14"/>
  <c r="Q646" i="14" s="1"/>
  <c r="K708" i="14"/>
  <c r="Q708" i="14" s="1"/>
  <c r="K567" i="14"/>
  <c r="Q567" i="14" s="1"/>
  <c r="K517" i="14"/>
  <c r="Q517" i="14" s="1"/>
  <c r="K523" i="14"/>
  <c r="Q523" i="14" s="1"/>
  <c r="K553" i="14"/>
  <c r="Q553" i="14" s="1"/>
  <c r="K559" i="14"/>
  <c r="Q559" i="14" s="1"/>
  <c r="E593" i="14"/>
  <c r="E582" i="14"/>
  <c r="M587" i="14"/>
  <c r="S587" i="14" s="1"/>
  <c r="M680" i="14"/>
  <c r="S680" i="14" s="1"/>
  <c r="M608" i="14"/>
  <c r="S608" i="14" s="1"/>
  <c r="M645" i="14"/>
  <c r="S645" i="14" s="1"/>
  <c r="M729" i="14"/>
  <c r="S729" i="14" s="1"/>
  <c r="M551" i="14"/>
  <c r="S551" i="14" s="1"/>
  <c r="M721" i="14"/>
  <c r="S721" i="14" s="1"/>
  <c r="M703" i="14"/>
  <c r="S703" i="14" s="1"/>
  <c r="M725" i="14"/>
  <c r="S725" i="14" s="1"/>
  <c r="M572" i="14"/>
  <c r="S572" i="14" s="1"/>
  <c r="M637" i="14"/>
  <c r="S637" i="14" s="1"/>
  <c r="M649" i="14"/>
  <c r="S649" i="14" s="1"/>
  <c r="M663" i="14"/>
  <c r="S663" i="14" s="1"/>
  <c r="M685" i="14"/>
  <c r="S685" i="14" s="1"/>
  <c r="M604" i="14"/>
  <c r="S604" i="14" s="1"/>
  <c r="M605" i="14"/>
  <c r="S605" i="14" s="1"/>
  <c r="M683" i="14"/>
  <c r="S683" i="14" s="1"/>
  <c r="M611" i="14"/>
  <c r="S611" i="14" s="1"/>
  <c r="M704" i="14"/>
  <c r="S704" i="14" s="1"/>
  <c r="M540" i="14"/>
  <c r="S540" i="14" s="1"/>
  <c r="M582" i="14"/>
  <c r="S582" i="14" s="1"/>
  <c r="M564" i="14"/>
  <c r="S564" i="14" s="1"/>
  <c r="M574" i="14"/>
  <c r="S574" i="14" s="1"/>
  <c r="M556" i="14"/>
  <c r="S556" i="14" s="1"/>
  <c r="M578" i="14"/>
  <c r="S578" i="14" s="1"/>
  <c r="M719" i="14"/>
  <c r="S719" i="14" s="1"/>
  <c r="M541" i="14"/>
  <c r="S541" i="14" s="1"/>
  <c r="M644" i="14"/>
  <c r="S644" i="14" s="1"/>
  <c r="M666" i="14"/>
  <c r="S666" i="14" s="1"/>
  <c r="M523" i="14"/>
  <c r="S523" i="14" s="1"/>
  <c r="M709" i="14"/>
  <c r="S709" i="14" s="1"/>
  <c r="M651" i="14"/>
  <c r="S651" i="14" s="1"/>
  <c r="M579" i="14"/>
  <c r="S579" i="14" s="1"/>
  <c r="M672" i="14"/>
  <c r="S672" i="14" s="1"/>
  <c r="M559" i="14"/>
  <c r="S559" i="14" s="1"/>
  <c r="M550" i="14"/>
  <c r="S550" i="14" s="1"/>
  <c r="M711" i="14"/>
  <c r="S711" i="14" s="1"/>
  <c r="M542" i="14"/>
  <c r="S542" i="14" s="1"/>
  <c r="M524" i="14"/>
  <c r="S524" i="14" s="1"/>
  <c r="M546" i="14"/>
  <c r="S546" i="14" s="1"/>
  <c r="M700" i="14"/>
  <c r="S700" i="14" s="1"/>
  <c r="M650" i="14"/>
  <c r="S650" i="14" s="1"/>
  <c r="M585" i="14"/>
  <c r="S585" i="14" s="1"/>
  <c r="M599" i="14"/>
  <c r="S599" i="14" s="1"/>
  <c r="M718" i="14"/>
  <c r="S718" i="14" s="1"/>
  <c r="M690" i="14"/>
  <c r="S690" i="14" s="1"/>
  <c r="M688" i="14"/>
  <c r="S688" i="14" s="1"/>
  <c r="M584" i="14"/>
  <c r="S584" i="14" s="1"/>
  <c r="M512" i="14"/>
  <c r="S512" i="14" s="1"/>
  <c r="M733" i="14"/>
  <c r="S733" i="14" s="1"/>
  <c r="M505" i="14"/>
  <c r="S505" i="14" s="1"/>
  <c r="M620" i="14"/>
  <c r="S620" i="14" s="1"/>
  <c r="M514" i="14"/>
  <c r="S514" i="14" s="1"/>
  <c r="M636" i="14"/>
  <c r="S636" i="14" s="1"/>
  <c r="M694" i="14"/>
  <c r="S694" i="14" s="1"/>
  <c r="M708" i="14"/>
  <c r="S708" i="14" s="1"/>
  <c r="M730" i="14"/>
  <c r="S730" i="14" s="1"/>
  <c r="M686" i="14"/>
  <c r="S686" i="14" s="1"/>
  <c r="M626" i="14"/>
  <c r="S626" i="14" s="1"/>
  <c r="M728" i="14"/>
  <c r="S728" i="14" s="1"/>
  <c r="M656" i="14"/>
  <c r="S656" i="14" s="1"/>
  <c r="M552" i="14"/>
  <c r="S552" i="14" s="1"/>
  <c r="M723" i="14"/>
  <c r="S723" i="14" s="1"/>
  <c r="M573" i="14"/>
  <c r="S573" i="14" s="1"/>
  <c r="M601" i="14"/>
  <c r="S601" i="14" s="1"/>
  <c r="M509" i="14"/>
  <c r="S509" i="14" s="1"/>
  <c r="M593" i="14"/>
  <c r="S593" i="14" s="1"/>
  <c r="M575" i="14"/>
  <c r="S575" i="14" s="1"/>
  <c r="M597" i="14"/>
  <c r="S597" i="14" s="1"/>
  <c r="M722" i="14"/>
  <c r="S722" i="14" s="1"/>
  <c r="M531" i="14"/>
  <c r="S531" i="14" s="1"/>
  <c r="M521" i="14"/>
  <c r="S521" i="14" s="1"/>
  <c r="M535" i="14"/>
  <c r="S535" i="14" s="1"/>
  <c r="M557" i="14"/>
  <c r="S557" i="14" s="1"/>
  <c r="M527" i="14"/>
  <c r="S527" i="14" s="1"/>
  <c r="G573" i="14"/>
  <c r="M555" i="14"/>
  <c r="S555" i="14" s="1"/>
  <c r="M648" i="14"/>
  <c r="S648" i="14" s="1"/>
  <c r="M576" i="14"/>
  <c r="S576" i="14" s="1"/>
  <c r="M647" i="14"/>
  <c r="S647" i="14" s="1"/>
  <c r="M697" i="14"/>
  <c r="S697" i="14" s="1"/>
  <c r="M714" i="14"/>
  <c r="S714" i="14" s="1"/>
  <c r="M689" i="14"/>
  <c r="S689" i="14" s="1"/>
  <c r="M671" i="14"/>
  <c r="S671" i="14" s="1"/>
  <c r="M693" i="14"/>
  <c r="S693" i="14" s="1"/>
  <c r="M658" i="14"/>
  <c r="S658" i="14" s="1"/>
  <c r="M630" i="14"/>
  <c r="S630" i="14" s="1"/>
  <c r="M516" i="14"/>
  <c r="S516" i="14" s="1"/>
  <c r="M538" i="14"/>
  <c r="S538" i="14" s="1"/>
  <c r="M558" i="14"/>
  <c r="S558" i="14" s="1"/>
  <c r="M682" i="14"/>
  <c r="S682" i="14" s="1"/>
  <c r="M720" i="14"/>
  <c r="S720" i="14" s="1"/>
  <c r="M616" i="14"/>
  <c r="S616" i="14" s="1"/>
  <c r="M544" i="14"/>
  <c r="S544" i="14" s="1"/>
  <c r="M618" i="14"/>
  <c r="S618" i="14" s="1"/>
  <c r="M665" i="14"/>
  <c r="S665" i="14" s="1"/>
  <c r="M586" i="14"/>
  <c r="S586" i="14" s="1"/>
  <c r="M657" i="14"/>
  <c r="S657" i="14" s="1"/>
  <c r="M639" i="14"/>
  <c r="S639" i="14" s="1"/>
  <c r="M661" i="14"/>
  <c r="S661" i="14" s="1"/>
  <c r="M655" i="14"/>
  <c r="S655" i="14" s="1"/>
  <c r="M726" i="14"/>
  <c r="S726" i="14" s="1"/>
  <c r="M740" i="14"/>
  <c r="S740" i="14" s="1"/>
  <c r="M634" i="14"/>
  <c r="S634" i="14" s="1"/>
  <c r="M705" i="14"/>
  <c r="S705" i="14" s="1"/>
  <c r="M613" i="14"/>
  <c r="S613" i="14" s="1"/>
  <c r="M632" i="14"/>
  <c r="S632" i="14" s="1"/>
  <c r="M560" i="14"/>
  <c r="S560" i="14" s="1"/>
  <c r="M699" i="14"/>
  <c r="S699" i="14" s="1"/>
  <c r="M627" i="14"/>
  <c r="S627" i="14" s="1"/>
  <c r="M646" i="14"/>
  <c r="S646" i="14" s="1"/>
  <c r="M628" i="14"/>
  <c r="S628" i="14" s="1"/>
  <c r="M638" i="14"/>
  <c r="S638" i="14" s="1"/>
  <c r="M735" i="14"/>
  <c r="S735" i="14" s="1"/>
  <c r="M629" i="14"/>
  <c r="S629" i="14" s="1"/>
  <c r="M591" i="14"/>
  <c r="S591" i="14" s="1"/>
  <c r="M566" i="14"/>
  <c r="S566" i="14" s="1"/>
  <c r="M580" i="14"/>
  <c r="S580" i="14" s="1"/>
  <c r="M602" i="14"/>
  <c r="S602" i="14" s="1"/>
  <c r="M641" i="14"/>
  <c r="S641" i="14" s="1"/>
  <c r="M549" i="14"/>
  <c r="S549" i="14" s="1"/>
  <c r="M600" i="14"/>
  <c r="S600" i="14" s="1"/>
  <c r="M528" i="14"/>
  <c r="S528" i="14" s="1"/>
  <c r="M667" i="14"/>
  <c r="S667" i="14" s="1"/>
  <c r="M595" i="14"/>
  <c r="S595" i="14" s="1"/>
  <c r="M742" i="14"/>
  <c r="S742" i="14" s="1"/>
  <c r="M724" i="14"/>
  <c r="S724" i="14" s="1"/>
  <c r="M734" i="14"/>
  <c r="S734" i="14" s="1"/>
  <c r="M716" i="14"/>
  <c r="S716" i="14" s="1"/>
  <c r="M738" i="14"/>
  <c r="S738" i="14" s="1"/>
  <c r="M590" i="14"/>
  <c r="S590" i="14" s="1"/>
  <c r="M677" i="14"/>
  <c r="S677" i="14" s="1"/>
  <c r="M662" i="14"/>
  <c r="S662" i="14" s="1"/>
  <c r="M676" i="14"/>
  <c r="S676" i="14" s="1"/>
  <c r="M698" i="14"/>
  <c r="S698" i="14" s="1"/>
  <c r="M622" i="14"/>
  <c r="S622" i="14" s="1"/>
  <c r="M530" i="14"/>
  <c r="S530" i="14" s="1"/>
  <c r="M696" i="14"/>
  <c r="S696" i="14" s="1"/>
  <c r="M624" i="14"/>
  <c r="S624" i="14" s="1"/>
  <c r="M520" i="14"/>
  <c r="S520" i="14" s="1"/>
  <c r="M691" i="14"/>
  <c r="S691" i="14" s="1"/>
  <c r="M547" i="14"/>
  <c r="S547" i="14" s="1"/>
  <c r="M569" i="14"/>
  <c r="S569" i="14" s="1"/>
  <c r="M539" i="14"/>
  <c r="S539" i="14" s="1"/>
  <c r="M561" i="14"/>
  <c r="S561" i="14" s="1"/>
  <c r="M543" i="14"/>
  <c r="S543" i="14" s="1"/>
  <c r="M565" i="14"/>
  <c r="S565" i="14" s="1"/>
  <c r="M581" i="14"/>
  <c r="S581" i="14" s="1"/>
  <c r="M502" i="14"/>
  <c r="S502" i="14" s="1"/>
  <c r="M631" i="14"/>
  <c r="S631" i="14" s="1"/>
  <c r="M653" i="14"/>
  <c r="S653" i="14" s="1"/>
  <c r="M664" i="14"/>
  <c r="S664" i="14" s="1"/>
  <c r="M592" i="14"/>
  <c r="S592" i="14" s="1"/>
  <c r="M731" i="14"/>
  <c r="S731" i="14" s="1"/>
  <c r="M659" i="14"/>
  <c r="S659" i="14" s="1"/>
  <c r="M515" i="14"/>
  <c r="S515" i="14" s="1"/>
  <c r="M537" i="14"/>
  <c r="S537" i="14" s="1"/>
  <c r="M507" i="14"/>
  <c r="S507" i="14" s="1"/>
  <c r="M529" i="14"/>
  <c r="S529" i="14" s="1"/>
  <c r="M511" i="14"/>
  <c r="S511" i="14" s="1"/>
  <c r="M533" i="14"/>
  <c r="S533" i="14" s="1"/>
  <c r="M562" i="14"/>
  <c r="S562" i="14" s="1"/>
  <c r="M598" i="14"/>
  <c r="S598" i="14" s="1"/>
  <c r="M612" i="14"/>
  <c r="S612" i="14" s="1"/>
  <c r="M506" i="14"/>
  <c r="S506" i="14" s="1"/>
  <c r="M732" i="14"/>
  <c r="S732" i="14" s="1"/>
  <c r="M532" i="14"/>
  <c r="S532" i="14" s="1"/>
  <c r="M504" i="14"/>
  <c r="S504" i="14" s="1"/>
  <c r="M675" i="14"/>
  <c r="S675" i="14" s="1"/>
  <c r="M571" i="14"/>
  <c r="S571" i="14" s="1"/>
  <c r="M526" i="14"/>
  <c r="S526" i="14" s="1"/>
  <c r="M518" i="14"/>
  <c r="S518" i="14" s="1"/>
  <c r="M679" i="14"/>
  <c r="S679" i="14" s="1"/>
  <c r="M510" i="14"/>
  <c r="S510" i="14" s="1"/>
  <c r="M607" i="14"/>
  <c r="S607" i="14" s="1"/>
  <c r="M501" i="14"/>
  <c r="S501" i="14" s="1"/>
  <c r="M741" i="14"/>
  <c r="S741" i="14" s="1"/>
  <c r="M681" i="14"/>
  <c r="S681" i="14" s="1"/>
  <c r="M695" i="14"/>
  <c r="S695" i="14" s="1"/>
  <c r="M717" i="14"/>
  <c r="S717" i="14" s="1"/>
  <c r="M668" i="14"/>
  <c r="S668" i="14" s="1"/>
  <c r="M615" i="14"/>
  <c r="S615" i="14" s="1"/>
  <c r="M715" i="14"/>
  <c r="S715" i="14" s="1"/>
  <c r="M643" i="14"/>
  <c r="S643" i="14" s="1"/>
  <c r="M736" i="14"/>
  <c r="S736" i="14" s="1"/>
  <c r="M577" i="14"/>
  <c r="S577" i="14" s="1"/>
  <c r="M614" i="14"/>
  <c r="S614" i="14" s="1"/>
  <c r="M596" i="14"/>
  <c r="S596" i="14" s="1"/>
  <c r="M606" i="14"/>
  <c r="S606" i="14" s="1"/>
  <c r="M588" i="14"/>
  <c r="S588" i="14" s="1"/>
  <c r="M610" i="14"/>
  <c r="S610" i="14" s="1"/>
  <c r="M545" i="14"/>
  <c r="S545" i="14" s="1"/>
  <c r="M743" i="14"/>
  <c r="S743" i="14" s="1"/>
  <c r="M534" i="14"/>
  <c r="S534" i="14" s="1"/>
  <c r="M548" i="14"/>
  <c r="S548" i="14" s="1"/>
  <c r="M570" i="14"/>
  <c r="S570" i="14" s="1"/>
  <c r="M513" i="14"/>
  <c r="S513" i="14" s="1"/>
  <c r="M519" i="14"/>
  <c r="S519" i="14" s="1"/>
  <c r="M568" i="14"/>
  <c r="S568" i="14" s="1"/>
  <c r="M739" i="14"/>
  <c r="S739" i="14" s="1"/>
  <c r="M635" i="14"/>
  <c r="S635" i="14" s="1"/>
  <c r="M563" i="14"/>
  <c r="S563" i="14" s="1"/>
  <c r="M710" i="14"/>
  <c r="S710" i="14" s="1"/>
  <c r="M692" i="14"/>
  <c r="S692" i="14" s="1"/>
  <c r="M702" i="14"/>
  <c r="S702" i="14" s="1"/>
  <c r="M684" i="14"/>
  <c r="S684" i="14" s="1"/>
  <c r="M706" i="14"/>
  <c r="S706" i="14" s="1"/>
  <c r="M737" i="14"/>
  <c r="S737" i="14" s="1"/>
  <c r="M583" i="14"/>
  <c r="S583" i="14" s="1"/>
  <c r="M617" i="14"/>
  <c r="S617" i="14" s="1"/>
  <c r="M503" i="14"/>
  <c r="S503" i="14" s="1"/>
  <c r="M525" i="14"/>
  <c r="S525" i="14" s="1"/>
  <c r="M508" i="14"/>
  <c r="S508" i="14" s="1"/>
  <c r="M536" i="14"/>
  <c r="S536" i="14" s="1"/>
  <c r="M707" i="14"/>
  <c r="S707" i="14" s="1"/>
  <c r="M603" i="14"/>
  <c r="S603" i="14" s="1"/>
  <c r="M654" i="14"/>
  <c r="S654" i="14" s="1"/>
  <c r="M678" i="14"/>
  <c r="S678" i="14" s="1"/>
  <c r="M660" i="14"/>
  <c r="S660" i="14" s="1"/>
  <c r="M670" i="14"/>
  <c r="S670" i="14" s="1"/>
  <c r="M652" i="14"/>
  <c r="S652" i="14" s="1"/>
  <c r="M674" i="14"/>
  <c r="S674" i="14" s="1"/>
  <c r="M673" i="14"/>
  <c r="S673" i="14" s="1"/>
  <c r="M517" i="14"/>
  <c r="S517" i="14" s="1"/>
  <c r="M713" i="14"/>
  <c r="S713" i="14" s="1"/>
  <c r="M727" i="14"/>
  <c r="S727" i="14" s="1"/>
  <c r="M621" i="14"/>
  <c r="S621" i="14" s="1"/>
  <c r="M687" i="14"/>
  <c r="S687" i="14" s="1"/>
  <c r="M554" i="14"/>
  <c r="S554" i="14" s="1"/>
  <c r="M619" i="14"/>
  <c r="S619" i="14" s="1"/>
  <c r="M712" i="14"/>
  <c r="S712" i="14" s="1"/>
  <c r="M640" i="14"/>
  <c r="S640" i="14" s="1"/>
  <c r="M594" i="14"/>
  <c r="S594" i="14" s="1"/>
  <c r="M633" i="14"/>
  <c r="S633" i="14" s="1"/>
  <c r="M701" i="14"/>
  <c r="S701" i="14" s="1"/>
  <c r="M625" i="14"/>
  <c r="S625" i="14" s="1"/>
  <c r="M642" i="14"/>
  <c r="S642" i="14" s="1"/>
  <c r="M609" i="14"/>
  <c r="S609" i="14" s="1"/>
  <c r="M522" i="14"/>
  <c r="S522" i="14" s="1"/>
  <c r="M553" i="14"/>
  <c r="S553" i="14" s="1"/>
  <c r="M567" i="14"/>
  <c r="S567" i="14" s="1"/>
  <c r="M589" i="14"/>
  <c r="S589" i="14" s="1"/>
  <c r="M623" i="14"/>
  <c r="S623" i="14" s="1"/>
  <c r="M669" i="14"/>
  <c r="S669" i="14" s="1"/>
  <c r="G668" i="14"/>
  <c r="G714" i="14"/>
  <c r="G528" i="14"/>
  <c r="L708" i="14"/>
  <c r="R708" i="14" s="1"/>
  <c r="L682" i="14"/>
  <c r="R682" i="14" s="1"/>
  <c r="L640" i="14"/>
  <c r="R640" i="14" s="1"/>
  <c r="L622" i="14"/>
  <c r="R622" i="14" s="1"/>
  <c r="L572" i="14"/>
  <c r="R572" i="14" s="1"/>
  <c r="L578" i="14"/>
  <c r="R578" i="14" s="1"/>
  <c r="L568" i="14"/>
  <c r="R568" i="14" s="1"/>
  <c r="L673" i="14"/>
  <c r="R673" i="14" s="1"/>
  <c r="L647" i="14"/>
  <c r="R647" i="14" s="1"/>
  <c r="L669" i="14"/>
  <c r="R669" i="14" s="1"/>
  <c r="L619" i="14"/>
  <c r="R619" i="14" s="1"/>
  <c r="L505" i="14"/>
  <c r="R505" i="14" s="1"/>
  <c r="L658" i="14"/>
  <c r="R658" i="14" s="1"/>
  <c r="L712" i="14"/>
  <c r="R712" i="14" s="1"/>
  <c r="L694" i="14"/>
  <c r="R694" i="14" s="1"/>
  <c r="L676" i="14"/>
  <c r="R676" i="14" s="1"/>
  <c r="L650" i="14"/>
  <c r="R650" i="14" s="1"/>
  <c r="L608" i="14"/>
  <c r="R608" i="14" s="1"/>
  <c r="L590" i="14"/>
  <c r="R590" i="14" s="1"/>
  <c r="L540" i="14"/>
  <c r="R540" i="14" s="1"/>
  <c r="L546" i="14"/>
  <c r="R546" i="14" s="1"/>
  <c r="L536" i="14"/>
  <c r="R536" i="14" s="1"/>
  <c r="L582" i="14"/>
  <c r="R582" i="14" s="1"/>
  <c r="L743" i="14"/>
  <c r="R743" i="14" s="1"/>
  <c r="L637" i="14"/>
  <c r="R637" i="14" s="1"/>
  <c r="L587" i="14"/>
  <c r="R587" i="14" s="1"/>
  <c r="L601" i="14"/>
  <c r="R601" i="14" s="1"/>
  <c r="L511" i="14"/>
  <c r="R511" i="14" s="1"/>
  <c r="L680" i="14"/>
  <c r="R680" i="14" s="1"/>
  <c r="L662" i="14"/>
  <c r="R662" i="14" s="1"/>
  <c r="L644" i="14"/>
  <c r="R644" i="14" s="1"/>
  <c r="L618" i="14"/>
  <c r="R618" i="14" s="1"/>
  <c r="L576" i="14"/>
  <c r="R576" i="14" s="1"/>
  <c r="L558" i="14"/>
  <c r="R558" i="14" s="1"/>
  <c r="L508" i="14"/>
  <c r="R508" i="14" s="1"/>
  <c r="L514" i="14"/>
  <c r="R514" i="14" s="1"/>
  <c r="L504" i="14"/>
  <c r="R504" i="14" s="1"/>
  <c r="L550" i="14"/>
  <c r="R550" i="14" s="1"/>
  <c r="L596" i="14"/>
  <c r="R596" i="14" s="1"/>
  <c r="L570" i="14"/>
  <c r="R570" i="14" s="1"/>
  <c r="L592" i="14"/>
  <c r="R592" i="14" s="1"/>
  <c r="L542" i="14"/>
  <c r="R542" i="14" s="1"/>
  <c r="L556" i="14"/>
  <c r="R556" i="14" s="1"/>
  <c r="L594" i="14"/>
  <c r="R594" i="14" s="1"/>
  <c r="L520" i="14"/>
  <c r="R520" i="14" s="1"/>
  <c r="L502" i="14"/>
  <c r="R502" i="14" s="1"/>
  <c r="L727" i="14"/>
  <c r="R727" i="14" s="1"/>
  <c r="L685" i="14"/>
  <c r="R685" i="14" s="1"/>
  <c r="L667" i="14"/>
  <c r="R667" i="14" s="1"/>
  <c r="L617" i="14"/>
  <c r="R617" i="14" s="1"/>
  <c r="L738" i="14"/>
  <c r="R738" i="14" s="1"/>
  <c r="L728" i="14"/>
  <c r="R728" i="14" s="1"/>
  <c r="L646" i="14"/>
  <c r="R646" i="14" s="1"/>
  <c r="L692" i="14"/>
  <c r="R692" i="14" s="1"/>
  <c r="L666" i="14"/>
  <c r="R666" i="14" s="1"/>
  <c r="L688" i="14"/>
  <c r="R688" i="14" s="1"/>
  <c r="L638" i="14"/>
  <c r="R638" i="14" s="1"/>
  <c r="L652" i="14"/>
  <c r="R652" i="14" s="1"/>
  <c r="L690" i="14"/>
  <c r="R690" i="14" s="1"/>
  <c r="L616" i="14"/>
  <c r="R616" i="14" s="1"/>
  <c r="L598" i="14"/>
  <c r="R598" i="14" s="1"/>
  <c r="L580" i="14"/>
  <c r="R580" i="14" s="1"/>
  <c r="L554" i="14"/>
  <c r="R554" i="14" s="1"/>
  <c r="L512" i="14"/>
  <c r="R512" i="14" s="1"/>
  <c r="L713" i="14"/>
  <c r="R713" i="14" s="1"/>
  <c r="L719" i="14"/>
  <c r="R719" i="14" s="1"/>
  <c r="L709" i="14"/>
  <c r="R709" i="14" s="1"/>
  <c r="L627" i="14"/>
  <c r="R627" i="14" s="1"/>
  <c r="L545" i="14"/>
  <c r="R545" i="14" s="1"/>
  <c r="L519" i="14"/>
  <c r="R519" i="14" s="1"/>
  <c r="L541" i="14"/>
  <c r="R541" i="14" s="1"/>
  <c r="L734" i="14"/>
  <c r="R734" i="14" s="1"/>
  <c r="L620" i="14"/>
  <c r="R620" i="14" s="1"/>
  <c r="L530" i="14"/>
  <c r="R530" i="14" s="1"/>
  <c r="L584" i="14"/>
  <c r="R584" i="14" s="1"/>
  <c r="L566" i="14"/>
  <c r="R566" i="14" s="1"/>
  <c r="L548" i="14"/>
  <c r="R548" i="14" s="1"/>
  <c r="L522" i="14"/>
  <c r="R522" i="14" s="1"/>
  <c r="L731" i="14"/>
  <c r="R731" i="14" s="1"/>
  <c r="L681" i="14"/>
  <c r="R681" i="14" s="1"/>
  <c r="L687" i="14"/>
  <c r="R687" i="14" s="1"/>
  <c r="L677" i="14"/>
  <c r="R677" i="14" s="1"/>
  <c r="L723" i="14"/>
  <c r="R723" i="14" s="1"/>
  <c r="L641" i="14"/>
  <c r="R641" i="14" s="1"/>
  <c r="L615" i="14"/>
  <c r="R615" i="14" s="1"/>
  <c r="L509" i="14"/>
  <c r="R509" i="14" s="1"/>
  <c r="L702" i="14"/>
  <c r="R702" i="14" s="1"/>
  <c r="L716" i="14"/>
  <c r="R716" i="14" s="1"/>
  <c r="L626" i="14"/>
  <c r="R626" i="14" s="1"/>
  <c r="L552" i="14"/>
  <c r="R552" i="14" s="1"/>
  <c r="L534" i="14"/>
  <c r="R534" i="14" s="1"/>
  <c r="L516" i="14"/>
  <c r="R516" i="14" s="1"/>
  <c r="L717" i="14"/>
  <c r="R717" i="14" s="1"/>
  <c r="L699" i="14"/>
  <c r="R699" i="14" s="1"/>
  <c r="L649" i="14"/>
  <c r="R649" i="14" s="1"/>
  <c r="L655" i="14"/>
  <c r="R655" i="14" s="1"/>
  <c r="L645" i="14"/>
  <c r="R645" i="14" s="1"/>
  <c r="L691" i="14"/>
  <c r="R691" i="14" s="1"/>
  <c r="L737" i="14"/>
  <c r="R737" i="14" s="1"/>
  <c r="L711" i="14"/>
  <c r="R711" i="14" s="1"/>
  <c r="L733" i="14"/>
  <c r="R733" i="14" s="1"/>
  <c r="L683" i="14"/>
  <c r="R683" i="14" s="1"/>
  <c r="L697" i="14"/>
  <c r="R697" i="14" s="1"/>
  <c r="L735" i="14"/>
  <c r="R735" i="14" s="1"/>
  <c r="L661" i="14"/>
  <c r="R661" i="14" s="1"/>
  <c r="L643" i="14"/>
  <c r="R643" i="14" s="1"/>
  <c r="L625" i="14"/>
  <c r="R625" i="14" s="1"/>
  <c r="L599" i="14"/>
  <c r="R599" i="14" s="1"/>
  <c r="L557" i="14"/>
  <c r="R557" i="14" s="1"/>
  <c r="L539" i="14"/>
  <c r="R539" i="14" s="1"/>
  <c r="L732" i="14"/>
  <c r="R732" i="14" s="1"/>
  <c r="L610" i="14"/>
  <c r="R610" i="14" s="1"/>
  <c r="L600" i="14"/>
  <c r="R600" i="14" s="1"/>
  <c r="L518" i="14"/>
  <c r="R518" i="14" s="1"/>
  <c r="L564" i="14"/>
  <c r="R564" i="14" s="1"/>
  <c r="L538" i="14"/>
  <c r="R538" i="14" s="1"/>
  <c r="L560" i="14"/>
  <c r="R560" i="14" s="1"/>
  <c r="L510" i="14"/>
  <c r="R510" i="14" s="1"/>
  <c r="L524" i="14"/>
  <c r="R524" i="14" s="1"/>
  <c r="L562" i="14"/>
  <c r="R562" i="14" s="1"/>
  <c r="L739" i="14"/>
  <c r="R739" i="14" s="1"/>
  <c r="L721" i="14"/>
  <c r="R721" i="14" s="1"/>
  <c r="L695" i="14"/>
  <c r="R695" i="14" s="1"/>
  <c r="L653" i="14"/>
  <c r="R653" i="14" s="1"/>
  <c r="L635" i="14"/>
  <c r="R635" i="14" s="1"/>
  <c r="L585" i="14"/>
  <c r="R585" i="14" s="1"/>
  <c r="L591" i="14"/>
  <c r="R591" i="14" s="1"/>
  <c r="L581" i="14"/>
  <c r="R581" i="14" s="1"/>
  <c r="L742" i="14"/>
  <c r="R742" i="14" s="1"/>
  <c r="L660" i="14"/>
  <c r="R660" i="14" s="1"/>
  <c r="L634" i="14"/>
  <c r="R634" i="14" s="1"/>
  <c r="L656" i="14"/>
  <c r="R656" i="14" s="1"/>
  <c r="L606" i="14"/>
  <c r="R606" i="14" s="1"/>
  <c r="L671" i="14"/>
  <c r="R671" i="14" s="1"/>
  <c r="L725" i="14"/>
  <c r="R725" i="14" s="1"/>
  <c r="L707" i="14"/>
  <c r="R707" i="14" s="1"/>
  <c r="L689" i="14"/>
  <c r="R689" i="14" s="1"/>
  <c r="L663" i="14"/>
  <c r="R663" i="14" s="1"/>
  <c r="L621" i="14"/>
  <c r="R621" i="14" s="1"/>
  <c r="L603" i="14"/>
  <c r="R603" i="14" s="1"/>
  <c r="L553" i="14"/>
  <c r="R553" i="14" s="1"/>
  <c r="L559" i="14"/>
  <c r="R559" i="14" s="1"/>
  <c r="L549" i="14"/>
  <c r="R549" i="14" s="1"/>
  <c r="L595" i="14"/>
  <c r="R595" i="14" s="1"/>
  <c r="L513" i="14"/>
  <c r="R513" i="14" s="1"/>
  <c r="L730" i="14"/>
  <c r="R730" i="14" s="1"/>
  <c r="L624" i="14"/>
  <c r="R624" i="14" s="1"/>
  <c r="L574" i="14"/>
  <c r="R574" i="14" s="1"/>
  <c r="L588" i="14"/>
  <c r="R588" i="14" s="1"/>
  <c r="L693" i="14"/>
  <c r="R693" i="14" s="1"/>
  <c r="L675" i="14"/>
  <c r="R675" i="14" s="1"/>
  <c r="L657" i="14"/>
  <c r="R657" i="14" s="1"/>
  <c r="L631" i="14"/>
  <c r="R631" i="14" s="1"/>
  <c r="L589" i="14"/>
  <c r="R589" i="14" s="1"/>
  <c r="L571" i="14"/>
  <c r="R571" i="14" s="1"/>
  <c r="L521" i="14"/>
  <c r="R521" i="14" s="1"/>
  <c r="L527" i="14"/>
  <c r="R527" i="14" s="1"/>
  <c r="L517" i="14"/>
  <c r="R517" i="14" s="1"/>
  <c r="L563" i="14"/>
  <c r="R563" i="14" s="1"/>
  <c r="L609" i="14"/>
  <c r="R609" i="14" s="1"/>
  <c r="L583" i="14"/>
  <c r="R583" i="14" s="1"/>
  <c r="L605" i="14"/>
  <c r="R605" i="14" s="1"/>
  <c r="L555" i="14"/>
  <c r="R555" i="14" s="1"/>
  <c r="L569" i="14"/>
  <c r="R569" i="14" s="1"/>
  <c r="L607" i="14"/>
  <c r="R607" i="14" s="1"/>
  <c r="L533" i="14"/>
  <c r="R533" i="14" s="1"/>
  <c r="L515" i="14"/>
  <c r="R515" i="14" s="1"/>
  <c r="L740" i="14"/>
  <c r="R740" i="14" s="1"/>
  <c r="L714" i="14"/>
  <c r="R714" i="14" s="1"/>
  <c r="L672" i="14"/>
  <c r="R672" i="14" s="1"/>
  <c r="L654" i="14"/>
  <c r="R654" i="14" s="1"/>
  <c r="L604" i="14"/>
  <c r="R604" i="14" s="1"/>
  <c r="L741" i="14"/>
  <c r="R741" i="14" s="1"/>
  <c r="L659" i="14"/>
  <c r="R659" i="14" s="1"/>
  <c r="L705" i="14"/>
  <c r="R705" i="14" s="1"/>
  <c r="L679" i="14"/>
  <c r="R679" i="14" s="1"/>
  <c r="L701" i="14"/>
  <c r="R701" i="14" s="1"/>
  <c r="L651" i="14"/>
  <c r="R651" i="14" s="1"/>
  <c r="L665" i="14"/>
  <c r="R665" i="14" s="1"/>
  <c r="L703" i="14"/>
  <c r="R703" i="14" s="1"/>
  <c r="L629" i="14"/>
  <c r="R629" i="14" s="1"/>
  <c r="L611" i="14"/>
  <c r="R611" i="14" s="1"/>
  <c r="L593" i="14"/>
  <c r="R593" i="14" s="1"/>
  <c r="L567" i="14"/>
  <c r="R567" i="14" s="1"/>
  <c r="L525" i="14"/>
  <c r="R525" i="14" s="1"/>
  <c r="L507" i="14"/>
  <c r="R507" i="14" s="1"/>
  <c r="L700" i="14"/>
  <c r="R700" i="14" s="1"/>
  <c r="L706" i="14"/>
  <c r="R706" i="14" s="1"/>
  <c r="L696" i="14"/>
  <c r="R696" i="14" s="1"/>
  <c r="L614" i="14"/>
  <c r="R614" i="14" s="1"/>
  <c r="L532" i="14"/>
  <c r="R532" i="14" s="1"/>
  <c r="L506" i="14"/>
  <c r="R506" i="14" s="1"/>
  <c r="L528" i="14"/>
  <c r="R528" i="14" s="1"/>
  <c r="L633" i="14"/>
  <c r="R633" i="14" s="1"/>
  <c r="L543" i="14"/>
  <c r="R543" i="14" s="1"/>
  <c r="L597" i="14"/>
  <c r="R597" i="14" s="1"/>
  <c r="L579" i="14"/>
  <c r="R579" i="14" s="1"/>
  <c r="L561" i="14"/>
  <c r="R561" i="14" s="1"/>
  <c r="L535" i="14"/>
  <c r="R535" i="14" s="1"/>
  <c r="L736" i="14"/>
  <c r="R736" i="14" s="1"/>
  <c r="L718" i="14"/>
  <c r="R718" i="14" s="1"/>
  <c r="L668" i="14"/>
  <c r="R668" i="14" s="1"/>
  <c r="L674" i="14"/>
  <c r="R674" i="14" s="1"/>
  <c r="L664" i="14"/>
  <c r="R664" i="14" s="1"/>
  <c r="L710" i="14"/>
  <c r="R710" i="14" s="1"/>
  <c r="L628" i="14"/>
  <c r="R628" i="14" s="1"/>
  <c r="L602" i="14"/>
  <c r="R602" i="14" s="1"/>
  <c r="L715" i="14"/>
  <c r="R715" i="14" s="1"/>
  <c r="L729" i="14"/>
  <c r="R729" i="14" s="1"/>
  <c r="L639" i="14"/>
  <c r="R639" i="14" s="1"/>
  <c r="L565" i="14"/>
  <c r="R565" i="14" s="1"/>
  <c r="L547" i="14"/>
  <c r="R547" i="14" s="1"/>
  <c r="L529" i="14"/>
  <c r="R529" i="14" s="1"/>
  <c r="L503" i="14"/>
  <c r="R503" i="14" s="1"/>
  <c r="L704" i="14"/>
  <c r="R704" i="14" s="1"/>
  <c r="L686" i="14"/>
  <c r="R686" i="14" s="1"/>
  <c r="L636" i="14"/>
  <c r="R636" i="14" s="1"/>
  <c r="L642" i="14"/>
  <c r="R642" i="14" s="1"/>
  <c r="L632" i="14"/>
  <c r="R632" i="14" s="1"/>
  <c r="L678" i="14"/>
  <c r="R678" i="14" s="1"/>
  <c r="L724" i="14"/>
  <c r="R724" i="14" s="1"/>
  <c r="L698" i="14"/>
  <c r="R698" i="14" s="1"/>
  <c r="L720" i="14"/>
  <c r="R720" i="14" s="1"/>
  <c r="L670" i="14"/>
  <c r="R670" i="14" s="1"/>
  <c r="L684" i="14"/>
  <c r="R684" i="14" s="1"/>
  <c r="L722" i="14"/>
  <c r="R722" i="14" s="1"/>
  <c r="L648" i="14"/>
  <c r="R648" i="14" s="1"/>
  <c r="L630" i="14"/>
  <c r="R630" i="14" s="1"/>
  <c r="L612" i="14"/>
  <c r="R612" i="14" s="1"/>
  <c r="L586" i="14"/>
  <c r="R586" i="14" s="1"/>
  <c r="L544" i="14"/>
  <c r="R544" i="14" s="1"/>
  <c r="L526" i="14"/>
  <c r="R526" i="14" s="1"/>
  <c r="L623" i="14"/>
  <c r="R623" i="14" s="1"/>
  <c r="L613" i="14"/>
  <c r="R613" i="14" s="1"/>
  <c r="L531" i="14"/>
  <c r="R531" i="14" s="1"/>
  <c r="L577" i="14"/>
  <c r="R577" i="14" s="1"/>
  <c r="L551" i="14"/>
  <c r="R551" i="14" s="1"/>
  <c r="L573" i="14"/>
  <c r="R573" i="14" s="1"/>
  <c r="L523" i="14"/>
  <c r="R523" i="14" s="1"/>
  <c r="L537" i="14"/>
  <c r="R537" i="14" s="1"/>
  <c r="L575" i="14"/>
  <c r="R575" i="14" s="1"/>
  <c r="L501" i="14"/>
  <c r="R501" i="14" s="1"/>
  <c r="L726" i="14"/>
  <c r="R726" i="14" s="1"/>
  <c r="F547" i="14"/>
  <c r="F525" i="14"/>
  <c r="N642" i="14"/>
  <c r="T642" i="14" s="1"/>
  <c r="N640" i="14"/>
  <c r="T640" i="14" s="1"/>
  <c r="N502" i="14"/>
  <c r="T502" i="14" s="1"/>
  <c r="N663" i="14"/>
  <c r="T663" i="14" s="1"/>
  <c r="N621" i="14"/>
  <c r="T621" i="14" s="1"/>
  <c r="N523" i="14"/>
  <c r="T523" i="14" s="1"/>
  <c r="N577" i="14"/>
  <c r="T577" i="14" s="1"/>
  <c r="N527" i="14"/>
  <c r="T527" i="14" s="1"/>
  <c r="N581" i="14"/>
  <c r="T581" i="14" s="1"/>
  <c r="N515" i="14"/>
  <c r="T515" i="14" s="1"/>
  <c r="N601" i="14"/>
  <c r="T601" i="14" s="1"/>
  <c r="N551" i="14"/>
  <c r="T551" i="14" s="1"/>
  <c r="N509" i="14"/>
  <c r="T509" i="14" s="1"/>
  <c r="N734" i="14"/>
  <c r="T734" i="14" s="1"/>
  <c r="N652" i="14"/>
  <c r="T652" i="14" s="1"/>
  <c r="N738" i="14"/>
  <c r="T738" i="14" s="1"/>
  <c r="N736" i="14"/>
  <c r="T736" i="14" s="1"/>
  <c r="N726" i="14"/>
  <c r="T726" i="14" s="1"/>
  <c r="N644" i="14"/>
  <c r="T644" i="14" s="1"/>
  <c r="N730" i="14"/>
  <c r="T730" i="14" s="1"/>
  <c r="N632" i="14"/>
  <c r="T632" i="14" s="1"/>
  <c r="N558" i="14"/>
  <c r="T558" i="14" s="1"/>
  <c r="N508" i="14"/>
  <c r="T508" i="14" s="1"/>
  <c r="N677" i="14"/>
  <c r="T677" i="14" s="1"/>
  <c r="N611" i="14"/>
  <c r="T611" i="14" s="1"/>
  <c r="N569" i="14"/>
  <c r="T569" i="14" s="1"/>
  <c r="N519" i="14"/>
  <c r="T519" i="14" s="1"/>
  <c r="N712" i="14"/>
  <c r="T712" i="14" s="1"/>
  <c r="N702" i="14"/>
  <c r="T702" i="14" s="1"/>
  <c r="N620" i="14"/>
  <c r="T620" i="14" s="1"/>
  <c r="N578" i="14"/>
  <c r="T578" i="14" s="1"/>
  <c r="N576" i="14"/>
  <c r="T576" i="14" s="1"/>
  <c r="N566" i="14"/>
  <c r="T566" i="14" s="1"/>
  <c r="N612" i="14"/>
  <c r="T612" i="14" s="1"/>
  <c r="N570" i="14"/>
  <c r="T570" i="14" s="1"/>
  <c r="N600" i="14"/>
  <c r="T600" i="14" s="1"/>
  <c r="N526" i="14"/>
  <c r="T526" i="14" s="1"/>
  <c r="N604" i="14"/>
  <c r="T604" i="14" s="1"/>
  <c r="N530" i="14"/>
  <c r="T530" i="14" s="1"/>
  <c r="N592" i="14"/>
  <c r="T592" i="14" s="1"/>
  <c r="N550" i="14"/>
  <c r="T550" i="14" s="1"/>
  <c r="N743" i="14"/>
  <c r="T743" i="14" s="1"/>
  <c r="N701" i="14"/>
  <c r="T701" i="14" s="1"/>
  <c r="N667" i="14"/>
  <c r="T667" i="14" s="1"/>
  <c r="N657" i="14"/>
  <c r="T657" i="14" s="1"/>
  <c r="N703" i="14"/>
  <c r="T703" i="14" s="1"/>
  <c r="N661" i="14"/>
  <c r="T661" i="14" s="1"/>
  <c r="N659" i="14"/>
  <c r="T659" i="14" s="1"/>
  <c r="N649" i="14"/>
  <c r="T649" i="14" s="1"/>
  <c r="N695" i="14"/>
  <c r="T695" i="14" s="1"/>
  <c r="N538" i="14"/>
  <c r="T538" i="14" s="1"/>
  <c r="N568" i="14"/>
  <c r="T568" i="14" s="1"/>
  <c r="N737" i="14"/>
  <c r="T737" i="14" s="1"/>
  <c r="N687" i="14"/>
  <c r="T687" i="14" s="1"/>
  <c r="N613" i="14"/>
  <c r="T613" i="14" s="1"/>
  <c r="N547" i="14"/>
  <c r="T547" i="14" s="1"/>
  <c r="N505" i="14"/>
  <c r="T505" i="14" s="1"/>
  <c r="N583" i="14"/>
  <c r="T583" i="14" s="1"/>
  <c r="N541" i="14"/>
  <c r="T541" i="14" s="1"/>
  <c r="N507" i="14"/>
  <c r="T507" i="14" s="1"/>
  <c r="N684" i="14"/>
  <c r="T684" i="14" s="1"/>
  <c r="N514" i="14"/>
  <c r="T514" i="14" s="1"/>
  <c r="N512" i="14"/>
  <c r="T512" i="14" s="1"/>
  <c r="N617" i="14"/>
  <c r="T617" i="14" s="1"/>
  <c r="N535" i="14"/>
  <c r="T535" i="14" s="1"/>
  <c r="N664" i="14"/>
  <c r="T664" i="14" s="1"/>
  <c r="N718" i="14"/>
  <c r="T718" i="14" s="1"/>
  <c r="N668" i="14"/>
  <c r="T668" i="14" s="1"/>
  <c r="N722" i="14"/>
  <c r="T722" i="14" s="1"/>
  <c r="N656" i="14"/>
  <c r="T656" i="14" s="1"/>
  <c r="N742" i="14"/>
  <c r="T742" i="14" s="1"/>
  <c r="N692" i="14"/>
  <c r="T692" i="14" s="1"/>
  <c r="N650" i="14"/>
  <c r="T650" i="14" s="1"/>
  <c r="N616" i="14"/>
  <c r="T616" i="14" s="1"/>
  <c r="N606" i="14"/>
  <c r="T606" i="14" s="1"/>
  <c r="N524" i="14"/>
  <c r="T524" i="14" s="1"/>
  <c r="N610" i="14"/>
  <c r="T610" i="14" s="1"/>
  <c r="N608" i="14"/>
  <c r="T608" i="14" s="1"/>
  <c r="N598" i="14"/>
  <c r="T598" i="14" s="1"/>
  <c r="N516" i="14"/>
  <c r="T516" i="14" s="1"/>
  <c r="N602" i="14"/>
  <c r="T602" i="14" s="1"/>
  <c r="N504" i="14"/>
  <c r="T504" i="14" s="1"/>
  <c r="N673" i="14"/>
  <c r="T673" i="14" s="1"/>
  <c r="N623" i="14"/>
  <c r="T623" i="14" s="1"/>
  <c r="N549" i="14"/>
  <c r="T549" i="14" s="1"/>
  <c r="N710" i="14"/>
  <c r="T710" i="14" s="1"/>
  <c r="N660" i="14"/>
  <c r="T660" i="14" s="1"/>
  <c r="N618" i="14"/>
  <c r="T618" i="14" s="1"/>
  <c r="N584" i="14"/>
  <c r="T584" i="14" s="1"/>
  <c r="N574" i="14"/>
  <c r="T574" i="14" s="1"/>
  <c r="N735" i="14"/>
  <c r="T735" i="14" s="1"/>
  <c r="N693" i="14"/>
  <c r="T693" i="14" s="1"/>
  <c r="N691" i="14"/>
  <c r="T691" i="14" s="1"/>
  <c r="N681" i="14"/>
  <c r="T681" i="14" s="1"/>
  <c r="N727" i="14"/>
  <c r="T727" i="14" s="1"/>
  <c r="N685" i="14"/>
  <c r="T685" i="14" s="1"/>
  <c r="N715" i="14"/>
  <c r="T715" i="14" s="1"/>
  <c r="N641" i="14"/>
  <c r="T641" i="14" s="1"/>
  <c r="N719" i="14"/>
  <c r="T719" i="14" s="1"/>
  <c r="N645" i="14"/>
  <c r="T645" i="14" s="1"/>
  <c r="N707" i="14"/>
  <c r="T707" i="14" s="1"/>
  <c r="N665" i="14"/>
  <c r="T665" i="14" s="1"/>
  <c r="N615" i="14"/>
  <c r="T615" i="14" s="1"/>
  <c r="N573" i="14"/>
  <c r="T573" i="14" s="1"/>
  <c r="N539" i="14"/>
  <c r="T539" i="14" s="1"/>
  <c r="N529" i="14"/>
  <c r="T529" i="14" s="1"/>
  <c r="N575" i="14"/>
  <c r="T575" i="14" s="1"/>
  <c r="N533" i="14"/>
  <c r="T533" i="14" s="1"/>
  <c r="N531" i="14"/>
  <c r="T531" i="14" s="1"/>
  <c r="N521" i="14"/>
  <c r="T521" i="14" s="1"/>
  <c r="N567" i="14"/>
  <c r="T567" i="14" s="1"/>
  <c r="N653" i="14"/>
  <c r="T653" i="14" s="1"/>
  <c r="N683" i="14"/>
  <c r="T683" i="14" s="1"/>
  <c r="N609" i="14"/>
  <c r="T609" i="14" s="1"/>
  <c r="N559" i="14"/>
  <c r="T559" i="14" s="1"/>
  <c r="N688" i="14"/>
  <c r="T688" i="14" s="1"/>
  <c r="N646" i="14"/>
  <c r="T646" i="14" s="1"/>
  <c r="N724" i="14"/>
  <c r="T724" i="14" s="1"/>
  <c r="N682" i="14"/>
  <c r="T682" i="14" s="1"/>
  <c r="N648" i="14"/>
  <c r="T648" i="14" s="1"/>
  <c r="N638" i="14"/>
  <c r="T638" i="14" s="1"/>
  <c r="N556" i="14"/>
  <c r="T556" i="14" s="1"/>
  <c r="N629" i="14"/>
  <c r="T629" i="14" s="1"/>
  <c r="N627" i="14"/>
  <c r="T627" i="14" s="1"/>
  <c r="N676" i="14"/>
  <c r="T676" i="14" s="1"/>
  <c r="N634" i="14"/>
  <c r="T634" i="14" s="1"/>
  <c r="N536" i="14"/>
  <c r="T536" i="14" s="1"/>
  <c r="N590" i="14"/>
  <c r="T590" i="14" s="1"/>
  <c r="N540" i="14"/>
  <c r="T540" i="14" s="1"/>
  <c r="N594" i="14"/>
  <c r="T594" i="14" s="1"/>
  <c r="N528" i="14"/>
  <c r="T528" i="14" s="1"/>
  <c r="N614" i="14"/>
  <c r="T614" i="14" s="1"/>
  <c r="N564" i="14"/>
  <c r="T564" i="14" s="1"/>
  <c r="N522" i="14"/>
  <c r="T522" i="14" s="1"/>
  <c r="N731" i="14"/>
  <c r="T731" i="14" s="1"/>
  <c r="N721" i="14"/>
  <c r="T721" i="14" s="1"/>
  <c r="N639" i="14"/>
  <c r="T639" i="14" s="1"/>
  <c r="N725" i="14"/>
  <c r="T725" i="14" s="1"/>
  <c r="N723" i="14"/>
  <c r="T723" i="14" s="1"/>
  <c r="N713" i="14"/>
  <c r="T713" i="14" s="1"/>
  <c r="N631" i="14"/>
  <c r="T631" i="14" s="1"/>
  <c r="N717" i="14"/>
  <c r="T717" i="14" s="1"/>
  <c r="N619" i="14"/>
  <c r="T619" i="14" s="1"/>
  <c r="N545" i="14"/>
  <c r="T545" i="14" s="1"/>
  <c r="N690" i="14"/>
  <c r="T690" i="14" s="1"/>
  <c r="N624" i="14"/>
  <c r="T624" i="14" s="1"/>
  <c r="N582" i="14"/>
  <c r="T582" i="14" s="1"/>
  <c r="N532" i="14"/>
  <c r="T532" i="14" s="1"/>
  <c r="N733" i="14"/>
  <c r="T733" i="14" s="1"/>
  <c r="N699" i="14"/>
  <c r="T699" i="14" s="1"/>
  <c r="N689" i="14"/>
  <c r="T689" i="14" s="1"/>
  <c r="N607" i="14"/>
  <c r="T607" i="14" s="1"/>
  <c r="N565" i="14"/>
  <c r="T565" i="14" s="1"/>
  <c r="N563" i="14"/>
  <c r="T563" i="14" s="1"/>
  <c r="N553" i="14"/>
  <c r="T553" i="14" s="1"/>
  <c r="N599" i="14"/>
  <c r="T599" i="14" s="1"/>
  <c r="N557" i="14"/>
  <c r="T557" i="14" s="1"/>
  <c r="N587" i="14"/>
  <c r="T587" i="14" s="1"/>
  <c r="N513" i="14"/>
  <c r="T513" i="14" s="1"/>
  <c r="N591" i="14"/>
  <c r="T591" i="14" s="1"/>
  <c r="N517" i="14"/>
  <c r="T517" i="14" s="1"/>
  <c r="N579" i="14"/>
  <c r="T579" i="14" s="1"/>
  <c r="N537" i="14"/>
  <c r="T537" i="14" s="1"/>
  <c r="N714" i="14"/>
  <c r="T714" i="14" s="1"/>
  <c r="N680" i="14"/>
  <c r="T680" i="14" s="1"/>
  <c r="N670" i="14"/>
  <c r="T670" i="14" s="1"/>
  <c r="N716" i="14"/>
  <c r="T716" i="14" s="1"/>
  <c r="N674" i="14"/>
  <c r="T674" i="14" s="1"/>
  <c r="N672" i="14"/>
  <c r="T672" i="14" s="1"/>
  <c r="N662" i="14"/>
  <c r="T662" i="14" s="1"/>
  <c r="N708" i="14"/>
  <c r="T708" i="14" s="1"/>
  <c r="N525" i="14"/>
  <c r="T525" i="14" s="1"/>
  <c r="N555" i="14"/>
  <c r="T555" i="14" s="1"/>
  <c r="N700" i="14"/>
  <c r="T700" i="14" s="1"/>
  <c r="N626" i="14"/>
  <c r="T626" i="14" s="1"/>
  <c r="N560" i="14"/>
  <c r="T560" i="14" s="1"/>
  <c r="N518" i="14"/>
  <c r="T518" i="14" s="1"/>
  <c r="N596" i="14"/>
  <c r="T596" i="14" s="1"/>
  <c r="N554" i="14"/>
  <c r="T554" i="14" s="1"/>
  <c r="N520" i="14"/>
  <c r="T520" i="14" s="1"/>
  <c r="N510" i="14"/>
  <c r="T510" i="14" s="1"/>
  <c r="N671" i="14"/>
  <c r="T671" i="14" s="1"/>
  <c r="N501" i="14"/>
  <c r="T501" i="14" s="1"/>
  <c r="N630" i="14"/>
  <c r="T630" i="14" s="1"/>
  <c r="N548" i="14"/>
  <c r="T548" i="14" s="1"/>
  <c r="N506" i="14"/>
  <c r="T506" i="14" s="1"/>
  <c r="N651" i="14"/>
  <c r="T651" i="14" s="1"/>
  <c r="N705" i="14"/>
  <c r="T705" i="14" s="1"/>
  <c r="N655" i="14"/>
  <c r="T655" i="14" s="1"/>
  <c r="N709" i="14"/>
  <c r="T709" i="14" s="1"/>
  <c r="N643" i="14"/>
  <c r="T643" i="14" s="1"/>
  <c r="N729" i="14"/>
  <c r="T729" i="14" s="1"/>
  <c r="N679" i="14"/>
  <c r="T679" i="14" s="1"/>
  <c r="N637" i="14"/>
  <c r="T637" i="14" s="1"/>
  <c r="N603" i="14"/>
  <c r="T603" i="14" s="1"/>
  <c r="N593" i="14"/>
  <c r="T593" i="14" s="1"/>
  <c r="N511" i="14"/>
  <c r="T511" i="14" s="1"/>
  <c r="N597" i="14"/>
  <c r="T597" i="14" s="1"/>
  <c r="N595" i="14"/>
  <c r="T595" i="14" s="1"/>
  <c r="N585" i="14"/>
  <c r="T585" i="14" s="1"/>
  <c r="N503" i="14"/>
  <c r="T503" i="14" s="1"/>
  <c r="N589" i="14"/>
  <c r="T589" i="14" s="1"/>
  <c r="N686" i="14"/>
  <c r="T686" i="14" s="1"/>
  <c r="N636" i="14"/>
  <c r="T636" i="14" s="1"/>
  <c r="N562" i="14"/>
  <c r="T562" i="14" s="1"/>
  <c r="N739" i="14"/>
  <c r="T739" i="14" s="1"/>
  <c r="N697" i="14"/>
  <c r="T697" i="14" s="1"/>
  <c r="N647" i="14"/>
  <c r="T647" i="14" s="1"/>
  <c r="N605" i="14"/>
  <c r="T605" i="14" s="1"/>
  <c r="N571" i="14"/>
  <c r="T571" i="14" s="1"/>
  <c r="N561" i="14"/>
  <c r="T561" i="14" s="1"/>
  <c r="N706" i="14"/>
  <c r="T706" i="14" s="1"/>
  <c r="N704" i="14"/>
  <c r="T704" i="14" s="1"/>
  <c r="N694" i="14"/>
  <c r="T694" i="14" s="1"/>
  <c r="N740" i="14"/>
  <c r="T740" i="14" s="1"/>
  <c r="N698" i="14"/>
  <c r="T698" i="14" s="1"/>
  <c r="N728" i="14"/>
  <c r="T728" i="14" s="1"/>
  <c r="N654" i="14"/>
  <c r="T654" i="14" s="1"/>
  <c r="N732" i="14"/>
  <c r="T732" i="14" s="1"/>
  <c r="N658" i="14"/>
  <c r="T658" i="14" s="1"/>
  <c r="N720" i="14"/>
  <c r="T720" i="14" s="1"/>
  <c r="N678" i="14"/>
  <c r="T678" i="14" s="1"/>
  <c r="N628" i="14"/>
  <c r="T628" i="14" s="1"/>
  <c r="N586" i="14"/>
  <c r="T586" i="14" s="1"/>
  <c r="N552" i="14"/>
  <c r="T552" i="14" s="1"/>
  <c r="N542" i="14"/>
  <c r="T542" i="14" s="1"/>
  <c r="N588" i="14"/>
  <c r="T588" i="14" s="1"/>
  <c r="N546" i="14"/>
  <c r="T546" i="14" s="1"/>
  <c r="N544" i="14"/>
  <c r="T544" i="14" s="1"/>
  <c r="N534" i="14"/>
  <c r="T534" i="14" s="1"/>
  <c r="N580" i="14"/>
  <c r="T580" i="14" s="1"/>
  <c r="N666" i="14"/>
  <c r="T666" i="14" s="1"/>
  <c r="N696" i="14"/>
  <c r="T696" i="14" s="1"/>
  <c r="N622" i="14"/>
  <c r="T622" i="14" s="1"/>
  <c r="N572" i="14"/>
  <c r="T572" i="14" s="1"/>
  <c r="N741" i="14"/>
  <c r="T741" i="14" s="1"/>
  <c r="N675" i="14"/>
  <c r="T675" i="14" s="1"/>
  <c r="N633" i="14"/>
  <c r="T633" i="14" s="1"/>
  <c r="N711" i="14"/>
  <c r="T711" i="14" s="1"/>
  <c r="N669" i="14"/>
  <c r="T669" i="14" s="1"/>
  <c r="N635" i="14"/>
  <c r="T635" i="14" s="1"/>
  <c r="N625" i="14"/>
  <c r="T625" i="14" s="1"/>
  <c r="N543" i="14"/>
  <c r="T543" i="14" s="1"/>
  <c r="H658" i="14"/>
  <c r="H581" i="14"/>
  <c r="L135" i="10"/>
  <c r="U134" i="10"/>
  <c r="V133" i="10"/>
  <c r="M134" i="10"/>
  <c r="E553" i="14" l="1"/>
  <c r="I635" i="14"/>
  <c r="I528" i="14"/>
  <c r="I670" i="14"/>
  <c r="I742" i="14"/>
  <c r="I599" i="14"/>
  <c r="I681" i="14"/>
  <c r="I607" i="14"/>
  <c r="I558" i="14"/>
  <c r="I522" i="14"/>
  <c r="I577" i="14"/>
  <c r="H716" i="14"/>
  <c r="E730" i="14"/>
  <c r="I632" i="14"/>
  <c r="I704" i="14"/>
  <c r="G513" i="14"/>
  <c r="E737" i="14"/>
  <c r="I552" i="14"/>
  <c r="H740" i="14"/>
  <c r="E703" i="14"/>
  <c r="E596" i="14"/>
  <c r="I663" i="14"/>
  <c r="I508" i="14"/>
  <c r="I604" i="14"/>
  <c r="I580" i="14"/>
  <c r="I561" i="14"/>
  <c r="I638" i="14"/>
  <c r="I724" i="14"/>
  <c r="I735" i="14"/>
  <c r="E710" i="14"/>
  <c r="I596" i="14"/>
  <c r="I532" i="14"/>
  <c r="I684" i="14"/>
  <c r="I623" i="14"/>
  <c r="I598" i="14"/>
  <c r="I665" i="14"/>
  <c r="I553" i="14"/>
  <c r="I679" i="14"/>
  <c r="I559" i="14"/>
  <c r="I581" i="14"/>
  <c r="F581" i="14"/>
  <c r="I583" i="14"/>
  <c r="I639" i="14"/>
  <c r="I725" i="14"/>
  <c r="I546" i="14"/>
  <c r="I693" i="14"/>
  <c r="E607" i="14"/>
  <c r="I696" i="14"/>
  <c r="I717" i="14"/>
  <c r="I631" i="14"/>
  <c r="I624" i="14"/>
  <c r="I567" i="14"/>
  <c r="G694" i="14"/>
  <c r="I730" i="14"/>
  <c r="I628" i="14"/>
  <c r="I703" i="14"/>
  <c r="H673" i="14"/>
  <c r="H536" i="14"/>
  <c r="F716" i="14"/>
  <c r="H742" i="14"/>
  <c r="H601" i="14"/>
  <c r="F711" i="14"/>
  <c r="H575" i="14"/>
  <c r="H619" i="14"/>
  <c r="F566" i="14"/>
  <c r="G642" i="14"/>
  <c r="E509" i="14"/>
  <c r="E720" i="14"/>
  <c r="I652" i="14"/>
  <c r="I601" i="14"/>
  <c r="I726" i="14"/>
  <c r="I589" i="14"/>
  <c r="I509" i="14"/>
  <c r="I569" i="14"/>
  <c r="I686" i="14"/>
  <c r="I740" i="14"/>
  <c r="G579" i="14"/>
  <c r="E649" i="14"/>
  <c r="E657" i="14"/>
  <c r="I609" i="14"/>
  <c r="I743" i="14"/>
  <c r="I564" i="14"/>
  <c r="I680" i="14"/>
  <c r="I540" i="14"/>
  <c r="I641" i="14"/>
  <c r="F582" i="14"/>
  <c r="G699" i="14"/>
  <c r="G666" i="14"/>
  <c r="G514" i="14"/>
  <c r="G656" i="14"/>
  <c r="G716" i="14"/>
  <c r="G675" i="14"/>
  <c r="G535" i="14"/>
  <c r="H550" i="14"/>
  <c r="G691" i="14"/>
  <c r="G662" i="14"/>
  <c r="G743" i="14"/>
  <c r="G566" i="14"/>
  <c r="H616" i="14"/>
  <c r="G547" i="14"/>
  <c r="E617" i="14"/>
  <c r="G615" i="14"/>
  <c r="G731" i="14"/>
  <c r="E743" i="14"/>
  <c r="E655" i="14"/>
  <c r="I547" i="14"/>
  <c r="I649" i="14"/>
  <c r="I650" i="14"/>
  <c r="I606" i="14"/>
  <c r="F741" i="14"/>
  <c r="F590" i="14"/>
  <c r="F725" i="14"/>
  <c r="E679" i="14"/>
  <c r="I666" i="14"/>
  <c r="I734" i="14"/>
  <c r="I678" i="14"/>
  <c r="I563" i="14"/>
  <c r="H527" i="14"/>
  <c r="F555" i="14"/>
  <c r="I536" i="14"/>
  <c r="I622" i="14"/>
  <c r="I572" i="14"/>
  <c r="I566" i="14"/>
  <c r="I699" i="14"/>
  <c r="I516" i="14"/>
  <c r="I542" i="14"/>
  <c r="H647" i="14"/>
  <c r="F702" i="14"/>
  <c r="E627" i="14"/>
  <c r="I702" i="14"/>
  <c r="I610" i="14"/>
  <c r="I739" i="14"/>
  <c r="I721" i="14"/>
  <c r="I502" i="14"/>
  <c r="F546" i="14"/>
  <c r="G525" i="14"/>
  <c r="H511" i="14"/>
  <c r="H685" i="14"/>
  <c r="H505" i="14"/>
  <c r="F604" i="14"/>
  <c r="F742" i="14"/>
  <c r="E577" i="14"/>
  <c r="E524" i="14"/>
  <c r="I710" i="14"/>
  <c r="I588" i="14"/>
  <c r="I636" i="14"/>
  <c r="I689" i="14"/>
  <c r="I708" i="14"/>
  <c r="I514" i="14"/>
  <c r="I658" i="14"/>
  <c r="I732" i="14"/>
  <c r="H517" i="14"/>
  <c r="F664" i="14"/>
  <c r="F597" i="14"/>
  <c r="G559" i="14"/>
  <c r="E504" i="14"/>
  <c r="E683" i="14"/>
  <c r="E503" i="14"/>
  <c r="I630" i="14"/>
  <c r="I591" i="14"/>
  <c r="I698" i="14"/>
  <c r="I538" i="14"/>
  <c r="I586" i="14"/>
  <c r="I590" i="14"/>
  <c r="I705" i="14"/>
  <c r="F523" i="14"/>
  <c r="F543" i="14"/>
  <c r="F648" i="14"/>
  <c r="F726" i="14"/>
  <c r="F625" i="14"/>
  <c r="H743" i="14"/>
  <c r="F661" i="14"/>
  <c r="F615" i="14"/>
  <c r="F667" i="14"/>
  <c r="G710" i="14"/>
  <c r="E527" i="14"/>
  <c r="F729" i="14"/>
  <c r="F520" i="14"/>
  <c r="F528" i="14"/>
  <c r="F637" i="14"/>
  <c r="G531" i="14"/>
  <c r="G723" i="14"/>
  <c r="F606" i="14"/>
  <c r="F689" i="14"/>
  <c r="F680" i="14"/>
  <c r="G548" i="14"/>
  <c r="G608" i="14"/>
  <c r="G673" i="14"/>
  <c r="G707" i="14"/>
  <c r="H621" i="14"/>
  <c r="H611" i="14"/>
  <c r="H549" i="14"/>
  <c r="H503" i="14"/>
  <c r="H526" i="14"/>
  <c r="H605" i="14"/>
  <c r="F509" i="14"/>
  <c r="F672" i="14"/>
  <c r="G685" i="14"/>
  <c r="G678" i="14"/>
  <c r="E668" i="14"/>
  <c r="E664" i="14"/>
  <c r="E580" i="14"/>
  <c r="E588" i="14"/>
  <c r="H531" i="14"/>
  <c r="H680" i="14"/>
  <c r="G577" i="14"/>
  <c r="G507" i="14"/>
  <c r="E566" i="14"/>
  <c r="E659" i="14"/>
  <c r="E519" i="14"/>
  <c r="E538" i="14"/>
  <c r="H683" i="14"/>
  <c r="H646" i="14"/>
  <c r="H655" i="14"/>
  <c r="H675" i="14"/>
  <c r="H631" i="14"/>
  <c r="H510" i="14"/>
  <c r="H518" i="14"/>
  <c r="G735" i="14"/>
  <c r="G589" i="14"/>
  <c r="E511" i="14"/>
  <c r="E717" i="14"/>
  <c r="E543" i="14"/>
  <c r="E711" i="14"/>
  <c r="E583" i="14"/>
  <c r="H617" i="14"/>
  <c r="H585" i="14"/>
  <c r="H618" i="14"/>
  <c r="H730" i="14"/>
  <c r="F522" i="14"/>
  <c r="G565" i="14"/>
  <c r="G698" i="14"/>
  <c r="G709" i="14"/>
  <c r="G607" i="14"/>
  <c r="G721" i="14"/>
  <c r="G653" i="14"/>
  <c r="G604" i="14"/>
  <c r="G630" i="14"/>
  <c r="G639" i="14"/>
  <c r="G529" i="14"/>
  <c r="G527" i="14"/>
  <c r="G682" i="14"/>
  <c r="H533" i="14"/>
  <c r="H738" i="14"/>
  <c r="G632" i="14"/>
  <c r="G629" i="14"/>
  <c r="G659" i="14"/>
  <c r="G704" i="14"/>
  <c r="G624" i="14"/>
  <c r="G602" i="14"/>
  <c r="G585" i="14"/>
  <c r="G637" i="14"/>
  <c r="G576" i="14"/>
  <c r="G626" i="14"/>
  <c r="G593" i="14"/>
  <c r="E536" i="14"/>
  <c r="E568" i="14"/>
  <c r="E709" i="14"/>
  <c r="E728" i="14"/>
  <c r="I620" i="14"/>
  <c r="I603" i="14"/>
  <c r="I557" i="14"/>
  <c r="H645" i="14"/>
  <c r="H600" i="14"/>
  <c r="H614" i="14"/>
  <c r="H576" i="14"/>
  <c r="H663" i="14"/>
  <c r="G541" i="14"/>
  <c r="G724" i="14"/>
  <c r="G569" i="14"/>
  <c r="G618" i="14"/>
  <c r="G524" i="14"/>
  <c r="G574" i="14"/>
  <c r="G568" i="14"/>
  <c r="G590" i="14"/>
  <c r="G623" i="14"/>
  <c r="G646" i="14"/>
  <c r="G689" i="14"/>
  <c r="G740" i="14"/>
  <c r="G526" i="14"/>
  <c r="G598" i="14"/>
  <c r="H669" i="14"/>
  <c r="H695" i="14"/>
  <c r="H589" i="14"/>
  <c r="H620" i="14"/>
  <c r="F567" i="14"/>
  <c r="F679" i="14"/>
  <c r="F595" i="14"/>
  <c r="F688" i="14"/>
  <c r="F627" i="14"/>
  <c r="G539" i="14"/>
  <c r="G671" i="14"/>
  <c r="E523" i="14"/>
  <c r="E535" i="14"/>
  <c r="E678" i="14"/>
  <c r="E727" i="14"/>
  <c r="E611" i="14"/>
  <c r="E564" i="14"/>
  <c r="I672" i="14"/>
  <c r="I733" i="14"/>
  <c r="H665" i="14"/>
  <c r="H654" i="14"/>
  <c r="F656" i="14"/>
  <c r="F734" i="14"/>
  <c r="F599" i="14"/>
  <c r="F715" i="14"/>
  <c r="F685" i="14"/>
  <c r="F740" i="14"/>
  <c r="F516" i="14"/>
  <c r="F676" i="14"/>
  <c r="F505" i="14"/>
  <c r="F736" i="14"/>
  <c r="G501" i="14"/>
  <c r="G605" i="14"/>
  <c r="G664" i="14"/>
  <c r="G737" i="14"/>
  <c r="G612" i="14"/>
  <c r="E666" i="14"/>
  <c r="E628" i="14"/>
  <c r="E515" i="14"/>
  <c r="E599" i="14"/>
  <c r="E560" i="14"/>
  <c r="I608" i="14"/>
  <c r="I541" i="14"/>
  <c r="H574" i="14"/>
  <c r="H700" i="14"/>
  <c r="F678" i="14"/>
  <c r="F743" i="14"/>
  <c r="F673" i="14"/>
  <c r="F616" i="14"/>
  <c r="F735" i="14"/>
  <c r="E603" i="14"/>
  <c r="E721" i="14"/>
  <c r="E562" i="14"/>
  <c r="E605" i="14"/>
  <c r="H538" i="14"/>
  <c r="H501" i="14"/>
  <c r="H577" i="14"/>
  <c r="H731" i="14"/>
  <c r="H660" i="14"/>
  <c r="H508" i="14"/>
  <c r="H719" i="14"/>
  <c r="H552" i="14"/>
  <c r="H718" i="14"/>
  <c r="H567" i="14"/>
  <c r="H720" i="14"/>
  <c r="H562" i="14"/>
  <c r="V609" i="14"/>
  <c r="A609" i="14" s="1"/>
  <c r="F552" i="14"/>
  <c r="F558" i="14"/>
  <c r="F730" i="14"/>
  <c r="F510" i="14"/>
  <c r="G619" i="14"/>
  <c r="G727" i="14"/>
  <c r="G509" i="14"/>
  <c r="G719" i="14"/>
  <c r="G733" i="14"/>
  <c r="G674" i="14"/>
  <c r="G627" i="14"/>
  <c r="G534" i="14"/>
  <c r="E508" i="14"/>
  <c r="E692" i="14"/>
  <c r="E705" i="14"/>
  <c r="E585" i="14"/>
  <c r="E610" i="14"/>
  <c r="E625" i="14"/>
  <c r="E724" i="14"/>
  <c r="E584" i="14"/>
  <c r="E633" i="14"/>
  <c r="E630" i="14"/>
  <c r="E612" i="14"/>
  <c r="E661" i="14"/>
  <c r="E697" i="14"/>
  <c r="E672" i="14"/>
  <c r="E662" i="14"/>
  <c r="E637" i="14"/>
  <c r="E517" i="14"/>
  <c r="I711" i="14"/>
  <c r="I660" i="14"/>
  <c r="I728" i="14"/>
  <c r="I695" i="14"/>
  <c r="I643" i="14"/>
  <c r="H559" i="14"/>
  <c r="H541" i="14"/>
  <c r="F692" i="14"/>
  <c r="F683" i="14"/>
  <c r="G609" i="14"/>
  <c r="G633" i="14"/>
  <c r="G544" i="14"/>
  <c r="G684" i="14"/>
  <c r="G588" i="14"/>
  <c r="G681" i="14"/>
  <c r="G657" i="14"/>
  <c r="G571" i="14"/>
  <c r="G519" i="14"/>
  <c r="G536" i="14"/>
  <c r="E695" i="14"/>
  <c r="E575" i="14"/>
  <c r="E551" i="14"/>
  <c r="E675" i="14"/>
  <c r="E618" i="14"/>
  <c r="E734" i="14"/>
  <c r="E684" i="14"/>
  <c r="E624" i="14"/>
  <c r="E631" i="14"/>
  <c r="E676" i="14"/>
  <c r="E620" i="14"/>
  <c r="E600" i="14"/>
  <c r="E572" i="14"/>
  <c r="E501" i="14"/>
  <c r="E640" i="14"/>
  <c r="E702" i="14"/>
  <c r="E685" i="14"/>
  <c r="E731" i="14"/>
  <c r="E597" i="14"/>
  <c r="I723" i="14"/>
  <c r="I712" i="14"/>
  <c r="I613" i="14"/>
  <c r="I642" i="14"/>
  <c r="I667" i="14"/>
  <c r="I659" i="14"/>
  <c r="H615" i="14"/>
  <c r="H682" i="14"/>
  <c r="H502" i="14"/>
  <c r="H582" i="14"/>
  <c r="H513" i="14"/>
  <c r="H578" i="14"/>
  <c r="H626" i="14"/>
  <c r="H554" i="14"/>
  <c r="H512" i="14"/>
  <c r="H519" i="14"/>
  <c r="H723" i="14"/>
  <c r="H701" i="14"/>
  <c r="F682" i="14"/>
  <c r="F613" i="14"/>
  <c r="F526" i="14"/>
  <c r="G542" i="14"/>
  <c r="G617" i="14"/>
  <c r="G732" i="14"/>
  <c r="G562" i="14"/>
  <c r="G680" i="14"/>
  <c r="G563" i="14"/>
  <c r="G650" i="14"/>
  <c r="G648" i="14"/>
  <c r="G510" i="14"/>
  <c r="G558" i="14"/>
  <c r="E641" i="14"/>
  <c r="E592" i="14"/>
  <c r="E595" i="14"/>
  <c r="E532" i="14"/>
  <c r="E634" i="14"/>
  <c r="E677" i="14"/>
  <c r="E654" i="14"/>
  <c r="E736" i="14"/>
  <c r="E687" i="14"/>
  <c r="E667" i="14"/>
  <c r="I578" i="14"/>
  <c r="I555" i="14"/>
  <c r="I661" i="14"/>
  <c r="I683" i="14"/>
  <c r="I560" i="14"/>
  <c r="H678" i="14"/>
  <c r="H664" i="14"/>
  <c r="H609" i="14"/>
  <c r="H612" i="14"/>
  <c r="H523" i="14"/>
  <c r="H563" i="14"/>
  <c r="H681" i="14"/>
  <c r="H625" i="14"/>
  <c r="F598" i="14"/>
  <c r="F504" i="14"/>
  <c r="F579" i="14"/>
  <c r="F658" i="14"/>
  <c r="F592" i="14"/>
  <c r="F583" i="14"/>
  <c r="F713" i="14"/>
  <c r="F636" i="14"/>
  <c r="F710" i="14"/>
  <c r="F684" i="14"/>
  <c r="F623" i="14"/>
  <c r="F645" i="14"/>
  <c r="F646" i="14"/>
  <c r="G647" i="14"/>
  <c r="G584" i="14"/>
  <c r="G560" i="14"/>
  <c r="G649" i="14"/>
  <c r="G628" i="14"/>
  <c r="G643" i="14"/>
  <c r="G521" i="14"/>
  <c r="G517" i="14"/>
  <c r="G518" i="14"/>
  <c r="G581" i="14"/>
  <c r="G596" i="14"/>
  <c r="E505" i="14"/>
  <c r="E669" i="14"/>
  <c r="E725" i="14"/>
  <c r="E547" i="14"/>
  <c r="E557" i="14"/>
  <c r="E502" i="14"/>
  <c r="E639" i="14"/>
  <c r="E549" i="14"/>
  <c r="E723" i="14"/>
  <c r="E587" i="14"/>
  <c r="E548" i="14"/>
  <c r="E700" i="14"/>
  <c r="I503" i="14"/>
  <c r="I644" i="14"/>
  <c r="I709" i="14"/>
  <c r="I515" i="14"/>
  <c r="I674" i="14"/>
  <c r="I612" i="14"/>
  <c r="I714" i="14"/>
  <c r="I706" i="14"/>
  <c r="I568" i="14"/>
  <c r="I524" i="14"/>
  <c r="I506" i="14"/>
  <c r="I582" i="14"/>
  <c r="I565" i="14"/>
  <c r="I616" i="14"/>
  <c r="I682" i="14"/>
  <c r="H579" i="14"/>
  <c r="H739" i="14"/>
  <c r="H670" i="14"/>
  <c r="H608" i="14"/>
  <c r="H724" i="14"/>
  <c r="H699" i="14"/>
  <c r="H634" i="14"/>
  <c r="V607" i="14"/>
  <c r="A607" i="14" s="1"/>
  <c r="V600" i="14"/>
  <c r="A600" i="14" s="1"/>
  <c r="F635" i="14"/>
  <c r="F638" i="14"/>
  <c r="F708" i="14"/>
  <c r="F739" i="14"/>
  <c r="F548" i="14"/>
  <c r="F701" i="14"/>
  <c r="F576" i="14"/>
  <c r="F650" i="14"/>
  <c r="F620" i="14"/>
  <c r="F513" i="14"/>
  <c r="F560" i="14"/>
  <c r="F733" i="14"/>
  <c r="F600" i="14"/>
  <c r="G603" i="14"/>
  <c r="G692" i="14"/>
  <c r="G599" i="14"/>
  <c r="G687" i="14"/>
  <c r="G739" i="14"/>
  <c r="G717" i="14"/>
  <c r="G734" i="14"/>
  <c r="G545" i="14"/>
  <c r="G645" i="14"/>
  <c r="G504" i="14"/>
  <c r="E740" i="14"/>
  <c r="E626" i="14"/>
  <c r="E608" i="14"/>
  <c r="E713" i="14"/>
  <c r="E531" i="14"/>
  <c r="E556" i="14"/>
  <c r="E621" i="14"/>
  <c r="E708" i="14"/>
  <c r="E506" i="14"/>
  <c r="E619" i="14"/>
  <c r="E569" i="14"/>
  <c r="I736" i="14"/>
  <c r="I718" i="14"/>
  <c r="I653" i="14"/>
  <c r="I615" i="14"/>
  <c r="I511" i="14"/>
  <c r="I512" i="14"/>
  <c r="I647" i="14"/>
  <c r="I543" i="14"/>
  <c r="I595" i="14"/>
  <c r="I602" i="14"/>
  <c r="I513" i="14"/>
  <c r="H622" i="14"/>
  <c r="H506" i="14"/>
  <c r="H662" i="14"/>
  <c r="H597" i="14"/>
  <c r="H534" i="14"/>
  <c r="H709" i="14"/>
  <c r="H725" i="14"/>
  <c r="H694" i="14"/>
  <c r="F545" i="14"/>
  <c r="F647" i="14"/>
  <c r="F551" i="14"/>
  <c r="F626" i="14"/>
  <c r="F717" i="14"/>
  <c r="F714" i="14"/>
  <c r="F575" i="14"/>
  <c r="F557" i="14"/>
  <c r="F718" i="14"/>
  <c r="F687" i="14"/>
  <c r="F572" i="14"/>
  <c r="F529" i="14"/>
  <c r="F588" i="14"/>
  <c r="F724" i="14"/>
  <c r="G625" i="14"/>
  <c r="G728" i="14"/>
  <c r="G515" i="14"/>
  <c r="G553" i="14"/>
  <c r="G511" i="14"/>
  <c r="G570" i="14"/>
  <c r="E609" i="14"/>
  <c r="E616" i="14"/>
  <c r="E739" i="14"/>
  <c r="E512" i="14"/>
  <c r="E733" i="14"/>
  <c r="E539" i="14"/>
  <c r="E622" i="14"/>
  <c r="E716" i="14"/>
  <c r="E552" i="14"/>
  <c r="E533" i="14"/>
  <c r="E574" i="14"/>
  <c r="E651" i="14"/>
  <c r="E544" i="14"/>
  <c r="E632" i="14"/>
  <c r="E712" i="14"/>
  <c r="E642" i="14"/>
  <c r="E540" i="14"/>
  <c r="I719" i="14"/>
  <c r="I597" i="14"/>
  <c r="I716" i="14"/>
  <c r="I688" i="14"/>
  <c r="I517" i="14"/>
  <c r="I530" i="14"/>
  <c r="I562" i="14"/>
  <c r="I700" i="14"/>
  <c r="I669" i="14"/>
  <c r="I629" i="14"/>
  <c r="I627" i="14"/>
  <c r="I637" i="14"/>
  <c r="H636" i="14"/>
  <c r="H593" i="14"/>
  <c r="H702" i="14"/>
  <c r="H650" i="14"/>
  <c r="H639" i="14"/>
  <c r="H610" i="14"/>
  <c r="H564" i="14"/>
  <c r="H580" i="14"/>
  <c r="H729" i="14"/>
  <c r="H539" i="14"/>
  <c r="H722" i="14"/>
  <c r="H736" i="14"/>
  <c r="H676" i="14"/>
  <c r="H632" i="14"/>
  <c r="H657" i="14"/>
  <c r="H707" i="14"/>
  <c r="H666" i="14"/>
  <c r="H691" i="14"/>
  <c r="F565" i="14"/>
  <c r="F666" i="14"/>
  <c r="F571" i="14"/>
  <c r="F596" i="14"/>
  <c r="F549" i="14"/>
  <c r="F720" i="14"/>
  <c r="F723" i="14"/>
  <c r="F654" i="14"/>
  <c r="F563" i="14"/>
  <c r="F705" i="14"/>
  <c r="F709" i="14"/>
  <c r="F584" i="14"/>
  <c r="F700" i="14"/>
  <c r="G683" i="14"/>
  <c r="G718" i="14"/>
  <c r="G693" i="14"/>
  <c r="G700" i="14"/>
  <c r="G512" i="14"/>
  <c r="G583" i="14"/>
  <c r="G578" i="14"/>
  <c r="G601" i="14"/>
  <c r="G697" i="14"/>
  <c r="E555" i="14"/>
  <c r="E606" i="14"/>
  <c r="E694" i="14"/>
  <c r="E714" i="14"/>
  <c r="E520" i="14"/>
  <c r="E526" i="14"/>
  <c r="V523" i="14"/>
  <c r="A523" i="14" s="1"/>
  <c r="V646" i="14"/>
  <c r="A646" i="14" s="1"/>
  <c r="V541" i="14"/>
  <c r="A541" i="14" s="1"/>
  <c r="V581" i="14"/>
  <c r="A581" i="14" s="1"/>
  <c r="V538" i="14"/>
  <c r="A538" i="14" s="1"/>
  <c r="V514" i="14"/>
  <c r="A514" i="14" s="1"/>
  <c r="V650" i="14"/>
  <c r="A650" i="14" s="1"/>
  <c r="V566" i="14"/>
  <c r="A566" i="14" s="1"/>
  <c r="V670" i="14"/>
  <c r="A670" i="14" s="1"/>
  <c r="V528" i="14"/>
  <c r="A528" i="14" s="1"/>
  <c r="V704" i="14"/>
  <c r="A704" i="14" s="1"/>
  <c r="V562" i="14"/>
  <c r="A562" i="14" s="1"/>
  <c r="V604" i="14"/>
  <c r="A604" i="14" s="1"/>
  <c r="V673" i="14"/>
  <c r="A673" i="14" s="1"/>
  <c r="V571" i="14"/>
  <c r="A571" i="14" s="1"/>
  <c r="H705" i="14"/>
  <c r="H565" i="14"/>
  <c r="H684" i="14"/>
  <c r="H737" i="14"/>
  <c r="H557" i="14"/>
  <c r="H698" i="14"/>
  <c r="H586" i="14"/>
  <c r="H690" i="14"/>
  <c r="H509" i="14"/>
  <c r="H638" i="14"/>
  <c r="H642" i="14"/>
  <c r="H733" i="14"/>
  <c r="H520" i="14"/>
  <c r="H649" i="14"/>
  <c r="H602" i="14"/>
  <c r="H535" i="14"/>
  <c r="V720" i="14"/>
  <c r="A720" i="14" s="1"/>
  <c r="V634" i="14"/>
  <c r="A634" i="14" s="1"/>
  <c r="F602" i="14"/>
  <c r="F697" i="14"/>
  <c r="F591" i="14"/>
  <c r="F632" i="14"/>
  <c r="F732" i="14"/>
  <c r="F621" i="14"/>
  <c r="F619" i="14"/>
  <c r="F640" i="14"/>
  <c r="F554" i="14"/>
  <c r="F541" i="14"/>
  <c r="F704" i="14"/>
  <c r="F531" i="14"/>
  <c r="F568" i="14"/>
  <c r="F515" i="14"/>
  <c r="F601" i="14"/>
  <c r="F624" i="14"/>
  <c r="F727" i="14"/>
  <c r="F737" i="14"/>
  <c r="F695" i="14"/>
  <c r="F593" i="14"/>
  <c r="V597" i="14"/>
  <c r="A597" i="14" s="1"/>
  <c r="G555" i="14"/>
  <c r="G705" i="14"/>
  <c r="G538" i="14"/>
  <c r="G506" i="14"/>
  <c r="G616" i="14"/>
  <c r="G638" i="14"/>
  <c r="G595" i="14"/>
  <c r="G530" i="14"/>
  <c r="G594" i="14"/>
  <c r="V726" i="14"/>
  <c r="A726" i="14" s="1"/>
  <c r="V557" i="14"/>
  <c r="A557" i="14" s="1"/>
  <c r="V564" i="14"/>
  <c r="A564" i="14" s="1"/>
  <c r="E518" i="14"/>
  <c r="E688" i="14"/>
  <c r="E689" i="14"/>
  <c r="E715" i="14"/>
  <c r="E601" i="14"/>
  <c r="E638" i="14"/>
  <c r="E735" i="14"/>
  <c r="I549" i="14"/>
  <c r="V520" i="14"/>
  <c r="A520" i="14" s="1"/>
  <c r="H715" i="14"/>
  <c r="H706" i="14"/>
  <c r="H741" i="14"/>
  <c r="H566" i="14"/>
  <c r="H540" i="14"/>
  <c r="H630" i="14"/>
  <c r="H546" i="14"/>
  <c r="H560" i="14"/>
  <c r="H584" i="14"/>
  <c r="H525" i="14"/>
  <c r="H672" i="14"/>
  <c r="V713" i="14"/>
  <c r="A713" i="14" s="1"/>
  <c r="V590" i="14"/>
  <c r="A590" i="14" s="1"/>
  <c r="V507" i="14"/>
  <c r="A507" i="14" s="1"/>
  <c r="F665" i="14"/>
  <c r="F690" i="14"/>
  <c r="F738" i="14"/>
  <c r="F532" i="14"/>
  <c r="F544" i="14"/>
  <c r="F564" i="14"/>
  <c r="F508" i="14"/>
  <c r="F534" i="14"/>
  <c r="F524" i="14"/>
  <c r="F694" i="14"/>
  <c r="F634" i="14"/>
  <c r="F731" i="14"/>
  <c r="F535" i="14"/>
  <c r="F675" i="14"/>
  <c r="F644" i="14"/>
  <c r="F556" i="14"/>
  <c r="F649" i="14"/>
  <c r="F674" i="14"/>
  <c r="V613" i="14"/>
  <c r="A613" i="14" s="1"/>
  <c r="V510" i="14"/>
  <c r="A510" i="14" s="1"/>
  <c r="V542" i="14"/>
  <c r="A542" i="14" s="1"/>
  <c r="G725" i="14"/>
  <c r="G597" i="14"/>
  <c r="G587" i="14"/>
  <c r="G549" i="14"/>
  <c r="G730" i="14"/>
  <c r="G582" i="14"/>
  <c r="G655" i="14"/>
  <c r="G729" i="14"/>
  <c r="G586" i="14"/>
  <c r="G561" i="14"/>
  <c r="G711" i="14"/>
  <c r="G663" i="14"/>
  <c r="G502" i="14"/>
  <c r="E530" i="14"/>
  <c r="E559" i="14"/>
  <c r="E726" i="14"/>
  <c r="E513" i="14"/>
  <c r="E534" i="14"/>
  <c r="E696" i="14"/>
  <c r="E613" i="14"/>
  <c r="V648" i="14"/>
  <c r="A648" i="14" s="1"/>
  <c r="V711" i="14"/>
  <c r="A711" i="14" s="1"/>
  <c r="V652" i="14"/>
  <c r="A652" i="14" s="1"/>
  <c r="V635" i="14"/>
  <c r="A635" i="14" s="1"/>
  <c r="V698" i="14"/>
  <c r="A698" i="14" s="1"/>
  <c r="V730" i="14"/>
  <c r="A730" i="14" s="1"/>
  <c r="V614" i="14"/>
  <c r="A614" i="14" s="1"/>
  <c r="V657" i="14"/>
  <c r="A657" i="14" s="1"/>
  <c r="V675" i="14"/>
  <c r="A675" i="14" s="1"/>
  <c r="V587" i="14"/>
  <c r="A587" i="14" s="1"/>
  <c r="V594" i="14"/>
  <c r="A594" i="14" s="1"/>
  <c r="V554" i="14"/>
  <c r="A554" i="14" s="1"/>
  <c r="V525" i="14"/>
  <c r="A525" i="14" s="1"/>
  <c r="V683" i="14"/>
  <c r="A683" i="14" s="1"/>
  <c r="V586" i="14"/>
  <c r="A586" i="14" s="1"/>
  <c r="V516" i="14"/>
  <c r="A516" i="14" s="1"/>
  <c r="V561" i="14"/>
  <c r="A561" i="14" s="1"/>
  <c r="V573" i="14"/>
  <c r="A573" i="14" s="1"/>
  <c r="V674" i="14"/>
  <c r="A674" i="14" s="1"/>
  <c r="V591" i="14"/>
  <c r="A591" i="14" s="1"/>
  <c r="V628" i="14"/>
  <c r="A628" i="14" s="1"/>
  <c r="V649" i="14"/>
  <c r="A649" i="14" s="1"/>
  <c r="L136" i="10"/>
  <c r="U135" i="10"/>
  <c r="H548" i="14"/>
  <c r="H711" i="14"/>
  <c r="H728" i="14"/>
  <c r="H545" i="14"/>
  <c r="H693" i="14"/>
  <c r="H599" i="14"/>
  <c r="H556" i="14"/>
  <c r="H635" i="14"/>
  <c r="H529" i="14"/>
  <c r="H696" i="14"/>
  <c r="H717" i="14"/>
  <c r="H587" i="14"/>
  <c r="H607" i="14"/>
  <c r="H623" i="14"/>
  <c r="H726" i="14"/>
  <c r="H544" i="14"/>
  <c r="H703" i="14"/>
  <c r="H592" i="14"/>
  <c r="H692" i="14"/>
  <c r="H712" i="14"/>
  <c r="H656" i="14"/>
  <c r="H504" i="14"/>
  <c r="H555" i="14"/>
  <c r="H714" i="14"/>
  <c r="H679" i="14"/>
  <c r="H687" i="14"/>
  <c r="H721" i="14"/>
  <c r="H543" i="14"/>
  <c r="H516" i="14"/>
  <c r="H514" i="14"/>
  <c r="V678" i="14"/>
  <c r="A678" i="14" s="1"/>
  <c r="V589" i="14"/>
  <c r="A589" i="14" s="1"/>
  <c r="V629" i="14"/>
  <c r="A629" i="14" s="1"/>
  <c r="V575" i="14"/>
  <c r="A575" i="14" s="1"/>
  <c r="V735" i="14"/>
  <c r="A735" i="14" s="1"/>
  <c r="V530" i="14"/>
  <c r="A530" i="14" s="1"/>
  <c r="F540" i="14"/>
  <c r="F671" i="14"/>
  <c r="F728" i="14"/>
  <c r="F585" i="14"/>
  <c r="F594" i="14"/>
  <c r="F569" i="14"/>
  <c r="F611" i="14"/>
  <c r="F653" i="14"/>
  <c r="F562" i="14"/>
  <c r="F512" i="14"/>
  <c r="F559" i="14"/>
  <c r="F655" i="14"/>
  <c r="F574" i="14"/>
  <c r="F663" i="14"/>
  <c r="F707" i="14"/>
  <c r="F542" i="14"/>
  <c r="F577" i="14"/>
  <c r="F537" i="14"/>
  <c r="F706" i="14"/>
  <c r="F521" i="14"/>
  <c r="F539" i="14"/>
  <c r="F686" i="14"/>
  <c r="F506" i="14"/>
  <c r="F536" i="14"/>
  <c r="F502" i="14"/>
  <c r="F609" i="14"/>
  <c r="F550" i="14"/>
  <c r="F719" i="14"/>
  <c r="F578" i="14"/>
  <c r="F519" i="14"/>
  <c r="F610" i="14"/>
  <c r="F642" i="14"/>
  <c r="F614" i="14"/>
  <c r="V623" i="14"/>
  <c r="A623" i="14" s="1"/>
  <c r="V579" i="14"/>
  <c r="A579" i="14" s="1"/>
  <c r="V645" i="14"/>
  <c r="A645" i="14" s="1"/>
  <c r="V626" i="14"/>
  <c r="A626" i="14" s="1"/>
  <c r="V548" i="14"/>
  <c r="A548" i="14" s="1"/>
  <c r="G690" i="14"/>
  <c r="G543" i="14"/>
  <c r="G665" i="14"/>
  <c r="G533" i="14"/>
  <c r="G556" i="14"/>
  <c r="G606" i="14"/>
  <c r="G564" i="14"/>
  <c r="G614" i="14"/>
  <c r="G591" i="14"/>
  <c r="G532" i="14"/>
  <c r="G554" i="14"/>
  <c r="G516" i="14"/>
  <c r="G742" i="14"/>
  <c r="G652" i="14"/>
  <c r="G620" i="14"/>
  <c r="G613" i="14"/>
  <c r="G720" i="14"/>
  <c r="G550" i="14"/>
  <c r="G523" i="14"/>
  <c r="G715" i="14"/>
  <c r="G654" i="14"/>
  <c r="G503" i="14"/>
  <c r="G522" i="14"/>
  <c r="G551" i="14"/>
  <c r="G552" i="14"/>
  <c r="G695" i="14"/>
  <c r="V535" i="14"/>
  <c r="A535" i="14" s="1"/>
  <c r="V601" i="14"/>
  <c r="A601" i="14" s="1"/>
  <c r="G546" i="14"/>
  <c r="E542" i="14"/>
  <c r="E718" i="14"/>
  <c r="E537" i="14"/>
  <c r="E656" i="14"/>
  <c r="E604" i="14"/>
  <c r="E563" i="14"/>
  <c r="E690" i="14"/>
  <c r="E658" i="14"/>
  <c r="E550" i="14"/>
  <c r="E671" i="14"/>
  <c r="E571" i="14"/>
  <c r="E546" i="14"/>
  <c r="E635" i="14"/>
  <c r="E623" i="14"/>
  <c r="E691" i="14"/>
  <c r="E615" i="14"/>
  <c r="E693" i="14"/>
  <c r="E665" i="14"/>
  <c r="E541" i="14"/>
  <c r="E590" i="14"/>
  <c r="E602" i="14"/>
  <c r="E594" i="14"/>
  <c r="E554" i="14"/>
  <c r="E673" i="14"/>
  <c r="E738" i="14"/>
  <c r="E719" i="14"/>
  <c r="E507" i="14"/>
  <c r="E576" i="14"/>
  <c r="E686" i="14"/>
  <c r="E644" i="14"/>
  <c r="E570" i="14"/>
  <c r="E682" i="14"/>
  <c r="E701" i="14"/>
  <c r="E581" i="14"/>
  <c r="E647" i="14"/>
  <c r="E522" i="14"/>
  <c r="E645" i="14"/>
  <c r="E732" i="14"/>
  <c r="V517" i="14"/>
  <c r="A517" i="14" s="1"/>
  <c r="V640" i="14"/>
  <c r="A640" i="14" s="1"/>
  <c r="V501" i="14"/>
  <c r="A501" i="14" s="1"/>
  <c r="V637" i="14"/>
  <c r="A637" i="14" s="1"/>
  <c r="V677" i="14"/>
  <c r="A677" i="14" s="1"/>
  <c r="V685" i="14"/>
  <c r="A685" i="14" s="1"/>
  <c r="V610" i="14"/>
  <c r="A610" i="14" s="1"/>
  <c r="V631" i="14"/>
  <c r="A631" i="14" s="1"/>
  <c r="V532" i="14"/>
  <c r="A532" i="14" s="1"/>
  <c r="V508" i="14"/>
  <c r="A508" i="14" s="1"/>
  <c r="V676" i="14"/>
  <c r="A676" i="14" s="1"/>
  <c r="V697" i="14"/>
  <c r="A697" i="14" s="1"/>
  <c r="V705" i="14"/>
  <c r="A705" i="14" s="1"/>
  <c r="V687" i="14"/>
  <c r="A687" i="14" s="1"/>
  <c r="V695" i="14"/>
  <c r="A695" i="14" s="1"/>
  <c r="V572" i="14"/>
  <c r="A572" i="14" s="1"/>
  <c r="V654" i="14"/>
  <c r="A654" i="14" s="1"/>
  <c r="V662" i="14"/>
  <c r="A662" i="14" s="1"/>
  <c r="V734" i="14"/>
  <c r="A734" i="14" s="1"/>
  <c r="V627" i="14"/>
  <c r="A627" i="14" s="1"/>
  <c r="V584" i="14"/>
  <c r="A584" i="14" s="1"/>
  <c r="V592" i="14"/>
  <c r="A592" i="14" s="1"/>
  <c r="V504" i="14"/>
  <c r="A504" i="14" s="1"/>
  <c r="V659" i="14"/>
  <c r="A659" i="14" s="1"/>
  <c r="V731" i="14"/>
  <c r="A731" i="14" s="1"/>
  <c r="V624" i="14"/>
  <c r="A624" i="14" s="1"/>
  <c r="V664" i="14"/>
  <c r="A664" i="14" s="1"/>
  <c r="V672" i="14"/>
  <c r="A672" i="14" s="1"/>
  <c r="V661" i="14"/>
  <c r="A661" i="14" s="1"/>
  <c r="V618" i="14"/>
  <c r="A618" i="14" s="1"/>
  <c r="V511" i="14"/>
  <c r="A511" i="14" s="1"/>
  <c r="V551" i="14"/>
  <c r="A551" i="14" s="1"/>
  <c r="V527" i="14"/>
  <c r="A527" i="14" s="1"/>
  <c r="V684" i="14"/>
  <c r="A684" i="14" s="1"/>
  <c r="V692" i="14"/>
  <c r="A692" i="14" s="1"/>
  <c r="V668" i="14"/>
  <c r="A668" i="14" s="1"/>
  <c r="V580" i="14"/>
  <c r="A580" i="14" s="1"/>
  <c r="V724" i="14"/>
  <c r="A724" i="14" s="1"/>
  <c r="V585" i="14"/>
  <c r="A585" i="14" s="1"/>
  <c r="V625" i="14"/>
  <c r="A625" i="14" s="1"/>
  <c r="V633" i="14"/>
  <c r="A633" i="14" s="1"/>
  <c r="V630" i="14"/>
  <c r="A630" i="14" s="1"/>
  <c r="V702" i="14"/>
  <c r="A702" i="14" s="1"/>
  <c r="V595" i="14"/>
  <c r="A595" i="14" s="1"/>
  <c r="V667" i="14"/>
  <c r="A667" i="14" s="1"/>
  <c r="V736" i="14"/>
  <c r="A736" i="14" s="1"/>
  <c r="I556" i="14"/>
  <c r="I645" i="14"/>
  <c r="I685" i="14"/>
  <c r="I520" i="14"/>
  <c r="I526" i="14"/>
  <c r="I525" i="14"/>
  <c r="I535" i="14"/>
  <c r="I664" i="14"/>
  <c r="I573" i="14"/>
  <c r="I673" i="14"/>
  <c r="I676" i="14"/>
  <c r="I626" i="14"/>
  <c r="V547" i="14"/>
  <c r="A547" i="14" s="1"/>
  <c r="I575" i="14"/>
  <c r="V620" i="14"/>
  <c r="A620" i="14" s="1"/>
  <c r="V612" i="14"/>
  <c r="A612" i="14" s="1"/>
  <c r="V716" i="14"/>
  <c r="A716" i="14" s="1"/>
  <c r="V743" i="14"/>
  <c r="A743" i="14" s="1"/>
  <c r="V663" i="14"/>
  <c r="A663" i="14" s="1"/>
  <c r="V738" i="14"/>
  <c r="A738" i="14" s="1"/>
  <c r="V636" i="14"/>
  <c r="A636" i="14" s="1"/>
  <c r="V721" i="14"/>
  <c r="A721" i="14" s="1"/>
  <c r="V568" i="14"/>
  <c r="A568" i="14" s="1"/>
  <c r="V741" i="14"/>
  <c r="A741" i="14" s="1"/>
  <c r="H688" i="14"/>
  <c r="H643" i="14"/>
  <c r="H561" i="14"/>
  <c r="H568" i="14"/>
  <c r="H713" i="14"/>
  <c r="H572" i="14"/>
  <c r="H667" i="14"/>
  <c r="H603" i="14"/>
  <c r="F587" i="14"/>
  <c r="F639" i="14"/>
  <c r="F586" i="14"/>
  <c r="F722" i="14"/>
  <c r="F659" i="14"/>
  <c r="F677" i="14"/>
  <c r="F698" i="14"/>
  <c r="F589" i="14"/>
  <c r="V641" i="14"/>
  <c r="A641" i="14" s="1"/>
  <c r="V570" i="14"/>
  <c r="A570" i="14" s="1"/>
  <c r="G686" i="14"/>
  <c r="G557" i="14"/>
  <c r="G658" i="14"/>
  <c r="G738" i="14"/>
  <c r="G702" i="14"/>
  <c r="G644" i="14"/>
  <c r="G679" i="14"/>
  <c r="V529" i="14"/>
  <c r="A529" i="14" s="1"/>
  <c r="V665" i="14"/>
  <c r="A665" i="14" s="1"/>
  <c r="V708" i="14"/>
  <c r="A708" i="14" s="1"/>
  <c r="V611" i="14"/>
  <c r="A611" i="14" s="1"/>
  <c r="E529" i="14"/>
  <c r="E670" i="14"/>
  <c r="E704" i="14"/>
  <c r="E525" i="14"/>
  <c r="E652" i="14"/>
  <c r="E516" i="14"/>
  <c r="E674" i="14"/>
  <c r="E579" i="14"/>
  <c r="E614" i="14"/>
  <c r="E514" i="14"/>
  <c r="E578" i="14"/>
  <c r="E646" i="14"/>
  <c r="E586" i="14"/>
  <c r="E629" i="14"/>
  <c r="E729" i="14"/>
  <c r="E561" i="14"/>
  <c r="E528" i="14"/>
  <c r="V559" i="14"/>
  <c r="A559" i="14" s="1"/>
  <c r="V567" i="14"/>
  <c r="A567" i="14" s="1"/>
  <c r="V690" i="14"/>
  <c r="A690" i="14" s="1"/>
  <c r="V615" i="14"/>
  <c r="A615" i="14" s="1"/>
  <c r="V719" i="14"/>
  <c r="A719" i="14" s="1"/>
  <c r="V513" i="14"/>
  <c r="A513" i="14" s="1"/>
  <c r="V526" i="14"/>
  <c r="A526" i="14" s="1"/>
  <c r="V606" i="14"/>
  <c r="A606" i="14" s="1"/>
  <c r="V742" i="14"/>
  <c r="A742" i="14" s="1"/>
  <c r="V707" i="14"/>
  <c r="A707" i="14" s="1"/>
  <c r="V681" i="14"/>
  <c r="A681" i="14" s="1"/>
  <c r="V737" i="14"/>
  <c r="A737" i="14" s="1"/>
  <c r="V643" i="14"/>
  <c r="A643" i="14" s="1"/>
  <c r="V715" i="14"/>
  <c r="A715" i="14" s="1"/>
  <c r="V576" i="14"/>
  <c r="A576" i="14" s="1"/>
  <c r="V680" i="14"/>
  <c r="A680" i="14" s="1"/>
  <c r="V688" i="14"/>
  <c r="A688" i="14" s="1"/>
  <c r="V546" i="14"/>
  <c r="A546" i="14" s="1"/>
  <c r="V602" i="14"/>
  <c r="A602" i="14" s="1"/>
  <c r="V706" i="14"/>
  <c r="A706" i="14" s="1"/>
  <c r="V714" i="14"/>
  <c r="A714" i="14" s="1"/>
  <c r="V722" i="14"/>
  <c r="A722" i="14" s="1"/>
  <c r="V644" i="14"/>
  <c r="A644" i="14" s="1"/>
  <c r="V537" i="14"/>
  <c r="A537" i="14" s="1"/>
  <c r="V545" i="14"/>
  <c r="A545" i="14" s="1"/>
  <c r="V521" i="14"/>
  <c r="A521" i="14" s="1"/>
  <c r="V689" i="14"/>
  <c r="A689" i="14" s="1"/>
  <c r="V686" i="14"/>
  <c r="A686" i="14" s="1"/>
  <c r="V694" i="14"/>
  <c r="A694" i="14" s="1"/>
  <c r="V638" i="14"/>
  <c r="A638" i="14" s="1"/>
  <c r="V518" i="14"/>
  <c r="A518" i="14" s="1"/>
  <c r="V555" i="14"/>
  <c r="A555" i="14" s="1"/>
  <c r="V563" i="14"/>
  <c r="A563" i="14" s="1"/>
  <c r="V656" i="14"/>
  <c r="A656" i="14" s="1"/>
  <c r="V696" i="14"/>
  <c r="A696" i="14" s="1"/>
  <c r="V693" i="14"/>
  <c r="A693" i="14" s="1"/>
  <c r="V701" i="14"/>
  <c r="A701" i="14" s="1"/>
  <c r="V522" i="14"/>
  <c r="A522" i="14" s="1"/>
  <c r="V543" i="14"/>
  <c r="A543" i="14" s="1"/>
  <c r="V583" i="14"/>
  <c r="A583" i="14" s="1"/>
  <c r="I614" i="14"/>
  <c r="I592" i="14"/>
  <c r="I738" i="14"/>
  <c r="I537" i="14"/>
  <c r="I587" i="14"/>
  <c r="I501" i="14"/>
  <c r="I518" i="14"/>
  <c r="I701" i="14"/>
  <c r="I510" i="14"/>
  <c r="I694" i="14"/>
  <c r="I713" i="14"/>
  <c r="I576" i="14"/>
  <c r="I594" i="14"/>
  <c r="I675" i="14"/>
  <c r="I634" i="14"/>
  <c r="V717" i="14"/>
  <c r="A717" i="14" s="1"/>
  <c r="V565" i="14"/>
  <c r="A565" i="14" s="1"/>
  <c r="V588" i="14"/>
  <c r="A588" i="14" s="1"/>
  <c r="V732" i="14"/>
  <c r="A732" i="14" s="1"/>
  <c r="V569" i="14"/>
  <c r="A569" i="14" s="1"/>
  <c r="V718" i="14"/>
  <c r="A718" i="14" s="1"/>
  <c r="I523" i="14"/>
  <c r="V593" i="14"/>
  <c r="A593" i="14" s="1"/>
  <c r="V550" i="14"/>
  <c r="A550" i="14" s="1"/>
  <c r="V617" i="14"/>
  <c r="A617" i="14" s="1"/>
  <c r="V691" i="14"/>
  <c r="A691" i="14" s="1"/>
  <c r="V671" i="14"/>
  <c r="A671" i="14" s="1"/>
  <c r="V519" i="14"/>
  <c r="A519" i="14" s="1"/>
  <c r="V660" i="14"/>
  <c r="A660" i="14" s="1"/>
  <c r="V658" i="14"/>
  <c r="A658" i="14" s="1"/>
  <c r="V682" i="14"/>
  <c r="A682" i="14" s="1"/>
  <c r="V599" i="14"/>
  <c r="A599" i="14" s="1"/>
  <c r="M135" i="10"/>
  <c r="V134" i="10"/>
  <c r="H674" i="14"/>
  <c r="H588" i="14"/>
  <c r="H668" i="14"/>
  <c r="H507" i="14"/>
  <c r="H659" i="14"/>
  <c r="H573" i="14"/>
  <c r="H628" i="14"/>
  <c r="H532" i="14"/>
  <c r="V605" i="14"/>
  <c r="A605" i="14" s="1"/>
  <c r="V679" i="14"/>
  <c r="A679" i="14" s="1"/>
  <c r="V699" i="14"/>
  <c r="A699" i="14" s="1"/>
  <c r="F518" i="14"/>
  <c r="F633" i="14"/>
  <c r="F501" i="14"/>
  <c r="F721" i="14"/>
  <c r="F628" i="14"/>
  <c r="F580" i="14"/>
  <c r="F517" i="14"/>
  <c r="F507" i="14"/>
  <c r="F651" i="14"/>
  <c r="G736" i="14"/>
  <c r="G741" i="14"/>
  <c r="G726" i="14"/>
  <c r="G713" i="14"/>
  <c r="G505" i="14"/>
  <c r="G696" i="14"/>
  <c r="H595" i="14"/>
  <c r="H547" i="14"/>
  <c r="H653" i="14"/>
  <c r="H521" i="14"/>
  <c r="H629" i="14"/>
  <c r="H542" i="14"/>
  <c r="H734" i="14"/>
  <c r="H704" i="14"/>
  <c r="H530" i="14"/>
  <c r="H558" i="14"/>
  <c r="H644" i="14"/>
  <c r="H591" i="14"/>
  <c r="H569" i="14"/>
  <c r="H604" i="14"/>
  <c r="H528" i="14"/>
  <c r="H596" i="14"/>
  <c r="H522" i="14"/>
  <c r="H598" i="14"/>
  <c r="H735" i="14"/>
  <c r="H637" i="14"/>
  <c r="H627" i="14"/>
  <c r="H624" i="14"/>
  <c r="H633" i="14"/>
  <c r="H524" i="14"/>
  <c r="H594" i="14"/>
  <c r="H571" i="14"/>
  <c r="H661" i="14"/>
  <c r="H708" i="14"/>
  <c r="H583" i="14"/>
  <c r="H537" i="14"/>
  <c r="H727" i="14"/>
  <c r="H606" i="14"/>
  <c r="H652" i="14"/>
  <c r="H515" i="14"/>
  <c r="H732" i="14"/>
  <c r="H570" i="14"/>
  <c r="H641" i="14"/>
  <c r="H640" i="14"/>
  <c r="H553" i="14"/>
  <c r="H651" i="14"/>
  <c r="H697" i="14"/>
  <c r="H648" i="14"/>
  <c r="H590" i="14"/>
  <c r="H689" i="14"/>
  <c r="H686" i="14"/>
  <c r="H710" i="14"/>
  <c r="H671" i="14"/>
  <c r="H613" i="14"/>
  <c r="H551" i="14"/>
  <c r="H677" i="14"/>
  <c r="V647" i="14"/>
  <c r="A647" i="14" s="1"/>
  <c r="V729" i="14"/>
  <c r="A729" i="14" s="1"/>
  <c r="V560" i="14"/>
  <c r="A560" i="14" s="1"/>
  <c r="F553" i="14"/>
  <c r="F669" i="14"/>
  <c r="F530" i="14"/>
  <c r="F662" i="14"/>
  <c r="F527" i="14"/>
  <c r="F670" i="14"/>
  <c r="F693" i="14"/>
  <c r="F712" i="14"/>
  <c r="F630" i="14"/>
  <c r="F660" i="14"/>
  <c r="F605" i="14"/>
  <c r="F696" i="14"/>
  <c r="F657" i="14"/>
  <c r="F538" i="14"/>
  <c r="F629" i="14"/>
  <c r="F631" i="14"/>
  <c r="F617" i="14"/>
  <c r="F691" i="14"/>
  <c r="F612" i="14"/>
  <c r="F511" i="14"/>
  <c r="F561" i="14"/>
  <c r="F643" i="14"/>
  <c r="F668" i="14"/>
  <c r="F608" i="14"/>
  <c r="F652" i="14"/>
  <c r="F703" i="14"/>
  <c r="F681" i="14"/>
  <c r="F699" i="14"/>
  <c r="F514" i="14"/>
  <c r="F607" i="14"/>
  <c r="F573" i="14"/>
  <c r="F618" i="14"/>
  <c r="F603" i="14"/>
  <c r="F570" i="14"/>
  <c r="F641" i="14"/>
  <c r="F622" i="14"/>
  <c r="F533" i="14"/>
  <c r="F503" i="14"/>
  <c r="V524" i="14"/>
  <c r="A524" i="14" s="1"/>
  <c r="V534" i="14"/>
  <c r="A534" i="14" s="1"/>
  <c r="V727" i="14"/>
  <c r="A727" i="14" s="1"/>
  <c r="V556" i="14"/>
  <c r="A556" i="14" s="1"/>
  <c r="V596" i="14"/>
  <c r="A596" i="14" s="1"/>
  <c r="G600" i="14"/>
  <c r="G701" i="14"/>
  <c r="G676" i="14"/>
  <c r="G631" i="14"/>
  <c r="G640" i="14"/>
  <c r="G670" i="14"/>
  <c r="G667" i="14"/>
  <c r="G621" i="14"/>
  <c r="G635" i="14"/>
  <c r="G540" i="14"/>
  <c r="G610" i="14"/>
  <c r="G669" i="14"/>
  <c r="G661" i="14"/>
  <c r="G660" i="14"/>
  <c r="G712" i="14"/>
  <c r="G575" i="14"/>
  <c r="G722" i="14"/>
  <c r="G641" i="14"/>
  <c r="G677" i="14"/>
  <c r="G572" i="14"/>
  <c r="G567" i="14"/>
  <c r="G611" i="14"/>
  <c r="G622" i="14"/>
  <c r="G708" i="14"/>
  <c r="J708" i="14" s="1"/>
  <c r="G706" i="14"/>
  <c r="G592" i="14"/>
  <c r="G537" i="14"/>
  <c r="G651" i="14"/>
  <c r="G520" i="14"/>
  <c r="G580" i="14"/>
  <c r="G672" i="14"/>
  <c r="G636" i="14"/>
  <c r="G508" i="14"/>
  <c r="G634" i="14"/>
  <c r="G703" i="14"/>
  <c r="G688" i="14"/>
  <c r="V578" i="14"/>
  <c r="A578" i="14" s="1"/>
  <c r="V582" i="14"/>
  <c r="A582" i="14" s="1"/>
  <c r="E742" i="14"/>
  <c r="E660" i="14"/>
  <c r="E699" i="14"/>
  <c r="E545" i="14"/>
  <c r="E565" i="14"/>
  <c r="E698" i="14"/>
  <c r="E706" i="14"/>
  <c r="E567" i="14"/>
  <c r="E573" i="14"/>
  <c r="E681" i="14"/>
  <c r="E650" i="14"/>
  <c r="E510" i="14"/>
  <c r="E680" i="14"/>
  <c r="E643" i="14"/>
  <c r="E598" i="14"/>
  <c r="E707" i="14"/>
  <c r="E589" i="14"/>
  <c r="E741" i="14"/>
  <c r="E653" i="14"/>
  <c r="E722" i="14"/>
  <c r="E648" i="14"/>
  <c r="E636" i="14"/>
  <c r="E591" i="14"/>
  <c r="E521" i="14"/>
  <c r="V553" i="14"/>
  <c r="A553" i="14" s="1"/>
  <c r="V622" i="14"/>
  <c r="A622" i="14" s="1"/>
  <c r="V515" i="14"/>
  <c r="A515" i="14" s="1"/>
  <c r="V723" i="14"/>
  <c r="A723" i="14" s="1"/>
  <c r="V552" i="14"/>
  <c r="A552" i="14" s="1"/>
  <c r="V728" i="14"/>
  <c r="A728" i="14" s="1"/>
  <c r="V621" i="14"/>
  <c r="A621" i="14" s="1"/>
  <c r="V725" i="14"/>
  <c r="A725" i="14" s="1"/>
  <c r="V733" i="14"/>
  <c r="A733" i="14" s="1"/>
  <c r="V651" i="14"/>
  <c r="A651" i="14" s="1"/>
  <c r="V531" i="14"/>
  <c r="A531" i="14" s="1"/>
  <c r="V603" i="14"/>
  <c r="A603" i="14" s="1"/>
  <c r="V739" i="14"/>
  <c r="A739" i="14" s="1"/>
  <c r="V536" i="14"/>
  <c r="A536" i="14" s="1"/>
  <c r="V533" i="14"/>
  <c r="A533" i="14" s="1"/>
  <c r="V669" i="14"/>
  <c r="A669" i="14" s="1"/>
  <c r="V709" i="14"/>
  <c r="A709" i="14" s="1"/>
  <c r="V666" i="14"/>
  <c r="A666" i="14" s="1"/>
  <c r="V642" i="14"/>
  <c r="A642" i="14" s="1"/>
  <c r="V540" i="14"/>
  <c r="A540" i="14" s="1"/>
  <c r="V703" i="14"/>
  <c r="A703" i="14" s="1"/>
  <c r="V700" i="14"/>
  <c r="A700" i="14" s="1"/>
  <c r="V740" i="14"/>
  <c r="A740" i="14" s="1"/>
  <c r="V505" i="14"/>
  <c r="A505" i="14" s="1"/>
  <c r="V502" i="14"/>
  <c r="A502" i="14" s="1"/>
  <c r="V574" i="14"/>
  <c r="A574" i="14" s="1"/>
  <c r="V710" i="14"/>
  <c r="A710" i="14" s="1"/>
  <c r="V619" i="14"/>
  <c r="A619" i="14" s="1"/>
  <c r="V608" i="14"/>
  <c r="A608" i="14" s="1"/>
  <c r="V712" i="14"/>
  <c r="A712" i="14" s="1"/>
  <c r="V632" i="14"/>
  <c r="A632" i="14" s="1"/>
  <c r="V512" i="14"/>
  <c r="A512" i="14" s="1"/>
  <c r="V616" i="14"/>
  <c r="A616" i="14" s="1"/>
  <c r="V509" i="14"/>
  <c r="A509" i="14" s="1"/>
  <c r="V549" i="14"/>
  <c r="A549" i="14" s="1"/>
  <c r="V506" i="14"/>
  <c r="A506" i="14" s="1"/>
  <c r="V503" i="14"/>
  <c r="A503" i="14" s="1"/>
  <c r="V639" i="14"/>
  <c r="A639" i="14" s="1"/>
  <c r="V655" i="14"/>
  <c r="A655" i="14" s="1"/>
  <c r="V577" i="14"/>
  <c r="A577" i="14" s="1"/>
  <c r="I655" i="14"/>
  <c r="I692" i="14"/>
  <c r="I551" i="14"/>
  <c r="I507" i="14"/>
  <c r="I554" i="14"/>
  <c r="I621" i="14"/>
  <c r="I570" i="14"/>
  <c r="I727" i="14"/>
  <c r="I722" i="14"/>
  <c r="I687" i="14"/>
  <c r="I668" i="14"/>
  <c r="I690" i="14"/>
  <c r="I657" i="14"/>
  <c r="I729" i="14"/>
  <c r="I633" i="14"/>
  <c r="I618" i="14"/>
  <c r="I519" i="14"/>
  <c r="V653" i="14"/>
  <c r="A653" i="14" s="1"/>
  <c r="I731" i="14"/>
  <c r="V558" i="14"/>
  <c r="A558" i="14" s="1"/>
  <c r="V598" i="14"/>
  <c r="A598" i="14" s="1"/>
  <c r="I741" i="14"/>
  <c r="V539" i="14"/>
  <c r="A539" i="14" s="1"/>
  <c r="V544" i="14"/>
  <c r="A544" i="14" s="1"/>
  <c r="J581" i="14" l="1"/>
  <c r="J737" i="14"/>
  <c r="J536" i="14"/>
  <c r="J585" i="14"/>
  <c r="J743" i="14"/>
  <c r="J678" i="14"/>
  <c r="J633" i="14"/>
  <c r="J663" i="14"/>
  <c r="J740" i="14"/>
  <c r="J524" i="14"/>
  <c r="J637" i="14"/>
  <c r="J588" i="14"/>
  <c r="J639" i="14"/>
  <c r="J566" i="14"/>
  <c r="J742" i="14"/>
  <c r="J720" i="14"/>
  <c r="J677" i="14"/>
  <c r="J735" i="14"/>
  <c r="J577" i="14"/>
  <c r="J548" i="14"/>
  <c r="J698" i="14"/>
  <c r="J600" i="14"/>
  <c r="J526" i="14"/>
  <c r="J730" i="14"/>
  <c r="J679" i="14"/>
  <c r="J648" i="14"/>
  <c r="J640" i="14"/>
  <c r="J702" i="14"/>
  <c r="J716" i="14"/>
  <c r="J723" i="14"/>
  <c r="J711" i="14"/>
  <c r="J731" i="14"/>
  <c r="J565" i="14"/>
  <c r="J605" i="14"/>
  <c r="J626" i="14"/>
  <c r="J513" i="14"/>
  <c r="J739" i="14"/>
  <c r="J625" i="14"/>
  <c r="J505" i="14"/>
  <c r="J615" i="14"/>
  <c r="J656" i="14"/>
  <c r="J728" i="14"/>
  <c r="J717" i="14"/>
  <c r="J684" i="14"/>
  <c r="J617" i="14"/>
  <c r="J710" i="14"/>
  <c r="J558" i="14"/>
  <c r="J715" i="14"/>
  <c r="J683" i="14"/>
  <c r="J666" i="14"/>
  <c r="J584" i="14"/>
  <c r="J632" i="14"/>
  <c r="J593" i="14"/>
  <c r="J527" i="14"/>
  <c r="J709" i="14"/>
  <c r="J535" i="14"/>
  <c r="J589" i="14"/>
  <c r="J646" i="14"/>
  <c r="J579" i="14"/>
  <c r="J598" i="14"/>
  <c r="J523" i="14"/>
  <c r="J541" i="14"/>
  <c r="J555" i="14"/>
  <c r="J714" i="14"/>
  <c r="J712" i="14"/>
  <c r="J667" i="14"/>
  <c r="J503" i="14"/>
  <c r="J734" i="14"/>
  <c r="J713" i="14"/>
  <c r="J599" i="14"/>
  <c r="J559" i="14"/>
  <c r="J532" i="14"/>
  <c r="J582" i="14"/>
  <c r="J685" i="14"/>
  <c r="J706" i="14"/>
  <c r="J699" i="14"/>
  <c r="J624" i="14"/>
  <c r="J602" i="14"/>
  <c r="J580" i="14"/>
  <c r="J533" i="14"/>
  <c r="J630" i="14"/>
  <c r="J547" i="14"/>
  <c r="J568" i="14"/>
  <c r="J623" i="14"/>
  <c r="J539" i="14"/>
  <c r="J574" i="14"/>
  <c r="J531" i="14"/>
  <c r="J680" i="14"/>
  <c r="J511" i="14"/>
  <c r="J586" i="14"/>
  <c r="J525" i="14"/>
  <c r="J725" i="14"/>
  <c r="J560" i="14"/>
  <c r="J695" i="14"/>
  <c r="J619" i="14"/>
  <c r="J736" i="14"/>
  <c r="J700" i="14"/>
  <c r="J733" i="14"/>
  <c r="J609" i="14"/>
  <c r="J638" i="14"/>
  <c r="J504" i="14"/>
  <c r="J664" i="14"/>
  <c r="J661" i="14"/>
  <c r="J642" i="14"/>
  <c r="J597" i="14"/>
  <c r="J724" i="14"/>
  <c r="J705" i="14"/>
  <c r="J627" i="14"/>
  <c r="J509" i="14"/>
  <c r="J655" i="14"/>
  <c r="J508" i="14"/>
  <c r="J618" i="14"/>
  <c r="J653" i="14"/>
  <c r="J567" i="14"/>
  <c r="J688" i="14"/>
  <c r="J572" i="14"/>
  <c r="J575" i="14"/>
  <c r="J612" i="14"/>
  <c r="J530" i="14"/>
  <c r="J689" i="14"/>
  <c r="J596" i="14"/>
  <c r="J517" i="14"/>
  <c r="J501" i="14"/>
  <c r="J516" i="14"/>
  <c r="J719" i="14"/>
  <c r="J552" i="14"/>
  <c r="J654" i="14"/>
  <c r="J610" i="14"/>
  <c r="J506" i="14"/>
  <c r="J510" i="14"/>
  <c r="J557" i="14"/>
  <c r="J563" i="14"/>
  <c r="J718" i="14"/>
  <c r="J512" i="14"/>
  <c r="J616" i="14"/>
  <c r="J650" i="14"/>
  <c r="J545" i="14"/>
  <c r="J634" i="14"/>
  <c r="J611" i="14"/>
  <c r="J603" i="14"/>
  <c r="J515" i="14"/>
  <c r="J628" i="14"/>
  <c r="J518" i="14"/>
  <c r="J578" i="14"/>
  <c r="J620" i="14"/>
  <c r="J564" i="14"/>
  <c r="J562" i="14"/>
  <c r="J551" i="14"/>
  <c r="J687" i="14"/>
  <c r="J692" i="14"/>
  <c r="J707" i="14"/>
  <c r="J520" i="14"/>
  <c r="J608" i="14"/>
  <c r="J662" i="14"/>
  <c r="J697" i="14"/>
  <c r="J583" i="14"/>
  <c r="J569" i="14"/>
  <c r="J721" i="14"/>
  <c r="J675" i="14"/>
  <c r="J694" i="14"/>
  <c r="J647" i="14"/>
  <c r="J682" i="14"/>
  <c r="J543" i="14"/>
  <c r="J643" i="14"/>
  <c r="J660" i="14"/>
  <c r="J550" i="14"/>
  <c r="J534" i="14"/>
  <c r="J621" i="14"/>
  <c r="J641" i="14"/>
  <c r="J676" i="14"/>
  <c r="J659" i="14"/>
  <c r="J587" i="14"/>
  <c r="J502" i="14"/>
  <c r="J549" i="14"/>
  <c r="J649" i="14"/>
  <c r="J544" i="14"/>
  <c r="J601" i="14"/>
  <c r="J622" i="14"/>
  <c r="J631" i="14"/>
  <c r="J696" i="14"/>
  <c r="J595" i="14"/>
  <c r="J726" i="14"/>
  <c r="J665" i="14"/>
  <c r="J546" i="14"/>
  <c r="J613" i="14"/>
  <c r="J519" i="14"/>
  <c r="J668" i="14"/>
  <c r="J681" i="14"/>
  <c r="J672" i="14"/>
  <c r="J607" i="14"/>
  <c r="J703" i="14"/>
  <c r="J538" i="14"/>
  <c r="J669" i="14"/>
  <c r="J727" i="14"/>
  <c r="J606" i="14"/>
  <c r="J521" i="14"/>
  <c r="J591" i="14"/>
  <c r="J636" i="14"/>
  <c r="J573" i="14"/>
  <c r="J592" i="14"/>
  <c r="J540" i="14"/>
  <c r="J657" i="14"/>
  <c r="J553" i="14"/>
  <c r="J651" i="14"/>
  <c r="J529" i="14"/>
  <c r="J556" i="14"/>
  <c r="M136" i="10"/>
  <c r="V135" i="10"/>
  <c r="J629" i="14"/>
  <c r="J704" i="14"/>
  <c r="J644" i="14"/>
  <c r="J738" i="14"/>
  <c r="J554" i="14"/>
  <c r="J658" i="14"/>
  <c r="J604" i="14"/>
  <c r="J542" i="14"/>
  <c r="J514" i="14"/>
  <c r="J670" i="14"/>
  <c r="J732" i="14"/>
  <c r="J686" i="14"/>
  <c r="J673" i="14"/>
  <c r="J693" i="14"/>
  <c r="J691" i="14"/>
  <c r="J690" i="14"/>
  <c r="L137" i="10"/>
  <c r="U136" i="10"/>
  <c r="J741" i="14"/>
  <c r="J528" i="14"/>
  <c r="J729" i="14"/>
  <c r="J614" i="14"/>
  <c r="J674" i="14"/>
  <c r="J652" i="14"/>
  <c r="AA6" i="14"/>
  <c r="J645" i="14"/>
  <c r="J576" i="14"/>
  <c r="J594" i="14"/>
  <c r="J590" i="14"/>
  <c r="J571" i="14"/>
  <c r="J722" i="14"/>
  <c r="J561" i="14"/>
  <c r="J522" i="14"/>
  <c r="J701" i="14"/>
  <c r="J570" i="14"/>
  <c r="J507" i="14"/>
  <c r="J635" i="14"/>
  <c r="J671" i="14"/>
  <c r="J537" i="14"/>
  <c r="D135" i="13" l="1"/>
  <c r="AB6" i="14"/>
  <c r="E135" i="13"/>
  <c r="H155" i="13"/>
  <c r="G135" i="13"/>
  <c r="J135" i="13"/>
  <c r="K155" i="13"/>
  <c r="J155" i="13"/>
  <c r="I135" i="13"/>
  <c r="U137" i="10"/>
  <c r="L138" i="10"/>
  <c r="M137" i="10"/>
  <c r="V136" i="10"/>
  <c r="U138" i="10" l="1"/>
  <c r="L139" i="10"/>
  <c r="M138" i="10"/>
  <c r="V137" i="10"/>
  <c r="K135" i="13"/>
  <c r="G102" i="13" s="1"/>
  <c r="L135" i="13"/>
  <c r="D155" i="13"/>
  <c r="AJ29" i="14" s="1"/>
  <c r="V138" i="10" l="1"/>
  <c r="M139" i="10"/>
  <c r="L140" i="10"/>
  <c r="U139" i="10"/>
  <c r="AA49" i="14"/>
  <c r="H102" i="13" s="1"/>
  <c r="AB49" i="14"/>
  <c r="I102" i="13"/>
  <c r="L141" i="10" l="1"/>
  <c r="U140" i="10"/>
  <c r="V139" i="10"/>
  <c r="M140" i="10"/>
  <c r="M141" i="10" l="1"/>
  <c r="V140" i="10"/>
  <c r="L142" i="10"/>
  <c r="U141" i="10"/>
  <c r="L143" i="10" l="1"/>
  <c r="U142" i="10"/>
  <c r="M142" i="10"/>
  <c r="V141" i="10"/>
  <c r="V142" i="10" l="1"/>
  <c r="M143" i="10"/>
  <c r="L144" i="10"/>
  <c r="U143" i="10"/>
  <c r="V143" i="10" l="1"/>
  <c r="M144" i="10"/>
  <c r="L145" i="10"/>
  <c r="U144" i="10"/>
  <c r="L146" i="10" l="1"/>
  <c r="U145" i="10"/>
  <c r="M145" i="10"/>
  <c r="V144" i="10"/>
  <c r="M146" i="10" l="1"/>
  <c r="V145" i="10"/>
  <c r="L147" i="10"/>
  <c r="U146" i="10"/>
  <c r="U147" i="10" l="1"/>
  <c r="L148" i="10"/>
  <c r="M147" i="10"/>
  <c r="V146" i="10"/>
  <c r="M148" i="10" l="1"/>
  <c r="V147" i="10"/>
  <c r="U148" i="10"/>
  <c r="L149" i="10"/>
  <c r="U149" i="10" l="1"/>
  <c r="L150" i="10"/>
  <c r="V148" i="10"/>
  <c r="M149" i="10"/>
  <c r="M150" i="10" l="1"/>
  <c r="V149" i="10"/>
  <c r="U150" i="10"/>
  <c r="L151" i="10"/>
  <c r="L152" i="10" l="1"/>
  <c r="U151" i="10"/>
  <c r="M151" i="10"/>
  <c r="V150" i="10"/>
  <c r="M152" i="10" l="1"/>
  <c r="V151" i="10"/>
  <c r="L153" i="10"/>
  <c r="U152" i="10"/>
  <c r="U153" i="10" l="1"/>
  <c r="L154" i="10"/>
  <c r="M153" i="10"/>
  <c r="V152" i="10"/>
  <c r="M154" i="10" l="1"/>
  <c r="V153" i="10"/>
  <c r="L155" i="10"/>
  <c r="U154" i="10"/>
  <c r="L156" i="10" l="1"/>
  <c r="U155" i="10"/>
  <c r="V154" i="10"/>
  <c r="M155" i="10"/>
  <c r="M156" i="10" l="1"/>
  <c r="V155" i="10"/>
  <c r="L157" i="10"/>
  <c r="U156" i="10"/>
  <c r="U157" i="10" l="1"/>
  <c r="L158" i="10"/>
  <c r="V156" i="10"/>
  <c r="M157" i="10"/>
  <c r="U158" i="10" l="1"/>
  <c r="L159" i="10"/>
  <c r="V157" i="10"/>
  <c r="M158" i="10"/>
  <c r="L160" i="10" l="1"/>
  <c r="U159" i="10"/>
  <c r="M159" i="10"/>
  <c r="V158" i="10"/>
  <c r="V159" i="10" l="1"/>
  <c r="M160" i="10"/>
  <c r="L161" i="10"/>
  <c r="U160" i="10"/>
  <c r="L162" i="10" l="1"/>
  <c r="U161" i="10"/>
  <c r="M161" i="10"/>
  <c r="V160" i="10"/>
  <c r="V161" i="10" l="1"/>
  <c r="M162" i="10"/>
  <c r="L163" i="10"/>
  <c r="U162" i="10"/>
  <c r="L164" i="10" l="1"/>
  <c r="U163" i="10"/>
  <c r="M163" i="10"/>
  <c r="V162" i="10"/>
  <c r="V163" i="10" l="1"/>
  <c r="M164" i="10"/>
  <c r="U164" i="10"/>
  <c r="L165" i="10"/>
  <c r="U165" i="10" l="1"/>
  <c r="L166" i="10"/>
  <c r="V164" i="10"/>
  <c r="M165" i="10"/>
  <c r="V165" i="10" l="1"/>
  <c r="M166" i="10"/>
  <c r="L167" i="10"/>
  <c r="U166" i="10"/>
  <c r="U167" i="10" l="1"/>
  <c r="L168" i="10"/>
  <c r="M167" i="10"/>
  <c r="V166" i="10"/>
  <c r="M168" i="10" l="1"/>
  <c r="V167" i="10"/>
  <c r="L169" i="10"/>
  <c r="U168" i="10"/>
  <c r="U169" i="10" l="1"/>
  <c r="L170" i="10"/>
  <c r="V168" i="10"/>
  <c r="M169" i="10"/>
  <c r="V169" i="10" l="1"/>
  <c r="M170" i="10"/>
  <c r="U170" i="10"/>
  <c r="L171" i="10"/>
  <c r="U171" i="10" l="1"/>
  <c r="L172" i="10"/>
  <c r="E154" i="12"/>
  <c r="M171" i="10"/>
  <c r="V170" i="10"/>
  <c r="V171" i="10" l="1"/>
  <c r="F154" i="12"/>
  <c r="F103" i="13" s="1"/>
  <c r="M172" i="10"/>
  <c r="F203" i="13"/>
  <c r="E103" i="13"/>
  <c r="L173" i="10"/>
  <c r="U172" i="10"/>
  <c r="M173" i="10" l="1"/>
  <c r="V172" i="10"/>
  <c r="U173" i="10"/>
  <c r="L174" i="10"/>
  <c r="AN30" i="14"/>
  <c r="AD50" i="14"/>
  <c r="AM30" i="14"/>
  <c r="Z50" i="14"/>
  <c r="AO30" i="14"/>
  <c r="AL30" i="14"/>
  <c r="AP30" i="14"/>
  <c r="O895" i="14" l="1"/>
  <c r="U895" i="14" s="1"/>
  <c r="O853" i="14"/>
  <c r="U853" i="14" s="1"/>
  <c r="O819" i="14"/>
  <c r="U819" i="14" s="1"/>
  <c r="O769" i="14"/>
  <c r="U769" i="14" s="1"/>
  <c r="O759" i="14"/>
  <c r="U759" i="14" s="1"/>
  <c r="O749" i="14"/>
  <c r="U749" i="14" s="1"/>
  <c r="O811" i="14"/>
  <c r="U811" i="14" s="1"/>
  <c r="O793" i="14"/>
  <c r="U793" i="14" s="1"/>
  <c r="O815" i="14"/>
  <c r="U815" i="14" s="1"/>
  <c r="O805" i="14"/>
  <c r="U805" i="14" s="1"/>
  <c r="O782" i="14"/>
  <c r="U782" i="14" s="1"/>
  <c r="O926" i="14"/>
  <c r="U926" i="14" s="1"/>
  <c r="O916" i="14"/>
  <c r="U916" i="14" s="1"/>
  <c r="O978" i="14"/>
  <c r="U978" i="14" s="1"/>
  <c r="O864" i="14"/>
  <c r="U864" i="14" s="1"/>
  <c r="O991" i="14"/>
  <c r="U991" i="14" s="1"/>
  <c r="O949" i="14"/>
  <c r="U949" i="14" s="1"/>
  <c r="O915" i="14"/>
  <c r="U915" i="14" s="1"/>
  <c r="O865" i="14"/>
  <c r="U865" i="14" s="1"/>
  <c r="O855" i="14"/>
  <c r="U855" i="14" s="1"/>
  <c r="O845" i="14"/>
  <c r="U845" i="14" s="1"/>
  <c r="O907" i="14"/>
  <c r="U907" i="14" s="1"/>
  <c r="O889" i="14"/>
  <c r="U889" i="14" s="1"/>
  <c r="O911" i="14"/>
  <c r="U911" i="14" s="1"/>
  <c r="O901" i="14"/>
  <c r="U901" i="14" s="1"/>
  <c r="O835" i="14"/>
  <c r="U835" i="14" s="1"/>
  <c r="O913" i="14"/>
  <c r="U913" i="14" s="1"/>
  <c r="O967" i="14"/>
  <c r="U967" i="14" s="1"/>
  <c r="O957" i="14"/>
  <c r="U957" i="14" s="1"/>
  <c r="O891" i="14"/>
  <c r="U891" i="14" s="1"/>
  <c r="O905" i="14"/>
  <c r="U905" i="14" s="1"/>
  <c r="I978" i="14"/>
  <c r="O886" i="14"/>
  <c r="U886" i="14" s="1"/>
  <c r="O844" i="14"/>
  <c r="U844" i="14" s="1"/>
  <c r="O810" i="14"/>
  <c r="U810" i="14" s="1"/>
  <c r="O888" i="14"/>
  <c r="U888" i="14" s="1"/>
  <c r="O951" i="14"/>
  <c r="U951" i="14" s="1"/>
  <c r="O813" i="14"/>
  <c r="U813" i="14" s="1"/>
  <c r="O875" i="14"/>
  <c r="U875" i="14" s="1"/>
  <c r="O857" i="14"/>
  <c r="U857" i="14" s="1"/>
  <c r="O879" i="14"/>
  <c r="U879" i="14" s="1"/>
  <c r="O869" i="14"/>
  <c r="U869" i="14" s="1"/>
  <c r="O931" i="14"/>
  <c r="U931" i="14" s="1"/>
  <c r="O808" i="14"/>
  <c r="U808" i="14" s="1"/>
  <c r="O862" i="14"/>
  <c r="U862" i="14" s="1"/>
  <c r="O852" i="14"/>
  <c r="U852" i="14" s="1"/>
  <c r="O987" i="14"/>
  <c r="U987" i="14" s="1"/>
  <c r="O800" i="14"/>
  <c r="U800" i="14" s="1"/>
  <c r="O982" i="14"/>
  <c r="U982" i="14" s="1"/>
  <c r="O940" i="14"/>
  <c r="U940" i="14" s="1"/>
  <c r="O906" i="14"/>
  <c r="U906" i="14" s="1"/>
  <c r="O984" i="14"/>
  <c r="U984" i="14" s="1"/>
  <c r="O974" i="14"/>
  <c r="U974" i="14" s="1"/>
  <c r="O964" i="14"/>
  <c r="U964" i="14" s="1"/>
  <c r="O758" i="14"/>
  <c r="U758" i="14" s="1"/>
  <c r="O902" i="14"/>
  <c r="U902" i="14" s="1"/>
  <c r="O892" i="14"/>
  <c r="U892" i="14" s="1"/>
  <c r="O954" i="14"/>
  <c r="U954" i="14" s="1"/>
  <c r="O904" i="14"/>
  <c r="U904" i="14" s="1"/>
  <c r="O958" i="14"/>
  <c r="U958" i="14" s="1"/>
  <c r="O948" i="14"/>
  <c r="U948" i="14" s="1"/>
  <c r="O896" i="14"/>
  <c r="U896" i="14" s="1"/>
  <c r="I805" i="14"/>
  <c r="O784" i="14"/>
  <c r="U784" i="14" s="1"/>
  <c r="O881" i="14"/>
  <c r="U881" i="14" s="1"/>
  <c r="O925" i="14"/>
  <c r="U925" i="14" s="1"/>
  <c r="O873" i="14"/>
  <c r="U873" i="14" s="1"/>
  <c r="O854" i="14"/>
  <c r="U854" i="14" s="1"/>
  <c r="O812" i="14"/>
  <c r="U812" i="14" s="1"/>
  <c r="O856" i="14"/>
  <c r="U856" i="14" s="1"/>
  <c r="O898" i="14"/>
  <c r="U898" i="14" s="1"/>
  <c r="O975" i="14"/>
  <c r="U975" i="14" s="1"/>
  <c r="O826" i="14"/>
  <c r="U826" i="14" s="1"/>
  <c r="O830" i="14"/>
  <c r="U830" i="14" s="1"/>
  <c r="O882" i="14"/>
  <c r="U882" i="14" s="1"/>
  <c r="I916" i="14"/>
  <c r="O767" i="14"/>
  <c r="U767" i="14" s="1"/>
  <c r="O768" i="14"/>
  <c r="U768" i="14" s="1"/>
  <c r="O952" i="14"/>
  <c r="U952" i="14" s="1"/>
  <c r="O942" i="14"/>
  <c r="U942" i="14" s="1"/>
  <c r="O932" i="14"/>
  <c r="U932" i="14" s="1"/>
  <c r="O976" i="14"/>
  <c r="U976" i="14" s="1"/>
  <c r="O988" i="14"/>
  <c r="U988" i="14" s="1"/>
  <c r="O922" i="14"/>
  <c r="U922" i="14" s="1"/>
  <c r="O872" i="14"/>
  <c r="U872" i="14" s="1"/>
  <c r="O798" i="14"/>
  <c r="U798" i="14" s="1"/>
  <c r="O989" i="14"/>
  <c r="U989" i="14" s="1"/>
  <c r="O850" i="14"/>
  <c r="U850" i="14" s="1"/>
  <c r="O937" i="14"/>
  <c r="U937" i="14" s="1"/>
  <c r="O863" i="14"/>
  <c r="U863" i="14" s="1"/>
  <c r="O821" i="14"/>
  <c r="U821" i="14" s="1"/>
  <c r="O787" i="14"/>
  <c r="U787" i="14" s="1"/>
  <c r="O780" i="14"/>
  <c r="U780" i="14" s="1"/>
  <c r="O770" i="14"/>
  <c r="U770" i="14" s="1"/>
  <c r="O760" i="14"/>
  <c r="U760" i="14" s="1"/>
  <c r="O779" i="14"/>
  <c r="U779" i="14" s="1"/>
  <c r="O761" i="14"/>
  <c r="U761" i="14" s="1"/>
  <c r="O783" i="14"/>
  <c r="U783" i="14" s="1"/>
  <c r="O773" i="14"/>
  <c r="U773" i="14" s="1"/>
  <c r="O750" i="14"/>
  <c r="U750" i="14" s="1"/>
  <c r="O785" i="14"/>
  <c r="U785" i="14" s="1"/>
  <c r="O839" i="14"/>
  <c r="U839" i="14" s="1"/>
  <c r="O829" i="14"/>
  <c r="U829" i="14" s="1"/>
  <c r="O763" i="14"/>
  <c r="U763" i="14" s="1"/>
  <c r="O777" i="14"/>
  <c r="U777" i="14" s="1"/>
  <c r="O959" i="14"/>
  <c r="U959" i="14" s="1"/>
  <c r="O917" i="14"/>
  <c r="U917" i="14" s="1"/>
  <c r="O883" i="14"/>
  <c r="U883" i="14" s="1"/>
  <c r="O961" i="14"/>
  <c r="U961" i="14" s="1"/>
  <c r="O950" i="14"/>
  <c r="U950" i="14" s="1"/>
  <c r="O908" i="14"/>
  <c r="U908" i="14" s="1"/>
  <c r="O874" i="14"/>
  <c r="U874" i="14" s="1"/>
  <c r="O824" i="14"/>
  <c r="U824" i="14" s="1"/>
  <c r="O814" i="14"/>
  <c r="U814" i="14" s="1"/>
  <c r="O804" i="14"/>
  <c r="U804" i="14" s="1"/>
  <c r="O866" i="14"/>
  <c r="U866" i="14" s="1"/>
  <c r="O848" i="14"/>
  <c r="U848" i="14" s="1"/>
  <c r="O870" i="14"/>
  <c r="U870" i="14" s="1"/>
  <c r="O860" i="14"/>
  <c r="U860" i="14" s="1"/>
  <c r="O794" i="14"/>
  <c r="U794" i="14" s="1"/>
  <c r="O945" i="14"/>
  <c r="U945" i="14" s="1"/>
  <c r="O871" i="14"/>
  <c r="U871" i="14" s="1"/>
  <c r="O861" i="14"/>
  <c r="U861" i="14" s="1"/>
  <c r="O923" i="14"/>
  <c r="U923" i="14" s="1"/>
  <c r="O809" i="14"/>
  <c r="U809" i="14" s="1"/>
  <c r="O778" i="14"/>
  <c r="U778" i="14" s="1"/>
  <c r="O970" i="14"/>
  <c r="U970" i="14" s="1"/>
  <c r="O920" i="14"/>
  <c r="U920" i="14" s="1"/>
  <c r="O910" i="14"/>
  <c r="U910" i="14" s="1"/>
  <c r="O900" i="14"/>
  <c r="U900" i="14" s="1"/>
  <c r="O962" i="14"/>
  <c r="U962" i="14" s="1"/>
  <c r="O944" i="14"/>
  <c r="U944" i="14" s="1"/>
  <c r="O966" i="14"/>
  <c r="U966" i="14" s="1"/>
  <c r="O956" i="14"/>
  <c r="U956" i="14" s="1"/>
  <c r="O890" i="14"/>
  <c r="U890" i="14" s="1"/>
  <c r="O968" i="14"/>
  <c r="U968" i="14" s="1"/>
  <c r="O754" i="14"/>
  <c r="U754" i="14" s="1"/>
  <c r="O946" i="14"/>
  <c r="U946" i="14" s="1"/>
  <c r="O960" i="14"/>
  <c r="U960" i="14" s="1"/>
  <c r="I853" i="14"/>
  <c r="O831" i="14"/>
  <c r="U831" i="14" s="1"/>
  <c r="O789" i="14"/>
  <c r="U789" i="14" s="1"/>
  <c r="O755" i="14"/>
  <c r="U755" i="14" s="1"/>
  <c r="O833" i="14"/>
  <c r="U833" i="14" s="1"/>
  <c r="O868" i="14"/>
  <c r="U868" i="14" s="1"/>
  <c r="O930" i="14"/>
  <c r="U930" i="14" s="1"/>
  <c r="O912" i="14"/>
  <c r="U912" i="14" s="1"/>
  <c r="O934" i="14"/>
  <c r="U934" i="14" s="1"/>
  <c r="O924" i="14"/>
  <c r="U924" i="14" s="1"/>
  <c r="O986" i="14"/>
  <c r="U986" i="14" s="1"/>
  <c r="I759" i="14"/>
  <c r="O753" i="14"/>
  <c r="U753" i="14" s="1"/>
  <c r="O807" i="14"/>
  <c r="U807" i="14" s="1"/>
  <c r="O797" i="14"/>
  <c r="U797" i="14" s="1"/>
  <c r="O774" i="14"/>
  <c r="U774" i="14" s="1"/>
  <c r="O788" i="14"/>
  <c r="U788" i="14" s="1"/>
  <c r="I819" i="14"/>
  <c r="O927" i="14"/>
  <c r="U927" i="14" s="1"/>
  <c r="O885" i="14"/>
  <c r="U885" i="14" s="1"/>
  <c r="O851" i="14"/>
  <c r="U851" i="14" s="1"/>
  <c r="O929" i="14"/>
  <c r="U929" i="14" s="1"/>
  <c r="O919" i="14"/>
  <c r="U919" i="14" s="1"/>
  <c r="O909" i="14"/>
  <c r="U909" i="14" s="1"/>
  <c r="O971" i="14"/>
  <c r="U971" i="14" s="1"/>
  <c r="O953" i="14"/>
  <c r="U953" i="14" s="1"/>
  <c r="O847" i="14"/>
  <c r="U847" i="14" s="1"/>
  <c r="O837" i="14"/>
  <c r="U837" i="14" s="1"/>
  <c r="O899" i="14"/>
  <c r="U899" i="14" s="1"/>
  <c r="O849" i="14"/>
  <c r="U849" i="14" s="1"/>
  <c r="O903" i="14"/>
  <c r="U903" i="14" s="1"/>
  <c r="O893" i="14"/>
  <c r="U893" i="14" s="1"/>
  <c r="O955" i="14"/>
  <c r="U955" i="14" s="1"/>
  <c r="O841" i="14"/>
  <c r="U841" i="14" s="1"/>
  <c r="I839" i="14"/>
  <c r="I951" i="14"/>
  <c r="O772" i="14"/>
  <c r="U772" i="14" s="1"/>
  <c r="O969" i="14"/>
  <c r="U969" i="14" s="1"/>
  <c r="O822" i="14"/>
  <c r="U822" i="14" s="1"/>
  <c r="O981" i="14"/>
  <c r="U981" i="14" s="1"/>
  <c r="O947" i="14"/>
  <c r="U947" i="14" s="1"/>
  <c r="O897" i="14"/>
  <c r="U897" i="14" s="1"/>
  <c r="O887" i="14"/>
  <c r="U887" i="14" s="1"/>
  <c r="O877" i="14"/>
  <c r="U877" i="14" s="1"/>
  <c r="O939" i="14"/>
  <c r="U939" i="14" s="1"/>
  <c r="O921" i="14"/>
  <c r="U921" i="14" s="1"/>
  <c r="O943" i="14"/>
  <c r="U943" i="14" s="1"/>
  <c r="O933" i="14"/>
  <c r="U933" i="14" s="1"/>
  <c r="O867" i="14"/>
  <c r="U867" i="14" s="1"/>
  <c r="O817" i="14"/>
  <c r="U817" i="14" s="1"/>
  <c r="O786" i="14"/>
  <c r="U786" i="14" s="1"/>
  <c r="O776" i="14"/>
  <c r="U776" i="14" s="1"/>
  <c r="O795" i="14"/>
  <c r="U795" i="14" s="1"/>
  <c r="O918" i="14"/>
  <c r="U918" i="14" s="1"/>
  <c r="O876" i="14"/>
  <c r="U876" i="14" s="1"/>
  <c r="O842" i="14"/>
  <c r="U842" i="14" s="1"/>
  <c r="O792" i="14"/>
  <c r="U792" i="14" s="1"/>
  <c r="O983" i="14"/>
  <c r="U983" i="14" s="1"/>
  <c r="O973" i="14"/>
  <c r="U973" i="14" s="1"/>
  <c r="O834" i="14"/>
  <c r="U834" i="14" s="1"/>
  <c r="O816" i="14"/>
  <c r="U816" i="14" s="1"/>
  <c r="O838" i="14"/>
  <c r="U838" i="14" s="1"/>
  <c r="O828" i="14"/>
  <c r="U828" i="14" s="1"/>
  <c r="O963" i="14"/>
  <c r="U963" i="14" s="1"/>
  <c r="O840" i="14"/>
  <c r="U840" i="14" s="1"/>
  <c r="O894" i="14"/>
  <c r="U894" i="14" s="1"/>
  <c r="O884" i="14"/>
  <c r="U884" i="14" s="1"/>
  <c r="O818" i="14"/>
  <c r="U818" i="14" s="1"/>
  <c r="O832" i="14"/>
  <c r="U832" i="14" s="1"/>
  <c r="O972" i="14"/>
  <c r="U972" i="14" s="1"/>
  <c r="O938" i="14"/>
  <c r="U938" i="14" s="1"/>
  <c r="I895" i="14"/>
  <c r="O878" i="14"/>
  <c r="U878" i="14" s="1"/>
  <c r="O941" i="14"/>
  <c r="U941" i="14" s="1"/>
  <c r="O802" i="14"/>
  <c r="U802" i="14" s="1"/>
  <c r="O985" i="14"/>
  <c r="U985" i="14" s="1"/>
  <c r="O806" i="14"/>
  <c r="U806" i="14" s="1"/>
  <c r="O796" i="14"/>
  <c r="U796" i="14" s="1"/>
  <c r="O858" i="14"/>
  <c r="U858" i="14" s="1"/>
  <c r="O936" i="14"/>
  <c r="U936" i="14" s="1"/>
  <c r="O990" i="14"/>
  <c r="U990" i="14" s="1"/>
  <c r="O980" i="14"/>
  <c r="U980" i="14" s="1"/>
  <c r="O914" i="14"/>
  <c r="U914" i="14" s="1"/>
  <c r="O928" i="14"/>
  <c r="U928" i="14" s="1"/>
  <c r="O799" i="14"/>
  <c r="U799" i="14" s="1"/>
  <c r="O757" i="14"/>
  <c r="U757" i="14" s="1"/>
  <c r="O766" i="14"/>
  <c r="U766" i="14" s="1"/>
  <c r="O801" i="14"/>
  <c r="U801" i="14" s="1"/>
  <c r="O791" i="14"/>
  <c r="U791" i="14" s="1"/>
  <c r="O781" i="14"/>
  <c r="U781" i="14" s="1"/>
  <c r="O843" i="14"/>
  <c r="U843" i="14" s="1"/>
  <c r="O825" i="14"/>
  <c r="U825" i="14" s="1"/>
  <c r="O762" i="14"/>
  <c r="U762" i="14" s="1"/>
  <c r="O752" i="14"/>
  <c r="U752" i="14" s="1"/>
  <c r="O771" i="14"/>
  <c r="U771" i="14" s="1"/>
  <c r="O764" i="14"/>
  <c r="U764" i="14" s="1"/>
  <c r="O775" i="14"/>
  <c r="U775" i="14" s="1"/>
  <c r="O765" i="14"/>
  <c r="U765" i="14" s="1"/>
  <c r="O827" i="14"/>
  <c r="U827" i="14" s="1"/>
  <c r="O756" i="14"/>
  <c r="U756" i="14" s="1"/>
  <c r="I785" i="14"/>
  <c r="I749" i="14"/>
  <c r="O790" i="14"/>
  <c r="U790" i="14" s="1"/>
  <c r="O751" i="14"/>
  <c r="U751" i="14" s="1"/>
  <c r="O803" i="14"/>
  <c r="U803" i="14" s="1"/>
  <c r="O935" i="14"/>
  <c r="U935" i="14" s="1"/>
  <c r="O859" i="14"/>
  <c r="U859" i="14" s="1"/>
  <c r="I864" i="14"/>
  <c r="O979" i="14"/>
  <c r="U979" i="14" s="1"/>
  <c r="O846" i="14"/>
  <c r="U846" i="14" s="1"/>
  <c r="O836" i="14"/>
  <c r="U836" i="14" s="1"/>
  <c r="O880" i="14"/>
  <c r="U880" i="14" s="1"/>
  <c r="O965" i="14"/>
  <c r="U965" i="14" s="1"/>
  <c r="O977" i="14"/>
  <c r="U977" i="14" s="1"/>
  <c r="O820" i="14"/>
  <c r="U820" i="14" s="1"/>
  <c r="I777" i="14"/>
  <c r="I815" i="14"/>
  <c r="O823" i="14"/>
  <c r="U823" i="14" s="1"/>
  <c r="I869" i="14"/>
  <c r="I910" i="14"/>
  <c r="I891" i="14"/>
  <c r="I907" i="14"/>
  <c r="I901" i="14"/>
  <c r="I886" i="14"/>
  <c r="I852" i="14"/>
  <c r="I826" i="14"/>
  <c r="I809" i="14"/>
  <c r="I915" i="14"/>
  <c r="I807" i="14"/>
  <c r="I905" i="14"/>
  <c r="I811" i="14"/>
  <c r="I813" i="14"/>
  <c r="I872" i="14"/>
  <c r="I966" i="14"/>
  <c r="I835" i="14"/>
  <c r="I949" i="14"/>
  <c r="I964" i="14"/>
  <c r="I948" i="14"/>
  <c r="I831" i="14"/>
  <c r="I982" i="14"/>
  <c r="I892" i="14"/>
  <c r="I824" i="14"/>
  <c r="I954" i="14"/>
  <c r="I862" i="14"/>
  <c r="I889" i="14"/>
  <c r="I974" i="14"/>
  <c r="I940" i="14"/>
  <c r="I957" i="14"/>
  <c r="I845" i="14"/>
  <c r="I844" i="14"/>
  <c r="I754" i="14"/>
  <c r="I865" i="14"/>
  <c r="L775" i="14"/>
  <c r="R775" i="14" s="1"/>
  <c r="L894" i="14"/>
  <c r="R894" i="14" s="1"/>
  <c r="L835" i="14"/>
  <c r="R835" i="14" s="1"/>
  <c r="L978" i="14"/>
  <c r="R978" i="14" s="1"/>
  <c r="L914" i="14"/>
  <c r="R914" i="14" s="1"/>
  <c r="L789" i="14"/>
  <c r="R789" i="14" s="1"/>
  <c r="L868" i="14"/>
  <c r="R868" i="14" s="1"/>
  <c r="L879" i="14"/>
  <c r="R879" i="14" s="1"/>
  <c r="L901" i="14"/>
  <c r="R901" i="14" s="1"/>
  <c r="L834" i="14"/>
  <c r="R834" i="14" s="1"/>
  <c r="L796" i="14"/>
  <c r="R796" i="14" s="1"/>
  <c r="L976" i="14"/>
  <c r="R976" i="14" s="1"/>
  <c r="L957" i="14"/>
  <c r="R957" i="14" s="1"/>
  <c r="L818" i="14"/>
  <c r="R818" i="14" s="1"/>
  <c r="L755" i="14"/>
  <c r="R755" i="14" s="1"/>
  <c r="L927" i="14"/>
  <c r="R927" i="14" s="1"/>
  <c r="L810" i="14"/>
  <c r="R810" i="14" s="1"/>
  <c r="L776" i="14"/>
  <c r="R776" i="14" s="1"/>
  <c r="L876" i="14"/>
  <c r="R876" i="14" s="1"/>
  <c r="L983" i="14"/>
  <c r="R983" i="14" s="1"/>
  <c r="L858" i="14"/>
  <c r="R858" i="14" s="1"/>
  <c r="L757" i="14"/>
  <c r="R757" i="14" s="1"/>
  <c r="L836" i="14"/>
  <c r="R836" i="14" s="1"/>
  <c r="L847" i="14"/>
  <c r="R847" i="14" s="1"/>
  <c r="L869" i="14"/>
  <c r="R869" i="14" s="1"/>
  <c r="L947" i="14"/>
  <c r="R947" i="14" s="1"/>
  <c r="L921" i="14"/>
  <c r="R921" i="14" s="1"/>
  <c r="L816" i="14"/>
  <c r="R816" i="14" s="1"/>
  <c r="L870" i="14"/>
  <c r="R870" i="14" s="1"/>
  <c r="L980" i="14"/>
  <c r="R980" i="14" s="1"/>
  <c r="L986" i="14"/>
  <c r="R986" i="14" s="1"/>
  <c r="L754" i="14"/>
  <c r="R754" i="14" s="1"/>
  <c r="L830" i="14"/>
  <c r="R830" i="14" s="1"/>
  <c r="L844" i="14"/>
  <c r="R844" i="14" s="1"/>
  <c r="L951" i="14"/>
  <c r="R951" i="14" s="1"/>
  <c r="L794" i="14"/>
  <c r="R794" i="14" s="1"/>
  <c r="L768" i="14"/>
  <c r="R768" i="14" s="1"/>
  <c r="L932" i="14"/>
  <c r="R932" i="14" s="1"/>
  <c r="L943" i="14"/>
  <c r="R943" i="14" s="1"/>
  <c r="L906" i="14"/>
  <c r="R906" i="14" s="1"/>
  <c r="L781" i="14"/>
  <c r="R781" i="14" s="1"/>
  <c r="L774" i="14"/>
  <c r="R774" i="14" s="1"/>
  <c r="L912" i="14"/>
  <c r="R912" i="14" s="1"/>
  <c r="L966" i="14"/>
  <c r="R966" i="14" s="1"/>
  <c r="L875" i="14"/>
  <c r="R875" i="14" s="1"/>
  <c r="L808" i="14"/>
  <c r="R808" i="14" s="1"/>
  <c r="L926" i="14"/>
  <c r="R926" i="14" s="1"/>
  <c r="L940" i="14"/>
  <c r="R940" i="14" s="1"/>
  <c r="L919" i="14"/>
  <c r="R919" i="14" s="1"/>
  <c r="L772" i="14"/>
  <c r="R772" i="14" s="1"/>
  <c r="L764" i="14"/>
  <c r="R764" i="14" s="1"/>
  <c r="L771" i="14"/>
  <c r="R771" i="14" s="1"/>
  <c r="L984" i="14"/>
  <c r="R984" i="14" s="1"/>
  <c r="L933" i="14"/>
  <c r="R933" i="14" s="1"/>
  <c r="L898" i="14"/>
  <c r="R898" i="14" s="1"/>
  <c r="L985" i="14"/>
  <c r="R985" i="14" s="1"/>
  <c r="L880" i="14"/>
  <c r="R880" i="14" s="1"/>
  <c r="L861" i="14"/>
  <c r="R861" i="14" s="1"/>
  <c r="L971" i="14"/>
  <c r="R971" i="14" s="1"/>
  <c r="L977" i="14"/>
  <c r="R977" i="14" s="1"/>
  <c r="L831" i="14"/>
  <c r="R831" i="14" s="1"/>
  <c r="L949" i="14"/>
  <c r="R949" i="14" s="1"/>
  <c r="L802" i="14"/>
  <c r="R802" i="14" s="1"/>
  <c r="L779" i="14"/>
  <c r="R779" i="14" s="1"/>
  <c r="L960" i="14"/>
  <c r="R960" i="14" s="1"/>
  <c r="L845" i="14"/>
  <c r="R845" i="14" s="1"/>
  <c r="L923" i="14"/>
  <c r="R923" i="14" s="1"/>
  <c r="L897" i="14"/>
  <c r="R897" i="14" s="1"/>
  <c r="L824" i="14"/>
  <c r="R824" i="14" s="1"/>
  <c r="L846" i="14"/>
  <c r="R846" i="14" s="1"/>
  <c r="L851" i="14"/>
  <c r="R851" i="14" s="1"/>
  <c r="L825" i="14"/>
  <c r="R825" i="14" s="1"/>
  <c r="L762" i="14"/>
  <c r="R762" i="14" s="1"/>
  <c r="L902" i="14"/>
  <c r="R902" i="14" s="1"/>
  <c r="L811" i="14"/>
  <c r="R811" i="14" s="1"/>
  <c r="L817" i="14"/>
  <c r="R817" i="14" s="1"/>
  <c r="L872" i="14"/>
  <c r="R872" i="14" s="1"/>
  <c r="L990" i="14"/>
  <c r="R990" i="14" s="1"/>
  <c r="L931" i="14"/>
  <c r="R931" i="14" s="1"/>
  <c r="L946" i="14"/>
  <c r="R946" i="14" s="1"/>
  <c r="L928" i="14"/>
  <c r="R928" i="14" s="1"/>
  <c r="L813" i="14"/>
  <c r="R813" i="14" s="1"/>
  <c r="L891" i="14"/>
  <c r="R891" i="14" s="1"/>
  <c r="L865" i="14"/>
  <c r="R865" i="14" s="1"/>
  <c r="L792" i="14"/>
  <c r="R792" i="14" s="1"/>
  <c r="L814" i="14"/>
  <c r="R814" i="14" s="1"/>
  <c r="L892" i="14"/>
  <c r="R892" i="14" s="1"/>
  <c r="L871" i="14"/>
  <c r="R871" i="14" s="1"/>
  <c r="L925" i="14"/>
  <c r="R925" i="14" s="1"/>
  <c r="L753" i="14"/>
  <c r="R753" i="14" s="1"/>
  <c r="L766" i="14"/>
  <c r="R766" i="14" s="1"/>
  <c r="L968" i="14"/>
  <c r="R968" i="14" s="1"/>
  <c r="L885" i="14"/>
  <c r="R885" i="14" s="1"/>
  <c r="L899" i="14"/>
  <c r="R899" i="14" s="1"/>
  <c r="L969" i="14"/>
  <c r="R969" i="14" s="1"/>
  <c r="L896" i="14"/>
  <c r="R896" i="14" s="1"/>
  <c r="L982" i="14"/>
  <c r="R982" i="14" s="1"/>
  <c r="L987" i="14"/>
  <c r="R987" i="14" s="1"/>
  <c r="L961" i="14"/>
  <c r="R961" i="14" s="1"/>
  <c r="L888" i="14"/>
  <c r="R888" i="14" s="1"/>
  <c r="L837" i="14"/>
  <c r="R837" i="14" s="1"/>
  <c r="L988" i="14"/>
  <c r="R988" i="14" s="1"/>
  <c r="L967" i="14"/>
  <c r="R967" i="14" s="1"/>
  <c r="L954" i="14"/>
  <c r="R954" i="14" s="1"/>
  <c r="L752" i="14"/>
  <c r="R752" i="14" s="1"/>
  <c r="L820" i="14"/>
  <c r="R820" i="14" s="1"/>
  <c r="L863" i="14"/>
  <c r="R863" i="14" s="1"/>
  <c r="L981" i="14"/>
  <c r="R981" i="14" s="1"/>
  <c r="L866" i="14"/>
  <c r="R866" i="14" s="1"/>
  <c r="L937" i="14"/>
  <c r="R937" i="14" s="1"/>
  <c r="L864" i="14"/>
  <c r="R864" i="14" s="1"/>
  <c r="L950" i="14"/>
  <c r="R950" i="14" s="1"/>
  <c r="L827" i="14"/>
  <c r="R827" i="14" s="1"/>
  <c r="L801" i="14"/>
  <c r="R801" i="14" s="1"/>
  <c r="L770" i="14"/>
  <c r="R770" i="14" s="1"/>
  <c r="L878" i="14"/>
  <c r="R878" i="14" s="1"/>
  <c r="L956" i="14"/>
  <c r="R956" i="14" s="1"/>
  <c r="L935" i="14"/>
  <c r="R935" i="14" s="1"/>
  <c r="L882" i="14"/>
  <c r="R882" i="14" s="1"/>
  <c r="L806" i="14"/>
  <c r="R806" i="14" s="1"/>
  <c r="L916" i="14"/>
  <c r="R916" i="14" s="1"/>
  <c r="L904" i="14"/>
  <c r="R904" i="14" s="1"/>
  <c r="L821" i="14"/>
  <c r="R821" i="14" s="1"/>
  <c r="L963" i="14"/>
  <c r="R963" i="14" s="1"/>
  <c r="L905" i="14"/>
  <c r="R905" i="14" s="1"/>
  <c r="L832" i="14"/>
  <c r="R832" i="14" s="1"/>
  <c r="L918" i="14"/>
  <c r="R918" i="14" s="1"/>
  <c r="L795" i="14"/>
  <c r="R795" i="14" s="1"/>
  <c r="L970" i="14"/>
  <c r="R970" i="14" s="1"/>
  <c r="L777" i="14"/>
  <c r="R777" i="14" s="1"/>
  <c r="L760" i="14"/>
  <c r="R760" i="14" s="1"/>
  <c r="L924" i="14"/>
  <c r="R924" i="14" s="1"/>
  <c r="L903" i="14"/>
  <c r="R903" i="14" s="1"/>
  <c r="L826" i="14"/>
  <c r="R826" i="14" s="1"/>
  <c r="L773" i="14"/>
  <c r="R773" i="14" s="1"/>
  <c r="L884" i="14"/>
  <c r="R884" i="14" s="1"/>
  <c r="L786" i="14"/>
  <c r="R786" i="14" s="1"/>
  <c r="L862" i="14"/>
  <c r="R862" i="14" s="1"/>
  <c r="L803" i="14"/>
  <c r="R803" i="14" s="1"/>
  <c r="L873" i="14"/>
  <c r="R873" i="14" s="1"/>
  <c r="L800" i="14"/>
  <c r="R800" i="14" s="1"/>
  <c r="L886" i="14"/>
  <c r="R886" i="14" s="1"/>
  <c r="L964" i="14"/>
  <c r="R964" i="14" s="1"/>
  <c r="L975" i="14"/>
  <c r="R975" i="14" s="1"/>
  <c r="L756" i="14"/>
  <c r="R756" i="14" s="1"/>
  <c r="L769" i="14"/>
  <c r="R769" i="14" s="1"/>
  <c r="L763" i="14"/>
  <c r="R763" i="14" s="1"/>
  <c r="L944" i="14"/>
  <c r="R944" i="14" s="1"/>
  <c r="L797" i="14"/>
  <c r="R797" i="14" s="1"/>
  <c r="L907" i="14"/>
  <c r="R907" i="14" s="1"/>
  <c r="L913" i="14"/>
  <c r="R913" i="14" s="1"/>
  <c r="L840" i="14"/>
  <c r="R840" i="14" s="1"/>
  <c r="L958" i="14"/>
  <c r="R958" i="14" s="1"/>
  <c r="L972" i="14"/>
  <c r="R972" i="14" s="1"/>
  <c r="L841" i="14"/>
  <c r="R841" i="14" s="1"/>
  <c r="L767" i="14"/>
  <c r="R767" i="14" s="1"/>
  <c r="L854" i="14"/>
  <c r="R854" i="14" s="1"/>
  <c r="L859" i="14"/>
  <c r="R859" i="14" s="1"/>
  <c r="L833" i="14"/>
  <c r="R833" i="14" s="1"/>
  <c r="L759" i="14"/>
  <c r="R759" i="14" s="1"/>
  <c r="L910" i="14"/>
  <c r="R910" i="14" s="1"/>
  <c r="L860" i="14"/>
  <c r="R860" i="14" s="1"/>
  <c r="L839" i="14"/>
  <c r="R839" i="14" s="1"/>
  <c r="L893" i="14"/>
  <c r="R893" i="14" s="1"/>
  <c r="L962" i="14"/>
  <c r="R962" i="14" s="1"/>
  <c r="L881" i="14"/>
  <c r="R881" i="14" s="1"/>
  <c r="L936" i="14"/>
  <c r="R936" i="14" s="1"/>
  <c r="L853" i="14"/>
  <c r="R853" i="14" s="1"/>
  <c r="L867" i="14"/>
  <c r="R867" i="14" s="1"/>
  <c r="L809" i="14"/>
  <c r="R809" i="14" s="1"/>
  <c r="L778" i="14"/>
  <c r="R778" i="14" s="1"/>
  <c r="L822" i="14"/>
  <c r="R822" i="14" s="1"/>
  <c r="L900" i="14"/>
  <c r="R900" i="14" s="1"/>
  <c r="L911" i="14"/>
  <c r="R911" i="14" s="1"/>
  <c r="L842" i="14"/>
  <c r="R842" i="14" s="1"/>
  <c r="L749" i="14"/>
  <c r="R749" i="14" s="1"/>
  <c r="L828" i="14"/>
  <c r="R828" i="14" s="1"/>
  <c r="L807" i="14"/>
  <c r="R807" i="14" s="1"/>
  <c r="L989" i="14"/>
  <c r="R989" i="14" s="1"/>
  <c r="L890" i="14"/>
  <c r="R890" i="14" s="1"/>
  <c r="L787" i="14"/>
  <c r="R787" i="14" s="1"/>
  <c r="L908" i="14"/>
  <c r="R908" i="14" s="1"/>
  <c r="L782" i="14"/>
  <c r="R782" i="14" s="1"/>
  <c r="L953" i="14"/>
  <c r="R953" i="14" s="1"/>
  <c r="L945" i="14"/>
  <c r="R945" i="14" s="1"/>
  <c r="L790" i="14"/>
  <c r="R790" i="14" s="1"/>
  <c r="L750" i="14"/>
  <c r="R750" i="14" s="1"/>
  <c r="L793" i="14"/>
  <c r="R793" i="14" s="1"/>
  <c r="L895" i="14"/>
  <c r="R895" i="14" s="1"/>
  <c r="L823" i="14"/>
  <c r="R823" i="14" s="1"/>
  <c r="L815" i="14"/>
  <c r="R815" i="14" s="1"/>
  <c r="L783" i="14"/>
  <c r="R783" i="14" s="1"/>
  <c r="L938" i="14"/>
  <c r="R938" i="14" s="1"/>
  <c r="L877" i="14"/>
  <c r="R877" i="14" s="1"/>
  <c r="L805" i="14"/>
  <c r="R805" i="14" s="1"/>
  <c r="L934" i="14"/>
  <c r="R934" i="14" s="1"/>
  <c r="L765" i="14"/>
  <c r="R765" i="14" s="1"/>
  <c r="L939" i="14"/>
  <c r="R939" i="14" s="1"/>
  <c r="L819" i="14"/>
  <c r="R819" i="14" s="1"/>
  <c r="L804" i="14"/>
  <c r="R804" i="14" s="1"/>
  <c r="L856" i="14"/>
  <c r="R856" i="14" s="1"/>
  <c r="L959" i="14"/>
  <c r="R959" i="14" s="1"/>
  <c r="L887" i="14"/>
  <c r="R887" i="14" s="1"/>
  <c r="L952" i="14"/>
  <c r="R952" i="14" s="1"/>
  <c r="L848" i="14"/>
  <c r="R848" i="14" s="1"/>
  <c r="L799" i="14"/>
  <c r="R799" i="14" s="1"/>
  <c r="L855" i="14"/>
  <c r="R855" i="14" s="1"/>
  <c r="L920" i="14"/>
  <c r="R920" i="14" s="1"/>
  <c r="L761" i="14"/>
  <c r="R761" i="14" s="1"/>
  <c r="L788" i="14"/>
  <c r="R788" i="14" s="1"/>
  <c r="L909" i="14"/>
  <c r="R909" i="14" s="1"/>
  <c r="L965" i="14"/>
  <c r="R965" i="14" s="1"/>
  <c r="L838" i="14"/>
  <c r="R838" i="14" s="1"/>
  <c r="L798" i="14"/>
  <c r="R798" i="14" s="1"/>
  <c r="L955" i="14"/>
  <c r="R955" i="14" s="1"/>
  <c r="L883" i="14"/>
  <c r="R883" i="14" s="1"/>
  <c r="L843" i="14"/>
  <c r="R843" i="14" s="1"/>
  <c r="L922" i="14"/>
  <c r="R922" i="14" s="1"/>
  <c r="L780" i="14"/>
  <c r="R780" i="14" s="1"/>
  <c r="L758" i="14"/>
  <c r="R758" i="14" s="1"/>
  <c r="L991" i="14"/>
  <c r="R991" i="14" s="1"/>
  <c r="L751" i="14"/>
  <c r="R751" i="14" s="1"/>
  <c r="L874" i="14"/>
  <c r="R874" i="14" s="1"/>
  <c r="L973" i="14"/>
  <c r="R973" i="14" s="1"/>
  <c r="L974" i="14"/>
  <c r="R974" i="14" s="1"/>
  <c r="L829" i="14"/>
  <c r="R829" i="14" s="1"/>
  <c r="L917" i="14"/>
  <c r="R917" i="14" s="1"/>
  <c r="L941" i="14"/>
  <c r="R941" i="14" s="1"/>
  <c r="L942" i="14"/>
  <c r="R942" i="14" s="1"/>
  <c r="L784" i="14"/>
  <c r="R784" i="14" s="1"/>
  <c r="L930" i="14"/>
  <c r="R930" i="14" s="1"/>
  <c r="L785" i="14"/>
  <c r="R785" i="14" s="1"/>
  <c r="L915" i="14"/>
  <c r="R915" i="14" s="1"/>
  <c r="L948" i="14"/>
  <c r="R948" i="14" s="1"/>
  <c r="L812" i="14"/>
  <c r="R812" i="14" s="1"/>
  <c r="L929" i="14"/>
  <c r="R929" i="14" s="1"/>
  <c r="L857" i="14"/>
  <c r="R857" i="14" s="1"/>
  <c r="L849" i="14"/>
  <c r="R849" i="14" s="1"/>
  <c r="L979" i="14"/>
  <c r="R979" i="14" s="1"/>
  <c r="L850" i="14"/>
  <c r="R850" i="14" s="1"/>
  <c r="L852" i="14"/>
  <c r="R852" i="14" s="1"/>
  <c r="L889" i="14"/>
  <c r="R889" i="14" s="1"/>
  <c r="L791" i="14"/>
  <c r="R791" i="14" s="1"/>
  <c r="F879" i="14"/>
  <c r="F866" i="14"/>
  <c r="K791" i="14"/>
  <c r="Q791" i="14" s="1"/>
  <c r="K949" i="14"/>
  <c r="Q949" i="14" s="1"/>
  <c r="K890" i="14"/>
  <c r="Q890" i="14" s="1"/>
  <c r="K913" i="14"/>
  <c r="Q913" i="14" s="1"/>
  <c r="K751" i="14"/>
  <c r="Q751" i="14" s="1"/>
  <c r="K909" i="14"/>
  <c r="Q909" i="14" s="1"/>
  <c r="K850" i="14"/>
  <c r="Q850" i="14" s="1"/>
  <c r="K958" i="14"/>
  <c r="Q958" i="14" s="1"/>
  <c r="K848" i="14"/>
  <c r="Q848" i="14" s="1"/>
  <c r="K805" i="14"/>
  <c r="Q805" i="14" s="1"/>
  <c r="K819" i="14"/>
  <c r="Q819" i="14" s="1"/>
  <c r="K831" i="14"/>
  <c r="Q831" i="14" s="1"/>
  <c r="K861" i="14"/>
  <c r="Q861" i="14" s="1"/>
  <c r="K939" i="14"/>
  <c r="Q939" i="14" s="1"/>
  <c r="K814" i="14"/>
  <c r="Q814" i="14" s="1"/>
  <c r="K972" i="14"/>
  <c r="Q972" i="14" s="1"/>
  <c r="K961" i="14"/>
  <c r="Q961" i="14" s="1"/>
  <c r="K803" i="14"/>
  <c r="Q803" i="14" s="1"/>
  <c r="K975" i="14"/>
  <c r="Q975" i="14" s="1"/>
  <c r="K932" i="14"/>
  <c r="Q932" i="14" s="1"/>
  <c r="K865" i="14"/>
  <c r="Q865" i="14" s="1"/>
  <c r="K763" i="14"/>
  <c r="Q763" i="14" s="1"/>
  <c r="K798" i="14"/>
  <c r="Q798" i="14" s="1"/>
  <c r="K956" i="14"/>
  <c r="Q956" i="14" s="1"/>
  <c r="K929" i="14"/>
  <c r="Q929" i="14" s="1"/>
  <c r="K787" i="14"/>
  <c r="Q787" i="14" s="1"/>
  <c r="K927" i="14"/>
  <c r="Q927" i="14" s="1"/>
  <c r="K884" i="14"/>
  <c r="Q884" i="14" s="1"/>
  <c r="K962" i="14"/>
  <c r="Q962" i="14" s="1"/>
  <c r="K944" i="14"/>
  <c r="Q944" i="14" s="1"/>
  <c r="K770" i="14"/>
  <c r="Q770" i="14" s="1"/>
  <c r="K885" i="14"/>
  <c r="Q885" i="14" s="1"/>
  <c r="K826" i="14"/>
  <c r="Q826" i="14" s="1"/>
  <c r="K870" i="14"/>
  <c r="Q870" i="14" s="1"/>
  <c r="K809" i="14"/>
  <c r="Q809" i="14" s="1"/>
  <c r="K760" i="14"/>
  <c r="Q760" i="14" s="1"/>
  <c r="K859" i="14"/>
  <c r="Q859" i="14" s="1"/>
  <c r="K967" i="14"/>
  <c r="Q967" i="14" s="1"/>
  <c r="K924" i="14"/>
  <c r="Q924" i="14" s="1"/>
  <c r="K841" i="14"/>
  <c r="Q841" i="14" s="1"/>
  <c r="K755" i="14"/>
  <c r="Q755" i="14" s="1"/>
  <c r="K895" i="14"/>
  <c r="Q895" i="14" s="1"/>
  <c r="K852" i="14"/>
  <c r="Q852" i="14" s="1"/>
  <c r="K930" i="14"/>
  <c r="Q930" i="14" s="1"/>
  <c r="K864" i="14"/>
  <c r="Q864" i="14" s="1"/>
  <c r="K951" i="14"/>
  <c r="Q951" i="14" s="1"/>
  <c r="K908" i="14"/>
  <c r="Q908" i="14" s="1"/>
  <c r="K801" i="14"/>
  <c r="Q801" i="14" s="1"/>
  <c r="K782" i="14"/>
  <c r="Q782" i="14" s="1"/>
  <c r="K911" i="14"/>
  <c r="Q911" i="14" s="1"/>
  <c r="K868" i="14"/>
  <c r="Q868" i="14" s="1"/>
  <c r="K882" i="14"/>
  <c r="Q882" i="14" s="1"/>
  <c r="K990" i="14"/>
  <c r="Q990" i="14" s="1"/>
  <c r="K936" i="14"/>
  <c r="Q936" i="14" s="1"/>
  <c r="K837" i="14"/>
  <c r="Q837" i="14" s="1"/>
  <c r="K906" i="14"/>
  <c r="Q906" i="14" s="1"/>
  <c r="K960" i="14"/>
  <c r="Q960" i="14" s="1"/>
  <c r="K863" i="14"/>
  <c r="Q863" i="14" s="1"/>
  <c r="K820" i="14"/>
  <c r="Q820" i="14" s="1"/>
  <c r="K788" i="14"/>
  <c r="Q788" i="14" s="1"/>
  <c r="K758" i="14"/>
  <c r="Q758" i="14" s="1"/>
  <c r="K974" i="14"/>
  <c r="Q974" i="14" s="1"/>
  <c r="K896" i="14"/>
  <c r="Q896" i="14" s="1"/>
  <c r="K934" i="14"/>
  <c r="Q934" i="14" s="1"/>
  <c r="K923" i="14"/>
  <c r="Q923" i="14" s="1"/>
  <c r="K800" i="14"/>
  <c r="Q800" i="14" s="1"/>
  <c r="K776" i="14"/>
  <c r="Q776" i="14" s="1"/>
  <c r="K844" i="14"/>
  <c r="Q844" i="14" s="1"/>
  <c r="K847" i="14"/>
  <c r="Q847" i="14" s="1"/>
  <c r="K871" i="14"/>
  <c r="Q871" i="14" s="1"/>
  <c r="K977" i="14"/>
  <c r="Q977" i="14" s="1"/>
  <c r="K846" i="14"/>
  <c r="Q846" i="14" s="1"/>
  <c r="K761" i="14"/>
  <c r="Q761" i="14" s="1"/>
  <c r="K856" i="14"/>
  <c r="Q856" i="14" s="1"/>
  <c r="K835" i="14"/>
  <c r="Q835" i="14" s="1"/>
  <c r="K806" i="14"/>
  <c r="Q806" i="14" s="1"/>
  <c r="K964" i="14"/>
  <c r="Q964" i="14" s="1"/>
  <c r="K945" i="14"/>
  <c r="Q945" i="14" s="1"/>
  <c r="K795" i="14"/>
  <c r="Q795" i="14" s="1"/>
  <c r="K903" i="14"/>
  <c r="Q903" i="14" s="1"/>
  <c r="K860" i="14"/>
  <c r="Q860" i="14" s="1"/>
  <c r="K874" i="14"/>
  <c r="Q874" i="14" s="1"/>
  <c r="K886" i="14"/>
  <c r="Q886" i="14" s="1"/>
  <c r="K916" i="14"/>
  <c r="Q916" i="14" s="1"/>
  <c r="K985" i="14"/>
  <c r="Q985" i="14" s="1"/>
  <c r="K825" i="14"/>
  <c r="Q825" i="14" s="1"/>
  <c r="K759" i="14"/>
  <c r="Q759" i="14" s="1"/>
  <c r="K917" i="14"/>
  <c r="Q917" i="14" s="1"/>
  <c r="K858" i="14"/>
  <c r="Q858" i="14" s="1"/>
  <c r="K785" i="14"/>
  <c r="Q785" i="14" s="1"/>
  <c r="K762" i="14"/>
  <c r="Q762" i="14" s="1"/>
  <c r="K877" i="14"/>
  <c r="Q877" i="14" s="1"/>
  <c r="K818" i="14"/>
  <c r="Q818" i="14" s="1"/>
  <c r="K780" i="14"/>
  <c r="Q780" i="14" s="1"/>
  <c r="K786" i="14"/>
  <c r="Q786" i="14" s="1"/>
  <c r="K901" i="14"/>
  <c r="Q901" i="14" s="1"/>
  <c r="K842" i="14"/>
  <c r="Q842" i="14" s="1"/>
  <c r="K982" i="14"/>
  <c r="Q982" i="14" s="1"/>
  <c r="K920" i="14"/>
  <c r="Q920" i="14" s="1"/>
  <c r="K829" i="14"/>
  <c r="Q829" i="14" s="1"/>
  <c r="K907" i="14"/>
  <c r="Q907" i="14" s="1"/>
  <c r="K983" i="14"/>
  <c r="Q983" i="14" s="1"/>
  <c r="K940" i="14"/>
  <c r="Q940" i="14" s="1"/>
  <c r="K881" i="14"/>
  <c r="Q881" i="14" s="1"/>
  <c r="K771" i="14"/>
  <c r="Q771" i="14" s="1"/>
  <c r="K815" i="14"/>
  <c r="Q815" i="14" s="1"/>
  <c r="K973" i="14"/>
  <c r="Q973" i="14" s="1"/>
  <c r="K914" i="14"/>
  <c r="Q914" i="14" s="1"/>
  <c r="K904" i="14"/>
  <c r="Q904" i="14" s="1"/>
  <c r="K754" i="14"/>
  <c r="Q754" i="14" s="1"/>
  <c r="K869" i="14"/>
  <c r="Q869" i="14" s="1"/>
  <c r="K810" i="14"/>
  <c r="Q810" i="14" s="1"/>
  <c r="K950" i="14"/>
  <c r="Q950" i="14" s="1"/>
  <c r="K832" i="14"/>
  <c r="Q832" i="14" s="1"/>
  <c r="K797" i="14"/>
  <c r="Q797" i="14" s="1"/>
  <c r="K875" i="14"/>
  <c r="Q875" i="14" s="1"/>
  <c r="K976" i="14"/>
  <c r="Q976" i="14" s="1"/>
  <c r="K853" i="14"/>
  <c r="Q853" i="14" s="1"/>
  <c r="K794" i="14"/>
  <c r="Q794" i="14" s="1"/>
  <c r="K966" i="14"/>
  <c r="Q966" i="14" s="1"/>
  <c r="K872" i="14"/>
  <c r="Q872" i="14" s="1"/>
  <c r="K813" i="14"/>
  <c r="Q813" i="14" s="1"/>
  <c r="K827" i="14"/>
  <c r="Q827" i="14" s="1"/>
  <c r="K935" i="14"/>
  <c r="Q935" i="14" s="1"/>
  <c r="K892" i="14"/>
  <c r="Q892" i="14" s="1"/>
  <c r="K912" i="14"/>
  <c r="Q912" i="14" s="1"/>
  <c r="K851" i="14"/>
  <c r="Q851" i="14" s="1"/>
  <c r="K918" i="14"/>
  <c r="Q918" i="14" s="1"/>
  <c r="K953" i="14"/>
  <c r="Q953" i="14" s="1"/>
  <c r="K765" i="14"/>
  <c r="Q765" i="14" s="1"/>
  <c r="K971" i="14"/>
  <c r="Q971" i="14" s="1"/>
  <c r="K821" i="14"/>
  <c r="Q821" i="14" s="1"/>
  <c r="K792" i="14"/>
  <c r="Q792" i="14" s="1"/>
  <c r="K830" i="14"/>
  <c r="Q830" i="14" s="1"/>
  <c r="K888" i="14"/>
  <c r="Q888" i="14" s="1"/>
  <c r="K887" i="14"/>
  <c r="Q887" i="14" s="1"/>
  <c r="K984" i="14"/>
  <c r="Q984" i="14" s="1"/>
  <c r="K804" i="14"/>
  <c r="Q804" i="14" s="1"/>
  <c r="K968" i="14"/>
  <c r="Q968" i="14" s="1"/>
  <c r="K970" i="14"/>
  <c r="Q970" i="14" s="1"/>
  <c r="K919" i="14"/>
  <c r="Q919" i="14" s="1"/>
  <c r="K876" i="14"/>
  <c r="Q876" i="14" s="1"/>
  <c r="K764" i="14"/>
  <c r="Q764" i="14" s="1"/>
  <c r="K750" i="14"/>
  <c r="Q750" i="14" s="1"/>
  <c r="K879" i="14"/>
  <c r="Q879" i="14" s="1"/>
  <c r="K836" i="14"/>
  <c r="Q836" i="14" s="1"/>
  <c r="K978" i="14"/>
  <c r="Q978" i="14" s="1"/>
  <c r="K889" i="14"/>
  <c r="Q889" i="14" s="1"/>
  <c r="K775" i="14"/>
  <c r="Q775" i="14" s="1"/>
  <c r="K933" i="14"/>
  <c r="Q933" i="14" s="1"/>
  <c r="K947" i="14"/>
  <c r="Q947" i="14" s="1"/>
  <c r="K959" i="14"/>
  <c r="Q959" i="14" s="1"/>
  <c r="K989" i="14"/>
  <c r="Q989" i="14" s="1"/>
  <c r="K866" i="14"/>
  <c r="Q866" i="14" s="1"/>
  <c r="K942" i="14"/>
  <c r="Q942" i="14" s="1"/>
  <c r="K816" i="14"/>
  <c r="Q816" i="14" s="1"/>
  <c r="K789" i="14"/>
  <c r="Q789" i="14" s="1"/>
  <c r="K931" i="14"/>
  <c r="Q931" i="14" s="1"/>
  <c r="K902" i="14"/>
  <c r="Q902" i="14" s="1"/>
  <c r="K897" i="14"/>
  <c r="Q897" i="14" s="1"/>
  <c r="K749" i="14"/>
  <c r="Q749" i="14" s="1"/>
  <c r="K891" i="14"/>
  <c r="Q891" i="14" s="1"/>
  <c r="K926" i="14"/>
  <c r="Q926" i="14" s="1"/>
  <c r="K969" i="14"/>
  <c r="Q969" i="14" s="1"/>
  <c r="K773" i="14"/>
  <c r="Q773" i="14" s="1"/>
  <c r="K915" i="14"/>
  <c r="Q915" i="14" s="1"/>
  <c r="K854" i="14"/>
  <c r="Q854" i="14" s="1"/>
  <c r="K769" i="14"/>
  <c r="Q769" i="14" s="1"/>
  <c r="K905" i="14"/>
  <c r="Q905" i="14" s="1"/>
  <c r="K779" i="14"/>
  <c r="Q779" i="14" s="1"/>
  <c r="K855" i="14"/>
  <c r="Q855" i="14" s="1"/>
  <c r="K812" i="14"/>
  <c r="Q812" i="14" s="1"/>
  <c r="K954" i="14"/>
  <c r="Q954" i="14" s="1"/>
  <c r="K928" i="14"/>
  <c r="Q928" i="14" s="1"/>
  <c r="K952" i="14"/>
  <c r="Q952" i="14" s="1"/>
  <c r="K845" i="14"/>
  <c r="Q845" i="14" s="1"/>
  <c r="K987" i="14"/>
  <c r="Q987" i="14" s="1"/>
  <c r="K894" i="14"/>
  <c r="Q894" i="14" s="1"/>
  <c r="K873" i="14"/>
  <c r="Q873" i="14" s="1"/>
  <c r="K784" i="14"/>
  <c r="Q784" i="14" s="1"/>
  <c r="K883" i="14"/>
  <c r="Q883" i="14" s="1"/>
  <c r="K822" i="14"/>
  <c r="Q822" i="14" s="1"/>
  <c r="K980" i="14"/>
  <c r="Q980" i="14" s="1"/>
  <c r="K817" i="14"/>
  <c r="Q817" i="14" s="1"/>
  <c r="K790" i="14"/>
  <c r="Q790" i="14" s="1"/>
  <c r="K878" i="14"/>
  <c r="Q878" i="14" s="1"/>
  <c r="K833" i="14"/>
  <c r="Q833" i="14" s="1"/>
  <c r="K768" i="14"/>
  <c r="Q768" i="14" s="1"/>
  <c r="K867" i="14"/>
  <c r="Q867" i="14" s="1"/>
  <c r="K838" i="14"/>
  <c r="Q838" i="14" s="1"/>
  <c r="K772" i="14"/>
  <c r="Q772" i="14" s="1"/>
  <c r="K824" i="14"/>
  <c r="Q824" i="14" s="1"/>
  <c r="K808" i="14"/>
  <c r="Q808" i="14" s="1"/>
  <c r="K807" i="14"/>
  <c r="Q807" i="14" s="1"/>
  <c r="K965" i="14"/>
  <c r="Q965" i="14" s="1"/>
  <c r="K753" i="14"/>
  <c r="Q753" i="14" s="1"/>
  <c r="K766" i="14"/>
  <c r="Q766" i="14" s="1"/>
  <c r="K991" i="14"/>
  <c r="Q991" i="14" s="1"/>
  <c r="K948" i="14"/>
  <c r="Q948" i="14" s="1"/>
  <c r="K880" i="14"/>
  <c r="Q880" i="14" s="1"/>
  <c r="K843" i="14"/>
  <c r="Q843" i="14" s="1"/>
  <c r="K963" i="14"/>
  <c r="Q963" i="14" s="1"/>
  <c r="K781" i="14"/>
  <c r="Q781" i="14" s="1"/>
  <c r="K988" i="14"/>
  <c r="Q988" i="14" s="1"/>
  <c r="K849" i="14"/>
  <c r="Q849" i="14" s="1"/>
  <c r="K811" i="14"/>
  <c r="Q811" i="14" s="1"/>
  <c r="K986" i="14"/>
  <c r="Q986" i="14" s="1"/>
  <c r="K946" i="14"/>
  <c r="Q946" i="14" s="1"/>
  <c r="K828" i="14"/>
  <c r="Q828" i="14" s="1"/>
  <c r="K910" i="14"/>
  <c r="Q910" i="14" s="1"/>
  <c r="K943" i="14"/>
  <c r="Q943" i="14" s="1"/>
  <c r="K839" i="14"/>
  <c r="Q839" i="14" s="1"/>
  <c r="K767" i="14"/>
  <c r="Q767" i="14" s="1"/>
  <c r="K823" i="14"/>
  <c r="Q823" i="14" s="1"/>
  <c r="K783" i="14"/>
  <c r="Q783" i="14" s="1"/>
  <c r="K793" i="14"/>
  <c r="Q793" i="14" s="1"/>
  <c r="K778" i="14"/>
  <c r="Q778" i="14" s="1"/>
  <c r="K756" i="14"/>
  <c r="Q756" i="14" s="1"/>
  <c r="K799" i="14"/>
  <c r="Q799" i="14" s="1"/>
  <c r="K921" i="14"/>
  <c r="Q921" i="14" s="1"/>
  <c r="K900" i="14"/>
  <c r="Q900" i="14" s="1"/>
  <c r="K796" i="14"/>
  <c r="Q796" i="14" s="1"/>
  <c r="K925" i="14"/>
  <c r="Q925" i="14" s="1"/>
  <c r="K981" i="14"/>
  <c r="Q981" i="14" s="1"/>
  <c r="K941" i="14"/>
  <c r="Q941" i="14" s="1"/>
  <c r="K752" i="14"/>
  <c r="Q752" i="14" s="1"/>
  <c r="K893" i="14"/>
  <c r="Q893" i="14" s="1"/>
  <c r="K957" i="14"/>
  <c r="Q957" i="14" s="1"/>
  <c r="K757" i="14"/>
  <c r="Q757" i="14" s="1"/>
  <c r="K777" i="14"/>
  <c r="Q777" i="14" s="1"/>
  <c r="K938" i="14"/>
  <c r="Q938" i="14" s="1"/>
  <c r="K802" i="14"/>
  <c r="Q802" i="14" s="1"/>
  <c r="K922" i="14"/>
  <c r="Q922" i="14" s="1"/>
  <c r="K955" i="14"/>
  <c r="Q955" i="14" s="1"/>
  <c r="K979" i="14"/>
  <c r="Q979" i="14" s="1"/>
  <c r="K898" i="14"/>
  <c r="Q898" i="14" s="1"/>
  <c r="K834" i="14"/>
  <c r="Q834" i="14" s="1"/>
  <c r="K899" i="14"/>
  <c r="Q899" i="14" s="1"/>
  <c r="K774" i="14"/>
  <c r="Q774" i="14" s="1"/>
  <c r="K857" i="14"/>
  <c r="Q857" i="14" s="1"/>
  <c r="K840" i="14"/>
  <c r="Q840" i="14" s="1"/>
  <c r="K862" i="14"/>
  <c r="Q862" i="14" s="1"/>
  <c r="K937" i="14"/>
  <c r="Q937" i="14" s="1"/>
  <c r="E810" i="14"/>
  <c r="L175" i="10"/>
  <c r="U174" i="10"/>
  <c r="N853" i="14"/>
  <c r="T853" i="14" s="1"/>
  <c r="N827" i="14"/>
  <c r="T827" i="14" s="1"/>
  <c r="N776" i="14"/>
  <c r="T776" i="14" s="1"/>
  <c r="N807" i="14"/>
  <c r="T807" i="14" s="1"/>
  <c r="N780" i="14"/>
  <c r="T780" i="14" s="1"/>
  <c r="N754" i="14"/>
  <c r="T754" i="14" s="1"/>
  <c r="N779" i="14"/>
  <c r="T779" i="14" s="1"/>
  <c r="N766" i="14"/>
  <c r="T766" i="14" s="1"/>
  <c r="N751" i="14"/>
  <c r="T751" i="14" s="1"/>
  <c r="N789" i="14"/>
  <c r="T789" i="14" s="1"/>
  <c r="N760" i="14"/>
  <c r="T760" i="14" s="1"/>
  <c r="N948" i="14"/>
  <c r="T948" i="14" s="1"/>
  <c r="N986" i="14"/>
  <c r="T986" i="14" s="1"/>
  <c r="N904" i="14"/>
  <c r="T904" i="14" s="1"/>
  <c r="N870" i="14"/>
  <c r="T870" i="14" s="1"/>
  <c r="N949" i="14"/>
  <c r="T949" i="14" s="1"/>
  <c r="N923" i="14"/>
  <c r="T923" i="14" s="1"/>
  <c r="N873" i="14"/>
  <c r="T873" i="14" s="1"/>
  <c r="N903" i="14"/>
  <c r="T903" i="14" s="1"/>
  <c r="N877" i="14"/>
  <c r="T877" i="14" s="1"/>
  <c r="N851" i="14"/>
  <c r="T851" i="14" s="1"/>
  <c r="N833" i="14"/>
  <c r="T833" i="14" s="1"/>
  <c r="N863" i="14"/>
  <c r="T863" i="14" s="1"/>
  <c r="N933" i="14"/>
  <c r="T933" i="14" s="1"/>
  <c r="N843" i="14"/>
  <c r="T843" i="14" s="1"/>
  <c r="N857" i="14"/>
  <c r="T857" i="14" s="1"/>
  <c r="N919" i="14"/>
  <c r="T919" i="14" s="1"/>
  <c r="N861" i="14"/>
  <c r="T861" i="14" s="1"/>
  <c r="N899" i="14"/>
  <c r="T899" i="14" s="1"/>
  <c r="N817" i="14"/>
  <c r="T817" i="14" s="1"/>
  <c r="N782" i="14"/>
  <c r="T782" i="14" s="1"/>
  <c r="N788" i="14"/>
  <c r="T788" i="14" s="1"/>
  <c r="N762" i="14"/>
  <c r="T762" i="14" s="1"/>
  <c r="N755" i="14"/>
  <c r="T755" i="14" s="1"/>
  <c r="N785" i="14"/>
  <c r="T785" i="14" s="1"/>
  <c r="N759" i="14"/>
  <c r="T759" i="14" s="1"/>
  <c r="N984" i="14"/>
  <c r="T984" i="14" s="1"/>
  <c r="N886" i="14"/>
  <c r="T886" i="14" s="1"/>
  <c r="N828" i="14"/>
  <c r="T828" i="14" s="1"/>
  <c r="N939" i="14"/>
  <c r="T939" i="14" s="1"/>
  <c r="N825" i="14"/>
  <c r="T825" i="14" s="1"/>
  <c r="N758" i="14"/>
  <c r="T758" i="14" s="1"/>
  <c r="N922" i="14"/>
  <c r="T922" i="14" s="1"/>
  <c r="N968" i="14"/>
  <c r="T968" i="14" s="1"/>
  <c r="N934" i="14"/>
  <c r="T934" i="14" s="1"/>
  <c r="N940" i="14"/>
  <c r="T940" i="14" s="1"/>
  <c r="N914" i="14"/>
  <c r="T914" i="14" s="1"/>
  <c r="N864" i="14"/>
  <c r="T864" i="14" s="1"/>
  <c r="N967" i="14"/>
  <c r="T967" i="14" s="1"/>
  <c r="N941" i="14"/>
  <c r="T941" i="14" s="1"/>
  <c r="N915" i="14"/>
  <c r="T915" i="14" s="1"/>
  <c r="N897" i="14"/>
  <c r="T897" i="14" s="1"/>
  <c r="N927" i="14"/>
  <c r="T927" i="14" s="1"/>
  <c r="N869" i="14"/>
  <c r="T869" i="14" s="1"/>
  <c r="N907" i="14"/>
  <c r="T907" i="14" s="1"/>
  <c r="N921" i="14"/>
  <c r="T921" i="14" s="1"/>
  <c r="N855" i="14"/>
  <c r="T855" i="14" s="1"/>
  <c r="N925" i="14"/>
  <c r="T925" i="14" s="1"/>
  <c r="N835" i="14"/>
  <c r="T835" i="14" s="1"/>
  <c r="N881" i="14"/>
  <c r="T881" i="14" s="1"/>
  <c r="N847" i="14"/>
  <c r="T847" i="14" s="1"/>
  <c r="N908" i="14"/>
  <c r="T908" i="14" s="1"/>
  <c r="N882" i="14"/>
  <c r="T882" i="14" s="1"/>
  <c r="N832" i="14"/>
  <c r="T832" i="14" s="1"/>
  <c r="N862" i="14"/>
  <c r="T862" i="14" s="1"/>
  <c r="N836" i="14"/>
  <c r="T836" i="14" s="1"/>
  <c r="N810" i="14"/>
  <c r="T810" i="14" s="1"/>
  <c r="N792" i="14"/>
  <c r="T792" i="14" s="1"/>
  <c r="N822" i="14"/>
  <c r="T822" i="14" s="1"/>
  <c r="N965" i="14"/>
  <c r="T965" i="14" s="1"/>
  <c r="N802" i="14"/>
  <c r="T802" i="14" s="1"/>
  <c r="N816" i="14"/>
  <c r="T816" i="14" s="1"/>
  <c r="N951" i="14"/>
  <c r="T951" i="14" s="1"/>
  <c r="N893" i="14"/>
  <c r="T893" i="14" s="1"/>
  <c r="N931" i="14"/>
  <c r="T931" i="14" s="1"/>
  <c r="N849" i="14"/>
  <c r="T849" i="14" s="1"/>
  <c r="N815" i="14"/>
  <c r="T815" i="14" s="1"/>
  <c r="N978" i="14"/>
  <c r="T978" i="14" s="1"/>
  <c r="N928" i="14"/>
  <c r="T928" i="14" s="1"/>
  <c r="N958" i="14"/>
  <c r="T958" i="14" s="1"/>
  <c r="N932" i="14"/>
  <c r="T932" i="14" s="1"/>
  <c r="N906" i="14"/>
  <c r="T906" i="14" s="1"/>
  <c r="N888" i="14"/>
  <c r="T888" i="14" s="1"/>
  <c r="N918" i="14"/>
  <c r="T918" i="14" s="1"/>
  <c r="N988" i="14"/>
  <c r="T988" i="14" s="1"/>
  <c r="N898" i="14"/>
  <c r="T898" i="14" s="1"/>
  <c r="N912" i="14"/>
  <c r="T912" i="14" s="1"/>
  <c r="N974" i="14"/>
  <c r="T974" i="14" s="1"/>
  <c r="N916" i="14"/>
  <c r="T916" i="14" s="1"/>
  <c r="N954" i="14"/>
  <c r="T954" i="14" s="1"/>
  <c r="N872" i="14"/>
  <c r="T872" i="14" s="1"/>
  <c r="N838" i="14"/>
  <c r="T838" i="14" s="1"/>
  <c r="N844" i="14"/>
  <c r="T844" i="14" s="1"/>
  <c r="N818" i="14"/>
  <c r="T818" i="14" s="1"/>
  <c r="N969" i="14"/>
  <c r="T969" i="14" s="1"/>
  <c r="N798" i="14"/>
  <c r="T798" i="14" s="1"/>
  <c r="N973" i="14"/>
  <c r="T973" i="14" s="1"/>
  <c r="N947" i="14"/>
  <c r="T947" i="14" s="1"/>
  <c r="N929" i="14"/>
  <c r="T929" i="14" s="1"/>
  <c r="N831" i="14"/>
  <c r="T831" i="14" s="1"/>
  <c r="N772" i="14"/>
  <c r="T772" i="14" s="1"/>
  <c r="N880" i="14"/>
  <c r="T880" i="14" s="1"/>
  <c r="N814" i="14"/>
  <c r="T814" i="14" s="1"/>
  <c r="N957" i="14"/>
  <c r="T957" i="14" s="1"/>
  <c r="N867" i="14"/>
  <c r="T867" i="14" s="1"/>
  <c r="N913" i="14"/>
  <c r="T913" i="14" s="1"/>
  <c r="N879" i="14"/>
  <c r="T879" i="14" s="1"/>
  <c r="N885" i="14"/>
  <c r="T885" i="14" s="1"/>
  <c r="N859" i="14"/>
  <c r="T859" i="14" s="1"/>
  <c r="N809" i="14"/>
  <c r="T809" i="14" s="1"/>
  <c r="N753" i="14"/>
  <c r="T753" i="14" s="1"/>
  <c r="N970" i="14"/>
  <c r="T970" i="14" s="1"/>
  <c r="N952" i="14"/>
  <c r="T952" i="14" s="1"/>
  <c r="N982" i="14"/>
  <c r="T982" i="14" s="1"/>
  <c r="N924" i="14"/>
  <c r="T924" i="14" s="1"/>
  <c r="N962" i="14"/>
  <c r="T962" i="14" s="1"/>
  <c r="N976" i="14"/>
  <c r="T976" i="14" s="1"/>
  <c r="N910" i="14"/>
  <c r="T910" i="14" s="1"/>
  <c r="N980" i="14"/>
  <c r="T980" i="14" s="1"/>
  <c r="N890" i="14"/>
  <c r="T890" i="14" s="1"/>
  <c r="N936" i="14"/>
  <c r="T936" i="14" s="1"/>
  <c r="N902" i="14"/>
  <c r="T902" i="14" s="1"/>
  <c r="H924" i="14"/>
  <c r="N981" i="14"/>
  <c r="T981" i="14" s="1"/>
  <c r="N955" i="14"/>
  <c r="T955" i="14" s="1"/>
  <c r="N905" i="14"/>
  <c r="T905" i="14" s="1"/>
  <c r="N935" i="14"/>
  <c r="T935" i="14" s="1"/>
  <c r="N909" i="14"/>
  <c r="T909" i="14" s="1"/>
  <c r="N883" i="14"/>
  <c r="T883" i="14" s="1"/>
  <c r="N865" i="14"/>
  <c r="T865" i="14" s="1"/>
  <c r="N895" i="14"/>
  <c r="T895" i="14" s="1"/>
  <c r="N837" i="14"/>
  <c r="T837" i="14" s="1"/>
  <c r="N875" i="14"/>
  <c r="T875" i="14" s="1"/>
  <c r="N889" i="14"/>
  <c r="T889" i="14" s="1"/>
  <c r="N823" i="14"/>
  <c r="T823" i="14" s="1"/>
  <c r="N764" i="14"/>
  <c r="T764" i="14" s="1"/>
  <c r="N803" i="14"/>
  <c r="T803" i="14" s="1"/>
  <c r="N763" i="14"/>
  <c r="T763" i="14" s="1"/>
  <c r="N876" i="14"/>
  <c r="T876" i="14" s="1"/>
  <c r="N850" i="14"/>
  <c r="T850" i="14" s="1"/>
  <c r="N800" i="14"/>
  <c r="T800" i="14" s="1"/>
  <c r="N830" i="14"/>
  <c r="T830" i="14" s="1"/>
  <c r="N804" i="14"/>
  <c r="T804" i="14" s="1"/>
  <c r="N979" i="14"/>
  <c r="T979" i="14" s="1"/>
  <c r="N961" i="14"/>
  <c r="T961" i="14" s="1"/>
  <c r="N991" i="14"/>
  <c r="T991" i="14" s="1"/>
  <c r="N860" i="14"/>
  <c r="T860" i="14" s="1"/>
  <c r="N971" i="14"/>
  <c r="T971" i="14" s="1"/>
  <c r="N985" i="14"/>
  <c r="T985" i="14" s="1"/>
  <c r="N846" i="14"/>
  <c r="T846" i="14" s="1"/>
  <c r="N989" i="14"/>
  <c r="T989" i="14" s="1"/>
  <c r="N826" i="14"/>
  <c r="T826" i="14" s="1"/>
  <c r="N945" i="14"/>
  <c r="T945" i="14" s="1"/>
  <c r="N911" i="14"/>
  <c r="T911" i="14" s="1"/>
  <c r="N917" i="14"/>
  <c r="T917" i="14" s="1"/>
  <c r="N891" i="14"/>
  <c r="T891" i="14" s="1"/>
  <c r="N841" i="14"/>
  <c r="T841" i="14" s="1"/>
  <c r="N871" i="14"/>
  <c r="T871" i="14" s="1"/>
  <c r="N845" i="14"/>
  <c r="T845" i="14" s="1"/>
  <c r="N819" i="14"/>
  <c r="T819" i="14" s="1"/>
  <c r="N801" i="14"/>
  <c r="T801" i="14" s="1"/>
  <c r="N956" i="14"/>
  <c r="T956" i="14" s="1"/>
  <c r="N866" i="14"/>
  <c r="T866" i="14" s="1"/>
  <c r="N953" i="14"/>
  <c r="T953" i="14" s="1"/>
  <c r="N887" i="14"/>
  <c r="T887" i="14" s="1"/>
  <c r="N829" i="14"/>
  <c r="T829" i="14" s="1"/>
  <c r="N781" i="14"/>
  <c r="T781" i="14" s="1"/>
  <c r="N784" i="14"/>
  <c r="T784" i="14" s="1"/>
  <c r="N750" i="14"/>
  <c r="T750" i="14" s="1"/>
  <c r="N756" i="14"/>
  <c r="T756" i="14" s="1"/>
  <c r="N773" i="14"/>
  <c r="T773" i="14" s="1"/>
  <c r="N894" i="14"/>
  <c r="T894" i="14" s="1"/>
  <c r="N868" i="14"/>
  <c r="T868" i="14" s="1"/>
  <c r="N842" i="14"/>
  <c r="T842" i="14" s="1"/>
  <c r="N824" i="14"/>
  <c r="T824" i="14" s="1"/>
  <c r="N854" i="14"/>
  <c r="T854" i="14" s="1"/>
  <c r="N796" i="14"/>
  <c r="T796" i="14" s="1"/>
  <c r="N834" i="14"/>
  <c r="T834" i="14" s="1"/>
  <c r="N848" i="14"/>
  <c r="T848" i="14" s="1"/>
  <c r="N983" i="14"/>
  <c r="T983" i="14" s="1"/>
  <c r="N852" i="14"/>
  <c r="T852" i="14" s="1"/>
  <c r="N963" i="14"/>
  <c r="T963" i="14" s="1"/>
  <c r="N808" i="14"/>
  <c r="T808" i="14" s="1"/>
  <c r="N975" i="14"/>
  <c r="T975" i="14" s="1"/>
  <c r="N767" i="14"/>
  <c r="T767" i="14" s="1"/>
  <c r="N938" i="14"/>
  <c r="T938" i="14" s="1"/>
  <c r="N930" i="14"/>
  <c r="T930" i="14" s="1"/>
  <c r="N858" i="14"/>
  <c r="T858" i="14" s="1"/>
  <c r="N795" i="14"/>
  <c r="T795" i="14" s="1"/>
  <c r="N765" i="14"/>
  <c r="T765" i="14" s="1"/>
  <c r="N757" i="14"/>
  <c r="T757" i="14" s="1"/>
  <c r="N770" i="14"/>
  <c r="T770" i="14" s="1"/>
  <c r="N896" i="14"/>
  <c r="T896" i="14" s="1"/>
  <c r="N856" i="14"/>
  <c r="T856" i="14" s="1"/>
  <c r="N942" i="14"/>
  <c r="T942" i="14" s="1"/>
  <c r="N806" i="14"/>
  <c r="T806" i="14" s="1"/>
  <c r="N839" i="14"/>
  <c r="T839" i="14" s="1"/>
  <c r="N799" i="14"/>
  <c r="T799" i="14" s="1"/>
  <c r="N769" i="14"/>
  <c r="T769" i="14" s="1"/>
  <c r="N761" i="14"/>
  <c r="T761" i="14" s="1"/>
  <c r="N820" i="14"/>
  <c r="T820" i="14" s="1"/>
  <c r="N791" i="14"/>
  <c r="T791" i="14" s="1"/>
  <c r="N946" i="14"/>
  <c r="T946" i="14" s="1"/>
  <c r="N811" i="14"/>
  <c r="T811" i="14" s="1"/>
  <c r="N768" i="14"/>
  <c r="T768" i="14" s="1"/>
  <c r="N960" i="14"/>
  <c r="T960" i="14" s="1"/>
  <c r="N920" i="14"/>
  <c r="T920" i="14" s="1"/>
  <c r="N944" i="14"/>
  <c r="T944" i="14" s="1"/>
  <c r="N977" i="14"/>
  <c r="T977" i="14" s="1"/>
  <c r="N787" i="14"/>
  <c r="T787" i="14" s="1"/>
  <c r="N771" i="14"/>
  <c r="T771" i="14" s="1"/>
  <c r="N966" i="14"/>
  <c r="T966" i="14" s="1"/>
  <c r="N926" i="14"/>
  <c r="T926" i="14" s="1"/>
  <c r="N959" i="14"/>
  <c r="T959" i="14" s="1"/>
  <c r="N884" i="14"/>
  <c r="T884" i="14" s="1"/>
  <c r="N812" i="14"/>
  <c r="T812" i="14" s="1"/>
  <c r="N813" i="14"/>
  <c r="T813" i="14" s="1"/>
  <c r="N783" i="14"/>
  <c r="T783" i="14" s="1"/>
  <c r="N797" i="14"/>
  <c r="T797" i="14" s="1"/>
  <c r="N964" i="14"/>
  <c r="T964" i="14" s="1"/>
  <c r="N775" i="14"/>
  <c r="T775" i="14" s="1"/>
  <c r="N840" i="14"/>
  <c r="T840" i="14" s="1"/>
  <c r="N793" i="14"/>
  <c r="T793" i="14" s="1"/>
  <c r="N990" i="14"/>
  <c r="T990" i="14" s="1"/>
  <c r="N950" i="14"/>
  <c r="T950" i="14" s="1"/>
  <c r="N878" i="14"/>
  <c r="T878" i="14" s="1"/>
  <c r="N943" i="14"/>
  <c r="T943" i="14" s="1"/>
  <c r="N774" i="14"/>
  <c r="T774" i="14" s="1"/>
  <c r="N777" i="14"/>
  <c r="T777" i="14" s="1"/>
  <c r="N790" i="14"/>
  <c r="T790" i="14" s="1"/>
  <c r="N972" i="14"/>
  <c r="T972" i="14" s="1"/>
  <c r="N900" i="14"/>
  <c r="T900" i="14" s="1"/>
  <c r="N901" i="14"/>
  <c r="T901" i="14" s="1"/>
  <c r="N794" i="14"/>
  <c r="T794" i="14" s="1"/>
  <c r="N987" i="14"/>
  <c r="T987" i="14" s="1"/>
  <c r="N786" i="14"/>
  <c r="T786" i="14" s="1"/>
  <c r="N778" i="14"/>
  <c r="T778" i="14" s="1"/>
  <c r="N749" i="14"/>
  <c r="T749" i="14" s="1"/>
  <c r="N892" i="14"/>
  <c r="T892" i="14" s="1"/>
  <c r="N821" i="14"/>
  <c r="T821" i="14" s="1"/>
  <c r="N805" i="14"/>
  <c r="T805" i="14" s="1"/>
  <c r="N874" i="14"/>
  <c r="T874" i="14" s="1"/>
  <c r="N937" i="14"/>
  <c r="T937" i="14" s="1"/>
  <c r="N752" i="14"/>
  <c r="T752" i="14" s="1"/>
  <c r="H986" i="14"/>
  <c r="M860" i="14"/>
  <c r="S860" i="14" s="1"/>
  <c r="M962" i="14"/>
  <c r="S962" i="14" s="1"/>
  <c r="M879" i="14"/>
  <c r="S879" i="14" s="1"/>
  <c r="M761" i="14"/>
  <c r="S761" i="14" s="1"/>
  <c r="M941" i="14"/>
  <c r="S941" i="14" s="1"/>
  <c r="M794" i="14"/>
  <c r="S794" i="14" s="1"/>
  <c r="M816" i="14"/>
  <c r="S816" i="14" s="1"/>
  <c r="M812" i="14"/>
  <c r="S812" i="14" s="1"/>
  <c r="M914" i="14"/>
  <c r="S914" i="14" s="1"/>
  <c r="M863" i="14"/>
  <c r="S863" i="14" s="1"/>
  <c r="M782" i="14"/>
  <c r="S782" i="14" s="1"/>
  <c r="M775" i="14"/>
  <c r="S775" i="14" s="1"/>
  <c r="M842" i="14"/>
  <c r="S842" i="14" s="1"/>
  <c r="M960" i="14"/>
  <c r="S960" i="14" s="1"/>
  <c r="M883" i="14"/>
  <c r="S883" i="14" s="1"/>
  <c r="M985" i="14"/>
  <c r="S985" i="14" s="1"/>
  <c r="M925" i="14"/>
  <c r="S925" i="14" s="1"/>
  <c r="M792" i="14"/>
  <c r="S792" i="14" s="1"/>
  <c r="M843" i="14"/>
  <c r="S843" i="14" s="1"/>
  <c r="M945" i="14"/>
  <c r="S945" i="14" s="1"/>
  <c r="M901" i="14"/>
  <c r="S901" i="14" s="1"/>
  <c r="M784" i="14"/>
  <c r="S784" i="14" s="1"/>
  <c r="M835" i="14"/>
  <c r="S835" i="14" s="1"/>
  <c r="M937" i="14"/>
  <c r="S937" i="14" s="1"/>
  <c r="M877" i="14"/>
  <c r="S877" i="14" s="1"/>
  <c r="M776" i="14"/>
  <c r="S776" i="14" s="1"/>
  <c r="M964" i="14"/>
  <c r="S964" i="14" s="1"/>
  <c r="M865" i="14"/>
  <c r="S865" i="14" s="1"/>
  <c r="M983" i="14"/>
  <c r="S983" i="14" s="1"/>
  <c r="M909" i="14"/>
  <c r="S909" i="14" s="1"/>
  <c r="M851" i="14"/>
  <c r="S851" i="14" s="1"/>
  <c r="M953" i="14"/>
  <c r="S953" i="14" s="1"/>
  <c r="M829" i="14"/>
  <c r="S829" i="14" s="1"/>
  <c r="M760" i="14"/>
  <c r="S760" i="14" s="1"/>
  <c r="M811" i="14"/>
  <c r="S811" i="14" s="1"/>
  <c r="M913" i="14"/>
  <c r="S913" i="14" s="1"/>
  <c r="M805" i="14"/>
  <c r="S805" i="14" s="1"/>
  <c r="M752" i="14"/>
  <c r="S752" i="14" s="1"/>
  <c r="M876" i="14"/>
  <c r="S876" i="14" s="1"/>
  <c r="M978" i="14"/>
  <c r="S978" i="14" s="1"/>
  <c r="M927" i="14"/>
  <c r="S927" i="14" s="1"/>
  <c r="M837" i="14"/>
  <c r="S837" i="14" s="1"/>
  <c r="M804" i="14"/>
  <c r="S804" i="14" s="1"/>
  <c r="M906" i="14"/>
  <c r="S906" i="14" s="1"/>
  <c r="M823" i="14"/>
  <c r="S823" i="14" s="1"/>
  <c r="M790" i="14"/>
  <c r="S790" i="14" s="1"/>
  <c r="M892" i="14"/>
  <c r="S892" i="14" s="1"/>
  <c r="M793" i="14"/>
  <c r="S793" i="14" s="1"/>
  <c r="M911" i="14"/>
  <c r="S911" i="14" s="1"/>
  <c r="M990" i="14"/>
  <c r="S990" i="14" s="1"/>
  <c r="M852" i="14"/>
  <c r="S852" i="14" s="1"/>
  <c r="M954" i="14"/>
  <c r="S954" i="14" s="1"/>
  <c r="M976" i="14"/>
  <c r="S976" i="14" s="1"/>
  <c r="M777" i="14"/>
  <c r="S777" i="14" s="1"/>
  <c r="M844" i="14"/>
  <c r="S844" i="14" s="1"/>
  <c r="M946" i="14"/>
  <c r="S946" i="14" s="1"/>
  <c r="M968" i="14"/>
  <c r="S968" i="14" s="1"/>
  <c r="M955" i="14"/>
  <c r="S955" i="14" s="1"/>
  <c r="M797" i="14"/>
  <c r="S797" i="14" s="1"/>
  <c r="M789" i="14"/>
  <c r="S789" i="14" s="1"/>
  <c r="M864" i="14"/>
  <c r="S864" i="14" s="1"/>
  <c r="M915" i="14"/>
  <c r="S915" i="14" s="1"/>
  <c r="M894" i="14"/>
  <c r="S894" i="14" s="1"/>
  <c r="M749" i="14"/>
  <c r="S749" i="14" s="1"/>
  <c r="M824" i="14"/>
  <c r="S824" i="14" s="1"/>
  <c r="M948" i="14"/>
  <c r="S948" i="14" s="1"/>
  <c r="M849" i="14"/>
  <c r="S849" i="14" s="1"/>
  <c r="M871" i="14"/>
  <c r="S871" i="14" s="1"/>
  <c r="M867" i="14"/>
  <c r="S867" i="14" s="1"/>
  <c r="M969" i="14"/>
  <c r="S969" i="14" s="1"/>
  <c r="M973" i="14"/>
  <c r="S973" i="14" s="1"/>
  <c r="M808" i="14"/>
  <c r="S808" i="14" s="1"/>
  <c r="M795" i="14"/>
  <c r="S795" i="14" s="1"/>
  <c r="M897" i="14"/>
  <c r="S897" i="14" s="1"/>
  <c r="M854" i="14"/>
  <c r="S854" i="14" s="1"/>
  <c r="M798" i="14"/>
  <c r="S798" i="14" s="1"/>
  <c r="M828" i="14"/>
  <c r="S828" i="14" s="1"/>
  <c r="M930" i="14"/>
  <c r="S930" i="14" s="1"/>
  <c r="M847" i="14"/>
  <c r="S847" i="14" s="1"/>
  <c r="M766" i="14"/>
  <c r="S766" i="14" s="1"/>
  <c r="M788" i="14"/>
  <c r="S788" i="14" s="1"/>
  <c r="M890" i="14"/>
  <c r="S890" i="14" s="1"/>
  <c r="M839" i="14"/>
  <c r="S839" i="14" s="1"/>
  <c r="M769" i="14"/>
  <c r="S769" i="14" s="1"/>
  <c r="M780" i="14"/>
  <c r="S780" i="14" s="1"/>
  <c r="M882" i="14"/>
  <c r="S882" i="14" s="1"/>
  <c r="M831" i="14"/>
  <c r="S831" i="14" s="1"/>
  <c r="M774" i="14"/>
  <c r="S774" i="14" s="1"/>
  <c r="M981" i="14"/>
  <c r="S981" i="14" s="1"/>
  <c r="M810" i="14"/>
  <c r="S810" i="14" s="1"/>
  <c r="M928" i="14"/>
  <c r="S928" i="14" s="1"/>
  <c r="M796" i="14"/>
  <c r="S796" i="14" s="1"/>
  <c r="M898" i="14"/>
  <c r="S898" i="14" s="1"/>
  <c r="M815" i="14"/>
  <c r="S815" i="14" s="1"/>
  <c r="M753" i="14"/>
  <c r="S753" i="14" s="1"/>
  <c r="M756" i="14"/>
  <c r="S756" i="14" s="1"/>
  <c r="M858" i="14"/>
  <c r="S858" i="14" s="1"/>
  <c r="M807" i="14"/>
  <c r="S807" i="14" s="1"/>
  <c r="M931" i="14"/>
  <c r="S931" i="14" s="1"/>
  <c r="M942" i="14"/>
  <c r="S942" i="14" s="1"/>
  <c r="M765" i="14"/>
  <c r="S765" i="14" s="1"/>
  <c r="M872" i="14"/>
  <c r="S872" i="14" s="1"/>
  <c r="M859" i="14"/>
  <c r="S859" i="14" s="1"/>
  <c r="M961" i="14"/>
  <c r="S961" i="14" s="1"/>
  <c r="M853" i="14"/>
  <c r="S853" i="14" s="1"/>
  <c r="M768" i="14"/>
  <c r="S768" i="14" s="1"/>
  <c r="M947" i="14"/>
  <c r="S947" i="14" s="1"/>
  <c r="M974" i="14"/>
  <c r="S974" i="14" s="1"/>
  <c r="M781" i="14"/>
  <c r="S781" i="14" s="1"/>
  <c r="M856" i="14"/>
  <c r="S856" i="14" s="1"/>
  <c r="M907" i="14"/>
  <c r="S907" i="14" s="1"/>
  <c r="M886" i="14"/>
  <c r="S886" i="14" s="1"/>
  <c r="M910" i="14"/>
  <c r="S910" i="14" s="1"/>
  <c r="M763" i="14"/>
  <c r="S763" i="14" s="1"/>
  <c r="M899" i="14"/>
  <c r="S899" i="14" s="1"/>
  <c r="M862" i="14"/>
  <c r="S862" i="14" s="1"/>
  <c r="M878" i="14"/>
  <c r="S878" i="14" s="1"/>
  <c r="M755" i="14"/>
  <c r="S755" i="14" s="1"/>
  <c r="M900" i="14"/>
  <c r="S900" i="14" s="1"/>
  <c r="M801" i="14"/>
  <c r="S801" i="14" s="1"/>
  <c r="M919" i="14"/>
  <c r="S919" i="14" s="1"/>
  <c r="M902" i="14"/>
  <c r="S902" i="14" s="1"/>
  <c r="M988" i="14"/>
  <c r="S988" i="14" s="1"/>
  <c r="M889" i="14"/>
  <c r="S889" i="14" s="1"/>
  <c r="M838" i="14"/>
  <c r="S838" i="14" s="1"/>
  <c r="M870" i="14"/>
  <c r="S870" i="14" s="1"/>
  <c r="M820" i="14"/>
  <c r="S820" i="14" s="1"/>
  <c r="M922" i="14"/>
  <c r="S922" i="14" s="1"/>
  <c r="M944" i="14"/>
  <c r="S944" i="14" s="1"/>
  <c r="M940" i="14"/>
  <c r="S940" i="14" s="1"/>
  <c r="M841" i="14"/>
  <c r="S841" i="14" s="1"/>
  <c r="M991" i="14"/>
  <c r="S991" i="14" s="1"/>
  <c r="M822" i="14"/>
  <c r="S822" i="14" s="1"/>
  <c r="M868" i="14"/>
  <c r="S868" i="14" s="1"/>
  <c r="M970" i="14"/>
  <c r="S970" i="14" s="1"/>
  <c r="M887" i="14"/>
  <c r="S887" i="14" s="1"/>
  <c r="M965" i="14"/>
  <c r="S965" i="14" s="1"/>
  <c r="M802" i="14"/>
  <c r="S802" i="14" s="1"/>
  <c r="M920" i="14"/>
  <c r="S920" i="14" s="1"/>
  <c r="M971" i="14"/>
  <c r="S971" i="14" s="1"/>
  <c r="M845" i="14"/>
  <c r="S845" i="14" s="1"/>
  <c r="M762" i="14"/>
  <c r="S762" i="14" s="1"/>
  <c r="M912" i="14"/>
  <c r="S912" i="14" s="1"/>
  <c r="M963" i="14"/>
  <c r="S963" i="14" s="1"/>
  <c r="M821" i="14"/>
  <c r="S821" i="14" s="1"/>
  <c r="M754" i="14"/>
  <c r="S754" i="14" s="1"/>
  <c r="M904" i="14"/>
  <c r="S904" i="14" s="1"/>
  <c r="M891" i="14"/>
  <c r="S891" i="14" s="1"/>
  <c r="M830" i="14"/>
  <c r="S830" i="14" s="1"/>
  <c r="M949" i="14"/>
  <c r="S949" i="14" s="1"/>
  <c r="M800" i="14"/>
  <c r="S800" i="14" s="1"/>
  <c r="M979" i="14"/>
  <c r="S979" i="14" s="1"/>
  <c r="M869" i="14"/>
  <c r="S869" i="14" s="1"/>
  <c r="M770" i="14"/>
  <c r="S770" i="14" s="1"/>
  <c r="M888" i="14"/>
  <c r="S888" i="14" s="1"/>
  <c r="M939" i="14"/>
  <c r="S939" i="14" s="1"/>
  <c r="M966" i="14"/>
  <c r="S966" i="14" s="1"/>
  <c r="M773" i="14"/>
  <c r="S773" i="14" s="1"/>
  <c r="M880" i="14"/>
  <c r="S880" i="14" s="1"/>
  <c r="M803" i="14"/>
  <c r="S803" i="14" s="1"/>
  <c r="M905" i="14"/>
  <c r="S905" i="14" s="1"/>
  <c r="M982" i="14"/>
  <c r="S982" i="14" s="1"/>
  <c r="M787" i="14"/>
  <c r="S787" i="14" s="1"/>
  <c r="M932" i="14"/>
  <c r="S932" i="14" s="1"/>
  <c r="M833" i="14"/>
  <c r="S833" i="14" s="1"/>
  <c r="M951" i="14"/>
  <c r="S951" i="14" s="1"/>
  <c r="M813" i="14"/>
  <c r="S813" i="14" s="1"/>
  <c r="M819" i="14"/>
  <c r="S819" i="14" s="1"/>
  <c r="M921" i="14"/>
  <c r="S921" i="14" s="1"/>
  <c r="M926" i="14"/>
  <c r="S926" i="14" s="1"/>
  <c r="M771" i="14"/>
  <c r="S771" i="14" s="1"/>
  <c r="M980" i="14"/>
  <c r="S980" i="14" s="1"/>
  <c r="M881" i="14"/>
  <c r="S881" i="14" s="1"/>
  <c r="M903" i="14"/>
  <c r="S903" i="14" s="1"/>
  <c r="M957" i="14"/>
  <c r="S957" i="14" s="1"/>
  <c r="M972" i="14"/>
  <c r="S972" i="14" s="1"/>
  <c r="M873" i="14"/>
  <c r="S873" i="14" s="1"/>
  <c r="M895" i="14"/>
  <c r="S895" i="14" s="1"/>
  <c r="M934" i="14"/>
  <c r="S934" i="14" s="1"/>
  <c r="M772" i="14"/>
  <c r="S772" i="14" s="1"/>
  <c r="M874" i="14"/>
  <c r="S874" i="14" s="1"/>
  <c r="M791" i="14"/>
  <c r="S791" i="14" s="1"/>
  <c r="M834" i="14"/>
  <c r="S834" i="14" s="1"/>
  <c r="M814" i="14"/>
  <c r="S814" i="14" s="1"/>
  <c r="M936" i="14"/>
  <c r="S936" i="14" s="1"/>
  <c r="M832" i="14"/>
  <c r="S832" i="14" s="1"/>
  <c r="M989" i="14"/>
  <c r="S989" i="14" s="1"/>
  <c r="M958" i="14"/>
  <c r="S958" i="14" s="1"/>
  <c r="M933" i="14"/>
  <c r="S933" i="14" s="1"/>
  <c r="M750" i="14"/>
  <c r="S750" i="14" s="1"/>
  <c r="M885" i="14"/>
  <c r="S885" i="14" s="1"/>
  <c r="M846" i="14"/>
  <c r="S846" i="14" s="1"/>
  <c r="M987" i="14"/>
  <c r="S987" i="14" s="1"/>
  <c r="M785" i="14"/>
  <c r="S785" i="14" s="1"/>
  <c r="M758" i="14"/>
  <c r="S758" i="14" s="1"/>
  <c r="M806" i="14"/>
  <c r="S806" i="14" s="1"/>
  <c r="M827" i="14"/>
  <c r="S827" i="14" s="1"/>
  <c r="M836" i="14"/>
  <c r="S836" i="14" s="1"/>
  <c r="M884" i="14"/>
  <c r="S884" i="14" s="1"/>
  <c r="M893" i="14"/>
  <c r="S893" i="14" s="1"/>
  <c r="M764" i="14"/>
  <c r="S764" i="14" s="1"/>
  <c r="M751" i="14"/>
  <c r="S751" i="14" s="1"/>
  <c r="M977" i="14"/>
  <c r="S977" i="14" s="1"/>
  <c r="M757" i="14"/>
  <c r="S757" i="14" s="1"/>
  <c r="M959" i="14"/>
  <c r="S959" i="14" s="1"/>
  <c r="M935" i="14"/>
  <c r="S935" i="14" s="1"/>
  <c r="M984" i="14"/>
  <c r="S984" i="14" s="1"/>
  <c r="M952" i="14"/>
  <c r="S952" i="14" s="1"/>
  <c r="M861" i="14"/>
  <c r="S861" i="14" s="1"/>
  <c r="M923" i="14"/>
  <c r="S923" i="14" s="1"/>
  <c r="M956" i="14"/>
  <c r="S956" i="14" s="1"/>
  <c r="M916" i="14"/>
  <c r="S916" i="14" s="1"/>
  <c r="M908" i="14"/>
  <c r="S908" i="14" s="1"/>
  <c r="M924" i="14"/>
  <c r="S924" i="14" s="1"/>
  <c r="M783" i="14"/>
  <c r="S783" i="14" s="1"/>
  <c r="M759" i="14"/>
  <c r="S759" i="14" s="1"/>
  <c r="M929" i="14"/>
  <c r="S929" i="14" s="1"/>
  <c r="M786" i="14"/>
  <c r="S786" i="14" s="1"/>
  <c r="M967" i="14"/>
  <c r="S967" i="14" s="1"/>
  <c r="M943" i="14"/>
  <c r="S943" i="14" s="1"/>
  <c r="M896" i="14"/>
  <c r="S896" i="14" s="1"/>
  <c r="M840" i="14"/>
  <c r="S840" i="14" s="1"/>
  <c r="M875" i="14"/>
  <c r="S875" i="14" s="1"/>
  <c r="M917" i="14"/>
  <c r="S917" i="14" s="1"/>
  <c r="M918" i="14"/>
  <c r="S918" i="14" s="1"/>
  <c r="M857" i="14"/>
  <c r="S857" i="14" s="1"/>
  <c r="M817" i="14"/>
  <c r="S817" i="14" s="1"/>
  <c r="M809" i="14"/>
  <c r="S809" i="14" s="1"/>
  <c r="M938" i="14"/>
  <c r="S938" i="14" s="1"/>
  <c r="M825" i="14"/>
  <c r="S825" i="14" s="1"/>
  <c r="M986" i="14"/>
  <c r="S986" i="14" s="1"/>
  <c r="M850" i="14"/>
  <c r="S850" i="14" s="1"/>
  <c r="M778" i="14"/>
  <c r="S778" i="14" s="1"/>
  <c r="M866" i="14"/>
  <c r="S866" i="14" s="1"/>
  <c r="M826" i="14"/>
  <c r="S826" i="14" s="1"/>
  <c r="M818" i="14"/>
  <c r="S818" i="14" s="1"/>
  <c r="M950" i="14"/>
  <c r="S950" i="14" s="1"/>
  <c r="M767" i="14"/>
  <c r="S767" i="14" s="1"/>
  <c r="M975" i="14"/>
  <c r="S975" i="14" s="1"/>
  <c r="M855" i="14"/>
  <c r="S855" i="14" s="1"/>
  <c r="M799" i="14"/>
  <c r="S799" i="14" s="1"/>
  <c r="M848" i="14"/>
  <c r="S848" i="14" s="1"/>
  <c r="M779" i="14"/>
  <c r="S779" i="14" s="1"/>
  <c r="V173" i="10"/>
  <c r="M174" i="10"/>
  <c r="I920" i="14" l="1"/>
  <c r="I955" i="14"/>
  <c r="I784" i="14"/>
  <c r="I753" i="14"/>
  <c r="I788" i="14"/>
  <c r="I923" i="14"/>
  <c r="I794" i="14"/>
  <c r="I883" i="14"/>
  <c r="I944" i="14"/>
  <c r="I968" i="14"/>
  <c r="I850" i="14"/>
  <c r="I763" i="14"/>
  <c r="I772" i="14"/>
  <c r="I833" i="14"/>
  <c r="I846" i="14"/>
  <c r="I874" i="14"/>
  <c r="I975" i="14"/>
  <c r="I922" i="14"/>
  <c r="I934" i="14"/>
  <c r="I851" i="14"/>
  <c r="I779" i="14"/>
  <c r="I971" i="14"/>
  <c r="I899" i="14"/>
  <c r="I854" i="14"/>
  <c r="I866" i="14"/>
  <c r="I977" i="14"/>
  <c r="I879" i="14"/>
  <c r="I897" i="14"/>
  <c r="I990" i="14"/>
  <c r="I876" i="14"/>
  <c r="I849" i="14"/>
  <c r="I806" i="14"/>
  <c r="I878" i="14"/>
  <c r="I764" i="14"/>
  <c r="E830" i="14"/>
  <c r="F951" i="14"/>
  <c r="I935" i="14"/>
  <c r="I823" i="14"/>
  <c r="E915" i="14"/>
  <c r="F867" i="14"/>
  <c r="F910" i="14"/>
  <c r="F792" i="14"/>
  <c r="F824" i="14"/>
  <c r="F919" i="14"/>
  <c r="F756" i="14"/>
  <c r="F880" i="14"/>
  <c r="F837" i="14"/>
  <c r="G823" i="14"/>
  <c r="H929" i="14"/>
  <c r="F938" i="14"/>
  <c r="F857" i="14"/>
  <c r="F752" i="14"/>
  <c r="F828" i="14"/>
  <c r="F982" i="14"/>
  <c r="F827" i="14"/>
  <c r="F875" i="14"/>
  <c r="F916" i="14"/>
  <c r="F872" i="14"/>
  <c r="F885" i="14"/>
  <c r="F970" i="14"/>
  <c r="F928" i="14"/>
  <c r="F905" i="14"/>
  <c r="F984" i="14"/>
  <c r="F848" i="14"/>
  <c r="F974" i="14"/>
  <c r="F900" i="14"/>
  <c r="F831" i="14"/>
  <c r="F956" i="14"/>
  <c r="F762" i="14"/>
  <c r="F915" i="14"/>
  <c r="F960" i="14"/>
  <c r="F903" i="14"/>
  <c r="F925" i="14"/>
  <c r="I894" i="14"/>
  <c r="I838" i="14"/>
  <c r="I762" i="14"/>
  <c r="I918" i="14"/>
  <c r="I799" i="14"/>
  <c r="I817" i="14"/>
  <c r="I775" i="14"/>
  <c r="I791" i="14"/>
  <c r="I921" i="14"/>
  <c r="I983" i="14"/>
  <c r="G847" i="14"/>
  <c r="G947" i="14"/>
  <c r="E823" i="14"/>
  <c r="E918" i="14"/>
  <c r="F755" i="14"/>
  <c r="E821" i="14"/>
  <c r="E857" i="14"/>
  <c r="F789" i="14"/>
  <c r="I786" i="14"/>
  <c r="G794" i="14"/>
  <c r="E929" i="14"/>
  <c r="F988" i="14"/>
  <c r="G760" i="14"/>
  <c r="H785" i="14"/>
  <c r="H917" i="14"/>
  <c r="E788" i="14"/>
  <c r="E887" i="14"/>
  <c r="E930" i="14"/>
  <c r="E793" i="14"/>
  <c r="E981" i="14"/>
  <c r="F874" i="14"/>
  <c r="F921" i="14"/>
  <c r="I873" i="14"/>
  <c r="I973" i="14"/>
  <c r="I822" i="14"/>
  <c r="G821" i="14"/>
  <c r="H935" i="14"/>
  <c r="E802" i="14"/>
  <c r="E875" i="14"/>
  <c r="I828" i="14"/>
  <c r="I887" i="14"/>
  <c r="I884" i="14"/>
  <c r="H946" i="14"/>
  <c r="E917" i="14"/>
  <c r="E966" i="14"/>
  <c r="E957" i="14"/>
  <c r="E839" i="14"/>
  <c r="E753" i="14"/>
  <c r="I943" i="14"/>
  <c r="G764" i="14"/>
  <c r="H815" i="14"/>
  <c r="G941" i="14"/>
  <c r="G824" i="14"/>
  <c r="E862" i="14"/>
  <c r="F971" i="14"/>
  <c r="F835" i="14"/>
  <c r="F876" i="14"/>
  <c r="I834" i="14"/>
  <c r="I875" i="14"/>
  <c r="I841" i="14"/>
  <c r="I913" i="14"/>
  <c r="I953" i="14"/>
  <c r="I961" i="14"/>
  <c r="I812" i="14"/>
  <c r="I848" i="14"/>
  <c r="I924" i="14"/>
  <c r="G781" i="14"/>
  <c r="G867" i="14"/>
  <c r="G919" i="14"/>
  <c r="G838" i="14"/>
  <c r="H985" i="14"/>
  <c r="F811" i="14"/>
  <c r="F836" i="14"/>
  <c r="F912" i="14"/>
  <c r="I987" i="14"/>
  <c r="I929" i="14"/>
  <c r="I881" i="14"/>
  <c r="I906" i="14"/>
  <c r="I945" i="14"/>
  <c r="I937" i="14"/>
  <c r="I931" i="14"/>
  <c r="I868" i="14"/>
  <c r="I782" i="14"/>
  <c r="I810" i="14"/>
  <c r="E840" i="14"/>
  <c r="G903" i="14"/>
  <c r="G785" i="14"/>
  <c r="G949" i="14"/>
  <c r="G762" i="14"/>
  <c r="G790" i="14"/>
  <c r="G773" i="14"/>
  <c r="H816" i="14"/>
  <c r="G825" i="14"/>
  <c r="G982" i="14"/>
  <c r="G768" i="14"/>
  <c r="G836" i="14"/>
  <c r="G895" i="14"/>
  <c r="G784" i="14"/>
  <c r="G866" i="14"/>
  <c r="G770" i="14"/>
  <c r="G948" i="14"/>
  <c r="G990" i="14"/>
  <c r="G897" i="14"/>
  <c r="G924" i="14"/>
  <c r="G754" i="14"/>
  <c r="G777" i="14"/>
  <c r="H953" i="14"/>
  <c r="G916" i="14"/>
  <c r="E886" i="14"/>
  <c r="E852" i="14"/>
  <c r="G820" i="14"/>
  <c r="H978" i="14"/>
  <c r="E759" i="14"/>
  <c r="E820" i="14"/>
  <c r="E794" i="14"/>
  <c r="E888" i="14"/>
  <c r="E851" i="14"/>
  <c r="E833" i="14"/>
  <c r="E855" i="14"/>
  <c r="E927" i="14"/>
  <c r="E762" i="14"/>
  <c r="E819" i="14"/>
  <c r="E948" i="14"/>
  <c r="E797" i="14"/>
  <c r="G753" i="14"/>
  <c r="H837" i="14"/>
  <c r="H806" i="14"/>
  <c r="E912" i="14"/>
  <c r="E838" i="14"/>
  <c r="F973" i="14"/>
  <c r="H766" i="14"/>
  <c r="H990" i="14"/>
  <c r="H858" i="14"/>
  <c r="E805" i="14"/>
  <c r="H812" i="14"/>
  <c r="E949" i="14"/>
  <c r="E752" i="14"/>
  <c r="G911" i="14"/>
  <c r="G822" i="14"/>
  <c r="G780" i="14"/>
  <c r="G874" i="14"/>
  <c r="H874" i="14"/>
  <c r="E824" i="14"/>
  <c r="E750" i="14"/>
  <c r="E901" i="14"/>
  <c r="E784" i="14"/>
  <c r="E831" i="14"/>
  <c r="E880" i="14"/>
  <c r="E889" i="14"/>
  <c r="E897" i="14"/>
  <c r="E972" i="14"/>
  <c r="E898" i="14"/>
  <c r="E988" i="14"/>
  <c r="E935" i="14"/>
  <c r="E969" i="14"/>
  <c r="E906" i="14"/>
  <c r="E946" i="14"/>
  <c r="G778" i="14"/>
  <c r="G858" i="14"/>
  <c r="G795" i="14"/>
  <c r="G981" i="14"/>
  <c r="G921" i="14"/>
  <c r="G896" i="14"/>
  <c r="G910" i="14"/>
  <c r="H878" i="14"/>
  <c r="E760" i="14"/>
  <c r="E812" i="14"/>
  <c r="E845" i="14"/>
  <c r="E959" i="14"/>
  <c r="E829" i="14"/>
  <c r="E932" i="14"/>
  <c r="E846" i="14"/>
  <c r="E841" i="14"/>
  <c r="E801" i="14"/>
  <c r="E817" i="14"/>
  <c r="E844" i="14"/>
  <c r="E882" i="14"/>
  <c r="E877" i="14"/>
  <c r="E913" i="14"/>
  <c r="F793" i="14"/>
  <c r="H893" i="14"/>
  <c r="H911" i="14"/>
  <c r="E768" i="14"/>
  <c r="E958" i="14"/>
  <c r="E970" i="14"/>
  <c r="E816" i="14"/>
  <c r="E903" i="14"/>
  <c r="E885" i="14"/>
  <c r="E916" i="14"/>
  <c r="E769" i="14"/>
  <c r="E806" i="14"/>
  <c r="E914" i="14"/>
  <c r="E937" i="14"/>
  <c r="E934" i="14"/>
  <c r="E884" i="14"/>
  <c r="E956" i="14"/>
  <c r="E921" i="14"/>
  <c r="F954" i="14"/>
  <c r="H882" i="14"/>
  <c r="H987" i="14"/>
  <c r="H989" i="14"/>
  <c r="H915" i="14"/>
  <c r="F953" i="14"/>
  <c r="F840" i="14"/>
  <c r="F749" i="14"/>
  <c r="F847" i="14"/>
  <c r="F981" i="14"/>
  <c r="H823" i="14"/>
  <c r="H810" i="14"/>
  <c r="H863" i="14"/>
  <c r="F783" i="14"/>
  <c r="F883" i="14"/>
  <c r="F929" i="14"/>
  <c r="F941" i="14"/>
  <c r="F934" i="14"/>
  <c r="F873" i="14"/>
  <c r="F767" i="14"/>
  <c r="F759" i="14"/>
  <c r="H980" i="14"/>
  <c r="H907" i="14"/>
  <c r="H848" i="14"/>
  <c r="F965" i="14"/>
  <c r="F944" i="14"/>
  <c r="F822" i="14"/>
  <c r="F975" i="14"/>
  <c r="F853" i="14"/>
  <c r="F893" i="14"/>
  <c r="H928" i="14"/>
  <c r="H922" i="14"/>
  <c r="H793" i="14"/>
  <c r="H773" i="14"/>
  <c r="H870" i="14"/>
  <c r="H930" i="14"/>
  <c r="H872" i="14"/>
  <c r="H781" i="14"/>
  <c r="H919" i="14"/>
  <c r="H808" i="14"/>
  <c r="H912" i="14"/>
  <c r="H779" i="14"/>
  <c r="H757" i="14"/>
  <c r="H753" i="14"/>
  <c r="H828" i="14"/>
  <c r="H931" i="14"/>
  <c r="H895" i="14"/>
  <c r="E807" i="14"/>
  <c r="E891" i="14"/>
  <c r="E756" i="14"/>
  <c r="E822" i="14"/>
  <c r="E894" i="14"/>
  <c r="E754" i="14"/>
  <c r="E836" i="14"/>
  <c r="E777" i="14"/>
  <c r="E803" i="14"/>
  <c r="F844" i="14"/>
  <c r="F834" i="14"/>
  <c r="G793" i="14"/>
  <c r="G978" i="14"/>
  <c r="G819" i="14"/>
  <c r="G761" i="14"/>
  <c r="H835" i="14"/>
  <c r="H814" i="14"/>
  <c r="H802" i="14"/>
  <c r="H824" i="14"/>
  <c r="H914" i="14"/>
  <c r="H920" i="14"/>
  <c r="H845" i="14"/>
  <c r="H903" i="14"/>
  <c r="E876" i="14"/>
  <c r="E779" i="14"/>
  <c r="E899" i="14"/>
  <c r="E963" i="14"/>
  <c r="E853" i="14"/>
  <c r="E991" i="14"/>
  <c r="E931" i="14"/>
  <c r="F859" i="14"/>
  <c r="F774" i="14"/>
  <c r="I985" i="14"/>
  <c r="G756" i="14"/>
  <c r="G759" i="14"/>
  <c r="H771" i="14"/>
  <c r="H942" i="14"/>
  <c r="H782" i="14"/>
  <c r="H876" i="14"/>
  <c r="H797" i="14"/>
  <c r="H760" i="14"/>
  <c r="H879" i="14"/>
  <c r="H804" i="14"/>
  <c r="H943" i="14"/>
  <c r="H969" i="14"/>
  <c r="H769" i="14"/>
  <c r="H888" i="14"/>
  <c r="H776" i="14"/>
  <c r="H866" i="14"/>
  <c r="H860" i="14"/>
  <c r="E813" i="14"/>
  <c r="E910" i="14"/>
  <c r="E866" i="14"/>
  <c r="E796" i="14"/>
  <c r="E933" i="14"/>
  <c r="E804" i="14"/>
  <c r="E945" i="14"/>
  <c r="E765" i="14"/>
  <c r="E878" i="14"/>
  <c r="E955" i="14"/>
  <c r="E871" i="14"/>
  <c r="E928" i="14"/>
  <c r="E811" i="14"/>
  <c r="F799" i="14"/>
  <c r="I928" i="14"/>
  <c r="G772" i="14"/>
  <c r="G980" i="14"/>
  <c r="G913" i="14"/>
  <c r="G893" i="14"/>
  <c r="G857" i="14"/>
  <c r="G806" i="14"/>
  <c r="G801" i="14"/>
  <c r="H871" i="14"/>
  <c r="H941" i="14"/>
  <c r="F932" i="14"/>
  <c r="F832" i="14"/>
  <c r="F776" i="14"/>
  <c r="I936" i="14"/>
  <c r="G979" i="14"/>
  <c r="G855" i="14"/>
  <c r="G818" i="14"/>
  <c r="G939" i="14"/>
  <c r="H959" i="14"/>
  <c r="H749" i="14"/>
  <c r="F818" i="14"/>
  <c r="F990" i="14"/>
  <c r="F862" i="14"/>
  <c r="F757" i="14"/>
  <c r="F894" i="14"/>
  <c r="I840" i="14"/>
  <c r="G952" i="14"/>
  <c r="G985" i="14"/>
  <c r="G757" i="14"/>
  <c r="G922" i="14"/>
  <c r="G917" i="14"/>
  <c r="G814" i="14"/>
  <c r="G946" i="14"/>
  <c r="G846" i="14"/>
  <c r="G808" i="14"/>
  <c r="H790" i="14"/>
  <c r="H908" i="14"/>
  <c r="H754" i="14"/>
  <c r="H794" i="14"/>
  <c r="H898" i="14"/>
  <c r="H840" i="14"/>
  <c r="H783" i="14"/>
  <c r="F959" i="14"/>
  <c r="F947" i="14"/>
  <c r="F911" i="14"/>
  <c r="F980" i="14"/>
  <c r="F801" i="14"/>
  <c r="I803" i="14"/>
  <c r="I867" i="14"/>
  <c r="G852" i="14"/>
  <c r="G950" i="14"/>
  <c r="H976" i="14"/>
  <c r="H927" i="14"/>
  <c r="H859" i="14"/>
  <c r="H862" i="14"/>
  <c r="H883" i="14"/>
  <c r="E860" i="14"/>
  <c r="E767" i="14"/>
  <c r="F983" i="14"/>
  <c r="F794" i="14"/>
  <c r="F816" i="14"/>
  <c r="F976" i="14"/>
  <c r="F955" i="14"/>
  <c r="F927" i="14"/>
  <c r="F760" i="14"/>
  <c r="F930" i="14"/>
  <c r="F778" i="14"/>
  <c r="I795" i="14"/>
  <c r="I965" i="14"/>
  <c r="I797" i="14"/>
  <c r="I984" i="14"/>
  <c r="I870" i="14"/>
  <c r="I979" i="14"/>
  <c r="I947" i="14"/>
  <c r="I766" i="14"/>
  <c r="I827" i="14"/>
  <c r="G920" i="14"/>
  <c r="G859" i="14"/>
  <c r="H887" i="14"/>
  <c r="H984" i="14"/>
  <c r="E864" i="14"/>
  <c r="F979" i="14"/>
  <c r="F773" i="14"/>
  <c r="F906" i="14"/>
  <c r="F863" i="14"/>
  <c r="F764" i="14"/>
  <c r="F989" i="14"/>
  <c r="F966" i="14"/>
  <c r="I959" i="14"/>
  <c r="I771" i="14"/>
  <c r="I969" i="14"/>
  <c r="I939" i="14"/>
  <c r="I843" i="14"/>
  <c r="I832" i="14"/>
  <c r="I792" i="14"/>
  <c r="G931" i="14"/>
  <c r="G782" i="14"/>
  <c r="G988" i="14"/>
  <c r="G876" i="14"/>
  <c r="G861" i="14"/>
  <c r="G956" i="14"/>
  <c r="G797" i="14"/>
  <c r="H801" i="14"/>
  <c r="H937" i="14"/>
  <c r="H825" i="14"/>
  <c r="H822" i="14"/>
  <c r="H892" i="14"/>
  <c r="E990" i="14"/>
  <c r="E950" i="14"/>
  <c r="F803" i="14"/>
  <c r="F898" i="14"/>
  <c r="F754" i="14"/>
  <c r="F909" i="14"/>
  <c r="F978" i="14"/>
  <c r="F926" i="14"/>
  <c r="I930" i="14"/>
  <c r="I816" i="14"/>
  <c r="G787" i="14"/>
  <c r="G862" i="14"/>
  <c r="G880" i="14"/>
  <c r="G885" i="14"/>
  <c r="G991" i="14"/>
  <c r="G934" i="14"/>
  <c r="G983" i="14"/>
  <c r="G989" i="14"/>
  <c r="G886" i="14"/>
  <c r="G967" i="14"/>
  <c r="G927" i="14"/>
  <c r="G788" i="14"/>
  <c r="G828" i="14"/>
  <c r="G889" i="14"/>
  <c r="G974" i="14"/>
  <c r="G975" i="14"/>
  <c r="G901" i="14"/>
  <c r="G829" i="14"/>
  <c r="G810" i="14"/>
  <c r="H973" i="14"/>
  <c r="H868" i="14"/>
  <c r="H896" i="14"/>
  <c r="H796" i="14"/>
  <c r="H916" i="14"/>
  <c r="H961" i="14"/>
  <c r="H852" i="14"/>
  <c r="H936" i="14"/>
  <c r="H988" i="14"/>
  <c r="H843" i="14"/>
  <c r="H875" i="14"/>
  <c r="H945" i="14"/>
  <c r="H853" i="14"/>
  <c r="H751" i="14"/>
  <c r="H955" i="14"/>
  <c r="H855" i="14"/>
  <c r="H899" i="14"/>
  <c r="H851" i="14"/>
  <c r="H780" i="14"/>
  <c r="H923" i="14"/>
  <c r="H977" i="14"/>
  <c r="E902" i="14"/>
  <c r="E770" i="14"/>
  <c r="E975" i="14"/>
  <c r="E978" i="14"/>
  <c r="E940" i="14"/>
  <c r="E938" i="14"/>
  <c r="E968" i="14"/>
  <c r="E926" i="14"/>
  <c r="E868" i="14"/>
  <c r="E896" i="14"/>
  <c r="E795" i="14"/>
  <c r="F791" i="14"/>
  <c r="F855" i="14"/>
  <c r="F968" i="14"/>
  <c r="F977" i="14"/>
  <c r="F887" i="14"/>
  <c r="F924" i="14"/>
  <c r="F940" i="14"/>
  <c r="F768" i="14"/>
  <c r="F878" i="14"/>
  <c r="F888" i="14"/>
  <c r="F805" i="14"/>
  <c r="F771" i="14"/>
  <c r="F842" i="14"/>
  <c r="F782" i="14"/>
  <c r="F815" i="14"/>
  <c r="F913" i="14"/>
  <c r="I925" i="14"/>
  <c r="I933" i="14"/>
  <c r="I981" i="14"/>
  <c r="I789" i="14"/>
  <c r="I967" i="14"/>
  <c r="I820" i="14"/>
  <c r="I858" i="14"/>
  <c r="I902" i="14"/>
  <c r="I770" i="14"/>
  <c r="I946" i="14"/>
  <c r="I914" i="14"/>
  <c r="I769" i="14"/>
  <c r="I859" i="14"/>
  <c r="I847" i="14"/>
  <c r="I888" i="14"/>
  <c r="G864" i="14"/>
  <c r="G826" i="14"/>
  <c r="G875" i="14"/>
  <c r="G860" i="14"/>
  <c r="G888" i="14"/>
  <c r="G986" i="14"/>
  <c r="G942" i="14"/>
  <c r="G912" i="14"/>
  <c r="G783" i="14"/>
  <c r="G817" i="14"/>
  <c r="G771" i="14"/>
  <c r="G957" i="14"/>
  <c r="G877" i="14"/>
  <c r="H967" i="14"/>
  <c r="H772" i="14"/>
  <c r="H768" i="14"/>
  <c r="H803" i="14"/>
  <c r="H813" i="14"/>
  <c r="H934" i="14"/>
  <c r="H795" i="14"/>
  <c r="H778" i="14"/>
  <c r="H762" i="14"/>
  <c r="H952" i="14"/>
  <c r="H767" i="14"/>
  <c r="E973" i="14"/>
  <c r="E943" i="14"/>
  <c r="E908" i="14"/>
  <c r="E869" i="14"/>
  <c r="E776" i="14"/>
  <c r="E942" i="14"/>
  <c r="E850" i="14"/>
  <c r="E781" i="14"/>
  <c r="E809" i="14"/>
  <c r="E764" i="14"/>
  <c r="E947" i="14"/>
  <c r="E980" i="14"/>
  <c r="E835" i="14"/>
  <c r="E798" i="14"/>
  <c r="E952" i="14"/>
  <c r="V922" i="14"/>
  <c r="A922" i="14" s="1"/>
  <c r="V828" i="14"/>
  <c r="A828" i="14" s="1"/>
  <c r="V867" i="14"/>
  <c r="A867" i="14" s="1"/>
  <c r="V989" i="14"/>
  <c r="A989" i="14" s="1"/>
  <c r="V984" i="14"/>
  <c r="A984" i="14" s="1"/>
  <c r="V976" i="14"/>
  <c r="A976" i="14" s="1"/>
  <c r="F750" i="14"/>
  <c r="F825" i="14"/>
  <c r="F795" i="14"/>
  <c r="F897" i="14"/>
  <c r="F936" i="14"/>
  <c r="F781" i="14"/>
  <c r="F775" i="14"/>
  <c r="F917" i="14"/>
  <c r="F964" i="14"/>
  <c r="F833" i="14"/>
  <c r="F871" i="14"/>
  <c r="F830" i="14"/>
  <c r="F839" i="14"/>
  <c r="F870" i="14"/>
  <c r="F985" i="14"/>
  <c r="F896" i="14"/>
  <c r="F901" i="14"/>
  <c r="F779" i="14"/>
  <c r="I802" i="14"/>
  <c r="I757" i="14"/>
  <c r="I976" i="14"/>
  <c r="I900" i="14"/>
  <c r="I938" i="14"/>
  <c r="I830" i="14"/>
  <c r="I836" i="14"/>
  <c r="I781" i="14"/>
  <c r="I927" i="14"/>
  <c r="I958" i="14"/>
  <c r="I956" i="14"/>
  <c r="G884" i="14"/>
  <c r="G779" i="14"/>
  <c r="G834" i="14"/>
  <c r="G904" i="14"/>
  <c r="G813" i="14"/>
  <c r="G984" i="14"/>
  <c r="G842" i="14"/>
  <c r="G925" i="14"/>
  <c r="G976" i="14"/>
  <c r="G800" i="14"/>
  <c r="G977" i="14"/>
  <c r="G758" i="14"/>
  <c r="G796" i="14"/>
  <c r="G968" i="14"/>
  <c r="G914" i="14"/>
  <c r="G961" i="14"/>
  <c r="G805" i="14"/>
  <c r="G887" i="14"/>
  <c r="H750" i="14"/>
  <c r="H820" i="14"/>
  <c r="H841" i="14"/>
  <c r="H839" i="14"/>
  <c r="H867" i="14"/>
  <c r="H951" i="14"/>
  <c r="H800" i="14"/>
  <c r="H844" i="14"/>
  <c r="H932" i="14"/>
  <c r="H847" i="14"/>
  <c r="E772" i="14"/>
  <c r="E827" i="14"/>
  <c r="E783" i="14"/>
  <c r="E837" i="14"/>
  <c r="E977" i="14"/>
  <c r="E814" i="14"/>
  <c r="E890" i="14"/>
  <c r="E924" i="14"/>
  <c r="E920" i="14"/>
  <c r="E971" i="14"/>
  <c r="E979" i="14"/>
  <c r="E786" i="14"/>
  <c r="F806" i="14"/>
  <c r="F946" i="14"/>
  <c r="F819" i="14"/>
  <c r="F858" i="14"/>
  <c r="F957" i="14"/>
  <c r="F817" i="14"/>
  <c r="F950" i="14"/>
  <c r="F763" i="14"/>
  <c r="F865" i="14"/>
  <c r="F914" i="14"/>
  <c r="F884" i="14"/>
  <c r="F810" i="14"/>
  <c r="F869" i="14"/>
  <c r="F780" i="14"/>
  <c r="F812" i="14"/>
  <c r="F841" i="14"/>
  <c r="F963" i="14"/>
  <c r="I903" i="14"/>
  <c r="I919" i="14"/>
  <c r="I790" i="14"/>
  <c r="I765" i="14"/>
  <c r="I752" i="14"/>
  <c r="I856" i="14"/>
  <c r="I798" i="14"/>
  <c r="I793" i="14"/>
  <c r="I783" i="14"/>
  <c r="V892" i="14"/>
  <c r="A892" i="14" s="1"/>
  <c r="V849" i="14"/>
  <c r="A849" i="14" s="1"/>
  <c r="V883" i="14"/>
  <c r="A883" i="14" s="1"/>
  <c r="V879" i="14"/>
  <c r="A879" i="14" s="1"/>
  <c r="G844" i="14"/>
  <c r="G833" i="14"/>
  <c r="G936" i="14"/>
  <c r="G908" i="14"/>
  <c r="G928" i="14"/>
  <c r="G799" i="14"/>
  <c r="G872" i="14"/>
  <c r="G816" i="14"/>
  <c r="G843" i="14"/>
  <c r="G827" i="14"/>
  <c r="G879" i="14"/>
  <c r="G831" i="14"/>
  <c r="G933" i="14"/>
  <c r="G873" i="14"/>
  <c r="G830" i="14"/>
  <c r="G905" i="14"/>
  <c r="G894" i="14"/>
  <c r="G973" i="14"/>
  <c r="H864" i="14"/>
  <c r="H752" i="14"/>
  <c r="H948" i="14"/>
  <c r="H968" i="14"/>
  <c r="H897" i="14"/>
  <c r="H861" i="14"/>
  <c r="H819" i="14"/>
  <c r="H807" i="14"/>
  <c r="H850" i="14"/>
  <c r="H764" i="14"/>
  <c r="H838" i="14"/>
  <c r="H821" i="14"/>
  <c r="E818" i="14"/>
  <c r="E758" i="14"/>
  <c r="E826" i="14"/>
  <c r="E960" i="14"/>
  <c r="E858" i="14"/>
  <c r="E900" i="14"/>
  <c r="E964" i="14"/>
  <c r="E751" i="14"/>
  <c r="E962" i="14"/>
  <c r="E923" i="14"/>
  <c r="E755" i="14"/>
  <c r="F962" i="14"/>
  <c r="F765" i="14"/>
  <c r="F895" i="14"/>
  <c r="F856" i="14"/>
  <c r="F820" i="14"/>
  <c r="F958" i="14"/>
  <c r="F761" i="14"/>
  <c r="F777" i="14"/>
  <c r="F800" i="14"/>
  <c r="F838" i="14"/>
  <c r="F937" i="14"/>
  <c r="F933" i="14"/>
  <c r="F796" i="14"/>
  <c r="I837" i="14"/>
  <c r="I885" i="14"/>
  <c r="I960" i="14"/>
  <c r="I970" i="14"/>
  <c r="I962" i="14"/>
  <c r="I893" i="14"/>
  <c r="I855" i="14"/>
  <c r="I917" i="14"/>
  <c r="I911" i="14"/>
  <c r="I842" i="14"/>
  <c r="I776" i="14"/>
  <c r="I860" i="14"/>
  <c r="I988" i="14"/>
  <c r="I773" i="14"/>
  <c r="I863" i="14"/>
  <c r="I942" i="14"/>
  <c r="V987" i="14"/>
  <c r="A987" i="14" s="1"/>
  <c r="V872" i="14"/>
  <c r="A872" i="14" s="1"/>
  <c r="G966" i="14"/>
  <c r="G856" i="14"/>
  <c r="G929" i="14"/>
  <c r="G918" i="14"/>
  <c r="G902" i="14"/>
  <c r="G964" i="14"/>
  <c r="G763" i="14"/>
  <c r="G987" i="14"/>
  <c r="G851" i="14"/>
  <c r="G892" i="14"/>
  <c r="G755" i="14"/>
  <c r="G883" i="14"/>
  <c r="G959" i="14"/>
  <c r="G965" i="14"/>
  <c r="H881" i="14"/>
  <c r="H784" i="14"/>
  <c r="H966" i="14"/>
  <c r="H786" i="14"/>
  <c r="H981" i="14"/>
  <c r="H890" i="14"/>
  <c r="E907" i="14"/>
  <c r="E778" i="14"/>
  <c r="E989" i="14"/>
  <c r="E879" i="14"/>
  <c r="E865" i="14"/>
  <c r="E904" i="14"/>
  <c r="E761" i="14"/>
  <c r="E861" i="14"/>
  <c r="F772" i="14"/>
  <c r="F991" i="14"/>
  <c r="F753" i="14"/>
  <c r="F852" i="14"/>
  <c r="F868" i="14"/>
  <c r="F949" i="14"/>
  <c r="F935" i="14"/>
  <c r="F986" i="14"/>
  <c r="F943" i="14"/>
  <c r="F797" i="14"/>
  <c r="F787" i="14"/>
  <c r="F845" i="14"/>
  <c r="F987" i="14"/>
  <c r="F902" i="14"/>
  <c r="F942" i="14"/>
  <c r="F786" i="14"/>
  <c r="I758" i="14"/>
  <c r="I991" i="14"/>
  <c r="I804" i="14"/>
  <c r="I912" i="14"/>
  <c r="I908" i="14"/>
  <c r="I877" i="14"/>
  <c r="I808" i="14"/>
  <c r="I825" i="14"/>
  <c r="I755" i="14"/>
  <c r="I756" i="14"/>
  <c r="I857" i="14"/>
  <c r="I829" i="14"/>
  <c r="I898" i="14"/>
  <c r="I760" i="14"/>
  <c r="I896" i="14"/>
  <c r="I926" i="14"/>
  <c r="V843" i="14"/>
  <c r="A843" i="14" s="1"/>
  <c r="G869" i="14"/>
  <c r="G868" i="14"/>
  <c r="G849" i="14"/>
  <c r="G854" i="14"/>
  <c r="G815" i="14"/>
  <c r="G835" i="14"/>
  <c r="G940" i="14"/>
  <c r="G938" i="14"/>
  <c r="G807" i="14"/>
  <c r="G881" i="14"/>
  <c r="G839" i="14"/>
  <c r="G811" i="14"/>
  <c r="G870" i="14"/>
  <c r="G804" i="14"/>
  <c r="G845" i="14"/>
  <c r="H933" i="14"/>
  <c r="H971" i="14"/>
  <c r="H957" i="14"/>
  <c r="H964" i="14"/>
  <c r="H949" i="14"/>
  <c r="H788" i="14"/>
  <c r="H983" i="14"/>
  <c r="H900" i="14"/>
  <c r="H774" i="14"/>
  <c r="H974" i="14"/>
  <c r="H877" i="14"/>
  <c r="E766" i="14"/>
  <c r="E782" i="14"/>
  <c r="E771" i="14"/>
  <c r="E985" i="14"/>
  <c r="E791" i="14"/>
  <c r="E859" i="14"/>
  <c r="E848" i="14"/>
  <c r="E961" i="14"/>
  <c r="E842" i="14"/>
  <c r="E872" i="14"/>
  <c r="E847" i="14"/>
  <c r="E987" i="14"/>
  <c r="V815" i="14"/>
  <c r="A815" i="14" s="1"/>
  <c r="V983" i="14"/>
  <c r="A983" i="14" s="1"/>
  <c r="V780" i="14"/>
  <c r="A780" i="14" s="1"/>
  <c r="V874" i="14"/>
  <c r="A874" i="14" s="1"/>
  <c r="V800" i="14"/>
  <c r="A800" i="14" s="1"/>
  <c r="V974" i="14"/>
  <c r="A974" i="14" s="1"/>
  <c r="V870" i="14"/>
  <c r="A870" i="14" s="1"/>
  <c r="F854" i="14"/>
  <c r="F843" i="14"/>
  <c r="F846" i="14"/>
  <c r="F861" i="14"/>
  <c r="F808" i="14"/>
  <c r="F813" i="14"/>
  <c r="F814" i="14"/>
  <c r="F904" i="14"/>
  <c r="F899" i="14"/>
  <c r="F945" i="14"/>
  <c r="F826" i="14"/>
  <c r="I880" i="14"/>
  <c r="I818" i="14"/>
  <c r="I904" i="14"/>
  <c r="I861" i="14"/>
  <c r="I941" i="14"/>
  <c r="I882" i="14"/>
  <c r="I800" i="14"/>
  <c r="I774" i="14"/>
  <c r="I796" i="14"/>
  <c r="I989" i="14"/>
  <c r="I909" i="14"/>
  <c r="I890" i="14"/>
  <c r="I952" i="14"/>
  <c r="I787" i="14"/>
  <c r="H836" i="14"/>
  <c r="H818" i="14"/>
  <c r="H954" i="14"/>
  <c r="H755" i="14"/>
  <c r="H827" i="14"/>
  <c r="E789" i="14"/>
  <c r="E849" i="14"/>
  <c r="E911" i="14"/>
  <c r="E905" i="14"/>
  <c r="E843" i="14"/>
  <c r="E834" i="14"/>
  <c r="E941" i="14"/>
  <c r="E828" i="14"/>
  <c r="V862" i="14"/>
  <c r="A862" i="14" s="1"/>
  <c r="V774" i="14"/>
  <c r="A774" i="14" s="1"/>
  <c r="V979" i="14"/>
  <c r="A979" i="14" s="1"/>
  <c r="V938" i="14"/>
  <c r="A938" i="14" s="1"/>
  <c r="V893" i="14"/>
  <c r="A893" i="14" s="1"/>
  <c r="V925" i="14"/>
  <c r="A925" i="14" s="1"/>
  <c r="V799" i="14"/>
  <c r="A799" i="14" s="1"/>
  <c r="V783" i="14"/>
  <c r="A783" i="14" s="1"/>
  <c r="V943" i="14"/>
  <c r="A943" i="14" s="1"/>
  <c r="V986" i="14"/>
  <c r="A986" i="14" s="1"/>
  <c r="V781" i="14"/>
  <c r="A781" i="14" s="1"/>
  <c r="V948" i="14"/>
  <c r="A948" i="14" s="1"/>
  <c r="V965" i="14"/>
  <c r="A965" i="14" s="1"/>
  <c r="V772" i="14"/>
  <c r="A772" i="14" s="1"/>
  <c r="V833" i="14"/>
  <c r="A833" i="14" s="1"/>
  <c r="V980" i="14"/>
  <c r="A980" i="14" s="1"/>
  <c r="V873" i="14"/>
  <c r="A873" i="14" s="1"/>
  <c r="V952" i="14"/>
  <c r="A952" i="14" s="1"/>
  <c r="V855" i="14"/>
  <c r="A855" i="14" s="1"/>
  <c r="V854" i="14"/>
  <c r="A854" i="14" s="1"/>
  <c r="V926" i="14"/>
  <c r="A926" i="14" s="1"/>
  <c r="V902" i="14"/>
  <c r="A902" i="14" s="1"/>
  <c r="V942" i="14"/>
  <c r="A942" i="14" s="1"/>
  <c r="V947" i="14"/>
  <c r="A947" i="14" s="1"/>
  <c r="V978" i="14"/>
  <c r="A978" i="14" s="1"/>
  <c r="V764" i="14"/>
  <c r="A764" i="14" s="1"/>
  <c r="V968" i="14"/>
  <c r="A968" i="14" s="1"/>
  <c r="V888" i="14"/>
  <c r="A888" i="14" s="1"/>
  <c r="V971" i="14"/>
  <c r="A971" i="14" s="1"/>
  <c r="V851" i="14"/>
  <c r="A851" i="14" s="1"/>
  <c r="V827" i="14"/>
  <c r="A827" i="14" s="1"/>
  <c r="V794" i="14"/>
  <c r="A794" i="14" s="1"/>
  <c r="V875" i="14"/>
  <c r="A875" i="14" s="1"/>
  <c r="V810" i="14"/>
  <c r="A810" i="14" s="1"/>
  <c r="V914" i="14"/>
  <c r="A914" i="14" s="1"/>
  <c r="V881" i="14"/>
  <c r="A881" i="14" s="1"/>
  <c r="V829" i="14"/>
  <c r="A829" i="14" s="1"/>
  <c r="V901" i="14"/>
  <c r="A901" i="14" s="1"/>
  <c r="V877" i="14"/>
  <c r="A877" i="14" s="1"/>
  <c r="V917" i="14"/>
  <c r="A917" i="14" s="1"/>
  <c r="V916" i="14"/>
  <c r="A916" i="14" s="1"/>
  <c r="V903" i="14"/>
  <c r="A903" i="14" s="1"/>
  <c r="V806" i="14"/>
  <c r="A806" i="14" s="1"/>
  <c r="V846" i="14"/>
  <c r="A846" i="14" s="1"/>
  <c r="V844" i="14"/>
  <c r="A844" i="14" s="1"/>
  <c r="V934" i="14"/>
  <c r="A934" i="14" s="1"/>
  <c r="V788" i="14"/>
  <c r="A788" i="14" s="1"/>
  <c r="V906" i="14"/>
  <c r="A906" i="14" s="1"/>
  <c r="V882" i="14"/>
  <c r="A882" i="14" s="1"/>
  <c r="V801" i="14"/>
  <c r="A801" i="14" s="1"/>
  <c r="V930" i="14"/>
  <c r="A930" i="14" s="1"/>
  <c r="V841" i="14"/>
  <c r="A841" i="14" s="1"/>
  <c r="V760" i="14"/>
  <c r="A760" i="14" s="1"/>
  <c r="V885" i="14"/>
  <c r="A885" i="14" s="1"/>
  <c r="V884" i="14"/>
  <c r="A884" i="14" s="1"/>
  <c r="V956" i="14"/>
  <c r="A956" i="14" s="1"/>
  <c r="V932" i="14"/>
  <c r="A932" i="14" s="1"/>
  <c r="V972" i="14"/>
  <c r="A972" i="14" s="1"/>
  <c r="V831" i="14"/>
  <c r="A831" i="14" s="1"/>
  <c r="V958" i="14"/>
  <c r="A958" i="14" s="1"/>
  <c r="V913" i="14"/>
  <c r="A913" i="14" s="1"/>
  <c r="F849" i="14"/>
  <c r="F829" i="14"/>
  <c r="F892" i="14"/>
  <c r="F766" i="14"/>
  <c r="F823" i="14"/>
  <c r="F886" i="14"/>
  <c r="F972" i="14"/>
  <c r="F864" i="14"/>
  <c r="F907" i="14"/>
  <c r="F889" i="14"/>
  <c r="F882" i="14"/>
  <c r="F798" i="14"/>
  <c r="M175" i="10"/>
  <c r="V174" i="10"/>
  <c r="G786" i="14"/>
  <c r="G848" i="14"/>
  <c r="G798" i="14"/>
  <c r="H809" i="14"/>
  <c r="H880" i="14"/>
  <c r="H889" i="14"/>
  <c r="H902" i="14"/>
  <c r="H940" i="14"/>
  <c r="H777" i="14"/>
  <c r="H763" i="14"/>
  <c r="H886" i="14"/>
  <c r="H906" i="14"/>
  <c r="H991" i="14"/>
  <c r="H830" i="14"/>
  <c r="H913" i="14"/>
  <c r="H950" i="14"/>
  <c r="G791" i="14"/>
  <c r="G850" i="14"/>
  <c r="G765" i="14"/>
  <c r="G882" i="14"/>
  <c r="G789" i="14"/>
  <c r="G840" i="14"/>
  <c r="G963" i="14"/>
  <c r="G803" i="14"/>
  <c r="G972" i="14"/>
  <c r="G841" i="14"/>
  <c r="G766" i="14"/>
  <c r="G932" i="14"/>
  <c r="G853" i="14"/>
  <c r="G900" i="14"/>
  <c r="G944" i="14"/>
  <c r="G962" i="14"/>
  <c r="G832" i="14"/>
  <c r="G775" i="14"/>
  <c r="G958" i="14"/>
  <c r="G891" i="14"/>
  <c r="G907" i="14"/>
  <c r="G937" i="14"/>
  <c r="G751" i="14"/>
  <c r="G969" i="14"/>
  <c r="G767" i="14"/>
  <c r="G802" i="14"/>
  <c r="G890" i="14"/>
  <c r="G970" i="14"/>
  <c r="H833" i="14"/>
  <c r="H846" i="14"/>
  <c r="H805" i="14"/>
  <c r="H756" i="14"/>
  <c r="H770" i="14"/>
  <c r="H817" i="14"/>
  <c r="H834" i="14"/>
  <c r="H944" i="14"/>
  <c r="H792" i="14"/>
  <c r="H970" i="14"/>
  <c r="H982" i="14"/>
  <c r="H829" i="14"/>
  <c r="H798" i="14"/>
  <c r="H963" i="14"/>
  <c r="H956" i="14"/>
  <c r="H939" i="14"/>
  <c r="H885" i="14"/>
  <c r="H894" i="14"/>
  <c r="H972" i="14"/>
  <c r="H965" i="14"/>
  <c r="H947" i="14"/>
  <c r="H975" i="14"/>
  <c r="H873" i="14"/>
  <c r="H958" i="14"/>
  <c r="H901" i="14"/>
  <c r="H910" i="14"/>
  <c r="H799" i="14"/>
  <c r="H854" i="14"/>
  <c r="H842" i="14"/>
  <c r="H775" i="14"/>
  <c r="H765" i="14"/>
  <c r="U175" i="10"/>
  <c r="L176" i="10"/>
  <c r="E749" i="14"/>
  <c r="E919" i="14"/>
  <c r="E976" i="14"/>
  <c r="E780" i="14"/>
  <c r="E792" i="14"/>
  <c r="E774" i="14"/>
  <c r="E983" i="14"/>
  <c r="E922" i="14"/>
  <c r="E892" i="14"/>
  <c r="E965" i="14"/>
  <c r="E986" i="14"/>
  <c r="E808" i="14"/>
  <c r="E982" i="14"/>
  <c r="E984" i="14"/>
  <c r="E944" i="14"/>
  <c r="E863" i="14"/>
  <c r="E954" i="14"/>
  <c r="E815" i="14"/>
  <c r="E873" i="14"/>
  <c r="E790" i="14"/>
  <c r="E936" i="14"/>
  <c r="E874" i="14"/>
  <c r="E787" i="14"/>
  <c r="V840" i="14"/>
  <c r="A840" i="14" s="1"/>
  <c r="V899" i="14"/>
  <c r="A899" i="14" s="1"/>
  <c r="V955" i="14"/>
  <c r="A955" i="14" s="1"/>
  <c r="V777" i="14"/>
  <c r="A777" i="14" s="1"/>
  <c r="V752" i="14"/>
  <c r="A752" i="14" s="1"/>
  <c r="V796" i="14"/>
  <c r="A796" i="14" s="1"/>
  <c r="V756" i="14"/>
  <c r="A756" i="14" s="1"/>
  <c r="V823" i="14"/>
  <c r="A823" i="14" s="1"/>
  <c r="V910" i="14"/>
  <c r="A910" i="14" s="1"/>
  <c r="V811" i="14"/>
  <c r="A811" i="14" s="1"/>
  <c r="V963" i="14"/>
  <c r="A963" i="14" s="1"/>
  <c r="V991" i="14"/>
  <c r="A991" i="14" s="1"/>
  <c r="V807" i="14"/>
  <c r="A807" i="14" s="1"/>
  <c r="V838" i="14"/>
  <c r="A838" i="14" s="1"/>
  <c r="V878" i="14"/>
  <c r="A878" i="14" s="1"/>
  <c r="V822" i="14"/>
  <c r="A822" i="14" s="1"/>
  <c r="V894" i="14"/>
  <c r="A894" i="14" s="1"/>
  <c r="V928" i="14"/>
  <c r="A928" i="14" s="1"/>
  <c r="V779" i="14"/>
  <c r="A779" i="14" s="1"/>
  <c r="V915" i="14"/>
  <c r="A915" i="14" s="1"/>
  <c r="V891" i="14"/>
  <c r="A891" i="14" s="1"/>
  <c r="V931" i="14"/>
  <c r="A931" i="14" s="1"/>
  <c r="V866" i="14"/>
  <c r="A866" i="14" s="1"/>
  <c r="V933" i="14"/>
  <c r="A933" i="14" s="1"/>
  <c r="V836" i="14"/>
  <c r="A836" i="14" s="1"/>
  <c r="V876" i="14"/>
  <c r="A876" i="14" s="1"/>
  <c r="V804" i="14"/>
  <c r="A804" i="14" s="1"/>
  <c r="V830" i="14"/>
  <c r="A830" i="14" s="1"/>
  <c r="V765" i="14"/>
  <c r="A765" i="14" s="1"/>
  <c r="V912" i="14"/>
  <c r="A912" i="14" s="1"/>
  <c r="V813" i="14"/>
  <c r="A813" i="14" s="1"/>
  <c r="V853" i="14"/>
  <c r="A853" i="14" s="1"/>
  <c r="V797" i="14"/>
  <c r="A797" i="14" s="1"/>
  <c r="V869" i="14"/>
  <c r="A869" i="14" s="1"/>
  <c r="V973" i="14"/>
  <c r="A973" i="14" s="1"/>
  <c r="V940" i="14"/>
  <c r="A940" i="14" s="1"/>
  <c r="V920" i="14"/>
  <c r="A920" i="14" s="1"/>
  <c r="V786" i="14"/>
  <c r="A786" i="14" s="1"/>
  <c r="V762" i="14"/>
  <c r="A762" i="14" s="1"/>
  <c r="V759" i="14"/>
  <c r="A759" i="14" s="1"/>
  <c r="V886" i="14"/>
  <c r="A886" i="14" s="1"/>
  <c r="V795" i="14"/>
  <c r="A795" i="14" s="1"/>
  <c r="V835" i="14"/>
  <c r="A835" i="14" s="1"/>
  <c r="V977" i="14"/>
  <c r="A977" i="14" s="1"/>
  <c r="V776" i="14"/>
  <c r="A776" i="14" s="1"/>
  <c r="V896" i="14"/>
  <c r="A896" i="14" s="1"/>
  <c r="V820" i="14"/>
  <c r="A820" i="14" s="1"/>
  <c r="V837" i="14"/>
  <c r="A837" i="14" s="1"/>
  <c r="V868" i="14"/>
  <c r="A868" i="14" s="1"/>
  <c r="V908" i="14"/>
  <c r="A908" i="14" s="1"/>
  <c r="V852" i="14"/>
  <c r="A852" i="14" s="1"/>
  <c r="V924" i="14"/>
  <c r="A924" i="14" s="1"/>
  <c r="V809" i="14"/>
  <c r="A809" i="14" s="1"/>
  <c r="V770" i="14"/>
  <c r="A770" i="14" s="1"/>
  <c r="V927" i="14"/>
  <c r="A927" i="14" s="1"/>
  <c r="V798" i="14"/>
  <c r="A798" i="14" s="1"/>
  <c r="V975" i="14"/>
  <c r="A975" i="14" s="1"/>
  <c r="V814" i="14"/>
  <c r="A814" i="14" s="1"/>
  <c r="V819" i="14"/>
  <c r="A819" i="14" s="1"/>
  <c r="V850" i="14"/>
  <c r="A850" i="14" s="1"/>
  <c r="V890" i="14"/>
  <c r="A890" i="14" s="1"/>
  <c r="F788" i="14"/>
  <c r="F770" i="14"/>
  <c r="F802" i="14"/>
  <c r="F790" i="14"/>
  <c r="F967" i="14"/>
  <c r="F751" i="14"/>
  <c r="F769" i="14"/>
  <c r="F922" i="14"/>
  <c r="F918" i="14"/>
  <c r="F881" i="14"/>
  <c r="F890" i="14"/>
  <c r="F758" i="14"/>
  <c r="F877" i="14"/>
  <c r="F804" i="14"/>
  <c r="I801" i="14"/>
  <c r="I980" i="14"/>
  <c r="I751" i="14"/>
  <c r="I972" i="14"/>
  <c r="I814" i="14"/>
  <c r="I780" i="14"/>
  <c r="I778" i="14"/>
  <c r="I761" i="14"/>
  <c r="I767" i="14"/>
  <c r="I986" i="14"/>
  <c r="I750" i="14"/>
  <c r="V834" i="14"/>
  <c r="A834" i="14" s="1"/>
  <c r="V757" i="14"/>
  <c r="A757" i="14" s="1"/>
  <c r="V941" i="14"/>
  <c r="A941" i="14" s="1"/>
  <c r="V900" i="14"/>
  <c r="A900" i="14" s="1"/>
  <c r="V778" i="14"/>
  <c r="A778" i="14" s="1"/>
  <c r="V767" i="14"/>
  <c r="A767" i="14" s="1"/>
  <c r="V766" i="14"/>
  <c r="A766" i="14" s="1"/>
  <c r="V808" i="14"/>
  <c r="A808" i="14" s="1"/>
  <c r="V790" i="14"/>
  <c r="A790" i="14" s="1"/>
  <c r="V954" i="14"/>
  <c r="A954" i="14" s="1"/>
  <c r="V905" i="14"/>
  <c r="A905" i="14" s="1"/>
  <c r="V773" i="14"/>
  <c r="A773" i="14" s="1"/>
  <c r="V749" i="14"/>
  <c r="A749" i="14" s="1"/>
  <c r="V789" i="14"/>
  <c r="A789" i="14" s="1"/>
  <c r="V775" i="14"/>
  <c r="A775" i="14" s="1"/>
  <c r="V919" i="14"/>
  <c r="A919" i="14" s="1"/>
  <c r="V792" i="14"/>
  <c r="A792" i="14" s="1"/>
  <c r="V953" i="14"/>
  <c r="A953" i="14" s="1"/>
  <c r="V832" i="14"/>
  <c r="A832" i="14" s="1"/>
  <c r="V754" i="14"/>
  <c r="A754" i="14" s="1"/>
  <c r="V982" i="14"/>
  <c r="A982" i="14" s="1"/>
  <c r="V785" i="14"/>
  <c r="A785" i="14" s="1"/>
  <c r="V825" i="14"/>
  <c r="A825" i="14" s="1"/>
  <c r="V945" i="14"/>
  <c r="A945" i="14" s="1"/>
  <c r="V856" i="14"/>
  <c r="A856" i="14" s="1"/>
  <c r="V871" i="14"/>
  <c r="A871" i="14" s="1"/>
  <c r="V863" i="14"/>
  <c r="A863" i="14" s="1"/>
  <c r="V936" i="14"/>
  <c r="A936" i="14" s="1"/>
  <c r="V911" i="14"/>
  <c r="A911" i="14" s="1"/>
  <c r="V951" i="14"/>
  <c r="A951" i="14" s="1"/>
  <c r="V895" i="14"/>
  <c r="A895" i="14" s="1"/>
  <c r="V967" i="14"/>
  <c r="A967" i="14" s="1"/>
  <c r="V944" i="14"/>
  <c r="A944" i="14" s="1"/>
  <c r="V787" i="14"/>
  <c r="A787" i="14" s="1"/>
  <c r="V763" i="14"/>
  <c r="A763" i="14" s="1"/>
  <c r="V803" i="14"/>
  <c r="A803" i="14" s="1"/>
  <c r="V939" i="14"/>
  <c r="A939" i="14" s="1"/>
  <c r="V805" i="14"/>
  <c r="A805" i="14" s="1"/>
  <c r="V909" i="14"/>
  <c r="A909" i="14" s="1"/>
  <c r="V949" i="14"/>
  <c r="A949" i="14" s="1"/>
  <c r="I821" i="14"/>
  <c r="G935" i="14"/>
  <c r="G951" i="14"/>
  <c r="G943" i="14"/>
  <c r="G923" i="14"/>
  <c r="G776" i="14"/>
  <c r="G878" i="14"/>
  <c r="G945" i="14"/>
  <c r="G863" i="14"/>
  <c r="G809" i="14"/>
  <c r="G971" i="14"/>
  <c r="G955" i="14"/>
  <c r="G865" i="14"/>
  <c r="G750" i="14"/>
  <c r="G871" i="14"/>
  <c r="G926" i="14"/>
  <c r="G792" i="14"/>
  <c r="G930" i="14"/>
  <c r="G960" i="14"/>
  <c r="G954" i="14"/>
  <c r="G749" i="14"/>
  <c r="G898" i="14"/>
  <c r="G769" i="14"/>
  <c r="G953" i="14"/>
  <c r="G906" i="14"/>
  <c r="G899" i="14"/>
  <c r="G812" i="14"/>
  <c r="G915" i="14"/>
  <c r="G909" i="14"/>
  <c r="G774" i="14"/>
  <c r="G837" i="14"/>
  <c r="G752" i="14"/>
  <c r="H918" i="14"/>
  <c r="H869" i="14"/>
  <c r="H789" i="14"/>
  <c r="H926" i="14"/>
  <c r="H857" i="14"/>
  <c r="H960" i="14"/>
  <c r="H758" i="14"/>
  <c r="H826" i="14"/>
  <c r="H925" i="14"/>
  <c r="H856" i="14"/>
  <c r="H787" i="14"/>
  <c r="H905" i="14"/>
  <c r="H979" i="14"/>
  <c r="H849" i="14"/>
  <c r="H962" i="14"/>
  <c r="H891" i="14"/>
  <c r="H921" i="14"/>
  <c r="H811" i="14"/>
  <c r="H884" i="14"/>
  <c r="H831" i="14"/>
  <c r="H938" i="14"/>
  <c r="H904" i="14"/>
  <c r="H759" i="14"/>
  <c r="H761" i="14"/>
  <c r="H832" i="14"/>
  <c r="H791" i="14"/>
  <c r="H909" i="14"/>
  <c r="H865" i="14"/>
  <c r="E800" i="14"/>
  <c r="E939" i="14"/>
  <c r="E909" i="14"/>
  <c r="E870" i="14"/>
  <c r="E785" i="14"/>
  <c r="E893" i="14"/>
  <c r="E856" i="14"/>
  <c r="E883" i="14"/>
  <c r="E895" i="14"/>
  <c r="E967" i="14"/>
  <c r="E832" i="14"/>
  <c r="E867" i="14"/>
  <c r="E799" i="14"/>
  <c r="E951" i="14"/>
  <c r="E974" i="14"/>
  <c r="E773" i="14"/>
  <c r="E763" i="14"/>
  <c r="E757" i="14"/>
  <c r="E825" i="14"/>
  <c r="E775" i="14"/>
  <c r="E925" i="14"/>
  <c r="E854" i="14"/>
  <c r="E953" i="14"/>
  <c r="V937" i="14"/>
  <c r="A937" i="14" s="1"/>
  <c r="V857" i="14"/>
  <c r="A857" i="14" s="1"/>
  <c r="V898" i="14"/>
  <c r="A898" i="14" s="1"/>
  <c r="V802" i="14"/>
  <c r="A802" i="14" s="1"/>
  <c r="V957" i="14"/>
  <c r="A957" i="14" s="1"/>
  <c r="V981" i="14"/>
  <c r="A981" i="14" s="1"/>
  <c r="V921" i="14"/>
  <c r="A921" i="14" s="1"/>
  <c r="V793" i="14"/>
  <c r="A793" i="14" s="1"/>
  <c r="V839" i="14"/>
  <c r="A839" i="14" s="1"/>
  <c r="V946" i="14"/>
  <c r="A946" i="14" s="1"/>
  <c r="V988" i="14"/>
  <c r="A988" i="14" s="1"/>
  <c r="V880" i="14"/>
  <c r="A880" i="14" s="1"/>
  <c r="V753" i="14"/>
  <c r="A753" i="14" s="1"/>
  <c r="V824" i="14"/>
  <c r="A824" i="14" s="1"/>
  <c r="V768" i="14"/>
  <c r="A768" i="14" s="1"/>
  <c r="V817" i="14"/>
  <c r="A817" i="14" s="1"/>
  <c r="V784" i="14"/>
  <c r="A784" i="14" s="1"/>
  <c r="V845" i="14"/>
  <c r="A845" i="14" s="1"/>
  <c r="V812" i="14"/>
  <c r="A812" i="14" s="1"/>
  <c r="V769" i="14"/>
  <c r="A769" i="14" s="1"/>
  <c r="V969" i="14"/>
  <c r="A969" i="14" s="1"/>
  <c r="V897" i="14"/>
  <c r="A897" i="14" s="1"/>
  <c r="V816" i="14"/>
  <c r="A816" i="14" s="1"/>
  <c r="V959" i="14"/>
  <c r="A959" i="14" s="1"/>
  <c r="V889" i="14"/>
  <c r="A889" i="14" s="1"/>
  <c r="V750" i="14"/>
  <c r="A750" i="14" s="1"/>
  <c r="V970" i="14"/>
  <c r="A970" i="14" s="1"/>
  <c r="V887" i="14"/>
  <c r="A887" i="14" s="1"/>
  <c r="V821" i="14"/>
  <c r="A821" i="14" s="1"/>
  <c r="V918" i="14"/>
  <c r="A918" i="14" s="1"/>
  <c r="V935" i="14"/>
  <c r="A935" i="14" s="1"/>
  <c r="V966" i="14"/>
  <c r="A966" i="14" s="1"/>
  <c r="E881" i="14"/>
  <c r="V950" i="14"/>
  <c r="A950" i="14" s="1"/>
  <c r="V904" i="14"/>
  <c r="A904" i="14" s="1"/>
  <c r="V771" i="14"/>
  <c r="A771" i="14" s="1"/>
  <c r="V907" i="14"/>
  <c r="A907" i="14" s="1"/>
  <c r="V842" i="14"/>
  <c r="A842" i="14" s="1"/>
  <c r="V818" i="14"/>
  <c r="A818" i="14" s="1"/>
  <c r="V858" i="14"/>
  <c r="A858" i="14" s="1"/>
  <c r="V985" i="14"/>
  <c r="A985" i="14" s="1"/>
  <c r="V860" i="14"/>
  <c r="A860" i="14" s="1"/>
  <c r="V964" i="14"/>
  <c r="A964" i="14" s="1"/>
  <c r="V761" i="14"/>
  <c r="A761" i="14" s="1"/>
  <c r="V847" i="14"/>
  <c r="A847" i="14" s="1"/>
  <c r="V923" i="14"/>
  <c r="A923" i="14" s="1"/>
  <c r="V758" i="14"/>
  <c r="A758" i="14" s="1"/>
  <c r="V960" i="14"/>
  <c r="A960" i="14" s="1"/>
  <c r="V990" i="14"/>
  <c r="A990" i="14" s="1"/>
  <c r="V782" i="14"/>
  <c r="A782" i="14" s="1"/>
  <c r="V864" i="14"/>
  <c r="A864" i="14" s="1"/>
  <c r="V755" i="14"/>
  <c r="A755" i="14" s="1"/>
  <c r="V859" i="14"/>
  <c r="A859" i="14" s="1"/>
  <c r="V826" i="14"/>
  <c r="A826" i="14" s="1"/>
  <c r="V962" i="14"/>
  <c r="A962" i="14" s="1"/>
  <c r="V929" i="14"/>
  <c r="A929" i="14" s="1"/>
  <c r="V865" i="14"/>
  <c r="A865" i="14" s="1"/>
  <c r="V961" i="14"/>
  <c r="A961" i="14" s="1"/>
  <c r="V861" i="14"/>
  <c r="A861" i="14" s="1"/>
  <c r="V848" i="14"/>
  <c r="A848" i="14" s="1"/>
  <c r="V751" i="14"/>
  <c r="A751" i="14" s="1"/>
  <c r="V791" i="14"/>
  <c r="A791" i="14" s="1"/>
  <c r="F807" i="14"/>
  <c r="F851" i="14"/>
  <c r="F969" i="14"/>
  <c r="F939" i="14"/>
  <c r="F850" i="14"/>
  <c r="F931" i="14"/>
  <c r="F785" i="14"/>
  <c r="F860" i="14"/>
  <c r="F784" i="14"/>
  <c r="F961" i="14"/>
  <c r="F923" i="14"/>
  <c r="F920" i="14"/>
  <c r="F908" i="14"/>
  <c r="F809" i="14"/>
  <c r="F952" i="14"/>
  <c r="F891" i="14"/>
  <c r="F821" i="14"/>
  <c r="F948" i="14"/>
  <c r="I963" i="14"/>
  <c r="I932" i="14"/>
  <c r="I950" i="14"/>
  <c r="I871" i="14"/>
  <c r="I768" i="14"/>
  <c r="J762" i="14" l="1"/>
  <c r="J916" i="14"/>
  <c r="J866" i="14"/>
  <c r="J794" i="14"/>
  <c r="J777" i="14"/>
  <c r="J824" i="14"/>
  <c r="J805" i="14"/>
  <c r="J819" i="14"/>
  <c r="J907" i="14"/>
  <c r="J828" i="14"/>
  <c r="J872" i="14"/>
  <c r="J868" i="14"/>
  <c r="J823" i="14"/>
  <c r="J776" i="14"/>
  <c r="J948" i="14"/>
  <c r="J931" i="14"/>
  <c r="J851" i="14"/>
  <c r="J938" i="14"/>
  <c r="J973" i="14"/>
  <c r="J810" i="14"/>
  <c r="J949" i="14"/>
  <c r="J894" i="14"/>
  <c r="J913" i="14"/>
  <c r="J788" i="14"/>
  <c r="J919" i="14"/>
  <c r="J914" i="14"/>
  <c r="J795" i="14"/>
  <c r="J876" i="14"/>
  <c r="J921" i="14"/>
  <c r="J874" i="14"/>
  <c r="J893" i="14"/>
  <c r="J884" i="14"/>
  <c r="J812" i="14"/>
  <c r="J910" i="14"/>
  <c r="J835" i="14"/>
  <c r="J942" i="14"/>
  <c r="J753" i="14"/>
  <c r="J929" i="14"/>
  <c r="J838" i="14"/>
  <c r="J897" i="14"/>
  <c r="J822" i="14"/>
  <c r="J755" i="14"/>
  <c r="J818" i="14"/>
  <c r="J772" i="14"/>
  <c r="J781" i="14"/>
  <c r="J933" i="14"/>
  <c r="J888" i="14"/>
  <c r="J855" i="14"/>
  <c r="J803" i="14"/>
  <c r="J988" i="14"/>
  <c r="J990" i="14"/>
  <c r="J928" i="14"/>
  <c r="J754" i="14"/>
  <c r="J793" i="14"/>
  <c r="J886" i="14"/>
  <c r="J850" i="14"/>
  <c r="J854" i="14"/>
  <c r="J930" i="14"/>
  <c r="J935" i="14"/>
  <c r="J847" i="14"/>
  <c r="J771" i="14"/>
  <c r="J797" i="14"/>
  <c r="J820" i="14"/>
  <c r="J924" i="14"/>
  <c r="J978" i="14"/>
  <c r="J800" i="14"/>
  <c r="J857" i="14"/>
  <c r="J906" i="14"/>
  <c r="J877" i="14"/>
  <c r="J846" i="14"/>
  <c r="J830" i="14"/>
  <c r="J881" i="14"/>
  <c r="J915" i="14"/>
  <c r="J980" i="14"/>
  <c r="J947" i="14"/>
  <c r="J813" i="14"/>
  <c r="J766" i="14"/>
  <c r="J912" i="14"/>
  <c r="J845" i="14"/>
  <c r="J852" i="14"/>
  <c r="J879" i="14"/>
  <c r="J987" i="14"/>
  <c r="J937" i="14"/>
  <c r="J900" i="14"/>
  <c r="J752" i="14"/>
  <c r="J783" i="14"/>
  <c r="J946" i="14"/>
  <c r="J844" i="14"/>
  <c r="J779" i="14"/>
  <c r="J985" i="14"/>
  <c r="J896" i="14"/>
  <c r="J875" i="14"/>
  <c r="J934" i="14"/>
  <c r="J862" i="14"/>
  <c r="J806" i="14"/>
  <c r="J903" i="14"/>
  <c r="J908" i="14"/>
  <c r="J784" i="14"/>
  <c r="J775" i="14"/>
  <c r="J831" i="14"/>
  <c r="J955" i="14"/>
  <c r="J814" i="14"/>
  <c r="J801" i="14"/>
  <c r="J890" i="14"/>
  <c r="J802" i="14"/>
  <c r="J808" i="14"/>
  <c r="J940" i="14"/>
  <c r="J829" i="14"/>
  <c r="J957" i="14"/>
  <c r="J981" i="14"/>
  <c r="J773" i="14"/>
  <c r="J895" i="14"/>
  <c r="J759" i="14"/>
  <c r="J804" i="14"/>
  <c r="J983" i="14"/>
  <c r="J861" i="14"/>
  <c r="J778" i="14"/>
  <c r="J917" i="14"/>
  <c r="J968" i="14"/>
  <c r="J827" i="14"/>
  <c r="J841" i="14"/>
  <c r="J858" i="14"/>
  <c r="J836" i="14"/>
  <c r="J901" i="14"/>
  <c r="J839" i="14"/>
  <c r="J964" i="14"/>
  <c r="J798" i="14"/>
  <c r="J764" i="14"/>
  <c r="J859" i="14"/>
  <c r="J887" i="14"/>
  <c r="J977" i="14"/>
  <c r="J989" i="14"/>
  <c r="J885" i="14"/>
  <c r="J959" i="14"/>
  <c r="J927" i="14"/>
  <c r="J840" i="14"/>
  <c r="J768" i="14"/>
  <c r="J963" i="14"/>
  <c r="J952" i="14"/>
  <c r="J923" i="14"/>
  <c r="J969" i="14"/>
  <c r="J883" i="14"/>
  <c r="J811" i="14"/>
  <c r="J898" i="14"/>
  <c r="J984" i="14"/>
  <c r="J956" i="14"/>
  <c r="J760" i="14"/>
  <c r="J816" i="14"/>
  <c r="J757" i="14"/>
  <c r="J867" i="14"/>
  <c r="J870" i="14"/>
  <c r="J761" i="14"/>
  <c r="J945" i="14"/>
  <c r="J756" i="14"/>
  <c r="J970" i="14"/>
  <c r="J832" i="14"/>
  <c r="J892" i="14"/>
  <c r="J796" i="14"/>
  <c r="J786" i="14"/>
  <c r="J791" i="14"/>
  <c r="J904" i="14"/>
  <c r="J869" i="14"/>
  <c r="J899" i="14"/>
  <c r="J750" i="14"/>
  <c r="J842" i="14"/>
  <c r="J770" i="14"/>
  <c r="J833" i="14"/>
  <c r="J853" i="14"/>
  <c r="J880" i="14"/>
  <c r="J882" i="14"/>
  <c r="J825" i="14"/>
  <c r="J799" i="14"/>
  <c r="J967" i="14"/>
  <c r="J856" i="14"/>
  <c r="J979" i="14"/>
  <c r="J918" i="14"/>
  <c r="J843" i="14"/>
  <c r="J782" i="14"/>
  <c r="J961" i="14"/>
  <c r="J821" i="14"/>
  <c r="J807" i="14"/>
  <c r="J925" i="14"/>
  <c r="J826" i="14"/>
  <c r="J943" i="14"/>
  <c r="J767" i="14"/>
  <c r="J936" i="14"/>
  <c r="J902" i="14"/>
  <c r="J809" i="14"/>
  <c r="J920" i="14"/>
  <c r="J860" i="14"/>
  <c r="J763" i="14"/>
  <c r="J974" i="14"/>
  <c r="J962" i="14"/>
  <c r="J837" i="14"/>
  <c r="J769" i="14"/>
  <c r="J971" i="14"/>
  <c r="J878" i="14"/>
  <c r="J815" i="14"/>
  <c r="J976" i="14"/>
  <c r="J975" i="14"/>
  <c r="J817" i="14"/>
  <c r="J864" i="14"/>
  <c r="J889" i="14"/>
  <c r="J966" i="14"/>
  <c r="J958" i="14"/>
  <c r="J765" i="14"/>
  <c r="J953" i="14"/>
  <c r="J960" i="14"/>
  <c r="J972" i="14"/>
  <c r="J751" i="14"/>
  <c r="J982" i="14"/>
  <c r="J965" i="14"/>
  <c r="J848" i="14"/>
  <c r="J941" i="14"/>
  <c r="J911" i="14"/>
  <c r="J871" i="14"/>
  <c r="J891" i="14"/>
  <c r="J951" i="14"/>
  <c r="J909" i="14"/>
  <c r="J865" i="14"/>
  <c r="J873" i="14"/>
  <c r="J944" i="14"/>
  <c r="J991" i="14"/>
  <c r="J926" i="14"/>
  <c r="J758" i="14"/>
  <c r="J932" i="14"/>
  <c r="J950" i="14"/>
  <c r="J939" i="14"/>
  <c r="J787" i="14"/>
  <c r="J954" i="14"/>
  <c r="J986" i="14"/>
  <c r="J774" i="14"/>
  <c r="J780" i="14"/>
  <c r="J905" i="14"/>
  <c r="J849" i="14"/>
  <c r="J789" i="14"/>
  <c r="J790" i="14"/>
  <c r="J863" i="14"/>
  <c r="V175" i="10"/>
  <c r="M176" i="10"/>
  <c r="AA7" i="14"/>
  <c r="J749" i="14"/>
  <c r="J785" i="14"/>
  <c r="J922" i="14"/>
  <c r="J792" i="14"/>
  <c r="U176" i="10"/>
  <c r="L177" i="10"/>
  <c r="J834" i="14"/>
  <c r="L178" i="10" l="1"/>
  <c r="U177" i="10"/>
  <c r="D136" i="13"/>
  <c r="E136" i="13"/>
  <c r="K156" i="13"/>
  <c r="J136" i="13"/>
  <c r="I136" i="13"/>
  <c r="G136" i="13"/>
  <c r="H156" i="13"/>
  <c r="AB7" i="14"/>
  <c r="J156" i="13"/>
  <c r="M177" i="10"/>
  <c r="V176" i="10"/>
  <c r="K136" i="13" l="1"/>
  <c r="G103" i="13" s="1"/>
  <c r="AB50" i="14" s="1"/>
  <c r="V177" i="10"/>
  <c r="M178" i="10"/>
  <c r="D156" i="13"/>
  <c r="AJ30" i="14" s="1"/>
  <c r="L136" i="13"/>
  <c r="U178" i="10"/>
  <c r="L179" i="10"/>
  <c r="I103" i="13" l="1"/>
  <c r="AA50" i="14"/>
  <c r="H103" i="13" s="1"/>
  <c r="U179" i="10"/>
  <c r="L180" i="10"/>
  <c r="M179" i="10"/>
  <c r="V178" i="10"/>
  <c r="M180" i="10" l="1"/>
  <c r="V179" i="10"/>
  <c r="U180" i="10"/>
  <c r="L181" i="10"/>
  <c r="L182" i="10" l="1"/>
  <c r="U181" i="10"/>
  <c r="V180" i="10"/>
  <c r="M181" i="10"/>
  <c r="M182" i="10" l="1"/>
  <c r="V181" i="10"/>
  <c r="U182" i="10"/>
  <c r="L183" i="10"/>
  <c r="L184" i="10" l="1"/>
  <c r="U183" i="10"/>
  <c r="V182" i="10"/>
  <c r="M183" i="10"/>
  <c r="M184" i="10" l="1"/>
  <c r="V183" i="10"/>
  <c r="U184" i="10"/>
  <c r="L185" i="10"/>
  <c r="U185" i="10" l="1"/>
  <c r="L186" i="10"/>
  <c r="V184" i="10"/>
  <c r="M185" i="10"/>
  <c r="V185" i="10" l="1"/>
  <c r="M186" i="10"/>
  <c r="L187" i="10"/>
  <c r="U186" i="10"/>
  <c r="M187" i="10" l="1"/>
  <c r="V186" i="10"/>
  <c r="U187" i="10"/>
  <c r="L188" i="10"/>
  <c r="U188" i="10" l="1"/>
  <c r="L189" i="10"/>
  <c r="V187" i="10"/>
  <c r="M188" i="10"/>
  <c r="M189" i="10" l="1"/>
  <c r="V188" i="10"/>
  <c r="L190" i="10"/>
  <c r="U189" i="10"/>
  <c r="L191" i="10" l="1"/>
  <c r="U190" i="10"/>
  <c r="V189" i="10"/>
  <c r="M190" i="10"/>
  <c r="V190" i="10" l="1"/>
  <c r="M191" i="10"/>
  <c r="U191" i="10"/>
  <c r="L192" i="10"/>
  <c r="M192" i="10" l="1"/>
  <c r="V191" i="10"/>
  <c r="U192" i="10"/>
  <c r="L193" i="10"/>
  <c r="L194" i="10" l="1"/>
  <c r="U193" i="10"/>
  <c r="M193" i="10"/>
  <c r="V192" i="10"/>
  <c r="M194" i="10" l="1"/>
  <c r="V193" i="10"/>
  <c r="L195" i="10"/>
  <c r="U194" i="10"/>
  <c r="L196" i="10" l="1"/>
  <c r="U195" i="10"/>
  <c r="M195" i="10"/>
  <c r="V194" i="10"/>
  <c r="V195" i="10" l="1"/>
  <c r="M196" i="10"/>
  <c r="U196" i="10"/>
  <c r="L197" i="10"/>
  <c r="L198" i="10" l="1"/>
  <c r="U197" i="10"/>
  <c r="V196" i="10"/>
  <c r="M197" i="10"/>
  <c r="M198" i="10" l="1"/>
  <c r="V197" i="10"/>
  <c r="U198" i="10"/>
  <c r="L199" i="10"/>
  <c r="U199" i="10" l="1"/>
  <c r="L200" i="10"/>
  <c r="M199" i="10"/>
  <c r="V198" i="10"/>
  <c r="M200" i="10" l="1"/>
  <c r="V199" i="10"/>
  <c r="L201" i="10"/>
  <c r="U200" i="10"/>
  <c r="L202" i="10" l="1"/>
  <c r="U201" i="10"/>
  <c r="M201" i="10"/>
  <c r="V200" i="10"/>
  <c r="M202" i="10" l="1"/>
  <c r="V201" i="10"/>
  <c r="U202" i="10"/>
  <c r="L203" i="10"/>
  <c r="U203" i="10" l="1"/>
  <c r="L204" i="10"/>
  <c r="M203" i="10"/>
  <c r="V202" i="10"/>
  <c r="M204" i="10" l="1"/>
  <c r="V203" i="10"/>
  <c r="L205" i="10"/>
  <c r="U204" i="10"/>
  <c r="L206" i="10" l="1"/>
  <c r="U205" i="10"/>
  <c r="V204" i="10"/>
  <c r="M205" i="10"/>
  <c r="M206" i="10" l="1"/>
  <c r="V205" i="10"/>
  <c r="U206" i="10"/>
  <c r="L207" i="10"/>
  <c r="U207" i="10" l="1"/>
  <c r="L208" i="10"/>
  <c r="M207" i="10"/>
  <c r="V206" i="10"/>
  <c r="M208" i="10" l="1"/>
  <c r="V207" i="10"/>
  <c r="U208" i="10"/>
  <c r="L209" i="10"/>
  <c r="L210" i="10" l="1"/>
  <c r="U209" i="10"/>
  <c r="M209" i="10"/>
  <c r="V208" i="10"/>
  <c r="V209" i="10" l="1"/>
  <c r="M210" i="10"/>
  <c r="U210" i="10"/>
  <c r="L211" i="10"/>
  <c r="E155" i="12"/>
  <c r="L212" i="10" l="1"/>
  <c r="U211" i="10"/>
  <c r="M211" i="10"/>
  <c r="V210" i="10"/>
  <c r="F155" i="12"/>
  <c r="F104" i="13" s="1"/>
  <c r="E104" i="13"/>
  <c r="F204" i="13"/>
  <c r="V211" i="10" l="1"/>
  <c r="M212" i="10"/>
  <c r="AL31" i="14"/>
  <c r="AN31" i="14"/>
  <c r="Z51" i="14"/>
  <c r="AD51" i="14"/>
  <c r="AP31" i="14"/>
  <c r="AM31" i="14"/>
  <c r="AO31" i="14"/>
  <c r="L213" i="10"/>
  <c r="U212" i="10"/>
  <c r="L1219" i="14" l="1"/>
  <c r="R1219" i="14" s="1"/>
  <c r="L1185" i="14"/>
  <c r="R1185" i="14" s="1"/>
  <c r="L1183" i="14"/>
  <c r="R1183" i="14" s="1"/>
  <c r="L1093" i="14"/>
  <c r="R1093" i="14" s="1"/>
  <c r="L1095" i="14"/>
  <c r="R1095" i="14" s="1"/>
  <c r="L1023" i="14"/>
  <c r="R1023" i="14" s="1"/>
  <c r="L1177" i="14"/>
  <c r="R1177" i="14" s="1"/>
  <c r="L1175" i="14"/>
  <c r="R1175" i="14" s="1"/>
  <c r="L1200" i="14"/>
  <c r="R1200" i="14" s="1"/>
  <c r="L1223" i="14"/>
  <c r="R1223" i="14" s="1"/>
  <c r="L1080" i="14"/>
  <c r="R1080" i="14" s="1"/>
  <c r="L1086" i="14"/>
  <c r="R1086" i="14" s="1"/>
  <c r="L1116" i="14"/>
  <c r="R1116" i="14" s="1"/>
  <c r="L1082" i="14"/>
  <c r="R1082" i="14" s="1"/>
  <c r="L1204" i="14"/>
  <c r="R1204" i="14" s="1"/>
  <c r="L1048" i="14"/>
  <c r="R1048" i="14" s="1"/>
  <c r="L1006" i="14"/>
  <c r="R1006" i="14" s="1"/>
  <c r="L1161" i="14"/>
  <c r="R1161" i="14" s="1"/>
  <c r="L1105" i="14"/>
  <c r="R1105" i="14" s="1"/>
  <c r="L1213" i="14"/>
  <c r="R1213" i="14" s="1"/>
  <c r="L1187" i="14"/>
  <c r="R1187" i="14" s="1"/>
  <c r="L1153" i="14"/>
  <c r="R1153" i="14" s="1"/>
  <c r="L1151" i="14"/>
  <c r="R1151" i="14" s="1"/>
  <c r="L1168" i="14"/>
  <c r="R1168" i="14" s="1"/>
  <c r="L1205" i="14"/>
  <c r="R1205" i="14" s="1"/>
  <c r="L1211" i="14"/>
  <c r="R1211" i="14" s="1"/>
  <c r="L1004" i="14"/>
  <c r="R1004" i="14" s="1"/>
  <c r="L1002" i="14"/>
  <c r="R1002" i="14" s="1"/>
  <c r="L1140" i="14"/>
  <c r="R1140" i="14" s="1"/>
  <c r="L1176" i="14"/>
  <c r="R1176" i="14" s="1"/>
  <c r="L1053" i="14"/>
  <c r="R1053" i="14" s="1"/>
  <c r="L1084" i="14"/>
  <c r="R1084" i="14" s="1"/>
  <c r="L1049" i="14"/>
  <c r="R1049" i="14" s="1"/>
  <c r="L1217" i="14"/>
  <c r="R1217" i="14" s="1"/>
  <c r="L1078" i="14"/>
  <c r="R1078" i="14" s="1"/>
  <c r="L1081" i="14"/>
  <c r="R1081" i="14" s="1"/>
  <c r="L1112" i="14"/>
  <c r="R1112" i="14" s="1"/>
  <c r="L1114" i="14"/>
  <c r="R1114" i="14" s="1"/>
  <c r="L1224" i="14"/>
  <c r="R1224" i="14" s="1"/>
  <c r="L1198" i="14"/>
  <c r="R1198" i="14" s="1"/>
  <c r="L1164" i="14"/>
  <c r="R1164" i="14" s="1"/>
  <c r="L1033" i="14"/>
  <c r="R1033" i="14" s="1"/>
  <c r="L1193" i="14"/>
  <c r="R1193" i="14" s="1"/>
  <c r="L1216" i="14"/>
  <c r="R1216" i="14" s="1"/>
  <c r="L1222" i="14"/>
  <c r="R1222" i="14" s="1"/>
  <c r="L1156" i="14"/>
  <c r="R1156" i="14" s="1"/>
  <c r="L1154" i="14"/>
  <c r="R1154" i="14" s="1"/>
  <c r="L1131" i="14"/>
  <c r="R1131" i="14" s="1"/>
  <c r="L1229" i="14"/>
  <c r="R1229" i="14" s="1"/>
  <c r="L1235" i="14"/>
  <c r="R1235" i="14" s="1"/>
  <c r="L1137" i="14"/>
  <c r="R1137" i="14" s="1"/>
  <c r="L1103" i="14"/>
  <c r="R1103" i="14" s="1"/>
  <c r="L1225" i="14"/>
  <c r="R1225" i="14" s="1"/>
  <c r="L1149" i="14"/>
  <c r="R1149" i="14" s="1"/>
  <c r="L1132" i="14"/>
  <c r="R1132" i="14" s="1"/>
  <c r="L1141" i="14"/>
  <c r="R1141" i="14" s="1"/>
  <c r="L1068" i="14"/>
  <c r="R1068" i="14" s="1"/>
  <c r="L1069" i="14"/>
  <c r="R1069" i="14" s="1"/>
  <c r="L1071" i="14"/>
  <c r="R1071" i="14" s="1"/>
  <c r="L1005" i="14"/>
  <c r="R1005" i="14" s="1"/>
  <c r="L1172" i="14"/>
  <c r="R1172" i="14" s="1"/>
  <c r="L1029" i="14"/>
  <c r="R1029" i="14" s="1"/>
  <c r="L1236" i="14"/>
  <c r="R1236" i="14" s="1"/>
  <c r="L1073" i="14"/>
  <c r="R1073" i="14" s="1"/>
  <c r="L1130" i="14"/>
  <c r="R1130" i="14" s="1"/>
  <c r="L1118" i="14"/>
  <c r="R1118" i="14" s="1"/>
  <c r="L1012" i="14"/>
  <c r="R1012" i="14" s="1"/>
  <c r="L1064" i="14"/>
  <c r="R1064" i="14" s="1"/>
  <c r="L1057" i="14"/>
  <c r="R1057" i="14" s="1"/>
  <c r="L1133" i="14"/>
  <c r="R1133" i="14" s="1"/>
  <c r="L1178" i="14"/>
  <c r="R1178" i="14" s="1"/>
  <c r="L1157" i="14"/>
  <c r="R1157" i="14" s="1"/>
  <c r="L1019" i="14"/>
  <c r="R1019" i="14" s="1"/>
  <c r="L1121" i="14"/>
  <c r="R1121" i="14" s="1"/>
  <c r="L1174" i="14"/>
  <c r="R1174" i="14" s="1"/>
  <c r="L1113" i="14"/>
  <c r="R1113" i="14" s="1"/>
  <c r="L1202" i="14"/>
  <c r="R1202" i="14" s="1"/>
  <c r="L1231" i="14"/>
  <c r="R1231" i="14" s="1"/>
  <c r="L1037" i="14"/>
  <c r="R1037" i="14" s="1"/>
  <c r="L1209" i="14"/>
  <c r="R1209" i="14" s="1"/>
  <c r="L1117" i="14"/>
  <c r="R1117" i="14" s="1"/>
  <c r="L1091" i="14"/>
  <c r="R1091" i="14" s="1"/>
  <c r="L1228" i="14"/>
  <c r="R1228" i="14" s="1"/>
  <c r="L1226" i="14"/>
  <c r="R1226" i="14" s="1"/>
  <c r="L1163" i="14"/>
  <c r="R1163" i="14" s="1"/>
  <c r="L1237" i="14"/>
  <c r="R1237" i="14" s="1"/>
  <c r="L1115" i="14"/>
  <c r="R1115" i="14" s="1"/>
  <c r="L1220" i="14"/>
  <c r="R1220" i="14" s="1"/>
  <c r="L1218" i="14"/>
  <c r="R1218" i="14" s="1"/>
  <c r="L1227" i="14"/>
  <c r="R1227" i="14" s="1"/>
  <c r="L1041" i="14"/>
  <c r="R1041" i="14" s="1"/>
  <c r="L1024" i="14"/>
  <c r="R1024" i="14" s="1"/>
  <c r="L1030" i="14"/>
  <c r="R1030" i="14" s="1"/>
  <c r="L1060" i="14"/>
  <c r="R1060" i="14" s="1"/>
  <c r="L1026" i="14"/>
  <c r="R1026" i="14" s="1"/>
  <c r="L1159" i="14"/>
  <c r="R1159" i="14" s="1"/>
  <c r="L1191" i="14"/>
  <c r="R1191" i="14" s="1"/>
  <c r="L1124" i="14"/>
  <c r="R1124" i="14" s="1"/>
  <c r="L1197" i="14"/>
  <c r="R1197" i="14" s="1"/>
  <c r="L1199" i="14"/>
  <c r="R1199" i="14" s="1"/>
  <c r="L1085" i="14"/>
  <c r="R1085" i="14" s="1"/>
  <c r="L1230" i="14"/>
  <c r="R1230" i="14" s="1"/>
  <c r="L1196" i="14"/>
  <c r="R1196" i="14" s="1"/>
  <c r="L1194" i="14"/>
  <c r="R1194" i="14" s="1"/>
  <c r="L1238" i="14"/>
  <c r="R1238" i="14" s="1"/>
  <c r="L1077" i="14"/>
  <c r="R1077" i="14" s="1"/>
  <c r="L1083" i="14"/>
  <c r="R1083" i="14" s="1"/>
  <c r="L1145" i="14"/>
  <c r="R1145" i="14" s="1"/>
  <c r="L1143" i="14"/>
  <c r="R1143" i="14" s="1"/>
  <c r="L1104" i="14"/>
  <c r="R1104" i="14" s="1"/>
  <c r="L1127" i="14"/>
  <c r="R1127" i="14" s="1"/>
  <c r="L1047" i="14"/>
  <c r="R1047" i="14" s="1"/>
  <c r="L998" i="14"/>
  <c r="R998" i="14" s="1"/>
  <c r="L1028" i="14"/>
  <c r="R1028" i="14" s="1"/>
  <c r="L1039" i="14"/>
  <c r="R1039" i="14" s="1"/>
  <c r="L1192" i="14"/>
  <c r="R1192" i="14" s="1"/>
  <c r="L1003" i="14"/>
  <c r="R1003" i="14" s="1"/>
  <c r="L1050" i="14"/>
  <c r="R1050" i="14" s="1"/>
  <c r="L1207" i="14"/>
  <c r="R1207" i="14" s="1"/>
  <c r="L1075" i="14"/>
  <c r="R1075" i="14" s="1"/>
  <c r="L1142" i="14"/>
  <c r="R1142" i="14" s="1"/>
  <c r="L1096" i="14"/>
  <c r="R1096" i="14" s="1"/>
  <c r="L1070" i="14"/>
  <c r="R1070" i="14" s="1"/>
  <c r="L1035" i="14"/>
  <c r="R1035" i="14" s="1"/>
  <c r="L1221" i="14"/>
  <c r="R1221" i="14" s="1"/>
  <c r="L1052" i="14"/>
  <c r="R1052" i="14" s="1"/>
  <c r="L1088" i="14"/>
  <c r="R1088" i="14" s="1"/>
  <c r="L1094" i="14"/>
  <c r="R1094" i="14" s="1"/>
  <c r="L1027" i="14"/>
  <c r="R1027" i="14" s="1"/>
  <c r="L1025" i="14"/>
  <c r="R1025" i="14" s="1"/>
  <c r="L1022" i="14"/>
  <c r="R1022" i="14" s="1"/>
  <c r="L1101" i="14"/>
  <c r="R1101" i="14" s="1"/>
  <c r="L1107" i="14"/>
  <c r="R1107" i="14" s="1"/>
  <c r="L1180" i="14"/>
  <c r="R1180" i="14" s="1"/>
  <c r="L1146" i="14"/>
  <c r="R1146" i="14" s="1"/>
  <c r="L1043" i="14"/>
  <c r="R1043" i="14" s="1"/>
  <c r="L1063" i="14"/>
  <c r="R1063" i="14" s="1"/>
  <c r="L1215" i="14"/>
  <c r="R1215" i="14" s="1"/>
  <c r="L1000" i="14"/>
  <c r="R1000" i="14" s="1"/>
  <c r="L1122" i="14"/>
  <c r="R1122" i="14" s="1"/>
  <c r="L1203" i="14"/>
  <c r="R1203" i="14" s="1"/>
  <c r="L1232" i="14"/>
  <c r="R1232" i="14" s="1"/>
  <c r="L1044" i="14"/>
  <c r="R1044" i="14" s="1"/>
  <c r="L1152" i="14"/>
  <c r="R1152" i="14" s="1"/>
  <c r="L1034" i="14"/>
  <c r="R1034" i="14" s="1"/>
  <c r="L1214" i="14"/>
  <c r="R1214" i="14" s="1"/>
  <c r="L1045" i="14"/>
  <c r="R1045" i="14" s="1"/>
  <c r="L1125" i="14"/>
  <c r="R1125" i="14" s="1"/>
  <c r="L999" i="14"/>
  <c r="R999" i="14" s="1"/>
  <c r="L1010" i="14"/>
  <c r="R1010" i="14" s="1"/>
  <c r="L1059" i="14"/>
  <c r="R1059" i="14" s="1"/>
  <c r="L1182" i="14"/>
  <c r="R1182" i="14" s="1"/>
  <c r="L1234" i="14"/>
  <c r="R1234" i="14" s="1"/>
  <c r="L1190" i="14"/>
  <c r="R1190" i="14" s="1"/>
  <c r="L1155" i="14"/>
  <c r="R1155" i="14" s="1"/>
  <c r="L1173" i="14"/>
  <c r="R1173" i="14" s="1"/>
  <c r="L1007" i="14"/>
  <c r="R1007" i="14" s="1"/>
  <c r="L1021" i="14"/>
  <c r="R1021" i="14" s="1"/>
  <c r="L1148" i="14"/>
  <c r="R1148" i="14" s="1"/>
  <c r="L1160" i="14"/>
  <c r="R1160" i="14" s="1"/>
  <c r="L1134" i="14"/>
  <c r="R1134" i="14" s="1"/>
  <c r="L1100" i="14"/>
  <c r="R1100" i="14" s="1"/>
  <c r="L1098" i="14"/>
  <c r="R1098" i="14" s="1"/>
  <c r="L1054" i="14"/>
  <c r="R1054" i="14" s="1"/>
  <c r="L1109" i="14"/>
  <c r="R1109" i="14" s="1"/>
  <c r="L1158" i="14"/>
  <c r="R1158" i="14" s="1"/>
  <c r="L1092" i="14"/>
  <c r="R1092" i="14" s="1"/>
  <c r="L1090" i="14"/>
  <c r="R1090" i="14" s="1"/>
  <c r="L1110" i="14"/>
  <c r="R1110" i="14" s="1"/>
  <c r="L1165" i="14"/>
  <c r="R1165" i="14" s="1"/>
  <c r="L1171" i="14"/>
  <c r="R1171" i="14" s="1"/>
  <c r="L1201" i="14"/>
  <c r="R1201" i="14" s="1"/>
  <c r="L1167" i="14"/>
  <c r="R1167" i="14" s="1"/>
  <c r="L1136" i="14"/>
  <c r="R1136" i="14" s="1"/>
  <c r="L1089" i="14"/>
  <c r="R1089" i="14" s="1"/>
  <c r="L1184" i="14"/>
  <c r="R1184" i="14" s="1"/>
  <c r="L1079" i="14"/>
  <c r="R1079" i="14" s="1"/>
  <c r="L1056" i="14"/>
  <c r="R1056" i="14" s="1"/>
  <c r="L1058" i="14"/>
  <c r="R1058" i="14" s="1"/>
  <c r="L1128" i="14"/>
  <c r="R1128" i="14" s="1"/>
  <c r="L1102" i="14"/>
  <c r="R1102" i="14" s="1"/>
  <c r="L1067" i="14"/>
  <c r="R1067" i="14" s="1"/>
  <c r="L1065" i="14"/>
  <c r="R1065" i="14" s="1"/>
  <c r="L1076" i="14"/>
  <c r="R1076" i="14" s="1"/>
  <c r="L1120" i="14"/>
  <c r="R1120" i="14" s="1"/>
  <c r="L1126" i="14"/>
  <c r="R1126" i="14" s="1"/>
  <c r="L1188" i="14"/>
  <c r="R1188" i="14" s="1"/>
  <c r="L1186" i="14"/>
  <c r="R1186" i="14" s="1"/>
  <c r="L1195" i="14"/>
  <c r="R1195" i="14" s="1"/>
  <c r="L1018" i="14"/>
  <c r="R1018" i="14" s="1"/>
  <c r="L1139" i="14"/>
  <c r="R1139" i="14" s="1"/>
  <c r="L1169" i="14"/>
  <c r="R1169" i="14" s="1"/>
  <c r="L1135" i="14"/>
  <c r="R1135" i="14" s="1"/>
  <c r="L1108" i="14"/>
  <c r="R1108" i="14" s="1"/>
  <c r="L1008" i="14"/>
  <c r="R1008" i="14" s="1"/>
  <c r="L1087" i="14"/>
  <c r="R1087" i="14" s="1"/>
  <c r="L1055" i="14"/>
  <c r="R1055" i="14" s="1"/>
  <c r="L1066" i="14"/>
  <c r="R1066" i="14" s="1"/>
  <c r="L1233" i="14"/>
  <c r="R1233" i="14" s="1"/>
  <c r="L1020" i="14"/>
  <c r="R1020" i="14" s="1"/>
  <c r="L1040" i="14"/>
  <c r="R1040" i="14" s="1"/>
  <c r="L1014" i="14"/>
  <c r="R1014" i="14" s="1"/>
  <c r="L1119" i="14"/>
  <c r="R1119" i="14" s="1"/>
  <c r="L1072" i="14"/>
  <c r="R1072" i="14" s="1"/>
  <c r="L1074" i="14"/>
  <c r="R1074" i="14" s="1"/>
  <c r="L1032" i="14"/>
  <c r="R1032" i="14" s="1"/>
  <c r="L1038" i="14"/>
  <c r="R1038" i="14" s="1"/>
  <c r="L1239" i="14"/>
  <c r="R1239" i="14" s="1"/>
  <c r="L1189" i="14"/>
  <c r="R1189" i="14" s="1"/>
  <c r="L1011" i="14"/>
  <c r="R1011" i="14" s="1"/>
  <c r="L1144" i="14"/>
  <c r="R1144" i="14" s="1"/>
  <c r="L1150" i="14"/>
  <c r="R1150" i="14" s="1"/>
  <c r="L1051" i="14"/>
  <c r="R1051" i="14" s="1"/>
  <c r="L1017" i="14"/>
  <c r="R1017" i="14" s="1"/>
  <c r="L1106" i="14"/>
  <c r="R1106" i="14" s="1"/>
  <c r="L1123" i="14"/>
  <c r="R1123" i="14" s="1"/>
  <c r="L1001" i="14"/>
  <c r="R1001" i="14" s="1"/>
  <c r="L1061" i="14"/>
  <c r="R1061" i="14" s="1"/>
  <c r="L1016" i="14"/>
  <c r="R1016" i="14" s="1"/>
  <c r="L1062" i="14"/>
  <c r="R1062" i="14" s="1"/>
  <c r="L1009" i="14"/>
  <c r="R1009" i="14" s="1"/>
  <c r="L1031" i="14"/>
  <c r="R1031" i="14" s="1"/>
  <c r="L1042" i="14"/>
  <c r="R1042" i="14" s="1"/>
  <c r="L1036" i="14"/>
  <c r="R1036" i="14" s="1"/>
  <c r="L1208" i="14"/>
  <c r="R1208" i="14" s="1"/>
  <c r="L1210" i="14"/>
  <c r="R1210" i="14" s="1"/>
  <c r="L1147" i="14"/>
  <c r="R1147" i="14" s="1"/>
  <c r="L1129" i="14"/>
  <c r="R1129" i="14" s="1"/>
  <c r="L1046" i="14"/>
  <c r="R1046" i="14" s="1"/>
  <c r="L1170" i="14"/>
  <c r="R1170" i="14" s="1"/>
  <c r="L997" i="14"/>
  <c r="R997" i="14" s="1"/>
  <c r="L1013" i="14"/>
  <c r="R1013" i="14" s="1"/>
  <c r="L1212" i="14"/>
  <c r="R1212" i="14" s="1"/>
  <c r="L1166" i="14"/>
  <c r="R1166" i="14" s="1"/>
  <c r="L1206" i="14"/>
  <c r="R1206" i="14" s="1"/>
  <c r="L1181" i="14"/>
  <c r="R1181" i="14" s="1"/>
  <c r="L1162" i="14"/>
  <c r="R1162" i="14" s="1"/>
  <c r="L1179" i="14"/>
  <c r="R1179" i="14" s="1"/>
  <c r="L1111" i="14"/>
  <c r="R1111" i="14" s="1"/>
  <c r="L1015" i="14"/>
  <c r="R1015" i="14" s="1"/>
  <c r="L1099" i="14"/>
  <c r="R1099" i="14" s="1"/>
  <c r="L1097" i="14"/>
  <c r="R1097" i="14" s="1"/>
  <c r="L1138" i="14"/>
  <c r="R1138" i="14" s="1"/>
  <c r="F1178" i="14"/>
  <c r="F1112" i="14"/>
  <c r="F1095" i="14"/>
  <c r="F1153" i="14"/>
  <c r="F1063" i="14"/>
  <c r="F1068" i="14"/>
  <c r="F1221" i="14"/>
  <c r="F1138" i="14"/>
  <c r="F1218" i="14"/>
  <c r="F1172" i="14"/>
  <c r="F1200" i="14"/>
  <c r="F1211" i="14"/>
  <c r="F1163" i="14"/>
  <c r="F1049" i="14"/>
  <c r="F1006" i="14"/>
  <c r="F1223" i="14"/>
  <c r="F1023" i="14"/>
  <c r="F1183" i="14"/>
  <c r="F1219" i="14"/>
  <c r="F1130" i="14"/>
  <c r="F1140" i="14"/>
  <c r="F1204" i="14"/>
  <c r="F1148" i="14"/>
  <c r="F1161" i="14"/>
  <c r="F1185" i="14"/>
  <c r="F1187" i="14"/>
  <c r="F1176" i="14"/>
  <c r="F1003" i="14"/>
  <c r="F1082" i="14"/>
  <c r="F1177" i="14"/>
  <c r="F1074" i="14"/>
  <c r="F1156" i="14"/>
  <c r="F1116" i="14"/>
  <c r="O1122" i="14"/>
  <c r="U1122" i="14" s="1"/>
  <c r="O1147" i="14"/>
  <c r="U1147" i="14" s="1"/>
  <c r="O1184" i="14"/>
  <c r="U1184" i="14" s="1"/>
  <c r="O1004" i="14"/>
  <c r="U1004" i="14" s="1"/>
  <c r="O1134" i="14"/>
  <c r="U1134" i="14" s="1"/>
  <c r="O1071" i="14"/>
  <c r="U1071" i="14" s="1"/>
  <c r="O999" i="14"/>
  <c r="U999" i="14" s="1"/>
  <c r="O997" i="14"/>
  <c r="U997" i="14" s="1"/>
  <c r="O1092" i="14"/>
  <c r="U1092" i="14" s="1"/>
  <c r="O1002" i="14"/>
  <c r="U1002" i="14" s="1"/>
  <c r="O1104" i="14"/>
  <c r="U1104" i="14" s="1"/>
  <c r="O1017" i="14"/>
  <c r="U1017" i="14" s="1"/>
  <c r="O1110" i="14"/>
  <c r="U1110" i="14" s="1"/>
  <c r="O1169" i="14"/>
  <c r="U1169" i="14" s="1"/>
  <c r="O1144" i="14"/>
  <c r="U1144" i="14" s="1"/>
  <c r="O1056" i="14"/>
  <c r="U1056" i="14" s="1"/>
  <c r="O1222" i="14"/>
  <c r="U1222" i="14" s="1"/>
  <c r="O1173" i="14"/>
  <c r="U1173" i="14" s="1"/>
  <c r="O1029" i="14"/>
  <c r="U1029" i="14" s="1"/>
  <c r="O1069" i="14"/>
  <c r="U1069" i="14" s="1"/>
  <c r="O1215" i="14"/>
  <c r="U1215" i="14" s="1"/>
  <c r="O1033" i="14"/>
  <c r="U1033" i="14" s="1"/>
  <c r="O1158" i="14"/>
  <c r="U1158" i="14" s="1"/>
  <c r="O1185" i="14"/>
  <c r="U1185" i="14" s="1"/>
  <c r="O1041" i="14"/>
  <c r="U1041" i="14" s="1"/>
  <c r="O1051" i="14"/>
  <c r="U1051" i="14" s="1"/>
  <c r="O1025" i="14"/>
  <c r="U1025" i="14" s="1"/>
  <c r="O1150" i="14"/>
  <c r="U1150" i="14" s="1"/>
  <c r="O1145" i="14"/>
  <c r="U1145" i="14" s="1"/>
  <c r="O1040" i="14"/>
  <c r="U1040" i="14" s="1"/>
  <c r="O1200" i="14"/>
  <c r="U1200" i="14" s="1"/>
  <c r="O1170" i="14"/>
  <c r="U1170" i="14" s="1"/>
  <c r="O1163" i="14"/>
  <c r="U1163" i="14" s="1"/>
  <c r="O1125" i="14"/>
  <c r="U1125" i="14" s="1"/>
  <c r="O1052" i="14"/>
  <c r="U1052" i="14" s="1"/>
  <c r="O1225" i="14"/>
  <c r="U1225" i="14" s="1"/>
  <c r="O1128" i="14"/>
  <c r="U1128" i="14" s="1"/>
  <c r="O1230" i="14"/>
  <c r="U1230" i="14" s="1"/>
  <c r="O1086" i="14"/>
  <c r="U1086" i="14" s="1"/>
  <c r="O1102" i="14"/>
  <c r="U1102" i="14" s="1"/>
  <c r="O1142" i="14"/>
  <c r="U1142" i="14" s="1"/>
  <c r="O1109" i="14"/>
  <c r="U1109" i="14" s="1"/>
  <c r="O1001" i="14"/>
  <c r="U1001" i="14" s="1"/>
  <c r="O1126" i="14"/>
  <c r="U1126" i="14" s="1"/>
  <c r="O1153" i="14"/>
  <c r="U1153" i="14" s="1"/>
  <c r="O1119" i="14"/>
  <c r="U1119" i="14" s="1"/>
  <c r="O1236" i="14"/>
  <c r="U1236" i="14" s="1"/>
  <c r="O1221" i="14"/>
  <c r="U1221" i="14" s="1"/>
  <c r="O1118" i="14"/>
  <c r="U1118" i="14" s="1"/>
  <c r="O1113" i="14"/>
  <c r="U1113" i="14" s="1"/>
  <c r="O1194" i="14"/>
  <c r="U1194" i="14" s="1"/>
  <c r="O1076" i="14"/>
  <c r="U1076" i="14" s="1"/>
  <c r="O1010" i="14"/>
  <c r="U1010" i="14" s="1"/>
  <c r="O1174" i="14"/>
  <c r="U1174" i="14" s="1"/>
  <c r="O1105" i="14"/>
  <c r="U1105" i="14" s="1"/>
  <c r="O1123" i="14"/>
  <c r="U1123" i="14" s="1"/>
  <c r="O1237" i="14"/>
  <c r="U1237" i="14" s="1"/>
  <c r="O1036" i="14"/>
  <c r="U1036" i="14" s="1"/>
  <c r="O1214" i="14"/>
  <c r="U1214" i="14" s="1"/>
  <c r="O1234" i="14"/>
  <c r="U1234" i="14" s="1"/>
  <c r="O1132" i="14"/>
  <c r="U1132" i="14" s="1"/>
  <c r="O1093" i="14"/>
  <c r="U1093" i="14" s="1"/>
  <c r="O1220" i="14"/>
  <c r="U1220" i="14" s="1"/>
  <c r="O1074" i="14"/>
  <c r="U1074" i="14" s="1"/>
  <c r="O1080" i="14"/>
  <c r="U1080" i="14" s="1"/>
  <c r="O1162" i="14"/>
  <c r="U1162" i="14" s="1"/>
  <c r="O1019" i="14"/>
  <c r="U1019" i="14" s="1"/>
  <c r="O1161" i="14"/>
  <c r="U1161" i="14" s="1"/>
  <c r="O1096" i="14"/>
  <c r="U1096" i="14" s="1"/>
  <c r="O1091" i="14"/>
  <c r="U1091" i="14" s="1"/>
  <c r="O1021" i="14"/>
  <c r="U1021" i="14" s="1"/>
  <c r="O1026" i="14"/>
  <c r="U1026" i="14" s="1"/>
  <c r="O1098" i="14"/>
  <c r="U1098" i="14" s="1"/>
  <c r="O1058" i="14"/>
  <c r="U1058" i="14" s="1"/>
  <c r="O1024" i="14"/>
  <c r="U1024" i="14" s="1"/>
  <c r="O1013" i="14"/>
  <c r="U1013" i="14" s="1"/>
  <c r="O1015" i="14"/>
  <c r="U1015" i="14" s="1"/>
  <c r="O1131" i="14"/>
  <c r="U1131" i="14" s="1"/>
  <c r="O1111" i="14"/>
  <c r="U1111" i="14" s="1"/>
  <c r="O1018" i="14"/>
  <c r="U1018" i="14" s="1"/>
  <c r="O1065" i="14"/>
  <c r="U1065" i="14" s="1"/>
  <c r="O1190" i="14"/>
  <c r="U1190" i="14" s="1"/>
  <c r="O1217" i="14"/>
  <c r="U1217" i="14" s="1"/>
  <c r="O1039" i="14"/>
  <c r="U1039" i="14" s="1"/>
  <c r="O1136" i="14"/>
  <c r="U1136" i="14" s="1"/>
  <c r="O1114" i="14"/>
  <c r="U1114" i="14" s="1"/>
  <c r="O1139" i="14"/>
  <c r="U1139" i="14" s="1"/>
  <c r="O1168" i="14"/>
  <c r="U1168" i="14" s="1"/>
  <c r="O1035" i="14"/>
  <c r="U1035" i="14" s="1"/>
  <c r="O1187" i="14"/>
  <c r="U1187" i="14" s="1"/>
  <c r="O1159" i="14"/>
  <c r="U1159" i="14" s="1"/>
  <c r="O1176" i="14"/>
  <c r="U1176" i="14" s="1"/>
  <c r="O1053" i="14"/>
  <c r="U1053" i="14" s="1"/>
  <c r="O1212" i="14"/>
  <c r="U1212" i="14" s="1"/>
  <c r="O1151" i="14"/>
  <c r="U1151" i="14" s="1"/>
  <c r="O1108" i="14"/>
  <c r="U1108" i="14" s="1"/>
  <c r="O1085" i="14"/>
  <c r="U1085" i="14" s="1"/>
  <c r="O1103" i="14"/>
  <c r="U1103" i="14" s="1"/>
  <c r="O1081" i="14"/>
  <c r="U1081" i="14" s="1"/>
  <c r="O1014" i="14"/>
  <c r="U1014" i="14" s="1"/>
  <c r="O1166" i="14"/>
  <c r="U1166" i="14" s="1"/>
  <c r="O1175" i="14"/>
  <c r="U1175" i="14" s="1"/>
  <c r="O1101" i="14"/>
  <c r="U1101" i="14" s="1"/>
  <c r="O1030" i="14"/>
  <c r="U1030" i="14" s="1"/>
  <c r="O1228" i="14"/>
  <c r="U1228" i="14" s="1"/>
  <c r="O1219" i="14"/>
  <c r="U1219" i="14" s="1"/>
  <c r="O1167" i="14"/>
  <c r="U1167" i="14" s="1"/>
  <c r="O1192" i="14"/>
  <c r="U1192" i="14" s="1"/>
  <c r="O1022" i="14"/>
  <c r="U1022" i="14" s="1"/>
  <c r="O1188" i="14"/>
  <c r="U1188" i="14" s="1"/>
  <c r="O1087" i="14"/>
  <c r="U1087" i="14" s="1"/>
  <c r="O1172" i="14"/>
  <c r="U1172" i="14" s="1"/>
  <c r="O1042" i="14"/>
  <c r="U1042" i="14" s="1"/>
  <c r="O1206" i="14"/>
  <c r="U1206" i="14" s="1"/>
  <c r="O1055" i="14"/>
  <c r="U1055" i="14" s="1"/>
  <c r="O1016" i="14"/>
  <c r="U1016" i="14" s="1"/>
  <c r="O1012" i="14"/>
  <c r="U1012" i="14" s="1"/>
  <c r="O1094" i="14"/>
  <c r="U1094" i="14" s="1"/>
  <c r="O1140" i="14"/>
  <c r="U1140" i="14" s="1"/>
  <c r="O1209" i="14"/>
  <c r="U1209" i="14" s="1"/>
  <c r="O1191" i="14"/>
  <c r="U1191" i="14" s="1"/>
  <c r="O1160" i="14"/>
  <c r="U1160" i="14" s="1"/>
  <c r="O1143" i="14"/>
  <c r="U1143" i="14" s="1"/>
  <c r="O1208" i="14"/>
  <c r="U1208" i="14" s="1"/>
  <c r="O998" i="14"/>
  <c r="U998" i="14" s="1"/>
  <c r="O1196" i="14"/>
  <c r="U1196" i="14" s="1"/>
  <c r="O1009" i="14"/>
  <c r="U1009" i="14" s="1"/>
  <c r="O1135" i="14"/>
  <c r="U1135" i="14" s="1"/>
  <c r="O1112" i="14"/>
  <c r="U1112" i="14" s="1"/>
  <c r="O1061" i="14"/>
  <c r="U1061" i="14" s="1"/>
  <c r="O1156" i="14"/>
  <c r="U1156" i="14" s="1"/>
  <c r="O1224" i="14"/>
  <c r="U1224" i="14" s="1"/>
  <c r="O1223" i="14"/>
  <c r="U1223" i="14" s="1"/>
  <c r="O1133" i="14"/>
  <c r="U1133" i="14" s="1"/>
  <c r="O1046" i="14"/>
  <c r="U1046" i="14" s="1"/>
  <c r="O1148" i="14"/>
  <c r="U1148" i="14" s="1"/>
  <c r="O1229" i="14"/>
  <c r="U1229" i="14" s="1"/>
  <c r="O1179" i="14"/>
  <c r="U1179" i="14" s="1"/>
  <c r="O1117" i="14"/>
  <c r="U1117" i="14" s="1"/>
  <c r="O1232" i="14"/>
  <c r="U1232" i="14" s="1"/>
  <c r="O1049" i="14"/>
  <c r="U1049" i="14" s="1"/>
  <c r="O1005" i="14"/>
  <c r="U1005" i="14" s="1"/>
  <c r="O1199" i="14"/>
  <c r="U1199" i="14" s="1"/>
  <c r="O1183" i="14"/>
  <c r="U1183" i="14" s="1"/>
  <c r="O1238" i="14"/>
  <c r="U1238" i="14" s="1"/>
  <c r="O1070" i="14"/>
  <c r="U1070" i="14" s="1"/>
  <c r="O1171" i="14"/>
  <c r="U1171" i="14" s="1"/>
  <c r="O1090" i="14"/>
  <c r="U1090" i="14" s="1"/>
  <c r="O1043" i="14"/>
  <c r="U1043" i="14" s="1"/>
  <c r="O1107" i="14"/>
  <c r="U1107" i="14" s="1"/>
  <c r="O1127" i="14"/>
  <c r="U1127" i="14" s="1"/>
  <c r="O1180" i="14"/>
  <c r="U1180" i="14" s="1"/>
  <c r="O1064" i="14"/>
  <c r="U1064" i="14" s="1"/>
  <c r="O1227" i="14"/>
  <c r="U1227" i="14" s="1"/>
  <c r="O1083" i="14"/>
  <c r="U1083" i="14" s="1"/>
  <c r="O1050" i="14"/>
  <c r="U1050" i="14" s="1"/>
  <c r="O1031" i="14"/>
  <c r="U1031" i="14" s="1"/>
  <c r="O1233" i="14"/>
  <c r="U1233" i="14" s="1"/>
  <c r="O1121" i="14"/>
  <c r="U1121" i="14" s="1"/>
  <c r="O1073" i="14"/>
  <c r="U1073" i="14" s="1"/>
  <c r="O1207" i="14"/>
  <c r="U1207" i="14" s="1"/>
  <c r="O1165" i="14"/>
  <c r="U1165" i="14" s="1"/>
  <c r="O1062" i="14"/>
  <c r="U1062" i="14" s="1"/>
  <c r="O1089" i="14"/>
  <c r="U1089" i="14" s="1"/>
  <c r="O1066" i="14"/>
  <c r="U1066" i="14" s="1"/>
  <c r="O1044" i="14"/>
  <c r="U1044" i="14" s="1"/>
  <c r="O1057" i="14"/>
  <c r="U1057" i="14" s="1"/>
  <c r="O1182" i="14"/>
  <c r="U1182" i="14" s="1"/>
  <c r="O1177" i="14"/>
  <c r="U1177" i="14" s="1"/>
  <c r="O1077" i="14"/>
  <c r="U1077" i="14" s="1"/>
  <c r="O1006" i="14"/>
  <c r="U1006" i="14" s="1"/>
  <c r="O1202" i="14"/>
  <c r="U1202" i="14" s="1"/>
  <c r="O1195" i="14"/>
  <c r="U1195" i="14" s="1"/>
  <c r="O1189" i="14"/>
  <c r="U1189" i="14" s="1"/>
  <c r="O1084" i="14"/>
  <c r="U1084" i="14" s="1"/>
  <c r="O1152" i="14"/>
  <c r="U1152" i="14" s="1"/>
  <c r="O1063" i="14"/>
  <c r="U1063" i="14" s="1"/>
  <c r="O1164" i="14"/>
  <c r="U1164" i="14" s="1"/>
  <c r="O1149" i="14"/>
  <c r="U1149" i="14" s="1"/>
  <c r="O1047" i="14"/>
  <c r="U1047" i="14" s="1"/>
  <c r="O1201" i="14"/>
  <c r="U1201" i="14" s="1"/>
  <c r="O1204" i="14"/>
  <c r="U1204" i="14" s="1"/>
  <c r="O1218" i="14"/>
  <c r="U1218" i="14" s="1"/>
  <c r="O1023" i="14"/>
  <c r="U1023" i="14" s="1"/>
  <c r="O1213" i="14"/>
  <c r="U1213" i="14" s="1"/>
  <c r="O1100" i="14"/>
  <c r="U1100" i="14" s="1"/>
  <c r="O1038" i="14"/>
  <c r="U1038" i="14" s="1"/>
  <c r="O1210" i="14"/>
  <c r="U1210" i="14" s="1"/>
  <c r="O1235" i="14"/>
  <c r="U1235" i="14" s="1"/>
  <c r="O1205" i="14"/>
  <c r="U1205" i="14" s="1"/>
  <c r="O1060" i="14"/>
  <c r="U1060" i="14" s="1"/>
  <c r="O1181" i="14"/>
  <c r="U1181" i="14" s="1"/>
  <c r="O1197" i="14"/>
  <c r="U1197" i="14" s="1"/>
  <c r="O1078" i="14"/>
  <c r="U1078" i="14" s="1"/>
  <c r="O1137" i="14"/>
  <c r="U1137" i="14" s="1"/>
  <c r="O1226" i="14"/>
  <c r="U1226" i="14" s="1"/>
  <c r="O1239" i="14"/>
  <c r="U1239" i="14" s="1"/>
  <c r="O1007" i="14"/>
  <c r="U1007" i="14" s="1"/>
  <c r="O1146" i="14"/>
  <c r="U1146" i="14" s="1"/>
  <c r="O1067" i="14"/>
  <c r="U1067" i="14" s="1"/>
  <c r="O1106" i="14"/>
  <c r="U1106" i="14" s="1"/>
  <c r="O1116" i="14"/>
  <c r="U1116" i="14" s="1"/>
  <c r="O1186" i="14"/>
  <c r="U1186" i="14" s="1"/>
  <c r="O1211" i="14"/>
  <c r="U1211" i="14" s="1"/>
  <c r="O1157" i="14"/>
  <c r="U1157" i="14" s="1"/>
  <c r="O1068" i="14"/>
  <c r="U1068" i="14" s="1"/>
  <c r="O1155" i="14"/>
  <c r="U1155" i="14" s="1"/>
  <c r="O1178" i="14"/>
  <c r="U1178" i="14" s="1"/>
  <c r="O1203" i="14"/>
  <c r="U1203" i="14" s="1"/>
  <c r="O1141" i="14"/>
  <c r="U1141" i="14" s="1"/>
  <c r="O1028" i="14"/>
  <c r="U1028" i="14" s="1"/>
  <c r="O1198" i="14"/>
  <c r="U1198" i="14" s="1"/>
  <c r="O1095" i="14"/>
  <c r="U1095" i="14" s="1"/>
  <c r="O1008" i="14"/>
  <c r="U1008" i="14" s="1"/>
  <c r="O1216" i="14"/>
  <c r="U1216" i="14" s="1"/>
  <c r="O1020" i="14"/>
  <c r="U1020" i="14" s="1"/>
  <c r="O1129" i="14"/>
  <c r="U1129" i="14" s="1"/>
  <c r="O1037" i="14"/>
  <c r="U1037" i="14" s="1"/>
  <c r="O1231" i="14"/>
  <c r="U1231" i="14" s="1"/>
  <c r="O1124" i="14"/>
  <c r="U1124" i="14" s="1"/>
  <c r="O1099" i="14"/>
  <c r="U1099" i="14" s="1"/>
  <c r="O1079" i="14"/>
  <c r="U1079" i="14" s="1"/>
  <c r="O1048" i="14"/>
  <c r="U1048" i="14" s="1"/>
  <c r="O1072" i="14"/>
  <c r="U1072" i="14" s="1"/>
  <c r="O1054" i="14"/>
  <c r="U1054" i="14" s="1"/>
  <c r="O1097" i="14"/>
  <c r="U1097" i="14" s="1"/>
  <c r="O1027" i="14"/>
  <c r="U1027" i="14" s="1"/>
  <c r="O1154" i="14"/>
  <c r="U1154" i="14" s="1"/>
  <c r="O1059" i="14"/>
  <c r="U1059" i="14" s="1"/>
  <c r="O1115" i="14"/>
  <c r="U1115" i="14" s="1"/>
  <c r="O1120" i="14"/>
  <c r="U1120" i="14" s="1"/>
  <c r="O1082" i="14"/>
  <c r="U1082" i="14" s="1"/>
  <c r="O1003" i="14"/>
  <c r="U1003" i="14" s="1"/>
  <c r="O1088" i="14"/>
  <c r="U1088" i="14" s="1"/>
  <c r="O1045" i="14"/>
  <c r="U1045" i="14" s="1"/>
  <c r="O1032" i="14"/>
  <c r="U1032" i="14" s="1"/>
  <c r="O1034" i="14"/>
  <c r="U1034" i="14" s="1"/>
  <c r="O1011" i="14"/>
  <c r="U1011" i="14" s="1"/>
  <c r="O1075" i="14"/>
  <c r="U1075" i="14" s="1"/>
  <c r="O1000" i="14"/>
  <c r="U1000" i="14" s="1"/>
  <c r="O1138" i="14"/>
  <c r="U1138" i="14" s="1"/>
  <c r="O1130" i="14"/>
  <c r="U1130" i="14" s="1"/>
  <c r="O1193" i="14"/>
  <c r="U1193" i="14" s="1"/>
  <c r="I1077" i="14"/>
  <c r="I1190" i="14"/>
  <c r="I1188" i="14"/>
  <c r="I1206" i="14"/>
  <c r="K1050" i="14"/>
  <c r="Q1050" i="14" s="1"/>
  <c r="K1083" i="14"/>
  <c r="Q1083" i="14" s="1"/>
  <c r="K1201" i="14"/>
  <c r="Q1201" i="14" s="1"/>
  <c r="K1088" i="14"/>
  <c r="Q1088" i="14" s="1"/>
  <c r="K1145" i="14"/>
  <c r="Q1145" i="14" s="1"/>
  <c r="K1042" i="14"/>
  <c r="Q1042" i="14" s="1"/>
  <c r="K1182" i="14"/>
  <c r="K1129" i="14"/>
  <c r="Q1129" i="14" s="1"/>
  <c r="K1239" i="14"/>
  <c r="Q1239" i="14" s="1"/>
  <c r="K1177" i="14"/>
  <c r="Q1177" i="14" s="1"/>
  <c r="K1098" i="14"/>
  <c r="Q1098" i="14" s="1"/>
  <c r="K1163" i="14"/>
  <c r="Q1163" i="14" s="1"/>
  <c r="K1101" i="14"/>
  <c r="Q1101" i="14" s="1"/>
  <c r="K1004" i="14"/>
  <c r="Q1004" i="14" s="1"/>
  <c r="K1113" i="14"/>
  <c r="K1082" i="14"/>
  <c r="Q1082" i="14" s="1"/>
  <c r="K1105" i="14"/>
  <c r="Q1105" i="14" s="1"/>
  <c r="K1202" i="14"/>
  <c r="Q1202" i="14" s="1"/>
  <c r="K1161" i="14"/>
  <c r="K1087" i="14"/>
  <c r="Q1087" i="14" s="1"/>
  <c r="K1164" i="14"/>
  <c r="Q1164" i="14" s="1"/>
  <c r="K1103" i="14"/>
  <c r="Q1103" i="14" s="1"/>
  <c r="K1085" i="14"/>
  <c r="K1037" i="14"/>
  <c r="Q1037" i="14" s="1"/>
  <c r="K1084" i="14"/>
  <c r="Q1084" i="14" s="1"/>
  <c r="K1144" i="14"/>
  <c r="Q1144" i="14" s="1"/>
  <c r="K1095" i="14"/>
  <c r="Q1095" i="14" s="1"/>
  <c r="K1181" i="14"/>
  <c r="Q1181" i="14" s="1"/>
  <c r="K1022" i="14"/>
  <c r="Q1022" i="14" s="1"/>
  <c r="K1140" i="14"/>
  <c r="Q1140" i="14" s="1"/>
  <c r="K1065" i="14"/>
  <c r="K1093" i="14"/>
  <c r="Q1093" i="14" s="1"/>
  <c r="K1009" i="14"/>
  <c r="Q1009" i="14" s="1"/>
  <c r="K1046" i="14"/>
  <c r="Q1046" i="14" s="1"/>
  <c r="K1100" i="14"/>
  <c r="K1219" i="14"/>
  <c r="Q1219" i="14" s="1"/>
  <c r="K1210" i="14"/>
  <c r="Q1210" i="14" s="1"/>
  <c r="K1030" i="14"/>
  <c r="Q1030" i="14" s="1"/>
  <c r="K1111" i="14"/>
  <c r="K1072" i="14"/>
  <c r="Q1072" i="14" s="1"/>
  <c r="K1064" i="14"/>
  <c r="Q1064" i="14" s="1"/>
  <c r="K1215" i="14"/>
  <c r="Q1215" i="14" s="1"/>
  <c r="K1121" i="14"/>
  <c r="Q1121" i="14" s="1"/>
  <c r="E1082" i="14"/>
  <c r="K1057" i="14"/>
  <c r="Q1057" i="14" s="1"/>
  <c r="K1190" i="14"/>
  <c r="Q1190" i="14" s="1"/>
  <c r="K1137" i="14"/>
  <c r="Q1137" i="14" s="1"/>
  <c r="K1207" i="14"/>
  <c r="Q1207" i="14" s="1"/>
  <c r="K1124" i="14"/>
  <c r="Q1124" i="14" s="1"/>
  <c r="K1049" i="14"/>
  <c r="Q1049" i="14" s="1"/>
  <c r="K1075" i="14"/>
  <c r="K1193" i="14"/>
  <c r="Q1193" i="14" s="1"/>
  <c r="K1056" i="14"/>
  <c r="Q1056" i="14" s="1"/>
  <c r="K1205" i="14"/>
  <c r="Q1205" i="14" s="1"/>
  <c r="K1034" i="14"/>
  <c r="Q1034" i="14" s="1"/>
  <c r="K1099" i="14"/>
  <c r="Q1099" i="14" s="1"/>
  <c r="K1153" i="14"/>
  <c r="Q1153" i="14" s="1"/>
  <c r="K1143" i="14"/>
  <c r="Q1143" i="14" s="1"/>
  <c r="K1092" i="14"/>
  <c r="Q1092" i="14" s="1"/>
  <c r="K1117" i="14"/>
  <c r="Q1117" i="14" s="1"/>
  <c r="K1110" i="14"/>
  <c r="Q1110" i="14" s="1"/>
  <c r="K1211" i="14"/>
  <c r="Q1211" i="14" s="1"/>
  <c r="K1134" i="14"/>
  <c r="K1023" i="14"/>
  <c r="Q1023" i="14" s="1"/>
  <c r="K1165" i="14"/>
  <c r="Q1165" i="14" s="1"/>
  <c r="K1126" i="14"/>
  <c r="Q1126" i="14" s="1"/>
  <c r="K1073" i="14"/>
  <c r="K1186" i="14"/>
  <c r="Q1186" i="14" s="1"/>
  <c r="K1120" i="14"/>
  <c r="Q1120" i="14" s="1"/>
  <c r="K1015" i="14"/>
  <c r="Q1015" i="14" s="1"/>
  <c r="K1054" i="14"/>
  <c r="Q1054" i="14" s="1"/>
  <c r="K1172" i="14"/>
  <c r="Q1172" i="14" s="1"/>
  <c r="K1058" i="14"/>
  <c r="Q1058" i="14" s="1"/>
  <c r="K1035" i="14"/>
  <c r="Q1035" i="14" s="1"/>
  <c r="K1041" i="14"/>
  <c r="K1206" i="14"/>
  <c r="Q1206" i="14" s="1"/>
  <c r="K1217" i="14"/>
  <c r="Q1217" i="14" s="1"/>
  <c r="K1152" i="14"/>
  <c r="Q1152" i="14" s="1"/>
  <c r="K1003" i="14"/>
  <c r="K1055" i="14"/>
  <c r="Q1055" i="14" s="1"/>
  <c r="K1020" i="14"/>
  <c r="Q1020" i="14" s="1"/>
  <c r="K1017" i="14"/>
  <c r="Q1017" i="14" s="1"/>
  <c r="K1019" i="14"/>
  <c r="Q1019" i="14" s="1"/>
  <c r="K1109" i="14"/>
  <c r="Q1109" i="14" s="1"/>
  <c r="K1218" i="14"/>
  <c r="Q1218" i="14" s="1"/>
  <c r="K1146" i="14"/>
  <c r="Q1146" i="14" s="1"/>
  <c r="K1179" i="14"/>
  <c r="K1096" i="14"/>
  <c r="Q1096" i="14" s="1"/>
  <c r="K1027" i="14"/>
  <c r="Q1027" i="14" s="1"/>
  <c r="K1038" i="14"/>
  <c r="Q1038" i="14" s="1"/>
  <c r="K1138" i="14"/>
  <c r="Q1138" i="14" s="1"/>
  <c r="K1235" i="14"/>
  <c r="Q1235" i="14" s="1"/>
  <c r="K1141" i="14"/>
  <c r="Q1141" i="14" s="1"/>
  <c r="K1012" i="14"/>
  <c r="Q1012" i="14" s="1"/>
  <c r="K1187" i="14"/>
  <c r="K1151" i="14"/>
  <c r="Q1151" i="14" s="1"/>
  <c r="K1040" i="14"/>
  <c r="Q1040" i="14" s="1"/>
  <c r="K1168" i="14"/>
  <c r="Q1168" i="14" s="1"/>
  <c r="K1043" i="14"/>
  <c r="K1045" i="14"/>
  <c r="Q1045" i="14" s="1"/>
  <c r="K1025" i="14"/>
  <c r="Q1025" i="14" s="1"/>
  <c r="K1233" i="14"/>
  <c r="Q1233" i="14" s="1"/>
  <c r="K1230" i="14"/>
  <c r="Q1230" i="14" s="1"/>
  <c r="K1080" i="14"/>
  <c r="Q1080" i="14" s="1"/>
  <c r="K1204" i="14"/>
  <c r="Q1204" i="14" s="1"/>
  <c r="K1002" i="14"/>
  <c r="Q1002" i="14" s="1"/>
  <c r="K1036" i="14"/>
  <c r="K1199" i="14"/>
  <c r="Q1199" i="14" s="1"/>
  <c r="K1104" i="14"/>
  <c r="Q1104" i="14" s="1"/>
  <c r="K1062" i="14"/>
  <c r="Q1062" i="14" s="1"/>
  <c r="K1180" i="14"/>
  <c r="K1033" i="14"/>
  <c r="Q1033" i="14" s="1"/>
  <c r="K1191" i="14"/>
  <c r="Q1191" i="14" s="1"/>
  <c r="K1176" i="14"/>
  <c r="Q1176" i="14" s="1"/>
  <c r="K1118" i="14"/>
  <c r="K1236" i="14"/>
  <c r="Q1236" i="14" s="1"/>
  <c r="K1079" i="14"/>
  <c r="Q1079" i="14" s="1"/>
  <c r="K1156" i="14"/>
  <c r="Q1156" i="14" s="1"/>
  <c r="K1221" i="14"/>
  <c r="K1142" i="14"/>
  <c r="Q1142" i="14" s="1"/>
  <c r="K1196" i="14"/>
  <c r="Q1196" i="14" s="1"/>
  <c r="K1001" i="14"/>
  <c r="Q1001" i="14" s="1"/>
  <c r="K1063" i="14"/>
  <c r="Q1063" i="14" s="1"/>
  <c r="K1060" i="14"/>
  <c r="Q1060" i="14" s="1"/>
  <c r="K1125" i="14"/>
  <c r="Q1125" i="14" s="1"/>
  <c r="K1216" i="14"/>
  <c r="Q1216" i="14" s="1"/>
  <c r="K1170" i="14"/>
  <c r="K1157" i="14"/>
  <c r="Q1157" i="14" s="1"/>
  <c r="K1048" i="14"/>
  <c r="Q1048" i="14" s="1"/>
  <c r="K1132" i="14"/>
  <c r="Q1132" i="14" s="1"/>
  <c r="K1167" i="14"/>
  <c r="K1173" i="14"/>
  <c r="Q1173" i="14" s="1"/>
  <c r="K1086" i="14"/>
  <c r="Q1086" i="14" s="1"/>
  <c r="K1229" i="14"/>
  <c r="Q1229" i="14" s="1"/>
  <c r="K1208" i="14"/>
  <c r="Q1208" i="14" s="1"/>
  <c r="K1212" i="14"/>
  <c r="Q1212" i="14" s="1"/>
  <c r="K1223" i="14"/>
  <c r="Q1223" i="14" s="1"/>
  <c r="K1097" i="14"/>
  <c r="Q1097" i="14" s="1"/>
  <c r="K1081" i="14"/>
  <c r="K1174" i="14"/>
  <c r="Q1174" i="14" s="1"/>
  <c r="K1026" i="14"/>
  <c r="Q1026" i="14" s="1"/>
  <c r="K1115" i="14"/>
  <c r="Q1115" i="14" s="1"/>
  <c r="K1074" i="14"/>
  <c r="Q1074" i="14" s="1"/>
  <c r="K1053" i="14"/>
  <c r="Q1053" i="14" s="1"/>
  <c r="K1114" i="14"/>
  <c r="Q1114" i="14" s="1"/>
  <c r="K1047" i="14"/>
  <c r="Q1047" i="14" s="1"/>
  <c r="K1106" i="14"/>
  <c r="K1184" i="14"/>
  <c r="Q1184" i="14" s="1"/>
  <c r="K1091" i="14"/>
  <c r="Q1091" i="14" s="1"/>
  <c r="K1227" i="14"/>
  <c r="Q1227" i="14" s="1"/>
  <c r="K1011" i="14"/>
  <c r="K1192" i="14"/>
  <c r="Q1192" i="14" s="1"/>
  <c r="K1135" i="14"/>
  <c r="Q1135" i="14" s="1"/>
  <c r="K1213" i="14"/>
  <c r="Q1213" i="14" s="1"/>
  <c r="K998" i="14"/>
  <c r="Q998" i="14" s="1"/>
  <c r="K1116" i="14"/>
  <c r="Q1116" i="14" s="1"/>
  <c r="K1136" i="14"/>
  <c r="Q1136" i="14" s="1"/>
  <c r="K1127" i="14"/>
  <c r="Q1127" i="14" s="1"/>
  <c r="K1007" i="14"/>
  <c r="Q1007" i="14" s="1"/>
  <c r="K997" i="14"/>
  <c r="Q997" i="14" s="1"/>
  <c r="K1044" i="14"/>
  <c r="Q1044" i="14" s="1"/>
  <c r="K1016" i="14"/>
  <c r="Q1016" i="14" s="1"/>
  <c r="K1183" i="14"/>
  <c r="Q1183" i="14" s="1"/>
  <c r="K1160" i="14"/>
  <c r="Q1160" i="14" s="1"/>
  <c r="K1078" i="14"/>
  <c r="Q1078" i="14" s="1"/>
  <c r="K1089" i="14"/>
  <c r="Q1089" i="14" s="1"/>
  <c r="K1122" i="14"/>
  <c r="K1158" i="14"/>
  <c r="Q1158" i="14" s="1"/>
  <c r="K1197" i="14"/>
  <c r="Q1197" i="14" s="1"/>
  <c r="K1171" i="14"/>
  <c r="K1154" i="14"/>
  <c r="Q1154" i="14" s="1"/>
  <c r="K1238" i="14"/>
  <c r="Q1238" i="14" s="1"/>
  <c r="K1028" i="14"/>
  <c r="Q1028" i="14" s="1"/>
  <c r="K1018" i="14"/>
  <c r="K1222" i="14"/>
  <c r="Q1222" i="14" s="1"/>
  <c r="K1169" i="14"/>
  <c r="Q1169" i="14" s="1"/>
  <c r="K1031" i="14"/>
  <c r="Q1031" i="14" s="1"/>
  <c r="K1220" i="14"/>
  <c r="K1010" i="14"/>
  <c r="Q1010" i="14" s="1"/>
  <c r="K1107" i="14"/>
  <c r="Q1107" i="14" s="1"/>
  <c r="K1225" i="14"/>
  <c r="Q1225" i="14" s="1"/>
  <c r="K1200" i="14"/>
  <c r="K1006" i="14"/>
  <c r="Q1006" i="14" s="1"/>
  <c r="K1194" i="14"/>
  <c r="Q1194" i="14" s="1"/>
  <c r="K1131" i="14"/>
  <c r="Q1131" i="14" s="1"/>
  <c r="K1185" i="14"/>
  <c r="K1024" i="14"/>
  <c r="Q1024" i="14" s="1"/>
  <c r="K1188" i="14"/>
  <c r="Q1188" i="14" s="1"/>
  <c r="K1039" i="14"/>
  <c r="Q1039" i="14" s="1"/>
  <c r="K1148" i="14"/>
  <c r="K1067" i="14"/>
  <c r="Q1067" i="14" s="1"/>
  <c r="K1214" i="14"/>
  <c r="Q1214" i="14" s="1"/>
  <c r="K999" i="14"/>
  <c r="Q999" i="14" s="1"/>
  <c r="K1195" i="14"/>
  <c r="K1069" i="14"/>
  <c r="Q1069" i="14" s="1"/>
  <c r="K1071" i="14"/>
  <c r="Q1071" i="14" s="1"/>
  <c r="K1112" i="14"/>
  <c r="Q1112" i="14" s="1"/>
  <c r="K1005" i="14"/>
  <c r="K1052" i="14"/>
  <c r="Q1052" i="14" s="1"/>
  <c r="K1155" i="14"/>
  <c r="Q1155" i="14" s="1"/>
  <c r="K1234" i="14"/>
  <c r="Q1234" i="14" s="1"/>
  <c r="K1224" i="14"/>
  <c r="K1061" i="14"/>
  <c r="Q1061" i="14" s="1"/>
  <c r="K1108" i="14"/>
  <c r="Q1108" i="14" s="1"/>
  <c r="K1000" i="14"/>
  <c r="Q1000" i="14" s="1"/>
  <c r="K1119" i="14"/>
  <c r="K1149" i="14"/>
  <c r="Q1149" i="14" s="1"/>
  <c r="K1014" i="14"/>
  <c r="Q1014" i="14" s="1"/>
  <c r="K1068" i="14"/>
  <c r="Q1068" i="14" s="1"/>
  <c r="K1123" i="14"/>
  <c r="Q1123" i="14" s="1"/>
  <c r="K1159" i="14"/>
  <c r="Q1159" i="14" s="1"/>
  <c r="K1130" i="14"/>
  <c r="Q1130" i="14" s="1"/>
  <c r="K1166" i="14"/>
  <c r="Q1166" i="14" s="1"/>
  <c r="K1178" i="14"/>
  <c r="K1059" i="14"/>
  <c r="Q1059" i="14" s="1"/>
  <c r="K1139" i="14"/>
  <c r="Q1139" i="14" s="1"/>
  <c r="K1102" i="14"/>
  <c r="Q1102" i="14" s="1"/>
  <c r="K1226" i="14"/>
  <c r="Q1226" i="14" s="1"/>
  <c r="K1021" i="14"/>
  <c r="Q1021" i="14" s="1"/>
  <c r="K1070" i="14"/>
  <c r="Q1070" i="14" s="1"/>
  <c r="K1128" i="14"/>
  <c r="Q1128" i="14" s="1"/>
  <c r="K1008" i="14"/>
  <c r="Q1008" i="14" s="1"/>
  <c r="K1231" i="14"/>
  <c r="Q1231" i="14" s="1"/>
  <c r="K1094" i="14"/>
  <c r="Q1094" i="14" s="1"/>
  <c r="K1090" i="14"/>
  <c r="Q1090" i="14" s="1"/>
  <c r="K1133" i="14"/>
  <c r="K1150" i="14"/>
  <c r="Q1150" i="14" s="1"/>
  <c r="K1175" i="14"/>
  <c r="Q1175" i="14" s="1"/>
  <c r="K1066" i="14"/>
  <c r="Q1066" i="14" s="1"/>
  <c r="K1228" i="14"/>
  <c r="K1237" i="14"/>
  <c r="Q1237" i="14" s="1"/>
  <c r="K1232" i="14"/>
  <c r="Q1232" i="14" s="1"/>
  <c r="K1029" i="14"/>
  <c r="Q1029" i="14" s="1"/>
  <c r="K1198" i="14"/>
  <c r="K1209" i="14"/>
  <c r="Q1209" i="14" s="1"/>
  <c r="K1147" i="14"/>
  <c r="Q1147" i="14" s="1"/>
  <c r="K1189" i="14"/>
  <c r="Q1189" i="14" s="1"/>
  <c r="K1013" i="14"/>
  <c r="K1203" i="14"/>
  <c r="Q1203" i="14" s="1"/>
  <c r="K1051" i="14"/>
  <c r="Q1051" i="14" s="1"/>
  <c r="K1162" i="14"/>
  <c r="Q1162" i="14" s="1"/>
  <c r="K1032" i="14"/>
  <c r="Q1032" i="14" s="1"/>
  <c r="K1077" i="14"/>
  <c r="Q1077" i="14" s="1"/>
  <c r="K1076" i="14"/>
  <c r="Q1076" i="14" s="1"/>
  <c r="E1086" i="14"/>
  <c r="L214" i="10"/>
  <c r="U213" i="10"/>
  <c r="V212" i="10"/>
  <c r="M213" i="10"/>
  <c r="M1149" i="14"/>
  <c r="S1149" i="14" s="1"/>
  <c r="M1102" i="14"/>
  <c r="S1102" i="14" s="1"/>
  <c r="M1220" i="14"/>
  <c r="S1220" i="14" s="1"/>
  <c r="M1184" i="14"/>
  <c r="S1184" i="14" s="1"/>
  <c r="M1025" i="14"/>
  <c r="S1025" i="14" s="1"/>
  <c r="M1205" i="14"/>
  <c r="M1147" i="14"/>
  <c r="S1147" i="14" s="1"/>
  <c r="M1050" i="14"/>
  <c r="S1050" i="14" s="1"/>
  <c r="M1095" i="14"/>
  <c r="S1095" i="14" s="1"/>
  <c r="M1187" i="14"/>
  <c r="S1187" i="14" s="1"/>
  <c r="M1186" i="14"/>
  <c r="S1186" i="14" s="1"/>
  <c r="M1160" i="14"/>
  <c r="M1051" i="14"/>
  <c r="S1051" i="14" s="1"/>
  <c r="M1032" i="14"/>
  <c r="M1185" i="14"/>
  <c r="S1185" i="14" s="1"/>
  <c r="M1094" i="14"/>
  <c r="S1094" i="14" s="1"/>
  <c r="M1150" i="14"/>
  <c r="S1150" i="14" s="1"/>
  <c r="M1202" i="14"/>
  <c r="S1202" i="14" s="1"/>
  <c r="M1232" i="14"/>
  <c r="S1232" i="14" s="1"/>
  <c r="M1113" i="14"/>
  <c r="S1113" i="14" s="1"/>
  <c r="M1231" i="14"/>
  <c r="S1231" i="14" s="1"/>
  <c r="M1082" i="14"/>
  <c r="M1175" i="14"/>
  <c r="S1175" i="14" s="1"/>
  <c r="M1045" i="14"/>
  <c r="S1045" i="14" s="1"/>
  <c r="M1158" i="14"/>
  <c r="S1158" i="14" s="1"/>
  <c r="M1036" i="14"/>
  <c r="S1036" i="14" s="1"/>
  <c r="M1008" i="14"/>
  <c r="S1008" i="14" s="1"/>
  <c r="M1153" i="14"/>
  <c r="S1153" i="14" s="1"/>
  <c r="M1197" i="14"/>
  <c r="S1197" i="14" s="1"/>
  <c r="M1096" i="14"/>
  <c r="S1096" i="14" s="1"/>
  <c r="M1001" i="14"/>
  <c r="S1001" i="14" s="1"/>
  <c r="M1183" i="14"/>
  <c r="M1210" i="14"/>
  <c r="S1210" i="14" s="1"/>
  <c r="M1228" i="14"/>
  <c r="S1228" i="14" s="1"/>
  <c r="M1134" i="14"/>
  <c r="S1134" i="14" s="1"/>
  <c r="M1061" i="14"/>
  <c r="M1109" i="14"/>
  <c r="S1109" i="14" s="1"/>
  <c r="M1212" i="14"/>
  <c r="S1212" i="14" s="1"/>
  <c r="M1133" i="14"/>
  <c r="S1133" i="14" s="1"/>
  <c r="M1064" i="14"/>
  <c r="S1064" i="14" s="1"/>
  <c r="M1170" i="14"/>
  <c r="S1170" i="14" s="1"/>
  <c r="M1104" i="14"/>
  <c r="S1104" i="14" s="1"/>
  <c r="M1081" i="14"/>
  <c r="S1081" i="14" s="1"/>
  <c r="M1199" i="14"/>
  <c r="S1199" i="14" s="1"/>
  <c r="M1157" i="14"/>
  <c r="S1157" i="14" s="1"/>
  <c r="M1079" i="14"/>
  <c r="S1079" i="14" s="1"/>
  <c r="M1013" i="14"/>
  <c r="S1013" i="14" s="1"/>
  <c r="M1041" i="14"/>
  <c r="S1041" i="14" s="1"/>
  <c r="M1031" i="14"/>
  <c r="S1031" i="14" s="1"/>
  <c r="M1057" i="14"/>
  <c r="S1057" i="14" s="1"/>
  <c r="M1165" i="14"/>
  <c r="S1165" i="14" s="1"/>
  <c r="M1182" i="14"/>
  <c r="S1182" i="14" s="1"/>
  <c r="M1112" i="14"/>
  <c r="S1112" i="14" s="1"/>
  <c r="M1023" i="14"/>
  <c r="S1023" i="14" s="1"/>
  <c r="M1206" i="14"/>
  <c r="S1206" i="14" s="1"/>
  <c r="M1043" i="14"/>
  <c r="S1043" i="14" s="1"/>
  <c r="M1020" i="14"/>
  <c r="S1020" i="14" s="1"/>
  <c r="M1054" i="14"/>
  <c r="S1054" i="14" s="1"/>
  <c r="M1084" i="14"/>
  <c r="S1084" i="14" s="1"/>
  <c r="M1044" i="14"/>
  <c r="S1044" i="14" s="1"/>
  <c r="M1106" i="14"/>
  <c r="S1106" i="14" s="1"/>
  <c r="M1007" i="14"/>
  <c r="S1007" i="14" s="1"/>
  <c r="M1105" i="14"/>
  <c r="S1105" i="14" s="1"/>
  <c r="M1047" i="14"/>
  <c r="S1047" i="14" s="1"/>
  <c r="M1033" i="14"/>
  <c r="S1033" i="14" s="1"/>
  <c r="M1028" i="14"/>
  <c r="S1028" i="14" s="1"/>
  <c r="M1189" i="14"/>
  <c r="S1189" i="14" s="1"/>
  <c r="M1227" i="14"/>
  <c r="S1227" i="14" s="1"/>
  <c r="M1003" i="14"/>
  <c r="S1003" i="14" s="1"/>
  <c r="M1235" i="14"/>
  <c r="M1129" i="14"/>
  <c r="S1129" i="14" s="1"/>
  <c r="M1089" i="14"/>
  <c r="S1089" i="14" s="1"/>
  <c r="M1194" i="14"/>
  <c r="S1194" i="14" s="1"/>
  <c r="M1143" i="14"/>
  <c r="S1143" i="14" s="1"/>
  <c r="M1030" i="14"/>
  <c r="S1030" i="14" s="1"/>
  <c r="M1156" i="14"/>
  <c r="S1156" i="14" s="1"/>
  <c r="M1192" i="14"/>
  <c r="S1192" i="14" s="1"/>
  <c r="M1159" i="14"/>
  <c r="M1123" i="14"/>
  <c r="S1123" i="14" s="1"/>
  <c r="M1015" i="14"/>
  <c r="S1015" i="14" s="1"/>
  <c r="M1237" i="14"/>
  <c r="S1237" i="14" s="1"/>
  <c r="M1119" i="14"/>
  <c r="S1119" i="14" s="1"/>
  <c r="M1021" i="14"/>
  <c r="S1021" i="14" s="1"/>
  <c r="M1145" i="14"/>
  <c r="S1145" i="14" s="1"/>
  <c r="M1092" i="14"/>
  <c r="S1092" i="14" s="1"/>
  <c r="M1178" i="14"/>
  <c r="S1178" i="14" s="1"/>
  <c r="M1132" i="14"/>
  <c r="S1132" i="14" s="1"/>
  <c r="M1077" i="14"/>
  <c r="S1077" i="14" s="1"/>
  <c r="M1190" i="14"/>
  <c r="S1190" i="14" s="1"/>
  <c r="M1067" i="14"/>
  <c r="S1067" i="14" s="1"/>
  <c r="M1040" i="14"/>
  <c r="S1040" i="14" s="1"/>
  <c r="M1078" i="14"/>
  <c r="S1078" i="14" s="1"/>
  <c r="M1229" i="14"/>
  <c r="S1229" i="14" s="1"/>
  <c r="M1118" i="14"/>
  <c r="S1118" i="14" s="1"/>
  <c r="M1172" i="14"/>
  <c r="S1172" i="14" s="1"/>
  <c r="M1120" i="14"/>
  <c r="S1120" i="14" s="1"/>
  <c r="M1139" i="14"/>
  <c r="S1139" i="14" s="1"/>
  <c r="M1127" i="14"/>
  <c r="M1010" i="14"/>
  <c r="S1010" i="14" s="1"/>
  <c r="M1074" i="14"/>
  <c r="S1074" i="14" s="1"/>
  <c r="M1176" i="14"/>
  <c r="S1176" i="14" s="1"/>
  <c r="M1058" i="14"/>
  <c r="S1058" i="14" s="1"/>
  <c r="M1103" i="14"/>
  <c r="S1103" i="14" s="1"/>
  <c r="M1128" i="14"/>
  <c r="S1128" i="14" s="1"/>
  <c r="M1052" i="14"/>
  <c r="S1052" i="14" s="1"/>
  <c r="G1178" i="14"/>
  <c r="M1201" i="14"/>
  <c r="S1201" i="14" s="1"/>
  <c r="M1148" i="14"/>
  <c r="S1148" i="14" s="1"/>
  <c r="M1195" i="14"/>
  <c r="S1195" i="14" s="1"/>
  <c r="M1196" i="14"/>
  <c r="S1196" i="14" s="1"/>
  <c r="M1069" i="14"/>
  <c r="S1069" i="14" s="1"/>
  <c r="M1214" i="14"/>
  <c r="S1214" i="14" s="1"/>
  <c r="M1224" i="14"/>
  <c r="S1224" i="14" s="1"/>
  <c r="M1055" i="14"/>
  <c r="S1055" i="14" s="1"/>
  <c r="M1029" i="14"/>
  <c r="S1029" i="14" s="1"/>
  <c r="M1111" i="14"/>
  <c r="S1111" i="14" s="1"/>
  <c r="M1049" i="14"/>
  <c r="S1049" i="14" s="1"/>
  <c r="M1121" i="14"/>
  <c r="M1144" i="14"/>
  <c r="S1144" i="14" s="1"/>
  <c r="M999" i="14"/>
  <c r="S999" i="14" s="1"/>
  <c r="M1060" i="14"/>
  <c r="S1060" i="14" s="1"/>
  <c r="M1110" i="14"/>
  <c r="M1213" i="14"/>
  <c r="S1213" i="14" s="1"/>
  <c r="M1179" i="14"/>
  <c r="S1179" i="14" s="1"/>
  <c r="M1026" i="14"/>
  <c r="S1026" i="14" s="1"/>
  <c r="M1071" i="14"/>
  <c r="S1071" i="14" s="1"/>
  <c r="M1075" i="14"/>
  <c r="S1075" i="14" s="1"/>
  <c r="M1226" i="14"/>
  <c r="S1226" i="14" s="1"/>
  <c r="M1019" i="14"/>
  <c r="S1019" i="14" s="1"/>
  <c r="M1136" i="14"/>
  <c r="M1059" i="14"/>
  <c r="S1059" i="14" s="1"/>
  <c r="M1100" i="14"/>
  <c r="S1100" i="14" s="1"/>
  <c r="M1037" i="14"/>
  <c r="S1037" i="14" s="1"/>
  <c r="M1225" i="14"/>
  <c r="S1225" i="14" s="1"/>
  <c r="M1236" i="14"/>
  <c r="S1236" i="14" s="1"/>
  <c r="M1011" i="14"/>
  <c r="S1011" i="14" s="1"/>
  <c r="M1066" i="14"/>
  <c r="S1066" i="14" s="1"/>
  <c r="M1138" i="14"/>
  <c r="S1138" i="14" s="1"/>
  <c r="M1177" i="14"/>
  <c r="S1177" i="14" s="1"/>
  <c r="M1208" i="14"/>
  <c r="S1208" i="14" s="1"/>
  <c r="M1200" i="14"/>
  <c r="S1200" i="14" s="1"/>
  <c r="M1142" i="14"/>
  <c r="S1142" i="14" s="1"/>
  <c r="M1065" i="14"/>
  <c r="S1065" i="14" s="1"/>
  <c r="M1168" i="14"/>
  <c r="S1168" i="14" s="1"/>
  <c r="M1162" i="14"/>
  <c r="S1162" i="14" s="1"/>
  <c r="M1223" i="14"/>
  <c r="S1223" i="14" s="1"/>
  <c r="M1087" i="14"/>
  <c r="S1087" i="14" s="1"/>
  <c r="M1090" i="14"/>
  <c r="S1090" i="14" s="1"/>
  <c r="M1070" i="14"/>
  <c r="S1070" i="14" s="1"/>
  <c r="M1002" i="14"/>
  <c r="S1002" i="14" s="1"/>
  <c r="M1018" i="14"/>
  <c r="S1018" i="14" s="1"/>
  <c r="M1154" i="14"/>
  <c r="S1154" i="14" s="1"/>
  <c r="M1140" i="14"/>
  <c r="S1140" i="14" s="1"/>
  <c r="M998" i="14"/>
  <c r="S998" i="14" s="1"/>
  <c r="M1009" i="14"/>
  <c r="S1009" i="14" s="1"/>
  <c r="M1141" i="14"/>
  <c r="S1141" i="14" s="1"/>
  <c r="M1122" i="14"/>
  <c r="M1151" i="14"/>
  <c r="S1151" i="14" s="1"/>
  <c r="M1163" i="14"/>
  <c r="M1005" i="14"/>
  <c r="S1005" i="14" s="1"/>
  <c r="M1234" i="14"/>
  <c r="M1035" i="14"/>
  <c r="S1035" i="14" s="1"/>
  <c r="M1017" i="14"/>
  <c r="S1017" i="14" s="1"/>
  <c r="M1135" i="14"/>
  <c r="S1135" i="14" s="1"/>
  <c r="M1038" i="14"/>
  <c r="S1038" i="14" s="1"/>
  <c r="M1088" i="14"/>
  <c r="S1088" i="14" s="1"/>
  <c r="M1022" i="14"/>
  <c r="S1022" i="14" s="1"/>
  <c r="M1233" i="14"/>
  <c r="S1233" i="14" s="1"/>
  <c r="M1180" i="14"/>
  <c r="S1180" i="14" s="1"/>
  <c r="M1152" i="14"/>
  <c r="S1152" i="14" s="1"/>
  <c r="M1027" i="14"/>
  <c r="S1027" i="14" s="1"/>
  <c r="M1101" i="14"/>
  <c r="S1101" i="14" s="1"/>
  <c r="M1161" i="14"/>
  <c r="S1161" i="14" s="1"/>
  <c r="M1215" i="14"/>
  <c r="S1215" i="14" s="1"/>
  <c r="M1093" i="14"/>
  <c r="M1207" i="14"/>
  <c r="S1207" i="14" s="1"/>
  <c r="M1034" i="14"/>
  <c r="S1034" i="14" s="1"/>
  <c r="M1076" i="14"/>
  <c r="S1076" i="14" s="1"/>
  <c r="M1117" i="14"/>
  <c r="S1117" i="14" s="1"/>
  <c r="M1198" i="14"/>
  <c r="S1198" i="14" s="1"/>
  <c r="M1219" i="14"/>
  <c r="M1048" i="14"/>
  <c r="S1048" i="14" s="1"/>
  <c r="M1174" i="14"/>
  <c r="M1130" i="14"/>
  <c r="S1130" i="14" s="1"/>
  <c r="M1131" i="14"/>
  <c r="M1073" i="14"/>
  <c r="S1073" i="14" s="1"/>
  <c r="M1191" i="14"/>
  <c r="S1191" i="14" s="1"/>
  <c r="M1221" i="14"/>
  <c r="S1221" i="14" s="1"/>
  <c r="M1024" i="14"/>
  <c r="M1014" i="14"/>
  <c r="S1014" i="14" s="1"/>
  <c r="M1086" i="14"/>
  <c r="S1086" i="14" s="1"/>
  <c r="M1004" i="14"/>
  <c r="S1004" i="14" s="1"/>
  <c r="M1000" i="14"/>
  <c r="M1083" i="14"/>
  <c r="S1083" i="14" s="1"/>
  <c r="M1216" i="14"/>
  <c r="M1068" i="14"/>
  <c r="S1068" i="14" s="1"/>
  <c r="M1056" i="14"/>
  <c r="M1137" i="14"/>
  <c r="S1137" i="14" s="1"/>
  <c r="M997" i="14"/>
  <c r="M1193" i="14"/>
  <c r="S1193" i="14" s="1"/>
  <c r="M1239" i="14"/>
  <c r="M1085" i="14"/>
  <c r="S1085" i="14" s="1"/>
  <c r="M1166" i="14"/>
  <c r="M1107" i="14"/>
  <c r="S1107" i="14" s="1"/>
  <c r="M1016" i="14"/>
  <c r="S1016" i="14" s="1"/>
  <c r="M1217" i="14"/>
  <c r="S1217" i="14" s="1"/>
  <c r="M1098" i="14"/>
  <c r="S1098" i="14" s="1"/>
  <c r="M1126" i="14"/>
  <c r="S1126" i="14" s="1"/>
  <c r="M1116" i="14"/>
  <c r="S1116" i="14" s="1"/>
  <c r="M1125" i="14"/>
  <c r="S1125" i="14" s="1"/>
  <c r="M1115" i="14"/>
  <c r="S1115" i="14" s="1"/>
  <c r="M1099" i="14"/>
  <c r="S1099" i="14" s="1"/>
  <c r="M1097" i="14"/>
  <c r="S1097" i="14" s="1"/>
  <c r="M1108" i="14"/>
  <c r="S1108" i="14" s="1"/>
  <c r="M1114" i="14"/>
  <c r="M1164" i="14"/>
  <c r="S1164" i="14" s="1"/>
  <c r="M1053" i="14"/>
  <c r="M1124" i="14"/>
  <c r="S1124" i="14" s="1"/>
  <c r="M1080" i="14"/>
  <c r="S1080" i="14" s="1"/>
  <c r="M1222" i="14"/>
  <c r="S1222" i="14" s="1"/>
  <c r="M1218" i="14"/>
  <c r="S1218" i="14" s="1"/>
  <c r="M1204" i="14"/>
  <c r="S1204" i="14" s="1"/>
  <c r="M1230" i="14"/>
  <c r="S1230" i="14" s="1"/>
  <c r="M1012" i="14"/>
  <c r="S1012" i="14" s="1"/>
  <c r="M1072" i="14"/>
  <c r="S1072" i="14" s="1"/>
  <c r="M1146" i="14"/>
  <c r="S1146" i="14" s="1"/>
  <c r="M1046" i="14"/>
  <c r="S1046" i="14" s="1"/>
  <c r="M1181" i="14"/>
  <c r="S1181" i="14" s="1"/>
  <c r="M1062" i="14"/>
  <c r="S1062" i="14" s="1"/>
  <c r="M1188" i="14"/>
  <c r="S1188" i="14" s="1"/>
  <c r="M1173" i="14"/>
  <c r="M1063" i="14"/>
  <c r="S1063" i="14" s="1"/>
  <c r="M1211" i="14"/>
  <c r="S1211" i="14" s="1"/>
  <c r="M1155" i="14"/>
  <c r="S1155" i="14" s="1"/>
  <c r="M1167" i="14"/>
  <c r="S1167" i="14" s="1"/>
  <c r="M1171" i="14"/>
  <c r="S1171" i="14" s="1"/>
  <c r="M1209" i="14"/>
  <c r="S1209" i="14" s="1"/>
  <c r="M1091" i="14"/>
  <c r="S1091" i="14" s="1"/>
  <c r="M1169" i="14"/>
  <c r="S1169" i="14" s="1"/>
  <c r="M1238" i="14"/>
  <c r="S1238" i="14" s="1"/>
  <c r="M1042" i="14"/>
  <c r="S1042" i="14" s="1"/>
  <c r="M1006" i="14"/>
  <c r="S1006" i="14" s="1"/>
  <c r="M1039" i="14"/>
  <c r="M1203" i="14"/>
  <c r="S1203" i="14" s="1"/>
  <c r="G1025" i="14"/>
  <c r="N1232" i="14"/>
  <c r="T1232" i="14" s="1"/>
  <c r="N1032" i="14"/>
  <c r="T1032" i="14" s="1"/>
  <c r="N1108" i="14"/>
  <c r="T1108" i="14" s="1"/>
  <c r="N1202" i="14"/>
  <c r="T1202" i="14" s="1"/>
  <c r="N1176" i="14"/>
  <c r="T1176" i="14" s="1"/>
  <c r="N1210" i="14"/>
  <c r="T1210" i="14" s="1"/>
  <c r="N1107" i="14"/>
  <c r="T1107" i="14" s="1"/>
  <c r="N1161" i="14"/>
  <c r="T1161" i="14" s="1"/>
  <c r="N1055" i="14"/>
  <c r="T1055" i="14" s="1"/>
  <c r="N1077" i="14"/>
  <c r="T1077" i="14" s="1"/>
  <c r="N1223" i="14"/>
  <c r="T1223" i="14" s="1"/>
  <c r="N1066" i="14"/>
  <c r="T1066" i="14" s="1"/>
  <c r="N1185" i="14"/>
  <c r="T1185" i="14" s="1"/>
  <c r="N1006" i="14"/>
  <c r="T1006" i="14" s="1"/>
  <c r="N1036" i="14"/>
  <c r="T1036" i="14" s="1"/>
  <c r="N1116" i="14"/>
  <c r="T1116" i="14" s="1"/>
  <c r="N1149" i="14"/>
  <c r="T1149" i="14" s="1"/>
  <c r="N1025" i="14"/>
  <c r="T1025" i="14" s="1"/>
  <c r="N1146" i="14"/>
  <c r="T1146" i="14" s="1"/>
  <c r="N1038" i="14"/>
  <c r="T1038" i="14" s="1"/>
  <c r="N1200" i="14"/>
  <c r="T1200" i="14" s="1"/>
  <c r="N1041" i="14"/>
  <c r="T1041" i="14" s="1"/>
  <c r="N1076" i="14"/>
  <c r="T1076" i="14" s="1"/>
  <c r="N1170" i="14"/>
  <c r="T1170" i="14" s="1"/>
  <c r="N1144" i="14"/>
  <c r="T1144" i="14" s="1"/>
  <c r="N1114" i="14"/>
  <c r="T1114" i="14" s="1"/>
  <c r="N1075" i="14"/>
  <c r="T1075" i="14" s="1"/>
  <c r="N1129" i="14"/>
  <c r="T1129" i="14" s="1"/>
  <c r="N1023" i="14"/>
  <c r="T1023" i="14" s="1"/>
  <c r="N1044" i="14"/>
  <c r="T1044" i="14" s="1"/>
  <c r="N1064" i="14"/>
  <c r="T1064" i="14" s="1"/>
  <c r="N1034" i="14"/>
  <c r="T1034" i="14" s="1"/>
  <c r="N1153" i="14"/>
  <c r="T1153" i="14" s="1"/>
  <c r="N1047" i="14"/>
  <c r="T1047" i="14" s="1"/>
  <c r="N1004" i="14"/>
  <c r="T1004" i="14" s="1"/>
  <c r="N1191" i="14"/>
  <c r="T1191" i="14" s="1"/>
  <c r="H1185" i="14"/>
  <c r="N1105" i="14"/>
  <c r="T1105" i="14" s="1"/>
  <c r="N1100" i="14"/>
  <c r="T1100" i="14" s="1"/>
  <c r="N1184" i="14"/>
  <c r="T1184" i="14" s="1"/>
  <c r="N1068" i="14"/>
  <c r="T1068" i="14" s="1"/>
  <c r="N1211" i="14"/>
  <c r="T1211" i="14" s="1"/>
  <c r="N1094" i="14"/>
  <c r="T1094" i="14" s="1"/>
  <c r="N1087" i="14"/>
  <c r="T1087" i="14" s="1"/>
  <c r="N1052" i="14"/>
  <c r="T1052" i="14" s="1"/>
  <c r="N1070" i="14"/>
  <c r="T1070" i="14" s="1"/>
  <c r="N1171" i="14"/>
  <c r="T1171" i="14" s="1"/>
  <c r="N1225" i="14"/>
  <c r="T1225" i="14" s="1"/>
  <c r="N1046" i="14"/>
  <c r="T1046" i="14" s="1"/>
  <c r="N1141" i="14"/>
  <c r="T1141" i="14" s="1"/>
  <c r="N998" i="14"/>
  <c r="T998" i="14" s="1"/>
  <c r="N1088" i="14"/>
  <c r="T1088" i="14" s="1"/>
  <c r="N1206" i="14"/>
  <c r="T1206" i="14" s="1"/>
  <c r="N1199" i="14"/>
  <c r="T1199" i="14" s="1"/>
  <c r="N1229" i="14"/>
  <c r="T1229" i="14" s="1"/>
  <c r="N1003" i="14"/>
  <c r="T1003" i="14" s="1"/>
  <c r="N1157" i="14"/>
  <c r="T1157" i="14" s="1"/>
  <c r="N1054" i="14"/>
  <c r="T1054" i="14" s="1"/>
  <c r="N1010" i="14"/>
  <c r="T1010" i="14" s="1"/>
  <c r="N1053" i="14"/>
  <c r="T1053" i="14" s="1"/>
  <c r="N1167" i="14"/>
  <c r="T1167" i="14" s="1"/>
  <c r="N1062" i="14"/>
  <c r="T1062" i="14" s="1"/>
  <c r="N1061" i="14"/>
  <c r="T1061" i="14" s="1"/>
  <c r="N1235" i="14"/>
  <c r="T1235" i="14" s="1"/>
  <c r="N1118" i="14"/>
  <c r="T1118" i="14" s="1"/>
  <c r="N1205" i="14"/>
  <c r="T1205" i="14" s="1"/>
  <c r="N1195" i="14"/>
  <c r="T1195" i="14" s="1"/>
  <c r="N1135" i="14"/>
  <c r="T1135" i="14" s="1"/>
  <c r="N1102" i="14"/>
  <c r="T1102" i="14" s="1"/>
  <c r="N999" i="14"/>
  <c r="T999" i="14" s="1"/>
  <c r="N1237" i="14"/>
  <c r="T1237" i="14" s="1"/>
  <c r="N1040" i="14"/>
  <c r="T1040" i="14" s="1"/>
  <c r="N1204" i="14"/>
  <c r="T1204" i="14" s="1"/>
  <c r="N1029" i="14"/>
  <c r="T1029" i="14" s="1"/>
  <c r="N1203" i="14"/>
  <c r="T1203" i="14" s="1"/>
  <c r="N1079" i="14"/>
  <c r="T1079" i="14" s="1"/>
  <c r="N1127" i="14"/>
  <c r="T1127" i="14" s="1"/>
  <c r="N1110" i="14"/>
  <c r="T1110" i="14" s="1"/>
  <c r="N1133" i="14"/>
  <c r="T1133" i="14" s="1"/>
  <c r="N1007" i="14"/>
  <c r="T1007" i="14" s="1"/>
  <c r="N1222" i="14"/>
  <c r="T1222" i="14" s="1"/>
  <c r="N1035" i="14"/>
  <c r="T1035" i="14" s="1"/>
  <c r="N1175" i="14"/>
  <c r="T1175" i="14" s="1"/>
  <c r="N1073" i="14"/>
  <c r="T1073" i="14" s="1"/>
  <c r="N1219" i="14"/>
  <c r="T1219" i="14" s="1"/>
  <c r="N1224" i="14"/>
  <c r="T1224" i="14" s="1"/>
  <c r="N1155" i="14"/>
  <c r="T1155" i="14" s="1"/>
  <c r="N1104" i="14"/>
  <c r="T1104" i="14" s="1"/>
  <c r="N1158" i="14"/>
  <c r="T1158" i="14" s="1"/>
  <c r="N1151" i="14"/>
  <c r="T1151" i="14" s="1"/>
  <c r="N1074" i="14"/>
  <c r="T1074" i="14" s="1"/>
  <c r="N1123" i="14"/>
  <c r="T1123" i="14" s="1"/>
  <c r="N1028" i="14"/>
  <c r="T1028" i="14" s="1"/>
  <c r="N1051" i="14"/>
  <c r="T1051" i="14" s="1"/>
  <c r="N1196" i="14"/>
  <c r="T1196" i="14" s="1"/>
  <c r="N1024" i="14"/>
  <c r="T1024" i="14" s="1"/>
  <c r="N1021" i="14"/>
  <c r="T1021" i="14" s="1"/>
  <c r="N1189" i="14"/>
  <c r="T1189" i="14" s="1"/>
  <c r="N1011" i="14"/>
  <c r="T1011" i="14" s="1"/>
  <c r="N1220" i="14"/>
  <c r="T1220" i="14" s="1"/>
  <c r="N1017" i="14"/>
  <c r="T1017" i="14" s="1"/>
  <c r="N1208" i="14"/>
  <c r="T1208" i="14" s="1"/>
  <c r="N1039" i="14"/>
  <c r="T1039" i="14" s="1"/>
  <c r="N1190" i="14"/>
  <c r="T1190" i="14" s="1"/>
  <c r="N1187" i="14"/>
  <c r="T1187" i="14" s="1"/>
  <c r="N1228" i="14"/>
  <c r="T1228" i="14" s="1"/>
  <c r="N1227" i="14"/>
  <c r="T1227" i="14" s="1"/>
  <c r="N1154" i="14"/>
  <c r="T1154" i="14" s="1"/>
  <c r="N1072" i="14"/>
  <c r="T1072" i="14" s="1"/>
  <c r="N1126" i="14"/>
  <c r="T1126" i="14" s="1"/>
  <c r="N1119" i="14"/>
  <c r="T1119" i="14" s="1"/>
  <c r="N1213" i="14"/>
  <c r="T1213" i="14" s="1"/>
  <c r="N1058" i="14"/>
  <c r="T1058" i="14" s="1"/>
  <c r="N1037" i="14"/>
  <c r="T1037" i="14" s="1"/>
  <c r="N1019" i="14"/>
  <c r="T1019" i="14" s="1"/>
  <c r="N1164" i="14"/>
  <c r="T1164" i="14" s="1"/>
  <c r="N1033" i="14"/>
  <c r="T1033" i="14" s="1"/>
  <c r="N1067" i="14"/>
  <c r="T1067" i="14" s="1"/>
  <c r="N1060" i="14"/>
  <c r="T1060" i="14" s="1"/>
  <c r="H1104" i="14"/>
  <c r="N1188" i="14"/>
  <c r="T1188" i="14" s="1"/>
  <c r="N1218" i="14"/>
  <c r="T1218" i="14" s="1"/>
  <c r="N1112" i="14"/>
  <c r="T1112" i="14" s="1"/>
  <c r="N1082" i="14"/>
  <c r="T1082" i="14" s="1"/>
  <c r="N1183" i="14"/>
  <c r="T1183" i="14" s="1"/>
  <c r="N1125" i="14"/>
  <c r="T1125" i="14" s="1"/>
  <c r="N1109" i="14"/>
  <c r="T1109" i="14" s="1"/>
  <c r="N1043" i="14"/>
  <c r="T1043" i="14" s="1"/>
  <c r="N1212" i="14"/>
  <c r="T1212" i="14" s="1"/>
  <c r="N1083" i="14"/>
  <c r="T1083" i="14" s="1"/>
  <c r="N1137" i="14"/>
  <c r="T1137" i="14" s="1"/>
  <c r="N1031" i="14"/>
  <c r="T1031" i="14" s="1"/>
  <c r="N997" i="14"/>
  <c r="T997" i="14" s="1"/>
  <c r="N1159" i="14"/>
  <c r="T1159" i="14" s="1"/>
  <c r="N1042" i="14"/>
  <c r="T1042" i="14" s="1"/>
  <c r="N1097" i="14"/>
  <c r="T1097" i="14" s="1"/>
  <c r="N1012" i="14"/>
  <c r="T1012" i="14" s="1"/>
  <c r="N1001" i="14"/>
  <c r="T1001" i="14" s="1"/>
  <c r="N1131" i="14"/>
  <c r="T1131" i="14" s="1"/>
  <c r="N1078" i="14"/>
  <c r="T1078" i="14" s="1"/>
  <c r="N1071" i="14"/>
  <c r="T1071" i="14" s="1"/>
  <c r="N1101" i="14"/>
  <c r="T1101" i="14" s="1"/>
  <c r="N1113" i="14"/>
  <c r="T1113" i="14" s="1"/>
  <c r="N1234" i="14"/>
  <c r="T1234" i="14" s="1"/>
  <c r="N1193" i="14"/>
  <c r="T1193" i="14" s="1"/>
  <c r="N1148" i="14"/>
  <c r="T1148" i="14" s="1"/>
  <c r="N1008" i="14"/>
  <c r="T1008" i="14" s="1"/>
  <c r="N1236" i="14"/>
  <c r="T1236" i="14" s="1"/>
  <c r="N1163" i="14"/>
  <c r="T1163" i="14" s="1"/>
  <c r="N1020" i="14"/>
  <c r="T1020" i="14" s="1"/>
  <c r="N1168" i="14"/>
  <c r="T1168" i="14" s="1"/>
  <c r="N1181" i="14"/>
  <c r="T1181" i="14" s="1"/>
  <c r="N1182" i="14"/>
  <c r="T1182" i="14" s="1"/>
  <c r="N1081" i="14"/>
  <c r="T1081" i="14" s="1"/>
  <c r="N1156" i="14"/>
  <c r="T1156" i="14" s="1"/>
  <c r="N1065" i="14"/>
  <c r="T1065" i="14" s="1"/>
  <c r="N1194" i="14"/>
  <c r="T1194" i="14" s="1"/>
  <c r="N1147" i="14"/>
  <c r="T1147" i="14" s="1"/>
  <c r="N1201" i="14"/>
  <c r="T1201" i="14" s="1"/>
  <c r="N1022" i="14"/>
  <c r="T1022" i="14" s="1"/>
  <c r="N1117" i="14"/>
  <c r="T1117" i="14" s="1"/>
  <c r="N1230" i="14"/>
  <c r="T1230" i="14" s="1"/>
  <c r="N1192" i="14"/>
  <c r="T1192" i="14" s="1"/>
  <c r="N1239" i="14"/>
  <c r="T1239" i="14" s="1"/>
  <c r="N1162" i="14"/>
  <c r="T1162" i="14" s="1"/>
  <c r="N1056" i="14"/>
  <c r="T1056" i="14" s="1"/>
  <c r="N1152" i="14"/>
  <c r="T1152" i="14" s="1"/>
  <c r="N1009" i="14"/>
  <c r="T1009" i="14" s="1"/>
  <c r="N1092" i="14"/>
  <c r="T1092" i="14" s="1"/>
  <c r="N1122" i="14"/>
  <c r="T1122" i="14" s="1"/>
  <c r="N1091" i="14"/>
  <c r="T1091" i="14" s="1"/>
  <c r="N1178" i="14"/>
  <c r="T1178" i="14" s="1"/>
  <c r="N1140" i="14"/>
  <c r="T1140" i="14" s="1"/>
  <c r="N1030" i="14"/>
  <c r="T1030" i="14" s="1"/>
  <c r="N1014" i="14"/>
  <c r="T1014" i="14" s="1"/>
  <c r="N1000" i="14"/>
  <c r="T1000" i="14" s="1"/>
  <c r="N1013" i="14"/>
  <c r="T1013" i="14" s="1"/>
  <c r="N1115" i="14"/>
  <c r="T1115" i="14" s="1"/>
  <c r="N1169" i="14"/>
  <c r="T1169" i="14" s="1"/>
  <c r="N1063" i="14"/>
  <c r="T1063" i="14" s="1"/>
  <c r="N1085" i="14"/>
  <c r="T1085" i="14" s="1"/>
  <c r="N1166" i="14"/>
  <c r="T1166" i="14" s="1"/>
  <c r="N1160" i="14"/>
  <c r="T1160" i="14" s="1"/>
  <c r="N1214" i="14"/>
  <c r="T1214" i="14" s="1"/>
  <c r="N1207" i="14"/>
  <c r="T1207" i="14" s="1"/>
  <c r="N1130" i="14"/>
  <c r="T1130" i="14" s="1"/>
  <c r="N1177" i="14"/>
  <c r="T1177" i="14" s="1"/>
  <c r="N1120" i="14"/>
  <c r="T1120" i="14" s="1"/>
  <c r="N1238" i="14"/>
  <c r="T1238" i="14" s="1"/>
  <c r="N1231" i="14"/>
  <c r="T1231" i="14" s="1"/>
  <c r="N1090" i="14"/>
  <c r="T1090" i="14" s="1"/>
  <c r="N1026" i="14"/>
  <c r="T1026" i="14" s="1"/>
  <c r="N1136" i="14"/>
  <c r="T1136" i="14" s="1"/>
  <c r="N1106" i="14"/>
  <c r="T1106" i="14" s="1"/>
  <c r="N1139" i="14"/>
  <c r="T1139" i="14" s="1"/>
  <c r="N1198" i="14"/>
  <c r="T1198" i="14" s="1"/>
  <c r="N1174" i="14"/>
  <c r="T1174" i="14" s="1"/>
  <c r="N1093" i="14"/>
  <c r="T1093" i="14" s="1"/>
  <c r="N1027" i="14"/>
  <c r="T1027" i="14" s="1"/>
  <c r="N1172" i="14"/>
  <c r="T1172" i="14" s="1"/>
  <c r="N1138" i="14"/>
  <c r="T1138" i="14" s="1"/>
  <c r="N1080" i="14"/>
  <c r="T1080" i="14" s="1"/>
  <c r="N1221" i="14"/>
  <c r="T1221" i="14" s="1"/>
  <c r="N1016" i="14"/>
  <c r="T1016" i="14" s="1"/>
  <c r="N1132" i="14"/>
  <c r="T1132" i="14" s="1"/>
  <c r="N1226" i="14"/>
  <c r="T1226" i="14" s="1"/>
  <c r="N1057" i="14"/>
  <c r="T1057" i="14" s="1"/>
  <c r="N1005" i="14"/>
  <c r="T1005" i="14" s="1"/>
  <c r="N1002" i="14"/>
  <c r="T1002" i="14" s="1"/>
  <c r="N1121" i="14"/>
  <c r="T1121" i="14" s="1"/>
  <c r="N1015" i="14"/>
  <c r="T1015" i="14" s="1"/>
  <c r="N1045" i="14"/>
  <c r="T1045" i="14" s="1"/>
  <c r="N1095" i="14"/>
  <c r="T1095" i="14" s="1"/>
  <c r="N1179" i="14"/>
  <c r="T1179" i="14" s="1"/>
  <c r="N1145" i="14"/>
  <c r="T1145" i="14" s="1"/>
  <c r="N1143" i="14"/>
  <c r="T1143" i="14" s="1"/>
  <c r="N1099" i="14"/>
  <c r="T1099" i="14" s="1"/>
  <c r="N1197" i="14"/>
  <c r="T1197" i="14" s="1"/>
  <c r="N1018" i="14"/>
  <c r="T1018" i="14" s="1"/>
  <c r="N1048" i="14"/>
  <c r="T1048" i="14" s="1"/>
  <c r="N1180" i="14"/>
  <c r="T1180" i="14" s="1"/>
  <c r="N1111" i="14"/>
  <c r="T1111" i="14" s="1"/>
  <c r="N1134" i="14"/>
  <c r="T1134" i="14" s="1"/>
  <c r="N1142" i="14"/>
  <c r="T1142" i="14" s="1"/>
  <c r="N1165" i="14"/>
  <c r="T1165" i="14" s="1"/>
  <c r="N1069" i="14"/>
  <c r="T1069" i="14" s="1"/>
  <c r="N1096" i="14"/>
  <c r="T1096" i="14" s="1"/>
  <c r="N1089" i="14"/>
  <c r="T1089" i="14" s="1"/>
  <c r="N1059" i="14"/>
  <c r="T1059" i="14" s="1"/>
  <c r="N1049" i="14"/>
  <c r="T1049" i="14" s="1"/>
  <c r="N1084" i="14"/>
  <c r="T1084" i="14" s="1"/>
  <c r="N1086" i="14"/>
  <c r="T1086" i="14" s="1"/>
  <c r="N1173" i="14"/>
  <c r="T1173" i="14" s="1"/>
  <c r="N1103" i="14"/>
  <c r="T1103" i="14" s="1"/>
  <c r="N1209" i="14"/>
  <c r="T1209" i="14" s="1"/>
  <c r="N1050" i="14"/>
  <c r="T1050" i="14" s="1"/>
  <c r="N1150" i="14"/>
  <c r="T1150" i="14" s="1"/>
  <c r="N1124" i="14"/>
  <c r="T1124" i="14" s="1"/>
  <c r="N1215" i="14"/>
  <c r="T1215" i="14" s="1"/>
  <c r="N1128" i="14"/>
  <c r="T1128" i="14" s="1"/>
  <c r="N1098" i="14"/>
  <c r="T1098" i="14" s="1"/>
  <c r="N1216" i="14"/>
  <c r="T1216" i="14" s="1"/>
  <c r="N1186" i="14"/>
  <c r="T1186" i="14" s="1"/>
  <c r="N1233" i="14"/>
  <c r="T1233" i="14" s="1"/>
  <c r="N1217" i="14"/>
  <c r="T1217" i="14" s="1"/>
  <c r="H1157" i="14"/>
  <c r="F1057" i="14" l="1"/>
  <c r="F1019" i="14"/>
  <c r="F1225" i="14"/>
  <c r="F1164" i="14"/>
  <c r="F1229" i="14"/>
  <c r="F1079" i="14"/>
  <c r="F1205" i="14"/>
  <c r="F1202" i="14"/>
  <c r="F1222" i="14"/>
  <c r="F1021" i="14"/>
  <c r="F1190" i="14"/>
  <c r="H1012" i="14"/>
  <c r="H1167" i="14"/>
  <c r="H1200" i="14"/>
  <c r="H1052" i="14"/>
  <c r="G1030" i="14"/>
  <c r="H1044" i="14"/>
  <c r="I1042" i="14"/>
  <c r="F1065" i="14"/>
  <c r="F1147" i="14"/>
  <c r="H1105" i="14"/>
  <c r="H1032" i="14"/>
  <c r="H1018" i="14"/>
  <c r="H1206" i="14"/>
  <c r="H1153" i="14"/>
  <c r="H997" i="14"/>
  <c r="H1212" i="14"/>
  <c r="H1176" i="14"/>
  <c r="G1157" i="14"/>
  <c r="E1019" i="14"/>
  <c r="H1193" i="14"/>
  <c r="H1046" i="14"/>
  <c r="H1183" i="14"/>
  <c r="H1139" i="14"/>
  <c r="H1023" i="14"/>
  <c r="H1102" i="14"/>
  <c r="H1068" i="14"/>
  <c r="G1049" i="14"/>
  <c r="F1206" i="14"/>
  <c r="F1162" i="14"/>
  <c r="I1069" i="14"/>
  <c r="I1126" i="14"/>
  <c r="I1074" i="14"/>
  <c r="F1159" i="14"/>
  <c r="F1076" i="14"/>
  <c r="F1047" i="14"/>
  <c r="F1036" i="14"/>
  <c r="F1062" i="14"/>
  <c r="F1199" i="14"/>
  <c r="F1087" i="14"/>
  <c r="F1226" i="14"/>
  <c r="F1209" i="14"/>
  <c r="F1141" i="14"/>
  <c r="F1090" i="14"/>
  <c r="F1013" i="14"/>
  <c r="F1073" i="14"/>
  <c r="F1186" i="14"/>
  <c r="I1133" i="14"/>
  <c r="I1109" i="14"/>
  <c r="I1131" i="14"/>
  <c r="I1227" i="14"/>
  <c r="I1091" i="14"/>
  <c r="I1103" i="14"/>
  <c r="I1219" i="14"/>
  <c r="F1089" i="14"/>
  <c r="F1131" i="14"/>
  <c r="F1103" i="14"/>
  <c r="F1043" i="14"/>
  <c r="F1098" i="14"/>
  <c r="F1171" i="14"/>
  <c r="F1064" i="14"/>
  <c r="F1038" i="14"/>
  <c r="F1058" i="14"/>
  <c r="F1106" i="14"/>
  <c r="F1024" i="14"/>
  <c r="F1233" i="14"/>
  <c r="F1005" i="14"/>
  <c r="G1059" i="14"/>
  <c r="I1036" i="14"/>
  <c r="I1130" i="14"/>
  <c r="I1115" i="14"/>
  <c r="I1051" i="14"/>
  <c r="I1061" i="14"/>
  <c r="I1114" i="14"/>
  <c r="F1119" i="14"/>
  <c r="F1111" i="14"/>
  <c r="F1081" i="14"/>
  <c r="F1220" i="14"/>
  <c r="F1139" i="14"/>
  <c r="F1092" i="14"/>
  <c r="F1145" i="14"/>
  <c r="F1042" i="14"/>
  <c r="F997" i="14"/>
  <c r="F1016" i="14"/>
  <c r="F1144" i="14"/>
  <c r="F1113" i="14"/>
  <c r="F1075" i="14"/>
  <c r="I1160" i="14"/>
  <c r="I1007" i="14"/>
  <c r="I1008" i="14"/>
  <c r="I1011" i="14"/>
  <c r="I1044" i="14"/>
  <c r="F1094" i="14"/>
  <c r="F1216" i="14"/>
  <c r="F1157" i="14"/>
  <c r="F1125" i="14"/>
  <c r="F1152" i="14"/>
  <c r="F1035" i="14"/>
  <c r="F1192" i="14"/>
  <c r="F1182" i="14"/>
  <c r="F1008" i="14"/>
  <c r="F1122" i="14"/>
  <c r="F1173" i="14"/>
  <c r="F1194" i="14"/>
  <c r="F1188" i="14"/>
  <c r="F1198" i="14"/>
  <c r="F1101" i="14"/>
  <c r="E1026" i="14"/>
  <c r="H999" i="14"/>
  <c r="H1114" i="14"/>
  <c r="G1197" i="14"/>
  <c r="G1192" i="14"/>
  <c r="E1107" i="14"/>
  <c r="I1107" i="14"/>
  <c r="I1196" i="14"/>
  <c r="I1079" i="14"/>
  <c r="I1070" i="14"/>
  <c r="I1141" i="14"/>
  <c r="I1088" i="14"/>
  <c r="I1100" i="14"/>
  <c r="I1179" i="14"/>
  <c r="I1068" i="14"/>
  <c r="I1094" i="14"/>
  <c r="I1189" i="14"/>
  <c r="I1097" i="14"/>
  <c r="F1009" i="14"/>
  <c r="F1109" i="14"/>
  <c r="F1080" i="14"/>
  <c r="F1055" i="14"/>
  <c r="F1105" i="14"/>
  <c r="G1139" i="14"/>
  <c r="G1106" i="14"/>
  <c r="H1047" i="14"/>
  <c r="G1176" i="14"/>
  <c r="I1212" i="14"/>
  <c r="I1058" i="14"/>
  <c r="I1187" i="14"/>
  <c r="I1164" i="14"/>
  <c r="I1233" i="14"/>
  <c r="I1175" i="14"/>
  <c r="I1005" i="14"/>
  <c r="I1205" i="14"/>
  <c r="I1078" i="14"/>
  <c r="I1037" i="14"/>
  <c r="I1165" i="14"/>
  <c r="I1116" i="14"/>
  <c r="I1204" i="14"/>
  <c r="F1189" i="14"/>
  <c r="F1135" i="14"/>
  <c r="E1056" i="14"/>
  <c r="E1022" i="14"/>
  <c r="E1136" i="14"/>
  <c r="E1141" i="14"/>
  <c r="E1000" i="14"/>
  <c r="E1039" i="14"/>
  <c r="G1168" i="14"/>
  <c r="E1120" i="14"/>
  <c r="E1110" i="14"/>
  <c r="E1239" i="14"/>
  <c r="H1020" i="14"/>
  <c r="H1174" i="14"/>
  <c r="H1036" i="14"/>
  <c r="G1182" i="14"/>
  <c r="G1045" i="14"/>
  <c r="E1057" i="14"/>
  <c r="E1204" i="14"/>
  <c r="E1218" i="14"/>
  <c r="E1197" i="14"/>
  <c r="H1078" i="14"/>
  <c r="E1096" i="14"/>
  <c r="G1002" i="14"/>
  <c r="I1057" i="14"/>
  <c r="H1210" i="14"/>
  <c r="G1115" i="14"/>
  <c r="G1201" i="14"/>
  <c r="G1029" i="14"/>
  <c r="E1124" i="14"/>
  <c r="E1040" i="14"/>
  <c r="E999" i="14"/>
  <c r="E1135" i="14"/>
  <c r="E1058" i="14"/>
  <c r="E1145" i="14"/>
  <c r="E1165" i="14"/>
  <c r="E1104" i="14"/>
  <c r="E1028" i="14"/>
  <c r="E1031" i="14"/>
  <c r="E1191" i="14"/>
  <c r="E1048" i="14"/>
  <c r="I1052" i="14"/>
  <c r="H1035" i="14"/>
  <c r="H1025" i="14"/>
  <c r="H1006" i="14"/>
  <c r="H1029" i="14"/>
  <c r="H1027" i="14"/>
  <c r="H1077" i="14"/>
  <c r="G1165" i="14"/>
  <c r="G1123" i="14"/>
  <c r="G1172" i="14"/>
  <c r="E1112" i="14"/>
  <c r="E1084" i="14"/>
  <c r="E1068" i="14"/>
  <c r="E1128" i="14"/>
  <c r="E1164" i="14"/>
  <c r="E1009" i="14"/>
  <c r="E1131" i="14"/>
  <c r="E1079" i="14"/>
  <c r="E1196" i="14"/>
  <c r="E1217" i="14"/>
  <c r="E1114" i="14"/>
  <c r="E1101" i="14"/>
  <c r="E1153" i="14"/>
  <c r="E1210" i="14"/>
  <c r="I1019" i="14"/>
  <c r="I1120" i="14"/>
  <c r="H1041" i="14"/>
  <c r="H1001" i="14"/>
  <c r="G1105" i="14"/>
  <c r="E1166" i="14"/>
  <c r="E1027" i="14"/>
  <c r="E1125" i="14"/>
  <c r="E1066" i="14"/>
  <c r="E1102" i="14"/>
  <c r="E1234" i="14"/>
  <c r="E1078" i="14"/>
  <c r="E1025" i="14"/>
  <c r="E1064" i="14"/>
  <c r="E1105" i="14"/>
  <c r="E1223" i="14"/>
  <c r="E1020" i="14"/>
  <c r="E1050" i="14"/>
  <c r="E1091" i="14"/>
  <c r="E1029" i="14"/>
  <c r="H1130" i="14"/>
  <c r="H1135" i="14"/>
  <c r="H1235" i="14"/>
  <c r="G1043" i="14"/>
  <c r="G1068" i="14"/>
  <c r="G1041" i="14"/>
  <c r="G1005" i="14"/>
  <c r="I1144" i="14"/>
  <c r="I1158" i="14"/>
  <c r="I1111" i="14"/>
  <c r="I1139" i="14"/>
  <c r="G1094" i="14"/>
  <c r="G1184" i="14"/>
  <c r="G1199" i="14"/>
  <c r="G1064" i="14"/>
  <c r="G1050" i="14"/>
  <c r="G1044" i="14"/>
  <c r="I1194" i="14"/>
  <c r="I1072" i="14"/>
  <c r="I1127" i="14"/>
  <c r="I1001" i="14"/>
  <c r="I1032" i="14"/>
  <c r="G1113" i="14"/>
  <c r="G1004" i="14"/>
  <c r="E1227" i="14"/>
  <c r="E1012" i="14"/>
  <c r="E1062" i="14"/>
  <c r="I1117" i="14"/>
  <c r="I1038" i="14"/>
  <c r="H1084" i="14"/>
  <c r="H1209" i="14"/>
  <c r="G1098" i="14"/>
  <c r="H1149" i="14"/>
  <c r="H1213" i="14"/>
  <c r="H1197" i="14"/>
  <c r="H1154" i="14"/>
  <c r="H1031" i="14"/>
  <c r="G1066" i="14"/>
  <c r="G1149" i="14"/>
  <c r="G1003" i="14"/>
  <c r="G1060" i="14"/>
  <c r="G1112" i="14"/>
  <c r="G1141" i="14"/>
  <c r="G1012" i="14"/>
  <c r="G1095" i="14"/>
  <c r="G1194" i="14"/>
  <c r="G1195" i="14"/>
  <c r="G1170" i="14"/>
  <c r="G1019" i="14"/>
  <c r="G1229" i="14"/>
  <c r="I1121" i="14"/>
  <c r="I1220" i="14"/>
  <c r="I1006" i="14"/>
  <c r="I1151" i="14"/>
  <c r="I1105" i="14"/>
  <c r="I1009" i="14"/>
  <c r="I1055" i="14"/>
  <c r="I1140" i="14"/>
  <c r="I1087" i="14"/>
  <c r="I1200" i="14"/>
  <c r="I1060" i="14"/>
  <c r="I1046" i="14"/>
  <c r="H1082" i="14"/>
  <c r="H1003" i="14"/>
  <c r="H1164" i="14"/>
  <c r="H1184" i="14"/>
  <c r="H1055" i="14"/>
  <c r="H1232" i="14"/>
  <c r="G1135" i="14"/>
  <c r="G1210" i="14"/>
  <c r="G1107" i="14"/>
  <c r="G1092" i="14"/>
  <c r="G1154" i="14"/>
  <c r="G1099" i="14"/>
  <c r="G1109" i="14"/>
  <c r="G1033" i="14"/>
  <c r="G1237" i="14"/>
  <c r="G1200" i="14"/>
  <c r="G1101" i="14"/>
  <c r="G1231" i="14"/>
  <c r="I1216" i="14"/>
  <c r="I1027" i="14"/>
  <c r="I1084" i="14"/>
  <c r="I1159" i="14"/>
  <c r="I1021" i="14"/>
  <c r="I1199" i="14"/>
  <c r="I1083" i="14"/>
  <c r="I1081" i="14"/>
  <c r="I1171" i="14"/>
  <c r="I1025" i="14"/>
  <c r="H1053" i="14"/>
  <c r="H1073" i="14"/>
  <c r="H1040" i="14"/>
  <c r="H1079" i="14"/>
  <c r="H1220" i="14"/>
  <c r="H1144" i="14"/>
  <c r="H1088" i="14"/>
  <c r="H1234" i="14"/>
  <c r="H1190" i="14"/>
  <c r="H1024" i="14"/>
  <c r="G1090" i="14"/>
  <c r="G1031" i="14"/>
  <c r="G1051" i="14"/>
  <c r="G1224" i="14"/>
  <c r="G1037" i="14"/>
  <c r="G1052" i="14"/>
  <c r="G1150" i="14"/>
  <c r="G1190" i="14"/>
  <c r="G1026" i="14"/>
  <c r="I1101" i="14"/>
  <c r="I1236" i="14"/>
  <c r="I1062" i="14"/>
  <c r="I1214" i="14"/>
  <c r="I1167" i="14"/>
  <c r="I1149" i="14"/>
  <c r="I1143" i="14"/>
  <c r="I1028" i="14"/>
  <c r="I1217" i="14"/>
  <c r="I1218" i="14"/>
  <c r="I1156" i="14"/>
  <c r="I1024" i="14"/>
  <c r="I1086" i="14"/>
  <c r="H1059" i="14"/>
  <c r="H1101" i="14"/>
  <c r="H1239" i="14"/>
  <c r="H1228" i="14"/>
  <c r="H1218" i="14"/>
  <c r="H1151" i="14"/>
  <c r="E1159" i="14"/>
  <c r="I1229" i="14"/>
  <c r="H1037" i="14"/>
  <c r="H1236" i="14"/>
  <c r="H1126" i="14"/>
  <c r="H1067" i="14"/>
  <c r="G1028" i="14"/>
  <c r="G1209" i="14"/>
  <c r="E1034" i="14"/>
  <c r="I1235" i="14"/>
  <c r="I1238" i="14"/>
  <c r="I1110" i="14"/>
  <c r="I1064" i="14"/>
  <c r="H1205" i="14"/>
  <c r="H1208" i="14"/>
  <c r="H1015" i="14"/>
  <c r="H1110" i="14"/>
  <c r="H1022" i="14"/>
  <c r="G1143" i="14"/>
  <c r="E1208" i="14"/>
  <c r="I1177" i="14"/>
  <c r="F1017" i="14"/>
  <c r="F1041" i="14"/>
  <c r="G1048" i="14"/>
  <c r="G1021" i="14"/>
  <c r="G1213" i="14"/>
  <c r="G1238" i="14"/>
  <c r="G1223" i="14"/>
  <c r="G1236" i="14"/>
  <c r="G1084" i="14"/>
  <c r="G1069" i="14"/>
  <c r="G1001" i="14"/>
  <c r="E1076" i="14"/>
  <c r="E1023" i="14"/>
  <c r="E1206" i="14"/>
  <c r="E1147" i="14"/>
  <c r="E1184" i="14"/>
  <c r="E1158" i="14"/>
  <c r="E1155" i="14"/>
  <c r="E1188" i="14"/>
  <c r="E1172" i="14"/>
  <c r="I1225" i="14"/>
  <c r="I1221" i="14"/>
  <c r="I1056" i="14"/>
  <c r="I1018" i="14"/>
  <c r="I1017" i="14"/>
  <c r="I1004" i="14"/>
  <c r="F1108" i="14"/>
  <c r="F1084" i="14"/>
  <c r="F1127" i="14"/>
  <c r="H1143" i="14"/>
  <c r="H1124" i="14"/>
  <c r="G1040" i="14"/>
  <c r="G1144" i="14"/>
  <c r="G1129" i="14"/>
  <c r="G1146" i="14"/>
  <c r="G1083" i="14"/>
  <c r="G1185" i="14"/>
  <c r="E1199" i="14"/>
  <c r="E1108" i="14"/>
  <c r="E1194" i="14"/>
  <c r="E1238" i="14"/>
  <c r="E1094" i="14"/>
  <c r="E1139" i="14"/>
  <c r="E1070" i="14"/>
  <c r="E1169" i="14"/>
  <c r="I1170" i="14"/>
  <c r="I997" i="14"/>
  <c r="I1198" i="14"/>
  <c r="I1102" i="14"/>
  <c r="I1185" i="14"/>
  <c r="I1076" i="14"/>
  <c r="I1161" i="14"/>
  <c r="I1135" i="14"/>
  <c r="F1067" i="14"/>
  <c r="F1175" i="14"/>
  <c r="F1146" i="14"/>
  <c r="V1040" i="14"/>
  <c r="A1040" i="14" s="1"/>
  <c r="G1133" i="14"/>
  <c r="G1065" i="14"/>
  <c r="G1010" i="14"/>
  <c r="G998" i="14"/>
  <c r="G1103" i="14"/>
  <c r="G1189" i="14"/>
  <c r="G1177" i="14"/>
  <c r="G1075" i="14"/>
  <c r="G1132" i="14"/>
  <c r="E1055" i="14"/>
  <c r="E1175" i="14"/>
  <c r="E1214" i="14"/>
  <c r="E1053" i="14"/>
  <c r="E1071" i="14"/>
  <c r="E1130" i="14"/>
  <c r="E1129" i="14"/>
  <c r="I1180" i="14"/>
  <c r="I1150" i="14"/>
  <c r="I1234" i="14"/>
  <c r="I1123" i="14"/>
  <c r="F1012" i="14"/>
  <c r="F1207" i="14"/>
  <c r="F1210" i="14"/>
  <c r="H1119" i="14"/>
  <c r="H1092" i="14"/>
  <c r="H1117" i="14"/>
  <c r="H1008" i="14"/>
  <c r="H1010" i="14"/>
  <c r="H1137" i="14"/>
  <c r="H1194" i="14"/>
  <c r="G1161" i="14"/>
  <c r="G1186" i="14"/>
  <c r="G1218" i="14"/>
  <c r="J1218" i="14" s="1"/>
  <c r="G1196" i="14"/>
  <c r="G1042" i="14"/>
  <c r="E1123" i="14"/>
  <c r="E1213" i="14"/>
  <c r="E1152" i="14"/>
  <c r="E1089" i="14"/>
  <c r="E1097" i="14"/>
  <c r="I1122" i="14"/>
  <c r="I1207" i="14"/>
  <c r="I1085" i="14"/>
  <c r="I1035" i="14"/>
  <c r="I1003" i="14"/>
  <c r="I998" i="14"/>
  <c r="F1137" i="14"/>
  <c r="F1170" i="14"/>
  <c r="F1165" i="14"/>
  <c r="F1196" i="14"/>
  <c r="F1022" i="14"/>
  <c r="F1002" i="14"/>
  <c r="F1228" i="14"/>
  <c r="F1061" i="14"/>
  <c r="F1197" i="14"/>
  <c r="F1032" i="14"/>
  <c r="F1071" i="14"/>
  <c r="F1224" i="14"/>
  <c r="F1126" i="14"/>
  <c r="F1000" i="14"/>
  <c r="F1174" i="14"/>
  <c r="F1083" i="14"/>
  <c r="F1158" i="14"/>
  <c r="F1236" i="14"/>
  <c r="H1163" i="14"/>
  <c r="H1100" i="14"/>
  <c r="H1111" i="14"/>
  <c r="G1206" i="14"/>
  <c r="G1147" i="14"/>
  <c r="G1220" i="14"/>
  <c r="G1054" i="14"/>
  <c r="G1013" i="14"/>
  <c r="G1008" i="14"/>
  <c r="G1116" i="14"/>
  <c r="G1138" i="14"/>
  <c r="G1097" i="14"/>
  <c r="G1118" i="14"/>
  <c r="E1132" i="14"/>
  <c r="E1115" i="14"/>
  <c r="I1031" i="14"/>
  <c r="I1201" i="14"/>
  <c r="I1022" i="14"/>
  <c r="I1092" i="14"/>
  <c r="I1134" i="14"/>
  <c r="F1037" i="14"/>
  <c r="F1066" i="14"/>
  <c r="F1070" i="14"/>
  <c r="F1059" i="14"/>
  <c r="F1014" i="14"/>
  <c r="F1155" i="14"/>
  <c r="F1166" i="14"/>
  <c r="F1193" i="14"/>
  <c r="F1045" i="14"/>
  <c r="H1045" i="14"/>
  <c r="H1229" i="14"/>
  <c r="H1109" i="14"/>
  <c r="H1171" i="14"/>
  <c r="G1119" i="14"/>
  <c r="G1081" i="14"/>
  <c r="G1070" i="14"/>
  <c r="G1175" i="14"/>
  <c r="G1067" i="14"/>
  <c r="G1034" i="14"/>
  <c r="G1232" i="14"/>
  <c r="G1142" i="14"/>
  <c r="G1158" i="14"/>
  <c r="E1190" i="14"/>
  <c r="E1202" i="14"/>
  <c r="E1232" i="14"/>
  <c r="I1063" i="14"/>
  <c r="I1215" i="14"/>
  <c r="I1010" i="14"/>
  <c r="I1132" i="14"/>
  <c r="F1100" i="14"/>
  <c r="F1056" i="14"/>
  <c r="F1039" i="14"/>
  <c r="F1132" i="14"/>
  <c r="F1031" i="14"/>
  <c r="F1097" i="14"/>
  <c r="F1136" i="14"/>
  <c r="F1018" i="14"/>
  <c r="F1026" i="14"/>
  <c r="F1088" i="14"/>
  <c r="F1011" i="14"/>
  <c r="F1078" i="14"/>
  <c r="F1154" i="14"/>
  <c r="F1179" i="14"/>
  <c r="F1044" i="14"/>
  <c r="F1115" i="14"/>
  <c r="G1203" i="14"/>
  <c r="E1051" i="14"/>
  <c r="E1014" i="14"/>
  <c r="H1215" i="14"/>
  <c r="H1123" i="14"/>
  <c r="H1189" i="14"/>
  <c r="H1165" i="14"/>
  <c r="G1222" i="14"/>
  <c r="V1208" i="14"/>
  <c r="A1208" i="14" s="1"/>
  <c r="V999" i="14"/>
  <c r="A999" i="14" s="1"/>
  <c r="G1134" i="14"/>
  <c r="H1191" i="14"/>
  <c r="H1142" i="14"/>
  <c r="H1128" i="14"/>
  <c r="H1201" i="14"/>
  <c r="H1226" i="14"/>
  <c r="H1227" i="14"/>
  <c r="E1226" i="14"/>
  <c r="E1233" i="14"/>
  <c r="E1176" i="14"/>
  <c r="E1177" i="14"/>
  <c r="E1030" i="14"/>
  <c r="E1143" i="14"/>
  <c r="E1205" i="14"/>
  <c r="E1144" i="14"/>
  <c r="E1140" i="14"/>
  <c r="E1103" i="14"/>
  <c r="E1126" i="14"/>
  <c r="E1162" i="14"/>
  <c r="E1016" i="14"/>
  <c r="I1082" i="14"/>
  <c r="I1124" i="14"/>
  <c r="I1232" i="14"/>
  <c r="H1094" i="14"/>
  <c r="H1034" i="14"/>
  <c r="H1048" i="14"/>
  <c r="H1080" i="14"/>
  <c r="H1129" i="14"/>
  <c r="H1090" i="14"/>
  <c r="H1170" i="14"/>
  <c r="H1169" i="14"/>
  <c r="H1121" i="14"/>
  <c r="G1191" i="14"/>
  <c r="G999" i="14"/>
  <c r="G1015" i="14"/>
  <c r="G1117" i="14"/>
  <c r="E1216" i="14"/>
  <c r="E1083" i="14"/>
  <c r="E1008" i="14"/>
  <c r="E1229" i="14"/>
  <c r="E1015" i="14"/>
  <c r="E1049" i="14"/>
  <c r="E1042" i="14"/>
  <c r="E1002" i="14"/>
  <c r="E1047" i="14"/>
  <c r="E1127" i="14"/>
  <c r="I1000" i="14"/>
  <c r="I1020" i="14"/>
  <c r="I1211" i="14"/>
  <c r="I1226" i="14"/>
  <c r="I1154" i="14"/>
  <c r="H998" i="14"/>
  <c r="H1038" i="14"/>
  <c r="E1146" i="14"/>
  <c r="E1001" i="14"/>
  <c r="E1211" i="14"/>
  <c r="E1004" i="14"/>
  <c r="E1038" i="14"/>
  <c r="E1215" i="14"/>
  <c r="E1017" i="14"/>
  <c r="E1032" i="14"/>
  <c r="E1035" i="14"/>
  <c r="E1156" i="14"/>
  <c r="E1168" i="14"/>
  <c r="E1046" i="14"/>
  <c r="I1067" i="14"/>
  <c r="I1178" i="14"/>
  <c r="I1176" i="14"/>
  <c r="S1039" i="14"/>
  <c r="V1039" i="14" s="1"/>
  <c r="A1039" i="14" s="1"/>
  <c r="G1039" i="14"/>
  <c r="S997" i="14"/>
  <c r="V997" i="14" s="1"/>
  <c r="A997" i="14" s="1"/>
  <c r="G997" i="14"/>
  <c r="S1093" i="14"/>
  <c r="V1093" i="14" s="1"/>
  <c r="A1093" i="14" s="1"/>
  <c r="G1093" i="14"/>
  <c r="S1082" i="14"/>
  <c r="V1082" i="14" s="1"/>
  <c r="A1082" i="14" s="1"/>
  <c r="G1082" i="14"/>
  <c r="S1205" i="14"/>
  <c r="V1205" i="14" s="1"/>
  <c r="A1205" i="14" s="1"/>
  <c r="G1205" i="14"/>
  <c r="Q1122" i="14"/>
  <c r="E1122" i="14"/>
  <c r="Q1011" i="14"/>
  <c r="V1011" i="14" s="1"/>
  <c r="A1011" i="14" s="1"/>
  <c r="E1011" i="14"/>
  <c r="Q1106" i="14"/>
  <c r="V1106" i="14" s="1"/>
  <c r="A1106" i="14" s="1"/>
  <c r="E1106" i="14"/>
  <c r="Q1081" i="14"/>
  <c r="V1081" i="14" s="1"/>
  <c r="A1081" i="14" s="1"/>
  <c r="E1081" i="14"/>
  <c r="Q1167" i="14"/>
  <c r="V1167" i="14" s="1"/>
  <c r="A1167" i="14" s="1"/>
  <c r="E1167" i="14"/>
  <c r="Q1170" i="14"/>
  <c r="V1170" i="14" s="1"/>
  <c r="A1170" i="14" s="1"/>
  <c r="E1170" i="14"/>
  <c r="Q1221" i="14"/>
  <c r="V1221" i="14" s="1"/>
  <c r="A1221" i="14" s="1"/>
  <c r="E1221" i="14"/>
  <c r="Q1118" i="14"/>
  <c r="V1118" i="14" s="1"/>
  <c r="A1118" i="14" s="1"/>
  <c r="E1118" i="14"/>
  <c r="Q1036" i="14"/>
  <c r="V1036" i="14" s="1"/>
  <c r="A1036" i="14" s="1"/>
  <c r="E1036" i="14"/>
  <c r="Q1043" i="14"/>
  <c r="V1043" i="14" s="1"/>
  <c r="A1043" i="14" s="1"/>
  <c r="E1043" i="14"/>
  <c r="Q1187" i="14"/>
  <c r="V1187" i="14" s="1"/>
  <c r="A1187" i="14" s="1"/>
  <c r="E1187" i="14"/>
  <c r="Q1179" i="14"/>
  <c r="V1179" i="14" s="1"/>
  <c r="A1179" i="14" s="1"/>
  <c r="E1179" i="14"/>
  <c r="Q1003" i="14"/>
  <c r="V1003" i="14" s="1"/>
  <c r="A1003" i="14" s="1"/>
  <c r="E1003" i="14"/>
  <c r="Q1041" i="14"/>
  <c r="V1041" i="14" s="1"/>
  <c r="A1041" i="14" s="1"/>
  <c r="E1041" i="14"/>
  <c r="Q1073" i="14"/>
  <c r="V1073" i="14" s="1"/>
  <c r="A1073" i="14" s="1"/>
  <c r="E1073" i="14"/>
  <c r="Q1134" i="14"/>
  <c r="V1134" i="14" s="1"/>
  <c r="A1134" i="14" s="1"/>
  <c r="E1134" i="14"/>
  <c r="Q1075" i="14"/>
  <c r="V1075" i="14" s="1"/>
  <c r="A1075" i="14" s="1"/>
  <c r="E1075" i="14"/>
  <c r="Q1111" i="14"/>
  <c r="V1111" i="14" s="1"/>
  <c r="A1111" i="14" s="1"/>
  <c r="E1111" i="14"/>
  <c r="Q1100" i="14"/>
  <c r="V1100" i="14" s="1"/>
  <c r="A1100" i="14" s="1"/>
  <c r="E1100" i="14"/>
  <c r="Q1065" i="14"/>
  <c r="V1065" i="14" s="1"/>
  <c r="A1065" i="14" s="1"/>
  <c r="E1065" i="14"/>
  <c r="Q1085" i="14"/>
  <c r="V1085" i="14" s="1"/>
  <c r="A1085" i="14" s="1"/>
  <c r="E1085" i="14"/>
  <c r="Q1161" i="14"/>
  <c r="V1161" i="14" s="1"/>
  <c r="A1161" i="14" s="1"/>
  <c r="E1161" i="14"/>
  <c r="Q1113" i="14"/>
  <c r="V1113" i="14" s="1"/>
  <c r="A1113" i="14" s="1"/>
  <c r="E1113" i="14"/>
  <c r="Q1182" i="14"/>
  <c r="V1182" i="14" s="1"/>
  <c r="A1182" i="14" s="1"/>
  <c r="E1182" i="14"/>
  <c r="H1026" i="14"/>
  <c r="H1019" i="14"/>
  <c r="H1050" i="14"/>
  <c r="H1099" i="14"/>
  <c r="H1199" i="14"/>
  <c r="H1063" i="14"/>
  <c r="H1222" i="14"/>
  <c r="H1089" i="14"/>
  <c r="H1118" i="14"/>
  <c r="H1223" i="14"/>
  <c r="H1225" i="14"/>
  <c r="H1071" i="14"/>
  <c r="H1087" i="14"/>
  <c r="H1086" i="14"/>
  <c r="H1127" i="14"/>
  <c r="H1057" i="14"/>
  <c r="H1009" i="14"/>
  <c r="H1181" i="14"/>
  <c r="H1021" i="14"/>
  <c r="V1092" i="14"/>
  <c r="A1092" i="14" s="1"/>
  <c r="G1230" i="14"/>
  <c r="G1080" i="14"/>
  <c r="G1038" i="14"/>
  <c r="G1022" i="14"/>
  <c r="G1055" i="14"/>
  <c r="G1180" i="14"/>
  <c r="G1007" i="14"/>
  <c r="G1167" i="14"/>
  <c r="G1145" i="14"/>
  <c r="E1137" i="14"/>
  <c r="E1063" i="14"/>
  <c r="E1054" i="14"/>
  <c r="E1098" i="14"/>
  <c r="Q1013" i="14"/>
  <c r="V1013" i="14" s="1"/>
  <c r="A1013" i="14" s="1"/>
  <c r="E1013" i="14"/>
  <c r="Q1198" i="14"/>
  <c r="E1198" i="14"/>
  <c r="Q1228" i="14"/>
  <c r="V1228" i="14" s="1"/>
  <c r="A1228" i="14" s="1"/>
  <c r="E1228" i="14"/>
  <c r="Q1133" i="14"/>
  <c r="V1133" i="14" s="1"/>
  <c r="A1133" i="14" s="1"/>
  <c r="E1133" i="14"/>
  <c r="Q1178" i="14"/>
  <c r="V1178" i="14" s="1"/>
  <c r="A1178" i="14" s="1"/>
  <c r="E1178" i="14"/>
  <c r="Q1119" i="14"/>
  <c r="V1119" i="14" s="1"/>
  <c r="A1119" i="14" s="1"/>
  <c r="E1119" i="14"/>
  <c r="Q1224" i="14"/>
  <c r="V1224" i="14" s="1"/>
  <c r="A1224" i="14" s="1"/>
  <c r="E1224" i="14"/>
  <c r="Q1005" i="14"/>
  <c r="E1005" i="14"/>
  <c r="Q1195" i="14"/>
  <c r="V1195" i="14" s="1"/>
  <c r="A1195" i="14" s="1"/>
  <c r="E1195" i="14"/>
  <c r="Q1148" i="14"/>
  <c r="V1148" i="14" s="1"/>
  <c r="A1148" i="14" s="1"/>
  <c r="E1148" i="14"/>
  <c r="Q1185" i="14"/>
  <c r="V1185" i="14" s="1"/>
  <c r="A1185" i="14" s="1"/>
  <c r="E1185" i="14"/>
  <c r="Q1200" i="14"/>
  <c r="V1200" i="14" s="1"/>
  <c r="A1200" i="14" s="1"/>
  <c r="E1200" i="14"/>
  <c r="Q1220" i="14"/>
  <c r="V1220" i="14" s="1"/>
  <c r="A1220" i="14" s="1"/>
  <c r="E1220" i="14"/>
  <c r="Q1018" i="14"/>
  <c r="V1018" i="14" s="1"/>
  <c r="A1018" i="14" s="1"/>
  <c r="E1018" i="14"/>
  <c r="Q1171" i="14"/>
  <c r="V1171" i="14" s="1"/>
  <c r="A1171" i="14" s="1"/>
  <c r="E1171" i="14"/>
  <c r="S1216" i="14"/>
  <c r="V1216" i="14" s="1"/>
  <c r="A1216" i="14" s="1"/>
  <c r="G1216" i="14"/>
  <c r="S1163" i="14"/>
  <c r="V1163" i="14" s="1"/>
  <c r="A1163" i="14" s="1"/>
  <c r="G1163" i="14"/>
  <c r="H1138" i="14"/>
  <c r="H1136" i="14"/>
  <c r="H1166" i="14"/>
  <c r="H1122" i="14"/>
  <c r="G1017" i="14"/>
  <c r="G1169" i="14"/>
  <c r="G1074" i="14"/>
  <c r="G1086" i="14"/>
  <c r="G1128" i="14"/>
  <c r="G1009" i="14"/>
  <c r="G1046" i="14"/>
  <c r="S1053" i="14"/>
  <c r="V1053" i="14" s="1"/>
  <c r="A1053" i="14" s="1"/>
  <c r="G1053" i="14"/>
  <c r="S1239" i="14"/>
  <c r="V1239" i="14" s="1"/>
  <c r="A1239" i="14" s="1"/>
  <c r="G1239" i="14"/>
  <c r="S1056" i="14"/>
  <c r="V1056" i="14" s="1"/>
  <c r="A1056" i="14" s="1"/>
  <c r="G1056" i="14"/>
  <c r="S1000" i="14"/>
  <c r="V1000" i="14" s="1"/>
  <c r="A1000" i="14" s="1"/>
  <c r="G1000" i="14"/>
  <c r="S1024" i="14"/>
  <c r="G1024" i="14"/>
  <c r="S1131" i="14"/>
  <c r="V1131" i="14" s="1"/>
  <c r="A1131" i="14" s="1"/>
  <c r="G1131" i="14"/>
  <c r="S1219" i="14"/>
  <c r="V1219" i="14" s="1"/>
  <c r="A1219" i="14" s="1"/>
  <c r="G1219" i="14"/>
  <c r="S1234" i="14"/>
  <c r="V1234" i="14" s="1"/>
  <c r="A1234" i="14" s="1"/>
  <c r="G1234" i="14"/>
  <c r="S1122" i="14"/>
  <c r="G1122" i="14"/>
  <c r="S1136" i="14"/>
  <c r="V1136" i="14" s="1"/>
  <c r="A1136" i="14" s="1"/>
  <c r="G1136" i="14"/>
  <c r="S1110" i="14"/>
  <c r="V1110" i="14" s="1"/>
  <c r="A1110" i="14" s="1"/>
  <c r="G1110" i="14"/>
  <c r="S1121" i="14"/>
  <c r="V1121" i="14" s="1"/>
  <c r="A1121" i="14" s="1"/>
  <c r="G1121" i="14"/>
  <c r="S1127" i="14"/>
  <c r="V1127" i="14" s="1"/>
  <c r="A1127" i="14" s="1"/>
  <c r="G1127" i="14"/>
  <c r="S1159" i="14"/>
  <c r="V1159" i="14" s="1"/>
  <c r="A1159" i="14" s="1"/>
  <c r="G1159" i="14"/>
  <c r="S1235" i="14"/>
  <c r="V1235" i="14" s="1"/>
  <c r="A1235" i="14" s="1"/>
  <c r="G1235" i="14"/>
  <c r="S1061" i="14"/>
  <c r="V1061" i="14" s="1"/>
  <c r="A1061" i="14" s="1"/>
  <c r="G1061" i="14"/>
  <c r="S1183" i="14"/>
  <c r="V1183" i="14" s="1"/>
  <c r="A1183" i="14" s="1"/>
  <c r="G1183" i="14"/>
  <c r="S1160" i="14"/>
  <c r="V1160" i="14" s="1"/>
  <c r="A1160" i="14" s="1"/>
  <c r="G1160" i="14"/>
  <c r="E1074" i="14"/>
  <c r="E1092" i="14"/>
  <c r="E1230" i="14"/>
  <c r="E1121" i="14"/>
  <c r="E1007" i="14"/>
  <c r="E1183" i="14"/>
  <c r="S1173" i="14"/>
  <c r="V1173" i="14" s="1"/>
  <c r="A1173" i="14" s="1"/>
  <c r="G1173" i="14"/>
  <c r="S1114" i="14"/>
  <c r="V1114" i="14" s="1"/>
  <c r="A1114" i="14" s="1"/>
  <c r="G1114" i="14"/>
  <c r="S1166" i="14"/>
  <c r="V1166" i="14" s="1"/>
  <c r="A1166" i="14" s="1"/>
  <c r="G1166" i="14"/>
  <c r="S1174" i="14"/>
  <c r="V1174" i="14" s="1"/>
  <c r="A1174" i="14" s="1"/>
  <c r="G1174" i="14"/>
  <c r="S1032" i="14"/>
  <c r="V1032" i="14" s="1"/>
  <c r="A1032" i="14" s="1"/>
  <c r="G1032" i="14"/>
  <c r="Q1180" i="14"/>
  <c r="V1180" i="14" s="1"/>
  <c r="A1180" i="14" s="1"/>
  <c r="E1180" i="14"/>
  <c r="H1058" i="14"/>
  <c r="H1113" i="14"/>
  <c r="H1095" i="14"/>
  <c r="H1131" i="14"/>
  <c r="H1065" i="14"/>
  <c r="H1049" i="14"/>
  <c r="H1030" i="14"/>
  <c r="H1056" i="14"/>
  <c r="H1132" i="14"/>
  <c r="H1107" i="14"/>
  <c r="H1231" i="14"/>
  <c r="H1000" i="14"/>
  <c r="H1159" i="14"/>
  <c r="H1233" i="14"/>
  <c r="H1069" i="14"/>
  <c r="H1178" i="14"/>
  <c r="H1115" i="14"/>
  <c r="H1108" i="14"/>
  <c r="H1204" i="14"/>
  <c r="H1011" i="14"/>
  <c r="H1120" i="14"/>
  <c r="H1002" i="14"/>
  <c r="H1039" i="14"/>
  <c r="H1221" i="14"/>
  <c r="H1214" i="14"/>
  <c r="H1175" i="14"/>
  <c r="H1103" i="14"/>
  <c r="H1219" i="14"/>
  <c r="H1216" i="14"/>
  <c r="H1155" i="14"/>
  <c r="H1081" i="14"/>
  <c r="H1145" i="14"/>
  <c r="H1192" i="14"/>
  <c r="H1042" i="14"/>
  <c r="H1051" i="14"/>
  <c r="G1027" i="14"/>
  <c r="G1016" i="14"/>
  <c r="G1225" i="14"/>
  <c r="G1140" i="14"/>
  <c r="G1058" i="14"/>
  <c r="G1089" i="14"/>
  <c r="G1072" i="14"/>
  <c r="G1062" i="14"/>
  <c r="G1153" i="14"/>
  <c r="E1095" i="14"/>
  <c r="E998" i="14"/>
  <c r="E1138" i="14"/>
  <c r="E1201" i="14"/>
  <c r="V1209" i="14"/>
  <c r="A1209" i="14" s="1"/>
  <c r="V1067" i="14"/>
  <c r="A1067" i="14" s="1"/>
  <c r="V1024" i="14"/>
  <c r="A1024" i="14" s="1"/>
  <c r="V1010" i="14"/>
  <c r="A1010" i="14" s="1"/>
  <c r="V1222" i="14"/>
  <c r="A1222" i="14" s="1"/>
  <c r="V1154" i="14"/>
  <c r="A1154" i="14" s="1"/>
  <c r="E1044" i="14"/>
  <c r="V1184" i="14"/>
  <c r="A1184" i="14" s="1"/>
  <c r="V1157" i="14"/>
  <c r="A1157" i="14" s="1"/>
  <c r="V1060" i="14"/>
  <c r="A1060" i="14" s="1"/>
  <c r="V1142" i="14"/>
  <c r="A1142" i="14" s="1"/>
  <c r="V1236" i="14"/>
  <c r="A1236" i="14" s="1"/>
  <c r="V1109" i="14"/>
  <c r="A1109" i="14" s="1"/>
  <c r="V1055" i="14"/>
  <c r="A1055" i="14" s="1"/>
  <c r="V1206" i="14"/>
  <c r="A1206" i="14" s="1"/>
  <c r="V1186" i="14"/>
  <c r="A1186" i="14" s="1"/>
  <c r="V1117" i="14"/>
  <c r="A1117" i="14" s="1"/>
  <c r="V1099" i="14"/>
  <c r="A1099" i="14" s="1"/>
  <c r="V1193" i="14"/>
  <c r="A1193" i="14" s="1"/>
  <c r="V1037" i="14"/>
  <c r="A1037" i="14" s="1"/>
  <c r="V1129" i="14"/>
  <c r="A1129" i="14" s="1"/>
  <c r="I1040" i="14"/>
  <c r="I1203" i="14"/>
  <c r="I999" i="14"/>
  <c r="I1166" i="14"/>
  <c r="I1228" i="14"/>
  <c r="I1059" i="14"/>
  <c r="I1223" i="14"/>
  <c r="I1239" i="14"/>
  <c r="I1213" i="14"/>
  <c r="F1227" i="14"/>
  <c r="F1052" i="14"/>
  <c r="F1050" i="14"/>
  <c r="F1096" i="14"/>
  <c r="F1120" i="14"/>
  <c r="F1077" i="14"/>
  <c r="F1180" i="14"/>
  <c r="F1151" i="14"/>
  <c r="F1215" i="14"/>
  <c r="F1025" i="14"/>
  <c r="F1046" i="14"/>
  <c r="V1175" i="14"/>
  <c r="A1175" i="14" s="1"/>
  <c r="I1095" i="14"/>
  <c r="I1112" i="14"/>
  <c r="I1033" i="14"/>
  <c r="I1093" i="14"/>
  <c r="I1012" i="14"/>
  <c r="I1043" i="14"/>
  <c r="I1053" i="14"/>
  <c r="I1096" i="14"/>
  <c r="I1119" i="14"/>
  <c r="I1098" i="14"/>
  <c r="I1230" i="14"/>
  <c r="I1191" i="14"/>
  <c r="V1026" i="14"/>
  <c r="A1026" i="14" s="1"/>
  <c r="I1222" i="14"/>
  <c r="F1230" i="14"/>
  <c r="F1124" i="14"/>
  <c r="F1237" i="14"/>
  <c r="F1134" i="14"/>
  <c r="F1004" i="14"/>
  <c r="F1040" i="14"/>
  <c r="F1104" i="14"/>
  <c r="F1091" i="14"/>
  <c r="F1110" i="14"/>
  <c r="F1232" i="14"/>
  <c r="F1099" i="14"/>
  <c r="F1051" i="14"/>
  <c r="I1113" i="14"/>
  <c r="I1104" i="14"/>
  <c r="I1066" i="14"/>
  <c r="I1195" i="14"/>
  <c r="I1106" i="14"/>
  <c r="I1029" i="14"/>
  <c r="I1174" i="14"/>
  <c r="I1049" i="14"/>
  <c r="I1136" i="14"/>
  <c r="I1125" i="14"/>
  <c r="I1015" i="14"/>
  <c r="I1065" i="14"/>
  <c r="I1184" i="14"/>
  <c r="I1129" i="14"/>
  <c r="I1197" i="14"/>
  <c r="I1162" i="14"/>
  <c r="F1060" i="14"/>
  <c r="F1028" i="14"/>
  <c r="F1167" i="14"/>
  <c r="F1102" i="14"/>
  <c r="F1010" i="14"/>
  <c r="F1195" i="14"/>
  <c r="F1214" i="14"/>
  <c r="F1212" i="14"/>
  <c r="F1001" i="14"/>
  <c r="F1208" i="14"/>
  <c r="V1237" i="14"/>
  <c r="A1237" i="14" s="1"/>
  <c r="V1021" i="14"/>
  <c r="A1021" i="14" s="1"/>
  <c r="V1116" i="14"/>
  <c r="A1116" i="14" s="1"/>
  <c r="V1033" i="14"/>
  <c r="A1033" i="14" s="1"/>
  <c r="V1087" i="14"/>
  <c r="A1087" i="14" s="1"/>
  <c r="V1202" i="14"/>
  <c r="A1202" i="14" s="1"/>
  <c r="V1069" i="14"/>
  <c r="A1069" i="14" s="1"/>
  <c r="H1173" i="14"/>
  <c r="H1188" i="14"/>
  <c r="H1098" i="14"/>
  <c r="H1180" i="14"/>
  <c r="H1091" i="14"/>
  <c r="H1147" i="14"/>
  <c r="H1202" i="14"/>
  <c r="H1072" i="14"/>
  <c r="H1150" i="14"/>
  <c r="H1172" i="14"/>
  <c r="H1076" i="14"/>
  <c r="H1096" i="14"/>
  <c r="H1177" i="14"/>
  <c r="H1146" i="14"/>
  <c r="H1198" i="14"/>
  <c r="H1060" i="14"/>
  <c r="H1141" i="14"/>
  <c r="H1007" i="14"/>
  <c r="H1061" i="14"/>
  <c r="H1112" i="14"/>
  <c r="H1004" i="14"/>
  <c r="H1125" i="14"/>
  <c r="H1158" i="14"/>
  <c r="G1204" i="14"/>
  <c r="G1091" i="14"/>
  <c r="G1124" i="14"/>
  <c r="G1076" i="14"/>
  <c r="G1011" i="14"/>
  <c r="G1023" i="14"/>
  <c r="G1079" i="14"/>
  <c r="G1073" i="14"/>
  <c r="G1152" i="14"/>
  <c r="G1036" i="14"/>
  <c r="G1162" i="14"/>
  <c r="G1221" i="14"/>
  <c r="G1207" i="14"/>
  <c r="G1100" i="14"/>
  <c r="G1171" i="14"/>
  <c r="G1104" i="14"/>
  <c r="G1096" i="14"/>
  <c r="G1085" i="14"/>
  <c r="G1071" i="14"/>
  <c r="G1181" i="14"/>
  <c r="G1077" i="14"/>
  <c r="G1047" i="14"/>
  <c r="V998" i="14"/>
  <c r="A998" i="14" s="1"/>
  <c r="V1105" i="14"/>
  <c r="A1105" i="14" s="1"/>
  <c r="V1150" i="14"/>
  <c r="A1150" i="14" s="1"/>
  <c r="L215" i="10"/>
  <c r="U214" i="10"/>
  <c r="E1069" i="14"/>
  <c r="E1209" i="14"/>
  <c r="E1117" i="14"/>
  <c r="E1088" i="14"/>
  <c r="E1024" i="14"/>
  <c r="E1059" i="14"/>
  <c r="E1061" i="14"/>
  <c r="E1067" i="14"/>
  <c r="E1189" i="14"/>
  <c r="E1163" i="14"/>
  <c r="E1116" i="14"/>
  <c r="E1060" i="14"/>
  <c r="E1212" i="14"/>
  <c r="E1225" i="14"/>
  <c r="E1203" i="14"/>
  <c r="E1142" i="14"/>
  <c r="V1198" i="14"/>
  <c r="A1198" i="14" s="1"/>
  <c r="V1008" i="14"/>
  <c r="A1008" i="14" s="1"/>
  <c r="V1226" i="14"/>
  <c r="A1226" i="14" s="1"/>
  <c r="V1123" i="14"/>
  <c r="A1123" i="14" s="1"/>
  <c r="V1005" i="14"/>
  <c r="A1005" i="14" s="1"/>
  <c r="V1007" i="14"/>
  <c r="A1007" i="14" s="1"/>
  <c r="V1074" i="14"/>
  <c r="A1074" i="14" s="1"/>
  <c r="V1063" i="14"/>
  <c r="A1063" i="14" s="1"/>
  <c r="V1138" i="14"/>
  <c r="A1138" i="14" s="1"/>
  <c r="V1019" i="14"/>
  <c r="A1019" i="14" s="1"/>
  <c r="V1054" i="14"/>
  <c r="A1054" i="14" s="1"/>
  <c r="V1034" i="14"/>
  <c r="A1034" i="14" s="1"/>
  <c r="V1137" i="14"/>
  <c r="A1137" i="14" s="1"/>
  <c r="V1095" i="14"/>
  <c r="A1095" i="14" s="1"/>
  <c r="I1183" i="14"/>
  <c r="I1030" i="14"/>
  <c r="I1137" i="14"/>
  <c r="I1163" i="14"/>
  <c r="I1169" i="14"/>
  <c r="I1050" i="14"/>
  <c r="I1147" i="14"/>
  <c r="I1014" i="14"/>
  <c r="I1099" i="14"/>
  <c r="I1045" i="14"/>
  <c r="I1054" i="14"/>
  <c r="I1138" i="14"/>
  <c r="I1193" i="14"/>
  <c r="I1182" i="14"/>
  <c r="I1152" i="14"/>
  <c r="V1088" i="14"/>
  <c r="A1088" i="14" s="1"/>
  <c r="V1115" i="14"/>
  <c r="A1115" i="14" s="1"/>
  <c r="V1149" i="14"/>
  <c r="A1149" i="14" s="1"/>
  <c r="V1084" i="14"/>
  <c r="A1084" i="14" s="1"/>
  <c r="V1062" i="14"/>
  <c r="A1062" i="14" s="1"/>
  <c r="F1160" i="14"/>
  <c r="F1150" i="14"/>
  <c r="F1007" i="14"/>
  <c r="F1213" i="14"/>
  <c r="F1034" i="14"/>
  <c r="F1123" i="14"/>
  <c r="F1143" i="14"/>
  <c r="F1027" i="14"/>
  <c r="F1128" i="14"/>
  <c r="F1029" i="14"/>
  <c r="V1038" i="14"/>
  <c r="A1038" i="14" s="1"/>
  <c r="V1192" i="14"/>
  <c r="A1192" i="14" s="1"/>
  <c r="F1129" i="14"/>
  <c r="V1225" i="14"/>
  <c r="A1225" i="14" s="1"/>
  <c r="F1168" i="14"/>
  <c r="V1080" i="14"/>
  <c r="A1080" i="14" s="1"/>
  <c r="V1188" i="14"/>
  <c r="A1188" i="14" s="1"/>
  <c r="V1006" i="14"/>
  <c r="A1006" i="14" s="1"/>
  <c r="V1045" i="14"/>
  <c r="A1045" i="14" s="1"/>
  <c r="V1172" i="14"/>
  <c r="A1172" i="14" s="1"/>
  <c r="V1072" i="14"/>
  <c r="A1072" i="14" s="1"/>
  <c r="V1181" i="14"/>
  <c r="A1181" i="14" s="1"/>
  <c r="H1097" i="14"/>
  <c r="H1075" i="14"/>
  <c r="H1013" i="14"/>
  <c r="H1133" i="14"/>
  <c r="H1161" i="14"/>
  <c r="H1156" i="14"/>
  <c r="V1091" i="14"/>
  <c r="A1091" i="14" s="1"/>
  <c r="H1028" i="14"/>
  <c r="H1074" i="14"/>
  <c r="G1020" i="14"/>
  <c r="G1151" i="14"/>
  <c r="G1102" i="14"/>
  <c r="G1035" i="14"/>
  <c r="G1179" i="14"/>
  <c r="G1120" i="14"/>
  <c r="G1187" i="14"/>
  <c r="G1088" i="14"/>
  <c r="G1057" i="14"/>
  <c r="G1014" i="14"/>
  <c r="G1137" i="14"/>
  <c r="G1227" i="14"/>
  <c r="G1214" i="14"/>
  <c r="G1006" i="14"/>
  <c r="G1108" i="14"/>
  <c r="G1155" i="14"/>
  <c r="G1217" i="14"/>
  <c r="G1202" i="14"/>
  <c r="G1226" i="14"/>
  <c r="V1196" i="14"/>
  <c r="A1196" i="14" s="1"/>
  <c r="V1028" i="14"/>
  <c r="A1028" i="14" s="1"/>
  <c r="V213" i="10"/>
  <c r="M214" i="10"/>
  <c r="E1010" i="14"/>
  <c r="E1150" i="14"/>
  <c r="E1193" i="14"/>
  <c r="E1237" i="14"/>
  <c r="E1021" i="14"/>
  <c r="E1052" i="14"/>
  <c r="E1235" i="14"/>
  <c r="E1207" i="14"/>
  <c r="E1006" i="14"/>
  <c r="E1037" i="14"/>
  <c r="E1080" i="14"/>
  <c r="E1236" i="14"/>
  <c r="E1219" i="14"/>
  <c r="E1174" i="14"/>
  <c r="E1077" i="14"/>
  <c r="E1072" i="14"/>
  <c r="E1186" i="14"/>
  <c r="E1160" i="14"/>
  <c r="V1162" i="14"/>
  <c r="A1162" i="14" s="1"/>
  <c r="V1189" i="14"/>
  <c r="A1189" i="14" s="1"/>
  <c r="V1029" i="14"/>
  <c r="A1029" i="14" s="1"/>
  <c r="V1090" i="14"/>
  <c r="A1090" i="14" s="1"/>
  <c r="V1128" i="14"/>
  <c r="A1128" i="14" s="1"/>
  <c r="V1102" i="14"/>
  <c r="A1102" i="14" s="1"/>
  <c r="V1068" i="14"/>
  <c r="A1068" i="14" s="1"/>
  <c r="V1112" i="14"/>
  <c r="A1112" i="14" s="1"/>
  <c r="V1031" i="14"/>
  <c r="A1031" i="14" s="1"/>
  <c r="V1197" i="14"/>
  <c r="A1197" i="14" s="1"/>
  <c r="V1089" i="14"/>
  <c r="A1089" i="14" s="1"/>
  <c r="V1016" i="14"/>
  <c r="A1016" i="14" s="1"/>
  <c r="V1213" i="14"/>
  <c r="A1213" i="14" s="1"/>
  <c r="V1047" i="14"/>
  <c r="A1047" i="14" s="1"/>
  <c r="V1097" i="14"/>
  <c r="A1097" i="14" s="1"/>
  <c r="V1229" i="14"/>
  <c r="A1229" i="14" s="1"/>
  <c r="V1132" i="14"/>
  <c r="A1132" i="14" s="1"/>
  <c r="V1001" i="14"/>
  <c r="A1001" i="14" s="1"/>
  <c r="V1156" i="14"/>
  <c r="A1156" i="14" s="1"/>
  <c r="V1002" i="14"/>
  <c r="A1002" i="14" s="1"/>
  <c r="V1233" i="14"/>
  <c r="A1233" i="14" s="1"/>
  <c r="V1168" i="14"/>
  <c r="A1168" i="14" s="1"/>
  <c r="V1146" i="14"/>
  <c r="A1146" i="14" s="1"/>
  <c r="V1017" i="14"/>
  <c r="A1017" i="14" s="1"/>
  <c r="V1152" i="14"/>
  <c r="A1152" i="14" s="1"/>
  <c r="V1035" i="14"/>
  <c r="A1035" i="14" s="1"/>
  <c r="V1015" i="14"/>
  <c r="A1015" i="14" s="1"/>
  <c r="V1126" i="14"/>
  <c r="A1126" i="14" s="1"/>
  <c r="V1211" i="14"/>
  <c r="A1211" i="14" s="1"/>
  <c r="V1143" i="14"/>
  <c r="A1143" i="14" s="1"/>
  <c r="V1049" i="14"/>
  <c r="A1049" i="14" s="1"/>
  <c r="V1190" i="14"/>
  <c r="A1190" i="14" s="1"/>
  <c r="V1215" i="14"/>
  <c r="A1215" i="14" s="1"/>
  <c r="V1030" i="14"/>
  <c r="A1030" i="14" s="1"/>
  <c r="V1046" i="14"/>
  <c r="A1046" i="14" s="1"/>
  <c r="V1140" i="14"/>
  <c r="A1140" i="14" s="1"/>
  <c r="V1144" i="14"/>
  <c r="A1144" i="14" s="1"/>
  <c r="V1103" i="14"/>
  <c r="A1103" i="14" s="1"/>
  <c r="V1004" i="14"/>
  <c r="A1004" i="14" s="1"/>
  <c r="V1177" i="14"/>
  <c r="A1177" i="14" s="1"/>
  <c r="V1042" i="14"/>
  <c r="A1042" i="14" s="1"/>
  <c r="V1083" i="14"/>
  <c r="A1083" i="14" s="1"/>
  <c r="I1073" i="14"/>
  <c r="I1128" i="14"/>
  <c r="I1071" i="14"/>
  <c r="I1237" i="14"/>
  <c r="I1023" i="14"/>
  <c r="I1041" i="14"/>
  <c r="I1090" i="14"/>
  <c r="I1048" i="14"/>
  <c r="I1002" i="14"/>
  <c r="I1108" i="14"/>
  <c r="I1168" i="14"/>
  <c r="I1118" i="14"/>
  <c r="I1192" i="14"/>
  <c r="I1153" i="14"/>
  <c r="I1075" i="14"/>
  <c r="I1142" i="14"/>
  <c r="I1016" i="14"/>
  <c r="I1224" i="14"/>
  <c r="I1172" i="14"/>
  <c r="V1077" i="14"/>
  <c r="A1077" i="14" s="1"/>
  <c r="V1044" i="14"/>
  <c r="A1044" i="14" s="1"/>
  <c r="V1165" i="14"/>
  <c r="A1165" i="14" s="1"/>
  <c r="V1227" i="14"/>
  <c r="A1227" i="14" s="1"/>
  <c r="V1107" i="14"/>
  <c r="A1107" i="14" s="1"/>
  <c r="F1142" i="14"/>
  <c r="F1086" i="14"/>
  <c r="F999" i="14"/>
  <c r="F1033" i="14"/>
  <c r="F1181" i="14"/>
  <c r="F1191" i="14"/>
  <c r="F1117" i="14"/>
  <c r="F1133" i="14"/>
  <c r="F1203" i="14"/>
  <c r="F1234" i="14"/>
  <c r="F1201" i="14"/>
  <c r="F1217" i="14"/>
  <c r="F1093" i="14"/>
  <c r="F998" i="14"/>
  <c r="F1072" i="14"/>
  <c r="F1054" i="14"/>
  <c r="F1121" i="14"/>
  <c r="F1239" i="14"/>
  <c r="V1064" i="14"/>
  <c r="A1064" i="14" s="1"/>
  <c r="V1223" i="14"/>
  <c r="A1223" i="14" s="1"/>
  <c r="V1023" i="14"/>
  <c r="A1023" i="14" s="1"/>
  <c r="V1203" i="14"/>
  <c r="A1203" i="14" s="1"/>
  <c r="V1059" i="14"/>
  <c r="A1059" i="14" s="1"/>
  <c r="V1199" i="14"/>
  <c r="A1199" i="14" s="1"/>
  <c r="V1151" i="14"/>
  <c r="A1151" i="14" s="1"/>
  <c r="H1203" i="14"/>
  <c r="H1162" i="14"/>
  <c r="H1005" i="14"/>
  <c r="H1211" i="14"/>
  <c r="H1148" i="14"/>
  <c r="H1217" i="14"/>
  <c r="H1054" i="14"/>
  <c r="H1195" i="14"/>
  <c r="H1066" i="14"/>
  <c r="H1043" i="14"/>
  <c r="V1096" i="14"/>
  <c r="A1096" i="14" s="1"/>
  <c r="H1062" i="14"/>
  <c r="H1237" i="14"/>
  <c r="H1085" i="14"/>
  <c r="H1186" i="14"/>
  <c r="H1152" i="14"/>
  <c r="H1070" i="14"/>
  <c r="H1033" i="14"/>
  <c r="H1230" i="14"/>
  <c r="H1182" i="14"/>
  <c r="H1016" i="14"/>
  <c r="H1093" i="14"/>
  <c r="H1224" i="14"/>
  <c r="H1168" i="14"/>
  <c r="H1238" i="14"/>
  <c r="H1207" i="14"/>
  <c r="H1160" i="14"/>
  <c r="H1106" i="14"/>
  <c r="H1140" i="14"/>
  <c r="H1179" i="14"/>
  <c r="H1134" i="14"/>
  <c r="H1083" i="14"/>
  <c r="H1187" i="14"/>
  <c r="H1064" i="14"/>
  <c r="H1014" i="14"/>
  <c r="V1231" i="14"/>
  <c r="A1231" i="14" s="1"/>
  <c r="H1017" i="14"/>
  <c r="H1196" i="14"/>
  <c r="H1116" i="14"/>
  <c r="G1087" i="14"/>
  <c r="G1078" i="14"/>
  <c r="G1018" i="14"/>
  <c r="G1212" i="14"/>
  <c r="G1164" i="14"/>
  <c r="G1148" i="14"/>
  <c r="G1228" i="14"/>
  <c r="G1063" i="14"/>
  <c r="G1208" i="14"/>
  <c r="G1215" i="14"/>
  <c r="G1156" i="14"/>
  <c r="G1198" i="14"/>
  <c r="G1188" i="14"/>
  <c r="G1111" i="14"/>
  <c r="G1125" i="14"/>
  <c r="G1130" i="14"/>
  <c r="G1193" i="14"/>
  <c r="G1126" i="14"/>
  <c r="G1233" i="14"/>
  <c r="V1230" i="14"/>
  <c r="A1230" i="14" s="1"/>
  <c r="G1211" i="14"/>
  <c r="V1052" i="14"/>
  <c r="A1052" i="14" s="1"/>
  <c r="V1176" i="14"/>
  <c r="A1176" i="14" s="1"/>
  <c r="E997" i="14"/>
  <c r="E1093" i="14"/>
  <c r="E1099" i="14"/>
  <c r="E1157" i="14"/>
  <c r="E1045" i="14"/>
  <c r="E1149" i="14"/>
  <c r="E1181" i="14"/>
  <c r="E1231" i="14"/>
  <c r="E1151" i="14"/>
  <c r="E1090" i="14"/>
  <c r="E1033" i="14"/>
  <c r="E1087" i="14"/>
  <c r="E1109" i="14"/>
  <c r="E1192" i="14"/>
  <c r="E1154" i="14"/>
  <c r="E1222" i="14"/>
  <c r="E1173" i="14"/>
  <c r="V1076" i="14"/>
  <c r="A1076" i="14" s="1"/>
  <c r="V1051" i="14"/>
  <c r="A1051" i="14" s="1"/>
  <c r="V1147" i="14"/>
  <c r="A1147" i="14" s="1"/>
  <c r="V1232" i="14"/>
  <c r="A1232" i="14" s="1"/>
  <c r="V1094" i="14"/>
  <c r="A1094" i="14" s="1"/>
  <c r="V1070" i="14"/>
  <c r="A1070" i="14" s="1"/>
  <c r="V1139" i="14"/>
  <c r="A1139" i="14" s="1"/>
  <c r="V1130" i="14"/>
  <c r="A1130" i="14" s="1"/>
  <c r="V1014" i="14"/>
  <c r="A1014" i="14" s="1"/>
  <c r="V1108" i="14"/>
  <c r="A1108" i="14" s="1"/>
  <c r="V1155" i="14"/>
  <c r="A1155" i="14" s="1"/>
  <c r="V1214" i="14"/>
  <c r="A1214" i="14" s="1"/>
  <c r="V1194" i="14"/>
  <c r="A1194" i="14" s="1"/>
  <c r="V1169" i="14"/>
  <c r="A1169" i="14" s="1"/>
  <c r="V1238" i="14"/>
  <c r="A1238" i="14" s="1"/>
  <c r="V1158" i="14"/>
  <c r="A1158" i="14" s="1"/>
  <c r="V1078" i="14"/>
  <c r="A1078" i="14" s="1"/>
  <c r="V1135" i="14"/>
  <c r="A1135" i="14" s="1"/>
  <c r="V1086" i="14"/>
  <c r="A1086" i="14" s="1"/>
  <c r="V1048" i="14"/>
  <c r="A1048" i="14" s="1"/>
  <c r="V1125" i="14"/>
  <c r="A1125" i="14" s="1"/>
  <c r="V1079" i="14"/>
  <c r="A1079" i="14" s="1"/>
  <c r="V1191" i="14"/>
  <c r="A1191" i="14" s="1"/>
  <c r="V1104" i="14"/>
  <c r="A1104" i="14" s="1"/>
  <c r="V1204" i="14"/>
  <c r="A1204" i="14" s="1"/>
  <c r="V1025" i="14"/>
  <c r="A1025" i="14" s="1"/>
  <c r="V1141" i="14"/>
  <c r="A1141" i="14" s="1"/>
  <c r="V1027" i="14"/>
  <c r="A1027" i="14" s="1"/>
  <c r="V1218" i="14"/>
  <c r="A1218" i="14" s="1"/>
  <c r="V1020" i="14"/>
  <c r="A1020" i="14" s="1"/>
  <c r="V1217" i="14"/>
  <c r="A1217" i="14" s="1"/>
  <c r="V1058" i="14"/>
  <c r="A1058" i="14" s="1"/>
  <c r="V1120" i="14"/>
  <c r="A1120" i="14" s="1"/>
  <c r="V1153" i="14"/>
  <c r="A1153" i="14" s="1"/>
  <c r="V1124" i="14"/>
  <c r="A1124" i="14" s="1"/>
  <c r="V1057" i="14"/>
  <c r="A1057" i="14" s="1"/>
  <c r="V1210" i="14"/>
  <c r="A1210" i="14" s="1"/>
  <c r="V1009" i="14"/>
  <c r="A1009" i="14" s="1"/>
  <c r="V1022" i="14"/>
  <c r="A1022" i="14" s="1"/>
  <c r="V1164" i="14"/>
  <c r="A1164" i="14" s="1"/>
  <c r="V1101" i="14"/>
  <c r="A1101" i="14" s="1"/>
  <c r="V1145" i="14"/>
  <c r="A1145" i="14" s="1"/>
  <c r="V1050" i="14"/>
  <c r="A1050" i="14" s="1"/>
  <c r="I1026" i="14"/>
  <c r="I1080" i="14"/>
  <c r="I1208" i="14"/>
  <c r="I1146" i="14"/>
  <c r="I1173" i="14"/>
  <c r="I1039" i="14"/>
  <c r="I1231" i="14"/>
  <c r="I1181" i="14"/>
  <c r="I1145" i="14"/>
  <c r="I1186" i="14"/>
  <c r="I1148" i="14"/>
  <c r="I1047" i="14"/>
  <c r="I1034" i="14"/>
  <c r="I1155" i="14"/>
  <c r="I1089" i="14"/>
  <c r="I1202" i="14"/>
  <c r="I1013" i="14"/>
  <c r="I1157" i="14"/>
  <c r="I1209" i="14"/>
  <c r="I1210" i="14"/>
  <c r="V1201" i="14"/>
  <c r="A1201" i="14" s="1"/>
  <c r="V1066" i="14"/>
  <c r="A1066" i="14" s="1"/>
  <c r="V1207" i="14"/>
  <c r="A1207" i="14" s="1"/>
  <c r="V1098" i="14"/>
  <c r="A1098" i="14" s="1"/>
  <c r="F1069" i="14"/>
  <c r="F1169" i="14"/>
  <c r="F1149" i="14"/>
  <c r="F1114" i="14"/>
  <c r="F1118" i="14"/>
  <c r="F1238" i="14"/>
  <c r="F1015" i="14"/>
  <c r="F1107" i="14"/>
  <c r="F1231" i="14"/>
  <c r="F1235" i="14"/>
  <c r="F1030" i="14"/>
  <c r="F1020" i="14"/>
  <c r="F1085" i="14"/>
  <c r="F1184" i="14"/>
  <c r="F1053" i="14"/>
  <c r="F1048" i="14"/>
  <c r="V1212" i="14"/>
  <c r="A1212" i="14" s="1"/>
  <c r="V1012" i="14"/>
  <c r="A1012" i="14" s="1"/>
  <c r="V1071" i="14"/>
  <c r="A1071" i="14" s="1"/>
  <c r="J1079" i="14" l="1"/>
  <c r="J1019" i="14"/>
  <c r="J1070" i="14"/>
  <c r="J1040" i="14"/>
  <c r="J1084" i="14"/>
  <c r="J1219" i="14"/>
  <c r="J1027" i="14"/>
  <c r="J1009" i="14"/>
  <c r="J1200" i="14"/>
  <c r="J1139" i="14"/>
  <c r="J1101" i="14"/>
  <c r="J1105" i="14"/>
  <c r="J1068" i="14"/>
  <c r="J1164" i="14"/>
  <c r="J1097" i="14"/>
  <c r="J1031" i="14"/>
  <c r="J1194" i="14"/>
  <c r="J1130" i="14"/>
  <c r="J1025" i="14"/>
  <c r="J1233" i="14"/>
  <c r="J1075" i="14"/>
  <c r="J1044" i="14"/>
  <c r="J1210" i="14"/>
  <c r="J1041" i="14"/>
  <c r="J1064" i="14"/>
  <c r="J1206" i="14"/>
  <c r="J1135" i="14"/>
  <c r="J1153" i="14"/>
  <c r="J1141" i="14"/>
  <c r="J1094" i="14"/>
  <c r="J1076" i="14"/>
  <c r="J1066" i="14"/>
  <c r="J1098" i="14"/>
  <c r="J1055" i="14"/>
  <c r="J1223" i="14"/>
  <c r="J1026" i="14"/>
  <c r="J1154" i="14"/>
  <c r="J1083" i="14"/>
  <c r="J1182" i="14"/>
  <c r="J1236" i="14"/>
  <c r="J1092" i="14"/>
  <c r="J997" i="14"/>
  <c r="J1198" i="14"/>
  <c r="J1005" i="14"/>
  <c r="J1227" i="14"/>
  <c r="J1189" i="14"/>
  <c r="J1177" i="14"/>
  <c r="J1220" i="14"/>
  <c r="J1216" i="14"/>
  <c r="J1144" i="14"/>
  <c r="J1156" i="14"/>
  <c r="J1196" i="14"/>
  <c r="J1112" i="14"/>
  <c r="J1001" i="14"/>
  <c r="J1190" i="14"/>
  <c r="J1015" i="14"/>
  <c r="J1151" i="14"/>
  <c r="J1032" i="14"/>
  <c r="J1082" i="14"/>
  <c r="J1229" i="14"/>
  <c r="J1184" i="14"/>
  <c r="J1169" i="14"/>
  <c r="J1188" i="14"/>
  <c r="J1143" i="14"/>
  <c r="J1109" i="14"/>
  <c r="J1123" i="14"/>
  <c r="J1119" i="14"/>
  <c r="J1017" i="14"/>
  <c r="J1054" i="14"/>
  <c r="J1170" i="14"/>
  <c r="J1081" i="14"/>
  <c r="J1035" i="14"/>
  <c r="J1127" i="14"/>
  <c r="J1049" i="14"/>
  <c r="J1205" i="14"/>
  <c r="J1115" i="14"/>
  <c r="J1008" i="14"/>
  <c r="J1165" i="14"/>
  <c r="J1103" i="14"/>
  <c r="J1048" i="14"/>
  <c r="J1222" i="14"/>
  <c r="J1018" i="14"/>
  <c r="J1175" i="14"/>
  <c r="J1185" i="14"/>
  <c r="J1038" i="14"/>
  <c r="J1045" i="14"/>
  <c r="J1078" i="14"/>
  <c r="J1043" i="14"/>
  <c r="J1071" i="14"/>
  <c r="J1037" i="14"/>
  <c r="J1183" i="14"/>
  <c r="J1067" i="14"/>
  <c r="J1059" i="14"/>
  <c r="J1104" i="14"/>
  <c r="J1012" i="14"/>
  <c r="J1095" i="14"/>
  <c r="J1132" i="14"/>
  <c r="J1058" i="14"/>
  <c r="J1073" i="14"/>
  <c r="J1003" i="14"/>
  <c r="J1176" i="14"/>
  <c r="J1129" i="14"/>
  <c r="J1158" i="14"/>
  <c r="J1197" i="14"/>
  <c r="J1030" i="14"/>
  <c r="J1140" i="14"/>
  <c r="J1016" i="14"/>
  <c r="J1191" i="14"/>
  <c r="J1057" i="14"/>
  <c r="J1213" i="14"/>
  <c r="J1024" i="14"/>
  <c r="J1004" i="14"/>
  <c r="J1232" i="14"/>
  <c r="J1199" i="14"/>
  <c r="J1238" i="14"/>
  <c r="J1239" i="14"/>
  <c r="J998" i="14"/>
  <c r="J1234" i="14"/>
  <c r="J1086" i="14"/>
  <c r="J1226" i="14"/>
  <c r="J1028" i="14"/>
  <c r="J1136" i="14"/>
  <c r="J1113" i="14"/>
  <c r="J1056" i="14"/>
  <c r="J1089" i="14"/>
  <c r="J1192" i="14"/>
  <c r="J1120" i="14"/>
  <c r="J1029" i="14"/>
  <c r="J1022" i="14"/>
  <c r="J1126" i="14"/>
  <c r="J1111" i="14"/>
  <c r="J1215" i="14"/>
  <c r="J1214" i="14"/>
  <c r="J1100" i="14"/>
  <c r="J1036" i="14"/>
  <c r="J1042" i="14"/>
  <c r="J1171" i="14"/>
  <c r="J1159" i="14"/>
  <c r="J1131" i="14"/>
  <c r="J1000" i="14"/>
  <c r="J1046" i="14"/>
  <c r="J1074" i="14"/>
  <c r="J1133" i="14"/>
  <c r="J1124" i="14"/>
  <c r="J1201" i="14"/>
  <c r="J1145" i="14"/>
  <c r="J1178" i="14"/>
  <c r="J1033" i="14"/>
  <c r="J1149" i="14"/>
  <c r="J1208" i="14"/>
  <c r="J1121" i="14"/>
  <c r="J1010" i="14"/>
  <c r="J1225" i="14"/>
  <c r="J1221" i="14"/>
  <c r="J1138" i="14"/>
  <c r="J1051" i="14"/>
  <c r="J1204" i="14"/>
  <c r="J1230" i="14"/>
  <c r="J1166" i="14"/>
  <c r="J1173" i="14"/>
  <c r="J1093" i="14"/>
  <c r="J1152" i="14"/>
  <c r="J1217" i="14"/>
  <c r="J1077" i="14"/>
  <c r="J1052" i="14"/>
  <c r="J1061" i="14"/>
  <c r="J1096" i="14"/>
  <c r="J1002" i="14"/>
  <c r="J1110" i="14"/>
  <c r="J1122" i="14"/>
  <c r="V1122" i="14"/>
  <c r="A1122" i="14" s="1"/>
  <c r="AA8" i="14" s="1"/>
  <c r="J999" i="14"/>
  <c r="J1128" i="14"/>
  <c r="J1034" i="14"/>
  <c r="J1047" i="14"/>
  <c r="J1023" i="14"/>
  <c r="J1091" i="14"/>
  <c r="J1125" i="14"/>
  <c r="J1007" i="14"/>
  <c r="J1147" i="14"/>
  <c r="J1180" i="14"/>
  <c r="J1167" i="14"/>
  <c r="J1065" i="14"/>
  <c r="J1134" i="14"/>
  <c r="J1011" i="14"/>
  <c r="J1172" i="14"/>
  <c r="J1085" i="14"/>
  <c r="J1118" i="14"/>
  <c r="J1231" i="14"/>
  <c r="J1063" i="14"/>
  <c r="J1168" i="14"/>
  <c r="J1195" i="14"/>
  <c r="J1020" i="14"/>
  <c r="J1114" i="14"/>
  <c r="J1155" i="14"/>
  <c r="J1090" i="14"/>
  <c r="J1099" i="14"/>
  <c r="J1228" i="14"/>
  <c r="J1014" i="14"/>
  <c r="J1224" i="14"/>
  <c r="J1174" i="14"/>
  <c r="J1150" i="14"/>
  <c r="J1117" i="14"/>
  <c r="J1202" i="14"/>
  <c r="J1146" i="14"/>
  <c r="J1106" i="14"/>
  <c r="J1062" i="14"/>
  <c r="J1060" i="14"/>
  <c r="J1107" i="14"/>
  <c r="J1039" i="14"/>
  <c r="J1053" i="14"/>
  <c r="J1013" i="14"/>
  <c r="J1087" i="14"/>
  <c r="J1211" i="14"/>
  <c r="J1148" i="14"/>
  <c r="J1179" i="14"/>
  <c r="J1162" i="14"/>
  <c r="J1006" i="14"/>
  <c r="J1021" i="14"/>
  <c r="J1193" i="14"/>
  <c r="J1108" i="14"/>
  <c r="J1137" i="14"/>
  <c r="J1187" i="14"/>
  <c r="J1102" i="14"/>
  <c r="J1161" i="14"/>
  <c r="J1050" i="14"/>
  <c r="J1157" i="14"/>
  <c r="V214" i="10"/>
  <c r="M215" i="10"/>
  <c r="J1181" i="14"/>
  <c r="J1080" i="14"/>
  <c r="J1207" i="14"/>
  <c r="J1235" i="14"/>
  <c r="J1069" i="14"/>
  <c r="J1142" i="14"/>
  <c r="J1212" i="14"/>
  <c r="J1163" i="14"/>
  <c r="J1209" i="14"/>
  <c r="J1116" i="14"/>
  <c r="J1160" i="14"/>
  <c r="J1186" i="14"/>
  <c r="J1072" i="14"/>
  <c r="J1237" i="14"/>
  <c r="J1203" i="14"/>
  <c r="J1088" i="14"/>
  <c r="L216" i="10"/>
  <c r="U215" i="10"/>
  <c r="I137" i="13" l="1"/>
  <c r="G137" i="13"/>
  <c r="K157" i="13"/>
  <c r="E137" i="13"/>
  <c r="J157" i="13"/>
  <c r="AB8" i="14"/>
  <c r="H157" i="13"/>
  <c r="D137" i="13"/>
  <c r="D157" i="13" s="1"/>
  <c r="AJ31" i="14" s="1"/>
  <c r="J137" i="13"/>
  <c r="M216" i="10"/>
  <c r="V215" i="10"/>
  <c r="L217" i="10"/>
  <c r="U216" i="10"/>
  <c r="L137" i="13" l="1"/>
  <c r="K137" i="13"/>
  <c r="G104" i="13" s="1"/>
  <c r="AB51" i="14" s="1"/>
  <c r="U217" i="10"/>
  <c r="L218" i="10"/>
  <c r="V216" i="10"/>
  <c r="M217" i="10"/>
  <c r="I104" i="13" l="1"/>
  <c r="AA51" i="14"/>
  <c r="H104" i="13" s="1"/>
  <c r="L219" i="10"/>
  <c r="U218" i="10"/>
  <c r="M218" i="10"/>
  <c r="V217" i="10"/>
  <c r="M219" i="10" l="1"/>
  <c r="V218" i="10"/>
  <c r="L220" i="10"/>
  <c r="U219" i="10"/>
  <c r="L221" i="10" l="1"/>
  <c r="U220" i="10"/>
  <c r="M220" i="10"/>
  <c r="V219" i="10"/>
  <c r="M221" i="10" l="1"/>
  <c r="V220" i="10"/>
  <c r="L222" i="10"/>
  <c r="U221" i="10"/>
  <c r="L223" i="10" l="1"/>
  <c r="U222" i="10"/>
  <c r="V221" i="10"/>
  <c r="M222" i="10"/>
  <c r="V222" i="10" l="1"/>
  <c r="M223" i="10"/>
  <c r="U223" i="10"/>
  <c r="L224" i="10"/>
  <c r="L225" i="10" l="1"/>
  <c r="U224" i="10"/>
  <c r="M224" i="10"/>
  <c r="V223" i="10"/>
  <c r="V224" i="10" l="1"/>
  <c r="M225" i="10"/>
  <c r="U225" i="10"/>
  <c r="L226" i="10"/>
  <c r="U226" i="10" l="1"/>
  <c r="L227" i="10"/>
  <c r="V225" i="10"/>
  <c r="M226" i="10"/>
  <c r="V226" i="10" l="1"/>
  <c r="M227" i="10"/>
  <c r="L228" i="10"/>
  <c r="U227" i="10"/>
  <c r="U228" i="10" l="1"/>
  <c r="L229" i="10"/>
  <c r="M228" i="10"/>
  <c r="V227" i="10"/>
  <c r="V228" i="10" l="1"/>
  <c r="M229" i="10"/>
  <c r="U229" i="10"/>
  <c r="L230" i="10"/>
  <c r="U230" i="10" l="1"/>
  <c r="L231" i="10"/>
  <c r="M230" i="10"/>
  <c r="V229" i="10"/>
  <c r="M231" i="10" l="1"/>
  <c r="V230" i="10"/>
  <c r="U231" i="10"/>
  <c r="L232" i="10"/>
  <c r="L233" i="10" l="1"/>
  <c r="U232" i="10"/>
  <c r="M232" i="10"/>
  <c r="V231" i="10"/>
  <c r="M233" i="10" l="1"/>
  <c r="V232" i="10"/>
  <c r="U233" i="10"/>
  <c r="L234" i="10"/>
  <c r="L235" i="10" l="1"/>
  <c r="U234" i="10"/>
  <c r="M234" i="10"/>
  <c r="V233" i="10"/>
  <c r="M235" i="10" l="1"/>
  <c r="V234" i="10"/>
  <c r="U235" i="10"/>
  <c r="L236" i="10"/>
  <c r="U236" i="10" l="1"/>
  <c r="L237" i="10"/>
  <c r="M236" i="10"/>
  <c r="V235" i="10"/>
  <c r="V236" i="10" l="1"/>
  <c r="M237" i="10"/>
  <c r="U237" i="10"/>
  <c r="L238" i="10"/>
  <c r="U238" i="10" l="1"/>
  <c r="L239" i="10"/>
  <c r="V237" i="10"/>
  <c r="M238" i="10"/>
  <c r="V238" i="10" l="1"/>
  <c r="M239" i="10"/>
  <c r="U239" i="10"/>
  <c r="L240" i="10"/>
  <c r="V239" i="10" l="1"/>
  <c r="M240" i="10"/>
  <c r="U240" i="10"/>
  <c r="L241" i="10"/>
  <c r="L242" i="10" l="1"/>
  <c r="U241" i="10"/>
  <c r="M241" i="10"/>
  <c r="V240" i="10"/>
  <c r="M242" i="10" l="1"/>
  <c r="V241" i="10"/>
  <c r="L243" i="10"/>
  <c r="U242" i="10"/>
  <c r="U243" i="10" l="1"/>
  <c r="L244" i="10"/>
  <c r="V242" i="10"/>
  <c r="M243" i="10"/>
  <c r="V243" i="10" l="1"/>
  <c r="M244" i="10"/>
  <c r="L245" i="10"/>
  <c r="U244" i="10"/>
  <c r="L246" i="10" l="1"/>
  <c r="U245" i="10"/>
  <c r="M245" i="10"/>
  <c r="V244" i="10"/>
  <c r="V245" i="10" l="1"/>
  <c r="M246" i="10"/>
  <c r="U246" i="10"/>
  <c r="L247" i="10"/>
  <c r="L248" i="10" l="1"/>
  <c r="U247" i="10"/>
  <c r="M247" i="10"/>
  <c r="V246" i="10"/>
  <c r="M248" i="10" l="1"/>
  <c r="V247" i="10"/>
  <c r="L249" i="10"/>
  <c r="U248" i="10"/>
  <c r="U249" i="10" l="1"/>
  <c r="L250" i="10"/>
  <c r="M249" i="10"/>
  <c r="V248" i="10"/>
  <c r="V249" i="10" l="1"/>
  <c r="M250" i="10"/>
  <c r="U250" i="10"/>
  <c r="E156" i="12"/>
  <c r="L251" i="10"/>
  <c r="F205" i="13" l="1"/>
  <c r="E105" i="13"/>
  <c r="M251" i="10"/>
  <c r="F156" i="12"/>
  <c r="F105" i="13" s="1"/>
  <c r="V250" i="10"/>
  <c r="U251" i="10"/>
  <c r="L252" i="10"/>
  <c r="AD52" i="14" l="1"/>
  <c r="AM32" i="14"/>
  <c r="AO32" i="14"/>
  <c r="Z52" i="14"/>
  <c r="AN32" i="14"/>
  <c r="AL32" i="14"/>
  <c r="AP32" i="14"/>
  <c r="U252" i="10"/>
  <c r="L253" i="10"/>
  <c r="M252" i="10"/>
  <c r="V251" i="10"/>
  <c r="O1481" i="14" l="1"/>
  <c r="U1481" i="14" s="1"/>
  <c r="O1392" i="14"/>
  <c r="U1392" i="14" s="1"/>
  <c r="O1290" i="14"/>
  <c r="U1290" i="14" s="1"/>
  <c r="O1330" i="14"/>
  <c r="U1330" i="14" s="1"/>
  <c r="O1441" i="14"/>
  <c r="U1441" i="14" s="1"/>
  <c r="O1257" i="14"/>
  <c r="U1257" i="14" s="1"/>
  <c r="O1250" i="14"/>
  <c r="U1250" i="14" s="1"/>
  <c r="O1322" i="14"/>
  <c r="U1322" i="14" s="1"/>
  <c r="O1401" i="14"/>
  <c r="U1401" i="14" s="1"/>
  <c r="O1328" i="14"/>
  <c r="U1328" i="14" s="1"/>
  <c r="O1306" i="14"/>
  <c r="U1306" i="14" s="1"/>
  <c r="O1315" i="14"/>
  <c r="U1315" i="14" s="1"/>
  <c r="O1425" i="14"/>
  <c r="U1425" i="14" s="1"/>
  <c r="O1424" i="14"/>
  <c r="U1424" i="14" s="1"/>
  <c r="O1253" i="14"/>
  <c r="U1253" i="14" s="1"/>
  <c r="O1370" i="14"/>
  <c r="U1370" i="14" s="1"/>
  <c r="O1344" i="14"/>
  <c r="U1344" i="14" s="1"/>
  <c r="O1357" i="14"/>
  <c r="U1357" i="14" s="1"/>
  <c r="O1464" i="14"/>
  <c r="U1464" i="14" s="1"/>
  <c r="O1383" i="14"/>
  <c r="U1383" i="14" s="1"/>
  <c r="O1363" i="14"/>
  <c r="U1363" i="14" s="1"/>
  <c r="O1358" i="14"/>
  <c r="U1358" i="14" s="1"/>
  <c r="O1436" i="14"/>
  <c r="U1436" i="14" s="1"/>
  <c r="O1389" i="14"/>
  <c r="U1389" i="14" s="1"/>
  <c r="O1384" i="14"/>
  <c r="U1384" i="14" s="1"/>
  <c r="O1446" i="14"/>
  <c r="U1446" i="14" s="1"/>
  <c r="O1359" i="14"/>
  <c r="U1359" i="14" s="1"/>
  <c r="O1418" i="14"/>
  <c r="U1418" i="14" s="1"/>
  <c r="O1369" i="14"/>
  <c r="U1369" i="14" s="1"/>
  <c r="O1415" i="14"/>
  <c r="U1415" i="14" s="1"/>
  <c r="O1294" i="14"/>
  <c r="U1294" i="14" s="1"/>
  <c r="O1430" i="14"/>
  <c r="U1430" i="14" s="1"/>
  <c r="O1439" i="14"/>
  <c r="U1439" i="14" s="1"/>
  <c r="O1262" i="14"/>
  <c r="U1262" i="14" s="1"/>
  <c r="O1288" i="14"/>
  <c r="U1288" i="14" s="1"/>
  <c r="O1276" i="14"/>
  <c r="U1276" i="14" s="1"/>
  <c r="O1414" i="14"/>
  <c r="U1414" i="14" s="1"/>
  <c r="O1259" i="14"/>
  <c r="U1259" i="14" s="1"/>
  <c r="O1469" i="14"/>
  <c r="U1469" i="14" s="1"/>
  <c r="O1278" i="14"/>
  <c r="U1278" i="14" s="1"/>
  <c r="O1295" i="14"/>
  <c r="U1295" i="14" s="1"/>
  <c r="O1372" i="14"/>
  <c r="U1372" i="14" s="1"/>
  <c r="O1325" i="14"/>
  <c r="U1325" i="14" s="1"/>
  <c r="O1411" i="14"/>
  <c r="U1411" i="14" s="1"/>
  <c r="O1255" i="14"/>
  <c r="U1255" i="14" s="1"/>
  <c r="O1332" i="14"/>
  <c r="U1332" i="14" s="1"/>
  <c r="O1482" i="14"/>
  <c r="U1482" i="14" s="1"/>
  <c r="O1371" i="14"/>
  <c r="U1371" i="14" s="1"/>
  <c r="O1292" i="14"/>
  <c r="U1292" i="14" s="1"/>
  <c r="O1388" i="14"/>
  <c r="U1388" i="14" s="1"/>
  <c r="O1474" i="14"/>
  <c r="U1474" i="14" s="1"/>
  <c r="O1366" i="14"/>
  <c r="U1366" i="14" s="1"/>
  <c r="O1285" i="14"/>
  <c r="U1285" i="14" s="1"/>
  <c r="O1275" i="14"/>
  <c r="U1275" i="14" s="1"/>
  <c r="O1480" i="14"/>
  <c r="U1480" i="14" s="1"/>
  <c r="O1485" i="14"/>
  <c r="U1485" i="14" s="1"/>
  <c r="O1455" i="14"/>
  <c r="U1455" i="14" s="1"/>
  <c r="O1374" i="14"/>
  <c r="U1374" i="14" s="1"/>
  <c r="O1407" i="14"/>
  <c r="U1407" i="14" s="1"/>
  <c r="O1340" i="14"/>
  <c r="U1340" i="14" s="1"/>
  <c r="O1458" i="14"/>
  <c r="U1458" i="14" s="1"/>
  <c r="O1300" i="14"/>
  <c r="U1300" i="14" s="1"/>
  <c r="O1408" i="14"/>
  <c r="U1408" i="14" s="1"/>
  <c r="O1442" i="14"/>
  <c r="U1442" i="14" s="1"/>
  <c r="O1284" i="14"/>
  <c r="U1284" i="14" s="1"/>
  <c r="O1451" i="14"/>
  <c r="U1451" i="14" s="1"/>
  <c r="O1247" i="14"/>
  <c r="U1247" i="14" s="1"/>
  <c r="O1486" i="14"/>
  <c r="U1486" i="14" s="1"/>
  <c r="O1248" i="14"/>
  <c r="U1248" i="14" s="1"/>
  <c r="O1381" i="14"/>
  <c r="U1381" i="14" s="1"/>
  <c r="O1274" i="14"/>
  <c r="U1274" i="14" s="1"/>
  <c r="O1305" i="14"/>
  <c r="U1305" i="14" s="1"/>
  <c r="O1398" i="14"/>
  <c r="U1398" i="14" s="1"/>
  <c r="O1335" i="14"/>
  <c r="U1335" i="14" s="1"/>
  <c r="O1460" i="14"/>
  <c r="U1460" i="14" s="1"/>
  <c r="O1342" i="14"/>
  <c r="U1342" i="14" s="1"/>
  <c r="O1440" i="14"/>
  <c r="U1440" i="14" s="1"/>
  <c r="O1402" i="14"/>
  <c r="U1402" i="14" s="1"/>
  <c r="O1434" i="14"/>
  <c r="U1434" i="14" s="1"/>
  <c r="O1353" i="14"/>
  <c r="U1353" i="14" s="1"/>
  <c r="O1431" i="14"/>
  <c r="U1431" i="14" s="1"/>
  <c r="O1368" i="14"/>
  <c r="U1368" i="14" s="1"/>
  <c r="O1280" i="14"/>
  <c r="U1280" i="14" s="1"/>
  <c r="O1478" i="14"/>
  <c r="U1478" i="14" s="1"/>
  <c r="O1391" i="14"/>
  <c r="U1391" i="14" s="1"/>
  <c r="O1302" i="14"/>
  <c r="U1302" i="14" s="1"/>
  <c r="O1272" i="14"/>
  <c r="U1272" i="14" s="1"/>
  <c r="O1438" i="14"/>
  <c r="U1438" i="14" s="1"/>
  <c r="O1447" i="14"/>
  <c r="U1447" i="14" s="1"/>
  <c r="O1286" i="14"/>
  <c r="U1286" i="14" s="1"/>
  <c r="O1264" i="14"/>
  <c r="U1264" i="14" s="1"/>
  <c r="O1462" i="14"/>
  <c r="U1462" i="14" s="1"/>
  <c r="O1471" i="14"/>
  <c r="U1471" i="14" s="1"/>
  <c r="O1273" i="14"/>
  <c r="U1273" i="14" s="1"/>
  <c r="O1320" i="14"/>
  <c r="U1320" i="14" s="1"/>
  <c r="O1417" i="14"/>
  <c r="U1417" i="14" s="1"/>
  <c r="O1313" i="14"/>
  <c r="U1313" i="14" s="1"/>
  <c r="O1386" i="14"/>
  <c r="U1386" i="14" s="1"/>
  <c r="O1420" i="14"/>
  <c r="U1420" i="14" s="1"/>
  <c r="O1361" i="14"/>
  <c r="U1361" i="14" s="1"/>
  <c r="O1307" i="14"/>
  <c r="U1307" i="14" s="1"/>
  <c r="O1308" i="14"/>
  <c r="U1308" i="14" s="1"/>
  <c r="O1309" i="14"/>
  <c r="U1309" i="14" s="1"/>
  <c r="O1426" i="14"/>
  <c r="U1426" i="14" s="1"/>
  <c r="O1475" i="14"/>
  <c r="U1475" i="14" s="1"/>
  <c r="O1319" i="14"/>
  <c r="U1319" i="14" s="1"/>
  <c r="O1396" i="14"/>
  <c r="U1396" i="14" s="1"/>
  <c r="O1291" i="14"/>
  <c r="U1291" i="14" s="1"/>
  <c r="O1406" i="14"/>
  <c r="U1406" i="14" s="1"/>
  <c r="O1452" i="14"/>
  <c r="U1452" i="14" s="1"/>
  <c r="O1373" i="14"/>
  <c r="U1373" i="14" s="1"/>
  <c r="O1459" i="14"/>
  <c r="U1459" i="14" s="1"/>
  <c r="O1303" i="14"/>
  <c r="U1303" i="14" s="1"/>
  <c r="O1476" i="14"/>
  <c r="U1476" i="14" s="1"/>
  <c r="O1429" i="14"/>
  <c r="U1429" i="14" s="1"/>
  <c r="O1270" i="14"/>
  <c r="U1270" i="14" s="1"/>
  <c r="O1404" i="14"/>
  <c r="U1404" i="14" s="1"/>
  <c r="O1323" i="14"/>
  <c r="U1323" i="14" s="1"/>
  <c r="O1403" i="14"/>
  <c r="U1403" i="14" s="1"/>
  <c r="O1251" i="14"/>
  <c r="U1251" i="14" s="1"/>
  <c r="O1317" i="14"/>
  <c r="U1317" i="14" s="1"/>
  <c r="O1355" i="14"/>
  <c r="U1355" i="14" s="1"/>
  <c r="O1245" i="14"/>
  <c r="U1245" i="14" s="1"/>
  <c r="O1362" i="14"/>
  <c r="U1362" i="14" s="1"/>
  <c r="O1473" i="14"/>
  <c r="U1473" i="14" s="1"/>
  <c r="O1360" i="14"/>
  <c r="U1360" i="14" s="1"/>
  <c r="O1282" i="14"/>
  <c r="U1282" i="14" s="1"/>
  <c r="O1354" i="14"/>
  <c r="U1354" i="14" s="1"/>
  <c r="O1433" i="14"/>
  <c r="U1433" i="14" s="1"/>
  <c r="O1456" i="14"/>
  <c r="U1456" i="14" s="1"/>
  <c r="O1261" i="14"/>
  <c r="U1261" i="14" s="1"/>
  <c r="O1346" i="14"/>
  <c r="U1346" i="14" s="1"/>
  <c r="O1395" i="14"/>
  <c r="U1395" i="14" s="1"/>
  <c r="O1316" i="14"/>
  <c r="U1316" i="14" s="1"/>
  <c r="O1400" i="14"/>
  <c r="U1400" i="14" s="1"/>
  <c r="O1394" i="14"/>
  <c r="U1394" i="14" s="1"/>
  <c r="O1314" i="14"/>
  <c r="U1314" i="14" s="1"/>
  <c r="O1341" i="14"/>
  <c r="U1341" i="14" s="1"/>
  <c r="O1266" i="14"/>
  <c r="U1266" i="14" s="1"/>
  <c r="I1481" i="14"/>
  <c r="I1441" i="14"/>
  <c r="I1344" i="14"/>
  <c r="I1272" i="14"/>
  <c r="I1328" i="14"/>
  <c r="O1263" i="14"/>
  <c r="U1263" i="14" s="1"/>
  <c r="O1301" i="14"/>
  <c r="U1301" i="14" s="1"/>
  <c r="O1260" i="14"/>
  <c r="U1260" i="14" s="1"/>
  <c r="O1347" i="14"/>
  <c r="U1347" i="14" s="1"/>
  <c r="O1333" i="14"/>
  <c r="U1333" i="14" s="1"/>
  <c r="O1327" i="14"/>
  <c r="U1327" i="14" s="1"/>
  <c r="O1444" i="14"/>
  <c r="U1444" i="14" s="1"/>
  <c r="O1249" i="14"/>
  <c r="U1249" i="14" s="1"/>
  <c r="O1487" i="14"/>
  <c r="U1487" i="14" s="1"/>
  <c r="O1310" i="14"/>
  <c r="U1310" i="14" s="1"/>
  <c r="O1393" i="14"/>
  <c r="U1393" i="14" s="1"/>
  <c r="O1338" i="14"/>
  <c r="U1338" i="14" s="1"/>
  <c r="O1443" i="14"/>
  <c r="U1443" i="14" s="1"/>
  <c r="O1293" i="14"/>
  <c r="U1293" i="14" s="1"/>
  <c r="O1422" i="14"/>
  <c r="U1422" i="14" s="1"/>
  <c r="O1246" i="14"/>
  <c r="U1246" i="14" s="1"/>
  <c r="O1445" i="14"/>
  <c r="U1445" i="14" s="1"/>
  <c r="O1351" i="14"/>
  <c r="U1351" i="14" s="1"/>
  <c r="O1329" i="14"/>
  <c r="U1329" i="14" s="1"/>
  <c r="O1483" i="14"/>
  <c r="U1483" i="14" s="1"/>
  <c r="O1377" i="14"/>
  <c r="U1377" i="14" s="1"/>
  <c r="O1271" i="14"/>
  <c r="U1271" i="14" s="1"/>
  <c r="O1390" i="14"/>
  <c r="U1390" i="14" s="1"/>
  <c r="O1468" i="14"/>
  <c r="U1468" i="14" s="1"/>
  <c r="O1421" i="14"/>
  <c r="U1421" i="14" s="1"/>
  <c r="O1339" i="14"/>
  <c r="U1339" i="14" s="1"/>
  <c r="O1350" i="14"/>
  <c r="U1350" i="14" s="1"/>
  <c r="O1428" i="14"/>
  <c r="U1428" i="14" s="1"/>
  <c r="O1413" i="14"/>
  <c r="U1413" i="14" s="1"/>
  <c r="O1467" i="14"/>
  <c r="U1467" i="14" s="1"/>
  <c r="O1311" i="14"/>
  <c r="U1311" i="14" s="1"/>
  <c r="O1484" i="14"/>
  <c r="U1484" i="14" s="1"/>
  <c r="O1405" i="14"/>
  <c r="U1405" i="14" s="1"/>
  <c r="O1321" i="14"/>
  <c r="U1321" i="14" s="1"/>
  <c r="O1334" i="14"/>
  <c r="U1334" i="14" s="1"/>
  <c r="O1343" i="14"/>
  <c r="U1343" i="14" s="1"/>
  <c r="O1461" i="14"/>
  <c r="U1461" i="14" s="1"/>
  <c r="O1289" i="14"/>
  <c r="U1289" i="14" s="1"/>
  <c r="O1254" i="14"/>
  <c r="U1254" i="14" s="1"/>
  <c r="O1287" i="14"/>
  <c r="U1287" i="14" s="1"/>
  <c r="O1465" i="14"/>
  <c r="U1465" i="14" s="1"/>
  <c r="O1432" i="14"/>
  <c r="U1432" i="14" s="1"/>
  <c r="I1401" i="14"/>
  <c r="O1449" i="14"/>
  <c r="U1449" i="14" s="1"/>
  <c r="O1281" i="14"/>
  <c r="U1281" i="14" s="1"/>
  <c r="O1258" i="14"/>
  <c r="U1258" i="14" s="1"/>
  <c r="O1299" i="14"/>
  <c r="U1299" i="14" s="1"/>
  <c r="O1448" i="14"/>
  <c r="U1448" i="14" s="1"/>
  <c r="O1268" i="14"/>
  <c r="U1268" i="14" s="1"/>
  <c r="O1269" i="14"/>
  <c r="U1269" i="14" s="1"/>
  <c r="O1472" i="14"/>
  <c r="U1472" i="14" s="1"/>
  <c r="O1279" i="14"/>
  <c r="U1279" i="14" s="1"/>
  <c r="O1324" i="14"/>
  <c r="U1324" i="14" s="1"/>
  <c r="O1410" i="14"/>
  <c r="U1410" i="14" s="1"/>
  <c r="O1376" i="14"/>
  <c r="U1376" i="14" s="1"/>
  <c r="O1252" i="14"/>
  <c r="U1252" i="14" s="1"/>
  <c r="O1348" i="14"/>
  <c r="U1348" i="14" s="1"/>
  <c r="O1466" i="14"/>
  <c r="U1466" i="14" s="1"/>
  <c r="O1419" i="14"/>
  <c r="U1419" i="14" s="1"/>
  <c r="O1267" i="14"/>
  <c r="U1267" i="14" s="1"/>
  <c r="O1364" i="14"/>
  <c r="U1364" i="14" s="1"/>
  <c r="O1337" i="14"/>
  <c r="U1337" i="14" s="1"/>
  <c r="O1427" i="14"/>
  <c r="U1427" i="14" s="1"/>
  <c r="O1256" i="14"/>
  <c r="U1256" i="14" s="1"/>
  <c r="O1385" i="14"/>
  <c r="U1385" i="14" s="1"/>
  <c r="O1463" i="14"/>
  <c r="U1463" i="14" s="1"/>
  <c r="O1331" i="14"/>
  <c r="U1331" i="14" s="1"/>
  <c r="O1312" i="14"/>
  <c r="U1312" i="14" s="1"/>
  <c r="O1345" i="14"/>
  <c r="U1345" i="14" s="1"/>
  <c r="O1423" i="14"/>
  <c r="U1423" i="14" s="1"/>
  <c r="O1336" i="14"/>
  <c r="U1336" i="14" s="1"/>
  <c r="O1304" i="14"/>
  <c r="U1304" i="14" s="1"/>
  <c r="O1470" i="14"/>
  <c r="U1470" i="14" s="1"/>
  <c r="O1479" i="14"/>
  <c r="U1479" i="14" s="1"/>
  <c r="O1297" i="14"/>
  <c r="U1297" i="14" s="1"/>
  <c r="O1296" i="14"/>
  <c r="U1296" i="14" s="1"/>
  <c r="O1457" i="14"/>
  <c r="U1457" i="14" s="1"/>
  <c r="O1375" i="14"/>
  <c r="U1375" i="14" s="1"/>
  <c r="O1365" i="14"/>
  <c r="U1365" i="14" s="1"/>
  <c r="O1416" i="14"/>
  <c r="U1416" i="14" s="1"/>
  <c r="O1326" i="14"/>
  <c r="U1326" i="14" s="1"/>
  <c r="O1265" i="14"/>
  <c r="U1265" i="14" s="1"/>
  <c r="O1349" i="14"/>
  <c r="U1349" i="14" s="1"/>
  <c r="I1257" i="14"/>
  <c r="O1397" i="14"/>
  <c r="U1397" i="14" s="1"/>
  <c r="O1379" i="14"/>
  <c r="U1379" i="14" s="1"/>
  <c r="O1450" i="14"/>
  <c r="U1450" i="14" s="1"/>
  <c r="O1356" i="14"/>
  <c r="U1356" i="14" s="1"/>
  <c r="O1380" i="14"/>
  <c r="U1380" i="14" s="1"/>
  <c r="O1277" i="14"/>
  <c r="U1277" i="14" s="1"/>
  <c r="O1378" i="14"/>
  <c r="U1378" i="14" s="1"/>
  <c r="O1399" i="14"/>
  <c r="U1399" i="14" s="1"/>
  <c r="O1409" i="14"/>
  <c r="U1409" i="14" s="1"/>
  <c r="O1435" i="14"/>
  <c r="U1435" i="14" s="1"/>
  <c r="O1283" i="14"/>
  <c r="U1283" i="14" s="1"/>
  <c r="O1298" i="14"/>
  <c r="U1298" i="14" s="1"/>
  <c r="O1454" i="14"/>
  <c r="U1454" i="14" s="1"/>
  <c r="O1477" i="14"/>
  <c r="U1477" i="14" s="1"/>
  <c r="O1387" i="14"/>
  <c r="U1387" i="14" s="1"/>
  <c r="O1453" i="14"/>
  <c r="U1453" i="14" s="1"/>
  <c r="O1382" i="14"/>
  <c r="U1382" i="14" s="1"/>
  <c r="O1318" i="14"/>
  <c r="U1318" i="14" s="1"/>
  <c r="O1437" i="14"/>
  <c r="U1437" i="14" s="1"/>
  <c r="O1412" i="14"/>
  <c r="U1412" i="14" s="1"/>
  <c r="O1367" i="14"/>
  <c r="U1367" i="14" s="1"/>
  <c r="O1352" i="14"/>
  <c r="U1352" i="14" s="1"/>
  <c r="I1384" i="14"/>
  <c r="I1275" i="14"/>
  <c r="I1415" i="14"/>
  <c r="I1465" i="14"/>
  <c r="I1434" i="14"/>
  <c r="I1395" i="14"/>
  <c r="I1285" i="14"/>
  <c r="I1358" i="14"/>
  <c r="I1446" i="14"/>
  <c r="I1284" i="14"/>
  <c r="I1392" i="14"/>
  <c r="I1487" i="14"/>
  <c r="I1439" i="14"/>
  <c r="I1455" i="14"/>
  <c r="I1440" i="14"/>
  <c r="I1303" i="14"/>
  <c r="I1424" i="14"/>
  <c r="I1357" i="14"/>
  <c r="I1397" i="14"/>
  <c r="I1369" i="14"/>
  <c r="I1263" i="14"/>
  <c r="I1443" i="14"/>
  <c r="N1292" i="14"/>
  <c r="T1292" i="14" s="1"/>
  <c r="N1371" i="14"/>
  <c r="T1371" i="14" s="1"/>
  <c r="N1398" i="14"/>
  <c r="T1398" i="14" s="1"/>
  <c r="N1380" i="14"/>
  <c r="T1380" i="14" s="1"/>
  <c r="N1370" i="14"/>
  <c r="T1370" i="14" s="1"/>
  <c r="N1368" i="14"/>
  <c r="T1368" i="14" s="1"/>
  <c r="N1358" i="14"/>
  <c r="T1358" i="14" s="1"/>
  <c r="N1308" i="14"/>
  <c r="T1308" i="14" s="1"/>
  <c r="N1298" i="14"/>
  <c r="T1298" i="14" s="1"/>
  <c r="N1328" i="14"/>
  <c r="T1328" i="14" s="1"/>
  <c r="N1382" i="14"/>
  <c r="T1382" i="14" s="1"/>
  <c r="N1300" i="14"/>
  <c r="T1300" i="14" s="1"/>
  <c r="N1322" i="14"/>
  <c r="T1322" i="14" s="1"/>
  <c r="N1384" i="14"/>
  <c r="T1384" i="14" s="1"/>
  <c r="N1310" i="14"/>
  <c r="T1310" i="14" s="1"/>
  <c r="N1346" i="14"/>
  <c r="T1346" i="14" s="1"/>
  <c r="N1316" i="14"/>
  <c r="T1316" i="14" s="1"/>
  <c r="N1294" i="14"/>
  <c r="T1294" i="14" s="1"/>
  <c r="N1264" i="14"/>
  <c r="T1264" i="14" s="1"/>
  <c r="N1386" i="14"/>
  <c r="T1386" i="14" s="1"/>
  <c r="N1479" i="14"/>
  <c r="T1479" i="14" s="1"/>
  <c r="N1469" i="14"/>
  <c r="T1469" i="14" s="1"/>
  <c r="N1467" i="14"/>
  <c r="T1467" i="14" s="1"/>
  <c r="N1457" i="14"/>
  <c r="T1457" i="14" s="1"/>
  <c r="N1439" i="14"/>
  <c r="T1439" i="14" s="1"/>
  <c r="N1429" i="14"/>
  <c r="T1429" i="14" s="1"/>
  <c r="N1427" i="14"/>
  <c r="T1427" i="14" s="1"/>
  <c r="N1417" i="14"/>
  <c r="T1417" i="14" s="1"/>
  <c r="N1367" i="14"/>
  <c r="T1367" i="14" s="1"/>
  <c r="N1357" i="14"/>
  <c r="T1357" i="14" s="1"/>
  <c r="N1387" i="14"/>
  <c r="T1387" i="14" s="1"/>
  <c r="N1441" i="14"/>
  <c r="T1441" i="14" s="1"/>
  <c r="N1487" i="14"/>
  <c r="T1487" i="14" s="1"/>
  <c r="N1381" i="14"/>
  <c r="T1381" i="14" s="1"/>
  <c r="N1480" i="14"/>
  <c r="T1480" i="14" s="1"/>
  <c r="N1406" i="14"/>
  <c r="T1406" i="14" s="1"/>
  <c r="N1435" i="14"/>
  <c r="T1435" i="14" s="1"/>
  <c r="N1397" i="14"/>
  <c r="T1397" i="14" s="1"/>
  <c r="N1335" i="14"/>
  <c r="T1335" i="14" s="1"/>
  <c r="N1267" i="14"/>
  <c r="T1267" i="14" s="1"/>
  <c r="N1374" i="14"/>
  <c r="T1374" i="14" s="1"/>
  <c r="N1273" i="14"/>
  <c r="T1273" i="14" s="1"/>
  <c r="N1263" i="14"/>
  <c r="T1263" i="14" s="1"/>
  <c r="N1261" i="14"/>
  <c r="T1261" i="14" s="1"/>
  <c r="N1251" i="14"/>
  <c r="T1251" i="14" s="1"/>
  <c r="N1365" i="14"/>
  <c r="T1365" i="14" s="1"/>
  <c r="N1400" i="14"/>
  <c r="T1400" i="14" s="1"/>
  <c r="N1390" i="14"/>
  <c r="T1390" i="14" s="1"/>
  <c r="N1340" i="14"/>
  <c r="T1340" i="14" s="1"/>
  <c r="N1330" i="14"/>
  <c r="T1330" i="14" s="1"/>
  <c r="N1360" i="14"/>
  <c r="T1360" i="14" s="1"/>
  <c r="N1286" i="14"/>
  <c r="T1286" i="14" s="1"/>
  <c r="N1281" i="14"/>
  <c r="T1281" i="14" s="1"/>
  <c r="N1303" i="14"/>
  <c r="T1303" i="14" s="1"/>
  <c r="N1433" i="14"/>
  <c r="T1433" i="14" s="1"/>
  <c r="N1344" i="14"/>
  <c r="T1344" i="14" s="1"/>
  <c r="N1306" i="14"/>
  <c r="T1306" i="14" s="1"/>
  <c r="N1321" i="14"/>
  <c r="T1321" i="14" s="1"/>
  <c r="N1318" i="14"/>
  <c r="T1318" i="14" s="1"/>
  <c r="N1448" i="14"/>
  <c r="T1448" i="14" s="1"/>
  <c r="N1282" i="14"/>
  <c r="T1282" i="14" s="1"/>
  <c r="N1333" i="14"/>
  <c r="T1333" i="14" s="1"/>
  <c r="N1486" i="14"/>
  <c r="T1486" i="14" s="1"/>
  <c r="N1345" i="14"/>
  <c r="T1345" i="14" s="1"/>
  <c r="N1347" i="14"/>
  <c r="T1347" i="14" s="1"/>
  <c r="N1283" i="14"/>
  <c r="T1283" i="14" s="1"/>
  <c r="N1483" i="14"/>
  <c r="T1483" i="14" s="1"/>
  <c r="N1250" i="14"/>
  <c r="T1250" i="14" s="1"/>
  <c r="N1297" i="14"/>
  <c r="T1297" i="14" s="1"/>
  <c r="N1275" i="14"/>
  <c r="T1275" i="14" s="1"/>
  <c r="N1443" i="14"/>
  <c r="T1443" i="14" s="1"/>
  <c r="N1444" i="14"/>
  <c r="T1444" i="14" s="1"/>
  <c r="N1320" i="14"/>
  <c r="T1320" i="14" s="1"/>
  <c r="N1302" i="14"/>
  <c r="T1302" i="14" s="1"/>
  <c r="N1353" i="14"/>
  <c r="T1353" i="14" s="1"/>
  <c r="N1414" i="14"/>
  <c r="T1414" i="14" s="1"/>
  <c r="N1288" i="14"/>
  <c r="T1288" i="14" s="1"/>
  <c r="N1295" i="14"/>
  <c r="T1295" i="14" s="1"/>
  <c r="N1409" i="14"/>
  <c r="T1409" i="14" s="1"/>
  <c r="N1373" i="14"/>
  <c r="T1373" i="14" s="1"/>
  <c r="N1408" i="14"/>
  <c r="T1408" i="14" s="1"/>
  <c r="N1270" i="14"/>
  <c r="T1270" i="14" s="1"/>
  <c r="N1252" i="14"/>
  <c r="T1252" i="14" s="1"/>
  <c r="N1319" i="14"/>
  <c r="T1319" i="14" s="1"/>
  <c r="N1317" i="14"/>
  <c r="T1317" i="14" s="1"/>
  <c r="N1307" i="14"/>
  <c r="T1307" i="14" s="1"/>
  <c r="N1257" i="14"/>
  <c r="T1257" i="14" s="1"/>
  <c r="N1247" i="14"/>
  <c r="T1247" i="14" s="1"/>
  <c r="N1277" i="14"/>
  <c r="T1277" i="14" s="1"/>
  <c r="N1254" i="14"/>
  <c r="T1254" i="14" s="1"/>
  <c r="N1249" i="14"/>
  <c r="T1249" i="14" s="1"/>
  <c r="N1271" i="14"/>
  <c r="T1271" i="14" s="1"/>
  <c r="N1256" i="14"/>
  <c r="T1256" i="14" s="1"/>
  <c r="N1259" i="14"/>
  <c r="T1259" i="14" s="1"/>
  <c r="N1472" i="14"/>
  <c r="T1472" i="14" s="1"/>
  <c r="N1434" i="14"/>
  <c r="T1434" i="14" s="1"/>
  <c r="N1372" i="14"/>
  <c r="T1372" i="14" s="1"/>
  <c r="N1446" i="14"/>
  <c r="T1446" i="14" s="1"/>
  <c r="N1411" i="14"/>
  <c r="T1411" i="14" s="1"/>
  <c r="N1351" i="14"/>
  <c r="T1351" i="14" s="1"/>
  <c r="N1341" i="14"/>
  <c r="T1341" i="14" s="1"/>
  <c r="N1339" i="14"/>
  <c r="T1339" i="14" s="1"/>
  <c r="N1329" i="14"/>
  <c r="T1329" i="14" s="1"/>
  <c r="N1476" i="14"/>
  <c r="T1476" i="14" s="1"/>
  <c r="N1466" i="14"/>
  <c r="T1466" i="14" s="1"/>
  <c r="N1464" i="14"/>
  <c r="T1464" i="14" s="1"/>
  <c r="N1454" i="14"/>
  <c r="T1454" i="14" s="1"/>
  <c r="N1404" i="14"/>
  <c r="T1404" i="14" s="1"/>
  <c r="N1394" i="14"/>
  <c r="T1394" i="14" s="1"/>
  <c r="N1424" i="14"/>
  <c r="T1424" i="14" s="1"/>
  <c r="N1478" i="14"/>
  <c r="T1478" i="14" s="1"/>
  <c r="N1359" i="14"/>
  <c r="T1359" i="14" s="1"/>
  <c r="N1418" i="14"/>
  <c r="T1418" i="14" s="1"/>
  <c r="N1352" i="14"/>
  <c r="T1352" i="14" s="1"/>
  <c r="N1278" i="14"/>
  <c r="T1278" i="14" s="1"/>
  <c r="N1293" i="14"/>
  <c r="T1293" i="14" s="1"/>
  <c r="N1255" i="14"/>
  <c r="T1255" i="14" s="1"/>
  <c r="N1453" i="14"/>
  <c r="T1453" i="14" s="1"/>
  <c r="N1364" i="14"/>
  <c r="T1364" i="14" s="1"/>
  <c r="N1415" i="14"/>
  <c r="T1415" i="14" s="1"/>
  <c r="N1405" i="14"/>
  <c r="T1405" i="14" s="1"/>
  <c r="N1403" i="14"/>
  <c r="T1403" i="14" s="1"/>
  <c r="N1393" i="14"/>
  <c r="T1393" i="14" s="1"/>
  <c r="N1375" i="14"/>
  <c r="T1375" i="14" s="1"/>
  <c r="N1402" i="14"/>
  <c r="T1402" i="14" s="1"/>
  <c r="N1272" i="14"/>
  <c r="T1272" i="14" s="1"/>
  <c r="N1262" i="14"/>
  <c r="T1262" i="14" s="1"/>
  <c r="N1289" i="14"/>
  <c r="T1289" i="14" s="1"/>
  <c r="N1279" i="14"/>
  <c r="T1279" i="14" s="1"/>
  <c r="N1309" i="14"/>
  <c r="T1309" i="14" s="1"/>
  <c r="N1423" i="14"/>
  <c r="T1423" i="14" s="1"/>
  <c r="N1445" i="14"/>
  <c r="T1445" i="14" s="1"/>
  <c r="N1379" i="14"/>
  <c r="T1379" i="14" s="1"/>
  <c r="N1470" i="14"/>
  <c r="T1470" i="14" s="1"/>
  <c r="N1356" i="14"/>
  <c r="T1356" i="14" s="1"/>
  <c r="N1462" i="14"/>
  <c r="T1462" i="14" s="1"/>
  <c r="N1432" i="14"/>
  <c r="T1432" i="14" s="1"/>
  <c r="N1362" i="14"/>
  <c r="T1362" i="14" s="1"/>
  <c r="N1327" i="14"/>
  <c r="T1327" i="14" s="1"/>
  <c r="N1465" i="14"/>
  <c r="T1465" i="14" s="1"/>
  <c r="N1420" i="14"/>
  <c r="T1420" i="14" s="1"/>
  <c r="N1361" i="14"/>
  <c r="T1361" i="14" s="1"/>
  <c r="N1331" i="14"/>
  <c r="T1331" i="14" s="1"/>
  <c r="N1426" i="14"/>
  <c r="T1426" i="14" s="1"/>
  <c r="N1428" i="14"/>
  <c r="T1428" i="14" s="1"/>
  <c r="N1438" i="14"/>
  <c r="T1438" i="14" s="1"/>
  <c r="N1253" i="14"/>
  <c r="T1253" i="14" s="1"/>
  <c r="N1337" i="14"/>
  <c r="T1337" i="14" s="1"/>
  <c r="N1248" i="14"/>
  <c r="T1248" i="14" s="1"/>
  <c r="N1287" i="14"/>
  <c r="T1287" i="14" s="1"/>
  <c r="N1485" i="14"/>
  <c r="T1485" i="14" s="1"/>
  <c r="N1299" i="14"/>
  <c r="T1299" i="14" s="1"/>
  <c r="N1369" i="14"/>
  <c r="T1369" i="14" s="1"/>
  <c r="N1422" i="14"/>
  <c r="T1422" i="14" s="1"/>
  <c r="N1324" i="14"/>
  <c r="T1324" i="14" s="1"/>
  <c r="N1312" i="14"/>
  <c r="T1312" i="14" s="1"/>
  <c r="N1363" i="14"/>
  <c r="T1363" i="14" s="1"/>
  <c r="N1458" i="14"/>
  <c r="T1458" i="14" s="1"/>
  <c r="N1332" i="14"/>
  <c r="T1332" i="14" s="1"/>
  <c r="N1291" i="14"/>
  <c r="T1291" i="14" s="1"/>
  <c r="N1463" i="14"/>
  <c r="T1463" i="14" s="1"/>
  <c r="N1383" i="14"/>
  <c r="T1383" i="14" s="1"/>
  <c r="N1410" i="14"/>
  <c r="T1410" i="14" s="1"/>
  <c r="N1280" i="14"/>
  <c r="T1280" i="14" s="1"/>
  <c r="N1471" i="14"/>
  <c r="T1471" i="14" s="1"/>
  <c r="N1461" i="14"/>
  <c r="T1461" i="14" s="1"/>
  <c r="N1459" i="14"/>
  <c r="T1459" i="14" s="1"/>
  <c r="N1449" i="14"/>
  <c r="T1449" i="14" s="1"/>
  <c r="N1399" i="14"/>
  <c r="T1399" i="14" s="1"/>
  <c r="N1389" i="14"/>
  <c r="T1389" i="14" s="1"/>
  <c r="N1419" i="14"/>
  <c r="T1419" i="14" s="1"/>
  <c r="N1473" i="14"/>
  <c r="T1473" i="14" s="1"/>
  <c r="N1391" i="14"/>
  <c r="T1391" i="14" s="1"/>
  <c r="N1413" i="14"/>
  <c r="T1413" i="14" s="1"/>
  <c r="N1475" i="14"/>
  <c r="T1475" i="14" s="1"/>
  <c r="N1401" i="14"/>
  <c r="T1401" i="14" s="1"/>
  <c r="N1447" i="14"/>
  <c r="T1447" i="14" s="1"/>
  <c r="N1425" i="14"/>
  <c r="T1425" i="14" s="1"/>
  <c r="N1395" i="14"/>
  <c r="T1395" i="14" s="1"/>
  <c r="N1325" i="14"/>
  <c r="T1325" i="14" s="1"/>
  <c r="N1455" i="14"/>
  <c r="T1455" i="14" s="1"/>
  <c r="N1269" i="14"/>
  <c r="T1269" i="14" s="1"/>
  <c r="N1388" i="14"/>
  <c r="T1388" i="14" s="1"/>
  <c r="N1378" i="14"/>
  <c r="T1378" i="14" s="1"/>
  <c r="N1376" i="14"/>
  <c r="T1376" i="14" s="1"/>
  <c r="N1366" i="14"/>
  <c r="T1366" i="14" s="1"/>
  <c r="N1348" i="14"/>
  <c r="T1348" i="14" s="1"/>
  <c r="N1338" i="14"/>
  <c r="T1338" i="14" s="1"/>
  <c r="N1336" i="14"/>
  <c r="T1336" i="14" s="1"/>
  <c r="N1326" i="14"/>
  <c r="T1326" i="14" s="1"/>
  <c r="N1276" i="14"/>
  <c r="T1276" i="14" s="1"/>
  <c r="N1266" i="14"/>
  <c r="T1266" i="14" s="1"/>
  <c r="N1296" i="14"/>
  <c r="T1296" i="14" s="1"/>
  <c r="N1350" i="14"/>
  <c r="T1350" i="14" s="1"/>
  <c r="N1396" i="14"/>
  <c r="T1396" i="14" s="1"/>
  <c r="N1290" i="14"/>
  <c r="T1290" i="14" s="1"/>
  <c r="N1301" i="14"/>
  <c r="T1301" i="14" s="1"/>
  <c r="N1484" i="14"/>
  <c r="T1484" i="14" s="1"/>
  <c r="N1334" i="14"/>
  <c r="T1334" i="14" s="1"/>
  <c r="N1304" i="14"/>
  <c r="T1304" i="14" s="1"/>
  <c r="N1311" i="14"/>
  <c r="T1311" i="14" s="1"/>
  <c r="N1349" i="14"/>
  <c r="T1349" i="14" s="1"/>
  <c r="N1452" i="14"/>
  <c r="T1452" i="14" s="1"/>
  <c r="N1442" i="14"/>
  <c r="T1442" i="14" s="1"/>
  <c r="N1440" i="14"/>
  <c r="T1440" i="14" s="1"/>
  <c r="N1430" i="14"/>
  <c r="T1430" i="14" s="1"/>
  <c r="N1412" i="14"/>
  <c r="T1412" i="14" s="1"/>
  <c r="N1274" i="14"/>
  <c r="T1274" i="14" s="1"/>
  <c r="N1481" i="14"/>
  <c r="T1481" i="14" s="1"/>
  <c r="N1431" i="14"/>
  <c r="T1431" i="14" s="1"/>
  <c r="N1421" i="14"/>
  <c r="T1421" i="14" s="1"/>
  <c r="N1451" i="14"/>
  <c r="T1451" i="14" s="1"/>
  <c r="N1377" i="14"/>
  <c r="T1377" i="14" s="1"/>
  <c r="N1460" i="14"/>
  <c r="T1460" i="14" s="1"/>
  <c r="N1482" i="14"/>
  <c r="T1482" i="14" s="1"/>
  <c r="N1416" i="14"/>
  <c r="T1416" i="14" s="1"/>
  <c r="N1342" i="14"/>
  <c r="T1342" i="14" s="1"/>
  <c r="N1474" i="14"/>
  <c r="T1474" i="14" s="1"/>
  <c r="N1407" i="14"/>
  <c r="T1407" i="14" s="1"/>
  <c r="N1385" i="14"/>
  <c r="T1385" i="14" s="1"/>
  <c r="N1392" i="14"/>
  <c r="T1392" i="14" s="1"/>
  <c r="N1477" i="14"/>
  <c r="T1477" i="14" s="1"/>
  <c r="N1246" i="14"/>
  <c r="T1246" i="14" s="1"/>
  <c r="N1343" i="14"/>
  <c r="T1343" i="14" s="1"/>
  <c r="N1436" i="14"/>
  <c r="T1436" i="14" s="1"/>
  <c r="N1456" i="14"/>
  <c r="T1456" i="14" s="1"/>
  <c r="N1450" i="14"/>
  <c r="T1450" i="14" s="1"/>
  <c r="N1305" i="14"/>
  <c r="T1305" i="14" s="1"/>
  <c r="N1313" i="14"/>
  <c r="T1313" i="14" s="1"/>
  <c r="N1260" i="14"/>
  <c r="T1260" i="14" s="1"/>
  <c r="N1315" i="14"/>
  <c r="T1315" i="14" s="1"/>
  <c r="N1285" i="14"/>
  <c r="T1285" i="14" s="1"/>
  <c r="N1245" i="14"/>
  <c r="T1245" i="14" s="1"/>
  <c r="N1268" i="14"/>
  <c r="T1268" i="14" s="1"/>
  <c r="N1437" i="14"/>
  <c r="T1437" i="14" s="1"/>
  <c r="N1355" i="14"/>
  <c r="T1355" i="14" s="1"/>
  <c r="N1314" i="14"/>
  <c r="T1314" i="14" s="1"/>
  <c r="N1284" i="14"/>
  <c r="T1284" i="14" s="1"/>
  <c r="N1468" i="14"/>
  <c r="T1468" i="14" s="1"/>
  <c r="N1323" i="14"/>
  <c r="T1323" i="14" s="1"/>
  <c r="N1354" i="14"/>
  <c r="T1354" i="14" s="1"/>
  <c r="N1265" i="14"/>
  <c r="T1265" i="14" s="1"/>
  <c r="N1258" i="14"/>
  <c r="T1258" i="14" s="1"/>
  <c r="H1261" i="14"/>
  <c r="V252" i="10"/>
  <c r="M253" i="10"/>
  <c r="K1322" i="14"/>
  <c r="Q1322" i="14" s="1"/>
  <c r="K1328" i="14"/>
  <c r="Q1328" i="14" s="1"/>
  <c r="K1342" i="14"/>
  <c r="Q1342" i="14" s="1"/>
  <c r="K1364" i="14"/>
  <c r="Q1364" i="14" s="1"/>
  <c r="K1283" i="14"/>
  <c r="Q1283" i="14" s="1"/>
  <c r="K1361" i="14"/>
  <c r="Q1361" i="14" s="1"/>
  <c r="K1452" i="14"/>
  <c r="Q1452" i="14" s="1"/>
  <c r="K1402" i="14"/>
  <c r="Q1402" i="14" s="1"/>
  <c r="K1281" i="14"/>
  <c r="Q1281" i="14" s="1"/>
  <c r="K1407" i="14"/>
  <c r="Q1407" i="14" s="1"/>
  <c r="K1421" i="14"/>
  <c r="Q1421" i="14" s="1"/>
  <c r="K1427" i="14"/>
  <c r="Q1427" i="14" s="1"/>
  <c r="K1441" i="14"/>
  <c r="Q1441" i="14" s="1"/>
  <c r="K1431" i="14"/>
  <c r="Q1431" i="14" s="1"/>
  <c r="K1386" i="14"/>
  <c r="Q1386" i="14" s="1"/>
  <c r="K1474" i="14"/>
  <c r="Q1474" i="14" s="1"/>
  <c r="K1351" i="14"/>
  <c r="Q1351" i="14" s="1"/>
  <c r="K1358" i="14"/>
  <c r="Q1358" i="14" s="1"/>
  <c r="K1400" i="14"/>
  <c r="Q1400" i="14" s="1"/>
  <c r="K1418" i="14"/>
  <c r="Q1418" i="14" s="1"/>
  <c r="K1297" i="14"/>
  <c r="Q1297" i="14" s="1"/>
  <c r="K1311" i="14"/>
  <c r="Q1311" i="14" s="1"/>
  <c r="K1332" i="14"/>
  <c r="K1378" i="14"/>
  <c r="Q1378" i="14" s="1"/>
  <c r="K1384" i="14"/>
  <c r="Q1384" i="14" s="1"/>
  <c r="K1366" i="14"/>
  <c r="Q1366" i="14" s="1"/>
  <c r="K1293" i="14"/>
  <c r="K1320" i="14"/>
  <c r="Q1320" i="14" s="1"/>
  <c r="K1249" i="14"/>
  <c r="Q1249" i="14" s="1"/>
  <c r="K1263" i="14"/>
  <c r="Q1263" i="14" s="1"/>
  <c r="K1389" i="14"/>
  <c r="K1395" i="14"/>
  <c r="Q1395" i="14" s="1"/>
  <c r="K1409" i="14"/>
  <c r="Q1409" i="14" s="1"/>
  <c r="K1399" i="14"/>
  <c r="Q1399" i="14" s="1"/>
  <c r="K1349" i="14"/>
  <c r="Q1349" i="14" s="1"/>
  <c r="K1250" i="14"/>
  <c r="Q1250" i="14" s="1"/>
  <c r="K1284" i="14"/>
  <c r="Q1284" i="14" s="1"/>
  <c r="K1472" i="14"/>
  <c r="Q1472" i="14" s="1"/>
  <c r="K1357" i="14"/>
  <c r="K1445" i="14"/>
  <c r="Q1445" i="14" s="1"/>
  <c r="K1451" i="14"/>
  <c r="Q1451" i="14" s="1"/>
  <c r="K1465" i="14"/>
  <c r="Q1465" i="14" s="1"/>
  <c r="K1487" i="14"/>
  <c r="Q1487" i="14" s="1"/>
  <c r="K1405" i="14"/>
  <c r="Q1405" i="14" s="1"/>
  <c r="K1411" i="14"/>
  <c r="Q1411" i="14" s="1"/>
  <c r="K1393" i="14"/>
  <c r="Q1393" i="14" s="1"/>
  <c r="K1447" i="14"/>
  <c r="K1397" i="14"/>
  <c r="Q1397" i="14" s="1"/>
  <c r="K1403" i="14"/>
  <c r="Q1403" i="14" s="1"/>
  <c r="K1417" i="14"/>
  <c r="Q1417" i="14" s="1"/>
  <c r="K1439" i="14"/>
  <c r="K1453" i="14"/>
  <c r="Q1453" i="14" s="1"/>
  <c r="K1459" i="14"/>
  <c r="Q1459" i="14" s="1"/>
  <c r="K1473" i="14"/>
  <c r="Q1473" i="14" s="1"/>
  <c r="K1463" i="14"/>
  <c r="K1477" i="14"/>
  <c r="Q1477" i="14" s="1"/>
  <c r="K1279" i="14"/>
  <c r="Q1279" i="14" s="1"/>
  <c r="K1352" i="14"/>
  <c r="Q1352" i="14" s="1"/>
  <c r="K1466" i="14"/>
  <c r="K1343" i="14"/>
  <c r="Q1343" i="14" s="1"/>
  <c r="K1404" i="14"/>
  <c r="Q1404" i="14" s="1"/>
  <c r="K1450" i="14"/>
  <c r="Q1450" i="14" s="1"/>
  <c r="K1456" i="14"/>
  <c r="K1410" i="14"/>
  <c r="Q1410" i="14" s="1"/>
  <c r="K1365" i="14"/>
  <c r="Q1365" i="14" s="1"/>
  <c r="K1266" i="14"/>
  <c r="Q1266" i="14" s="1"/>
  <c r="K1300" i="14"/>
  <c r="K1301" i="14"/>
  <c r="Q1301" i="14" s="1"/>
  <c r="K1294" i="14"/>
  <c r="Q1294" i="14" s="1"/>
  <c r="K1424" i="14"/>
  <c r="Q1424" i="14" s="1"/>
  <c r="K1347" i="14"/>
  <c r="Q1347" i="14" s="1"/>
  <c r="K1370" i="14"/>
  <c r="Q1370" i="14" s="1"/>
  <c r="K1285" i="14"/>
  <c r="Q1285" i="14" s="1"/>
  <c r="K1268" i="14"/>
  <c r="Q1268" i="14" s="1"/>
  <c r="K1288" i="14"/>
  <c r="K1304" i="14"/>
  <c r="Q1304" i="14" s="1"/>
  <c r="K1247" i="14"/>
  <c r="Q1247" i="14" s="1"/>
  <c r="K1270" i="14"/>
  <c r="Q1270" i="14" s="1"/>
  <c r="K1256" i="14"/>
  <c r="Q1256" i="14" s="1"/>
  <c r="K1312" i="14"/>
  <c r="Q1312" i="14" s="1"/>
  <c r="K1318" i="14"/>
  <c r="Q1318" i="14" s="1"/>
  <c r="K1369" i="14"/>
  <c r="Q1369" i="14" s="1"/>
  <c r="K1308" i="14"/>
  <c r="Q1308" i="14" s="1"/>
  <c r="K1272" i="14"/>
  <c r="Q1272" i="14" s="1"/>
  <c r="K1278" i="14"/>
  <c r="Q1278" i="14" s="1"/>
  <c r="K1292" i="14"/>
  <c r="Q1292" i="14" s="1"/>
  <c r="K1314" i="14"/>
  <c r="K1379" i="14"/>
  <c r="Q1379" i="14" s="1"/>
  <c r="K1398" i="14"/>
  <c r="Q1398" i="14" s="1"/>
  <c r="K1324" i="14"/>
  <c r="Q1324" i="14" s="1"/>
  <c r="K1275" i="14"/>
  <c r="Q1275" i="14" s="1"/>
  <c r="K1385" i="14"/>
  <c r="Q1385" i="14" s="1"/>
  <c r="K1444" i="14"/>
  <c r="Q1444" i="14" s="1"/>
  <c r="K1458" i="14"/>
  <c r="Q1458" i="14" s="1"/>
  <c r="K1464" i="14"/>
  <c r="K1478" i="14"/>
  <c r="Q1478" i="14" s="1"/>
  <c r="K1468" i="14"/>
  <c r="Q1468" i="14" s="1"/>
  <c r="K1355" i="14"/>
  <c r="Q1355" i="14" s="1"/>
  <c r="K1443" i="14"/>
  <c r="Q1443" i="14" s="1"/>
  <c r="K1338" i="14"/>
  <c r="Q1338" i="14" s="1"/>
  <c r="K1380" i="14"/>
  <c r="Q1380" i="14" s="1"/>
  <c r="K1377" i="14"/>
  <c r="Q1377" i="14" s="1"/>
  <c r="K1291" i="14"/>
  <c r="K1246" i="14"/>
  <c r="Q1246" i="14" s="1"/>
  <c r="K1260" i="14"/>
  <c r="Q1260" i="14" s="1"/>
  <c r="K1282" i="14"/>
  <c r="Q1282" i="14" s="1"/>
  <c r="K1251" i="14"/>
  <c r="K1257" i="14"/>
  <c r="Q1257" i="14" s="1"/>
  <c r="K1316" i="14"/>
  <c r="Q1316" i="14" s="1"/>
  <c r="K1461" i="14"/>
  <c r="Q1461" i="14" s="1"/>
  <c r="K1467" i="14"/>
  <c r="K1481" i="14"/>
  <c r="Q1481" i="14" s="1"/>
  <c r="K1375" i="14"/>
  <c r="Q1375" i="14" s="1"/>
  <c r="K1426" i="14"/>
  <c r="Q1426" i="14" s="1"/>
  <c r="K1432" i="14"/>
  <c r="K1446" i="14"/>
  <c r="Q1446" i="14" s="1"/>
  <c r="K1436" i="14"/>
  <c r="Q1436" i="14" s="1"/>
  <c r="K1483" i="14"/>
  <c r="Q1483" i="14" s="1"/>
  <c r="K1346" i="14"/>
  <c r="K1388" i="14"/>
  <c r="Q1388" i="14" s="1"/>
  <c r="K1449" i="14"/>
  <c r="Q1449" i="14" s="1"/>
  <c r="K1273" i="14"/>
  <c r="Q1273" i="14" s="1"/>
  <c r="K1482" i="14"/>
  <c r="K1323" i="14"/>
  <c r="Q1323" i="14" s="1"/>
  <c r="K1337" i="14"/>
  <c r="Q1337" i="14" s="1"/>
  <c r="K1359" i="14"/>
  <c r="Q1359" i="14" s="1"/>
  <c r="K1442" i="14"/>
  <c r="K1448" i="14"/>
  <c r="Q1448" i="14" s="1"/>
  <c r="K1430" i="14"/>
  <c r="Q1430" i="14" s="1"/>
  <c r="K1484" i="14"/>
  <c r="Q1484" i="14" s="1"/>
  <c r="K1434" i="14"/>
  <c r="K1440" i="14"/>
  <c r="Q1440" i="14" s="1"/>
  <c r="K1454" i="14"/>
  <c r="Q1454" i="14" s="1"/>
  <c r="K1476" i="14"/>
  <c r="Q1476" i="14" s="1"/>
  <c r="K1325" i="14"/>
  <c r="K1331" i="14"/>
  <c r="Q1331" i="14" s="1"/>
  <c r="K1345" i="14"/>
  <c r="Q1345" i="14" s="1"/>
  <c r="K1335" i="14"/>
  <c r="Q1335" i="14" s="1"/>
  <c r="K1259" i="14"/>
  <c r="K1428" i="14"/>
  <c r="Q1428" i="14" s="1"/>
  <c r="K1462" i="14"/>
  <c r="Q1462" i="14" s="1"/>
  <c r="K1344" i="14"/>
  <c r="Q1344" i="14" s="1"/>
  <c r="K1394" i="14"/>
  <c r="K1470" i="14"/>
  <c r="Q1470" i="14" s="1"/>
  <c r="K1289" i="14"/>
  <c r="Q1289" i="14" s="1"/>
  <c r="K1408" i="14"/>
  <c r="Q1408" i="14" s="1"/>
  <c r="K1280" i="14"/>
  <c r="Q1280" i="14" s="1"/>
  <c r="K1290" i="14"/>
  <c r="Q1290" i="14" s="1"/>
  <c r="K1267" i="14"/>
  <c r="Q1267" i="14" s="1"/>
  <c r="K1460" i="14"/>
  <c r="Q1460" i="14" s="1"/>
  <c r="K1329" i="14"/>
  <c r="Q1329" i="14" s="1"/>
  <c r="K1376" i="14"/>
  <c r="Q1376" i="14" s="1"/>
  <c r="K1248" i="14"/>
  <c r="Q1248" i="14" s="1"/>
  <c r="K1254" i="14"/>
  <c r="Q1254" i="14" s="1"/>
  <c r="K1406" i="14"/>
  <c r="K1253" i="14"/>
  <c r="Q1253" i="14" s="1"/>
  <c r="K1310" i="14"/>
  <c r="Q1310" i="14" s="1"/>
  <c r="K1264" i="14"/>
  <c r="Q1264" i="14" s="1"/>
  <c r="K1306" i="14"/>
  <c r="Q1306" i="14" s="1"/>
  <c r="K1276" i="14"/>
  <c r="Q1276" i="14" s="1"/>
  <c r="K1255" i="14"/>
  <c r="Q1255" i="14" s="1"/>
  <c r="K1296" i="14"/>
  <c r="Q1296" i="14" s="1"/>
  <c r="K1287" i="14"/>
  <c r="K1413" i="14"/>
  <c r="Q1413" i="14" s="1"/>
  <c r="K1419" i="14"/>
  <c r="Q1419" i="14" s="1"/>
  <c r="K1433" i="14"/>
  <c r="Q1433" i="14" s="1"/>
  <c r="K1455" i="14"/>
  <c r="Q1455" i="14" s="1"/>
  <c r="K1373" i="14"/>
  <c r="Q1373" i="14" s="1"/>
  <c r="K1416" i="14"/>
  <c r="Q1416" i="14" s="1"/>
  <c r="K1271" i="14"/>
  <c r="Q1271" i="14" s="1"/>
  <c r="K1274" i="14"/>
  <c r="K1371" i="14"/>
  <c r="Q1371" i="14" s="1"/>
  <c r="K1422" i="14"/>
  <c r="Q1422" i="14" s="1"/>
  <c r="K1317" i="14"/>
  <c r="Q1317" i="14" s="1"/>
  <c r="K1330" i="14"/>
  <c r="Q1330" i="14" s="1"/>
  <c r="K1336" i="14"/>
  <c r="Q1336" i="14" s="1"/>
  <c r="K1350" i="14"/>
  <c r="Q1350" i="14" s="1"/>
  <c r="K1340" i="14"/>
  <c r="Q1340" i="14" s="1"/>
  <c r="K1391" i="14"/>
  <c r="K1302" i="14"/>
  <c r="Q1302" i="14" s="1"/>
  <c r="K1435" i="14"/>
  <c r="Q1435" i="14" s="1"/>
  <c r="K1485" i="14"/>
  <c r="Q1485" i="14" s="1"/>
  <c r="K1277" i="14"/>
  <c r="K1387" i="14"/>
  <c r="Q1387" i="14" s="1"/>
  <c r="K1401" i="14"/>
  <c r="Q1401" i="14" s="1"/>
  <c r="K1423" i="14"/>
  <c r="Q1423" i="14" s="1"/>
  <c r="K1469" i="14"/>
  <c r="K1475" i="14"/>
  <c r="Q1475" i="14" s="1"/>
  <c r="K1457" i="14"/>
  <c r="Q1457" i="14" s="1"/>
  <c r="K1383" i="14"/>
  <c r="Q1383" i="14" s="1"/>
  <c r="K1333" i="14"/>
  <c r="K1339" i="14"/>
  <c r="Q1339" i="14" s="1"/>
  <c r="K1353" i="14"/>
  <c r="Q1353" i="14" s="1"/>
  <c r="K1412" i="14"/>
  <c r="Q1412" i="14" s="1"/>
  <c r="K1299" i="14"/>
  <c r="K1305" i="14"/>
  <c r="Q1305" i="14" s="1"/>
  <c r="K1319" i="14"/>
  <c r="Q1319" i="14" s="1"/>
  <c r="K1309" i="14"/>
  <c r="Q1309" i="14" s="1"/>
  <c r="K1265" i="14"/>
  <c r="K1480" i="14"/>
  <c r="Q1480" i="14" s="1"/>
  <c r="K1429" i="14"/>
  <c r="Q1429" i="14" s="1"/>
  <c r="K1471" i="14"/>
  <c r="Q1471" i="14" s="1"/>
  <c r="K1414" i="14"/>
  <c r="K1354" i="14"/>
  <c r="Q1354" i="14" s="1"/>
  <c r="K1360" i="14"/>
  <c r="Q1360" i="14" s="1"/>
  <c r="K1374" i="14"/>
  <c r="Q1374" i="14" s="1"/>
  <c r="K1396" i="14"/>
  <c r="K1315" i="14"/>
  <c r="Q1315" i="14" s="1"/>
  <c r="K1321" i="14"/>
  <c r="Q1321" i="14" s="1"/>
  <c r="K1303" i="14"/>
  <c r="Q1303" i="14" s="1"/>
  <c r="K1356" i="14"/>
  <c r="K1307" i="14"/>
  <c r="Q1307" i="14" s="1"/>
  <c r="K1313" i="14"/>
  <c r="Q1313" i="14" s="1"/>
  <c r="K1326" i="14"/>
  <c r="Q1326" i="14" s="1"/>
  <c r="K1348" i="14"/>
  <c r="K1362" i="14"/>
  <c r="Q1362" i="14" s="1"/>
  <c r="K1368" i="14"/>
  <c r="Q1368" i="14" s="1"/>
  <c r="K1382" i="14"/>
  <c r="Q1382" i="14" s="1"/>
  <c r="K1372" i="14"/>
  <c r="Q1372" i="14" s="1"/>
  <c r="K1392" i="14"/>
  <c r="Q1392" i="14" s="1"/>
  <c r="K1437" i="14"/>
  <c r="Q1437" i="14" s="1"/>
  <c r="K1479" i="14"/>
  <c r="Q1479" i="14" s="1"/>
  <c r="K1486" i="14"/>
  <c r="Q1486" i="14" s="1"/>
  <c r="K1363" i="14"/>
  <c r="Q1363" i="14" s="1"/>
  <c r="K1327" i="14"/>
  <c r="Q1327" i="14" s="1"/>
  <c r="K1415" i="14"/>
  <c r="Q1415" i="14" s="1"/>
  <c r="K1295" i="14"/>
  <c r="K1286" i="14"/>
  <c r="Q1286" i="14" s="1"/>
  <c r="K1334" i="14"/>
  <c r="Q1334" i="14" s="1"/>
  <c r="K1381" i="14"/>
  <c r="Q1381" i="14" s="1"/>
  <c r="K1438" i="14"/>
  <c r="K1341" i="14"/>
  <c r="Q1341" i="14" s="1"/>
  <c r="K1420" i="14"/>
  <c r="Q1420" i="14" s="1"/>
  <c r="K1390" i="14"/>
  <c r="Q1390" i="14" s="1"/>
  <c r="K1258" i="14"/>
  <c r="K1425" i="14"/>
  <c r="Q1425" i="14" s="1"/>
  <c r="K1367" i="14"/>
  <c r="Q1367" i="14" s="1"/>
  <c r="K1269" i="14"/>
  <c r="Q1269" i="14" s="1"/>
  <c r="K1252" i="14"/>
  <c r="K1262" i="14"/>
  <c r="Q1262" i="14" s="1"/>
  <c r="K1298" i="14"/>
  <c r="Q1298" i="14" s="1"/>
  <c r="K1245" i="14"/>
  <c r="Q1245" i="14" s="1"/>
  <c r="K1261" i="14"/>
  <c r="Q1261" i="14" s="1"/>
  <c r="E1413" i="14"/>
  <c r="E1403" i="14"/>
  <c r="E1359" i="14"/>
  <c r="L1322" i="14"/>
  <c r="R1322" i="14" s="1"/>
  <c r="L1393" i="14"/>
  <c r="R1393" i="14" s="1"/>
  <c r="L1471" i="14"/>
  <c r="R1471" i="14" s="1"/>
  <c r="L1486" i="14"/>
  <c r="R1486" i="14" s="1"/>
  <c r="L1440" i="14"/>
  <c r="R1440" i="14" s="1"/>
  <c r="L1289" i="14"/>
  <c r="R1289" i="14" s="1"/>
  <c r="L1367" i="14"/>
  <c r="R1367" i="14" s="1"/>
  <c r="L1451" i="14"/>
  <c r="R1451" i="14" s="1"/>
  <c r="L1436" i="14"/>
  <c r="R1436" i="14" s="1"/>
  <c r="L1464" i="14"/>
  <c r="R1464" i="14" s="1"/>
  <c r="L1327" i="14"/>
  <c r="R1327" i="14" s="1"/>
  <c r="L1411" i="14"/>
  <c r="R1411" i="14" s="1"/>
  <c r="L1465" i="14"/>
  <c r="R1465" i="14" s="1"/>
  <c r="L1378" i="14"/>
  <c r="R1378" i="14" s="1"/>
  <c r="L1339" i="14"/>
  <c r="R1339" i="14" s="1"/>
  <c r="L1324" i="14"/>
  <c r="L1300" i="14"/>
  <c r="R1300" i="14" s="1"/>
  <c r="L1262" i="14"/>
  <c r="R1262" i="14" s="1"/>
  <c r="L1363" i="14"/>
  <c r="R1363" i="14" s="1"/>
  <c r="L1348" i="14"/>
  <c r="R1348" i="14" s="1"/>
  <c r="L1426" i="14"/>
  <c r="R1426" i="14" s="1"/>
  <c r="L1397" i="14"/>
  <c r="R1397" i="14" s="1"/>
  <c r="L1253" i="14"/>
  <c r="R1253" i="14" s="1"/>
  <c r="L1264" i="14"/>
  <c r="R1264" i="14" s="1"/>
  <c r="L1423" i="14"/>
  <c r="R1423" i="14" s="1"/>
  <c r="L1470" i="14"/>
  <c r="R1470" i="14" s="1"/>
  <c r="L1472" i="14"/>
  <c r="R1472" i="14" s="1"/>
  <c r="L1305" i="14"/>
  <c r="R1305" i="14" s="1"/>
  <c r="L1474" i="14"/>
  <c r="R1474" i="14" s="1"/>
  <c r="L1261" i="14"/>
  <c r="R1261" i="14" s="1"/>
  <c r="L1398" i="14"/>
  <c r="R1398" i="14" s="1"/>
  <c r="L1293" i="14"/>
  <c r="L1280" i="14"/>
  <c r="R1280" i="14" s="1"/>
  <c r="L1279" i="14"/>
  <c r="R1279" i="14" s="1"/>
  <c r="L1331" i="14"/>
  <c r="R1331" i="14" s="1"/>
  <c r="L1481" i="14"/>
  <c r="L1301" i="14"/>
  <c r="R1301" i="14" s="1"/>
  <c r="L1254" i="14"/>
  <c r="R1254" i="14" s="1"/>
  <c r="L1387" i="14"/>
  <c r="R1387" i="14" s="1"/>
  <c r="L1409" i="14"/>
  <c r="R1409" i="14" s="1"/>
  <c r="L1354" i="14"/>
  <c r="R1354" i="14" s="1"/>
  <c r="L1438" i="14"/>
  <c r="R1438" i="14" s="1"/>
  <c r="L1392" i="14"/>
  <c r="R1392" i="14" s="1"/>
  <c r="L1403" i="14"/>
  <c r="R1403" i="14" s="1"/>
  <c r="L1388" i="14"/>
  <c r="R1388" i="14" s="1"/>
  <c r="L1413" i="14"/>
  <c r="R1413" i="14" s="1"/>
  <c r="L1247" i="14"/>
  <c r="R1247" i="14" s="1"/>
  <c r="L1427" i="14"/>
  <c r="L1412" i="14"/>
  <c r="R1412" i="14" s="1"/>
  <c r="L1400" i="14"/>
  <c r="R1400" i="14" s="1"/>
  <c r="L1271" i="14"/>
  <c r="R1271" i="14" s="1"/>
  <c r="L1483" i="14"/>
  <c r="R1483" i="14" s="1"/>
  <c r="L1468" i="14"/>
  <c r="R1468" i="14" s="1"/>
  <c r="L1365" i="14"/>
  <c r="R1365" i="14" s="1"/>
  <c r="L1310" i="14"/>
  <c r="R1310" i="14" s="1"/>
  <c r="L1443" i="14"/>
  <c r="R1443" i="14" s="1"/>
  <c r="L1460" i="14"/>
  <c r="R1460" i="14" s="1"/>
  <c r="L1360" i="14"/>
  <c r="R1360" i="14" s="1"/>
  <c r="L1270" i="14"/>
  <c r="R1270" i="14" s="1"/>
  <c r="L1351" i="14"/>
  <c r="R1351" i="14" s="1"/>
  <c r="L1302" i="14"/>
  <c r="R1302" i="14" s="1"/>
  <c r="L1371" i="14"/>
  <c r="R1371" i="14" s="1"/>
  <c r="L1434" i="14"/>
  <c r="R1434" i="14" s="1"/>
  <c r="L1267" i="14"/>
  <c r="L1330" i="14"/>
  <c r="R1330" i="14" s="1"/>
  <c r="L1296" i="14"/>
  <c r="R1296" i="14" s="1"/>
  <c r="L1428" i="14"/>
  <c r="R1428" i="14" s="1"/>
  <c r="L1357" i="14"/>
  <c r="L1424" i="14"/>
  <c r="R1424" i="14" s="1"/>
  <c r="L1476" i="14"/>
  <c r="R1476" i="14" s="1"/>
  <c r="L1291" i="14"/>
  <c r="R1291" i="14" s="1"/>
  <c r="L1381" i="14"/>
  <c r="L1341" i="14"/>
  <c r="R1341" i="14" s="1"/>
  <c r="L1258" i="14"/>
  <c r="R1258" i="14" s="1"/>
  <c r="L1459" i="14"/>
  <c r="R1459" i="14" s="1"/>
  <c r="L1303" i="14"/>
  <c r="L1285" i="14"/>
  <c r="R1285" i="14" s="1"/>
  <c r="L1292" i="14"/>
  <c r="R1292" i="14" s="1"/>
  <c r="L1390" i="14"/>
  <c r="R1390" i="14" s="1"/>
  <c r="L1272" i="14"/>
  <c r="L1453" i="14"/>
  <c r="R1453" i="14" s="1"/>
  <c r="L1406" i="14"/>
  <c r="R1406" i="14" s="1"/>
  <c r="L1319" i="14"/>
  <c r="R1319" i="14" s="1"/>
  <c r="L1462" i="14"/>
  <c r="L1336" i="14"/>
  <c r="R1336" i="14" s="1"/>
  <c r="L1265" i="14"/>
  <c r="R1265" i="14" s="1"/>
  <c r="L1343" i="14"/>
  <c r="R1343" i="14" s="1"/>
  <c r="L1358" i="14"/>
  <c r="R1358" i="14" s="1"/>
  <c r="L1260" i="14"/>
  <c r="R1260" i="14" s="1"/>
  <c r="L1485" i="14"/>
  <c r="R1485" i="14" s="1"/>
  <c r="L1318" i="14"/>
  <c r="R1318" i="14" s="1"/>
  <c r="L1323" i="14"/>
  <c r="L1473" i="14"/>
  <c r="R1473" i="14" s="1"/>
  <c r="L1269" i="14"/>
  <c r="R1269" i="14" s="1"/>
  <c r="L1278" i="14"/>
  <c r="R1278" i="14" s="1"/>
  <c r="L1283" i="14"/>
  <c r="L1337" i="14"/>
  <c r="R1337" i="14" s="1"/>
  <c r="L1415" i="14"/>
  <c r="R1415" i="14" s="1"/>
  <c r="L1290" i="14"/>
  <c r="R1290" i="14" s="1"/>
  <c r="L1361" i="14"/>
  <c r="R1361" i="14" s="1"/>
  <c r="L1402" i="14"/>
  <c r="R1402" i="14" s="1"/>
  <c r="L1421" i="14"/>
  <c r="R1421" i="14" s="1"/>
  <c r="L1314" i="14"/>
  <c r="R1314" i="14" s="1"/>
  <c r="L1385" i="14"/>
  <c r="R1385" i="14" s="1"/>
  <c r="L1463" i="14"/>
  <c r="R1463" i="14" s="1"/>
  <c r="L1382" i="14"/>
  <c r="R1382" i="14" s="1"/>
  <c r="L1404" i="14"/>
  <c r="R1404" i="14" s="1"/>
  <c r="L1376" i="14"/>
  <c r="R1376" i="14" s="1"/>
  <c r="L1295" i="14"/>
  <c r="R1295" i="14" s="1"/>
  <c r="L1342" i="14"/>
  <c r="R1342" i="14" s="1"/>
  <c r="L1308" i="14"/>
  <c r="L1256" i="14"/>
  <c r="R1256" i="14" s="1"/>
  <c r="L1346" i="14"/>
  <c r="R1346" i="14" s="1"/>
  <c r="L1273" i="14"/>
  <c r="R1273" i="14" s="1"/>
  <c r="L1435" i="14"/>
  <c r="R1435" i="14" s="1"/>
  <c r="L1420" i="14"/>
  <c r="R1420" i="14" s="1"/>
  <c r="L1344" i="14"/>
  <c r="R1344" i="14" s="1"/>
  <c r="L1333" i="14"/>
  <c r="R1333" i="14" s="1"/>
  <c r="L1282" i="14"/>
  <c r="L1353" i="14"/>
  <c r="R1353" i="14" s="1"/>
  <c r="L1394" i="14"/>
  <c r="R1394" i="14" s="1"/>
  <c r="L1309" i="14"/>
  <c r="R1309" i="14" s="1"/>
  <c r="L1259" i="14"/>
  <c r="R1259" i="14" s="1"/>
  <c r="L1281" i="14"/>
  <c r="R1281" i="14" s="1"/>
  <c r="L1391" i="14"/>
  <c r="R1391" i="14" s="1"/>
  <c r="L1475" i="14"/>
  <c r="R1475" i="14" s="1"/>
  <c r="L1364" i="14"/>
  <c r="L1275" i="14"/>
  <c r="R1275" i="14" s="1"/>
  <c r="L1425" i="14"/>
  <c r="R1425" i="14" s="1"/>
  <c r="L1466" i="14"/>
  <c r="R1466" i="14" s="1"/>
  <c r="L1432" i="14"/>
  <c r="L1299" i="14"/>
  <c r="R1299" i="14" s="1"/>
  <c r="L1449" i="14"/>
  <c r="R1449" i="14" s="1"/>
  <c r="L1284" i="14"/>
  <c r="R1284" i="14" s="1"/>
  <c r="L1408" i="14"/>
  <c r="R1408" i="14" s="1"/>
  <c r="L1355" i="14"/>
  <c r="R1355" i="14" s="1"/>
  <c r="L1340" i="14"/>
  <c r="R1340" i="14" s="1"/>
  <c r="L1450" i="14"/>
  <c r="R1450" i="14" s="1"/>
  <c r="L1384" i="14"/>
  <c r="L1315" i="14"/>
  <c r="R1315" i="14" s="1"/>
  <c r="L1332" i="14"/>
  <c r="R1332" i="14" s="1"/>
  <c r="L1410" i="14"/>
  <c r="R1410" i="14" s="1"/>
  <c r="L1445" i="14"/>
  <c r="L1414" i="14"/>
  <c r="R1414" i="14" s="1"/>
  <c r="L1374" i="14"/>
  <c r="R1374" i="14" s="1"/>
  <c r="L1452" i="14"/>
  <c r="R1452" i="14" s="1"/>
  <c r="L1326" i="14"/>
  <c r="R1326" i="14" s="1"/>
  <c r="L1286" i="14"/>
  <c r="R1286" i="14" s="1"/>
  <c r="L1386" i="14"/>
  <c r="R1386" i="14" s="1"/>
  <c r="L1433" i="14"/>
  <c r="R1433" i="14" s="1"/>
  <c r="L1479" i="14"/>
  <c r="L1407" i="14"/>
  <c r="R1407" i="14" s="1"/>
  <c r="L1480" i="14"/>
  <c r="R1480" i="14" s="1"/>
  <c r="L1372" i="14"/>
  <c r="R1372" i="14" s="1"/>
  <c r="L1298" i="14"/>
  <c r="L1248" i="14"/>
  <c r="R1248" i="14" s="1"/>
  <c r="L1277" i="14"/>
  <c r="R1277" i="14" s="1"/>
  <c r="L1446" i="14"/>
  <c r="R1446" i="14" s="1"/>
  <c r="L1359" i="14"/>
  <c r="R1359" i="14" s="1"/>
  <c r="L1320" i="14"/>
  <c r="R1320" i="14" s="1"/>
  <c r="L1334" i="14"/>
  <c r="R1334" i="14" s="1"/>
  <c r="L1484" i="14"/>
  <c r="R1484" i="14" s="1"/>
  <c r="L1325" i="14"/>
  <c r="L1294" i="14"/>
  <c r="R1294" i="14" s="1"/>
  <c r="L1395" i="14"/>
  <c r="R1395" i="14" s="1"/>
  <c r="L1380" i="14"/>
  <c r="R1380" i="14" s="1"/>
  <c r="L1458" i="14"/>
  <c r="R1458" i="14" s="1"/>
  <c r="L1328" i="14"/>
  <c r="R1328" i="14" s="1"/>
  <c r="L1274" i="14"/>
  <c r="R1274" i="14" s="1"/>
  <c r="L1345" i="14"/>
  <c r="R1345" i="14" s="1"/>
  <c r="L1418" i="14"/>
  <c r="R1418" i="14" s="1"/>
  <c r="L1469" i="14"/>
  <c r="R1469" i="14" s="1"/>
  <c r="L1317" i="14"/>
  <c r="R1317" i="14" s="1"/>
  <c r="L1288" i="14"/>
  <c r="L1287" i="14"/>
  <c r="R1287" i="14" s="1"/>
  <c r="L1430" i="14"/>
  <c r="R1430" i="14" s="1"/>
  <c r="L1405" i="14"/>
  <c r="R1405" i="14" s="1"/>
  <c r="L1312" i="14"/>
  <c r="L1439" i="14"/>
  <c r="L1454" i="14"/>
  <c r="R1454" i="14" s="1"/>
  <c r="L1477" i="14"/>
  <c r="R1477" i="14" s="1"/>
  <c r="L1257" i="14"/>
  <c r="R1257" i="14" s="1"/>
  <c r="L1335" i="14"/>
  <c r="R1335" i="14" s="1"/>
  <c r="L1419" i="14"/>
  <c r="R1419" i="14" s="1"/>
  <c r="L1441" i="14"/>
  <c r="R1441" i="14" s="1"/>
  <c r="L1268" i="14"/>
  <c r="R1268" i="14" s="1"/>
  <c r="L1246" i="14"/>
  <c r="R1246" i="14" s="1"/>
  <c r="L1379" i="14"/>
  <c r="R1379" i="14" s="1"/>
  <c r="L1396" i="14"/>
  <c r="R1396" i="14" s="1"/>
  <c r="F1484" i="14"/>
  <c r="L1383" i="14"/>
  <c r="L1245" i="14"/>
  <c r="R1245" i="14" s="1"/>
  <c r="L1307" i="14"/>
  <c r="R1307" i="14" s="1"/>
  <c r="L1457" i="14"/>
  <c r="R1457" i="14" s="1"/>
  <c r="L1370" i="14"/>
  <c r="R1370" i="14" s="1"/>
  <c r="L1422" i="14"/>
  <c r="R1422" i="14" s="1"/>
  <c r="L1373" i="14"/>
  <c r="R1373" i="14" s="1"/>
  <c r="L1304" i="14"/>
  <c r="R1304" i="14" s="1"/>
  <c r="L1431" i="14"/>
  <c r="R1431" i="14" s="1"/>
  <c r="L1478" i="14"/>
  <c r="R1478" i="14" s="1"/>
  <c r="L1416" i="14"/>
  <c r="R1416" i="14" s="1"/>
  <c r="L1461" i="14"/>
  <c r="R1461" i="14" s="1"/>
  <c r="L1263" i="14"/>
  <c r="L1347" i="14"/>
  <c r="R1347" i="14" s="1"/>
  <c r="L1401" i="14"/>
  <c r="R1401" i="14" s="1"/>
  <c r="L1456" i="14"/>
  <c r="R1456" i="14" s="1"/>
  <c r="L1297" i="14"/>
  <c r="L1338" i="14"/>
  <c r="R1338" i="14" s="1"/>
  <c r="L1316" i="14"/>
  <c r="R1316" i="14" s="1"/>
  <c r="L1250" i="14"/>
  <c r="R1250" i="14" s="1"/>
  <c r="L1321" i="14"/>
  <c r="L1362" i="14"/>
  <c r="R1362" i="14" s="1"/>
  <c r="L1276" i="14"/>
  <c r="R1276" i="14" s="1"/>
  <c r="L1306" i="14"/>
  <c r="R1306" i="14" s="1"/>
  <c r="L1377" i="14"/>
  <c r="R1377" i="14" s="1"/>
  <c r="L1487" i="14"/>
  <c r="R1487" i="14" s="1"/>
  <c r="L1252" i="14"/>
  <c r="R1252" i="14" s="1"/>
  <c r="L1266" i="14"/>
  <c r="R1266" i="14" s="1"/>
  <c r="L1369" i="14"/>
  <c r="L1447" i="14"/>
  <c r="R1447" i="14" s="1"/>
  <c r="L1448" i="14"/>
  <c r="R1448" i="14" s="1"/>
  <c r="L1368" i="14"/>
  <c r="L1356" i="14"/>
  <c r="R1356" i="14" s="1"/>
  <c r="L1352" i="14"/>
  <c r="R1352" i="14" s="1"/>
  <c r="L1417" i="14"/>
  <c r="R1417" i="14" s="1"/>
  <c r="L1349" i="14"/>
  <c r="L1455" i="14"/>
  <c r="R1455" i="14" s="1"/>
  <c r="L1437" i="14"/>
  <c r="R1437" i="14" s="1"/>
  <c r="L1467" i="14"/>
  <c r="R1467" i="14" s="1"/>
  <c r="L1311" i="14"/>
  <c r="R1311" i="14" s="1"/>
  <c r="L1389" i="14"/>
  <c r="L1313" i="14"/>
  <c r="R1313" i="14" s="1"/>
  <c r="L1251" i="14"/>
  <c r="R1251" i="14" s="1"/>
  <c r="L1255" i="14"/>
  <c r="L1329" i="14"/>
  <c r="L1444" i="14"/>
  <c r="R1444" i="14" s="1"/>
  <c r="L1350" i="14"/>
  <c r="R1350" i="14" s="1"/>
  <c r="L1482" i="14"/>
  <c r="R1482" i="14" s="1"/>
  <c r="L1366" i="14"/>
  <c r="L1375" i="14"/>
  <c r="R1375" i="14" s="1"/>
  <c r="L1399" i="14"/>
  <c r="R1399" i="14" s="1"/>
  <c r="L1249" i="14"/>
  <c r="R1249" i="14" s="1"/>
  <c r="L1429" i="14"/>
  <c r="R1429" i="14" s="1"/>
  <c r="L1442" i="14"/>
  <c r="R1442" i="14" s="1"/>
  <c r="F1395" i="14"/>
  <c r="L254" i="10"/>
  <c r="U253" i="10"/>
  <c r="M1254" i="14"/>
  <c r="M1305" i="14"/>
  <c r="M1279" i="14"/>
  <c r="S1279" i="14" s="1"/>
  <c r="M1253" i="14"/>
  <c r="S1253" i="14" s="1"/>
  <c r="M1259" i="14"/>
  <c r="S1259" i="14" s="1"/>
  <c r="M1476" i="14"/>
  <c r="M1450" i="14"/>
  <c r="S1450" i="14" s="1"/>
  <c r="M1456" i="14"/>
  <c r="S1456" i="14" s="1"/>
  <c r="M1462" i="14"/>
  <c r="S1462" i="14" s="1"/>
  <c r="M1436" i="14"/>
  <c r="M1410" i="14"/>
  <c r="S1410" i="14" s="1"/>
  <c r="M1480" i="14"/>
  <c r="S1480" i="14" s="1"/>
  <c r="M1486" i="14"/>
  <c r="M1364" i="14"/>
  <c r="M1338" i="14"/>
  <c r="S1338" i="14" s="1"/>
  <c r="M1479" i="14"/>
  <c r="S1479" i="14" s="1"/>
  <c r="M1453" i="14"/>
  <c r="S1453" i="14" s="1"/>
  <c r="M1427" i="14"/>
  <c r="M1401" i="14"/>
  <c r="S1401" i="14" s="1"/>
  <c r="M1278" i="14"/>
  <c r="S1278" i="14" s="1"/>
  <c r="M1252" i="14"/>
  <c r="M1303" i="14"/>
  <c r="S1303" i="14" s="1"/>
  <c r="M1277" i="14"/>
  <c r="S1277" i="14" s="1"/>
  <c r="M1283" i="14"/>
  <c r="S1283" i="14" s="1"/>
  <c r="M1289" i="14"/>
  <c r="M1263" i="14"/>
  <c r="S1263" i="14" s="1"/>
  <c r="M1448" i="14"/>
  <c r="S1448" i="14" s="1"/>
  <c r="M1454" i="14"/>
  <c r="S1454" i="14" s="1"/>
  <c r="M1460" i="14"/>
  <c r="S1460" i="14" s="1"/>
  <c r="M1434" i="14"/>
  <c r="M1408" i="14"/>
  <c r="S1408" i="14" s="1"/>
  <c r="M1395" i="14"/>
  <c r="S1395" i="14" s="1"/>
  <c r="M1375" i="14"/>
  <c r="S1375" i="14" s="1"/>
  <c r="M1451" i="14"/>
  <c r="M1431" i="14"/>
  <c r="S1431" i="14" s="1"/>
  <c r="M1282" i="14"/>
  <c r="S1282" i="14" s="1"/>
  <c r="M1461" i="14"/>
  <c r="M1376" i="14"/>
  <c r="S1376" i="14" s="1"/>
  <c r="M1350" i="14"/>
  <c r="S1350" i="14" s="1"/>
  <c r="M1324" i="14"/>
  <c r="S1324" i="14" s="1"/>
  <c r="M1465" i="14"/>
  <c r="S1465" i="14" s="1"/>
  <c r="M1471" i="14"/>
  <c r="M1445" i="14"/>
  <c r="S1445" i="14" s="1"/>
  <c r="M1419" i="14"/>
  <c r="S1419" i="14" s="1"/>
  <c r="M1393" i="14"/>
  <c r="S1393" i="14" s="1"/>
  <c r="M1270" i="14"/>
  <c r="S1270" i="14" s="1"/>
  <c r="M1468" i="14"/>
  <c r="S1468" i="14" s="1"/>
  <c r="M1442" i="14"/>
  <c r="S1442" i="14" s="1"/>
  <c r="M1384" i="14"/>
  <c r="M1429" i="14"/>
  <c r="M1435" i="14"/>
  <c r="S1435" i="14" s="1"/>
  <c r="M1409" i="14"/>
  <c r="S1409" i="14" s="1"/>
  <c r="M1267" i="14"/>
  <c r="M1266" i="14"/>
  <c r="M1246" i="14"/>
  <c r="S1246" i="14" s="1"/>
  <c r="M1386" i="14"/>
  <c r="S1386" i="14" s="1"/>
  <c r="M1251" i="14"/>
  <c r="S1251" i="14" s="1"/>
  <c r="M1346" i="14"/>
  <c r="S1346" i="14" s="1"/>
  <c r="M1422" i="14"/>
  <c r="S1422" i="14" s="1"/>
  <c r="M1339" i="14"/>
  <c r="S1339" i="14" s="1"/>
  <c r="M1357" i="14"/>
  <c r="S1357" i="14" s="1"/>
  <c r="M1310" i="14"/>
  <c r="M1309" i="14"/>
  <c r="S1309" i="14" s="1"/>
  <c r="M1295" i="14"/>
  <c r="S1295" i="14" s="1"/>
  <c r="M1268" i="14"/>
  <c r="S1268" i="14" s="1"/>
  <c r="M1440" i="14"/>
  <c r="S1440" i="14" s="1"/>
  <c r="M1388" i="14"/>
  <c r="S1388" i="14" s="1"/>
  <c r="M1407" i="14"/>
  <c r="S1407" i="14" s="1"/>
  <c r="M1355" i="14"/>
  <c r="S1355" i="14" s="1"/>
  <c r="M1341" i="14"/>
  <c r="M1288" i="14"/>
  <c r="S1288" i="14" s="1"/>
  <c r="M1319" i="14"/>
  <c r="S1319" i="14" s="1"/>
  <c r="M1297" i="14"/>
  <c r="M1275" i="14"/>
  <c r="S1275" i="14" s="1"/>
  <c r="M1452" i="14"/>
  <c r="S1452" i="14" s="1"/>
  <c r="M1406" i="14"/>
  <c r="S1406" i="14" s="1"/>
  <c r="M1399" i="14"/>
  <c r="S1399" i="14" s="1"/>
  <c r="M1301" i="14"/>
  <c r="M1370" i="14"/>
  <c r="S1370" i="14" s="1"/>
  <c r="M1336" i="14"/>
  <c r="S1336" i="14" s="1"/>
  <c r="M1411" i="14"/>
  <c r="S1411" i="14" s="1"/>
  <c r="M1428" i="14"/>
  <c r="S1428" i="14" s="1"/>
  <c r="M1472" i="14"/>
  <c r="S1472" i="14" s="1"/>
  <c r="M1446" i="14"/>
  <c r="S1446" i="14" s="1"/>
  <c r="M1420" i="14"/>
  <c r="S1420" i="14" s="1"/>
  <c r="M1394" i="14"/>
  <c r="M1400" i="14"/>
  <c r="S1400" i="14" s="1"/>
  <c r="M1374" i="14"/>
  <c r="S1374" i="14" s="1"/>
  <c r="M1348" i="14"/>
  <c r="S1348" i="14" s="1"/>
  <c r="M1322" i="14"/>
  <c r="S1322" i="14" s="1"/>
  <c r="M1328" i="14"/>
  <c r="S1328" i="14" s="1"/>
  <c r="M1334" i="14"/>
  <c r="S1334" i="14" s="1"/>
  <c r="M1475" i="14"/>
  <c r="M1449" i="14"/>
  <c r="S1449" i="14" s="1"/>
  <c r="M1352" i="14"/>
  <c r="S1352" i="14" s="1"/>
  <c r="M1358" i="14"/>
  <c r="S1358" i="14" s="1"/>
  <c r="M1403" i="14"/>
  <c r="S1403" i="14" s="1"/>
  <c r="M1377" i="14"/>
  <c r="M1474" i="14"/>
  <c r="S1474" i="14" s="1"/>
  <c r="M1351" i="14"/>
  <c r="S1351" i="14" s="1"/>
  <c r="M1325" i="14"/>
  <c r="S1325" i="14" s="1"/>
  <c r="M1298" i="14"/>
  <c r="M1272" i="14"/>
  <c r="S1272" i="14" s="1"/>
  <c r="M1470" i="14"/>
  <c r="S1470" i="14" s="1"/>
  <c r="M1444" i="14"/>
  <c r="M1418" i="14"/>
  <c r="M1424" i="14"/>
  <c r="S1424" i="14" s="1"/>
  <c r="M1430" i="14"/>
  <c r="S1430" i="14" s="1"/>
  <c r="M1404" i="14"/>
  <c r="M1378" i="14"/>
  <c r="S1378" i="14" s="1"/>
  <c r="M1487" i="14"/>
  <c r="S1487" i="14" s="1"/>
  <c r="M1326" i="14"/>
  <c r="S1326" i="14" s="1"/>
  <c r="M1332" i="14"/>
  <c r="S1332" i="14" s="1"/>
  <c r="M1473" i="14"/>
  <c r="S1473" i="14" s="1"/>
  <c r="M1318" i="14"/>
  <c r="S1318" i="14" s="1"/>
  <c r="M1458" i="14"/>
  <c r="S1458" i="14" s="1"/>
  <c r="M1438" i="14"/>
  <c r="M1271" i="14"/>
  <c r="S1271" i="14" s="1"/>
  <c r="M1398" i="14"/>
  <c r="S1398" i="14" s="1"/>
  <c r="M1385" i="14"/>
  <c r="S1385" i="14" s="1"/>
  <c r="M1467" i="14"/>
  <c r="S1467" i="14" s="1"/>
  <c r="M1415" i="14"/>
  <c r="M1389" i="14"/>
  <c r="S1389" i="14" s="1"/>
  <c r="M1363" i="14"/>
  <c r="S1363" i="14" s="1"/>
  <c r="M1337" i="14"/>
  <c r="M1343" i="14"/>
  <c r="S1343" i="14" s="1"/>
  <c r="M1316" i="14"/>
  <c r="S1316" i="14" s="1"/>
  <c r="M1290" i="14"/>
  <c r="S1290" i="14" s="1"/>
  <c r="M1264" i="14"/>
  <c r="S1264" i="14" s="1"/>
  <c r="M1366" i="14"/>
  <c r="S1366" i="14" s="1"/>
  <c r="M1340" i="14"/>
  <c r="S1340" i="14" s="1"/>
  <c r="M1481" i="14"/>
  <c r="S1481" i="14" s="1"/>
  <c r="M1423" i="14"/>
  <c r="M1300" i="14"/>
  <c r="S1300" i="14" s="1"/>
  <c r="M1306" i="14"/>
  <c r="S1306" i="14" s="1"/>
  <c r="M1280" i="14"/>
  <c r="S1280" i="14" s="1"/>
  <c r="M1421" i="14"/>
  <c r="S1421" i="14" s="1"/>
  <c r="M1369" i="14"/>
  <c r="M1477" i="14"/>
  <c r="S1477" i="14" s="1"/>
  <c r="M1296" i="14"/>
  <c r="S1296" i="14" s="1"/>
  <c r="M1437" i="14"/>
  <c r="S1437" i="14" s="1"/>
  <c r="M1256" i="14"/>
  <c r="M1333" i="14"/>
  <c r="S1333" i="14" s="1"/>
  <c r="M1402" i="14"/>
  <c r="S1402" i="14" s="1"/>
  <c r="M1331" i="14"/>
  <c r="S1331" i="14" s="1"/>
  <c r="M1258" i="14"/>
  <c r="M1321" i="14"/>
  <c r="S1321" i="14" s="1"/>
  <c r="M1262" i="14"/>
  <c r="S1262" i="14" s="1"/>
  <c r="M1335" i="14"/>
  <c r="M1313" i="14"/>
  <c r="S1313" i="14" s="1"/>
  <c r="M1484" i="14"/>
  <c r="S1484" i="14" s="1"/>
  <c r="M1245" i="14"/>
  <c r="S1245" i="14" s="1"/>
  <c r="M1441" i="14"/>
  <c r="S1441" i="14" s="1"/>
  <c r="M1426" i="14"/>
  <c r="S1426" i="14" s="1"/>
  <c r="M1380" i="14"/>
  <c r="S1380" i="14" s="1"/>
  <c r="M1276" i="14"/>
  <c r="S1276" i="14" s="1"/>
  <c r="M1390" i="14"/>
  <c r="S1390" i="14" s="1"/>
  <c r="M1447" i="14"/>
  <c r="M1323" i="14"/>
  <c r="S1323" i="14" s="1"/>
  <c r="M1327" i="14"/>
  <c r="S1327" i="14" s="1"/>
  <c r="M1344" i="14"/>
  <c r="S1344" i="14" s="1"/>
  <c r="M1485" i="14"/>
  <c r="S1485" i="14" s="1"/>
  <c r="M1459" i="14"/>
  <c r="S1459" i="14" s="1"/>
  <c r="M1433" i="14"/>
  <c r="S1433" i="14" s="1"/>
  <c r="M1439" i="14"/>
  <c r="M1413" i="14"/>
  <c r="S1413" i="14" s="1"/>
  <c r="M1387" i="14"/>
  <c r="S1387" i="14" s="1"/>
  <c r="M1361" i="14"/>
  <c r="S1361" i="14" s="1"/>
  <c r="M1367" i="14"/>
  <c r="S1367" i="14" s="1"/>
  <c r="M1373" i="14"/>
  <c r="S1373" i="14" s="1"/>
  <c r="M1347" i="14"/>
  <c r="S1347" i="14" s="1"/>
  <c r="M1320" i="14"/>
  <c r="S1320" i="14" s="1"/>
  <c r="M1391" i="14"/>
  <c r="M1397" i="14"/>
  <c r="S1397" i="14" s="1"/>
  <c r="M1274" i="14"/>
  <c r="S1274" i="14" s="1"/>
  <c r="M1248" i="14"/>
  <c r="S1248" i="14" s="1"/>
  <c r="M1312" i="14"/>
  <c r="M1299" i="14"/>
  <c r="M1273" i="14"/>
  <c r="S1273" i="14" s="1"/>
  <c r="M1247" i="14"/>
  <c r="S1247" i="14" s="1"/>
  <c r="M1368" i="14"/>
  <c r="M1342" i="14"/>
  <c r="S1342" i="14" s="1"/>
  <c r="M1483" i="14"/>
  <c r="S1483" i="14" s="1"/>
  <c r="M1457" i="14"/>
  <c r="S1457" i="14" s="1"/>
  <c r="M1463" i="14"/>
  <c r="S1463" i="14" s="1"/>
  <c r="M1469" i="14"/>
  <c r="S1469" i="14" s="1"/>
  <c r="M1443" i="14"/>
  <c r="S1443" i="14" s="1"/>
  <c r="M1417" i="14"/>
  <c r="S1417" i="14" s="1"/>
  <c r="M1359" i="14"/>
  <c r="M1365" i="14"/>
  <c r="S1365" i="14" s="1"/>
  <c r="M1371" i="14"/>
  <c r="S1371" i="14" s="1"/>
  <c r="M1345" i="14"/>
  <c r="S1345" i="14" s="1"/>
  <c r="M1382" i="14"/>
  <c r="S1382" i="14" s="1"/>
  <c r="M1330" i="14"/>
  <c r="S1330" i="14" s="1"/>
  <c r="M1349" i="14"/>
  <c r="S1349" i="14" s="1"/>
  <c r="M1425" i="14"/>
  <c r="S1425" i="14" s="1"/>
  <c r="M1308" i="14"/>
  <c r="S1308" i="14" s="1"/>
  <c r="M1455" i="14"/>
  <c r="S1455" i="14" s="1"/>
  <c r="M1287" i="14"/>
  <c r="S1287" i="14" s="1"/>
  <c r="M1286" i="14"/>
  <c r="S1286" i="14" s="1"/>
  <c r="M1260" i="14"/>
  <c r="M1311" i="14"/>
  <c r="M1285" i="14"/>
  <c r="S1285" i="14" s="1"/>
  <c r="M1291" i="14"/>
  <c r="S1291" i="14" s="1"/>
  <c r="M1265" i="14"/>
  <c r="S1265" i="14" s="1"/>
  <c r="M1482" i="14"/>
  <c r="S1482" i="14" s="1"/>
  <c r="M1360" i="14"/>
  <c r="S1360" i="14" s="1"/>
  <c r="M1405" i="14"/>
  <c r="S1405" i="14" s="1"/>
  <c r="M1379" i="14"/>
  <c r="M1353" i="14"/>
  <c r="S1353" i="14" s="1"/>
  <c r="M1294" i="14"/>
  <c r="S1294" i="14" s="1"/>
  <c r="M1249" i="14"/>
  <c r="S1249" i="14" s="1"/>
  <c r="M1255" i="14"/>
  <c r="S1255" i="14" s="1"/>
  <c r="G1353" i="14"/>
  <c r="M1292" i="14"/>
  <c r="S1292" i="14" s="1"/>
  <c r="M1464" i="14"/>
  <c r="S1464" i="14" s="1"/>
  <c r="M1412" i="14"/>
  <c r="M1392" i="14"/>
  <c r="S1392" i="14" s="1"/>
  <c r="M1257" i="14"/>
  <c r="S1257" i="14" s="1"/>
  <c r="M1416" i="14"/>
  <c r="S1416" i="14" s="1"/>
  <c r="M1281" i="14"/>
  <c r="S1281" i="14" s="1"/>
  <c r="M1261" i="14"/>
  <c r="S1261" i="14" s="1"/>
  <c r="M1383" i="14"/>
  <c r="S1383" i="14" s="1"/>
  <c r="M1304" i="14"/>
  <c r="S1304" i="14" s="1"/>
  <c r="M1284" i="14"/>
  <c r="S1284" i="14" s="1"/>
  <c r="M1315" i="14"/>
  <c r="S1315" i="14" s="1"/>
  <c r="M1269" i="14"/>
  <c r="S1269" i="14" s="1"/>
  <c r="M1466" i="14"/>
  <c r="S1466" i="14" s="1"/>
  <c r="M1414" i="14"/>
  <c r="M1362" i="14"/>
  <c r="M1381" i="14"/>
  <c r="S1381" i="14" s="1"/>
  <c r="M1329" i="14"/>
  <c r="S1329" i="14" s="1"/>
  <c r="M1314" i="14"/>
  <c r="M1307" i="14"/>
  <c r="S1307" i="14" s="1"/>
  <c r="M1293" i="14"/>
  <c r="S1293" i="14" s="1"/>
  <c r="M1317" i="14"/>
  <c r="S1317" i="14" s="1"/>
  <c r="M1372" i="14"/>
  <c r="S1372" i="14" s="1"/>
  <c r="M1478" i="14"/>
  <c r="S1478" i="14" s="1"/>
  <c r="M1432" i="14"/>
  <c r="S1432" i="14" s="1"/>
  <c r="M1354" i="14"/>
  <c r="S1354" i="14" s="1"/>
  <c r="M1250" i="14"/>
  <c r="S1250" i="14" s="1"/>
  <c r="M1396" i="14"/>
  <c r="S1396" i="14" s="1"/>
  <c r="M1356" i="14"/>
  <c r="S1356" i="14" s="1"/>
  <c r="M1302" i="14"/>
  <c r="S1302" i="14" s="1"/>
  <c r="G1420" i="14"/>
  <c r="H1270" i="14" l="1"/>
  <c r="I1331" i="14"/>
  <c r="H1310" i="14"/>
  <c r="H1460" i="14"/>
  <c r="H1413" i="14"/>
  <c r="F1300" i="14"/>
  <c r="E1322" i="14"/>
  <c r="H1427" i="14"/>
  <c r="H1409" i="14"/>
  <c r="H1483" i="14"/>
  <c r="F1338" i="14"/>
  <c r="H1263" i="14"/>
  <c r="H1262" i="14"/>
  <c r="H1348" i="14"/>
  <c r="G1388" i="14"/>
  <c r="F1275" i="14"/>
  <c r="F1376" i="14"/>
  <c r="F1483" i="14"/>
  <c r="I1336" i="14"/>
  <c r="I1297" i="14"/>
  <c r="F1294" i="14"/>
  <c r="H1359" i="14"/>
  <c r="H1448" i="14"/>
  <c r="H1388" i="14"/>
  <c r="H1356" i="14"/>
  <c r="H1364" i="14"/>
  <c r="G1288" i="14"/>
  <c r="F1341" i="14"/>
  <c r="H1253" i="14"/>
  <c r="H1334" i="14"/>
  <c r="G1264" i="14"/>
  <c r="E1460" i="14"/>
  <c r="F1425" i="14"/>
  <c r="F1454" i="14"/>
  <c r="F1422" i="14"/>
  <c r="F1320" i="14"/>
  <c r="F1473" i="14"/>
  <c r="E1358" i="14"/>
  <c r="G1402" i="14"/>
  <c r="G1327" i="14"/>
  <c r="G1472" i="14"/>
  <c r="F1337" i="14"/>
  <c r="F1344" i="14"/>
  <c r="F1424" i="14"/>
  <c r="E1320" i="14"/>
  <c r="E1397" i="14"/>
  <c r="H1406" i="14"/>
  <c r="I1378" i="14"/>
  <c r="I1450" i="14"/>
  <c r="I1283" i="14"/>
  <c r="I1387" i="14"/>
  <c r="G1284" i="14"/>
  <c r="G1246" i="14"/>
  <c r="G1448" i="14"/>
  <c r="F1292" i="14"/>
  <c r="G1279" i="14"/>
  <c r="G1349" i="14"/>
  <c r="G1477" i="14"/>
  <c r="G1319" i="14"/>
  <c r="F1340" i="14"/>
  <c r="F1449" i="14"/>
  <c r="F1402" i="14"/>
  <c r="H1443" i="14"/>
  <c r="H1400" i="14"/>
  <c r="H1393" i="14"/>
  <c r="H1486" i="14"/>
  <c r="H1433" i="14"/>
  <c r="H1358" i="14"/>
  <c r="H1332" i="14"/>
  <c r="H1395" i="14"/>
  <c r="H1318" i="14"/>
  <c r="H1398" i="14"/>
  <c r="H1353" i="14"/>
  <c r="H1407" i="14"/>
  <c r="H1327" i="14"/>
  <c r="I1354" i="14"/>
  <c r="G1323" i="14"/>
  <c r="G1336" i="14"/>
  <c r="G1459" i="14"/>
  <c r="G1374" i="14"/>
  <c r="F1417" i="14"/>
  <c r="F1477" i="14"/>
  <c r="F1336" i="14"/>
  <c r="F1330" i="14"/>
  <c r="F1302" i="14"/>
  <c r="F1295" i="14"/>
  <c r="F1277" i="14"/>
  <c r="F1423" i="14"/>
  <c r="E1345" i="14"/>
  <c r="H1410" i="14"/>
  <c r="H1246" i="14"/>
  <c r="H1468" i="14"/>
  <c r="H1257" i="14"/>
  <c r="H1478" i="14"/>
  <c r="H1329" i="14"/>
  <c r="H1264" i="14"/>
  <c r="H1467" i="14"/>
  <c r="H1480" i="14"/>
  <c r="H1412" i="14"/>
  <c r="H1382" i="14"/>
  <c r="H1331" i="14"/>
  <c r="I1298" i="14"/>
  <c r="G1245" i="14"/>
  <c r="G1442" i="14"/>
  <c r="G1326" i="14"/>
  <c r="G1361" i="14"/>
  <c r="G1395" i="14"/>
  <c r="F1412" i="14"/>
  <c r="F1301" i="14"/>
  <c r="F1274" i="14"/>
  <c r="F1322" i="14"/>
  <c r="F1317" i="14"/>
  <c r="F1354" i="14"/>
  <c r="F1285" i="14"/>
  <c r="H1411" i="14"/>
  <c r="H1472" i="14"/>
  <c r="H1485" i="14"/>
  <c r="H1387" i="14"/>
  <c r="H1360" i="14"/>
  <c r="H1315" i="14"/>
  <c r="H1278" i="14"/>
  <c r="H1252" i="14"/>
  <c r="H1249" i="14"/>
  <c r="H1335" i="14"/>
  <c r="H1324" i="14"/>
  <c r="H1454" i="14"/>
  <c r="H1423" i="14"/>
  <c r="G1331" i="14"/>
  <c r="G1403" i="14"/>
  <c r="F1287" i="14"/>
  <c r="H1389" i="14"/>
  <c r="H1461" i="14"/>
  <c r="H1422" i="14"/>
  <c r="H1302" i="14"/>
  <c r="I1252" i="14"/>
  <c r="I1483" i="14"/>
  <c r="G1308" i="14"/>
  <c r="H1366" i="14"/>
  <c r="H1371" i="14"/>
  <c r="I1412" i="14"/>
  <c r="I1356" i="14"/>
  <c r="G1281" i="14"/>
  <c r="G1382" i="14"/>
  <c r="G1251" i="14"/>
  <c r="V1485" i="14"/>
  <c r="A1485" i="14" s="1"/>
  <c r="H1446" i="14"/>
  <c r="H1284" i="14"/>
  <c r="H1361" i="14"/>
  <c r="I1448" i="14"/>
  <c r="I1312" i="14"/>
  <c r="I1246" i="14"/>
  <c r="I1276" i="14"/>
  <c r="I1287" i="14"/>
  <c r="F1252" i="14"/>
  <c r="I1425" i="14"/>
  <c r="G1360" i="14"/>
  <c r="G1287" i="14"/>
  <c r="G1322" i="14"/>
  <c r="F1375" i="14"/>
  <c r="F1348" i="14"/>
  <c r="F1355" i="14"/>
  <c r="F1442" i="14"/>
  <c r="F1399" i="14"/>
  <c r="F1347" i="14"/>
  <c r="F1281" i="14"/>
  <c r="F1385" i="14"/>
  <c r="F1315" i="14"/>
  <c r="F1351" i="14"/>
  <c r="F1256" i="14"/>
  <c r="E1398" i="14"/>
  <c r="E1294" i="14"/>
  <c r="E1401" i="14"/>
  <c r="E1278" i="14"/>
  <c r="I1254" i="14"/>
  <c r="I1278" i="14"/>
  <c r="I1299" i="14"/>
  <c r="F1419" i="14"/>
  <c r="F1248" i="14"/>
  <c r="F1487" i="14"/>
  <c r="F1430" i="14"/>
  <c r="F1420" i="14"/>
  <c r="F1403" i="14"/>
  <c r="F1361" i="14"/>
  <c r="F1469" i="14"/>
  <c r="E1436" i="14"/>
  <c r="E1422" i="14"/>
  <c r="E1365" i="14"/>
  <c r="I1365" i="14"/>
  <c r="I1403" i="14"/>
  <c r="I1373" i="14"/>
  <c r="I1264" i="14"/>
  <c r="F1437" i="14"/>
  <c r="F1358" i="14"/>
  <c r="F1447" i="14"/>
  <c r="F1353" i="14"/>
  <c r="F1362" i="14"/>
  <c r="F1414" i="14"/>
  <c r="F1299" i="14"/>
  <c r="F1379" i="14"/>
  <c r="E1404" i="14"/>
  <c r="E1283" i="14"/>
  <c r="H1258" i="14"/>
  <c r="I1311" i="14"/>
  <c r="I1247" i="14"/>
  <c r="I1485" i="14"/>
  <c r="I1427" i="14"/>
  <c r="I1366" i="14"/>
  <c r="I1363" i="14"/>
  <c r="G1285" i="14"/>
  <c r="F1444" i="14"/>
  <c r="F1313" i="14"/>
  <c r="E1387" i="14"/>
  <c r="G1291" i="14"/>
  <c r="F1416" i="14"/>
  <c r="E1303" i="14"/>
  <c r="G1249" i="14"/>
  <c r="G1345" i="14"/>
  <c r="G1425" i="14"/>
  <c r="G1286" i="14"/>
  <c r="G1351" i="14"/>
  <c r="G1320" i="14"/>
  <c r="G1419" i="14"/>
  <c r="G1409" i="14"/>
  <c r="G1276" i="14"/>
  <c r="G1407" i="14"/>
  <c r="G1283" i="14"/>
  <c r="G1247" i="14"/>
  <c r="G1454" i="14"/>
  <c r="G1470" i="14"/>
  <c r="G1446" i="14"/>
  <c r="F1307" i="14"/>
  <c r="F1468" i="14"/>
  <c r="F1396" i="14"/>
  <c r="F1480" i="14"/>
  <c r="F1401" i="14"/>
  <c r="F1463" i="14"/>
  <c r="F1316" i="14"/>
  <c r="F1374" i="14"/>
  <c r="F1280" i="14"/>
  <c r="F1465" i="14"/>
  <c r="F1394" i="14"/>
  <c r="F1334" i="14"/>
  <c r="F1291" i="14"/>
  <c r="F1460" i="14"/>
  <c r="F1474" i="14"/>
  <c r="E1264" i="14"/>
  <c r="E1457" i="14"/>
  <c r="E1339" i="14"/>
  <c r="E1334" i="14"/>
  <c r="H1419" i="14"/>
  <c r="H1482" i="14"/>
  <c r="H1421" i="14"/>
  <c r="H1396" i="14"/>
  <c r="H1279" i="14"/>
  <c r="I1351" i="14"/>
  <c r="G1282" i="14"/>
  <c r="G1386" i="14"/>
  <c r="G1416" i="14"/>
  <c r="G1280" i="14"/>
  <c r="G1324" i="14"/>
  <c r="E1470" i="14"/>
  <c r="G1406" i="14"/>
  <c r="G1278" i="14"/>
  <c r="G1296" i="14"/>
  <c r="G1458" i="14"/>
  <c r="G1290" i="14"/>
  <c r="G1479" i="14"/>
  <c r="G1457" i="14"/>
  <c r="G1417" i="14"/>
  <c r="G1363" i="14"/>
  <c r="G1430" i="14"/>
  <c r="G1334" i="14"/>
  <c r="G1464" i="14"/>
  <c r="G1385" i="14"/>
  <c r="G1481" i="14"/>
  <c r="G1358" i="14"/>
  <c r="G1269" i="14"/>
  <c r="G1339" i="14"/>
  <c r="G1248" i="14"/>
  <c r="G1262" i="14"/>
  <c r="G1295" i="14"/>
  <c r="F1373" i="14"/>
  <c r="F1426" i="14"/>
  <c r="F1350" i="14"/>
  <c r="F1436" i="14"/>
  <c r="F1441" i="14"/>
  <c r="F1448" i="14"/>
  <c r="F1346" i="14"/>
  <c r="F1453" i="14"/>
  <c r="F1404" i="14"/>
  <c r="F1332" i="14"/>
  <c r="F1386" i="14"/>
  <c r="F1260" i="14"/>
  <c r="F1391" i="14"/>
  <c r="F1388" i="14"/>
  <c r="F1467" i="14"/>
  <c r="E1424" i="14"/>
  <c r="E1366" i="14"/>
  <c r="E1412" i="14"/>
  <c r="E1448" i="14"/>
  <c r="E1245" i="14"/>
  <c r="H1245" i="14"/>
  <c r="H1452" i="14"/>
  <c r="H1450" i="14"/>
  <c r="H1437" i="14"/>
  <c r="H1370" i="14"/>
  <c r="H1475" i="14"/>
  <c r="H1459" i="14"/>
  <c r="H1276" i="14"/>
  <c r="I1360" i="14"/>
  <c r="I1310" i="14"/>
  <c r="G1383" i="14"/>
  <c r="G1381" i="14"/>
  <c r="F1365" i="14"/>
  <c r="F1269" i="14"/>
  <c r="F1415" i="14"/>
  <c r="E1256" i="14"/>
  <c r="E1342" i="14"/>
  <c r="I1301" i="14"/>
  <c r="I1337" i="14"/>
  <c r="I1375" i="14"/>
  <c r="F1372" i="14"/>
  <c r="F1261" i="14"/>
  <c r="H1346" i="14"/>
  <c r="I1463" i="14"/>
  <c r="I1308" i="14"/>
  <c r="I1326" i="14"/>
  <c r="I1380" i="14"/>
  <c r="I1382" i="14"/>
  <c r="G1346" i="14"/>
  <c r="G1263" i="14"/>
  <c r="E1329" i="14"/>
  <c r="E1349" i="14"/>
  <c r="H1274" i="14"/>
  <c r="H1457" i="14"/>
  <c r="H1390" i="14"/>
  <c r="I1451" i="14"/>
  <c r="I1479" i="14"/>
  <c r="I1410" i="14"/>
  <c r="I1423" i="14"/>
  <c r="I1289" i="14"/>
  <c r="G1270" i="14"/>
  <c r="E1430" i="14"/>
  <c r="E1420" i="14"/>
  <c r="E1297" i="14"/>
  <c r="E1316" i="14"/>
  <c r="E1468" i="14"/>
  <c r="E1313" i="14"/>
  <c r="E1459" i="14"/>
  <c r="E1350" i="14"/>
  <c r="E1419" i="14"/>
  <c r="E1375" i="14"/>
  <c r="E1267" i="14"/>
  <c r="E1327" i="14"/>
  <c r="E1260" i="14"/>
  <c r="H1420" i="14"/>
  <c r="H1487" i="14"/>
  <c r="H1439" i="14"/>
  <c r="H1374" i="14"/>
  <c r="H1317" i="14"/>
  <c r="I1482" i="14"/>
  <c r="I1323" i="14"/>
  <c r="I1445" i="14"/>
  <c r="I1474" i="14"/>
  <c r="I1407" i="14"/>
  <c r="I1316" i="14"/>
  <c r="I1428" i="14"/>
  <c r="I1476" i="14"/>
  <c r="I1355" i="14"/>
  <c r="I1343" i="14"/>
  <c r="F1370" i="14"/>
  <c r="G1344" i="14"/>
  <c r="G1463" i="14"/>
  <c r="G1355" i="14"/>
  <c r="G1303" i="14"/>
  <c r="G1467" i="14"/>
  <c r="G1421" i="14"/>
  <c r="G1332" i="14"/>
  <c r="G1460" i="14"/>
  <c r="F1397" i="14"/>
  <c r="F1476" i="14"/>
  <c r="F1271" i="14"/>
  <c r="F1289" i="14"/>
  <c r="F1335" i="14"/>
  <c r="F1296" i="14"/>
  <c r="F1378" i="14"/>
  <c r="F1258" i="14"/>
  <c r="E1454" i="14"/>
  <c r="E1315" i="14"/>
  <c r="E1360" i="14"/>
  <c r="E1321" i="14"/>
  <c r="E1451" i="14"/>
  <c r="E1285" i="14"/>
  <c r="E1410" i="14"/>
  <c r="E1249" i="14"/>
  <c r="E1367" i="14"/>
  <c r="E1381" i="14"/>
  <c r="E1368" i="14"/>
  <c r="E1411" i="14"/>
  <c r="E1409" i="14"/>
  <c r="E1281" i="14"/>
  <c r="E1289" i="14"/>
  <c r="E1255" i="14"/>
  <c r="E1351" i="14"/>
  <c r="E1279" i="14"/>
  <c r="E1416" i="14"/>
  <c r="H1386" i="14"/>
  <c r="H1391" i="14"/>
  <c r="H1466" i="14"/>
  <c r="H1372" i="14"/>
  <c r="H1251" i="14"/>
  <c r="H1481" i="14"/>
  <c r="I1304" i="14"/>
  <c r="I1333" i="14"/>
  <c r="I1473" i="14"/>
  <c r="I1386" i="14"/>
  <c r="I1277" i="14"/>
  <c r="I1398" i="14"/>
  <c r="I1458" i="14"/>
  <c r="I1433" i="14"/>
  <c r="I1484" i="14"/>
  <c r="I1404" i="14"/>
  <c r="I1472" i="14"/>
  <c r="I1402" i="14"/>
  <c r="I1334" i="14"/>
  <c r="I1249" i="14"/>
  <c r="I1377" i="14"/>
  <c r="I1317" i="14"/>
  <c r="I1338" i="14"/>
  <c r="I1314" i="14"/>
  <c r="I1325" i="14"/>
  <c r="I1248" i="14"/>
  <c r="I1464" i="14"/>
  <c r="I1302" i="14"/>
  <c r="F1387" i="14"/>
  <c r="E1318" i="14"/>
  <c r="E1441" i="14"/>
  <c r="G1372" i="14"/>
  <c r="G1465" i="14"/>
  <c r="G1411" i="14"/>
  <c r="G1453" i="14"/>
  <c r="G1357" i="14"/>
  <c r="G1378" i="14"/>
  <c r="F1413" i="14"/>
  <c r="F1438" i="14"/>
  <c r="F1400" i="14"/>
  <c r="F1254" i="14"/>
  <c r="F1265" i="14"/>
  <c r="F1262" i="14"/>
  <c r="F1464" i="14"/>
  <c r="E1449" i="14"/>
  <c r="E1435" i="14"/>
  <c r="E1437" i="14"/>
  <c r="E1354" i="14"/>
  <c r="E1353" i="14"/>
  <c r="E1444" i="14"/>
  <c r="E1385" i="14"/>
  <c r="E1429" i="14"/>
  <c r="E1395" i="14"/>
  <c r="E1319" i="14"/>
  <c r="E1337" i="14"/>
  <c r="E1248" i="14"/>
  <c r="E1284" i="14"/>
  <c r="E1247" i="14"/>
  <c r="E1380" i="14"/>
  <c r="E1298" i="14"/>
  <c r="E1462" i="14"/>
  <c r="E1384" i="14"/>
  <c r="E1310" i="14"/>
  <c r="H1311" i="14"/>
  <c r="H1289" i="14"/>
  <c r="H1432" i="14"/>
  <c r="H1256" i="14"/>
  <c r="H1341" i="14"/>
  <c r="H1428" i="14"/>
  <c r="H1308" i="14"/>
  <c r="H1271" i="14"/>
  <c r="I1319" i="14"/>
  <c r="I1456" i="14"/>
  <c r="I1449" i="14"/>
  <c r="I1347" i="14"/>
  <c r="I1259" i="14"/>
  <c r="I1381" i="14"/>
  <c r="I1250" i="14"/>
  <c r="I1468" i="14"/>
  <c r="I1279" i="14"/>
  <c r="I1265" i="14"/>
  <c r="I1452" i="14"/>
  <c r="I1350" i="14"/>
  <c r="I1335" i="14"/>
  <c r="I1330" i="14"/>
  <c r="I1253" i="14"/>
  <c r="I1300" i="14"/>
  <c r="I1419" i="14"/>
  <c r="I1376" i="14"/>
  <c r="I1368" i="14"/>
  <c r="G1347" i="14"/>
  <c r="F1367" i="14"/>
  <c r="E1428" i="14"/>
  <c r="E1388" i="14"/>
  <c r="E1323" i="14"/>
  <c r="E1475" i="14"/>
  <c r="E1364" i="14"/>
  <c r="E1250" i="14"/>
  <c r="E1418" i="14"/>
  <c r="E1373" i="14"/>
  <c r="E1445" i="14"/>
  <c r="E1481" i="14"/>
  <c r="E1253" i="14"/>
  <c r="E1338" i="14"/>
  <c r="E1363" i="14"/>
  <c r="E1341" i="14"/>
  <c r="E1304" i="14"/>
  <c r="H1320" i="14"/>
  <c r="H1336" i="14"/>
  <c r="H1392" i="14"/>
  <c r="H1369" i="14"/>
  <c r="H1394" i="14"/>
  <c r="H1455" i="14"/>
  <c r="H1298" i="14"/>
  <c r="H1440" i="14"/>
  <c r="H1367" i="14"/>
  <c r="H1377" i="14"/>
  <c r="H1277" i="14"/>
  <c r="I1364" i="14"/>
  <c r="G1257" i="14"/>
  <c r="G1443" i="14"/>
  <c r="G1450" i="14"/>
  <c r="F1290" i="14"/>
  <c r="F1259" i="14"/>
  <c r="F1356" i="14"/>
  <c r="G1452" i="14"/>
  <c r="G1484" i="14"/>
  <c r="G1274" i="14"/>
  <c r="G1449" i="14"/>
  <c r="G1483" i="14"/>
  <c r="G1473" i="14"/>
  <c r="G1306" i="14"/>
  <c r="G1428" i="14"/>
  <c r="F1408" i="14"/>
  <c r="F1279" i="14"/>
  <c r="F1431" i="14"/>
  <c r="F1246" i="14"/>
  <c r="F1360" i="14"/>
  <c r="F1309" i="14"/>
  <c r="F1434" i="14"/>
  <c r="F1393" i="14"/>
  <c r="F1428" i="14"/>
  <c r="F1306" i="14"/>
  <c r="F1455" i="14"/>
  <c r="F1326" i="14"/>
  <c r="E1261" i="14"/>
  <c r="E1400" i="14"/>
  <c r="E1376" i="14"/>
  <c r="E1405" i="14"/>
  <c r="E1272" i="14"/>
  <c r="E1474" i="14"/>
  <c r="E1379" i="14"/>
  <c r="E1343" i="14"/>
  <c r="E1378" i="14"/>
  <c r="E1286" i="14"/>
  <c r="E1276" i="14"/>
  <c r="E1392" i="14"/>
  <c r="E1312" i="14"/>
  <c r="E1370" i="14"/>
  <c r="E1440" i="14"/>
  <c r="E1257" i="14"/>
  <c r="H1313" i="14"/>
  <c r="H1417" i="14"/>
  <c r="H1299" i="14"/>
  <c r="H1463" i="14"/>
  <c r="H1385" i="14"/>
  <c r="H1418" i="14"/>
  <c r="H1267" i="14"/>
  <c r="H1402" i="14"/>
  <c r="H1471" i="14"/>
  <c r="H1300" i="14"/>
  <c r="H1247" i="14"/>
  <c r="H1441" i="14"/>
  <c r="H1405" i="14"/>
  <c r="H1281" i="14"/>
  <c r="H1342" i="14"/>
  <c r="H1354" i="14"/>
  <c r="H1345" i="14"/>
  <c r="H1363" i="14"/>
  <c r="I1321" i="14"/>
  <c r="I1292" i="14"/>
  <c r="I1430" i="14"/>
  <c r="I1255" i="14"/>
  <c r="I1271" i="14"/>
  <c r="I1409" i="14"/>
  <c r="I1327" i="14"/>
  <c r="I1396" i="14"/>
  <c r="I1274" i="14"/>
  <c r="I1309" i="14"/>
  <c r="I1429" i="14"/>
  <c r="I1460" i="14"/>
  <c r="I1341" i="14"/>
  <c r="I1416" i="14"/>
  <c r="I1393" i="14"/>
  <c r="I1420" i="14"/>
  <c r="I1320" i="14"/>
  <c r="I1389" i="14"/>
  <c r="I1280" i="14"/>
  <c r="I1290" i="14"/>
  <c r="I1306" i="14"/>
  <c r="G1371" i="14"/>
  <c r="V1307" i="14"/>
  <c r="A1307" i="14" s="1"/>
  <c r="F1458" i="14"/>
  <c r="F1327" i="14"/>
  <c r="G1273" i="14"/>
  <c r="G1410" i="14"/>
  <c r="G1387" i="14"/>
  <c r="G1380" i="14"/>
  <c r="G1422" i="14"/>
  <c r="G1292" i="14"/>
  <c r="G1445" i="14"/>
  <c r="G1401" i="14"/>
  <c r="V1248" i="14"/>
  <c r="A1248" i="14" s="1"/>
  <c r="F1485" i="14"/>
  <c r="F1270" i="14"/>
  <c r="F1435" i="14"/>
  <c r="F1429" i="14"/>
  <c r="F1314" i="14"/>
  <c r="F1471" i="14"/>
  <c r="F1406" i="14"/>
  <c r="F1371" i="14"/>
  <c r="F1377" i="14"/>
  <c r="F1418" i="14"/>
  <c r="F1359" i="14"/>
  <c r="F1470" i="14"/>
  <c r="F1382" i="14"/>
  <c r="E1290" i="14"/>
  <c r="E1362" i="14"/>
  <c r="E1477" i="14"/>
  <c r="E1301" i="14"/>
  <c r="E1453" i="14"/>
  <c r="E1427" i="14"/>
  <c r="E1307" i="14"/>
  <c r="E1446" i="14"/>
  <c r="E1402" i="14"/>
  <c r="E1331" i="14"/>
  <c r="E1308" i="14"/>
  <c r="E1336" i="14"/>
  <c r="E1487" i="14"/>
  <c r="E1443" i="14"/>
  <c r="E1302" i="14"/>
  <c r="E1246" i="14"/>
  <c r="E1452" i="14"/>
  <c r="E1372" i="14"/>
  <c r="E1371" i="14"/>
  <c r="E1478" i="14"/>
  <c r="H1323" i="14"/>
  <c r="H1408" i="14"/>
  <c r="H1380" i="14"/>
  <c r="H1436" i="14"/>
  <c r="H1288" i="14"/>
  <c r="H1292" i="14"/>
  <c r="H1322" i="14"/>
  <c r="H1479" i="14"/>
  <c r="H1379" i="14"/>
  <c r="H1316" i="14"/>
  <c r="H1255" i="14"/>
  <c r="H1435" i="14"/>
  <c r="H1340" i="14"/>
  <c r="H1344" i="14"/>
  <c r="H1301" i="14"/>
  <c r="H1399" i="14"/>
  <c r="H1293" i="14"/>
  <c r="H1314" i="14"/>
  <c r="H1376" i="14"/>
  <c r="H1447" i="14"/>
  <c r="H1248" i="14"/>
  <c r="H1286" i="14"/>
  <c r="H1250" i="14"/>
  <c r="H1296" i="14"/>
  <c r="I1294" i="14"/>
  <c r="I1367" i="14"/>
  <c r="I1379" i="14"/>
  <c r="I1293" i="14"/>
  <c r="I1348" i="14"/>
  <c r="I1266" i="14"/>
  <c r="I1288" i="14"/>
  <c r="I1454" i="14"/>
  <c r="I1408" i="14"/>
  <c r="I1295" i="14"/>
  <c r="G1432" i="14"/>
  <c r="G1356" i="14"/>
  <c r="G1294" i="14"/>
  <c r="F1251" i="14"/>
  <c r="F1405" i="14"/>
  <c r="F1276" i="14"/>
  <c r="E1425" i="14"/>
  <c r="E1305" i="14"/>
  <c r="E1415" i="14"/>
  <c r="G1293" i="14"/>
  <c r="S1258" i="14"/>
  <c r="G1258" i="14"/>
  <c r="S1415" i="14"/>
  <c r="V1415" i="14" s="1"/>
  <c r="A1415" i="14" s="1"/>
  <c r="G1415" i="14"/>
  <c r="S1418" i="14"/>
  <c r="V1418" i="14" s="1"/>
  <c r="A1418" i="14" s="1"/>
  <c r="G1418" i="14"/>
  <c r="S1298" i="14"/>
  <c r="G1298" i="14"/>
  <c r="S1377" i="14"/>
  <c r="V1377" i="14" s="1"/>
  <c r="A1377" i="14" s="1"/>
  <c r="G1377" i="14"/>
  <c r="S1394" i="14"/>
  <c r="G1394" i="14"/>
  <c r="S1301" i="14"/>
  <c r="V1301" i="14" s="1"/>
  <c r="A1301" i="14" s="1"/>
  <c r="G1301" i="14"/>
  <c r="S1341" i="14"/>
  <c r="V1341" i="14" s="1"/>
  <c r="A1341" i="14" s="1"/>
  <c r="G1341" i="14"/>
  <c r="S1310" i="14"/>
  <c r="V1310" i="14" s="1"/>
  <c r="A1310" i="14" s="1"/>
  <c r="G1310" i="14"/>
  <c r="S1266" i="14"/>
  <c r="V1266" i="14" s="1"/>
  <c r="A1266" i="14" s="1"/>
  <c r="G1266" i="14"/>
  <c r="S1429" i="14"/>
  <c r="V1429" i="14" s="1"/>
  <c r="A1429" i="14" s="1"/>
  <c r="G1429" i="14"/>
  <c r="S1471" i="14"/>
  <c r="V1471" i="14" s="1"/>
  <c r="A1471" i="14" s="1"/>
  <c r="G1471" i="14"/>
  <c r="S1451" i="14"/>
  <c r="V1451" i="14" s="1"/>
  <c r="A1451" i="14" s="1"/>
  <c r="G1451" i="14"/>
  <c r="S1434" i="14"/>
  <c r="G1434" i="14"/>
  <c r="S1427" i="14"/>
  <c r="G1427" i="14"/>
  <c r="S1364" i="14"/>
  <c r="G1364" i="14"/>
  <c r="S1436" i="14"/>
  <c r="V1436" i="14" s="1"/>
  <c r="A1436" i="14" s="1"/>
  <c r="G1436" i="14"/>
  <c r="S1476" i="14"/>
  <c r="V1476" i="14" s="1"/>
  <c r="A1476" i="14" s="1"/>
  <c r="G1476" i="14"/>
  <c r="S1305" i="14"/>
  <c r="V1305" i="14" s="1"/>
  <c r="A1305" i="14" s="1"/>
  <c r="G1305" i="14"/>
  <c r="S1362" i="14"/>
  <c r="V1362" i="14" s="1"/>
  <c r="A1362" i="14" s="1"/>
  <c r="G1362" i="14"/>
  <c r="S1412" i="14"/>
  <c r="V1412" i="14" s="1"/>
  <c r="A1412" i="14" s="1"/>
  <c r="G1412" i="14"/>
  <c r="S1379" i="14"/>
  <c r="V1379" i="14" s="1"/>
  <c r="A1379" i="14" s="1"/>
  <c r="G1379" i="14"/>
  <c r="S1260" i="14"/>
  <c r="V1260" i="14" s="1"/>
  <c r="A1260" i="14" s="1"/>
  <c r="G1260" i="14"/>
  <c r="S1312" i="14"/>
  <c r="G1312" i="14"/>
  <c r="S1335" i="14"/>
  <c r="V1335" i="14" s="1"/>
  <c r="A1335" i="14" s="1"/>
  <c r="G1335" i="14"/>
  <c r="S1423" i="14"/>
  <c r="V1423" i="14" s="1"/>
  <c r="A1423" i="14" s="1"/>
  <c r="G1423" i="14"/>
  <c r="S1337" i="14"/>
  <c r="V1337" i="14" s="1"/>
  <c r="A1337" i="14" s="1"/>
  <c r="G1337" i="14"/>
  <c r="S1384" i="14"/>
  <c r="G1384" i="14"/>
  <c r="R1283" i="14"/>
  <c r="V1283" i="14" s="1"/>
  <c r="A1283" i="14" s="1"/>
  <c r="F1283" i="14"/>
  <c r="R1323" i="14"/>
  <c r="V1323" i="14" s="1"/>
  <c r="A1323" i="14" s="1"/>
  <c r="F1323" i="14"/>
  <c r="R1462" i="14"/>
  <c r="V1462" i="14" s="1"/>
  <c r="A1462" i="14" s="1"/>
  <c r="F1462" i="14"/>
  <c r="R1272" i="14"/>
  <c r="V1272" i="14" s="1"/>
  <c r="A1272" i="14" s="1"/>
  <c r="F1272" i="14"/>
  <c r="R1303" i="14"/>
  <c r="V1303" i="14" s="1"/>
  <c r="A1303" i="14" s="1"/>
  <c r="F1303" i="14"/>
  <c r="R1381" i="14"/>
  <c r="V1381" i="14" s="1"/>
  <c r="A1381" i="14" s="1"/>
  <c r="F1381" i="14"/>
  <c r="R1357" i="14"/>
  <c r="F1357" i="14"/>
  <c r="R1267" i="14"/>
  <c r="F1267" i="14"/>
  <c r="R1427" i="14"/>
  <c r="V1427" i="14" s="1"/>
  <c r="A1427" i="14" s="1"/>
  <c r="F1427" i="14"/>
  <c r="R1481" i="14"/>
  <c r="V1481" i="14" s="1"/>
  <c r="A1481" i="14" s="1"/>
  <c r="F1481" i="14"/>
  <c r="R1293" i="14"/>
  <c r="F1293" i="14"/>
  <c r="R1324" i="14"/>
  <c r="V1324" i="14" s="1"/>
  <c r="A1324" i="14" s="1"/>
  <c r="F1324" i="14"/>
  <c r="Q1252" i="14"/>
  <c r="E1252" i="14"/>
  <c r="Q1258" i="14"/>
  <c r="E1258" i="14"/>
  <c r="Q1438" i="14"/>
  <c r="E1438" i="14"/>
  <c r="Q1295" i="14"/>
  <c r="V1295" i="14" s="1"/>
  <c r="A1295" i="14" s="1"/>
  <c r="E1295" i="14"/>
  <c r="Q1348" i="14"/>
  <c r="V1348" i="14" s="1"/>
  <c r="A1348" i="14" s="1"/>
  <c r="E1348" i="14"/>
  <c r="Q1356" i="14"/>
  <c r="V1356" i="14" s="1"/>
  <c r="A1356" i="14" s="1"/>
  <c r="E1356" i="14"/>
  <c r="Q1396" i="14"/>
  <c r="V1396" i="14" s="1"/>
  <c r="A1396" i="14" s="1"/>
  <c r="E1396" i="14"/>
  <c r="Q1414" i="14"/>
  <c r="E1414" i="14"/>
  <c r="Q1265" i="14"/>
  <c r="V1265" i="14" s="1"/>
  <c r="A1265" i="14" s="1"/>
  <c r="E1265" i="14"/>
  <c r="Q1299" i="14"/>
  <c r="E1299" i="14"/>
  <c r="Q1333" i="14"/>
  <c r="V1333" i="14" s="1"/>
  <c r="A1333" i="14" s="1"/>
  <c r="E1333" i="14"/>
  <c r="Q1469" i="14"/>
  <c r="V1469" i="14" s="1"/>
  <c r="A1469" i="14" s="1"/>
  <c r="E1469" i="14"/>
  <c r="Q1277" i="14"/>
  <c r="V1277" i="14" s="1"/>
  <c r="A1277" i="14" s="1"/>
  <c r="E1277" i="14"/>
  <c r="Q1391" i="14"/>
  <c r="E1391" i="14"/>
  <c r="Q1274" i="14"/>
  <c r="V1274" i="14" s="1"/>
  <c r="A1274" i="14" s="1"/>
  <c r="E1274" i="14"/>
  <c r="J1274" i="14" s="1"/>
  <c r="Q1287" i="14"/>
  <c r="V1287" i="14" s="1"/>
  <c r="A1287" i="14" s="1"/>
  <c r="E1287" i="14"/>
  <c r="Q1406" i="14"/>
  <c r="V1406" i="14" s="1"/>
  <c r="A1406" i="14" s="1"/>
  <c r="E1406" i="14"/>
  <c r="Q1394" i="14"/>
  <c r="V1394" i="14" s="1"/>
  <c r="A1394" i="14" s="1"/>
  <c r="E1394" i="14"/>
  <c r="Q1259" i="14"/>
  <c r="V1259" i="14" s="1"/>
  <c r="A1259" i="14" s="1"/>
  <c r="E1259" i="14"/>
  <c r="Q1325" i="14"/>
  <c r="E1325" i="14"/>
  <c r="Q1434" i="14"/>
  <c r="E1434" i="14"/>
  <c r="Q1442" i="14"/>
  <c r="V1442" i="14" s="1"/>
  <c r="A1442" i="14" s="1"/>
  <c r="E1442" i="14"/>
  <c r="Q1482" i="14"/>
  <c r="V1482" i="14" s="1"/>
  <c r="A1482" i="14" s="1"/>
  <c r="E1482" i="14"/>
  <c r="Q1346" i="14"/>
  <c r="V1346" i="14" s="1"/>
  <c r="A1346" i="14" s="1"/>
  <c r="E1346" i="14"/>
  <c r="Q1432" i="14"/>
  <c r="E1432" i="14"/>
  <c r="Q1467" i="14"/>
  <c r="V1467" i="14" s="1"/>
  <c r="A1467" i="14" s="1"/>
  <c r="E1467" i="14"/>
  <c r="Q1251" i="14"/>
  <c r="V1251" i="14" s="1"/>
  <c r="A1251" i="14" s="1"/>
  <c r="E1251" i="14"/>
  <c r="Q1291" i="14"/>
  <c r="V1291" i="14" s="1"/>
  <c r="A1291" i="14" s="1"/>
  <c r="E1291" i="14"/>
  <c r="Q1464" i="14"/>
  <c r="V1464" i="14" s="1"/>
  <c r="A1464" i="14" s="1"/>
  <c r="E1464" i="14"/>
  <c r="Q1314" i="14"/>
  <c r="E1314" i="14"/>
  <c r="Q1288" i="14"/>
  <c r="E1288" i="14"/>
  <c r="Q1300" i="14"/>
  <c r="V1300" i="14" s="1"/>
  <c r="A1300" i="14" s="1"/>
  <c r="E1300" i="14"/>
  <c r="Q1456" i="14"/>
  <c r="V1456" i="14" s="1"/>
  <c r="A1456" i="14" s="1"/>
  <c r="E1456" i="14"/>
  <c r="Q1466" i="14"/>
  <c r="V1466" i="14" s="1"/>
  <c r="A1466" i="14" s="1"/>
  <c r="E1466" i="14"/>
  <c r="Q1463" i="14"/>
  <c r="V1463" i="14" s="1"/>
  <c r="A1463" i="14" s="1"/>
  <c r="E1463" i="14"/>
  <c r="Q1439" i="14"/>
  <c r="E1439" i="14"/>
  <c r="Q1447" i="14"/>
  <c r="E1447" i="14"/>
  <c r="Q1357" i="14"/>
  <c r="E1357" i="14"/>
  <c r="Q1389" i="14"/>
  <c r="E1389" i="14"/>
  <c r="Q1293" i="14"/>
  <c r="E1293" i="14"/>
  <c r="Q1332" i="14"/>
  <c r="V1332" i="14" s="1"/>
  <c r="A1332" i="14" s="1"/>
  <c r="E1332" i="14"/>
  <c r="S1256" i="14"/>
  <c r="V1256" i="14" s="1"/>
  <c r="A1256" i="14" s="1"/>
  <c r="G1256" i="14"/>
  <c r="G1300" i="14"/>
  <c r="G1343" i="14"/>
  <c r="S1359" i="14"/>
  <c r="V1359" i="14" s="1"/>
  <c r="A1359" i="14" s="1"/>
  <c r="G1359" i="14"/>
  <c r="S1368" i="14"/>
  <c r="G1368" i="14"/>
  <c r="S1391" i="14"/>
  <c r="G1391" i="14"/>
  <c r="S1444" i="14"/>
  <c r="V1444" i="14" s="1"/>
  <c r="A1444" i="14" s="1"/>
  <c r="G1444" i="14"/>
  <c r="S1289" i="14"/>
  <c r="V1289" i="14" s="1"/>
  <c r="A1289" i="14" s="1"/>
  <c r="G1289" i="14"/>
  <c r="S1252" i="14"/>
  <c r="G1252" i="14"/>
  <c r="S1254" i="14"/>
  <c r="V1254" i="14" s="1"/>
  <c r="A1254" i="14" s="1"/>
  <c r="G1254" i="14"/>
  <c r="G1367" i="14"/>
  <c r="G1259" i="14"/>
  <c r="G1255" i="14"/>
  <c r="G1366" i="14"/>
  <c r="G1375" i="14"/>
  <c r="G1325" i="14"/>
  <c r="G1441" i="14"/>
  <c r="G1437" i="14"/>
  <c r="F1443" i="14"/>
  <c r="F1409" i="14"/>
  <c r="R1366" i="14"/>
  <c r="V1366" i="14" s="1"/>
  <c r="A1366" i="14" s="1"/>
  <c r="F1366" i="14"/>
  <c r="R1329" i="14"/>
  <c r="V1329" i="14" s="1"/>
  <c r="A1329" i="14" s="1"/>
  <c r="F1329" i="14"/>
  <c r="R1389" i="14"/>
  <c r="F1389" i="14"/>
  <c r="R1369" i="14"/>
  <c r="F1369" i="14"/>
  <c r="R1321" i="14"/>
  <c r="V1321" i="14" s="1"/>
  <c r="A1321" i="14" s="1"/>
  <c r="F1321" i="14"/>
  <c r="R1297" i="14"/>
  <c r="F1297" i="14"/>
  <c r="R1263" i="14"/>
  <c r="V1263" i="14" s="1"/>
  <c r="A1263" i="14" s="1"/>
  <c r="F1263" i="14"/>
  <c r="R1383" i="14"/>
  <c r="V1383" i="14" s="1"/>
  <c r="A1383" i="14" s="1"/>
  <c r="F1383" i="14"/>
  <c r="R1439" i="14"/>
  <c r="F1439" i="14"/>
  <c r="R1325" i="14"/>
  <c r="F1325" i="14"/>
  <c r="R1298" i="14"/>
  <c r="V1298" i="14" s="1"/>
  <c r="A1298" i="14" s="1"/>
  <c r="F1298" i="14"/>
  <c r="R1479" i="14"/>
  <c r="V1479" i="14" s="1"/>
  <c r="A1479" i="14" s="1"/>
  <c r="F1479" i="14"/>
  <c r="R1445" i="14"/>
  <c r="V1445" i="14" s="1"/>
  <c r="A1445" i="14" s="1"/>
  <c r="F1445" i="14"/>
  <c r="R1384" i="14"/>
  <c r="F1384" i="14"/>
  <c r="R1432" i="14"/>
  <c r="F1432" i="14"/>
  <c r="R1364" i="14"/>
  <c r="F1364" i="14"/>
  <c r="R1282" i="14"/>
  <c r="V1282" i="14" s="1"/>
  <c r="A1282" i="14" s="1"/>
  <c r="F1282" i="14"/>
  <c r="R1308" i="14"/>
  <c r="V1308" i="14" s="1"/>
  <c r="A1308" i="14" s="1"/>
  <c r="F1308" i="14"/>
  <c r="E1306" i="14"/>
  <c r="S1311" i="14"/>
  <c r="V1311" i="14" s="1"/>
  <c r="A1311" i="14" s="1"/>
  <c r="G1311" i="14"/>
  <c r="S1299" i="14"/>
  <c r="G1299" i="14"/>
  <c r="S1447" i="14"/>
  <c r="G1447" i="14"/>
  <c r="S1369" i="14"/>
  <c r="G1369" i="14"/>
  <c r="G1313" i="14"/>
  <c r="S1314" i="14"/>
  <c r="G1314" i="14"/>
  <c r="S1414" i="14"/>
  <c r="G1414" i="14"/>
  <c r="S1439" i="14"/>
  <c r="G1439" i="14"/>
  <c r="S1438" i="14"/>
  <c r="G1438" i="14"/>
  <c r="S1404" i="14"/>
  <c r="V1404" i="14" s="1"/>
  <c r="A1404" i="14" s="1"/>
  <c r="G1404" i="14"/>
  <c r="S1475" i="14"/>
  <c r="V1475" i="14" s="1"/>
  <c r="A1475" i="14" s="1"/>
  <c r="G1475" i="14"/>
  <c r="S1297" i="14"/>
  <c r="G1297" i="14"/>
  <c r="S1267" i="14"/>
  <c r="G1267" i="14"/>
  <c r="S1461" i="14"/>
  <c r="V1461" i="14" s="1"/>
  <c r="A1461" i="14" s="1"/>
  <c r="G1461" i="14"/>
  <c r="S1486" i="14"/>
  <c r="V1486" i="14" s="1"/>
  <c r="A1486" i="14" s="1"/>
  <c r="G1486" i="14"/>
  <c r="G1399" i="14"/>
  <c r="G1440" i="14"/>
  <c r="G1390" i="14"/>
  <c r="G1348" i="14"/>
  <c r="G1265" i="14"/>
  <c r="G1271" i="14"/>
  <c r="G1268" i="14"/>
  <c r="G1250" i="14"/>
  <c r="G1376" i="14"/>
  <c r="G1393" i="14"/>
  <c r="G1275" i="14"/>
  <c r="G1462" i="14"/>
  <c r="F1305" i="14"/>
  <c r="F1264" i="14"/>
  <c r="R1255" i="14"/>
  <c r="V1255" i="14" s="1"/>
  <c r="A1255" i="14" s="1"/>
  <c r="F1255" i="14"/>
  <c r="R1349" i="14"/>
  <c r="V1349" i="14" s="1"/>
  <c r="A1349" i="14" s="1"/>
  <c r="F1349" i="14"/>
  <c r="R1368" i="14"/>
  <c r="F1368" i="14"/>
  <c r="R1312" i="14"/>
  <c r="F1312" i="14"/>
  <c r="R1288" i="14"/>
  <c r="F1288" i="14"/>
  <c r="E1486" i="14"/>
  <c r="E1455" i="14"/>
  <c r="E1280" i="14"/>
  <c r="E1275" i="14"/>
  <c r="E1347" i="14"/>
  <c r="E1330" i="14"/>
  <c r="E1386" i="14"/>
  <c r="H1453" i="14"/>
  <c r="H1484" i="14"/>
  <c r="H1362" i="14"/>
  <c r="H1307" i="14"/>
  <c r="H1381" i="14"/>
  <c r="H1269" i="14"/>
  <c r="H1275" i="14"/>
  <c r="H1259" i="14"/>
  <c r="I1453" i="14"/>
  <c r="I1270" i="14"/>
  <c r="I1432" i="14"/>
  <c r="I1417" i="14"/>
  <c r="I1251" i="14"/>
  <c r="E1479" i="14"/>
  <c r="H1431" i="14"/>
  <c r="H1272" i="14"/>
  <c r="H1474" i="14"/>
  <c r="H1456" i="14"/>
  <c r="H1254" i="14"/>
  <c r="H1464" i="14"/>
  <c r="H1424" i="14"/>
  <c r="H1295" i="14"/>
  <c r="H1283" i="14"/>
  <c r="H1287" i="14"/>
  <c r="H1438" i="14"/>
  <c r="I1399" i="14"/>
  <c r="I1388" i="14"/>
  <c r="I1258" i="14"/>
  <c r="I1459" i="14"/>
  <c r="I1342" i="14"/>
  <c r="I1418" i="14"/>
  <c r="I1470" i="14"/>
  <c r="I1291" i="14"/>
  <c r="I1426" i="14"/>
  <c r="I1361" i="14"/>
  <c r="I1362" i="14"/>
  <c r="I1457" i="14"/>
  <c r="I1353" i="14"/>
  <c r="E1421" i="14"/>
  <c r="H1403" i="14"/>
  <c r="H1383" i="14"/>
  <c r="H1477" i="14"/>
  <c r="H1321" i="14"/>
  <c r="H1339" i="14"/>
  <c r="H1309" i="14"/>
  <c r="H1458" i="14"/>
  <c r="H1326" i="14"/>
  <c r="H1350" i="14"/>
  <c r="H1352" i="14"/>
  <c r="H1349" i="14"/>
  <c r="H1430" i="14"/>
  <c r="H1333" i="14"/>
  <c r="H1425" i="14"/>
  <c r="H1470" i="14"/>
  <c r="I1346" i="14"/>
  <c r="I1269" i="14"/>
  <c r="I1467" i="14"/>
  <c r="I1372" i="14"/>
  <c r="I1466" i="14"/>
  <c r="I1469" i="14"/>
  <c r="I1385" i="14"/>
  <c r="I1332" i="14"/>
  <c r="I1345" i="14"/>
  <c r="I1437" i="14"/>
  <c r="I1478" i="14"/>
  <c r="V1326" i="14"/>
  <c r="A1326" i="14" s="1"/>
  <c r="V1374" i="14"/>
  <c r="A1374" i="14" s="1"/>
  <c r="V1296" i="14"/>
  <c r="A1296" i="14" s="1"/>
  <c r="V1264" i="14"/>
  <c r="A1264" i="14" s="1"/>
  <c r="V1460" i="14"/>
  <c r="A1460" i="14" s="1"/>
  <c r="V1344" i="14"/>
  <c r="A1344" i="14" s="1"/>
  <c r="V1483" i="14"/>
  <c r="A1483" i="14" s="1"/>
  <c r="V1458" i="14"/>
  <c r="A1458" i="14" s="1"/>
  <c r="V1473" i="14"/>
  <c r="A1473" i="14" s="1"/>
  <c r="V1417" i="14"/>
  <c r="A1417" i="14" s="1"/>
  <c r="V1358" i="14"/>
  <c r="A1358" i="14" s="1"/>
  <c r="V1407" i="14"/>
  <c r="A1407" i="14" s="1"/>
  <c r="V1361" i="14"/>
  <c r="A1361" i="14" s="1"/>
  <c r="I1390" i="14"/>
  <c r="G1338" i="14"/>
  <c r="V1385" i="14"/>
  <c r="A1385" i="14" s="1"/>
  <c r="V1382" i="14"/>
  <c r="A1382" i="14" s="1"/>
  <c r="V1484" i="14"/>
  <c r="A1484" i="14" s="1"/>
  <c r="V1273" i="14"/>
  <c r="A1273" i="14" s="1"/>
  <c r="V1465" i="14"/>
  <c r="A1465" i="14" s="1"/>
  <c r="I1405" i="14"/>
  <c r="V1340" i="14"/>
  <c r="A1340" i="14" s="1"/>
  <c r="I1391" i="14"/>
  <c r="V1371" i="14"/>
  <c r="A1371" i="14" s="1"/>
  <c r="G1321" i="14"/>
  <c r="G1431" i="14"/>
  <c r="G1468" i="14"/>
  <c r="G1482" i="14"/>
  <c r="G1398" i="14"/>
  <c r="G1474" i="14"/>
  <c r="G1389" i="14"/>
  <c r="G1317" i="14"/>
  <c r="G1302" i="14"/>
  <c r="G1329" i="14"/>
  <c r="G1315" i="14"/>
  <c r="G1408" i="14"/>
  <c r="G1424" i="14"/>
  <c r="G1405" i="14"/>
  <c r="G1478" i="14"/>
  <c r="G1400" i="14"/>
  <c r="G1397" i="14"/>
  <c r="G1309" i="14"/>
  <c r="G1354" i="14"/>
  <c r="V1343" i="14"/>
  <c r="A1343" i="14" s="1"/>
  <c r="U254" i="10"/>
  <c r="L255" i="10"/>
  <c r="F1304" i="14"/>
  <c r="F1446" i="14"/>
  <c r="F1266" i="14"/>
  <c r="F1411" i="14"/>
  <c r="F1380" i="14"/>
  <c r="F1421" i="14"/>
  <c r="F1273" i="14"/>
  <c r="F1343" i="14"/>
  <c r="F1319" i="14"/>
  <c r="F1482" i="14"/>
  <c r="F1245" i="14"/>
  <c r="F1333" i="14"/>
  <c r="F1433" i="14"/>
  <c r="F1457" i="14"/>
  <c r="F1328" i="14"/>
  <c r="F1407" i="14"/>
  <c r="F1310" i="14"/>
  <c r="F1331" i="14"/>
  <c r="F1461" i="14"/>
  <c r="F1440" i="14"/>
  <c r="E1471" i="14"/>
  <c r="E1472" i="14"/>
  <c r="E1254" i="14"/>
  <c r="E1317" i="14"/>
  <c r="E1309" i="14"/>
  <c r="E1393" i="14"/>
  <c r="E1426" i="14"/>
  <c r="E1311" i="14"/>
  <c r="E1270" i="14"/>
  <c r="E1377" i="14"/>
  <c r="E1271" i="14"/>
  <c r="E1383" i="14"/>
  <c r="E1296" i="14"/>
  <c r="E1374" i="14"/>
  <c r="E1355" i="14"/>
  <c r="E1262" i="14"/>
  <c r="E1484" i="14"/>
  <c r="E1273" i="14"/>
  <c r="E1417" i="14"/>
  <c r="E1282" i="14"/>
  <c r="E1480" i="14"/>
  <c r="E1408" i="14"/>
  <c r="E1369" i="14"/>
  <c r="V1367" i="14"/>
  <c r="A1367" i="14" s="1"/>
  <c r="V1420" i="14"/>
  <c r="A1420" i="14" s="1"/>
  <c r="V1334" i="14"/>
  <c r="A1334" i="14" s="1"/>
  <c r="V1327" i="14"/>
  <c r="A1327" i="14" s="1"/>
  <c r="V1437" i="14"/>
  <c r="A1437" i="14" s="1"/>
  <c r="V1313" i="14"/>
  <c r="A1313" i="14" s="1"/>
  <c r="V1360" i="14"/>
  <c r="A1360" i="14" s="1"/>
  <c r="V1353" i="14"/>
  <c r="A1353" i="14" s="1"/>
  <c r="V1457" i="14"/>
  <c r="A1457" i="14" s="1"/>
  <c r="V1401" i="14"/>
  <c r="A1401" i="14" s="1"/>
  <c r="V1435" i="14"/>
  <c r="A1435" i="14" s="1"/>
  <c r="V1350" i="14"/>
  <c r="A1350" i="14" s="1"/>
  <c r="V1422" i="14"/>
  <c r="A1422" i="14" s="1"/>
  <c r="V1416" i="14"/>
  <c r="A1416" i="14" s="1"/>
  <c r="V1454" i="14"/>
  <c r="A1454" i="14" s="1"/>
  <c r="V1430" i="14"/>
  <c r="A1430" i="14" s="1"/>
  <c r="V1449" i="14"/>
  <c r="A1449" i="14" s="1"/>
  <c r="V1375" i="14"/>
  <c r="A1375" i="14" s="1"/>
  <c r="V1468" i="14"/>
  <c r="A1468" i="14" s="1"/>
  <c r="V1398" i="14"/>
  <c r="A1398" i="14" s="1"/>
  <c r="V1278" i="14"/>
  <c r="A1278" i="14" s="1"/>
  <c r="V1318" i="14"/>
  <c r="A1318" i="14" s="1"/>
  <c r="V1247" i="14"/>
  <c r="A1247" i="14" s="1"/>
  <c r="V1285" i="14"/>
  <c r="A1285" i="14" s="1"/>
  <c r="V1294" i="14"/>
  <c r="A1294" i="14" s="1"/>
  <c r="V1365" i="14"/>
  <c r="A1365" i="14" s="1"/>
  <c r="V1279" i="14"/>
  <c r="A1279" i="14" s="1"/>
  <c r="V1459" i="14"/>
  <c r="A1459" i="14" s="1"/>
  <c r="V1403" i="14"/>
  <c r="A1403" i="14" s="1"/>
  <c r="V1411" i="14"/>
  <c r="A1411" i="14" s="1"/>
  <c r="V1284" i="14"/>
  <c r="A1284" i="14" s="1"/>
  <c r="V1409" i="14"/>
  <c r="A1409" i="14" s="1"/>
  <c r="V1249" i="14"/>
  <c r="A1249" i="14" s="1"/>
  <c r="V1351" i="14"/>
  <c r="A1351" i="14" s="1"/>
  <c r="V1281" i="14"/>
  <c r="A1281" i="14" s="1"/>
  <c r="V1322" i="14"/>
  <c r="A1322" i="14" s="1"/>
  <c r="H1347" i="14"/>
  <c r="H1357" i="14"/>
  <c r="H1444" i="14"/>
  <c r="H1462" i="14"/>
  <c r="H1473" i="14"/>
  <c r="H1469" i="14"/>
  <c r="H1445" i="14"/>
  <c r="H1397" i="14"/>
  <c r="H1312" i="14"/>
  <c r="H1404" i="14"/>
  <c r="H1451" i="14"/>
  <c r="H1294" i="14"/>
  <c r="H1442" i="14"/>
  <c r="H1325" i="14"/>
  <c r="H1416" i="14"/>
  <c r="H1449" i="14"/>
  <c r="H1375" i="14"/>
  <c r="H1290" i="14"/>
  <c r="H1355" i="14"/>
  <c r="H1291" i="14"/>
  <c r="V1419" i="14"/>
  <c r="A1419" i="14" s="1"/>
  <c r="V1250" i="14"/>
  <c r="A1250" i="14" s="1"/>
  <c r="V1345" i="14"/>
  <c r="A1345" i="14" s="1"/>
  <c r="V1487" i="14"/>
  <c r="A1487" i="14" s="1"/>
  <c r="V1316" i="14"/>
  <c r="A1316" i="14" s="1"/>
  <c r="I1329" i="14"/>
  <c r="I1371" i="14"/>
  <c r="I1435" i="14"/>
  <c r="I1262" i="14"/>
  <c r="I1480" i="14"/>
  <c r="I1282" i="14"/>
  <c r="I1414" i="14"/>
  <c r="I1322" i="14"/>
  <c r="I1422" i="14"/>
  <c r="I1394" i="14"/>
  <c r="I1268" i="14"/>
  <c r="I1411" i="14"/>
  <c r="I1442" i="14"/>
  <c r="I1444" i="14"/>
  <c r="V1380" i="14"/>
  <c r="A1380" i="14" s="1"/>
  <c r="I1447" i="14"/>
  <c r="V1408" i="14"/>
  <c r="A1408" i="14" s="1"/>
  <c r="I1286" i="14"/>
  <c r="V1390" i="14"/>
  <c r="A1390" i="14" s="1"/>
  <c r="V1309" i="14"/>
  <c r="A1309" i="14" s="1"/>
  <c r="V1424" i="14"/>
  <c r="A1424" i="14" s="1"/>
  <c r="V1352" i="14"/>
  <c r="A1352" i="14" s="1"/>
  <c r="V1472" i="14"/>
  <c r="A1472" i="14" s="1"/>
  <c r="V1431" i="14"/>
  <c r="A1431" i="14" s="1"/>
  <c r="V1328" i="14"/>
  <c r="A1328" i="14" s="1"/>
  <c r="V1426" i="14"/>
  <c r="A1426" i="14" s="1"/>
  <c r="G1316" i="14"/>
  <c r="G1485" i="14"/>
  <c r="G1466" i="14"/>
  <c r="V1355" i="14"/>
  <c r="A1355" i="14" s="1"/>
  <c r="F1247" i="14"/>
  <c r="F1456" i="14"/>
  <c r="F1475" i="14"/>
  <c r="F1253" i="14"/>
  <c r="F1452" i="14"/>
  <c r="F1450" i="14"/>
  <c r="F1342" i="14"/>
  <c r="F1339" i="14"/>
  <c r="F1392" i="14"/>
  <c r="F1459" i="14"/>
  <c r="F1410" i="14"/>
  <c r="E1450" i="14"/>
  <c r="E1352" i="14"/>
  <c r="E1326" i="14"/>
  <c r="E1344" i="14"/>
  <c r="E1431" i="14"/>
  <c r="E1382" i="14"/>
  <c r="E1458" i="14"/>
  <c r="E1266" i="14"/>
  <c r="E1465" i="14"/>
  <c r="E1340" i="14"/>
  <c r="E1361" i="14"/>
  <c r="E1473" i="14"/>
  <c r="E1399" i="14"/>
  <c r="E1407" i="14"/>
  <c r="V1262" i="14"/>
  <c r="A1262" i="14" s="1"/>
  <c r="V1425" i="14"/>
  <c r="A1425" i="14" s="1"/>
  <c r="V1286" i="14"/>
  <c r="A1286" i="14" s="1"/>
  <c r="V1363" i="14"/>
  <c r="A1363" i="14" s="1"/>
  <c r="V1392" i="14"/>
  <c r="A1392" i="14" s="1"/>
  <c r="V1315" i="14"/>
  <c r="A1315" i="14" s="1"/>
  <c r="V1354" i="14"/>
  <c r="A1354" i="14" s="1"/>
  <c r="V1480" i="14"/>
  <c r="A1480" i="14" s="1"/>
  <c r="V1339" i="14"/>
  <c r="A1339" i="14" s="1"/>
  <c r="V1387" i="14"/>
  <c r="A1387" i="14" s="1"/>
  <c r="V1302" i="14"/>
  <c r="A1302" i="14" s="1"/>
  <c r="V1336" i="14"/>
  <c r="A1336" i="14" s="1"/>
  <c r="V1373" i="14"/>
  <c r="A1373" i="14" s="1"/>
  <c r="V1413" i="14"/>
  <c r="A1413" i="14" s="1"/>
  <c r="V1276" i="14"/>
  <c r="A1276" i="14" s="1"/>
  <c r="V1253" i="14"/>
  <c r="A1253" i="14" s="1"/>
  <c r="V1376" i="14"/>
  <c r="A1376" i="14" s="1"/>
  <c r="V1290" i="14"/>
  <c r="A1290" i="14" s="1"/>
  <c r="V1470" i="14"/>
  <c r="A1470" i="14" s="1"/>
  <c r="V1428" i="14"/>
  <c r="A1428" i="14" s="1"/>
  <c r="V1331" i="14"/>
  <c r="A1331" i="14" s="1"/>
  <c r="V1440" i="14"/>
  <c r="A1440" i="14" s="1"/>
  <c r="V1448" i="14"/>
  <c r="A1448" i="14" s="1"/>
  <c r="V1388" i="14"/>
  <c r="A1388" i="14" s="1"/>
  <c r="V1446" i="14"/>
  <c r="A1446" i="14" s="1"/>
  <c r="V1257" i="14"/>
  <c r="A1257" i="14" s="1"/>
  <c r="V1246" i="14"/>
  <c r="A1246" i="14" s="1"/>
  <c r="V1478" i="14"/>
  <c r="A1478" i="14" s="1"/>
  <c r="V1304" i="14"/>
  <c r="A1304" i="14" s="1"/>
  <c r="V1370" i="14"/>
  <c r="A1370" i="14" s="1"/>
  <c r="V1410" i="14"/>
  <c r="A1410" i="14" s="1"/>
  <c r="V1477" i="14"/>
  <c r="A1477" i="14" s="1"/>
  <c r="V1453" i="14"/>
  <c r="A1453" i="14" s="1"/>
  <c r="V1397" i="14"/>
  <c r="A1397" i="14" s="1"/>
  <c r="V1405" i="14"/>
  <c r="A1405" i="14" s="1"/>
  <c r="V1395" i="14"/>
  <c r="A1395" i="14" s="1"/>
  <c r="V1378" i="14"/>
  <c r="A1378" i="14" s="1"/>
  <c r="V1474" i="14"/>
  <c r="A1474" i="14" s="1"/>
  <c r="V1402" i="14"/>
  <c r="A1402" i="14" s="1"/>
  <c r="V253" i="10"/>
  <c r="M254" i="10"/>
  <c r="H1368" i="14"/>
  <c r="H1434" i="14"/>
  <c r="H1273" i="14"/>
  <c r="H1303" i="14"/>
  <c r="H1343" i="14"/>
  <c r="H1282" i="14"/>
  <c r="H1338" i="14"/>
  <c r="H1378" i="14"/>
  <c r="H1429" i="14"/>
  <c r="H1305" i="14"/>
  <c r="H1280" i="14"/>
  <c r="H1330" i="14"/>
  <c r="H1415" i="14"/>
  <c r="H1260" i="14"/>
  <c r="H1365" i="14"/>
  <c r="V1441" i="14"/>
  <c r="A1441" i="14" s="1"/>
  <c r="I1318" i="14"/>
  <c r="I1315" i="14"/>
  <c r="I1260" i="14"/>
  <c r="I1352" i="14"/>
  <c r="I1383" i="14"/>
  <c r="I1400" i="14"/>
  <c r="I1313" i="14"/>
  <c r="I1261" i="14"/>
  <c r="I1406" i="14"/>
  <c r="I1340" i="14"/>
  <c r="I1307" i="14"/>
  <c r="I1436" i="14"/>
  <c r="I1359" i="14"/>
  <c r="I1413" i="14"/>
  <c r="I1339" i="14"/>
  <c r="I1273" i="14"/>
  <c r="I1431" i="14"/>
  <c r="I1421" i="14"/>
  <c r="V1433" i="14"/>
  <c r="A1433" i="14" s="1"/>
  <c r="V1270" i="14"/>
  <c r="A1270" i="14" s="1"/>
  <c r="V1450" i="14"/>
  <c r="A1450" i="14" s="1"/>
  <c r="V1271" i="14"/>
  <c r="A1271" i="14" s="1"/>
  <c r="V1268" i="14"/>
  <c r="A1268" i="14" s="1"/>
  <c r="V1393" i="14"/>
  <c r="A1393" i="14" s="1"/>
  <c r="V1245" i="14"/>
  <c r="A1245" i="14" s="1"/>
  <c r="G1277" i="14"/>
  <c r="G1396" i="14"/>
  <c r="G1261" i="14"/>
  <c r="G1333" i="14"/>
  <c r="G1253" i="14"/>
  <c r="G1435" i="14"/>
  <c r="G1413" i="14"/>
  <c r="G1365" i="14"/>
  <c r="G1342" i="14"/>
  <c r="G1330" i="14"/>
  <c r="G1469" i="14"/>
  <c r="G1340" i="14"/>
  <c r="G1272" i="14"/>
  <c r="G1328" i="14"/>
  <c r="G1480" i="14"/>
  <c r="G1392" i="14"/>
  <c r="G1370" i="14"/>
  <c r="G1455" i="14"/>
  <c r="G1307" i="14"/>
  <c r="G1304" i="14"/>
  <c r="G1318" i="14"/>
  <c r="G1456" i="14"/>
  <c r="G1487" i="14"/>
  <c r="G1352" i="14"/>
  <c r="G1350" i="14"/>
  <c r="G1373" i="14"/>
  <c r="G1433" i="14"/>
  <c r="G1426" i="14"/>
  <c r="V1292" i="14"/>
  <c r="A1292" i="14" s="1"/>
  <c r="V1347" i="14"/>
  <c r="A1347" i="14" s="1"/>
  <c r="V1319" i="14"/>
  <c r="A1319" i="14" s="1"/>
  <c r="F1278" i="14"/>
  <c r="F1284" i="14"/>
  <c r="F1451" i="14"/>
  <c r="F1250" i="14"/>
  <c r="F1363" i="14"/>
  <c r="F1318" i="14"/>
  <c r="F1352" i="14"/>
  <c r="F1345" i="14"/>
  <c r="F1398" i="14"/>
  <c r="F1390" i="14"/>
  <c r="F1268" i="14"/>
  <c r="F1249" i="14"/>
  <c r="F1472" i="14"/>
  <c r="F1257" i="14"/>
  <c r="F1466" i="14"/>
  <c r="F1478" i="14"/>
  <c r="F1311" i="14"/>
  <c r="F1486" i="14"/>
  <c r="F1286" i="14"/>
  <c r="E1476" i="14"/>
  <c r="E1292" i="14"/>
  <c r="E1485" i="14"/>
  <c r="E1268" i="14"/>
  <c r="E1324" i="14"/>
  <c r="E1269" i="14"/>
  <c r="E1423" i="14"/>
  <c r="E1335" i="14"/>
  <c r="E1263" i="14"/>
  <c r="E1390" i="14"/>
  <c r="E1433" i="14"/>
  <c r="E1461" i="14"/>
  <c r="E1483" i="14"/>
  <c r="E1328" i="14"/>
  <c r="V1261" i="14"/>
  <c r="A1261" i="14" s="1"/>
  <c r="V1372" i="14"/>
  <c r="A1372" i="14" s="1"/>
  <c r="V1330" i="14"/>
  <c r="A1330" i="14" s="1"/>
  <c r="V1455" i="14"/>
  <c r="A1455" i="14" s="1"/>
  <c r="V1306" i="14"/>
  <c r="A1306" i="14" s="1"/>
  <c r="V1280" i="14"/>
  <c r="A1280" i="14" s="1"/>
  <c r="V1443" i="14"/>
  <c r="A1443" i="14" s="1"/>
  <c r="V1275" i="14"/>
  <c r="A1275" i="14" s="1"/>
  <c r="V1400" i="14"/>
  <c r="A1400" i="14" s="1"/>
  <c r="V1386" i="14"/>
  <c r="A1386" i="14" s="1"/>
  <c r="V1421" i="14"/>
  <c r="A1421" i="14" s="1"/>
  <c r="V1452" i="14"/>
  <c r="A1452" i="14" s="1"/>
  <c r="V1342" i="14"/>
  <c r="A1342" i="14" s="1"/>
  <c r="H1401" i="14"/>
  <c r="H1319" i="14"/>
  <c r="H1328" i="14"/>
  <c r="H1306" i="14"/>
  <c r="H1426" i="14"/>
  <c r="H1304" i="14"/>
  <c r="H1285" i="14"/>
  <c r="H1297" i="14"/>
  <c r="H1465" i="14"/>
  <c r="H1351" i="14"/>
  <c r="H1373" i="14"/>
  <c r="H1414" i="14"/>
  <c r="H1266" i="14"/>
  <c r="H1268" i="14"/>
  <c r="H1476" i="14"/>
  <c r="H1265" i="14"/>
  <c r="H1337" i="14"/>
  <c r="H1384" i="14"/>
  <c r="V1399" i="14"/>
  <c r="A1399" i="14" s="1"/>
  <c r="V1320" i="14"/>
  <c r="A1320" i="14" s="1"/>
  <c r="I1486" i="14"/>
  <c r="I1477" i="14"/>
  <c r="I1245" i="14"/>
  <c r="I1349" i="14"/>
  <c r="I1281" i="14"/>
  <c r="I1296" i="14"/>
  <c r="I1324" i="14"/>
  <c r="I1374" i="14"/>
  <c r="I1267" i="14"/>
  <c r="I1475" i="14"/>
  <c r="I1256" i="14"/>
  <c r="V1269" i="14"/>
  <c r="A1269" i="14" s="1"/>
  <c r="V1338" i="14"/>
  <c r="A1338" i="14" s="1"/>
  <c r="I1370" i="14"/>
  <c r="I1471" i="14"/>
  <c r="V1317" i="14"/>
  <c r="A1317" i="14" s="1"/>
  <c r="I1305" i="14"/>
  <c r="I1462" i="14"/>
  <c r="I1461" i="14"/>
  <c r="I1438" i="14"/>
  <c r="J1427" i="14" l="1"/>
  <c r="J1420" i="14"/>
  <c r="J1336" i="14"/>
  <c r="J1404" i="14"/>
  <c r="J1451" i="14"/>
  <c r="J1454" i="14"/>
  <c r="J1401" i="14"/>
  <c r="J1395" i="14"/>
  <c r="J1280" i="14"/>
  <c r="J1470" i="14"/>
  <c r="J1283" i="14"/>
  <c r="J1358" i="14"/>
  <c r="J1278" i="14"/>
  <c r="J1338" i="14"/>
  <c r="J1270" i="14"/>
  <c r="J1281" i="14"/>
  <c r="J1382" i="14"/>
  <c r="J1316" i="14"/>
  <c r="J1375" i="14"/>
  <c r="J1347" i="14"/>
  <c r="J1403" i="14"/>
  <c r="J1386" i="14"/>
  <c r="V1432" i="14"/>
  <c r="A1432" i="14" s="1"/>
  <c r="V1357" i="14"/>
  <c r="A1357" i="14" s="1"/>
  <c r="J1349" i="14"/>
  <c r="J1297" i="14"/>
  <c r="J1252" i="14"/>
  <c r="J1372" i="14"/>
  <c r="J1320" i="14"/>
  <c r="J1367" i="14"/>
  <c r="J1327" i="14"/>
  <c r="J1264" i="14"/>
  <c r="J1425" i="14"/>
  <c r="J1433" i="14"/>
  <c r="J1331" i="14"/>
  <c r="J1362" i="14"/>
  <c r="J1259" i="14"/>
  <c r="J1400" i="14"/>
  <c r="J1361" i="14"/>
  <c r="J1334" i="14"/>
  <c r="J1335" i="14"/>
  <c r="J1345" i="14"/>
  <c r="J1406" i="14"/>
  <c r="J1344" i="14"/>
  <c r="J1271" i="14"/>
  <c r="J1298" i="14"/>
  <c r="J1366" i="14"/>
  <c r="J1276" i="14"/>
  <c r="J1360" i="14"/>
  <c r="V1299" i="14"/>
  <c r="A1299" i="14" s="1"/>
  <c r="V1384" i="14"/>
  <c r="A1384" i="14" s="1"/>
  <c r="V1364" i="14"/>
  <c r="A1364" i="14" s="1"/>
  <c r="V1434" i="14"/>
  <c r="A1434" i="14" s="1"/>
  <c r="J1308" i="14"/>
  <c r="J1353" i="14"/>
  <c r="J1303" i="14"/>
  <c r="J1419" i="14"/>
  <c r="J1430" i="14"/>
  <c r="J1412" i="14"/>
  <c r="J1332" i="14"/>
  <c r="J1448" i="14"/>
  <c r="J1409" i="14"/>
  <c r="J1317" i="14"/>
  <c r="V1369" i="14"/>
  <c r="A1369" i="14" s="1"/>
  <c r="J1258" i="14"/>
  <c r="J1247" i="14"/>
  <c r="J1354" i="14"/>
  <c r="J1479" i="14"/>
  <c r="J1248" i="14"/>
  <c r="V1391" i="14"/>
  <c r="A1391" i="14" s="1"/>
  <c r="V1414" i="14"/>
  <c r="A1414" i="14" s="1"/>
  <c r="V1267" i="14"/>
  <c r="A1267" i="14" s="1"/>
  <c r="J1351" i="14"/>
  <c r="J1411" i="14"/>
  <c r="J1322" i="14"/>
  <c r="J1477" i="14"/>
  <c r="J1265" i="14"/>
  <c r="J1306" i="14"/>
  <c r="J1249" i="14"/>
  <c r="J1413" i="14"/>
  <c r="J1315" i="14"/>
  <c r="J1330" i="14"/>
  <c r="J1326" i="14"/>
  <c r="J1371" i="14"/>
  <c r="J1449" i="14"/>
  <c r="J1302" i="14"/>
  <c r="V1312" i="14"/>
  <c r="A1312" i="14" s="1"/>
  <c r="J1376" i="14"/>
  <c r="V1439" i="14"/>
  <c r="A1439" i="14" s="1"/>
  <c r="V1314" i="14"/>
  <c r="A1314" i="14" s="1"/>
  <c r="V1325" i="14"/>
  <c r="A1325" i="14" s="1"/>
  <c r="V1297" i="14"/>
  <c r="A1297" i="14" s="1"/>
  <c r="J1443" i="14"/>
  <c r="V1368" i="14"/>
  <c r="A1368" i="14" s="1"/>
  <c r="V1389" i="14"/>
  <c r="A1389" i="14" s="1"/>
  <c r="V1288" i="14"/>
  <c r="A1288" i="14" s="1"/>
  <c r="V1438" i="14"/>
  <c r="A1438" i="14" s="1"/>
  <c r="V1252" i="14"/>
  <c r="A1252" i="14" s="1"/>
  <c r="V1293" i="14"/>
  <c r="A1293" i="14" s="1"/>
  <c r="V1258" i="14"/>
  <c r="A1258" i="14" s="1"/>
  <c r="J1402" i="14"/>
  <c r="J1387" i="14"/>
  <c r="J1460" i="14"/>
  <c r="J1440" i="14"/>
  <c r="J1418" i="14"/>
  <c r="J1441" i="14"/>
  <c r="J1464" i="14"/>
  <c r="J1279" i="14"/>
  <c r="J1463" i="14"/>
  <c r="J1482" i="14"/>
  <c r="J1455" i="14"/>
  <c r="J1257" i="14"/>
  <c r="J1318" i="14"/>
  <c r="J1284" i="14"/>
  <c r="J1422" i="14"/>
  <c r="J1416" i="14"/>
  <c r="J1251" i="14"/>
  <c r="J1289" i="14"/>
  <c r="J1356" i="14"/>
  <c r="J1246" i="14"/>
  <c r="J1285" i="14"/>
  <c r="J1487" i="14"/>
  <c r="J1294" i="14"/>
  <c r="J1369" i="14"/>
  <c r="J1484" i="14"/>
  <c r="J1381" i="14"/>
  <c r="J1453" i="14"/>
  <c r="J1275" i="14"/>
  <c r="J1288" i="14"/>
  <c r="J1255" i="14"/>
  <c r="J1348" i="14"/>
  <c r="V1447" i="14"/>
  <c r="A1447" i="14" s="1"/>
  <c r="J1293" i="14"/>
  <c r="J1300" i="14"/>
  <c r="J1442" i="14"/>
  <c r="J1287" i="14"/>
  <c r="J1323" i="14"/>
  <c r="J1379" i="14"/>
  <c r="J1364" i="14"/>
  <c r="J1447" i="14"/>
  <c r="J1446" i="14"/>
  <c r="J1301" i="14"/>
  <c r="J1385" i="14"/>
  <c r="J1312" i="14"/>
  <c r="J1428" i="14"/>
  <c r="J1341" i="14"/>
  <c r="J1481" i="14"/>
  <c r="J1388" i="14"/>
  <c r="J1456" i="14"/>
  <c r="J1396" i="14"/>
  <c r="J1473" i="14"/>
  <c r="J1452" i="14"/>
  <c r="J1444" i="14"/>
  <c r="J1310" i="14"/>
  <c r="J1380" i="14"/>
  <c r="J1468" i="14"/>
  <c r="J1337" i="14"/>
  <c r="J1363" i="14"/>
  <c r="J1421" i="14"/>
  <c r="J1458" i="14"/>
  <c r="J1290" i="14"/>
  <c r="J1417" i="14"/>
  <c r="J1343" i="14"/>
  <c r="J1329" i="14"/>
  <c r="J1292" i="14"/>
  <c r="J1435" i="14"/>
  <c r="J1434" i="14"/>
  <c r="J1399" i="14"/>
  <c r="J1325" i="14"/>
  <c r="J1357" i="14"/>
  <c r="J1408" i="14"/>
  <c r="J1393" i="14"/>
  <c r="J1384" i="14"/>
  <c r="J1475" i="14"/>
  <c r="J1483" i="14"/>
  <c r="J1423" i="14"/>
  <c r="J1272" i="14"/>
  <c r="J1277" i="14"/>
  <c r="J1436" i="14"/>
  <c r="J1415" i="14"/>
  <c r="J1429" i="14"/>
  <c r="J1410" i="14"/>
  <c r="J1377" i="14"/>
  <c r="J1309" i="14"/>
  <c r="J1263" i="14"/>
  <c r="J1313" i="14"/>
  <c r="J1378" i="14"/>
  <c r="J1407" i="14"/>
  <c r="J1389" i="14"/>
  <c r="J1339" i="14"/>
  <c r="J1457" i="14"/>
  <c r="J1459" i="14"/>
  <c r="J1474" i="14"/>
  <c r="J1432" i="14"/>
  <c r="J1437" i="14"/>
  <c r="J1359" i="14"/>
  <c r="J1439" i="14"/>
  <c r="J1314" i="14"/>
  <c r="J1291" i="14"/>
  <c r="J1467" i="14"/>
  <c r="J1346" i="14"/>
  <c r="J1391" i="14"/>
  <c r="J1299" i="14"/>
  <c r="J1295" i="14"/>
  <c r="J1267" i="14"/>
  <c r="J1414" i="14"/>
  <c r="J1269" i="14"/>
  <c r="J1350" i="14"/>
  <c r="J1394" i="14"/>
  <c r="J1254" i="14"/>
  <c r="J1438" i="14"/>
  <c r="J1373" i="14"/>
  <c r="J1390" i="14"/>
  <c r="J1478" i="14"/>
  <c r="J1250" i="14"/>
  <c r="J1365" i="14"/>
  <c r="J1333" i="14"/>
  <c r="J1424" i="14"/>
  <c r="J1321" i="14"/>
  <c r="J1462" i="14"/>
  <c r="J1256" i="14"/>
  <c r="J1319" i="14"/>
  <c r="J1466" i="14"/>
  <c r="J1307" i="14"/>
  <c r="J1469" i="14"/>
  <c r="J1368" i="14"/>
  <c r="J1445" i="14"/>
  <c r="J1486" i="14"/>
  <c r="J1261" i="14"/>
  <c r="J1342" i="14"/>
  <c r="J1286" i="14"/>
  <c r="J1370" i="14"/>
  <c r="J1282" i="14"/>
  <c r="J1311" i="14"/>
  <c r="J1245" i="14"/>
  <c r="J1397" i="14"/>
  <c r="J1398" i="14"/>
  <c r="J1405" i="14"/>
  <c r="J1304" i="14"/>
  <c r="J1260" i="14"/>
  <c r="J1392" i="14"/>
  <c r="J1480" i="14"/>
  <c r="J1305" i="14"/>
  <c r="J1450" i="14"/>
  <c r="J1253" i="14"/>
  <c r="J1324" i="14"/>
  <c r="J1485" i="14"/>
  <c r="J1476" i="14"/>
  <c r="V254" i="10"/>
  <c r="M255" i="10"/>
  <c r="J1465" i="14"/>
  <c r="J1352" i="14"/>
  <c r="J1262" i="14"/>
  <c r="J1374" i="14"/>
  <c r="J1296" i="14"/>
  <c r="J1471" i="14"/>
  <c r="J1426" i="14"/>
  <c r="J1328" i="14"/>
  <c r="J1461" i="14"/>
  <c r="J1268" i="14"/>
  <c r="J1266" i="14"/>
  <c r="J1273" i="14"/>
  <c r="J1355" i="14"/>
  <c r="J1383" i="14"/>
  <c r="J1340" i="14"/>
  <c r="J1431" i="14"/>
  <c r="J1472" i="14"/>
  <c r="L256" i="10"/>
  <c r="U255" i="10"/>
  <c r="AA9" i="14" l="1"/>
  <c r="E138" i="13" s="1"/>
  <c r="U256" i="10"/>
  <c r="L257" i="10"/>
  <c r="M256" i="10"/>
  <c r="V255" i="10"/>
  <c r="D138" i="13" l="1"/>
  <c r="L138" i="13" s="1"/>
  <c r="G138" i="13"/>
  <c r="AB9" i="14"/>
  <c r="I138" i="13"/>
  <c r="J158" i="13"/>
  <c r="K158" i="13"/>
  <c r="J138" i="13"/>
  <c r="H158" i="13"/>
  <c r="V256" i="10"/>
  <c r="M257" i="10"/>
  <c r="L258" i="10"/>
  <c r="U257" i="10"/>
  <c r="D158" i="13" l="1"/>
  <c r="AJ32" i="14" s="1"/>
  <c r="K138" i="13"/>
  <c r="G105" i="13" s="1"/>
  <c r="AB52" i="14" s="1"/>
  <c r="M258" i="10"/>
  <c r="V257" i="10"/>
  <c r="U258" i="10"/>
  <c r="L259" i="10"/>
  <c r="I105" i="13" l="1"/>
  <c r="AA52" i="14"/>
  <c r="H105" i="13" s="1"/>
  <c r="L260" i="10"/>
  <c r="U259" i="10"/>
  <c r="M259" i="10"/>
  <c r="V258" i="10"/>
  <c r="V259" i="10" l="1"/>
  <c r="M260" i="10"/>
  <c r="L261" i="10"/>
  <c r="U260" i="10"/>
  <c r="L262" i="10" l="1"/>
  <c r="U261" i="10"/>
  <c r="V260" i="10"/>
  <c r="M261" i="10"/>
  <c r="M262" i="10" l="1"/>
  <c r="V261" i="10"/>
  <c r="L263" i="10"/>
  <c r="U262" i="10"/>
  <c r="L264" i="10" l="1"/>
  <c r="U263" i="10"/>
  <c r="M263" i="10"/>
  <c r="V262" i="10"/>
  <c r="M264" i="10" l="1"/>
  <c r="V263" i="10"/>
  <c r="U264" i="10"/>
  <c r="L265" i="10"/>
  <c r="L266" i="10" l="1"/>
  <c r="U265" i="10"/>
  <c r="M265" i="10"/>
  <c r="V264" i="10"/>
  <c r="V265" i="10" l="1"/>
  <c r="M266" i="10"/>
  <c r="U266" i="10"/>
  <c r="L267" i="10"/>
  <c r="L268" i="10" l="1"/>
  <c r="U267" i="10"/>
  <c r="V266" i="10"/>
  <c r="M267" i="10"/>
  <c r="V267" i="10" l="1"/>
  <c r="M268" i="10"/>
  <c r="U268" i="10"/>
  <c r="L269" i="10"/>
  <c r="L270" i="10" l="1"/>
  <c r="U269" i="10"/>
  <c r="M269" i="10"/>
  <c r="V268" i="10"/>
  <c r="M270" i="10" l="1"/>
  <c r="V269" i="10"/>
  <c r="U270" i="10"/>
  <c r="L271" i="10"/>
  <c r="L272" i="10" l="1"/>
  <c r="U271" i="10"/>
  <c r="M271" i="10"/>
  <c r="V270" i="10"/>
  <c r="M272" i="10" l="1"/>
  <c r="V271" i="10"/>
  <c r="L273" i="10"/>
  <c r="U272" i="10"/>
  <c r="L274" i="10" l="1"/>
  <c r="U273" i="10"/>
  <c r="V272" i="10"/>
  <c r="M273" i="10"/>
  <c r="V273" i="10" l="1"/>
  <c r="M274" i="10"/>
  <c r="L275" i="10"/>
  <c r="U274" i="10"/>
  <c r="V274" i="10" l="1"/>
  <c r="M275" i="10"/>
  <c r="U275" i="10"/>
  <c r="L276" i="10"/>
  <c r="M276" i="10" l="1"/>
  <c r="V275" i="10"/>
  <c r="U276" i="10"/>
  <c r="L277" i="10"/>
  <c r="L278" i="10" l="1"/>
  <c r="U277" i="10"/>
  <c r="V276" i="10"/>
  <c r="M277" i="10"/>
  <c r="M278" i="10" l="1"/>
  <c r="V277" i="10"/>
  <c r="L279" i="10"/>
  <c r="U278" i="10"/>
  <c r="L280" i="10" l="1"/>
  <c r="U279" i="10"/>
  <c r="M279" i="10"/>
  <c r="V278" i="10"/>
  <c r="V279" i="10" l="1"/>
  <c r="M280" i="10"/>
  <c r="U280" i="10"/>
  <c r="L281" i="10"/>
  <c r="M281" i="10" l="1"/>
  <c r="V280" i="10"/>
  <c r="U281" i="10"/>
  <c r="L282" i="10"/>
  <c r="L283" i="10" l="1"/>
  <c r="U282" i="10"/>
  <c r="M282" i="10"/>
  <c r="V281" i="10"/>
  <c r="V282" i="10" l="1"/>
  <c r="M283" i="10"/>
  <c r="L284" i="10"/>
  <c r="U283" i="10"/>
  <c r="M284" i="10" l="1"/>
  <c r="V283" i="10"/>
  <c r="L285" i="10"/>
  <c r="U284" i="10"/>
  <c r="U285" i="10" l="1"/>
  <c r="L286" i="10"/>
  <c r="M285" i="10"/>
  <c r="V284" i="10"/>
  <c r="M286" i="10" l="1"/>
  <c r="V285" i="10"/>
  <c r="U286" i="10"/>
  <c r="L287" i="10"/>
  <c r="L288" i="10" l="1"/>
  <c r="U287" i="10"/>
  <c r="M287" i="10"/>
  <c r="V286" i="10"/>
  <c r="M288" i="10" l="1"/>
  <c r="V287" i="10"/>
  <c r="U288" i="10"/>
  <c r="L289" i="10"/>
  <c r="L290" i="10" l="1"/>
  <c r="E157" i="12"/>
  <c r="U289" i="10"/>
  <c r="V288" i="10"/>
  <c r="M289" i="10"/>
  <c r="F206" i="13" l="1"/>
  <c r="E106" i="13"/>
  <c r="M290" i="10"/>
  <c r="V289" i="10"/>
  <c r="F157" i="12"/>
  <c r="F106" i="13" s="1"/>
  <c r="U290" i="10"/>
  <c r="L291" i="10"/>
  <c r="L292" i="10" l="1"/>
  <c r="U291" i="10"/>
  <c r="V290" i="10"/>
  <c r="M291" i="10"/>
  <c r="AO33" i="14"/>
  <c r="AL33" i="14"/>
  <c r="Z53" i="14"/>
  <c r="AM33" i="14"/>
  <c r="AP33" i="14"/>
  <c r="AN33" i="14"/>
  <c r="AD53" i="14"/>
  <c r="L1588" i="14" l="1"/>
  <c r="R1588" i="14" s="1"/>
  <c r="L1536" i="14"/>
  <c r="R1536" i="14" s="1"/>
  <c r="L1517" i="14"/>
  <c r="R1517" i="14" s="1"/>
  <c r="L1623" i="14"/>
  <c r="R1623" i="14" s="1"/>
  <c r="L1735" i="14"/>
  <c r="R1735" i="14" s="1"/>
  <c r="L1509" i="14"/>
  <c r="R1509" i="14" s="1"/>
  <c r="L1506" i="14"/>
  <c r="R1506" i="14" s="1"/>
  <c r="L1604" i="14"/>
  <c r="R1604" i="14" s="1"/>
  <c r="L1642" i="14"/>
  <c r="R1642" i="14" s="1"/>
  <c r="L1498" i="14"/>
  <c r="R1498" i="14" s="1"/>
  <c r="L1534" i="14"/>
  <c r="R1534" i="14" s="1"/>
  <c r="L1731" i="14"/>
  <c r="R1731" i="14" s="1"/>
  <c r="L1680" i="14"/>
  <c r="R1680" i="14" s="1"/>
  <c r="L1639" i="14"/>
  <c r="R1639" i="14" s="1"/>
  <c r="L1543" i="14"/>
  <c r="R1543" i="14" s="1"/>
  <c r="L1659" i="14"/>
  <c r="R1659" i="14" s="1"/>
  <c r="L1609" i="14"/>
  <c r="R1609" i="14" s="1"/>
  <c r="L1708" i="14"/>
  <c r="R1708" i="14" s="1"/>
  <c r="L1671" i="14"/>
  <c r="R1671" i="14" s="1"/>
  <c r="L1568" i="14"/>
  <c r="R1568" i="14" s="1"/>
  <c r="L1555" i="14"/>
  <c r="R1555" i="14" s="1"/>
  <c r="L1733" i="14"/>
  <c r="R1733" i="14" s="1"/>
  <c r="L1663" i="14"/>
  <c r="R1663" i="14" s="1"/>
  <c r="L1516" i="14"/>
  <c r="R1516" i="14" s="1"/>
  <c r="L1593" i="14"/>
  <c r="R1593" i="14" s="1"/>
  <c r="L1724" i="14"/>
  <c r="R1724" i="14" s="1"/>
  <c r="L1606" i="14"/>
  <c r="R1606" i="14" s="1"/>
  <c r="L1572" i="14"/>
  <c r="R1572" i="14" s="1"/>
  <c r="L1554" i="14"/>
  <c r="R1554" i="14" s="1"/>
  <c r="L1511" i="14"/>
  <c r="R1511" i="14" s="1"/>
  <c r="L1627" i="14"/>
  <c r="R1627" i="14" s="1"/>
  <c r="L1705" i="14"/>
  <c r="R1705" i="14" s="1"/>
  <c r="L1545" i="14"/>
  <c r="R1545" i="14" s="1"/>
  <c r="L1535" i="14"/>
  <c r="R1535" i="14" s="1"/>
  <c r="L1586" i="14"/>
  <c r="R1586" i="14" s="1"/>
  <c r="L1664" i="14"/>
  <c r="R1664" i="14" s="1"/>
  <c r="L1679" i="14"/>
  <c r="R1679" i="14" s="1"/>
  <c r="L1527" i="14"/>
  <c r="R1527" i="14" s="1"/>
  <c r="L1578" i="14"/>
  <c r="R1578" i="14" s="1"/>
  <c r="L1656" i="14"/>
  <c r="R1656" i="14" s="1"/>
  <c r="L1630" i="14"/>
  <c r="R1630" i="14" s="1"/>
  <c r="L1597" i="14"/>
  <c r="R1597" i="14" s="1"/>
  <c r="L1667" i="14"/>
  <c r="R1667" i="14" s="1"/>
  <c r="L1649" i="14"/>
  <c r="R1649" i="14" s="1"/>
  <c r="L1620" i="14"/>
  <c r="R1620" i="14" s="1"/>
  <c r="L1503" i="14"/>
  <c r="R1503" i="14" s="1"/>
  <c r="L1579" i="14"/>
  <c r="R1579" i="14" s="1"/>
  <c r="L1508" i="14"/>
  <c r="R1508" i="14" s="1"/>
  <c r="L1496" i="14"/>
  <c r="R1496" i="14" s="1"/>
  <c r="L1587" i="14"/>
  <c r="R1587" i="14" s="1"/>
  <c r="L1533" i="14"/>
  <c r="R1533" i="14" s="1"/>
  <c r="L1730" i="14"/>
  <c r="R1730" i="14" s="1"/>
  <c r="L1723" i="14"/>
  <c r="R1723" i="14" s="1"/>
  <c r="L1541" i="14"/>
  <c r="R1541" i="14" s="1"/>
  <c r="L1674" i="14"/>
  <c r="R1674" i="14" s="1"/>
  <c r="L1602" i="14"/>
  <c r="R1602" i="14" s="1"/>
  <c r="L1595" i="14"/>
  <c r="R1595" i="14" s="1"/>
  <c r="L1682" i="14"/>
  <c r="R1682" i="14" s="1"/>
  <c r="L1513" i="14"/>
  <c r="R1513" i="14" s="1"/>
  <c r="L1712" i="14"/>
  <c r="R1712" i="14" s="1"/>
  <c r="L1716" i="14"/>
  <c r="R1716" i="14" s="1"/>
  <c r="L1514" i="14"/>
  <c r="R1514" i="14" s="1"/>
  <c r="L1633" i="14"/>
  <c r="R1633" i="14" s="1"/>
  <c r="L1501" i="14"/>
  <c r="R1501" i="14" s="1"/>
  <c r="L1698" i="14"/>
  <c r="R1698" i="14" s="1"/>
  <c r="L1589" i="14"/>
  <c r="R1589" i="14" s="1"/>
  <c r="L1528" i="14"/>
  <c r="R1528" i="14" s="1"/>
  <c r="L1700" i="14"/>
  <c r="R1700" i="14" s="1"/>
  <c r="L1721" i="14"/>
  <c r="R1721" i="14" s="1"/>
  <c r="L1699" i="14"/>
  <c r="R1699" i="14" s="1"/>
  <c r="L1594" i="14"/>
  <c r="R1594" i="14" s="1"/>
  <c r="L1581" i="14"/>
  <c r="R1581" i="14" s="1"/>
  <c r="L1523" i="14"/>
  <c r="R1523" i="14" s="1"/>
  <c r="L1544" i="14"/>
  <c r="R1544" i="14" s="1"/>
  <c r="L1634" i="14"/>
  <c r="R1634" i="14" s="1"/>
  <c r="L1546" i="14"/>
  <c r="R1546" i="14" s="1"/>
  <c r="L1690" i="14"/>
  <c r="R1690" i="14" s="1"/>
  <c r="L1553" i="14"/>
  <c r="R1553" i="14" s="1"/>
  <c r="L1569" i="14"/>
  <c r="R1569" i="14" s="1"/>
  <c r="L1707" i="14"/>
  <c r="R1707" i="14" s="1"/>
  <c r="L1621" i="14"/>
  <c r="R1621" i="14" s="1"/>
  <c r="L1658" i="14"/>
  <c r="R1658" i="14" s="1"/>
  <c r="L1608" i="14"/>
  <c r="R1608" i="14" s="1"/>
  <c r="L1612" i="14"/>
  <c r="R1612" i="14" s="1"/>
  <c r="L1650" i="14"/>
  <c r="R1650" i="14" s="1"/>
  <c r="L1728" i="14"/>
  <c r="R1728" i="14" s="1"/>
  <c r="L1646" i="14"/>
  <c r="R1646" i="14" s="1"/>
  <c r="L1637" i="14"/>
  <c r="R1637" i="14" s="1"/>
  <c r="L1675" i="14"/>
  <c r="R1675" i="14" s="1"/>
  <c r="L1720" i="14"/>
  <c r="R1720" i="14" s="1"/>
  <c r="L1655" i="14"/>
  <c r="R1655" i="14" s="1"/>
  <c r="L1670" i="14"/>
  <c r="R1670" i="14" s="1"/>
  <c r="L1603" i="14"/>
  <c r="R1603" i="14" s="1"/>
  <c r="L1713" i="14"/>
  <c r="R1713" i="14" s="1"/>
  <c r="L1684" i="14"/>
  <c r="R1684" i="14" s="1"/>
  <c r="L1590" i="14"/>
  <c r="R1590" i="14" s="1"/>
  <c r="L1532" i="14"/>
  <c r="R1532" i="14" s="1"/>
  <c r="L1563" i="14"/>
  <c r="R1563" i="14" s="1"/>
  <c r="L1580" i="14"/>
  <c r="R1580" i="14" s="1"/>
  <c r="L1618" i="14"/>
  <c r="R1618" i="14" s="1"/>
  <c r="L1696" i="14"/>
  <c r="R1696" i="14" s="1"/>
  <c r="L1582" i="14"/>
  <c r="R1582" i="14" s="1"/>
  <c r="L1605" i="14"/>
  <c r="R1605" i="14" s="1"/>
  <c r="L1734" i="14"/>
  <c r="R1734" i="14" s="1"/>
  <c r="L1547" i="14"/>
  <c r="R1547" i="14" s="1"/>
  <c r="L1596" i="14"/>
  <c r="R1596" i="14" s="1"/>
  <c r="L1529" i="14"/>
  <c r="R1529" i="14" s="1"/>
  <c r="L1525" i="14"/>
  <c r="R1525" i="14" s="1"/>
  <c r="L1507" i="14"/>
  <c r="R1507" i="14" s="1"/>
  <c r="L1652" i="14"/>
  <c r="R1652" i="14" s="1"/>
  <c r="L1695" i="14"/>
  <c r="R1695" i="14" s="1"/>
  <c r="L1500" i="14"/>
  <c r="R1500" i="14" s="1"/>
  <c r="L1577" i="14"/>
  <c r="R1577" i="14" s="1"/>
  <c r="L1676" i="14"/>
  <c r="R1676" i="14" s="1"/>
  <c r="L1694" i="14"/>
  <c r="R1694" i="14" s="1"/>
  <c r="L1619" i="14"/>
  <c r="R1619" i="14" s="1"/>
  <c r="L1697" i="14"/>
  <c r="R1697" i="14" s="1"/>
  <c r="L1668" i="14"/>
  <c r="R1668" i="14" s="1"/>
  <c r="L1686" i="14"/>
  <c r="R1686" i="14" s="1"/>
  <c r="L1611" i="14"/>
  <c r="R1611" i="14" s="1"/>
  <c r="L1689" i="14"/>
  <c r="R1689" i="14" s="1"/>
  <c r="L1504" i="14"/>
  <c r="R1504" i="14" s="1"/>
  <c r="L1551" i="14"/>
  <c r="R1551" i="14" s="1"/>
  <c r="L1540" i="14"/>
  <c r="R1540" i="14" s="1"/>
  <c r="L1522" i="14"/>
  <c r="R1522" i="14" s="1"/>
  <c r="L1615" i="14"/>
  <c r="R1615" i="14" s="1"/>
  <c r="L1715" i="14"/>
  <c r="R1715" i="14" s="1"/>
  <c r="L1624" i="14"/>
  <c r="R1624" i="14" s="1"/>
  <c r="L1584" i="14"/>
  <c r="R1584" i="14" s="1"/>
  <c r="L1499" i="14"/>
  <c r="R1499" i="14" s="1"/>
  <c r="L1632" i="14"/>
  <c r="R1632" i="14" s="1"/>
  <c r="L1657" i="14"/>
  <c r="R1657" i="14" s="1"/>
  <c r="L1617" i="14"/>
  <c r="R1617" i="14" s="1"/>
  <c r="L1640" i="14"/>
  <c r="R1640" i="14" s="1"/>
  <c r="L1665" i="14"/>
  <c r="R1665" i="14" s="1"/>
  <c r="L1530" i="14"/>
  <c r="R1530" i="14" s="1"/>
  <c r="L1647" i="14"/>
  <c r="R1647" i="14" s="1"/>
  <c r="L1673" i="14"/>
  <c r="R1673" i="14" s="1"/>
  <c r="L1538" i="14"/>
  <c r="R1538" i="14" s="1"/>
  <c r="L1660" i="14"/>
  <c r="R1660" i="14" s="1"/>
  <c r="L1654" i="14"/>
  <c r="R1654" i="14" s="1"/>
  <c r="L1518" i="14"/>
  <c r="R1518" i="14" s="1"/>
  <c r="L1732" i="14"/>
  <c r="R1732" i="14" s="1"/>
  <c r="L1625" i="14"/>
  <c r="R1625" i="14" s="1"/>
  <c r="L1520" i="14"/>
  <c r="R1520" i="14" s="1"/>
  <c r="L1626" i="14"/>
  <c r="R1626" i="14" s="1"/>
  <c r="L1567" i="14"/>
  <c r="R1567" i="14" s="1"/>
  <c r="L1601" i="14"/>
  <c r="R1601" i="14" s="1"/>
  <c r="L1643" i="14"/>
  <c r="R1643" i="14" s="1"/>
  <c r="L1502" i="14"/>
  <c r="R1502" i="14" s="1"/>
  <c r="L1552" i="14"/>
  <c r="R1552" i="14" s="1"/>
  <c r="L1672" i="14"/>
  <c r="R1672" i="14" s="1"/>
  <c r="L1714" i="14"/>
  <c r="R1714" i="14" s="1"/>
  <c r="L1574" i="14"/>
  <c r="R1574" i="14" s="1"/>
  <c r="L1515" i="14"/>
  <c r="R1515" i="14" s="1"/>
  <c r="L1561" i="14"/>
  <c r="R1561" i="14" s="1"/>
  <c r="L1631" i="14"/>
  <c r="R1631" i="14" s="1"/>
  <c r="L1566" i="14"/>
  <c r="R1566" i="14" s="1"/>
  <c r="L1710" i="14"/>
  <c r="R1710" i="14" s="1"/>
  <c r="L1494" i="14"/>
  <c r="R1494" i="14" s="1"/>
  <c r="L1691" i="14"/>
  <c r="R1691" i="14" s="1"/>
  <c r="L1641" i="14"/>
  <c r="R1641" i="14" s="1"/>
  <c r="L1645" i="14"/>
  <c r="R1645" i="14" s="1"/>
  <c r="L1683" i="14"/>
  <c r="R1683" i="14" s="1"/>
  <c r="L1600" i="14"/>
  <c r="R1600" i="14" s="1"/>
  <c r="L1512" i="14"/>
  <c r="R1512" i="14" s="1"/>
  <c r="L1510" i="14"/>
  <c r="R1510" i="14" s="1"/>
  <c r="L1548" i="14"/>
  <c r="R1548" i="14" s="1"/>
  <c r="L1592" i="14"/>
  <c r="R1592" i="14" s="1"/>
  <c r="L1628" i="14"/>
  <c r="R1628" i="14" s="1"/>
  <c r="L1560" i="14"/>
  <c r="R1560" i="14" s="1"/>
  <c r="L1557" i="14"/>
  <c r="R1557" i="14" s="1"/>
  <c r="L1585" i="14"/>
  <c r="R1585" i="14" s="1"/>
  <c r="L1717" i="14"/>
  <c r="R1717" i="14" s="1"/>
  <c r="L1497" i="14"/>
  <c r="R1497" i="14" s="1"/>
  <c r="L1704" i="14"/>
  <c r="R1704" i="14" s="1"/>
  <c r="L1662" i="14"/>
  <c r="R1662" i="14" s="1"/>
  <c r="L1613" i="14"/>
  <c r="R1613" i="14" s="1"/>
  <c r="L1651" i="14"/>
  <c r="R1651" i="14" s="1"/>
  <c r="L1729" i="14"/>
  <c r="R1729" i="14" s="1"/>
  <c r="L1521" i="14"/>
  <c r="R1521" i="14" s="1"/>
  <c r="L1559" i="14"/>
  <c r="R1559" i="14" s="1"/>
  <c r="L1610" i="14"/>
  <c r="R1610" i="14" s="1"/>
  <c r="L1688" i="14"/>
  <c r="R1688" i="14" s="1"/>
  <c r="L1702" i="14"/>
  <c r="R1702" i="14" s="1"/>
  <c r="L1629" i="14"/>
  <c r="R1629" i="14" s="1"/>
  <c r="L1666" i="14"/>
  <c r="R1666" i="14" s="1"/>
  <c r="L1648" i="14"/>
  <c r="R1648" i="14" s="1"/>
  <c r="L1678" i="14"/>
  <c r="R1678" i="14" s="1"/>
  <c r="L1685" i="14"/>
  <c r="R1685" i="14" s="1"/>
  <c r="L1722" i="14"/>
  <c r="R1722" i="14" s="1"/>
  <c r="L1591" i="14"/>
  <c r="R1591" i="14" s="1"/>
  <c r="L1531" i="14"/>
  <c r="R1531" i="14" s="1"/>
  <c r="L1709" i="14"/>
  <c r="R1709" i="14" s="1"/>
  <c r="L1599" i="14"/>
  <c r="R1599" i="14" s="1"/>
  <c r="L1573" i="14"/>
  <c r="R1573" i="14" s="1"/>
  <c r="L1570" i="14"/>
  <c r="R1570" i="14" s="1"/>
  <c r="L1701" i="14"/>
  <c r="R1701" i="14" s="1"/>
  <c r="L1575" i="14"/>
  <c r="R1575" i="14" s="1"/>
  <c r="L1565" i="14"/>
  <c r="R1565" i="14" s="1"/>
  <c r="L1562" i="14"/>
  <c r="R1562" i="14" s="1"/>
  <c r="L1692" i="14"/>
  <c r="R1692" i="14" s="1"/>
  <c r="L1703" i="14"/>
  <c r="R1703" i="14" s="1"/>
  <c r="L1493" i="14"/>
  <c r="R1493" i="14" s="1"/>
  <c r="L1614" i="14"/>
  <c r="R1614" i="14" s="1"/>
  <c r="L1549" i="14"/>
  <c r="R1549" i="14" s="1"/>
  <c r="L1636" i="14"/>
  <c r="R1636" i="14" s="1"/>
  <c r="L1693" i="14"/>
  <c r="R1693" i="14" s="1"/>
  <c r="L1653" i="14"/>
  <c r="R1653" i="14" s="1"/>
  <c r="L1644" i="14"/>
  <c r="R1644" i="14" s="1"/>
  <c r="L1669" i="14"/>
  <c r="R1669" i="14" s="1"/>
  <c r="L1727" i="14"/>
  <c r="R1727" i="14" s="1"/>
  <c r="L1711" i="14"/>
  <c r="R1711" i="14" s="1"/>
  <c r="L1677" i="14"/>
  <c r="R1677" i="14" s="1"/>
  <c r="L1607" i="14"/>
  <c r="R1607" i="14" s="1"/>
  <c r="L1505" i="14"/>
  <c r="R1505" i="14" s="1"/>
  <c r="L1571" i="14"/>
  <c r="R1571" i="14" s="1"/>
  <c r="L1687" i="14"/>
  <c r="R1687" i="14" s="1"/>
  <c r="L1495" i="14"/>
  <c r="R1495" i="14" s="1"/>
  <c r="L1718" i="14"/>
  <c r="R1718" i="14" s="1"/>
  <c r="L1564" i="14"/>
  <c r="R1564" i="14" s="1"/>
  <c r="L1556" i="14"/>
  <c r="R1556" i="14" s="1"/>
  <c r="L1719" i="14"/>
  <c r="R1719" i="14" s="1"/>
  <c r="L1661" i="14"/>
  <c r="R1661" i="14" s="1"/>
  <c r="L1539" i="14"/>
  <c r="R1539" i="14" s="1"/>
  <c r="L1576" i="14"/>
  <c r="R1576" i="14" s="1"/>
  <c r="L1524" i="14"/>
  <c r="R1524" i="14" s="1"/>
  <c r="L1726" i="14"/>
  <c r="R1726" i="14" s="1"/>
  <c r="L1583" i="14"/>
  <c r="R1583" i="14" s="1"/>
  <c r="L1681" i="14"/>
  <c r="R1681" i="14" s="1"/>
  <c r="L1558" i="14"/>
  <c r="R1558" i="14" s="1"/>
  <c r="L1598" i="14"/>
  <c r="R1598" i="14" s="1"/>
  <c r="L1537" i="14"/>
  <c r="R1537" i="14" s="1"/>
  <c r="L1706" i="14"/>
  <c r="R1706" i="14" s="1"/>
  <c r="L1725" i="14"/>
  <c r="R1725" i="14" s="1"/>
  <c r="L1616" i="14"/>
  <c r="R1616" i="14" s="1"/>
  <c r="L1622" i="14"/>
  <c r="R1622" i="14" s="1"/>
  <c r="L1638" i="14"/>
  <c r="R1638" i="14" s="1"/>
  <c r="L1526" i="14"/>
  <c r="R1526" i="14" s="1"/>
  <c r="L1542" i="14"/>
  <c r="R1542" i="14" s="1"/>
  <c r="L1519" i="14"/>
  <c r="R1519" i="14" s="1"/>
  <c r="L1550" i="14"/>
  <c r="R1550" i="14" s="1"/>
  <c r="L1635" i="14"/>
  <c r="R1635" i="14" s="1"/>
  <c r="F1588" i="14"/>
  <c r="F1621" i="14"/>
  <c r="F1532" i="14"/>
  <c r="F1675" i="14"/>
  <c r="F1698" i="14"/>
  <c r="F1723" i="14"/>
  <c r="F1620" i="14"/>
  <c r="F1679" i="14"/>
  <c r="F1650" i="14"/>
  <c r="F1721" i="14"/>
  <c r="F1595" i="14"/>
  <c r="F1639" i="14"/>
  <c r="F1680" i="14"/>
  <c r="F1603" i="14"/>
  <c r="F1716" i="14"/>
  <c r="F1696" i="14"/>
  <c r="F1554" i="14"/>
  <c r="F1593" i="14"/>
  <c r="F1509" i="14"/>
  <c r="F1682" i="14"/>
  <c r="F1630" i="14"/>
  <c r="F1690" i="14"/>
  <c r="F1708" i="14"/>
  <c r="F1555" i="14"/>
  <c r="F1523" i="14"/>
  <c r="F1735" i="14"/>
  <c r="F1536" i="14"/>
  <c r="F1733" i="14"/>
  <c r="F1562" i="14"/>
  <c r="F1498" i="14"/>
  <c r="F1545" i="14"/>
  <c r="F1728" i="14"/>
  <c r="F1496" i="14"/>
  <c r="F1724" i="14"/>
  <c r="V291" i="10"/>
  <c r="M292" i="10"/>
  <c r="K1538" i="14"/>
  <c r="Q1538" i="14" s="1"/>
  <c r="K1606" i="14"/>
  <c r="Q1606" i="14" s="1"/>
  <c r="K1643" i="14"/>
  <c r="Q1643" i="14" s="1"/>
  <c r="K1673" i="14"/>
  <c r="Q1673" i="14" s="1"/>
  <c r="K1576" i="14"/>
  <c r="Q1576" i="14" s="1"/>
  <c r="K1597" i="14"/>
  <c r="Q1597" i="14" s="1"/>
  <c r="K1699" i="14"/>
  <c r="Q1699" i="14" s="1"/>
  <c r="K1649" i="14"/>
  <c r="Q1649" i="14" s="1"/>
  <c r="K1600" i="14"/>
  <c r="Q1600" i="14" s="1"/>
  <c r="K1718" i="14"/>
  <c r="Q1718" i="14" s="1"/>
  <c r="K1691" i="14"/>
  <c r="Q1691" i="14" s="1"/>
  <c r="K1721" i="14"/>
  <c r="Q1721" i="14" s="1"/>
  <c r="K1591" i="14"/>
  <c r="Q1591" i="14" s="1"/>
  <c r="K1645" i="14"/>
  <c r="Q1645" i="14" s="1"/>
  <c r="K1497" i="14"/>
  <c r="Q1497" i="14" s="1"/>
  <c r="K1510" i="14"/>
  <c r="Q1510" i="14" s="1"/>
  <c r="K1551" i="14"/>
  <c r="Q1551" i="14" s="1"/>
  <c r="K1702" i="14"/>
  <c r="Q1702" i="14" s="1"/>
  <c r="K1585" i="14"/>
  <c r="Q1585" i="14" s="1"/>
  <c r="K1498" i="14"/>
  <c r="Q1498" i="14" s="1"/>
  <c r="K1598" i="14"/>
  <c r="Q1598" i="14" s="1"/>
  <c r="K1700" i="14"/>
  <c r="Q1700" i="14" s="1"/>
  <c r="K1663" i="14"/>
  <c r="Q1663" i="14" s="1"/>
  <c r="K1553" i="14"/>
  <c r="Q1553" i="14" s="1"/>
  <c r="K1512" i="14"/>
  <c r="Q1512" i="14" s="1"/>
  <c r="K1563" i="14"/>
  <c r="Q1563" i="14" s="1"/>
  <c r="K1546" i="14"/>
  <c r="Q1546" i="14" s="1"/>
  <c r="K1646" i="14"/>
  <c r="Q1646" i="14" s="1"/>
  <c r="K1652" i="14"/>
  <c r="Q1652" i="14" s="1"/>
  <c r="E1597" i="14"/>
  <c r="K1729" i="14"/>
  <c r="Q1729" i="14" s="1"/>
  <c r="K1541" i="14"/>
  <c r="Q1541" i="14" s="1"/>
  <c r="K1579" i="14"/>
  <c r="Q1579" i="14" s="1"/>
  <c r="K1735" i="14"/>
  <c r="Q1735" i="14" s="1"/>
  <c r="K1578" i="14"/>
  <c r="Q1578" i="14" s="1"/>
  <c r="K1520" i="14"/>
  <c r="Q1520" i="14" s="1"/>
  <c r="K1668" i="14"/>
  <c r="Q1668" i="14" s="1"/>
  <c r="K1631" i="14"/>
  <c r="Q1631" i="14" s="1"/>
  <c r="K1532" i="14"/>
  <c r="Q1532" i="14" s="1"/>
  <c r="K1665" i="14"/>
  <c r="Q1665" i="14" s="1"/>
  <c r="K1531" i="14"/>
  <c r="Q1531" i="14" s="1"/>
  <c r="K1559" i="14"/>
  <c r="Q1559" i="14" s="1"/>
  <c r="K1581" i="14"/>
  <c r="Q1581" i="14" s="1"/>
  <c r="K1715" i="14"/>
  <c r="Q1715" i="14" s="1"/>
  <c r="K1609" i="14"/>
  <c r="Q1609" i="14" s="1"/>
  <c r="K1708" i="14"/>
  <c r="Q1708" i="14" s="1"/>
  <c r="K1731" i="14"/>
  <c r="Q1731" i="14" s="1"/>
  <c r="K1527" i="14"/>
  <c r="Q1527" i="14" s="1"/>
  <c r="K1583" i="14"/>
  <c r="Q1583" i="14" s="1"/>
  <c r="K1705" i="14"/>
  <c r="Q1705" i="14" s="1"/>
  <c r="K1589" i="14"/>
  <c r="Q1589" i="14" s="1"/>
  <c r="K1683" i="14"/>
  <c r="Q1683" i="14" s="1"/>
  <c r="K1534" i="14"/>
  <c r="Q1534" i="14" s="1"/>
  <c r="K1537" i="14"/>
  <c r="Q1537" i="14" s="1"/>
  <c r="K1623" i="14"/>
  <c r="Q1623" i="14" s="1"/>
  <c r="K1674" i="14"/>
  <c r="Q1674" i="14" s="1"/>
  <c r="K1608" i="14"/>
  <c r="Q1608" i="14" s="1"/>
  <c r="K1727" i="14"/>
  <c r="Q1727" i="14" s="1"/>
  <c r="K1602" i="14"/>
  <c r="Q1602" i="14" s="1"/>
  <c r="K1584" i="14"/>
  <c r="Q1584" i="14" s="1"/>
  <c r="K1502" i="14"/>
  <c r="Q1502" i="14" s="1"/>
  <c r="K1642" i="14"/>
  <c r="Q1642" i="14" s="1"/>
  <c r="K1728" i="14"/>
  <c r="Q1728" i="14" s="1"/>
  <c r="K1550" i="14"/>
  <c r="Q1550" i="14" s="1"/>
  <c r="K1504" i="14"/>
  <c r="Q1504" i="14" s="1"/>
  <c r="K1669" i="14"/>
  <c r="Q1669" i="14" s="1"/>
  <c r="K1515" i="14"/>
  <c r="Q1515" i="14" s="1"/>
  <c r="K1667" i="14"/>
  <c r="Q1667" i="14" s="1"/>
  <c r="K1557" i="14"/>
  <c r="Q1557" i="14" s="1"/>
  <c r="K1592" i="14"/>
  <c r="Q1592" i="14" s="1"/>
  <c r="K1572" i="14"/>
  <c r="Q1572" i="14" s="1"/>
  <c r="K1707" i="14"/>
  <c r="Q1707" i="14" s="1"/>
  <c r="K1565" i="14"/>
  <c r="Q1565" i="14" s="1"/>
  <c r="K1681" i="14"/>
  <c r="Q1681" i="14" s="1"/>
  <c r="K1688" i="14"/>
  <c r="Q1688" i="14" s="1"/>
  <c r="K1574" i="14"/>
  <c r="Q1574" i="14" s="1"/>
  <c r="K1628" i="14"/>
  <c r="Q1628" i="14" s="1"/>
  <c r="K1582" i="14"/>
  <c r="Q1582" i="14" s="1"/>
  <c r="K1569" i="14"/>
  <c r="Q1569" i="14" s="1"/>
  <c r="K1716" i="14"/>
  <c r="Q1716" i="14" s="1"/>
  <c r="K1595" i="14"/>
  <c r="Q1595" i="14" s="1"/>
  <c r="K1679" i="14"/>
  <c r="Q1679" i="14" s="1"/>
  <c r="K1698" i="14"/>
  <c r="Q1698" i="14" s="1"/>
  <c r="K1560" i="14"/>
  <c r="Q1560" i="14" s="1"/>
  <c r="K1676" i="14"/>
  <c r="Q1676" i="14" s="1"/>
  <c r="K1556" i="14"/>
  <c r="Q1556" i="14" s="1"/>
  <c r="K1530" i="14"/>
  <c r="Q1530" i="14" s="1"/>
  <c r="K1630" i="14"/>
  <c r="Q1630" i="14" s="1"/>
  <c r="K1732" i="14"/>
  <c r="Q1732" i="14" s="1"/>
  <c r="K1540" i="14"/>
  <c r="Q1540" i="14" s="1"/>
  <c r="K1554" i="14"/>
  <c r="Q1554" i="14" s="1"/>
  <c r="K1590" i="14"/>
  <c r="Q1590" i="14" s="1"/>
  <c r="K1724" i="14"/>
  <c r="Q1724" i="14" s="1"/>
  <c r="K1513" i="14"/>
  <c r="Q1513" i="14" s="1"/>
  <c r="K1624" i="14"/>
  <c r="Q1624" i="14" s="1"/>
  <c r="K1678" i="14"/>
  <c r="Q1678" i="14" s="1"/>
  <c r="K1651" i="14"/>
  <c r="Q1651" i="14" s="1"/>
  <c r="K1586" i="14"/>
  <c r="Q1586" i="14" s="1"/>
  <c r="K1506" i="14"/>
  <c r="Q1506" i="14" s="1"/>
  <c r="K1573" i="14"/>
  <c r="Q1573" i="14" s="1"/>
  <c r="K1611" i="14"/>
  <c r="Q1611" i="14" s="1"/>
  <c r="K1639" i="14"/>
  <c r="Q1639" i="14" s="1"/>
  <c r="K1682" i="14"/>
  <c r="Q1682" i="14" s="1"/>
  <c r="K1552" i="14"/>
  <c r="Q1552" i="14" s="1"/>
  <c r="K1571" i="14"/>
  <c r="Q1571" i="14" s="1"/>
  <c r="K1696" i="14"/>
  <c r="Q1696" i="14" s="1"/>
  <c r="K1653" i="14"/>
  <c r="Q1653" i="14" s="1"/>
  <c r="K1521" i="14"/>
  <c r="Q1521" i="14" s="1"/>
  <c r="K1518" i="14"/>
  <c r="Q1518" i="14" s="1"/>
  <c r="K1687" i="14"/>
  <c r="Q1687" i="14" s="1"/>
  <c r="K1657" i="14"/>
  <c r="Q1657" i="14" s="1"/>
  <c r="K1517" i="14"/>
  <c r="Q1517" i="14" s="1"/>
  <c r="K1523" i="14"/>
  <c r="Q1523" i="14" s="1"/>
  <c r="K1615" i="14"/>
  <c r="Q1615" i="14" s="1"/>
  <c r="K1505" i="14"/>
  <c r="Q1505" i="14" s="1"/>
  <c r="K1496" i="14"/>
  <c r="Q1496" i="14" s="1"/>
  <c r="K1612" i="14"/>
  <c r="Q1612" i="14" s="1"/>
  <c r="K1607" i="14"/>
  <c r="Q1607" i="14" s="1"/>
  <c r="K1661" i="14"/>
  <c r="Q1661" i="14" s="1"/>
  <c r="K1689" i="14"/>
  <c r="Q1689" i="14" s="1"/>
  <c r="K1539" i="14"/>
  <c r="Q1539" i="14" s="1"/>
  <c r="K1664" i="14"/>
  <c r="Q1664" i="14" s="1"/>
  <c r="K1621" i="14"/>
  <c r="Q1621" i="14" s="1"/>
  <c r="K1500" i="14"/>
  <c r="Q1500" i="14" s="1"/>
  <c r="K1706" i="14"/>
  <c r="Q1706" i="14" s="1"/>
  <c r="K1514" i="14"/>
  <c r="Q1514" i="14" s="1"/>
  <c r="K1614" i="14"/>
  <c r="Q1614" i="14" s="1"/>
  <c r="K1587" i="14"/>
  <c r="Q1587" i="14" s="1"/>
  <c r="K1711" i="14"/>
  <c r="Q1711" i="14" s="1"/>
  <c r="K1561" i="14"/>
  <c r="Q1561" i="14" s="1"/>
  <c r="K1599" i="14"/>
  <c r="Q1599" i="14" s="1"/>
  <c r="K1710" i="14"/>
  <c r="Q1710" i="14" s="1"/>
  <c r="K1733" i="14"/>
  <c r="Q1733" i="14" s="1"/>
  <c r="K1533" i="14"/>
  <c r="Q1533" i="14" s="1"/>
  <c r="K1722" i="14"/>
  <c r="Q1722" i="14" s="1"/>
  <c r="K1616" i="14"/>
  <c r="Q1616" i="14" s="1"/>
  <c r="K1575" i="14"/>
  <c r="Q1575" i="14" s="1"/>
  <c r="K1503" i="14"/>
  <c r="Q1503" i="14" s="1"/>
  <c r="K1634" i="14"/>
  <c r="Q1634" i="14" s="1"/>
  <c r="K1570" i="14"/>
  <c r="Q1570" i="14" s="1"/>
  <c r="K1629" i="14"/>
  <c r="Q1629" i="14" s="1"/>
  <c r="K1577" i="14"/>
  <c r="Q1577" i="14" s="1"/>
  <c r="K1656" i="14"/>
  <c r="Q1656" i="14" s="1"/>
  <c r="K1734" i="14"/>
  <c r="Q1734" i="14" s="1"/>
  <c r="K1704" i="14"/>
  <c r="Q1704" i="14" s="1"/>
  <c r="K1558" i="14"/>
  <c r="Q1558" i="14" s="1"/>
  <c r="K1618" i="14"/>
  <c r="Q1618" i="14" s="1"/>
  <c r="K1529" i="14"/>
  <c r="Q1529" i="14" s="1"/>
  <c r="K1680" i="14"/>
  <c r="Q1680" i="14" s="1"/>
  <c r="K1543" i="14"/>
  <c r="Q1543" i="14" s="1"/>
  <c r="K1522" i="14"/>
  <c r="Q1522" i="14" s="1"/>
  <c r="K1516" i="14"/>
  <c r="Q1516" i="14" s="1"/>
  <c r="K1619" i="14"/>
  <c r="Q1619" i="14" s="1"/>
  <c r="K1670" i="14"/>
  <c r="Q1670" i="14" s="1"/>
  <c r="K1511" i="14"/>
  <c r="Q1511" i="14" s="1"/>
  <c r="K1626" i="14"/>
  <c r="Q1626" i="14" s="1"/>
  <c r="K1660" i="14"/>
  <c r="Q1660" i="14" s="1"/>
  <c r="K1690" i="14"/>
  <c r="Q1690" i="14" s="1"/>
  <c r="K1662" i="14"/>
  <c r="Q1662" i="14" s="1"/>
  <c r="K1703" i="14"/>
  <c r="Q1703" i="14" s="1"/>
  <c r="K1723" i="14"/>
  <c r="Q1723" i="14" s="1"/>
  <c r="K1507" i="14"/>
  <c r="Q1507" i="14" s="1"/>
  <c r="K1712" i="14"/>
  <c r="Q1712" i="14" s="1"/>
  <c r="K1701" i="14"/>
  <c r="Q1701" i="14" s="1"/>
  <c r="K1713" i="14"/>
  <c r="Q1713" i="14" s="1"/>
  <c r="K1547" i="14"/>
  <c r="Q1547" i="14" s="1"/>
  <c r="K1671" i="14"/>
  <c r="Q1671" i="14" s="1"/>
  <c r="K1601" i="14"/>
  <c r="Q1601" i="14" s="1"/>
  <c r="K1501" i="14"/>
  <c r="Q1501" i="14" s="1"/>
  <c r="K1604" i="14"/>
  <c r="Q1604" i="14" s="1"/>
  <c r="K1695" i="14"/>
  <c r="Q1695" i="14" s="1"/>
  <c r="K1658" i="14"/>
  <c r="Q1658" i="14" s="1"/>
  <c r="K1544" i="14"/>
  <c r="Q1544" i="14" s="1"/>
  <c r="K1596" i="14"/>
  <c r="Q1596" i="14" s="1"/>
  <c r="K1495" i="14"/>
  <c r="Q1495" i="14" s="1"/>
  <c r="K1549" i="14"/>
  <c r="Q1549" i="14" s="1"/>
  <c r="K1684" i="14"/>
  <c r="Q1684" i="14" s="1"/>
  <c r="K1647" i="14"/>
  <c r="Q1647" i="14" s="1"/>
  <c r="K1610" i="14"/>
  <c r="Q1610" i="14" s="1"/>
  <c r="K1528" i="14"/>
  <c r="Q1528" i="14" s="1"/>
  <c r="K1644" i="14"/>
  <c r="Q1644" i="14" s="1"/>
  <c r="K1672" i="14"/>
  <c r="Q1672" i="14" s="1"/>
  <c r="K1693" i="14"/>
  <c r="Q1693" i="14" s="1"/>
  <c r="K1545" i="14"/>
  <c r="Q1545" i="14" s="1"/>
  <c r="K1526" i="14"/>
  <c r="Q1526" i="14" s="1"/>
  <c r="K1567" i="14"/>
  <c r="Q1567" i="14" s="1"/>
  <c r="K1686" i="14"/>
  <c r="Q1686" i="14" s="1"/>
  <c r="K1659" i="14"/>
  <c r="Q1659" i="14" s="1"/>
  <c r="K1633" i="14"/>
  <c r="Q1633" i="14" s="1"/>
  <c r="K1720" i="14"/>
  <c r="Q1720" i="14" s="1"/>
  <c r="K1508" i="14"/>
  <c r="Q1508" i="14" s="1"/>
  <c r="K1641" i="14"/>
  <c r="Q1641" i="14" s="1"/>
  <c r="K1697" i="14"/>
  <c r="Q1697" i="14" s="1"/>
  <c r="K1648" i="14"/>
  <c r="Q1648" i="14" s="1"/>
  <c r="K1637" i="14"/>
  <c r="Q1637" i="14" s="1"/>
  <c r="K1666" i="14"/>
  <c r="Q1666" i="14" s="1"/>
  <c r="K1566" i="14"/>
  <c r="Q1566" i="14" s="1"/>
  <c r="K1640" i="14"/>
  <c r="Q1640" i="14" s="1"/>
  <c r="K1694" i="14"/>
  <c r="Q1694" i="14" s="1"/>
  <c r="K1524" i="14"/>
  <c r="Q1524" i="14" s="1"/>
  <c r="K1494" i="14"/>
  <c r="Q1494" i="14" s="1"/>
  <c r="K1535" i="14"/>
  <c r="Q1535" i="14" s="1"/>
  <c r="K1654" i="14"/>
  <c r="Q1654" i="14" s="1"/>
  <c r="K1627" i="14"/>
  <c r="Q1627" i="14" s="1"/>
  <c r="K1655" i="14"/>
  <c r="Q1655" i="14" s="1"/>
  <c r="K1714" i="14"/>
  <c r="Q1714" i="14" s="1"/>
  <c r="K1568" i="14"/>
  <c r="Q1568" i="14" s="1"/>
  <c r="K1620" i="14"/>
  <c r="Q1620" i="14" s="1"/>
  <c r="K1625" i="14"/>
  <c r="Q1625" i="14" s="1"/>
  <c r="K1562" i="14"/>
  <c r="Q1562" i="14" s="1"/>
  <c r="K1717" i="14"/>
  <c r="Q1717" i="14" s="1"/>
  <c r="K1594" i="14"/>
  <c r="Q1594" i="14" s="1"/>
  <c r="K1580" i="14"/>
  <c r="Q1580" i="14" s="1"/>
  <c r="K1603" i="14"/>
  <c r="Q1603" i="14" s="1"/>
  <c r="K1499" i="14"/>
  <c r="Q1499" i="14" s="1"/>
  <c r="K1605" i="14"/>
  <c r="Q1605" i="14" s="1"/>
  <c r="K1564" i="14"/>
  <c r="Q1564" i="14" s="1"/>
  <c r="K1622" i="14"/>
  <c r="Q1622" i="14" s="1"/>
  <c r="K1536" i="14"/>
  <c r="Q1536" i="14" s="1"/>
  <c r="K1638" i="14"/>
  <c r="Q1638" i="14" s="1"/>
  <c r="K1593" i="14"/>
  <c r="Q1593" i="14" s="1"/>
  <c r="K1493" i="14"/>
  <c r="Q1493" i="14" s="1"/>
  <c r="K1677" i="14"/>
  <c r="Q1677" i="14" s="1"/>
  <c r="K1548" i="14"/>
  <c r="Q1548" i="14" s="1"/>
  <c r="K1725" i="14"/>
  <c r="Q1725" i="14" s="1"/>
  <c r="K1685" i="14"/>
  <c r="Q1685" i="14" s="1"/>
  <c r="K1719" i="14"/>
  <c r="Q1719" i="14" s="1"/>
  <c r="K1555" i="14"/>
  <c r="Q1555" i="14" s="1"/>
  <c r="K1617" i="14"/>
  <c r="Q1617" i="14" s="1"/>
  <c r="K1726" i="14"/>
  <c r="Q1726" i="14" s="1"/>
  <c r="K1730" i="14"/>
  <c r="Q1730" i="14" s="1"/>
  <c r="K1692" i="14"/>
  <c r="Q1692" i="14" s="1"/>
  <c r="K1613" i="14"/>
  <c r="Q1613" i="14" s="1"/>
  <c r="K1519" i="14"/>
  <c r="Q1519" i="14" s="1"/>
  <c r="K1650" i="14"/>
  <c r="Q1650" i="14" s="1"/>
  <c r="K1635" i="14"/>
  <c r="Q1635" i="14" s="1"/>
  <c r="K1525" i="14"/>
  <c r="Q1525" i="14" s="1"/>
  <c r="K1709" i="14"/>
  <c r="Q1709" i="14" s="1"/>
  <c r="K1509" i="14"/>
  <c r="Q1509" i="14" s="1"/>
  <c r="K1542" i="14"/>
  <c r="Q1542" i="14" s="1"/>
  <c r="K1632" i="14"/>
  <c r="Q1632" i="14" s="1"/>
  <c r="K1636" i="14"/>
  <c r="Q1636" i="14" s="1"/>
  <c r="K1675" i="14"/>
  <c r="Q1675" i="14" s="1"/>
  <c r="K1588" i="14"/>
  <c r="Q1588" i="14" s="1"/>
  <c r="M1627" i="14"/>
  <c r="S1627" i="14" s="1"/>
  <c r="M1577" i="14"/>
  <c r="S1577" i="14" s="1"/>
  <c r="M1560" i="14"/>
  <c r="S1560" i="14" s="1"/>
  <c r="M1724" i="14"/>
  <c r="S1724" i="14" s="1"/>
  <c r="M1587" i="14"/>
  <c r="S1587" i="14" s="1"/>
  <c r="M1570" i="14"/>
  <c r="S1570" i="14" s="1"/>
  <c r="M1552" i="14"/>
  <c r="S1552" i="14" s="1"/>
  <c r="M1574" i="14"/>
  <c r="S1574" i="14" s="1"/>
  <c r="M1611" i="14"/>
  <c r="S1611" i="14" s="1"/>
  <c r="M1593" i="14"/>
  <c r="S1593" i="14" s="1"/>
  <c r="M1639" i="14"/>
  <c r="S1639" i="14" s="1"/>
  <c r="M1660" i="14"/>
  <c r="S1660" i="14" s="1"/>
  <c r="M1508" i="14"/>
  <c r="S1508" i="14" s="1"/>
  <c r="M1571" i="14"/>
  <c r="S1571" i="14" s="1"/>
  <c r="M1723" i="14"/>
  <c r="S1723" i="14" s="1"/>
  <c r="M1673" i="14"/>
  <c r="S1673" i="14" s="1"/>
  <c r="M1655" i="14"/>
  <c r="S1655" i="14" s="1"/>
  <c r="M1596" i="14"/>
  <c r="S1596" i="14" s="1"/>
  <c r="M1556" i="14"/>
  <c r="S1556" i="14" s="1"/>
  <c r="M1538" i="14"/>
  <c r="S1538" i="14" s="1"/>
  <c r="M1613" i="14"/>
  <c r="S1613" i="14" s="1"/>
  <c r="M1674" i="14"/>
  <c r="S1674" i="14" s="1"/>
  <c r="M1656" i="14"/>
  <c r="S1656" i="14" s="1"/>
  <c r="M1702" i="14"/>
  <c r="S1702" i="14" s="1"/>
  <c r="M1693" i="14"/>
  <c r="S1693" i="14" s="1"/>
  <c r="M1603" i="14"/>
  <c r="S1603" i="14" s="1"/>
  <c r="M1585" i="14"/>
  <c r="S1585" i="14" s="1"/>
  <c r="M1599" i="14"/>
  <c r="S1599" i="14" s="1"/>
  <c r="M1510" i="14"/>
  <c r="S1510" i="14" s="1"/>
  <c r="M1496" i="14"/>
  <c r="S1496" i="14" s="1"/>
  <c r="M1633" i="14"/>
  <c r="S1633" i="14" s="1"/>
  <c r="M1567" i="14"/>
  <c r="S1567" i="14" s="1"/>
  <c r="M1548" i="14"/>
  <c r="S1548" i="14" s="1"/>
  <c r="M1703" i="14"/>
  <c r="S1703" i="14" s="1"/>
  <c r="M1589" i="14"/>
  <c r="S1589" i="14" s="1"/>
  <c r="M1554" i="14"/>
  <c r="S1554" i="14" s="1"/>
  <c r="M1732" i="14"/>
  <c r="S1732" i="14" s="1"/>
  <c r="M1564" i="14"/>
  <c r="S1564" i="14" s="1"/>
  <c r="M1623" i="14"/>
  <c r="S1623" i="14" s="1"/>
  <c r="M1524" i="14"/>
  <c r="S1524" i="14" s="1"/>
  <c r="M1668" i="14"/>
  <c r="S1668" i="14" s="1"/>
  <c r="M1657" i="14"/>
  <c r="S1657" i="14" s="1"/>
  <c r="M1525" i="14"/>
  <c r="S1525" i="14" s="1"/>
  <c r="M1550" i="14"/>
  <c r="S1550" i="14" s="1"/>
  <c r="M1609" i="14"/>
  <c r="S1609" i="14" s="1"/>
  <c r="M1601" i="14"/>
  <c r="S1601" i="14" s="1"/>
  <c r="M1592" i="14"/>
  <c r="S1592" i="14" s="1"/>
  <c r="M1522" i="14"/>
  <c r="S1522" i="14" s="1"/>
  <c r="M1532" i="14"/>
  <c r="S1532" i="14" s="1"/>
  <c r="M1573" i="14"/>
  <c r="S1573" i="14" s="1"/>
  <c r="M1643" i="14"/>
  <c r="S1643" i="14" s="1"/>
  <c r="M1493" i="14"/>
  <c r="S1493" i="14" s="1"/>
  <c r="M1714" i="14"/>
  <c r="S1714" i="14" s="1"/>
  <c r="M1551" i="14"/>
  <c r="S1551" i="14" s="1"/>
  <c r="M1636" i="14"/>
  <c r="S1636" i="14" s="1"/>
  <c r="M1504" i="14"/>
  <c r="S1504" i="14" s="1"/>
  <c r="M1719" i="14"/>
  <c r="S1719" i="14" s="1"/>
  <c r="M1711" i="14"/>
  <c r="S1711" i="14" s="1"/>
  <c r="M1667" i="14"/>
  <c r="S1667" i="14" s="1"/>
  <c r="M1594" i="14"/>
  <c r="S1594" i="14" s="1"/>
  <c r="M1687" i="14"/>
  <c r="S1687" i="14" s="1"/>
  <c r="M1715" i="14"/>
  <c r="S1715" i="14" s="1"/>
  <c r="M1697" i="14"/>
  <c r="S1697" i="14" s="1"/>
  <c r="M1685" i="14"/>
  <c r="S1685" i="14" s="1"/>
  <c r="M1606" i="14"/>
  <c r="S1606" i="14" s="1"/>
  <c r="M1635" i="14"/>
  <c r="S1635" i="14" s="1"/>
  <c r="M1690" i="14"/>
  <c r="S1690" i="14" s="1"/>
  <c r="M1622" i="14"/>
  <c r="S1622" i="14" s="1"/>
  <c r="M1683" i="14"/>
  <c r="S1683" i="14" s="1"/>
  <c r="M1665" i="14"/>
  <c r="S1665" i="14" s="1"/>
  <c r="M1716" i="14"/>
  <c r="S1716" i="14" s="1"/>
  <c r="M1515" i="14"/>
  <c r="S1515" i="14" s="1"/>
  <c r="M1542" i="14"/>
  <c r="S1542" i="14" s="1"/>
  <c r="M1727" i="14"/>
  <c r="S1727" i="14" s="1"/>
  <c r="M1590" i="14"/>
  <c r="S1590" i="14" s="1"/>
  <c r="M1728" i="14"/>
  <c r="S1728" i="14" s="1"/>
  <c r="M1642" i="14"/>
  <c r="S1642" i="14" s="1"/>
  <c r="M1648" i="14"/>
  <c r="S1648" i="14" s="1"/>
  <c r="M1691" i="14"/>
  <c r="S1691" i="14" s="1"/>
  <c r="M1718" i="14"/>
  <c r="S1718" i="14" s="1"/>
  <c r="M1615" i="14"/>
  <c r="S1615" i="14" s="1"/>
  <c r="M1695" i="14"/>
  <c r="S1695" i="14" s="1"/>
  <c r="M1610" i="14"/>
  <c r="S1610" i="14" s="1"/>
  <c r="M1502" i="14"/>
  <c r="S1502" i="14" s="1"/>
  <c r="M1535" i="14"/>
  <c r="S1535" i="14" s="1"/>
  <c r="M1708" i="14"/>
  <c r="S1708" i="14" s="1"/>
  <c r="M1630" i="14"/>
  <c r="S1630" i="14" s="1"/>
  <c r="M1729" i="14"/>
  <c r="S1729" i="14" s="1"/>
  <c r="M1604" i="14"/>
  <c r="S1604" i="14" s="1"/>
  <c r="M1500" i="14"/>
  <c r="S1500" i="14" s="1"/>
  <c r="M1531" i="14"/>
  <c r="S1531" i="14" s="1"/>
  <c r="M1513" i="14"/>
  <c r="S1513" i="14" s="1"/>
  <c r="M1717" i="14"/>
  <c r="S1717" i="14" s="1"/>
  <c r="M1541" i="14"/>
  <c r="S1541" i="14" s="1"/>
  <c r="M1523" i="14"/>
  <c r="S1523" i="14" s="1"/>
  <c r="M1505" i="14"/>
  <c r="S1505" i="14" s="1"/>
  <c r="M1692" i="14"/>
  <c r="S1692" i="14" s="1"/>
  <c r="M1565" i="14"/>
  <c r="S1565" i="14" s="1"/>
  <c r="M1547" i="14"/>
  <c r="S1547" i="14" s="1"/>
  <c r="M1512" i="14"/>
  <c r="S1512" i="14" s="1"/>
  <c r="M1730" i="14"/>
  <c r="S1730" i="14" s="1"/>
  <c r="M1712" i="14"/>
  <c r="S1712" i="14" s="1"/>
  <c r="M1726" i="14"/>
  <c r="S1726" i="14" s="1"/>
  <c r="M1595" i="14"/>
  <c r="S1595" i="14" s="1"/>
  <c r="M1546" i="14"/>
  <c r="S1546" i="14" s="1"/>
  <c r="M1528" i="14"/>
  <c r="S1528" i="14" s="1"/>
  <c r="M1543" i="14"/>
  <c r="S1543" i="14" s="1"/>
  <c r="M1509" i="14"/>
  <c r="S1509" i="14" s="1"/>
  <c r="M1614" i="14"/>
  <c r="S1614" i="14" s="1"/>
  <c r="M1527" i="14"/>
  <c r="S1527" i="14" s="1"/>
  <c r="M1707" i="14"/>
  <c r="S1707" i="14" s="1"/>
  <c r="M1689" i="14"/>
  <c r="S1689" i="14" s="1"/>
  <c r="M1735" i="14"/>
  <c r="S1735" i="14" s="1"/>
  <c r="M1709" i="14"/>
  <c r="S1709" i="14" s="1"/>
  <c r="M1684" i="14"/>
  <c r="S1684" i="14" s="1"/>
  <c r="M1557" i="14"/>
  <c r="S1557" i="14" s="1"/>
  <c r="M1539" i="14"/>
  <c r="S1539" i="14" s="1"/>
  <c r="M1553" i="14"/>
  <c r="S1553" i="14" s="1"/>
  <c r="M1661" i="14"/>
  <c r="S1661" i="14" s="1"/>
  <c r="M1608" i="14"/>
  <c r="S1608" i="14" s="1"/>
  <c r="M1700" i="14"/>
  <c r="S1700" i="14" s="1"/>
  <c r="M1710" i="14"/>
  <c r="S1710" i="14" s="1"/>
  <c r="M1624" i="14"/>
  <c r="S1624" i="14" s="1"/>
  <c r="M1529" i="14"/>
  <c r="S1529" i="14" s="1"/>
  <c r="M1666" i="14"/>
  <c r="S1666" i="14" s="1"/>
  <c r="M1662" i="14"/>
  <c r="S1662" i="14" s="1"/>
  <c r="M1534" i="14"/>
  <c r="S1534" i="14" s="1"/>
  <c r="M1517" i="14"/>
  <c r="S1517" i="14" s="1"/>
  <c r="M1612" i="14"/>
  <c r="S1612" i="14" s="1"/>
  <c r="M1600" i="14"/>
  <c r="S1600" i="14" s="1"/>
  <c r="M1653" i="14"/>
  <c r="S1653" i="14" s="1"/>
  <c r="M1575" i="14"/>
  <c r="S1575" i="14" s="1"/>
  <c r="M1681" i="14"/>
  <c r="S1681" i="14" s="1"/>
  <c r="M1591" i="14"/>
  <c r="S1591" i="14" s="1"/>
  <c r="M1583" i="14"/>
  <c r="S1583" i="14" s="1"/>
  <c r="M1638" i="14"/>
  <c r="S1638" i="14" s="1"/>
  <c r="M1631" i="14"/>
  <c r="S1631" i="14" s="1"/>
  <c r="M1563" i="14"/>
  <c r="S1563" i="14" s="1"/>
  <c r="M1555" i="14"/>
  <c r="S1555" i="14" s="1"/>
  <c r="M1625" i="14"/>
  <c r="S1625" i="14" s="1"/>
  <c r="M1536" i="14"/>
  <c r="S1536" i="14" s="1"/>
  <c r="M1704" i="14"/>
  <c r="S1704" i="14" s="1"/>
  <c r="M1696" i="14"/>
  <c r="S1696" i="14" s="1"/>
  <c r="M1516" i="14"/>
  <c r="S1516" i="14" s="1"/>
  <c r="M1634" i="14"/>
  <c r="S1634" i="14" s="1"/>
  <c r="M1652" i="14"/>
  <c r="S1652" i="14" s="1"/>
  <c r="M1733" i="14"/>
  <c r="S1733" i="14" s="1"/>
  <c r="M1649" i="14"/>
  <c r="S1649" i="14" s="1"/>
  <c r="M1705" i="14"/>
  <c r="S1705" i="14" s="1"/>
  <c r="M1495" i="14"/>
  <c r="S1495" i="14" s="1"/>
  <c r="M1618" i="14"/>
  <c r="S1618" i="14" s="1"/>
  <c r="M1699" i="14"/>
  <c r="S1699" i="14" s="1"/>
  <c r="M1619" i="14"/>
  <c r="S1619" i="14" s="1"/>
  <c r="M1637" i="14"/>
  <c r="S1637" i="14" s="1"/>
  <c r="M1511" i="14"/>
  <c r="S1511" i="14" s="1"/>
  <c r="M1645" i="14"/>
  <c r="S1645" i="14" s="1"/>
  <c r="M1544" i="14"/>
  <c r="S1544" i="14" s="1"/>
  <c r="M1576" i="14"/>
  <c r="S1576" i="14" s="1"/>
  <c r="M1497" i="14"/>
  <c r="S1497" i="14" s="1"/>
  <c r="M1722" i="14"/>
  <c r="S1722" i="14" s="1"/>
  <c r="M1672" i="14"/>
  <c r="S1672" i="14" s="1"/>
  <c r="M1654" i="14"/>
  <c r="S1654" i="14" s="1"/>
  <c r="M1518" i="14"/>
  <c r="S1518" i="14" s="1"/>
  <c r="M1682" i="14"/>
  <c r="S1682" i="14" s="1"/>
  <c r="M1664" i="14"/>
  <c r="S1664" i="14" s="1"/>
  <c r="M1646" i="14"/>
  <c r="S1646" i="14" s="1"/>
  <c r="M1580" i="14"/>
  <c r="S1580" i="14" s="1"/>
  <c r="M1706" i="14"/>
  <c r="S1706" i="14" s="1"/>
  <c r="M1688" i="14"/>
  <c r="S1688" i="14" s="1"/>
  <c r="M1734" i="14"/>
  <c r="S1734" i="14" s="1"/>
  <c r="M1676" i="14"/>
  <c r="S1676" i="14" s="1"/>
  <c r="M1602" i="14"/>
  <c r="S1602" i="14" s="1"/>
  <c r="M1584" i="14"/>
  <c r="S1584" i="14" s="1"/>
  <c r="M1598" i="14"/>
  <c r="S1598" i="14" s="1"/>
  <c r="M1549" i="14"/>
  <c r="S1549" i="14" s="1"/>
  <c r="M1499" i="14"/>
  <c r="S1499" i="14" s="1"/>
  <c r="M1588" i="14"/>
  <c r="S1588" i="14" s="1"/>
  <c r="M1650" i="14"/>
  <c r="S1650" i="14" s="1"/>
  <c r="M1632" i="14"/>
  <c r="S1632" i="14" s="1"/>
  <c r="M1647" i="14"/>
  <c r="S1647" i="14" s="1"/>
  <c r="M1725" i="14"/>
  <c r="S1725" i="14" s="1"/>
  <c r="M1579" i="14"/>
  <c r="S1579" i="14" s="1"/>
  <c r="M1562" i="14"/>
  <c r="S1562" i="14" s="1"/>
  <c r="M1607" i="14"/>
  <c r="S1607" i="14" s="1"/>
  <c r="M1621" i="14"/>
  <c r="S1621" i="14" s="1"/>
  <c r="M1698" i="14"/>
  <c r="S1698" i="14" s="1"/>
  <c r="M1680" i="14"/>
  <c r="S1680" i="14" s="1"/>
  <c r="M1694" i="14"/>
  <c r="S1694" i="14" s="1"/>
  <c r="M1677" i="14"/>
  <c r="S1677" i="14" s="1"/>
  <c r="M1620" i="14"/>
  <c r="S1620" i="14" s="1"/>
  <c r="M1514" i="14"/>
  <c r="S1514" i="14" s="1"/>
  <c r="M1651" i="14"/>
  <c r="S1651" i="14" s="1"/>
  <c r="M1582" i="14"/>
  <c r="S1582" i="14" s="1"/>
  <c r="M1597" i="14"/>
  <c r="S1597" i="14" s="1"/>
  <c r="M1530" i="14"/>
  <c r="S1530" i="14" s="1"/>
  <c r="M1581" i="14"/>
  <c r="S1581" i="14" s="1"/>
  <c r="M1572" i="14"/>
  <c r="S1572" i="14" s="1"/>
  <c r="M1568" i="14"/>
  <c r="S1568" i="14" s="1"/>
  <c r="M1658" i="14"/>
  <c r="S1658" i="14" s="1"/>
  <c r="M1641" i="14"/>
  <c r="S1641" i="14" s="1"/>
  <c r="M1629" i="14"/>
  <c r="S1629" i="14" s="1"/>
  <c r="M1506" i="14"/>
  <c r="S1506" i="14" s="1"/>
  <c r="M1675" i="14"/>
  <c r="S1675" i="14" s="1"/>
  <c r="M1566" i="14"/>
  <c r="S1566" i="14" s="1"/>
  <c r="M1507" i="14"/>
  <c r="S1507" i="14" s="1"/>
  <c r="M1494" i="14"/>
  <c r="S1494" i="14" s="1"/>
  <c r="M1558" i="14"/>
  <c r="S1558" i="14" s="1"/>
  <c r="M1701" i="14"/>
  <c r="S1701" i="14" s="1"/>
  <c r="M1519" i="14"/>
  <c r="S1519" i="14" s="1"/>
  <c r="M1644" i="14"/>
  <c r="S1644" i="14" s="1"/>
  <c r="M1545" i="14"/>
  <c r="S1545" i="14" s="1"/>
  <c r="M1537" i="14"/>
  <c r="S1537" i="14" s="1"/>
  <c r="M1671" i="14"/>
  <c r="S1671" i="14" s="1"/>
  <c r="M1503" i="14"/>
  <c r="S1503" i="14" s="1"/>
  <c r="M1686" i="14"/>
  <c r="S1686" i="14" s="1"/>
  <c r="M1678" i="14"/>
  <c r="S1678" i="14" s="1"/>
  <c r="M1498" i="14"/>
  <c r="S1498" i="14" s="1"/>
  <c r="M1616" i="14"/>
  <c r="S1616" i="14" s="1"/>
  <c r="M1628" i="14"/>
  <c r="S1628" i="14" s="1"/>
  <c r="M1626" i="14"/>
  <c r="S1626" i="14" s="1"/>
  <c r="M1586" i="14"/>
  <c r="S1586" i="14" s="1"/>
  <c r="M1720" i="14"/>
  <c r="S1720" i="14" s="1"/>
  <c r="M1663" i="14"/>
  <c r="S1663" i="14" s="1"/>
  <c r="M1605" i="14"/>
  <c r="S1605" i="14" s="1"/>
  <c r="M1679" i="14"/>
  <c r="S1679" i="14" s="1"/>
  <c r="M1578" i="14"/>
  <c r="S1578" i="14" s="1"/>
  <c r="M1721" i="14"/>
  <c r="S1721" i="14" s="1"/>
  <c r="M1669" i="14"/>
  <c r="S1669" i="14" s="1"/>
  <c r="M1617" i="14"/>
  <c r="S1617" i="14" s="1"/>
  <c r="M1640" i="14"/>
  <c r="S1640" i="14" s="1"/>
  <c r="M1559" i="14"/>
  <c r="S1559" i="14" s="1"/>
  <c r="M1520" i="14"/>
  <c r="S1520" i="14" s="1"/>
  <c r="M1533" i="14"/>
  <c r="S1533" i="14" s="1"/>
  <c r="M1561" i="14"/>
  <c r="S1561" i="14" s="1"/>
  <c r="M1731" i="14"/>
  <c r="S1731" i="14" s="1"/>
  <c r="M1713" i="14"/>
  <c r="S1713" i="14" s="1"/>
  <c r="M1526" i="14"/>
  <c r="S1526" i="14" s="1"/>
  <c r="M1569" i="14"/>
  <c r="S1569" i="14" s="1"/>
  <c r="M1670" i="14"/>
  <c r="S1670" i="14" s="1"/>
  <c r="M1521" i="14"/>
  <c r="S1521" i="14" s="1"/>
  <c r="M1501" i="14"/>
  <c r="S1501" i="14" s="1"/>
  <c r="M1659" i="14"/>
  <c r="S1659" i="14" s="1"/>
  <c r="M1540" i="14"/>
  <c r="S1540" i="14" s="1"/>
  <c r="G1622" i="14"/>
  <c r="G1613" i="14"/>
  <c r="O1647" i="14"/>
  <c r="U1647" i="14" s="1"/>
  <c r="O1613" i="14"/>
  <c r="U1613" i="14" s="1"/>
  <c r="O1603" i="14"/>
  <c r="U1603" i="14" s="1"/>
  <c r="O1698" i="14"/>
  <c r="U1698" i="14" s="1"/>
  <c r="O1575" i="14"/>
  <c r="U1575" i="14" s="1"/>
  <c r="O1734" i="14"/>
  <c r="U1734" i="14" s="1"/>
  <c r="O1724" i="14"/>
  <c r="U1724" i="14" s="1"/>
  <c r="O1602" i="14"/>
  <c r="U1602" i="14" s="1"/>
  <c r="O1728" i="14"/>
  <c r="U1728" i="14" s="1"/>
  <c r="O1694" i="14"/>
  <c r="U1694" i="14" s="1"/>
  <c r="O1716" i="14"/>
  <c r="U1716" i="14" s="1"/>
  <c r="O1617" i="14"/>
  <c r="U1617" i="14" s="1"/>
  <c r="O1591" i="14"/>
  <c r="U1591" i="14" s="1"/>
  <c r="O1718" i="14"/>
  <c r="U1718" i="14" s="1"/>
  <c r="O1579" i="14"/>
  <c r="U1579" i="14" s="1"/>
  <c r="O1713" i="14"/>
  <c r="U1713" i="14" s="1"/>
  <c r="O1709" i="14"/>
  <c r="U1709" i="14" s="1"/>
  <c r="O1690" i="14"/>
  <c r="U1690" i="14" s="1"/>
  <c r="O1530" i="14"/>
  <c r="U1530" i="14" s="1"/>
  <c r="O1518" i="14"/>
  <c r="U1518" i="14" s="1"/>
  <c r="O1567" i="14"/>
  <c r="U1567" i="14" s="1"/>
  <c r="O1684" i="14"/>
  <c r="U1684" i="14" s="1"/>
  <c r="O1519" i="14"/>
  <c r="U1519" i="14" s="1"/>
  <c r="O1558" i="14"/>
  <c r="U1558" i="14" s="1"/>
  <c r="O1669" i="14"/>
  <c r="U1669" i="14" s="1"/>
  <c r="O1649" i="14"/>
  <c r="U1649" i="14" s="1"/>
  <c r="O1662" i="14"/>
  <c r="U1662" i="14" s="1"/>
  <c r="O1645" i="14"/>
  <c r="U1645" i="14" s="1"/>
  <c r="O1516" i="14"/>
  <c r="U1516" i="14" s="1"/>
  <c r="O1605" i="14"/>
  <c r="U1605" i="14" s="1"/>
  <c r="O1706" i="14"/>
  <c r="O1552" i="14"/>
  <c r="U1552" i="14" s="1"/>
  <c r="O1556" i="14"/>
  <c r="U1556" i="14" s="1"/>
  <c r="O1592" i="14"/>
  <c r="U1592" i="14" s="1"/>
  <c r="O1611" i="14"/>
  <c r="O1585" i="14"/>
  <c r="U1585" i="14" s="1"/>
  <c r="O1570" i="14"/>
  <c r="U1570" i="14" s="1"/>
  <c r="O1526" i="14"/>
  <c r="U1526" i="14" s="1"/>
  <c r="O1498" i="14"/>
  <c r="O1682" i="14"/>
  <c r="U1682" i="14" s="1"/>
  <c r="O1630" i="14"/>
  <c r="U1630" i="14" s="1"/>
  <c r="O1674" i="14"/>
  <c r="U1674" i="14" s="1"/>
  <c r="O1686" i="14"/>
  <c r="O1548" i="14"/>
  <c r="U1548" i="14" s="1"/>
  <c r="O1712" i="14"/>
  <c r="U1712" i="14" s="1"/>
  <c r="O1668" i="14"/>
  <c r="U1668" i="14" s="1"/>
  <c r="O1640" i="14"/>
  <c r="U1640" i="14" s="1"/>
  <c r="O1628" i="14"/>
  <c r="U1628" i="14" s="1"/>
  <c r="O1693" i="14"/>
  <c r="U1693" i="14" s="1"/>
  <c r="O1497" i="14"/>
  <c r="U1497" i="14" s="1"/>
  <c r="O1688" i="14"/>
  <c r="O1493" i="14"/>
  <c r="U1493" i="14" s="1"/>
  <c r="O1711" i="14"/>
  <c r="U1711" i="14" s="1"/>
  <c r="O1667" i="14"/>
  <c r="U1667" i="14" s="1"/>
  <c r="O1639" i="14"/>
  <c r="U1639" i="14" s="1"/>
  <c r="O1627" i="14"/>
  <c r="U1627" i="14" s="1"/>
  <c r="O1631" i="14"/>
  <c r="U1631" i="14" s="1"/>
  <c r="O1619" i="14"/>
  <c r="U1619" i="14" s="1"/>
  <c r="O1656" i="14"/>
  <c r="U1656" i="14" s="1"/>
  <c r="O1512" i="14"/>
  <c r="U1512" i="14" s="1"/>
  <c r="O1689" i="14"/>
  <c r="U1689" i="14" s="1"/>
  <c r="O1506" i="14"/>
  <c r="U1506" i="14" s="1"/>
  <c r="O1657" i="14"/>
  <c r="O1691" i="14"/>
  <c r="U1691" i="14" s="1"/>
  <c r="O1661" i="14"/>
  <c r="U1661" i="14" s="1"/>
  <c r="O1683" i="14"/>
  <c r="U1683" i="14" s="1"/>
  <c r="O1685" i="14"/>
  <c r="O1505" i="14"/>
  <c r="U1505" i="14" s="1"/>
  <c r="O1692" i="14"/>
  <c r="U1692" i="14" s="1"/>
  <c r="O1732" i="14"/>
  <c r="U1732" i="14" s="1"/>
  <c r="O1522" i="14"/>
  <c r="U1522" i="14" s="1"/>
  <c r="O1511" i="14"/>
  <c r="U1511" i="14" s="1"/>
  <c r="O1721" i="14"/>
  <c r="U1721" i="14" s="1"/>
  <c r="O1557" i="14"/>
  <c r="U1557" i="14" s="1"/>
  <c r="O1700" i="14"/>
  <c r="O1650" i="14"/>
  <c r="U1650" i="14" s="1"/>
  <c r="O1572" i="14"/>
  <c r="U1572" i="14" s="1"/>
  <c r="O1735" i="14"/>
  <c r="U1735" i="14" s="1"/>
  <c r="O1620" i="14"/>
  <c r="U1620" i="14" s="1"/>
  <c r="O1654" i="14"/>
  <c r="U1654" i="14" s="1"/>
  <c r="O1541" i="14"/>
  <c r="U1541" i="14" s="1"/>
  <c r="O1655" i="14"/>
  <c r="U1655" i="14" s="1"/>
  <c r="O1680" i="14"/>
  <c r="O1646" i="14"/>
  <c r="U1646" i="14" s="1"/>
  <c r="O1636" i="14"/>
  <c r="U1636" i="14" s="1"/>
  <c r="O1540" i="14"/>
  <c r="U1540" i="14" s="1"/>
  <c r="O1608" i="14"/>
  <c r="O1606" i="14"/>
  <c r="U1606" i="14" s="1"/>
  <c r="O1596" i="14"/>
  <c r="U1596" i="14" s="1"/>
  <c r="O1508" i="14"/>
  <c r="U1508" i="14" s="1"/>
  <c r="O1600" i="14"/>
  <c r="O1565" i="14"/>
  <c r="U1565" i="14" s="1"/>
  <c r="O1588" i="14"/>
  <c r="U1588" i="14" s="1"/>
  <c r="O1537" i="14"/>
  <c r="U1537" i="14" s="1"/>
  <c r="O1624" i="14"/>
  <c r="O1590" i="14"/>
  <c r="U1590" i="14" s="1"/>
  <c r="O1612" i="14"/>
  <c r="U1612" i="14" s="1"/>
  <c r="O1665" i="14"/>
  <c r="U1665" i="14" s="1"/>
  <c r="O1614" i="14"/>
  <c r="O1681" i="14"/>
  <c r="U1681" i="14" s="1"/>
  <c r="O1702" i="14"/>
  <c r="U1702" i="14" s="1"/>
  <c r="O1658" i="14"/>
  <c r="U1658" i="14" s="1"/>
  <c r="O1629" i="14"/>
  <c r="U1629" i="14" s="1"/>
  <c r="O1510" i="14"/>
  <c r="U1510" i="14" s="1"/>
  <c r="O1581" i="14"/>
  <c r="U1581" i="14" s="1"/>
  <c r="O1730" i="14"/>
  <c r="U1730" i="14" s="1"/>
  <c r="O1573" i="14"/>
  <c r="U1573" i="14" s="1"/>
  <c r="O1532" i="14"/>
  <c r="U1532" i="14" s="1"/>
  <c r="O1555" i="14"/>
  <c r="U1555" i="14" s="1"/>
  <c r="O1549" i="14"/>
  <c r="U1549" i="14" s="1"/>
  <c r="O1577" i="14"/>
  <c r="U1577" i="14" s="1"/>
  <c r="O1509" i="14"/>
  <c r="U1509" i="14" s="1"/>
  <c r="O1599" i="14"/>
  <c r="O1587" i="14"/>
  <c r="U1587" i="14" s="1"/>
  <c r="O1641" i="14"/>
  <c r="U1641" i="14" s="1"/>
  <c r="O1514" i="14"/>
  <c r="U1514" i="14" s="1"/>
  <c r="O1580" i="14"/>
  <c r="O1609" i="14"/>
  <c r="U1609" i="14" s="1"/>
  <c r="O1710" i="14"/>
  <c r="O1714" i="14"/>
  <c r="U1714" i="14" s="1"/>
  <c r="O1670" i="14"/>
  <c r="O1666" i="14"/>
  <c r="U1666" i="14" s="1"/>
  <c r="O1652" i="14"/>
  <c r="U1652" i="14" s="1"/>
  <c r="O1720" i="14"/>
  <c r="U1720" i="14" s="1"/>
  <c r="O1525" i="14"/>
  <c r="O1618" i="14"/>
  <c r="U1618" i="14" s="1"/>
  <c r="O1538" i="14"/>
  <c r="O1494" i="14"/>
  <c r="U1494" i="14" s="1"/>
  <c r="O1733" i="14"/>
  <c r="U1733" i="14" s="1"/>
  <c r="O1553" i="14"/>
  <c r="U1553" i="14" s="1"/>
  <c r="O1598" i="14"/>
  <c r="O1521" i="14"/>
  <c r="U1521" i="14" s="1"/>
  <c r="O1527" i="14"/>
  <c r="O1675" i="14"/>
  <c r="U1675" i="14" s="1"/>
  <c r="O1616" i="14"/>
  <c r="O1571" i="14"/>
  <c r="U1571" i="14" s="1"/>
  <c r="O1543" i="14"/>
  <c r="O1531" i="14"/>
  <c r="U1531" i="14" s="1"/>
  <c r="O1535" i="14"/>
  <c r="U1535" i="14" s="1"/>
  <c r="O1523" i="14"/>
  <c r="U1523" i="14" s="1"/>
  <c r="O1546" i="14"/>
  <c r="O1643" i="14"/>
  <c r="U1643" i="14" s="1"/>
  <c r="O1633" i="14"/>
  <c r="O1703" i="14"/>
  <c r="U1703" i="14" s="1"/>
  <c r="O1625" i="14"/>
  <c r="U1625" i="14" s="1"/>
  <c r="O1626" i="14"/>
  <c r="U1626" i="14" s="1"/>
  <c r="O1707" i="14"/>
  <c r="U1707" i="14" s="1"/>
  <c r="O1604" i="14"/>
  <c r="U1604" i="14" s="1"/>
  <c r="O1663" i="14"/>
  <c r="U1663" i="14" s="1"/>
  <c r="O1648" i="14"/>
  <c r="U1648" i="14" s="1"/>
  <c r="O1563" i="14"/>
  <c r="O1499" i="14"/>
  <c r="U1499" i="14" s="1"/>
  <c r="O1623" i="14"/>
  <c r="O1583" i="14"/>
  <c r="U1583" i="14" s="1"/>
  <c r="O1660" i="14"/>
  <c r="O1547" i="14"/>
  <c r="U1547" i="14" s="1"/>
  <c r="O1723" i="14"/>
  <c r="O1687" i="14"/>
  <c r="U1687" i="14" s="1"/>
  <c r="O1582" i="14"/>
  <c r="U1582" i="14" s="1"/>
  <c r="O1673" i="14"/>
  <c r="U1673" i="14" s="1"/>
  <c r="O1622" i="14"/>
  <c r="U1622" i="14" s="1"/>
  <c r="O1551" i="14"/>
  <c r="U1551" i="14" s="1"/>
  <c r="O1517" i="14"/>
  <c r="U1517" i="14" s="1"/>
  <c r="O1507" i="14"/>
  <c r="U1507" i="14" s="1"/>
  <c r="O1610" i="14"/>
  <c r="U1610" i="14" s="1"/>
  <c r="O1562" i="14"/>
  <c r="U1562" i="14" s="1"/>
  <c r="O1560" i="14"/>
  <c r="O1550" i="14"/>
  <c r="U1550" i="14" s="1"/>
  <c r="O1578" i="14"/>
  <c r="U1578" i="14" s="1"/>
  <c r="O1554" i="14"/>
  <c r="U1554" i="14" s="1"/>
  <c r="O1520" i="14"/>
  <c r="O1542" i="14"/>
  <c r="U1542" i="14" s="1"/>
  <c r="O1500" i="14"/>
  <c r="O1495" i="14"/>
  <c r="U1495" i="14" s="1"/>
  <c r="O1544" i="14"/>
  <c r="U1544" i="14" s="1"/>
  <c r="O1566" i="14"/>
  <c r="U1566" i="14" s="1"/>
  <c r="O1513" i="14"/>
  <c r="O1699" i="14"/>
  <c r="U1699" i="14" s="1"/>
  <c r="O1564" i="14"/>
  <c r="O1528" i="14"/>
  <c r="U1528" i="14" s="1"/>
  <c r="O1634" i="14"/>
  <c r="O1533" i="14"/>
  <c r="U1533" i="14" s="1"/>
  <c r="O1615" i="14"/>
  <c r="O1568" i="14"/>
  <c r="U1568" i="14" s="1"/>
  <c r="O1671" i="14"/>
  <c r="U1671" i="14" s="1"/>
  <c r="O1659" i="14"/>
  <c r="U1659" i="14" s="1"/>
  <c r="O1696" i="14"/>
  <c r="U1696" i="14" s="1"/>
  <c r="O1679" i="14"/>
  <c r="U1679" i="14" s="1"/>
  <c r="O1635" i="14"/>
  <c r="O1607" i="14"/>
  <c r="U1607" i="14" s="1"/>
  <c r="O1595" i="14"/>
  <c r="O1503" i="14"/>
  <c r="U1503" i="14" s="1"/>
  <c r="O1574" i="14"/>
  <c r="O1569" i="14"/>
  <c r="U1569" i="14" s="1"/>
  <c r="O1589" i="14"/>
  <c r="U1589" i="14" s="1"/>
  <c r="O1502" i="14"/>
  <c r="U1502" i="14" s="1"/>
  <c r="O1697" i="14"/>
  <c r="U1697" i="14" s="1"/>
  <c r="O1536" i="14"/>
  <c r="U1536" i="14" s="1"/>
  <c r="O1601" i="14"/>
  <c r="O1496" i="14"/>
  <c r="U1496" i="14" s="1"/>
  <c r="O1664" i="14"/>
  <c r="O1593" i="14"/>
  <c r="U1593" i="14" s="1"/>
  <c r="O1559" i="14"/>
  <c r="O1708" i="14"/>
  <c r="U1708" i="14" s="1"/>
  <c r="O1642" i="14"/>
  <c r="U1642" i="14" s="1"/>
  <c r="O1678" i="14"/>
  <c r="U1678" i="14" s="1"/>
  <c r="O1586" i="14"/>
  <c r="U1586" i="14" s="1"/>
  <c r="O1638" i="14"/>
  <c r="U1638" i="14" s="1"/>
  <c r="O1727" i="14"/>
  <c r="O1715" i="14"/>
  <c r="U1715" i="14" s="1"/>
  <c r="O1545" i="14"/>
  <c r="U1545" i="14" s="1"/>
  <c r="O1653" i="14"/>
  <c r="U1653" i="14" s="1"/>
  <c r="O1676" i="14"/>
  <c r="O1677" i="14"/>
  <c r="U1677" i="14" s="1"/>
  <c r="O1561" i="14"/>
  <c r="U1561" i="14" s="1"/>
  <c r="O1637" i="14"/>
  <c r="U1637" i="14" s="1"/>
  <c r="O1529" i="14"/>
  <c r="U1529" i="14" s="1"/>
  <c r="O1597" i="14"/>
  <c r="U1597" i="14" s="1"/>
  <c r="O1729" i="14"/>
  <c r="U1729" i="14" s="1"/>
  <c r="O1621" i="14"/>
  <c r="U1621" i="14" s="1"/>
  <c r="O1644" i="14"/>
  <c r="O1524" i="14"/>
  <c r="U1524" i="14" s="1"/>
  <c r="O1731" i="14"/>
  <c r="U1731" i="14" s="1"/>
  <c r="O1701" i="14"/>
  <c r="U1701" i="14" s="1"/>
  <c r="O1695" i="14"/>
  <c r="O1719" i="14"/>
  <c r="U1719" i="14" s="1"/>
  <c r="O1594" i="14"/>
  <c r="U1594" i="14" s="1"/>
  <c r="O1704" i="14"/>
  <c r="U1704" i="14" s="1"/>
  <c r="O1651" i="14"/>
  <c r="O1576" i="14"/>
  <c r="U1576" i="14" s="1"/>
  <c r="O1584" i="14"/>
  <c r="O1539" i="14"/>
  <c r="U1539" i="14" s="1"/>
  <c r="O1726" i="14"/>
  <c r="U1726" i="14" s="1"/>
  <c r="O1722" i="14"/>
  <c r="U1722" i="14" s="1"/>
  <c r="O1672" i="14"/>
  <c r="O1725" i="14"/>
  <c r="U1725" i="14" s="1"/>
  <c r="O1717" i="14"/>
  <c r="U1717" i="14" s="1"/>
  <c r="O1504" i="14"/>
  <c r="U1504" i="14" s="1"/>
  <c r="O1632" i="14"/>
  <c r="U1632" i="14" s="1"/>
  <c r="O1515" i="14"/>
  <c r="U1515" i="14" s="1"/>
  <c r="O1705" i="14"/>
  <c r="O1501" i="14"/>
  <c r="U1501" i="14" s="1"/>
  <c r="O1534" i="14"/>
  <c r="N1651" i="14"/>
  <c r="T1651" i="14" s="1"/>
  <c r="N1625" i="14"/>
  <c r="T1625" i="14" s="1"/>
  <c r="N1656" i="14"/>
  <c r="T1656" i="14" s="1"/>
  <c r="N1613" i="14"/>
  <c r="T1613" i="14" s="1"/>
  <c r="N1612" i="14"/>
  <c r="N1586" i="14"/>
  <c r="T1586" i="14" s="1"/>
  <c r="N1584" i="14"/>
  <c r="T1584" i="14" s="1"/>
  <c r="N1598" i="14"/>
  <c r="T1598" i="14" s="1"/>
  <c r="N1571" i="14"/>
  <c r="T1571" i="14" s="1"/>
  <c r="N1610" i="14"/>
  <c r="T1610" i="14" s="1"/>
  <c r="N1640" i="14"/>
  <c r="T1640" i="14" s="1"/>
  <c r="N1557" i="14"/>
  <c r="T1557" i="14" s="1"/>
  <c r="N1499" i="14"/>
  <c r="T1499" i="14" s="1"/>
  <c r="N1631" i="14"/>
  <c r="T1631" i="14" s="1"/>
  <c r="N1629" i="14"/>
  <c r="T1629" i="14" s="1"/>
  <c r="N1652" i="14"/>
  <c r="T1652" i="14" s="1"/>
  <c r="N1626" i="14"/>
  <c r="N1624" i="14"/>
  <c r="T1624" i="14" s="1"/>
  <c r="N1630" i="14"/>
  <c r="T1630" i="14" s="1"/>
  <c r="N1580" i="14"/>
  <c r="T1580" i="14" s="1"/>
  <c r="N1553" i="14"/>
  <c r="T1553" i="14" s="1"/>
  <c r="N1551" i="14"/>
  <c r="T1551" i="14" s="1"/>
  <c r="N1552" i="14"/>
  <c r="T1552" i="14" s="1"/>
  <c r="N1668" i="14"/>
  <c r="T1668" i="14" s="1"/>
  <c r="N1706" i="14"/>
  <c r="T1706" i="14" s="1"/>
  <c r="N1575" i="14"/>
  <c r="T1575" i="14" s="1"/>
  <c r="N1661" i="14"/>
  <c r="T1661" i="14" s="1"/>
  <c r="N1724" i="14"/>
  <c r="T1724" i="14" s="1"/>
  <c r="N1601" i="14"/>
  <c r="T1601" i="14" s="1"/>
  <c r="N1599" i="14"/>
  <c r="T1599" i="14" s="1"/>
  <c r="N1662" i="14"/>
  <c r="T1662" i="14" s="1"/>
  <c r="N1620" i="14"/>
  <c r="T1620" i="14" s="1"/>
  <c r="N1720" i="14"/>
  <c r="N1677" i="14"/>
  <c r="T1677" i="14" s="1"/>
  <c r="N1521" i="14"/>
  <c r="N1731" i="14"/>
  <c r="T1731" i="14" s="1"/>
  <c r="N1671" i="14"/>
  <c r="T1671" i="14" s="1"/>
  <c r="N1563" i="14"/>
  <c r="T1563" i="14" s="1"/>
  <c r="N1728" i="14"/>
  <c r="N1587" i="14"/>
  <c r="T1587" i="14" s="1"/>
  <c r="N1592" i="14"/>
  <c r="N1502" i="14"/>
  <c r="T1502" i="14" s="1"/>
  <c r="N1590" i="14"/>
  <c r="T1590" i="14" s="1"/>
  <c r="N1545" i="14"/>
  <c r="T1545" i="14" s="1"/>
  <c r="N1653" i="14"/>
  <c r="N1695" i="14"/>
  <c r="T1695" i="14" s="1"/>
  <c r="N1588" i="14"/>
  <c r="N1618" i="14"/>
  <c r="T1618" i="14" s="1"/>
  <c r="N1609" i="14"/>
  <c r="N1524" i="14"/>
  <c r="T1524" i="14" s="1"/>
  <c r="N1514" i="14"/>
  <c r="N1570" i="14"/>
  <c r="T1570" i="14" s="1"/>
  <c r="N1672" i="14"/>
  <c r="T1672" i="14" s="1"/>
  <c r="N1663" i="14"/>
  <c r="T1663" i="14" s="1"/>
  <c r="N1655" i="14"/>
  <c r="N1711" i="14"/>
  <c r="T1711" i="14" s="1"/>
  <c r="N1513" i="14"/>
  <c r="N1698" i="14"/>
  <c r="T1698" i="14" s="1"/>
  <c r="N1716" i="14"/>
  <c r="N1611" i="14"/>
  <c r="T1611" i="14" s="1"/>
  <c r="N1498" i="14"/>
  <c r="N1567" i="14"/>
  <c r="T1567" i="14" s="1"/>
  <c r="N1686" i="14"/>
  <c r="T1686" i="14" s="1"/>
  <c r="N1597" i="14"/>
  <c r="T1597" i="14" s="1"/>
  <c r="N1714" i="14"/>
  <c r="T1714" i="14" s="1"/>
  <c r="N1700" i="14"/>
  <c r="T1700" i="14" s="1"/>
  <c r="N1520" i="14"/>
  <c r="N1619" i="14"/>
  <c r="T1619" i="14" s="1"/>
  <c r="N1709" i="14"/>
  <c r="N1680" i="14"/>
  <c r="T1680" i="14" s="1"/>
  <c r="N1673" i="14"/>
  <c r="T1673" i="14" s="1"/>
  <c r="N1691" i="14"/>
  <c r="T1691" i="14" s="1"/>
  <c r="N1727" i="14"/>
  <c r="T1727" i="14" s="1"/>
  <c r="N1715" i="14"/>
  <c r="T1715" i="14" s="1"/>
  <c r="N1617" i="14"/>
  <c r="T1617" i="14" s="1"/>
  <c r="N1659" i="14"/>
  <c r="T1659" i="14" s="1"/>
  <c r="N1643" i="14"/>
  <c r="T1643" i="14" s="1"/>
  <c r="N1641" i="14"/>
  <c r="T1641" i="14" s="1"/>
  <c r="N1533" i="14"/>
  <c r="N1732" i="14"/>
  <c r="T1732" i="14" s="1"/>
  <c r="N1678" i="14"/>
  <c r="T1678" i="14" s="1"/>
  <c r="N1642" i="14"/>
  <c r="T1642" i="14" s="1"/>
  <c r="N1713" i="14"/>
  <c r="T1713" i="14" s="1"/>
  <c r="N1582" i="14"/>
  <c r="T1582" i="14" s="1"/>
  <c r="N1569" i="14"/>
  <c r="T1569" i="14" s="1"/>
  <c r="N1684" i="14"/>
  <c r="T1684" i="14" s="1"/>
  <c r="N1658" i="14"/>
  <c r="T1658" i="14" s="1"/>
  <c r="N1527" i="14"/>
  <c r="T1527" i="14" s="1"/>
  <c r="N1493" i="14"/>
  <c r="N1566" i="14"/>
  <c r="T1566" i="14" s="1"/>
  <c r="N1540" i="14"/>
  <c r="T1540" i="14" s="1"/>
  <c r="N1538" i="14"/>
  <c r="T1538" i="14" s="1"/>
  <c r="N1685" i="14"/>
  <c r="T1685" i="14" s="1"/>
  <c r="N1526" i="14"/>
  <c r="T1526" i="14" s="1"/>
  <c r="N1564" i="14"/>
  <c r="T1564" i="14" s="1"/>
  <c r="N1511" i="14"/>
  <c r="T1511" i="14" s="1"/>
  <c r="N1723" i="14"/>
  <c r="N1633" i="14"/>
  <c r="T1633" i="14" s="1"/>
  <c r="N1664" i="14"/>
  <c r="N1536" i="14"/>
  <c r="T1536" i="14" s="1"/>
  <c r="N1523" i="14"/>
  <c r="T1523" i="14" s="1"/>
  <c r="N1497" i="14"/>
  <c r="T1497" i="14" s="1"/>
  <c r="N1495" i="14"/>
  <c r="T1495" i="14" s="1"/>
  <c r="N1717" i="14"/>
  <c r="T1717" i="14" s="1"/>
  <c r="N1534" i="14"/>
  <c r="N1508" i="14"/>
  <c r="T1508" i="14" s="1"/>
  <c r="N1506" i="14"/>
  <c r="T1506" i="14" s="1"/>
  <c r="N1718" i="14"/>
  <c r="T1718" i="14" s="1"/>
  <c r="N1539" i="14"/>
  <c r="T1539" i="14" s="1"/>
  <c r="N1578" i="14"/>
  <c r="T1578" i="14" s="1"/>
  <c r="N1608" i="14"/>
  <c r="N1549" i="14"/>
  <c r="T1549" i="14" s="1"/>
  <c r="N1596" i="14"/>
  <c r="N1634" i="14"/>
  <c r="T1634" i="14" s="1"/>
  <c r="N1632" i="14"/>
  <c r="N1621" i="14"/>
  <c r="T1621" i="14" s="1"/>
  <c r="N1574" i="14"/>
  <c r="T1574" i="14" s="1"/>
  <c r="N1546" i="14"/>
  <c r="T1546" i="14" s="1"/>
  <c r="N1676" i="14"/>
  <c r="T1676" i="14" s="1"/>
  <c r="N1615" i="14"/>
  <c r="T1615" i="14" s="1"/>
  <c r="N1636" i="14"/>
  <c r="T1636" i="14" s="1"/>
  <c r="N1576" i="14"/>
  <c r="T1576" i="14" s="1"/>
  <c r="N1697" i="14"/>
  <c r="T1697" i="14" s="1"/>
  <c r="N1554" i="14"/>
  <c r="T1554" i="14" s="1"/>
  <c r="N1689" i="14"/>
  <c r="T1689" i="14" s="1"/>
  <c r="N1517" i="14"/>
  <c r="T1517" i="14" s="1"/>
  <c r="N1650" i="14"/>
  <c r="N1603" i="14"/>
  <c r="T1603" i="14" s="1"/>
  <c r="N1704" i="14"/>
  <c r="N1692" i="14"/>
  <c r="T1692" i="14" s="1"/>
  <c r="N1600" i="14"/>
  <c r="N1561" i="14"/>
  <c r="T1561" i="14" s="1"/>
  <c r="N1616" i="14"/>
  <c r="N1639" i="14"/>
  <c r="T1639" i="14" s="1"/>
  <c r="N1522" i="14"/>
  <c r="N1622" i="14"/>
  <c r="T1622" i="14" s="1"/>
  <c r="N1646" i="14"/>
  <c r="T1646" i="14" s="1"/>
  <c r="N1710" i="14"/>
  <c r="T1710" i="14" s="1"/>
  <c r="N1525" i="14"/>
  <c r="T1525" i="14" s="1"/>
  <c r="N1541" i="14"/>
  <c r="T1541" i="14" s="1"/>
  <c r="N1733" i="14"/>
  <c r="T1733" i="14" s="1"/>
  <c r="N1543" i="14"/>
  <c r="T1543" i="14" s="1"/>
  <c r="N1696" i="14"/>
  <c r="N1690" i="14"/>
  <c r="T1690" i="14" s="1"/>
  <c r="N1585" i="14"/>
  <c r="N1510" i="14"/>
  <c r="T1510" i="14" s="1"/>
  <c r="N1579" i="14"/>
  <c r="T1579" i="14" s="1"/>
  <c r="N1645" i="14"/>
  <c r="N1607" i="14"/>
  <c r="T1607" i="14" s="1"/>
  <c r="N1537" i="14"/>
  <c r="N1593" i="14"/>
  <c r="T1593" i="14" s="1"/>
  <c r="N1708" i="14"/>
  <c r="T1708" i="14" s="1"/>
  <c r="N1504" i="14"/>
  <c r="T1504" i="14" s="1"/>
  <c r="N1703" i="14"/>
  <c r="N1729" i="14"/>
  <c r="T1729" i="14" s="1"/>
  <c r="N1548" i="14"/>
  <c r="N1500" i="14"/>
  <c r="T1500" i="14" s="1"/>
  <c r="N1654" i="14"/>
  <c r="T1654" i="14" s="1"/>
  <c r="N1509" i="14"/>
  <c r="T1509" i="14" s="1"/>
  <c r="N1730" i="14"/>
  <c r="T1730" i="14" s="1"/>
  <c r="N1572" i="14"/>
  <c r="T1572" i="14" s="1"/>
  <c r="N1657" i="14"/>
  <c r="N1660" i="14"/>
  <c r="T1660" i="14" s="1"/>
  <c r="N1699" i="14"/>
  <c r="N1555" i="14"/>
  <c r="T1555" i="14" s="1"/>
  <c r="N1529" i="14"/>
  <c r="T1529" i="14" s="1"/>
  <c r="N1496" i="14"/>
  <c r="T1496" i="14" s="1"/>
  <c r="N1707" i="14"/>
  <c r="T1707" i="14" s="1"/>
  <c r="N1681" i="14"/>
  <c r="T1681" i="14" s="1"/>
  <c r="N1679" i="14"/>
  <c r="N1605" i="14"/>
  <c r="T1605" i="14" s="1"/>
  <c r="N1667" i="14"/>
  <c r="T1667" i="14" s="1"/>
  <c r="N1705" i="14"/>
  <c r="T1705" i="14" s="1"/>
  <c r="N1735" i="14"/>
  <c r="T1735" i="14" s="1"/>
  <c r="N1734" i="14"/>
  <c r="T1734" i="14" s="1"/>
  <c r="N1595" i="14"/>
  <c r="N1666" i="14"/>
  <c r="T1666" i="14" s="1"/>
  <c r="N1535" i="14"/>
  <c r="T1535" i="14" s="1"/>
  <c r="N1721" i="14"/>
  <c r="T1721" i="14" s="1"/>
  <c r="N1719" i="14"/>
  <c r="T1719" i="14" s="1"/>
  <c r="N1637" i="14"/>
  <c r="T1637" i="14" s="1"/>
  <c r="N1675" i="14"/>
  <c r="N1649" i="14"/>
  <c r="T1649" i="14" s="1"/>
  <c r="N1647" i="14"/>
  <c r="T1647" i="14" s="1"/>
  <c r="N1638" i="14"/>
  <c r="T1638" i="14" s="1"/>
  <c r="N1581" i="14"/>
  <c r="T1581" i="14" s="1"/>
  <c r="N1494" i="14"/>
  <c r="T1494" i="14" s="1"/>
  <c r="N1532" i="14"/>
  <c r="T1532" i="14" s="1"/>
  <c r="N1562" i="14"/>
  <c r="T1562" i="14" s="1"/>
  <c r="N1512" i="14"/>
  <c r="T1512" i="14" s="1"/>
  <c r="N1550" i="14"/>
  <c r="T1550" i="14" s="1"/>
  <c r="N1505" i="14"/>
  <c r="T1505" i="14" s="1"/>
  <c r="N1503" i="14"/>
  <c r="T1503" i="14" s="1"/>
  <c r="H1529" i="14"/>
  <c r="N1722" i="14"/>
  <c r="T1722" i="14" s="1"/>
  <c r="N1670" i="14"/>
  <c r="T1670" i="14" s="1"/>
  <c r="N1547" i="14"/>
  <c r="T1547" i="14" s="1"/>
  <c r="N1648" i="14"/>
  <c r="T1648" i="14" s="1"/>
  <c r="N1674" i="14"/>
  <c r="T1674" i="14" s="1"/>
  <c r="N1694" i="14"/>
  <c r="T1694" i="14" s="1"/>
  <c r="N1602" i="14"/>
  <c r="T1602" i="14" s="1"/>
  <c r="N1614" i="14"/>
  <c r="T1614" i="14" s="1"/>
  <c r="N1594" i="14"/>
  <c r="T1594" i="14" s="1"/>
  <c r="N1589" i="14"/>
  <c r="T1589" i="14" s="1"/>
  <c r="N1519" i="14"/>
  <c r="T1519" i="14" s="1"/>
  <c r="N1507" i="14"/>
  <c r="T1507" i="14" s="1"/>
  <c r="N1530" i="14"/>
  <c r="T1530" i="14" s="1"/>
  <c r="N1518" i="14"/>
  <c r="T1518" i="14" s="1"/>
  <c r="N1573" i="14"/>
  <c r="T1573" i="14" s="1"/>
  <c r="N1559" i="14"/>
  <c r="T1559" i="14" s="1"/>
  <c r="N1726" i="14"/>
  <c r="T1726" i="14" s="1"/>
  <c r="N1701" i="14"/>
  <c r="T1701" i="14" s="1"/>
  <c r="N1542" i="14"/>
  <c r="T1542" i="14" s="1"/>
  <c r="N1515" i="14"/>
  <c r="T1515" i="14" s="1"/>
  <c r="N1604" i="14"/>
  <c r="T1604" i="14" s="1"/>
  <c r="N1627" i="14"/>
  <c r="T1627" i="14" s="1"/>
  <c r="N1683" i="14"/>
  <c r="T1683" i="14" s="1"/>
  <c r="N1568" i="14"/>
  <c r="N1544" i="14"/>
  <c r="T1544" i="14" s="1"/>
  <c r="N1565" i="14"/>
  <c r="T1565" i="14" s="1"/>
  <c r="N1528" i="14"/>
  <c r="T1528" i="14" s="1"/>
  <c r="N1688" i="14"/>
  <c r="N1583" i="14"/>
  <c r="T1583" i="14" s="1"/>
  <c r="N1531" i="14"/>
  <c r="T1531" i="14" s="1"/>
  <c r="N1623" i="14"/>
  <c r="T1623" i="14" s="1"/>
  <c r="N1712" i="14"/>
  <c r="N1577" i="14"/>
  <c r="T1577" i="14" s="1"/>
  <c r="N1628" i="14"/>
  <c r="T1628" i="14" s="1"/>
  <c r="N1669" i="14"/>
  <c r="T1669" i="14" s="1"/>
  <c r="N1591" i="14"/>
  <c r="N1682" i="14"/>
  <c r="T1682" i="14" s="1"/>
  <c r="N1635" i="14"/>
  <c r="T1635" i="14" s="1"/>
  <c r="N1606" i="14"/>
  <c r="T1606" i="14" s="1"/>
  <c r="N1702" i="14"/>
  <c r="T1702" i="14" s="1"/>
  <c r="N1501" i="14"/>
  <c r="T1501" i="14" s="1"/>
  <c r="N1693" i="14"/>
  <c r="T1693" i="14" s="1"/>
  <c r="N1556" i="14"/>
  <c r="T1556" i="14" s="1"/>
  <c r="N1687" i="14"/>
  <c r="T1687" i="14" s="1"/>
  <c r="N1560" i="14"/>
  <c r="T1560" i="14" s="1"/>
  <c r="N1644" i="14"/>
  <c r="N1516" i="14"/>
  <c r="T1516" i="14" s="1"/>
  <c r="N1665" i="14"/>
  <c r="T1665" i="14" s="1"/>
  <c r="N1558" i="14"/>
  <c r="T1558" i="14" s="1"/>
  <c r="N1725" i="14"/>
  <c r="T1725" i="14" s="1"/>
  <c r="L293" i="10"/>
  <c r="U292" i="10"/>
  <c r="F1590" i="14" l="1"/>
  <c r="I1684" i="14"/>
  <c r="I1575" i="14"/>
  <c r="I1613" i="14"/>
  <c r="F1626" i="14"/>
  <c r="F1687" i="14"/>
  <c r="F1553" i="14"/>
  <c r="I1506" i="14"/>
  <c r="H1660" i="14"/>
  <c r="I1618" i="14"/>
  <c r="I1735" i="14"/>
  <c r="I1526" i="14"/>
  <c r="E1570" i="14"/>
  <c r="I1592" i="14"/>
  <c r="I1674" i="14"/>
  <c r="I1587" i="14"/>
  <c r="I1557" i="14"/>
  <c r="I1658" i="14"/>
  <c r="E1722" i="14"/>
  <c r="F1561" i="14"/>
  <c r="F1624" i="14"/>
  <c r="F1693" i="14"/>
  <c r="F1494" i="14"/>
  <c r="F1663" i="14"/>
  <c r="F1700" i="14"/>
  <c r="F1657" i="14"/>
  <c r="F1619" i="14"/>
  <c r="F1540" i="14"/>
  <c r="E1734" i="14"/>
  <c r="F1661" i="14"/>
  <c r="F1637" i="14"/>
  <c r="F1670" i="14"/>
  <c r="G1494" i="14"/>
  <c r="F1656" i="14"/>
  <c r="F1591" i="14"/>
  <c r="F1729" i="14"/>
  <c r="F1581" i="14"/>
  <c r="F1649" i="14"/>
  <c r="F1705" i="14"/>
  <c r="F1712" i="14"/>
  <c r="F1718" i="14"/>
  <c r="F1664" i="14"/>
  <c r="F1501" i="14"/>
  <c r="F1598" i="14"/>
  <c r="F1660" i="14"/>
  <c r="F1611" i="14"/>
  <c r="F1726" i="14"/>
  <c r="F1612" i="14"/>
  <c r="F1730" i="14"/>
  <c r="F1727" i="14"/>
  <c r="F1548" i="14"/>
  <c r="F1683" i="14"/>
  <c r="F1648" i="14"/>
  <c r="F1734" i="14"/>
  <c r="F1573" i="14"/>
  <c r="F1493" i="14"/>
  <c r="F1616" i="14"/>
  <c r="F1557" i="14"/>
  <c r="H1558" i="14"/>
  <c r="F1618" i="14"/>
  <c r="F1601" i="14"/>
  <c r="F1500" i="14"/>
  <c r="F1546" i="14"/>
  <c r="F1602" i="14"/>
  <c r="F1704" i="14"/>
  <c r="F1625" i="14"/>
  <c r="F1508" i="14"/>
  <c r="F1672" i="14"/>
  <c r="F1565" i="14"/>
  <c r="F1530" i="14"/>
  <c r="F1525" i="14"/>
  <c r="F1688" i="14"/>
  <c r="F1505" i="14"/>
  <c r="F1707" i="14"/>
  <c r="I1693" i="14"/>
  <c r="F1542" i="14"/>
  <c r="G1515" i="14"/>
  <c r="F1609" i="14"/>
  <c r="H1734" i="14"/>
  <c r="H1662" i="14"/>
  <c r="H1674" i="14"/>
  <c r="H1535" i="14"/>
  <c r="H1550" i="14"/>
  <c r="G1562" i="14"/>
  <c r="E1511" i="14"/>
  <c r="E1560" i="14"/>
  <c r="E1573" i="14"/>
  <c r="E1584" i="14"/>
  <c r="H1658" i="14"/>
  <c r="G1635" i="14"/>
  <c r="G1665" i="14"/>
  <c r="E1549" i="14"/>
  <c r="E1678" i="14"/>
  <c r="E1530" i="14"/>
  <c r="E1599" i="14"/>
  <c r="F1673" i="14"/>
  <c r="F1574" i="14"/>
  <c r="E1524" i="14"/>
  <c r="H1552" i="14"/>
  <c r="H1540" i="14"/>
  <c r="H1629" i="14"/>
  <c r="H1630" i="14"/>
  <c r="G1661" i="14"/>
  <c r="E1548" i="14"/>
  <c r="E1616" i="14"/>
  <c r="E1545" i="14"/>
  <c r="E1658" i="14"/>
  <c r="E1707" i="14"/>
  <c r="F1701" i="14"/>
  <c r="H1496" i="14"/>
  <c r="H1545" i="14"/>
  <c r="H1590" i="14"/>
  <c r="H1494" i="14"/>
  <c r="H1717" i="14"/>
  <c r="H1594" i="14"/>
  <c r="I1690" i="14"/>
  <c r="I1619" i="14"/>
  <c r="I1718" i="14"/>
  <c r="I1732" i="14"/>
  <c r="I1667" i="14"/>
  <c r="F1647" i="14"/>
  <c r="H1570" i="14"/>
  <c r="H1711" i="14"/>
  <c r="H1613" i="14"/>
  <c r="H1708" i="14"/>
  <c r="H1690" i="14"/>
  <c r="H1564" i="14"/>
  <c r="H1530" i="14"/>
  <c r="H1676" i="14"/>
  <c r="H1691" i="14"/>
  <c r="H1730" i="14"/>
  <c r="H1501" i="14"/>
  <c r="I1675" i="14"/>
  <c r="I1537" i="14"/>
  <c r="G1558" i="14"/>
  <c r="G1666" i="14"/>
  <c r="F1520" i="14"/>
  <c r="F1617" i="14"/>
  <c r="F1564" i="14"/>
  <c r="F1654" i="14"/>
  <c r="F1600" i="14"/>
  <c r="F1519" i="14"/>
  <c r="G1688" i="14"/>
  <c r="F1614" i="14"/>
  <c r="H1557" i="14"/>
  <c r="H1622" i="14"/>
  <c r="H1611" i="14"/>
  <c r="H1597" i="14"/>
  <c r="H1619" i="14"/>
  <c r="H1732" i="14"/>
  <c r="H1652" i="14"/>
  <c r="H1580" i="14"/>
  <c r="H1724" i="14"/>
  <c r="G1514" i="14"/>
  <c r="G1497" i="14"/>
  <c r="G1630" i="14"/>
  <c r="G1656" i="14"/>
  <c r="G1691" i="14"/>
  <c r="E1729" i="14"/>
  <c r="E1661" i="14"/>
  <c r="E1522" i="14"/>
  <c r="E1532" i="14"/>
  <c r="F1710" i="14"/>
  <c r="H1561" i="14"/>
  <c r="H1511" i="14"/>
  <c r="H1621" i="14"/>
  <c r="H1615" i="14"/>
  <c r="H1659" i="14"/>
  <c r="I1604" i="14"/>
  <c r="G1543" i="14"/>
  <c r="G1592" i="14"/>
  <c r="G1632" i="14"/>
  <c r="E1643" i="14"/>
  <c r="E1497" i="14"/>
  <c r="E1699" i="14"/>
  <c r="E1653" i="14"/>
  <c r="H1603" i="14"/>
  <c r="H1707" i="14"/>
  <c r="H1620" i="14"/>
  <c r="H1554" i="14"/>
  <c r="H1598" i="14"/>
  <c r="H1618" i="14"/>
  <c r="H1582" i="14"/>
  <c r="H1541" i="14"/>
  <c r="H1587" i="14"/>
  <c r="H1718" i="14"/>
  <c r="H1668" i="14"/>
  <c r="H1527" i="14"/>
  <c r="H1536" i="14"/>
  <c r="H1731" i="14"/>
  <c r="H1538" i="14"/>
  <c r="G1623" i="14"/>
  <c r="G1680" i="14"/>
  <c r="G1547" i="14"/>
  <c r="G1531" i="14"/>
  <c r="G1618" i="14"/>
  <c r="E1712" i="14"/>
  <c r="E1691" i="14"/>
  <c r="E1572" i="14"/>
  <c r="H1566" i="14"/>
  <c r="G1732" i="14"/>
  <c r="G1587" i="14"/>
  <c r="I1553" i="14"/>
  <c r="I1549" i="14"/>
  <c r="I1508" i="14"/>
  <c r="I1668" i="14"/>
  <c r="I1609" i="14"/>
  <c r="I1665" i="14"/>
  <c r="I1579" i="14"/>
  <c r="I1540" i="14"/>
  <c r="I1649" i="14"/>
  <c r="I1497" i="14"/>
  <c r="I1605" i="14"/>
  <c r="G1530" i="14"/>
  <c r="G1595" i="14"/>
  <c r="G1655" i="14"/>
  <c r="G1673" i="14"/>
  <c r="G1724" i="14"/>
  <c r="G1611" i="14"/>
  <c r="E1686" i="14"/>
  <c r="F1503" i="14"/>
  <c r="F1685" i="14"/>
  <c r="F1517" i="14"/>
  <c r="F1518" i="14"/>
  <c r="F1559" i="14"/>
  <c r="G1627" i="14"/>
  <c r="I1734" i="14"/>
  <c r="I1687" i="14"/>
  <c r="I1730" i="14"/>
  <c r="I1531" i="14"/>
  <c r="I1648" i="14"/>
  <c r="I1666" i="14"/>
  <c r="I1643" i="14"/>
  <c r="I1683" i="14"/>
  <c r="I1655" i="14"/>
  <c r="I1694" i="14"/>
  <c r="G1676" i="14"/>
  <c r="G1594" i="14"/>
  <c r="G1580" i="14"/>
  <c r="G1549" i="14"/>
  <c r="G1685" i="14"/>
  <c r="G1550" i="14"/>
  <c r="F1706" i="14"/>
  <c r="F1606" i="14"/>
  <c r="F1506" i="14"/>
  <c r="F1582" i="14"/>
  <c r="H1641" i="14"/>
  <c r="I1639" i="14"/>
  <c r="I1603" i="14"/>
  <c r="G1727" i="14"/>
  <c r="G1648" i="14"/>
  <c r="G1536" i="14"/>
  <c r="G1560" i="14"/>
  <c r="V1536" i="14"/>
  <c r="A1536" i="14" s="1"/>
  <c r="G1631" i="14"/>
  <c r="G1634" i="14"/>
  <c r="G1725" i="14"/>
  <c r="G1711" i="14"/>
  <c r="E1513" i="14"/>
  <c r="I1530" i="14"/>
  <c r="I1729" i="14"/>
  <c r="G1671" i="14"/>
  <c r="G1584" i="14"/>
  <c r="G1715" i="14"/>
  <c r="G1565" i="14"/>
  <c r="G1541" i="14"/>
  <c r="G1551" i="14"/>
  <c r="E1685" i="14"/>
  <c r="I1582" i="14"/>
  <c r="I1629" i="14"/>
  <c r="I1656" i="14"/>
  <c r="I1731" i="14"/>
  <c r="G1682" i="14"/>
  <c r="E1700" i="14"/>
  <c r="E1562" i="14"/>
  <c r="E1503" i="14"/>
  <c r="I1632" i="14"/>
  <c r="I1716" i="14"/>
  <c r="I1577" i="14"/>
  <c r="I1662" i="14"/>
  <c r="I1561" i="14"/>
  <c r="I1519" i="14"/>
  <c r="I1640" i="14"/>
  <c r="I1707" i="14"/>
  <c r="G1692" i="14"/>
  <c r="G1703" i="14"/>
  <c r="E1705" i="14"/>
  <c r="E1582" i="14"/>
  <c r="E1563" i="14"/>
  <c r="E1556" i="14"/>
  <c r="I1620" i="14"/>
  <c r="I1586" i="14"/>
  <c r="I1594" i="14"/>
  <c r="I1724" i="14"/>
  <c r="I1696" i="14"/>
  <c r="E1507" i="14"/>
  <c r="E1679" i="14"/>
  <c r="H1515" i="14"/>
  <c r="I1572" i="14"/>
  <c r="I1721" i="14"/>
  <c r="G1496" i="14"/>
  <c r="G1607" i="14"/>
  <c r="G1699" i="14"/>
  <c r="G1645" i="14"/>
  <c r="E1587" i="14"/>
  <c r="E1542" i="14"/>
  <c r="E1641" i="14"/>
  <c r="E1529" i="14"/>
  <c r="E1541" i="14"/>
  <c r="E1667" i="14"/>
  <c r="E1665" i="14"/>
  <c r="E1517" i="14"/>
  <c r="E1605" i="14"/>
  <c r="E1626" i="14"/>
  <c r="E1666" i="14"/>
  <c r="E1528" i="14"/>
  <c r="E1701" i="14"/>
  <c r="F1497" i="14"/>
  <c r="I1711" i="14"/>
  <c r="I1709" i="14"/>
  <c r="G1647" i="14"/>
  <c r="G1706" i="14"/>
  <c r="G1625" i="14"/>
  <c r="G1615" i="14"/>
  <c r="E1683" i="14"/>
  <c r="E1590" i="14"/>
  <c r="E1574" i="14"/>
  <c r="E1635" i="14"/>
  <c r="E1527" i="14"/>
  <c r="E1716" i="14"/>
  <c r="E1496" i="14"/>
  <c r="E1516" i="14"/>
  <c r="E1692" i="14"/>
  <c r="E1646" i="14"/>
  <c r="E1659" i="14"/>
  <c r="E1601" i="14"/>
  <c r="E1500" i="14"/>
  <c r="E1674" i="14"/>
  <c r="E1630" i="14"/>
  <c r="E1521" i="14"/>
  <c r="F1725" i="14"/>
  <c r="I1726" i="14"/>
  <c r="I1612" i="14"/>
  <c r="G1719" i="14"/>
  <c r="G1713" i="14"/>
  <c r="G1602" i="14"/>
  <c r="G1651" i="14"/>
  <c r="G1649" i="14"/>
  <c r="G1529" i="14"/>
  <c r="E1520" i="14"/>
  <c r="E1620" i="14"/>
  <c r="E1638" i="14"/>
  <c r="E1703" i="14"/>
  <c r="E1552" i="14"/>
  <c r="E1689" i="14"/>
  <c r="E1588" i="14"/>
  <c r="E1594" i="14"/>
  <c r="E1710" i="14"/>
  <c r="E1555" i="14"/>
  <c r="E1550" i="14"/>
  <c r="E1627" i="14"/>
  <c r="E1715" i="14"/>
  <c r="H1637" i="14"/>
  <c r="H1636" i="14"/>
  <c r="H1556" i="14"/>
  <c r="H1583" i="14"/>
  <c r="H1500" i="14"/>
  <c r="I1501" i="14"/>
  <c r="I1542" i="14"/>
  <c r="I1562" i="14"/>
  <c r="G1644" i="14"/>
  <c r="G1690" i="14"/>
  <c r="G1567" i="14"/>
  <c r="G1563" i="14"/>
  <c r="G1707" i="14"/>
  <c r="G1704" i="14"/>
  <c r="G1610" i="14"/>
  <c r="G1590" i="14"/>
  <c r="E1606" i="14"/>
  <c r="E1648" i="14"/>
  <c r="E1726" i="14"/>
  <c r="E1567" i="14"/>
  <c r="E1669" i="14"/>
  <c r="E1718" i="14"/>
  <c r="E1493" i="14"/>
  <c r="E1586" i="14"/>
  <c r="E1709" i="14"/>
  <c r="F1579" i="14"/>
  <c r="G1599" i="14"/>
  <c r="G1698" i="14"/>
  <c r="G1597" i="14"/>
  <c r="G1726" i="14"/>
  <c r="E1708" i="14"/>
  <c r="E1696" i="14"/>
  <c r="E1647" i="14"/>
  <c r="E1720" i="14"/>
  <c r="E1690" i="14"/>
  <c r="F1510" i="14"/>
  <c r="H1519" i="14"/>
  <c r="H1682" i="14"/>
  <c r="H1574" i="14"/>
  <c r="H1544" i="14"/>
  <c r="H1577" i="14"/>
  <c r="H1602" i="14"/>
  <c r="G1525" i="14"/>
  <c r="G1636" i="14"/>
  <c r="G1652" i="14"/>
  <c r="G1554" i="14"/>
  <c r="G1643" i="14"/>
  <c r="G1523" i="14"/>
  <c r="G1684" i="14"/>
  <c r="E1702" i="14"/>
  <c r="E1714" i="14"/>
  <c r="E1519" i="14"/>
  <c r="E1645" i="14"/>
  <c r="E1672" i="14"/>
  <c r="E1535" i="14"/>
  <c r="H1542" i="14"/>
  <c r="H1714" i="14"/>
  <c r="H1516" i="14"/>
  <c r="H1721" i="14"/>
  <c r="H1606" i="14"/>
  <c r="H1604" i="14"/>
  <c r="H1729" i="14"/>
  <c r="H1509" i="14"/>
  <c r="H1560" i="14"/>
  <c r="H1593" i="14"/>
  <c r="H1623" i="14"/>
  <c r="I1524" i="14"/>
  <c r="I1719" i="14"/>
  <c r="I1495" i="14"/>
  <c r="I1554" i="14"/>
  <c r="I1509" i="14"/>
  <c r="I1698" i="14"/>
  <c r="I1593" i="14"/>
  <c r="I1607" i="14"/>
  <c r="G1696" i="14"/>
  <c r="G1735" i="14"/>
  <c r="G1507" i="14"/>
  <c r="G1535" i="14"/>
  <c r="G1520" i="14"/>
  <c r="G1624" i="14"/>
  <c r="G1626" i="14"/>
  <c r="G1659" i="14"/>
  <c r="G1614" i="14"/>
  <c r="G1678" i="14"/>
  <c r="G1583" i="14"/>
  <c r="G1552" i="14"/>
  <c r="E1732" i="14"/>
  <c r="E1600" i="14"/>
  <c r="F1524" i="14"/>
  <c r="F1703" i="14"/>
  <c r="F1694" i="14"/>
  <c r="F1636" i="14"/>
  <c r="F1695" i="14"/>
  <c r="F1719" i="14"/>
  <c r="F1651" i="14"/>
  <c r="F1666" i="14"/>
  <c r="F1732" i="14"/>
  <c r="H1553" i="14"/>
  <c r="H1503" i="14"/>
  <c r="H1607" i="14"/>
  <c r="I1494" i="14"/>
  <c r="I1499" i="14"/>
  <c r="I1521" i="14"/>
  <c r="I1565" i="14"/>
  <c r="I1550" i="14"/>
  <c r="I1708" i="14"/>
  <c r="G1670" i="14"/>
  <c r="G1604" i="14"/>
  <c r="G1568" i="14"/>
  <c r="G1730" i="14"/>
  <c r="G1606" i="14"/>
  <c r="G1608" i="14"/>
  <c r="G1539" i="14"/>
  <c r="G1532" i="14"/>
  <c r="G1519" i="14"/>
  <c r="G1603" i="14"/>
  <c r="G1642" i="14"/>
  <c r="G1639" i="14"/>
  <c r="G1556" i="14"/>
  <c r="E1504" i="14"/>
  <c r="E1576" i="14"/>
  <c r="F1632" i="14"/>
  <c r="F1645" i="14"/>
  <c r="F1538" i="14"/>
  <c r="F1635" i="14"/>
  <c r="F1529" i="14"/>
  <c r="F1610" i="14"/>
  <c r="F1586" i="14"/>
  <c r="F1552" i="14"/>
  <c r="F1669" i="14"/>
  <c r="F1599" i="14"/>
  <c r="H1547" i="14"/>
  <c r="H1669" i="14"/>
  <c r="H1683" i="14"/>
  <c r="H1573" i="14"/>
  <c r="H1562" i="14"/>
  <c r="H1638" i="14"/>
  <c r="H1528" i="14"/>
  <c r="H1651" i="14"/>
  <c r="H1649" i="14"/>
  <c r="H1726" i="14"/>
  <c r="H1722" i="14"/>
  <c r="H1646" i="14"/>
  <c r="V1551" i="14"/>
  <c r="A1551" i="14" s="1"/>
  <c r="I1715" i="14"/>
  <c r="I1502" i="14"/>
  <c r="I1583" i="14"/>
  <c r="I1551" i="14"/>
  <c r="I1503" i="14"/>
  <c r="I1714" i="14"/>
  <c r="G1609" i="14"/>
  <c r="G1669" i="14"/>
  <c r="G1653" i="14"/>
  <c r="G1555" i="14"/>
  <c r="G1546" i="14"/>
  <c r="G1717" i="14"/>
  <c r="G1637" i="14"/>
  <c r="G1629" i="14"/>
  <c r="G1537" i="14"/>
  <c r="G1605" i="14"/>
  <c r="G1534" i="14"/>
  <c r="G1668" i="14"/>
  <c r="G1499" i="14"/>
  <c r="G1723" i="14"/>
  <c r="E1523" i="14"/>
  <c r="E1706" i="14"/>
  <c r="E1625" i="14"/>
  <c r="E1608" i="14"/>
  <c r="F1607" i="14"/>
  <c r="F1686" i="14"/>
  <c r="F1674" i="14"/>
  <c r="F1495" i="14"/>
  <c r="F1558" i="14"/>
  <c r="F1572" i="14"/>
  <c r="F1659" i="14"/>
  <c r="F1715" i="14"/>
  <c r="F1665" i="14"/>
  <c r="F1526" i="14"/>
  <c r="F1575" i="14"/>
  <c r="F1551" i="14"/>
  <c r="F1722" i="14"/>
  <c r="F1633" i="14"/>
  <c r="F1516" i="14"/>
  <c r="F1560" i="14"/>
  <c r="F1515" i="14"/>
  <c r="F1567" i="14"/>
  <c r="H1648" i="14"/>
  <c r="H1687" i="14"/>
  <c r="H1502" i="14"/>
  <c r="H1543" i="14"/>
  <c r="H1654" i="14"/>
  <c r="H1563" i="14"/>
  <c r="V1636" i="14"/>
  <c r="A1636" i="14" s="1"/>
  <c r="I1689" i="14"/>
  <c r="I1636" i="14"/>
  <c r="I1631" i="14"/>
  <c r="G1561" i="14"/>
  <c r="G1591" i="14"/>
  <c r="G1714" i="14"/>
  <c r="G1512" i="14"/>
  <c r="G1619" i="14"/>
  <c r="G1578" i="14"/>
  <c r="G1683" i="14"/>
  <c r="G1538" i="14"/>
  <c r="G1573" i="14"/>
  <c r="G1658" i="14"/>
  <c r="G1672" i="14"/>
  <c r="G1660" i="14"/>
  <c r="E1632" i="14"/>
  <c r="E1676" i="14"/>
  <c r="E1628" i="14"/>
  <c r="E1598" i="14"/>
  <c r="E1724" i="14"/>
  <c r="E1680" i="14"/>
  <c r="E1704" i="14"/>
  <c r="E1531" i="14"/>
  <c r="E1733" i="14"/>
  <c r="E1591" i="14"/>
  <c r="F1502" i="14"/>
  <c r="F1684" i="14"/>
  <c r="F1568" i="14"/>
  <c r="F1549" i="14"/>
  <c r="F1499" i="14"/>
  <c r="F1613" i="14"/>
  <c r="F1644" i="14"/>
  <c r="F1652" i="14"/>
  <c r="F1512" i="14"/>
  <c r="F1504" i="14"/>
  <c r="F1655" i="14"/>
  <c r="H1639" i="14"/>
  <c r="I1630" i="14"/>
  <c r="I1692" i="14"/>
  <c r="I1588" i="14"/>
  <c r="G1662" i="14"/>
  <c r="G1600" i="14"/>
  <c r="G1689" i="14"/>
  <c r="G1616" i="14"/>
  <c r="G1544" i="14"/>
  <c r="G1677" i="14"/>
  <c r="G1502" i="14"/>
  <c r="G1702" i="14"/>
  <c r="G1581" i="14"/>
  <c r="G1588" i="14"/>
  <c r="G1585" i="14"/>
  <c r="G1574" i="14"/>
  <c r="E1534" i="14"/>
  <c r="E1571" i="14"/>
  <c r="E1583" i="14"/>
  <c r="E1723" i="14"/>
  <c r="E1651" i="14"/>
  <c r="E1619" i="14"/>
  <c r="E1564" i="14"/>
  <c r="E1652" i="14"/>
  <c r="E1502" i="14"/>
  <c r="E1544" i="14"/>
  <c r="E1617" i="14"/>
  <c r="E1565" i="14"/>
  <c r="E1518" i="14"/>
  <c r="E1595" i="14"/>
  <c r="E1512" i="14"/>
  <c r="E1579" i="14"/>
  <c r="F1596" i="14"/>
  <c r="F1569" i="14"/>
  <c r="F1580" i="14"/>
  <c r="F1629" i="14"/>
  <c r="F1634" i="14"/>
  <c r="F1528" i="14"/>
  <c r="F1717" i="14"/>
  <c r="F1594" i="14"/>
  <c r="F1676" i="14"/>
  <c r="F1692" i="14"/>
  <c r="F1550" i="14"/>
  <c r="F1628" i="14"/>
  <c r="F1641" i="14"/>
  <c r="H1512" i="14"/>
  <c r="H1663" i="14"/>
  <c r="H1510" i="14"/>
  <c r="H1610" i="14"/>
  <c r="H1517" i="14"/>
  <c r="H1677" i="14"/>
  <c r="H1735" i="14"/>
  <c r="H1546" i="14"/>
  <c r="I1578" i="14"/>
  <c r="I1581" i="14"/>
  <c r="I1642" i="14"/>
  <c r="I1625" i="14"/>
  <c r="I1622" i="14"/>
  <c r="I1591" i="14"/>
  <c r="G1503" i="14"/>
  <c r="G1705" i="14"/>
  <c r="G1621" i="14"/>
  <c r="G1675" i="14"/>
  <c r="G1640" i="14"/>
  <c r="G1664" i="14"/>
  <c r="G1687" i="14"/>
  <c r="G1720" i="14"/>
  <c r="E1660" i="14"/>
  <c r="E1575" i="14"/>
  <c r="E1711" i="14"/>
  <c r="E1539" i="14"/>
  <c r="E1713" i="14"/>
  <c r="E1501" i="14"/>
  <c r="E1609" i="14"/>
  <c r="E1629" i="14"/>
  <c r="E1557" i="14"/>
  <c r="E1611" i="14"/>
  <c r="E1668" i="14"/>
  <c r="E1538" i="14"/>
  <c r="E1612" i="14"/>
  <c r="F1667" i="14"/>
  <c r="F1668" i="14"/>
  <c r="F1608" i="14"/>
  <c r="F1640" i="14"/>
  <c r="F1638" i="14"/>
  <c r="F1576" i="14"/>
  <c r="F1646" i="14"/>
  <c r="F1615" i="14"/>
  <c r="F1513" i="14"/>
  <c r="F1731" i="14"/>
  <c r="F1681" i="14"/>
  <c r="F1623" i="14"/>
  <c r="F1556" i="14"/>
  <c r="F1677" i="14"/>
  <c r="F1533" i="14"/>
  <c r="F1627" i="14"/>
  <c r="F1578" i="14"/>
  <c r="F1566" i="14"/>
  <c r="F1709" i="14"/>
  <c r="F1605" i="14"/>
  <c r="H1565" i="14"/>
  <c r="I1677" i="14"/>
  <c r="H1559" i="14"/>
  <c r="H1667" i="14"/>
  <c r="T1585" i="14"/>
  <c r="V1585" i="14" s="1"/>
  <c r="A1585" i="14" s="1"/>
  <c r="H1585" i="14"/>
  <c r="T1596" i="14"/>
  <c r="V1596" i="14" s="1"/>
  <c r="A1596" i="14" s="1"/>
  <c r="H1596" i="14"/>
  <c r="T1498" i="14"/>
  <c r="H1498" i="14"/>
  <c r="T1626" i="14"/>
  <c r="V1626" i="14" s="1"/>
  <c r="A1626" i="14" s="1"/>
  <c r="H1626" i="14"/>
  <c r="U1705" i="14"/>
  <c r="V1705" i="14" s="1"/>
  <c r="A1705" i="14" s="1"/>
  <c r="I1705" i="14"/>
  <c r="U1664" i="14"/>
  <c r="I1664" i="14"/>
  <c r="U1623" i="14"/>
  <c r="V1623" i="14" s="1"/>
  <c r="A1623" i="14" s="1"/>
  <c r="I1623" i="14"/>
  <c r="U1546" i="14"/>
  <c r="V1546" i="14" s="1"/>
  <c r="A1546" i="14" s="1"/>
  <c r="I1546" i="14"/>
  <c r="U1543" i="14"/>
  <c r="V1543" i="14" s="1"/>
  <c r="A1543" i="14" s="1"/>
  <c r="I1543" i="14"/>
  <c r="U1527" i="14"/>
  <c r="V1527" i="14" s="1"/>
  <c r="A1527" i="14" s="1"/>
  <c r="I1527" i="14"/>
  <c r="U1525" i="14"/>
  <c r="V1525" i="14" s="1"/>
  <c r="A1525" i="14" s="1"/>
  <c r="I1525" i="14"/>
  <c r="U1670" i="14"/>
  <c r="V1670" i="14" s="1"/>
  <c r="A1670" i="14" s="1"/>
  <c r="I1670" i="14"/>
  <c r="U1580" i="14"/>
  <c r="V1580" i="14" s="1"/>
  <c r="A1580" i="14" s="1"/>
  <c r="I1580" i="14"/>
  <c r="H1539" i="14"/>
  <c r="H1523" i="14"/>
  <c r="H1617" i="14"/>
  <c r="H1601" i="14"/>
  <c r="H1713" i="14"/>
  <c r="H1640" i="14"/>
  <c r="H1685" i="14"/>
  <c r="H1672" i="14"/>
  <c r="H1495" i="14"/>
  <c r="H1727" i="14"/>
  <c r="T1644" i="14"/>
  <c r="H1644" i="14"/>
  <c r="T1595" i="14"/>
  <c r="H1595" i="14"/>
  <c r="T1699" i="14"/>
  <c r="V1699" i="14" s="1"/>
  <c r="A1699" i="14" s="1"/>
  <c r="H1699" i="14"/>
  <c r="T1548" i="14"/>
  <c r="V1548" i="14" s="1"/>
  <c r="A1548" i="14" s="1"/>
  <c r="H1548" i="14"/>
  <c r="T1645" i="14"/>
  <c r="V1645" i="14" s="1"/>
  <c r="A1645" i="14" s="1"/>
  <c r="H1645" i="14"/>
  <c r="I1671" i="14"/>
  <c r="I1522" i="14"/>
  <c r="I1717" i="14"/>
  <c r="I1544" i="14"/>
  <c r="I1697" i="14"/>
  <c r="I1573" i="14"/>
  <c r="I1652" i="14"/>
  <c r="T1616" i="14"/>
  <c r="H1616" i="14"/>
  <c r="T1534" i="14"/>
  <c r="H1534" i="14"/>
  <c r="T1723" i="14"/>
  <c r="H1723" i="14"/>
  <c r="T1493" i="14"/>
  <c r="V1493" i="14" s="1"/>
  <c r="A1493" i="14" s="1"/>
  <c r="H1493" i="14"/>
  <c r="T1609" i="14"/>
  <c r="V1609" i="14" s="1"/>
  <c r="A1609" i="14" s="1"/>
  <c r="H1609" i="14"/>
  <c r="T1592" i="14"/>
  <c r="V1592" i="14" s="1"/>
  <c r="A1592" i="14" s="1"/>
  <c r="H1592" i="14"/>
  <c r="T1720" i="14"/>
  <c r="V1720" i="14" s="1"/>
  <c r="A1720" i="14" s="1"/>
  <c r="H1720" i="14"/>
  <c r="U1651" i="14"/>
  <c r="V1651" i="14" s="1"/>
  <c r="A1651" i="14" s="1"/>
  <c r="I1651" i="14"/>
  <c r="U1695" i="14"/>
  <c r="V1695" i="14" s="1"/>
  <c r="A1695" i="14" s="1"/>
  <c r="I1695" i="14"/>
  <c r="U1644" i="14"/>
  <c r="I1644" i="14"/>
  <c r="U1676" i="14"/>
  <c r="V1676" i="14" s="1"/>
  <c r="A1676" i="14" s="1"/>
  <c r="I1676" i="14"/>
  <c r="U1727" i="14"/>
  <c r="I1727" i="14"/>
  <c r="U1574" i="14"/>
  <c r="V1574" i="14" s="1"/>
  <c r="A1574" i="14" s="1"/>
  <c r="I1574" i="14"/>
  <c r="U1635" i="14"/>
  <c r="V1635" i="14" s="1"/>
  <c r="A1635" i="14" s="1"/>
  <c r="I1635" i="14"/>
  <c r="U1634" i="14"/>
  <c r="V1634" i="14" s="1"/>
  <c r="A1634" i="14" s="1"/>
  <c r="I1634" i="14"/>
  <c r="U1513" i="14"/>
  <c r="I1513" i="14"/>
  <c r="U1500" i="14"/>
  <c r="V1500" i="14" s="1"/>
  <c r="A1500" i="14" s="1"/>
  <c r="I1500" i="14"/>
  <c r="U1723" i="14"/>
  <c r="I1723" i="14"/>
  <c r="U1599" i="14"/>
  <c r="V1599" i="14" s="1"/>
  <c r="A1599" i="14" s="1"/>
  <c r="I1599" i="14"/>
  <c r="H1643" i="14"/>
  <c r="T1696" i="14"/>
  <c r="V1696" i="14" s="1"/>
  <c r="A1696" i="14" s="1"/>
  <c r="H1696" i="14"/>
  <c r="T1522" i="14"/>
  <c r="V1522" i="14" s="1"/>
  <c r="A1522" i="14" s="1"/>
  <c r="H1522" i="14"/>
  <c r="T1632" i="14"/>
  <c r="V1632" i="14" s="1"/>
  <c r="A1632" i="14" s="1"/>
  <c r="H1632" i="14"/>
  <c r="T1533" i="14"/>
  <c r="V1533" i="14" s="1"/>
  <c r="A1533" i="14" s="1"/>
  <c r="H1533" i="14"/>
  <c r="T1520" i="14"/>
  <c r="H1520" i="14"/>
  <c r="T1716" i="14"/>
  <c r="V1716" i="14" s="1"/>
  <c r="A1716" i="14" s="1"/>
  <c r="H1716" i="14"/>
  <c r="T1521" i="14"/>
  <c r="V1521" i="14" s="1"/>
  <c r="A1521" i="14" s="1"/>
  <c r="H1521" i="14"/>
  <c r="I1529" i="14"/>
  <c r="I1733" i="14"/>
  <c r="U1534" i="14"/>
  <c r="I1534" i="14"/>
  <c r="U1672" i="14"/>
  <c r="V1672" i="14" s="1"/>
  <c r="A1672" i="14" s="1"/>
  <c r="I1672" i="14"/>
  <c r="U1584" i="14"/>
  <c r="V1584" i="14" s="1"/>
  <c r="A1584" i="14" s="1"/>
  <c r="I1584" i="14"/>
  <c r="U1559" i="14"/>
  <c r="V1559" i="14" s="1"/>
  <c r="A1559" i="14" s="1"/>
  <c r="I1559" i="14"/>
  <c r="U1601" i="14"/>
  <c r="V1601" i="14" s="1"/>
  <c r="A1601" i="14" s="1"/>
  <c r="I1601" i="14"/>
  <c r="U1595" i="14"/>
  <c r="I1595" i="14"/>
  <c r="U1615" i="14"/>
  <c r="V1615" i="14" s="1"/>
  <c r="A1615" i="14" s="1"/>
  <c r="I1615" i="14"/>
  <c r="U1564" i="14"/>
  <c r="V1564" i="14" s="1"/>
  <c r="A1564" i="14" s="1"/>
  <c r="I1564" i="14"/>
  <c r="U1520" i="14"/>
  <c r="I1520" i="14"/>
  <c r="U1560" i="14"/>
  <c r="V1560" i="14" s="1"/>
  <c r="A1560" i="14" s="1"/>
  <c r="I1560" i="14"/>
  <c r="U1660" i="14"/>
  <c r="V1660" i="14" s="1"/>
  <c r="A1660" i="14" s="1"/>
  <c r="I1660" i="14"/>
  <c r="U1563" i="14"/>
  <c r="V1563" i="14" s="1"/>
  <c r="A1563" i="14" s="1"/>
  <c r="I1563" i="14"/>
  <c r="U1633" i="14"/>
  <c r="V1633" i="14" s="1"/>
  <c r="A1633" i="14" s="1"/>
  <c r="I1633" i="14"/>
  <c r="U1616" i="14"/>
  <c r="I1616" i="14"/>
  <c r="U1598" i="14"/>
  <c r="V1598" i="14" s="1"/>
  <c r="A1598" i="14" s="1"/>
  <c r="I1598" i="14"/>
  <c r="U1538" i="14"/>
  <c r="V1538" i="14" s="1"/>
  <c r="A1538" i="14" s="1"/>
  <c r="I1538" i="14"/>
  <c r="U1710" i="14"/>
  <c r="V1710" i="14" s="1"/>
  <c r="A1710" i="14" s="1"/>
  <c r="I1710" i="14"/>
  <c r="U1614" i="14"/>
  <c r="V1614" i="14" s="1"/>
  <c r="A1614" i="14" s="1"/>
  <c r="I1614" i="14"/>
  <c r="U1624" i="14"/>
  <c r="V1624" i="14" s="1"/>
  <c r="A1624" i="14" s="1"/>
  <c r="I1624" i="14"/>
  <c r="U1600" i="14"/>
  <c r="I1600" i="14"/>
  <c r="U1608" i="14"/>
  <c r="I1608" i="14"/>
  <c r="U1680" i="14"/>
  <c r="V1680" i="14" s="1"/>
  <c r="A1680" i="14" s="1"/>
  <c r="I1680" i="14"/>
  <c r="U1700" i="14"/>
  <c r="V1700" i="14" s="1"/>
  <c r="A1700" i="14" s="1"/>
  <c r="I1700" i="14"/>
  <c r="U1685" i="14"/>
  <c r="V1685" i="14" s="1"/>
  <c r="A1685" i="14" s="1"/>
  <c r="I1685" i="14"/>
  <c r="U1657" i="14"/>
  <c r="I1657" i="14"/>
  <c r="U1688" i="14"/>
  <c r="I1688" i="14"/>
  <c r="U1686" i="14"/>
  <c r="V1686" i="14" s="1"/>
  <c r="A1686" i="14" s="1"/>
  <c r="I1686" i="14"/>
  <c r="U1498" i="14"/>
  <c r="I1498" i="14"/>
  <c r="U1611" i="14"/>
  <c r="V1611" i="14" s="1"/>
  <c r="A1611" i="14" s="1"/>
  <c r="I1611" i="14"/>
  <c r="U1706" i="14"/>
  <c r="V1706" i="14" s="1"/>
  <c r="A1706" i="14" s="1"/>
  <c r="I1706" i="14"/>
  <c r="T1704" i="14"/>
  <c r="V1704" i="14" s="1"/>
  <c r="A1704" i="14" s="1"/>
  <c r="H1704" i="14"/>
  <c r="T1709" i="14"/>
  <c r="V1709" i="14" s="1"/>
  <c r="A1709" i="14" s="1"/>
  <c r="H1709" i="14"/>
  <c r="T1513" i="14"/>
  <c r="H1513" i="14"/>
  <c r="T1653" i="14"/>
  <c r="V1653" i="14" s="1"/>
  <c r="A1653" i="14" s="1"/>
  <c r="H1653" i="14"/>
  <c r="T1612" i="14"/>
  <c r="V1612" i="14" s="1"/>
  <c r="A1612" i="14" s="1"/>
  <c r="H1612" i="14"/>
  <c r="H1499" i="14"/>
  <c r="T1600" i="14"/>
  <c r="H1600" i="14"/>
  <c r="T1650" i="14"/>
  <c r="V1650" i="14" s="1"/>
  <c r="A1650" i="14" s="1"/>
  <c r="H1650" i="14"/>
  <c r="T1608" i="14"/>
  <c r="H1608" i="14"/>
  <c r="T1664" i="14"/>
  <c r="H1664" i="14"/>
  <c r="T1655" i="14"/>
  <c r="V1655" i="14" s="1"/>
  <c r="A1655" i="14" s="1"/>
  <c r="H1655" i="14"/>
  <c r="T1514" i="14"/>
  <c r="V1514" i="14" s="1"/>
  <c r="A1514" i="14" s="1"/>
  <c r="H1514" i="14"/>
  <c r="T1588" i="14"/>
  <c r="V1588" i="14" s="1"/>
  <c r="A1588" i="14" s="1"/>
  <c r="H1588" i="14"/>
  <c r="T1728" i="14"/>
  <c r="V1728" i="14" s="1"/>
  <c r="A1728" i="14" s="1"/>
  <c r="H1728" i="14"/>
  <c r="H1706" i="14"/>
  <c r="H1697" i="14"/>
  <c r="H1506" i="14"/>
  <c r="H1584" i="14"/>
  <c r="H1671" i="14"/>
  <c r="H1673" i="14"/>
  <c r="H1661" i="14"/>
  <c r="H1571" i="14"/>
  <c r="H1686" i="14"/>
  <c r="H1656" i="14"/>
  <c r="H1733" i="14"/>
  <c r="H1689" i="14"/>
  <c r="H1678" i="14"/>
  <c r="H1525" i="14"/>
  <c r="H1569" i="14"/>
  <c r="T1591" i="14"/>
  <c r="V1591" i="14" s="1"/>
  <c r="A1591" i="14" s="1"/>
  <c r="H1591" i="14"/>
  <c r="T1712" i="14"/>
  <c r="V1712" i="14" s="1"/>
  <c r="A1712" i="14" s="1"/>
  <c r="H1712" i="14"/>
  <c r="T1688" i="14"/>
  <c r="V1688" i="14" s="1"/>
  <c r="A1688" i="14" s="1"/>
  <c r="H1688" i="14"/>
  <c r="T1568" i="14"/>
  <c r="V1568" i="14" s="1"/>
  <c r="A1568" i="14" s="1"/>
  <c r="H1568" i="14"/>
  <c r="T1675" i="14"/>
  <c r="V1675" i="14" s="1"/>
  <c r="A1675" i="14" s="1"/>
  <c r="H1675" i="14"/>
  <c r="T1679" i="14"/>
  <c r="V1679" i="14" s="1"/>
  <c r="A1679" i="14" s="1"/>
  <c r="H1679" i="14"/>
  <c r="T1657" i="14"/>
  <c r="H1657" i="14"/>
  <c r="T1703" i="14"/>
  <c r="V1703" i="14" s="1"/>
  <c r="A1703" i="14" s="1"/>
  <c r="H1703" i="14"/>
  <c r="T1537" i="14"/>
  <c r="V1537" i="14" s="1"/>
  <c r="A1537" i="14" s="1"/>
  <c r="H1537" i="14"/>
  <c r="I1641" i="14"/>
  <c r="I1663" i="14"/>
  <c r="I1610" i="14"/>
  <c r="I1535" i="14"/>
  <c r="I1517" i="14"/>
  <c r="I1589" i="14"/>
  <c r="I1545" i="14"/>
  <c r="V1573" i="14"/>
  <c r="A1573" i="14" s="1"/>
  <c r="I1712" i="14"/>
  <c r="I1516" i="14"/>
  <c r="I1555" i="14"/>
  <c r="I1702" i="14"/>
  <c r="I1669" i="14"/>
  <c r="G1493" i="14"/>
  <c r="G1628" i="14"/>
  <c r="G1708" i="14"/>
  <c r="G1700" i="14"/>
  <c r="G1569" i="14"/>
  <c r="G1575" i="14"/>
  <c r="G1695" i="14"/>
  <c r="G1524" i="14"/>
  <c r="G1522" i="14"/>
  <c r="G1517" i="14"/>
  <c r="E1671" i="14"/>
  <c r="E1506" i="14"/>
  <c r="E1509" i="14"/>
  <c r="E1623" i="14"/>
  <c r="E1508" i="14"/>
  <c r="E1695" i="14"/>
  <c r="E1682" i="14"/>
  <c r="E1728" i="14"/>
  <c r="E1662" i="14"/>
  <c r="E1694" i="14"/>
  <c r="E1673" i="14"/>
  <c r="E1688" i="14"/>
  <c r="E1730" i="14"/>
  <c r="E1495" i="14"/>
  <c r="E1618" i="14"/>
  <c r="E1498" i="14"/>
  <c r="E1505" i="14"/>
  <c r="I1541" i="14"/>
  <c r="I1728" i="14"/>
  <c r="I1570" i="14"/>
  <c r="I1647" i="14"/>
  <c r="I1596" i="14"/>
  <c r="I1567" i="14"/>
  <c r="I1661" i="14"/>
  <c r="I1556" i="14"/>
  <c r="G1638" i="14"/>
  <c r="G1721" i="14"/>
  <c r="G1500" i="14"/>
  <c r="G1495" i="14"/>
  <c r="G1733" i="14"/>
  <c r="G1553" i="14"/>
  <c r="G1577" i="14"/>
  <c r="E1657" i="14"/>
  <c r="E1654" i="14"/>
  <c r="E1621" i="14"/>
  <c r="E1568" i="14"/>
  <c r="E1602" i="14"/>
  <c r="E1553" i="14"/>
  <c r="E1731" i="14"/>
  <c r="E1589" i="14"/>
  <c r="E1581" i="14"/>
  <c r="E1677" i="14"/>
  <c r="E1614" i="14"/>
  <c r="E1499" i="14"/>
  <c r="E1569" i="14"/>
  <c r="E1698" i="14"/>
  <c r="E1693" i="14"/>
  <c r="E1515" i="14"/>
  <c r="E1721" i="14"/>
  <c r="F1711" i="14"/>
  <c r="F1653" i="14"/>
  <c r="F1539" i="14"/>
  <c r="G1528" i="14"/>
  <c r="G1516" i="14"/>
  <c r="G1697" i="14"/>
  <c r="G1686" i="14"/>
  <c r="G1731" i="14"/>
  <c r="G1527" i="14"/>
  <c r="G1716" i="14"/>
  <c r="G1576" i="14"/>
  <c r="G1712" i="14"/>
  <c r="G1650" i="14"/>
  <c r="G1566" i="14"/>
  <c r="G1548" i="14"/>
  <c r="G1559" i="14"/>
  <c r="E1717" i="14"/>
  <c r="E1546" i="14"/>
  <c r="E1656" i="14"/>
  <c r="E1650" i="14"/>
  <c r="E1634" i="14"/>
  <c r="E1578" i="14"/>
  <c r="E1536" i="14"/>
  <c r="E1624" i="14"/>
  <c r="E1554" i="14"/>
  <c r="J1554" i="14" s="1"/>
  <c r="E1719" i="14"/>
  <c r="E1610" i="14"/>
  <c r="F1702" i="14"/>
  <c r="I1722" i="14"/>
  <c r="E1603" i="14"/>
  <c r="V1649" i="14"/>
  <c r="A1649" i="14" s="1"/>
  <c r="V1535" i="14"/>
  <c r="A1535" i="14" s="1"/>
  <c r="V1690" i="14"/>
  <c r="A1690" i="14" s="1"/>
  <c r="V1556" i="14"/>
  <c r="A1556" i="14" s="1"/>
  <c r="V1669" i="14"/>
  <c r="A1669" i="14" s="1"/>
  <c r="V1727" i="14"/>
  <c r="A1727" i="14" s="1"/>
  <c r="V1735" i="14"/>
  <c r="A1735" i="14" s="1"/>
  <c r="E1636" i="14"/>
  <c r="E1640" i="14"/>
  <c r="V1613" i="14"/>
  <c r="A1613" i="14" s="1"/>
  <c r="F1642" i="14"/>
  <c r="V1590" i="14"/>
  <c r="A1590" i="14" s="1"/>
  <c r="V1682" i="14"/>
  <c r="A1682" i="14" s="1"/>
  <c r="V1713" i="14"/>
  <c r="A1713" i="14" s="1"/>
  <c r="G1506" i="14"/>
  <c r="V1545" i="14"/>
  <c r="A1545" i="14" s="1"/>
  <c r="V1620" i="14"/>
  <c r="A1620" i="14" s="1"/>
  <c r="G1508" i="14"/>
  <c r="E1622" i="14"/>
  <c r="V1589" i="14"/>
  <c r="A1589" i="14" s="1"/>
  <c r="V1593" i="14"/>
  <c r="A1593" i="14" s="1"/>
  <c r="V1566" i="14"/>
  <c r="A1566" i="14" s="1"/>
  <c r="V1547" i="14"/>
  <c r="A1547" i="14" s="1"/>
  <c r="V1558" i="14"/>
  <c r="A1558" i="14" s="1"/>
  <c r="V1503" i="14"/>
  <c r="A1503" i="14" s="1"/>
  <c r="V1586" i="14"/>
  <c r="A1586" i="14" s="1"/>
  <c r="V1540" i="14"/>
  <c r="A1540" i="14" s="1"/>
  <c r="V1510" i="14"/>
  <c r="A1510" i="14" s="1"/>
  <c r="V1673" i="14"/>
  <c r="A1673" i="14" s="1"/>
  <c r="V1654" i="14"/>
  <c r="A1654" i="14" s="1"/>
  <c r="H1575" i="14"/>
  <c r="H1508" i="14"/>
  <c r="H1524" i="14"/>
  <c r="H1605" i="14"/>
  <c r="H1694" i="14"/>
  <c r="H1614" i="14"/>
  <c r="H1635" i="14"/>
  <c r="H1702" i="14"/>
  <c r="H1576" i="14"/>
  <c r="H1628" i="14"/>
  <c r="H1581" i="14"/>
  <c r="H1647" i="14"/>
  <c r="H1531" i="14"/>
  <c r="H1549" i="14"/>
  <c r="H1599" i="14"/>
  <c r="H1567" i="14"/>
  <c r="H1518" i="14"/>
  <c r="V1583" i="14"/>
  <c r="A1583" i="14" s="1"/>
  <c r="V1643" i="14"/>
  <c r="A1643" i="14" s="1"/>
  <c r="I1523" i="14"/>
  <c r="I1576" i="14"/>
  <c r="I1725" i="14"/>
  <c r="I1646" i="14"/>
  <c r="I1585" i="14"/>
  <c r="I1703" i="14"/>
  <c r="I1528" i="14"/>
  <c r="I1507" i="14"/>
  <c r="I1571" i="14"/>
  <c r="I1701" i="14"/>
  <c r="I1532" i="14"/>
  <c r="I1536" i="14"/>
  <c r="I1704" i="14"/>
  <c r="I1637" i="14"/>
  <c r="I1691" i="14"/>
  <c r="I1659" i="14"/>
  <c r="I1548" i="14"/>
  <c r="I1681" i="14"/>
  <c r="I1597" i="14"/>
  <c r="I1699" i="14"/>
  <c r="V1641" i="14"/>
  <c r="A1641" i="14" s="1"/>
  <c r="V1639" i="14"/>
  <c r="A1639" i="14" s="1"/>
  <c r="G1521" i="14"/>
  <c r="G1633" i="14"/>
  <c r="G1617" i="14"/>
  <c r="G1504" i="14"/>
  <c r="G1596" i="14"/>
  <c r="G1542" i="14"/>
  <c r="G1589" i="14"/>
  <c r="G1663" i="14"/>
  <c r="G1498" i="14"/>
  <c r="G1734" i="14"/>
  <c r="V1605" i="14"/>
  <c r="A1605" i="14" s="1"/>
  <c r="V1725" i="14"/>
  <c r="A1725" i="14" s="1"/>
  <c r="V1637" i="14"/>
  <c r="A1637" i="14" s="1"/>
  <c r="V1496" i="14"/>
  <c r="A1496" i="14" s="1"/>
  <c r="E1577" i="14"/>
  <c r="E1540" i="14"/>
  <c r="E1593" i="14"/>
  <c r="E1631" i="14"/>
  <c r="E1681" i="14"/>
  <c r="E1533" i="14"/>
  <c r="E1558" i="14"/>
  <c r="E1633" i="14"/>
  <c r="E1596" i="14"/>
  <c r="E1675" i="14"/>
  <c r="E1543" i="14"/>
  <c r="E1637" i="14"/>
  <c r="V1692" i="14"/>
  <c r="A1692" i="14" s="1"/>
  <c r="V1594" i="14"/>
  <c r="A1594" i="14" s="1"/>
  <c r="V1627" i="14"/>
  <c r="A1627" i="14" s="1"/>
  <c r="V1524" i="14"/>
  <c r="A1524" i="14" s="1"/>
  <c r="V1666" i="14"/>
  <c r="A1666" i="14" s="1"/>
  <c r="V1659" i="14"/>
  <c r="A1659" i="14" s="1"/>
  <c r="V1549" i="14"/>
  <c r="A1549" i="14" s="1"/>
  <c r="V1544" i="14"/>
  <c r="A1544" i="14" s="1"/>
  <c r="V1501" i="14"/>
  <c r="A1501" i="14" s="1"/>
  <c r="V1619" i="14"/>
  <c r="A1619" i="14" s="1"/>
  <c r="V1575" i="14"/>
  <c r="A1575" i="14" s="1"/>
  <c r="V1733" i="14"/>
  <c r="A1733" i="14" s="1"/>
  <c r="V1523" i="14"/>
  <c r="A1523" i="14" s="1"/>
  <c r="V1518" i="14"/>
  <c r="A1518" i="14" s="1"/>
  <c r="V1571" i="14"/>
  <c r="A1571" i="14" s="1"/>
  <c r="V1724" i="14"/>
  <c r="A1724" i="14" s="1"/>
  <c r="V1628" i="14"/>
  <c r="A1628" i="14" s="1"/>
  <c r="V1565" i="14"/>
  <c r="A1565" i="14" s="1"/>
  <c r="V1557" i="14"/>
  <c r="A1557" i="14" s="1"/>
  <c r="V1504" i="14"/>
  <c r="A1504" i="14" s="1"/>
  <c r="V1502" i="14"/>
  <c r="A1502" i="14" s="1"/>
  <c r="V1531" i="14"/>
  <c r="A1531" i="14" s="1"/>
  <c r="V1668" i="14"/>
  <c r="A1668" i="14" s="1"/>
  <c r="V1579" i="14"/>
  <c r="A1579" i="14" s="1"/>
  <c r="V1652" i="14"/>
  <c r="A1652" i="14" s="1"/>
  <c r="E1551" i="14"/>
  <c r="V1691" i="14"/>
  <c r="A1691" i="14" s="1"/>
  <c r="F1531" i="14"/>
  <c r="F1521" i="14"/>
  <c r="F1714" i="14"/>
  <c r="F1547" i="14"/>
  <c r="F1678" i="14"/>
  <c r="F1597" i="14"/>
  <c r="F1631" i="14"/>
  <c r="F1583" i="14"/>
  <c r="F1571" i="14"/>
  <c r="F1699" i="14"/>
  <c r="F1537" i="14"/>
  <c r="F1589" i="14"/>
  <c r="F1587" i="14"/>
  <c r="F1511" i="14"/>
  <c r="F1713" i="14"/>
  <c r="F1563" i="14"/>
  <c r="V1542" i="14"/>
  <c r="A1542" i="14" s="1"/>
  <c r="V1661" i="14"/>
  <c r="A1661" i="14" s="1"/>
  <c r="V1683" i="14"/>
  <c r="A1683" i="14" s="1"/>
  <c r="V1721" i="14"/>
  <c r="A1721" i="14" s="1"/>
  <c r="V1509" i="14"/>
  <c r="A1509" i="14" s="1"/>
  <c r="V1617" i="14"/>
  <c r="A1617" i="14" s="1"/>
  <c r="V1625" i="14"/>
  <c r="A1625" i="14" s="1"/>
  <c r="V1494" i="14"/>
  <c r="A1494" i="14" s="1"/>
  <c r="V1526" i="14"/>
  <c r="A1526" i="14" s="1"/>
  <c r="V1684" i="14"/>
  <c r="A1684" i="14" s="1"/>
  <c r="V1604" i="14"/>
  <c r="A1604" i="14" s="1"/>
  <c r="V1577" i="14"/>
  <c r="A1577" i="14" s="1"/>
  <c r="V1607" i="14"/>
  <c r="A1607" i="14" s="1"/>
  <c r="V1687" i="14"/>
  <c r="A1687" i="14" s="1"/>
  <c r="V1582" i="14"/>
  <c r="A1582" i="14" s="1"/>
  <c r="V1642" i="14"/>
  <c r="A1642" i="14" s="1"/>
  <c r="V1708" i="14"/>
  <c r="A1708" i="14" s="1"/>
  <c r="V1663" i="14"/>
  <c r="A1663" i="14" s="1"/>
  <c r="V292" i="10"/>
  <c r="M293" i="10"/>
  <c r="V1539" i="14"/>
  <c r="A1539" i="14" s="1"/>
  <c r="H1505" i="14"/>
  <c r="H1693" i="14"/>
  <c r="H1681" i="14"/>
  <c r="H1698" i="14"/>
  <c r="H1725" i="14"/>
  <c r="H1715" i="14"/>
  <c r="H1634" i="14"/>
  <c r="H1555" i="14"/>
  <c r="V1507" i="14"/>
  <c r="A1507" i="14" s="1"/>
  <c r="H1666" i="14"/>
  <c r="V1561" i="14"/>
  <c r="A1561" i="14" s="1"/>
  <c r="V1711" i="14"/>
  <c r="A1711" i="14" s="1"/>
  <c r="I1621" i="14"/>
  <c r="I1606" i="14"/>
  <c r="I1673" i="14"/>
  <c r="I1496" i="14"/>
  <c r="I1590" i="14"/>
  <c r="I1505" i="14"/>
  <c r="I1511" i="14"/>
  <c r="I1628" i="14"/>
  <c r="I1602" i="14"/>
  <c r="I1518" i="14"/>
  <c r="I1720" i="14"/>
  <c r="I1654" i="14"/>
  <c r="I1679" i="14"/>
  <c r="V1576" i="14"/>
  <c r="A1576" i="14" s="1"/>
  <c r="V1732" i="14"/>
  <c r="A1732" i="14" s="1"/>
  <c r="G1509" i="14"/>
  <c r="G1729" i="14"/>
  <c r="G1526" i="14"/>
  <c r="G1679" i="14"/>
  <c r="G1657" i="14"/>
  <c r="G1681" i="14"/>
  <c r="G1510" i="14"/>
  <c r="G1540" i="14"/>
  <c r="G1582" i="14"/>
  <c r="G1667" i="14"/>
  <c r="G1641" i="14"/>
  <c r="G1505" i="14"/>
  <c r="G1728" i="14"/>
  <c r="G1572" i="14"/>
  <c r="G1570" i="14"/>
  <c r="G1674" i="14"/>
  <c r="V1528" i="14"/>
  <c r="A1528" i="14" s="1"/>
  <c r="V1697" i="14"/>
  <c r="A1697" i="14" s="1"/>
  <c r="G1718" i="14"/>
  <c r="G1709" i="14"/>
  <c r="E1526" i="14"/>
  <c r="E1514" i="14"/>
  <c r="E1580" i="14"/>
  <c r="E1725" i="14"/>
  <c r="E1697" i="14"/>
  <c r="E1547" i="14"/>
  <c r="E1592" i="14"/>
  <c r="E1494" i="14"/>
  <c r="E1585" i="14"/>
  <c r="E1613" i="14"/>
  <c r="E1561" i="14"/>
  <c r="E1639" i="14"/>
  <c r="E1663" i="14"/>
  <c r="V1719" i="14"/>
  <c r="A1719" i="14" s="1"/>
  <c r="V1677" i="14"/>
  <c r="A1677" i="14" s="1"/>
  <c r="V1499" i="14"/>
  <c r="A1499" i="14" s="1"/>
  <c r="V1694" i="14"/>
  <c r="A1694" i="14" s="1"/>
  <c r="V1508" i="14"/>
  <c r="A1508" i="14" s="1"/>
  <c r="V1610" i="14"/>
  <c r="A1610" i="14" s="1"/>
  <c r="V1495" i="14"/>
  <c r="A1495" i="14" s="1"/>
  <c r="V1658" i="14"/>
  <c r="A1658" i="14" s="1"/>
  <c r="V1701" i="14"/>
  <c r="A1701" i="14" s="1"/>
  <c r="V1516" i="14"/>
  <c r="A1516" i="14" s="1"/>
  <c r="V1734" i="14"/>
  <c r="A1734" i="14" s="1"/>
  <c r="V1587" i="14"/>
  <c r="A1587" i="14" s="1"/>
  <c r="V1689" i="14"/>
  <c r="A1689" i="14" s="1"/>
  <c r="V1517" i="14"/>
  <c r="A1517" i="14" s="1"/>
  <c r="V1552" i="14"/>
  <c r="A1552" i="14" s="1"/>
  <c r="V1678" i="14"/>
  <c r="A1678" i="14" s="1"/>
  <c r="V1630" i="14"/>
  <c r="A1630" i="14" s="1"/>
  <c r="V1707" i="14"/>
  <c r="A1707" i="14" s="1"/>
  <c r="V1667" i="14"/>
  <c r="A1667" i="14" s="1"/>
  <c r="V1550" i="14"/>
  <c r="A1550" i="14" s="1"/>
  <c r="V1674" i="14"/>
  <c r="A1674" i="14" s="1"/>
  <c r="V1665" i="14"/>
  <c r="A1665" i="14" s="1"/>
  <c r="V1541" i="14"/>
  <c r="A1541" i="14" s="1"/>
  <c r="V1646" i="14"/>
  <c r="A1646" i="14" s="1"/>
  <c r="V1702" i="14"/>
  <c r="A1702" i="14" s="1"/>
  <c r="V1718" i="14"/>
  <c r="A1718" i="14" s="1"/>
  <c r="V1597" i="14"/>
  <c r="A1597" i="14" s="1"/>
  <c r="F1514" i="14"/>
  <c r="F1671" i="14"/>
  <c r="F1622" i="14"/>
  <c r="F1535" i="14"/>
  <c r="F1604" i="14"/>
  <c r="F1691" i="14"/>
  <c r="F1527" i="14"/>
  <c r="F1592" i="14"/>
  <c r="F1689" i="14"/>
  <c r="F1585" i="14"/>
  <c r="F1570" i="14"/>
  <c r="F1577" i="14"/>
  <c r="F1544" i="14"/>
  <c r="F1522" i="14"/>
  <c r="V1497" i="14"/>
  <c r="A1497" i="14" s="1"/>
  <c r="V1529" i="14"/>
  <c r="A1529" i="14" s="1"/>
  <c r="V1555" i="14"/>
  <c r="A1555" i="14" s="1"/>
  <c r="I1515" i="14"/>
  <c r="G1598" i="14"/>
  <c r="V1681" i="14"/>
  <c r="A1681" i="14" s="1"/>
  <c r="H1578" i="14"/>
  <c r="H1625" i="14"/>
  <c r="H1627" i="14"/>
  <c r="H1526" i="14"/>
  <c r="U293" i="10"/>
  <c r="L294" i="10"/>
  <c r="H1633" i="14"/>
  <c r="H1572" i="14"/>
  <c r="H1701" i="14"/>
  <c r="H1670" i="14"/>
  <c r="H1705" i="14"/>
  <c r="H1680" i="14"/>
  <c r="H1684" i="14"/>
  <c r="H1700" i="14"/>
  <c r="H1586" i="14"/>
  <c r="H1631" i="14"/>
  <c r="H1692" i="14"/>
  <c r="H1665" i="14"/>
  <c r="H1551" i="14"/>
  <c r="H1497" i="14"/>
  <c r="H1579" i="14"/>
  <c r="H1589" i="14"/>
  <c r="H1642" i="14"/>
  <c r="H1507" i="14"/>
  <c r="H1532" i="14"/>
  <c r="H1710" i="14"/>
  <c r="H1719" i="14"/>
  <c r="H1504" i="14"/>
  <c r="H1695" i="14"/>
  <c r="H1624" i="14"/>
  <c r="V1606" i="14"/>
  <c r="A1606" i="14" s="1"/>
  <c r="V1519" i="14"/>
  <c r="A1519" i="14" s="1"/>
  <c r="I1566" i="14"/>
  <c r="I1504" i="14"/>
  <c r="I1539" i="14"/>
  <c r="I1713" i="14"/>
  <c r="I1493" i="14"/>
  <c r="I1678" i="14"/>
  <c r="I1552" i="14"/>
  <c r="I1510" i="14"/>
  <c r="I1653" i="14"/>
  <c r="I1650" i="14"/>
  <c r="I1547" i="14"/>
  <c r="I1617" i="14"/>
  <c r="I1638" i="14"/>
  <c r="I1512" i="14"/>
  <c r="I1533" i="14"/>
  <c r="I1569" i="14"/>
  <c r="I1682" i="14"/>
  <c r="I1514" i="14"/>
  <c r="I1645" i="14"/>
  <c r="I1558" i="14"/>
  <c r="I1568" i="14"/>
  <c r="I1626" i="14"/>
  <c r="I1627" i="14"/>
  <c r="V1631" i="14"/>
  <c r="A1631" i="14" s="1"/>
  <c r="V1693" i="14"/>
  <c r="A1693" i="14" s="1"/>
  <c r="V1570" i="14"/>
  <c r="A1570" i="14" s="1"/>
  <c r="G1545" i="14"/>
  <c r="G1513" i="14"/>
  <c r="G1701" i="14"/>
  <c r="G1601" i="14"/>
  <c r="G1511" i="14"/>
  <c r="G1586" i="14"/>
  <c r="G1654" i="14"/>
  <c r="G1612" i="14"/>
  <c r="G1620" i="14"/>
  <c r="G1557" i="14"/>
  <c r="G1533" i="14"/>
  <c r="G1579" i="14"/>
  <c r="G1564" i="14"/>
  <c r="G1646" i="14"/>
  <c r="G1693" i="14"/>
  <c r="V1578" i="14"/>
  <c r="A1578" i="14" s="1"/>
  <c r="G1593" i="14"/>
  <c r="V1562" i="14"/>
  <c r="A1562" i="14" s="1"/>
  <c r="G1501" i="14"/>
  <c r="G1571" i="14"/>
  <c r="G1722" i="14"/>
  <c r="V1730" i="14"/>
  <c r="A1730" i="14" s="1"/>
  <c r="V1715" i="14"/>
  <c r="A1715" i="14" s="1"/>
  <c r="G1710" i="14"/>
  <c r="G1694" i="14"/>
  <c r="V1554" i="14"/>
  <c r="A1554" i="14" s="1"/>
  <c r="V1567" i="14"/>
  <c r="A1567" i="14" s="1"/>
  <c r="G1518" i="14"/>
  <c r="E1566" i="14"/>
  <c r="E1537" i="14"/>
  <c r="E1735" i="14"/>
  <c r="E1649" i="14"/>
  <c r="E1670" i="14"/>
  <c r="E1655" i="14"/>
  <c r="E1687" i="14"/>
  <c r="E1510" i="14"/>
  <c r="E1559" i="14"/>
  <c r="E1727" i="14"/>
  <c r="E1642" i="14"/>
  <c r="E1664" i="14"/>
  <c r="E1615" i="14"/>
  <c r="E1644" i="14"/>
  <c r="E1525" i="14"/>
  <c r="E1684" i="14"/>
  <c r="E1607" i="14"/>
  <c r="V1726" i="14"/>
  <c r="A1726" i="14" s="1"/>
  <c r="V1622" i="14"/>
  <c r="A1622" i="14" s="1"/>
  <c r="V1603" i="14"/>
  <c r="A1603" i="14" s="1"/>
  <c r="V1714" i="14"/>
  <c r="A1714" i="14" s="1"/>
  <c r="V1640" i="14"/>
  <c r="A1640" i="14" s="1"/>
  <c r="V1648" i="14"/>
  <c r="A1648" i="14" s="1"/>
  <c r="V1647" i="14"/>
  <c r="A1647" i="14" s="1"/>
  <c r="E1604" i="14"/>
  <c r="V1671" i="14"/>
  <c r="A1671" i="14" s="1"/>
  <c r="V1662" i="14"/>
  <c r="A1662" i="14" s="1"/>
  <c r="V1511" i="14"/>
  <c r="A1511" i="14" s="1"/>
  <c r="V1618" i="14"/>
  <c r="A1618" i="14" s="1"/>
  <c r="V1656" i="14"/>
  <c r="A1656" i="14" s="1"/>
  <c r="V1722" i="14"/>
  <c r="A1722" i="14" s="1"/>
  <c r="V1621" i="14"/>
  <c r="A1621" i="14" s="1"/>
  <c r="V1505" i="14"/>
  <c r="A1505" i="14" s="1"/>
  <c r="V1506" i="14"/>
  <c r="A1506" i="14" s="1"/>
  <c r="V1530" i="14"/>
  <c r="A1530" i="14" s="1"/>
  <c r="V1698" i="14"/>
  <c r="A1698" i="14" s="1"/>
  <c r="V1569" i="14"/>
  <c r="A1569" i="14" s="1"/>
  <c r="V1572" i="14"/>
  <c r="A1572" i="14" s="1"/>
  <c r="V1515" i="14"/>
  <c r="A1515" i="14" s="1"/>
  <c r="V1602" i="14"/>
  <c r="A1602" i="14" s="1"/>
  <c r="V1731" i="14"/>
  <c r="A1731" i="14" s="1"/>
  <c r="V1581" i="14"/>
  <c r="A1581" i="14" s="1"/>
  <c r="V1532" i="14"/>
  <c r="A1532" i="14" s="1"/>
  <c r="V1729" i="14"/>
  <c r="A1729" i="14" s="1"/>
  <c r="V1553" i="14"/>
  <c r="A1553" i="14" s="1"/>
  <c r="F1697" i="14"/>
  <c r="F1720" i="14"/>
  <c r="F1643" i="14"/>
  <c r="F1662" i="14"/>
  <c r="F1584" i="14"/>
  <c r="F1658" i="14"/>
  <c r="F1541" i="14"/>
  <c r="F1543" i="14"/>
  <c r="F1507" i="14"/>
  <c r="F1534" i="14"/>
  <c r="V1638" i="14"/>
  <c r="A1638" i="14" s="1"/>
  <c r="V1629" i="14"/>
  <c r="A1629" i="14" s="1"/>
  <c r="V1717" i="14"/>
  <c r="A1717" i="14" s="1"/>
  <c r="V1512" i="14"/>
  <c r="A1512" i="14" s="1"/>
  <c r="J1734" i="14" l="1"/>
  <c r="J1538" i="14"/>
  <c r="J1520" i="14"/>
  <c r="J1557" i="14"/>
  <c r="J1587" i="14"/>
  <c r="J1703" i="14"/>
  <c r="J1530" i="14"/>
  <c r="J1522" i="14"/>
  <c r="J1594" i="14"/>
  <c r="J1724" i="14"/>
  <c r="J1618" i="14"/>
  <c r="J1602" i="14"/>
  <c r="J1620" i="14"/>
  <c r="J1574" i="14"/>
  <c r="J1609" i="14"/>
  <c r="J1562" i="14"/>
  <c r="J1726" i="14"/>
  <c r="J1612" i="14"/>
  <c r="J1494" i="14"/>
  <c r="J1496" i="14"/>
  <c r="J1637" i="14"/>
  <c r="J1619" i="14"/>
  <c r="J1630" i="14"/>
  <c r="J1665" i="14"/>
  <c r="J1561" i="14"/>
  <c r="J1647" i="14"/>
  <c r="V1534" i="14"/>
  <c r="A1534" i="14" s="1"/>
  <c r="J1690" i="14"/>
  <c r="J1707" i="14"/>
  <c r="J1527" i="14"/>
  <c r="J1718" i="14"/>
  <c r="J1730" i="14"/>
  <c r="J1708" i="14"/>
  <c r="J1658" i="14"/>
  <c r="J1645" i="14"/>
  <c r="J1729" i="14"/>
  <c r="J1704" i="14"/>
  <c r="J1529" i="14"/>
  <c r="J1629" i="14"/>
  <c r="J1550" i="14"/>
  <c r="J1670" i="14"/>
  <c r="J1501" i="14"/>
  <c r="J1601" i="14"/>
  <c r="J1582" i="14"/>
  <c r="J1611" i="14"/>
  <c r="J1632" i="14"/>
  <c r="J1683" i="14"/>
  <c r="J1648" i="14"/>
  <c r="J1579" i="14"/>
  <c r="J1581" i="14"/>
  <c r="J1669" i="14"/>
  <c r="J1565" i="14"/>
  <c r="J1519" i="14"/>
  <c r="J1542" i="14"/>
  <c r="V1595" i="14"/>
  <c r="A1595" i="14" s="1"/>
  <c r="J1531" i="14"/>
  <c r="J1559" i="14"/>
  <c r="J1545" i="14"/>
  <c r="J1552" i="14"/>
  <c r="J1497" i="14"/>
  <c r="J1622" i="14"/>
  <c r="J1555" i="14"/>
  <c r="J1603" i="14"/>
  <c r="J1621" i="14"/>
  <c r="J1553" i="14"/>
  <c r="J1649" i="14"/>
  <c r="J1701" i="14"/>
  <c r="J1706" i="14"/>
  <c r="J1607" i="14"/>
  <c r="J1735" i="14"/>
  <c r="J1719" i="14"/>
  <c r="J1598" i="14"/>
  <c r="J1613" i="14"/>
  <c r="J1634" i="14"/>
  <c r="J1675" i="14"/>
  <c r="J1698" i="14"/>
  <c r="J1677" i="14"/>
  <c r="V1664" i="14"/>
  <c r="A1664" i="14" s="1"/>
  <c r="J1660" i="14"/>
  <c r="V1723" i="14"/>
  <c r="A1723" i="14" s="1"/>
  <c r="V1616" i="14"/>
  <c r="A1616" i="14" s="1"/>
  <c r="J1623" i="14"/>
  <c r="J1668" i="14"/>
  <c r="J1711" i="14"/>
  <c r="J1571" i="14"/>
  <c r="J1516" i="14"/>
  <c r="J1659" i="14"/>
  <c r="J1674" i="14"/>
  <c r="J1556" i="14"/>
  <c r="J1503" i="14"/>
  <c r="J1651" i="14"/>
  <c r="J1732" i="14"/>
  <c r="J1696" i="14"/>
  <c r="J1524" i="14"/>
  <c r="J1693" i="14"/>
  <c r="J1653" i="14"/>
  <c r="J1725" i="14"/>
  <c r="J1728" i="14"/>
  <c r="J1666" i="14"/>
  <c r="J1715" i="14"/>
  <c r="J1498" i="14"/>
  <c r="J1521" i="14"/>
  <c r="J1567" i="14"/>
  <c r="J1605" i="14"/>
  <c r="J1723" i="14"/>
  <c r="J1604" i="14"/>
  <c r="J1684" i="14"/>
  <c r="J1586" i="14"/>
  <c r="J1590" i="14"/>
  <c r="J1563" i="14"/>
  <c r="J1583" i="14"/>
  <c r="J1500" i="14"/>
  <c r="V1600" i="14"/>
  <c r="A1600" i="14" s="1"/>
  <c r="J1616" i="14"/>
  <c r="J1560" i="14"/>
  <c r="J1541" i="14"/>
  <c r="J1722" i="14"/>
  <c r="J1512" i="14"/>
  <c r="J1580" i="14"/>
  <c r="J1509" i="14"/>
  <c r="J1606" i="14"/>
  <c r="J1714" i="14"/>
  <c r="J1599" i="14"/>
  <c r="J1712" i="14"/>
  <c r="J1731" i="14"/>
  <c r="J1721" i="14"/>
  <c r="J1495" i="14"/>
  <c r="J1506" i="14"/>
  <c r="J1517" i="14"/>
  <c r="J1673" i="14"/>
  <c r="J1588" i="14"/>
  <c r="J1608" i="14"/>
  <c r="V1657" i="14"/>
  <c r="A1657" i="14" s="1"/>
  <c r="V1520" i="14"/>
  <c r="A1520" i="14" s="1"/>
  <c r="J1717" i="14"/>
  <c r="V1498" i="14"/>
  <c r="A1498" i="14" s="1"/>
  <c r="J1667" i="14"/>
  <c r="J1575" i="14"/>
  <c r="J1502" i="14"/>
  <c r="J1652" i="14"/>
  <c r="J1676" i="14"/>
  <c r="J1534" i="14"/>
  <c r="J1720" i="14"/>
  <c r="J1646" i="14"/>
  <c r="J1568" i="14"/>
  <c r="J1682" i="14"/>
  <c r="J1624" i="14"/>
  <c r="J1700" i="14"/>
  <c r="J1625" i="14"/>
  <c r="J1663" i="14"/>
  <c r="J1679" i="14"/>
  <c r="J1699" i="14"/>
  <c r="J1614" i="14"/>
  <c r="J1508" i="14"/>
  <c r="J1636" i="14"/>
  <c r="J1686" i="14"/>
  <c r="J1499" i="14"/>
  <c r="J1661" i="14"/>
  <c r="J1672" i="14"/>
  <c r="J1573" i="14"/>
  <c r="J1615" i="14"/>
  <c r="J1687" i="14"/>
  <c r="J1507" i="14"/>
  <c r="J1584" i="14"/>
  <c r="J1537" i="14"/>
  <c r="J1511" i="14"/>
  <c r="J1569" i="14"/>
  <c r="J1692" i="14"/>
  <c r="J1694" i="14"/>
  <c r="J1578" i="14"/>
  <c r="J1544" i="14"/>
  <c r="J1689" i="14"/>
  <c r="J1639" i="14"/>
  <c r="J1635" i="14"/>
  <c r="J1610" i="14"/>
  <c r="J1656" i="14"/>
  <c r="J1591" i="14"/>
  <c r="V1608" i="14"/>
  <c r="A1608" i="14" s="1"/>
  <c r="J1685" i="14"/>
  <c r="V1644" i="14"/>
  <c r="A1644" i="14" s="1"/>
  <c r="J1662" i="14"/>
  <c r="J1525" i="14"/>
  <c r="J1518" i="14"/>
  <c r="J1650" i="14"/>
  <c r="J1641" i="14"/>
  <c r="J1528" i="14"/>
  <c r="J1549" i="14"/>
  <c r="J1644" i="14"/>
  <c r="J1655" i="14"/>
  <c r="J1513" i="14"/>
  <c r="J1638" i="14"/>
  <c r="J1493" i="14"/>
  <c r="J1705" i="14"/>
  <c r="J1570" i="14"/>
  <c r="J1536" i="14"/>
  <c r="J1548" i="14"/>
  <c r="J1576" i="14"/>
  <c r="J1671" i="14"/>
  <c r="J1702" i="14"/>
  <c r="J1657" i="14"/>
  <c r="J1688" i="14"/>
  <c r="J1709" i="14"/>
  <c r="J1600" i="14"/>
  <c r="J1733" i="14"/>
  <c r="J1716" i="14"/>
  <c r="V1513" i="14"/>
  <c r="A1513" i="14" s="1"/>
  <c r="J1595" i="14"/>
  <c r="J1640" i="14"/>
  <c r="J1523" i="14"/>
  <c r="J1546" i="14"/>
  <c r="J1564" i="14"/>
  <c r="J1515" i="14"/>
  <c r="J1691" i="14"/>
  <c r="J1596" i="14"/>
  <c r="J1642" i="14"/>
  <c r="J1566" i="14"/>
  <c r="J1539" i="14"/>
  <c r="J1695" i="14"/>
  <c r="J1532" i="14"/>
  <c r="J1643" i="14"/>
  <c r="J1664" i="14"/>
  <c r="J1727" i="14"/>
  <c r="J1710" i="14"/>
  <c r="J1654" i="14"/>
  <c r="J1626" i="14"/>
  <c r="J1680" i="14"/>
  <c r="J1535" i="14"/>
  <c r="J1504" i="14"/>
  <c r="J1713" i="14"/>
  <c r="J1627" i="14"/>
  <c r="J1577" i="14"/>
  <c r="J1617" i="14"/>
  <c r="J1597" i="14"/>
  <c r="J1628" i="14"/>
  <c r="J1585" i="14"/>
  <c r="J1505" i="14"/>
  <c r="J1678" i="14"/>
  <c r="J1681" i="14"/>
  <c r="J1572" i="14"/>
  <c r="J1589" i="14"/>
  <c r="J1510" i="14"/>
  <c r="J1592" i="14"/>
  <c r="J1514" i="14"/>
  <c r="J1526" i="14"/>
  <c r="J1533" i="14"/>
  <c r="J1631" i="14"/>
  <c r="J1540" i="14"/>
  <c r="U294" i="10"/>
  <c r="L295" i="10"/>
  <c r="J1697" i="14"/>
  <c r="V293" i="10"/>
  <c r="M294" i="10"/>
  <c r="J1551" i="14"/>
  <c r="J1593" i="14"/>
  <c r="J1558" i="14"/>
  <c r="J1547" i="14"/>
  <c r="J1543" i="14"/>
  <c r="J1633" i="14"/>
  <c r="AA10" i="14" l="1"/>
  <c r="J139" i="13" s="1"/>
  <c r="M295" i="10"/>
  <c r="V294" i="10"/>
  <c r="L296" i="10"/>
  <c r="U295" i="10"/>
  <c r="D139" i="13" l="1"/>
  <c r="D159" i="13" s="1"/>
  <c r="AJ33" i="14" s="1"/>
  <c r="J159" i="13"/>
  <c r="I139" i="13"/>
  <c r="H159" i="13"/>
  <c r="G139" i="13"/>
  <c r="AB10" i="14"/>
  <c r="K159" i="13"/>
  <c r="E139" i="13"/>
  <c r="L297" i="10"/>
  <c r="U296" i="10"/>
  <c r="M296" i="10"/>
  <c r="V295" i="10"/>
  <c r="L139" i="13" l="1"/>
  <c r="K139" i="13"/>
  <c r="G106" i="13" s="1"/>
  <c r="AB53" i="14" s="1"/>
  <c r="L298" i="10"/>
  <c r="U297" i="10"/>
  <c r="M297" i="10"/>
  <c r="V296" i="10"/>
  <c r="AA53" i="14" l="1"/>
  <c r="H106" i="13" s="1"/>
  <c r="I106" i="13"/>
  <c r="V297" i="10"/>
  <c r="M298" i="10"/>
  <c r="L299" i="10"/>
  <c r="U298" i="10"/>
  <c r="L300" i="10" l="1"/>
  <c r="U299" i="10"/>
  <c r="V298" i="10"/>
  <c r="M299" i="10"/>
  <c r="V299" i="10" l="1"/>
  <c r="M300" i="10"/>
  <c r="L301" i="10"/>
  <c r="U300" i="10"/>
  <c r="L302" i="10" l="1"/>
  <c r="U301" i="10"/>
  <c r="V300" i="10"/>
  <c r="M301" i="10"/>
  <c r="M302" i="10" l="1"/>
  <c r="V301" i="10"/>
  <c r="U302" i="10"/>
  <c r="L303" i="10"/>
  <c r="L304" i="10" l="1"/>
  <c r="U303" i="10"/>
  <c r="V302" i="10"/>
  <c r="M303" i="10"/>
  <c r="M304" i="10" l="1"/>
  <c r="V303" i="10"/>
  <c r="U304" i="10"/>
  <c r="L305" i="10"/>
  <c r="U305" i="10" l="1"/>
  <c r="L306" i="10"/>
  <c r="M305" i="10"/>
  <c r="V304" i="10"/>
  <c r="M306" i="10" l="1"/>
  <c r="V305" i="10"/>
  <c r="L307" i="10"/>
  <c r="U306" i="10"/>
  <c r="U307" i="10" l="1"/>
  <c r="L308" i="10"/>
  <c r="V306" i="10"/>
  <c r="M307" i="10"/>
  <c r="V307" i="10" l="1"/>
  <c r="M308" i="10"/>
  <c r="U308" i="10"/>
  <c r="L309" i="10"/>
  <c r="L310" i="10" l="1"/>
  <c r="U309" i="10"/>
  <c r="M309" i="10"/>
  <c r="V308" i="10"/>
  <c r="V309" i="10" l="1"/>
  <c r="M310" i="10"/>
  <c r="L311" i="10"/>
  <c r="U310" i="10"/>
  <c r="L312" i="10" l="1"/>
  <c r="U311" i="10"/>
  <c r="M311" i="10"/>
  <c r="V310" i="10"/>
  <c r="V311" i="10" l="1"/>
  <c r="M312" i="10"/>
  <c r="L313" i="10"/>
  <c r="U312" i="10"/>
  <c r="U313" i="10" l="1"/>
  <c r="L314" i="10"/>
  <c r="M313" i="10"/>
  <c r="V312" i="10"/>
  <c r="V313" i="10" l="1"/>
  <c r="M314" i="10"/>
  <c r="U314" i="10"/>
  <c r="L315" i="10"/>
  <c r="U315" i="10" l="1"/>
  <c r="L316" i="10"/>
  <c r="V314" i="10"/>
  <c r="M315" i="10"/>
  <c r="M316" i="10" l="1"/>
  <c r="V315" i="10"/>
  <c r="U316" i="10"/>
  <c r="L317" i="10"/>
  <c r="U317" i="10" l="1"/>
  <c r="L318" i="10"/>
  <c r="V316" i="10"/>
  <c r="M317" i="10"/>
  <c r="V317" i="10" l="1"/>
  <c r="M318" i="10"/>
  <c r="L319" i="10"/>
  <c r="U318" i="10"/>
  <c r="U319" i="10" l="1"/>
  <c r="L320" i="10"/>
  <c r="V318" i="10"/>
  <c r="M319" i="10"/>
  <c r="M320" i="10" l="1"/>
  <c r="V319" i="10"/>
  <c r="L321" i="10"/>
  <c r="U320" i="10"/>
  <c r="U321" i="10" l="1"/>
  <c r="L322" i="10"/>
  <c r="M321" i="10"/>
  <c r="V320" i="10"/>
  <c r="M322" i="10" l="1"/>
  <c r="V321" i="10"/>
  <c r="L323" i="10"/>
  <c r="U322" i="10"/>
  <c r="U323" i="10" l="1"/>
  <c r="L324" i="10"/>
  <c r="V322" i="10"/>
  <c r="M323" i="10"/>
  <c r="M324" i="10" l="1"/>
  <c r="V323" i="10"/>
  <c r="U324" i="10"/>
  <c r="L325" i="10"/>
  <c r="U325" i="10" l="1"/>
  <c r="L326" i="10"/>
  <c r="V324" i="10"/>
  <c r="M325" i="10"/>
  <c r="M326" i="10" l="1"/>
  <c r="V325" i="10"/>
  <c r="L327" i="10"/>
  <c r="U326" i="10"/>
  <c r="U327" i="10" l="1"/>
  <c r="L328" i="10"/>
  <c r="M327" i="10"/>
  <c r="V326" i="10"/>
  <c r="V327" i="10" l="1"/>
  <c r="M328" i="10"/>
  <c r="U328" i="10"/>
  <c r="L329" i="10"/>
  <c r="U329" i="10" l="1"/>
  <c r="L330" i="10"/>
  <c r="E158" i="12"/>
  <c r="M329" i="10"/>
  <c r="V328" i="10"/>
  <c r="E107" i="13" l="1"/>
  <c r="F207" i="13"/>
  <c r="L331" i="10"/>
  <c r="U330" i="10"/>
  <c r="M330" i="10"/>
  <c r="F158" i="12"/>
  <c r="F107" i="13" s="1"/>
  <c r="V329" i="10"/>
  <c r="U331" i="10" l="1"/>
  <c r="L332" i="10"/>
  <c r="AD54" i="14"/>
  <c r="Z54" i="14"/>
  <c r="AP34" i="14"/>
  <c r="AM34" i="14"/>
  <c r="AN34" i="14"/>
  <c r="AL34" i="14"/>
  <c r="AO34" i="14"/>
  <c r="M331" i="10"/>
  <c r="V330" i="10"/>
  <c r="M1983" i="14" l="1"/>
  <c r="S1983" i="14" s="1"/>
  <c r="M1965" i="14"/>
  <c r="S1965" i="14" s="1"/>
  <c r="M1966" i="14"/>
  <c r="S1966" i="14" s="1"/>
  <c r="M1741" i="14"/>
  <c r="S1741" i="14" s="1"/>
  <c r="M1893" i="14"/>
  <c r="S1893" i="14" s="1"/>
  <c r="M1851" i="14"/>
  <c r="S1851" i="14" s="1"/>
  <c r="M1865" i="14"/>
  <c r="S1865" i="14" s="1"/>
  <c r="M1839" i="14"/>
  <c r="S1839" i="14" s="1"/>
  <c r="M1892" i="14"/>
  <c r="S1892" i="14" s="1"/>
  <c r="M1818" i="14"/>
  <c r="S1818" i="14" s="1"/>
  <c r="M1832" i="14"/>
  <c r="S1832" i="14" s="1"/>
  <c r="M1838" i="14"/>
  <c r="S1838" i="14" s="1"/>
  <c r="M1820" i="14"/>
  <c r="S1820" i="14" s="1"/>
  <c r="M1810" i="14"/>
  <c r="S1810" i="14" s="1"/>
  <c r="M1894" i="14"/>
  <c r="S1894" i="14" s="1"/>
  <c r="M1790" i="14"/>
  <c r="S1790" i="14" s="1"/>
  <c r="M1917" i="14"/>
  <c r="S1917" i="14" s="1"/>
  <c r="M1821" i="14"/>
  <c r="S1821" i="14" s="1"/>
  <c r="M1813" i="14"/>
  <c r="S1813" i="14" s="1"/>
  <c r="M1787" i="14"/>
  <c r="S1787" i="14" s="1"/>
  <c r="M1769" i="14"/>
  <c r="S1769" i="14" s="1"/>
  <c r="M1791" i="14"/>
  <c r="S1791" i="14" s="1"/>
  <c r="M1752" i="14"/>
  <c r="S1752" i="14" s="1"/>
  <c r="M1811" i="14"/>
  <c r="S1811" i="14" s="1"/>
  <c r="M1825" i="14"/>
  <c r="S1825" i="14" s="1"/>
  <c r="M1783" i="14"/>
  <c r="S1783" i="14" s="1"/>
  <c r="M1797" i="14"/>
  <c r="S1797" i="14" s="1"/>
  <c r="M1771" i="14"/>
  <c r="S1771" i="14" s="1"/>
  <c r="M1817" i="14"/>
  <c r="S1817" i="14" s="1"/>
  <c r="M1743" i="14"/>
  <c r="S1743" i="14" s="1"/>
  <c r="M1757" i="14"/>
  <c r="S1757" i="14" s="1"/>
  <c r="M1763" i="14"/>
  <c r="S1763" i="14" s="1"/>
  <c r="M1745" i="14"/>
  <c r="S1745" i="14" s="1"/>
  <c r="M1920" i="14"/>
  <c r="S1920" i="14" s="1"/>
  <c r="M1898" i="14"/>
  <c r="S1898" i="14" s="1"/>
  <c r="M1761" i="14"/>
  <c r="S1761" i="14" s="1"/>
  <c r="M1796" i="14"/>
  <c r="S1796" i="14" s="1"/>
  <c r="M1973" i="14"/>
  <c r="S1973" i="14" s="1"/>
  <c r="M1952" i="14"/>
  <c r="S1952" i="14" s="1"/>
  <c r="M1926" i="14"/>
  <c r="S1926" i="14" s="1"/>
  <c r="M1908" i="14"/>
  <c r="S1908" i="14" s="1"/>
  <c r="M1802" i="14"/>
  <c r="S1802" i="14" s="1"/>
  <c r="M1848" i="14"/>
  <c r="S1848" i="14" s="1"/>
  <c r="M1822" i="14"/>
  <c r="S1822" i="14" s="1"/>
  <c r="M1836" i="14"/>
  <c r="S1836" i="14" s="1"/>
  <c r="M1794" i="14"/>
  <c r="S1794" i="14" s="1"/>
  <c r="M1808" i="14"/>
  <c r="S1808" i="14" s="1"/>
  <c r="M1782" i="14"/>
  <c r="S1782" i="14" s="1"/>
  <c r="M1828" i="14"/>
  <c r="S1828" i="14" s="1"/>
  <c r="M1882" i="14"/>
  <c r="S1882" i="14" s="1"/>
  <c r="M1768" i="14"/>
  <c r="S1768" i="14" s="1"/>
  <c r="M1877" i="14"/>
  <c r="S1877" i="14" s="1"/>
  <c r="M1867" i="14"/>
  <c r="S1867" i="14" s="1"/>
  <c r="M1749" i="14"/>
  <c r="S1749" i="14" s="1"/>
  <c r="M1770" i="14"/>
  <c r="S1770" i="14" s="1"/>
  <c r="M1804" i="14"/>
  <c r="S1804" i="14" s="1"/>
  <c r="M1871" i="14"/>
  <c r="S1871" i="14" s="1"/>
  <c r="M1807" i="14"/>
  <c r="S1807" i="14" s="1"/>
  <c r="M1852" i="14"/>
  <c r="S1852" i="14" s="1"/>
  <c r="M1760" i="14"/>
  <c r="S1760" i="14" s="1"/>
  <c r="M1819" i="14"/>
  <c r="S1819" i="14" s="1"/>
  <c r="M1784" i="14"/>
  <c r="S1784" i="14" s="1"/>
  <c r="M1972" i="14"/>
  <c r="S1972" i="14" s="1"/>
  <c r="M1960" i="14"/>
  <c r="S1960" i="14" s="1"/>
  <c r="M1938" i="14"/>
  <c r="S1938" i="14" s="1"/>
  <c r="M1878" i="14"/>
  <c r="S1878" i="14" s="1"/>
  <c r="M1856" i="14"/>
  <c r="S1856" i="14" s="1"/>
  <c r="M1834" i="14"/>
  <c r="S1834" i="14" s="1"/>
  <c r="M1868" i="14"/>
  <c r="S1868" i="14" s="1"/>
  <c r="M1814" i="14"/>
  <c r="S1814" i="14" s="1"/>
  <c r="M1800" i="14"/>
  <c r="S1800" i="14" s="1"/>
  <c r="M1778" i="14"/>
  <c r="S1778" i="14" s="1"/>
  <c r="M1978" i="14"/>
  <c r="S1978" i="14" s="1"/>
  <c r="M1901" i="14"/>
  <c r="S1901" i="14" s="1"/>
  <c r="M1950" i="14"/>
  <c r="S1950" i="14" s="1"/>
  <c r="M1922" i="14"/>
  <c r="S1922" i="14" s="1"/>
  <c r="M1956" i="14"/>
  <c r="S1956" i="14" s="1"/>
  <c r="M1774" i="14"/>
  <c r="S1774" i="14" s="1"/>
  <c r="M1891" i="14"/>
  <c r="S1891" i="14" s="1"/>
  <c r="M1971" i="14"/>
  <c r="S1971" i="14" s="1"/>
  <c r="M1881" i="14"/>
  <c r="S1881" i="14" s="1"/>
  <c r="M1855" i="14"/>
  <c r="S1855" i="14" s="1"/>
  <c r="M1837" i="14"/>
  <c r="S1837" i="14" s="1"/>
  <c r="M1859" i="14"/>
  <c r="S1859" i="14" s="1"/>
  <c r="M1905" i="14"/>
  <c r="S1905" i="14" s="1"/>
  <c r="M1879" i="14"/>
  <c r="S1879" i="14" s="1"/>
  <c r="M1900" i="14"/>
  <c r="S1900" i="14" s="1"/>
  <c r="M1858" i="14"/>
  <c r="S1858" i="14" s="1"/>
  <c r="M1872" i="14"/>
  <c r="S1872" i="14" s="1"/>
  <c r="M1846" i="14"/>
  <c r="S1846" i="14" s="1"/>
  <c r="M1764" i="14"/>
  <c r="S1764" i="14" s="1"/>
  <c r="M1775" i="14"/>
  <c r="S1775" i="14" s="1"/>
  <c r="M1789" i="14"/>
  <c r="S1789" i="14" s="1"/>
  <c r="M1795" i="14"/>
  <c r="S1795" i="14" s="1"/>
  <c r="M1777" i="14"/>
  <c r="S1777" i="14" s="1"/>
  <c r="M1767" i="14"/>
  <c r="S1767" i="14" s="1"/>
  <c r="M1869" i="14"/>
  <c r="S1869" i="14" s="1"/>
  <c r="M1932" i="14"/>
  <c r="S1932" i="14" s="1"/>
  <c r="M1753" i="14"/>
  <c r="S1753" i="14" s="1"/>
  <c r="M1870" i="14"/>
  <c r="S1870" i="14" s="1"/>
  <c r="M1977" i="14"/>
  <c r="S1977" i="14" s="1"/>
  <c r="M1951" i="14"/>
  <c r="S1951" i="14" s="1"/>
  <c r="M1933" i="14"/>
  <c r="S1933" i="14" s="1"/>
  <c r="M1955" i="14"/>
  <c r="S1955" i="14" s="1"/>
  <c r="M1980" i="14"/>
  <c r="S1980" i="14" s="1"/>
  <c r="M1975" i="14"/>
  <c r="S1975" i="14" s="1"/>
  <c r="M1968" i="14"/>
  <c r="S1968" i="14" s="1"/>
  <c r="M1947" i="14"/>
  <c r="S1947" i="14" s="1"/>
  <c r="M1961" i="14"/>
  <c r="S1961" i="14" s="1"/>
  <c r="M1935" i="14"/>
  <c r="S1935" i="14" s="1"/>
  <c r="M1981" i="14"/>
  <c r="S1981" i="14" s="1"/>
  <c r="M1907" i="14"/>
  <c r="S1907" i="14" s="1"/>
  <c r="M1921" i="14"/>
  <c r="S1921" i="14" s="1"/>
  <c r="M1927" i="14"/>
  <c r="S1927" i="14" s="1"/>
  <c r="M1909" i="14"/>
  <c r="S1909" i="14" s="1"/>
  <c r="M1899" i="14"/>
  <c r="S1899" i="14" s="1"/>
  <c r="M1887" i="14"/>
  <c r="S1887" i="14" s="1"/>
  <c r="M1816" i="14"/>
  <c r="S1816" i="14" s="1"/>
  <c r="M1890" i="14"/>
  <c r="S1890" i="14" s="1"/>
  <c r="M1843" i="14"/>
  <c r="S1843" i="14" s="1"/>
  <c r="M1809" i="14"/>
  <c r="S1809" i="14" s="1"/>
  <c r="M1824" i="14"/>
  <c r="S1824" i="14" s="1"/>
  <c r="M1798" i="14"/>
  <c r="S1798" i="14" s="1"/>
  <c r="M1780" i="14"/>
  <c r="S1780" i="14" s="1"/>
  <c r="M1759" i="14"/>
  <c r="S1759" i="14" s="1"/>
  <c r="M1805" i="14"/>
  <c r="S1805" i="14" s="1"/>
  <c r="M1779" i="14"/>
  <c r="S1779" i="14" s="1"/>
  <c r="M1793" i="14"/>
  <c r="S1793" i="14" s="1"/>
  <c r="M1751" i="14"/>
  <c r="S1751" i="14" s="1"/>
  <c r="M1765" i="14"/>
  <c r="S1765" i="14" s="1"/>
  <c r="M1827" i="14"/>
  <c r="S1827" i="14" s="1"/>
  <c r="M1785" i="14"/>
  <c r="S1785" i="14" s="1"/>
  <c r="M1754" i="14"/>
  <c r="S1754" i="14" s="1"/>
  <c r="M1895" i="14"/>
  <c r="S1895" i="14" s="1"/>
  <c r="M1884" i="14"/>
  <c r="S1884" i="14" s="1"/>
  <c r="M1874" i="14"/>
  <c r="S1874" i="14" s="1"/>
  <c r="M1766" i="14"/>
  <c r="S1766" i="14" s="1"/>
  <c r="M1944" i="14"/>
  <c r="S1944" i="14" s="1"/>
  <c r="M1883" i="14"/>
  <c r="S1883" i="14" s="1"/>
  <c r="M1750" i="14"/>
  <c r="S1750" i="14" s="1"/>
  <c r="M1964" i="14"/>
  <c r="S1964" i="14" s="1"/>
  <c r="M1963" i="14"/>
  <c r="S1963" i="14" s="1"/>
  <c r="M1823" i="14"/>
  <c r="S1823" i="14" s="1"/>
  <c r="M1979" i="14"/>
  <c r="S1979" i="14" s="1"/>
  <c r="M1885" i="14"/>
  <c r="S1885" i="14" s="1"/>
  <c r="M1948" i="14"/>
  <c r="S1948" i="14" s="1"/>
  <c r="M1773" i="14"/>
  <c r="S1773" i="14" s="1"/>
  <c r="M1799" i="14"/>
  <c r="S1799" i="14" s="1"/>
  <c r="M1812" i="14"/>
  <c r="S1812" i="14" s="1"/>
  <c r="M1854" i="14"/>
  <c r="S1854" i="14" s="1"/>
  <c r="M1840" i="14"/>
  <c r="S1840" i="14" s="1"/>
  <c r="M1786" i="14"/>
  <c r="S1786" i="14" s="1"/>
  <c r="M1788" i="14"/>
  <c r="S1788" i="14" s="1"/>
  <c r="M1925" i="14"/>
  <c r="S1925" i="14" s="1"/>
  <c r="M1945" i="14"/>
  <c r="S1945" i="14" s="1"/>
  <c r="M1930" i="14"/>
  <c r="S1930" i="14" s="1"/>
  <c r="M1829" i="14"/>
  <c r="S1829" i="14" s="1"/>
  <c r="M1910" i="14"/>
  <c r="S1910" i="14" s="1"/>
  <c r="M1896" i="14"/>
  <c r="S1896" i="14" s="1"/>
  <c r="M1913" i="14"/>
  <c r="S1913" i="14" s="1"/>
  <c r="M1904" i="14"/>
  <c r="S1904" i="14" s="1"/>
  <c r="M1888" i="14"/>
  <c r="S1888" i="14" s="1"/>
  <c r="M1862" i="14"/>
  <c r="S1862" i="14" s="1"/>
  <c r="M1844" i="14"/>
  <c r="S1844" i="14" s="1"/>
  <c r="M1866" i="14"/>
  <c r="S1866" i="14" s="1"/>
  <c r="M1912" i="14"/>
  <c r="S1912" i="14" s="1"/>
  <c r="M1886" i="14"/>
  <c r="S1886" i="14" s="1"/>
  <c r="M1772" i="14"/>
  <c r="S1772" i="14" s="1"/>
  <c r="M1815" i="14"/>
  <c r="S1815" i="14" s="1"/>
  <c r="M1744" i="14"/>
  <c r="S1744" i="14" s="1"/>
  <c r="M1803" i="14"/>
  <c r="S1803" i="14" s="1"/>
  <c r="M1939" i="14"/>
  <c r="S1939" i="14" s="1"/>
  <c r="M1953" i="14"/>
  <c r="S1953" i="14" s="1"/>
  <c r="M1959" i="14"/>
  <c r="S1959" i="14" s="1"/>
  <c r="M1941" i="14"/>
  <c r="S1941" i="14" s="1"/>
  <c r="M1931" i="14"/>
  <c r="S1931" i="14" s="1"/>
  <c r="M1937" i="14"/>
  <c r="S1937" i="14" s="1"/>
  <c r="M1776" i="14"/>
  <c r="S1776" i="14" s="1"/>
  <c r="M1850" i="14"/>
  <c r="S1850" i="14" s="1"/>
  <c r="M1845" i="14"/>
  <c r="S1845" i="14" s="1"/>
  <c r="M1849" i="14"/>
  <c r="S1849" i="14" s="1"/>
  <c r="M1958" i="14"/>
  <c r="S1958" i="14" s="1"/>
  <c r="M1940" i="14"/>
  <c r="S1940" i="14" s="1"/>
  <c r="M1962" i="14"/>
  <c r="S1962" i="14" s="1"/>
  <c r="M1873" i="14"/>
  <c r="S1873" i="14" s="1"/>
  <c r="M1847" i="14"/>
  <c r="S1847" i="14" s="1"/>
  <c r="M1861" i="14"/>
  <c r="S1861" i="14" s="1"/>
  <c r="M1954" i="14"/>
  <c r="S1954" i="14" s="1"/>
  <c r="M1833" i="14"/>
  <c r="S1833" i="14" s="1"/>
  <c r="M1942" i="14"/>
  <c r="S1942" i="14" s="1"/>
  <c r="M1853" i="14"/>
  <c r="S1853" i="14" s="1"/>
  <c r="M1914" i="14"/>
  <c r="S1914" i="14" s="1"/>
  <c r="M1928" i="14"/>
  <c r="S1928" i="14" s="1"/>
  <c r="M1934" i="14"/>
  <c r="S1934" i="14" s="1"/>
  <c r="M1916" i="14"/>
  <c r="S1916" i="14" s="1"/>
  <c r="M1906" i="14"/>
  <c r="S1906" i="14" s="1"/>
  <c r="M1976" i="14"/>
  <c r="S1976" i="14" s="1"/>
  <c r="M1918" i="14"/>
  <c r="S1918" i="14" s="1"/>
  <c r="M1897" i="14"/>
  <c r="S1897" i="14" s="1"/>
  <c r="M1864" i="14"/>
  <c r="S1864" i="14" s="1"/>
  <c r="M1835" i="14"/>
  <c r="S1835" i="14" s="1"/>
  <c r="M1781" i="14"/>
  <c r="S1781" i="14" s="1"/>
  <c r="M1755" i="14"/>
  <c r="S1755" i="14" s="1"/>
  <c r="M1923" i="14"/>
  <c r="S1923" i="14" s="1"/>
  <c r="M1969" i="14"/>
  <c r="S1969" i="14" s="1"/>
  <c r="M1943" i="14"/>
  <c r="S1943" i="14" s="1"/>
  <c r="M1957" i="14"/>
  <c r="S1957" i="14" s="1"/>
  <c r="M1915" i="14"/>
  <c r="S1915" i="14" s="1"/>
  <c r="M1929" i="14"/>
  <c r="S1929" i="14" s="1"/>
  <c r="M1903" i="14"/>
  <c r="S1903" i="14" s="1"/>
  <c r="M1949" i="14"/>
  <c r="S1949" i="14" s="1"/>
  <c r="M1982" i="14"/>
  <c r="S1982" i="14" s="1"/>
  <c r="M1889" i="14"/>
  <c r="S1889" i="14" s="1"/>
  <c r="M1902" i="14"/>
  <c r="S1902" i="14" s="1"/>
  <c r="M1756" i="14"/>
  <c r="S1756" i="14" s="1"/>
  <c r="M1746" i="14"/>
  <c r="S1746" i="14" s="1"/>
  <c r="M1876" i="14"/>
  <c r="S1876" i="14" s="1"/>
  <c r="M1911" i="14"/>
  <c r="S1911" i="14" s="1"/>
  <c r="M1762" i="14"/>
  <c r="S1762" i="14" s="1"/>
  <c r="M1924" i="14"/>
  <c r="S1924" i="14" s="1"/>
  <c r="M1970" i="14"/>
  <c r="S1970" i="14" s="1"/>
  <c r="M1842" i="14"/>
  <c r="S1842" i="14" s="1"/>
  <c r="M1801" i="14"/>
  <c r="S1801" i="14" s="1"/>
  <c r="M1758" i="14"/>
  <c r="S1758" i="14" s="1"/>
  <c r="M1967" i="14"/>
  <c r="S1967" i="14" s="1"/>
  <c r="M1946" i="14"/>
  <c r="S1946" i="14" s="1"/>
  <c r="M1831" i="14"/>
  <c r="S1831" i="14" s="1"/>
  <c r="M1792" i="14"/>
  <c r="S1792" i="14" s="1"/>
  <c r="M1857" i="14"/>
  <c r="S1857" i="14" s="1"/>
  <c r="M1830" i="14"/>
  <c r="S1830" i="14" s="1"/>
  <c r="M1880" i="14"/>
  <c r="S1880" i="14" s="1"/>
  <c r="M1826" i="14"/>
  <c r="S1826" i="14" s="1"/>
  <c r="M1860" i="14"/>
  <c r="S1860" i="14" s="1"/>
  <c r="M1806" i="14"/>
  <c r="S1806" i="14" s="1"/>
  <c r="M1748" i="14"/>
  <c r="S1748" i="14" s="1"/>
  <c r="M1863" i="14"/>
  <c r="S1863" i="14" s="1"/>
  <c r="M1919" i="14"/>
  <c r="S1919" i="14" s="1"/>
  <c r="M1841" i="14"/>
  <c r="S1841" i="14" s="1"/>
  <c r="M1936" i="14"/>
  <c r="S1936" i="14" s="1"/>
  <c r="M1875" i="14"/>
  <c r="S1875" i="14" s="1"/>
  <c r="M1974" i="14"/>
  <c r="S1974" i="14" s="1"/>
  <c r="M1747" i="14"/>
  <c r="S1747" i="14" s="1"/>
  <c r="M1742" i="14"/>
  <c r="S1742" i="14" s="1"/>
  <c r="G1978" i="14"/>
  <c r="G1953" i="14"/>
  <c r="G1892" i="14"/>
  <c r="G1921" i="14"/>
  <c r="G1820" i="14"/>
  <c r="G1819" i="14"/>
  <c r="G1809" i="14"/>
  <c r="G1956" i="14"/>
  <c r="G1917" i="14"/>
  <c r="G1904" i="14"/>
  <c r="G1745" i="14"/>
  <c r="G1754" i="14"/>
  <c r="G1868" i="14"/>
  <c r="G1769" i="14"/>
  <c r="G1887" i="14"/>
  <c r="G1836" i="14"/>
  <c r="G1817" i="14"/>
  <c r="G1961" i="14"/>
  <c r="G1759" i="14"/>
  <c r="G1825" i="14"/>
  <c r="G1851" i="14"/>
  <c r="G1867" i="14"/>
  <c r="G1866" i="14"/>
  <c r="G1980" i="14"/>
  <c r="G1869" i="14"/>
  <c r="G1872" i="14"/>
  <c r="G1828" i="14"/>
  <c r="G1876" i="14"/>
  <c r="G1905" i="14"/>
  <c r="G1751" i="14"/>
  <c r="G1829" i="14"/>
  <c r="G1964" i="14"/>
  <c r="G1766" i="14"/>
  <c r="G1983" i="14"/>
  <c r="G1835" i="14"/>
  <c r="G1788" i="14"/>
  <c r="G1871" i="14"/>
  <c r="G1821" i="14"/>
  <c r="G1977" i="14"/>
  <c r="G1938" i="14"/>
  <c r="G1881" i="14"/>
  <c r="G1908" i="14"/>
  <c r="G1789" i="14"/>
  <c r="G1893" i="14"/>
  <c r="G1796" i="14"/>
  <c r="V331" i="10"/>
  <c r="M332" i="10"/>
  <c r="L1955" i="14"/>
  <c r="R1955" i="14" s="1"/>
  <c r="L1929" i="14"/>
  <c r="R1929" i="14" s="1"/>
  <c r="L1911" i="14"/>
  <c r="R1911" i="14" s="1"/>
  <c r="L1933" i="14"/>
  <c r="R1933" i="14" s="1"/>
  <c r="L1947" i="14"/>
  <c r="R1947" i="14" s="1"/>
  <c r="L1953" i="14"/>
  <c r="R1953" i="14" s="1"/>
  <c r="L1935" i="14"/>
  <c r="R1935" i="14" s="1"/>
  <c r="L1893" i="14"/>
  <c r="R1893" i="14" s="1"/>
  <c r="L1916" i="14"/>
  <c r="R1916" i="14" s="1"/>
  <c r="L1890" i="14"/>
  <c r="R1890" i="14" s="1"/>
  <c r="L1778" i="14"/>
  <c r="R1778" i="14" s="1"/>
  <c r="L1821" i="14"/>
  <c r="R1821" i="14" s="1"/>
  <c r="L1803" i="14"/>
  <c r="R1803" i="14" s="1"/>
  <c r="L1809" i="14"/>
  <c r="R1809" i="14" s="1"/>
  <c r="L1941" i="14"/>
  <c r="R1941" i="14" s="1"/>
  <c r="F1893" i="14"/>
  <c r="L1965" i="14"/>
  <c r="R1965" i="14" s="1"/>
  <c r="L1967" i="14"/>
  <c r="R1967" i="14" s="1"/>
  <c r="L1779" i="14"/>
  <c r="R1779" i="14" s="1"/>
  <c r="L1982" i="14"/>
  <c r="R1982" i="14" s="1"/>
  <c r="L1813" i="14"/>
  <c r="R1813" i="14" s="1"/>
  <c r="L1763" i="14"/>
  <c r="R1763" i="14" s="1"/>
  <c r="L1879" i="14"/>
  <c r="R1879" i="14" s="1"/>
  <c r="L1910" i="14"/>
  <c r="R1910" i="14" s="1"/>
  <c r="L1924" i="14"/>
  <c r="R1924" i="14" s="1"/>
  <c r="L1930" i="14"/>
  <c r="R1930" i="14" s="1"/>
  <c r="L1912" i="14"/>
  <c r="R1912" i="14" s="1"/>
  <c r="L1861" i="14"/>
  <c r="R1861" i="14" s="1"/>
  <c r="L1884" i="14"/>
  <c r="R1884" i="14" s="1"/>
  <c r="L1858" i="14"/>
  <c r="R1858" i="14" s="1"/>
  <c r="L1872" i="14"/>
  <c r="R1872" i="14" s="1"/>
  <c r="L1830" i="14"/>
  <c r="R1830" i="14" s="1"/>
  <c r="L1814" i="14"/>
  <c r="R1814" i="14" s="1"/>
  <c r="L1820" i="14"/>
  <c r="R1820" i="14" s="1"/>
  <c r="L1864" i="14"/>
  <c r="R1864" i="14" s="1"/>
  <c r="L1792" i="14"/>
  <c r="R1792" i="14" s="1"/>
  <c r="L1742" i="14"/>
  <c r="R1742" i="14" s="1"/>
  <c r="L1846" i="14"/>
  <c r="R1846" i="14" s="1"/>
  <c r="L1848" i="14"/>
  <c r="R1848" i="14" s="1"/>
  <c r="L1913" i="14"/>
  <c r="R1913" i="14" s="1"/>
  <c r="L1768" i="14"/>
  <c r="R1768" i="14" s="1"/>
  <c r="L1919" i="14"/>
  <c r="R1919" i="14" s="1"/>
  <c r="L1891" i="14"/>
  <c r="R1891" i="14" s="1"/>
  <c r="L1865" i="14"/>
  <c r="R1865" i="14" s="1"/>
  <c r="L1847" i="14"/>
  <c r="R1847" i="14" s="1"/>
  <c r="L1869" i="14"/>
  <c r="R1869" i="14" s="1"/>
  <c r="L1892" i="14"/>
  <c r="R1892" i="14" s="1"/>
  <c r="L1772" i="14"/>
  <c r="R1772" i="14" s="1"/>
  <c r="L1754" i="14"/>
  <c r="R1754" i="14" s="1"/>
  <c r="L1797" i="14"/>
  <c r="R1797" i="14" s="1"/>
  <c r="L1811" i="14"/>
  <c r="R1811" i="14" s="1"/>
  <c r="L1785" i="14"/>
  <c r="R1785" i="14" s="1"/>
  <c r="L1799" i="14"/>
  <c r="R1799" i="14" s="1"/>
  <c r="L1757" i="14"/>
  <c r="R1757" i="14" s="1"/>
  <c r="L1905" i="14"/>
  <c r="R1905" i="14" s="1"/>
  <c r="L1951" i="14"/>
  <c r="R1951" i="14" s="1"/>
  <c r="L1877" i="14"/>
  <c r="R1877" i="14" s="1"/>
  <c r="L1826" i="14"/>
  <c r="R1826" i="14" s="1"/>
  <c r="L1866" i="14"/>
  <c r="R1866" i="14" s="1"/>
  <c r="L1922" i="14"/>
  <c r="R1922" i="14" s="1"/>
  <c r="L1876" i="14"/>
  <c r="R1876" i="14" s="1"/>
  <c r="L1769" i="14"/>
  <c r="R1769" i="14" s="1"/>
  <c r="L1773" i="14"/>
  <c r="R1773" i="14" s="1"/>
  <c r="L1775" i="14"/>
  <c r="R1775" i="14" s="1"/>
  <c r="L1904" i="14"/>
  <c r="R1904" i="14" s="1"/>
  <c r="L1844" i="14"/>
  <c r="R1844" i="14" s="1"/>
  <c r="L1781" i="14"/>
  <c r="R1781" i="14" s="1"/>
  <c r="L1806" i="14"/>
  <c r="R1806" i="14" s="1"/>
  <c r="L1921" i="14"/>
  <c r="R1921" i="14" s="1"/>
  <c r="L1970" i="14"/>
  <c r="R1970" i="14" s="1"/>
  <c r="L1863" i="14"/>
  <c r="R1863" i="14" s="1"/>
  <c r="L1940" i="14"/>
  <c r="R1940" i="14" s="1"/>
  <c r="L1918" i="14"/>
  <c r="R1918" i="14" s="1"/>
  <c r="L1825" i="14"/>
  <c r="R1825" i="14" s="1"/>
  <c r="L1882" i="14"/>
  <c r="R1882" i="14" s="1"/>
  <c r="L1975" i="14"/>
  <c r="R1975" i="14" s="1"/>
  <c r="L1898" i="14"/>
  <c r="R1898" i="14" s="1"/>
  <c r="L1852" i="14"/>
  <c r="R1852" i="14" s="1"/>
  <c r="L1800" i="14"/>
  <c r="R1800" i="14" s="1"/>
  <c r="L1791" i="14"/>
  <c r="R1791" i="14" s="1"/>
  <c r="L1819" i="14"/>
  <c r="R1819" i="14" s="1"/>
  <c r="L1854" i="14"/>
  <c r="R1854" i="14" s="1"/>
  <c r="L1964" i="14"/>
  <c r="R1964" i="14" s="1"/>
  <c r="L1938" i="14"/>
  <c r="R1938" i="14" s="1"/>
  <c r="L1920" i="14"/>
  <c r="R1920" i="14" s="1"/>
  <c r="L1942" i="14"/>
  <c r="R1942" i="14" s="1"/>
  <c r="L1956" i="14"/>
  <c r="R1956" i="14" s="1"/>
  <c r="L1962" i="14"/>
  <c r="R1962" i="14" s="1"/>
  <c r="L1944" i="14"/>
  <c r="R1944" i="14" s="1"/>
  <c r="L1902" i="14"/>
  <c r="R1902" i="14" s="1"/>
  <c r="L1790" i="14"/>
  <c r="R1790" i="14" s="1"/>
  <c r="L1764" i="14"/>
  <c r="R1764" i="14" s="1"/>
  <c r="L1981" i="14"/>
  <c r="R1981" i="14" s="1"/>
  <c r="L1963" i="14"/>
  <c r="R1963" i="14" s="1"/>
  <c r="L1969" i="14"/>
  <c r="R1969" i="14" s="1"/>
  <c r="L1887" i="14"/>
  <c r="R1887" i="14" s="1"/>
  <c r="L1950" i="14"/>
  <c r="R1950" i="14" s="1"/>
  <c r="L1868" i="14"/>
  <c r="R1868" i="14" s="1"/>
  <c r="L1805" i="14"/>
  <c r="R1805" i="14" s="1"/>
  <c r="L1807" i="14"/>
  <c r="R1807" i="14" s="1"/>
  <c r="L1796" i="14"/>
  <c r="R1796" i="14" s="1"/>
  <c r="L1756" i="14"/>
  <c r="R1756" i="14" s="1"/>
  <c r="L1923" i="14"/>
  <c r="R1923" i="14" s="1"/>
  <c r="L1897" i="14"/>
  <c r="R1897" i="14" s="1"/>
  <c r="L1888" i="14"/>
  <c r="R1888" i="14" s="1"/>
  <c r="L1784" i="14"/>
  <c r="R1784" i="14" s="1"/>
  <c r="L1798" i="14"/>
  <c r="R1798" i="14" s="1"/>
  <c r="L1804" i="14"/>
  <c r="R1804" i="14" s="1"/>
  <c r="L1786" i="14"/>
  <c r="R1786" i="14" s="1"/>
  <c r="L1870" i="14"/>
  <c r="R1870" i="14" s="1"/>
  <c r="L1758" i="14"/>
  <c r="R1758" i="14" s="1"/>
  <c r="L1817" i="14"/>
  <c r="R1817" i="14" s="1"/>
  <c r="L1746" i="14"/>
  <c r="R1746" i="14" s="1"/>
  <c r="L1789" i="14"/>
  <c r="R1789" i="14" s="1"/>
  <c r="L1771" i="14"/>
  <c r="R1771" i="14" s="1"/>
  <c r="L1777" i="14"/>
  <c r="R1777" i="14" s="1"/>
  <c r="L1823" i="14"/>
  <c r="R1823" i="14" s="1"/>
  <c r="L1749" i="14"/>
  <c r="R1749" i="14" s="1"/>
  <c r="L1833" i="14"/>
  <c r="R1833" i="14" s="1"/>
  <c r="L1851" i="14"/>
  <c r="R1851" i="14" s="1"/>
  <c r="L1925" i="14"/>
  <c r="R1925" i="14" s="1"/>
  <c r="L1753" i="14"/>
  <c r="R1753" i="14" s="1"/>
  <c r="L1867" i="14"/>
  <c r="R1867" i="14" s="1"/>
  <c r="L1759" i="14"/>
  <c r="R1759" i="14" s="1"/>
  <c r="L1900" i="14"/>
  <c r="R1900" i="14" s="1"/>
  <c r="L1874" i="14"/>
  <c r="R1874" i="14" s="1"/>
  <c r="L1856" i="14"/>
  <c r="R1856" i="14" s="1"/>
  <c r="L1878" i="14"/>
  <c r="R1878" i="14" s="1"/>
  <c r="L1766" i="14"/>
  <c r="R1766" i="14" s="1"/>
  <c r="L1980" i="14"/>
  <c r="R1980" i="14" s="1"/>
  <c r="L1957" i="14"/>
  <c r="R1957" i="14" s="1"/>
  <c r="L1971" i="14"/>
  <c r="R1971" i="14" s="1"/>
  <c r="L1945" i="14"/>
  <c r="R1945" i="14" s="1"/>
  <c r="L1959" i="14"/>
  <c r="R1959" i="14" s="1"/>
  <c r="L1917" i="14"/>
  <c r="R1917" i="14" s="1"/>
  <c r="L1899" i="14"/>
  <c r="R1899" i="14" s="1"/>
  <c r="L1914" i="14"/>
  <c r="R1914" i="14" s="1"/>
  <c r="L1960" i="14"/>
  <c r="R1960" i="14" s="1"/>
  <c r="L1886" i="14"/>
  <c r="R1886" i="14" s="1"/>
  <c r="L1859" i="14"/>
  <c r="R1859" i="14" s="1"/>
  <c r="L1837" i="14"/>
  <c r="R1837" i="14" s="1"/>
  <c r="L1839" i="14"/>
  <c r="R1839" i="14" s="1"/>
  <c r="L1927" i="14"/>
  <c r="R1927" i="14" s="1"/>
  <c r="L1873" i="14"/>
  <c r="R1873" i="14" s="1"/>
  <c r="L1787" i="14"/>
  <c r="R1787" i="14" s="1"/>
  <c r="L1907" i="14"/>
  <c r="R1907" i="14" s="1"/>
  <c r="L1862" i="14"/>
  <c r="R1862" i="14" s="1"/>
  <c r="L1770" i="14"/>
  <c r="R1770" i="14" s="1"/>
  <c r="L1857" i="14"/>
  <c r="R1857" i="14" s="1"/>
  <c r="L1976" i="14"/>
  <c r="R1976" i="14" s="1"/>
  <c r="L1780" i="14"/>
  <c r="R1780" i="14" s="1"/>
  <c r="L1915" i="14"/>
  <c r="R1915" i="14" s="1"/>
  <c r="L1875" i="14"/>
  <c r="R1875" i="14" s="1"/>
  <c r="L1958" i="14"/>
  <c r="R1958" i="14" s="1"/>
  <c r="L1855" i="14"/>
  <c r="R1855" i="14" s="1"/>
  <c r="L1783" i="14"/>
  <c r="R1783" i="14" s="1"/>
  <c r="L1885" i="14"/>
  <c r="R1885" i="14" s="1"/>
  <c r="L1974" i="14"/>
  <c r="R1974" i="14" s="1"/>
  <c r="L1883" i="14"/>
  <c r="R1883" i="14" s="1"/>
  <c r="L1838" i="14"/>
  <c r="R1838" i="14" s="1"/>
  <c r="L1840" i="14"/>
  <c r="R1840" i="14" s="1"/>
  <c r="L1745" i="14"/>
  <c r="R1745" i="14" s="1"/>
  <c r="L1801" i="14"/>
  <c r="R1801" i="14" s="1"/>
  <c r="L1822" i="14"/>
  <c r="R1822" i="14" s="1"/>
  <c r="L1836" i="14"/>
  <c r="R1836" i="14" s="1"/>
  <c r="L1812" i="14"/>
  <c r="R1812" i="14" s="1"/>
  <c r="L1794" i="14"/>
  <c r="R1794" i="14" s="1"/>
  <c r="L1816" i="14"/>
  <c r="R1816" i="14" s="1"/>
  <c r="L1828" i="14"/>
  <c r="R1828" i="14" s="1"/>
  <c r="L1834" i="14"/>
  <c r="R1834" i="14" s="1"/>
  <c r="L1818" i="14"/>
  <c r="R1818" i="14" s="1"/>
  <c r="L1776" i="14"/>
  <c r="R1776" i="14" s="1"/>
  <c r="L1747" i="14"/>
  <c r="R1747" i="14" s="1"/>
  <c r="L1895" i="14"/>
  <c r="R1895" i="14" s="1"/>
  <c r="L1853" i="14"/>
  <c r="R1853" i="14" s="1"/>
  <c r="L1835" i="14"/>
  <c r="R1835" i="14" s="1"/>
  <c r="L1841" i="14"/>
  <c r="R1841" i="14" s="1"/>
  <c r="L1896" i="14"/>
  <c r="R1896" i="14" s="1"/>
  <c r="L1824" i="14"/>
  <c r="R1824" i="14" s="1"/>
  <c r="L1842" i="14"/>
  <c r="R1842" i="14" s="1"/>
  <c r="L1860" i="14"/>
  <c r="R1860" i="14" s="1"/>
  <c r="L1934" i="14"/>
  <c r="R1934" i="14" s="1"/>
  <c r="L1936" i="14"/>
  <c r="R1936" i="14" s="1"/>
  <c r="L1928" i="14"/>
  <c r="R1928" i="14" s="1"/>
  <c r="L1932" i="14"/>
  <c r="R1932" i="14" s="1"/>
  <c r="L1906" i="14"/>
  <c r="R1906" i="14" s="1"/>
  <c r="L1762" i="14"/>
  <c r="R1762" i="14" s="1"/>
  <c r="L1741" i="14"/>
  <c r="R1741" i="14" s="1"/>
  <c r="L1755" i="14"/>
  <c r="R1755" i="14" s="1"/>
  <c r="L1761" i="14"/>
  <c r="R1761" i="14" s="1"/>
  <c r="L1743" i="14"/>
  <c r="R1743" i="14" s="1"/>
  <c r="L1744" i="14"/>
  <c r="R1744" i="14" s="1"/>
  <c r="L1977" i="14"/>
  <c r="R1977" i="14" s="1"/>
  <c r="L1972" i="14"/>
  <c r="R1972" i="14" s="1"/>
  <c r="L1949" i="14"/>
  <c r="R1949" i="14" s="1"/>
  <c r="L1931" i="14"/>
  <c r="R1931" i="14" s="1"/>
  <c r="L1937" i="14"/>
  <c r="R1937" i="14" s="1"/>
  <c r="L1983" i="14"/>
  <c r="R1983" i="14" s="1"/>
  <c r="L1909" i="14"/>
  <c r="R1909" i="14" s="1"/>
  <c r="L1943" i="14"/>
  <c r="R1943" i="14" s="1"/>
  <c r="L1966" i="14"/>
  <c r="R1966" i="14" s="1"/>
  <c r="L1765" i="14"/>
  <c r="R1765" i="14" s="1"/>
  <c r="L1810" i="14"/>
  <c r="R1810" i="14" s="1"/>
  <c r="L1750" i="14"/>
  <c r="R1750" i="14" s="1"/>
  <c r="L1845" i="14"/>
  <c r="R1845" i="14" s="1"/>
  <c r="L1774" i="14"/>
  <c r="R1774" i="14" s="1"/>
  <c r="L1748" i="14"/>
  <c r="R1748" i="14" s="1"/>
  <c r="L1815" i="14"/>
  <c r="R1815" i="14" s="1"/>
  <c r="L1752" i="14"/>
  <c r="R1752" i="14" s="1"/>
  <c r="L1889" i="14"/>
  <c r="R1889" i="14" s="1"/>
  <c r="L1871" i="14"/>
  <c r="R1871" i="14" s="1"/>
  <c r="L1829" i="14"/>
  <c r="R1829" i="14" s="1"/>
  <c r="L1843" i="14"/>
  <c r="R1843" i="14" s="1"/>
  <c r="L1954" i="14"/>
  <c r="R1954" i="14" s="1"/>
  <c r="L1831" i="14"/>
  <c r="R1831" i="14" s="1"/>
  <c r="L1926" i="14"/>
  <c r="R1926" i="14" s="1"/>
  <c r="L1908" i="14"/>
  <c r="R1908" i="14" s="1"/>
  <c r="L1788" i="14"/>
  <c r="R1788" i="14" s="1"/>
  <c r="L1832" i="14"/>
  <c r="R1832" i="14" s="1"/>
  <c r="L1760" i="14"/>
  <c r="R1760" i="14" s="1"/>
  <c r="L1961" i="14"/>
  <c r="R1961" i="14" s="1"/>
  <c r="L1979" i="14"/>
  <c r="R1979" i="14" s="1"/>
  <c r="L1808" i="14"/>
  <c r="R1808" i="14" s="1"/>
  <c r="L1767" i="14"/>
  <c r="R1767" i="14" s="1"/>
  <c r="L1802" i="14"/>
  <c r="R1802" i="14" s="1"/>
  <c r="L1795" i="14"/>
  <c r="R1795" i="14" s="1"/>
  <c r="L1751" i="14"/>
  <c r="R1751" i="14" s="1"/>
  <c r="L1793" i="14"/>
  <c r="R1793" i="14" s="1"/>
  <c r="L1881" i="14"/>
  <c r="R1881" i="14" s="1"/>
  <c r="L1850" i="14"/>
  <c r="R1850" i="14" s="1"/>
  <c r="L1952" i="14"/>
  <c r="R1952" i="14" s="1"/>
  <c r="L1939" i="14"/>
  <c r="R1939" i="14" s="1"/>
  <c r="L1973" i="14"/>
  <c r="R1973" i="14" s="1"/>
  <c r="L1901" i="14"/>
  <c r="R1901" i="14" s="1"/>
  <c r="L1903" i="14"/>
  <c r="R1903" i="14" s="1"/>
  <c r="L1849" i="14"/>
  <c r="R1849" i="14" s="1"/>
  <c r="L1946" i="14"/>
  <c r="R1946" i="14" s="1"/>
  <c r="L1968" i="14"/>
  <c r="R1968" i="14" s="1"/>
  <c r="L1948" i="14"/>
  <c r="R1948" i="14" s="1"/>
  <c r="F1783" i="14"/>
  <c r="L1978" i="14"/>
  <c r="R1978" i="14" s="1"/>
  <c r="L1880" i="14"/>
  <c r="R1880" i="14" s="1"/>
  <c r="L1827" i="14"/>
  <c r="R1827" i="14" s="1"/>
  <c r="L1782" i="14"/>
  <c r="R1782" i="14" s="1"/>
  <c r="L1894" i="14"/>
  <c r="R1894" i="14" s="1"/>
  <c r="F1969" i="14"/>
  <c r="U332" i="10"/>
  <c r="L333" i="10"/>
  <c r="K1815" i="14"/>
  <c r="Q1815" i="14" s="1"/>
  <c r="K1813" i="14"/>
  <c r="Q1813" i="14" s="1"/>
  <c r="K1827" i="14"/>
  <c r="Q1827" i="14" s="1"/>
  <c r="K1801" i="14"/>
  <c r="Q1801" i="14" s="1"/>
  <c r="K1871" i="14"/>
  <c r="Q1871" i="14" s="1"/>
  <c r="K1837" i="14"/>
  <c r="Q1837" i="14" s="1"/>
  <c r="K1851" i="14"/>
  <c r="Q1851" i="14" s="1"/>
  <c r="K1793" i="14"/>
  <c r="Q1793" i="14" s="1"/>
  <c r="K1831" i="14"/>
  <c r="Q1831" i="14" s="1"/>
  <c r="K1829" i="14"/>
  <c r="Q1829" i="14" s="1"/>
  <c r="K1875" i="14"/>
  <c r="Q1875" i="14" s="1"/>
  <c r="K1849" i="14"/>
  <c r="Q1849" i="14" s="1"/>
  <c r="K1759" i="14"/>
  <c r="Q1759" i="14" s="1"/>
  <c r="K1890" i="14"/>
  <c r="Q1890" i="14" s="1"/>
  <c r="K1864" i="14"/>
  <c r="Q1864" i="14" s="1"/>
  <c r="K1806" i="14"/>
  <c r="Q1806" i="14" s="1"/>
  <c r="K1818" i="14"/>
  <c r="Q1818" i="14" s="1"/>
  <c r="K1903" i="14"/>
  <c r="Q1903" i="14" s="1"/>
  <c r="K1755" i="14"/>
  <c r="Q1755" i="14" s="1"/>
  <c r="K1854" i="14"/>
  <c r="Q1854" i="14" s="1"/>
  <c r="K1907" i="14"/>
  <c r="Q1907" i="14" s="1"/>
  <c r="K1750" i="14"/>
  <c r="Q1750" i="14" s="1"/>
  <c r="K1905" i="14"/>
  <c r="Q1905" i="14" s="1"/>
  <c r="K1911" i="14"/>
  <c r="Q1911" i="14" s="1"/>
  <c r="K1909" i="14"/>
  <c r="Q1909" i="14" s="1"/>
  <c r="K1923" i="14"/>
  <c r="Q1923" i="14" s="1"/>
  <c r="K1897" i="14"/>
  <c r="Q1897" i="14" s="1"/>
  <c r="K1830" i="14"/>
  <c r="Q1830" i="14" s="1"/>
  <c r="K1933" i="14"/>
  <c r="Q1933" i="14" s="1"/>
  <c r="K1947" i="14"/>
  <c r="Q1947" i="14" s="1"/>
  <c r="K1889" i="14"/>
  <c r="Q1889" i="14" s="1"/>
  <c r="K1927" i="14"/>
  <c r="Q1927" i="14" s="1"/>
  <c r="K1925" i="14"/>
  <c r="Q1925" i="14" s="1"/>
  <c r="K1834" i="14"/>
  <c r="Q1834" i="14" s="1"/>
  <c r="K1936" i="14"/>
  <c r="Q1936" i="14" s="1"/>
  <c r="K1974" i="14"/>
  <c r="Q1974" i="14" s="1"/>
  <c r="K1972" i="14"/>
  <c r="Q1972" i="14" s="1"/>
  <c r="K1967" i="14"/>
  <c r="Q1967" i="14" s="1"/>
  <c r="K1960" i="14"/>
  <c r="Q1960" i="14" s="1"/>
  <c r="K1883" i="14"/>
  <c r="Q1883" i="14" s="1"/>
  <c r="K1919" i="14"/>
  <c r="Q1919" i="14" s="1"/>
  <c r="K1896" i="14"/>
  <c r="Q1896" i="14" s="1"/>
  <c r="K1870" i="14"/>
  <c r="Q1870" i="14" s="1"/>
  <c r="K1868" i="14"/>
  <c r="Q1868" i="14" s="1"/>
  <c r="K1891" i="14"/>
  <c r="Q1891" i="14" s="1"/>
  <c r="K1865" i="14"/>
  <c r="Q1865" i="14" s="1"/>
  <c r="K1807" i="14"/>
  <c r="Q1807" i="14" s="1"/>
  <c r="K1773" i="14"/>
  <c r="Q1773" i="14" s="1"/>
  <c r="K1746" i="14"/>
  <c r="Q1746" i="14" s="1"/>
  <c r="K1816" i="14"/>
  <c r="Q1816" i="14" s="1"/>
  <c r="K1884" i="14"/>
  <c r="Q1884" i="14" s="1"/>
  <c r="K1939" i="14"/>
  <c r="Q1939" i="14" s="1"/>
  <c r="K1913" i="14"/>
  <c r="Q1913" i="14" s="1"/>
  <c r="K1942" i="14"/>
  <c r="Q1942" i="14" s="1"/>
  <c r="K1940" i="14"/>
  <c r="Q1940" i="14" s="1"/>
  <c r="K1954" i="14"/>
  <c r="Q1954" i="14" s="1"/>
  <c r="E1759" i="14"/>
  <c r="K1768" i="14"/>
  <c r="Q1768" i="14" s="1"/>
  <c r="K1845" i="14"/>
  <c r="Q1845" i="14" s="1"/>
  <c r="K1833" i="14"/>
  <c r="Q1833" i="14" s="1"/>
  <c r="K1874" i="14"/>
  <c r="Q1874" i="14" s="1"/>
  <c r="K1822" i="14"/>
  <c r="Q1822" i="14" s="1"/>
  <c r="K1910" i="14"/>
  <c r="Q1910" i="14" s="1"/>
  <c r="E1806" i="14"/>
  <c r="K1941" i="14"/>
  <c r="Q1941" i="14" s="1"/>
  <c r="K1929" i="14"/>
  <c r="Q1929" i="14" s="1"/>
  <c r="K1828" i="14"/>
  <c r="Q1828" i="14" s="1"/>
  <c r="K1959" i="14"/>
  <c r="Q1959" i="14" s="1"/>
  <c r="K1840" i="14"/>
  <c r="Q1840" i="14" s="1"/>
  <c r="K1973" i="14"/>
  <c r="Q1973" i="14" s="1"/>
  <c r="K1850" i="14"/>
  <c r="Q1850" i="14" s="1"/>
  <c r="K1983" i="14"/>
  <c r="Q1983" i="14" s="1"/>
  <c r="K1762" i="14"/>
  <c r="Q1762" i="14" s="1"/>
  <c r="K1914" i="14"/>
  <c r="Q1914" i="14" s="1"/>
  <c r="K1924" i="14"/>
  <c r="Q1924" i="14" s="1"/>
  <c r="K1918" i="14"/>
  <c r="Q1918" i="14" s="1"/>
  <c r="K1962" i="14"/>
  <c r="Q1962" i="14" s="1"/>
  <c r="K1814" i="14"/>
  <c r="Q1814" i="14" s="1"/>
  <c r="K1800" i="14"/>
  <c r="Q1800" i="14" s="1"/>
  <c r="K1898" i="14"/>
  <c r="Q1898" i="14" s="1"/>
  <c r="K1977" i="14"/>
  <c r="Q1977" i="14" s="1"/>
  <c r="K1856" i="14"/>
  <c r="Q1856" i="14" s="1"/>
  <c r="K1787" i="14"/>
  <c r="Q1787" i="14" s="1"/>
  <c r="K1904" i="14"/>
  <c r="Q1904" i="14" s="1"/>
  <c r="K1780" i="14"/>
  <c r="Q1780" i="14" s="1"/>
  <c r="K1741" i="14"/>
  <c r="Q1741" i="14" s="1"/>
  <c r="K1931" i="14"/>
  <c r="Q1931" i="14" s="1"/>
  <c r="K1774" i="14"/>
  <c r="Q1774" i="14" s="1"/>
  <c r="K1772" i="14"/>
  <c r="Q1772" i="14" s="1"/>
  <c r="K1786" i="14"/>
  <c r="Q1786" i="14" s="1"/>
  <c r="K1760" i="14"/>
  <c r="Q1760" i="14" s="1"/>
  <c r="K1743" i="14"/>
  <c r="Q1743" i="14" s="1"/>
  <c r="K1796" i="14"/>
  <c r="Q1796" i="14" s="1"/>
  <c r="K1810" i="14"/>
  <c r="Q1810" i="14" s="1"/>
  <c r="K1752" i="14"/>
  <c r="Q1752" i="14" s="1"/>
  <c r="K1790" i="14"/>
  <c r="Q1790" i="14" s="1"/>
  <c r="K1788" i="14"/>
  <c r="Q1788" i="14" s="1"/>
  <c r="K1747" i="14"/>
  <c r="Q1747" i="14" s="1"/>
  <c r="K1808" i="14"/>
  <c r="Q1808" i="14" s="1"/>
  <c r="K1876" i="14"/>
  <c r="Q1876" i="14" s="1"/>
  <c r="K1899" i="14"/>
  <c r="Q1899" i="14" s="1"/>
  <c r="K1873" i="14"/>
  <c r="Q1873" i="14" s="1"/>
  <c r="K1836" i="14"/>
  <c r="Q1836" i="14" s="1"/>
  <c r="K1961" i="14"/>
  <c r="Q1961" i="14" s="1"/>
  <c r="K1969" i="14"/>
  <c r="Q1969" i="14" s="1"/>
  <c r="K1944" i="14"/>
  <c r="Q1944" i="14" s="1"/>
  <c r="K1863" i="14"/>
  <c r="Q1863" i="14" s="1"/>
  <c r="K1981" i="14"/>
  <c r="Q1981" i="14" s="1"/>
  <c r="K1789" i="14"/>
  <c r="Q1789" i="14" s="1"/>
  <c r="K1783" i="14"/>
  <c r="Q1783" i="14" s="1"/>
  <c r="K1781" i="14"/>
  <c r="Q1781" i="14" s="1"/>
  <c r="K1795" i="14"/>
  <c r="Q1795" i="14" s="1"/>
  <c r="K1769" i="14"/>
  <c r="Q1769" i="14" s="1"/>
  <c r="K1839" i="14"/>
  <c r="Q1839" i="14" s="1"/>
  <c r="K1805" i="14"/>
  <c r="Q1805" i="14" s="1"/>
  <c r="K1819" i="14"/>
  <c r="Q1819" i="14" s="1"/>
  <c r="K1761" i="14"/>
  <c r="Q1761" i="14" s="1"/>
  <c r="K1799" i="14"/>
  <c r="Q1799" i="14" s="1"/>
  <c r="K1797" i="14"/>
  <c r="Q1797" i="14" s="1"/>
  <c r="K1843" i="14"/>
  <c r="Q1843" i="14" s="1"/>
  <c r="K1945" i="14"/>
  <c r="Q1945" i="14" s="1"/>
  <c r="K1846" i="14"/>
  <c r="Q1846" i="14" s="1"/>
  <c r="K1844" i="14"/>
  <c r="Q1844" i="14" s="1"/>
  <c r="K1858" i="14"/>
  <c r="Q1858" i="14" s="1"/>
  <c r="K1832" i="14"/>
  <c r="Q1832" i="14" s="1"/>
  <c r="K1908" i="14"/>
  <c r="Q1908" i="14" s="1"/>
  <c r="K1777" i="14"/>
  <c r="Q1777" i="14" s="1"/>
  <c r="K1879" i="14"/>
  <c r="Q1879" i="14" s="1"/>
  <c r="K1877" i="14"/>
  <c r="Q1877" i="14" s="1"/>
  <c r="K1763" i="14"/>
  <c r="Q1763" i="14" s="1"/>
  <c r="K1824" i="14"/>
  <c r="Q1824" i="14" s="1"/>
  <c r="K1766" i="14"/>
  <c r="Q1766" i="14" s="1"/>
  <c r="K1906" i="14"/>
  <c r="Q1906" i="14" s="1"/>
  <c r="K1976" i="14"/>
  <c r="Q1976" i="14" s="1"/>
  <c r="K1886" i="14"/>
  <c r="Q1886" i="14" s="1"/>
  <c r="K1893" i="14"/>
  <c r="Q1893" i="14" s="1"/>
  <c r="K1811" i="14"/>
  <c r="Q1811" i="14" s="1"/>
  <c r="K1785" i="14"/>
  <c r="Q1785" i="14" s="1"/>
  <c r="K1951" i="14"/>
  <c r="Q1951" i="14" s="1"/>
  <c r="K1949" i="14"/>
  <c r="Q1949" i="14" s="1"/>
  <c r="K1963" i="14"/>
  <c r="Q1963" i="14" s="1"/>
  <c r="K1928" i="14"/>
  <c r="Q1928" i="14" s="1"/>
  <c r="K1838" i="14"/>
  <c r="Q1838" i="14" s="1"/>
  <c r="K1978" i="14"/>
  <c r="Q1978" i="14" s="1"/>
  <c r="K1775" i="14"/>
  <c r="Q1775" i="14" s="1"/>
  <c r="K1861" i="14"/>
  <c r="Q1861" i="14" s="1"/>
  <c r="K1791" i="14"/>
  <c r="Q1791" i="14" s="1"/>
  <c r="K1943" i="14"/>
  <c r="Q1943" i="14" s="1"/>
  <c r="K1955" i="14"/>
  <c r="Q1955" i="14" s="1"/>
  <c r="K1862" i="14"/>
  <c r="Q1862" i="14" s="1"/>
  <c r="K1842" i="14"/>
  <c r="Q1842" i="14" s="1"/>
  <c r="K1957" i="14"/>
  <c r="Q1957" i="14" s="1"/>
  <c r="K1887" i="14"/>
  <c r="Q1887" i="14" s="1"/>
  <c r="K1894" i="14"/>
  <c r="Q1894" i="14" s="1"/>
  <c r="K1820" i="14"/>
  <c r="Q1820" i="14" s="1"/>
  <c r="K1902" i="14"/>
  <c r="Q1902" i="14" s="1"/>
  <c r="K1888" i="14"/>
  <c r="Q1888" i="14" s="1"/>
  <c r="K1938" i="14"/>
  <c r="Q1938" i="14" s="1"/>
  <c r="K1916" i="14"/>
  <c r="Q1916" i="14" s="1"/>
  <c r="K1776" i="14"/>
  <c r="Q1776" i="14" s="1"/>
  <c r="K1812" i="14"/>
  <c r="Q1812" i="14" s="1"/>
  <c r="K1979" i="14"/>
  <c r="Q1979" i="14" s="1"/>
  <c r="K1901" i="14"/>
  <c r="Q1901" i="14" s="1"/>
  <c r="K1767" i="14"/>
  <c r="Q1767" i="14" s="1"/>
  <c r="K1809" i="14"/>
  <c r="Q1809" i="14" s="1"/>
  <c r="K1964" i="14"/>
  <c r="Q1964" i="14" s="1"/>
  <c r="K1952" i="14"/>
  <c r="Q1952" i="14" s="1"/>
  <c r="K1881" i="14"/>
  <c r="Q1881" i="14" s="1"/>
  <c r="K1934" i="14"/>
  <c r="Q1934" i="14" s="1"/>
  <c r="K1932" i="14"/>
  <c r="Q1932" i="14" s="1"/>
  <c r="K1946" i="14"/>
  <c r="Q1946" i="14" s="1"/>
  <c r="K1920" i="14"/>
  <c r="Q1920" i="14" s="1"/>
  <c r="K1971" i="14"/>
  <c r="Q1971" i="14" s="1"/>
  <c r="K1956" i="14"/>
  <c r="Q1956" i="14" s="1"/>
  <c r="K1970" i="14"/>
  <c r="Q1970" i="14" s="1"/>
  <c r="K1912" i="14"/>
  <c r="Q1912" i="14" s="1"/>
  <c r="K1950" i="14"/>
  <c r="Q1950" i="14" s="1"/>
  <c r="K1948" i="14"/>
  <c r="Q1948" i="14" s="1"/>
  <c r="K1975" i="14"/>
  <c r="Q1975" i="14" s="1"/>
  <c r="K1968" i="14"/>
  <c r="Q1968" i="14" s="1"/>
  <c r="K1878" i="14"/>
  <c r="Q1878" i="14" s="1"/>
  <c r="K1885" i="14"/>
  <c r="Q1885" i="14" s="1"/>
  <c r="K1771" i="14"/>
  <c r="Q1771" i="14" s="1"/>
  <c r="K1745" i="14"/>
  <c r="Q1745" i="14" s="1"/>
  <c r="K1804" i="14"/>
  <c r="Q1804" i="14" s="1"/>
  <c r="K1792" i="14"/>
  <c r="Q1792" i="14" s="1"/>
  <c r="K1869" i="14"/>
  <c r="Q1869" i="14" s="1"/>
  <c r="K1953" i="14"/>
  <c r="Q1953" i="14" s="1"/>
  <c r="K1980" i="14"/>
  <c r="Q1980" i="14" s="1"/>
  <c r="K1872" i="14"/>
  <c r="Q1872" i="14" s="1"/>
  <c r="K1922" i="14"/>
  <c r="Q1922" i="14" s="1"/>
  <c r="K1742" i="14"/>
  <c r="Q1742" i="14" s="1"/>
  <c r="K1754" i="14"/>
  <c r="Q1754" i="14" s="1"/>
  <c r="K1798" i="14"/>
  <c r="Q1798" i="14" s="1"/>
  <c r="K1764" i="14"/>
  <c r="Q1764" i="14" s="1"/>
  <c r="K1778" i="14"/>
  <c r="Q1778" i="14" s="1"/>
  <c r="K1758" i="14"/>
  <c r="Q1758" i="14" s="1"/>
  <c r="K1756" i="14"/>
  <c r="Q1756" i="14" s="1"/>
  <c r="K1802" i="14"/>
  <c r="Q1802" i="14" s="1"/>
  <c r="K1817" i="14"/>
  <c r="Q1817" i="14" s="1"/>
  <c r="K1855" i="14"/>
  <c r="Q1855" i="14" s="1"/>
  <c r="K1853" i="14"/>
  <c r="Q1853" i="14" s="1"/>
  <c r="K1867" i="14"/>
  <c r="Q1867" i="14" s="1"/>
  <c r="K1841" i="14"/>
  <c r="Q1841" i="14" s="1"/>
  <c r="K1852" i="14"/>
  <c r="Q1852" i="14" s="1"/>
  <c r="K1748" i="14"/>
  <c r="Q1748" i="14" s="1"/>
  <c r="K1751" i="14"/>
  <c r="Q1751" i="14" s="1"/>
  <c r="K1749" i="14"/>
  <c r="Q1749" i="14" s="1"/>
  <c r="K1965" i="14"/>
  <c r="Q1965" i="14" s="1"/>
  <c r="K1926" i="14"/>
  <c r="Q1926" i="14" s="1"/>
  <c r="K1892" i="14"/>
  <c r="Q1892" i="14" s="1"/>
  <c r="K1915" i="14"/>
  <c r="Q1915" i="14" s="1"/>
  <c r="K1848" i="14"/>
  <c r="Q1848" i="14" s="1"/>
  <c r="K1895" i="14"/>
  <c r="Q1895" i="14" s="1"/>
  <c r="K1765" i="14"/>
  <c r="Q1765" i="14" s="1"/>
  <c r="K1770" i="14"/>
  <c r="Q1770" i="14" s="1"/>
  <c r="K1744" i="14"/>
  <c r="Q1744" i="14" s="1"/>
  <c r="K1823" i="14"/>
  <c r="Q1823" i="14" s="1"/>
  <c r="K1821" i="14"/>
  <c r="Q1821" i="14" s="1"/>
  <c r="K1835" i="14"/>
  <c r="Q1835" i="14" s="1"/>
  <c r="K1937" i="14"/>
  <c r="Q1937" i="14" s="1"/>
  <c r="K1847" i="14"/>
  <c r="Q1847" i="14" s="1"/>
  <c r="K1859" i="14"/>
  <c r="Q1859" i="14" s="1"/>
  <c r="K1860" i="14"/>
  <c r="Q1860" i="14" s="1"/>
  <c r="K1825" i="14"/>
  <c r="Q1825" i="14" s="1"/>
  <c r="K1779" i="14"/>
  <c r="Q1779" i="14" s="1"/>
  <c r="K1917" i="14"/>
  <c r="Q1917" i="14" s="1"/>
  <c r="K1921" i="14"/>
  <c r="Q1921" i="14" s="1"/>
  <c r="K1866" i="14"/>
  <c r="Q1866" i="14" s="1"/>
  <c r="K1757" i="14"/>
  <c r="Q1757" i="14" s="1"/>
  <c r="K1966" i="14"/>
  <c r="Q1966" i="14" s="1"/>
  <c r="K1784" i="14"/>
  <c r="Q1784" i="14" s="1"/>
  <c r="K1753" i="14"/>
  <c r="Q1753" i="14" s="1"/>
  <c r="K1900" i="14"/>
  <c r="Q1900" i="14" s="1"/>
  <c r="K1958" i="14"/>
  <c r="Q1958" i="14" s="1"/>
  <c r="K1880" i="14"/>
  <c r="Q1880" i="14" s="1"/>
  <c r="K1826" i="14"/>
  <c r="Q1826" i="14" s="1"/>
  <c r="K1803" i="14"/>
  <c r="Q1803" i="14" s="1"/>
  <c r="K1882" i="14"/>
  <c r="Q1882" i="14" s="1"/>
  <c r="K1935" i="14"/>
  <c r="Q1935" i="14" s="1"/>
  <c r="K1857" i="14"/>
  <c r="Q1857" i="14" s="1"/>
  <c r="K1930" i="14"/>
  <c r="Q1930" i="14" s="1"/>
  <c r="K1782" i="14"/>
  <c r="Q1782" i="14" s="1"/>
  <c r="K1794" i="14"/>
  <c r="Q1794" i="14" s="1"/>
  <c r="K1982" i="14"/>
  <c r="Q1982" i="14" s="1"/>
  <c r="E1928" i="14"/>
  <c r="N1780" i="14"/>
  <c r="T1780" i="14" s="1"/>
  <c r="N1778" i="14"/>
  <c r="T1778" i="14" s="1"/>
  <c r="N1752" i="14"/>
  <c r="T1752" i="14" s="1"/>
  <c r="N1977" i="14"/>
  <c r="T1977" i="14" s="1"/>
  <c r="N1975" i="14"/>
  <c r="T1975" i="14" s="1"/>
  <c r="N1968" i="14"/>
  <c r="T1968" i="14" s="1"/>
  <c r="N1946" i="14"/>
  <c r="T1946" i="14" s="1"/>
  <c r="N1969" i="14"/>
  <c r="T1969" i="14" s="1"/>
  <c r="N1967" i="14"/>
  <c r="T1967" i="14" s="1"/>
  <c r="N1973" i="14"/>
  <c r="T1973" i="14" s="1"/>
  <c r="N1974" i="14"/>
  <c r="T1974" i="14" s="1"/>
  <c r="N1880" i="14"/>
  <c r="T1880" i="14" s="1"/>
  <c r="N1889" i="14"/>
  <c r="T1889" i="14" s="1"/>
  <c r="N1799" i="14"/>
  <c r="T1799" i="14" s="1"/>
  <c r="N1845" i="14"/>
  <c r="T1845" i="14" s="1"/>
  <c r="N1940" i="14"/>
  <c r="T1940" i="14" s="1"/>
  <c r="N1981" i="14"/>
  <c r="T1981" i="14" s="1"/>
  <c r="N1892" i="14"/>
  <c r="T1892" i="14" s="1"/>
  <c r="N1756" i="14"/>
  <c r="T1756" i="14" s="1"/>
  <c r="N1749" i="14"/>
  <c r="T1749" i="14" s="1"/>
  <c r="N1748" i="14"/>
  <c r="T1748" i="14" s="1"/>
  <c r="N1746" i="14"/>
  <c r="T1746" i="14" s="1"/>
  <c r="N1971" i="14"/>
  <c r="T1971" i="14" s="1"/>
  <c r="N1960" i="14"/>
  <c r="T1960" i="14" s="1"/>
  <c r="N1958" i="14"/>
  <c r="T1958" i="14" s="1"/>
  <c r="N1932" i="14"/>
  <c r="T1932" i="14" s="1"/>
  <c r="N1914" i="14"/>
  <c r="T1914" i="14" s="1"/>
  <c r="N1952" i="14"/>
  <c r="T1952" i="14" s="1"/>
  <c r="N1950" i="14"/>
  <c r="T1950" i="14" s="1"/>
  <c r="N1956" i="14"/>
  <c r="T1956" i="14" s="1"/>
  <c r="N1938" i="14"/>
  <c r="T1938" i="14" s="1"/>
  <c r="N1980" i="14"/>
  <c r="T1980" i="14" s="1"/>
  <c r="N1978" i="14"/>
  <c r="T1978" i="14" s="1"/>
  <c r="N1884" i="14"/>
  <c r="T1884" i="14" s="1"/>
  <c r="N1941" i="14"/>
  <c r="T1941" i="14" s="1"/>
  <c r="N1838" i="14"/>
  <c r="T1838" i="14" s="1"/>
  <c r="N1766" i="14"/>
  <c r="T1766" i="14" s="1"/>
  <c r="N1751" i="14"/>
  <c r="T1751" i="14" s="1"/>
  <c r="N1903" i="14"/>
  <c r="T1903" i="14" s="1"/>
  <c r="N1948" i="14"/>
  <c r="T1948" i="14" s="1"/>
  <c r="N1883" i="14"/>
  <c r="T1883" i="14" s="1"/>
  <c r="N1881" i="14"/>
  <c r="T1881" i="14" s="1"/>
  <c r="N1855" i="14"/>
  <c r="T1855" i="14" s="1"/>
  <c r="N1837" i="14"/>
  <c r="T1837" i="14" s="1"/>
  <c r="N1811" i="14"/>
  <c r="T1811" i="14" s="1"/>
  <c r="N1809" i="14"/>
  <c r="T1809" i="14" s="1"/>
  <c r="N1783" i="14"/>
  <c r="T1783" i="14" s="1"/>
  <c r="N1765" i="14"/>
  <c r="T1765" i="14" s="1"/>
  <c r="N1764" i="14"/>
  <c r="T1764" i="14" s="1"/>
  <c r="N1762" i="14"/>
  <c r="T1762" i="14" s="1"/>
  <c r="N1768" i="14"/>
  <c r="T1768" i="14" s="1"/>
  <c r="N1750" i="14"/>
  <c r="T1750" i="14" s="1"/>
  <c r="N1788" i="14"/>
  <c r="T1788" i="14" s="1"/>
  <c r="N1786" i="14"/>
  <c r="T1786" i="14" s="1"/>
  <c r="N1824" i="14"/>
  <c r="T1824" i="14" s="1"/>
  <c r="N1781" i="14"/>
  <c r="T1781" i="14" s="1"/>
  <c r="N1810" i="14"/>
  <c r="T1810" i="14" s="1"/>
  <c r="N1894" i="14"/>
  <c r="T1894" i="14" s="1"/>
  <c r="N1822" i="14"/>
  <c r="T1822" i="14" s="1"/>
  <c r="N1923" i="14"/>
  <c r="T1923" i="14" s="1"/>
  <c r="N1877" i="14"/>
  <c r="T1877" i="14" s="1"/>
  <c r="N1791" i="14"/>
  <c r="T1791" i="14" s="1"/>
  <c r="N1745" i="14"/>
  <c r="T1745" i="14" s="1"/>
  <c r="N1827" i="14"/>
  <c r="T1827" i="14" s="1"/>
  <c r="N1814" i="14"/>
  <c r="T1814" i="14" s="1"/>
  <c r="N1834" i="14"/>
  <c r="T1834" i="14" s="1"/>
  <c r="N1897" i="14"/>
  <c r="T1897" i="14" s="1"/>
  <c r="N1787" i="14"/>
  <c r="T1787" i="14" s="1"/>
  <c r="N1741" i="14"/>
  <c r="T1741" i="14" s="1"/>
  <c r="N1776" i="14"/>
  <c r="T1776" i="14" s="1"/>
  <c r="N1794" i="14"/>
  <c r="T1794" i="14" s="1"/>
  <c r="N1782" i="14"/>
  <c r="T1782" i="14" s="1"/>
  <c r="N1930" i="14"/>
  <c r="T1930" i="14" s="1"/>
  <c r="N1868" i="14"/>
  <c r="T1868" i="14" s="1"/>
  <c r="N1870" i="14"/>
  <c r="T1870" i="14" s="1"/>
  <c r="N1964" i="14"/>
  <c r="T1964" i="14" s="1"/>
  <c r="N1911" i="14"/>
  <c r="T1911" i="14" s="1"/>
  <c r="N1801" i="14"/>
  <c r="T1801" i="14" s="1"/>
  <c r="N1828" i="14"/>
  <c r="T1828" i="14" s="1"/>
  <c r="N1909" i="14"/>
  <c r="T1909" i="14" s="1"/>
  <c r="N1850" i="14"/>
  <c r="T1850" i="14" s="1"/>
  <c r="N1936" i="14"/>
  <c r="T1936" i="14" s="1"/>
  <c r="N1934" i="14"/>
  <c r="T1934" i="14" s="1"/>
  <c r="N1908" i="14"/>
  <c r="T1908" i="14" s="1"/>
  <c r="N1890" i="14"/>
  <c r="T1890" i="14" s="1"/>
  <c r="N1864" i="14"/>
  <c r="T1864" i="14" s="1"/>
  <c r="N1862" i="14"/>
  <c r="T1862" i="14" s="1"/>
  <c r="N1836" i="14"/>
  <c r="T1836" i="14" s="1"/>
  <c r="N1957" i="14"/>
  <c r="T1957" i="14" s="1"/>
  <c r="N1856" i="14"/>
  <c r="T1856" i="14" s="1"/>
  <c r="N1854" i="14"/>
  <c r="T1854" i="14" s="1"/>
  <c r="N1860" i="14"/>
  <c r="T1860" i="14" s="1"/>
  <c r="N1842" i="14"/>
  <c r="T1842" i="14" s="1"/>
  <c r="N1891" i="14"/>
  <c r="T1891" i="14" s="1"/>
  <c r="N1761" i="14"/>
  <c r="T1761" i="14" s="1"/>
  <c r="N1760" i="14"/>
  <c r="T1760" i="14" s="1"/>
  <c r="N1806" i="14"/>
  <c r="T1806" i="14" s="1"/>
  <c r="N1784" i="14"/>
  <c r="T1784" i="14" s="1"/>
  <c r="N1982" i="14"/>
  <c r="T1982" i="14" s="1"/>
  <c r="N1775" i="14"/>
  <c r="T1775" i="14" s="1"/>
  <c r="N1793" i="14"/>
  <c r="T1793" i="14" s="1"/>
  <c r="N1904" i="14"/>
  <c r="T1904" i="14" s="1"/>
  <c r="N1902" i="14"/>
  <c r="T1902" i="14" s="1"/>
  <c r="N1876" i="14"/>
  <c r="T1876" i="14" s="1"/>
  <c r="N1858" i="14"/>
  <c r="T1858" i="14" s="1"/>
  <c r="N1832" i="14"/>
  <c r="T1832" i="14" s="1"/>
  <c r="N1830" i="14"/>
  <c r="T1830" i="14" s="1"/>
  <c r="N1943" i="14"/>
  <c r="T1943" i="14" s="1"/>
  <c r="N1925" i="14"/>
  <c r="T1925" i="14" s="1"/>
  <c r="N1963" i="14"/>
  <c r="T1963" i="14" s="1"/>
  <c r="N1961" i="14"/>
  <c r="T1961" i="14" s="1"/>
  <c r="N1966" i="14"/>
  <c r="T1966" i="14" s="1"/>
  <c r="N1949" i="14"/>
  <c r="T1949" i="14" s="1"/>
  <c r="N1848" i="14"/>
  <c r="T1848" i="14" s="1"/>
  <c r="N1846" i="14"/>
  <c r="T1846" i="14" s="1"/>
  <c r="N1895" i="14"/>
  <c r="T1895" i="14" s="1"/>
  <c r="N1813" i="14"/>
  <c r="T1813" i="14" s="1"/>
  <c r="N1849" i="14"/>
  <c r="T1849" i="14" s="1"/>
  <c r="N1779" i="14"/>
  <c r="T1779" i="14" s="1"/>
  <c r="N1861" i="14"/>
  <c r="T1861" i="14" s="1"/>
  <c r="N1874" i="14"/>
  <c r="T1874" i="14" s="1"/>
  <c r="N1792" i="14"/>
  <c r="T1792" i="14" s="1"/>
  <c r="N1755" i="14"/>
  <c r="T1755" i="14" s="1"/>
  <c r="N1753" i="14"/>
  <c r="T1753" i="14" s="1"/>
  <c r="N1816" i="14"/>
  <c r="T1816" i="14" s="1"/>
  <c r="N1798" i="14"/>
  <c r="T1798" i="14" s="1"/>
  <c r="N1772" i="14"/>
  <c r="T1772" i="14" s="1"/>
  <c r="N1770" i="14"/>
  <c r="T1770" i="14" s="1"/>
  <c r="N1744" i="14"/>
  <c r="T1744" i="14" s="1"/>
  <c r="N1920" i="14"/>
  <c r="T1920" i="14" s="1"/>
  <c r="N1918" i="14"/>
  <c r="T1918" i="14" s="1"/>
  <c r="N1924" i="14"/>
  <c r="T1924" i="14" s="1"/>
  <c r="N1906" i="14"/>
  <c r="T1906" i="14" s="1"/>
  <c r="N1944" i="14"/>
  <c r="T1944" i="14" s="1"/>
  <c r="N1942" i="14"/>
  <c r="T1942" i="14" s="1"/>
  <c r="N1965" i="14"/>
  <c r="T1965" i="14" s="1"/>
  <c r="N1742" i="14"/>
  <c r="T1742" i="14" s="1"/>
  <c r="N1823" i="14"/>
  <c r="T1823" i="14" s="1"/>
  <c r="N1777" i="14"/>
  <c r="T1777" i="14" s="1"/>
  <c r="N1899" i="14"/>
  <c r="T1899" i="14" s="1"/>
  <c r="N1910" i="14"/>
  <c r="T1910" i="14" s="1"/>
  <c r="N1819" i="14"/>
  <c r="T1819" i="14" s="1"/>
  <c r="N1773" i="14"/>
  <c r="T1773" i="14" s="1"/>
  <c r="N1808" i="14"/>
  <c r="T1808" i="14" s="1"/>
  <c r="N1826" i="14"/>
  <c r="T1826" i="14" s="1"/>
  <c r="N1878" i="14"/>
  <c r="T1878" i="14" s="1"/>
  <c r="N1970" i="14"/>
  <c r="T1970" i="14" s="1"/>
  <c r="N1912" i="14"/>
  <c r="T1912" i="14" s="1"/>
  <c r="N1785" i="14"/>
  <c r="T1785" i="14" s="1"/>
  <c r="N1804" i="14"/>
  <c r="T1804" i="14" s="1"/>
  <c r="N1758" i="14"/>
  <c r="T1758" i="14" s="1"/>
  <c r="N1800" i="14"/>
  <c r="T1800" i="14" s="1"/>
  <c r="N1818" i="14"/>
  <c r="T1818" i="14" s="1"/>
  <c r="N1922" i="14"/>
  <c r="T1922" i="14" s="1"/>
  <c r="N1921" i="14"/>
  <c r="T1921" i="14" s="1"/>
  <c r="N1844" i="14"/>
  <c r="T1844" i="14" s="1"/>
  <c r="N1937" i="14"/>
  <c r="T1937" i="14" s="1"/>
  <c r="N1803" i="14"/>
  <c r="T1803" i="14" s="1"/>
  <c r="N1789" i="14"/>
  <c r="T1789" i="14" s="1"/>
  <c r="N1863" i="14"/>
  <c r="T1863" i="14" s="1"/>
  <c r="N1907" i="14"/>
  <c r="T1907" i="14" s="1"/>
  <c r="N1831" i="14"/>
  <c r="T1831" i="14" s="1"/>
  <c r="N1947" i="14"/>
  <c r="T1947" i="14" s="1"/>
  <c r="N1945" i="14"/>
  <c r="T1945" i="14" s="1"/>
  <c r="N1919" i="14"/>
  <c r="T1919" i="14" s="1"/>
  <c r="N1901" i="14"/>
  <c r="T1901" i="14" s="1"/>
  <c r="N1875" i="14"/>
  <c r="T1875" i="14" s="1"/>
  <c r="N1873" i="14"/>
  <c r="T1873" i="14" s="1"/>
  <c r="N1847" i="14"/>
  <c r="T1847" i="14" s="1"/>
  <c r="N1829" i="14"/>
  <c r="T1829" i="14" s="1"/>
  <c r="N1867" i="14"/>
  <c r="T1867" i="14" s="1"/>
  <c r="N1865" i="14"/>
  <c r="T1865" i="14" s="1"/>
  <c r="N1871" i="14"/>
  <c r="T1871" i="14" s="1"/>
  <c r="N1853" i="14"/>
  <c r="T1853" i="14" s="1"/>
  <c r="N1763" i="14"/>
  <c r="T1763" i="14" s="1"/>
  <c r="N1916" i="14"/>
  <c r="T1916" i="14" s="1"/>
  <c r="N1962" i="14"/>
  <c r="T1962" i="14" s="1"/>
  <c r="N1840" i="14"/>
  <c r="T1840" i="14" s="1"/>
  <c r="N1805" i="14"/>
  <c r="T1805" i="14" s="1"/>
  <c r="N1771" i="14"/>
  <c r="T1771" i="14" s="1"/>
  <c r="N1885" i="14"/>
  <c r="T1885" i="14" s="1"/>
  <c r="N1959" i="14"/>
  <c r="T1959" i="14" s="1"/>
  <c r="N1915" i="14"/>
  <c r="T1915" i="14" s="1"/>
  <c r="N1913" i="14"/>
  <c r="T1913" i="14" s="1"/>
  <c r="N1887" i="14"/>
  <c r="T1887" i="14" s="1"/>
  <c r="N1869" i="14"/>
  <c r="T1869" i="14" s="1"/>
  <c r="N1843" i="14"/>
  <c r="T1843" i="14" s="1"/>
  <c r="N1841" i="14"/>
  <c r="T1841" i="14" s="1"/>
  <c r="N1815" i="14"/>
  <c r="T1815" i="14" s="1"/>
  <c r="N1797" i="14"/>
  <c r="T1797" i="14" s="1"/>
  <c r="N1835" i="14"/>
  <c r="T1835" i="14" s="1"/>
  <c r="N1833" i="14"/>
  <c r="T1833" i="14" s="1"/>
  <c r="N1839" i="14"/>
  <c r="T1839" i="14" s="1"/>
  <c r="N1821" i="14"/>
  <c r="T1821" i="14" s="1"/>
  <c r="N1859" i="14"/>
  <c r="T1859" i="14" s="1"/>
  <c r="N1857" i="14"/>
  <c r="T1857" i="14" s="1"/>
  <c r="N1767" i="14"/>
  <c r="T1767" i="14" s="1"/>
  <c r="N1774" i="14"/>
  <c r="T1774" i="14" s="1"/>
  <c r="N1951" i="14"/>
  <c r="T1951" i="14" s="1"/>
  <c r="N1905" i="14"/>
  <c r="T1905" i="14" s="1"/>
  <c r="N1888" i="14"/>
  <c r="T1888" i="14" s="1"/>
  <c r="N1795" i="14"/>
  <c r="T1795" i="14" s="1"/>
  <c r="N1866" i="14"/>
  <c r="T1866" i="14" s="1"/>
  <c r="N1983" i="14"/>
  <c r="T1983" i="14" s="1"/>
  <c r="N1976" i="14"/>
  <c r="T1976" i="14" s="1"/>
  <c r="N1954" i="14"/>
  <c r="T1954" i="14" s="1"/>
  <c r="N1928" i="14"/>
  <c r="T1928" i="14" s="1"/>
  <c r="N1926" i="14"/>
  <c r="T1926" i="14" s="1"/>
  <c r="N1900" i="14"/>
  <c r="T1900" i="14" s="1"/>
  <c r="N1882" i="14"/>
  <c r="T1882" i="14" s="1"/>
  <c r="N1931" i="14"/>
  <c r="T1931" i="14" s="1"/>
  <c r="N1929" i="14"/>
  <c r="T1929" i="14" s="1"/>
  <c r="N1935" i="14"/>
  <c r="T1935" i="14" s="1"/>
  <c r="N1917" i="14"/>
  <c r="T1917" i="14" s="1"/>
  <c r="N1955" i="14"/>
  <c r="T1955" i="14" s="1"/>
  <c r="N1953" i="14"/>
  <c r="T1953" i="14" s="1"/>
  <c r="N1852" i="14"/>
  <c r="T1852" i="14" s="1"/>
  <c r="N1898" i="14"/>
  <c r="T1898" i="14" s="1"/>
  <c r="N1972" i="14"/>
  <c r="T1972" i="14" s="1"/>
  <c r="N1933" i="14"/>
  <c r="T1933" i="14" s="1"/>
  <c r="N1879" i="14"/>
  <c r="T1879" i="14" s="1"/>
  <c r="N1886" i="14"/>
  <c r="T1886" i="14" s="1"/>
  <c r="N1754" i="14"/>
  <c r="T1754" i="14" s="1"/>
  <c r="N1817" i="14"/>
  <c r="T1817" i="14" s="1"/>
  <c r="N1747" i="14"/>
  <c r="T1747" i="14" s="1"/>
  <c r="N1790" i="14"/>
  <c r="T1790" i="14" s="1"/>
  <c r="N1743" i="14"/>
  <c r="T1743" i="14" s="1"/>
  <c r="N1927" i="14"/>
  <c r="T1927" i="14" s="1"/>
  <c r="N1896" i="14"/>
  <c r="T1896" i="14" s="1"/>
  <c r="N1979" i="14"/>
  <c r="T1979" i="14" s="1"/>
  <c r="N1759" i="14"/>
  <c r="T1759" i="14" s="1"/>
  <c r="N1802" i="14"/>
  <c r="T1802" i="14" s="1"/>
  <c r="N1796" i="14"/>
  <c r="T1796" i="14" s="1"/>
  <c r="N1820" i="14"/>
  <c r="T1820" i="14" s="1"/>
  <c r="N1851" i="14"/>
  <c r="T1851" i="14" s="1"/>
  <c r="N1769" i="14"/>
  <c r="T1769" i="14" s="1"/>
  <c r="N1872" i="14"/>
  <c r="T1872" i="14" s="1"/>
  <c r="N1939" i="14"/>
  <c r="T1939" i="14" s="1"/>
  <c r="N1893" i="14"/>
  <c r="T1893" i="14" s="1"/>
  <c r="N1807" i="14"/>
  <c r="T1807" i="14" s="1"/>
  <c r="N1825" i="14"/>
  <c r="T1825" i="14" s="1"/>
  <c r="N1812" i="14"/>
  <c r="T1812" i="14" s="1"/>
  <c r="N1757" i="14"/>
  <c r="T1757" i="14" s="1"/>
  <c r="O1870" i="14"/>
  <c r="U1870" i="14" s="1"/>
  <c r="O1895" i="14"/>
  <c r="U1895" i="14" s="1"/>
  <c r="O1757" i="14"/>
  <c r="U1757" i="14" s="1"/>
  <c r="O1762" i="14"/>
  <c r="U1762" i="14" s="1"/>
  <c r="O1768" i="14"/>
  <c r="U1768" i="14" s="1"/>
  <c r="O1750" i="14"/>
  <c r="U1750" i="14" s="1"/>
  <c r="O1978" i="14"/>
  <c r="U1978" i="14" s="1"/>
  <c r="O1918" i="14"/>
  <c r="U1918" i="14" s="1"/>
  <c r="O1932" i="14"/>
  <c r="U1932" i="14" s="1"/>
  <c r="O1922" i="14"/>
  <c r="U1922" i="14" s="1"/>
  <c r="O1970" i="14"/>
  <c r="U1970" i="14" s="1"/>
  <c r="O1976" i="14"/>
  <c r="U1976" i="14" s="1"/>
  <c r="O1971" i="14"/>
  <c r="U1971" i="14" s="1"/>
  <c r="O1914" i="14"/>
  <c r="U1914" i="14" s="1"/>
  <c r="O1975" i="14"/>
  <c r="U1975" i="14" s="1"/>
  <c r="O1835" i="14"/>
  <c r="U1835" i="14" s="1"/>
  <c r="O1813" i="14"/>
  <c r="U1813" i="14" s="1"/>
  <c r="O1983" i="14"/>
  <c r="U1983" i="14" s="1"/>
  <c r="O1788" i="14"/>
  <c r="U1788" i="14" s="1"/>
  <c r="O1849" i="14"/>
  <c r="U1849" i="14" s="1"/>
  <c r="O1863" i="14"/>
  <c r="U1863" i="14" s="1"/>
  <c r="O1853" i="14"/>
  <c r="U1853" i="14" s="1"/>
  <c r="O1771" i="14"/>
  <c r="U1771" i="14" s="1"/>
  <c r="O1876" i="14"/>
  <c r="U1876" i="14" s="1"/>
  <c r="O1866" i="14"/>
  <c r="U1866" i="14" s="1"/>
  <c r="O1955" i="14"/>
  <c r="U1955" i="14" s="1"/>
  <c r="O1897" i="14"/>
  <c r="U1897" i="14" s="1"/>
  <c r="O1783" i="14"/>
  <c r="U1783" i="14" s="1"/>
  <c r="O1773" i="14"/>
  <c r="U1773" i="14" s="1"/>
  <c r="O1778" i="14"/>
  <c r="U1778" i="14" s="1"/>
  <c r="O1784" i="14"/>
  <c r="U1784" i="14" s="1"/>
  <c r="O1798" i="14"/>
  <c r="U1798" i="14" s="1"/>
  <c r="O1960" i="14"/>
  <c r="U1960" i="14" s="1"/>
  <c r="O1902" i="14"/>
  <c r="U1902" i="14" s="1"/>
  <c r="O1952" i="14"/>
  <c r="U1952" i="14" s="1"/>
  <c r="O1930" i="14"/>
  <c r="U1930" i="14" s="1"/>
  <c r="O1833" i="14"/>
  <c r="U1833" i="14" s="1"/>
  <c r="O1883" i="14"/>
  <c r="U1883" i="14" s="1"/>
  <c r="O1946" i="14"/>
  <c r="U1946" i="14" s="1"/>
  <c r="O1945" i="14"/>
  <c r="U1945" i="14" s="1"/>
  <c r="O1959" i="14"/>
  <c r="U1959" i="14" s="1"/>
  <c r="O1949" i="14"/>
  <c r="U1949" i="14" s="1"/>
  <c r="O1856" i="14"/>
  <c r="U1856" i="14" s="1"/>
  <c r="O1862" i="14"/>
  <c r="U1862" i="14" s="1"/>
  <c r="O1844" i="14"/>
  <c r="U1844" i="14" s="1"/>
  <c r="O1834" i="14"/>
  <c r="U1834" i="14" s="1"/>
  <c r="O1923" i="14"/>
  <c r="U1923" i="14" s="1"/>
  <c r="O1854" i="14"/>
  <c r="U1854" i="14" s="1"/>
  <c r="O1868" i="14"/>
  <c r="U1868" i="14" s="1"/>
  <c r="O1858" i="14"/>
  <c r="U1858" i="14" s="1"/>
  <c r="O1915" i="14"/>
  <c r="U1915" i="14" s="1"/>
  <c r="O1921" i="14"/>
  <c r="U1921" i="14" s="1"/>
  <c r="O1935" i="14"/>
  <c r="U1935" i="14" s="1"/>
  <c r="O1850" i="14"/>
  <c r="U1850" i="14" s="1"/>
  <c r="O1939" i="14"/>
  <c r="U1939" i="14" s="1"/>
  <c r="O1744" i="14"/>
  <c r="U1744" i="14" s="1"/>
  <c r="O1963" i="14"/>
  <c r="U1963" i="14" s="1"/>
  <c r="O1941" i="14"/>
  <c r="U1941" i="14" s="1"/>
  <c r="O1966" i="14"/>
  <c r="U1966" i="14" s="1"/>
  <c r="O1775" i="14"/>
  <c r="U1775" i="14" s="1"/>
  <c r="O1884" i="14"/>
  <c r="U1884" i="14" s="1"/>
  <c r="O1809" i="14"/>
  <c r="U1809" i="14" s="1"/>
  <c r="O1818" i="14"/>
  <c r="U1818" i="14" s="1"/>
  <c r="O1810" i="14"/>
  <c r="U1810" i="14" s="1"/>
  <c r="O1756" i="14"/>
  <c r="U1756" i="14" s="1"/>
  <c r="O1782" i="14"/>
  <c r="U1782" i="14" s="1"/>
  <c r="O1838" i="14"/>
  <c r="U1838" i="14" s="1"/>
  <c r="O1842" i="14"/>
  <c r="U1842" i="14" s="1"/>
  <c r="O1977" i="14"/>
  <c r="U1977" i="14" s="1"/>
  <c r="O1901" i="14"/>
  <c r="U1901" i="14" s="1"/>
  <c r="O1839" i="14"/>
  <c r="U1839" i="14" s="1"/>
  <c r="O1802" i="14"/>
  <c r="U1802" i="14" s="1"/>
  <c r="O1903" i="14"/>
  <c r="U1903" i="14" s="1"/>
  <c r="O1938" i="14"/>
  <c r="U1938" i="14" s="1"/>
  <c r="O1974" i="14"/>
  <c r="U1974" i="14" s="1"/>
  <c r="O1965" i="14"/>
  <c r="U1965" i="14" s="1"/>
  <c r="O1904" i="14"/>
  <c r="U1904" i="14" s="1"/>
  <c r="O1980" i="14"/>
  <c r="U1980" i="14" s="1"/>
  <c r="O1789" i="14"/>
  <c r="U1789" i="14" s="1"/>
  <c r="O1872" i="14"/>
  <c r="U1872" i="14" s="1"/>
  <c r="O1881" i="14"/>
  <c r="U1881" i="14" s="1"/>
  <c r="O1767" i="14"/>
  <c r="U1767" i="14" s="1"/>
  <c r="O1920" i="14"/>
  <c r="U1920" i="14" s="1"/>
  <c r="O1926" i="14"/>
  <c r="U1926" i="14" s="1"/>
  <c r="O1908" i="14"/>
  <c r="U1908" i="14" s="1"/>
  <c r="O1898" i="14"/>
  <c r="U1898" i="14" s="1"/>
  <c r="O1848" i="14"/>
  <c r="U1848" i="14" s="1"/>
  <c r="O1929" i="14"/>
  <c r="U1929" i="14" s="1"/>
  <c r="O1943" i="14"/>
  <c r="U1943" i="14" s="1"/>
  <c r="O1933" i="14"/>
  <c r="U1933" i="14" s="1"/>
  <c r="O1840" i="14"/>
  <c r="U1840" i="14" s="1"/>
  <c r="O1846" i="14"/>
  <c r="U1846" i="14" s="1"/>
  <c r="O1860" i="14"/>
  <c r="U1860" i="14" s="1"/>
  <c r="O1925" i="14"/>
  <c r="U1925" i="14" s="1"/>
  <c r="O1864" i="14"/>
  <c r="U1864" i="14" s="1"/>
  <c r="O1916" i="14"/>
  <c r="U1916" i="14" s="1"/>
  <c r="O1830" i="14"/>
  <c r="U1830" i="14" s="1"/>
  <c r="O1792" i="14"/>
  <c r="U1792" i="14" s="1"/>
  <c r="O1755" i="14"/>
  <c r="U1755" i="14" s="1"/>
  <c r="O1907" i="14"/>
  <c r="U1907" i="14" s="1"/>
  <c r="O1808" i="14"/>
  <c r="U1808" i="14" s="1"/>
  <c r="O1822" i="14"/>
  <c r="U1822" i="14" s="1"/>
  <c r="O1812" i="14"/>
  <c r="U1812" i="14" s="1"/>
  <c r="O1894" i="14"/>
  <c r="U1894" i="14" s="1"/>
  <c r="O1887" i="14"/>
  <c r="U1887" i="14" s="1"/>
  <c r="O1877" i="14"/>
  <c r="U1877" i="14" s="1"/>
  <c r="O1827" i="14"/>
  <c r="U1827" i="14" s="1"/>
  <c r="O1769" i="14"/>
  <c r="U1769" i="14" s="1"/>
  <c r="O1742" i="14"/>
  <c r="U1742" i="14" s="1"/>
  <c r="O1936" i="14"/>
  <c r="U1936" i="14" s="1"/>
  <c r="O1942" i="14"/>
  <c r="U1942" i="14" s="1"/>
  <c r="O1956" i="14"/>
  <c r="U1956" i="14" s="1"/>
  <c r="O1882" i="14"/>
  <c r="U1882" i="14" s="1"/>
  <c r="O1832" i="14"/>
  <c r="U1832" i="14" s="1"/>
  <c r="O1785" i="14"/>
  <c r="U1785" i="14" s="1"/>
  <c r="O1794" i="14"/>
  <c r="U1794" i="14" s="1"/>
  <c r="O1772" i="14"/>
  <c r="U1772" i="14" s="1"/>
  <c r="O1836" i="14"/>
  <c r="U1836" i="14" s="1"/>
  <c r="O1878" i="14"/>
  <c r="U1878" i="14" s="1"/>
  <c r="O1829" i="14"/>
  <c r="U1829" i="14" s="1"/>
  <c r="O1817" i="14"/>
  <c r="U1817" i="14" s="1"/>
  <c r="O1831" i="14"/>
  <c r="U1831" i="14" s="1"/>
  <c r="O1821" i="14"/>
  <c r="U1821" i="14" s="1"/>
  <c r="O1867" i="14"/>
  <c r="U1867" i="14" s="1"/>
  <c r="O1873" i="14"/>
  <c r="U1873" i="14" s="1"/>
  <c r="O1855" i="14"/>
  <c r="U1855" i="14" s="1"/>
  <c r="O1845" i="14"/>
  <c r="U1845" i="14" s="1"/>
  <c r="O1795" i="14"/>
  <c r="U1795" i="14" s="1"/>
  <c r="O1865" i="14"/>
  <c r="U1865" i="14" s="1"/>
  <c r="O1879" i="14"/>
  <c r="U1879" i="14" s="1"/>
  <c r="O1869" i="14"/>
  <c r="U1869" i="14" s="1"/>
  <c r="O1787" i="14"/>
  <c r="U1787" i="14" s="1"/>
  <c r="O1793" i="14"/>
  <c r="U1793" i="14" s="1"/>
  <c r="O1807" i="14"/>
  <c r="U1807" i="14" s="1"/>
  <c r="O1861" i="14"/>
  <c r="U1861" i="14" s="1"/>
  <c r="O1811" i="14"/>
  <c r="U1811" i="14" s="1"/>
  <c r="O1799" i="14"/>
  <c r="U1799" i="14" s="1"/>
  <c r="O1958" i="14"/>
  <c r="U1958" i="14" s="1"/>
  <c r="O1880" i="14"/>
  <c r="U1880" i="14" s="1"/>
  <c r="O1806" i="14"/>
  <c r="U1806" i="14" s="1"/>
  <c r="O1957" i="14"/>
  <c r="U1957" i="14" s="1"/>
  <c r="O1981" i="14"/>
  <c r="U1981" i="14" s="1"/>
  <c r="O1803" i="14"/>
  <c r="U1803" i="14" s="1"/>
  <c r="O1781" i="14"/>
  <c r="U1781" i="14" s="1"/>
  <c r="O1774" i="14"/>
  <c r="U1774" i="14" s="1"/>
  <c r="O1816" i="14"/>
  <c r="U1816" i="14" s="1"/>
  <c r="O1747" i="14"/>
  <c r="U1747" i="14" s="1"/>
  <c r="O1964" i="14"/>
  <c r="U1964" i="14" s="1"/>
  <c r="O1852" i="14"/>
  <c r="U1852" i="14" s="1"/>
  <c r="O1777" i="14"/>
  <c r="U1777" i="14" s="1"/>
  <c r="O1944" i="14"/>
  <c r="U1944" i="14" s="1"/>
  <c r="O1911" i="14"/>
  <c r="U1911" i="14" s="1"/>
  <c r="O1825" i="14"/>
  <c r="U1825" i="14" s="1"/>
  <c r="O1917" i="14"/>
  <c r="U1917" i="14" s="1"/>
  <c r="O1796" i="14"/>
  <c r="U1796" i="14" s="1"/>
  <c r="O1948" i="14"/>
  <c r="U1948" i="14" s="1"/>
  <c r="O1973" i="14"/>
  <c r="U1973" i="14" s="1"/>
  <c r="O1912" i="14"/>
  <c r="U1912" i="14" s="1"/>
  <c r="O1969" i="14"/>
  <c r="U1969" i="14" s="1"/>
  <c r="O1910" i="14"/>
  <c r="U1910" i="14" s="1"/>
  <c r="O1928" i="14"/>
  <c r="U1928" i="14" s="1"/>
  <c r="O1823" i="14"/>
  <c r="U1823" i="14" s="1"/>
  <c r="O1753" i="14"/>
  <c r="U1753" i="14" s="1"/>
  <c r="O1874" i="14"/>
  <c r="U1874" i="14" s="1"/>
  <c r="O1931" i="14"/>
  <c r="U1931" i="14" s="1"/>
  <c r="O1937" i="14"/>
  <c r="U1937" i="14" s="1"/>
  <c r="O1919" i="14"/>
  <c r="U1919" i="14" s="1"/>
  <c r="O1909" i="14"/>
  <c r="U1909" i="14" s="1"/>
  <c r="O1859" i="14"/>
  <c r="U1859" i="14" s="1"/>
  <c r="O1801" i="14"/>
  <c r="U1801" i="14" s="1"/>
  <c r="O1815" i="14"/>
  <c r="U1815" i="14" s="1"/>
  <c r="O1805" i="14"/>
  <c r="U1805" i="14" s="1"/>
  <c r="O1851" i="14"/>
  <c r="U1851" i="14" s="1"/>
  <c r="O1857" i="14"/>
  <c r="U1857" i="14" s="1"/>
  <c r="O1871" i="14"/>
  <c r="U1871" i="14" s="1"/>
  <c r="O1797" i="14"/>
  <c r="U1797" i="14" s="1"/>
  <c r="O1875" i="14"/>
  <c r="U1875" i="14" s="1"/>
  <c r="O1758" i="14"/>
  <c r="U1758" i="14" s="1"/>
  <c r="O1940" i="14"/>
  <c r="U1940" i="14" s="1"/>
  <c r="O1847" i="14"/>
  <c r="U1847" i="14" s="1"/>
  <c r="O1889" i="14"/>
  <c r="U1889" i="14" s="1"/>
  <c r="O1968" i="14"/>
  <c r="U1968" i="14" s="1"/>
  <c r="O1982" i="14"/>
  <c r="U1982" i="14" s="1"/>
  <c r="O1972" i="14"/>
  <c r="U1972" i="14" s="1"/>
  <c r="O1888" i="14"/>
  <c r="U1888" i="14" s="1"/>
  <c r="O1905" i="14"/>
  <c r="U1905" i="14" s="1"/>
  <c r="O1759" i="14"/>
  <c r="U1759" i="14" s="1"/>
  <c r="O1749" i="14"/>
  <c r="U1749" i="14" s="1"/>
  <c r="O1786" i="14"/>
  <c r="U1786" i="14" s="1"/>
  <c r="O1900" i="14"/>
  <c r="U1900" i="14" s="1"/>
  <c r="O1890" i="14"/>
  <c r="U1890" i="14" s="1"/>
  <c r="O1947" i="14"/>
  <c r="U1947" i="14" s="1"/>
  <c r="O1953" i="14"/>
  <c r="U1953" i="14" s="1"/>
  <c r="O1828" i="14"/>
  <c r="U1828" i="14" s="1"/>
  <c r="O1893" i="14"/>
  <c r="U1893" i="14" s="1"/>
  <c r="O1843" i="14"/>
  <c r="U1843" i="14" s="1"/>
  <c r="O1927" i="14"/>
  <c r="U1927" i="14" s="1"/>
  <c r="O1841" i="14"/>
  <c r="U1841" i="14" s="1"/>
  <c r="O1891" i="14"/>
  <c r="U1891" i="14" s="1"/>
  <c r="O1954" i="14"/>
  <c r="U1954" i="14" s="1"/>
  <c r="O1761" i="14"/>
  <c r="U1761" i="14" s="1"/>
  <c r="O1896" i="14"/>
  <c r="U1896" i="14" s="1"/>
  <c r="O1776" i="14"/>
  <c r="U1776" i="14" s="1"/>
  <c r="O1790" i="14"/>
  <c r="U1790" i="14" s="1"/>
  <c r="O1780" i="14"/>
  <c r="U1780" i="14" s="1"/>
  <c r="O1826" i="14"/>
  <c r="U1826" i="14" s="1"/>
  <c r="O1745" i="14"/>
  <c r="U1745" i="14" s="1"/>
  <c r="O1814" i="14"/>
  <c r="U1814" i="14" s="1"/>
  <c r="O1804" i="14"/>
  <c r="U1804" i="14" s="1"/>
  <c r="O1754" i="14"/>
  <c r="U1754" i="14" s="1"/>
  <c r="O1824" i="14"/>
  <c r="U1824" i="14" s="1"/>
  <c r="O1751" i="14"/>
  <c r="U1751" i="14" s="1"/>
  <c r="O1741" i="14"/>
  <c r="U1741" i="14" s="1"/>
  <c r="O1746" i="14"/>
  <c r="U1746" i="14" s="1"/>
  <c r="O1752" i="14"/>
  <c r="U1752" i="14" s="1"/>
  <c r="O1766" i="14"/>
  <c r="U1766" i="14" s="1"/>
  <c r="O1820" i="14"/>
  <c r="U1820" i="14" s="1"/>
  <c r="O1770" i="14"/>
  <c r="U1770" i="14" s="1"/>
  <c r="O1906" i="14"/>
  <c r="U1906" i="14" s="1"/>
  <c r="O1800" i="14"/>
  <c r="U1800" i="14" s="1"/>
  <c r="O1763" i="14"/>
  <c r="U1763" i="14" s="1"/>
  <c r="O1837" i="14"/>
  <c r="U1837" i="14" s="1"/>
  <c r="O1779" i="14"/>
  <c r="U1779" i="14" s="1"/>
  <c r="O1885" i="14"/>
  <c r="U1885" i="14" s="1"/>
  <c r="O1791" i="14"/>
  <c r="U1791" i="14" s="1"/>
  <c r="O1760" i="14"/>
  <c r="U1760" i="14" s="1"/>
  <c r="O1764" i="14"/>
  <c r="U1764" i="14" s="1"/>
  <c r="O1743" i="14"/>
  <c r="U1743" i="14" s="1"/>
  <c r="O1748" i="14"/>
  <c r="U1748" i="14" s="1"/>
  <c r="O1892" i="14"/>
  <c r="U1892" i="14" s="1"/>
  <c r="O1899" i="14"/>
  <c r="U1899" i="14" s="1"/>
  <c r="O1886" i="14"/>
  <c r="U1886" i="14" s="1"/>
  <c r="O1819" i="14"/>
  <c r="U1819" i="14" s="1"/>
  <c r="O1765" i="14"/>
  <c r="U1765" i="14" s="1"/>
  <c r="O1951" i="14"/>
  <c r="U1951" i="14" s="1"/>
  <c r="O1950" i="14"/>
  <c r="U1950" i="14" s="1"/>
  <c r="O1934" i="14"/>
  <c r="U1934" i="14" s="1"/>
  <c r="O1967" i="14"/>
  <c r="U1967" i="14" s="1"/>
  <c r="O1962" i="14"/>
  <c r="U1962" i="14" s="1"/>
  <c r="O1979" i="14"/>
  <c r="U1979" i="14" s="1"/>
  <c r="O1924" i="14"/>
  <c r="U1924" i="14" s="1"/>
  <c r="O1913" i="14"/>
  <c r="U1913" i="14" s="1"/>
  <c r="O1961" i="14"/>
  <c r="U1961" i="14" s="1"/>
  <c r="I1947" i="14"/>
  <c r="I1887" i="14"/>
  <c r="F1925" i="14" l="1"/>
  <c r="F1900" i="14"/>
  <c r="G1780" i="14"/>
  <c r="F1876" i="14"/>
  <c r="F1785" i="14"/>
  <c r="G1877" i="14"/>
  <c r="G1864" i="14"/>
  <c r="G1811" i="14"/>
  <c r="G1787" i="14"/>
  <c r="G1913" i="14"/>
  <c r="G1915" i="14"/>
  <c r="G1804" i="14"/>
  <c r="G1924" i="14"/>
  <c r="G1859" i="14"/>
  <c r="G1899" i="14"/>
  <c r="G1914" i="14"/>
  <c r="G1763" i="14"/>
  <c r="G1844" i="14"/>
  <c r="G1907" i="14"/>
  <c r="H1756" i="14"/>
  <c r="G1874" i="14"/>
  <c r="G1767" i="14"/>
  <c r="G1746" i="14"/>
  <c r="G1926" i="14"/>
  <c r="G1930" i="14"/>
  <c r="G1778" i="14"/>
  <c r="G1750" i="14"/>
  <c r="G1947" i="14"/>
  <c r="G1845" i="14"/>
  <c r="G1870" i="14"/>
  <c r="G1939" i="14"/>
  <c r="G1785" i="14"/>
  <c r="G1782" i="14"/>
  <c r="G1962" i="14"/>
  <c r="G1771" i="14"/>
  <c r="E1885" i="14"/>
  <c r="F1741" i="14"/>
  <c r="G1834" i="14"/>
  <c r="G1758" i="14"/>
  <c r="G1971" i="14"/>
  <c r="G1923" i="14"/>
  <c r="G1843" i="14"/>
  <c r="G1793" i="14"/>
  <c r="G1786" i="14"/>
  <c r="G1982" i="14"/>
  <c r="G1741" i="14"/>
  <c r="G1822" i="14"/>
  <c r="G1826" i="14"/>
  <c r="G1838" i="14"/>
  <c r="G1799" i="14"/>
  <c r="G1760" i="14"/>
  <c r="G1979" i="14"/>
  <c r="E1822" i="14"/>
  <c r="F1829" i="14"/>
  <c r="G1954" i="14"/>
  <c r="G1772" i="14"/>
  <c r="G1922" i="14"/>
  <c r="G1955" i="14"/>
  <c r="G1775" i="14"/>
  <c r="G1792" i="14"/>
  <c r="G1858" i="14"/>
  <c r="G1875" i="14"/>
  <c r="G1863" i="14"/>
  <c r="G1960" i="14"/>
  <c r="G1790" i="14"/>
  <c r="G1761" i="14"/>
  <c r="G1906" i="14"/>
  <c r="G1965" i="14"/>
  <c r="H1928" i="14"/>
  <c r="E1843" i="14"/>
  <c r="H1763" i="14"/>
  <c r="H1783" i="14"/>
  <c r="H1822" i="14"/>
  <c r="H1752" i="14"/>
  <c r="F1917" i="14"/>
  <c r="F1780" i="14"/>
  <c r="F1957" i="14"/>
  <c r="F1956" i="14"/>
  <c r="E1763" i="14"/>
  <c r="E1923" i="14"/>
  <c r="E1837" i="14"/>
  <c r="F1818" i="14"/>
  <c r="F1862" i="14"/>
  <c r="F1927" i="14"/>
  <c r="E1824" i="14"/>
  <c r="E1870" i="14"/>
  <c r="F1903" i="14"/>
  <c r="F1758" i="14"/>
  <c r="F1790" i="14"/>
  <c r="G1810" i="14"/>
  <c r="G1818" i="14"/>
  <c r="G1966" i="14"/>
  <c r="G1901" i="14"/>
  <c r="H1866" i="14"/>
  <c r="H1855" i="14"/>
  <c r="H1942" i="14"/>
  <c r="H1867" i="14"/>
  <c r="H1824" i="14"/>
  <c r="H1941" i="14"/>
  <c r="H1914" i="14"/>
  <c r="F1845" i="14"/>
  <c r="F1904" i="14"/>
  <c r="H1946" i="14"/>
  <c r="H1921" i="14"/>
  <c r="H1903" i="14"/>
  <c r="H1845" i="14"/>
  <c r="H1846" i="14"/>
  <c r="H1794" i="14"/>
  <c r="H1768" i="14"/>
  <c r="F1742" i="14"/>
  <c r="F1813" i="14"/>
  <c r="F1950" i="14"/>
  <c r="F1937" i="14"/>
  <c r="G1762" i="14"/>
  <c r="G1957" i="14"/>
  <c r="H1938" i="14"/>
  <c r="H1805" i="14"/>
  <c r="H1745" i="14"/>
  <c r="H1971" i="14"/>
  <c r="H1970" i="14"/>
  <c r="H1902" i="14"/>
  <c r="H1974" i="14"/>
  <c r="F1819" i="14"/>
  <c r="F1898" i="14"/>
  <c r="I1744" i="14"/>
  <c r="E1933" i="14"/>
  <c r="F1901" i="14"/>
  <c r="G1837" i="14"/>
  <c r="G1891" i="14"/>
  <c r="G1900" i="14"/>
  <c r="I1979" i="14"/>
  <c r="H1754" i="14"/>
  <c r="H1766" i="14"/>
  <c r="E1883" i="14"/>
  <c r="F1928" i="14"/>
  <c r="F1899" i="14"/>
  <c r="F1764" i="14"/>
  <c r="G1797" i="14"/>
  <c r="G1933" i="14"/>
  <c r="I1884" i="14"/>
  <c r="E1954" i="14"/>
  <c r="F1859" i="14"/>
  <c r="F1913" i="14"/>
  <c r="G1801" i="14"/>
  <c r="G1909" i="14"/>
  <c r="G1742" i="14"/>
  <c r="G1852" i="14"/>
  <c r="G1940" i="14"/>
  <c r="G1884" i="14"/>
  <c r="E1795" i="14"/>
  <c r="E1854" i="14"/>
  <c r="F1782" i="14"/>
  <c r="F1849" i="14"/>
  <c r="G1981" i="14"/>
  <c r="G1831" i="14"/>
  <c r="I1797" i="14"/>
  <c r="I1743" i="14"/>
  <c r="H1924" i="14"/>
  <c r="H1753" i="14"/>
  <c r="E1862" i="14"/>
  <c r="E1884" i="14"/>
  <c r="E1807" i="14"/>
  <c r="E1864" i="14"/>
  <c r="E1827" i="14"/>
  <c r="F1909" i="14"/>
  <c r="F1855" i="14"/>
  <c r="F1751" i="14"/>
  <c r="F1867" i="14"/>
  <c r="F1773" i="14"/>
  <c r="F1800" i="14"/>
  <c r="F1952" i="14"/>
  <c r="F1801" i="14"/>
  <c r="F1923" i="14"/>
  <c r="F1794" i="14"/>
  <c r="F1808" i="14"/>
  <c r="F1936" i="14"/>
  <c r="G1770" i="14"/>
  <c r="G1860" i="14"/>
  <c r="G1880" i="14"/>
  <c r="G1779" i="14"/>
  <c r="G1848" i="14"/>
  <c r="G1929" i="14"/>
  <c r="G1941" i="14"/>
  <c r="G1850" i="14"/>
  <c r="G1856" i="14"/>
  <c r="G1756" i="14"/>
  <c r="G1808" i="14"/>
  <c r="G1757" i="14"/>
  <c r="G1972" i="14"/>
  <c r="G1753" i="14"/>
  <c r="G1916" i="14"/>
  <c r="G1800" i="14"/>
  <c r="G1952" i="14"/>
  <c r="G1803" i="14"/>
  <c r="G1896" i="14"/>
  <c r="G1890" i="14"/>
  <c r="G1813" i="14"/>
  <c r="G1862" i="14"/>
  <c r="G1885" i="14"/>
  <c r="G1897" i="14"/>
  <c r="I1945" i="14"/>
  <c r="E1908" i="14"/>
  <c r="E1785" i="14"/>
  <c r="E1976" i="14"/>
  <c r="E1784" i="14"/>
  <c r="F1833" i="14"/>
  <c r="F1778" i="14"/>
  <c r="F1831" i="14"/>
  <c r="F1832" i="14"/>
  <c r="F1882" i="14"/>
  <c r="F1810" i="14"/>
  <c r="F1883" i="14"/>
  <c r="F1949" i="14"/>
  <c r="F1805" i="14"/>
  <c r="F1856" i="14"/>
  <c r="F1743" i="14"/>
  <c r="F1886" i="14"/>
  <c r="G1748" i="14"/>
  <c r="G1768" i="14"/>
  <c r="G1886" i="14"/>
  <c r="G1853" i="14"/>
  <c r="G1840" i="14"/>
  <c r="G1827" i="14"/>
  <c r="G1883" i="14"/>
  <c r="G1968" i="14"/>
  <c r="G1755" i="14"/>
  <c r="G1898" i="14"/>
  <c r="G1950" i="14"/>
  <c r="I1835" i="14"/>
  <c r="E1930" i="14"/>
  <c r="F1885" i="14"/>
  <c r="F1914" i="14"/>
  <c r="F1762" i="14"/>
  <c r="F1964" i="14"/>
  <c r="F1871" i="14"/>
  <c r="F1771" i="14"/>
  <c r="F1827" i="14"/>
  <c r="F1748" i="14"/>
  <c r="F1766" i="14"/>
  <c r="F1781" i="14"/>
  <c r="F1935" i="14"/>
  <c r="F1798" i="14"/>
  <c r="F1824" i="14"/>
  <c r="F1853" i="14"/>
  <c r="F1948" i="14"/>
  <c r="F1863" i="14"/>
  <c r="G1752" i="14"/>
  <c r="G1764" i="14"/>
  <c r="G1861" i="14"/>
  <c r="G1773" i="14"/>
  <c r="G1798" i="14"/>
  <c r="G1815" i="14"/>
  <c r="G1777" i="14"/>
  <c r="G1936" i="14"/>
  <c r="G1823" i="14"/>
  <c r="G1970" i="14"/>
  <c r="G1949" i="14"/>
  <c r="G1945" i="14"/>
  <c r="G1812" i="14"/>
  <c r="G1833" i="14"/>
  <c r="G1839" i="14"/>
  <c r="E1816" i="14"/>
  <c r="E1782" i="14"/>
  <c r="E1765" i="14"/>
  <c r="E1741" i="14"/>
  <c r="E1742" i="14"/>
  <c r="E1873" i="14"/>
  <c r="I1765" i="14"/>
  <c r="E1896" i="14"/>
  <c r="E1834" i="14"/>
  <c r="E1967" i="14"/>
  <c r="E1750" i="14"/>
  <c r="E1813" i="14"/>
  <c r="E1903" i="14"/>
  <c r="E1829" i="14"/>
  <c r="I1826" i="14"/>
  <c r="H1842" i="14"/>
  <c r="E1947" i="14"/>
  <c r="E1890" i="14"/>
  <c r="E1882" i="14"/>
  <c r="I1868" i="14"/>
  <c r="I1774" i="14"/>
  <c r="I1908" i="14"/>
  <c r="I1971" i="14"/>
  <c r="H1905" i="14"/>
  <c r="H1899" i="14"/>
  <c r="H1838" i="14"/>
  <c r="E1972" i="14"/>
  <c r="E1926" i="14"/>
  <c r="F1967" i="14"/>
  <c r="H1909" i="14"/>
  <c r="H1945" i="14"/>
  <c r="H1873" i="14"/>
  <c r="H1943" i="14"/>
  <c r="H1952" i="14"/>
  <c r="E1978" i="14"/>
  <c r="I1977" i="14"/>
  <c r="I1830" i="14"/>
  <c r="I1903" i="14"/>
  <c r="I1768" i="14"/>
  <c r="I1772" i="14"/>
  <c r="I1870" i="14"/>
  <c r="I1742" i="14"/>
  <c r="H1775" i="14"/>
  <c r="H1841" i="14"/>
  <c r="H1912" i="14"/>
  <c r="H1948" i="14"/>
  <c r="E1779" i="14"/>
  <c r="E1962" i="14"/>
  <c r="E1895" i="14"/>
  <c r="E1847" i="14"/>
  <c r="E1823" i="14"/>
  <c r="H1758" i="14"/>
  <c r="H1951" i="14"/>
  <c r="H1931" i="14"/>
  <c r="H1982" i="14"/>
  <c r="H1934" i="14"/>
  <c r="H1893" i="14"/>
  <c r="H1972" i="14"/>
  <c r="H1875" i="14"/>
  <c r="H1772" i="14"/>
  <c r="H1789" i="14"/>
  <c r="H1755" i="14"/>
  <c r="I1820" i="14"/>
  <c r="H1773" i="14"/>
  <c r="H1830" i="14"/>
  <c r="H1854" i="14"/>
  <c r="H1843" i="14"/>
  <c r="H1897" i="14"/>
  <c r="H1779" i="14"/>
  <c r="H1761" i="14"/>
  <c r="H1757" i="14"/>
  <c r="H1862" i="14"/>
  <c r="H1835" i="14"/>
  <c r="H1759" i="14"/>
  <c r="H1828" i="14"/>
  <c r="H1955" i="14"/>
  <c r="H1859" i="14"/>
  <c r="H1947" i="14"/>
  <c r="H1961" i="14"/>
  <c r="H1851" i="14"/>
  <c r="H1918" i="14"/>
  <c r="H1777" i="14"/>
  <c r="H1870" i="14"/>
  <c r="H1743" i="14"/>
  <c r="H1927" i="14"/>
  <c r="E1846" i="14"/>
  <c r="E1825" i="14"/>
  <c r="E1944" i="14"/>
  <c r="E1810" i="14"/>
  <c r="E1786" i="14"/>
  <c r="I1965" i="14"/>
  <c r="I1886" i="14"/>
  <c r="I1781" i="14"/>
  <c r="I1849" i="14"/>
  <c r="I1811" i="14"/>
  <c r="I1950" i="14"/>
  <c r="I1762" i="14"/>
  <c r="I1930" i="14"/>
  <c r="I1926" i="14"/>
  <c r="I1790" i="14"/>
  <c r="I1847" i="14"/>
  <c r="I1829" i="14"/>
  <c r="H1864" i="14"/>
  <c r="H1829" i="14"/>
  <c r="E1866" i="14"/>
  <c r="I1972" i="14"/>
  <c r="I1874" i="14"/>
  <c r="I1751" i="14"/>
  <c r="I1800" i="14"/>
  <c r="I1794" i="14"/>
  <c r="I1885" i="14"/>
  <c r="I1795" i="14"/>
  <c r="I1909" i="14"/>
  <c r="I1946" i="14"/>
  <c r="I1921" i="14"/>
  <c r="I1806" i="14"/>
  <c r="I1766" i="14"/>
  <c r="I1805" i="14"/>
  <c r="I1862" i="14"/>
  <c r="I1872" i="14"/>
  <c r="I1911" i="14"/>
  <c r="I1854" i="14"/>
  <c r="E1747" i="14"/>
  <c r="I1767" i="14"/>
  <c r="I1922" i="14"/>
  <c r="I1983" i="14"/>
  <c r="E1840" i="14"/>
  <c r="E1762" i="14"/>
  <c r="E1761" i="14"/>
  <c r="E1789" i="14"/>
  <c r="E1769" i="14"/>
  <c r="E1788" i="14"/>
  <c r="E1969" i="14"/>
  <c r="E1970" i="14"/>
  <c r="F1953" i="14"/>
  <c r="I1936" i="14"/>
  <c r="I1980" i="14"/>
  <c r="I1883" i="14"/>
  <c r="I1958" i="14"/>
  <c r="I1917" i="14"/>
  <c r="I1879" i="14"/>
  <c r="H1823" i="14"/>
  <c r="E1832" i="14"/>
  <c r="E1893" i="14"/>
  <c r="E1977" i="14"/>
  <c r="E1881" i="14"/>
  <c r="F1869" i="14"/>
  <c r="F1858" i="14"/>
  <c r="H1821" i="14"/>
  <c r="E1941" i="14"/>
  <c r="E1780" i="14"/>
  <c r="E1945" i="14"/>
  <c r="F1757" i="14"/>
  <c r="I1952" i="14"/>
  <c r="I1969" i="14"/>
  <c r="I1784" i="14"/>
  <c r="H1964" i="14"/>
  <c r="H1781" i="14"/>
  <c r="H1908" i="14"/>
  <c r="H1923" i="14"/>
  <c r="H1929" i="14"/>
  <c r="H1983" i="14"/>
  <c r="H1861" i="14"/>
  <c r="H1802" i="14"/>
  <c r="H1771" i="14"/>
  <c r="H1817" i="14"/>
  <c r="H1926" i="14"/>
  <c r="H1960" i="14"/>
  <c r="H1807" i="14"/>
  <c r="H1940" i="14"/>
  <c r="H1895" i="14"/>
  <c r="E1830" i="14"/>
  <c r="E1812" i="14"/>
  <c r="E1819" i="14"/>
  <c r="E1858" i="14"/>
  <c r="E1859" i="14"/>
  <c r="E1777" i="14"/>
  <c r="E1917" i="14"/>
  <c r="F1788" i="14"/>
  <c r="F1774" i="14"/>
  <c r="F1880" i="14"/>
  <c r="F1809" i="14"/>
  <c r="I1899" i="14"/>
  <c r="I1745" i="14"/>
  <c r="H1769" i="14"/>
  <c r="H1913" i="14"/>
  <c r="H1750" i="14"/>
  <c r="H1827" i="14"/>
  <c r="H1808" i="14"/>
  <c r="H1969" i="14"/>
  <c r="H1953" i="14"/>
  <c r="H1749" i="14"/>
  <c r="H1865" i="14"/>
  <c r="H1844" i="14"/>
  <c r="H1760" i="14"/>
  <c r="H1833" i="14"/>
  <c r="H1857" i="14"/>
  <c r="H1966" i="14"/>
  <c r="H1965" i="14"/>
  <c r="H1980" i="14"/>
  <c r="H1836" i="14"/>
  <c r="E1751" i="14"/>
  <c r="E1841" i="14"/>
  <c r="E1773" i="14"/>
  <c r="E1952" i="14"/>
  <c r="E1767" i="14"/>
  <c r="E1888" i="14"/>
  <c r="E1956" i="14"/>
  <c r="E1951" i="14"/>
  <c r="E1974" i="14"/>
  <c r="E1817" i="14"/>
  <c r="E1803" i="14"/>
  <c r="F1929" i="14"/>
  <c r="F1846" i="14"/>
  <c r="F1930" i="14"/>
  <c r="F1763" i="14"/>
  <c r="F1976" i="14"/>
  <c r="I1864" i="14"/>
  <c r="H1765" i="14"/>
  <c r="H1837" i="14"/>
  <c r="H1770" i="14"/>
  <c r="H1933" i="14"/>
  <c r="H1880" i="14"/>
  <c r="H1800" i="14"/>
  <c r="H1782" i="14"/>
  <c r="H1860" i="14"/>
  <c r="H1977" i="14"/>
  <c r="H1787" i="14"/>
  <c r="H1916" i="14"/>
  <c r="H1863" i="14"/>
  <c r="H1876" i="14"/>
  <c r="E1868" i="14"/>
  <c r="E1939" i="14"/>
  <c r="E1886" i="14"/>
  <c r="E1927" i="14"/>
  <c r="E1980" i="14"/>
  <c r="E1983" i="14"/>
  <c r="E1982" i="14"/>
  <c r="E1821" i="14"/>
  <c r="E1804" i="14"/>
  <c r="E1948" i="14"/>
  <c r="E1911" i="14"/>
  <c r="F1890" i="14"/>
  <c r="F1797" i="14"/>
  <c r="F1820" i="14"/>
  <c r="F1919" i="14"/>
  <c r="I1893" i="14"/>
  <c r="I1815" i="14"/>
  <c r="I1891" i="14"/>
  <c r="I1978" i="14"/>
  <c r="I1975" i="14"/>
  <c r="I1753" i="14"/>
  <c r="I1961" i="14"/>
  <c r="H1950" i="14"/>
  <c r="E1979" i="14"/>
  <c r="E1940" i="14"/>
  <c r="E1744" i="14"/>
  <c r="E1965" i="14"/>
  <c r="E1910" i="14"/>
  <c r="E1851" i="14"/>
  <c r="F1815" i="14"/>
  <c r="F1760" i="14"/>
  <c r="F1878" i="14"/>
  <c r="F1931" i="14"/>
  <c r="F1940" i="14"/>
  <c r="F1793" i="14"/>
  <c r="F1897" i="14"/>
  <c r="F1915" i="14"/>
  <c r="F1943" i="14"/>
  <c r="F1851" i="14"/>
  <c r="F1865" i="14"/>
  <c r="F1777" i="14"/>
  <c r="F1816" i="14"/>
  <c r="G1959" i="14"/>
  <c r="G1749" i="14"/>
  <c r="I1752" i="14"/>
  <c r="I1906" i="14"/>
  <c r="I1812" i="14"/>
  <c r="I1757" i="14"/>
  <c r="E1798" i="14"/>
  <c r="E1880" i="14"/>
  <c r="F1922" i="14"/>
  <c r="F1975" i="14"/>
  <c r="F1776" i="14"/>
  <c r="F1767" i="14"/>
  <c r="F1775" i="14"/>
  <c r="F1835" i="14"/>
  <c r="F1926" i="14"/>
  <c r="F1838" i="14"/>
  <c r="F1804" i="14"/>
  <c r="F1873" i="14"/>
  <c r="F1910" i="14"/>
  <c r="F1842" i="14"/>
  <c r="I1824" i="14"/>
  <c r="I1919" i="14"/>
  <c r="I1764" i="14"/>
  <c r="I1970" i="14"/>
  <c r="I1759" i="14"/>
  <c r="H1910" i="14"/>
  <c r="H1814" i="14"/>
  <c r="H1890" i="14"/>
  <c r="H1813" i="14"/>
  <c r="E1845" i="14"/>
  <c r="E1869" i="14"/>
  <c r="E1921" i="14"/>
  <c r="E1820" i="14"/>
  <c r="E1916" i="14"/>
  <c r="E1875" i="14"/>
  <c r="F1770" i="14"/>
  <c r="F1744" i="14"/>
  <c r="F1962" i="14"/>
  <c r="F1806" i="14"/>
  <c r="F1822" i="14"/>
  <c r="F1887" i="14"/>
  <c r="F1759" i="14"/>
  <c r="F1938" i="14"/>
  <c r="F1807" i="14"/>
  <c r="F1817" i="14"/>
  <c r="F1750" i="14"/>
  <c r="F1939" i="14"/>
  <c r="F1971" i="14"/>
  <c r="F1791" i="14"/>
  <c r="I1837" i="14"/>
  <c r="I1855" i="14"/>
  <c r="I1832" i="14"/>
  <c r="I1895" i="14"/>
  <c r="I1836" i="14"/>
  <c r="I1902" i="14"/>
  <c r="I1912" i="14"/>
  <c r="I1834" i="14"/>
  <c r="I1760" i="14"/>
  <c r="I1938" i="14"/>
  <c r="I1896" i="14"/>
  <c r="I1858" i="14"/>
  <c r="I1807" i="14"/>
  <c r="I1925" i="14"/>
  <c r="H1858" i="14"/>
  <c r="H1810" i="14"/>
  <c r="H1957" i="14"/>
  <c r="H1793" i="14"/>
  <c r="H1871" i="14"/>
  <c r="H1978" i="14"/>
  <c r="H1826" i="14"/>
  <c r="H1911" i="14"/>
  <c r="H1806" i="14"/>
  <c r="H1811" i="14"/>
  <c r="H1958" i="14"/>
  <c r="H1877" i="14"/>
  <c r="H1930" i="14"/>
  <c r="H1744" i="14"/>
  <c r="H1981" i="14"/>
  <c r="H1839" i="14"/>
  <c r="E1918" i="14"/>
  <c r="E1872" i="14"/>
  <c r="E1775" i="14"/>
  <c r="E1966" i="14"/>
  <c r="E1946" i="14"/>
  <c r="E1894" i="14"/>
  <c r="E1790" i="14"/>
  <c r="E1904" i="14"/>
  <c r="E1898" i="14"/>
  <c r="E1774" i="14"/>
  <c r="E1831" i="14"/>
  <c r="F1978" i="14"/>
  <c r="F1803" i="14"/>
  <c r="F1796" i="14"/>
  <c r="F1932" i="14"/>
  <c r="F1965" i="14"/>
  <c r="F1799" i="14"/>
  <c r="F1946" i="14"/>
  <c r="F1840" i="14"/>
  <c r="F1786" i="14"/>
  <c r="F1875" i="14"/>
  <c r="F1884" i="14"/>
  <c r="F1918" i="14"/>
  <c r="F1836" i="14"/>
  <c r="G1846" i="14"/>
  <c r="I1898" i="14"/>
  <c r="I1955" i="14"/>
  <c r="I1850" i="14"/>
  <c r="I1831" i="14"/>
  <c r="I1823" i="14"/>
  <c r="I1981" i="14"/>
  <c r="I1933" i="14"/>
  <c r="I1816" i="14"/>
  <c r="I1941" i="14"/>
  <c r="H1748" i="14"/>
  <c r="H1925" i="14"/>
  <c r="H1906" i="14"/>
  <c r="H1764" i="14"/>
  <c r="H1872" i="14"/>
  <c r="H1967" i="14"/>
  <c r="H1788" i="14"/>
  <c r="H1889" i="14"/>
  <c r="H1780" i="14"/>
  <c r="E1758" i="14"/>
  <c r="E1959" i="14"/>
  <c r="E1792" i="14"/>
  <c r="E1925" i="14"/>
  <c r="E1855" i="14"/>
  <c r="E1771" i="14"/>
  <c r="E1743" i="14"/>
  <c r="F1754" i="14"/>
  <c r="F1945" i="14"/>
  <c r="F1955" i="14"/>
  <c r="F1828" i="14"/>
  <c r="F1847" i="14"/>
  <c r="F1755" i="14"/>
  <c r="F1823" i="14"/>
  <c r="F1837" i="14"/>
  <c r="F1947" i="14"/>
  <c r="F1787" i="14"/>
  <c r="F1768" i="14"/>
  <c r="F1814" i="14"/>
  <c r="F1981" i="14"/>
  <c r="G1902" i="14"/>
  <c r="I1853" i="14"/>
  <c r="I1968" i="14"/>
  <c r="I1822" i="14"/>
  <c r="I1809" i="14"/>
  <c r="I1949" i="14"/>
  <c r="I1782" i="14"/>
  <c r="I1901" i="14"/>
  <c r="I1877" i="14"/>
  <c r="I1777" i="14"/>
  <c r="I1778" i="14"/>
  <c r="I1792" i="14"/>
  <c r="H1879" i="14"/>
  <c r="H1741" i="14"/>
  <c r="H1975" i="14"/>
  <c r="H1883" i="14"/>
  <c r="H1949" i="14"/>
  <c r="H1816" i="14"/>
  <c r="H1850" i="14"/>
  <c r="H1874" i="14"/>
  <c r="E1874" i="14"/>
  <c r="E1842" i="14"/>
  <c r="E1958" i="14"/>
  <c r="E1975" i="14"/>
  <c r="E1919" i="14"/>
  <c r="E1876" i="14"/>
  <c r="E1938" i="14"/>
  <c r="E1746" i="14"/>
  <c r="F1924" i="14"/>
  <c r="F1841" i="14"/>
  <c r="F1860" i="14"/>
  <c r="F1746" i="14"/>
  <c r="F1747" i="14"/>
  <c r="F1973" i="14"/>
  <c r="F1921" i="14"/>
  <c r="F1877" i="14"/>
  <c r="F1920" i="14"/>
  <c r="F1857" i="14"/>
  <c r="F1916" i="14"/>
  <c r="F1977" i="14"/>
  <c r="F1888" i="14"/>
  <c r="G1895" i="14"/>
  <c r="I1786" i="14"/>
  <c r="I1953" i="14"/>
  <c r="I1943" i="14"/>
  <c r="I1863" i="14"/>
  <c r="I1833" i="14"/>
  <c r="I1959" i="14"/>
  <c r="I1756" i="14"/>
  <c r="I1859" i="14"/>
  <c r="I1825" i="14"/>
  <c r="I1881" i="14"/>
  <c r="I1873" i="14"/>
  <c r="I1875" i="14"/>
  <c r="I1924" i="14"/>
  <c r="I1804" i="14"/>
  <c r="I1882" i="14"/>
  <c r="H1831" i="14"/>
  <c r="H1840" i="14"/>
  <c r="H1746" i="14"/>
  <c r="H1819" i="14"/>
  <c r="H1878" i="14"/>
  <c r="H1979" i="14"/>
  <c r="H1762" i="14"/>
  <c r="H1809" i="14"/>
  <c r="E1891" i="14"/>
  <c r="E1839" i="14"/>
  <c r="E1850" i="14"/>
  <c r="E1764" i="14"/>
  <c r="E1770" i="14"/>
  <c r="E1964" i="14"/>
  <c r="E1913" i="14"/>
  <c r="E1953" i="14"/>
  <c r="E1835" i="14"/>
  <c r="E1757" i="14"/>
  <c r="E1756" i="14"/>
  <c r="E1852" i="14"/>
  <c r="E1787" i="14"/>
  <c r="E1857" i="14"/>
  <c r="E1909" i="14"/>
  <c r="E1871" i="14"/>
  <c r="F1889" i="14"/>
  <c r="F1834" i="14"/>
  <c r="F1784" i="14"/>
  <c r="F1911" i="14"/>
  <c r="F1942" i="14"/>
  <c r="F1848" i="14"/>
  <c r="F1959" i="14"/>
  <c r="F1795" i="14"/>
  <c r="F1892" i="14"/>
  <c r="F1779" i="14"/>
  <c r="F1941" i="14"/>
  <c r="F1979" i="14"/>
  <c r="F1761" i="14"/>
  <c r="F1850" i="14"/>
  <c r="F1839" i="14"/>
  <c r="F1825" i="14"/>
  <c r="F1745" i="14"/>
  <c r="F1912" i="14"/>
  <c r="G1918" i="14"/>
  <c r="G1776" i="14"/>
  <c r="G1946" i="14"/>
  <c r="G1847" i="14"/>
  <c r="G1943" i="14"/>
  <c r="I1914" i="14"/>
  <c r="H1834" i="14"/>
  <c r="H1891" i="14"/>
  <c r="H1774" i="14"/>
  <c r="H1798" i="14"/>
  <c r="H1973" i="14"/>
  <c r="H1932" i="14"/>
  <c r="E1853" i="14"/>
  <c r="E1950" i="14"/>
  <c r="E1879" i="14"/>
  <c r="E1776" i="14"/>
  <c r="E1799" i="14"/>
  <c r="E1915" i="14"/>
  <c r="E1836" i="14"/>
  <c r="E1901" i="14"/>
  <c r="E1949" i="14"/>
  <c r="E1783" i="14"/>
  <c r="E1800" i="14"/>
  <c r="E1924" i="14"/>
  <c r="E1826" i="14"/>
  <c r="E1828" i="14"/>
  <c r="E1907" i="14"/>
  <c r="E1808" i="14"/>
  <c r="E1934" i="14"/>
  <c r="E1815" i="14"/>
  <c r="F1765" i="14"/>
  <c r="F1826" i="14"/>
  <c r="F1954" i="14"/>
  <c r="F1891" i="14"/>
  <c r="F1968" i="14"/>
  <c r="F1905" i="14"/>
  <c r="F1894" i="14"/>
  <c r="F1756" i="14"/>
  <c r="G1781" i="14"/>
  <c r="G1794" i="14"/>
  <c r="G1958" i="14"/>
  <c r="G1920" i="14"/>
  <c r="G1973" i="14"/>
  <c r="G1747" i="14"/>
  <c r="G1903" i="14"/>
  <c r="G1911" i="14"/>
  <c r="I1904" i="14"/>
  <c r="I1791" i="14"/>
  <c r="I1773" i="14"/>
  <c r="I1957" i="14"/>
  <c r="I1741" i="14"/>
  <c r="I1817" i="14"/>
  <c r="I1819" i="14"/>
  <c r="I1865" i="14"/>
  <c r="I1851" i="14"/>
  <c r="I1960" i="14"/>
  <c r="I1799" i="14"/>
  <c r="I1750" i="14"/>
  <c r="I1935" i="14"/>
  <c r="I1860" i="14"/>
  <c r="I1934" i="14"/>
  <c r="I1793" i="14"/>
  <c r="I1928" i="14"/>
  <c r="I1763" i="14"/>
  <c r="I1889" i="14"/>
  <c r="I1761" i="14"/>
  <c r="I1808" i="14"/>
  <c r="I1844" i="14"/>
  <c r="I1866" i="14"/>
  <c r="I1852" i="14"/>
  <c r="I1888" i="14"/>
  <c r="I1813" i="14"/>
  <c r="I1927" i="14"/>
  <c r="I1963" i="14"/>
  <c r="I1931" i="14"/>
  <c r="I1780" i="14"/>
  <c r="H1959" i="14"/>
  <c r="H1853" i="14"/>
  <c r="H1901" i="14"/>
  <c r="H1894" i="14"/>
  <c r="H1849" i="14"/>
  <c r="H1812" i="14"/>
  <c r="H1956" i="14"/>
  <c r="H1795" i="14"/>
  <c r="H1922" i="14"/>
  <c r="H1803" i="14"/>
  <c r="H1804" i="14"/>
  <c r="E1766" i="14"/>
  <c r="E1887" i="14"/>
  <c r="E1931" i="14"/>
  <c r="E1900" i="14"/>
  <c r="E1878" i="14"/>
  <c r="E1791" i="14"/>
  <c r="E1955" i="14"/>
  <c r="E1863" i="14"/>
  <c r="E1971" i="14"/>
  <c r="E1860" i="14"/>
  <c r="E1749" i="14"/>
  <c r="E1902" i="14"/>
  <c r="E1818" i="14"/>
  <c r="F1872" i="14"/>
  <c r="F1879" i="14"/>
  <c r="F1864" i="14"/>
  <c r="F1811" i="14"/>
  <c r="G1942" i="14"/>
  <c r="G1805" i="14"/>
  <c r="G1784" i="14"/>
  <c r="G1774" i="14"/>
  <c r="G1830" i="14"/>
  <c r="G1806" i="14"/>
  <c r="G1842" i="14"/>
  <c r="G1841" i="14"/>
  <c r="G1934" i="14"/>
  <c r="I1748" i="14"/>
  <c r="V1899" i="14"/>
  <c r="A1899" i="14" s="1"/>
  <c r="V1772" i="14"/>
  <c r="A1772" i="14" s="1"/>
  <c r="E1752" i="14"/>
  <c r="V1814" i="14"/>
  <c r="A1814" i="14" s="1"/>
  <c r="V1914" i="14"/>
  <c r="A1914" i="14" s="1"/>
  <c r="V1929" i="14"/>
  <c r="A1929" i="14" s="1"/>
  <c r="V1744" i="14"/>
  <c r="A1744" i="14" s="1"/>
  <c r="V1965" i="14"/>
  <c r="A1965" i="14" s="1"/>
  <c r="V1748" i="14"/>
  <c r="A1748" i="14" s="1"/>
  <c r="V1867" i="14"/>
  <c r="A1867" i="14" s="1"/>
  <c r="V1802" i="14"/>
  <c r="A1802" i="14" s="1"/>
  <c r="V1811" i="14"/>
  <c r="A1811" i="14" s="1"/>
  <c r="V1906" i="14"/>
  <c r="A1906" i="14" s="1"/>
  <c r="V1877" i="14"/>
  <c r="A1877" i="14" s="1"/>
  <c r="V1844" i="14"/>
  <c r="A1844" i="14" s="1"/>
  <c r="V1797" i="14"/>
  <c r="A1797" i="14" s="1"/>
  <c r="V1805" i="14"/>
  <c r="A1805" i="14" s="1"/>
  <c r="V1781" i="14"/>
  <c r="A1781" i="14" s="1"/>
  <c r="V1981" i="14"/>
  <c r="A1981" i="14" s="1"/>
  <c r="V1961" i="14"/>
  <c r="A1961" i="14" s="1"/>
  <c r="V1960" i="14"/>
  <c r="A1960" i="14" s="1"/>
  <c r="V1889" i="14"/>
  <c r="A1889" i="14" s="1"/>
  <c r="E1760" i="14"/>
  <c r="V1793" i="14"/>
  <c r="A1793" i="14" s="1"/>
  <c r="V1768" i="14"/>
  <c r="A1768" i="14" s="1"/>
  <c r="V1816" i="14"/>
  <c r="A1816" i="14" s="1"/>
  <c r="V1865" i="14"/>
  <c r="A1865" i="14" s="1"/>
  <c r="V1794" i="14"/>
  <c r="A1794" i="14" s="1"/>
  <c r="V1753" i="14"/>
  <c r="A1753" i="14" s="1"/>
  <c r="V1866" i="14"/>
  <c r="A1866" i="14" s="1"/>
  <c r="V1917" i="14"/>
  <c r="A1917" i="14" s="1"/>
  <c r="V1859" i="14"/>
  <c r="A1859" i="14" s="1"/>
  <c r="V1922" i="14"/>
  <c r="A1922" i="14" s="1"/>
  <c r="V1745" i="14"/>
  <c r="A1745" i="14" s="1"/>
  <c r="V1912" i="14"/>
  <c r="A1912" i="14" s="1"/>
  <c r="V1979" i="14"/>
  <c r="A1979" i="14" s="1"/>
  <c r="V1916" i="14"/>
  <c r="A1916" i="14" s="1"/>
  <c r="V1820" i="14"/>
  <c r="A1820" i="14" s="1"/>
  <c r="V1957" i="14"/>
  <c r="A1957" i="14" s="1"/>
  <c r="V1943" i="14"/>
  <c r="A1943" i="14" s="1"/>
  <c r="V1833" i="14"/>
  <c r="A1833" i="14" s="1"/>
  <c r="V1848" i="14"/>
  <c r="A1848" i="14" s="1"/>
  <c r="V1778" i="14"/>
  <c r="A1778" i="14" s="1"/>
  <c r="V1869" i="14"/>
  <c r="A1869" i="14" s="1"/>
  <c r="V1838" i="14"/>
  <c r="A1838" i="14" s="1"/>
  <c r="V1788" i="14"/>
  <c r="A1788" i="14" s="1"/>
  <c r="V1856" i="14"/>
  <c r="A1856" i="14" s="1"/>
  <c r="V1973" i="14"/>
  <c r="A1973" i="14" s="1"/>
  <c r="V1942" i="14"/>
  <c r="A1942" i="14" s="1"/>
  <c r="V1896" i="14"/>
  <c r="A1896" i="14" s="1"/>
  <c r="V1936" i="14"/>
  <c r="A1936" i="14" s="1"/>
  <c r="V1905" i="14"/>
  <c r="A1905" i="14" s="1"/>
  <c r="V1849" i="14"/>
  <c r="A1849" i="14" s="1"/>
  <c r="U333" i="10"/>
  <c r="L334" i="10"/>
  <c r="M333" i="10"/>
  <c r="V332" i="10"/>
  <c r="I1964" i="14"/>
  <c r="I1840" i="14"/>
  <c r="I1783" i="14"/>
  <c r="I1787" i="14"/>
  <c r="I1770" i="14"/>
  <c r="I1892" i="14"/>
  <c r="I1779" i="14"/>
  <c r="I1848" i="14"/>
  <c r="I1890" i="14"/>
  <c r="I1878" i="14"/>
  <c r="I1940" i="14"/>
  <c r="I1948" i="14"/>
  <c r="I1747" i="14"/>
  <c r="I1843" i="14"/>
  <c r="I1907" i="14"/>
  <c r="I1801" i="14"/>
  <c r="I1746" i="14"/>
  <c r="I1932" i="14"/>
  <c r="I1929" i="14"/>
  <c r="I1982" i="14"/>
  <c r="I1861" i="14"/>
  <c r="I1923" i="14"/>
  <c r="I1944" i="14"/>
  <c r="I1771" i="14"/>
  <c r="I1749" i="14"/>
  <c r="I1880" i="14"/>
  <c r="I1954" i="14"/>
  <c r="I1802" i="14"/>
  <c r="I1973" i="14"/>
  <c r="I1814" i="14"/>
  <c r="I1916" i="14"/>
  <c r="I1871" i="14"/>
  <c r="I1976" i="14"/>
  <c r="H1944" i="14"/>
  <c r="H1818" i="14"/>
  <c r="H1778" i="14"/>
  <c r="H1797" i="14"/>
  <c r="H1936" i="14"/>
  <c r="H1815" i="14"/>
  <c r="H1882" i="14"/>
  <c r="H1898" i="14"/>
  <c r="H1751" i="14"/>
  <c r="H1935" i="14"/>
  <c r="H1904" i="14"/>
  <c r="H1939" i="14"/>
  <c r="H1790" i="14"/>
  <c r="H1917" i="14"/>
  <c r="H1785" i="14"/>
  <c r="H1886" i="14"/>
  <c r="H1963" i="14"/>
  <c r="H1869" i="14"/>
  <c r="H1915" i="14"/>
  <c r="H1920" i="14"/>
  <c r="E1929" i="14"/>
  <c r="E1833" i="14"/>
  <c r="E1960" i="14"/>
  <c r="E1877" i="14"/>
  <c r="E1794" i="14"/>
  <c r="E1922" i="14"/>
  <c r="E1802" i="14"/>
  <c r="E1745" i="14"/>
  <c r="E1892" i="14"/>
  <c r="E1897" i="14"/>
  <c r="V1782" i="14"/>
  <c r="A1782" i="14" s="1"/>
  <c r="V1882" i="14"/>
  <c r="A1882" i="14" s="1"/>
  <c r="V1880" i="14"/>
  <c r="A1880" i="14" s="1"/>
  <c r="V1784" i="14"/>
  <c r="A1784" i="14" s="1"/>
  <c r="V1921" i="14"/>
  <c r="A1921" i="14" s="1"/>
  <c r="V1779" i="14"/>
  <c r="A1779" i="14" s="1"/>
  <c r="V1847" i="14"/>
  <c r="A1847" i="14" s="1"/>
  <c r="V1835" i="14"/>
  <c r="A1835" i="14" s="1"/>
  <c r="V1770" i="14"/>
  <c r="A1770" i="14" s="1"/>
  <c r="V1915" i="14"/>
  <c r="A1915" i="14" s="1"/>
  <c r="V1749" i="14"/>
  <c r="A1749" i="14" s="1"/>
  <c r="V1852" i="14"/>
  <c r="A1852" i="14" s="1"/>
  <c r="V1853" i="14"/>
  <c r="A1853" i="14" s="1"/>
  <c r="V1756" i="14"/>
  <c r="A1756" i="14" s="1"/>
  <c r="V1764" i="14"/>
  <c r="A1764" i="14" s="1"/>
  <c r="E1932" i="14"/>
  <c r="V1872" i="14"/>
  <c r="A1872" i="14" s="1"/>
  <c r="V1792" i="14"/>
  <c r="A1792" i="14" s="1"/>
  <c r="V1771" i="14"/>
  <c r="A1771" i="14" s="1"/>
  <c r="V1975" i="14"/>
  <c r="A1975" i="14" s="1"/>
  <c r="V1970" i="14"/>
  <c r="A1970" i="14" s="1"/>
  <c r="V1946" i="14"/>
  <c r="A1946" i="14" s="1"/>
  <c r="V1881" i="14"/>
  <c r="A1881" i="14" s="1"/>
  <c r="V1938" i="14"/>
  <c r="A1938" i="14" s="1"/>
  <c r="V1894" i="14"/>
  <c r="A1894" i="14" s="1"/>
  <c r="V1842" i="14"/>
  <c r="A1842" i="14" s="1"/>
  <c r="E1772" i="14"/>
  <c r="E1920" i="14"/>
  <c r="V1949" i="14"/>
  <c r="A1949" i="14" s="1"/>
  <c r="V1893" i="14"/>
  <c r="A1893" i="14" s="1"/>
  <c r="V1766" i="14"/>
  <c r="A1766" i="14" s="1"/>
  <c r="V1879" i="14"/>
  <c r="A1879" i="14" s="1"/>
  <c r="V1846" i="14"/>
  <c r="A1846" i="14" s="1"/>
  <c r="V1799" i="14"/>
  <c r="A1799" i="14" s="1"/>
  <c r="V1839" i="14"/>
  <c r="A1839" i="14" s="1"/>
  <c r="V1783" i="14"/>
  <c r="A1783" i="14" s="1"/>
  <c r="V1863" i="14"/>
  <c r="A1863" i="14" s="1"/>
  <c r="V1836" i="14"/>
  <c r="A1836" i="14" s="1"/>
  <c r="V1876" i="14"/>
  <c r="A1876" i="14" s="1"/>
  <c r="V1790" i="14"/>
  <c r="A1790" i="14" s="1"/>
  <c r="V1743" i="14"/>
  <c r="A1743" i="14" s="1"/>
  <c r="V1774" i="14"/>
  <c r="A1774" i="14" s="1"/>
  <c r="V1780" i="14"/>
  <c r="A1780" i="14" s="1"/>
  <c r="V1977" i="14"/>
  <c r="A1977" i="14" s="1"/>
  <c r="V1962" i="14"/>
  <c r="A1962" i="14" s="1"/>
  <c r="V1762" i="14"/>
  <c r="A1762" i="14" s="1"/>
  <c r="V1840" i="14"/>
  <c r="A1840" i="14" s="1"/>
  <c r="V1941" i="14"/>
  <c r="A1941" i="14" s="1"/>
  <c r="V1910" i="14"/>
  <c r="A1910" i="14" s="1"/>
  <c r="V1845" i="14"/>
  <c r="A1845" i="14" s="1"/>
  <c r="V1913" i="14"/>
  <c r="A1913" i="14" s="1"/>
  <c r="V1746" i="14"/>
  <c r="A1746" i="14" s="1"/>
  <c r="V1891" i="14"/>
  <c r="A1891" i="14" s="1"/>
  <c r="V1919" i="14"/>
  <c r="A1919" i="14" s="1"/>
  <c r="V1967" i="14"/>
  <c r="A1967" i="14" s="1"/>
  <c r="V1834" i="14"/>
  <c r="A1834" i="14" s="1"/>
  <c r="V1947" i="14"/>
  <c r="A1947" i="14" s="1"/>
  <c r="V1923" i="14"/>
  <c r="A1923" i="14" s="1"/>
  <c r="V1750" i="14"/>
  <c r="A1750" i="14" s="1"/>
  <c r="V1903" i="14"/>
  <c r="A1903" i="14" s="1"/>
  <c r="V1864" i="14"/>
  <c r="A1864" i="14" s="1"/>
  <c r="V1875" i="14"/>
  <c r="A1875" i="14" s="1"/>
  <c r="V1851" i="14"/>
  <c r="A1851" i="14" s="1"/>
  <c r="V1827" i="14"/>
  <c r="A1827" i="14" s="1"/>
  <c r="F1966" i="14"/>
  <c r="F1843" i="14"/>
  <c r="F1906" i="14"/>
  <c r="F1854" i="14"/>
  <c r="F1852" i="14"/>
  <c r="F1870" i="14"/>
  <c r="F1961" i="14"/>
  <c r="F1749" i="14"/>
  <c r="F1896" i="14"/>
  <c r="F1958" i="14"/>
  <c r="F1752" i="14"/>
  <c r="F1866" i="14"/>
  <c r="F1874" i="14"/>
  <c r="F1980" i="14"/>
  <c r="F1861" i="14"/>
  <c r="F1944" i="14"/>
  <c r="G1855" i="14"/>
  <c r="G1854" i="14"/>
  <c r="G1951" i="14"/>
  <c r="G1974" i="14"/>
  <c r="G1910" i="14"/>
  <c r="G1743" i="14"/>
  <c r="G1865" i="14"/>
  <c r="G1795" i="14"/>
  <c r="G1744" i="14"/>
  <c r="G1935" i="14"/>
  <c r="G1888" i="14"/>
  <c r="G1882" i="14"/>
  <c r="G1878" i="14"/>
  <c r="G1894" i="14"/>
  <c r="G1832" i="14"/>
  <c r="G1931" i="14"/>
  <c r="V1935" i="14"/>
  <c r="A1935" i="14" s="1"/>
  <c r="V1937" i="14"/>
  <c r="A1937" i="14" s="1"/>
  <c r="V1968" i="14"/>
  <c r="A1968" i="14" s="1"/>
  <c r="V1755" i="14"/>
  <c r="A1755" i="14" s="1"/>
  <c r="I1769" i="14"/>
  <c r="I1867" i="14"/>
  <c r="I1842" i="14"/>
  <c r="I1966" i="14"/>
  <c r="I1937" i="14"/>
  <c r="I1962" i="14"/>
  <c r="I1758" i="14"/>
  <c r="I1846" i="14"/>
  <c r="I1967" i="14"/>
  <c r="I1939" i="14"/>
  <c r="I1894" i="14"/>
  <c r="I1910" i="14"/>
  <c r="I1775" i="14"/>
  <c r="I1754" i="14"/>
  <c r="I1876" i="14"/>
  <c r="I1776" i="14"/>
  <c r="I1951" i="14"/>
  <c r="I1796" i="14"/>
  <c r="I1956" i="14"/>
  <c r="I1821" i="14"/>
  <c r="I1918" i="14"/>
  <c r="I1942" i="14"/>
  <c r="I1810" i="14"/>
  <c r="I1798" i="14"/>
  <c r="H1848" i="14"/>
  <c r="H1801" i="14"/>
  <c r="H1742" i="14"/>
  <c r="H1747" i="14"/>
  <c r="H1884" i="14"/>
  <c r="H1799" i="14"/>
  <c r="H1847" i="14"/>
  <c r="H1868" i="14"/>
  <c r="H1885" i="14"/>
  <c r="H1962" i="14"/>
  <c r="H1786" i="14"/>
  <c r="H1820" i="14"/>
  <c r="H1791" i="14"/>
  <c r="H1825" i="14"/>
  <c r="H1954" i="14"/>
  <c r="H1907" i="14"/>
  <c r="H1892" i="14"/>
  <c r="H1881" i="14"/>
  <c r="H1832" i="14"/>
  <c r="E1861" i="14"/>
  <c r="E1943" i="14"/>
  <c r="E1973" i="14"/>
  <c r="E1937" i="14"/>
  <c r="E1848" i="14"/>
  <c r="E1856" i="14"/>
  <c r="E1905" i="14"/>
  <c r="E1814" i="14"/>
  <c r="E1844" i="14"/>
  <c r="E1981" i="14"/>
  <c r="E1768" i="14"/>
  <c r="E1754" i="14"/>
  <c r="E1805" i="14"/>
  <c r="E1906" i="14"/>
  <c r="E1748" i="14"/>
  <c r="E1781" i="14"/>
  <c r="E1942" i="14"/>
  <c r="E1963" i="14"/>
  <c r="E1778" i="14"/>
  <c r="V1982" i="14"/>
  <c r="A1982" i="14" s="1"/>
  <c r="V1930" i="14"/>
  <c r="A1930" i="14" s="1"/>
  <c r="V1803" i="14"/>
  <c r="A1803" i="14" s="1"/>
  <c r="V1958" i="14"/>
  <c r="A1958" i="14" s="1"/>
  <c r="V1966" i="14"/>
  <c r="A1966" i="14" s="1"/>
  <c r="V1825" i="14"/>
  <c r="A1825" i="14" s="1"/>
  <c r="E1796" i="14"/>
  <c r="V1821" i="14"/>
  <c r="A1821" i="14" s="1"/>
  <c r="V1765" i="14"/>
  <c r="A1765" i="14" s="1"/>
  <c r="V1892" i="14"/>
  <c r="A1892" i="14" s="1"/>
  <c r="V1751" i="14"/>
  <c r="A1751" i="14" s="1"/>
  <c r="V1855" i="14"/>
  <c r="A1855" i="14" s="1"/>
  <c r="V1758" i="14"/>
  <c r="A1758" i="14" s="1"/>
  <c r="V1798" i="14"/>
  <c r="A1798" i="14" s="1"/>
  <c r="V1742" i="14"/>
  <c r="A1742" i="14" s="1"/>
  <c r="V1980" i="14"/>
  <c r="A1980" i="14" s="1"/>
  <c r="V1804" i="14"/>
  <c r="A1804" i="14" s="1"/>
  <c r="V1885" i="14"/>
  <c r="A1885" i="14" s="1"/>
  <c r="V1948" i="14"/>
  <c r="A1948" i="14" s="1"/>
  <c r="V1956" i="14"/>
  <c r="A1956" i="14" s="1"/>
  <c r="V1932" i="14"/>
  <c r="A1932" i="14" s="1"/>
  <c r="V1952" i="14"/>
  <c r="A1952" i="14" s="1"/>
  <c r="V1767" i="14"/>
  <c r="A1767" i="14" s="1"/>
  <c r="V1812" i="14"/>
  <c r="A1812" i="14" s="1"/>
  <c r="V1888" i="14"/>
  <c r="A1888" i="14" s="1"/>
  <c r="V1862" i="14"/>
  <c r="A1862" i="14" s="1"/>
  <c r="V1775" i="14"/>
  <c r="A1775" i="14" s="1"/>
  <c r="V1951" i="14"/>
  <c r="A1951" i="14" s="1"/>
  <c r="V1886" i="14"/>
  <c r="A1886" i="14" s="1"/>
  <c r="V1824" i="14"/>
  <c r="A1824" i="14" s="1"/>
  <c r="V1777" i="14"/>
  <c r="A1777" i="14" s="1"/>
  <c r="V1832" i="14"/>
  <c r="A1832" i="14" s="1"/>
  <c r="V1945" i="14"/>
  <c r="A1945" i="14" s="1"/>
  <c r="V1761" i="14"/>
  <c r="A1761" i="14" s="1"/>
  <c r="V1769" i="14"/>
  <c r="A1769" i="14" s="1"/>
  <c r="V1944" i="14"/>
  <c r="A1944" i="14" s="1"/>
  <c r="E1801" i="14"/>
  <c r="V1808" i="14"/>
  <c r="A1808" i="14" s="1"/>
  <c r="V1752" i="14"/>
  <c r="A1752" i="14" s="1"/>
  <c r="V1760" i="14"/>
  <c r="A1760" i="14" s="1"/>
  <c r="V1931" i="14"/>
  <c r="A1931" i="14" s="1"/>
  <c r="V1904" i="14"/>
  <c r="A1904" i="14" s="1"/>
  <c r="V1898" i="14"/>
  <c r="A1898" i="14" s="1"/>
  <c r="V1918" i="14"/>
  <c r="A1918" i="14" s="1"/>
  <c r="V1983" i="14"/>
  <c r="A1983" i="14" s="1"/>
  <c r="V1959" i="14"/>
  <c r="A1959" i="14" s="1"/>
  <c r="E1811" i="14"/>
  <c r="V1822" i="14"/>
  <c r="A1822" i="14" s="1"/>
  <c r="V1954" i="14"/>
  <c r="A1954" i="14" s="1"/>
  <c r="V1939" i="14"/>
  <c r="A1939" i="14" s="1"/>
  <c r="V1773" i="14"/>
  <c r="A1773" i="14" s="1"/>
  <c r="V1868" i="14"/>
  <c r="A1868" i="14" s="1"/>
  <c r="V1883" i="14"/>
  <c r="A1883" i="14" s="1"/>
  <c r="V1972" i="14"/>
  <c r="A1972" i="14" s="1"/>
  <c r="V1925" i="14"/>
  <c r="A1925" i="14" s="1"/>
  <c r="V1933" i="14"/>
  <c r="A1933" i="14" s="1"/>
  <c r="V1909" i="14"/>
  <c r="A1909" i="14" s="1"/>
  <c r="V1907" i="14"/>
  <c r="A1907" i="14" s="1"/>
  <c r="V1818" i="14"/>
  <c r="A1818" i="14" s="1"/>
  <c r="V1890" i="14"/>
  <c r="A1890" i="14" s="1"/>
  <c r="V1829" i="14"/>
  <c r="A1829" i="14" s="1"/>
  <c r="V1837" i="14"/>
  <c r="A1837" i="14" s="1"/>
  <c r="V1813" i="14"/>
  <c r="A1813" i="14" s="1"/>
  <c r="F1895" i="14"/>
  <c r="F1963" i="14"/>
  <c r="F1982" i="14"/>
  <c r="F1868" i="14"/>
  <c r="F1792" i="14"/>
  <c r="F1907" i="14"/>
  <c r="F1908" i="14"/>
  <c r="F1970" i="14"/>
  <c r="F1821" i="14"/>
  <c r="F1983" i="14"/>
  <c r="F1772" i="14"/>
  <c r="F1933" i="14"/>
  <c r="F1974" i="14"/>
  <c r="F1812" i="14"/>
  <c r="G1849" i="14"/>
  <c r="G1963" i="14"/>
  <c r="G1879" i="14"/>
  <c r="G1927" i="14"/>
  <c r="G1975" i="14"/>
  <c r="G1873" i="14"/>
  <c r="G1944" i="14"/>
  <c r="G1807" i="14"/>
  <c r="G1802" i="14"/>
  <c r="G1967" i="14"/>
  <c r="G1932" i="14"/>
  <c r="G1912" i="14"/>
  <c r="V1754" i="14"/>
  <c r="A1754" i="14" s="1"/>
  <c r="V1920" i="14"/>
  <c r="A1920" i="14" s="1"/>
  <c r="V1809" i="14"/>
  <c r="A1809" i="14" s="1"/>
  <c r="V1861" i="14"/>
  <c r="A1861" i="14" s="1"/>
  <c r="V1963" i="14"/>
  <c r="A1963" i="14" s="1"/>
  <c r="V1796" i="14"/>
  <c r="A1796" i="14" s="1"/>
  <c r="V1897" i="14"/>
  <c r="A1897" i="14" s="1"/>
  <c r="V1801" i="14"/>
  <c r="A1801" i="14" s="1"/>
  <c r="I1755" i="14"/>
  <c r="I1869" i="14"/>
  <c r="I1905" i="14"/>
  <c r="I1913" i="14"/>
  <c r="I1839" i="14"/>
  <c r="I1857" i="14"/>
  <c r="I1827" i="14"/>
  <c r="I1828" i="14"/>
  <c r="I1900" i="14"/>
  <c r="I1974" i="14"/>
  <c r="I1915" i="14"/>
  <c r="I1789" i="14"/>
  <c r="I1856" i="14"/>
  <c r="I1838" i="14"/>
  <c r="I1788" i="14"/>
  <c r="I1845" i="14"/>
  <c r="I1818" i="14"/>
  <c r="I1897" i="14"/>
  <c r="I1920" i="14"/>
  <c r="I1785" i="14"/>
  <c r="I1841" i="14"/>
  <c r="I1803" i="14"/>
  <c r="H1900" i="14"/>
  <c r="H1796" i="14"/>
  <c r="H1968" i="14"/>
  <c r="H1767" i="14"/>
  <c r="H1887" i="14"/>
  <c r="H1852" i="14"/>
  <c r="H1792" i="14"/>
  <c r="H1976" i="14"/>
  <c r="H1784" i="14"/>
  <c r="H1919" i="14"/>
  <c r="H1856" i="14"/>
  <c r="H1896" i="14"/>
  <c r="H1776" i="14"/>
  <c r="H1937" i="14"/>
  <c r="H1888" i="14"/>
  <c r="E1809" i="14"/>
  <c r="E1957" i="14"/>
  <c r="E1797" i="14"/>
  <c r="E1753" i="14"/>
  <c r="E1968" i="14"/>
  <c r="E1849" i="14"/>
  <c r="E1867" i="14"/>
  <c r="E1936" i="14"/>
  <c r="E1914" i="14"/>
  <c r="E1935" i="14"/>
  <c r="E1912" i="14"/>
  <c r="E1865" i="14"/>
  <c r="E1961" i="14"/>
  <c r="E1838" i="14"/>
  <c r="V1857" i="14"/>
  <c r="A1857" i="14" s="1"/>
  <c r="V1826" i="14"/>
  <c r="A1826" i="14" s="1"/>
  <c r="V1900" i="14"/>
  <c r="A1900" i="14" s="1"/>
  <c r="V1757" i="14"/>
  <c r="A1757" i="14" s="1"/>
  <c r="V1860" i="14"/>
  <c r="A1860" i="14" s="1"/>
  <c r="E1793" i="14"/>
  <c r="V1823" i="14"/>
  <c r="A1823" i="14" s="1"/>
  <c r="V1895" i="14"/>
  <c r="A1895" i="14" s="1"/>
  <c r="V1926" i="14"/>
  <c r="A1926" i="14" s="1"/>
  <c r="V1841" i="14"/>
  <c r="A1841" i="14" s="1"/>
  <c r="V1817" i="14"/>
  <c r="A1817" i="14" s="1"/>
  <c r="E1899" i="14"/>
  <c r="V1953" i="14"/>
  <c r="A1953" i="14" s="1"/>
  <c r="V1878" i="14"/>
  <c r="A1878" i="14" s="1"/>
  <c r="V1950" i="14"/>
  <c r="A1950" i="14" s="1"/>
  <c r="V1971" i="14"/>
  <c r="A1971" i="14" s="1"/>
  <c r="V1934" i="14"/>
  <c r="A1934" i="14" s="1"/>
  <c r="V1964" i="14"/>
  <c r="A1964" i="14" s="1"/>
  <c r="V1901" i="14"/>
  <c r="A1901" i="14" s="1"/>
  <c r="V1776" i="14"/>
  <c r="A1776" i="14" s="1"/>
  <c r="V1902" i="14"/>
  <c r="A1902" i="14" s="1"/>
  <c r="V1887" i="14"/>
  <c r="A1887" i="14" s="1"/>
  <c r="V1955" i="14"/>
  <c r="A1955" i="14" s="1"/>
  <c r="V1791" i="14"/>
  <c r="A1791" i="14" s="1"/>
  <c r="V1978" i="14"/>
  <c r="A1978" i="14" s="1"/>
  <c r="V1928" i="14"/>
  <c r="A1928" i="14" s="1"/>
  <c r="V1785" i="14"/>
  <c r="A1785" i="14" s="1"/>
  <c r="V1976" i="14"/>
  <c r="A1976" i="14" s="1"/>
  <c r="V1763" i="14"/>
  <c r="A1763" i="14" s="1"/>
  <c r="V1908" i="14"/>
  <c r="A1908" i="14" s="1"/>
  <c r="V1858" i="14"/>
  <c r="A1858" i="14" s="1"/>
  <c r="V1843" i="14"/>
  <c r="A1843" i="14" s="1"/>
  <c r="V1819" i="14"/>
  <c r="A1819" i="14" s="1"/>
  <c r="V1795" i="14"/>
  <c r="A1795" i="14" s="1"/>
  <c r="V1789" i="14"/>
  <c r="A1789" i="14" s="1"/>
  <c r="V1969" i="14"/>
  <c r="A1969" i="14" s="1"/>
  <c r="V1873" i="14"/>
  <c r="A1873" i="14" s="1"/>
  <c r="V1747" i="14"/>
  <c r="A1747" i="14" s="1"/>
  <c r="V1810" i="14"/>
  <c r="A1810" i="14" s="1"/>
  <c r="V1786" i="14"/>
  <c r="A1786" i="14" s="1"/>
  <c r="V1741" i="14"/>
  <c r="A1741" i="14" s="1"/>
  <c r="V1787" i="14"/>
  <c r="A1787" i="14" s="1"/>
  <c r="V1800" i="14"/>
  <c r="A1800" i="14" s="1"/>
  <c r="V1924" i="14"/>
  <c r="A1924" i="14" s="1"/>
  <c r="V1850" i="14"/>
  <c r="A1850" i="14" s="1"/>
  <c r="V1828" i="14"/>
  <c r="A1828" i="14" s="1"/>
  <c r="V1874" i="14"/>
  <c r="A1874" i="14" s="1"/>
  <c r="E1755" i="14"/>
  <c r="V1940" i="14"/>
  <c r="A1940" i="14" s="1"/>
  <c r="V1884" i="14"/>
  <c r="A1884" i="14" s="1"/>
  <c r="V1807" i="14"/>
  <c r="A1807" i="14" s="1"/>
  <c r="V1870" i="14"/>
  <c r="A1870" i="14" s="1"/>
  <c r="E1889" i="14"/>
  <c r="V1974" i="14"/>
  <c r="A1974" i="14" s="1"/>
  <c r="V1927" i="14"/>
  <c r="A1927" i="14" s="1"/>
  <c r="V1830" i="14"/>
  <c r="A1830" i="14" s="1"/>
  <c r="V1911" i="14"/>
  <c r="A1911" i="14" s="1"/>
  <c r="V1854" i="14"/>
  <c r="A1854" i="14" s="1"/>
  <c r="V1806" i="14"/>
  <c r="A1806" i="14" s="1"/>
  <c r="V1759" i="14"/>
  <c r="A1759" i="14" s="1"/>
  <c r="V1831" i="14"/>
  <c r="A1831" i="14" s="1"/>
  <c r="V1871" i="14"/>
  <c r="A1871" i="14" s="1"/>
  <c r="V1815" i="14"/>
  <c r="A1815" i="14" s="1"/>
  <c r="F1844" i="14"/>
  <c r="F1802" i="14"/>
  <c r="F1951" i="14"/>
  <c r="F1769" i="14"/>
  <c r="F1960" i="14"/>
  <c r="F1972" i="14"/>
  <c r="F1902" i="14"/>
  <c r="F1934" i="14"/>
  <c r="F1830" i="14"/>
  <c r="F1881" i="14"/>
  <c r="F1753" i="14"/>
  <c r="F1789" i="14"/>
  <c r="G1969" i="14"/>
  <c r="G1919" i="14"/>
  <c r="G1791" i="14"/>
  <c r="G1824" i="14"/>
  <c r="G1937" i="14"/>
  <c r="G1948" i="14"/>
  <c r="G1814" i="14"/>
  <c r="G1765" i="14"/>
  <c r="G1925" i="14"/>
  <c r="G1889" i="14"/>
  <c r="G1857" i="14"/>
  <c r="G1816" i="14"/>
  <c r="J1816" i="14" s="1"/>
  <c r="G1976" i="14"/>
  <c r="G1928" i="14"/>
  <c r="G1783" i="14"/>
  <c r="J1758" i="14" l="1"/>
  <c r="J1829" i="14"/>
  <c r="J1742" i="14"/>
  <c r="J1923" i="14"/>
  <c r="J1773" i="14"/>
  <c r="J1893" i="14"/>
  <c r="J1862" i="14"/>
  <c r="J1914" i="14"/>
  <c r="J1855" i="14"/>
  <c r="J1813" i="14"/>
  <c r="J1763" i="14"/>
  <c r="J1924" i="14"/>
  <c r="J1938" i="14"/>
  <c r="J1741" i="14"/>
  <c r="J1859" i="14"/>
  <c r="J1926" i="14"/>
  <c r="J1789" i="14"/>
  <c r="J1950" i="14"/>
  <c r="J1911" i="14"/>
  <c r="J1800" i="14"/>
  <c r="J1793" i="14"/>
  <c r="J1827" i="14"/>
  <c r="J1917" i="14"/>
  <c r="J1863" i="14"/>
  <c r="J1952" i="14"/>
  <c r="J1809" i="14"/>
  <c r="J1967" i="14"/>
  <c r="J1933" i="14"/>
  <c r="J1751" i="14"/>
  <c r="J1805" i="14"/>
  <c r="J1798" i="14"/>
  <c r="J1886" i="14"/>
  <c r="J1860" i="14"/>
  <c r="J1819" i="14"/>
  <c r="J1903" i="14"/>
  <c r="J1883" i="14"/>
  <c r="J1947" i="14"/>
  <c r="J1837" i="14"/>
  <c r="J1817" i="14"/>
  <c r="J1945" i="14"/>
  <c r="J1885" i="14"/>
  <c r="J1870" i="14"/>
  <c r="J1864" i="14"/>
  <c r="J1875" i="14"/>
  <c r="J1972" i="14"/>
  <c r="J1874" i="14"/>
  <c r="J1790" i="14"/>
  <c r="J1760" i="14"/>
  <c r="J1815" i="14"/>
  <c r="J1966" i="14"/>
  <c r="J1752" i="14"/>
  <c r="J1853" i="14"/>
  <c r="J1909" i="14"/>
  <c r="J1756" i="14"/>
  <c r="J1762" i="14"/>
  <c r="J1977" i="14"/>
  <c r="J1822" i="14"/>
  <c r="J1836" i="14"/>
  <c r="J1750" i="14"/>
  <c r="J1910" i="14"/>
  <c r="J1953" i="14"/>
  <c r="J1936" i="14"/>
  <c r="J1980" i="14"/>
  <c r="J1766" i="14"/>
  <c r="J1925" i="14"/>
  <c r="J1969" i="14"/>
  <c r="J1830" i="14"/>
  <c r="J1852" i="14"/>
  <c r="J1845" i="14"/>
  <c r="J1913" i="14"/>
  <c r="J1873" i="14"/>
  <c r="J1748" i="14"/>
  <c r="J1866" i="14"/>
  <c r="J1780" i="14"/>
  <c r="J1826" i="14"/>
  <c r="J1850" i="14"/>
  <c r="J1757" i="14"/>
  <c r="J1934" i="14"/>
  <c r="J1899" i="14"/>
  <c r="J1957" i="14"/>
  <c r="J1776" i="14"/>
  <c r="J1908" i="14"/>
  <c r="J1962" i="14"/>
  <c r="J1799" i="14"/>
  <c r="J1877" i="14"/>
  <c r="J1746" i="14"/>
  <c r="J1835" i="14"/>
  <c r="J1831" i="14"/>
  <c r="J1949" i="14"/>
  <c r="J1955" i="14"/>
  <c r="J1930" i="14"/>
  <c r="J1806" i="14"/>
  <c r="J1880" i="14"/>
  <c r="J1940" i="14"/>
  <c r="J1777" i="14"/>
  <c r="J1927" i="14"/>
  <c r="J1981" i="14"/>
  <c r="J1775" i="14"/>
  <c r="J1970" i="14"/>
  <c r="J1943" i="14"/>
  <c r="J1918" i="14"/>
  <c r="J1929" i="14"/>
  <c r="J1919" i="14"/>
  <c r="J1788" i="14"/>
  <c r="J1846" i="14"/>
  <c r="J1890" i="14"/>
  <c r="J1770" i="14"/>
  <c r="J1783" i="14"/>
  <c r="J1867" i="14"/>
  <c r="J1976" i="14"/>
  <c r="J1767" i="14"/>
  <c r="J1803" i="14"/>
  <c r="J1807" i="14"/>
  <c r="J1983" i="14"/>
  <c r="J1942" i="14"/>
  <c r="J1768" i="14"/>
  <c r="J1973" i="14"/>
  <c r="J1954" i="14"/>
  <c r="J1876" i="14"/>
  <c r="J1931" i="14"/>
  <c r="J1904" i="14"/>
  <c r="J1871" i="14"/>
  <c r="J1771" i="14"/>
  <c r="J1971" i="14"/>
  <c r="J1779" i="14"/>
  <c r="J1979" i="14"/>
  <c r="J1916" i="14"/>
  <c r="J1921" i="14"/>
  <c r="J1782" i="14"/>
  <c r="J1828" i="14"/>
  <c r="J1764" i="14"/>
  <c r="J1941" i="14"/>
  <c r="J1823" i="14"/>
  <c r="J1872" i="14"/>
  <c r="J1744" i="14"/>
  <c r="J1978" i="14"/>
  <c r="J1810" i="14"/>
  <c r="J1858" i="14"/>
  <c r="J1887" i="14"/>
  <c r="J1759" i="14"/>
  <c r="J1959" i="14"/>
  <c r="J1965" i="14"/>
  <c r="J1840" i="14"/>
  <c r="J1824" i="14"/>
  <c r="J1769" i="14"/>
  <c r="J1975" i="14"/>
  <c r="J1811" i="14"/>
  <c r="J1820" i="14"/>
  <c r="J1843" i="14"/>
  <c r="J1922" i="14"/>
  <c r="J1939" i="14"/>
  <c r="J1898" i="14"/>
  <c r="J1964" i="14"/>
  <c r="J1804" i="14"/>
  <c r="J1851" i="14"/>
  <c r="J1812" i="14"/>
  <c r="J1832" i="14"/>
  <c r="J1786" i="14"/>
  <c r="J1847" i="14"/>
  <c r="J1794" i="14"/>
  <c r="J1774" i="14"/>
  <c r="J1797" i="14"/>
  <c r="J1906" i="14"/>
  <c r="J1825" i="14"/>
  <c r="J1743" i="14"/>
  <c r="J1958" i="14"/>
  <c r="J1784" i="14"/>
  <c r="J1901" i="14"/>
  <c r="J1808" i="14"/>
  <c r="J1834" i="14"/>
  <c r="J1946" i="14"/>
  <c r="J1761" i="14"/>
  <c r="J1787" i="14"/>
  <c r="J1891" i="14"/>
  <c r="J1951" i="14"/>
  <c r="J1888" i="14"/>
  <c r="J1841" i="14"/>
  <c r="J1818" i="14"/>
  <c r="J1839" i="14"/>
  <c r="J1895" i="14"/>
  <c r="J1884" i="14"/>
  <c r="J1857" i="14"/>
  <c r="J1791" i="14"/>
  <c r="J1961" i="14"/>
  <c r="J1865" i="14"/>
  <c r="J1861" i="14"/>
  <c r="J1747" i="14"/>
  <c r="J1795" i="14"/>
  <c r="J1749" i="14"/>
  <c r="J1833" i="14"/>
  <c r="J1842" i="14"/>
  <c r="J1968" i="14"/>
  <c r="J1902" i="14"/>
  <c r="J1781" i="14"/>
  <c r="J1907" i="14"/>
  <c r="J1928" i="14"/>
  <c r="J1948" i="14"/>
  <c r="J1881" i="14"/>
  <c r="J1912" i="14"/>
  <c r="J1974" i="14"/>
  <c r="J1944" i="14"/>
  <c r="J1879" i="14"/>
  <c r="J1821" i="14"/>
  <c r="J1792" i="14"/>
  <c r="J1956" i="14"/>
  <c r="J1745" i="14"/>
  <c r="J1868" i="14"/>
  <c r="J1854" i="14"/>
  <c r="J1765" i="14"/>
  <c r="J1785" i="14"/>
  <c r="J1982" i="14"/>
  <c r="J1754" i="14"/>
  <c r="J1878" i="14"/>
  <c r="J1915" i="14"/>
  <c r="J1882" i="14"/>
  <c r="J1900" i="14"/>
  <c r="J1869" i="14"/>
  <c r="J1844" i="14"/>
  <c r="J1894" i="14"/>
  <c r="J1920" i="14"/>
  <c r="J1896" i="14"/>
  <c r="J1897" i="14"/>
  <c r="J1772" i="14"/>
  <c r="V333" i="10"/>
  <c r="M334" i="10"/>
  <c r="J1963" i="14"/>
  <c r="J1889" i="14"/>
  <c r="J1753" i="14"/>
  <c r="J1755" i="14"/>
  <c r="AA11" i="14"/>
  <c r="J1796" i="14"/>
  <c r="J1905" i="14"/>
  <c r="J1848" i="14"/>
  <c r="U334" i="10"/>
  <c r="L335" i="10"/>
  <c r="J1838" i="14"/>
  <c r="J1935" i="14"/>
  <c r="J1849" i="14"/>
  <c r="J1801" i="14"/>
  <c r="J1778" i="14"/>
  <c r="J1814" i="14"/>
  <c r="J1856" i="14"/>
  <c r="J1937" i="14"/>
  <c r="J1932" i="14"/>
  <c r="J1892" i="14"/>
  <c r="J1802" i="14"/>
  <c r="J1960" i="14"/>
  <c r="V334" i="10" l="1"/>
  <c r="M335" i="10"/>
  <c r="U335" i="10"/>
  <c r="L336" i="10"/>
  <c r="J160" i="13"/>
  <c r="AB11" i="14"/>
  <c r="H160" i="13"/>
  <c r="D140" i="13"/>
  <c r="J140" i="13"/>
  <c r="I140" i="13"/>
  <c r="G140" i="13"/>
  <c r="E140" i="13"/>
  <c r="K160" i="13"/>
  <c r="L337" i="10" l="1"/>
  <c r="U336" i="10"/>
  <c r="K140" i="13"/>
  <c r="G107" i="13" s="1"/>
  <c r="D160" i="13"/>
  <c r="AJ34" i="14" s="1"/>
  <c r="L140" i="13"/>
  <c r="M336" i="10"/>
  <c r="V335" i="10"/>
  <c r="AB54" i="14" l="1"/>
  <c r="AA54" i="14"/>
  <c r="H107" i="13" s="1"/>
  <c r="I107" i="13"/>
  <c r="V336" i="10"/>
  <c r="M337" i="10"/>
  <c r="L338" i="10"/>
  <c r="U337" i="10"/>
  <c r="L339" i="10" l="1"/>
  <c r="U338" i="10"/>
  <c r="V337" i="10"/>
  <c r="M338" i="10"/>
  <c r="M339" i="10" l="1"/>
  <c r="V338" i="10"/>
  <c r="U339" i="10"/>
  <c r="L340" i="10"/>
  <c r="L341" i="10" l="1"/>
  <c r="U340" i="10"/>
  <c r="M340" i="10"/>
  <c r="V339" i="10"/>
  <c r="V340" i="10" l="1"/>
  <c r="M341" i="10"/>
  <c r="L342" i="10"/>
  <c r="U341" i="10"/>
  <c r="U342" i="10" l="1"/>
  <c r="L343" i="10"/>
  <c r="V341" i="10"/>
  <c r="M342" i="10"/>
  <c r="V342" i="10" l="1"/>
  <c r="M343" i="10"/>
  <c r="U343" i="10"/>
  <c r="L344" i="10"/>
  <c r="L345" i="10" l="1"/>
  <c r="U344" i="10"/>
  <c r="V343" i="10"/>
  <c r="M344" i="10"/>
  <c r="M345" i="10" l="1"/>
  <c r="V344" i="10"/>
  <c r="U345" i="10"/>
  <c r="L346" i="10"/>
  <c r="L347" i="10" l="1"/>
  <c r="U346" i="10"/>
  <c r="M346" i="10"/>
  <c r="V345" i="10"/>
  <c r="M347" i="10" l="1"/>
  <c r="V346" i="10"/>
  <c r="L348" i="10"/>
  <c r="U347" i="10"/>
  <c r="U348" i="10" l="1"/>
  <c r="L349" i="10"/>
  <c r="V347" i="10"/>
  <c r="M348" i="10"/>
  <c r="V348" i="10" l="1"/>
  <c r="M349" i="10"/>
  <c r="L350" i="10"/>
  <c r="U349" i="10"/>
  <c r="L351" i="10" l="1"/>
  <c r="U350" i="10"/>
  <c r="M350" i="10"/>
  <c r="V349" i="10"/>
  <c r="L352" i="10" l="1"/>
  <c r="U351" i="10"/>
  <c r="M351" i="10"/>
  <c r="V350" i="10"/>
  <c r="M352" i="10" l="1"/>
  <c r="V351" i="10"/>
  <c r="L353" i="10"/>
  <c r="U352" i="10"/>
  <c r="L354" i="10" l="1"/>
  <c r="U353" i="10"/>
  <c r="M353" i="10"/>
  <c r="V352" i="10"/>
  <c r="V353" i="10" l="1"/>
  <c r="M354" i="10"/>
  <c r="U354" i="10"/>
  <c r="L355" i="10"/>
  <c r="L356" i="10" l="1"/>
  <c r="U355" i="10"/>
  <c r="P28" i="10"/>
  <c r="V354" i="10"/>
  <c r="M355" i="10"/>
  <c r="M356" i="10" l="1"/>
  <c r="V355" i="10"/>
  <c r="L357" i="10"/>
  <c r="U356" i="10"/>
  <c r="U357" i="10" l="1"/>
  <c r="L358" i="10"/>
  <c r="M357" i="10"/>
  <c r="V356" i="10"/>
  <c r="M358" i="10" l="1"/>
  <c r="V357" i="10"/>
  <c r="L359" i="10"/>
  <c r="U358" i="10"/>
  <c r="L360" i="10" l="1"/>
  <c r="U359" i="10"/>
  <c r="V358" i="10"/>
  <c r="M359" i="10"/>
  <c r="V359" i="10" l="1"/>
  <c r="M360" i="10"/>
  <c r="U360" i="10"/>
  <c r="L361" i="10"/>
  <c r="L362" i="10" l="1"/>
  <c r="U361" i="10"/>
  <c r="M361" i="10"/>
  <c r="V360" i="10"/>
  <c r="M362" i="10" l="1"/>
  <c r="V361" i="10"/>
  <c r="U362" i="10"/>
  <c r="L363" i="10"/>
  <c r="L364" i="10" l="1"/>
  <c r="U363" i="10"/>
  <c r="M363" i="10"/>
  <c r="V362" i="10"/>
  <c r="V363" i="10" l="1"/>
  <c r="M364" i="10"/>
  <c r="U364" i="10"/>
  <c r="L365" i="10"/>
  <c r="L366" i="10" l="1"/>
  <c r="U365" i="10"/>
  <c r="M365" i="10"/>
  <c r="V364" i="10"/>
  <c r="M366" i="10" l="1"/>
  <c r="V365" i="10"/>
  <c r="U366" i="10"/>
  <c r="L367" i="10"/>
  <c r="L368" i="10" l="1"/>
  <c r="U367" i="10"/>
  <c r="M367" i="10"/>
  <c r="V366" i="10"/>
  <c r="V367" i="10" l="1"/>
  <c r="M368" i="10"/>
  <c r="E159" i="12"/>
  <c r="U368" i="10"/>
  <c r="L369" i="10"/>
  <c r="F208" i="13" l="1"/>
  <c r="E108" i="13"/>
  <c r="F159" i="12"/>
  <c r="F108" i="13" s="1"/>
  <c r="V368" i="10"/>
  <c r="M369" i="10"/>
  <c r="L370" i="10"/>
  <c r="U369" i="10"/>
  <c r="Z55" i="14" l="1"/>
  <c r="AN35" i="14"/>
  <c r="AO35" i="14"/>
  <c r="AL35" i="14"/>
  <c r="AP35" i="14"/>
  <c r="AD55" i="14"/>
  <c r="AM35" i="14"/>
  <c r="L371" i="10"/>
  <c r="U370" i="10"/>
  <c r="V369" i="10"/>
  <c r="M370" i="10"/>
  <c r="K2145" i="14" l="1"/>
  <c r="Q2145" i="14" s="1"/>
  <c r="K2167" i="14"/>
  <c r="Q2167" i="14" s="1"/>
  <c r="K2173" i="14"/>
  <c r="Q2173" i="14" s="1"/>
  <c r="K2171" i="14"/>
  <c r="Q2171" i="14" s="1"/>
  <c r="K2169" i="14"/>
  <c r="Q2169" i="14" s="1"/>
  <c r="K2159" i="14"/>
  <c r="Q2159" i="14" s="1"/>
  <c r="K2197" i="14"/>
  <c r="Q2197" i="14" s="1"/>
  <c r="K2104" i="14"/>
  <c r="Q2104" i="14" s="1"/>
  <c r="K2193" i="14"/>
  <c r="Q2193" i="14" s="1"/>
  <c r="K2183" i="14"/>
  <c r="Q2183" i="14" s="1"/>
  <c r="K2098" i="14"/>
  <c r="Q2098" i="14" s="1"/>
  <c r="K2155" i="14"/>
  <c r="Q2155" i="14" s="1"/>
  <c r="K2094" i="14"/>
  <c r="Q2094" i="14" s="1"/>
  <c r="K2207" i="14"/>
  <c r="Q2207" i="14" s="1"/>
  <c r="K2181" i="14"/>
  <c r="Q2181" i="14" s="1"/>
  <c r="K2211" i="14"/>
  <c r="Q2211" i="14" s="1"/>
  <c r="K2182" i="14"/>
  <c r="Q2182" i="14" s="1"/>
  <c r="K2054" i="14"/>
  <c r="Q2054" i="14" s="1"/>
  <c r="K2063" i="14"/>
  <c r="Q2063" i="14" s="1"/>
  <c r="K2102" i="14"/>
  <c r="Q2102" i="14" s="1"/>
  <c r="K2059" i="14"/>
  <c r="Q2059" i="14" s="1"/>
  <c r="K2062" i="14"/>
  <c r="Q2062" i="14" s="1"/>
  <c r="K2118" i="14"/>
  <c r="Q2118" i="14" s="1"/>
  <c r="K2135" i="14"/>
  <c r="Q2135" i="14" s="1"/>
  <c r="K2013" i="14"/>
  <c r="Q2013" i="14" s="1"/>
  <c r="K2011" i="14"/>
  <c r="Q2011" i="14" s="1"/>
  <c r="K2132" i="14"/>
  <c r="Q2132" i="14" s="1"/>
  <c r="K2165" i="14"/>
  <c r="Q2165" i="14" s="1"/>
  <c r="K2195" i="14"/>
  <c r="Q2195" i="14" s="1"/>
  <c r="K2161" i="14"/>
  <c r="Q2161" i="14" s="1"/>
  <c r="K2151" i="14"/>
  <c r="Q2151" i="14" s="1"/>
  <c r="K2189" i="14"/>
  <c r="Q2189" i="14" s="1"/>
  <c r="K2123" i="14"/>
  <c r="Q2123" i="14" s="1"/>
  <c r="K2057" i="14"/>
  <c r="Q2057" i="14" s="1"/>
  <c r="K2047" i="14"/>
  <c r="Q2047" i="14" s="1"/>
  <c r="K2021" i="14"/>
  <c r="Q2021" i="14" s="1"/>
  <c r="K2051" i="14"/>
  <c r="Q2051" i="14" s="1"/>
  <c r="K2205" i="14"/>
  <c r="Q2205" i="14" s="1"/>
  <c r="K2191" i="14"/>
  <c r="Q2191" i="14" s="1"/>
  <c r="K2215" i="14"/>
  <c r="Q2215" i="14" s="1"/>
  <c r="K2116" i="14"/>
  <c r="Q2116" i="14" s="1"/>
  <c r="K2209" i="14"/>
  <c r="Q2209" i="14" s="1"/>
  <c r="K2108" i="14"/>
  <c r="Q2108" i="14" s="1"/>
  <c r="K2114" i="14"/>
  <c r="Q2114" i="14" s="1"/>
  <c r="K2112" i="14"/>
  <c r="Q2112" i="14" s="1"/>
  <c r="K2110" i="14"/>
  <c r="Q2110" i="14" s="1"/>
  <c r="K2100" i="14"/>
  <c r="Q2100" i="14" s="1"/>
  <c r="K2133" i="14"/>
  <c r="Q2133" i="14" s="1"/>
  <c r="K2035" i="14"/>
  <c r="Q2035" i="14" s="1"/>
  <c r="K2001" i="14"/>
  <c r="Q2001" i="14" s="1"/>
  <c r="K2162" i="14"/>
  <c r="Q2162" i="14" s="1"/>
  <c r="K2224" i="14"/>
  <c r="Q2224" i="14" s="1"/>
  <c r="K2158" i="14"/>
  <c r="Q2158" i="14" s="1"/>
  <c r="K2148" i="14"/>
  <c r="Q2148" i="14" s="1"/>
  <c r="K2122" i="14"/>
  <c r="Q2122" i="14" s="1"/>
  <c r="K2147" i="14"/>
  <c r="Q2147" i="14" s="1"/>
  <c r="K2204" i="14"/>
  <c r="Q2204" i="14" s="1"/>
  <c r="K2206" i="14"/>
  <c r="Q2206" i="14" s="1"/>
  <c r="K2003" i="14"/>
  <c r="Q2003" i="14" s="1"/>
  <c r="K2125" i="14"/>
  <c r="Q2125" i="14" s="1"/>
  <c r="K2088" i="14"/>
  <c r="Q2088" i="14" s="1"/>
  <c r="K2172" i="14"/>
  <c r="Q2172" i="14" s="1"/>
  <c r="K2174" i="14"/>
  <c r="Q2174" i="14" s="1"/>
  <c r="K2217" i="14"/>
  <c r="Q2217" i="14" s="1"/>
  <c r="K2226" i="14"/>
  <c r="Q2226" i="14" s="1"/>
  <c r="K2212" i="14"/>
  <c r="Q2212" i="14" s="1"/>
  <c r="K2216" i="14"/>
  <c r="Q2216" i="14" s="1"/>
  <c r="K2050" i="14"/>
  <c r="Q2050" i="14" s="1"/>
  <c r="K2131" i="14"/>
  <c r="Q2131" i="14" s="1"/>
  <c r="K2231" i="14"/>
  <c r="Q2231" i="14" s="1"/>
  <c r="K2139" i="14"/>
  <c r="Q2139" i="14" s="1"/>
  <c r="K2200" i="14"/>
  <c r="Q2200" i="14" s="1"/>
  <c r="K2194" i="14"/>
  <c r="Q2194" i="14" s="1"/>
  <c r="K2149" i="14"/>
  <c r="Q2149" i="14" s="1"/>
  <c r="K2073" i="14"/>
  <c r="Q2073" i="14" s="1"/>
  <c r="K2214" i="14"/>
  <c r="Q2214" i="14" s="1"/>
  <c r="K2225" i="14"/>
  <c r="Q2225" i="14" s="1"/>
  <c r="K2138" i="14"/>
  <c r="Q2138" i="14" s="1"/>
  <c r="K2129" i="14"/>
  <c r="Q2129" i="14" s="1"/>
  <c r="K2068" i="14"/>
  <c r="Q2068" i="14" s="1"/>
  <c r="K2152" i="14"/>
  <c r="Q2152" i="14" s="1"/>
  <c r="K2203" i="14"/>
  <c r="Q2203" i="14" s="1"/>
  <c r="K2229" i="14"/>
  <c r="Q2229" i="14" s="1"/>
  <c r="K2017" i="14"/>
  <c r="Q2017" i="14" s="1"/>
  <c r="K2039" i="14"/>
  <c r="Q2039" i="14" s="1"/>
  <c r="K2045" i="14"/>
  <c r="Q2045" i="14" s="1"/>
  <c r="K2043" i="14"/>
  <c r="Q2043" i="14" s="1"/>
  <c r="K2041" i="14"/>
  <c r="Q2041" i="14" s="1"/>
  <c r="K2031" i="14"/>
  <c r="Q2031" i="14" s="1"/>
  <c r="K2069" i="14"/>
  <c r="Q2069" i="14" s="1"/>
  <c r="K2099" i="14"/>
  <c r="Q2099" i="14" s="1"/>
  <c r="K2065" i="14"/>
  <c r="Q2065" i="14" s="1"/>
  <c r="K2055" i="14"/>
  <c r="Q2055" i="14" s="1"/>
  <c r="K2093" i="14"/>
  <c r="Q2093" i="14" s="1"/>
  <c r="K2027" i="14"/>
  <c r="Q2027" i="14" s="1"/>
  <c r="K2089" i="14"/>
  <c r="Q2089" i="14" s="1"/>
  <c r="K2079" i="14"/>
  <c r="Q2079" i="14" s="1"/>
  <c r="K2053" i="14"/>
  <c r="Q2053" i="14" s="1"/>
  <c r="K2083" i="14"/>
  <c r="Q2083" i="14" s="1"/>
  <c r="K2026" i="14"/>
  <c r="Q2026" i="14" s="1"/>
  <c r="K2075" i="14"/>
  <c r="Q2075" i="14" s="1"/>
  <c r="K2219" i="14"/>
  <c r="Q2219" i="14" s="1"/>
  <c r="K2074" i="14"/>
  <c r="Q2074" i="14" s="1"/>
  <c r="K2126" i="14"/>
  <c r="Q2126" i="14" s="1"/>
  <c r="K2120" i="14"/>
  <c r="Q2120" i="14" s="1"/>
  <c r="K2113" i="14"/>
  <c r="Q2113" i="14" s="1"/>
  <c r="K2007" i="14"/>
  <c r="Q2007" i="14" s="1"/>
  <c r="K1990" i="14"/>
  <c r="Q1990" i="14" s="1"/>
  <c r="K2142" i="14"/>
  <c r="Q2142" i="14" s="1"/>
  <c r="K2127" i="14"/>
  <c r="Q2127" i="14" s="1"/>
  <c r="K2037" i="14"/>
  <c r="Q2037" i="14" s="1"/>
  <c r="K2067" i="14"/>
  <c r="Q2067" i="14" s="1"/>
  <c r="K2033" i="14"/>
  <c r="Q2033" i="14" s="1"/>
  <c r="K2023" i="14"/>
  <c r="Q2023" i="14" s="1"/>
  <c r="K2061" i="14"/>
  <c r="Q2061" i="14" s="1"/>
  <c r="K1995" i="14"/>
  <c r="Q1995" i="14" s="1"/>
  <c r="K2034" i="14"/>
  <c r="Q2034" i="14" s="1"/>
  <c r="K2024" i="14"/>
  <c r="Q2024" i="14" s="1"/>
  <c r="K1998" i="14"/>
  <c r="Q1998" i="14" s="1"/>
  <c r="K2028" i="14"/>
  <c r="Q2028" i="14" s="1"/>
  <c r="K2208" i="14"/>
  <c r="Q2208" i="14" s="1"/>
  <c r="K2106" i="14"/>
  <c r="Q2106" i="14" s="1"/>
  <c r="K2192" i="14"/>
  <c r="Q2192" i="14" s="1"/>
  <c r="K2218" i="14"/>
  <c r="Q2218" i="14" s="1"/>
  <c r="K2081" i="14"/>
  <c r="Q2081" i="14" s="1"/>
  <c r="K2103" i="14"/>
  <c r="Q2103" i="14" s="1"/>
  <c r="K2109" i="14"/>
  <c r="Q2109" i="14" s="1"/>
  <c r="K2107" i="14"/>
  <c r="Q2107" i="14" s="1"/>
  <c r="K2105" i="14"/>
  <c r="Q2105" i="14" s="1"/>
  <c r="K2095" i="14"/>
  <c r="Q2095" i="14" s="1"/>
  <c r="K2005" i="14"/>
  <c r="Q2005" i="14" s="1"/>
  <c r="K2012" i="14"/>
  <c r="Q2012" i="14" s="1"/>
  <c r="K2124" i="14"/>
  <c r="Q2124" i="14" s="1"/>
  <c r="K2157" i="14"/>
  <c r="Q2157" i="14" s="1"/>
  <c r="K2096" i="14"/>
  <c r="Q2096" i="14" s="1"/>
  <c r="K2153" i="14"/>
  <c r="Q2153" i="14" s="1"/>
  <c r="K2143" i="14"/>
  <c r="Q2143" i="14" s="1"/>
  <c r="K2117" i="14"/>
  <c r="Q2117" i="14" s="1"/>
  <c r="K2019" i="14"/>
  <c r="Q2019" i="14" s="1"/>
  <c r="K2048" i="14"/>
  <c r="Q2048" i="14" s="1"/>
  <c r="K2196" i="14"/>
  <c r="Q2196" i="14" s="1"/>
  <c r="K2230" i="14"/>
  <c r="Q2230" i="14" s="1"/>
  <c r="K1997" i="14"/>
  <c r="Q1997" i="14" s="1"/>
  <c r="K2213" i="14"/>
  <c r="Q2213" i="14" s="1"/>
  <c r="K2178" i="14"/>
  <c r="Q2178" i="14" s="1"/>
  <c r="K2164" i="14"/>
  <c r="Q2164" i="14" s="1"/>
  <c r="K2198" i="14"/>
  <c r="Q2198" i="14" s="1"/>
  <c r="K2160" i="14"/>
  <c r="Q2160" i="14" s="1"/>
  <c r="K2186" i="14"/>
  <c r="Q2186" i="14" s="1"/>
  <c r="K2210" i="14"/>
  <c r="Q2210" i="14" s="1"/>
  <c r="K2111" i="14"/>
  <c r="Q2111" i="14" s="1"/>
  <c r="K2141" i="14"/>
  <c r="Q2141" i="14" s="1"/>
  <c r="K2170" i="14"/>
  <c r="Q2170" i="14" s="1"/>
  <c r="K2156" i="14"/>
  <c r="Q2156" i="14" s="1"/>
  <c r="K2185" i="14"/>
  <c r="Q2185" i="14" s="1"/>
  <c r="K2179" i="14"/>
  <c r="Q2179" i="14" s="1"/>
  <c r="K2097" i="14"/>
  <c r="Q2097" i="14" s="1"/>
  <c r="K2221" i="14"/>
  <c r="Q2221" i="14" s="1"/>
  <c r="K2228" i="14"/>
  <c r="Q2228" i="14" s="1"/>
  <c r="K1991" i="14"/>
  <c r="Q1991" i="14" s="1"/>
  <c r="K2002" i="14"/>
  <c r="Q2002" i="14" s="1"/>
  <c r="K2177" i="14"/>
  <c r="Q2177" i="14" s="1"/>
  <c r="K2064" i="14"/>
  <c r="Q2064" i="14" s="1"/>
  <c r="K1994" i="14"/>
  <c r="Q1994" i="14" s="1"/>
  <c r="K2016" i="14"/>
  <c r="Q2016" i="14" s="1"/>
  <c r="K2022" i="14"/>
  <c r="Q2022" i="14" s="1"/>
  <c r="K2020" i="14"/>
  <c r="Q2020" i="14" s="1"/>
  <c r="K2018" i="14"/>
  <c r="Q2018" i="14" s="1"/>
  <c r="K2008" i="14"/>
  <c r="Q2008" i="14" s="1"/>
  <c r="K2046" i="14"/>
  <c r="Q2046" i="14" s="1"/>
  <c r="K2076" i="14"/>
  <c r="Q2076" i="14" s="1"/>
  <c r="K2042" i="14"/>
  <c r="Q2042" i="14" s="1"/>
  <c r="K2032" i="14"/>
  <c r="Q2032" i="14" s="1"/>
  <c r="K2070" i="14"/>
  <c r="Q2070" i="14" s="1"/>
  <c r="K2004" i="14"/>
  <c r="Q2004" i="14" s="1"/>
  <c r="K2066" i="14"/>
  <c r="Q2066" i="14" s="1"/>
  <c r="K2056" i="14"/>
  <c r="Q2056" i="14" s="1"/>
  <c r="K2030" i="14"/>
  <c r="Q2030" i="14" s="1"/>
  <c r="K2060" i="14"/>
  <c r="Q2060" i="14" s="1"/>
  <c r="K2199" i="14"/>
  <c r="Q2199" i="14" s="1"/>
  <c r="K2201" i="14"/>
  <c r="Q2201" i="14" s="1"/>
  <c r="K2078" i="14"/>
  <c r="Q2078" i="14" s="1"/>
  <c r="K2087" i="14"/>
  <c r="Q2087" i="14" s="1"/>
  <c r="K1993" i="14"/>
  <c r="Q1993" i="14" s="1"/>
  <c r="K2092" i="14"/>
  <c r="Q2092" i="14" s="1"/>
  <c r="K2090" i="14"/>
  <c r="Q2090" i="14" s="1"/>
  <c r="K2146" i="14"/>
  <c r="Q2146" i="14" s="1"/>
  <c r="K2144" i="14"/>
  <c r="Q2144" i="14" s="1"/>
  <c r="K2137" i="14"/>
  <c r="Q2137" i="14" s="1"/>
  <c r="K1999" i="14"/>
  <c r="Q1999" i="14" s="1"/>
  <c r="K2014" i="14"/>
  <c r="Q2014" i="14" s="1"/>
  <c r="K2044" i="14"/>
  <c r="Q2044" i="14" s="1"/>
  <c r="K2010" i="14"/>
  <c r="Q2010" i="14" s="1"/>
  <c r="K2000" i="14"/>
  <c r="Q2000" i="14" s="1"/>
  <c r="K2038" i="14"/>
  <c r="Q2038" i="14" s="1"/>
  <c r="K2190" i="14"/>
  <c r="Q2190" i="14" s="1"/>
  <c r="K2180" i="14"/>
  <c r="Q2180" i="14" s="1"/>
  <c r="K2154" i="14"/>
  <c r="Q2154" i="14" s="1"/>
  <c r="K2184" i="14"/>
  <c r="Q2184" i="14" s="1"/>
  <c r="K2049" i="14"/>
  <c r="Q2049" i="14" s="1"/>
  <c r="K2052" i="14"/>
  <c r="Q2052" i="14" s="1"/>
  <c r="K2136" i="14"/>
  <c r="Q2136" i="14" s="1"/>
  <c r="K2036" i="14"/>
  <c r="Q2036" i="14" s="1"/>
  <c r="K2115" i="14"/>
  <c r="Q2115" i="14" s="1"/>
  <c r="K2058" i="14"/>
  <c r="Q2058" i="14" s="1"/>
  <c r="K2080" i="14"/>
  <c r="Q2080" i="14" s="1"/>
  <c r="K2086" i="14"/>
  <c r="Q2086" i="14" s="1"/>
  <c r="K2084" i="14"/>
  <c r="Q2084" i="14" s="1"/>
  <c r="K2082" i="14"/>
  <c r="Q2082" i="14" s="1"/>
  <c r="K2072" i="14"/>
  <c r="Q2072" i="14" s="1"/>
  <c r="K2168" i="14"/>
  <c r="Q2168" i="14" s="1"/>
  <c r="K2134" i="14"/>
  <c r="Q2134" i="14" s="1"/>
  <c r="K2119" i="14"/>
  <c r="Q2119" i="14" s="1"/>
  <c r="K2029" i="14"/>
  <c r="Q2029" i="14" s="1"/>
  <c r="K2091" i="14"/>
  <c r="Q2091" i="14" s="1"/>
  <c r="K2025" i="14"/>
  <c r="Q2025" i="14" s="1"/>
  <c r="K2015" i="14"/>
  <c r="Q2015" i="14" s="1"/>
  <c r="K1989" i="14"/>
  <c r="Q1989" i="14" s="1"/>
  <c r="K1996" i="14"/>
  <c r="Q1996" i="14" s="1"/>
  <c r="K2077" i="14"/>
  <c r="Q2077" i="14" s="1"/>
  <c r="K2040" i="14"/>
  <c r="Q2040" i="14" s="1"/>
  <c r="K2220" i="14"/>
  <c r="Q2220" i="14" s="1"/>
  <c r="K2187" i="14"/>
  <c r="Q2187" i="14" s="1"/>
  <c r="K2085" i="14"/>
  <c r="Q2085" i="14" s="1"/>
  <c r="K2150" i="14"/>
  <c r="Q2150" i="14" s="1"/>
  <c r="K2176" i="14"/>
  <c r="Q2176" i="14" s="1"/>
  <c r="K2202" i="14"/>
  <c r="Q2202" i="14" s="1"/>
  <c r="K2188" i="14"/>
  <c r="Q2188" i="14" s="1"/>
  <c r="K2222" i="14"/>
  <c r="Q2222" i="14" s="1"/>
  <c r="K2130" i="14"/>
  <c r="Q2130" i="14" s="1"/>
  <c r="K2140" i="14"/>
  <c r="Q2140" i="14" s="1"/>
  <c r="K2009" i="14"/>
  <c r="Q2009" i="14" s="1"/>
  <c r="K2166" i="14"/>
  <c r="Q2166" i="14" s="1"/>
  <c r="K2128" i="14"/>
  <c r="Q2128" i="14" s="1"/>
  <c r="K2175" i="14"/>
  <c r="Q2175" i="14" s="1"/>
  <c r="K2071" i="14"/>
  <c r="Q2071" i="14" s="1"/>
  <c r="K2121" i="14"/>
  <c r="Q2121" i="14" s="1"/>
  <c r="K2227" i="14"/>
  <c r="Q2227" i="14" s="1"/>
  <c r="K2223" i="14"/>
  <c r="Q2223" i="14" s="1"/>
  <c r="K2163" i="14"/>
  <c r="Q2163" i="14" s="1"/>
  <c r="K2006" i="14"/>
  <c r="Q2006" i="14" s="1"/>
  <c r="K1992" i="14"/>
  <c r="Q1992" i="14" s="1"/>
  <c r="K2101" i="14"/>
  <c r="Q2101" i="14" s="1"/>
  <c r="E2033" i="14"/>
  <c r="E2180" i="14"/>
  <c r="E2059" i="14"/>
  <c r="E2061" i="14"/>
  <c r="E2097" i="14"/>
  <c r="E2057" i="14"/>
  <c r="E2178" i="14"/>
  <c r="E2051" i="14"/>
  <c r="E2035" i="14"/>
  <c r="E2011" i="14"/>
  <c r="E2081" i="14"/>
  <c r="E2204" i="14"/>
  <c r="E2052" i="14"/>
  <c r="E2039" i="14"/>
  <c r="E2145" i="14"/>
  <c r="E2207" i="14"/>
  <c r="E2031" i="14"/>
  <c r="E2094" i="14"/>
  <c r="E2161" i="14"/>
  <c r="E2034" i="14"/>
  <c r="E2032" i="14"/>
  <c r="E2183" i="14"/>
  <c r="E2062" i="14"/>
  <c r="E2137" i="14"/>
  <c r="E2121" i="14"/>
  <c r="E2157" i="14"/>
  <c r="E2015" i="14"/>
  <c r="E2116" i="14"/>
  <c r="E2170" i="14"/>
  <c r="E2075" i="14"/>
  <c r="E2186" i="14"/>
  <c r="E2195" i="14"/>
  <c r="E2231" i="14"/>
  <c r="E2105" i="14"/>
  <c r="E2143" i="14"/>
  <c r="E2120" i="14"/>
  <c r="E2167" i="14"/>
  <c r="E2013" i="14"/>
  <c r="E2082" i="14"/>
  <c r="E2056" i="14"/>
  <c r="E2016" i="14"/>
  <c r="E2150" i="14"/>
  <c r="E2110" i="14"/>
  <c r="E2208" i="14"/>
  <c r="E2226" i="14"/>
  <c r="E2194" i="14"/>
  <c r="E2023" i="14"/>
  <c r="E2132" i="14"/>
  <c r="E2182" i="14"/>
  <c r="E2100" i="14"/>
  <c r="E2092" i="14"/>
  <c r="E2008" i="14"/>
  <c r="E2117" i="14"/>
  <c r="E2079" i="14"/>
  <c r="E2045" i="14"/>
  <c r="E2040" i="14"/>
  <c r="E2088" i="14"/>
  <c r="E2103" i="14"/>
  <c r="E2010" i="14"/>
  <c r="E2196" i="14"/>
  <c r="E2055" i="14"/>
  <c r="E2142" i="14"/>
  <c r="E2002" i="14"/>
  <c r="E2128" i="14"/>
  <c r="E2112" i="14"/>
  <c r="E2225" i="14"/>
  <c r="E2152" i="14"/>
  <c r="E2053" i="14"/>
  <c r="E2124" i="14"/>
  <c r="E2193" i="14"/>
  <c r="E2119" i="14"/>
  <c r="E2158" i="14"/>
  <c r="E2123" i="14"/>
  <c r="E2131" i="14"/>
  <c r="E2159" i="14"/>
  <c r="E2169" i="14"/>
  <c r="E2201" i="14"/>
  <c r="V370" i="10"/>
  <c r="M371" i="10"/>
  <c r="L2094" i="14"/>
  <c r="R2094" i="14" s="1"/>
  <c r="L2199" i="14"/>
  <c r="R2199" i="14" s="1"/>
  <c r="L2165" i="14"/>
  <c r="R2165" i="14" s="1"/>
  <c r="L2163" i="14"/>
  <c r="R2163" i="14" s="1"/>
  <c r="L2209" i="14"/>
  <c r="R2209" i="14" s="1"/>
  <c r="L2127" i="14"/>
  <c r="R2127" i="14" s="1"/>
  <c r="L2030" i="14"/>
  <c r="R2030" i="14" s="1"/>
  <c r="L1996" i="14"/>
  <c r="R1996" i="14" s="1"/>
  <c r="L2051" i="14"/>
  <c r="R2051" i="14" s="1"/>
  <c r="L2033" i="14"/>
  <c r="R2033" i="14" s="1"/>
  <c r="L2031" i="14"/>
  <c r="R2031" i="14" s="1"/>
  <c r="L2061" i="14"/>
  <c r="R2061" i="14" s="1"/>
  <c r="L2212" i="14"/>
  <c r="R2212" i="14" s="1"/>
  <c r="L2178" i="14"/>
  <c r="R2178" i="14" s="1"/>
  <c r="L2208" i="14"/>
  <c r="R2208" i="14" s="1"/>
  <c r="L2222" i="14"/>
  <c r="R2222" i="14" s="1"/>
  <c r="L2118" i="14"/>
  <c r="R2118" i="14" s="1"/>
  <c r="L2062" i="14"/>
  <c r="R2062" i="14" s="1"/>
  <c r="L2088" i="14"/>
  <c r="R2088" i="14" s="1"/>
  <c r="L2230" i="14"/>
  <c r="R2230" i="14" s="1"/>
  <c r="L2226" i="14"/>
  <c r="R2226" i="14" s="1"/>
  <c r="L2058" i="14"/>
  <c r="R2058" i="14" s="1"/>
  <c r="L2040" i="14"/>
  <c r="R2040" i="14" s="1"/>
  <c r="L2006" i="14"/>
  <c r="R2006" i="14" s="1"/>
  <c r="L2182" i="14"/>
  <c r="R2182" i="14" s="1"/>
  <c r="L2229" i="14"/>
  <c r="R2229" i="14" s="1"/>
  <c r="L2130" i="14"/>
  <c r="R2130" i="14" s="1"/>
  <c r="L2096" i="14"/>
  <c r="R2096" i="14" s="1"/>
  <c r="L2169" i="14"/>
  <c r="R2169" i="14" s="1"/>
  <c r="L2151" i="14"/>
  <c r="R2151" i="14" s="1"/>
  <c r="L2154" i="14"/>
  <c r="R2154" i="14" s="1"/>
  <c r="L2184" i="14"/>
  <c r="R2184" i="14" s="1"/>
  <c r="L2231" i="14"/>
  <c r="R2231" i="14" s="1"/>
  <c r="L2180" i="14"/>
  <c r="R2180" i="14" s="1"/>
  <c r="L2146" i="14"/>
  <c r="R2146" i="14" s="1"/>
  <c r="L2176" i="14"/>
  <c r="R2176" i="14" s="1"/>
  <c r="L2126" i="14"/>
  <c r="R2126" i="14" s="1"/>
  <c r="L2197" i="14"/>
  <c r="R2197" i="14" s="1"/>
  <c r="L2159" i="14"/>
  <c r="R2159" i="14" s="1"/>
  <c r="L2105" i="14"/>
  <c r="R2105" i="14" s="1"/>
  <c r="L2116" i="14"/>
  <c r="R2116" i="14" s="1"/>
  <c r="L2153" i="14"/>
  <c r="R2153" i="14" s="1"/>
  <c r="L2135" i="14"/>
  <c r="R2135" i="14" s="1"/>
  <c r="L2101" i="14"/>
  <c r="R2101" i="14" s="1"/>
  <c r="L2099" i="14"/>
  <c r="R2099" i="14" s="1"/>
  <c r="L2018" i="14"/>
  <c r="R2018" i="14" s="1"/>
  <c r="L2064" i="14"/>
  <c r="R2064" i="14" s="1"/>
  <c r="L2217" i="14"/>
  <c r="R2217" i="14" s="1"/>
  <c r="L2060" i="14"/>
  <c r="R2060" i="14" s="1"/>
  <c r="L2010" i="14"/>
  <c r="R2010" i="14" s="1"/>
  <c r="L2122" i="14"/>
  <c r="R2122" i="14" s="1"/>
  <c r="L2147" i="14"/>
  <c r="R2147" i="14" s="1"/>
  <c r="L2193" i="14"/>
  <c r="R2193" i="14" s="1"/>
  <c r="L2143" i="14"/>
  <c r="R2143" i="14" s="1"/>
  <c r="L2114" i="14"/>
  <c r="R2114" i="14" s="1"/>
  <c r="L2139" i="14"/>
  <c r="R2139" i="14" s="1"/>
  <c r="L2103" i="14"/>
  <c r="R2103" i="14" s="1"/>
  <c r="L2189" i="14"/>
  <c r="R2189" i="14" s="1"/>
  <c r="L2221" i="14"/>
  <c r="R2221" i="14" s="1"/>
  <c r="L2120" i="14"/>
  <c r="R2120" i="14" s="1"/>
  <c r="L2111" i="14"/>
  <c r="R2111" i="14" s="1"/>
  <c r="L2204" i="14"/>
  <c r="R2204" i="14" s="1"/>
  <c r="L2214" i="14"/>
  <c r="R2214" i="14" s="1"/>
  <c r="L2123" i="14"/>
  <c r="R2123" i="14" s="1"/>
  <c r="L2054" i="14"/>
  <c r="R2054" i="14" s="1"/>
  <c r="L2023" i="14"/>
  <c r="R2023" i="14" s="1"/>
  <c r="L2009" i="14"/>
  <c r="R2009" i="14" s="1"/>
  <c r="L2078" i="14"/>
  <c r="R2078" i="14" s="1"/>
  <c r="L2167" i="14"/>
  <c r="R2167" i="14" s="1"/>
  <c r="L2027" i="14"/>
  <c r="R2027" i="14" s="1"/>
  <c r="L2174" i="14"/>
  <c r="R2174" i="14" s="1"/>
  <c r="L1999" i="14"/>
  <c r="R1999" i="14" s="1"/>
  <c r="L2075" i="14"/>
  <c r="R2075" i="14" s="1"/>
  <c r="L2021" i="14"/>
  <c r="R2021" i="14" s="1"/>
  <c r="L2005" i="14"/>
  <c r="R2005" i="14" s="1"/>
  <c r="L2140" i="14"/>
  <c r="R2140" i="14" s="1"/>
  <c r="L2106" i="14"/>
  <c r="R2106" i="14" s="1"/>
  <c r="L2191" i="14"/>
  <c r="R2191" i="14" s="1"/>
  <c r="L2137" i="14"/>
  <c r="R2137" i="14" s="1"/>
  <c r="L2198" i="14"/>
  <c r="R2198" i="14" s="1"/>
  <c r="L2144" i="14"/>
  <c r="R2144" i="14" s="1"/>
  <c r="L2110" i="14"/>
  <c r="R2110" i="14" s="1"/>
  <c r="L2090" i="14"/>
  <c r="R2090" i="14" s="1"/>
  <c r="L2072" i="14"/>
  <c r="R2072" i="14" s="1"/>
  <c r="L2038" i="14"/>
  <c r="R2038" i="14" s="1"/>
  <c r="L2036" i="14"/>
  <c r="R2036" i="14" s="1"/>
  <c r="L2082" i="14"/>
  <c r="R2082" i="14" s="1"/>
  <c r="L2000" i="14"/>
  <c r="R2000" i="14" s="1"/>
  <c r="L2007" i="14"/>
  <c r="R2007" i="14" s="1"/>
  <c r="L2206" i="14"/>
  <c r="R2206" i="14" s="1"/>
  <c r="L2188" i="14"/>
  <c r="R2188" i="14" s="1"/>
  <c r="L2186" i="14"/>
  <c r="R2186" i="14" s="1"/>
  <c r="L2216" i="14"/>
  <c r="R2216" i="14" s="1"/>
  <c r="L2134" i="14"/>
  <c r="R2134" i="14" s="1"/>
  <c r="L2207" i="14"/>
  <c r="R2207" i="14" s="1"/>
  <c r="L2173" i="14"/>
  <c r="R2173" i="14" s="1"/>
  <c r="L2203" i="14"/>
  <c r="R2203" i="14" s="1"/>
  <c r="L2202" i="14"/>
  <c r="R2202" i="14" s="1"/>
  <c r="L2091" i="14"/>
  <c r="R2091" i="14" s="1"/>
  <c r="L2155" i="14"/>
  <c r="R2155" i="14" s="1"/>
  <c r="L2063" i="14"/>
  <c r="R2063" i="14" s="1"/>
  <c r="L2089" i="14"/>
  <c r="R2089" i="14" s="1"/>
  <c r="L2107" i="14"/>
  <c r="R2107" i="14" s="1"/>
  <c r="L2035" i="14"/>
  <c r="R2035" i="14" s="1"/>
  <c r="L2017" i="14"/>
  <c r="R2017" i="14" s="1"/>
  <c r="L2136" i="14"/>
  <c r="R2136" i="14" s="1"/>
  <c r="L2177" i="14"/>
  <c r="R2177" i="14" s="1"/>
  <c r="L2100" i="14"/>
  <c r="R2100" i="14" s="1"/>
  <c r="L2125" i="14"/>
  <c r="R2125" i="14" s="1"/>
  <c r="L2092" i="14"/>
  <c r="R2092" i="14" s="1"/>
  <c r="L2042" i="14"/>
  <c r="R2042" i="14" s="1"/>
  <c r="L2024" i="14"/>
  <c r="R2024" i="14" s="1"/>
  <c r="L2149" i="14"/>
  <c r="R2149" i="14" s="1"/>
  <c r="L2179" i="14"/>
  <c r="R2179" i="14" s="1"/>
  <c r="L2102" i="14"/>
  <c r="R2102" i="14" s="1"/>
  <c r="L2175" i="14"/>
  <c r="R2175" i="14" s="1"/>
  <c r="L2141" i="14"/>
  <c r="R2141" i="14" s="1"/>
  <c r="L2171" i="14"/>
  <c r="R2171" i="14" s="1"/>
  <c r="L2121" i="14"/>
  <c r="R2121" i="14" s="1"/>
  <c r="L2200" i="14"/>
  <c r="R2200" i="14" s="1"/>
  <c r="L2194" i="14"/>
  <c r="R2194" i="14" s="1"/>
  <c r="L2215" i="14"/>
  <c r="R2215" i="14" s="1"/>
  <c r="L2205" i="14"/>
  <c r="R2205" i="14" s="1"/>
  <c r="L2026" i="14"/>
  <c r="R2026" i="14" s="1"/>
  <c r="L2008" i="14"/>
  <c r="R2008" i="14" s="1"/>
  <c r="L2079" i="14"/>
  <c r="R2079" i="14" s="1"/>
  <c r="L2077" i="14"/>
  <c r="R2077" i="14" s="1"/>
  <c r="L1995" i="14"/>
  <c r="R1995" i="14" s="1"/>
  <c r="L2041" i="14"/>
  <c r="R2041" i="14" s="1"/>
  <c r="L2071" i="14"/>
  <c r="R2071" i="14" s="1"/>
  <c r="L2037" i="14"/>
  <c r="R2037" i="14" s="1"/>
  <c r="L2124" i="14"/>
  <c r="R2124" i="14" s="1"/>
  <c r="L2117" i="14"/>
  <c r="R2117" i="14" s="1"/>
  <c r="L2020" i="14"/>
  <c r="R2020" i="14" s="1"/>
  <c r="L2066" i="14"/>
  <c r="R2066" i="14" s="1"/>
  <c r="L2016" i="14"/>
  <c r="R2016" i="14" s="1"/>
  <c r="L2109" i="14"/>
  <c r="R2109" i="14" s="1"/>
  <c r="L2012" i="14"/>
  <c r="R2012" i="14" s="1"/>
  <c r="L2070" i="14"/>
  <c r="R2070" i="14" s="1"/>
  <c r="L2160" i="14"/>
  <c r="R2160" i="14" s="1"/>
  <c r="L2065" i="14"/>
  <c r="R2065" i="14" s="1"/>
  <c r="L2093" i="14"/>
  <c r="R2093" i="14" s="1"/>
  <c r="L2055" i="14"/>
  <c r="R2055" i="14" s="1"/>
  <c r="L2223" i="14"/>
  <c r="R2223" i="14" s="1"/>
  <c r="L2168" i="14"/>
  <c r="R2168" i="14" s="1"/>
  <c r="L2157" i="14"/>
  <c r="R2157" i="14" s="1"/>
  <c r="L2056" i="14"/>
  <c r="R2056" i="14" s="1"/>
  <c r="L2002" i="14"/>
  <c r="R2002" i="14" s="1"/>
  <c r="L2053" i="14"/>
  <c r="R2053" i="14" s="1"/>
  <c r="L2083" i="14"/>
  <c r="R2083" i="14" s="1"/>
  <c r="L2185" i="14"/>
  <c r="R2185" i="14" s="1"/>
  <c r="L2004" i="14"/>
  <c r="R2004" i="14" s="1"/>
  <c r="L2225" i="14"/>
  <c r="R2225" i="14" s="1"/>
  <c r="L2029" i="14"/>
  <c r="R2029" i="14" s="1"/>
  <c r="L2025" i="14"/>
  <c r="R2025" i="14" s="1"/>
  <c r="L2081" i="14"/>
  <c r="R2081" i="14" s="1"/>
  <c r="L2034" i="14"/>
  <c r="R2034" i="14" s="1"/>
  <c r="L2104" i="14"/>
  <c r="R2104" i="14" s="1"/>
  <c r="L2098" i="14"/>
  <c r="R2098" i="14" s="1"/>
  <c r="L2152" i="14"/>
  <c r="R2152" i="14" s="1"/>
  <c r="L2228" i="14"/>
  <c r="R2228" i="14" s="1"/>
  <c r="L2032" i="14"/>
  <c r="R2032" i="14" s="1"/>
  <c r="L2067" i="14"/>
  <c r="R2067" i="14" s="1"/>
  <c r="L2049" i="14"/>
  <c r="R2049" i="14" s="1"/>
  <c r="L2015" i="14"/>
  <c r="R2015" i="14" s="1"/>
  <c r="L2013" i="14"/>
  <c r="R2013" i="14" s="1"/>
  <c r="L2059" i="14"/>
  <c r="R2059" i="14" s="1"/>
  <c r="L2162" i="14"/>
  <c r="R2162" i="14" s="1"/>
  <c r="L2128" i="14"/>
  <c r="R2128" i="14" s="1"/>
  <c r="L2201" i="14"/>
  <c r="R2201" i="14" s="1"/>
  <c r="L2183" i="14"/>
  <c r="R2183" i="14" s="1"/>
  <c r="L2181" i="14"/>
  <c r="R2181" i="14" s="1"/>
  <c r="L2211" i="14"/>
  <c r="R2211" i="14" s="1"/>
  <c r="L2129" i="14"/>
  <c r="R2129" i="14" s="1"/>
  <c r="L2080" i="14"/>
  <c r="R2080" i="14" s="1"/>
  <c r="L2046" i="14"/>
  <c r="R2046" i="14" s="1"/>
  <c r="L2076" i="14"/>
  <c r="R2076" i="14" s="1"/>
  <c r="L2047" i="14"/>
  <c r="R2047" i="14" s="1"/>
  <c r="L2164" i="14"/>
  <c r="R2164" i="14" s="1"/>
  <c r="L2224" i="14"/>
  <c r="R2224" i="14" s="1"/>
  <c r="L2115" i="14"/>
  <c r="R2115" i="14" s="1"/>
  <c r="L2210" i="14"/>
  <c r="R2210" i="14" s="1"/>
  <c r="L2190" i="14"/>
  <c r="R2190" i="14" s="1"/>
  <c r="L2172" i="14"/>
  <c r="R2172" i="14" s="1"/>
  <c r="L2138" i="14"/>
  <c r="R2138" i="14" s="1"/>
  <c r="L2131" i="14"/>
  <c r="R2131" i="14" s="1"/>
  <c r="L2050" i="14"/>
  <c r="R2050" i="14" s="1"/>
  <c r="L2095" i="14"/>
  <c r="R2095" i="14" s="1"/>
  <c r="L1998" i="14"/>
  <c r="R1998" i="14" s="1"/>
  <c r="L2069" i="14"/>
  <c r="R2069" i="14" s="1"/>
  <c r="L2019" i="14"/>
  <c r="R2019" i="14" s="1"/>
  <c r="L2001" i="14"/>
  <c r="R2001" i="14" s="1"/>
  <c r="L2022" i="14"/>
  <c r="R2022" i="14" s="1"/>
  <c r="L2052" i="14"/>
  <c r="R2052" i="14" s="1"/>
  <c r="L2097" i="14"/>
  <c r="R2097" i="14" s="1"/>
  <c r="L2048" i="14"/>
  <c r="R2048" i="14" s="1"/>
  <c r="L2014" i="14"/>
  <c r="R2014" i="14" s="1"/>
  <c r="L2044" i="14"/>
  <c r="R2044" i="14" s="1"/>
  <c r="L2108" i="14"/>
  <c r="R2108" i="14" s="1"/>
  <c r="L2045" i="14"/>
  <c r="R2045" i="14" s="1"/>
  <c r="L2039" i="14"/>
  <c r="R2039" i="14" s="1"/>
  <c r="L2219" i="14"/>
  <c r="R2219" i="14" s="1"/>
  <c r="L2085" i="14"/>
  <c r="R2085" i="14" s="1"/>
  <c r="L2003" i="14"/>
  <c r="R2003" i="14" s="1"/>
  <c r="L2220" i="14"/>
  <c r="R2220" i="14" s="1"/>
  <c r="L2218" i="14"/>
  <c r="R2218" i="14" s="1"/>
  <c r="L2150" i="14"/>
  <c r="R2150" i="14" s="1"/>
  <c r="L2196" i="14"/>
  <c r="R2196" i="14" s="1"/>
  <c r="L2227" i="14"/>
  <c r="R2227" i="14" s="1"/>
  <c r="L2192" i="14"/>
  <c r="R2192" i="14" s="1"/>
  <c r="L2142" i="14"/>
  <c r="R2142" i="14" s="1"/>
  <c r="L2119" i="14"/>
  <c r="R2119" i="14" s="1"/>
  <c r="L1990" i="14"/>
  <c r="R1990" i="14" s="1"/>
  <c r="L1997" i="14"/>
  <c r="R1997" i="14" s="1"/>
  <c r="L2043" i="14"/>
  <c r="R2043" i="14" s="1"/>
  <c r="L1993" i="14"/>
  <c r="R1993" i="14" s="1"/>
  <c r="L2087" i="14"/>
  <c r="R2087" i="14" s="1"/>
  <c r="L1989" i="14"/>
  <c r="R1989" i="14" s="1"/>
  <c r="L2195" i="14"/>
  <c r="R2195" i="14" s="1"/>
  <c r="L2028" i="14"/>
  <c r="R2028" i="14" s="1"/>
  <c r="L2213" i="14"/>
  <c r="R2213" i="14" s="1"/>
  <c r="L2166" i="14"/>
  <c r="R2166" i="14" s="1"/>
  <c r="L2112" i="14"/>
  <c r="R2112" i="14" s="1"/>
  <c r="L2170" i="14"/>
  <c r="R2170" i="14" s="1"/>
  <c r="L2132" i="14"/>
  <c r="R2132" i="14" s="1"/>
  <c r="L2074" i="14"/>
  <c r="R2074" i="14" s="1"/>
  <c r="L2084" i="14"/>
  <c r="R2084" i="14" s="1"/>
  <c r="L2057" i="14"/>
  <c r="R2057" i="14" s="1"/>
  <c r="L2068" i="14"/>
  <c r="R2068" i="14" s="1"/>
  <c r="L2161" i="14"/>
  <c r="R2161" i="14" s="1"/>
  <c r="L2133" i="14"/>
  <c r="R2133" i="14" s="1"/>
  <c r="L2073" i="14"/>
  <c r="R2073" i="14" s="1"/>
  <c r="L2156" i="14"/>
  <c r="R2156" i="14" s="1"/>
  <c r="F2027" i="14"/>
  <c r="L1991" i="14"/>
  <c r="R1991" i="14" s="1"/>
  <c r="L2113" i="14"/>
  <c r="R2113" i="14" s="1"/>
  <c r="L2158" i="14"/>
  <c r="R2158" i="14" s="1"/>
  <c r="L2145" i="14"/>
  <c r="R2145" i="14" s="1"/>
  <c r="L2187" i="14"/>
  <c r="R2187" i="14" s="1"/>
  <c r="L1992" i="14"/>
  <c r="R1992" i="14" s="1"/>
  <c r="L2148" i="14"/>
  <c r="R2148" i="14" s="1"/>
  <c r="L1994" i="14"/>
  <c r="R1994" i="14" s="1"/>
  <c r="L2086" i="14"/>
  <c r="R2086" i="14" s="1"/>
  <c r="L2011" i="14"/>
  <c r="R2011" i="14" s="1"/>
  <c r="F2106" i="14"/>
  <c r="F2036" i="14"/>
  <c r="N2088" i="14"/>
  <c r="T2088" i="14" s="1"/>
  <c r="N2070" i="14"/>
  <c r="T2070" i="14" s="1"/>
  <c r="N2084" i="14"/>
  <c r="T2084" i="14" s="1"/>
  <c r="N2137" i="14"/>
  <c r="T2137" i="14" s="1"/>
  <c r="N2210" i="14"/>
  <c r="T2210" i="14" s="1"/>
  <c r="N2128" i="14"/>
  <c r="T2128" i="14" s="1"/>
  <c r="N2110" i="14"/>
  <c r="T2110" i="14" s="1"/>
  <c r="N2029" i="14"/>
  <c r="T2029" i="14" s="1"/>
  <c r="N2011" i="14"/>
  <c r="T2011" i="14" s="1"/>
  <c r="N2120" i="14"/>
  <c r="T2120" i="14" s="1"/>
  <c r="N2007" i="14"/>
  <c r="T2007" i="14" s="1"/>
  <c r="N2167" i="14"/>
  <c r="T2167" i="14" s="1"/>
  <c r="N2181" i="14"/>
  <c r="T2181" i="14" s="1"/>
  <c r="N2131" i="14"/>
  <c r="T2131" i="14" s="1"/>
  <c r="N1992" i="14"/>
  <c r="T1992" i="14" s="1"/>
  <c r="N2150" i="14"/>
  <c r="T2150" i="14" s="1"/>
  <c r="N2160" i="14"/>
  <c r="T2160" i="14" s="1"/>
  <c r="N2170" i="14"/>
  <c r="T2170" i="14" s="1"/>
  <c r="N2021" i="14"/>
  <c r="T2021" i="14" s="1"/>
  <c r="N2163" i="14"/>
  <c r="T2163" i="14" s="1"/>
  <c r="N2077" i="14"/>
  <c r="T2077" i="14" s="1"/>
  <c r="N2059" i="14"/>
  <c r="T2059" i="14" s="1"/>
  <c r="N2073" i="14"/>
  <c r="T2073" i="14" s="1"/>
  <c r="N2087" i="14"/>
  <c r="T2087" i="14" s="1"/>
  <c r="N2100" i="14"/>
  <c r="T2100" i="14" s="1"/>
  <c r="N2051" i="14"/>
  <c r="T2051" i="14" s="1"/>
  <c r="N2096" i="14"/>
  <c r="T2096" i="14" s="1"/>
  <c r="N2079" i="14"/>
  <c r="T2079" i="14" s="1"/>
  <c r="N1997" i="14"/>
  <c r="T1997" i="14" s="1"/>
  <c r="N2086" i="14"/>
  <c r="T2086" i="14" s="1"/>
  <c r="N2068" i="14"/>
  <c r="T2068" i="14" s="1"/>
  <c r="N2082" i="14"/>
  <c r="T2082" i="14" s="1"/>
  <c r="N2064" i="14"/>
  <c r="T2064" i="14" s="1"/>
  <c r="N2149" i="14"/>
  <c r="T2149" i="14" s="1"/>
  <c r="N2230" i="14"/>
  <c r="T2230" i="14" s="1"/>
  <c r="N2140" i="14"/>
  <c r="T2140" i="14" s="1"/>
  <c r="N2002" i="14"/>
  <c r="T2002" i="14" s="1"/>
  <c r="N2147" i="14"/>
  <c r="T2147" i="14" s="1"/>
  <c r="N2152" i="14"/>
  <c r="T2152" i="14" s="1"/>
  <c r="N2046" i="14"/>
  <c r="T2046" i="14" s="1"/>
  <c r="N2172" i="14"/>
  <c r="T2172" i="14" s="1"/>
  <c r="N2154" i="14"/>
  <c r="T2154" i="14" s="1"/>
  <c r="N2168" i="14"/>
  <c r="T2168" i="14" s="1"/>
  <c r="N2182" i="14"/>
  <c r="T2182" i="14" s="1"/>
  <c r="N2196" i="14"/>
  <c r="T2196" i="14" s="1"/>
  <c r="N2146" i="14"/>
  <c r="T2146" i="14" s="1"/>
  <c r="N2192" i="14"/>
  <c r="T2192" i="14" s="1"/>
  <c r="N2174" i="14"/>
  <c r="T2174" i="14" s="1"/>
  <c r="N2097" i="14"/>
  <c r="T2097" i="14" s="1"/>
  <c r="N2202" i="14"/>
  <c r="T2202" i="14" s="1"/>
  <c r="N2184" i="14"/>
  <c r="T2184" i="14" s="1"/>
  <c r="N2198" i="14"/>
  <c r="T2198" i="14" s="1"/>
  <c r="N2180" i="14"/>
  <c r="T2180" i="14" s="1"/>
  <c r="N2103" i="14"/>
  <c r="T2103" i="14" s="1"/>
  <c r="N2112" i="14"/>
  <c r="T2112" i="14" s="1"/>
  <c r="N2063" i="14"/>
  <c r="T2063" i="14" s="1"/>
  <c r="N2023" i="14"/>
  <c r="T2023" i="14" s="1"/>
  <c r="N2142" i="14"/>
  <c r="T2142" i="14" s="1"/>
  <c r="N2043" i="14"/>
  <c r="T2043" i="14" s="1"/>
  <c r="N2148" i="14"/>
  <c r="T2148" i="14" s="1"/>
  <c r="N2031" i="14"/>
  <c r="T2031" i="14" s="1"/>
  <c r="N2091" i="14"/>
  <c r="T2091" i="14" s="1"/>
  <c r="N1991" i="14"/>
  <c r="T1991" i="14" s="1"/>
  <c r="N2115" i="14"/>
  <c r="T2115" i="14" s="1"/>
  <c r="N2125" i="14"/>
  <c r="T2125" i="14" s="1"/>
  <c r="N2014" i="14"/>
  <c r="T2014" i="14" s="1"/>
  <c r="N2009" i="14"/>
  <c r="T2009" i="14" s="1"/>
  <c r="N2018" i="14"/>
  <c r="T2018" i="14" s="1"/>
  <c r="N2204" i="14"/>
  <c r="T2204" i="14" s="1"/>
  <c r="N2214" i="14"/>
  <c r="T2214" i="14" s="1"/>
  <c r="N2178" i="14"/>
  <c r="T2178" i="14" s="1"/>
  <c r="N2124" i="14"/>
  <c r="T2124" i="14" s="1"/>
  <c r="N2085" i="14"/>
  <c r="T2085" i="14" s="1"/>
  <c r="N1996" i="14"/>
  <c r="T1996" i="14" s="1"/>
  <c r="N2155" i="14"/>
  <c r="T2155" i="14" s="1"/>
  <c r="N2199" i="14"/>
  <c r="T2199" i="14" s="1"/>
  <c r="N2173" i="14"/>
  <c r="T2173" i="14" s="1"/>
  <c r="N2197" i="14"/>
  <c r="T2197" i="14" s="1"/>
  <c r="N2207" i="14"/>
  <c r="T2207" i="14" s="1"/>
  <c r="N2203" i="14"/>
  <c r="T2203" i="14" s="1"/>
  <c r="N2219" i="14"/>
  <c r="T2219" i="14" s="1"/>
  <c r="N2122" i="14"/>
  <c r="T2122" i="14" s="1"/>
  <c r="N2039" i="14"/>
  <c r="T2039" i="14" s="1"/>
  <c r="N2229" i="14"/>
  <c r="T2229" i="14" s="1"/>
  <c r="N2226" i="14"/>
  <c r="T2226" i="14" s="1"/>
  <c r="N2225" i="14"/>
  <c r="T2225" i="14" s="1"/>
  <c r="N2123" i="14"/>
  <c r="T2123" i="14" s="1"/>
  <c r="N2132" i="14"/>
  <c r="T2132" i="14" s="1"/>
  <c r="N2083" i="14"/>
  <c r="T2083" i="14" s="1"/>
  <c r="N2001" i="14"/>
  <c r="T2001" i="14" s="1"/>
  <c r="N2090" i="14"/>
  <c r="T2090" i="14" s="1"/>
  <c r="N2008" i="14"/>
  <c r="T2008" i="14" s="1"/>
  <c r="N1990" i="14"/>
  <c r="T1990" i="14" s="1"/>
  <c r="N1993" i="14"/>
  <c r="T1993" i="14" s="1"/>
  <c r="N2121" i="14"/>
  <c r="T2121" i="14" s="1"/>
  <c r="N2162" i="14"/>
  <c r="T2162" i="14" s="1"/>
  <c r="N2176" i="14"/>
  <c r="T2176" i="14" s="1"/>
  <c r="N2126" i="14"/>
  <c r="T2126" i="14" s="1"/>
  <c r="N1995" i="14"/>
  <c r="T1995" i="14" s="1"/>
  <c r="N2169" i="14"/>
  <c r="T2169" i="14" s="1"/>
  <c r="N2012" i="14"/>
  <c r="T2012" i="14" s="1"/>
  <c r="N2025" i="14"/>
  <c r="T2025" i="14" s="1"/>
  <c r="N2194" i="14"/>
  <c r="T2194" i="14" s="1"/>
  <c r="N2010" i="14"/>
  <c r="T2010" i="14" s="1"/>
  <c r="N2056" i="14"/>
  <c r="T2056" i="14" s="1"/>
  <c r="N2038" i="14"/>
  <c r="T2038" i="14" s="1"/>
  <c r="N2052" i="14"/>
  <c r="T2052" i="14" s="1"/>
  <c r="N2066" i="14"/>
  <c r="T2066" i="14" s="1"/>
  <c r="N2080" i="14"/>
  <c r="T2080" i="14" s="1"/>
  <c r="N2030" i="14"/>
  <c r="T2030" i="14" s="1"/>
  <c r="N2076" i="14"/>
  <c r="T2076" i="14" s="1"/>
  <c r="N2058" i="14"/>
  <c r="T2058" i="14" s="1"/>
  <c r="N2227" i="14"/>
  <c r="T2227" i="14" s="1"/>
  <c r="N2224" i="14"/>
  <c r="T2224" i="14" s="1"/>
  <c r="N2223" i="14"/>
  <c r="T2223" i="14" s="1"/>
  <c r="N2220" i="14"/>
  <c r="T2220" i="14" s="1"/>
  <c r="N2135" i="14"/>
  <c r="T2135" i="14" s="1"/>
  <c r="N2144" i="14"/>
  <c r="T2144" i="14" s="1"/>
  <c r="N2099" i="14"/>
  <c r="T2099" i="14" s="1"/>
  <c r="N2127" i="14"/>
  <c r="T2127" i="14" s="1"/>
  <c r="N2037" i="14"/>
  <c r="T2037" i="14" s="1"/>
  <c r="N2193" i="14"/>
  <c r="T2193" i="14" s="1"/>
  <c r="N2166" i="14"/>
  <c r="T2166" i="14" s="1"/>
  <c r="N2060" i="14"/>
  <c r="T2060" i="14" s="1"/>
  <c r="N2045" i="14"/>
  <c r="T2045" i="14" s="1"/>
  <c r="N2027" i="14"/>
  <c r="T2027" i="14" s="1"/>
  <c r="N2041" i="14"/>
  <c r="T2041" i="14" s="1"/>
  <c r="N2055" i="14"/>
  <c r="T2055" i="14" s="1"/>
  <c r="N2069" i="14"/>
  <c r="T2069" i="14" s="1"/>
  <c r="N2019" i="14"/>
  <c r="T2019" i="14" s="1"/>
  <c r="N2065" i="14"/>
  <c r="T2065" i="14" s="1"/>
  <c r="N2047" i="14"/>
  <c r="T2047" i="14" s="1"/>
  <c r="N2216" i="14"/>
  <c r="T2216" i="14" s="1"/>
  <c r="N2075" i="14"/>
  <c r="T2075" i="14" s="1"/>
  <c r="N2057" i="14"/>
  <c r="T2057" i="14" s="1"/>
  <c r="N2071" i="14"/>
  <c r="T2071" i="14" s="1"/>
  <c r="N2053" i="14"/>
  <c r="T2053" i="14" s="1"/>
  <c r="N2098" i="14"/>
  <c r="T2098" i="14" s="1"/>
  <c r="N2092" i="14"/>
  <c r="T2092" i="14" s="1"/>
  <c r="N2042" i="14"/>
  <c r="T2042" i="14" s="1"/>
  <c r="N2164" i="14"/>
  <c r="T2164" i="14" s="1"/>
  <c r="N1994" i="14"/>
  <c r="T1994" i="14" s="1"/>
  <c r="N2157" i="14"/>
  <c r="T2157" i="14" s="1"/>
  <c r="N2000" i="14"/>
  <c r="T2000" i="14" s="1"/>
  <c r="N2108" i="14"/>
  <c r="T2108" i="14" s="1"/>
  <c r="N2215" i="14"/>
  <c r="T2215" i="14" s="1"/>
  <c r="N2156" i="14"/>
  <c r="T2156" i="14" s="1"/>
  <c r="N2134" i="14"/>
  <c r="T2134" i="14" s="1"/>
  <c r="N2028" i="14"/>
  <c r="T2028" i="14" s="1"/>
  <c r="N2093" i="14"/>
  <c r="T2093" i="14" s="1"/>
  <c r="N2081" i="14"/>
  <c r="T2081" i="14" s="1"/>
  <c r="N2200" i="14"/>
  <c r="T2200" i="14" s="1"/>
  <c r="N2206" i="14"/>
  <c r="T2206" i="14" s="1"/>
  <c r="N2089" i="14"/>
  <c r="T2089" i="14" s="1"/>
  <c r="N2003" i="14"/>
  <c r="T2003" i="14" s="1"/>
  <c r="N2165" i="14"/>
  <c r="T2165" i="14" s="1"/>
  <c r="N2159" i="14"/>
  <c r="T2159" i="14" s="1"/>
  <c r="N2201" i="14"/>
  <c r="T2201" i="14" s="1"/>
  <c r="N2179" i="14"/>
  <c r="T2179" i="14" s="1"/>
  <c r="N2189" i="14"/>
  <c r="T2189" i="14" s="1"/>
  <c r="N2185" i="14"/>
  <c r="T2185" i="14" s="1"/>
  <c r="N2190" i="14"/>
  <c r="T2190" i="14" s="1"/>
  <c r="N2040" i="14"/>
  <c r="T2040" i="14" s="1"/>
  <c r="N2113" i="14"/>
  <c r="T2113" i="14" s="1"/>
  <c r="N2095" i="14"/>
  <c r="T2095" i="14" s="1"/>
  <c r="N2109" i="14"/>
  <c r="T2109" i="14" s="1"/>
  <c r="N2118" i="14"/>
  <c r="T2118" i="14" s="1"/>
  <c r="N2005" i="14"/>
  <c r="T2005" i="14" s="1"/>
  <c r="N2062" i="14"/>
  <c r="T2062" i="14" s="1"/>
  <c r="N2231" i="14"/>
  <c r="T2231" i="14" s="1"/>
  <c r="N2161" i="14"/>
  <c r="T2161" i="14" s="1"/>
  <c r="N2143" i="14"/>
  <c r="T2143" i="14" s="1"/>
  <c r="H2062" i="14"/>
  <c r="N2139" i="14"/>
  <c r="T2139" i="14" s="1"/>
  <c r="N2116" i="14"/>
  <c r="T2116" i="14" s="1"/>
  <c r="N2035" i="14"/>
  <c r="T2035" i="14" s="1"/>
  <c r="N2049" i="14"/>
  <c r="T2049" i="14" s="1"/>
  <c r="N1999" i="14"/>
  <c r="T1999" i="14" s="1"/>
  <c r="N2141" i="14"/>
  <c r="T2141" i="14" s="1"/>
  <c r="N2016" i="14"/>
  <c r="T2016" i="14" s="1"/>
  <c r="N2015" i="14"/>
  <c r="T2015" i="14" s="1"/>
  <c r="N2171" i="14"/>
  <c r="T2171" i="14" s="1"/>
  <c r="N2213" i="14"/>
  <c r="T2213" i="14" s="1"/>
  <c r="N2209" i="14"/>
  <c r="T2209" i="14" s="1"/>
  <c r="N2191" i="14"/>
  <c r="T2191" i="14" s="1"/>
  <c r="N2205" i="14"/>
  <c r="T2205" i="14" s="1"/>
  <c r="N2222" i="14"/>
  <c r="T2222" i="14" s="1"/>
  <c r="N2221" i="14"/>
  <c r="T2221" i="14" s="1"/>
  <c r="N2183" i="14"/>
  <c r="T2183" i="14" s="1"/>
  <c r="N2217" i="14"/>
  <c r="T2217" i="14" s="1"/>
  <c r="N2211" i="14"/>
  <c r="T2211" i="14" s="1"/>
  <c r="N2129" i="14"/>
  <c r="T2129" i="14" s="1"/>
  <c r="N2111" i="14"/>
  <c r="T2111" i="14" s="1"/>
  <c r="N2218" i="14"/>
  <c r="T2218" i="14" s="1"/>
  <c r="N2107" i="14"/>
  <c r="T2107" i="14" s="1"/>
  <c r="N2212" i="14"/>
  <c r="T2212" i="14" s="1"/>
  <c r="N2130" i="14"/>
  <c r="T2130" i="14" s="1"/>
  <c r="N2017" i="14"/>
  <c r="T2017" i="14" s="1"/>
  <c r="N2094" i="14"/>
  <c r="T2094" i="14" s="1"/>
  <c r="N2136" i="14"/>
  <c r="T2136" i="14" s="1"/>
  <c r="N2114" i="14"/>
  <c r="T2114" i="14" s="1"/>
  <c r="N2175" i="14"/>
  <c r="T2175" i="14" s="1"/>
  <c r="N2153" i="14"/>
  <c r="T2153" i="14" s="1"/>
  <c r="N2158" i="14"/>
  <c r="T2158" i="14" s="1"/>
  <c r="N2024" i="14"/>
  <c r="T2024" i="14" s="1"/>
  <c r="N2006" i="14"/>
  <c r="T2006" i="14" s="1"/>
  <c r="N2020" i="14"/>
  <c r="T2020" i="14" s="1"/>
  <c r="N2034" i="14"/>
  <c r="T2034" i="14" s="1"/>
  <c r="N2048" i="14"/>
  <c r="T2048" i="14" s="1"/>
  <c r="N1998" i="14"/>
  <c r="T1998" i="14" s="1"/>
  <c r="N2044" i="14"/>
  <c r="T2044" i="14" s="1"/>
  <c r="N2026" i="14"/>
  <c r="T2026" i="14" s="1"/>
  <c r="N2072" i="14"/>
  <c r="T2072" i="14" s="1"/>
  <c r="N2054" i="14"/>
  <c r="T2054" i="14" s="1"/>
  <c r="N2036" i="14"/>
  <c r="T2036" i="14" s="1"/>
  <c r="N2050" i="14"/>
  <c r="T2050" i="14" s="1"/>
  <c r="N2032" i="14"/>
  <c r="T2032" i="14" s="1"/>
  <c r="N2078" i="14"/>
  <c r="T2078" i="14" s="1"/>
  <c r="N2195" i="14"/>
  <c r="T2195" i="14" s="1"/>
  <c r="N2013" i="14"/>
  <c r="T2013" i="14" s="1"/>
  <c r="N2119" i="14"/>
  <c r="T2119" i="14" s="1"/>
  <c r="N2061" i="14"/>
  <c r="T2061" i="14" s="1"/>
  <c r="N2004" i="14"/>
  <c r="T2004" i="14" s="1"/>
  <c r="N2067" i="14"/>
  <c r="T2067" i="14" s="1"/>
  <c r="N2104" i="14"/>
  <c r="T2104" i="14" s="1"/>
  <c r="N2133" i="14"/>
  <c r="T2133" i="14" s="1"/>
  <c r="N2138" i="14"/>
  <c r="T2138" i="14" s="1"/>
  <c r="N1989" i="14"/>
  <c r="T1989" i="14" s="1"/>
  <c r="N2145" i="14"/>
  <c r="T2145" i="14" s="1"/>
  <c r="N2188" i="14"/>
  <c r="T2188" i="14" s="1"/>
  <c r="N2186" i="14"/>
  <c r="T2186" i="14" s="1"/>
  <c r="N2105" i="14"/>
  <c r="T2105" i="14" s="1"/>
  <c r="N2101" i="14"/>
  <c r="T2101" i="14" s="1"/>
  <c r="N2106" i="14"/>
  <c r="T2106" i="14" s="1"/>
  <c r="N2102" i="14"/>
  <c r="T2102" i="14" s="1"/>
  <c r="N2074" i="14"/>
  <c r="T2074" i="14" s="1"/>
  <c r="N2022" i="14"/>
  <c r="T2022" i="14" s="1"/>
  <c r="N2177" i="14"/>
  <c r="T2177" i="14" s="1"/>
  <c r="N2187" i="14"/>
  <c r="T2187" i="14" s="1"/>
  <c r="N2151" i="14"/>
  <c r="T2151" i="14" s="1"/>
  <c r="N2228" i="14"/>
  <c r="T2228" i="14" s="1"/>
  <c r="N2117" i="14"/>
  <c r="T2117" i="14" s="1"/>
  <c r="N2033" i="14"/>
  <c r="T2033" i="14" s="1"/>
  <c r="N2208" i="14"/>
  <c r="T2208" i="14" s="1"/>
  <c r="H2095" i="14"/>
  <c r="M2163" i="14"/>
  <c r="S2163" i="14" s="1"/>
  <c r="M2177" i="14"/>
  <c r="S2177" i="14" s="1"/>
  <c r="M2183" i="14"/>
  <c r="S2183" i="14" s="1"/>
  <c r="M2149" i="14"/>
  <c r="S2149" i="14" s="1"/>
  <c r="M2219" i="14"/>
  <c r="S2219" i="14" s="1"/>
  <c r="M2216" i="14"/>
  <c r="S2216" i="14" s="1"/>
  <c r="M2143" i="14"/>
  <c r="S2143" i="14" s="1"/>
  <c r="M2109" i="14"/>
  <c r="S2109" i="14" s="1"/>
  <c r="M2206" i="14"/>
  <c r="S2206" i="14" s="1"/>
  <c r="M2097" i="14"/>
  <c r="S2097" i="14" s="1"/>
  <c r="M2162" i="14"/>
  <c r="S2162" i="14" s="1"/>
  <c r="M2101" i="14"/>
  <c r="S2101" i="14" s="1"/>
  <c r="M2134" i="14"/>
  <c r="S2134" i="14" s="1"/>
  <c r="M2084" i="14"/>
  <c r="S2084" i="14" s="1"/>
  <c r="M2058" i="14"/>
  <c r="S2058" i="14" s="1"/>
  <c r="M2088" i="14"/>
  <c r="S2088" i="14" s="1"/>
  <c r="M2209" i="14"/>
  <c r="S2209" i="14" s="1"/>
  <c r="M2176" i="14"/>
  <c r="S2176" i="14" s="1"/>
  <c r="M2137" i="14"/>
  <c r="S2137" i="14" s="1"/>
  <c r="M2008" i="14"/>
  <c r="S2008" i="14" s="1"/>
  <c r="M2124" i="14"/>
  <c r="S2124" i="14" s="1"/>
  <c r="M2116" i="14"/>
  <c r="S2116" i="14" s="1"/>
  <c r="M2131" i="14"/>
  <c r="S2131" i="14" s="1"/>
  <c r="M2140" i="14"/>
  <c r="S2140" i="14" s="1"/>
  <c r="M2018" i="14"/>
  <c r="S2018" i="14" s="1"/>
  <c r="M2112" i="14"/>
  <c r="S2112" i="14" s="1"/>
  <c r="M2054" i="14"/>
  <c r="S2054" i="14" s="1"/>
  <c r="M2068" i="14"/>
  <c r="S2068" i="14" s="1"/>
  <c r="M2106" i="14"/>
  <c r="S2106" i="14" s="1"/>
  <c r="M2072" i="14"/>
  <c r="S2072" i="14" s="1"/>
  <c r="M2046" i="14"/>
  <c r="S2046" i="14" s="1"/>
  <c r="M2060" i="14"/>
  <c r="S2060" i="14" s="1"/>
  <c r="M2002" i="14"/>
  <c r="S2002" i="14" s="1"/>
  <c r="M2039" i="14"/>
  <c r="S2039" i="14" s="1"/>
  <c r="M2077" i="14"/>
  <c r="S2077" i="14" s="1"/>
  <c r="M2027" i="14"/>
  <c r="S2027" i="14" s="1"/>
  <c r="M2001" i="14"/>
  <c r="S2001" i="14" s="1"/>
  <c r="M2031" i="14"/>
  <c r="S2031" i="14" s="1"/>
  <c r="M2041" i="14"/>
  <c r="S2041" i="14" s="1"/>
  <c r="M2065" i="14"/>
  <c r="S2065" i="14" s="1"/>
  <c r="M2094" i="14"/>
  <c r="S2094" i="14" s="1"/>
  <c r="M2108" i="14"/>
  <c r="S2108" i="14" s="1"/>
  <c r="M2114" i="14"/>
  <c r="S2114" i="14" s="1"/>
  <c r="M2080" i="14"/>
  <c r="S2080" i="14" s="1"/>
  <c r="M2022" i="14"/>
  <c r="S2022" i="14" s="1"/>
  <c r="M2036" i="14"/>
  <c r="S2036" i="14" s="1"/>
  <c r="M2074" i="14"/>
  <c r="S2074" i="14" s="1"/>
  <c r="M2040" i="14"/>
  <c r="S2040" i="14" s="1"/>
  <c r="M2014" i="14"/>
  <c r="S2014" i="14" s="1"/>
  <c r="M2028" i="14"/>
  <c r="S2028" i="14" s="1"/>
  <c r="M2098" i="14"/>
  <c r="S2098" i="14" s="1"/>
  <c r="M2032" i="14"/>
  <c r="S2032" i="14" s="1"/>
  <c r="M2070" i="14"/>
  <c r="S2070" i="14" s="1"/>
  <c r="M2020" i="14"/>
  <c r="S2020" i="14" s="1"/>
  <c r="M1994" i="14"/>
  <c r="S1994" i="14" s="1"/>
  <c r="M1999" i="14"/>
  <c r="S1999" i="14" s="1"/>
  <c r="M2210" i="14"/>
  <c r="S2210" i="14" s="1"/>
  <c r="M2118" i="14"/>
  <c r="S2118" i="14" s="1"/>
  <c r="M2141" i="14"/>
  <c r="S2141" i="14" s="1"/>
  <c r="M2199" i="14"/>
  <c r="S2199" i="14" s="1"/>
  <c r="M2166" i="14"/>
  <c r="S2166" i="14" s="1"/>
  <c r="M2004" i="14"/>
  <c r="S2004" i="14" s="1"/>
  <c r="M2066" i="14"/>
  <c r="S2066" i="14" s="1"/>
  <c r="M2091" i="14"/>
  <c r="S2091" i="14" s="1"/>
  <c r="M2005" i="14"/>
  <c r="S2005" i="14" s="1"/>
  <c r="M2025" i="14"/>
  <c r="S2025" i="14" s="1"/>
  <c r="M2075" i="14"/>
  <c r="S2075" i="14" s="1"/>
  <c r="M2211" i="14"/>
  <c r="S2211" i="14" s="1"/>
  <c r="M2229" i="14"/>
  <c r="S2229" i="14" s="1"/>
  <c r="M2186" i="14"/>
  <c r="S2186" i="14" s="1"/>
  <c r="M2082" i="14"/>
  <c r="S2082" i="14" s="1"/>
  <c r="M2017" i="14"/>
  <c r="S2017" i="14" s="1"/>
  <c r="M1992" i="14"/>
  <c r="S1992" i="14" s="1"/>
  <c r="M2117" i="14"/>
  <c r="S2117" i="14" s="1"/>
  <c r="M2111" i="14"/>
  <c r="S2111" i="14" s="1"/>
  <c r="M2188" i="14"/>
  <c r="S2188" i="14" s="1"/>
  <c r="M2064" i="14"/>
  <c r="S2064" i="14" s="1"/>
  <c r="M2026" i="14"/>
  <c r="S2026" i="14" s="1"/>
  <c r="M2121" i="14"/>
  <c r="S2121" i="14" s="1"/>
  <c r="M2119" i="14"/>
  <c r="S2119" i="14" s="1"/>
  <c r="M2164" i="14"/>
  <c r="S2164" i="14" s="1"/>
  <c r="M2142" i="14"/>
  <c r="S2142" i="14" s="1"/>
  <c r="M2160" i="14"/>
  <c r="S2160" i="14" s="1"/>
  <c r="M2122" i="14"/>
  <c r="S2122" i="14" s="1"/>
  <c r="M2051" i="14"/>
  <c r="S2051" i="14" s="1"/>
  <c r="M1996" i="14"/>
  <c r="S1996" i="14" s="1"/>
  <c r="M2120" i="14"/>
  <c r="S2120" i="14" s="1"/>
  <c r="M2158" i="14"/>
  <c r="S2158" i="14" s="1"/>
  <c r="M2172" i="14"/>
  <c r="S2172" i="14" s="1"/>
  <c r="M2178" i="14"/>
  <c r="S2178" i="14" s="1"/>
  <c r="M2144" i="14"/>
  <c r="S2144" i="14" s="1"/>
  <c r="M2214" i="14"/>
  <c r="S2214" i="14" s="1"/>
  <c r="M2105" i="14"/>
  <c r="S2105" i="14" s="1"/>
  <c r="M2138" i="14"/>
  <c r="S2138" i="14" s="1"/>
  <c r="M2104" i="14"/>
  <c r="S2104" i="14" s="1"/>
  <c r="M2078" i="14"/>
  <c r="S2078" i="14" s="1"/>
  <c r="M2092" i="14"/>
  <c r="S2092" i="14" s="1"/>
  <c r="M2034" i="14"/>
  <c r="S2034" i="14" s="1"/>
  <c r="M2096" i="14"/>
  <c r="S2096" i="14" s="1"/>
  <c r="M2006" i="14"/>
  <c r="S2006" i="14" s="1"/>
  <c r="M2059" i="14"/>
  <c r="S2059" i="14" s="1"/>
  <c r="M2033" i="14"/>
  <c r="S2033" i="14" s="1"/>
  <c r="M2063" i="14"/>
  <c r="S2063" i="14" s="1"/>
  <c r="M2076" i="14"/>
  <c r="S2076" i="14" s="1"/>
  <c r="M2023" i="14"/>
  <c r="S2023" i="14" s="1"/>
  <c r="M2132" i="14"/>
  <c r="S2132" i="14" s="1"/>
  <c r="M2226" i="14"/>
  <c r="S2226" i="14" s="1"/>
  <c r="M2194" i="14"/>
  <c r="S2194" i="14" s="1"/>
  <c r="M2223" i="14"/>
  <c r="S2223" i="14" s="1"/>
  <c r="M2126" i="14"/>
  <c r="S2126" i="14" s="1"/>
  <c r="M2012" i="14"/>
  <c r="S2012" i="14" s="1"/>
  <c r="M1993" i="14"/>
  <c r="S1993" i="14" s="1"/>
  <c r="M2087" i="14"/>
  <c r="S2087" i="14" s="1"/>
  <c r="M2029" i="14"/>
  <c r="S2029" i="14" s="1"/>
  <c r="M2043" i="14"/>
  <c r="S2043" i="14" s="1"/>
  <c r="M2081" i="14"/>
  <c r="S2081" i="14" s="1"/>
  <c r="M2047" i="14"/>
  <c r="S2047" i="14" s="1"/>
  <c r="M2021" i="14"/>
  <c r="S2021" i="14" s="1"/>
  <c r="M2035" i="14"/>
  <c r="S2035" i="14" s="1"/>
  <c r="M2197" i="14"/>
  <c r="S2197" i="14" s="1"/>
  <c r="M2218" i="14"/>
  <c r="S2218" i="14" s="1"/>
  <c r="M2185" i="14"/>
  <c r="S2185" i="14" s="1"/>
  <c r="M2159" i="14"/>
  <c r="S2159" i="14" s="1"/>
  <c r="M2189" i="14"/>
  <c r="S2189" i="14" s="1"/>
  <c r="M2133" i="14"/>
  <c r="S2133" i="14" s="1"/>
  <c r="M2125" i="14"/>
  <c r="S2125" i="14" s="1"/>
  <c r="M2069" i="14"/>
  <c r="S2069" i="14" s="1"/>
  <c r="M2083" i="14"/>
  <c r="S2083" i="14" s="1"/>
  <c r="M2089" i="14"/>
  <c r="S2089" i="14" s="1"/>
  <c r="M2055" i="14"/>
  <c r="S2055" i="14" s="1"/>
  <c r="M1997" i="14"/>
  <c r="S1997" i="14" s="1"/>
  <c r="M2011" i="14"/>
  <c r="S2011" i="14" s="1"/>
  <c r="M2049" i="14"/>
  <c r="S2049" i="14" s="1"/>
  <c r="M2015" i="14"/>
  <c r="S2015" i="14" s="1"/>
  <c r="M1989" i="14"/>
  <c r="S1989" i="14" s="1"/>
  <c r="M2003" i="14"/>
  <c r="S2003" i="14" s="1"/>
  <c r="M2073" i="14"/>
  <c r="S2073" i="14" s="1"/>
  <c r="M2007" i="14"/>
  <c r="S2007" i="14" s="1"/>
  <c r="M2045" i="14"/>
  <c r="S2045" i="14" s="1"/>
  <c r="M1995" i="14"/>
  <c r="S1995" i="14" s="1"/>
  <c r="M2157" i="14"/>
  <c r="S2157" i="14" s="1"/>
  <c r="M2037" i="14"/>
  <c r="S2037" i="14" s="1"/>
  <c r="M2057" i="14"/>
  <c r="S2057" i="14" s="1"/>
  <c r="M2136" i="14"/>
  <c r="S2136" i="14" s="1"/>
  <c r="M1991" i="14"/>
  <c r="S1991" i="14" s="1"/>
  <c r="M2225" i="14"/>
  <c r="S2225" i="14" s="1"/>
  <c r="M2139" i="14"/>
  <c r="S2139" i="14" s="1"/>
  <c r="M2093" i="14"/>
  <c r="S2093" i="14" s="1"/>
  <c r="M1990" i="14"/>
  <c r="S1990" i="14" s="1"/>
  <c r="M2013" i="14"/>
  <c r="S2013" i="14" s="1"/>
  <c r="M2146" i="14"/>
  <c r="S2146" i="14" s="1"/>
  <c r="M2196" i="14"/>
  <c r="S2196" i="14" s="1"/>
  <c r="M2174" i="14"/>
  <c r="S2174" i="14" s="1"/>
  <c r="M2102" i="14"/>
  <c r="S2102" i="14" s="1"/>
  <c r="M2129" i="14"/>
  <c r="S2129" i="14" s="1"/>
  <c r="M2113" i="14"/>
  <c r="S2113" i="14" s="1"/>
  <c r="M2150" i="14"/>
  <c r="S2150" i="14" s="1"/>
  <c r="M2168" i="14"/>
  <c r="S2168" i="14" s="1"/>
  <c r="M2103" i="14"/>
  <c r="S2103" i="14" s="1"/>
  <c r="M2148" i="14"/>
  <c r="S2148" i="14" s="1"/>
  <c r="M2042" i="14"/>
  <c r="S2042" i="14" s="1"/>
  <c r="M2030" i="14"/>
  <c r="S2030" i="14" s="1"/>
  <c r="M2044" i="14"/>
  <c r="S2044" i="14" s="1"/>
  <c r="M2050" i="14"/>
  <c r="S2050" i="14" s="1"/>
  <c r="M2016" i="14"/>
  <c r="S2016" i="14" s="1"/>
  <c r="M2086" i="14"/>
  <c r="S2086" i="14" s="1"/>
  <c r="M2100" i="14"/>
  <c r="S2100" i="14" s="1"/>
  <c r="M2010" i="14"/>
  <c r="S2010" i="14" s="1"/>
  <c r="M2079" i="14"/>
  <c r="S2079" i="14" s="1"/>
  <c r="M2053" i="14"/>
  <c r="S2053" i="14" s="1"/>
  <c r="M2067" i="14"/>
  <c r="S2067" i="14" s="1"/>
  <c r="M2009" i="14"/>
  <c r="S2009" i="14" s="1"/>
  <c r="M2071" i="14"/>
  <c r="S2071" i="14" s="1"/>
  <c r="M2217" i="14"/>
  <c r="S2217" i="14" s="1"/>
  <c r="M2191" i="14"/>
  <c r="S2191" i="14" s="1"/>
  <c r="M2221" i="14"/>
  <c r="S2221" i="14" s="1"/>
  <c r="M2190" i="14"/>
  <c r="S2190" i="14" s="1"/>
  <c r="M2215" i="14"/>
  <c r="S2215" i="14" s="1"/>
  <c r="M2123" i="14"/>
  <c r="S2123" i="14" s="1"/>
  <c r="M2170" i="14"/>
  <c r="S2170" i="14" s="1"/>
  <c r="M2110" i="14"/>
  <c r="S2110" i="14" s="1"/>
  <c r="M2128" i="14"/>
  <c r="S2128" i="14" s="1"/>
  <c r="M2090" i="14"/>
  <c r="S2090" i="14" s="1"/>
  <c r="M1998" i="14"/>
  <c r="S1998" i="14" s="1"/>
  <c r="M2151" i="14"/>
  <c r="S2151" i="14" s="1"/>
  <c r="M2228" i="14"/>
  <c r="S2228" i="14" s="1"/>
  <c r="M2187" i="14"/>
  <c r="S2187" i="14" s="1"/>
  <c r="M2201" i="14"/>
  <c r="S2201" i="14" s="1"/>
  <c r="M2222" i="14"/>
  <c r="S2222" i="14" s="1"/>
  <c r="M2205" i="14"/>
  <c r="S2205" i="14" s="1"/>
  <c r="M2179" i="14"/>
  <c r="S2179" i="14" s="1"/>
  <c r="M2193" i="14"/>
  <c r="S2193" i="14" s="1"/>
  <c r="M2135" i="14"/>
  <c r="S2135" i="14" s="1"/>
  <c r="M2192" i="14"/>
  <c r="S2192" i="14" s="1"/>
  <c r="M2107" i="14"/>
  <c r="S2107" i="14" s="1"/>
  <c r="M2180" i="14"/>
  <c r="S2180" i="14" s="1"/>
  <c r="M2154" i="14"/>
  <c r="S2154" i="14" s="1"/>
  <c r="M2184" i="14"/>
  <c r="S2184" i="14" s="1"/>
  <c r="M2195" i="14"/>
  <c r="S2195" i="14" s="1"/>
  <c r="M2038" i="14"/>
  <c r="S2038" i="14" s="1"/>
  <c r="M2227" i="14"/>
  <c r="S2227" i="14" s="1"/>
  <c r="M2224" i="14"/>
  <c r="S2224" i="14" s="1"/>
  <c r="M2230" i="14"/>
  <c r="S2230" i="14" s="1"/>
  <c r="M2213" i="14"/>
  <c r="S2213" i="14" s="1"/>
  <c r="M2155" i="14"/>
  <c r="S2155" i="14" s="1"/>
  <c r="M2169" i="14"/>
  <c r="S2169" i="14" s="1"/>
  <c r="M2207" i="14"/>
  <c r="S2207" i="14" s="1"/>
  <c r="M2173" i="14"/>
  <c r="S2173" i="14" s="1"/>
  <c r="M2147" i="14"/>
  <c r="S2147" i="14" s="1"/>
  <c r="M2161" i="14"/>
  <c r="S2161" i="14" s="1"/>
  <c r="M2231" i="14"/>
  <c r="S2231" i="14" s="1"/>
  <c r="M2165" i="14"/>
  <c r="S2165" i="14" s="1"/>
  <c r="M2203" i="14"/>
  <c r="S2203" i="14" s="1"/>
  <c r="M2153" i="14"/>
  <c r="S2153" i="14" s="1"/>
  <c r="M2127" i="14"/>
  <c r="S2127" i="14" s="1"/>
  <c r="M2152" i="14"/>
  <c r="S2152" i="14" s="1"/>
  <c r="M2204" i="14"/>
  <c r="S2204" i="14" s="1"/>
  <c r="M2181" i="14"/>
  <c r="S2181" i="14" s="1"/>
  <c r="M2175" i="14"/>
  <c r="S2175" i="14" s="1"/>
  <c r="M2115" i="14"/>
  <c r="S2115" i="14" s="1"/>
  <c r="M2000" i="14"/>
  <c r="S2000" i="14" s="1"/>
  <c r="M2095" i="14"/>
  <c r="S2095" i="14" s="1"/>
  <c r="M2019" i="14"/>
  <c r="S2019" i="14" s="1"/>
  <c r="M2061" i="14"/>
  <c r="S2061" i="14" s="1"/>
  <c r="M2220" i="14"/>
  <c r="S2220" i="14" s="1"/>
  <c r="M2167" i="14"/>
  <c r="S2167" i="14" s="1"/>
  <c r="M2212" i="14"/>
  <c r="S2212" i="14" s="1"/>
  <c r="M2062" i="14"/>
  <c r="S2062" i="14" s="1"/>
  <c r="M2085" i="14"/>
  <c r="S2085" i="14" s="1"/>
  <c r="M2145" i="14"/>
  <c r="S2145" i="14" s="1"/>
  <c r="M2182" i="14"/>
  <c r="S2182" i="14" s="1"/>
  <c r="M2200" i="14"/>
  <c r="S2200" i="14" s="1"/>
  <c r="M2130" i="14"/>
  <c r="S2130" i="14" s="1"/>
  <c r="M2052" i="14"/>
  <c r="S2052" i="14" s="1"/>
  <c r="M2056" i="14"/>
  <c r="S2056" i="14" s="1"/>
  <c r="M2099" i="14"/>
  <c r="S2099" i="14" s="1"/>
  <c r="M2208" i="14"/>
  <c r="S2208" i="14" s="1"/>
  <c r="M2202" i="14"/>
  <c r="S2202" i="14" s="1"/>
  <c r="M2156" i="14"/>
  <c r="S2156" i="14" s="1"/>
  <c r="M2198" i="14"/>
  <c r="S2198" i="14" s="1"/>
  <c r="M2024" i="14"/>
  <c r="S2024" i="14" s="1"/>
  <c r="M2048" i="14"/>
  <c r="S2048" i="14" s="1"/>
  <c r="M2171" i="14"/>
  <c r="S2171" i="14" s="1"/>
  <c r="L372" i="10"/>
  <c r="U371" i="10"/>
  <c r="O2152" i="14"/>
  <c r="U2152" i="14" s="1"/>
  <c r="O2134" i="14"/>
  <c r="U2134" i="14" s="1"/>
  <c r="O2143" i="14"/>
  <c r="U2143" i="14" s="1"/>
  <c r="O2141" i="14"/>
  <c r="U2141" i="14" s="1"/>
  <c r="O2139" i="14"/>
  <c r="U2139" i="14" s="1"/>
  <c r="O1993" i="14"/>
  <c r="U1993" i="14" s="1"/>
  <c r="O2016" i="14"/>
  <c r="U2016" i="14" s="1"/>
  <c r="O2078" i="14"/>
  <c r="U2078" i="14" s="1"/>
  <c r="O2012" i="14"/>
  <c r="U2012" i="14" s="1"/>
  <c r="O2058" i="14"/>
  <c r="U2058" i="14" s="1"/>
  <c r="O2072" i="14"/>
  <c r="U2072" i="14" s="1"/>
  <c r="O2006" i="14"/>
  <c r="U2006" i="14" s="1"/>
  <c r="O2068" i="14"/>
  <c r="U2068" i="14" s="1"/>
  <c r="O2082" i="14"/>
  <c r="U2082" i="14" s="1"/>
  <c r="O2000" i="14"/>
  <c r="U2000" i="14" s="1"/>
  <c r="O2062" i="14"/>
  <c r="U2062" i="14" s="1"/>
  <c r="O2175" i="14"/>
  <c r="U2175" i="14" s="1"/>
  <c r="O2158" i="14"/>
  <c r="U2158" i="14" s="1"/>
  <c r="O2067" i="14"/>
  <c r="U2067" i="14" s="1"/>
  <c r="O2032" i="14"/>
  <c r="U2032" i="14" s="1"/>
  <c r="O2115" i="14"/>
  <c r="U2115" i="14" s="1"/>
  <c r="O2097" i="14"/>
  <c r="U2097" i="14" s="1"/>
  <c r="O2111" i="14"/>
  <c r="U2111" i="14" s="1"/>
  <c r="O2109" i="14"/>
  <c r="U2109" i="14" s="1"/>
  <c r="O2107" i="14"/>
  <c r="U2107" i="14" s="1"/>
  <c r="O2089" i="14"/>
  <c r="U2089" i="14" s="1"/>
  <c r="O2135" i="14"/>
  <c r="U2135" i="14" s="1"/>
  <c r="O2069" i="14"/>
  <c r="U2069" i="14" s="1"/>
  <c r="O2003" i="14"/>
  <c r="U2003" i="14" s="1"/>
  <c r="O2026" i="14"/>
  <c r="U2026" i="14" s="1"/>
  <c r="O2040" i="14"/>
  <c r="U2040" i="14" s="1"/>
  <c r="O2036" i="14"/>
  <c r="U2036" i="14" s="1"/>
  <c r="O2050" i="14"/>
  <c r="U2050" i="14" s="1"/>
  <c r="O2186" i="14"/>
  <c r="U2186" i="14" s="1"/>
  <c r="O2010" i="14"/>
  <c r="U2010" i="14" s="1"/>
  <c r="O2020" i="14"/>
  <c r="U2020" i="14" s="1"/>
  <c r="O2200" i="14"/>
  <c r="U2200" i="14" s="1"/>
  <c r="O2194" i="14"/>
  <c r="U2194" i="14" s="1"/>
  <c r="O2055" i="14"/>
  <c r="U2055" i="14" s="1"/>
  <c r="O2211" i="14"/>
  <c r="U2211" i="14" s="1"/>
  <c r="O2193" i="14"/>
  <c r="U2193" i="14" s="1"/>
  <c r="O2207" i="14"/>
  <c r="U2207" i="14" s="1"/>
  <c r="O2205" i="14"/>
  <c r="U2205" i="14" s="1"/>
  <c r="O2203" i="14"/>
  <c r="U2203" i="14" s="1"/>
  <c r="O2185" i="14"/>
  <c r="U2185" i="14" s="1"/>
  <c r="O2108" i="14"/>
  <c r="U2108" i="14" s="1"/>
  <c r="O2170" i="14"/>
  <c r="U2170" i="14" s="1"/>
  <c r="O2217" i="14"/>
  <c r="U2217" i="14" s="1"/>
  <c r="O2150" i="14"/>
  <c r="U2150" i="14" s="1"/>
  <c r="O2164" i="14"/>
  <c r="U2164" i="14" s="1"/>
  <c r="O2226" i="14"/>
  <c r="U2226" i="14" s="1"/>
  <c r="O2160" i="14"/>
  <c r="U2160" i="14" s="1"/>
  <c r="O2174" i="14"/>
  <c r="U2174" i="14" s="1"/>
  <c r="O2220" i="14"/>
  <c r="U2220" i="14" s="1"/>
  <c r="O2154" i="14"/>
  <c r="U2154" i="14" s="1"/>
  <c r="O2179" i="14"/>
  <c r="U2179" i="14" s="1"/>
  <c r="O2045" i="14"/>
  <c r="U2045" i="14" s="1"/>
  <c r="O2071" i="14"/>
  <c r="U2071" i="14" s="1"/>
  <c r="O2231" i="14"/>
  <c r="U2231" i="14" s="1"/>
  <c r="O2061" i="14"/>
  <c r="U2061" i="14" s="1"/>
  <c r="O1989" i="14"/>
  <c r="U1989" i="14" s="1"/>
  <c r="O1996" i="14"/>
  <c r="U1996" i="14" s="1"/>
  <c r="O2146" i="14"/>
  <c r="U2146" i="14" s="1"/>
  <c r="O2121" i="14"/>
  <c r="U2121" i="14" s="1"/>
  <c r="O2039" i="14"/>
  <c r="U2039" i="14" s="1"/>
  <c r="O2035" i="14"/>
  <c r="U2035" i="14" s="1"/>
  <c r="O2095" i="14"/>
  <c r="U2095" i="14" s="1"/>
  <c r="O2091" i="14"/>
  <c r="U2091" i="14" s="1"/>
  <c r="O2023" i="14"/>
  <c r="U2023" i="14" s="1"/>
  <c r="O2033" i="14"/>
  <c r="U2033" i="14" s="1"/>
  <c r="O2133" i="14"/>
  <c r="U2133" i="14" s="1"/>
  <c r="O2188" i="14"/>
  <c r="U2188" i="14" s="1"/>
  <c r="O2120" i="14"/>
  <c r="U2120" i="14" s="1"/>
  <c r="O2116" i="14"/>
  <c r="U2116" i="14" s="1"/>
  <c r="O2112" i="14"/>
  <c r="U2112" i="14" s="1"/>
  <c r="O2140" i="14"/>
  <c r="U2140" i="14" s="1"/>
  <c r="O2131" i="14"/>
  <c r="U2131" i="14" s="1"/>
  <c r="O2063" i="14"/>
  <c r="U2063" i="14" s="1"/>
  <c r="O2073" i="14"/>
  <c r="U2073" i="14" s="1"/>
  <c r="O2030" i="14"/>
  <c r="U2030" i="14" s="1"/>
  <c r="O2166" i="14"/>
  <c r="U2166" i="14" s="1"/>
  <c r="O2216" i="14"/>
  <c r="U2216" i="14" s="1"/>
  <c r="O2210" i="14"/>
  <c r="U2210" i="14" s="1"/>
  <c r="O2221" i="14"/>
  <c r="U2221" i="14" s="1"/>
  <c r="O2008" i="14"/>
  <c r="U2008" i="14" s="1"/>
  <c r="O2004" i="14"/>
  <c r="U2004" i="14" s="1"/>
  <c r="O1998" i="14"/>
  <c r="U1998" i="14" s="1"/>
  <c r="O2204" i="14"/>
  <c r="U2204" i="14" s="1"/>
  <c r="I2139" i="14"/>
  <c r="O2147" i="14"/>
  <c r="U2147" i="14" s="1"/>
  <c r="O2129" i="14"/>
  <c r="U2129" i="14" s="1"/>
  <c r="O2015" i="14"/>
  <c r="U2015" i="14" s="1"/>
  <c r="O2013" i="14"/>
  <c r="U2013" i="14" s="1"/>
  <c r="O2011" i="14"/>
  <c r="U2011" i="14" s="1"/>
  <c r="O2172" i="14"/>
  <c r="U2172" i="14" s="1"/>
  <c r="O2219" i="14"/>
  <c r="U2219" i="14" s="1"/>
  <c r="O2168" i="14"/>
  <c r="U2168" i="14" s="1"/>
  <c r="O2214" i="14"/>
  <c r="U2214" i="14" s="1"/>
  <c r="O2228" i="14"/>
  <c r="U2228" i="14" s="1"/>
  <c r="O2162" i="14"/>
  <c r="U2162" i="14" s="1"/>
  <c r="O2224" i="14"/>
  <c r="U2224" i="14" s="1"/>
  <c r="O2223" i="14"/>
  <c r="U2223" i="14" s="1"/>
  <c r="O2156" i="14"/>
  <c r="U2156" i="14" s="1"/>
  <c r="O2218" i="14"/>
  <c r="U2218" i="14" s="1"/>
  <c r="O2178" i="14"/>
  <c r="U2178" i="14" s="1"/>
  <c r="O2002" i="14"/>
  <c r="U2002" i="14" s="1"/>
  <c r="O2118" i="14"/>
  <c r="U2118" i="14" s="1"/>
  <c r="O1995" i="14"/>
  <c r="U1995" i="14" s="1"/>
  <c r="O2117" i="14"/>
  <c r="U2117" i="14" s="1"/>
  <c r="O2092" i="14"/>
  <c r="U2092" i="14" s="1"/>
  <c r="O2074" i="14"/>
  <c r="U2074" i="14" s="1"/>
  <c r="O2088" i="14"/>
  <c r="U2088" i="14" s="1"/>
  <c r="O2086" i="14"/>
  <c r="U2086" i="14" s="1"/>
  <c r="O2084" i="14"/>
  <c r="U2084" i="14" s="1"/>
  <c r="O2066" i="14"/>
  <c r="U2066" i="14" s="1"/>
  <c r="O2007" i="14"/>
  <c r="U2007" i="14" s="1"/>
  <c r="O2046" i="14"/>
  <c r="U2046" i="14" s="1"/>
  <c r="O2182" i="14"/>
  <c r="U2182" i="14" s="1"/>
  <c r="O2196" i="14"/>
  <c r="U2196" i="14" s="1"/>
  <c r="O2130" i="14"/>
  <c r="U2130" i="14" s="1"/>
  <c r="O2192" i="14"/>
  <c r="U2192" i="14" s="1"/>
  <c r="O2206" i="14"/>
  <c r="U2206" i="14" s="1"/>
  <c r="O2124" i="14"/>
  <c r="U2124" i="14" s="1"/>
  <c r="O2181" i="14"/>
  <c r="U2181" i="14" s="1"/>
  <c r="O2184" i="14"/>
  <c r="U2184" i="14" s="1"/>
  <c r="O2047" i="14"/>
  <c r="U2047" i="14" s="1"/>
  <c r="O2025" i="14"/>
  <c r="U2025" i="14" s="1"/>
  <c r="O2044" i="14"/>
  <c r="U2044" i="14" s="1"/>
  <c r="O2038" i="14"/>
  <c r="U2038" i="14" s="1"/>
  <c r="O2122" i="14"/>
  <c r="U2122" i="14" s="1"/>
  <c r="O2083" i="14"/>
  <c r="U2083" i="14" s="1"/>
  <c r="O2065" i="14"/>
  <c r="U2065" i="14" s="1"/>
  <c r="O2079" i="14"/>
  <c r="U2079" i="14" s="1"/>
  <c r="O2077" i="14"/>
  <c r="U2077" i="14" s="1"/>
  <c r="O2075" i="14"/>
  <c r="U2075" i="14" s="1"/>
  <c r="O2057" i="14"/>
  <c r="U2057" i="14" s="1"/>
  <c r="O2103" i="14"/>
  <c r="U2103" i="14" s="1"/>
  <c r="O2165" i="14"/>
  <c r="U2165" i="14" s="1"/>
  <c r="O2104" i="14"/>
  <c r="U2104" i="14" s="1"/>
  <c r="O2145" i="14"/>
  <c r="U2145" i="14" s="1"/>
  <c r="O2159" i="14"/>
  <c r="U2159" i="14" s="1"/>
  <c r="O2098" i="14"/>
  <c r="U2098" i="14" s="1"/>
  <c r="O2155" i="14"/>
  <c r="U2155" i="14" s="1"/>
  <c r="O2169" i="14"/>
  <c r="U2169" i="14" s="1"/>
  <c r="O2215" i="14"/>
  <c r="U2215" i="14" s="1"/>
  <c r="O2149" i="14"/>
  <c r="U2149" i="14" s="1"/>
  <c r="I2074" i="14"/>
  <c r="O2161" i="14"/>
  <c r="U2161" i="14" s="1"/>
  <c r="O2171" i="14"/>
  <c r="U2171" i="14" s="1"/>
  <c r="O2138" i="14"/>
  <c r="U2138" i="14" s="1"/>
  <c r="O2113" i="14"/>
  <c r="U2113" i="14" s="1"/>
  <c r="O2128" i="14"/>
  <c r="U2128" i="14" s="1"/>
  <c r="O2148" i="14"/>
  <c r="U2148" i="14" s="1"/>
  <c r="O2212" i="14"/>
  <c r="U2212" i="14" s="1"/>
  <c r="O1994" i="14"/>
  <c r="U1994" i="14" s="1"/>
  <c r="O2064" i="14"/>
  <c r="U2064" i="14" s="1"/>
  <c r="O2024" i="14"/>
  <c r="U2024" i="14" s="1"/>
  <c r="O2195" i="14"/>
  <c r="U2195" i="14" s="1"/>
  <c r="I2228" i="14"/>
  <c r="O2019" i="14"/>
  <c r="U2019" i="14" s="1"/>
  <c r="O2001" i="14"/>
  <c r="U2001" i="14" s="1"/>
  <c r="O1992" i="14"/>
  <c r="U1992" i="14" s="1"/>
  <c r="O1990" i="14"/>
  <c r="U1990" i="14" s="1"/>
  <c r="O2126" i="14"/>
  <c r="U2126" i="14" s="1"/>
  <c r="O2167" i="14"/>
  <c r="U2167" i="14" s="1"/>
  <c r="O2106" i="14"/>
  <c r="U2106" i="14" s="1"/>
  <c r="O2163" i="14"/>
  <c r="U2163" i="14" s="1"/>
  <c r="O2209" i="14"/>
  <c r="U2209" i="14" s="1"/>
  <c r="O2100" i="14"/>
  <c r="U2100" i="14" s="1"/>
  <c r="O2157" i="14"/>
  <c r="U2157" i="14" s="1"/>
  <c r="O2096" i="14"/>
  <c r="U2096" i="14" s="1"/>
  <c r="O2110" i="14"/>
  <c r="U2110" i="14" s="1"/>
  <c r="O2151" i="14"/>
  <c r="U2151" i="14" s="1"/>
  <c r="O2213" i="14"/>
  <c r="U2213" i="14" s="1"/>
  <c r="O2051" i="14"/>
  <c r="U2051" i="14" s="1"/>
  <c r="O2022" i="14"/>
  <c r="U2022" i="14" s="1"/>
  <c r="O2048" i="14"/>
  <c r="U2048" i="14" s="1"/>
  <c r="O1999" i="14"/>
  <c r="U1999" i="14" s="1"/>
  <c r="O2137" i="14"/>
  <c r="U2137" i="14" s="1"/>
  <c r="O2230" i="14"/>
  <c r="U2230" i="14" s="1"/>
  <c r="O2229" i="14"/>
  <c r="U2229" i="14" s="1"/>
  <c r="O2227" i="14"/>
  <c r="U2227" i="14" s="1"/>
  <c r="O2225" i="14"/>
  <c r="U2225" i="14" s="1"/>
  <c r="O2222" i="14"/>
  <c r="U2222" i="14" s="1"/>
  <c r="O2202" i="14"/>
  <c r="U2202" i="14" s="1"/>
  <c r="O2136" i="14"/>
  <c r="U2136" i="14" s="1"/>
  <c r="O2177" i="14"/>
  <c r="U2177" i="14" s="1"/>
  <c r="O2191" i="14"/>
  <c r="U2191" i="14" s="1"/>
  <c r="O2125" i="14"/>
  <c r="U2125" i="14" s="1"/>
  <c r="O2187" i="14"/>
  <c r="U2187" i="14" s="1"/>
  <c r="O2201" i="14"/>
  <c r="U2201" i="14" s="1"/>
  <c r="O2119" i="14"/>
  <c r="U2119" i="14" s="1"/>
  <c r="O2053" i="14"/>
  <c r="U2053" i="14" s="1"/>
  <c r="O2028" i="14"/>
  <c r="U2028" i="14" s="1"/>
  <c r="O2173" i="14"/>
  <c r="U2173" i="14" s="1"/>
  <c r="O2199" i="14"/>
  <c r="U2199" i="14" s="1"/>
  <c r="O2090" i="14"/>
  <c r="U2090" i="14" s="1"/>
  <c r="O2123" i="14"/>
  <c r="U2123" i="14" s="1"/>
  <c r="O2060" i="14"/>
  <c r="U2060" i="14" s="1"/>
  <c r="O2042" i="14"/>
  <c r="U2042" i="14" s="1"/>
  <c r="O2056" i="14"/>
  <c r="U2056" i="14" s="1"/>
  <c r="O2054" i="14"/>
  <c r="U2054" i="14" s="1"/>
  <c r="O2052" i="14"/>
  <c r="U2052" i="14" s="1"/>
  <c r="O2034" i="14"/>
  <c r="U2034" i="14" s="1"/>
  <c r="O2080" i="14"/>
  <c r="U2080" i="14" s="1"/>
  <c r="O2037" i="14"/>
  <c r="U2037" i="14" s="1"/>
  <c r="O2099" i="14"/>
  <c r="U2099" i="14" s="1"/>
  <c r="O2017" i="14"/>
  <c r="U2017" i="14" s="1"/>
  <c r="O2031" i="14"/>
  <c r="U2031" i="14" s="1"/>
  <c r="O2093" i="14"/>
  <c r="U2093" i="14" s="1"/>
  <c r="O2027" i="14"/>
  <c r="U2027" i="14" s="1"/>
  <c r="O2041" i="14"/>
  <c r="U2041" i="14" s="1"/>
  <c r="O2087" i="14"/>
  <c r="U2087" i="14" s="1"/>
  <c r="O2021" i="14"/>
  <c r="U2021" i="14" s="1"/>
  <c r="O2180" i="14"/>
  <c r="U2180" i="14" s="1"/>
  <c r="O2153" i="14"/>
  <c r="U2153" i="14" s="1"/>
  <c r="O2005" i="14"/>
  <c r="U2005" i="14" s="1"/>
  <c r="O2132" i="14"/>
  <c r="U2132" i="14" s="1"/>
  <c r="O2009" i="14"/>
  <c r="U2009" i="14" s="1"/>
  <c r="I2032" i="14"/>
  <c r="O2144" i="14"/>
  <c r="U2144" i="14" s="1"/>
  <c r="O2101" i="14"/>
  <c r="U2101" i="14" s="1"/>
  <c r="O2081" i="14"/>
  <c r="U2081" i="14" s="1"/>
  <c r="O2029" i="14"/>
  <c r="U2029" i="14" s="1"/>
  <c r="O2105" i="14"/>
  <c r="U2105" i="14" s="1"/>
  <c r="O2085" i="14"/>
  <c r="U2085" i="14" s="1"/>
  <c r="O2043" i="14"/>
  <c r="U2043" i="14" s="1"/>
  <c r="O2189" i="14"/>
  <c r="U2189" i="14" s="1"/>
  <c r="O2102" i="14"/>
  <c r="U2102" i="14" s="1"/>
  <c r="O2114" i="14"/>
  <c r="U2114" i="14" s="1"/>
  <c r="O2094" i="14"/>
  <c r="U2094" i="14" s="1"/>
  <c r="O2197" i="14"/>
  <c r="U2197" i="14" s="1"/>
  <c r="O2049" i="14"/>
  <c r="U2049" i="14" s="1"/>
  <c r="O1997" i="14"/>
  <c r="U1997" i="14" s="1"/>
  <c r="O2059" i="14"/>
  <c r="U2059" i="14" s="1"/>
  <c r="O1991" i="14"/>
  <c r="U1991" i="14" s="1"/>
  <c r="O2176" i="14"/>
  <c r="U2176" i="14" s="1"/>
  <c r="O2127" i="14"/>
  <c r="U2127" i="14" s="1"/>
  <c r="O2142" i="14"/>
  <c r="U2142" i="14" s="1"/>
  <c r="O2198" i="14"/>
  <c r="U2198" i="14" s="1"/>
  <c r="O2208" i="14"/>
  <c r="U2208" i="14" s="1"/>
  <c r="O2190" i="14"/>
  <c r="U2190" i="14" s="1"/>
  <c r="O2014" i="14"/>
  <c r="U2014" i="14" s="1"/>
  <c r="O2076" i="14"/>
  <c r="U2076" i="14" s="1"/>
  <c r="O2070" i="14"/>
  <c r="U2070" i="14" s="1"/>
  <c r="O2018" i="14"/>
  <c r="U2018" i="14" s="1"/>
  <c r="O2183" i="14"/>
  <c r="U2183" i="14" s="1"/>
  <c r="I2119" i="14"/>
  <c r="I2038" i="14"/>
  <c r="E2172" i="14" l="1"/>
  <c r="E2024" i="14"/>
  <c r="E2205" i="14"/>
  <c r="E2138" i="14"/>
  <c r="E2127" i="14"/>
  <c r="E2148" i="14"/>
  <c r="E2203" i="14"/>
  <c r="E2113" i="14"/>
  <c r="E2054" i="14"/>
  <c r="E2095" i="14"/>
  <c r="E2206" i="14"/>
  <c r="E2106" i="14"/>
  <c r="E2209" i="14"/>
  <c r="E2219" i="14"/>
  <c r="E2001" i="14"/>
  <c r="E2046" i="14"/>
  <c r="E2149" i="14"/>
  <c r="E2093" i="14"/>
  <c r="E2212" i="14"/>
  <c r="E2069" i="14"/>
  <c r="F2012" i="14"/>
  <c r="E2220" i="14"/>
  <c r="E2156" i="14"/>
  <c r="E2080" i="14"/>
  <c r="E2090" i="14"/>
  <c r="E2227" i="14"/>
  <c r="E2030" i="14"/>
  <c r="E2072" i="14"/>
  <c r="E2000" i="14"/>
  <c r="E1999" i="14"/>
  <c r="E2154" i="14"/>
  <c r="E1989" i="14"/>
  <c r="E2177" i="14"/>
  <c r="E2230" i="14"/>
  <c r="E2210" i="14"/>
  <c r="E2176" i="14"/>
  <c r="E2136" i="14"/>
  <c r="E2130" i="14"/>
  <c r="E2221" i="14"/>
  <c r="E1992" i="14"/>
  <c r="E2022" i="14"/>
  <c r="E2029" i="14"/>
  <c r="E2078" i="14"/>
  <c r="E2164" i="14"/>
  <c r="E2070" i="14"/>
  <c r="E2228" i="14"/>
  <c r="F2092" i="14"/>
  <c r="E2151" i="14"/>
  <c r="F2021" i="14"/>
  <c r="E2036" i="14"/>
  <c r="E2083" i="14"/>
  <c r="E2223" i="14"/>
  <c r="E2192" i="14"/>
  <c r="G2047" i="14"/>
  <c r="F2073" i="14"/>
  <c r="E2043" i="14"/>
  <c r="E2139" i="14"/>
  <c r="E2191" i="14"/>
  <c r="E2162" i="14"/>
  <c r="E2019" i="14"/>
  <c r="E1996" i="14"/>
  <c r="E2063" i="14"/>
  <c r="E2229" i="14"/>
  <c r="E2027" i="14"/>
  <c r="E2173" i="14"/>
  <c r="E2047" i="14"/>
  <c r="E2181" i="14"/>
  <c r="G2023" i="14"/>
  <c r="G2016" i="14"/>
  <c r="H2111" i="14"/>
  <c r="F2045" i="14"/>
  <c r="G2135" i="14"/>
  <c r="H2012" i="14"/>
  <c r="G2073" i="14"/>
  <c r="H2100" i="14"/>
  <c r="F1996" i="14"/>
  <c r="F2181" i="14"/>
  <c r="E2185" i="14"/>
  <c r="E1997" i="14"/>
  <c r="E2007" i="14"/>
  <c r="E2146" i="14"/>
  <c r="F1992" i="14"/>
  <c r="E2038" i="14"/>
  <c r="E1998" i="14"/>
  <c r="E2074" i="14"/>
  <c r="E2091" i="14"/>
  <c r="F2057" i="14"/>
  <c r="F2119" i="14"/>
  <c r="F2196" i="14"/>
  <c r="F2176" i="14"/>
  <c r="E2037" i="14"/>
  <c r="E2187" i="14"/>
  <c r="E2004" i="14"/>
  <c r="H2048" i="14"/>
  <c r="H2031" i="14"/>
  <c r="H2077" i="14"/>
  <c r="F2038" i="14"/>
  <c r="F2014" i="14"/>
  <c r="H2164" i="14"/>
  <c r="H2206" i="14"/>
  <c r="H2083" i="14"/>
  <c r="I2090" i="14"/>
  <c r="I2159" i="14"/>
  <c r="H2204" i="14"/>
  <c r="H2064" i="14"/>
  <c r="H2015" i="14"/>
  <c r="H2135" i="14"/>
  <c r="F2099" i="14"/>
  <c r="F2008" i="14"/>
  <c r="F2051" i="14"/>
  <c r="F2141" i="14"/>
  <c r="F2138" i="14"/>
  <c r="F2034" i="14"/>
  <c r="F1990" i="14"/>
  <c r="F2041" i="14"/>
  <c r="F2111" i="14"/>
  <c r="H2046" i="14"/>
  <c r="H2150" i="14"/>
  <c r="F2076" i="14"/>
  <c r="F2053" i="14"/>
  <c r="F2128" i="14"/>
  <c r="F2015" i="14"/>
  <c r="I2191" i="14"/>
  <c r="I2205" i="14"/>
  <c r="F2127" i="14"/>
  <c r="F2093" i="14"/>
  <c r="F2071" i="14"/>
  <c r="F2179" i="14"/>
  <c r="F2202" i="14"/>
  <c r="F2023" i="14"/>
  <c r="E2073" i="14"/>
  <c r="E2096" i="14"/>
  <c r="E2174" i="14"/>
  <c r="E2076" i="14"/>
  <c r="E2086" i="14"/>
  <c r="E2014" i="14"/>
  <c r="E2005" i="14"/>
  <c r="E2198" i="14"/>
  <c r="E2129" i="14"/>
  <c r="E2064" i="14"/>
  <c r="E2118" i="14"/>
  <c r="I2110" i="14"/>
  <c r="G2169" i="14"/>
  <c r="F2079" i="14"/>
  <c r="F2047" i="14"/>
  <c r="F2018" i="14"/>
  <c r="F2062" i="14"/>
  <c r="F2157" i="14"/>
  <c r="E2216" i="14"/>
  <c r="E2099" i="14"/>
  <c r="E2122" i="14"/>
  <c r="E2087" i="14"/>
  <c r="E2202" i="14"/>
  <c r="E2098" i="14"/>
  <c r="E2184" i="14"/>
  <c r="E2108" i="14"/>
  <c r="E2020" i="14"/>
  <c r="E2003" i="14"/>
  <c r="E2168" i="14"/>
  <c r="E2060" i="14"/>
  <c r="E2197" i="14"/>
  <c r="E2109" i="14"/>
  <c r="E2111" i="14"/>
  <c r="G1997" i="14"/>
  <c r="G2162" i="14"/>
  <c r="H2101" i="14"/>
  <c r="H2222" i="14"/>
  <c r="I2052" i="14"/>
  <c r="I2104" i="14"/>
  <c r="I1998" i="14"/>
  <c r="G2117" i="14"/>
  <c r="H2084" i="14"/>
  <c r="I2112" i="14"/>
  <c r="G2108" i="14"/>
  <c r="H2065" i="14"/>
  <c r="H2157" i="14"/>
  <c r="I2181" i="14"/>
  <c r="G2202" i="14"/>
  <c r="G2177" i="14"/>
  <c r="G2118" i="14"/>
  <c r="H2107" i="14"/>
  <c r="H2102" i="14"/>
  <c r="I2153" i="14"/>
  <c r="G2025" i="14"/>
  <c r="G2116" i="14"/>
  <c r="G2138" i="14"/>
  <c r="H2230" i="14"/>
  <c r="H2057" i="14"/>
  <c r="H2168" i="14"/>
  <c r="H2152" i="14"/>
  <c r="H2090" i="14"/>
  <c r="H2020" i="14"/>
  <c r="I2221" i="14"/>
  <c r="I2020" i="14"/>
  <c r="I2036" i="14"/>
  <c r="I2088" i="14"/>
  <c r="G2186" i="14"/>
  <c r="H2118" i="14"/>
  <c r="H2138" i="14"/>
  <c r="H2033" i="14"/>
  <c r="H2166" i="14"/>
  <c r="I2199" i="14"/>
  <c r="I1992" i="14"/>
  <c r="G2051" i="14"/>
  <c r="G2064" i="14"/>
  <c r="G2229" i="14"/>
  <c r="G2154" i="14"/>
  <c r="G1992" i="14"/>
  <c r="G2134" i="14"/>
  <c r="G2059" i="14"/>
  <c r="G2105" i="14"/>
  <c r="G2049" i="14"/>
  <c r="G2002" i="14"/>
  <c r="H1992" i="14"/>
  <c r="H2186" i="14"/>
  <c r="H2184" i="14"/>
  <c r="H2099" i="14"/>
  <c r="H2195" i="14"/>
  <c r="H2068" i="14"/>
  <c r="H2094" i="14"/>
  <c r="H1995" i="14"/>
  <c r="H2092" i="14"/>
  <c r="H2194" i="14"/>
  <c r="H2076" i="14"/>
  <c r="H2207" i="14"/>
  <c r="H2211" i="14"/>
  <c r="H2192" i="14"/>
  <c r="H2041" i="14"/>
  <c r="H2141" i="14"/>
  <c r="I2092" i="14"/>
  <c r="G2005" i="14"/>
  <c r="G2079" i="14"/>
  <c r="G2172" i="14"/>
  <c r="G2133" i="14"/>
  <c r="G2089" i="14"/>
  <c r="G2218" i="14"/>
  <c r="H2007" i="14"/>
  <c r="H2187" i="14"/>
  <c r="H2040" i="14"/>
  <c r="H2003" i="14"/>
  <c r="H2110" i="14"/>
  <c r="H2004" i="14"/>
  <c r="H2009" i="14"/>
  <c r="H2153" i="14"/>
  <c r="H2112" i="14"/>
  <c r="H2178" i="14"/>
  <c r="H1991" i="14"/>
  <c r="H2039" i="14"/>
  <c r="H2156" i="14"/>
  <c r="H2043" i="14"/>
  <c r="H2179" i="14"/>
  <c r="H2121" i="14"/>
  <c r="I2165" i="14"/>
  <c r="I2071" i="14"/>
  <c r="I2230" i="14"/>
  <c r="G2092" i="14"/>
  <c r="G2157" i="14"/>
  <c r="G2223" i="14"/>
  <c r="G2164" i="14"/>
  <c r="G2110" i="14"/>
  <c r="H2155" i="14"/>
  <c r="H2213" i="14"/>
  <c r="H2096" i="14"/>
  <c r="H2044" i="14"/>
  <c r="H2116" i="14"/>
  <c r="H2223" i="14"/>
  <c r="H2073" i="14"/>
  <c r="H2081" i="14"/>
  <c r="H2036" i="14"/>
  <c r="H2021" i="14"/>
  <c r="H2123" i="14"/>
  <c r="H2161" i="14"/>
  <c r="H2052" i="14"/>
  <c r="I2133" i="14"/>
  <c r="I2060" i="14"/>
  <c r="G2020" i="14"/>
  <c r="G2039" i="14"/>
  <c r="G2228" i="14"/>
  <c r="G2178" i="14"/>
  <c r="G2126" i="14"/>
  <c r="G2030" i="14"/>
  <c r="G2145" i="14"/>
  <c r="G2161" i="14"/>
  <c r="G2217" i="14"/>
  <c r="G2036" i="14"/>
  <c r="G1996" i="14"/>
  <c r="G2086" i="14"/>
  <c r="G2216" i="14"/>
  <c r="G2029" i="14"/>
  <c r="G2084" i="14"/>
  <c r="G2053" i="14"/>
  <c r="H2042" i="14"/>
  <c r="I2027" i="14"/>
  <c r="I2096" i="14"/>
  <c r="I1994" i="14"/>
  <c r="I2146" i="14"/>
  <c r="G2225" i="14"/>
  <c r="G2013" i="14"/>
  <c r="G2168" i="14"/>
  <c r="G2153" i="14"/>
  <c r="G2167" i="14"/>
  <c r="G2072" i="14"/>
  <c r="G2034" i="14"/>
  <c r="G2037" i="14"/>
  <c r="G2026" i="14"/>
  <c r="G2033" i="14"/>
  <c r="G2031" i="14"/>
  <c r="G2102" i="14"/>
  <c r="G2021" i="14"/>
  <c r="G2142" i="14"/>
  <c r="H2140" i="14"/>
  <c r="H2174" i="14"/>
  <c r="H2047" i="14"/>
  <c r="H2199" i="14"/>
  <c r="F1991" i="14"/>
  <c r="F2185" i="14"/>
  <c r="I2016" i="14"/>
  <c r="I2055" i="14"/>
  <c r="I2099" i="14"/>
  <c r="I2095" i="14"/>
  <c r="I2073" i="14"/>
  <c r="I2172" i="14"/>
  <c r="G2184" i="14"/>
  <c r="G2176" i="14"/>
  <c r="G2215" i="14"/>
  <c r="G2004" i="14"/>
  <c r="G2097" i="14"/>
  <c r="G2224" i="14"/>
  <c r="G2112" i="14"/>
  <c r="G2128" i="14"/>
  <c r="G2181" i="14"/>
  <c r="G2132" i="14"/>
  <c r="G2185" i="14"/>
  <c r="G2095" i="14"/>
  <c r="G2205" i="14"/>
  <c r="G2028" i="14"/>
  <c r="H2124" i="14"/>
  <c r="H2134" i="14"/>
  <c r="H2132" i="14"/>
  <c r="F2137" i="14"/>
  <c r="I2018" i="14"/>
  <c r="G2069" i="14"/>
  <c r="H2151" i="14"/>
  <c r="F2114" i="14"/>
  <c r="F2221" i="14"/>
  <c r="F2154" i="14"/>
  <c r="G2103" i="14"/>
  <c r="G2207" i="14"/>
  <c r="F2102" i="14"/>
  <c r="F2070" i="14"/>
  <c r="I2079" i="14"/>
  <c r="I2148" i="14"/>
  <c r="I2029" i="14"/>
  <c r="G2129" i="14"/>
  <c r="G1989" i="14"/>
  <c r="G2137" i="14"/>
  <c r="G2043" i="14"/>
  <c r="F2066" i="14"/>
  <c r="F2195" i="14"/>
  <c r="F2042" i="14"/>
  <c r="F2146" i="14"/>
  <c r="F2214" i="14"/>
  <c r="I2189" i="14"/>
  <c r="I2098" i="14"/>
  <c r="I2077" i="14"/>
  <c r="I2217" i="14"/>
  <c r="I2149" i="14"/>
  <c r="I2160" i="14"/>
  <c r="I2157" i="14"/>
  <c r="I2085" i="14"/>
  <c r="I2211" i="14"/>
  <c r="I2122" i="14"/>
  <c r="I2004" i="14"/>
  <c r="I2109" i="14"/>
  <c r="G2061" i="14"/>
  <c r="G2076" i="14"/>
  <c r="H2016" i="14"/>
  <c r="H2026" i="14"/>
  <c r="H2115" i="14"/>
  <c r="H2148" i="14"/>
  <c r="H2035" i="14"/>
  <c r="H2162" i="14"/>
  <c r="H2105" i="14"/>
  <c r="H2060" i="14"/>
  <c r="H2169" i="14"/>
  <c r="H2005" i="14"/>
  <c r="H2058" i="14"/>
  <c r="H2000" i="14"/>
  <c r="H2212" i="14"/>
  <c r="H2079" i="14"/>
  <c r="F2011" i="14"/>
  <c r="F2048" i="14"/>
  <c r="F2003" i="14"/>
  <c r="F2028" i="14"/>
  <c r="F2227" i="14"/>
  <c r="F2170" i="14"/>
  <c r="E2166" i="14"/>
  <c r="E2058" i="14"/>
  <c r="I2203" i="14"/>
  <c r="I2069" i="14"/>
  <c r="I2216" i="14"/>
  <c r="I2182" i="14"/>
  <c r="I2006" i="14"/>
  <c r="I2078" i="14"/>
  <c r="H2165" i="14"/>
  <c r="H2189" i="14"/>
  <c r="H2018" i="14"/>
  <c r="H2067" i="14"/>
  <c r="H2203" i="14"/>
  <c r="H2127" i="14"/>
  <c r="H2221" i="14"/>
  <c r="H2220" i="14"/>
  <c r="H2087" i="14"/>
  <c r="H2229" i="14"/>
  <c r="H2055" i="14"/>
  <c r="H2167" i="14"/>
  <c r="F1993" i="14"/>
  <c r="F2001" i="14"/>
  <c r="F2049" i="14"/>
  <c r="F2147" i="14"/>
  <c r="F2095" i="14"/>
  <c r="F2224" i="14"/>
  <c r="F2220" i="14"/>
  <c r="F2162" i="14"/>
  <c r="E2222" i="14"/>
  <c r="I2138" i="14"/>
  <c r="I2084" i="14"/>
  <c r="I1999" i="14"/>
  <c r="I2227" i="14"/>
  <c r="I2212" i="14"/>
  <c r="I2106" i="14"/>
  <c r="I2206" i="14"/>
  <c r="I2002" i="14"/>
  <c r="I2213" i="14"/>
  <c r="I2076" i="14"/>
  <c r="I2047" i="14"/>
  <c r="H2010" i="14"/>
  <c r="H2137" i="14"/>
  <c r="H2200" i="14"/>
  <c r="H2008" i="14"/>
  <c r="H2013" i="14"/>
  <c r="H2071" i="14"/>
  <c r="H2063" i="14"/>
  <c r="H2198" i="14"/>
  <c r="H2136" i="14"/>
  <c r="H2029" i="14"/>
  <c r="H2163" i="14"/>
  <c r="H2082" i="14"/>
  <c r="H2066" i="14"/>
  <c r="H2182" i="14"/>
  <c r="H2113" i="14"/>
  <c r="F2200" i="14"/>
  <c r="F2173" i="14"/>
  <c r="F2113" i="14"/>
  <c r="F2172" i="14"/>
  <c r="F2046" i="14"/>
  <c r="I2196" i="14"/>
  <c r="I2197" i="14"/>
  <c r="I2114" i="14"/>
  <c r="I2140" i="14"/>
  <c r="I2198" i="14"/>
  <c r="I2229" i="14"/>
  <c r="I2067" i="14"/>
  <c r="I2124" i="14"/>
  <c r="I2127" i="14"/>
  <c r="I2223" i="14"/>
  <c r="G2083" i="14"/>
  <c r="G2038" i="14"/>
  <c r="H2149" i="14"/>
  <c r="H1989" i="14"/>
  <c r="F2177" i="14"/>
  <c r="F2121" i="14"/>
  <c r="F2005" i="14"/>
  <c r="F2205" i="14"/>
  <c r="F2188" i="14"/>
  <c r="F2025" i="14"/>
  <c r="F2030" i="14"/>
  <c r="F2086" i="14"/>
  <c r="F2165" i="14"/>
  <c r="F2208" i="14"/>
  <c r="F2031" i="14"/>
  <c r="F2009" i="14"/>
  <c r="I2170" i="14"/>
  <c r="I2034" i="14"/>
  <c r="I1991" i="14"/>
  <c r="I1997" i="14"/>
  <c r="I2154" i="14"/>
  <c r="I2101" i="14"/>
  <c r="I2015" i="14"/>
  <c r="I2111" i="14"/>
  <c r="G2196" i="14"/>
  <c r="H2017" i="14"/>
  <c r="H2054" i="14"/>
  <c r="F2207" i="14"/>
  <c r="F2077" i="14"/>
  <c r="F2107" i="14"/>
  <c r="F2040" i="14"/>
  <c r="F2130" i="14"/>
  <c r="F2056" i="14"/>
  <c r="F2082" i="14"/>
  <c r="F2090" i="14"/>
  <c r="F2088" i="14"/>
  <c r="F2135" i="14"/>
  <c r="F2174" i="14"/>
  <c r="F2037" i="14"/>
  <c r="F2091" i="14"/>
  <c r="E2009" i="14"/>
  <c r="I2017" i="14"/>
  <c r="I2125" i="14"/>
  <c r="I2188" i="14"/>
  <c r="I2231" i="14"/>
  <c r="I2121" i="14"/>
  <c r="I2010" i="14"/>
  <c r="I2100" i="14"/>
  <c r="I2118" i="14"/>
  <c r="I2143" i="14"/>
  <c r="I2072" i="14"/>
  <c r="G2188" i="14"/>
  <c r="G2193" i="14"/>
  <c r="G2052" i="14"/>
  <c r="G2048" i="14"/>
  <c r="G2152" i="14"/>
  <c r="G2192" i="14"/>
  <c r="H2225" i="14"/>
  <c r="H2154" i="14"/>
  <c r="F2055" i="14"/>
  <c r="F2064" i="14"/>
  <c r="F2050" i="14"/>
  <c r="F2122" i="14"/>
  <c r="F2159" i="14"/>
  <c r="F2187" i="14"/>
  <c r="F2150" i="14"/>
  <c r="F2098" i="14"/>
  <c r="I2024" i="14"/>
  <c r="I1989" i="14"/>
  <c r="I2120" i="14"/>
  <c r="I2021" i="14"/>
  <c r="I2175" i="14"/>
  <c r="I2132" i="14"/>
  <c r="I2014" i="14"/>
  <c r="I2054" i="14"/>
  <c r="I2037" i="14"/>
  <c r="I2022" i="14"/>
  <c r="I2156" i="14"/>
  <c r="I2068" i="14"/>
  <c r="G2045" i="14"/>
  <c r="G2123" i="14"/>
  <c r="G2183" i="14"/>
  <c r="G2171" i="14"/>
  <c r="G2077" i="14"/>
  <c r="G2057" i="14"/>
  <c r="G2120" i="14"/>
  <c r="G2098" i="14"/>
  <c r="G2175" i="14"/>
  <c r="G2074" i="14"/>
  <c r="H2183" i="14"/>
  <c r="H2056" i="14"/>
  <c r="H2159" i="14"/>
  <c r="H2227" i="14"/>
  <c r="H2104" i="14"/>
  <c r="H2023" i="14"/>
  <c r="H2191" i="14"/>
  <c r="H2097" i="14"/>
  <c r="H2114" i="14"/>
  <c r="H2088" i="14"/>
  <c r="H2181" i="14"/>
  <c r="H2160" i="14"/>
  <c r="H2119" i="14"/>
  <c r="H2228" i="14"/>
  <c r="H2176" i="14"/>
  <c r="F2213" i="14"/>
  <c r="F2212" i="14"/>
  <c r="F2094" i="14"/>
  <c r="F2065" i="14"/>
  <c r="F2075" i="14"/>
  <c r="F2060" i="14"/>
  <c r="F2203" i="14"/>
  <c r="F2226" i="14"/>
  <c r="F2116" i="14"/>
  <c r="E2211" i="14"/>
  <c r="E2171" i="14"/>
  <c r="I2131" i="14"/>
  <c r="G2100" i="14"/>
  <c r="G2046" i="14"/>
  <c r="G2114" i="14"/>
  <c r="G2054" i="14"/>
  <c r="G2111" i="14"/>
  <c r="H2045" i="14"/>
  <c r="H2172" i="14"/>
  <c r="H1997" i="14"/>
  <c r="H2002" i="14"/>
  <c r="H2085" i="14"/>
  <c r="H2185" i="14"/>
  <c r="H2069" i="14"/>
  <c r="H2080" i="14"/>
  <c r="H2022" i="14"/>
  <c r="H2024" i="14"/>
  <c r="H2180" i="14"/>
  <c r="H2072" i="14"/>
  <c r="H2145" i="14"/>
  <c r="H2028" i="14"/>
  <c r="H2049" i="14"/>
  <c r="F2168" i="14"/>
  <c r="F2169" i="14"/>
  <c r="F2158" i="14"/>
  <c r="F2063" i="14"/>
  <c r="F2194" i="14"/>
  <c r="F2126" i="14"/>
  <c r="F2118" i="14"/>
  <c r="F2182" i="14"/>
  <c r="F2228" i="14"/>
  <c r="F2193" i="14"/>
  <c r="F2109" i="14"/>
  <c r="F2125" i="14"/>
  <c r="F2216" i="14"/>
  <c r="E2218" i="14"/>
  <c r="E2012" i="14"/>
  <c r="I2065" i="14"/>
  <c r="I2057" i="14"/>
  <c r="I2209" i="14"/>
  <c r="I2152" i="14"/>
  <c r="I2050" i="14"/>
  <c r="I2023" i="14"/>
  <c r="I2107" i="14"/>
  <c r="I2039" i="14"/>
  <c r="I2115" i="14"/>
  <c r="I2183" i="14"/>
  <c r="I2045" i="14"/>
  <c r="I2202" i="14"/>
  <c r="I2105" i="14"/>
  <c r="I2012" i="14"/>
  <c r="I2019" i="14"/>
  <c r="I2000" i="14"/>
  <c r="G2146" i="14"/>
  <c r="G2179" i="14"/>
  <c r="G2131" i="14"/>
  <c r="G1994" i="14"/>
  <c r="G2208" i="14"/>
  <c r="G2107" i="14"/>
  <c r="G2130" i="14"/>
  <c r="G2187" i="14"/>
  <c r="G2067" i="14"/>
  <c r="G2058" i="14"/>
  <c r="G2041" i="14"/>
  <c r="G2141" i="14"/>
  <c r="G2143" i="14"/>
  <c r="G2096" i="14"/>
  <c r="H2037" i="14"/>
  <c r="H2210" i="14"/>
  <c r="H2108" i="14"/>
  <c r="H1990" i="14"/>
  <c r="H2219" i="14"/>
  <c r="H2130" i="14"/>
  <c r="H2125" i="14"/>
  <c r="H2173" i="14"/>
  <c r="H2226" i="14"/>
  <c r="H2053" i="14"/>
  <c r="H2216" i="14"/>
  <c r="H2032" i="14"/>
  <c r="H2011" i="14"/>
  <c r="H2196" i="14"/>
  <c r="F2167" i="14"/>
  <c r="F2144" i="14"/>
  <c r="F2148" i="14"/>
  <c r="F2103" i="14"/>
  <c r="F2209" i="14"/>
  <c r="F2054" i="14"/>
  <c r="F2022" i="14"/>
  <c r="F2149" i="14"/>
  <c r="F2231" i="14"/>
  <c r="F2132" i="14"/>
  <c r="F2156" i="14"/>
  <c r="F2017" i="14"/>
  <c r="F2007" i="14"/>
  <c r="F2087" i="14"/>
  <c r="F1998" i="14"/>
  <c r="F2117" i="14"/>
  <c r="F2225" i="14"/>
  <c r="E2085" i="14"/>
  <c r="E2200" i="14"/>
  <c r="I2097" i="14"/>
  <c r="I2207" i="14"/>
  <c r="I2089" i="14"/>
  <c r="I2169" i="14"/>
  <c r="I2161" i="14"/>
  <c r="I2194" i="14"/>
  <c r="I2028" i="14"/>
  <c r="I2145" i="14"/>
  <c r="I2136" i="14"/>
  <c r="I2130" i="14"/>
  <c r="I2225" i="14"/>
  <c r="I2044" i="14"/>
  <c r="I2102" i="14"/>
  <c r="I2082" i="14"/>
  <c r="I2134" i="14"/>
  <c r="G2180" i="14"/>
  <c r="G2206" i="14"/>
  <c r="G2211" i="14"/>
  <c r="G2119" i="14"/>
  <c r="G1995" i="14"/>
  <c r="G2136" i="14"/>
  <c r="G2081" i="14"/>
  <c r="G2214" i="14"/>
  <c r="G2219" i="14"/>
  <c r="G2018" i="14"/>
  <c r="G2165" i="14"/>
  <c r="G2091" i="14"/>
  <c r="G2213" i="14"/>
  <c r="G2198" i="14"/>
  <c r="G2017" i="14"/>
  <c r="G2122" i="14"/>
  <c r="G2006" i="14"/>
  <c r="H2218" i="14"/>
  <c r="F2218" i="14"/>
  <c r="F2215" i="14"/>
  <c r="F2032" i="14"/>
  <c r="F2206" i="14"/>
  <c r="F2052" i="14"/>
  <c r="F2020" i="14"/>
  <c r="F2210" i="14"/>
  <c r="F2204" i="14"/>
  <c r="F1989" i="14"/>
  <c r="F1997" i="14"/>
  <c r="F2074" i="14"/>
  <c r="F2136" i="14"/>
  <c r="J2136" i="14" s="1"/>
  <c r="F2192" i="14"/>
  <c r="F2131" i="14"/>
  <c r="F2033" i="14"/>
  <c r="E2163" i="14"/>
  <c r="E2071" i="14"/>
  <c r="E2147" i="14"/>
  <c r="E2067" i="14"/>
  <c r="E2065" i="14"/>
  <c r="I2007" i="14"/>
  <c r="I2144" i="14"/>
  <c r="I2051" i="14"/>
  <c r="I2123" i="14"/>
  <c r="I2158" i="14"/>
  <c r="I2080" i="14"/>
  <c r="I2031" i="14"/>
  <c r="I2026" i="14"/>
  <c r="I2108" i="14"/>
  <c r="I2005" i="14"/>
  <c r="I2220" i="14"/>
  <c r="I2190" i="14"/>
  <c r="I2013" i="14"/>
  <c r="I2168" i="14"/>
  <c r="G2197" i="14"/>
  <c r="G2166" i="14"/>
  <c r="G2173" i="14"/>
  <c r="G2158" i="14"/>
  <c r="G1993" i="14"/>
  <c r="G2163" i="14"/>
  <c r="G2221" i="14"/>
  <c r="G2210" i="14"/>
  <c r="G2200" i="14"/>
  <c r="G2062" i="14"/>
  <c r="G2050" i="14"/>
  <c r="G2209" i="14"/>
  <c r="G2093" i="14"/>
  <c r="G2022" i="14"/>
  <c r="G2014" i="14"/>
  <c r="H2091" i="14"/>
  <c r="H2019" i="14"/>
  <c r="F2145" i="14"/>
  <c r="F2178" i="14"/>
  <c r="F1994" i="14"/>
  <c r="F2199" i="14"/>
  <c r="F2219" i="14"/>
  <c r="F2191" i="14"/>
  <c r="F2110" i="14"/>
  <c r="F2058" i="14"/>
  <c r="F2104" i="14"/>
  <c r="F2029" i="14"/>
  <c r="F2201" i="14"/>
  <c r="F2143" i="14"/>
  <c r="F2044" i="14"/>
  <c r="F2151" i="14"/>
  <c r="E2188" i="14"/>
  <c r="E2025" i="14"/>
  <c r="E2190" i="14"/>
  <c r="E1991" i="14"/>
  <c r="I2008" i="14"/>
  <c r="I2087" i="14"/>
  <c r="I2056" i="14"/>
  <c r="I1990" i="14"/>
  <c r="I2164" i="14"/>
  <c r="I2163" i="14"/>
  <c r="I2187" i="14"/>
  <c r="I1995" i="14"/>
  <c r="I2128" i="14"/>
  <c r="I2224" i="14"/>
  <c r="G2170" i="14"/>
  <c r="G2009" i="14"/>
  <c r="G2148" i="14"/>
  <c r="G2106" i="14"/>
  <c r="G1998" i="14"/>
  <c r="G2078" i="14"/>
  <c r="G2194" i="14"/>
  <c r="G2094" i="14"/>
  <c r="G2124" i="14"/>
  <c r="G2113" i="14"/>
  <c r="G2189" i="14"/>
  <c r="G2099" i="14"/>
  <c r="G2070" i="14"/>
  <c r="G2201" i="14"/>
  <c r="G2115" i="14"/>
  <c r="G2010" i="14"/>
  <c r="G2001" i="14"/>
  <c r="H1994" i="14"/>
  <c r="H2078" i="14"/>
  <c r="H2214" i="14"/>
  <c r="H2142" i="14"/>
  <c r="F2129" i="14"/>
  <c r="F2171" i="14"/>
  <c r="F2069" i="14"/>
  <c r="F2083" i="14"/>
  <c r="F2089" i="14"/>
  <c r="F2229" i="14"/>
  <c r="F2153" i="14"/>
  <c r="F2197" i="14"/>
  <c r="F2010" i="14"/>
  <c r="F2189" i="14"/>
  <c r="F2161" i="14"/>
  <c r="F2134" i="14"/>
  <c r="F2166" i="14"/>
  <c r="F2180" i="14"/>
  <c r="F2013" i="14"/>
  <c r="E2028" i="14"/>
  <c r="E2144" i="14"/>
  <c r="V2077" i="14"/>
  <c r="A2077" i="14" s="1"/>
  <c r="V2134" i="14"/>
  <c r="A2134" i="14" s="1"/>
  <c r="V2115" i="14"/>
  <c r="A2115" i="14" s="1"/>
  <c r="V2049" i="14"/>
  <c r="A2049" i="14" s="1"/>
  <c r="V2044" i="14"/>
  <c r="A2044" i="14" s="1"/>
  <c r="V2018" i="14"/>
  <c r="A2018" i="14" s="1"/>
  <c r="V2213" i="14"/>
  <c r="A2213" i="14" s="1"/>
  <c r="V2153" i="14"/>
  <c r="A2153" i="14" s="1"/>
  <c r="V2107" i="14"/>
  <c r="A2107" i="14" s="1"/>
  <c r="V2028" i="14"/>
  <c r="A2028" i="14" s="1"/>
  <c r="V2041" i="14"/>
  <c r="A2041" i="14" s="1"/>
  <c r="V2114" i="14"/>
  <c r="A2114" i="14" s="1"/>
  <c r="V2189" i="14"/>
  <c r="A2189" i="14" s="1"/>
  <c r="V2165" i="14"/>
  <c r="A2165" i="14" s="1"/>
  <c r="V2102" i="14"/>
  <c r="A2102" i="14" s="1"/>
  <c r="V2211" i="14"/>
  <c r="A2211" i="14" s="1"/>
  <c r="I2166" i="14"/>
  <c r="I2129" i="14"/>
  <c r="I2126" i="14"/>
  <c r="M372" i="10"/>
  <c r="V371" i="10"/>
  <c r="V2175" i="14"/>
  <c r="A2175" i="14" s="1"/>
  <c r="V2188" i="14"/>
  <c r="A2188" i="14" s="1"/>
  <c r="V2144" i="14"/>
  <c r="A2144" i="14" s="1"/>
  <c r="V1993" i="14"/>
  <c r="A1993" i="14" s="1"/>
  <c r="V1991" i="14"/>
  <c r="A1991" i="14" s="1"/>
  <c r="V2141" i="14"/>
  <c r="A2141" i="14" s="1"/>
  <c r="V2012" i="14"/>
  <c r="A2012" i="14" s="1"/>
  <c r="V2218" i="14"/>
  <c r="A2218" i="14" s="1"/>
  <c r="V1995" i="14"/>
  <c r="A1995" i="14" s="1"/>
  <c r="V1990" i="14"/>
  <c r="A1990" i="14" s="1"/>
  <c r="V2126" i="14"/>
  <c r="A2126" i="14" s="1"/>
  <c r="V2026" i="14"/>
  <c r="A2026" i="14" s="1"/>
  <c r="V2089" i="14"/>
  <c r="A2089" i="14" s="1"/>
  <c r="V2065" i="14"/>
  <c r="A2065" i="14" s="1"/>
  <c r="V2017" i="14"/>
  <c r="A2017" i="14" s="1"/>
  <c r="V2068" i="14"/>
  <c r="A2068" i="14" s="1"/>
  <c r="V2214" i="14"/>
  <c r="A2214" i="14" s="1"/>
  <c r="V2200" i="14"/>
  <c r="A2200" i="14" s="1"/>
  <c r="V2125" i="14"/>
  <c r="A2125" i="14" s="1"/>
  <c r="V2147" i="14"/>
  <c r="A2147" i="14" s="1"/>
  <c r="V2224" i="14"/>
  <c r="A2224" i="14" s="1"/>
  <c r="V2133" i="14"/>
  <c r="A2133" i="14" s="1"/>
  <c r="V2215" i="14"/>
  <c r="A2215" i="14" s="1"/>
  <c r="V2021" i="14"/>
  <c r="A2021" i="14" s="1"/>
  <c r="V2135" i="14"/>
  <c r="A2135" i="14" s="1"/>
  <c r="V2155" i="14"/>
  <c r="A2155" i="14" s="1"/>
  <c r="V2104" i="14"/>
  <c r="A2104" i="14" s="1"/>
  <c r="V2171" i="14"/>
  <c r="A2171" i="14" s="1"/>
  <c r="I2049" i="14"/>
  <c r="I2103" i="14"/>
  <c r="I2155" i="14"/>
  <c r="I2200" i="14"/>
  <c r="I2142" i="14"/>
  <c r="I2070" i="14"/>
  <c r="I2033" i="14"/>
  <c r="I2041" i="14"/>
  <c r="I2180" i="14"/>
  <c r="I2025" i="14"/>
  <c r="I2208" i="14"/>
  <c r="I2091" i="14"/>
  <c r="I2043" i="14"/>
  <c r="I2210" i="14"/>
  <c r="I2030" i="14"/>
  <c r="I2193" i="14"/>
  <c r="I2176" i="14"/>
  <c r="I2135" i="14"/>
  <c r="I2063" i="14"/>
  <c r="I2093" i="14"/>
  <c r="I2009" i="14"/>
  <c r="I2137" i="14"/>
  <c r="I2053" i="14"/>
  <c r="I2201" i="14"/>
  <c r="I2061" i="14"/>
  <c r="I2162" i="14"/>
  <c r="I2058" i="14"/>
  <c r="I2147" i="14"/>
  <c r="I2117" i="14"/>
  <c r="I2066" i="14"/>
  <c r="I1993" i="14"/>
  <c r="L373" i="10"/>
  <c r="U372" i="10"/>
  <c r="G2204" i="14"/>
  <c r="G2055" i="14"/>
  <c r="G2042" i="14"/>
  <c r="G2075" i="14"/>
  <c r="G2066" i="14"/>
  <c r="G2068" i="14"/>
  <c r="G2024" i="14"/>
  <c r="G2071" i="14"/>
  <c r="G2195" i="14"/>
  <c r="G1990" i="14"/>
  <c r="G2231" i="14"/>
  <c r="G2080" i="14"/>
  <c r="G2149" i="14"/>
  <c r="G2156" i="14"/>
  <c r="G1991" i="14"/>
  <c r="G2104" i="14"/>
  <c r="G1999" i="14"/>
  <c r="G2027" i="14"/>
  <c r="G2087" i="14"/>
  <c r="G2040" i="14"/>
  <c r="G2155" i="14"/>
  <c r="G2063" i="14"/>
  <c r="G2226" i="14"/>
  <c r="H2146" i="14"/>
  <c r="H2188" i="14"/>
  <c r="H2122" i="14"/>
  <c r="H2193" i="14"/>
  <c r="H2027" i="14"/>
  <c r="H2224" i="14"/>
  <c r="H2139" i="14"/>
  <c r="H2171" i="14"/>
  <c r="H2158" i="14"/>
  <c r="H2086" i="14"/>
  <c r="H2014" i="14"/>
  <c r="H2190" i="14"/>
  <c r="H2098" i="14"/>
  <c r="H2231" i="14"/>
  <c r="H2050" i="14"/>
  <c r="H2208" i="14"/>
  <c r="H2215" i="14"/>
  <c r="H2209" i="14"/>
  <c r="H2006" i="14"/>
  <c r="F2002" i="14"/>
  <c r="F2096" i="14"/>
  <c r="F2059" i="14"/>
  <c r="F2100" i="14"/>
  <c r="F2160" i="14"/>
  <c r="F2190" i="14"/>
  <c r="F2043" i="14"/>
  <c r="F2084" i="14"/>
  <c r="F2026" i="14"/>
  <c r="F2120" i="14"/>
  <c r="F2230" i="14"/>
  <c r="F2072" i="14"/>
  <c r="F2067" i="14"/>
  <c r="F2080" i="14"/>
  <c r="F2155" i="14"/>
  <c r="F2152" i="14"/>
  <c r="F2016" i="14"/>
  <c r="F2105" i="14"/>
  <c r="F2078" i="14"/>
  <c r="F2112" i="14"/>
  <c r="F2039" i="14"/>
  <c r="F2004" i="14"/>
  <c r="F2164" i="14"/>
  <c r="F2068" i="14"/>
  <c r="E2155" i="14"/>
  <c r="E2044" i="14"/>
  <c r="E2215" i="14"/>
  <c r="E2214" i="14"/>
  <c r="E2213" i="14"/>
  <c r="E1990" i="14"/>
  <c r="E2199" i="14"/>
  <c r="E2017" i="14"/>
  <c r="E2140" i="14"/>
  <c r="E2048" i="14"/>
  <c r="E2165" i="14"/>
  <c r="E2021" i="14"/>
  <c r="E2006" i="14"/>
  <c r="V1992" i="14"/>
  <c r="A1992" i="14" s="1"/>
  <c r="V2227" i="14"/>
  <c r="A2227" i="14" s="1"/>
  <c r="V2128" i="14"/>
  <c r="A2128" i="14" s="1"/>
  <c r="V2130" i="14"/>
  <c r="A2130" i="14" s="1"/>
  <c r="V2202" i="14"/>
  <c r="A2202" i="14" s="1"/>
  <c r="V2187" i="14"/>
  <c r="A2187" i="14" s="1"/>
  <c r="V1996" i="14"/>
  <c r="A1996" i="14" s="1"/>
  <c r="V2091" i="14"/>
  <c r="A2091" i="14" s="1"/>
  <c r="V2168" i="14"/>
  <c r="A2168" i="14" s="1"/>
  <c r="V2086" i="14"/>
  <c r="A2086" i="14" s="1"/>
  <c r="V2036" i="14"/>
  <c r="A2036" i="14" s="1"/>
  <c r="V2184" i="14"/>
  <c r="A2184" i="14" s="1"/>
  <c r="V2038" i="14"/>
  <c r="A2038" i="14" s="1"/>
  <c r="V2014" i="14"/>
  <c r="A2014" i="14" s="1"/>
  <c r="V2146" i="14"/>
  <c r="A2146" i="14" s="1"/>
  <c r="V2087" i="14"/>
  <c r="A2087" i="14" s="1"/>
  <c r="V2060" i="14"/>
  <c r="A2060" i="14" s="1"/>
  <c r="V2004" i="14"/>
  <c r="A2004" i="14" s="1"/>
  <c r="V2076" i="14"/>
  <c r="A2076" i="14" s="1"/>
  <c r="V2020" i="14"/>
  <c r="A2020" i="14" s="1"/>
  <c r="V2064" i="14"/>
  <c r="A2064" i="14" s="1"/>
  <c r="V2228" i="14"/>
  <c r="A2228" i="14" s="1"/>
  <c r="V2185" i="14"/>
  <c r="A2185" i="14" s="1"/>
  <c r="V2111" i="14"/>
  <c r="A2111" i="14" s="1"/>
  <c r="V2198" i="14"/>
  <c r="A2198" i="14" s="1"/>
  <c r="V1997" i="14"/>
  <c r="A1997" i="14" s="1"/>
  <c r="V2019" i="14"/>
  <c r="A2019" i="14" s="1"/>
  <c r="V2096" i="14"/>
  <c r="A2096" i="14" s="1"/>
  <c r="V2005" i="14"/>
  <c r="A2005" i="14" s="1"/>
  <c r="V2109" i="14"/>
  <c r="A2109" i="14" s="1"/>
  <c r="V2192" i="14"/>
  <c r="A2192" i="14" s="1"/>
  <c r="V1998" i="14"/>
  <c r="A1998" i="14" s="1"/>
  <c r="V2061" i="14"/>
  <c r="A2061" i="14" s="1"/>
  <c r="V2037" i="14"/>
  <c r="A2037" i="14" s="1"/>
  <c r="V2007" i="14"/>
  <c r="A2007" i="14" s="1"/>
  <c r="V2074" i="14"/>
  <c r="A2074" i="14" s="1"/>
  <c r="V2083" i="14"/>
  <c r="A2083" i="14" s="1"/>
  <c r="V2027" i="14"/>
  <c r="A2027" i="14" s="1"/>
  <c r="V2099" i="14"/>
  <c r="A2099" i="14" s="1"/>
  <c r="V2043" i="14"/>
  <c r="A2043" i="14" s="1"/>
  <c r="V2229" i="14"/>
  <c r="A2229" i="14" s="1"/>
  <c r="V2129" i="14"/>
  <c r="A2129" i="14" s="1"/>
  <c r="V2073" i="14"/>
  <c r="A2073" i="14" s="1"/>
  <c r="V2139" i="14"/>
  <c r="A2139" i="14" s="1"/>
  <c r="V2216" i="14"/>
  <c r="A2216" i="14" s="1"/>
  <c r="V2174" i="14"/>
  <c r="A2174" i="14" s="1"/>
  <c r="V2003" i="14"/>
  <c r="A2003" i="14" s="1"/>
  <c r="V2122" i="14"/>
  <c r="A2122" i="14" s="1"/>
  <c r="V2162" i="14"/>
  <c r="A2162" i="14" s="1"/>
  <c r="V2100" i="14"/>
  <c r="A2100" i="14" s="1"/>
  <c r="V2108" i="14"/>
  <c r="A2108" i="14" s="1"/>
  <c r="V2191" i="14"/>
  <c r="A2191" i="14" s="1"/>
  <c r="V2047" i="14"/>
  <c r="A2047" i="14" s="1"/>
  <c r="V2151" i="14"/>
  <c r="A2151" i="14" s="1"/>
  <c r="V2132" i="14"/>
  <c r="A2132" i="14" s="1"/>
  <c r="V2118" i="14"/>
  <c r="A2118" i="14" s="1"/>
  <c r="V2063" i="14"/>
  <c r="A2063" i="14" s="1"/>
  <c r="V2181" i="14"/>
  <c r="A2181" i="14" s="1"/>
  <c r="V2098" i="14"/>
  <c r="A2098" i="14" s="1"/>
  <c r="V2197" i="14"/>
  <c r="A2197" i="14" s="1"/>
  <c r="V2173" i="14"/>
  <c r="A2173" i="14" s="1"/>
  <c r="V2101" i="14"/>
  <c r="A2101" i="14" s="1"/>
  <c r="V2140" i="14"/>
  <c r="A2140" i="14" s="1"/>
  <c r="V2084" i="14"/>
  <c r="A2084" i="14" s="1"/>
  <c r="V2190" i="14"/>
  <c r="A2190" i="14" s="1"/>
  <c r="V2066" i="14"/>
  <c r="A2066" i="14" s="1"/>
  <c r="V2217" i="14"/>
  <c r="A2217" i="14" s="1"/>
  <c r="I2150" i="14"/>
  <c r="I2174" i="14"/>
  <c r="I2179" i="14"/>
  <c r="I2171" i="14"/>
  <c r="I2046" i="14"/>
  <c r="I2059" i="14"/>
  <c r="I2184" i="14"/>
  <c r="I2204" i="14"/>
  <c r="I2011" i="14"/>
  <c r="I2214" i="14"/>
  <c r="G2150" i="14"/>
  <c r="G2203" i="14"/>
  <c r="G2101" i="14"/>
  <c r="G2151" i="14"/>
  <c r="G2199" i="14"/>
  <c r="G2109" i="14"/>
  <c r="G2032" i="14"/>
  <c r="G2060" i="14"/>
  <c r="G2125" i="14"/>
  <c r="G2035" i="14"/>
  <c r="G2000" i="14"/>
  <c r="G2121" i="14"/>
  <c r="G2088" i="14"/>
  <c r="G2012" i="14"/>
  <c r="G2144" i="14"/>
  <c r="H2175" i="14"/>
  <c r="H2147" i="14"/>
  <c r="H2117" i="14"/>
  <c r="H2038" i="14"/>
  <c r="H2131" i="14"/>
  <c r="H2106" i="14"/>
  <c r="H1998" i="14"/>
  <c r="H2089" i="14"/>
  <c r="H1999" i="14"/>
  <c r="H1996" i="14"/>
  <c r="H2144" i="14"/>
  <c r="H2177" i="14"/>
  <c r="H2126" i="14"/>
  <c r="F2163" i="14"/>
  <c r="F2085" i="14"/>
  <c r="F2061" i="14"/>
  <c r="F2035" i="14"/>
  <c r="F2108" i="14"/>
  <c r="F2183" i="14"/>
  <c r="F2123" i="14"/>
  <c r="F2140" i="14"/>
  <c r="F2000" i="14"/>
  <c r="F2142" i="14"/>
  <c r="F2097" i="14"/>
  <c r="F2175" i="14"/>
  <c r="F2198" i="14"/>
  <c r="F2019" i="14"/>
  <c r="F2223" i="14"/>
  <c r="F2186" i="14"/>
  <c r="E2077" i="14"/>
  <c r="E2175" i="14"/>
  <c r="E2050" i="14"/>
  <c r="E2068" i="14"/>
  <c r="E2101" i="14"/>
  <c r="E2066" i="14"/>
  <c r="E2126" i="14"/>
  <c r="E2089" i="14"/>
  <c r="E2179" i="14"/>
  <c r="E2141" i="14"/>
  <c r="E2042" i="14"/>
  <c r="E2104" i="14"/>
  <c r="E2049" i="14"/>
  <c r="E2153" i="14"/>
  <c r="E1994" i="14"/>
  <c r="V2006" i="14"/>
  <c r="A2006" i="14" s="1"/>
  <c r="V2121" i="14"/>
  <c r="A2121" i="14" s="1"/>
  <c r="V2166" i="14"/>
  <c r="A2166" i="14" s="1"/>
  <c r="E2160" i="14"/>
  <c r="V2176" i="14"/>
  <c r="A2176" i="14" s="1"/>
  <c r="V2220" i="14"/>
  <c r="A2220" i="14" s="1"/>
  <c r="V1989" i="14"/>
  <c r="A1989" i="14" s="1"/>
  <c r="V2029" i="14"/>
  <c r="A2029" i="14" s="1"/>
  <c r="V2072" i="14"/>
  <c r="A2072" i="14" s="1"/>
  <c r="V2080" i="14"/>
  <c r="A2080" i="14" s="1"/>
  <c r="V2136" i="14"/>
  <c r="A2136" i="14" s="1"/>
  <c r="V2154" i="14"/>
  <c r="A2154" i="14" s="1"/>
  <c r="V2000" i="14"/>
  <c r="A2000" i="14" s="1"/>
  <c r="V1999" i="14"/>
  <c r="A1999" i="14" s="1"/>
  <c r="V2090" i="14"/>
  <c r="A2090" i="14" s="1"/>
  <c r="V2078" i="14"/>
  <c r="A2078" i="14" s="1"/>
  <c r="V2030" i="14"/>
  <c r="A2030" i="14" s="1"/>
  <c r="V2070" i="14"/>
  <c r="A2070" i="14" s="1"/>
  <c r="V2046" i="14"/>
  <c r="A2046" i="14" s="1"/>
  <c r="V2022" i="14"/>
  <c r="A2022" i="14" s="1"/>
  <c r="V2177" i="14"/>
  <c r="A2177" i="14" s="1"/>
  <c r="V2221" i="14"/>
  <c r="A2221" i="14" s="1"/>
  <c r="V2156" i="14"/>
  <c r="A2156" i="14" s="1"/>
  <c r="V2210" i="14"/>
  <c r="A2210" i="14" s="1"/>
  <c r="V2164" i="14"/>
  <c r="A2164" i="14" s="1"/>
  <c r="V2230" i="14"/>
  <c r="A2230" i="14" s="1"/>
  <c r="V2117" i="14"/>
  <c r="A2117" i="14" s="1"/>
  <c r="V2157" i="14"/>
  <c r="A2157" i="14" s="1"/>
  <c r="V2095" i="14"/>
  <c r="A2095" i="14" s="1"/>
  <c r="V2103" i="14"/>
  <c r="A2103" i="14" s="1"/>
  <c r="V2106" i="14"/>
  <c r="A2106" i="14" s="1"/>
  <c r="V2024" i="14"/>
  <c r="A2024" i="14" s="1"/>
  <c r="V2023" i="14"/>
  <c r="A2023" i="14" s="1"/>
  <c r="V2127" i="14"/>
  <c r="A2127" i="14" s="1"/>
  <c r="V2113" i="14"/>
  <c r="A2113" i="14" s="1"/>
  <c r="V2219" i="14"/>
  <c r="A2219" i="14" s="1"/>
  <c r="V2053" i="14"/>
  <c r="A2053" i="14" s="1"/>
  <c r="V2093" i="14"/>
  <c r="A2093" i="14" s="1"/>
  <c r="V2069" i="14"/>
  <c r="A2069" i="14" s="1"/>
  <c r="V2045" i="14"/>
  <c r="A2045" i="14" s="1"/>
  <c r="V2203" i="14"/>
  <c r="A2203" i="14" s="1"/>
  <c r="V2138" i="14"/>
  <c r="A2138" i="14" s="1"/>
  <c r="V2149" i="14"/>
  <c r="A2149" i="14" s="1"/>
  <c r="V2231" i="14"/>
  <c r="A2231" i="14" s="1"/>
  <c r="V2212" i="14"/>
  <c r="A2212" i="14" s="1"/>
  <c r="V2172" i="14"/>
  <c r="A2172" i="14" s="1"/>
  <c r="V2206" i="14"/>
  <c r="A2206" i="14" s="1"/>
  <c r="V2148" i="14"/>
  <c r="A2148" i="14" s="1"/>
  <c r="V2001" i="14"/>
  <c r="A2001" i="14" s="1"/>
  <c r="V2110" i="14"/>
  <c r="A2110" i="14" s="1"/>
  <c r="V2209" i="14"/>
  <c r="A2209" i="14" s="1"/>
  <c r="V2205" i="14"/>
  <c r="A2205" i="14" s="1"/>
  <c r="V2057" i="14"/>
  <c r="A2057" i="14" s="1"/>
  <c r="V2161" i="14"/>
  <c r="A2161" i="14" s="1"/>
  <c r="V2011" i="14"/>
  <c r="A2011" i="14" s="1"/>
  <c r="V2062" i="14"/>
  <c r="A2062" i="14" s="1"/>
  <c r="V2054" i="14"/>
  <c r="A2054" i="14" s="1"/>
  <c r="V2207" i="14"/>
  <c r="A2207" i="14" s="1"/>
  <c r="V2183" i="14"/>
  <c r="A2183" i="14" s="1"/>
  <c r="V2159" i="14"/>
  <c r="A2159" i="14" s="1"/>
  <c r="V2167" i="14"/>
  <c r="A2167" i="14" s="1"/>
  <c r="V2223" i="14"/>
  <c r="A2223" i="14" s="1"/>
  <c r="V2085" i="14"/>
  <c r="A2085" i="14" s="1"/>
  <c r="V2025" i="14"/>
  <c r="A2025" i="14" s="1"/>
  <c r="V2199" i="14"/>
  <c r="A2199" i="14" s="1"/>
  <c r="V2042" i="14"/>
  <c r="A2042" i="14" s="1"/>
  <c r="V1994" i="14"/>
  <c r="A1994" i="14" s="1"/>
  <c r="V2179" i="14"/>
  <c r="A2179" i="14" s="1"/>
  <c r="V2160" i="14"/>
  <c r="A2160" i="14" s="1"/>
  <c r="V2048" i="14"/>
  <c r="A2048" i="14" s="1"/>
  <c r="V2067" i="14"/>
  <c r="A2067" i="14" s="1"/>
  <c r="V2050" i="14"/>
  <c r="A2050" i="14" s="1"/>
  <c r="I2048" i="14"/>
  <c r="I1996" i="14"/>
  <c r="I2178" i="14"/>
  <c r="I2086" i="14"/>
  <c r="I2177" i="14"/>
  <c r="I2185" i="14"/>
  <c r="I2173" i="14"/>
  <c r="I2215" i="14"/>
  <c r="I2195" i="14"/>
  <c r="I2222" i="14"/>
  <c r="I2219" i="14"/>
  <c r="I2116" i="14"/>
  <c r="I2081" i="14"/>
  <c r="I2064" i="14"/>
  <c r="I2151" i="14"/>
  <c r="I2035" i="14"/>
  <c r="I2040" i="14"/>
  <c r="I2042" i="14"/>
  <c r="I2192" i="14"/>
  <c r="I2075" i="14"/>
  <c r="I2113" i="14"/>
  <c r="I2218" i="14"/>
  <c r="I2083" i="14"/>
  <c r="I2226" i="14"/>
  <c r="I2167" i="14"/>
  <c r="I2003" i="14"/>
  <c r="I2186" i="14"/>
  <c r="I2062" i="14"/>
  <c r="I2094" i="14"/>
  <c r="I2001" i="14"/>
  <c r="I2141" i="14"/>
  <c r="G2019" i="14"/>
  <c r="G2065" i="14"/>
  <c r="G2227" i="14"/>
  <c r="G2182" i="14"/>
  <c r="G2147" i="14"/>
  <c r="G2230" i="14"/>
  <c r="G2090" i="14"/>
  <c r="G2159" i="14"/>
  <c r="G2190" i="14"/>
  <c r="G2222" i="14"/>
  <c r="G2056" i="14"/>
  <c r="G2160" i="14"/>
  <c r="G2008" i="14"/>
  <c r="G2139" i="14"/>
  <c r="G2082" i="14"/>
  <c r="G2007" i="14"/>
  <c r="G2220" i="14"/>
  <c r="G2212" i="14"/>
  <c r="G2015" i="14"/>
  <c r="G2044" i="14"/>
  <c r="G2191" i="14"/>
  <c r="G2140" i="14"/>
  <c r="G2011" i="14"/>
  <c r="G2003" i="14"/>
  <c r="G2127" i="14"/>
  <c r="G2174" i="14"/>
  <c r="G2085" i="14"/>
  <c r="H2093" i="14"/>
  <c r="H2197" i="14"/>
  <c r="H2109" i="14"/>
  <c r="H2030" i="14"/>
  <c r="H2070" i="14"/>
  <c r="H2074" i="14"/>
  <c r="H2061" i="14"/>
  <c r="H2034" i="14"/>
  <c r="H2103" i="14"/>
  <c r="H2170" i="14"/>
  <c r="H2201" i="14"/>
  <c r="H2001" i="14"/>
  <c r="H2120" i="14"/>
  <c r="H2202" i="14"/>
  <c r="H2205" i="14"/>
  <c r="H2075" i="14"/>
  <c r="H2051" i="14"/>
  <c r="H2128" i="14"/>
  <c r="H2143" i="14"/>
  <c r="H2059" i="14"/>
  <c r="H2133" i="14"/>
  <c r="H1993" i="14"/>
  <c r="H2025" i="14"/>
  <c r="H2217" i="14"/>
  <c r="H2129" i="14"/>
  <c r="F2124" i="14"/>
  <c r="F2222" i="14"/>
  <c r="F2101" i="14"/>
  <c r="F2217" i="14"/>
  <c r="F2081" i="14"/>
  <c r="F2139" i="14"/>
  <c r="F2133" i="14"/>
  <c r="F1999" i="14"/>
  <c r="F2184" i="14"/>
  <c r="F1995" i="14"/>
  <c r="F2006" i="14"/>
  <c r="F2024" i="14"/>
  <c r="F2115" i="14"/>
  <c r="F2211" i="14"/>
  <c r="E2114" i="14"/>
  <c r="E2107" i="14"/>
  <c r="E2115" i="14"/>
  <c r="E2102" i="14"/>
  <c r="E2125" i="14"/>
  <c r="E2018" i="14"/>
  <c r="E2134" i="14"/>
  <c r="E2041" i="14"/>
  <c r="E2133" i="14"/>
  <c r="E1995" i="14"/>
  <c r="E2084" i="14"/>
  <c r="E2135" i="14"/>
  <c r="E2224" i="14"/>
  <c r="E1993" i="14"/>
  <c r="E2026" i="14"/>
  <c r="E2217" i="14"/>
  <c r="E2189" i="14"/>
  <c r="V2163" i="14"/>
  <c r="A2163" i="14" s="1"/>
  <c r="V2071" i="14"/>
  <c r="A2071" i="14" s="1"/>
  <c r="V2009" i="14"/>
  <c r="A2009" i="14" s="1"/>
  <c r="V2222" i="14"/>
  <c r="A2222" i="14" s="1"/>
  <c r="V2150" i="14"/>
  <c r="A2150" i="14" s="1"/>
  <c r="V2040" i="14"/>
  <c r="A2040" i="14" s="1"/>
  <c r="V2015" i="14"/>
  <c r="A2015" i="14" s="1"/>
  <c r="V2119" i="14"/>
  <c r="A2119" i="14" s="1"/>
  <c r="V2082" i="14"/>
  <c r="A2082" i="14" s="1"/>
  <c r="V2058" i="14"/>
  <c r="A2058" i="14" s="1"/>
  <c r="V2052" i="14"/>
  <c r="A2052" i="14" s="1"/>
  <c r="V2180" i="14"/>
  <c r="A2180" i="14" s="1"/>
  <c r="V2010" i="14"/>
  <c r="A2010" i="14" s="1"/>
  <c r="V2137" i="14"/>
  <c r="A2137" i="14" s="1"/>
  <c r="V2092" i="14"/>
  <c r="A2092" i="14" s="1"/>
  <c r="V2201" i="14"/>
  <c r="A2201" i="14" s="1"/>
  <c r="V2056" i="14"/>
  <c r="A2056" i="14" s="1"/>
  <c r="V2032" i="14"/>
  <c r="A2032" i="14" s="1"/>
  <c r="V2008" i="14"/>
  <c r="A2008" i="14" s="1"/>
  <c r="V2016" i="14"/>
  <c r="A2016" i="14" s="1"/>
  <c r="V2002" i="14"/>
  <c r="A2002" i="14" s="1"/>
  <c r="V2097" i="14"/>
  <c r="A2097" i="14" s="1"/>
  <c r="V2170" i="14"/>
  <c r="A2170" i="14" s="1"/>
  <c r="V2186" i="14"/>
  <c r="A2186" i="14" s="1"/>
  <c r="V2178" i="14"/>
  <c r="A2178" i="14" s="1"/>
  <c r="V2196" i="14"/>
  <c r="A2196" i="14" s="1"/>
  <c r="V2143" i="14"/>
  <c r="A2143" i="14" s="1"/>
  <c r="V2124" i="14"/>
  <c r="A2124" i="14" s="1"/>
  <c r="V2105" i="14"/>
  <c r="A2105" i="14" s="1"/>
  <c r="V2081" i="14"/>
  <c r="A2081" i="14" s="1"/>
  <c r="V2208" i="14"/>
  <c r="A2208" i="14" s="1"/>
  <c r="V2034" i="14"/>
  <c r="A2034" i="14" s="1"/>
  <c r="V2033" i="14"/>
  <c r="A2033" i="14" s="1"/>
  <c r="V2142" i="14"/>
  <c r="A2142" i="14" s="1"/>
  <c r="V2120" i="14"/>
  <c r="A2120" i="14" s="1"/>
  <c r="V2075" i="14"/>
  <c r="A2075" i="14" s="1"/>
  <c r="V2079" i="14"/>
  <c r="A2079" i="14" s="1"/>
  <c r="V2055" i="14"/>
  <c r="A2055" i="14" s="1"/>
  <c r="V2031" i="14"/>
  <c r="A2031" i="14" s="1"/>
  <c r="V2039" i="14"/>
  <c r="A2039" i="14" s="1"/>
  <c r="V2152" i="14"/>
  <c r="A2152" i="14" s="1"/>
  <c r="V2225" i="14"/>
  <c r="A2225" i="14" s="1"/>
  <c r="V2194" i="14"/>
  <c r="A2194" i="14" s="1"/>
  <c r="V2131" i="14"/>
  <c r="A2131" i="14" s="1"/>
  <c r="V2226" i="14"/>
  <c r="A2226" i="14" s="1"/>
  <c r="V2088" i="14"/>
  <c r="A2088" i="14" s="1"/>
  <c r="V2204" i="14"/>
  <c r="A2204" i="14" s="1"/>
  <c r="V2158" i="14"/>
  <c r="A2158" i="14" s="1"/>
  <c r="V2035" i="14"/>
  <c r="A2035" i="14" s="1"/>
  <c r="V2112" i="14"/>
  <c r="A2112" i="14" s="1"/>
  <c r="V2116" i="14"/>
  <c r="A2116" i="14" s="1"/>
  <c r="V2051" i="14"/>
  <c r="A2051" i="14" s="1"/>
  <c r="V2123" i="14"/>
  <c r="A2123" i="14" s="1"/>
  <c r="V2195" i="14"/>
  <c r="A2195" i="14" s="1"/>
  <c r="V2013" i="14"/>
  <c r="A2013" i="14" s="1"/>
  <c r="V2059" i="14"/>
  <c r="A2059" i="14" s="1"/>
  <c r="V2182" i="14"/>
  <c r="A2182" i="14" s="1"/>
  <c r="V2094" i="14"/>
  <c r="A2094" i="14" s="1"/>
  <c r="V2193" i="14"/>
  <c r="A2193" i="14" s="1"/>
  <c r="V2169" i="14"/>
  <c r="A2169" i="14" s="1"/>
  <c r="V2145" i="14"/>
  <c r="A2145" i="14" s="1"/>
  <c r="J2139" i="14" l="1"/>
  <c r="J2057" i="14"/>
  <c r="J2164" i="14"/>
  <c r="J2116" i="14"/>
  <c r="J2157" i="14"/>
  <c r="J2168" i="14"/>
  <c r="J2138" i="14"/>
  <c r="J2036" i="14"/>
  <c r="J2080" i="14"/>
  <c r="J2096" i="14"/>
  <c r="J1989" i="14"/>
  <c r="J2181" i="14"/>
  <c r="J2196" i="14"/>
  <c r="J2073" i="14"/>
  <c r="J2111" i="14"/>
  <c r="J2092" i="14"/>
  <c r="J2020" i="14"/>
  <c r="J2128" i="14"/>
  <c r="J2154" i="14"/>
  <c r="J2100" i="14"/>
  <c r="J2132" i="14"/>
  <c r="J1992" i="14"/>
  <c r="J2118" i="14"/>
  <c r="J1996" i="14"/>
  <c r="J2074" i="14"/>
  <c r="J2220" i="14"/>
  <c r="J2008" i="14"/>
  <c r="J2162" i="14"/>
  <c r="J2137" i="14"/>
  <c r="J2079" i="14"/>
  <c r="J2084" i="14"/>
  <c r="J2095" i="14"/>
  <c r="J2228" i="14"/>
  <c r="J2110" i="14"/>
  <c r="J2172" i="14"/>
  <c r="J2112" i="14"/>
  <c r="J2072" i="14"/>
  <c r="J2099" i="14"/>
  <c r="J2064" i="14"/>
  <c r="J2187" i="14"/>
  <c r="J2221" i="14"/>
  <c r="J2047" i="14"/>
  <c r="J2124" i="14"/>
  <c r="J2202" i="14"/>
  <c r="J2170" i="14"/>
  <c r="J2062" i="14"/>
  <c r="J2077" i="14"/>
  <c r="J2058" i="14"/>
  <c r="J2031" i="14"/>
  <c r="J2156" i="14"/>
  <c r="J2076" i="14"/>
  <c r="J2098" i="14"/>
  <c r="J2004" i="14"/>
  <c r="J2018" i="14"/>
  <c r="J2030" i="14"/>
  <c r="J2015" i="14"/>
  <c r="J2090" i="14"/>
  <c r="J2227" i="14"/>
  <c r="J2097" i="14"/>
  <c r="J2123" i="14"/>
  <c r="J2016" i="14"/>
  <c r="J2002" i="14"/>
  <c r="J2029" i="14"/>
  <c r="J2216" i="14"/>
  <c r="J2104" i="14"/>
  <c r="J2183" i="14"/>
  <c r="J2173" i="14"/>
  <c r="J2013" i="14"/>
  <c r="J2007" i="14"/>
  <c r="J2209" i="14"/>
  <c r="J2105" i="14"/>
  <c r="J2063" i="14"/>
  <c r="J1997" i="14"/>
  <c r="J2055" i="14"/>
  <c r="J2188" i="14"/>
  <c r="J2207" i="14"/>
  <c r="J2229" i="14"/>
  <c r="J2005" i="14"/>
  <c r="J2153" i="14"/>
  <c r="J2122" i="14"/>
  <c r="J2206" i="14"/>
  <c r="J2205" i="14"/>
  <c r="J2167" i="14"/>
  <c r="J2179" i="14"/>
  <c r="J2165" i="14"/>
  <c r="J2155" i="14"/>
  <c r="J2146" i="14"/>
  <c r="J2071" i="14"/>
  <c r="J2009" i="14"/>
  <c r="J2176" i="14"/>
  <c r="J2028" i="14"/>
  <c r="J2189" i="14"/>
  <c r="J2125" i="14"/>
  <c r="J2184" i="14"/>
  <c r="J2127" i="14"/>
  <c r="J2086" i="14"/>
  <c r="J2223" i="14"/>
  <c r="J1991" i="14"/>
  <c r="J2091" i="14"/>
  <c r="J2069" i="14"/>
  <c r="J2106" i="14"/>
  <c r="J2033" i="14"/>
  <c r="J2180" i="14"/>
  <c r="J2148" i="14"/>
  <c r="J2037" i="14"/>
  <c r="J2169" i="14"/>
  <c r="J2045" i="14"/>
  <c r="J2060" i="14"/>
  <c r="J2119" i="14"/>
  <c r="J2225" i="14"/>
  <c r="J2052" i="14"/>
  <c r="J2159" i="14"/>
  <c r="J2182" i="14"/>
  <c r="J2089" i="14"/>
  <c r="J2051" i="14"/>
  <c r="J2213" i="14"/>
  <c r="J2043" i="14"/>
  <c r="J2224" i="14"/>
  <c r="J2059" i="14"/>
  <c r="J2034" i="14"/>
  <c r="J2082" i="14"/>
  <c r="J2066" i="14"/>
  <c r="J2131" i="14"/>
  <c r="J2121" i="14"/>
  <c r="J2067" i="14"/>
  <c r="J2208" i="14"/>
  <c r="J2193" i="14"/>
  <c r="J2087" i="14"/>
  <c r="J2200" i="14"/>
  <c r="J2010" i="14"/>
  <c r="J1995" i="14"/>
  <c r="J2135" i="14"/>
  <c r="J2107" i="14"/>
  <c r="J2025" i="14"/>
  <c r="J2143" i="14"/>
  <c r="J2212" i="14"/>
  <c r="J2230" i="14"/>
  <c r="J2195" i="14"/>
  <c r="J2061" i="14"/>
  <c r="J2038" i="14"/>
  <c r="J2032" i="14"/>
  <c r="J2046" i="14"/>
  <c r="J2150" i="14"/>
  <c r="J2197" i="14"/>
  <c r="J2070" i="14"/>
  <c r="J1998" i="14"/>
  <c r="J2145" i="14"/>
  <c r="J2022" i="14"/>
  <c r="J2204" i="14"/>
  <c r="J2161" i="14"/>
  <c r="J2149" i="14"/>
  <c r="J2053" i="14"/>
  <c r="J2210" i="14"/>
  <c r="J2152" i="14"/>
  <c r="J2023" i="14"/>
  <c r="J2054" i="14"/>
  <c r="J2134" i="14"/>
  <c r="J2120" i="14"/>
  <c r="J2103" i="14"/>
  <c r="J2083" i="14"/>
  <c r="J2219" i="14"/>
  <c r="J2142" i="14"/>
  <c r="J2117" i="14"/>
  <c r="J2012" i="14"/>
  <c r="J2203" i="14"/>
  <c r="J2039" i="14"/>
  <c r="J2114" i="14"/>
  <c r="J2075" i="14"/>
  <c r="J2001" i="14"/>
  <c r="J2011" i="14"/>
  <c r="J2056" i="14"/>
  <c r="J2218" i="14"/>
  <c r="J2185" i="14"/>
  <c r="J2198" i="14"/>
  <c r="J2163" i="14"/>
  <c r="J2088" i="14"/>
  <c r="J2021" i="14"/>
  <c r="J1993" i="14"/>
  <c r="J2102" i="14"/>
  <c r="J2109" i="14"/>
  <c r="J2065" i="14"/>
  <c r="J2094" i="14"/>
  <c r="J2040" i="14"/>
  <c r="J2177" i="14"/>
  <c r="J2049" i="14"/>
  <c r="J2068" i="14"/>
  <c r="J2017" i="14"/>
  <c r="J2166" i="14"/>
  <c r="J2191" i="14"/>
  <c r="J2014" i="14"/>
  <c r="J2108" i="14"/>
  <c r="J2158" i="14"/>
  <c r="J2130" i="14"/>
  <c r="J2194" i="14"/>
  <c r="J2026" i="14"/>
  <c r="J2081" i="14"/>
  <c r="J2190" i="14"/>
  <c r="J2147" i="14"/>
  <c r="J1994" i="14"/>
  <c r="J2171" i="14"/>
  <c r="J1990" i="14"/>
  <c r="J2078" i="14"/>
  <c r="J2024" i="14"/>
  <c r="J2129" i="14"/>
  <c r="J2093" i="14"/>
  <c r="J2186" i="14"/>
  <c r="J2192" i="14"/>
  <c r="J2178" i="14"/>
  <c r="J2000" i="14"/>
  <c r="J2211" i="14"/>
  <c r="J2222" i="14"/>
  <c r="J2201" i="14"/>
  <c r="J2113" i="14"/>
  <c r="J2050" i="14"/>
  <c r="J2003" i="14"/>
  <c r="J2199" i="14"/>
  <c r="J2027" i="14"/>
  <c r="J2035" i="14"/>
  <c r="J1999" i="14"/>
  <c r="J2151" i="14"/>
  <c r="J2174" i="14"/>
  <c r="J2019" i="14"/>
  <c r="J2144" i="14"/>
  <c r="J2141" i="14"/>
  <c r="J2085" i="14"/>
  <c r="J2226" i="14"/>
  <c r="J2231" i="14"/>
  <c r="J2006" i="14"/>
  <c r="J2214" i="14"/>
  <c r="J2041" i="14"/>
  <c r="J2115" i="14"/>
  <c r="J2175" i="14"/>
  <c r="J2048" i="14"/>
  <c r="J2140" i="14"/>
  <c r="J2044" i="14"/>
  <c r="U373" i="10"/>
  <c r="L374" i="10"/>
  <c r="J2133" i="14"/>
  <c r="J2160" i="14"/>
  <c r="J2217" i="14"/>
  <c r="AA12" i="14"/>
  <c r="J2042" i="14"/>
  <c r="J2126" i="14"/>
  <c r="J2101" i="14"/>
  <c r="J2215" i="14"/>
  <c r="V372" i="10"/>
  <c r="M373" i="10"/>
  <c r="V373" i="10" l="1"/>
  <c r="M374" i="10"/>
  <c r="U374" i="10"/>
  <c r="L375" i="10"/>
  <c r="D141" i="13"/>
  <c r="H161" i="13"/>
  <c r="G141" i="13"/>
  <c r="K161" i="13"/>
  <c r="I141" i="13"/>
  <c r="AB12" i="14"/>
  <c r="J161" i="13"/>
  <c r="E141" i="13"/>
  <c r="J141" i="13"/>
  <c r="K141" i="13" l="1"/>
  <c r="G108" i="13" s="1"/>
  <c r="U375" i="10"/>
  <c r="L376" i="10"/>
  <c r="V374" i="10"/>
  <c r="M375" i="10"/>
  <c r="L141" i="13"/>
  <c r="D161" i="13"/>
  <c r="AJ35" i="14" s="1"/>
  <c r="U376" i="10" l="1"/>
  <c r="L377" i="10"/>
  <c r="M376" i="10"/>
  <c r="V375" i="10"/>
  <c r="AA55" i="14"/>
  <c r="H108" i="13" s="1"/>
  <c r="AB55" i="14"/>
  <c r="I108" i="13"/>
  <c r="M377" i="10" l="1"/>
  <c r="V376" i="10"/>
  <c r="L378" i="10"/>
  <c r="U377" i="10"/>
  <c r="L379" i="10" l="1"/>
  <c r="U378" i="10"/>
  <c r="M378" i="10"/>
  <c r="V377" i="10"/>
  <c r="V378" i="10" l="1"/>
  <c r="M379" i="10"/>
  <c r="L380" i="10"/>
  <c r="U379" i="10"/>
  <c r="U380" i="10" l="1"/>
  <c r="L381" i="10"/>
  <c r="M380" i="10"/>
  <c r="V379" i="10"/>
  <c r="M381" i="10" l="1"/>
  <c r="V380" i="10"/>
  <c r="U381" i="10"/>
  <c r="L382" i="10"/>
  <c r="U382" i="10" l="1"/>
  <c r="L383" i="10"/>
  <c r="V381" i="10"/>
  <c r="M382" i="10"/>
  <c r="M383" i="10" l="1"/>
  <c r="V382" i="10"/>
  <c r="U383" i="10"/>
  <c r="L384" i="10"/>
  <c r="U384" i="10" l="1"/>
  <c r="L385" i="10"/>
  <c r="M384" i="10"/>
  <c r="V383" i="10"/>
  <c r="V384" i="10" l="1"/>
  <c r="M385" i="10"/>
  <c r="U385" i="10"/>
  <c r="L386" i="10"/>
  <c r="U386" i="10" l="1"/>
  <c r="L387" i="10"/>
  <c r="M386" i="10"/>
  <c r="V385" i="10"/>
  <c r="M387" i="10" l="1"/>
  <c r="V386" i="10"/>
  <c r="L388" i="10"/>
  <c r="U387" i="10"/>
  <c r="U388" i="10" l="1"/>
  <c r="L389" i="10"/>
  <c r="M388" i="10"/>
  <c r="V387" i="10"/>
  <c r="V388" i="10" l="1"/>
  <c r="M389" i="10"/>
  <c r="L390" i="10"/>
  <c r="U389" i="10"/>
  <c r="U390" i="10" l="1"/>
  <c r="L391" i="10"/>
  <c r="M390" i="10"/>
  <c r="V389" i="10"/>
  <c r="M391" i="10" l="1"/>
  <c r="V390" i="10"/>
  <c r="L392" i="10"/>
  <c r="U391" i="10"/>
  <c r="U392" i="10" l="1"/>
  <c r="L393" i="10"/>
  <c r="M392" i="10"/>
  <c r="V391" i="10"/>
  <c r="V392" i="10" l="1"/>
  <c r="M393" i="10"/>
  <c r="L394" i="10"/>
  <c r="U393" i="10"/>
  <c r="U394" i="10" l="1"/>
  <c r="L395" i="10"/>
  <c r="M394" i="10"/>
  <c r="V393" i="10"/>
  <c r="M395" i="10" l="1"/>
  <c r="V394" i="10"/>
  <c r="L396" i="10"/>
  <c r="U395" i="10"/>
  <c r="U396" i="10" l="1"/>
  <c r="L397" i="10"/>
  <c r="M396" i="10"/>
  <c r="V395" i="10"/>
  <c r="V396" i="10" l="1"/>
  <c r="M397" i="10"/>
  <c r="L398" i="10"/>
  <c r="U397" i="10"/>
  <c r="U398" i="10" l="1"/>
  <c r="L399" i="10"/>
  <c r="M398" i="10"/>
  <c r="V397" i="10"/>
  <c r="M399" i="10" l="1"/>
  <c r="V398" i="10"/>
  <c r="L400" i="10"/>
  <c r="U399" i="10"/>
  <c r="L401" i="10" l="1"/>
  <c r="U400" i="10"/>
  <c r="M400" i="10"/>
  <c r="V399" i="10"/>
  <c r="M401" i="10" l="1"/>
  <c r="V400" i="10"/>
  <c r="L402" i="10"/>
  <c r="U401" i="10"/>
  <c r="U402" i="10" l="1"/>
  <c r="L403" i="10"/>
  <c r="M402" i="10"/>
  <c r="V401" i="10"/>
  <c r="M403" i="10" l="1"/>
  <c r="V402" i="10"/>
  <c r="L404" i="10"/>
  <c r="U403" i="10"/>
  <c r="L405" i="10" l="1"/>
  <c r="U404" i="10"/>
  <c r="M404" i="10"/>
  <c r="V403" i="10"/>
  <c r="M405" i="10" l="1"/>
  <c r="V404" i="10"/>
  <c r="L406" i="10"/>
  <c r="U405" i="10"/>
  <c r="U406" i="10" l="1"/>
  <c r="L407" i="10"/>
  <c r="M406" i="10"/>
  <c r="V405" i="10"/>
  <c r="M407" i="10" l="1"/>
  <c r="V406" i="10"/>
  <c r="L408" i="10"/>
  <c r="U407" i="10"/>
  <c r="U408" i="10" l="1"/>
  <c r="L409" i="10"/>
  <c r="E160" i="12"/>
  <c r="M408" i="10"/>
  <c r="V407" i="10"/>
  <c r="M409" i="10" l="1"/>
  <c r="V408" i="10"/>
  <c r="F160" i="12"/>
  <c r="F109" i="13" s="1"/>
  <c r="E109" i="13"/>
  <c r="F209" i="13"/>
  <c r="L410" i="10"/>
  <c r="U409" i="10"/>
  <c r="AM36" i="14" l="1"/>
  <c r="Z56" i="14"/>
  <c r="AO36" i="14"/>
  <c r="AN36" i="14"/>
  <c r="AP36" i="14"/>
  <c r="AD56" i="14"/>
  <c r="AL36" i="14"/>
  <c r="L411" i="10"/>
  <c r="U410" i="10"/>
  <c r="V409" i="10"/>
  <c r="M410" i="10"/>
  <c r="M2266" i="14" l="1"/>
  <c r="S2266" i="14" s="1"/>
  <c r="M2256" i="14"/>
  <c r="S2256" i="14" s="1"/>
  <c r="M2265" i="14"/>
  <c r="S2265" i="14" s="1"/>
  <c r="M2239" i="14"/>
  <c r="S2239" i="14" s="1"/>
  <c r="M2301" i="14"/>
  <c r="S2301" i="14" s="1"/>
  <c r="M2291" i="14"/>
  <c r="S2291" i="14" s="1"/>
  <c r="M2450" i="14"/>
  <c r="S2450" i="14" s="1"/>
  <c r="M2448" i="14"/>
  <c r="S2448" i="14" s="1"/>
  <c r="M2438" i="14"/>
  <c r="S2438" i="14" s="1"/>
  <c r="M2465" i="14"/>
  <c r="S2465" i="14" s="1"/>
  <c r="M2439" i="14"/>
  <c r="S2439" i="14" s="1"/>
  <c r="M2371" i="14"/>
  <c r="S2371" i="14" s="1"/>
  <c r="M2339" i="14"/>
  <c r="S2339" i="14" s="1"/>
  <c r="M2337" i="14"/>
  <c r="S2337" i="14" s="1"/>
  <c r="M2311" i="14"/>
  <c r="S2311" i="14" s="1"/>
  <c r="M2341" i="14"/>
  <c r="S2341" i="14" s="1"/>
  <c r="M2331" i="14"/>
  <c r="S2331" i="14" s="1"/>
  <c r="M2477" i="14"/>
  <c r="S2477" i="14" s="1"/>
  <c r="M2424" i="14"/>
  <c r="S2424" i="14" s="1"/>
  <c r="M2414" i="14"/>
  <c r="S2414" i="14" s="1"/>
  <c r="M2476" i="14"/>
  <c r="S2476" i="14" s="1"/>
  <c r="M2418" i="14"/>
  <c r="S2418" i="14" s="1"/>
  <c r="M2416" i="14"/>
  <c r="S2416" i="14" s="1"/>
  <c r="M2406" i="14"/>
  <c r="S2406" i="14" s="1"/>
  <c r="M2474" i="14"/>
  <c r="S2474" i="14" s="1"/>
  <c r="G2438" i="14"/>
  <c r="M2317" i="14"/>
  <c r="S2317" i="14" s="1"/>
  <c r="M2307" i="14"/>
  <c r="S2307" i="14" s="1"/>
  <c r="M2305" i="14"/>
  <c r="S2305" i="14" s="1"/>
  <c r="M2279" i="14"/>
  <c r="S2279" i="14" s="1"/>
  <c r="M2330" i="14"/>
  <c r="S2330" i="14" s="1"/>
  <c r="M2320" i="14"/>
  <c r="S2320" i="14" s="1"/>
  <c r="M2351" i="14"/>
  <c r="S2351" i="14" s="1"/>
  <c r="M2324" i="14"/>
  <c r="S2324" i="14" s="1"/>
  <c r="M2258" i="14"/>
  <c r="S2258" i="14" s="1"/>
  <c r="M2248" i="14"/>
  <c r="S2248" i="14" s="1"/>
  <c r="M2289" i="14"/>
  <c r="S2289" i="14" s="1"/>
  <c r="M2445" i="14"/>
  <c r="S2445" i="14" s="1"/>
  <c r="M2435" i="14"/>
  <c r="S2435" i="14" s="1"/>
  <c r="M2400" i="14"/>
  <c r="S2400" i="14" s="1"/>
  <c r="M2374" i="14"/>
  <c r="S2374" i="14" s="1"/>
  <c r="M2440" i="14"/>
  <c r="S2440" i="14" s="1"/>
  <c r="M2430" i="14"/>
  <c r="S2430" i="14" s="1"/>
  <c r="M2428" i="14"/>
  <c r="S2428" i="14" s="1"/>
  <c r="M2463" i="14"/>
  <c r="S2463" i="14" s="1"/>
  <c r="M2432" i="14"/>
  <c r="S2432" i="14" s="1"/>
  <c r="M2422" i="14"/>
  <c r="S2422" i="14" s="1"/>
  <c r="M2452" i="14"/>
  <c r="S2452" i="14" s="1"/>
  <c r="M2426" i="14"/>
  <c r="S2426" i="14" s="1"/>
  <c r="M2475" i="14"/>
  <c r="S2475" i="14" s="1"/>
  <c r="M2478" i="14"/>
  <c r="S2478" i="14" s="1"/>
  <c r="M2412" i="14"/>
  <c r="S2412" i="14" s="1"/>
  <c r="M2469" i="14"/>
  <c r="S2469" i="14" s="1"/>
  <c r="M2467" i="14"/>
  <c r="S2467" i="14" s="1"/>
  <c r="M2470" i="14"/>
  <c r="S2470" i="14" s="1"/>
  <c r="M2281" i="14"/>
  <c r="S2281" i="14" s="1"/>
  <c r="M2255" i="14"/>
  <c r="S2255" i="14" s="1"/>
  <c r="M2253" i="14"/>
  <c r="S2253" i="14" s="1"/>
  <c r="M2243" i="14"/>
  <c r="S2243" i="14" s="1"/>
  <c r="M2241" i="14"/>
  <c r="S2241" i="14" s="1"/>
  <c r="G2477" i="14"/>
  <c r="M2385" i="14"/>
  <c r="S2385" i="14" s="1"/>
  <c r="M2312" i="14"/>
  <c r="S2312" i="14" s="1"/>
  <c r="M2295" i="14"/>
  <c r="S2295" i="14" s="1"/>
  <c r="M2249" i="14"/>
  <c r="S2249" i="14" s="1"/>
  <c r="M2359" i="14"/>
  <c r="S2359" i="14" s="1"/>
  <c r="M2353" i="14"/>
  <c r="S2353" i="14" s="1"/>
  <c r="M2269" i="14"/>
  <c r="S2269" i="14" s="1"/>
  <c r="M2263" i="14"/>
  <c r="S2263" i="14" s="1"/>
  <c r="M2261" i="14"/>
  <c r="S2261" i="14" s="1"/>
  <c r="M2319" i="14"/>
  <c r="S2319" i="14" s="1"/>
  <c r="M2326" i="14"/>
  <c r="S2326" i="14" s="1"/>
  <c r="M2386" i="14"/>
  <c r="S2386" i="14" s="1"/>
  <c r="M2390" i="14"/>
  <c r="S2390" i="14" s="1"/>
  <c r="M2377" i="14"/>
  <c r="S2377" i="14" s="1"/>
  <c r="G2266" i="14"/>
  <c r="M2275" i="14"/>
  <c r="S2275" i="14" s="1"/>
  <c r="M2277" i="14"/>
  <c r="S2277" i="14" s="1"/>
  <c r="M2271" i="14"/>
  <c r="S2271" i="14" s="1"/>
  <c r="M2257" i="14"/>
  <c r="S2257" i="14" s="1"/>
  <c r="M2315" i="14"/>
  <c r="S2315" i="14" s="1"/>
  <c r="M2276" i="14"/>
  <c r="S2276" i="14" s="1"/>
  <c r="M2262" i="14"/>
  <c r="S2262" i="14" s="1"/>
  <c r="G2331" i="14"/>
  <c r="M2245" i="14"/>
  <c r="S2245" i="14" s="1"/>
  <c r="M2420" i="14"/>
  <c r="S2420" i="14" s="1"/>
  <c r="M2455" i="14"/>
  <c r="S2455" i="14" s="1"/>
  <c r="M2456" i="14"/>
  <c r="S2456" i="14" s="1"/>
  <c r="M2446" i="14"/>
  <c r="S2446" i="14" s="1"/>
  <c r="M2441" i="14"/>
  <c r="S2441" i="14" s="1"/>
  <c r="M2382" i="14"/>
  <c r="S2382" i="14" s="1"/>
  <c r="M2380" i="14"/>
  <c r="S2380" i="14" s="1"/>
  <c r="M2370" i="14"/>
  <c r="S2370" i="14" s="1"/>
  <c r="M2399" i="14"/>
  <c r="S2399" i="14" s="1"/>
  <c r="M2373" i="14"/>
  <c r="S2373" i="14" s="1"/>
  <c r="M2242" i="14"/>
  <c r="S2242" i="14" s="1"/>
  <c r="M2479" i="14"/>
  <c r="S2479" i="14" s="1"/>
  <c r="M2466" i="14"/>
  <c r="S2466" i="14" s="1"/>
  <c r="M2473" i="14"/>
  <c r="S2473" i="14" s="1"/>
  <c r="M2449" i="14"/>
  <c r="S2449" i="14" s="1"/>
  <c r="M2423" i="14"/>
  <c r="S2423" i="14" s="1"/>
  <c r="M2356" i="14"/>
  <c r="S2356" i="14" s="1"/>
  <c r="M2346" i="14"/>
  <c r="S2346" i="14" s="1"/>
  <c r="M2409" i="14"/>
  <c r="S2409" i="14" s="1"/>
  <c r="M2350" i="14"/>
  <c r="S2350" i="14" s="1"/>
  <c r="M2348" i="14"/>
  <c r="S2348" i="14" s="1"/>
  <c r="M2401" i="14"/>
  <c r="S2401" i="14" s="1"/>
  <c r="M2433" i="14"/>
  <c r="S2433" i="14" s="1"/>
  <c r="M2407" i="14"/>
  <c r="S2407" i="14" s="1"/>
  <c r="M2472" i="14"/>
  <c r="S2472" i="14" s="1"/>
  <c r="M2462" i="14"/>
  <c r="S2462" i="14" s="1"/>
  <c r="M2460" i="14"/>
  <c r="S2460" i="14" s="1"/>
  <c r="M2434" i="14"/>
  <c r="S2434" i="14" s="1"/>
  <c r="M2309" i="14"/>
  <c r="S2309" i="14" s="1"/>
  <c r="M2299" i="14"/>
  <c r="S2299" i="14" s="1"/>
  <c r="M2329" i="14"/>
  <c r="S2329" i="14" s="1"/>
  <c r="M2303" i="14"/>
  <c r="S2303" i="14" s="1"/>
  <c r="M2237" i="14"/>
  <c r="S2237" i="14" s="1"/>
  <c r="M2444" i="14"/>
  <c r="S2444" i="14" s="1"/>
  <c r="M2447" i="14"/>
  <c r="S2447" i="14" s="1"/>
  <c r="M2379" i="14"/>
  <c r="S2379" i="14" s="1"/>
  <c r="M2369" i="14"/>
  <c r="S2369" i="14" s="1"/>
  <c r="M2334" i="14"/>
  <c r="S2334" i="14" s="1"/>
  <c r="M2308" i="14"/>
  <c r="S2308" i="14" s="1"/>
  <c r="M2372" i="14"/>
  <c r="S2372" i="14" s="1"/>
  <c r="M2362" i="14"/>
  <c r="S2362" i="14" s="1"/>
  <c r="M2360" i="14"/>
  <c r="S2360" i="14" s="1"/>
  <c r="M2397" i="14"/>
  <c r="S2397" i="14" s="1"/>
  <c r="M2364" i="14"/>
  <c r="S2364" i="14" s="1"/>
  <c r="M2354" i="14"/>
  <c r="S2354" i="14" s="1"/>
  <c r="M2384" i="14"/>
  <c r="S2384" i="14" s="1"/>
  <c r="M2358" i="14"/>
  <c r="S2358" i="14" s="1"/>
  <c r="M2421" i="14"/>
  <c r="S2421" i="14" s="1"/>
  <c r="M2411" i="14"/>
  <c r="S2411" i="14" s="1"/>
  <c r="M2344" i="14"/>
  <c r="S2344" i="14" s="1"/>
  <c r="M2415" i="14"/>
  <c r="S2415" i="14" s="1"/>
  <c r="M2413" i="14"/>
  <c r="S2413" i="14" s="1"/>
  <c r="M2402" i="14"/>
  <c r="S2402" i="14" s="1"/>
  <c r="M2436" i="14"/>
  <c r="S2436" i="14" s="1"/>
  <c r="M2410" i="14"/>
  <c r="S2410" i="14" s="1"/>
  <c r="M2408" i="14"/>
  <c r="S2408" i="14" s="1"/>
  <c r="M2459" i="14"/>
  <c r="S2459" i="14" s="1"/>
  <c r="M2457" i="14"/>
  <c r="S2457" i="14" s="1"/>
  <c r="M2431" i="14"/>
  <c r="S2431" i="14" s="1"/>
  <c r="G2418" i="14"/>
  <c r="G2256" i="14"/>
  <c r="G2465" i="14"/>
  <c r="M2395" i="14"/>
  <c r="S2395" i="14" s="1"/>
  <c r="M2286" i="14"/>
  <c r="S2286" i="14" s="1"/>
  <c r="M2322" i="14"/>
  <c r="S2322" i="14" s="1"/>
  <c r="M2246" i="14"/>
  <c r="S2246" i="14" s="1"/>
  <c r="M2283" i="14"/>
  <c r="S2283" i="14" s="1"/>
  <c r="M2361" i="14"/>
  <c r="S2361" i="14" s="1"/>
  <c r="M2363" i="14"/>
  <c r="S2363" i="14" s="1"/>
  <c r="M2335" i="14"/>
  <c r="S2335" i="14" s="1"/>
  <c r="M2321" i="14"/>
  <c r="S2321" i="14" s="1"/>
  <c r="M2238" i="14"/>
  <c r="S2238" i="14" s="1"/>
  <c r="M2338" i="14"/>
  <c r="S2338" i="14" s="1"/>
  <c r="M2300" i="14"/>
  <c r="S2300" i="14" s="1"/>
  <c r="M2417" i="14"/>
  <c r="S2417" i="14" s="1"/>
  <c r="M2310" i="14"/>
  <c r="S2310" i="14" s="1"/>
  <c r="M2442" i="14"/>
  <c r="S2442" i="14" s="1"/>
  <c r="M2285" i="14"/>
  <c r="S2285" i="14" s="1"/>
  <c r="M2273" i="14"/>
  <c r="S2273" i="14" s="1"/>
  <c r="M2267" i="14"/>
  <c r="S2267" i="14" s="1"/>
  <c r="M2333" i="14"/>
  <c r="S2333" i="14" s="1"/>
  <c r="M2327" i="14"/>
  <c r="S2327" i="14" s="1"/>
  <c r="M2302" i="14"/>
  <c r="S2302" i="14" s="1"/>
  <c r="M2264" i="14"/>
  <c r="S2264" i="14" s="1"/>
  <c r="G2301" i="14"/>
  <c r="M2461" i="14"/>
  <c r="S2461" i="14" s="1"/>
  <c r="M2451" i="14"/>
  <c r="S2451" i="14" s="1"/>
  <c r="M2352" i="14"/>
  <c r="S2352" i="14" s="1"/>
  <c r="M2389" i="14"/>
  <c r="S2389" i="14" s="1"/>
  <c r="M2388" i="14"/>
  <c r="S2388" i="14" s="1"/>
  <c r="M2378" i="14"/>
  <c r="S2378" i="14" s="1"/>
  <c r="M2375" i="14"/>
  <c r="S2375" i="14" s="1"/>
  <c r="M2316" i="14"/>
  <c r="S2316" i="14" s="1"/>
  <c r="M2314" i="14"/>
  <c r="S2314" i="14" s="1"/>
  <c r="M2304" i="14"/>
  <c r="S2304" i="14" s="1"/>
  <c r="M2270" i="14"/>
  <c r="S2270" i="14" s="1"/>
  <c r="M2244" i="14"/>
  <c r="S2244" i="14" s="1"/>
  <c r="M2427" i="14"/>
  <c r="S2427" i="14" s="1"/>
  <c r="M2425" i="14"/>
  <c r="S2425" i="14" s="1"/>
  <c r="M2398" i="14"/>
  <c r="S2398" i="14" s="1"/>
  <c r="M2429" i="14"/>
  <c r="S2429" i="14" s="1"/>
  <c r="M2419" i="14"/>
  <c r="S2419" i="14" s="1"/>
  <c r="M2383" i="14"/>
  <c r="S2383" i="14" s="1"/>
  <c r="M2357" i="14"/>
  <c r="S2357" i="14" s="1"/>
  <c r="M2290" i="14"/>
  <c r="S2290" i="14" s="1"/>
  <c r="M2280" i="14"/>
  <c r="S2280" i="14" s="1"/>
  <c r="M2342" i="14"/>
  <c r="S2342" i="14" s="1"/>
  <c r="M2284" i="14"/>
  <c r="S2284" i="14" s="1"/>
  <c r="M2282" i="14"/>
  <c r="S2282" i="14" s="1"/>
  <c r="M2272" i="14"/>
  <c r="S2272" i="14" s="1"/>
  <c r="M2367" i="14"/>
  <c r="S2367" i="14" s="1"/>
  <c r="M2340" i="14"/>
  <c r="S2340" i="14" s="1"/>
  <c r="M2404" i="14"/>
  <c r="S2404" i="14" s="1"/>
  <c r="M2394" i="14"/>
  <c r="S2394" i="14" s="1"/>
  <c r="M2392" i="14"/>
  <c r="S2392" i="14" s="1"/>
  <c r="M2366" i="14"/>
  <c r="S2366" i="14" s="1"/>
  <c r="M2464" i="14"/>
  <c r="S2464" i="14" s="1"/>
  <c r="M2454" i="14"/>
  <c r="S2454" i="14" s="1"/>
  <c r="M2471" i="14"/>
  <c r="S2471" i="14" s="1"/>
  <c r="M2458" i="14"/>
  <c r="S2458" i="14" s="1"/>
  <c r="M2453" i="14"/>
  <c r="S2453" i="14" s="1"/>
  <c r="M2443" i="14"/>
  <c r="S2443" i="14" s="1"/>
  <c r="M2376" i="14"/>
  <c r="S2376" i="14" s="1"/>
  <c r="M2381" i="14"/>
  <c r="S2381" i="14" s="1"/>
  <c r="M2250" i="14"/>
  <c r="S2250" i="14" s="1"/>
  <c r="M2240" i="14"/>
  <c r="S2240" i="14" s="1"/>
  <c r="M2313" i="14"/>
  <c r="S2313" i="14" s="1"/>
  <c r="M2287" i="14"/>
  <c r="S2287" i="14" s="1"/>
  <c r="M2306" i="14"/>
  <c r="S2306" i="14" s="1"/>
  <c r="M2296" i="14"/>
  <c r="S2296" i="14" s="1"/>
  <c r="M2294" i="14"/>
  <c r="S2294" i="14" s="1"/>
  <c r="M2268" i="14"/>
  <c r="S2268" i="14" s="1"/>
  <c r="M2298" i="14"/>
  <c r="S2298" i="14" s="1"/>
  <c r="M2288" i="14"/>
  <c r="S2288" i="14" s="1"/>
  <c r="M2318" i="14"/>
  <c r="S2318" i="14" s="1"/>
  <c r="M2292" i="14"/>
  <c r="S2292" i="14" s="1"/>
  <c r="M2355" i="14"/>
  <c r="S2355" i="14" s="1"/>
  <c r="M2345" i="14"/>
  <c r="S2345" i="14" s="1"/>
  <c r="M2278" i="14"/>
  <c r="S2278" i="14" s="1"/>
  <c r="M2349" i="14"/>
  <c r="S2349" i="14" s="1"/>
  <c r="M2347" i="14"/>
  <c r="S2347" i="14" s="1"/>
  <c r="M2336" i="14"/>
  <c r="S2336" i="14" s="1"/>
  <c r="M2368" i="14"/>
  <c r="S2368" i="14" s="1"/>
  <c r="M2405" i="14"/>
  <c r="S2405" i="14" s="1"/>
  <c r="M2403" i="14"/>
  <c r="S2403" i="14" s="1"/>
  <c r="M2393" i="14"/>
  <c r="S2393" i="14" s="1"/>
  <c r="M2391" i="14"/>
  <c r="S2391" i="14" s="1"/>
  <c r="M2365" i="14"/>
  <c r="S2365" i="14" s="1"/>
  <c r="G2339" i="14"/>
  <c r="G2456" i="14"/>
  <c r="G2337" i="14"/>
  <c r="M2260" i="14"/>
  <c r="S2260" i="14" s="1"/>
  <c r="M2293" i="14"/>
  <c r="S2293" i="14" s="1"/>
  <c r="M2437" i="14"/>
  <c r="S2437" i="14" s="1"/>
  <c r="M2332" i="14"/>
  <c r="S2332" i="14" s="1"/>
  <c r="M2254" i="14"/>
  <c r="S2254" i="14" s="1"/>
  <c r="M2259" i="14"/>
  <c r="S2259" i="14" s="1"/>
  <c r="M2251" i="14"/>
  <c r="S2251" i="14" s="1"/>
  <c r="M2328" i="14"/>
  <c r="S2328" i="14" s="1"/>
  <c r="M2396" i="14"/>
  <c r="S2396" i="14" s="1"/>
  <c r="M2387" i="14"/>
  <c r="S2387" i="14" s="1"/>
  <c r="M2252" i="14"/>
  <c r="S2252" i="14" s="1"/>
  <c r="M2468" i="14"/>
  <c r="S2468" i="14" s="1"/>
  <c r="M2247" i="14"/>
  <c r="S2247" i="14" s="1"/>
  <c r="M2297" i="14"/>
  <c r="S2297" i="14" s="1"/>
  <c r="M2323" i="14"/>
  <c r="S2323" i="14" s="1"/>
  <c r="M2325" i="14"/>
  <c r="S2325" i="14" s="1"/>
  <c r="M2274" i="14"/>
  <c r="S2274" i="14" s="1"/>
  <c r="M2343" i="14"/>
  <c r="S2343" i="14" s="1"/>
  <c r="G2449" i="14"/>
  <c r="G2409" i="14"/>
  <c r="G2426" i="14"/>
  <c r="G2476" i="14"/>
  <c r="G2305" i="14"/>
  <c r="G2365" i="14"/>
  <c r="G2469" i="14"/>
  <c r="G2374" i="14"/>
  <c r="G2351" i="14"/>
  <c r="G2386" i="14"/>
  <c r="G2474" i="14"/>
  <c r="G2460" i="14"/>
  <c r="G2255" i="14"/>
  <c r="G2242" i="14"/>
  <c r="G2463" i="14"/>
  <c r="G2289" i="14"/>
  <c r="G2324" i="14"/>
  <c r="G2433" i="14"/>
  <c r="V410" i="10"/>
  <c r="M411" i="10"/>
  <c r="K2271" i="14"/>
  <c r="Q2271" i="14" s="1"/>
  <c r="K2237" i="14"/>
  <c r="Q2237" i="14" s="1"/>
  <c r="K2238" i="14"/>
  <c r="Q2238" i="14" s="1"/>
  <c r="K2456" i="14"/>
  <c r="Q2456" i="14" s="1"/>
  <c r="K2427" i="14"/>
  <c r="Q2427" i="14" s="1"/>
  <c r="K2466" i="14"/>
  <c r="Q2466" i="14" s="1"/>
  <c r="K2421" i="14"/>
  <c r="Q2421" i="14" s="1"/>
  <c r="K2419" i="14"/>
  <c r="Q2419" i="14" s="1"/>
  <c r="K2441" i="14"/>
  <c r="Q2441" i="14" s="1"/>
  <c r="K2458" i="14"/>
  <c r="Q2458" i="14" s="1"/>
  <c r="K2477" i="14"/>
  <c r="Q2477" i="14" s="1"/>
  <c r="K2438" i="14"/>
  <c r="Q2438" i="14" s="1"/>
  <c r="K2365" i="14"/>
  <c r="Q2365" i="14" s="1"/>
  <c r="K2384" i="14"/>
  <c r="Q2384" i="14" s="1"/>
  <c r="K2432" i="14"/>
  <c r="Q2432" i="14" s="1"/>
  <c r="K2399" i="14"/>
  <c r="Q2399" i="14" s="1"/>
  <c r="K2420" i="14"/>
  <c r="Q2420" i="14" s="1"/>
  <c r="K2410" i="14"/>
  <c r="Q2410" i="14" s="1"/>
  <c r="K2424" i="14"/>
  <c r="Q2424" i="14" s="1"/>
  <c r="K2388" i="14"/>
  <c r="Q2388" i="14" s="1"/>
  <c r="K2381" i="14"/>
  <c r="Q2381" i="14" s="1"/>
  <c r="K2403" i="14"/>
  <c r="Q2403" i="14" s="1"/>
  <c r="K2382" i="14"/>
  <c r="Q2382" i="14" s="1"/>
  <c r="K2253" i="14"/>
  <c r="Q2253" i="14" s="1"/>
  <c r="K2254" i="14"/>
  <c r="Q2254" i="14" s="1"/>
  <c r="K2445" i="14"/>
  <c r="Q2445" i="14" s="1"/>
  <c r="K2475" i="14"/>
  <c r="Q2475" i="14" s="1"/>
  <c r="K2460" i="14"/>
  <c r="Q2460" i="14" s="1"/>
  <c r="K2472" i="14"/>
  <c r="Q2472" i="14" s="1"/>
  <c r="K2469" i="14"/>
  <c r="Q2469" i="14" s="1"/>
  <c r="K2435" i="14"/>
  <c r="Q2435" i="14" s="1"/>
  <c r="K2457" i="14"/>
  <c r="Q2457" i="14" s="1"/>
  <c r="K2447" i="14"/>
  <c r="Q2447" i="14" s="1"/>
  <c r="K2461" i="14"/>
  <c r="Q2461" i="14" s="1"/>
  <c r="K2476" i="14"/>
  <c r="Q2476" i="14" s="1"/>
  <c r="K2417" i="14"/>
  <c r="Q2417" i="14" s="1"/>
  <c r="K2439" i="14"/>
  <c r="Q2439" i="14" s="1"/>
  <c r="K2470" i="14"/>
  <c r="Q2470" i="14" s="1"/>
  <c r="K2468" i="14"/>
  <c r="Q2468" i="14" s="1"/>
  <c r="K2436" i="14"/>
  <c r="Q2436" i="14" s="1"/>
  <c r="K2395" i="14"/>
  <c r="Q2395" i="14" s="1"/>
  <c r="K2345" i="14"/>
  <c r="Q2345" i="14" s="1"/>
  <c r="K2375" i="14"/>
  <c r="Q2375" i="14" s="1"/>
  <c r="K2362" i="14"/>
  <c r="Q2362" i="14" s="1"/>
  <c r="K2321" i="14"/>
  <c r="Q2321" i="14" s="1"/>
  <c r="K2303" i="14"/>
  <c r="Q2303" i="14" s="1"/>
  <c r="K2269" i="14"/>
  <c r="Q2269" i="14" s="1"/>
  <c r="K2291" i="14"/>
  <c r="Q2291" i="14" s="1"/>
  <c r="K2281" i="14"/>
  <c r="Q2281" i="14" s="1"/>
  <c r="K2295" i="14"/>
  <c r="Q2295" i="14" s="1"/>
  <c r="K2325" i="14"/>
  <c r="Q2325" i="14" s="1"/>
  <c r="K2378" i="14"/>
  <c r="Q2378" i="14" s="1"/>
  <c r="K2273" i="14"/>
  <c r="Q2273" i="14" s="1"/>
  <c r="K2319" i="14"/>
  <c r="Q2319" i="14" s="1"/>
  <c r="K2317" i="14"/>
  <c r="Q2317" i="14" s="1"/>
  <c r="K2339" i="14"/>
  <c r="Q2339" i="14" s="1"/>
  <c r="K2297" i="14"/>
  <c r="Q2297" i="14" s="1"/>
  <c r="K2247" i="14"/>
  <c r="Q2247" i="14" s="1"/>
  <c r="K2256" i="14"/>
  <c r="Q2256" i="14" s="1"/>
  <c r="K2310" i="14"/>
  <c r="Q2310" i="14" s="1"/>
  <c r="K2268" i="14"/>
  <c r="Q2268" i="14" s="1"/>
  <c r="K2259" i="14"/>
  <c r="Q2259" i="14" s="1"/>
  <c r="K2272" i="14"/>
  <c r="Q2272" i="14" s="1"/>
  <c r="K2266" i="14"/>
  <c r="Q2266" i="14" s="1"/>
  <c r="K2244" i="14"/>
  <c r="Q2244" i="14" s="1"/>
  <c r="K2433" i="14"/>
  <c r="Q2433" i="14" s="1"/>
  <c r="K2467" i="14"/>
  <c r="Q2467" i="14" s="1"/>
  <c r="K2479" i="14"/>
  <c r="Q2479" i="14" s="1"/>
  <c r="K2449" i="14"/>
  <c r="Q2449" i="14" s="1"/>
  <c r="K2380" i="14"/>
  <c r="Q2380" i="14" s="1"/>
  <c r="K2340" i="14"/>
  <c r="Q2340" i="14" s="1"/>
  <c r="K2332" i="14"/>
  <c r="Q2332" i="14" s="1"/>
  <c r="K2302" i="14"/>
  <c r="Q2302" i="14" s="1"/>
  <c r="K2336" i="14"/>
  <c r="Q2336" i="14" s="1"/>
  <c r="K2330" i="14"/>
  <c r="Q2330" i="14" s="1"/>
  <c r="K2463" i="14"/>
  <c r="Q2463" i="14" s="1"/>
  <c r="K2428" i="14"/>
  <c r="Q2428" i="14" s="1"/>
  <c r="K2396" i="14"/>
  <c r="Q2396" i="14" s="1"/>
  <c r="K2391" i="14"/>
  <c r="Q2391" i="14" s="1"/>
  <c r="K2385" i="14"/>
  <c r="Q2385" i="14" s="1"/>
  <c r="K2363" i="14"/>
  <c r="Q2363" i="14" s="1"/>
  <c r="K2331" i="14"/>
  <c r="Q2331" i="14" s="1"/>
  <c r="K2250" i="14"/>
  <c r="Q2250" i="14" s="1"/>
  <c r="K2452" i="14"/>
  <c r="Q2452" i="14" s="1"/>
  <c r="K2442" i="14"/>
  <c r="Q2442" i="14" s="1"/>
  <c r="K2390" i="14"/>
  <c r="Q2390" i="14" s="1"/>
  <c r="K2359" i="14"/>
  <c r="Q2359" i="14" s="1"/>
  <c r="K2412" i="14"/>
  <c r="Q2412" i="14" s="1"/>
  <c r="K2434" i="14"/>
  <c r="Q2434" i="14" s="1"/>
  <c r="K2353" i="14"/>
  <c r="Q2353" i="14" s="1"/>
  <c r="K2351" i="14"/>
  <c r="Q2351" i="14" s="1"/>
  <c r="K2373" i="14"/>
  <c r="Q2373" i="14" s="1"/>
  <c r="K2392" i="14"/>
  <c r="Q2392" i="14" s="1"/>
  <c r="K2408" i="14"/>
  <c r="Q2408" i="14" s="1"/>
  <c r="K2372" i="14"/>
  <c r="Q2372" i="14" s="1"/>
  <c r="K2299" i="14"/>
  <c r="Q2299" i="14" s="1"/>
  <c r="K2257" i="14"/>
  <c r="Q2257" i="14" s="1"/>
  <c r="K2366" i="14"/>
  <c r="Q2366" i="14" s="1"/>
  <c r="K2333" i="14"/>
  <c r="Q2333" i="14" s="1"/>
  <c r="K2354" i="14"/>
  <c r="Q2354" i="14" s="1"/>
  <c r="K2344" i="14"/>
  <c r="Q2344" i="14" s="1"/>
  <c r="K2358" i="14"/>
  <c r="Q2358" i="14" s="1"/>
  <c r="K2261" i="14"/>
  <c r="Q2261" i="14" s="1"/>
  <c r="K2315" i="14"/>
  <c r="Q2315" i="14" s="1"/>
  <c r="K2337" i="14"/>
  <c r="Q2337" i="14" s="1"/>
  <c r="K2255" i="14"/>
  <c r="Q2255" i="14" s="1"/>
  <c r="K2409" i="14"/>
  <c r="Q2409" i="14" s="1"/>
  <c r="K2426" i="14"/>
  <c r="Q2426" i="14" s="1"/>
  <c r="K2377" i="14"/>
  <c r="Q2377" i="14" s="1"/>
  <c r="K2406" i="14"/>
  <c r="Q2406" i="14" s="1"/>
  <c r="K2394" i="14"/>
  <c r="Q2394" i="14" s="1"/>
  <c r="K2418" i="14"/>
  <c r="Q2418" i="14" s="1"/>
  <c r="K2401" i="14"/>
  <c r="Q2401" i="14" s="1"/>
  <c r="K2367" i="14"/>
  <c r="Q2367" i="14" s="1"/>
  <c r="K2389" i="14"/>
  <c r="Q2389" i="14" s="1"/>
  <c r="K2379" i="14"/>
  <c r="Q2379" i="14" s="1"/>
  <c r="K2393" i="14"/>
  <c r="Q2393" i="14" s="1"/>
  <c r="K2422" i="14"/>
  <c r="Q2422" i="14" s="1"/>
  <c r="K2349" i="14"/>
  <c r="Q2349" i="14" s="1"/>
  <c r="K2371" i="14"/>
  <c r="Q2371" i="14" s="1"/>
  <c r="K2416" i="14"/>
  <c r="Q2416" i="14" s="1"/>
  <c r="K2414" i="14"/>
  <c r="Q2414" i="14" s="1"/>
  <c r="K2370" i="14"/>
  <c r="Q2370" i="14" s="1"/>
  <c r="K2329" i="14"/>
  <c r="Q2329" i="14" s="1"/>
  <c r="K2279" i="14"/>
  <c r="Q2279" i="14" s="1"/>
  <c r="K2309" i="14"/>
  <c r="Q2309" i="14" s="1"/>
  <c r="K2342" i="14"/>
  <c r="Q2342" i="14" s="1"/>
  <c r="K2300" i="14"/>
  <c r="Q2300" i="14" s="1"/>
  <c r="K2282" i="14"/>
  <c r="Q2282" i="14" s="1"/>
  <c r="K2248" i="14"/>
  <c r="Q2248" i="14" s="1"/>
  <c r="K2270" i="14"/>
  <c r="Q2270" i="14" s="1"/>
  <c r="K2260" i="14"/>
  <c r="Q2260" i="14" s="1"/>
  <c r="K2274" i="14"/>
  <c r="Q2274" i="14" s="1"/>
  <c r="K2304" i="14"/>
  <c r="Q2304" i="14" s="1"/>
  <c r="K2251" i="14"/>
  <c r="Q2251" i="14" s="1"/>
  <c r="K2252" i="14"/>
  <c r="Q2252" i="14" s="1"/>
  <c r="K2298" i="14"/>
  <c r="Q2298" i="14" s="1"/>
  <c r="K2296" i="14"/>
  <c r="Q2296" i="14" s="1"/>
  <c r="K2318" i="14"/>
  <c r="Q2318" i="14" s="1"/>
  <c r="K2276" i="14"/>
  <c r="Q2276" i="14" s="1"/>
  <c r="K2411" i="14"/>
  <c r="Q2411" i="14" s="1"/>
  <c r="K2465" i="14"/>
  <c r="Q2465" i="14" s="1"/>
  <c r="K2423" i="14"/>
  <c r="Q2423" i="14" s="1"/>
  <c r="K2398" i="14"/>
  <c r="Q2398" i="14" s="1"/>
  <c r="K2249" i="14"/>
  <c r="Q2249" i="14" s="1"/>
  <c r="K2326" i="14"/>
  <c r="Q2326" i="14" s="1"/>
  <c r="K2264" i="14"/>
  <c r="Q2264" i="14" s="1"/>
  <c r="K2322" i="14"/>
  <c r="Q2322" i="14" s="1"/>
  <c r="K2478" i="14"/>
  <c r="Q2478" i="14" s="1"/>
  <c r="K2471" i="14"/>
  <c r="Q2471" i="14" s="1"/>
  <c r="K2275" i="14"/>
  <c r="Q2275" i="14" s="1"/>
  <c r="K2320" i="14"/>
  <c r="Q2320" i="14" s="1"/>
  <c r="K2314" i="14"/>
  <c r="Q2314" i="14" s="1"/>
  <c r="K2292" i="14"/>
  <c r="Q2292" i="14" s="1"/>
  <c r="K2262" i="14"/>
  <c r="Q2262" i="14" s="1"/>
  <c r="K2328" i="14"/>
  <c r="Q2328" i="14" s="1"/>
  <c r="K2443" i="14"/>
  <c r="Q2443" i="14" s="1"/>
  <c r="K2369" i="14"/>
  <c r="Q2369" i="14" s="1"/>
  <c r="K2347" i="14"/>
  <c r="Q2347" i="14" s="1"/>
  <c r="K2444" i="14"/>
  <c r="Q2444" i="14" s="1"/>
  <c r="K2383" i="14"/>
  <c r="Q2383" i="14" s="1"/>
  <c r="K2374" i="14"/>
  <c r="Q2374" i="14" s="1"/>
  <c r="K2289" i="14"/>
  <c r="Q2289" i="14" s="1"/>
  <c r="K2464" i="14"/>
  <c r="Q2464" i="14" s="1"/>
  <c r="K2430" i="14"/>
  <c r="Q2430" i="14" s="1"/>
  <c r="K2386" i="14"/>
  <c r="Q2386" i="14" s="1"/>
  <c r="K2376" i="14"/>
  <c r="Q2376" i="14" s="1"/>
  <c r="K2263" i="14"/>
  <c r="Q2263" i="14" s="1"/>
  <c r="K2293" i="14"/>
  <c r="Q2293" i="14" s="1"/>
  <c r="K2346" i="14"/>
  <c r="Q2346" i="14" s="1"/>
  <c r="K2368" i="14"/>
  <c r="Q2368" i="14" s="1"/>
  <c r="K2287" i="14"/>
  <c r="Q2287" i="14" s="1"/>
  <c r="K2285" i="14"/>
  <c r="Q2285" i="14" s="1"/>
  <c r="K2307" i="14"/>
  <c r="Q2307" i="14" s="1"/>
  <c r="K2265" i="14"/>
  <c r="Q2265" i="14" s="1"/>
  <c r="K2343" i="14"/>
  <c r="Q2343" i="14" s="1"/>
  <c r="K2245" i="14"/>
  <c r="Q2245" i="14" s="1"/>
  <c r="K2278" i="14"/>
  <c r="Q2278" i="14" s="1"/>
  <c r="K2239" i="14"/>
  <c r="Q2239" i="14" s="1"/>
  <c r="K2312" i="14"/>
  <c r="Q2312" i="14" s="1"/>
  <c r="K2334" i="14"/>
  <c r="Q2334" i="14" s="1"/>
  <c r="K2324" i="14"/>
  <c r="Q2324" i="14" s="1"/>
  <c r="K2338" i="14"/>
  <c r="Q2338" i="14" s="1"/>
  <c r="K2240" i="14"/>
  <c r="Q2240" i="14" s="1"/>
  <c r="K2294" i="14"/>
  <c r="Q2294" i="14" s="1"/>
  <c r="K2316" i="14"/>
  <c r="Q2316" i="14" s="1"/>
  <c r="K2446" i="14"/>
  <c r="Q2446" i="14" s="1"/>
  <c r="K2402" i="14"/>
  <c r="Q2402" i="14" s="1"/>
  <c r="K2360" i="14"/>
  <c r="Q2360" i="14" s="1"/>
  <c r="K2311" i="14"/>
  <c r="Q2311" i="14" s="1"/>
  <c r="K2341" i="14"/>
  <c r="Q2341" i="14" s="1"/>
  <c r="K2267" i="14"/>
  <c r="Q2267" i="14" s="1"/>
  <c r="K2352" i="14"/>
  <c r="Q2352" i="14" s="1"/>
  <c r="K2335" i="14"/>
  <c r="Q2335" i="14" s="1"/>
  <c r="K2301" i="14"/>
  <c r="Q2301" i="14" s="1"/>
  <c r="K2323" i="14"/>
  <c r="Q2323" i="14" s="1"/>
  <c r="K2313" i="14"/>
  <c r="Q2313" i="14" s="1"/>
  <c r="K2327" i="14"/>
  <c r="Q2327" i="14" s="1"/>
  <c r="K2356" i="14"/>
  <c r="Q2356" i="14" s="1"/>
  <c r="K2283" i="14"/>
  <c r="Q2283" i="14" s="1"/>
  <c r="K2305" i="14"/>
  <c r="Q2305" i="14" s="1"/>
  <c r="K2350" i="14"/>
  <c r="Q2350" i="14" s="1"/>
  <c r="K2348" i="14"/>
  <c r="Q2348" i="14" s="1"/>
  <c r="K2243" i="14"/>
  <c r="Q2243" i="14" s="1"/>
  <c r="K2308" i="14"/>
  <c r="Q2308" i="14" s="1"/>
  <c r="K2258" i="14"/>
  <c r="Q2258" i="14" s="1"/>
  <c r="K2288" i="14"/>
  <c r="Q2288" i="14" s="1"/>
  <c r="K2455" i="14"/>
  <c r="Q2455" i="14" s="1"/>
  <c r="K2437" i="14"/>
  <c r="Q2437" i="14" s="1"/>
  <c r="K2462" i="14"/>
  <c r="Q2462" i="14" s="1"/>
  <c r="K2425" i="14"/>
  <c r="Q2425" i="14" s="1"/>
  <c r="K2415" i="14"/>
  <c r="Q2415" i="14" s="1"/>
  <c r="K2429" i="14"/>
  <c r="Q2429" i="14" s="1"/>
  <c r="K2459" i="14"/>
  <c r="Q2459" i="14" s="1"/>
  <c r="K2407" i="14"/>
  <c r="Q2407" i="14" s="1"/>
  <c r="K2453" i="14"/>
  <c r="Q2453" i="14" s="1"/>
  <c r="K2451" i="14"/>
  <c r="Q2451" i="14" s="1"/>
  <c r="K2473" i="14"/>
  <c r="Q2473" i="14" s="1"/>
  <c r="K2431" i="14"/>
  <c r="Q2431" i="14" s="1"/>
  <c r="K2440" i="14"/>
  <c r="Q2440" i="14" s="1"/>
  <c r="K2404" i="14"/>
  <c r="Q2404" i="14" s="1"/>
  <c r="K2397" i="14"/>
  <c r="Q2397" i="14" s="1"/>
  <c r="K2355" i="14"/>
  <c r="Q2355" i="14" s="1"/>
  <c r="K2364" i="14"/>
  <c r="Q2364" i="14" s="1"/>
  <c r="K2242" i="14"/>
  <c r="Q2242" i="14" s="1"/>
  <c r="K2241" i="14"/>
  <c r="Q2241" i="14" s="1"/>
  <c r="K2286" i="14"/>
  <c r="Q2286" i="14" s="1"/>
  <c r="K2450" i="14"/>
  <c r="Q2450" i="14" s="1"/>
  <c r="K2474" i="14"/>
  <c r="Q2474" i="14" s="1"/>
  <c r="K2454" i="14"/>
  <c r="Q2454" i="14" s="1"/>
  <c r="K2448" i="14"/>
  <c r="Q2448" i="14" s="1"/>
  <c r="K2290" i="14"/>
  <c r="Q2290" i="14" s="1"/>
  <c r="K2246" i="14"/>
  <c r="Q2246" i="14" s="1"/>
  <c r="K2280" i="14"/>
  <c r="Q2280" i="14" s="1"/>
  <c r="K2306" i="14"/>
  <c r="Q2306" i="14" s="1"/>
  <c r="K2284" i="14"/>
  <c r="Q2284" i="14" s="1"/>
  <c r="K2413" i="14"/>
  <c r="Q2413" i="14" s="1"/>
  <c r="K2387" i="14"/>
  <c r="Q2387" i="14" s="1"/>
  <c r="K2357" i="14"/>
  <c r="Q2357" i="14" s="1"/>
  <c r="K2361" i="14"/>
  <c r="Q2361" i="14" s="1"/>
  <c r="K2400" i="14"/>
  <c r="Q2400" i="14" s="1"/>
  <c r="K2405" i="14"/>
  <c r="Q2405" i="14" s="1"/>
  <c r="K2277" i="14"/>
  <c r="Q2277" i="14" s="1"/>
  <c r="E2452" i="14"/>
  <c r="N2424" i="14"/>
  <c r="T2424" i="14" s="1"/>
  <c r="N2422" i="14"/>
  <c r="T2422" i="14" s="1"/>
  <c r="N2369" i="14"/>
  <c r="T2369" i="14" s="1"/>
  <c r="N2297" i="14"/>
  <c r="T2297" i="14" s="1"/>
  <c r="N2349" i="14"/>
  <c r="T2349" i="14" s="1"/>
  <c r="N2317" i="14"/>
  <c r="T2317" i="14" s="1"/>
  <c r="N2267" i="14"/>
  <c r="T2267" i="14" s="1"/>
  <c r="N2351" i="14"/>
  <c r="T2351" i="14" s="1"/>
  <c r="N2279" i="14"/>
  <c r="T2279" i="14" s="1"/>
  <c r="N2309" i="14"/>
  <c r="T2309" i="14" s="1"/>
  <c r="N2291" i="14"/>
  <c r="T2291" i="14" s="1"/>
  <c r="N2249" i="14"/>
  <c r="T2249" i="14" s="1"/>
  <c r="N2461" i="14"/>
  <c r="T2461" i="14" s="1"/>
  <c r="N2444" i="14"/>
  <c r="T2444" i="14" s="1"/>
  <c r="N2400" i="14"/>
  <c r="T2400" i="14" s="1"/>
  <c r="N2390" i="14"/>
  <c r="T2390" i="14" s="1"/>
  <c r="N2388" i="14"/>
  <c r="T2388" i="14" s="1"/>
  <c r="N2402" i="14"/>
  <c r="T2402" i="14" s="1"/>
  <c r="N2391" i="14"/>
  <c r="T2391" i="14" s="1"/>
  <c r="N2382" i="14"/>
  <c r="T2382" i="14" s="1"/>
  <c r="N2348" i="14"/>
  <c r="T2348" i="14" s="1"/>
  <c r="N2361" i="14"/>
  <c r="T2361" i="14" s="1"/>
  <c r="N2321" i="14"/>
  <c r="T2321" i="14" s="1"/>
  <c r="N2247" i="14"/>
  <c r="T2247" i="14" s="1"/>
  <c r="N2256" i="14"/>
  <c r="T2256" i="14" s="1"/>
  <c r="N2238" i="14"/>
  <c r="T2238" i="14" s="1"/>
  <c r="N2324" i="14"/>
  <c r="T2324" i="14" s="1"/>
  <c r="N2314" i="14"/>
  <c r="T2314" i="14" s="1"/>
  <c r="N2280" i="14"/>
  <c r="T2280" i="14" s="1"/>
  <c r="N2326" i="14"/>
  <c r="T2326" i="14" s="1"/>
  <c r="N2284" i="14"/>
  <c r="T2284" i="14" s="1"/>
  <c r="N2295" i="14"/>
  <c r="T2295" i="14" s="1"/>
  <c r="N2293" i="14"/>
  <c r="T2293" i="14" s="1"/>
  <c r="N2307" i="14"/>
  <c r="T2307" i="14" s="1"/>
  <c r="N2340" i="14"/>
  <c r="T2340" i="14" s="1"/>
  <c r="N2266" i="14"/>
  <c r="T2266" i="14" s="1"/>
  <c r="N2459" i="14"/>
  <c r="T2459" i="14" s="1"/>
  <c r="N2417" i="14"/>
  <c r="T2417" i="14" s="1"/>
  <c r="N2474" i="14"/>
  <c r="T2474" i="14" s="1"/>
  <c r="N2438" i="14"/>
  <c r="T2438" i="14" s="1"/>
  <c r="N2420" i="14"/>
  <c r="T2420" i="14" s="1"/>
  <c r="N2376" i="14"/>
  <c r="T2376" i="14" s="1"/>
  <c r="N2366" i="14"/>
  <c r="T2366" i="14" s="1"/>
  <c r="N2395" i="14"/>
  <c r="T2395" i="14" s="1"/>
  <c r="N2378" i="14"/>
  <c r="T2378" i="14" s="1"/>
  <c r="N2399" i="14"/>
  <c r="T2399" i="14" s="1"/>
  <c r="N2389" i="14"/>
  <c r="T2389" i="14" s="1"/>
  <c r="N2387" i="14"/>
  <c r="T2387" i="14" s="1"/>
  <c r="N2401" i="14"/>
  <c r="T2401" i="14" s="1"/>
  <c r="N2392" i="14"/>
  <c r="T2392" i="14" s="1"/>
  <c r="N2381" i="14"/>
  <c r="T2381" i="14" s="1"/>
  <c r="N2347" i="14"/>
  <c r="T2347" i="14" s="1"/>
  <c r="N2299" i="14"/>
  <c r="T2299" i="14" s="1"/>
  <c r="N2257" i="14"/>
  <c r="T2257" i="14" s="1"/>
  <c r="N2290" i="14"/>
  <c r="T2290" i="14" s="1"/>
  <c r="N2320" i="14"/>
  <c r="T2320" i="14" s="1"/>
  <c r="N2302" i="14"/>
  <c r="T2302" i="14" s="1"/>
  <c r="N2260" i="14"/>
  <c r="T2260" i="14" s="1"/>
  <c r="N2250" i="14"/>
  <c r="T2250" i="14" s="1"/>
  <c r="N2411" i="14"/>
  <c r="T2411" i="14" s="1"/>
  <c r="N2434" i="14"/>
  <c r="T2434" i="14" s="1"/>
  <c r="N2477" i="14"/>
  <c r="T2477" i="14" s="1"/>
  <c r="N2416" i="14"/>
  <c r="T2416" i="14" s="1"/>
  <c r="N2393" i="14"/>
  <c r="T2393" i="14" s="1"/>
  <c r="N2354" i="14"/>
  <c r="T2354" i="14" s="1"/>
  <c r="N2312" i="14"/>
  <c r="T2312" i="14" s="1"/>
  <c r="N2453" i="14"/>
  <c r="T2453" i="14" s="1"/>
  <c r="N2458" i="14"/>
  <c r="T2458" i="14" s="1"/>
  <c r="N2428" i="14"/>
  <c r="T2428" i="14" s="1"/>
  <c r="N2277" i="14"/>
  <c r="T2277" i="14" s="1"/>
  <c r="N2301" i="14"/>
  <c r="T2301" i="14" s="1"/>
  <c r="N2305" i="14"/>
  <c r="T2305" i="14" s="1"/>
  <c r="N2370" i="14"/>
  <c r="T2370" i="14" s="1"/>
  <c r="N2253" i="14"/>
  <c r="T2253" i="14" s="1"/>
  <c r="N2322" i="14"/>
  <c r="T2322" i="14" s="1"/>
  <c r="N2462" i="14"/>
  <c r="T2462" i="14" s="1"/>
  <c r="N2456" i="14"/>
  <c r="T2456" i="14" s="1"/>
  <c r="N2457" i="14"/>
  <c r="T2457" i="14" s="1"/>
  <c r="N2362" i="14"/>
  <c r="T2362" i="14" s="1"/>
  <c r="N2341" i="14"/>
  <c r="T2341" i="14" s="1"/>
  <c r="N2271" i="14"/>
  <c r="T2271" i="14" s="1"/>
  <c r="N2357" i="14"/>
  <c r="T2357" i="14" s="1"/>
  <c r="N2355" i="14"/>
  <c r="T2355" i="14" s="1"/>
  <c r="N2243" i="14"/>
  <c r="T2243" i="14" s="1"/>
  <c r="N2276" i="14"/>
  <c r="T2276" i="14" s="1"/>
  <c r="N2330" i="14"/>
  <c r="T2330" i="14" s="1"/>
  <c r="N2296" i="14"/>
  <c r="T2296" i="14" s="1"/>
  <c r="N2246" i="14"/>
  <c r="T2246" i="14" s="1"/>
  <c r="N2332" i="14"/>
  <c r="T2332" i="14" s="1"/>
  <c r="N2258" i="14"/>
  <c r="T2258" i="14" s="1"/>
  <c r="N2288" i="14"/>
  <c r="T2288" i="14" s="1"/>
  <c r="N2270" i="14"/>
  <c r="T2270" i="14" s="1"/>
  <c r="N2432" i="14"/>
  <c r="T2432" i="14" s="1"/>
  <c r="N2396" i="14"/>
  <c r="T2396" i="14" s="1"/>
  <c r="N2377" i="14"/>
  <c r="T2377" i="14" s="1"/>
  <c r="N2337" i="14"/>
  <c r="T2337" i="14" s="1"/>
  <c r="N2327" i="14"/>
  <c r="T2327" i="14" s="1"/>
  <c r="N2325" i="14"/>
  <c r="T2325" i="14" s="1"/>
  <c r="N2339" i="14"/>
  <c r="T2339" i="14" s="1"/>
  <c r="N2265" i="14"/>
  <c r="T2265" i="14" s="1"/>
  <c r="N2319" i="14"/>
  <c r="T2319" i="14" s="1"/>
  <c r="N2285" i="14"/>
  <c r="T2285" i="14" s="1"/>
  <c r="N2342" i="14"/>
  <c r="T2342" i="14" s="1"/>
  <c r="N2300" i="14"/>
  <c r="T2300" i="14" s="1"/>
  <c r="N2470" i="14"/>
  <c r="T2470" i="14" s="1"/>
  <c r="N2452" i="14"/>
  <c r="T2452" i="14" s="1"/>
  <c r="N2476" i="14"/>
  <c r="T2476" i="14" s="1"/>
  <c r="N2463" i="14"/>
  <c r="T2463" i="14" s="1"/>
  <c r="N2429" i="14"/>
  <c r="T2429" i="14" s="1"/>
  <c r="N2478" i="14"/>
  <c r="T2478" i="14" s="1"/>
  <c r="N2433" i="14"/>
  <c r="T2433" i="14" s="1"/>
  <c r="N2274" i="14"/>
  <c r="T2274" i="14" s="1"/>
  <c r="N2272" i="14"/>
  <c r="T2272" i="14" s="1"/>
  <c r="N2286" i="14"/>
  <c r="T2286" i="14" s="1"/>
  <c r="N2415" i="14"/>
  <c r="T2415" i="14" s="1"/>
  <c r="N2446" i="14"/>
  <c r="T2446" i="14" s="1"/>
  <c r="N2394" i="14"/>
  <c r="T2394" i="14" s="1"/>
  <c r="N2352" i="14"/>
  <c r="T2352" i="14" s="1"/>
  <c r="N2408" i="14"/>
  <c r="T2408" i="14" s="1"/>
  <c r="N2371" i="14"/>
  <c r="T2371" i="14" s="1"/>
  <c r="N2353" i="14"/>
  <c r="T2353" i="14" s="1"/>
  <c r="N2313" i="14"/>
  <c r="T2313" i="14" s="1"/>
  <c r="N2303" i="14"/>
  <c r="T2303" i="14" s="1"/>
  <c r="N2269" i="14"/>
  <c r="T2269" i="14" s="1"/>
  <c r="N2315" i="14"/>
  <c r="T2315" i="14" s="1"/>
  <c r="N2273" i="14"/>
  <c r="T2273" i="14" s="1"/>
  <c r="N2263" i="14"/>
  <c r="T2263" i="14" s="1"/>
  <c r="N2261" i="14"/>
  <c r="T2261" i="14" s="1"/>
  <c r="N2275" i="14"/>
  <c r="T2275" i="14" s="1"/>
  <c r="N2329" i="14"/>
  <c r="T2329" i="14" s="1"/>
  <c r="N2255" i="14"/>
  <c r="T2255" i="14" s="1"/>
  <c r="N2328" i="14"/>
  <c r="T2328" i="14" s="1"/>
  <c r="N2278" i="14"/>
  <c r="T2278" i="14" s="1"/>
  <c r="N2439" i="14"/>
  <c r="T2439" i="14" s="1"/>
  <c r="N2472" i="14"/>
  <c r="T2472" i="14" s="1"/>
  <c r="N2451" i="14"/>
  <c r="T2451" i="14" s="1"/>
  <c r="N2409" i="14"/>
  <c r="T2409" i="14" s="1"/>
  <c r="N2464" i="14"/>
  <c r="T2464" i="14" s="1"/>
  <c r="N2430" i="14"/>
  <c r="T2430" i="14" s="1"/>
  <c r="N2346" i="14"/>
  <c r="T2346" i="14" s="1"/>
  <c r="N2367" i="14"/>
  <c r="T2367" i="14" s="1"/>
  <c r="N2436" i="14"/>
  <c r="T2436" i="14" s="1"/>
  <c r="N2380" i="14"/>
  <c r="T2380" i="14" s="1"/>
  <c r="N2405" i="14"/>
  <c r="T2405" i="14" s="1"/>
  <c r="N2375" i="14"/>
  <c r="T2375" i="14" s="1"/>
  <c r="N2465" i="14"/>
  <c r="T2465" i="14" s="1"/>
  <c r="N2467" i="14"/>
  <c r="T2467" i="14" s="1"/>
  <c r="N2413" i="14"/>
  <c r="T2413" i="14" s="1"/>
  <c r="N2373" i="14"/>
  <c r="T2373" i="14" s="1"/>
  <c r="N2344" i="14"/>
  <c r="T2344" i="14" s="1"/>
  <c r="N2345" i="14"/>
  <c r="T2345" i="14" s="1"/>
  <c r="N2356" i="14"/>
  <c r="T2356" i="14" s="1"/>
  <c r="N2287" i="14"/>
  <c r="T2287" i="14" s="1"/>
  <c r="N2268" i="14"/>
  <c r="T2268" i="14" s="1"/>
  <c r="N2441" i="14"/>
  <c r="T2441" i="14" s="1"/>
  <c r="N2431" i="14"/>
  <c r="T2431" i="14" s="1"/>
  <c r="N2466" i="14"/>
  <c r="T2466" i="14" s="1"/>
  <c r="N2468" i="14"/>
  <c r="T2468" i="14" s="1"/>
  <c r="N2414" i="14"/>
  <c r="T2414" i="14" s="1"/>
  <c r="N2311" i="14"/>
  <c r="T2311" i="14" s="1"/>
  <c r="N2281" i="14"/>
  <c r="T2281" i="14" s="1"/>
  <c r="N2262" i="14"/>
  <c r="T2262" i="14" s="1"/>
  <c r="N2338" i="14"/>
  <c r="T2338" i="14" s="1"/>
  <c r="N2336" i="14"/>
  <c r="T2336" i="14" s="1"/>
  <c r="N2425" i="14"/>
  <c r="T2425" i="14" s="1"/>
  <c r="N2471" i="14"/>
  <c r="T2471" i="14" s="1"/>
  <c r="N2445" i="14"/>
  <c r="T2445" i="14" s="1"/>
  <c r="N2460" i="14"/>
  <c r="T2460" i="14" s="1"/>
  <c r="N2473" i="14"/>
  <c r="T2473" i="14" s="1"/>
  <c r="N2407" i="14"/>
  <c r="T2407" i="14" s="1"/>
  <c r="N2437" i="14"/>
  <c r="T2437" i="14" s="1"/>
  <c r="N2419" i="14"/>
  <c r="T2419" i="14" s="1"/>
  <c r="N2442" i="14"/>
  <c r="T2442" i="14" s="1"/>
  <c r="N2365" i="14"/>
  <c r="T2365" i="14" s="1"/>
  <c r="N2333" i="14"/>
  <c r="T2333" i="14" s="1"/>
  <c r="N2251" i="14"/>
  <c r="T2251" i="14" s="1"/>
  <c r="N2316" i="14"/>
  <c r="T2316" i="14" s="1"/>
  <c r="N2306" i="14"/>
  <c r="T2306" i="14" s="1"/>
  <c r="N2304" i="14"/>
  <c r="T2304" i="14" s="1"/>
  <c r="N2318" i="14"/>
  <c r="T2318" i="14" s="1"/>
  <c r="N2244" i="14"/>
  <c r="T2244" i="14" s="1"/>
  <c r="N2298" i="14"/>
  <c r="T2298" i="14" s="1"/>
  <c r="N2264" i="14"/>
  <c r="T2264" i="14" s="1"/>
  <c r="N2449" i="14"/>
  <c r="T2449" i="14" s="1"/>
  <c r="N2440" i="14"/>
  <c r="T2440" i="14" s="1"/>
  <c r="N2403" i="14"/>
  <c r="T2403" i="14" s="1"/>
  <c r="N2385" i="14"/>
  <c r="T2385" i="14" s="1"/>
  <c r="N2410" i="14"/>
  <c r="T2410" i="14" s="1"/>
  <c r="N2398" i="14"/>
  <c r="T2398" i="14" s="1"/>
  <c r="N2364" i="14"/>
  <c r="T2364" i="14" s="1"/>
  <c r="N2412" i="14"/>
  <c r="T2412" i="14" s="1"/>
  <c r="N2368" i="14"/>
  <c r="T2368" i="14" s="1"/>
  <c r="N2423" i="14"/>
  <c r="T2423" i="14" s="1"/>
  <c r="N2421" i="14"/>
  <c r="T2421" i="14" s="1"/>
  <c r="N2435" i="14"/>
  <c r="T2435" i="14" s="1"/>
  <c r="N2426" i="14"/>
  <c r="T2426" i="14" s="1"/>
  <c r="N2350" i="14"/>
  <c r="T2350" i="14" s="1"/>
  <c r="N2379" i="14"/>
  <c r="T2379" i="14" s="1"/>
  <c r="N2331" i="14"/>
  <c r="T2331" i="14" s="1"/>
  <c r="N2289" i="14"/>
  <c r="T2289" i="14" s="1"/>
  <c r="N2343" i="14"/>
  <c r="T2343" i="14" s="1"/>
  <c r="N2245" i="14"/>
  <c r="T2245" i="14" s="1"/>
  <c r="N2334" i="14"/>
  <c r="T2334" i="14" s="1"/>
  <c r="N2292" i="14"/>
  <c r="T2292" i="14" s="1"/>
  <c r="N2282" i="14"/>
  <c r="T2282" i="14" s="1"/>
  <c r="N2248" i="14"/>
  <c r="T2248" i="14" s="1"/>
  <c r="N2294" i="14"/>
  <c r="T2294" i="14" s="1"/>
  <c r="N2252" i="14"/>
  <c r="T2252" i="14" s="1"/>
  <c r="N2242" i="14"/>
  <c r="T2242" i="14" s="1"/>
  <c r="N2240" i="14"/>
  <c r="T2240" i="14" s="1"/>
  <c r="N2254" i="14"/>
  <c r="T2254" i="14" s="1"/>
  <c r="N2308" i="14"/>
  <c r="T2308" i="14" s="1"/>
  <c r="N2469" i="14"/>
  <c r="T2469" i="14" s="1"/>
  <c r="N2427" i="14"/>
  <c r="T2427" i="14" s="1"/>
  <c r="N2450" i="14"/>
  <c r="T2450" i="14" s="1"/>
  <c r="N2374" i="14"/>
  <c r="T2374" i="14" s="1"/>
  <c r="N2404" i="14"/>
  <c r="T2404" i="14" s="1"/>
  <c r="N2386" i="14"/>
  <c r="T2386" i="14" s="1"/>
  <c r="N2406" i="14"/>
  <c r="T2406" i="14" s="1"/>
  <c r="N2397" i="14"/>
  <c r="T2397" i="14" s="1"/>
  <c r="N2363" i="14"/>
  <c r="T2363" i="14" s="1"/>
  <c r="N2283" i="14"/>
  <c r="T2283" i="14" s="1"/>
  <c r="N2241" i="14"/>
  <c r="T2241" i="14" s="1"/>
  <c r="N2479" i="14"/>
  <c r="T2479" i="14" s="1"/>
  <c r="N2360" i="14"/>
  <c r="T2360" i="14" s="1"/>
  <c r="N2418" i="14"/>
  <c r="T2418" i="14" s="1"/>
  <c r="N2372" i="14"/>
  <c r="T2372" i="14" s="1"/>
  <c r="N2239" i="14"/>
  <c r="T2239" i="14" s="1"/>
  <c r="N2455" i="14"/>
  <c r="T2455" i="14" s="1"/>
  <c r="N2447" i="14"/>
  <c r="T2447" i="14" s="1"/>
  <c r="N2384" i="14"/>
  <c r="T2384" i="14" s="1"/>
  <c r="N2259" i="14"/>
  <c r="T2259" i="14" s="1"/>
  <c r="N2335" i="14"/>
  <c r="T2335" i="14" s="1"/>
  <c r="N2358" i="14"/>
  <c r="T2358" i="14" s="1"/>
  <c r="N2359" i="14"/>
  <c r="T2359" i="14" s="1"/>
  <c r="N2310" i="14"/>
  <c r="T2310" i="14" s="1"/>
  <c r="N2475" i="14"/>
  <c r="T2475" i="14" s="1"/>
  <c r="N2443" i="14"/>
  <c r="T2443" i="14" s="1"/>
  <c r="N2454" i="14"/>
  <c r="T2454" i="14" s="1"/>
  <c r="N2448" i="14"/>
  <c r="T2448" i="14" s="1"/>
  <c r="N2383" i="14"/>
  <c r="T2383" i="14" s="1"/>
  <c r="N2323" i="14"/>
  <c r="T2323" i="14" s="1"/>
  <c r="N2237" i="14"/>
  <c r="T2237" i="14" s="1"/>
  <c r="H2405" i="14"/>
  <c r="L412" i="10"/>
  <c r="U411" i="10"/>
  <c r="O2424" i="14"/>
  <c r="U2424" i="14" s="1"/>
  <c r="O2406" i="14"/>
  <c r="U2406" i="14" s="1"/>
  <c r="O2420" i="14"/>
  <c r="U2420" i="14" s="1"/>
  <c r="O2400" i="14"/>
  <c r="U2400" i="14" s="1"/>
  <c r="O2416" i="14"/>
  <c r="U2416" i="14" s="1"/>
  <c r="O2399" i="14"/>
  <c r="U2399" i="14" s="1"/>
  <c r="O2412" i="14"/>
  <c r="U2412" i="14" s="1"/>
  <c r="O2395" i="14"/>
  <c r="U2395" i="14" s="1"/>
  <c r="O2374" i="14"/>
  <c r="U2374" i="14" s="1"/>
  <c r="O2356" i="14"/>
  <c r="U2356" i="14" s="1"/>
  <c r="O2275" i="14"/>
  <c r="U2275" i="14" s="1"/>
  <c r="O2352" i="14"/>
  <c r="U2352" i="14" s="1"/>
  <c r="O2271" i="14"/>
  <c r="U2271" i="14" s="1"/>
  <c r="O2317" i="14"/>
  <c r="U2317" i="14" s="1"/>
  <c r="O2267" i="14"/>
  <c r="U2267" i="14" s="1"/>
  <c r="O2281" i="14"/>
  <c r="U2281" i="14" s="1"/>
  <c r="O2327" i="14"/>
  <c r="U2327" i="14" s="1"/>
  <c r="O2309" i="14"/>
  <c r="U2309" i="14" s="1"/>
  <c r="O2323" i="14"/>
  <c r="U2323" i="14" s="1"/>
  <c r="O2241" i="14"/>
  <c r="U2241" i="14" s="1"/>
  <c r="O2298" i="14"/>
  <c r="U2298" i="14" s="1"/>
  <c r="O2280" i="14"/>
  <c r="U2280" i="14" s="1"/>
  <c r="O2294" i="14"/>
  <c r="U2294" i="14" s="1"/>
  <c r="O2276" i="14"/>
  <c r="U2276" i="14" s="1"/>
  <c r="O2322" i="14"/>
  <c r="U2322" i="14" s="1"/>
  <c r="O2304" i="14"/>
  <c r="U2304" i="14" s="1"/>
  <c r="O2455" i="14"/>
  <c r="U2455" i="14" s="1"/>
  <c r="O2432" i="14"/>
  <c r="U2432" i="14" s="1"/>
  <c r="O2351" i="14"/>
  <c r="U2351" i="14" s="1"/>
  <c r="O2362" i="14"/>
  <c r="U2362" i="14" s="1"/>
  <c r="O2249" i="14"/>
  <c r="U2249" i="14" s="1"/>
  <c r="O2274" i="14"/>
  <c r="U2274" i="14" s="1"/>
  <c r="O2256" i="14"/>
  <c r="U2256" i="14" s="1"/>
  <c r="O2270" i="14"/>
  <c r="U2270" i="14" s="1"/>
  <c r="O2316" i="14"/>
  <c r="U2316" i="14" s="1"/>
  <c r="O2266" i="14"/>
  <c r="U2266" i="14" s="1"/>
  <c r="O2248" i="14"/>
  <c r="U2248" i="14" s="1"/>
  <c r="O2262" i="14"/>
  <c r="U2262" i="14" s="1"/>
  <c r="O2244" i="14"/>
  <c r="U2244" i="14" s="1"/>
  <c r="O2290" i="14"/>
  <c r="U2290" i="14" s="1"/>
  <c r="O2272" i="14"/>
  <c r="U2272" i="14" s="1"/>
  <c r="O2318" i="14"/>
  <c r="U2318" i="14" s="1"/>
  <c r="O2268" i="14"/>
  <c r="U2268" i="14" s="1"/>
  <c r="O2314" i="14"/>
  <c r="U2314" i="14" s="1"/>
  <c r="O2465" i="14"/>
  <c r="U2465" i="14" s="1"/>
  <c r="O2479" i="14"/>
  <c r="U2479" i="14" s="1"/>
  <c r="O2456" i="14"/>
  <c r="U2456" i="14" s="1"/>
  <c r="O2438" i="14"/>
  <c r="U2438" i="14" s="1"/>
  <c r="O2386" i="14"/>
  <c r="U2386" i="14" s="1"/>
  <c r="O2371" i="14"/>
  <c r="U2371" i="14" s="1"/>
  <c r="O2382" i="14"/>
  <c r="U2382" i="14" s="1"/>
  <c r="O2237" i="14"/>
  <c r="U2237" i="14" s="1"/>
  <c r="O2426" i="14"/>
  <c r="U2426" i="14" s="1"/>
  <c r="O2345" i="14"/>
  <c r="U2345" i="14" s="1"/>
  <c r="O2388" i="14"/>
  <c r="U2388" i="14" s="1"/>
  <c r="O2373" i="14"/>
  <c r="U2373" i="14" s="1"/>
  <c r="O2384" i="14"/>
  <c r="U2384" i="14" s="1"/>
  <c r="O2303" i="14"/>
  <c r="U2303" i="14" s="1"/>
  <c r="O2348" i="14"/>
  <c r="U2348" i="14" s="1"/>
  <c r="O2299" i="14"/>
  <c r="U2299" i="14" s="1"/>
  <c r="O2313" i="14"/>
  <c r="U2313" i="14" s="1"/>
  <c r="O2478" i="14"/>
  <c r="U2478" i="14" s="1"/>
  <c r="O2407" i="14"/>
  <c r="U2407" i="14" s="1"/>
  <c r="O2463" i="14"/>
  <c r="U2463" i="14" s="1"/>
  <c r="O2402" i="14"/>
  <c r="U2402" i="14" s="1"/>
  <c r="O2383" i="14"/>
  <c r="U2383" i="14" s="1"/>
  <c r="O2393" i="14"/>
  <c r="U2393" i="14" s="1"/>
  <c r="O2368" i="14"/>
  <c r="U2368" i="14" s="1"/>
  <c r="O2315" i="14"/>
  <c r="U2315" i="14" s="1"/>
  <c r="O2243" i="14"/>
  <c r="U2243" i="14" s="1"/>
  <c r="O2428" i="14"/>
  <c r="U2428" i="14" s="1"/>
  <c r="O2277" i="14"/>
  <c r="U2277" i="14" s="1"/>
  <c r="O2269" i="14"/>
  <c r="U2269" i="14" s="1"/>
  <c r="O2311" i="14"/>
  <c r="U2311" i="14" s="1"/>
  <c r="O2339" i="14"/>
  <c r="U2339" i="14" s="1"/>
  <c r="O2335" i="14"/>
  <c r="U2335" i="14" s="1"/>
  <c r="O2324" i="14"/>
  <c r="U2324" i="14" s="1"/>
  <c r="O2439" i="14"/>
  <c r="U2439" i="14" s="1"/>
  <c r="O2251" i="14"/>
  <c r="U2251" i="14" s="1"/>
  <c r="O2441" i="14"/>
  <c r="U2441" i="14" s="1"/>
  <c r="O2414" i="14"/>
  <c r="U2414" i="14" s="1"/>
  <c r="O2358" i="14"/>
  <c r="U2358" i="14" s="1"/>
  <c r="O2341" i="14"/>
  <c r="U2341" i="14" s="1"/>
  <c r="O2354" i="14"/>
  <c r="U2354" i="14" s="1"/>
  <c r="O2273" i="14"/>
  <c r="U2273" i="14" s="1"/>
  <c r="O2350" i="14"/>
  <c r="U2350" i="14" s="1"/>
  <c r="O2333" i="14"/>
  <c r="U2333" i="14" s="1"/>
  <c r="O2346" i="14"/>
  <c r="U2346" i="14" s="1"/>
  <c r="O2329" i="14"/>
  <c r="U2329" i="14" s="1"/>
  <c r="O2247" i="14"/>
  <c r="U2247" i="14" s="1"/>
  <c r="O2336" i="14"/>
  <c r="U2336" i="14" s="1"/>
  <c r="O2254" i="14"/>
  <c r="U2254" i="14" s="1"/>
  <c r="O2332" i="14"/>
  <c r="U2332" i="14" s="1"/>
  <c r="O2250" i="14"/>
  <c r="U2250" i="14" s="1"/>
  <c r="O2296" i="14"/>
  <c r="U2296" i="14" s="1"/>
  <c r="O2246" i="14"/>
  <c r="U2246" i="14" s="1"/>
  <c r="O2260" i="14"/>
  <c r="U2260" i="14" s="1"/>
  <c r="O2306" i="14"/>
  <c r="U2306" i="14" s="1"/>
  <c r="O2288" i="14"/>
  <c r="U2288" i="14" s="1"/>
  <c r="O2302" i="14"/>
  <c r="U2302" i="14" s="1"/>
  <c r="O2453" i="14"/>
  <c r="U2453" i="14" s="1"/>
  <c r="O2435" i="14"/>
  <c r="U2435" i="14" s="1"/>
  <c r="O2449" i="14"/>
  <c r="U2449" i="14" s="1"/>
  <c r="O2431" i="14"/>
  <c r="U2431" i="14" s="1"/>
  <c r="O2477" i="14"/>
  <c r="U2477" i="14" s="1"/>
  <c r="O2459" i="14"/>
  <c r="U2459" i="14" s="1"/>
  <c r="O2436" i="14"/>
  <c r="U2436" i="14" s="1"/>
  <c r="O2387" i="14"/>
  <c r="U2387" i="14" s="1"/>
  <c r="O2366" i="14"/>
  <c r="U2366" i="14" s="1"/>
  <c r="O2285" i="14"/>
  <c r="U2285" i="14" s="1"/>
  <c r="O2342" i="14"/>
  <c r="U2342" i="14" s="1"/>
  <c r="O2429" i="14"/>
  <c r="U2429" i="14" s="1"/>
  <c r="O2411" i="14"/>
  <c r="U2411" i="14" s="1"/>
  <c r="O2425" i="14"/>
  <c r="U2425" i="14" s="1"/>
  <c r="O2471" i="14"/>
  <c r="U2471" i="14" s="1"/>
  <c r="O2421" i="14"/>
  <c r="U2421" i="14" s="1"/>
  <c r="O2462" i="14"/>
  <c r="U2462" i="14" s="1"/>
  <c r="O2417" i="14"/>
  <c r="U2417" i="14" s="1"/>
  <c r="O2458" i="14"/>
  <c r="U2458" i="14" s="1"/>
  <c r="O2445" i="14"/>
  <c r="U2445" i="14" s="1"/>
  <c r="O2427" i="14"/>
  <c r="U2427" i="14" s="1"/>
  <c r="O2473" i="14"/>
  <c r="U2473" i="14" s="1"/>
  <c r="O2423" i="14"/>
  <c r="U2423" i="14" s="1"/>
  <c r="O2469" i="14"/>
  <c r="U2469" i="14" s="1"/>
  <c r="O2446" i="14"/>
  <c r="U2446" i="14" s="1"/>
  <c r="O2397" i="14"/>
  <c r="U2397" i="14" s="1"/>
  <c r="O2410" i="14"/>
  <c r="U2410" i="14" s="1"/>
  <c r="O2390" i="14"/>
  <c r="U2390" i="14" s="1"/>
  <c r="O2372" i="14"/>
  <c r="U2372" i="14" s="1"/>
  <c r="O2259" i="14"/>
  <c r="U2259" i="14" s="1"/>
  <c r="O2305" i="14"/>
  <c r="U2305" i="14" s="1"/>
  <c r="O2255" i="14"/>
  <c r="U2255" i="14" s="1"/>
  <c r="O2444" i="14"/>
  <c r="U2444" i="14" s="1"/>
  <c r="O2360" i="14"/>
  <c r="U2360" i="14" s="1"/>
  <c r="O2279" i="14"/>
  <c r="U2279" i="14" s="1"/>
  <c r="O2261" i="14"/>
  <c r="U2261" i="14" s="1"/>
  <c r="O2307" i="14"/>
  <c r="U2307" i="14" s="1"/>
  <c r="O2257" i="14"/>
  <c r="U2257" i="14" s="1"/>
  <c r="O2282" i="14"/>
  <c r="U2282" i="14" s="1"/>
  <c r="O2328" i="14"/>
  <c r="U2328" i="14" s="1"/>
  <c r="O2278" i="14"/>
  <c r="U2278" i="14" s="1"/>
  <c r="O2292" i="14"/>
  <c r="U2292" i="14" s="1"/>
  <c r="O2474" i="14"/>
  <c r="U2474" i="14" s="1"/>
  <c r="O2467" i="14"/>
  <c r="U2467" i="14" s="1"/>
  <c r="O2440" i="14"/>
  <c r="U2440" i="14" s="1"/>
  <c r="O2418" i="14"/>
  <c r="U2418" i="14" s="1"/>
  <c r="O2394" i="14"/>
  <c r="U2394" i="14" s="1"/>
  <c r="O2375" i="14"/>
  <c r="U2375" i="14" s="1"/>
  <c r="O2319" i="14"/>
  <c r="U2319" i="14" s="1"/>
  <c r="O2297" i="14"/>
  <c r="U2297" i="14" s="1"/>
  <c r="O2325" i="14"/>
  <c r="U2325" i="14" s="1"/>
  <c r="O2419" i="14"/>
  <c r="U2419" i="14" s="1"/>
  <c r="O2295" i="14"/>
  <c r="U2295" i="14" s="1"/>
  <c r="O2337" i="14"/>
  <c r="U2337" i="14" s="1"/>
  <c r="O2265" i="14"/>
  <c r="U2265" i="14" s="1"/>
  <c r="O2289" i="14"/>
  <c r="U2289" i="14" s="1"/>
  <c r="O2310" i="14"/>
  <c r="U2310" i="14" s="1"/>
  <c r="O2452" i="14"/>
  <c r="U2452" i="14" s="1"/>
  <c r="O2364" i="14"/>
  <c r="U2364" i="14" s="1"/>
  <c r="O2454" i="14"/>
  <c r="U2454" i="14" s="1"/>
  <c r="O2369" i="14"/>
  <c r="U2369" i="14" s="1"/>
  <c r="O2379" i="14"/>
  <c r="U2379" i="14" s="1"/>
  <c r="O2338" i="14"/>
  <c r="U2338" i="14" s="1"/>
  <c r="O2320" i="14"/>
  <c r="U2320" i="14" s="1"/>
  <c r="O2334" i="14"/>
  <c r="U2334" i="14" s="1"/>
  <c r="O2252" i="14"/>
  <c r="U2252" i="14" s="1"/>
  <c r="O2330" i="14"/>
  <c r="U2330" i="14" s="1"/>
  <c r="O2312" i="14"/>
  <c r="U2312" i="14" s="1"/>
  <c r="O2326" i="14"/>
  <c r="U2326" i="14" s="1"/>
  <c r="O2308" i="14"/>
  <c r="U2308" i="14" s="1"/>
  <c r="O2476" i="14"/>
  <c r="U2476" i="14" s="1"/>
  <c r="O2409" i="14"/>
  <c r="U2409" i="14" s="1"/>
  <c r="O2472" i="14"/>
  <c r="U2472" i="14" s="1"/>
  <c r="O2464" i="14"/>
  <c r="U2464" i="14" s="1"/>
  <c r="O2451" i="14"/>
  <c r="U2451" i="14" s="1"/>
  <c r="O2460" i="14"/>
  <c r="U2460" i="14" s="1"/>
  <c r="O2415" i="14"/>
  <c r="U2415" i="14" s="1"/>
  <c r="O2461" i="14"/>
  <c r="U2461" i="14" s="1"/>
  <c r="O2443" i="14"/>
  <c r="U2443" i="14" s="1"/>
  <c r="O2457" i="14"/>
  <c r="U2457" i="14" s="1"/>
  <c r="O2434" i="14"/>
  <c r="U2434" i="14" s="1"/>
  <c r="O2385" i="14"/>
  <c r="U2385" i="14" s="1"/>
  <c r="O2367" i="14"/>
  <c r="U2367" i="14" s="1"/>
  <c r="O2381" i="14"/>
  <c r="U2381" i="14" s="1"/>
  <c r="O2363" i="14"/>
  <c r="U2363" i="14" s="1"/>
  <c r="O2408" i="14"/>
  <c r="U2408" i="14" s="1"/>
  <c r="O2391" i="14"/>
  <c r="U2391" i="14" s="1"/>
  <c r="O2370" i="14"/>
  <c r="U2370" i="14" s="1"/>
  <c r="O2321" i="14"/>
  <c r="U2321" i="14" s="1"/>
  <c r="O2239" i="14"/>
  <c r="U2239" i="14" s="1"/>
  <c r="O2264" i="14"/>
  <c r="U2264" i="14" s="1"/>
  <c r="O2442" i="14"/>
  <c r="U2442" i="14" s="1"/>
  <c r="O2361" i="14"/>
  <c r="U2361" i="14" s="1"/>
  <c r="O2404" i="14"/>
  <c r="U2404" i="14" s="1"/>
  <c r="O2357" i="14"/>
  <c r="U2357" i="14" s="1"/>
  <c r="O2403" i="14"/>
  <c r="U2403" i="14" s="1"/>
  <c r="O2353" i="14"/>
  <c r="U2353" i="14" s="1"/>
  <c r="O2396" i="14"/>
  <c r="U2396" i="14" s="1"/>
  <c r="O2349" i="14"/>
  <c r="U2349" i="14" s="1"/>
  <c r="O2392" i="14"/>
  <c r="U2392" i="14" s="1"/>
  <c r="O2377" i="14"/>
  <c r="U2377" i="14" s="1"/>
  <c r="O2359" i="14"/>
  <c r="U2359" i="14" s="1"/>
  <c r="O2405" i="14"/>
  <c r="U2405" i="14" s="1"/>
  <c r="O2355" i="14"/>
  <c r="U2355" i="14" s="1"/>
  <c r="O2401" i="14"/>
  <c r="U2401" i="14" s="1"/>
  <c r="O2380" i="14"/>
  <c r="U2380" i="14" s="1"/>
  <c r="O2331" i="14"/>
  <c r="U2331" i="14" s="1"/>
  <c r="O2344" i="14"/>
  <c r="U2344" i="14" s="1"/>
  <c r="O2263" i="14"/>
  <c r="U2263" i="14" s="1"/>
  <c r="O2245" i="14"/>
  <c r="U2245" i="14" s="1"/>
  <c r="O2238" i="14"/>
  <c r="U2238" i="14" s="1"/>
  <c r="O2284" i="14"/>
  <c r="U2284" i="14" s="1"/>
  <c r="O2430" i="14"/>
  <c r="U2430" i="14" s="1"/>
  <c r="O2378" i="14"/>
  <c r="U2378" i="14" s="1"/>
  <c r="O2340" i="14"/>
  <c r="U2340" i="14" s="1"/>
  <c r="O2258" i="14"/>
  <c r="U2258" i="14" s="1"/>
  <c r="O2240" i="14"/>
  <c r="U2240" i="14" s="1"/>
  <c r="O2286" i="14"/>
  <c r="U2286" i="14" s="1"/>
  <c r="O2437" i="14"/>
  <c r="U2437" i="14" s="1"/>
  <c r="O2468" i="14"/>
  <c r="U2468" i="14" s="1"/>
  <c r="O2433" i="14"/>
  <c r="U2433" i="14" s="1"/>
  <c r="O2447" i="14"/>
  <c r="U2447" i="14" s="1"/>
  <c r="O2475" i="14"/>
  <c r="U2475" i="14" s="1"/>
  <c r="O2470" i="14"/>
  <c r="U2470" i="14" s="1"/>
  <c r="O2466" i="14"/>
  <c r="U2466" i="14" s="1"/>
  <c r="O2422" i="14"/>
  <c r="U2422" i="14" s="1"/>
  <c r="O2398" i="14"/>
  <c r="U2398" i="14" s="1"/>
  <c r="O2347" i="14"/>
  <c r="U2347" i="14" s="1"/>
  <c r="O2389" i="14"/>
  <c r="U2389" i="14" s="1"/>
  <c r="O2301" i="14"/>
  <c r="U2301" i="14" s="1"/>
  <c r="O2343" i="14"/>
  <c r="U2343" i="14" s="1"/>
  <c r="O2300" i="14"/>
  <c r="U2300" i="14" s="1"/>
  <c r="O2376" i="14"/>
  <c r="U2376" i="14" s="1"/>
  <c r="O2291" i="14"/>
  <c r="U2291" i="14" s="1"/>
  <c r="O2287" i="14"/>
  <c r="U2287" i="14" s="1"/>
  <c r="O2283" i="14"/>
  <c r="U2283" i="14" s="1"/>
  <c r="O2293" i="14"/>
  <c r="U2293" i="14" s="1"/>
  <c r="O2253" i="14"/>
  <c r="U2253" i="14" s="1"/>
  <c r="O2242" i="14"/>
  <c r="U2242" i="14" s="1"/>
  <c r="O2448" i="14"/>
  <c r="U2448" i="14" s="1"/>
  <c r="O2413" i="14"/>
  <c r="U2413" i="14" s="1"/>
  <c r="O2450" i="14"/>
  <c r="U2450" i="14" s="1"/>
  <c r="O2365" i="14"/>
  <c r="U2365" i="14" s="1"/>
  <c r="I2421" i="14"/>
  <c r="L2240" i="14"/>
  <c r="R2240" i="14" s="1"/>
  <c r="L2317" i="14"/>
  <c r="R2317" i="14" s="1"/>
  <c r="L2299" i="14"/>
  <c r="R2299" i="14" s="1"/>
  <c r="L2305" i="14"/>
  <c r="R2305" i="14" s="1"/>
  <c r="L2311" i="14"/>
  <c r="R2311" i="14" s="1"/>
  <c r="L2277" i="14"/>
  <c r="R2277" i="14" s="1"/>
  <c r="L2259" i="14"/>
  <c r="R2259" i="14" s="1"/>
  <c r="L2297" i="14"/>
  <c r="R2297" i="14" s="1"/>
  <c r="L2335" i="14"/>
  <c r="R2335" i="14" s="1"/>
  <c r="L2237" i="14"/>
  <c r="R2237" i="14" s="1"/>
  <c r="L2283" i="14"/>
  <c r="R2283" i="14" s="1"/>
  <c r="L2257" i="14"/>
  <c r="R2257" i="14" s="1"/>
  <c r="L2327" i="14"/>
  <c r="R2327" i="14" s="1"/>
  <c r="L2430" i="14"/>
  <c r="R2430" i="14" s="1"/>
  <c r="L2466" i="14"/>
  <c r="R2466" i="14" s="1"/>
  <c r="L2319" i="14"/>
  <c r="R2319" i="14" s="1"/>
  <c r="L2285" i="14"/>
  <c r="R2285" i="14" s="1"/>
  <c r="L2267" i="14"/>
  <c r="R2267" i="14" s="1"/>
  <c r="L2273" i="14"/>
  <c r="R2273" i="14" s="1"/>
  <c r="L2279" i="14"/>
  <c r="R2279" i="14" s="1"/>
  <c r="L2245" i="14"/>
  <c r="R2245" i="14" s="1"/>
  <c r="L2420" i="14"/>
  <c r="R2420" i="14" s="1"/>
  <c r="L2458" i="14"/>
  <c r="R2458" i="14" s="1"/>
  <c r="L2474" i="14"/>
  <c r="R2474" i="14" s="1"/>
  <c r="L2465" i="14"/>
  <c r="R2465" i="14" s="1"/>
  <c r="L2439" i="14"/>
  <c r="R2439" i="14" s="1"/>
  <c r="L2381" i="14"/>
  <c r="R2381" i="14" s="1"/>
  <c r="L2411" i="14"/>
  <c r="R2411" i="14" s="1"/>
  <c r="L2388" i="14"/>
  <c r="R2388" i="14" s="1"/>
  <c r="L2367" i="14"/>
  <c r="R2367" i="14" s="1"/>
  <c r="L2373" i="14"/>
  <c r="R2373" i="14" s="1"/>
  <c r="L2398" i="14"/>
  <c r="R2398" i="14" s="1"/>
  <c r="L2380" i="14"/>
  <c r="R2380" i="14" s="1"/>
  <c r="L2258" i="14"/>
  <c r="R2258" i="14" s="1"/>
  <c r="L2264" i="14"/>
  <c r="R2264" i="14" s="1"/>
  <c r="L2341" i="14"/>
  <c r="R2341" i="14" s="1"/>
  <c r="L2323" i="14"/>
  <c r="R2323" i="14" s="1"/>
  <c r="L2426" i="14"/>
  <c r="R2426" i="14" s="1"/>
  <c r="L2456" i="14"/>
  <c r="R2456" i="14" s="1"/>
  <c r="L2433" i="14"/>
  <c r="R2433" i="14" s="1"/>
  <c r="L2407" i="14"/>
  <c r="R2407" i="14" s="1"/>
  <c r="L2349" i="14"/>
  <c r="R2349" i="14" s="1"/>
  <c r="L2379" i="14"/>
  <c r="R2379" i="14" s="1"/>
  <c r="L2356" i="14"/>
  <c r="R2356" i="14" s="1"/>
  <c r="L2266" i="14"/>
  <c r="R2266" i="14" s="1"/>
  <c r="L2400" i="14"/>
  <c r="R2400" i="14" s="1"/>
  <c r="L2366" i="14"/>
  <c r="R2366" i="14" s="1"/>
  <c r="L2348" i="14"/>
  <c r="R2348" i="14" s="1"/>
  <c r="L2354" i="14"/>
  <c r="R2354" i="14" s="1"/>
  <c r="L2343" i="14"/>
  <c r="R2343" i="14" s="1"/>
  <c r="L2309" i="14"/>
  <c r="R2309" i="14" s="1"/>
  <c r="L2291" i="14"/>
  <c r="R2291" i="14" s="1"/>
  <c r="L2329" i="14"/>
  <c r="R2329" i="14" s="1"/>
  <c r="L2239" i="14"/>
  <c r="R2239" i="14" s="1"/>
  <c r="L2269" i="14"/>
  <c r="R2269" i="14" s="1"/>
  <c r="L2315" i="14"/>
  <c r="R2315" i="14" s="1"/>
  <c r="L2289" i="14"/>
  <c r="R2289" i="14" s="1"/>
  <c r="L2416" i="14"/>
  <c r="R2416" i="14" s="1"/>
  <c r="L2462" i="14"/>
  <c r="R2462" i="14" s="1"/>
  <c r="L2334" i="14"/>
  <c r="R2334" i="14" s="1"/>
  <c r="L2328" i="14"/>
  <c r="R2328" i="14" s="1"/>
  <c r="L2314" i="14"/>
  <c r="R2314" i="14" s="1"/>
  <c r="L2300" i="14"/>
  <c r="R2300" i="14" s="1"/>
  <c r="L2246" i="14"/>
  <c r="R2246" i="14" s="1"/>
  <c r="L2336" i="14"/>
  <c r="R2336" i="14" s="1"/>
  <c r="L2290" i="14"/>
  <c r="R2290" i="14" s="1"/>
  <c r="L2244" i="14"/>
  <c r="R2244" i="14" s="1"/>
  <c r="L2251" i="14"/>
  <c r="R2251" i="14" s="1"/>
  <c r="L2457" i="14"/>
  <c r="R2457" i="14" s="1"/>
  <c r="L2408" i="14"/>
  <c r="R2408" i="14" s="1"/>
  <c r="L2392" i="14"/>
  <c r="R2392" i="14" s="1"/>
  <c r="L2250" i="14"/>
  <c r="R2250" i="14" s="1"/>
  <c r="L2475" i="14"/>
  <c r="R2475" i="14" s="1"/>
  <c r="L2425" i="14"/>
  <c r="R2425" i="14" s="1"/>
  <c r="L2435" i="14"/>
  <c r="R2435" i="14" s="1"/>
  <c r="L2360" i="14"/>
  <c r="R2360" i="14" s="1"/>
  <c r="L2346" i="14"/>
  <c r="R2346" i="14" s="1"/>
  <c r="L2286" i="14"/>
  <c r="R2286" i="14" s="1"/>
  <c r="L2248" i="14"/>
  <c r="R2248" i="14" s="1"/>
  <c r="L2345" i="14"/>
  <c r="R2345" i="14" s="1"/>
  <c r="L2471" i="14"/>
  <c r="R2471" i="14" s="1"/>
  <c r="L2454" i="14"/>
  <c r="R2454" i="14" s="1"/>
  <c r="L2460" i="14"/>
  <c r="R2460" i="14" s="1"/>
  <c r="L2467" i="14"/>
  <c r="R2467" i="14" s="1"/>
  <c r="L2432" i="14"/>
  <c r="R2432" i="14" s="1"/>
  <c r="L2414" i="14"/>
  <c r="R2414" i="14" s="1"/>
  <c r="L2452" i="14"/>
  <c r="R2452" i="14" s="1"/>
  <c r="L2476" i="14"/>
  <c r="R2476" i="14" s="1"/>
  <c r="L2451" i="14"/>
  <c r="R2451" i="14" s="1"/>
  <c r="L2438" i="14"/>
  <c r="R2438" i="14" s="1"/>
  <c r="L2412" i="14"/>
  <c r="R2412" i="14" s="1"/>
  <c r="L2468" i="14"/>
  <c r="R2468" i="14" s="1"/>
  <c r="L2443" i="14"/>
  <c r="R2443" i="14" s="1"/>
  <c r="L2361" i="14"/>
  <c r="R2361" i="14" s="1"/>
  <c r="L2399" i="14"/>
  <c r="R2399" i="14" s="1"/>
  <c r="L2473" i="14"/>
  <c r="R2473" i="14" s="1"/>
  <c r="L2440" i="14"/>
  <c r="R2440" i="14" s="1"/>
  <c r="L2422" i="14"/>
  <c r="R2422" i="14" s="1"/>
  <c r="L2428" i="14"/>
  <c r="R2428" i="14" s="1"/>
  <c r="L2434" i="14"/>
  <c r="R2434" i="14" s="1"/>
  <c r="L2459" i="14"/>
  <c r="R2459" i="14" s="1"/>
  <c r="L2441" i="14"/>
  <c r="R2441" i="14" s="1"/>
  <c r="L2351" i="14"/>
  <c r="R2351" i="14" s="1"/>
  <c r="L2389" i="14"/>
  <c r="R2389" i="14" s="1"/>
  <c r="L2419" i="14"/>
  <c r="R2419" i="14" s="1"/>
  <c r="L2396" i="14"/>
  <c r="R2396" i="14" s="1"/>
  <c r="L2370" i="14"/>
  <c r="R2370" i="14" s="1"/>
  <c r="L2312" i="14"/>
  <c r="R2312" i="14" s="1"/>
  <c r="L2342" i="14"/>
  <c r="R2342" i="14" s="1"/>
  <c r="L2260" i="14"/>
  <c r="R2260" i="14" s="1"/>
  <c r="L2298" i="14"/>
  <c r="R2298" i="14" s="1"/>
  <c r="L2304" i="14"/>
  <c r="R2304" i="14" s="1"/>
  <c r="L2270" i="14"/>
  <c r="R2270" i="14" s="1"/>
  <c r="L2252" i="14"/>
  <c r="R2252" i="14" s="1"/>
  <c r="L2241" i="14"/>
  <c r="R2241" i="14" s="1"/>
  <c r="L2247" i="14"/>
  <c r="R2247" i="14" s="1"/>
  <c r="L2477" i="14"/>
  <c r="R2477" i="14" s="1"/>
  <c r="L2447" i="14"/>
  <c r="R2447" i="14" s="1"/>
  <c r="L2357" i="14"/>
  <c r="R2357" i="14" s="1"/>
  <c r="L2387" i="14"/>
  <c r="R2387" i="14" s="1"/>
  <c r="L2364" i="14"/>
  <c r="R2364" i="14" s="1"/>
  <c r="L2338" i="14"/>
  <c r="R2338" i="14" s="1"/>
  <c r="L2280" i="14"/>
  <c r="R2280" i="14" s="1"/>
  <c r="L2310" i="14"/>
  <c r="R2310" i="14" s="1"/>
  <c r="L2339" i="14"/>
  <c r="R2339" i="14" s="1"/>
  <c r="L2249" i="14"/>
  <c r="R2249" i="14" s="1"/>
  <c r="L2272" i="14"/>
  <c r="R2272" i="14" s="1"/>
  <c r="L2238" i="14"/>
  <c r="R2238" i="14" s="1"/>
  <c r="L2331" i="14"/>
  <c r="R2331" i="14" s="1"/>
  <c r="L2337" i="14"/>
  <c r="R2337" i="14" s="1"/>
  <c r="L2464" i="14"/>
  <c r="R2464" i="14" s="1"/>
  <c r="L2446" i="14"/>
  <c r="R2446" i="14" s="1"/>
  <c r="L2470" i="14"/>
  <c r="R2470" i="14" s="1"/>
  <c r="L2453" i="14"/>
  <c r="R2453" i="14" s="1"/>
  <c r="L2424" i="14"/>
  <c r="R2424" i="14" s="1"/>
  <c r="L2469" i="14"/>
  <c r="R2469" i="14" s="1"/>
  <c r="L2444" i="14"/>
  <c r="R2444" i="14" s="1"/>
  <c r="L2445" i="14"/>
  <c r="R2445" i="14" s="1"/>
  <c r="L2347" i="14"/>
  <c r="R2347" i="14" s="1"/>
  <c r="L2393" i="14"/>
  <c r="R2393" i="14" s="1"/>
  <c r="L2431" i="14"/>
  <c r="R2431" i="14" s="1"/>
  <c r="L2322" i="14"/>
  <c r="R2322" i="14" s="1"/>
  <c r="L2276" i="14"/>
  <c r="R2276" i="14" s="1"/>
  <c r="L2254" i="14"/>
  <c r="R2254" i="14" s="1"/>
  <c r="L2406" i="14"/>
  <c r="R2406" i="14" s="1"/>
  <c r="L2313" i="14"/>
  <c r="R2313" i="14" s="1"/>
  <c r="L2284" i="14"/>
  <c r="R2284" i="14" s="1"/>
  <c r="L2262" i="14"/>
  <c r="R2262" i="14" s="1"/>
  <c r="L2303" i="14"/>
  <c r="R2303" i="14" s="1"/>
  <c r="L2450" i="14"/>
  <c r="R2450" i="14" s="1"/>
  <c r="L2442" i="14"/>
  <c r="R2442" i="14" s="1"/>
  <c r="L2386" i="14"/>
  <c r="R2386" i="14" s="1"/>
  <c r="L2340" i="14"/>
  <c r="R2340" i="14" s="1"/>
  <c r="L2301" i="14"/>
  <c r="R2301" i="14" s="1"/>
  <c r="L2448" i="14"/>
  <c r="R2448" i="14" s="1"/>
  <c r="L2394" i="14"/>
  <c r="R2394" i="14" s="1"/>
  <c r="L2417" i="14"/>
  <c r="R2417" i="14" s="1"/>
  <c r="L2326" i="14"/>
  <c r="R2326" i="14" s="1"/>
  <c r="L2256" i="14"/>
  <c r="R2256" i="14" s="1"/>
  <c r="L2306" i="14"/>
  <c r="R2306" i="14" s="1"/>
  <c r="L2307" i="14"/>
  <c r="R2307" i="14" s="1"/>
  <c r="L2437" i="14"/>
  <c r="R2437" i="14" s="1"/>
  <c r="L2403" i="14"/>
  <c r="R2403" i="14" s="1"/>
  <c r="L2385" i="14"/>
  <c r="R2385" i="14" s="1"/>
  <c r="L2391" i="14"/>
  <c r="R2391" i="14" s="1"/>
  <c r="L2397" i="14"/>
  <c r="R2397" i="14" s="1"/>
  <c r="L2363" i="14"/>
  <c r="R2363" i="14" s="1"/>
  <c r="L2404" i="14"/>
  <c r="R2404" i="14" s="1"/>
  <c r="L2383" i="14"/>
  <c r="R2383" i="14" s="1"/>
  <c r="L2421" i="14"/>
  <c r="R2421" i="14" s="1"/>
  <c r="L2382" i="14"/>
  <c r="R2382" i="14" s="1"/>
  <c r="L2369" i="14"/>
  <c r="R2369" i="14" s="1"/>
  <c r="L2402" i="14"/>
  <c r="R2402" i="14" s="1"/>
  <c r="L2413" i="14"/>
  <c r="R2413" i="14" s="1"/>
  <c r="L2374" i="14"/>
  <c r="R2374" i="14" s="1"/>
  <c r="L2292" i="14"/>
  <c r="R2292" i="14" s="1"/>
  <c r="L2330" i="14"/>
  <c r="R2330" i="14" s="1"/>
  <c r="L2405" i="14"/>
  <c r="R2405" i="14" s="1"/>
  <c r="L2371" i="14"/>
  <c r="R2371" i="14" s="1"/>
  <c r="L2353" i="14"/>
  <c r="R2353" i="14" s="1"/>
  <c r="L2359" i="14"/>
  <c r="R2359" i="14" s="1"/>
  <c r="L2365" i="14"/>
  <c r="R2365" i="14" s="1"/>
  <c r="L2390" i="14"/>
  <c r="R2390" i="14" s="1"/>
  <c r="L2372" i="14"/>
  <c r="R2372" i="14" s="1"/>
  <c r="L2282" i="14"/>
  <c r="R2282" i="14" s="1"/>
  <c r="L2320" i="14"/>
  <c r="R2320" i="14" s="1"/>
  <c r="L2350" i="14"/>
  <c r="R2350" i="14" s="1"/>
  <c r="L2268" i="14"/>
  <c r="R2268" i="14" s="1"/>
  <c r="L2242" i="14"/>
  <c r="R2242" i="14" s="1"/>
  <c r="L2295" i="14"/>
  <c r="R2295" i="14" s="1"/>
  <c r="L2325" i="14"/>
  <c r="R2325" i="14" s="1"/>
  <c r="L2243" i="14"/>
  <c r="R2243" i="14" s="1"/>
  <c r="L2281" i="14"/>
  <c r="R2281" i="14" s="1"/>
  <c r="L2287" i="14"/>
  <c r="R2287" i="14" s="1"/>
  <c r="L2253" i="14"/>
  <c r="R2253" i="14" s="1"/>
  <c r="L2455" i="14"/>
  <c r="R2455" i="14" s="1"/>
  <c r="L2461" i="14"/>
  <c r="R2461" i="14" s="1"/>
  <c r="L2427" i="14"/>
  <c r="R2427" i="14" s="1"/>
  <c r="L2409" i="14"/>
  <c r="R2409" i="14" s="1"/>
  <c r="L2378" i="14"/>
  <c r="R2378" i="14" s="1"/>
  <c r="L2288" i="14"/>
  <c r="R2288" i="14" s="1"/>
  <c r="L2318" i="14"/>
  <c r="R2318" i="14" s="1"/>
  <c r="L2344" i="14"/>
  <c r="R2344" i="14" s="1"/>
  <c r="L2321" i="14"/>
  <c r="R2321" i="14" s="1"/>
  <c r="L2263" i="14"/>
  <c r="R2263" i="14" s="1"/>
  <c r="L2293" i="14"/>
  <c r="R2293" i="14" s="1"/>
  <c r="L2463" i="14"/>
  <c r="R2463" i="14" s="1"/>
  <c r="L2255" i="14"/>
  <c r="R2255" i="14" s="1"/>
  <c r="L2472" i="14"/>
  <c r="R2472" i="14" s="1"/>
  <c r="L2478" i="14"/>
  <c r="R2478" i="14" s="1"/>
  <c r="L2429" i="14"/>
  <c r="R2429" i="14" s="1"/>
  <c r="L2395" i="14"/>
  <c r="R2395" i="14" s="1"/>
  <c r="L2377" i="14"/>
  <c r="R2377" i="14" s="1"/>
  <c r="L2415" i="14"/>
  <c r="R2415" i="14" s="1"/>
  <c r="L2384" i="14"/>
  <c r="R2384" i="14" s="1"/>
  <c r="L2355" i="14"/>
  <c r="R2355" i="14" s="1"/>
  <c r="L2401" i="14"/>
  <c r="R2401" i="14" s="1"/>
  <c r="L2375" i="14"/>
  <c r="R2375" i="14" s="1"/>
  <c r="L2376" i="14"/>
  <c r="R2376" i="14" s="1"/>
  <c r="L2278" i="14"/>
  <c r="R2278" i="14" s="1"/>
  <c r="L2324" i="14"/>
  <c r="R2324" i="14" s="1"/>
  <c r="L2362" i="14"/>
  <c r="R2362" i="14" s="1"/>
  <c r="L2368" i="14"/>
  <c r="R2368" i="14" s="1"/>
  <c r="L2316" i="14"/>
  <c r="R2316" i="14" s="1"/>
  <c r="L2294" i="14"/>
  <c r="R2294" i="14" s="1"/>
  <c r="L2352" i="14"/>
  <c r="R2352" i="14" s="1"/>
  <c r="L2274" i="14"/>
  <c r="R2274" i="14" s="1"/>
  <c r="L2275" i="14"/>
  <c r="R2275" i="14" s="1"/>
  <c r="L2302" i="14"/>
  <c r="R2302" i="14" s="1"/>
  <c r="L2296" i="14"/>
  <c r="R2296" i="14" s="1"/>
  <c r="L2265" i="14"/>
  <c r="R2265" i="14" s="1"/>
  <c r="L2333" i="14"/>
  <c r="R2333" i="14" s="1"/>
  <c r="L2479" i="14"/>
  <c r="R2479" i="14" s="1"/>
  <c r="L2436" i="14"/>
  <c r="R2436" i="14" s="1"/>
  <c r="L2449" i="14"/>
  <c r="R2449" i="14" s="1"/>
  <c r="L2358" i="14"/>
  <c r="R2358" i="14" s="1"/>
  <c r="L2271" i="14"/>
  <c r="R2271" i="14" s="1"/>
  <c r="L2418" i="14"/>
  <c r="R2418" i="14" s="1"/>
  <c r="L2410" i="14"/>
  <c r="R2410" i="14" s="1"/>
  <c r="L2423" i="14"/>
  <c r="R2423" i="14" s="1"/>
  <c r="L2308" i="14"/>
  <c r="R2308" i="14" s="1"/>
  <c r="L2332" i="14"/>
  <c r="R2332" i="14" s="1"/>
  <c r="L2261" i="14"/>
  <c r="R2261" i="14" s="1"/>
  <c r="F2434" i="14"/>
  <c r="F2289" i="14"/>
  <c r="G2424" i="14" l="1"/>
  <c r="G2311" i="14"/>
  <c r="G2265" i="14"/>
  <c r="G2416" i="14"/>
  <c r="G2439" i="14"/>
  <c r="G2307" i="14"/>
  <c r="G2428" i="14"/>
  <c r="G2457" i="14"/>
  <c r="G2271" i="14"/>
  <c r="G2444" i="14"/>
  <c r="G2357" i="14"/>
  <c r="G2312" i="14"/>
  <c r="G2344" i="14"/>
  <c r="G2281" i="14"/>
  <c r="G2473" i="14"/>
  <c r="G2262" i="14"/>
  <c r="G2401" i="14"/>
  <c r="G2299" i="14"/>
  <c r="G2353" i="14"/>
  <c r="G2412" i="14"/>
  <c r="G2400" i="14"/>
  <c r="G2319" i="14"/>
  <c r="G2346" i="14"/>
  <c r="G2462" i="14"/>
  <c r="G2384" i="14"/>
  <c r="G2241" i="14"/>
  <c r="G2334" i="14"/>
  <c r="G2360" i="14"/>
  <c r="G2248" i="14"/>
  <c r="G2377" i="14"/>
  <c r="G2320" i="14"/>
  <c r="G2452" i="14"/>
  <c r="G2373" i="14"/>
  <c r="G2291" i="14"/>
  <c r="G2367" i="14"/>
  <c r="G2302" i="14"/>
  <c r="G2459" i="14"/>
  <c r="G2369" i="14"/>
  <c r="G2309" i="14"/>
  <c r="G2395" i="14"/>
  <c r="G2402" i="14"/>
  <c r="G2304" i="14"/>
  <c r="G2417" i="14"/>
  <c r="G2321" i="14"/>
  <c r="G2283" i="14"/>
  <c r="G2237" i="14"/>
  <c r="G2376" i="14"/>
  <c r="G2362" i="14"/>
  <c r="G2411" i="14"/>
  <c r="G2354" i="14"/>
  <c r="G2273" i="14"/>
  <c r="G2382" i="14"/>
  <c r="G2268" i="14"/>
  <c r="E2426" i="14"/>
  <c r="G2432" i="14"/>
  <c r="G2274" i="14"/>
  <c r="G2247" i="14"/>
  <c r="G2263" i="14"/>
  <c r="I2280" i="14"/>
  <c r="I2379" i="14"/>
  <c r="H2467" i="14"/>
  <c r="H2255" i="14"/>
  <c r="E2449" i="14"/>
  <c r="F2329" i="14"/>
  <c r="E2252" i="14"/>
  <c r="G2394" i="14"/>
  <c r="E2283" i="14"/>
  <c r="H2399" i="14"/>
  <c r="G2345" i="14"/>
  <c r="G2419" i="14"/>
  <c r="G2336" i="14"/>
  <c r="H2421" i="14"/>
  <c r="E2455" i="14"/>
  <c r="G2461" i="14"/>
  <c r="G2259" i="14"/>
  <c r="G2387" i="14"/>
  <c r="G2427" i="14"/>
  <c r="G2296" i="14"/>
  <c r="G2443" i="14"/>
  <c r="G2272" i="14"/>
  <c r="G2388" i="14"/>
  <c r="H2364" i="14"/>
  <c r="E2258" i="14"/>
  <c r="G2314" i="14"/>
  <c r="G2393" i="14"/>
  <c r="G2454" i="14"/>
  <c r="G2288" i="14"/>
  <c r="G2240" i="14"/>
  <c r="G2293" i="14"/>
  <c r="G2280" i="14"/>
  <c r="E2378" i="14"/>
  <c r="E2385" i="14"/>
  <c r="E2320" i="14"/>
  <c r="E2312" i="14"/>
  <c r="G2287" i="14"/>
  <c r="G2398" i="14"/>
  <c r="G2340" i="14"/>
  <c r="G2245" i="14"/>
  <c r="H2412" i="14"/>
  <c r="E2371" i="14"/>
  <c r="E2328" i="14"/>
  <c r="E2479" i="14"/>
  <c r="E2263" i="14"/>
  <c r="G2431" i="14"/>
  <c r="G2381" i="14"/>
  <c r="G2322" i="14"/>
  <c r="G2366" i="14"/>
  <c r="G2375" i="14"/>
  <c r="H2331" i="14"/>
  <c r="H2441" i="14"/>
  <c r="H2264" i="14"/>
  <c r="E2276" i="14"/>
  <c r="E2460" i="14"/>
  <c r="E2332" i="14"/>
  <c r="F2380" i="14"/>
  <c r="I2472" i="14"/>
  <c r="I2319" i="14"/>
  <c r="F2242" i="14"/>
  <c r="F2330" i="14"/>
  <c r="F2465" i="14"/>
  <c r="F2317" i="14"/>
  <c r="H2243" i="14"/>
  <c r="I2310" i="14"/>
  <c r="H2387" i="14"/>
  <c r="F2408" i="14"/>
  <c r="F2430" i="14"/>
  <c r="H2246" i="14"/>
  <c r="E2254" i="14"/>
  <c r="E2434" i="14"/>
  <c r="E2268" i="14"/>
  <c r="E2420" i="14"/>
  <c r="F2454" i="14"/>
  <c r="I2261" i="14"/>
  <c r="H2249" i="14"/>
  <c r="E2437" i="14"/>
  <c r="H2438" i="14"/>
  <c r="E2447" i="14"/>
  <c r="E2441" i="14"/>
  <c r="E2344" i="14"/>
  <c r="I2432" i="14"/>
  <c r="H2334" i="14"/>
  <c r="H2437" i="14"/>
  <c r="H2345" i="14"/>
  <c r="H2416" i="14"/>
  <c r="H2380" i="14"/>
  <c r="H2301" i="14"/>
  <c r="E2300" i="14"/>
  <c r="E2457" i="14"/>
  <c r="E2322" i="14"/>
  <c r="E2310" i="14"/>
  <c r="E2436" i="14"/>
  <c r="E2287" i="14"/>
  <c r="E2354" i="14"/>
  <c r="E2379" i="14"/>
  <c r="E2373" i="14"/>
  <c r="E2463" i="14"/>
  <c r="E2444" i="14"/>
  <c r="E2253" i="14"/>
  <c r="I2346" i="14"/>
  <c r="H2294" i="14"/>
  <c r="H2304" i="14"/>
  <c r="H2415" i="14"/>
  <c r="H2408" i="14"/>
  <c r="H2414" i="14"/>
  <c r="H2472" i="14"/>
  <c r="H2267" i="14"/>
  <c r="H2263" i="14"/>
  <c r="H2384" i="14"/>
  <c r="H2340" i="14"/>
  <c r="E2464" i="14"/>
  <c r="E2412" i="14"/>
  <c r="E2417" i="14"/>
  <c r="E2418" i="14"/>
  <c r="E2427" i="14"/>
  <c r="E2240" i="14"/>
  <c r="E2419" i="14"/>
  <c r="E2362" i="14"/>
  <c r="E2398" i="14"/>
  <c r="E2438" i="14"/>
  <c r="E2271" i="14"/>
  <c r="H2303" i="14"/>
  <c r="H2430" i="14"/>
  <c r="H2322" i="14"/>
  <c r="H2435" i="14"/>
  <c r="H2445" i="14"/>
  <c r="H2333" i="14"/>
  <c r="H2338" i="14"/>
  <c r="E2388" i="14"/>
  <c r="E2323" i="14"/>
  <c r="E2266" i="14"/>
  <c r="E2402" i="14"/>
  <c r="E2260" i="14"/>
  <c r="E2339" i="14"/>
  <c r="E2291" i="14"/>
  <c r="E2329" i="14"/>
  <c r="E2267" i="14"/>
  <c r="E2343" i="14"/>
  <c r="E2415" i="14"/>
  <c r="E2399" i="14"/>
  <c r="E2299" i="14"/>
  <c r="E2315" i="14"/>
  <c r="F2424" i="14"/>
  <c r="I2257" i="14"/>
  <c r="I2303" i="14"/>
  <c r="H2431" i="14"/>
  <c r="H2266" i="14"/>
  <c r="E2469" i="14"/>
  <c r="E2384" i="14"/>
  <c r="E2397" i="14"/>
  <c r="E2324" i="14"/>
  <c r="G2252" i="14"/>
  <c r="G2458" i="14"/>
  <c r="G2275" i="14"/>
  <c r="G2352" i="14"/>
  <c r="G2343" i="14"/>
  <c r="G2445" i="14"/>
  <c r="G2479" i="14"/>
  <c r="G2315" i="14"/>
  <c r="G2467" i="14"/>
  <c r="G2338" i="14"/>
  <c r="G2363" i="14"/>
  <c r="G2292" i="14"/>
  <c r="G2279" i="14"/>
  <c r="G2440" i="14"/>
  <c r="G2284" i="14"/>
  <c r="F2269" i="14"/>
  <c r="I2311" i="14"/>
  <c r="H2295" i="14"/>
  <c r="E2335" i="14"/>
  <c r="G2475" i="14"/>
  <c r="G2333" i="14"/>
  <c r="G2349" i="14"/>
  <c r="G2442" i="14"/>
  <c r="G2249" i="14"/>
  <c r="G2450" i="14"/>
  <c r="G2405" i="14"/>
  <c r="G2434" i="14"/>
  <c r="G2270" i="14"/>
  <c r="G2370" i="14"/>
  <c r="F2448" i="14"/>
  <c r="F2272" i="14"/>
  <c r="F2374" i="14"/>
  <c r="F2381" i="14"/>
  <c r="I2412" i="14"/>
  <c r="F2452" i="14"/>
  <c r="F2309" i="14"/>
  <c r="H2349" i="14"/>
  <c r="I2407" i="14"/>
  <c r="I2251" i="14"/>
  <c r="I2321" i="14"/>
  <c r="H2359" i="14"/>
  <c r="H2454" i="14"/>
  <c r="H2241" i="14"/>
  <c r="I2466" i="14"/>
  <c r="F2426" i="14"/>
  <c r="F2239" i="14"/>
  <c r="F2290" i="14"/>
  <c r="F2365" i="14"/>
  <c r="I2459" i="14"/>
  <c r="I2304" i="14"/>
  <c r="H2429" i="14"/>
  <c r="F2277" i="14"/>
  <c r="I2308" i="14"/>
  <c r="I2262" i="14"/>
  <c r="I2358" i="14"/>
  <c r="F2436" i="14"/>
  <c r="F2343" i="14"/>
  <c r="F2441" i="14"/>
  <c r="F2414" i="14"/>
  <c r="F2260" i="14"/>
  <c r="F2450" i="14"/>
  <c r="F2453" i="14"/>
  <c r="F2439" i="14"/>
  <c r="F2237" i="14"/>
  <c r="F2422" i="14"/>
  <c r="I2461" i="14"/>
  <c r="I2408" i="14"/>
  <c r="I2397" i="14"/>
  <c r="F2388" i="14"/>
  <c r="F2266" i="14"/>
  <c r="F2336" i="14"/>
  <c r="F2479" i="14"/>
  <c r="F2323" i="14"/>
  <c r="F2354" i="14"/>
  <c r="F2461" i="14"/>
  <c r="I2276" i="14"/>
  <c r="I2454" i="14"/>
  <c r="I2354" i="14"/>
  <c r="I2253" i="14"/>
  <c r="I2422" i="14"/>
  <c r="H2449" i="14"/>
  <c r="H2300" i="14"/>
  <c r="H2270" i="14"/>
  <c r="H2314" i="14"/>
  <c r="H2446" i="14"/>
  <c r="H2462" i="14"/>
  <c r="H2395" i="14"/>
  <c r="H2463" i="14"/>
  <c r="H2347" i="14"/>
  <c r="H2382" i="14"/>
  <c r="H2305" i="14"/>
  <c r="F2245" i="14"/>
  <c r="F2285" i="14"/>
  <c r="F2406" i="14"/>
  <c r="I2460" i="14"/>
  <c r="I2375" i="14"/>
  <c r="I2419" i="14"/>
  <c r="H2247" i="14"/>
  <c r="H2320" i="14"/>
  <c r="H2251" i="14"/>
  <c r="H2297" i="14"/>
  <c r="H2411" i="14"/>
  <c r="H2390" i="14"/>
  <c r="H2337" i="14"/>
  <c r="H2311" i="14"/>
  <c r="H2351" i="14"/>
  <c r="F2383" i="14"/>
  <c r="F2417" i="14"/>
  <c r="F2377" i="14"/>
  <c r="F2407" i="14"/>
  <c r="F2339" i="14"/>
  <c r="F2274" i="14"/>
  <c r="F2410" i="14"/>
  <c r="F2324" i="14"/>
  <c r="F2471" i="14"/>
  <c r="F2307" i="14"/>
  <c r="F2271" i="14"/>
  <c r="I2246" i="14"/>
  <c r="I2400" i="14"/>
  <c r="I2441" i="14"/>
  <c r="H2458" i="14"/>
  <c r="H2341" i="14"/>
  <c r="H2265" i="14"/>
  <c r="H2410" i="14"/>
  <c r="H2393" i="14"/>
  <c r="E2435" i="14"/>
  <c r="I2268" i="14"/>
  <c r="H2471" i="14"/>
  <c r="E2262" i="14"/>
  <c r="E2289" i="14"/>
  <c r="E2448" i="14"/>
  <c r="I2388" i="14"/>
  <c r="I2471" i="14"/>
  <c r="I2348" i="14"/>
  <c r="I2296" i="14"/>
  <c r="I2455" i="14"/>
  <c r="I2458" i="14"/>
  <c r="H2447" i="14"/>
  <c r="H2418" i="14"/>
  <c r="E2357" i="14"/>
  <c r="E2275" i="14"/>
  <c r="I2244" i="14"/>
  <c r="H2427" i="14"/>
  <c r="H2358" i="14"/>
  <c r="H2464" i="14"/>
  <c r="H2262" i="14"/>
  <c r="E2341" i="14"/>
  <c r="F2345" i="14"/>
  <c r="F2468" i="14"/>
  <c r="F2369" i="14"/>
  <c r="F2254" i="14"/>
  <c r="F2387" i="14"/>
  <c r="F2332" i="14"/>
  <c r="I2329" i="14"/>
  <c r="I2372" i="14"/>
  <c r="I2263" i="14"/>
  <c r="I2307" i="14"/>
  <c r="H2388" i="14"/>
  <c r="H2319" i="14"/>
  <c r="H2420" i="14"/>
  <c r="H2363" i="14"/>
  <c r="H2470" i="14"/>
  <c r="H2276" i="14"/>
  <c r="E2237" i="14"/>
  <c r="E2249" i="14"/>
  <c r="E2395" i="14"/>
  <c r="E2244" i="14"/>
  <c r="E2257" i="14"/>
  <c r="E2321" i="14"/>
  <c r="E2442" i="14"/>
  <c r="E2273" i="14"/>
  <c r="E2274" i="14"/>
  <c r="F2356" i="14"/>
  <c r="I2377" i="14"/>
  <c r="I2446" i="14"/>
  <c r="I2315" i="14"/>
  <c r="H2394" i="14"/>
  <c r="E2281" i="14"/>
  <c r="E2363" i="14"/>
  <c r="E2302" i="14"/>
  <c r="E2411" i="14"/>
  <c r="E2246" i="14"/>
  <c r="E2393" i="14"/>
  <c r="E2377" i="14"/>
  <c r="E2297" i="14"/>
  <c r="E2279" i="14"/>
  <c r="E2381" i="14"/>
  <c r="G2290" i="14"/>
  <c r="G2300" i="14"/>
  <c r="G2413" i="14"/>
  <c r="G2323" i="14"/>
  <c r="G2429" i="14"/>
  <c r="G2285" i="14"/>
  <c r="F2279" i="14"/>
  <c r="F2319" i="14"/>
  <c r="F2247" i="14"/>
  <c r="F2404" i="14"/>
  <c r="F2255" i="14"/>
  <c r="F2296" i="14"/>
  <c r="F2238" i="14"/>
  <c r="F2251" i="14"/>
  <c r="F2411" i="14"/>
  <c r="F2473" i="14"/>
  <c r="F2315" i="14"/>
  <c r="I2366" i="14"/>
  <c r="I2271" i="14"/>
  <c r="I2416" i="14"/>
  <c r="H2279" i="14"/>
  <c r="H2372" i="14"/>
  <c r="E2392" i="14"/>
  <c r="E2439" i="14"/>
  <c r="E2472" i="14"/>
  <c r="E2401" i="14"/>
  <c r="E2365" i="14"/>
  <c r="E2337" i="14"/>
  <c r="E2242" i="14"/>
  <c r="E2298" i="14"/>
  <c r="E2466" i="14"/>
  <c r="E2428" i="14"/>
  <c r="E2282" i="14"/>
  <c r="E2416" i="14"/>
  <c r="G2453" i="14"/>
  <c r="G2298" i="14"/>
  <c r="G2347" i="14"/>
  <c r="G2243" i="14"/>
  <c r="F2351" i="14"/>
  <c r="F2370" i="14"/>
  <c r="F2300" i="14"/>
  <c r="F2283" i="14"/>
  <c r="F2428" i="14"/>
  <c r="F2241" i="14"/>
  <c r="F2412" i="14"/>
  <c r="F2284" i="14"/>
  <c r="F2299" i="14"/>
  <c r="F2347" i="14"/>
  <c r="F2382" i="14"/>
  <c r="F2392" i="14"/>
  <c r="I2392" i="14"/>
  <c r="I2277" i="14"/>
  <c r="I2312" i="14"/>
  <c r="I2431" i="14"/>
  <c r="I2370" i="14"/>
  <c r="I2438" i="14"/>
  <c r="I2368" i="14"/>
  <c r="I2302" i="14"/>
  <c r="I2381" i="14"/>
  <c r="I2289" i="14"/>
  <c r="I2344" i="14"/>
  <c r="I2469" i="14"/>
  <c r="I2378" i="14"/>
  <c r="I2281" i="14"/>
  <c r="H2288" i="14"/>
  <c r="H2400" i="14"/>
  <c r="H2362" i="14"/>
  <c r="H2453" i="14"/>
  <c r="H2284" i="14"/>
  <c r="H2291" i="14"/>
  <c r="H2379" i="14"/>
  <c r="H2403" i="14"/>
  <c r="H2352" i="14"/>
  <c r="H2355" i="14"/>
  <c r="H2323" i="14"/>
  <c r="E2348" i="14"/>
  <c r="E2382" i="14"/>
  <c r="E2277" i="14"/>
  <c r="E2446" i="14"/>
  <c r="E2356" i="14"/>
  <c r="E2409" i="14"/>
  <c r="E2407" i="14"/>
  <c r="E2431" i="14"/>
  <c r="E2347" i="14"/>
  <c r="E2301" i="14"/>
  <c r="G2282" i="14"/>
  <c r="G2403" i="14"/>
  <c r="G2328" i="14"/>
  <c r="G2244" i="14"/>
  <c r="F2276" i="14"/>
  <c r="F2390" i="14"/>
  <c r="F2363" i="14"/>
  <c r="F2259" i="14"/>
  <c r="F2248" i="14"/>
  <c r="F2298" i="14"/>
  <c r="F2371" i="14"/>
  <c r="I2352" i="14"/>
  <c r="I2373" i="14"/>
  <c r="I2355" i="14"/>
  <c r="I2254" i="14"/>
  <c r="I2258" i="14"/>
  <c r="I2457" i="14"/>
  <c r="I2255" i="14"/>
  <c r="I2403" i="14"/>
  <c r="I2335" i="14"/>
  <c r="I2266" i="14"/>
  <c r="I2328" i="14"/>
  <c r="I2445" i="14"/>
  <c r="I2241" i="14"/>
  <c r="H2240" i="14"/>
  <c r="H2386" i="14"/>
  <c r="H2468" i="14"/>
  <c r="H2268" i="14"/>
  <c r="H2365" i="14"/>
  <c r="H2342" i="14"/>
  <c r="H2389" i="14"/>
  <c r="H2248" i="14"/>
  <c r="H2298" i="14"/>
  <c r="H2250" i="14"/>
  <c r="H2433" i="14"/>
  <c r="H2313" i="14"/>
  <c r="H2436" i="14"/>
  <c r="H2324" i="14"/>
  <c r="H2377" i="14"/>
  <c r="H2306" i="14"/>
  <c r="H2474" i="14"/>
  <c r="E2338" i="14"/>
  <c r="E2368" i="14"/>
  <c r="E2425" i="14"/>
  <c r="E2239" i="14"/>
  <c r="G2327" i="14"/>
  <c r="G2335" i="14"/>
  <c r="G2306" i="14"/>
  <c r="G2246" i="14"/>
  <c r="G2389" i="14"/>
  <c r="G2379" i="14"/>
  <c r="G2359" i="14"/>
  <c r="G2316" i="14"/>
  <c r="G2332" i="14"/>
  <c r="F2442" i="14"/>
  <c r="F2280" i="14"/>
  <c r="F2456" i="14"/>
  <c r="F2435" i="14"/>
  <c r="F2357" i="14"/>
  <c r="F2308" i="14"/>
  <c r="F2458" i="14"/>
  <c r="F2256" i="14"/>
  <c r="F2472" i="14"/>
  <c r="F2460" i="14"/>
  <c r="F2399" i="14"/>
  <c r="F2302" i="14"/>
  <c r="F2294" i="14"/>
  <c r="F2244" i="14"/>
  <c r="F2401" i="14"/>
  <c r="F2464" i="14"/>
  <c r="I2347" i="14"/>
  <c r="I2409" i="14"/>
  <c r="I2429" i="14"/>
  <c r="I2395" i="14"/>
  <c r="I2290" i="14"/>
  <c r="I2274" i="14"/>
  <c r="I2468" i="14"/>
  <c r="I2299" i="14"/>
  <c r="I2320" i="14"/>
  <c r="I2390" i="14"/>
  <c r="I2314" i="14"/>
  <c r="I2463" i="14"/>
  <c r="I2237" i="14"/>
  <c r="I2387" i="14"/>
  <c r="I2448" i="14"/>
  <c r="I2464" i="14"/>
  <c r="I2467" i="14"/>
  <c r="H2290" i="14"/>
  <c r="H2369" i="14"/>
  <c r="H2344" i="14"/>
  <c r="H2391" i="14"/>
  <c r="H2296" i="14"/>
  <c r="H2366" i="14"/>
  <c r="H2245" i="14"/>
  <c r="H2443" i="14"/>
  <c r="H2329" i="14"/>
  <c r="H2465" i="14"/>
  <c r="H2286" i="14"/>
  <c r="H2439" i="14"/>
  <c r="H2321" i="14"/>
  <c r="H2273" i="14"/>
  <c r="H2283" i="14"/>
  <c r="H2381" i="14"/>
  <c r="H2476" i="14"/>
  <c r="H2407" i="14"/>
  <c r="H2339" i="14"/>
  <c r="E2372" i="14"/>
  <c r="E2306" i="14"/>
  <c r="E2325" i="14"/>
  <c r="E2355" i="14"/>
  <c r="E2376" i="14"/>
  <c r="E2265" i="14"/>
  <c r="G2464" i="14"/>
  <c r="G2468" i="14"/>
  <c r="G2261" i="14"/>
  <c r="G2404" i="14"/>
  <c r="G2390" i="14"/>
  <c r="F2455" i="14"/>
  <c r="F2353" i="14"/>
  <c r="F2395" i="14"/>
  <c r="F2268" i="14"/>
  <c r="F2413" i="14"/>
  <c r="F2291" i="14"/>
  <c r="F2360" i="14"/>
  <c r="F2306" i="14"/>
  <c r="F2372" i="14"/>
  <c r="F2327" i="14"/>
  <c r="F2320" i="14"/>
  <c r="F2338" i="14"/>
  <c r="F2287" i="14"/>
  <c r="F2335" i="14"/>
  <c r="I2386" i="14"/>
  <c r="I2256" i="14"/>
  <c r="I2414" i="14"/>
  <c r="I2433" i="14"/>
  <c r="I2405" i="14"/>
  <c r="I2374" i="14"/>
  <c r="I2426" i="14"/>
  <c r="I2248" i="14"/>
  <c r="I2238" i="14"/>
  <c r="I2327" i="14"/>
  <c r="I2401" i="14"/>
  <c r="I2477" i="14"/>
  <c r="I2295" i="14"/>
  <c r="I2476" i="14"/>
  <c r="I2384" i="14"/>
  <c r="I2269" i="14"/>
  <c r="I2424" i="14"/>
  <c r="I2272" i="14"/>
  <c r="I2273" i="14"/>
  <c r="H2278" i="14"/>
  <c r="H2282" i="14"/>
  <c r="H2455" i="14"/>
  <c r="H2385" i="14"/>
  <c r="H2325" i="14"/>
  <c r="E2405" i="14"/>
  <c r="E2295" i="14"/>
  <c r="E2241" i="14"/>
  <c r="E2462" i="14"/>
  <c r="E2280" i="14"/>
  <c r="E2403" i="14"/>
  <c r="E2336" i="14"/>
  <c r="G2415" i="14"/>
  <c r="G2407" i="14"/>
  <c r="G2447" i="14"/>
  <c r="G2286" i="14"/>
  <c r="G2392" i="14"/>
  <c r="G2308" i="14"/>
  <c r="G2276" i="14"/>
  <c r="F2304" i="14"/>
  <c r="F2446" i="14"/>
  <c r="F2378" i="14"/>
  <c r="F2310" i="14"/>
  <c r="F2311" i="14"/>
  <c r="F2467" i="14"/>
  <c r="F2240" i="14"/>
  <c r="I2415" i="14"/>
  <c r="I2363" i="14"/>
  <c r="I2462" i="14"/>
  <c r="I2351" i="14"/>
  <c r="I2322" i="14"/>
  <c r="I2332" i="14"/>
  <c r="I2434" i="14"/>
  <c r="I2389" i="14"/>
  <c r="I2440" i="14"/>
  <c r="I2427" i="14"/>
  <c r="I2402" i="14"/>
  <c r="I2369" i="14"/>
  <c r="I2465" i="14"/>
  <c r="I2260" i="14"/>
  <c r="I2376" i="14"/>
  <c r="I2453" i="14"/>
  <c r="I2444" i="14"/>
  <c r="I2353" i="14"/>
  <c r="I2278" i="14"/>
  <c r="H2275" i="14"/>
  <c r="H2307" i="14"/>
  <c r="H2285" i="14"/>
  <c r="H2360" i="14"/>
  <c r="E2458" i="14"/>
  <c r="E2473" i="14"/>
  <c r="E2327" i="14"/>
  <c r="E2350" i="14"/>
  <c r="E2445" i="14"/>
  <c r="E2470" i="14"/>
  <c r="E2311" i="14"/>
  <c r="E2387" i="14"/>
  <c r="E2316" i="14"/>
  <c r="E2247" i="14"/>
  <c r="E2408" i="14"/>
  <c r="G2329" i="14"/>
  <c r="G2423" i="14"/>
  <c r="G2406" i="14"/>
  <c r="G2410" i="14"/>
  <c r="G2399" i="14"/>
  <c r="F2312" i="14"/>
  <c r="F2292" i="14"/>
  <c r="F2243" i="14"/>
  <c r="F2393" i="14"/>
  <c r="F2476" i="14"/>
  <c r="F2389" i="14"/>
  <c r="F2334" i="14"/>
  <c r="F2469" i="14"/>
  <c r="F2262" i="14"/>
  <c r="F2386" i="14"/>
  <c r="F2321" i="14"/>
  <c r="F2250" i="14"/>
  <c r="F2385" i="14"/>
  <c r="F2433" i="14"/>
  <c r="F2246" i="14"/>
  <c r="F2341" i="14"/>
  <c r="F2474" i="14"/>
  <c r="F2398" i="14"/>
  <c r="F2394" i="14"/>
  <c r="F2348" i="14"/>
  <c r="I2430" i="14"/>
  <c r="I2413" i="14"/>
  <c r="I2326" i="14"/>
  <c r="I2334" i="14"/>
  <c r="I2330" i="14"/>
  <c r="I2365" i="14"/>
  <c r="I2411" i="14"/>
  <c r="I2313" i="14"/>
  <c r="I2240" i="14"/>
  <c r="I2293" i="14"/>
  <c r="I2361" i="14"/>
  <c r="I2298" i="14"/>
  <c r="I2324" i="14"/>
  <c r="H2330" i="14"/>
  <c r="H2406" i="14"/>
  <c r="H2423" i="14"/>
  <c r="H2450" i="14"/>
  <c r="H2475" i="14"/>
  <c r="E2410" i="14"/>
  <c r="E2326" i="14"/>
  <c r="E2243" i="14"/>
  <c r="E2454" i="14"/>
  <c r="E2238" i="14"/>
  <c r="E2358" i="14"/>
  <c r="G2466" i="14"/>
  <c r="G2397" i="14"/>
  <c r="G2350" i="14"/>
  <c r="G2358" i="14"/>
  <c r="G2277" i="14"/>
  <c r="G2355" i="14"/>
  <c r="G2385" i="14"/>
  <c r="G2380" i="14"/>
  <c r="G2441" i="14"/>
  <c r="F2449" i="14"/>
  <c r="F2344" i="14"/>
  <c r="F2368" i="14"/>
  <c r="F2384" i="14"/>
  <c r="F2397" i="14"/>
  <c r="F2376" i="14"/>
  <c r="F2420" i="14"/>
  <c r="F2352" i="14"/>
  <c r="F2252" i="14"/>
  <c r="F2447" i="14"/>
  <c r="F2325" i="14"/>
  <c r="F2427" i="14"/>
  <c r="F2265" i="14"/>
  <c r="F2267" i="14"/>
  <c r="F2375" i="14"/>
  <c r="F2318" i="14"/>
  <c r="F2415" i="14"/>
  <c r="F2396" i="14"/>
  <c r="F2261" i="14"/>
  <c r="F2421" i="14"/>
  <c r="F2400" i="14"/>
  <c r="F2403" i="14"/>
  <c r="F2478" i="14"/>
  <c r="F2286" i="14"/>
  <c r="F2295" i="14"/>
  <c r="F2409" i="14"/>
  <c r="F2466" i="14"/>
  <c r="I2382" i="14"/>
  <c r="I2338" i="14"/>
  <c r="I2249" i="14"/>
  <c r="I2456" i="14"/>
  <c r="I2264" i="14"/>
  <c r="I2294" i="14"/>
  <c r="I2393" i="14"/>
  <c r="I2436" i="14"/>
  <c r="I2349" i="14"/>
  <c r="I2437" i="14"/>
  <c r="I2339" i="14"/>
  <c r="I2475" i="14"/>
  <c r="I2325" i="14"/>
  <c r="I2420" i="14"/>
  <c r="I2443" i="14"/>
  <c r="I2305" i="14"/>
  <c r="I2283" i="14"/>
  <c r="I2316" i="14"/>
  <c r="H2374" i="14"/>
  <c r="H2299" i="14"/>
  <c r="H2289" i="14"/>
  <c r="H2328" i="14"/>
  <c r="H2356" i="14"/>
  <c r="H2261" i="14"/>
  <c r="H2280" i="14"/>
  <c r="J2280" i="14" s="1"/>
  <c r="H2456" i="14"/>
  <c r="H2318" i="14"/>
  <c r="H2346" i="14"/>
  <c r="H2336" i="14"/>
  <c r="H2419" i="14"/>
  <c r="H2370" i="14"/>
  <c r="H2401" i="14"/>
  <c r="H2239" i="14"/>
  <c r="H2397" i="14"/>
  <c r="H2413" i="14"/>
  <c r="H2461" i="14"/>
  <c r="H2378" i="14"/>
  <c r="E2406" i="14"/>
  <c r="E2293" i="14"/>
  <c r="E2430" i="14"/>
  <c r="E2305" i="14"/>
  <c r="E2245" i="14"/>
  <c r="E2366" i="14"/>
  <c r="E2396" i="14"/>
  <c r="E2345" i="14"/>
  <c r="E2285" i="14"/>
  <c r="E2309" i="14"/>
  <c r="E2413" i="14"/>
  <c r="E2259" i="14"/>
  <c r="G2371" i="14"/>
  <c r="F2326" i="14"/>
  <c r="F2361" i="14"/>
  <c r="F2418" i="14"/>
  <c r="F2337" i="14"/>
  <c r="F2429" i="14"/>
  <c r="F2258" i="14"/>
  <c r="F2313" i="14"/>
  <c r="F2445" i="14"/>
  <c r="F2416" i="14"/>
  <c r="F2314" i="14"/>
  <c r="F2362" i="14"/>
  <c r="F2463" i="14"/>
  <c r="F2349" i="14"/>
  <c r="F2437" i="14"/>
  <c r="F2405" i="14"/>
  <c r="F2367" i="14"/>
  <c r="F2438" i="14"/>
  <c r="F2301" i="14"/>
  <c r="F2293" i="14"/>
  <c r="F2425" i="14"/>
  <c r="F2322" i="14"/>
  <c r="F2249" i="14"/>
  <c r="I2474" i="14"/>
  <c r="I2410" i="14"/>
  <c r="I2288" i="14"/>
  <c r="I2391" i="14"/>
  <c r="I2357" i="14"/>
  <c r="I2300" i="14"/>
  <c r="I2451" i="14"/>
  <c r="I2336" i="14"/>
  <c r="I2275" i="14"/>
  <c r="I2287" i="14"/>
  <c r="I2340" i="14"/>
  <c r="I2342" i="14"/>
  <c r="I2333" i="14"/>
  <c r="I2242" i="14"/>
  <c r="I2423" i="14"/>
  <c r="I2442" i="14"/>
  <c r="I2279" i="14"/>
  <c r="H2460" i="14"/>
  <c r="H2428" i="14"/>
  <c r="H2448" i="14"/>
  <c r="H2327" i="14"/>
  <c r="H2302" i="14"/>
  <c r="H2259" i="14"/>
  <c r="H2252" i="14"/>
  <c r="H2348" i="14"/>
  <c r="H2459" i="14"/>
  <c r="H2424" i="14"/>
  <c r="H2354" i="14"/>
  <c r="E2304" i="14"/>
  <c r="E2422" i="14"/>
  <c r="E2390" i="14"/>
  <c r="E2331" i="14"/>
  <c r="E2433" i="14"/>
  <c r="E2319" i="14"/>
  <c r="E2443" i="14"/>
  <c r="E2478" i="14"/>
  <c r="E2296" i="14"/>
  <c r="E2352" i="14"/>
  <c r="E2353" i="14"/>
  <c r="E2414" i="14"/>
  <c r="E2474" i="14"/>
  <c r="G2436" i="14"/>
  <c r="I2265" i="14"/>
  <c r="I2282" i="14"/>
  <c r="I2398" i="14"/>
  <c r="I2367" i="14"/>
  <c r="I2428" i="14"/>
  <c r="I2364" i="14"/>
  <c r="I2394" i="14"/>
  <c r="I2323" i="14"/>
  <c r="I2267" i="14"/>
  <c r="I2341" i="14"/>
  <c r="I2449" i="14"/>
  <c r="I2331" i="14"/>
  <c r="I2343" i="14"/>
  <c r="H2292" i="14"/>
  <c r="H2451" i="14"/>
  <c r="H2426" i="14"/>
  <c r="H2371" i="14"/>
  <c r="H2271" i="14"/>
  <c r="H2332" i="14"/>
  <c r="H2368" i="14"/>
  <c r="H2432" i="14"/>
  <c r="H2274" i="14"/>
  <c r="H2434" i="14"/>
  <c r="H2308" i="14"/>
  <c r="H2269" i="14"/>
  <c r="H2293" i="14"/>
  <c r="H2256" i="14"/>
  <c r="H2479" i="14"/>
  <c r="E2400" i="14"/>
  <c r="E2255" i="14"/>
  <c r="E2380" i="14"/>
  <c r="E2303" i="14"/>
  <c r="E2314" i="14"/>
  <c r="E2404" i="14"/>
  <c r="E2367" i="14"/>
  <c r="E2461" i="14"/>
  <c r="E2451" i="14"/>
  <c r="E2465" i="14"/>
  <c r="E2383" i="14"/>
  <c r="E2248" i="14"/>
  <c r="G2297" i="14"/>
  <c r="G2437" i="14"/>
  <c r="E2459" i="14"/>
  <c r="G2250" i="14"/>
  <c r="V2386" i="14"/>
  <c r="A2386" i="14" s="1"/>
  <c r="V2374" i="14"/>
  <c r="A2374" i="14" s="1"/>
  <c r="V2369" i="14"/>
  <c r="A2369" i="14" s="1"/>
  <c r="V2251" i="14"/>
  <c r="A2251" i="14" s="1"/>
  <c r="V2370" i="14"/>
  <c r="A2370" i="14" s="1"/>
  <c r="V2349" i="14"/>
  <c r="A2349" i="14" s="1"/>
  <c r="V2389" i="14"/>
  <c r="A2389" i="14" s="1"/>
  <c r="V2261" i="14"/>
  <c r="A2261" i="14" s="1"/>
  <c r="V2372" i="14"/>
  <c r="A2372" i="14" s="1"/>
  <c r="V2351" i="14"/>
  <c r="A2351" i="14" s="1"/>
  <c r="V2467" i="14"/>
  <c r="A2467" i="14" s="1"/>
  <c r="V2256" i="14"/>
  <c r="A2256" i="14" s="1"/>
  <c r="V2468" i="14"/>
  <c r="A2468" i="14" s="1"/>
  <c r="V2476" i="14"/>
  <c r="A2476" i="14" s="1"/>
  <c r="V2382" i="14"/>
  <c r="A2382" i="14" s="1"/>
  <c r="V2424" i="14"/>
  <c r="A2424" i="14" s="1"/>
  <c r="V2421" i="14"/>
  <c r="A2421" i="14" s="1"/>
  <c r="V2284" i="14"/>
  <c r="A2284" i="14" s="1"/>
  <c r="V2290" i="14"/>
  <c r="A2290" i="14" s="1"/>
  <c r="V2453" i="14"/>
  <c r="A2453" i="14" s="1"/>
  <c r="V2429" i="14"/>
  <c r="A2429" i="14" s="1"/>
  <c r="V2437" i="14"/>
  <c r="A2437" i="14" s="1"/>
  <c r="V2313" i="14"/>
  <c r="A2313" i="14" s="1"/>
  <c r="V2352" i="14"/>
  <c r="A2352" i="14" s="1"/>
  <c r="V2294" i="14"/>
  <c r="A2294" i="14" s="1"/>
  <c r="V2334" i="14"/>
  <c r="A2334" i="14" s="1"/>
  <c r="V2364" i="14"/>
  <c r="A2364" i="14" s="1"/>
  <c r="V2360" i="14"/>
  <c r="A2360" i="14" s="1"/>
  <c r="V2278" i="14"/>
  <c r="A2278" i="14" s="1"/>
  <c r="V2292" i="14"/>
  <c r="A2292" i="14" s="1"/>
  <c r="V2318" i="14"/>
  <c r="A2318" i="14" s="1"/>
  <c r="V2270" i="14"/>
  <c r="A2270" i="14" s="1"/>
  <c r="V2333" i="14"/>
  <c r="A2333" i="14" s="1"/>
  <c r="V2359" i="14"/>
  <c r="A2359" i="14" s="1"/>
  <c r="V2330" i="14"/>
  <c r="A2330" i="14" s="1"/>
  <c r="V2272" i="14"/>
  <c r="A2272" i="14" s="1"/>
  <c r="V2325" i="14"/>
  <c r="A2325" i="14" s="1"/>
  <c r="V2375" i="14"/>
  <c r="A2375" i="14" s="1"/>
  <c r="V2435" i="14"/>
  <c r="A2435" i="14" s="1"/>
  <c r="F2278" i="14"/>
  <c r="F2303" i="14"/>
  <c r="F2273" i="14"/>
  <c r="F2402" i="14"/>
  <c r="F2355" i="14"/>
  <c r="F2264" i="14"/>
  <c r="F2364" i="14"/>
  <c r="F2423" i="14"/>
  <c r="F2297" i="14"/>
  <c r="F2359" i="14"/>
  <c r="I2439" i="14"/>
  <c r="I2243" i="14"/>
  <c r="I2292" i="14"/>
  <c r="I2399" i="14"/>
  <c r="I2306" i="14"/>
  <c r="I2479" i="14"/>
  <c r="I2297" i="14"/>
  <c r="I2362" i="14"/>
  <c r="I2478" i="14"/>
  <c r="I2317" i="14"/>
  <c r="I2385" i="14"/>
  <c r="I2350" i="14"/>
  <c r="I2301" i="14"/>
  <c r="I2473" i="14"/>
  <c r="I2337" i="14"/>
  <c r="I2345" i="14"/>
  <c r="H2425" i="14"/>
  <c r="H2466" i="14"/>
  <c r="H2367" i="14"/>
  <c r="H2404" i="14"/>
  <c r="H2343" i="14"/>
  <c r="H2244" i="14"/>
  <c r="H2392" i="14"/>
  <c r="H2422" i="14"/>
  <c r="H2361" i="14"/>
  <c r="H2272" i="14"/>
  <c r="H2477" i="14"/>
  <c r="H2357" i="14"/>
  <c r="H2317" i="14"/>
  <c r="H2287" i="14"/>
  <c r="H2373" i="14"/>
  <c r="H2375" i="14"/>
  <c r="H2350" i="14"/>
  <c r="H2452" i="14"/>
  <c r="E2389" i="14"/>
  <c r="E2440" i="14"/>
  <c r="E2340" i="14"/>
  <c r="E2269" i="14"/>
  <c r="E2456" i="14"/>
  <c r="E2364" i="14"/>
  <c r="E2421" i="14"/>
  <c r="E2475" i="14"/>
  <c r="E2256" i="14"/>
  <c r="E2471" i="14"/>
  <c r="E2374" i="14"/>
  <c r="E2370" i="14"/>
  <c r="E2294" i="14"/>
  <c r="E2346" i="14"/>
  <c r="V2277" i="14"/>
  <c r="A2277" i="14" s="1"/>
  <c r="V2357" i="14"/>
  <c r="A2357" i="14" s="1"/>
  <c r="V2306" i="14"/>
  <c r="A2306" i="14" s="1"/>
  <c r="V2448" i="14"/>
  <c r="A2448" i="14" s="1"/>
  <c r="V2286" i="14"/>
  <c r="A2286" i="14" s="1"/>
  <c r="V2355" i="14"/>
  <c r="A2355" i="14" s="1"/>
  <c r="V2431" i="14"/>
  <c r="A2431" i="14" s="1"/>
  <c r="V2407" i="14"/>
  <c r="A2407" i="14" s="1"/>
  <c r="V2415" i="14"/>
  <c r="A2415" i="14" s="1"/>
  <c r="V2455" i="14"/>
  <c r="A2455" i="14" s="1"/>
  <c r="V2243" i="14"/>
  <c r="A2243" i="14" s="1"/>
  <c r="V2283" i="14"/>
  <c r="A2283" i="14" s="1"/>
  <c r="V2323" i="14"/>
  <c r="A2323" i="14" s="1"/>
  <c r="V2267" i="14"/>
  <c r="A2267" i="14" s="1"/>
  <c r="V2402" i="14"/>
  <c r="A2402" i="14" s="1"/>
  <c r="V2240" i="14"/>
  <c r="A2240" i="14" s="1"/>
  <c r="V2312" i="14"/>
  <c r="A2312" i="14" s="1"/>
  <c r="V2245" i="14"/>
  <c r="A2245" i="14" s="1"/>
  <c r="V2285" i="14"/>
  <c r="A2285" i="14" s="1"/>
  <c r="V2293" i="14"/>
  <c r="A2293" i="14" s="1"/>
  <c r="V2430" i="14"/>
  <c r="A2430" i="14" s="1"/>
  <c r="V2383" i="14"/>
  <c r="A2383" i="14" s="1"/>
  <c r="V2443" i="14"/>
  <c r="A2443" i="14" s="1"/>
  <c r="V2314" i="14"/>
  <c r="A2314" i="14" s="1"/>
  <c r="V2478" i="14"/>
  <c r="A2478" i="14" s="1"/>
  <c r="V2326" i="14"/>
  <c r="A2326" i="14" s="1"/>
  <c r="V2465" i="14"/>
  <c r="A2465" i="14" s="1"/>
  <c r="V2296" i="14"/>
  <c r="A2296" i="14" s="1"/>
  <c r="V2304" i="14"/>
  <c r="A2304" i="14" s="1"/>
  <c r="V2248" i="14"/>
  <c r="A2248" i="14" s="1"/>
  <c r="V2309" i="14"/>
  <c r="A2309" i="14" s="1"/>
  <c r="V2414" i="14"/>
  <c r="A2414" i="14" s="1"/>
  <c r="V2422" i="14"/>
  <c r="A2422" i="14" s="1"/>
  <c r="V2367" i="14"/>
  <c r="A2367" i="14" s="1"/>
  <c r="V2406" i="14"/>
  <c r="A2406" i="14" s="1"/>
  <c r="V2255" i="14"/>
  <c r="A2255" i="14" s="1"/>
  <c r="V2358" i="14"/>
  <c r="A2358" i="14" s="1"/>
  <c r="V2366" i="14"/>
  <c r="A2366" i="14" s="1"/>
  <c r="V2408" i="14"/>
  <c r="A2408" i="14" s="1"/>
  <c r="V2353" i="14"/>
  <c r="A2353" i="14" s="1"/>
  <c r="V2390" i="14"/>
  <c r="A2390" i="14" s="1"/>
  <c r="V2331" i="14"/>
  <c r="A2331" i="14" s="1"/>
  <c r="V2396" i="14"/>
  <c r="A2396" i="14" s="1"/>
  <c r="V2336" i="14"/>
  <c r="A2336" i="14" s="1"/>
  <c r="V2380" i="14"/>
  <c r="A2380" i="14" s="1"/>
  <c r="V2433" i="14"/>
  <c r="A2433" i="14" s="1"/>
  <c r="V2259" i="14"/>
  <c r="A2259" i="14" s="1"/>
  <c r="V2247" i="14"/>
  <c r="A2247" i="14" s="1"/>
  <c r="V2319" i="14"/>
  <c r="A2319" i="14" s="1"/>
  <c r="V2295" i="14"/>
  <c r="A2295" i="14" s="1"/>
  <c r="V2303" i="14"/>
  <c r="A2303" i="14" s="1"/>
  <c r="V2345" i="14"/>
  <c r="A2345" i="14" s="1"/>
  <c r="V2470" i="14"/>
  <c r="A2470" i="14" s="1"/>
  <c r="V2461" i="14"/>
  <c r="A2461" i="14" s="1"/>
  <c r="V2469" i="14"/>
  <c r="A2469" i="14" s="1"/>
  <c r="V2445" i="14"/>
  <c r="A2445" i="14" s="1"/>
  <c r="V2403" i="14"/>
  <c r="A2403" i="14" s="1"/>
  <c r="V2410" i="14"/>
  <c r="A2410" i="14" s="1"/>
  <c r="V2384" i="14"/>
  <c r="A2384" i="14" s="1"/>
  <c r="V2458" i="14"/>
  <c r="A2458" i="14" s="1"/>
  <c r="V2238" i="14"/>
  <c r="A2238" i="14" s="1"/>
  <c r="G2364" i="14"/>
  <c r="G2258" i="14"/>
  <c r="G2421" i="14"/>
  <c r="G2294" i="14"/>
  <c r="G2478" i="14"/>
  <c r="G2408" i="14"/>
  <c r="G2414" i="14"/>
  <c r="G2303" i="14"/>
  <c r="G2470" i="14"/>
  <c r="G2356" i="14"/>
  <c r="G2267" i="14"/>
  <c r="G2430" i="14"/>
  <c r="G2318" i="14"/>
  <c r="G2425" i="14"/>
  <c r="G2317" i="14"/>
  <c r="G2278" i="14"/>
  <c r="G2471" i="14"/>
  <c r="G2251" i="14"/>
  <c r="G2239" i="14"/>
  <c r="G2446" i="14"/>
  <c r="V2361" i="14"/>
  <c r="A2361" i="14" s="1"/>
  <c r="V2450" i="14"/>
  <c r="A2450" i="14" s="1"/>
  <c r="V2308" i="14"/>
  <c r="A2308" i="14" s="1"/>
  <c r="V2346" i="14"/>
  <c r="A2346" i="14" s="1"/>
  <c r="V2264" i="14"/>
  <c r="A2264" i="14" s="1"/>
  <c r="V2394" i="14"/>
  <c r="A2394" i="14" s="1"/>
  <c r="V2391" i="14"/>
  <c r="A2391" i="14" s="1"/>
  <c r="V2317" i="14"/>
  <c r="A2317" i="14" s="1"/>
  <c r="V2477" i="14"/>
  <c r="A2477" i="14" s="1"/>
  <c r="V411" i="10"/>
  <c r="M412" i="10"/>
  <c r="F2288" i="14"/>
  <c r="F2282" i="14"/>
  <c r="F2342" i="14"/>
  <c r="F2432" i="14"/>
  <c r="F2477" i="14"/>
  <c r="F2316" i="14"/>
  <c r="F2305" i="14"/>
  <c r="F2275" i="14"/>
  <c r="F2358" i="14"/>
  <c r="F2444" i="14"/>
  <c r="F2431" i="14"/>
  <c r="F2391" i="14"/>
  <c r="F2328" i="14"/>
  <c r="F2373" i="14"/>
  <c r="I2360" i="14"/>
  <c r="I2418" i="14"/>
  <c r="I2239" i="14"/>
  <c r="I2309" i="14"/>
  <c r="I2425" i="14"/>
  <c r="I2291" i="14"/>
  <c r="I2383" i="14"/>
  <c r="I2396" i="14"/>
  <c r="I2252" i="14"/>
  <c r="I2259" i="14"/>
  <c r="I2417" i="14"/>
  <c r="H2383" i="14"/>
  <c r="H2242" i="14"/>
  <c r="H2376" i="14"/>
  <c r="H2353" i="14"/>
  <c r="H2312" i="14"/>
  <c r="H2469" i="14"/>
  <c r="H2417" i="14"/>
  <c r="H2335" i="14"/>
  <c r="H2444" i="14"/>
  <c r="H2440" i="14"/>
  <c r="H2277" i="14"/>
  <c r="H2396" i="14"/>
  <c r="H2281" i="14"/>
  <c r="E2334" i="14"/>
  <c r="E2313" i="14"/>
  <c r="E2284" i="14"/>
  <c r="E2270" i="14"/>
  <c r="E2450" i="14"/>
  <c r="E2369" i="14"/>
  <c r="E2453" i="14"/>
  <c r="E2290" i="14"/>
  <c r="E2359" i="14"/>
  <c r="E2308" i="14"/>
  <c r="E2349" i="14"/>
  <c r="E2292" i="14"/>
  <c r="E2468" i="14"/>
  <c r="E2261" i="14"/>
  <c r="E2278" i="14"/>
  <c r="E2391" i="14"/>
  <c r="E2351" i="14"/>
  <c r="E2386" i="14"/>
  <c r="E2264" i="14"/>
  <c r="E2424" i="14"/>
  <c r="E2250" i="14"/>
  <c r="V2405" i="14"/>
  <c r="A2405" i="14" s="1"/>
  <c r="V2387" i="14"/>
  <c r="A2387" i="14" s="1"/>
  <c r="V2280" i="14"/>
  <c r="A2280" i="14" s="1"/>
  <c r="V2454" i="14"/>
  <c r="A2454" i="14" s="1"/>
  <c r="V2241" i="14"/>
  <c r="A2241" i="14" s="1"/>
  <c r="V2397" i="14"/>
  <c r="A2397" i="14" s="1"/>
  <c r="V2473" i="14"/>
  <c r="A2473" i="14" s="1"/>
  <c r="V2425" i="14"/>
  <c r="A2425" i="14" s="1"/>
  <c r="V2288" i="14"/>
  <c r="A2288" i="14" s="1"/>
  <c r="V2348" i="14"/>
  <c r="A2348" i="14" s="1"/>
  <c r="V2356" i="14"/>
  <c r="A2356" i="14" s="1"/>
  <c r="V2301" i="14"/>
  <c r="A2301" i="14" s="1"/>
  <c r="V2341" i="14"/>
  <c r="A2341" i="14" s="1"/>
  <c r="V2446" i="14"/>
  <c r="A2446" i="14" s="1"/>
  <c r="V2338" i="14"/>
  <c r="A2338" i="14" s="1"/>
  <c r="V2239" i="14"/>
  <c r="A2239" i="14" s="1"/>
  <c r="V2343" i="14"/>
  <c r="A2343" i="14" s="1"/>
  <c r="V2287" i="14"/>
  <c r="A2287" i="14" s="1"/>
  <c r="V2263" i="14"/>
  <c r="A2263" i="14" s="1"/>
  <c r="V2464" i="14"/>
  <c r="A2464" i="14" s="1"/>
  <c r="V2444" i="14"/>
  <c r="A2444" i="14" s="1"/>
  <c r="V2328" i="14"/>
  <c r="A2328" i="14" s="1"/>
  <c r="V2320" i="14"/>
  <c r="A2320" i="14" s="1"/>
  <c r="V2249" i="14"/>
  <c r="A2249" i="14" s="1"/>
  <c r="V2411" i="14"/>
  <c r="A2411" i="14" s="1"/>
  <c r="V2298" i="14"/>
  <c r="A2298" i="14" s="1"/>
  <c r="V2274" i="14"/>
  <c r="A2274" i="14" s="1"/>
  <c r="V2282" i="14"/>
  <c r="A2282" i="14" s="1"/>
  <c r="V2279" i="14"/>
  <c r="A2279" i="14" s="1"/>
  <c r="V2416" i="14"/>
  <c r="A2416" i="14" s="1"/>
  <c r="V2393" i="14"/>
  <c r="A2393" i="14" s="1"/>
  <c r="V2401" i="14"/>
  <c r="A2401" i="14" s="1"/>
  <c r="V2377" i="14"/>
  <c r="A2377" i="14" s="1"/>
  <c r="V2337" i="14"/>
  <c r="A2337" i="14" s="1"/>
  <c r="V2344" i="14"/>
  <c r="A2344" i="14" s="1"/>
  <c r="V2257" i="14"/>
  <c r="A2257" i="14" s="1"/>
  <c r="V2392" i="14"/>
  <c r="A2392" i="14" s="1"/>
  <c r="V2434" i="14"/>
  <c r="A2434" i="14" s="1"/>
  <c r="V2442" i="14"/>
  <c r="A2442" i="14" s="1"/>
  <c r="V2363" i="14"/>
  <c r="A2363" i="14" s="1"/>
  <c r="V2428" i="14"/>
  <c r="A2428" i="14" s="1"/>
  <c r="V2302" i="14"/>
  <c r="A2302" i="14" s="1"/>
  <c r="V2449" i="14"/>
  <c r="A2449" i="14" s="1"/>
  <c r="V2244" i="14"/>
  <c r="A2244" i="14" s="1"/>
  <c r="V2268" i="14"/>
  <c r="A2268" i="14" s="1"/>
  <c r="V2297" i="14"/>
  <c r="A2297" i="14" s="1"/>
  <c r="V2273" i="14"/>
  <c r="A2273" i="14" s="1"/>
  <c r="V2281" i="14"/>
  <c r="A2281" i="14" s="1"/>
  <c r="V2321" i="14"/>
  <c r="A2321" i="14" s="1"/>
  <c r="V2395" i="14"/>
  <c r="A2395" i="14" s="1"/>
  <c r="V2439" i="14"/>
  <c r="A2439" i="14" s="1"/>
  <c r="V2447" i="14"/>
  <c r="A2447" i="14" s="1"/>
  <c r="V2472" i="14"/>
  <c r="A2472" i="14" s="1"/>
  <c r="V2254" i="14"/>
  <c r="A2254" i="14" s="1"/>
  <c r="V2381" i="14"/>
  <c r="A2381" i="14" s="1"/>
  <c r="V2420" i="14"/>
  <c r="A2420" i="14" s="1"/>
  <c r="V2365" i="14"/>
  <c r="A2365" i="14" s="1"/>
  <c r="V2441" i="14"/>
  <c r="A2441" i="14" s="1"/>
  <c r="V2466" i="14"/>
  <c r="A2466" i="14" s="1"/>
  <c r="V2237" i="14"/>
  <c r="A2237" i="14" s="1"/>
  <c r="G2330" i="14"/>
  <c r="G2325" i="14"/>
  <c r="G2260" i="14"/>
  <c r="G2341" i="14"/>
  <c r="G2472" i="14"/>
  <c r="G2383" i="14"/>
  <c r="G2254" i="14"/>
  <c r="G2310" i="14"/>
  <c r="G2269" i="14"/>
  <c r="G2295" i="14"/>
  <c r="G2368" i="14"/>
  <c r="G2253" i="14"/>
  <c r="G2435" i="14"/>
  <c r="G2326" i="14"/>
  <c r="G2455" i="14"/>
  <c r="V2440" i="14"/>
  <c r="A2440" i="14" s="1"/>
  <c r="V2305" i="14"/>
  <c r="A2305" i="14" s="1"/>
  <c r="V2307" i="14"/>
  <c r="A2307" i="14" s="1"/>
  <c r="V2471" i="14"/>
  <c r="A2471" i="14" s="1"/>
  <c r="V2423" i="14"/>
  <c r="A2423" i="14" s="1"/>
  <c r="V2342" i="14"/>
  <c r="A2342" i="14" s="1"/>
  <c r="V2409" i="14"/>
  <c r="A2409" i="14" s="1"/>
  <c r="V2250" i="14"/>
  <c r="A2250" i="14" s="1"/>
  <c r="V2340" i="14"/>
  <c r="A2340" i="14" s="1"/>
  <c r="V2269" i="14"/>
  <c r="A2269" i="14" s="1"/>
  <c r="V2475" i="14"/>
  <c r="A2475" i="14" s="1"/>
  <c r="V2432" i="14"/>
  <c r="A2432" i="14" s="1"/>
  <c r="V2456" i="14"/>
  <c r="A2456" i="14" s="1"/>
  <c r="F2443" i="14"/>
  <c r="F2331" i="14"/>
  <c r="F2419" i="14"/>
  <c r="F2451" i="14"/>
  <c r="F2470" i="14"/>
  <c r="F2263" i="14"/>
  <c r="F2270" i="14"/>
  <c r="F2333" i="14"/>
  <c r="F2457" i="14"/>
  <c r="F2340" i="14"/>
  <c r="F2253" i="14"/>
  <c r="F2459" i="14"/>
  <c r="F2281" i="14"/>
  <c r="F2475" i="14"/>
  <c r="F2440" i="14"/>
  <c r="F2379" i="14"/>
  <c r="F2350" i="14"/>
  <c r="F2366" i="14"/>
  <c r="F2346" i="14"/>
  <c r="F2257" i="14"/>
  <c r="F2462" i="14"/>
  <c r="I2406" i="14"/>
  <c r="I2318" i="14"/>
  <c r="I2435" i="14"/>
  <c r="I2447" i="14"/>
  <c r="I2247" i="14"/>
  <c r="I2356" i="14"/>
  <c r="I2359" i="14"/>
  <c r="I2270" i="14"/>
  <c r="I2450" i="14"/>
  <c r="I2404" i="14"/>
  <c r="I2250" i="14"/>
  <c r="I2371" i="14"/>
  <c r="I2285" i="14"/>
  <c r="I2284" i="14"/>
  <c r="I2286" i="14"/>
  <c r="I2470" i="14"/>
  <c r="I2245" i="14"/>
  <c r="I2452" i="14"/>
  <c r="I2380" i="14"/>
  <c r="L413" i="10"/>
  <c r="U412" i="10"/>
  <c r="H2253" i="14"/>
  <c r="H2315" i="14"/>
  <c r="H2258" i="14"/>
  <c r="H2316" i="14"/>
  <c r="H2257" i="14"/>
  <c r="H2409" i="14"/>
  <c r="H2402" i="14"/>
  <c r="H2398" i="14"/>
  <c r="H2260" i="14"/>
  <c r="H2457" i="14"/>
  <c r="H2442" i="14"/>
  <c r="H2310" i="14"/>
  <c r="H2238" i="14"/>
  <c r="H2478" i="14"/>
  <c r="H2254" i="14"/>
  <c r="H2309" i="14"/>
  <c r="H2237" i="14"/>
  <c r="H2473" i="14"/>
  <c r="H2326" i="14"/>
  <c r="E2429" i="14"/>
  <c r="E2342" i="14"/>
  <c r="E2330" i="14"/>
  <c r="E2360" i="14"/>
  <c r="E2333" i="14"/>
  <c r="E2272" i="14"/>
  <c r="E2477" i="14"/>
  <c r="E2317" i="14"/>
  <c r="E2375" i="14"/>
  <c r="E2394" i="14"/>
  <c r="E2432" i="14"/>
  <c r="E2476" i="14"/>
  <c r="E2467" i="14"/>
  <c r="E2286" i="14"/>
  <c r="E2318" i="14"/>
  <c r="E2361" i="14"/>
  <c r="E2251" i="14"/>
  <c r="E2423" i="14"/>
  <c r="E2288" i="14"/>
  <c r="V2400" i="14"/>
  <c r="A2400" i="14" s="1"/>
  <c r="V2413" i="14"/>
  <c r="A2413" i="14" s="1"/>
  <c r="V2246" i="14"/>
  <c r="A2246" i="14" s="1"/>
  <c r="V2474" i="14"/>
  <c r="A2474" i="14" s="1"/>
  <c r="V2242" i="14"/>
  <c r="A2242" i="14" s="1"/>
  <c r="V2404" i="14"/>
  <c r="A2404" i="14" s="1"/>
  <c r="V2451" i="14"/>
  <c r="A2451" i="14" s="1"/>
  <c r="V2459" i="14"/>
  <c r="A2459" i="14" s="1"/>
  <c r="V2462" i="14"/>
  <c r="A2462" i="14" s="1"/>
  <c r="V2258" i="14"/>
  <c r="A2258" i="14" s="1"/>
  <c r="V2350" i="14"/>
  <c r="A2350" i="14" s="1"/>
  <c r="V2327" i="14"/>
  <c r="A2327" i="14" s="1"/>
  <c r="V2335" i="14"/>
  <c r="A2335" i="14" s="1"/>
  <c r="V2311" i="14"/>
  <c r="A2311" i="14" s="1"/>
  <c r="V2316" i="14"/>
  <c r="A2316" i="14" s="1"/>
  <c r="V2324" i="14"/>
  <c r="A2324" i="14" s="1"/>
  <c r="E2307" i="14"/>
  <c r="V2265" i="14"/>
  <c r="A2265" i="14" s="1"/>
  <c r="V2368" i="14"/>
  <c r="A2368" i="14" s="1"/>
  <c r="V2376" i="14"/>
  <c r="A2376" i="14" s="1"/>
  <c r="V2289" i="14"/>
  <c r="A2289" i="14" s="1"/>
  <c r="V2347" i="14"/>
  <c r="A2347" i="14" s="1"/>
  <c r="V2262" i="14"/>
  <c r="A2262" i="14" s="1"/>
  <c r="V2275" i="14"/>
  <c r="A2275" i="14" s="1"/>
  <c r="V2322" i="14"/>
  <c r="A2322" i="14" s="1"/>
  <c r="V2398" i="14"/>
  <c r="A2398" i="14" s="1"/>
  <c r="V2276" i="14"/>
  <c r="A2276" i="14" s="1"/>
  <c r="V2252" i="14"/>
  <c r="A2252" i="14" s="1"/>
  <c r="V2260" i="14"/>
  <c r="A2260" i="14" s="1"/>
  <c r="V2300" i="14"/>
  <c r="A2300" i="14" s="1"/>
  <c r="V2329" i="14"/>
  <c r="A2329" i="14" s="1"/>
  <c r="V2371" i="14"/>
  <c r="A2371" i="14" s="1"/>
  <c r="V2379" i="14"/>
  <c r="A2379" i="14" s="1"/>
  <c r="V2418" i="14"/>
  <c r="A2418" i="14" s="1"/>
  <c r="V2426" i="14"/>
  <c r="A2426" i="14" s="1"/>
  <c r="V2315" i="14"/>
  <c r="A2315" i="14" s="1"/>
  <c r="V2354" i="14"/>
  <c r="A2354" i="14" s="1"/>
  <c r="V2299" i="14"/>
  <c r="A2299" i="14" s="1"/>
  <c r="V2373" i="14"/>
  <c r="A2373" i="14" s="1"/>
  <c r="V2412" i="14"/>
  <c r="A2412" i="14" s="1"/>
  <c r="V2452" i="14"/>
  <c r="A2452" i="14" s="1"/>
  <c r="V2385" i="14"/>
  <c r="A2385" i="14" s="1"/>
  <c r="V2463" i="14"/>
  <c r="A2463" i="14" s="1"/>
  <c r="V2332" i="14"/>
  <c r="A2332" i="14" s="1"/>
  <c r="V2479" i="14"/>
  <c r="A2479" i="14" s="1"/>
  <c r="V2266" i="14"/>
  <c r="A2266" i="14" s="1"/>
  <c r="V2310" i="14"/>
  <c r="A2310" i="14" s="1"/>
  <c r="V2339" i="14"/>
  <c r="A2339" i="14" s="1"/>
  <c r="V2378" i="14"/>
  <c r="A2378" i="14" s="1"/>
  <c r="V2291" i="14"/>
  <c r="A2291" i="14" s="1"/>
  <c r="V2362" i="14"/>
  <c r="A2362" i="14" s="1"/>
  <c r="V2436" i="14"/>
  <c r="A2436" i="14" s="1"/>
  <c r="V2417" i="14"/>
  <c r="A2417" i="14" s="1"/>
  <c r="V2457" i="14"/>
  <c r="A2457" i="14" s="1"/>
  <c r="V2460" i="14"/>
  <c r="A2460" i="14" s="1"/>
  <c r="V2253" i="14"/>
  <c r="A2253" i="14" s="1"/>
  <c r="V2388" i="14"/>
  <c r="A2388" i="14" s="1"/>
  <c r="V2399" i="14"/>
  <c r="A2399" i="14" s="1"/>
  <c r="V2438" i="14"/>
  <c r="A2438" i="14" s="1"/>
  <c r="V2419" i="14"/>
  <c r="A2419" i="14" s="1"/>
  <c r="V2427" i="14"/>
  <c r="A2427" i="14" s="1"/>
  <c r="V2271" i="14"/>
  <c r="A2271" i="14" s="1"/>
  <c r="G2264" i="14"/>
  <c r="G2313" i="14"/>
  <c r="G2348" i="14"/>
  <c r="G2342" i="14"/>
  <c r="G2451" i="14"/>
  <c r="G2257" i="14"/>
  <c r="G2422" i="14"/>
  <c r="G2396" i="14"/>
  <c r="G2391" i="14"/>
  <c r="G2372" i="14"/>
  <c r="G2361" i="14"/>
  <c r="G2238" i="14"/>
  <c r="G2420" i="14"/>
  <c r="G2378" i="14"/>
  <c r="G2448" i="14"/>
  <c r="J2339" i="14" l="1"/>
  <c r="J2408" i="14"/>
  <c r="J2354" i="14"/>
  <c r="J2454" i="14"/>
  <c r="J2464" i="14"/>
  <c r="J2266" i="14"/>
  <c r="J2382" i="14"/>
  <c r="J2441" i="14"/>
  <c r="J2412" i="14"/>
  <c r="J2332" i="14"/>
  <c r="J2344" i="14"/>
  <c r="J2343" i="14"/>
  <c r="J2399" i="14"/>
  <c r="J2311" i="14"/>
  <c r="J2363" i="14"/>
  <c r="J2315" i="14"/>
  <c r="J2459" i="14"/>
  <c r="J2240" i="14"/>
  <c r="J2357" i="14"/>
  <c r="J2345" i="14"/>
  <c r="J2312" i="14"/>
  <c r="J2405" i="14"/>
  <c r="J2321" i="14"/>
  <c r="J2300" i="14"/>
  <c r="J2279" i="14"/>
  <c r="J2251" i="14"/>
  <c r="J2237" i="14"/>
  <c r="J2290" i="14"/>
  <c r="J2274" i="14"/>
  <c r="J2387" i="14"/>
  <c r="J2263" i="14"/>
  <c r="J2418" i="14"/>
  <c r="J2275" i="14"/>
  <c r="J2249" i="14"/>
  <c r="J2327" i="14"/>
  <c r="J2336" i="14"/>
  <c r="J2384" i="14"/>
  <c r="J2324" i="14"/>
  <c r="J2381" i="14"/>
  <c r="J2428" i="14"/>
  <c r="J2271" i="14"/>
  <c r="J2411" i="14"/>
  <c r="J2395" i="14"/>
  <c r="J2388" i="14"/>
  <c r="J2329" i="14"/>
  <c r="J2262" i="14"/>
  <c r="J2281" i="14"/>
  <c r="J2301" i="14"/>
  <c r="J2352" i="14"/>
  <c r="J2460" i="14"/>
  <c r="J2268" i="14"/>
  <c r="J2394" i="14"/>
  <c r="J2409" i="14"/>
  <c r="J2424" i="14"/>
  <c r="J2259" i="14"/>
  <c r="J2267" i="14"/>
  <c r="J2414" i="14"/>
  <c r="J2362" i="14"/>
  <c r="J2426" i="14"/>
  <c r="J2302" i="14"/>
  <c r="J2410" i="14"/>
  <c r="J2463" i="14"/>
  <c r="J2429" i="14"/>
  <c r="J2351" i="14"/>
  <c r="J2385" i="14"/>
  <c r="J2304" i="14"/>
  <c r="J2427" i="14"/>
  <c r="J2378" i="14"/>
  <c r="J2372" i="14"/>
  <c r="J2309" i="14"/>
  <c r="J2369" i="14"/>
  <c r="J2243" i="14"/>
  <c r="J2255" i="14"/>
  <c r="J2430" i="14"/>
  <c r="J2299" i="14"/>
  <c r="J2320" i="14"/>
  <c r="J2377" i="14"/>
  <c r="J2347" i="14"/>
  <c r="J2289" i="14"/>
  <c r="J2438" i="14"/>
  <c r="J2241" i="14"/>
  <c r="J2439" i="14"/>
  <c r="J2416" i="14"/>
  <c r="J2393" i="14"/>
  <c r="J2472" i="14"/>
  <c r="J2261" i="14"/>
  <c r="J2334" i="14"/>
  <c r="J2335" i="14"/>
  <c r="J2358" i="14"/>
  <c r="J2370" i="14"/>
  <c r="J2244" i="14"/>
  <c r="J2466" i="14"/>
  <c r="J2248" i="14"/>
  <c r="J2461" i="14"/>
  <c r="J2323" i="14"/>
  <c r="J2436" i="14"/>
  <c r="J2319" i="14"/>
  <c r="J2445" i="14"/>
  <c r="J2337" i="14"/>
  <c r="J2437" i="14"/>
  <c r="J2400" i="14"/>
  <c r="J2415" i="14"/>
  <c r="J2265" i="14"/>
  <c r="J2397" i="14"/>
  <c r="J2413" i="14"/>
  <c r="J2433" i="14"/>
  <c r="J2465" i="14"/>
  <c r="J2322" i="14"/>
  <c r="J2276" i="14"/>
  <c r="J2403" i="14"/>
  <c r="J2338" i="14"/>
  <c r="J2306" i="14"/>
  <c r="J2390" i="14"/>
  <c r="J2273" i="14"/>
  <c r="J2314" i="14"/>
  <c r="J2401" i="14"/>
  <c r="J2458" i="14"/>
  <c r="J2246" i="14"/>
  <c r="J2298" i="14"/>
  <c r="J2365" i="14"/>
  <c r="J2407" i="14"/>
  <c r="J2283" i="14"/>
  <c r="J2404" i="14"/>
  <c r="J2238" i="14"/>
  <c r="J2467" i="14"/>
  <c r="J2442" i="14"/>
  <c r="J2258" i="14"/>
  <c r="J2462" i="14"/>
  <c r="J2443" i="14"/>
  <c r="J2348" i="14"/>
  <c r="J2473" i="14"/>
  <c r="J2380" i="14"/>
  <c r="J2435" i="14"/>
  <c r="J2379" i="14"/>
  <c r="J2341" i="14"/>
  <c r="J2453" i="14"/>
  <c r="J2277" i="14"/>
  <c r="J2417" i="14"/>
  <c r="J2376" i="14"/>
  <c r="J2291" i="14"/>
  <c r="J2446" i="14"/>
  <c r="J2434" i="14"/>
  <c r="J2296" i="14"/>
  <c r="J2455" i="14"/>
  <c r="J2368" i="14"/>
  <c r="J2260" i="14"/>
  <c r="J2468" i="14"/>
  <c r="J2308" i="14"/>
  <c r="J2469" i="14"/>
  <c r="J2431" i="14"/>
  <c r="J2392" i="14"/>
  <c r="J2297" i="14"/>
  <c r="J2355" i="14"/>
  <c r="J2474" i="14"/>
  <c r="J2303" i="14"/>
  <c r="J2375" i="14"/>
  <c r="J2366" i="14"/>
  <c r="J2325" i="14"/>
  <c r="J2282" i="14"/>
  <c r="J2448" i="14"/>
  <c r="J2420" i="14"/>
  <c r="J2451" i="14"/>
  <c r="J2476" i="14"/>
  <c r="J2419" i="14"/>
  <c r="J2295" i="14"/>
  <c r="J2242" i="14"/>
  <c r="J2252" i="14"/>
  <c r="J2425" i="14"/>
  <c r="J2256" i="14"/>
  <c r="J2287" i="14"/>
  <c r="J2479" i="14"/>
  <c r="J2449" i="14"/>
  <c r="J2293" i="14"/>
  <c r="J2432" i="14"/>
  <c r="J2317" i="14"/>
  <c r="J2398" i="14"/>
  <c r="J2316" i="14"/>
  <c r="J2245" i="14"/>
  <c r="J2285" i="14"/>
  <c r="J2247" i="14"/>
  <c r="J2406" i="14"/>
  <c r="J2331" i="14"/>
  <c r="J2292" i="14"/>
  <c r="J2373" i="14"/>
  <c r="J2444" i="14"/>
  <c r="J2456" i="14"/>
  <c r="J2422" i="14"/>
  <c r="J2307" i="14"/>
  <c r="J2330" i="14"/>
  <c r="J2371" i="14"/>
  <c r="J2447" i="14"/>
  <c r="J2386" i="14"/>
  <c r="J2328" i="14"/>
  <c r="J2374" i="14"/>
  <c r="J2389" i="14"/>
  <c r="J2350" i="14"/>
  <c r="J2305" i="14"/>
  <c r="J2367" i="14"/>
  <c r="J2478" i="14"/>
  <c r="J2396" i="14"/>
  <c r="J2318" i="14"/>
  <c r="J2333" i="14"/>
  <c r="J2360" i="14"/>
  <c r="J2278" i="14"/>
  <c r="J2349" i="14"/>
  <c r="J2353" i="14"/>
  <c r="J2356" i="14"/>
  <c r="J2359" i="14"/>
  <c r="J2239" i="14"/>
  <c r="J2457" i="14"/>
  <c r="J2470" i="14"/>
  <c r="J2310" i="14"/>
  <c r="J2257" i="14"/>
  <c r="J2254" i="14"/>
  <c r="J2383" i="14"/>
  <c r="J2294" i="14"/>
  <c r="J2440" i="14"/>
  <c r="J2452" i="14"/>
  <c r="J2402" i="14"/>
  <c r="J2253" i="14"/>
  <c r="J2326" i="14"/>
  <c r="J2475" i="14"/>
  <c r="J2423" i="14"/>
  <c r="J2286" i="14"/>
  <c r="U413" i="10"/>
  <c r="L414" i="10"/>
  <c r="J2264" i="14"/>
  <c r="J2270" i="14"/>
  <c r="V412" i="10"/>
  <c r="M413" i="10"/>
  <c r="J2471" i="14"/>
  <c r="AA13" i="14"/>
  <c r="J2477" i="14"/>
  <c r="J2391" i="14"/>
  <c r="J2450" i="14"/>
  <c r="J2284" i="14"/>
  <c r="J2346" i="14"/>
  <c r="J2269" i="14"/>
  <c r="J2340" i="14"/>
  <c r="J2421" i="14"/>
  <c r="J2361" i="14"/>
  <c r="J2288" i="14"/>
  <c r="J2272" i="14"/>
  <c r="J2342" i="14"/>
  <c r="J2250" i="14"/>
  <c r="J2313" i="14"/>
  <c r="J2364" i="14"/>
  <c r="E142" i="13" l="1"/>
  <c r="J162" i="13"/>
  <c r="H162" i="13"/>
  <c r="G142" i="13"/>
  <c r="I142" i="13"/>
  <c r="AB13" i="14"/>
  <c r="J142" i="13"/>
  <c r="D142" i="13"/>
  <c r="K162" i="13"/>
  <c r="V413" i="10"/>
  <c r="M414" i="10"/>
  <c r="U414" i="10"/>
  <c r="L415" i="10"/>
  <c r="K142" i="13" l="1"/>
  <c r="G109" i="13" s="1"/>
  <c r="I109" i="13" s="1"/>
  <c r="V414" i="10"/>
  <c r="M415" i="10"/>
  <c r="L142" i="13"/>
  <c r="D162" i="13"/>
  <c r="AJ36" i="14" s="1"/>
  <c r="L416" i="10"/>
  <c r="U415" i="10"/>
  <c r="AA56" i="14" l="1"/>
  <c r="H109" i="13" s="1"/>
  <c r="AB56" i="14"/>
  <c r="L417" i="10"/>
  <c r="U416" i="10"/>
  <c r="V415" i="10"/>
  <c r="M416" i="10"/>
  <c r="M417" i="10" l="1"/>
  <c r="V416" i="10"/>
  <c r="L418" i="10"/>
  <c r="U417" i="10"/>
  <c r="U418" i="10" l="1"/>
  <c r="L419" i="10"/>
  <c r="M418" i="10"/>
  <c r="V417" i="10"/>
  <c r="M419" i="10" l="1"/>
  <c r="V418" i="10"/>
  <c r="L420" i="10"/>
  <c r="U419" i="10"/>
  <c r="U420" i="10" l="1"/>
  <c r="L421" i="10"/>
  <c r="M420" i="10"/>
  <c r="V419" i="10"/>
  <c r="V420" i="10" l="1"/>
  <c r="M421" i="10"/>
  <c r="L422" i="10"/>
  <c r="U421" i="10"/>
  <c r="U422" i="10" l="1"/>
  <c r="L423" i="10"/>
  <c r="M422" i="10"/>
  <c r="V421" i="10"/>
  <c r="M423" i="10" l="1"/>
  <c r="V422" i="10"/>
  <c r="U423" i="10"/>
  <c r="L424" i="10"/>
  <c r="U424" i="10" l="1"/>
  <c r="L425" i="10"/>
  <c r="M424" i="10"/>
  <c r="V423" i="10"/>
  <c r="M425" i="10" l="1"/>
  <c r="V424" i="10"/>
  <c r="U425" i="10"/>
  <c r="L426" i="10"/>
  <c r="U426" i="10" l="1"/>
  <c r="L427" i="10"/>
  <c r="M426" i="10"/>
  <c r="V425" i="10"/>
  <c r="V426" i="10" l="1"/>
  <c r="M427" i="10"/>
  <c r="L428" i="10"/>
  <c r="U427" i="10"/>
  <c r="L429" i="10" l="1"/>
  <c r="U428" i="10"/>
  <c r="V427" i="10"/>
  <c r="M428" i="10"/>
  <c r="M429" i="10" l="1"/>
  <c r="V428" i="10"/>
  <c r="U429" i="10"/>
  <c r="L430" i="10"/>
  <c r="L431" i="10" l="1"/>
  <c r="U430" i="10"/>
  <c r="V429" i="10"/>
  <c r="M430" i="10"/>
  <c r="M431" i="10" l="1"/>
  <c r="V430" i="10"/>
  <c r="U431" i="10"/>
  <c r="L432" i="10"/>
  <c r="U432" i="10" l="1"/>
  <c r="L433" i="10"/>
  <c r="V431" i="10"/>
  <c r="M432" i="10"/>
  <c r="M433" i="10" l="1"/>
  <c r="V432" i="10"/>
  <c r="U433" i="10"/>
  <c r="L434" i="10"/>
  <c r="L435" i="10" l="1"/>
  <c r="U434" i="10"/>
  <c r="M434" i="10"/>
  <c r="V433" i="10"/>
  <c r="M435" i="10" l="1"/>
  <c r="V434" i="10"/>
  <c r="U435" i="10"/>
  <c r="L436" i="10"/>
  <c r="L437" i="10" l="1"/>
  <c r="U436" i="10"/>
  <c r="V435" i="10"/>
  <c r="M436" i="10"/>
  <c r="M437" i="10" l="1"/>
  <c r="V436" i="10"/>
  <c r="U437" i="10"/>
  <c r="L438" i="10"/>
  <c r="L439" i="10" l="1"/>
  <c r="U438" i="10"/>
  <c r="M438" i="10"/>
  <c r="V437" i="10"/>
  <c r="M439" i="10" l="1"/>
  <c r="V438" i="10"/>
  <c r="U439" i="10"/>
  <c r="L440" i="10"/>
  <c r="L441" i="10" l="1"/>
  <c r="U440" i="10"/>
  <c r="M440" i="10"/>
  <c r="V439" i="10"/>
  <c r="M441" i="10" l="1"/>
  <c r="V440" i="10"/>
  <c r="U441" i="10"/>
  <c r="L442" i="10"/>
  <c r="L443" i="10" l="1"/>
  <c r="U442" i="10"/>
  <c r="V441" i="10"/>
  <c r="M442" i="10"/>
  <c r="M443" i="10" l="1"/>
  <c r="V442" i="10"/>
  <c r="U443" i="10"/>
  <c r="L444" i="10"/>
  <c r="L445" i="10" l="1"/>
  <c r="U444" i="10"/>
  <c r="V443" i="10"/>
  <c r="M444" i="10"/>
  <c r="M445" i="10" l="1"/>
  <c r="V444" i="10"/>
  <c r="L446" i="10"/>
  <c r="U445" i="10"/>
  <c r="U446" i="10" l="1"/>
  <c r="L447" i="10"/>
  <c r="V445" i="10"/>
  <c r="M446" i="10"/>
  <c r="M447" i="10" l="1"/>
  <c r="V446" i="10"/>
  <c r="U447" i="10"/>
  <c r="L448" i="10"/>
  <c r="E161" i="12"/>
  <c r="U448" i="10" l="1"/>
  <c r="N28" i="10" s="1"/>
  <c r="L449" i="10"/>
  <c r="L450" i="10" s="1"/>
  <c r="L451" i="10" s="1"/>
  <c r="L452" i="10" s="1"/>
  <c r="L453" i="10" s="1"/>
  <c r="L454" i="10" s="1"/>
  <c r="L455" i="10" s="1"/>
  <c r="L456" i="10" s="1"/>
  <c r="L457" i="10" s="1"/>
  <c r="L458" i="10" s="1"/>
  <c r="L459" i="10" s="1"/>
  <c r="L460" i="10" s="1"/>
  <c r="L461" i="10" s="1"/>
  <c r="L462" i="10" s="1"/>
  <c r="L463" i="10" s="1"/>
  <c r="L464" i="10" s="1"/>
  <c r="L465" i="10" s="1"/>
  <c r="L466" i="10" s="1"/>
  <c r="L467" i="10" s="1"/>
  <c r="L468" i="10" s="1"/>
  <c r="H11" i="10" s="1"/>
  <c r="R6" i="10" s="1"/>
  <c r="S6" i="10" s="1"/>
  <c r="E118" i="12" s="1"/>
  <c r="E110" i="13"/>
  <c r="F210" i="13"/>
  <c r="M448" i="10"/>
  <c r="V447" i="10"/>
  <c r="F161" i="12"/>
  <c r="F110" i="13" s="1"/>
  <c r="AM37" i="14" l="1"/>
  <c r="AO37" i="14"/>
  <c r="AL37" i="14"/>
  <c r="AD57" i="14"/>
  <c r="AP37" i="14"/>
  <c r="AN37" i="14"/>
  <c r="Z57" i="14"/>
  <c r="M449" i="10"/>
  <c r="M450" i="10" s="1"/>
  <c r="M451" i="10" s="1"/>
  <c r="M452" i="10" s="1"/>
  <c r="M453" i="10" s="1"/>
  <c r="M454" i="10" s="1"/>
  <c r="M455" i="10" s="1"/>
  <c r="M456" i="10" s="1"/>
  <c r="M457" i="10" s="1"/>
  <c r="M458" i="10" s="1"/>
  <c r="M459" i="10" s="1"/>
  <c r="M460" i="10" s="1"/>
  <c r="M461" i="10" s="1"/>
  <c r="M462" i="10" s="1"/>
  <c r="M463" i="10" s="1"/>
  <c r="M464" i="10" s="1"/>
  <c r="M465" i="10" s="1"/>
  <c r="M466" i="10" s="1"/>
  <c r="M467" i="10" s="1"/>
  <c r="M468" i="10" s="1"/>
  <c r="H12" i="10" s="1"/>
  <c r="R9" i="10" s="1"/>
  <c r="S9" i="10" s="1"/>
  <c r="E133" i="12" s="1"/>
  <c r="V448" i="10"/>
  <c r="K2671" i="14" l="1"/>
  <c r="Q2671" i="14" s="1"/>
  <c r="K2657" i="14"/>
  <c r="Q2657" i="14" s="1"/>
  <c r="K2611" i="14"/>
  <c r="Q2611" i="14" s="1"/>
  <c r="K2632" i="14"/>
  <c r="Q2632" i="14" s="1"/>
  <c r="K2696" i="14"/>
  <c r="Q2696" i="14" s="1"/>
  <c r="K2665" i="14"/>
  <c r="Q2665" i="14" s="1"/>
  <c r="K2652" i="14"/>
  <c r="Q2652" i="14" s="1"/>
  <c r="K2572" i="14"/>
  <c r="Q2572" i="14" s="1"/>
  <c r="K2553" i="14"/>
  <c r="Q2553" i="14" s="1"/>
  <c r="K2648" i="14"/>
  <c r="Q2648" i="14" s="1"/>
  <c r="K2662" i="14"/>
  <c r="Q2662" i="14" s="1"/>
  <c r="K2596" i="14"/>
  <c r="Q2596" i="14" s="1"/>
  <c r="K2602" i="14"/>
  <c r="Q2602" i="14" s="1"/>
  <c r="K2686" i="14"/>
  <c r="Q2686" i="14" s="1"/>
  <c r="K2663" i="14"/>
  <c r="Q2663" i="14" s="1"/>
  <c r="K2688" i="14"/>
  <c r="Q2688" i="14" s="1"/>
  <c r="K2694" i="14"/>
  <c r="Q2694" i="14" s="1"/>
  <c r="K2529" i="14"/>
  <c r="Q2529" i="14" s="1"/>
  <c r="K2670" i="14"/>
  <c r="Q2670" i="14" s="1"/>
  <c r="K2682" i="14"/>
  <c r="Q2682" i="14" s="1"/>
  <c r="K2705" i="14"/>
  <c r="Q2705" i="14" s="1"/>
  <c r="K2561" i="14"/>
  <c r="Q2561" i="14" s="1"/>
  <c r="K2500" i="14"/>
  <c r="Q2500" i="14" s="1"/>
  <c r="K2713" i="14"/>
  <c r="Q2713" i="14" s="1"/>
  <c r="K2708" i="14"/>
  <c r="Q2708" i="14" s="1"/>
  <c r="K2685" i="14"/>
  <c r="Q2685" i="14" s="1"/>
  <c r="K2631" i="14"/>
  <c r="Q2631" i="14" s="1"/>
  <c r="K2628" i="14"/>
  <c r="Q2628" i="14" s="1"/>
  <c r="K2622" i="14"/>
  <c r="Q2622" i="14" s="1"/>
  <c r="K2655" i="14"/>
  <c r="Q2655" i="14" s="1"/>
  <c r="K2649" i="14"/>
  <c r="Q2649" i="14" s="1"/>
  <c r="K2667" i="14"/>
  <c r="Q2667" i="14" s="1"/>
  <c r="K2643" i="14"/>
  <c r="Q2643" i="14" s="1"/>
  <c r="K2673" i="14"/>
  <c r="Q2673" i="14" s="1"/>
  <c r="K2644" i="14"/>
  <c r="Q2644" i="14" s="1"/>
  <c r="K2650" i="14"/>
  <c r="Q2650" i="14" s="1"/>
  <c r="K2570" i="14"/>
  <c r="Q2570" i="14" s="1"/>
  <c r="K2615" i="14"/>
  <c r="Q2615" i="14" s="1"/>
  <c r="K2592" i="14"/>
  <c r="Q2592" i="14" s="1"/>
  <c r="K2698" i="14"/>
  <c r="Q2698" i="14" s="1"/>
  <c r="K2678" i="14"/>
  <c r="Q2678" i="14" s="1"/>
  <c r="K2724" i="14"/>
  <c r="Q2724" i="14" s="1"/>
  <c r="K2504" i="14"/>
  <c r="Q2504" i="14" s="1"/>
  <c r="K2680" i="14"/>
  <c r="Q2680" i="14" s="1"/>
  <c r="K2697" i="14"/>
  <c r="Q2697" i="14" s="1"/>
  <c r="K2706" i="14"/>
  <c r="Q2706" i="14" s="1"/>
  <c r="K2692" i="14"/>
  <c r="Q2692" i="14" s="1"/>
  <c r="K2721" i="14"/>
  <c r="Q2721" i="14" s="1"/>
  <c r="K2699" i="14"/>
  <c r="Q2699" i="14" s="1"/>
  <c r="K2701" i="14"/>
  <c r="Q2701" i="14" s="1"/>
  <c r="K2707" i="14"/>
  <c r="Q2707" i="14" s="1"/>
  <c r="K2714" i="14"/>
  <c r="Q2714" i="14" s="1"/>
  <c r="K2515" i="14"/>
  <c r="Q2515" i="14" s="1"/>
  <c r="K2538" i="14"/>
  <c r="Q2538" i="14" s="1"/>
  <c r="K2574" i="14"/>
  <c r="Q2574" i="14" s="1"/>
  <c r="K2703" i="14"/>
  <c r="Q2703" i="14" s="1"/>
  <c r="K2598" i="14"/>
  <c r="Q2598" i="14" s="1"/>
  <c r="K2610" i="14"/>
  <c r="Q2610" i="14" s="1"/>
  <c r="K2513" i="14"/>
  <c r="Q2513" i="14" s="1"/>
  <c r="K2616" i="14"/>
  <c r="Q2616" i="14" s="1"/>
  <c r="E2671" i="14"/>
  <c r="K2718" i="14"/>
  <c r="Q2718" i="14" s="1"/>
  <c r="K2700" i="14"/>
  <c r="Q2700" i="14" s="1"/>
  <c r="K2637" i="14"/>
  <c r="Q2637" i="14" s="1"/>
  <c r="K2727" i="14"/>
  <c r="Q2727" i="14" s="1"/>
  <c r="K2578" i="14"/>
  <c r="Q2578" i="14" s="1"/>
  <c r="K2543" i="14"/>
  <c r="Q2543" i="14" s="1"/>
  <c r="K2674" i="14"/>
  <c r="Q2674" i="14" s="1"/>
  <c r="K2664" i="14"/>
  <c r="Q2664" i="14" s="1"/>
  <c r="K2549" i="14"/>
  <c r="Q2549" i="14" s="1"/>
  <c r="K2640" i="14"/>
  <c r="Q2640" i="14" s="1"/>
  <c r="K2550" i="14"/>
  <c r="Q2550" i="14" s="1"/>
  <c r="K2689" i="14"/>
  <c r="Q2689" i="14" s="1"/>
  <c r="K2573" i="14"/>
  <c r="Q2573" i="14" s="1"/>
  <c r="K2712" i="14"/>
  <c r="Q2712" i="14" s="1"/>
  <c r="K2690" i="14"/>
  <c r="Q2690" i="14" s="1"/>
  <c r="K2716" i="14"/>
  <c r="Q2716" i="14" s="1"/>
  <c r="K2535" i="14"/>
  <c r="Q2535" i="14" s="1"/>
  <c r="K2719" i="14"/>
  <c r="Q2719" i="14" s="1"/>
  <c r="K2563" i="14"/>
  <c r="Q2563" i="14" s="1"/>
  <c r="K2540" i="14"/>
  <c r="Q2540" i="14" s="1"/>
  <c r="K2496" i="14"/>
  <c r="Q2496" i="14" s="1"/>
  <c r="K2532" i="14"/>
  <c r="Q2532" i="14" s="1"/>
  <c r="K2521" i="14"/>
  <c r="Q2521" i="14" s="1"/>
  <c r="K2537" i="14"/>
  <c r="Q2537" i="14" s="1"/>
  <c r="K2508" i="14"/>
  <c r="Q2508" i="14" s="1"/>
  <c r="K2485" i="14"/>
  <c r="Q2485" i="14" s="1"/>
  <c r="K2621" i="14"/>
  <c r="Q2621" i="14" s="1"/>
  <c r="K2591" i="14"/>
  <c r="Q2591" i="14" s="1"/>
  <c r="K2565" i="14"/>
  <c r="Q2565" i="14" s="1"/>
  <c r="K2584" i="14"/>
  <c r="Q2584" i="14" s="1"/>
  <c r="K2609" i="14"/>
  <c r="Q2609" i="14" s="1"/>
  <c r="K2633" i="14"/>
  <c r="Q2633" i="14" s="1"/>
  <c r="K2589" i="14"/>
  <c r="Q2589" i="14" s="1"/>
  <c r="K2687" i="14"/>
  <c r="Q2687" i="14" s="1"/>
  <c r="K2619" i="14"/>
  <c r="Q2619" i="14" s="1"/>
  <c r="K2566" i="14"/>
  <c r="Q2566" i="14" s="1"/>
  <c r="K2547" i="14"/>
  <c r="Q2547" i="14" s="1"/>
  <c r="K2560" i="14"/>
  <c r="Q2560" i="14" s="1"/>
  <c r="K2654" i="14"/>
  <c r="Q2654" i="14" s="1"/>
  <c r="K2590" i="14"/>
  <c r="Q2590" i="14" s="1"/>
  <c r="K2542" i="14"/>
  <c r="Q2542" i="14" s="1"/>
  <c r="K2548" i="14"/>
  <c r="Q2548" i="14" s="1"/>
  <c r="K2717" i="14"/>
  <c r="Q2717" i="14" s="1"/>
  <c r="K2511" i="14"/>
  <c r="Q2511" i="14" s="1"/>
  <c r="K2623" i="14"/>
  <c r="Q2623" i="14" s="1"/>
  <c r="K2583" i="14"/>
  <c r="Q2583" i="14" s="1"/>
  <c r="K2723" i="14"/>
  <c r="Q2723" i="14" s="1"/>
  <c r="K2544" i="14"/>
  <c r="Q2544" i="14" s="1"/>
  <c r="K2557" i="14"/>
  <c r="Q2557" i="14" s="1"/>
  <c r="K2672" i="14"/>
  <c r="Q2672" i="14" s="1"/>
  <c r="K2681" i="14"/>
  <c r="Q2681" i="14" s="1"/>
  <c r="K2505" i="14"/>
  <c r="Q2505" i="14" s="1"/>
  <c r="K2638" i="14"/>
  <c r="Q2638" i="14" s="1"/>
  <c r="K2620" i="14"/>
  <c r="Q2620" i="14" s="1"/>
  <c r="K2580" i="14"/>
  <c r="Q2580" i="14" s="1"/>
  <c r="K2617" i="14"/>
  <c r="Q2617" i="14" s="1"/>
  <c r="K2588" i="14"/>
  <c r="Q2588" i="14" s="1"/>
  <c r="K2579" i="14"/>
  <c r="Q2579" i="14" s="1"/>
  <c r="K2601" i="14"/>
  <c r="Q2601" i="14" s="1"/>
  <c r="K2607" i="14"/>
  <c r="Q2607" i="14" s="1"/>
  <c r="K2627" i="14"/>
  <c r="Q2627" i="14" s="1"/>
  <c r="K2704" i="14"/>
  <c r="Q2704" i="14" s="1"/>
  <c r="K2603" i="14"/>
  <c r="Q2603" i="14" s="1"/>
  <c r="K2558" i="14"/>
  <c r="Q2558" i="14" s="1"/>
  <c r="K2564" i="14"/>
  <c r="Q2564" i="14" s="1"/>
  <c r="K2545" i="14"/>
  <c r="Q2545" i="14" s="1"/>
  <c r="K2642" i="14"/>
  <c r="Q2642" i="14" s="1"/>
  <c r="K2582" i="14"/>
  <c r="Q2582" i="14" s="1"/>
  <c r="E2685" i="14"/>
  <c r="K2630" i="14"/>
  <c r="Q2630" i="14" s="1"/>
  <c r="K2606" i="14"/>
  <c r="Q2606" i="14" s="1"/>
  <c r="K2675" i="14"/>
  <c r="Q2675" i="14" s="1"/>
  <c r="K2679" i="14"/>
  <c r="Q2679" i="14" s="1"/>
  <c r="K2585" i="14"/>
  <c r="Q2585" i="14" s="1"/>
  <c r="K2608" i="14"/>
  <c r="Q2608" i="14" s="1"/>
  <c r="K2612" i="14"/>
  <c r="Q2612" i="14" s="1"/>
  <c r="K2618" i="14"/>
  <c r="Q2618" i="14" s="1"/>
  <c r="K2624" i="14"/>
  <c r="Q2624" i="14" s="1"/>
  <c r="K2494" i="14"/>
  <c r="Q2494" i="14" s="1"/>
  <c r="K2614" i="14"/>
  <c r="Q2614" i="14" s="1"/>
  <c r="K2636" i="14"/>
  <c r="Q2636" i="14" s="1"/>
  <c r="K2647" i="14"/>
  <c r="Q2647" i="14" s="1"/>
  <c r="K2641" i="14"/>
  <c r="Q2641" i="14" s="1"/>
  <c r="K2555" i="14"/>
  <c r="Q2555" i="14" s="1"/>
  <c r="K2651" i="14"/>
  <c r="Q2651" i="14" s="1"/>
  <c r="K2626" i="14"/>
  <c r="Q2626" i="14" s="1"/>
  <c r="K2526" i="14"/>
  <c r="Q2526" i="14" s="1"/>
  <c r="K2489" i="14"/>
  <c r="Q2489" i="14" s="1"/>
  <c r="K2501" i="14"/>
  <c r="Q2501" i="14" s="1"/>
  <c r="K2600" i="14"/>
  <c r="Q2600" i="14" s="1"/>
  <c r="K2695" i="14"/>
  <c r="Q2695" i="14" s="1"/>
  <c r="K2525" i="14"/>
  <c r="Q2525" i="14" s="1"/>
  <c r="K2559" i="14"/>
  <c r="Q2559" i="14" s="1"/>
  <c r="E2662" i="14"/>
  <c r="K2684" i="14"/>
  <c r="Q2684" i="14" s="1"/>
  <c r="K2656" i="14"/>
  <c r="Q2656" i="14" s="1"/>
  <c r="K2497" i="14"/>
  <c r="Q2497" i="14" s="1"/>
  <c r="K2524" i="14"/>
  <c r="Q2524" i="14" s="1"/>
  <c r="K2499" i="14"/>
  <c r="Q2499" i="14" s="1"/>
  <c r="K2490" i="14"/>
  <c r="Q2490" i="14" s="1"/>
  <c r="K2502" i="14"/>
  <c r="Q2502" i="14" s="1"/>
  <c r="K2661" i="14"/>
  <c r="Q2661" i="14" s="1"/>
  <c r="K2576" i="14"/>
  <c r="Q2576" i="14" s="1"/>
  <c r="K2645" i="14"/>
  <c r="Q2645" i="14" s="1"/>
  <c r="K2530" i="14"/>
  <c r="Q2530" i="14" s="1"/>
  <c r="K2518" i="14"/>
  <c r="Q2518" i="14" s="1"/>
  <c r="K2503" i="14"/>
  <c r="Q2503" i="14" s="1"/>
  <c r="K2498" i="14"/>
  <c r="Q2498" i="14" s="1"/>
  <c r="K2639" i="14"/>
  <c r="Q2639" i="14" s="1"/>
  <c r="K2520" i="14"/>
  <c r="Q2520" i="14" s="1"/>
  <c r="K2541" i="14"/>
  <c r="Q2541" i="14" s="1"/>
  <c r="K2677" i="14"/>
  <c r="Q2677" i="14" s="1"/>
  <c r="K2683" i="14"/>
  <c r="Q2683" i="14" s="1"/>
  <c r="K2568" i="14"/>
  <c r="Q2568" i="14" s="1"/>
  <c r="K2536" i="14"/>
  <c r="Q2536" i="14" s="1"/>
  <c r="K2487" i="14"/>
  <c r="Q2487" i="14" s="1"/>
  <c r="K2493" i="14"/>
  <c r="Q2493" i="14" s="1"/>
  <c r="K2517" i="14"/>
  <c r="Q2517" i="14" s="1"/>
  <c r="K2594" i="14"/>
  <c r="Q2594" i="14" s="1"/>
  <c r="K2507" i="14"/>
  <c r="Q2507" i="14" s="1"/>
  <c r="K2492" i="14"/>
  <c r="Q2492" i="14" s="1"/>
  <c r="K2669" i="14"/>
  <c r="Q2669" i="14" s="1"/>
  <c r="K2676" i="14"/>
  <c r="Q2676" i="14" s="1"/>
  <c r="K2646" i="14"/>
  <c r="Q2646" i="14" s="1"/>
  <c r="K2546" i="14"/>
  <c r="Q2546" i="14" s="1"/>
  <c r="K2519" i="14"/>
  <c r="Q2519" i="14" s="1"/>
  <c r="K2666" i="14"/>
  <c r="Q2666" i="14" s="1"/>
  <c r="K2613" i="14"/>
  <c r="Q2613" i="14" s="1"/>
  <c r="K2577" i="14"/>
  <c r="Q2577" i="14" s="1"/>
  <c r="K2554" i="14"/>
  <c r="Q2554" i="14" s="1"/>
  <c r="K2509" i="14"/>
  <c r="Q2509" i="14" s="1"/>
  <c r="K2597" i="14"/>
  <c r="Q2597" i="14" s="1"/>
  <c r="K2488" i="14"/>
  <c r="Q2488" i="14" s="1"/>
  <c r="K2510" i="14"/>
  <c r="Q2510" i="14" s="1"/>
  <c r="K2516" i="14"/>
  <c r="Q2516" i="14" s="1"/>
  <c r="K2522" i="14"/>
  <c r="Q2522" i="14" s="1"/>
  <c r="K2562" i="14"/>
  <c r="Q2562" i="14" s="1"/>
  <c r="K2512" i="14"/>
  <c r="Q2512" i="14" s="1"/>
  <c r="K2533" i="14"/>
  <c r="Q2533" i="14" s="1"/>
  <c r="K2539" i="14"/>
  <c r="Q2539" i="14" s="1"/>
  <c r="E2696" i="14"/>
  <c r="K2693" i="14"/>
  <c r="Q2693" i="14" s="1"/>
  <c r="K2710" i="14"/>
  <c r="Q2710" i="14" s="1"/>
  <c r="E2705" i="14"/>
  <c r="K2587" i="14"/>
  <c r="Q2587" i="14" s="1"/>
  <c r="K2552" i="14"/>
  <c r="Q2552" i="14" s="1"/>
  <c r="K2635" i="14"/>
  <c r="Q2635" i="14" s="1"/>
  <c r="K2586" i="14"/>
  <c r="Q2586" i="14" s="1"/>
  <c r="K2534" i="14"/>
  <c r="Q2534" i="14" s="1"/>
  <c r="K2556" i="14"/>
  <c r="Q2556" i="14" s="1"/>
  <c r="K2569" i="14"/>
  <c r="Q2569" i="14" s="1"/>
  <c r="K2575" i="14"/>
  <c r="Q2575" i="14" s="1"/>
  <c r="K2581" i="14"/>
  <c r="Q2581" i="14" s="1"/>
  <c r="K2634" i="14"/>
  <c r="Q2634" i="14" s="1"/>
  <c r="K2571" i="14"/>
  <c r="Q2571" i="14" s="1"/>
  <c r="K2593" i="14"/>
  <c r="Q2593" i="14" s="1"/>
  <c r="K2599" i="14"/>
  <c r="Q2599" i="14" s="1"/>
  <c r="K2605" i="14"/>
  <c r="Q2605" i="14" s="1"/>
  <c r="K2629" i="14"/>
  <c r="Q2629" i="14" s="1"/>
  <c r="K2659" i="14"/>
  <c r="Q2659" i="14" s="1"/>
  <c r="K2625" i="14"/>
  <c r="Q2625" i="14" s="1"/>
  <c r="K2715" i="14"/>
  <c r="Q2715" i="14" s="1"/>
  <c r="E2503" i="14"/>
  <c r="K2604" i="14"/>
  <c r="Q2604" i="14" s="1"/>
  <c r="K2726" i="14"/>
  <c r="Q2726" i="14" s="1"/>
  <c r="K2491" i="14"/>
  <c r="Q2491" i="14" s="1"/>
  <c r="K2567" i="14"/>
  <c r="Q2567" i="14" s="1"/>
  <c r="K2691" i="14"/>
  <c r="Q2691" i="14" s="1"/>
  <c r="E2665" i="14"/>
  <c r="K2720" i="14"/>
  <c r="Q2720" i="14" s="1"/>
  <c r="K2658" i="14"/>
  <c r="Q2658" i="14" s="1"/>
  <c r="K2531" i="14"/>
  <c r="Q2531" i="14" s="1"/>
  <c r="K2668" i="14"/>
  <c r="Q2668" i="14" s="1"/>
  <c r="K2653" i="14"/>
  <c r="Q2653" i="14" s="1"/>
  <c r="K2551" i="14"/>
  <c r="Q2551" i="14" s="1"/>
  <c r="K2528" i="14"/>
  <c r="Q2528" i="14" s="1"/>
  <c r="K2486" i="14"/>
  <c r="Q2486" i="14" s="1"/>
  <c r="K2595" i="14"/>
  <c r="Q2595" i="14" s="1"/>
  <c r="K2709" i="14"/>
  <c r="Q2709" i="14" s="1"/>
  <c r="K2722" i="14"/>
  <c r="Q2722" i="14" s="1"/>
  <c r="K2711" i="14"/>
  <c r="Q2711" i="14" s="1"/>
  <c r="K2725" i="14"/>
  <c r="Q2725" i="14" s="1"/>
  <c r="K2506" i="14"/>
  <c r="Q2506" i="14" s="1"/>
  <c r="K2527" i="14"/>
  <c r="Q2527" i="14" s="1"/>
  <c r="K2523" i="14"/>
  <c r="Q2523" i="14" s="1"/>
  <c r="K2514" i="14"/>
  <c r="Q2514" i="14" s="1"/>
  <c r="K2660" i="14"/>
  <c r="Q2660" i="14" s="1"/>
  <c r="K2495" i="14"/>
  <c r="Q2495" i="14" s="1"/>
  <c r="K2702" i="14"/>
  <c r="Q2702" i="14" s="1"/>
  <c r="E2553" i="14"/>
  <c r="E2570" i="14"/>
  <c r="E2615" i="14"/>
  <c r="E2622" i="14"/>
  <c r="E2631" i="14"/>
  <c r="E2678" i="14"/>
  <c r="E2694" i="14"/>
  <c r="E2697" i="14"/>
  <c r="E2663" i="14"/>
  <c r="E2602" i="14"/>
  <c r="E2649" i="14"/>
  <c r="E2708" i="14"/>
  <c r="E2692" i="14"/>
  <c r="E2699" i="14"/>
  <c r="E2643" i="14"/>
  <c r="M2572" i="14"/>
  <c r="S2572" i="14" s="1"/>
  <c r="M2549" i="14"/>
  <c r="S2549" i="14" s="1"/>
  <c r="M2552" i="14"/>
  <c r="S2552" i="14" s="1"/>
  <c r="M2493" i="14"/>
  <c r="S2493" i="14" s="1"/>
  <c r="M2665" i="14"/>
  <c r="S2665" i="14" s="1"/>
  <c r="M2663" i="14"/>
  <c r="S2663" i="14" s="1"/>
  <c r="M2669" i="14"/>
  <c r="S2669" i="14" s="1"/>
  <c r="M2659" i="14"/>
  <c r="S2659" i="14" s="1"/>
  <c r="M2527" i="14"/>
  <c r="S2527" i="14" s="1"/>
  <c r="M2588" i="14"/>
  <c r="S2588" i="14" s="1"/>
  <c r="M2533" i="14"/>
  <c r="S2533" i="14" s="1"/>
  <c r="M2503" i="14"/>
  <c r="S2503" i="14" s="1"/>
  <c r="M2522" i="14"/>
  <c r="S2522" i="14" s="1"/>
  <c r="M2643" i="14"/>
  <c r="S2643" i="14" s="1"/>
  <c r="M2685" i="14"/>
  <c r="S2685" i="14" s="1"/>
  <c r="M2615" i="14"/>
  <c r="S2615" i="14" s="1"/>
  <c r="M2622" i="14"/>
  <c r="S2622" i="14" s="1"/>
  <c r="M2676" i="14"/>
  <c r="S2676" i="14" s="1"/>
  <c r="M2613" i="14"/>
  <c r="S2613" i="14" s="1"/>
  <c r="M2498" i="14"/>
  <c r="S2498" i="14" s="1"/>
  <c r="M2624" i="14"/>
  <c r="S2624" i="14" s="1"/>
  <c r="M2536" i="14"/>
  <c r="S2536" i="14" s="1"/>
  <c r="M2697" i="14"/>
  <c r="S2697" i="14" s="1"/>
  <c r="M2601" i="14"/>
  <c r="S2601" i="14" s="1"/>
  <c r="M2567" i="14"/>
  <c r="S2567" i="14" s="1"/>
  <c r="M2608" i="14"/>
  <c r="S2608" i="14" s="1"/>
  <c r="M2628" i="14"/>
  <c r="S2628" i="14" s="1"/>
  <c r="M2531" i="14"/>
  <c r="S2531" i="14" s="1"/>
  <c r="M2540" i="14"/>
  <c r="S2540" i="14" s="1"/>
  <c r="M2538" i="14"/>
  <c r="S2538" i="14" s="1"/>
  <c r="M2719" i="14"/>
  <c r="S2719" i="14" s="1"/>
  <c r="M2691" i="14"/>
  <c r="S2691" i="14" s="1"/>
  <c r="M2654" i="14"/>
  <c r="S2654" i="14" s="1"/>
  <c r="M2639" i="14"/>
  <c r="S2639" i="14" s="1"/>
  <c r="M2648" i="14"/>
  <c r="S2648" i="14" s="1"/>
  <c r="M2595" i="14"/>
  <c r="S2595" i="14" s="1"/>
  <c r="M2584" i="14"/>
  <c r="S2584" i="14" s="1"/>
  <c r="M2521" i="14"/>
  <c r="S2521" i="14" s="1"/>
  <c r="M2569" i="14"/>
  <c r="S2569" i="14" s="1"/>
  <c r="M2602" i="14"/>
  <c r="S2602" i="14" s="1"/>
  <c r="M2576" i="14"/>
  <c r="S2576" i="14" s="1"/>
  <c r="M2529" i="14"/>
  <c r="S2529" i="14" s="1"/>
  <c r="M2708" i="14"/>
  <c r="S2708" i="14" s="1"/>
  <c r="M2706" i="14"/>
  <c r="S2706" i="14" s="1"/>
  <c r="M2713" i="14"/>
  <c r="S2713" i="14" s="1"/>
  <c r="M2703" i="14"/>
  <c r="S2703" i="14" s="1"/>
  <c r="M2577" i="14"/>
  <c r="S2577" i="14" s="1"/>
  <c r="M2674" i="14"/>
  <c r="S2674" i="14" s="1"/>
  <c r="M2631" i="14"/>
  <c r="S2631" i="14" s="1"/>
  <c r="M2689" i="14"/>
  <c r="S2689" i="14" s="1"/>
  <c r="M2651" i="14"/>
  <c r="S2651" i="14" s="1"/>
  <c r="M2678" i="14"/>
  <c r="S2678" i="14" s="1"/>
  <c r="M2725" i="14"/>
  <c r="S2725" i="14" s="1"/>
  <c r="M2717" i="14"/>
  <c r="S2717" i="14" s="1"/>
  <c r="M2526" i="14"/>
  <c r="S2526" i="14" s="1"/>
  <c r="M2637" i="14"/>
  <c r="S2637" i="14" s="1"/>
  <c r="M2562" i="14"/>
  <c r="S2562" i="14" s="1"/>
  <c r="M2578" i="14"/>
  <c r="S2578" i="14" s="1"/>
  <c r="M2687" i="14"/>
  <c r="S2687" i="14" s="1"/>
  <c r="M2668" i="14"/>
  <c r="S2668" i="14" s="1"/>
  <c r="M2693" i="14"/>
  <c r="S2693" i="14" s="1"/>
  <c r="M2599" i="14"/>
  <c r="S2599" i="14" s="1"/>
  <c r="M2537" i="14"/>
  <c r="S2537" i="14" s="1"/>
  <c r="M2489" i="14"/>
  <c r="S2489" i="14" s="1"/>
  <c r="M2592" i="14"/>
  <c r="S2592" i="14" s="1"/>
  <c r="M2515" i="14"/>
  <c r="S2515" i="14" s="1"/>
  <c r="M2518" i="14"/>
  <c r="S2518" i="14" s="1"/>
  <c r="M2716" i="14"/>
  <c r="S2716" i="14" s="1"/>
  <c r="M2673" i="14"/>
  <c r="S2673" i="14" s="1"/>
  <c r="M2618" i="14"/>
  <c r="S2618" i="14" s="1"/>
  <c r="M2559" i="14"/>
  <c r="S2559" i="14" s="1"/>
  <c r="M2707" i="14"/>
  <c r="S2707" i="14" s="1"/>
  <c r="M2667" i="14"/>
  <c r="S2667" i="14" s="1"/>
  <c r="M2644" i="14"/>
  <c r="S2644" i="14" s="1"/>
  <c r="M2579" i="14"/>
  <c r="S2579" i="14" s="1"/>
  <c r="M2505" i="14"/>
  <c r="S2505" i="14" s="1"/>
  <c r="M2514" i="14"/>
  <c r="S2514" i="14" s="1"/>
  <c r="M2726" i="14"/>
  <c r="S2726" i="14" s="1"/>
  <c r="M2534" i="14"/>
  <c r="S2534" i="14" s="1"/>
  <c r="M2570" i="14"/>
  <c r="S2570" i="14" s="1"/>
  <c r="M2553" i="14"/>
  <c r="S2553" i="14" s="1"/>
  <c r="M2684" i="14"/>
  <c r="S2684" i="14" s="1"/>
  <c r="M2528" i="14"/>
  <c r="S2528" i="14" s="1"/>
  <c r="M2494" i="14"/>
  <c r="S2494" i="14" s="1"/>
  <c r="M2695" i="14"/>
  <c r="S2695" i="14" s="1"/>
  <c r="M2575" i="14"/>
  <c r="S2575" i="14" s="1"/>
  <c r="M2593" i="14"/>
  <c r="S2593" i="14" s="1"/>
  <c r="M2591" i="14"/>
  <c r="S2591" i="14" s="1"/>
  <c r="M2597" i="14"/>
  <c r="S2597" i="14" s="1"/>
  <c r="M2571" i="14"/>
  <c r="S2571" i="14" s="1"/>
  <c r="M2587" i="14"/>
  <c r="S2587" i="14" s="1"/>
  <c r="M2499" i="14"/>
  <c r="S2499" i="14" s="1"/>
  <c r="M2704" i="14"/>
  <c r="S2704" i="14" s="1"/>
  <c r="M2698" i="14"/>
  <c r="S2698" i="14" s="1"/>
  <c r="M2557" i="14"/>
  <c r="S2557" i="14" s="1"/>
  <c r="M2681" i="14"/>
  <c r="S2681" i="14" s="1"/>
  <c r="M2501" i="14"/>
  <c r="S2501" i="14" s="1"/>
  <c r="M2677" i="14"/>
  <c r="S2677" i="14" s="1"/>
  <c r="M2525" i="14"/>
  <c r="S2525" i="14" s="1"/>
  <c r="M2520" i="14"/>
  <c r="S2520" i="14" s="1"/>
  <c r="M2568" i="14"/>
  <c r="S2568" i="14" s="1"/>
  <c r="M2491" i="14"/>
  <c r="S2491" i="14" s="1"/>
  <c r="M2634" i="14"/>
  <c r="S2634" i="14" s="1"/>
  <c r="M2710" i="14"/>
  <c r="S2710" i="14" s="1"/>
  <c r="M2614" i="14"/>
  <c r="S2614" i="14" s="1"/>
  <c r="M2551" i="14"/>
  <c r="S2551" i="14" s="1"/>
  <c r="M2546" i="14"/>
  <c r="S2546" i="14" s="1"/>
  <c r="M2519" i="14"/>
  <c r="S2519" i="14" s="1"/>
  <c r="M2506" i="14"/>
  <c r="S2506" i="14" s="1"/>
  <c r="M2724" i="14"/>
  <c r="S2724" i="14" s="1"/>
  <c r="M2722" i="14"/>
  <c r="S2722" i="14" s="1"/>
  <c r="M2653" i="14"/>
  <c r="S2653" i="14" s="1"/>
  <c r="M2660" i="14"/>
  <c r="S2660" i="14" s="1"/>
  <c r="M2712" i="14"/>
  <c r="S2712" i="14" s="1"/>
  <c r="M2646" i="14"/>
  <c r="S2646" i="14" s="1"/>
  <c r="M2616" i="14"/>
  <c r="S2616" i="14" s="1"/>
  <c r="M2560" i="14"/>
  <c r="S2560" i="14" s="1"/>
  <c r="M2545" i="14"/>
  <c r="S2545" i="14" s="1"/>
  <c r="M2632" i="14"/>
  <c r="S2632" i="14" s="1"/>
  <c r="M2626" i="14"/>
  <c r="S2626" i="14" s="1"/>
  <c r="M2548" i="14"/>
  <c r="S2548" i="14" s="1"/>
  <c r="M2513" i="14"/>
  <c r="S2513" i="14" s="1"/>
  <c r="M2487" i="14"/>
  <c r="S2487" i="14" s="1"/>
  <c r="M2523" i="14"/>
  <c r="S2523" i="14" s="1"/>
  <c r="M2658" i="14"/>
  <c r="S2658" i="14" s="1"/>
  <c r="M2650" i="14"/>
  <c r="S2650" i="14" s="1"/>
  <c r="M2638" i="14"/>
  <c r="S2638" i="14" s="1"/>
  <c r="M2619" i="14"/>
  <c r="S2619" i="14" s="1"/>
  <c r="M2623" i="14"/>
  <c r="S2623" i="14" s="1"/>
  <c r="M2585" i="14"/>
  <c r="S2585" i="14" s="1"/>
  <c r="M2586" i="14"/>
  <c r="S2586" i="14" s="1"/>
  <c r="M2589" i="14"/>
  <c r="S2589" i="14" s="1"/>
  <c r="M2563" i="14"/>
  <c r="S2563" i="14" s="1"/>
  <c r="M2723" i="14"/>
  <c r="S2723" i="14" s="1"/>
  <c r="M2625" i="14"/>
  <c r="S2625" i="14" s="1"/>
  <c r="M2604" i="14"/>
  <c r="S2604" i="14" s="1"/>
  <c r="M2605" i="14"/>
  <c r="S2605" i="14" s="1"/>
  <c r="M2696" i="14"/>
  <c r="S2696" i="14" s="1"/>
  <c r="M2700" i="14"/>
  <c r="S2700" i="14" s="1"/>
  <c r="M2682" i="14"/>
  <c r="S2682" i="14" s="1"/>
  <c r="M2612" i="14"/>
  <c r="S2612" i="14" s="1"/>
  <c r="M2509" i="14"/>
  <c r="S2509" i="14" s="1"/>
  <c r="M2670" i="14"/>
  <c r="S2670" i="14" s="1"/>
  <c r="M2617" i="14"/>
  <c r="S2617" i="14" s="1"/>
  <c r="M2573" i="14"/>
  <c r="S2573" i="14" s="1"/>
  <c r="M2488" i="14"/>
  <c r="S2488" i="14" s="1"/>
  <c r="M2492" i="14"/>
  <c r="S2492" i="14" s="1"/>
  <c r="M2583" i="14"/>
  <c r="S2583" i="14" s="1"/>
  <c r="M2629" i="14"/>
  <c r="S2629" i="14" s="1"/>
  <c r="M2727" i="14"/>
  <c r="S2727" i="14" s="1"/>
  <c r="M2603" i="14"/>
  <c r="S2603" i="14" s="1"/>
  <c r="M2580" i="14"/>
  <c r="S2580" i="14" s="1"/>
  <c r="M2662" i="14"/>
  <c r="S2662" i="14" s="1"/>
  <c r="M2561" i="14"/>
  <c r="S2561" i="14" s="1"/>
  <c r="M2517" i="14"/>
  <c r="S2517" i="14" s="1"/>
  <c r="M2692" i="14"/>
  <c r="S2692" i="14" s="1"/>
  <c r="M2504" i="14"/>
  <c r="S2504" i="14" s="1"/>
  <c r="M2690" i="14"/>
  <c r="S2690" i="14" s="1"/>
  <c r="M2511" i="14"/>
  <c r="S2511" i="14" s="1"/>
  <c r="M2699" i="14"/>
  <c r="S2699" i="14" s="1"/>
  <c r="G2624" i="14"/>
  <c r="M2694" i="14"/>
  <c r="S2694" i="14" s="1"/>
  <c r="M2702" i="14"/>
  <c r="S2702" i="14" s="1"/>
  <c r="M2701" i="14"/>
  <c r="S2701" i="14" s="1"/>
  <c r="M2671" i="14"/>
  <c r="S2671" i="14" s="1"/>
  <c r="M2661" i="14"/>
  <c r="S2661" i="14" s="1"/>
  <c r="M2627" i="14"/>
  <c r="S2627" i="14" s="1"/>
  <c r="M2630" i="14"/>
  <c r="S2630" i="14" s="1"/>
  <c r="M2543" i="14"/>
  <c r="S2543" i="14" s="1"/>
  <c r="M2541" i="14"/>
  <c r="S2541" i="14" s="1"/>
  <c r="M2547" i="14"/>
  <c r="S2547" i="14" s="1"/>
  <c r="M2550" i="14"/>
  <c r="S2550" i="14" s="1"/>
  <c r="M2705" i="14"/>
  <c r="S2705" i="14" s="1"/>
  <c r="M2666" i="14"/>
  <c r="S2666" i="14" s="1"/>
  <c r="M2642" i="14"/>
  <c r="S2642" i="14" s="1"/>
  <c r="M2611" i="14"/>
  <c r="S2611" i="14" s="1"/>
  <c r="M2607" i="14"/>
  <c r="S2607" i="14" s="1"/>
  <c r="M2636" i="14"/>
  <c r="S2636" i="14" s="1"/>
  <c r="M2652" i="14"/>
  <c r="S2652" i="14" s="1"/>
  <c r="M2555" i="14"/>
  <c r="S2555" i="14" s="1"/>
  <c r="M2679" i="14"/>
  <c r="S2679" i="14" s="1"/>
  <c r="M2656" i="14"/>
  <c r="S2656" i="14" s="1"/>
  <c r="M2675" i="14"/>
  <c r="S2675" i="14" s="1"/>
  <c r="M2581" i="14"/>
  <c r="S2581" i="14" s="1"/>
  <c r="M2510" i="14"/>
  <c r="S2510" i="14" s="1"/>
  <c r="M2598" i="14"/>
  <c r="S2598" i="14" s="1"/>
  <c r="M2590" i="14"/>
  <c r="S2590" i="14" s="1"/>
  <c r="M2496" i="14"/>
  <c r="S2496" i="14" s="1"/>
  <c r="M2721" i="14"/>
  <c r="S2721" i="14" s="1"/>
  <c r="M2683" i="14"/>
  <c r="S2683" i="14" s="1"/>
  <c r="M2609" i="14"/>
  <c r="S2609" i="14" s="1"/>
  <c r="M2649" i="14"/>
  <c r="S2649" i="14" s="1"/>
  <c r="M2647" i="14"/>
  <c r="S2647" i="14" s="1"/>
  <c r="M2565" i="14"/>
  <c r="S2565" i="14" s="1"/>
  <c r="M2606" i="14"/>
  <c r="S2606" i="14" s="1"/>
  <c r="M2558" i="14"/>
  <c r="S2558" i="14" s="1"/>
  <c r="M2512" i="14"/>
  <c r="S2512" i="14" s="1"/>
  <c r="M2530" i="14"/>
  <c r="S2530" i="14" s="1"/>
  <c r="M2516" i="14"/>
  <c r="S2516" i="14" s="1"/>
  <c r="M2490" i="14"/>
  <c r="S2490" i="14" s="1"/>
  <c r="M2672" i="14"/>
  <c r="S2672" i="14" s="1"/>
  <c r="M2718" i="14"/>
  <c r="S2718" i="14" s="1"/>
  <c r="M2715" i="14"/>
  <c r="S2715" i="14" s="1"/>
  <c r="M2711" i="14"/>
  <c r="S2711" i="14" s="1"/>
  <c r="M2680" i="14"/>
  <c r="S2680" i="14" s="1"/>
  <c r="M2502" i="14"/>
  <c r="S2502" i="14" s="1"/>
  <c r="M2596" i="14"/>
  <c r="S2596" i="14" s="1"/>
  <c r="M2594" i="14"/>
  <c r="S2594" i="14" s="1"/>
  <c r="M2600" i="14"/>
  <c r="S2600" i="14" s="1"/>
  <c r="M2574" i="14"/>
  <c r="S2574" i="14" s="1"/>
  <c r="M2688" i="14"/>
  <c r="S2688" i="14" s="1"/>
  <c r="M2535" i="14"/>
  <c r="S2535" i="14" s="1"/>
  <c r="M2497" i="14"/>
  <c r="S2497" i="14" s="1"/>
  <c r="M2539" i="14"/>
  <c r="S2539" i="14" s="1"/>
  <c r="M2542" i="14"/>
  <c r="S2542" i="14" s="1"/>
  <c r="M2495" i="14"/>
  <c r="S2495" i="14" s="1"/>
  <c r="M2620" i="14"/>
  <c r="S2620" i="14" s="1"/>
  <c r="M2709" i="14"/>
  <c r="S2709" i="14" s="1"/>
  <c r="M2500" i="14"/>
  <c r="S2500" i="14" s="1"/>
  <c r="M2564" i="14"/>
  <c r="S2564" i="14" s="1"/>
  <c r="M2524" i="14"/>
  <c r="S2524" i="14" s="1"/>
  <c r="M2641" i="14"/>
  <c r="S2641" i="14" s="1"/>
  <c r="M2720" i="14"/>
  <c r="S2720" i="14" s="1"/>
  <c r="M2664" i="14"/>
  <c r="S2664" i="14" s="1"/>
  <c r="M2508" i="14"/>
  <c r="S2508" i="14" s="1"/>
  <c r="M2582" i="14"/>
  <c r="S2582" i="14" s="1"/>
  <c r="M2486" i="14"/>
  <c r="S2486" i="14" s="1"/>
  <c r="M2633" i="14"/>
  <c r="S2633" i="14" s="1"/>
  <c r="M2566" i="14"/>
  <c r="S2566" i="14" s="1"/>
  <c r="M2610" i="14"/>
  <c r="S2610" i="14" s="1"/>
  <c r="M2640" i="14"/>
  <c r="S2640" i="14" s="1"/>
  <c r="M2645" i="14"/>
  <c r="S2645" i="14" s="1"/>
  <c r="M2655" i="14"/>
  <c r="S2655" i="14" s="1"/>
  <c r="M2554" i="14"/>
  <c r="S2554" i="14" s="1"/>
  <c r="M2544" i="14"/>
  <c r="S2544" i="14" s="1"/>
  <c r="M2714" i="14"/>
  <c r="S2714" i="14" s="1"/>
  <c r="M2556" i="14"/>
  <c r="S2556" i="14" s="1"/>
  <c r="M2657" i="14"/>
  <c r="S2657" i="14" s="1"/>
  <c r="M2621" i="14"/>
  <c r="S2621" i="14" s="1"/>
  <c r="M2507" i="14"/>
  <c r="S2507" i="14" s="1"/>
  <c r="M2485" i="14"/>
  <c r="S2485" i="14" s="1"/>
  <c r="M2635" i="14"/>
  <c r="S2635" i="14" s="1"/>
  <c r="M2686" i="14"/>
  <c r="S2686" i="14" s="1"/>
  <c r="M2532" i="14"/>
  <c r="S2532" i="14" s="1"/>
  <c r="G2629" i="14"/>
  <c r="N2575" i="14"/>
  <c r="T2575" i="14" s="1"/>
  <c r="N2581" i="14"/>
  <c r="T2581" i="14" s="1"/>
  <c r="N2579" i="14"/>
  <c r="T2579" i="14" s="1"/>
  <c r="N2558" i="14"/>
  <c r="T2558" i="14" s="1"/>
  <c r="N2546" i="14"/>
  <c r="T2546" i="14" s="1"/>
  <c r="N2510" i="14"/>
  <c r="T2510" i="14" s="1"/>
  <c r="N2508" i="14"/>
  <c r="T2508" i="14" s="1"/>
  <c r="N2491" i="14"/>
  <c r="T2491" i="14" s="1"/>
  <c r="N2683" i="14"/>
  <c r="T2683" i="14" s="1"/>
  <c r="N2703" i="14"/>
  <c r="T2703" i="14" s="1"/>
  <c r="N2687" i="14"/>
  <c r="T2687" i="14" s="1"/>
  <c r="N2692" i="14"/>
  <c r="T2692" i="14" s="1"/>
  <c r="N2675" i="14"/>
  <c r="T2675" i="14" s="1"/>
  <c r="N2673" i="14"/>
  <c r="T2673" i="14" s="1"/>
  <c r="N2701" i="14"/>
  <c r="T2701" i="14" s="1"/>
  <c r="N2714" i="14"/>
  <c r="T2714" i="14" s="1"/>
  <c r="N2495" i="14"/>
  <c r="T2495" i="14" s="1"/>
  <c r="N2535" i="14"/>
  <c r="T2535" i="14" s="1"/>
  <c r="N2648" i="14"/>
  <c r="T2648" i="14" s="1"/>
  <c r="N2723" i="14"/>
  <c r="T2723" i="14" s="1"/>
  <c r="N2496" i="14"/>
  <c r="T2496" i="14" s="1"/>
  <c r="N2509" i="14"/>
  <c r="T2509" i="14" s="1"/>
  <c r="N2698" i="14"/>
  <c r="T2698" i="14" s="1"/>
  <c r="N2689" i="14"/>
  <c r="T2689" i="14" s="1"/>
  <c r="N2667" i="14"/>
  <c r="T2667" i="14" s="1"/>
  <c r="N2665" i="14"/>
  <c r="T2665" i="14" s="1"/>
  <c r="N2629" i="14"/>
  <c r="T2629" i="14" s="1"/>
  <c r="N2651" i="14"/>
  <c r="T2651" i="14" s="1"/>
  <c r="N2610" i="14"/>
  <c r="T2610" i="14" s="1"/>
  <c r="N2550" i="14"/>
  <c r="T2550" i="14" s="1"/>
  <c r="N2514" i="14"/>
  <c r="T2514" i="14" s="1"/>
  <c r="N2505" i="14"/>
  <c r="T2505" i="14" s="1"/>
  <c r="N2681" i="14"/>
  <c r="T2681" i="14" s="1"/>
  <c r="N2684" i="14"/>
  <c r="T2684" i="14" s="1"/>
  <c r="N2620" i="14"/>
  <c r="T2620" i="14" s="1"/>
  <c r="N2672" i="14"/>
  <c r="T2672" i="14" s="1"/>
  <c r="N2592" i="14"/>
  <c r="T2592" i="14" s="1"/>
  <c r="N2553" i="14"/>
  <c r="T2553" i="14" s="1"/>
  <c r="N2721" i="14"/>
  <c r="T2721" i="14" s="1"/>
  <c r="N2727" i="14"/>
  <c r="T2727" i="14" s="1"/>
  <c r="N2725" i="14"/>
  <c r="T2725" i="14" s="1"/>
  <c r="N2671" i="14"/>
  <c r="T2671" i="14" s="1"/>
  <c r="N2707" i="14"/>
  <c r="T2707" i="14" s="1"/>
  <c r="N2719" i="14"/>
  <c r="T2719" i="14" s="1"/>
  <c r="N2717" i="14"/>
  <c r="T2717" i="14" s="1"/>
  <c r="N2663" i="14"/>
  <c r="T2663" i="14" s="1"/>
  <c r="N2700" i="14"/>
  <c r="T2700" i="14" s="1"/>
  <c r="N2710" i="14"/>
  <c r="T2710" i="14" s="1"/>
  <c r="N2678" i="14"/>
  <c r="T2678" i="14" s="1"/>
  <c r="N2653" i="14"/>
  <c r="T2653" i="14" s="1"/>
  <c r="N2588" i="14"/>
  <c r="T2588" i="14" s="1"/>
  <c r="N2562" i="14"/>
  <c r="T2562" i="14" s="1"/>
  <c r="N2560" i="14"/>
  <c r="T2560" i="14" s="1"/>
  <c r="N2598" i="14"/>
  <c r="T2598" i="14" s="1"/>
  <c r="N2557" i="14"/>
  <c r="T2557" i="14" s="1"/>
  <c r="N2567" i="14"/>
  <c r="T2567" i="14" s="1"/>
  <c r="N2603" i="14"/>
  <c r="T2603" i="14" s="1"/>
  <c r="N2705" i="14"/>
  <c r="T2705" i="14" s="1"/>
  <c r="N2709" i="14"/>
  <c r="T2709" i="14" s="1"/>
  <c r="N2611" i="14"/>
  <c r="T2611" i="14" s="1"/>
  <c r="N2631" i="14"/>
  <c r="T2631" i="14" s="1"/>
  <c r="N2507" i="14"/>
  <c r="T2507" i="14" s="1"/>
  <c r="N2625" i="14"/>
  <c r="T2625" i="14" s="1"/>
  <c r="N2660" i="14"/>
  <c r="T2660" i="14" s="1"/>
  <c r="N2609" i="14"/>
  <c r="T2609" i="14" s="1"/>
  <c r="N2533" i="14"/>
  <c r="T2533" i="14" s="1"/>
  <c r="N2520" i="14"/>
  <c r="T2520" i="14" s="1"/>
  <c r="N2529" i="14"/>
  <c r="T2529" i="14" s="1"/>
  <c r="N2504" i="14"/>
  <c r="T2504" i="14" s="1"/>
  <c r="N2647" i="14"/>
  <c r="T2647" i="14" s="1"/>
  <c r="N2566" i="14"/>
  <c r="T2566" i="14" s="1"/>
  <c r="N2694" i="14"/>
  <c r="T2694" i="14" s="1"/>
  <c r="N2577" i="14"/>
  <c r="T2577" i="14" s="1"/>
  <c r="N2544" i="14"/>
  <c r="T2544" i="14" s="1"/>
  <c r="N2670" i="14"/>
  <c r="T2670" i="14" s="1"/>
  <c r="N2490" i="14"/>
  <c r="T2490" i="14" s="1"/>
  <c r="N2517" i="14"/>
  <c r="T2517" i="14" s="1"/>
  <c r="N2511" i="14"/>
  <c r="T2511" i="14" s="1"/>
  <c r="N2641" i="14"/>
  <c r="T2641" i="14" s="1"/>
  <c r="N2720" i="14"/>
  <c r="T2720" i="14" s="1"/>
  <c r="N2551" i="14"/>
  <c r="T2551" i="14" s="1"/>
  <c r="N2722" i="14"/>
  <c r="T2722" i="14" s="1"/>
  <c r="N2645" i="14"/>
  <c r="T2645" i="14" s="1"/>
  <c r="N2512" i="14"/>
  <c r="T2512" i="14" s="1"/>
  <c r="N2518" i="14"/>
  <c r="T2518" i="14" s="1"/>
  <c r="N2516" i="14"/>
  <c r="T2516" i="14" s="1"/>
  <c r="N2499" i="14"/>
  <c r="T2499" i="14" s="1"/>
  <c r="N2693" i="14"/>
  <c r="T2693" i="14" s="1"/>
  <c r="N2691" i="14"/>
  <c r="T2691" i="14" s="1"/>
  <c r="N2716" i="14"/>
  <c r="T2716" i="14" s="1"/>
  <c r="N2674" i="14"/>
  <c r="T2674" i="14" s="1"/>
  <c r="N2634" i="14"/>
  <c r="T2634" i="14" s="1"/>
  <c r="N2638" i="14"/>
  <c r="T2638" i="14" s="1"/>
  <c r="N2613" i="14"/>
  <c r="T2613" i="14" s="1"/>
  <c r="N2627" i="14"/>
  <c r="T2627" i="14" s="1"/>
  <c r="N2626" i="14"/>
  <c r="T2626" i="14" s="1"/>
  <c r="N2624" i="14"/>
  <c r="T2624" i="14" s="1"/>
  <c r="N2637" i="14"/>
  <c r="T2637" i="14" s="1"/>
  <c r="N2607" i="14"/>
  <c r="T2607" i="14" s="1"/>
  <c r="N2654" i="14"/>
  <c r="T2654" i="14" s="1"/>
  <c r="N2685" i="14"/>
  <c r="T2685" i="14" s="1"/>
  <c r="N2487" i="14"/>
  <c r="T2487" i="14" s="1"/>
  <c r="N2661" i="14"/>
  <c r="T2661" i="14" s="1"/>
  <c r="N2640" i="14"/>
  <c r="T2640" i="14" s="1"/>
  <c r="N2601" i="14"/>
  <c r="T2601" i="14" s="1"/>
  <c r="N2589" i="14"/>
  <c r="T2589" i="14" s="1"/>
  <c r="N2612" i="14"/>
  <c r="T2612" i="14" s="1"/>
  <c r="N2618" i="14"/>
  <c r="T2618" i="14" s="1"/>
  <c r="N2616" i="14"/>
  <c r="T2616" i="14" s="1"/>
  <c r="N2585" i="14"/>
  <c r="T2585" i="14" s="1"/>
  <c r="N2572" i="14"/>
  <c r="T2572" i="14" s="1"/>
  <c r="N2552" i="14"/>
  <c r="T2552" i="14" s="1"/>
  <c r="N2697" i="14"/>
  <c r="T2697" i="14" s="1"/>
  <c r="N2704" i="14"/>
  <c r="T2704" i="14" s="1"/>
  <c r="N2680" i="14"/>
  <c r="T2680" i="14" s="1"/>
  <c r="N2632" i="14"/>
  <c r="T2632" i="14" s="1"/>
  <c r="N2606" i="14"/>
  <c r="T2606" i="14" s="1"/>
  <c r="N2543" i="14"/>
  <c r="T2543" i="14" s="1"/>
  <c r="N2594" i="14"/>
  <c r="T2594" i="14" s="1"/>
  <c r="N2556" i="14"/>
  <c r="T2556" i="14" s="1"/>
  <c r="N2498" i="14"/>
  <c r="T2498" i="14" s="1"/>
  <c r="N2659" i="14"/>
  <c r="T2659" i="14" s="1"/>
  <c r="N2664" i="14"/>
  <c r="T2664" i="14" s="1"/>
  <c r="N2662" i="14"/>
  <c r="T2662" i="14" s="1"/>
  <c r="N2622" i="14"/>
  <c r="T2622" i="14" s="1"/>
  <c r="N2642" i="14"/>
  <c r="T2642" i="14" s="1"/>
  <c r="N2657" i="14"/>
  <c r="T2657" i="14" s="1"/>
  <c r="N2655" i="14"/>
  <c r="T2655" i="14" s="1"/>
  <c r="N2614" i="14"/>
  <c r="T2614" i="14" s="1"/>
  <c r="N2635" i="14"/>
  <c r="T2635" i="14" s="1"/>
  <c r="N2649" i="14"/>
  <c r="T2649" i="14" s="1"/>
  <c r="N2600" i="14"/>
  <c r="T2600" i="14" s="1"/>
  <c r="N2574" i="14"/>
  <c r="T2574" i="14" s="1"/>
  <c r="N2531" i="14"/>
  <c r="T2531" i="14" s="1"/>
  <c r="N2503" i="14"/>
  <c r="T2503" i="14" s="1"/>
  <c r="N2501" i="14"/>
  <c r="T2501" i="14" s="1"/>
  <c r="N2540" i="14"/>
  <c r="T2540" i="14" s="1"/>
  <c r="N2718" i="14"/>
  <c r="T2718" i="14" s="1"/>
  <c r="N2712" i="14"/>
  <c r="T2712" i="14" s="1"/>
  <c r="N2582" i="14"/>
  <c r="T2582" i="14" s="1"/>
  <c r="N2597" i="14"/>
  <c r="T2597" i="14" s="1"/>
  <c r="N2644" i="14"/>
  <c r="T2644" i="14" s="1"/>
  <c r="N2633" i="14"/>
  <c r="T2633" i="14" s="1"/>
  <c r="N2524" i="14"/>
  <c r="T2524" i="14" s="1"/>
  <c r="N2619" i="14"/>
  <c r="T2619" i="14" s="1"/>
  <c r="N2573" i="14"/>
  <c r="T2573" i="14" s="1"/>
  <c r="N2538" i="14"/>
  <c r="T2538" i="14" s="1"/>
  <c r="N2506" i="14"/>
  <c r="T2506" i="14" s="1"/>
  <c r="N2492" i="14"/>
  <c r="T2492" i="14" s="1"/>
  <c r="N2668" i="14"/>
  <c r="T2668" i="14" s="1"/>
  <c r="N2628" i="14"/>
  <c r="T2628" i="14" s="1"/>
  <c r="N2530" i="14"/>
  <c r="T2530" i="14" s="1"/>
  <c r="N2688" i="14"/>
  <c r="T2688" i="14" s="1"/>
  <c r="N2564" i="14"/>
  <c r="T2564" i="14" s="1"/>
  <c r="N2669" i="14"/>
  <c r="T2669" i="14" s="1"/>
  <c r="N2630" i="14"/>
  <c r="T2630" i="14" s="1"/>
  <c r="N2527" i="14"/>
  <c r="T2527" i="14" s="1"/>
  <c r="N2532" i="14"/>
  <c r="N2534" i="14"/>
  <c r="T2534" i="14" s="1"/>
  <c r="N2715" i="14"/>
  <c r="T2715" i="14" s="1"/>
  <c r="N2639" i="14"/>
  <c r="T2639" i="14" s="1"/>
  <c r="N2590" i="14"/>
  <c r="N2568" i="14"/>
  <c r="T2568" i="14" s="1"/>
  <c r="N2695" i="14"/>
  <c r="T2695" i="14" s="1"/>
  <c r="N2690" i="14"/>
  <c r="T2690" i="14" s="1"/>
  <c r="N2699" i="14"/>
  <c r="T2699" i="14" s="1"/>
  <c r="N2724" i="14"/>
  <c r="T2724" i="14" s="1"/>
  <c r="N2682" i="14"/>
  <c r="T2682" i="14" s="1"/>
  <c r="N2617" i="14"/>
  <c r="T2617" i="14" s="1"/>
  <c r="N2615" i="14"/>
  <c r="T2615" i="14" s="1"/>
  <c r="N2652" i="14"/>
  <c r="T2652" i="14" s="1"/>
  <c r="N2596" i="14"/>
  <c r="T2596" i="14" s="1"/>
  <c r="N2565" i="14"/>
  <c r="T2565" i="14" s="1"/>
  <c r="N2595" i="14"/>
  <c r="T2595" i="14" s="1"/>
  <c r="N2569" i="14"/>
  <c r="T2569" i="14" s="1"/>
  <c r="N2583" i="14"/>
  <c r="T2583" i="14" s="1"/>
  <c r="N2549" i="14"/>
  <c r="T2549" i="14" s="1"/>
  <c r="N2547" i="14"/>
  <c r="T2547" i="14" s="1"/>
  <c r="N2593" i="14"/>
  <c r="T2593" i="14" s="1"/>
  <c r="N2489" i="14"/>
  <c r="T2489" i="14" s="1"/>
  <c r="N2493" i="14"/>
  <c r="T2493" i="14" s="1"/>
  <c r="N2636" i="14"/>
  <c r="N2646" i="14"/>
  <c r="T2646" i="14" s="1"/>
  <c r="N2523" i="14"/>
  <c r="T2523" i="14" s="1"/>
  <c r="N2537" i="14"/>
  <c r="T2537" i="14" s="1"/>
  <c r="N2658" i="14"/>
  <c r="T2658" i="14" s="1"/>
  <c r="N2587" i="14"/>
  <c r="T2587" i="14" s="1"/>
  <c r="N2554" i="14"/>
  <c r="T2554" i="14" s="1"/>
  <c r="N2541" i="14"/>
  <c r="T2541" i="14" s="1"/>
  <c r="N2539" i="14"/>
  <c r="T2539" i="14" s="1"/>
  <c r="N2522" i="14"/>
  <c r="T2522" i="14" s="1"/>
  <c r="N2513" i="14"/>
  <c r="T2513" i="14" s="1"/>
  <c r="N2686" i="14"/>
  <c r="T2686" i="14" s="1"/>
  <c r="N2621" i="14"/>
  <c r="N2643" i="14"/>
  <c r="T2643" i="14" s="1"/>
  <c r="N2602" i="14"/>
  <c r="T2602" i="14" s="1"/>
  <c r="N2561" i="14"/>
  <c r="T2561" i="14" s="1"/>
  <c r="N2548" i="14"/>
  <c r="N2488" i="14"/>
  <c r="T2488" i="14" s="1"/>
  <c r="N2563" i="14"/>
  <c r="T2563" i="14" s="1"/>
  <c r="N2679" i="14"/>
  <c r="T2679" i="14" s="1"/>
  <c r="N2580" i="14"/>
  <c r="T2580" i="14" s="1"/>
  <c r="N2586" i="14"/>
  <c r="T2586" i="14" s="1"/>
  <c r="N2584" i="14"/>
  <c r="T2584" i="14" s="1"/>
  <c r="N2545" i="14"/>
  <c r="T2545" i="14" s="1"/>
  <c r="N2599" i="14"/>
  <c r="T2599" i="14" s="1"/>
  <c r="N2578" i="14"/>
  <c r="T2578" i="14" s="1"/>
  <c r="N2576" i="14"/>
  <c r="T2576" i="14" s="1"/>
  <c r="N2559" i="14"/>
  <c r="T2559" i="14" s="1"/>
  <c r="N2591" i="14"/>
  <c r="T2591" i="14" s="1"/>
  <c r="N2570" i="14"/>
  <c r="T2570" i="14" s="1"/>
  <c r="N2542" i="14"/>
  <c r="T2542" i="14" s="1"/>
  <c r="N2515" i="14"/>
  <c r="T2515" i="14" s="1"/>
  <c r="N2702" i="14"/>
  <c r="T2702" i="14" s="1"/>
  <c r="N2726" i="14"/>
  <c r="T2726" i="14" s="1"/>
  <c r="N2650" i="14"/>
  <c r="T2650" i="14" s="1"/>
  <c r="N2555" i="14"/>
  <c r="T2555" i="14" s="1"/>
  <c r="N2605" i="14"/>
  <c r="T2605" i="14" s="1"/>
  <c r="N2677" i="14"/>
  <c r="T2677" i="14" s="1"/>
  <c r="N2708" i="14"/>
  <c r="T2708" i="14" s="1"/>
  <c r="N2536" i="14"/>
  <c r="T2536" i="14" s="1"/>
  <c r="N2526" i="14"/>
  <c r="T2526" i="14" s="1"/>
  <c r="N2706" i="14"/>
  <c r="T2706" i="14" s="1"/>
  <c r="N2623" i="14"/>
  <c r="T2623" i="14" s="1"/>
  <c r="N2604" i="14"/>
  <c r="T2604" i="14" s="1"/>
  <c r="N2571" i="14"/>
  <c r="T2571" i="14" s="1"/>
  <c r="N2502" i="14"/>
  <c r="T2502" i="14" s="1"/>
  <c r="N2494" i="14"/>
  <c r="T2494" i="14" s="1"/>
  <c r="N2656" i="14"/>
  <c r="T2656" i="14" s="1"/>
  <c r="N2485" i="14"/>
  <c r="T2485" i="14" s="1"/>
  <c r="N2497" i="14"/>
  <c r="T2497" i="14" s="1"/>
  <c r="N2486" i="14"/>
  <c r="T2486" i="14" s="1"/>
  <c r="N2713" i="14"/>
  <c r="T2713" i="14" s="1"/>
  <c r="N2608" i="14"/>
  <c r="T2608" i="14" s="1"/>
  <c r="N2500" i="14"/>
  <c r="T2500" i="14" s="1"/>
  <c r="N2521" i="14"/>
  <c r="T2521" i="14" s="1"/>
  <c r="N2525" i="14"/>
  <c r="T2525" i="14" s="1"/>
  <c r="N2519" i="14"/>
  <c r="T2519" i="14" s="1"/>
  <c r="N2528" i="14"/>
  <c r="T2528" i="14" s="1"/>
  <c r="N2666" i="14"/>
  <c r="T2666" i="14" s="1"/>
  <c r="N2676" i="14"/>
  <c r="T2676" i="14" s="1"/>
  <c r="N2711" i="14"/>
  <c r="T2711" i="14" s="1"/>
  <c r="N2696" i="14"/>
  <c r="T2696" i="14" s="1"/>
  <c r="O2665" i="14"/>
  <c r="U2665" i="14" s="1"/>
  <c r="O2628" i="14"/>
  <c r="U2628" i="14" s="1"/>
  <c r="O2681" i="14"/>
  <c r="U2681" i="14" s="1"/>
  <c r="O2584" i="14"/>
  <c r="U2584" i="14" s="1"/>
  <c r="O2550" i="14"/>
  <c r="U2550" i="14" s="1"/>
  <c r="O2579" i="14"/>
  <c r="U2579" i="14" s="1"/>
  <c r="O2551" i="14"/>
  <c r="U2551" i="14" s="1"/>
  <c r="O2526" i="14"/>
  <c r="U2526" i="14" s="1"/>
  <c r="O2508" i="14"/>
  <c r="O2652" i="14"/>
  <c r="U2652" i="14" s="1"/>
  <c r="O2616" i="14"/>
  <c r="U2616" i="14" s="1"/>
  <c r="O2640" i="14"/>
  <c r="U2640" i="14" s="1"/>
  <c r="O2636" i="14"/>
  <c r="O2634" i="14"/>
  <c r="U2634" i="14" s="1"/>
  <c r="O2653" i="14"/>
  <c r="U2653" i="14" s="1"/>
  <c r="O2637" i="14"/>
  <c r="U2637" i="14" s="1"/>
  <c r="O2513" i="14"/>
  <c r="U2513" i="14" s="1"/>
  <c r="O2611" i="14"/>
  <c r="U2611" i="14" s="1"/>
  <c r="O2683" i="14"/>
  <c r="U2683" i="14" s="1"/>
  <c r="O2596" i="14"/>
  <c r="U2596" i="14" s="1"/>
  <c r="O2607" i="14"/>
  <c r="U2607" i="14" s="1"/>
  <c r="O2657" i="14"/>
  <c r="U2657" i="14" s="1"/>
  <c r="O2698" i="14"/>
  <c r="U2698" i="14" s="1"/>
  <c r="O2688" i="14"/>
  <c r="U2688" i="14" s="1"/>
  <c r="O2702" i="14"/>
  <c r="O2719" i="14"/>
  <c r="U2719" i="14" s="1"/>
  <c r="O2544" i="14"/>
  <c r="U2544" i="14" s="1"/>
  <c r="O2680" i="14"/>
  <c r="U2680" i="14" s="1"/>
  <c r="O2720" i="14"/>
  <c r="U2720" i="14" s="1"/>
  <c r="O2700" i="14"/>
  <c r="U2700" i="14" s="1"/>
  <c r="O2697" i="14"/>
  <c r="U2697" i="14" s="1"/>
  <c r="O2714" i="14"/>
  <c r="U2714" i="14" s="1"/>
  <c r="O2712" i="14"/>
  <c r="U2712" i="14" s="1"/>
  <c r="O2676" i="14"/>
  <c r="U2676" i="14" s="1"/>
  <c r="O2500" i="14"/>
  <c r="U2500" i="14" s="1"/>
  <c r="O2517" i="14"/>
  <c r="U2517" i="14" s="1"/>
  <c r="O2515" i="14"/>
  <c r="U2515" i="14" s="1"/>
  <c r="O2503" i="14"/>
  <c r="U2503" i="14" s="1"/>
  <c r="O2686" i="14"/>
  <c r="U2686" i="14" s="1"/>
  <c r="O2703" i="14"/>
  <c r="U2703" i="14" s="1"/>
  <c r="O2716" i="14"/>
  <c r="U2716" i="14" s="1"/>
  <c r="O2667" i="14"/>
  <c r="U2667" i="14" s="1"/>
  <c r="O2618" i="14"/>
  <c r="O2608" i="14"/>
  <c r="U2608" i="14" s="1"/>
  <c r="O2666" i="14"/>
  <c r="O2706" i="14"/>
  <c r="U2706" i="14" s="1"/>
  <c r="O2704" i="14"/>
  <c r="U2704" i="14" s="1"/>
  <c r="O2658" i="14"/>
  <c r="U2658" i="14" s="1"/>
  <c r="O2621" i="14"/>
  <c r="O2588" i="14"/>
  <c r="U2588" i="14" s="1"/>
  <c r="O2586" i="14"/>
  <c r="O2510" i="14"/>
  <c r="U2510" i="14" s="1"/>
  <c r="O2638" i="14"/>
  <c r="U2638" i="14" s="1"/>
  <c r="O2559" i="14"/>
  <c r="U2559" i="14" s="1"/>
  <c r="O2602" i="14"/>
  <c r="O2539" i="14"/>
  <c r="U2539" i="14" s="1"/>
  <c r="O2491" i="14"/>
  <c r="U2491" i="14" s="1"/>
  <c r="O2521" i="14"/>
  <c r="U2521" i="14" s="1"/>
  <c r="O2721" i="14"/>
  <c r="O2489" i="14"/>
  <c r="U2489" i="14" s="1"/>
  <c r="O2708" i="14"/>
  <c r="O2598" i="14"/>
  <c r="U2598" i="14" s="1"/>
  <c r="O2625" i="14"/>
  <c r="O2692" i="14"/>
  <c r="U2692" i="14" s="1"/>
  <c r="O2707" i="14"/>
  <c r="O2555" i="14"/>
  <c r="U2555" i="14" s="1"/>
  <c r="O2557" i="14"/>
  <c r="O2723" i="14"/>
  <c r="U2723" i="14" s="1"/>
  <c r="O2509" i="14"/>
  <c r="U2509" i="14" s="1"/>
  <c r="O2547" i="14"/>
  <c r="U2547" i="14" s="1"/>
  <c r="O2494" i="14"/>
  <c r="O2514" i="14"/>
  <c r="U2514" i="14" s="1"/>
  <c r="O2589" i="14"/>
  <c r="O2567" i="14"/>
  <c r="U2567" i="14" s="1"/>
  <c r="O2532" i="14"/>
  <c r="O2516" i="14"/>
  <c r="U2516" i="14" s="1"/>
  <c r="O2487" i="14"/>
  <c r="U2487" i="14" s="1"/>
  <c r="O2689" i="14"/>
  <c r="U2689" i="14" s="1"/>
  <c r="O2592" i="14"/>
  <c r="U2592" i="14" s="1"/>
  <c r="O2530" i="14"/>
  <c r="U2530" i="14" s="1"/>
  <c r="O2594" i="14"/>
  <c r="O2650" i="14"/>
  <c r="U2650" i="14" s="1"/>
  <c r="O2617" i="14"/>
  <c r="O2587" i="14"/>
  <c r="U2587" i="14" s="1"/>
  <c r="O2633" i="14"/>
  <c r="O2536" i="14"/>
  <c r="U2536" i="14" s="1"/>
  <c r="O2495" i="14"/>
  <c r="O2490" i="14"/>
  <c r="U2490" i="14" s="1"/>
  <c r="O2726" i="14"/>
  <c r="O2709" i="14"/>
  <c r="U2709" i="14" s="1"/>
  <c r="O2654" i="14"/>
  <c r="O2562" i="14"/>
  <c r="U2562" i="14" s="1"/>
  <c r="O2575" i="14"/>
  <c r="O2619" i="14"/>
  <c r="U2619" i="14" s="1"/>
  <c r="O2595" i="14"/>
  <c r="U2595" i="14" s="1"/>
  <c r="O2593" i="14"/>
  <c r="U2593" i="14" s="1"/>
  <c r="O2599" i="14"/>
  <c r="U2599" i="14" s="1"/>
  <c r="O2578" i="14"/>
  <c r="U2578" i="14" s="1"/>
  <c r="O2690" i="14"/>
  <c r="O2522" i="14"/>
  <c r="U2522" i="14" s="1"/>
  <c r="O2556" i="14"/>
  <c r="O2493" i="14"/>
  <c r="U2493" i="14" s="1"/>
  <c r="O2685" i="14"/>
  <c r="U2685" i="14" s="1"/>
  <c r="O2635" i="14"/>
  <c r="U2635" i="14" s="1"/>
  <c r="O2622" i="14"/>
  <c r="U2622" i="14" s="1"/>
  <c r="O2613" i="14"/>
  <c r="U2613" i="14" s="1"/>
  <c r="O2626" i="14"/>
  <c r="U2626" i="14" s="1"/>
  <c r="O2642" i="14"/>
  <c r="U2642" i="14" s="1"/>
  <c r="O2656" i="14"/>
  <c r="O2604" i="14"/>
  <c r="U2604" i="14" s="1"/>
  <c r="O2655" i="14"/>
  <c r="O2624" i="14"/>
  <c r="U2624" i="14" s="1"/>
  <c r="O2651" i="14"/>
  <c r="O2663" i="14"/>
  <c r="U2663" i="14" s="1"/>
  <c r="O2661" i="14"/>
  <c r="U2661" i="14" s="1"/>
  <c r="O2600" i="14"/>
  <c r="U2600" i="14" s="1"/>
  <c r="O2701" i="14"/>
  <c r="O2695" i="14"/>
  <c r="U2695" i="14" s="1"/>
  <c r="O2693" i="14"/>
  <c r="O2699" i="14"/>
  <c r="U2699" i="14" s="1"/>
  <c r="O2682" i="14"/>
  <c r="O2677" i="14"/>
  <c r="U2677" i="14" s="1"/>
  <c r="O2610" i="14"/>
  <c r="U2610" i="14" s="1"/>
  <c r="O2632" i="14"/>
  <c r="U2632" i="14" s="1"/>
  <c r="O2639" i="14"/>
  <c r="U2639" i="14" s="1"/>
  <c r="O2572" i="14"/>
  <c r="U2572" i="14" s="1"/>
  <c r="O2577" i="14"/>
  <c r="U2577" i="14" s="1"/>
  <c r="O2623" i="14"/>
  <c r="U2623" i="14" s="1"/>
  <c r="O2590" i="14"/>
  <c r="U2590" i="14" s="1"/>
  <c r="O2612" i="14"/>
  <c r="U2612" i="14" s="1"/>
  <c r="O2671" i="14"/>
  <c r="U2671" i="14" s="1"/>
  <c r="O2568" i="14"/>
  <c r="U2568" i="14" s="1"/>
  <c r="O2615" i="14"/>
  <c r="U2615" i="14" s="1"/>
  <c r="O2540" i="14"/>
  <c r="U2540" i="14" s="1"/>
  <c r="O2538" i="14"/>
  <c r="U2538" i="14" s="1"/>
  <c r="O2529" i="14"/>
  <c r="O2614" i="14"/>
  <c r="U2614" i="14" s="1"/>
  <c r="O2499" i="14"/>
  <c r="U2499" i="14" s="1"/>
  <c r="O2672" i="14"/>
  <c r="U2672" i="14" s="1"/>
  <c r="O2718" i="14"/>
  <c r="U2718" i="14" s="1"/>
  <c r="O2582" i="14"/>
  <c r="U2582" i="14" s="1"/>
  <c r="O2644" i="14"/>
  <c r="U2644" i="14" s="1"/>
  <c r="O2713" i="14"/>
  <c r="U2713" i="14" s="1"/>
  <c r="O2620" i="14"/>
  <c r="O2545" i="14"/>
  <c r="U2545" i="14" s="1"/>
  <c r="O2705" i="14"/>
  <c r="U2705" i="14" s="1"/>
  <c r="O2629" i="14"/>
  <c r="U2629" i="14" s="1"/>
  <c r="O2558" i="14"/>
  <c r="U2558" i="14" s="1"/>
  <c r="O2560" i="14"/>
  <c r="U2560" i="14" s="1"/>
  <c r="O2496" i="14"/>
  <c r="O2501" i="14"/>
  <c r="U2501" i="14" s="1"/>
  <c r="O2519" i="14"/>
  <c r="O2497" i="14"/>
  <c r="U2497" i="14" s="1"/>
  <c r="O2561" i="14"/>
  <c r="U2561" i="14" s="1"/>
  <c r="O2507" i="14"/>
  <c r="U2507" i="14" s="1"/>
  <c r="O2684" i="14"/>
  <c r="U2684" i="14" s="1"/>
  <c r="O2525" i="14"/>
  <c r="U2525" i="14" s="1"/>
  <c r="O2662" i="14"/>
  <c r="U2662" i="14" s="1"/>
  <c r="O2687" i="14"/>
  <c r="U2687" i="14" s="1"/>
  <c r="O2518" i="14"/>
  <c r="O2524" i="14"/>
  <c r="U2524" i="14" s="1"/>
  <c r="O2498" i="14"/>
  <c r="U2498" i="14" s="1"/>
  <c r="O2528" i="14"/>
  <c r="U2528" i="14" s="1"/>
  <c r="O2674" i="14"/>
  <c r="U2674" i="14" s="1"/>
  <c r="O2696" i="14"/>
  <c r="U2696" i="14" s="1"/>
  <c r="O2660" i="14"/>
  <c r="U2660" i="14" s="1"/>
  <c r="O2673" i="14"/>
  <c r="U2673" i="14" s="1"/>
  <c r="O2645" i="14"/>
  <c r="U2645" i="14" s="1"/>
  <c r="O2564" i="14"/>
  <c r="U2564" i="14" s="1"/>
  <c r="O2543" i="14"/>
  <c r="U2543" i="14" s="1"/>
  <c r="O2486" i="14"/>
  <c r="U2486" i="14" s="1"/>
  <c r="O2531" i="14"/>
  <c r="O2506" i="14"/>
  <c r="U2506" i="14" s="1"/>
  <c r="O2504" i="14"/>
  <c r="U2504" i="14" s="1"/>
  <c r="O2574" i="14"/>
  <c r="U2574" i="14" s="1"/>
  <c r="O2691" i="14"/>
  <c r="O2573" i="14"/>
  <c r="U2573" i="14" s="1"/>
  <c r="O2678" i="14"/>
  <c r="U2678" i="14" s="1"/>
  <c r="O2725" i="14"/>
  <c r="U2725" i="14" s="1"/>
  <c r="O2670" i="14"/>
  <c r="U2670" i="14" s="1"/>
  <c r="O2534" i="14"/>
  <c r="U2534" i="14" s="1"/>
  <c r="O2727" i="14"/>
  <c r="U2727" i="14" s="1"/>
  <c r="O2581" i="14"/>
  <c r="U2581" i="14" s="1"/>
  <c r="O2679" i="14"/>
  <c r="O2585" i="14"/>
  <c r="U2585" i="14" s="1"/>
  <c r="O2627" i="14"/>
  <c r="U2627" i="14" s="1"/>
  <c r="O2566" i="14"/>
  <c r="U2566" i="14" s="1"/>
  <c r="O2554" i="14"/>
  <c r="U2554" i="14" s="1"/>
  <c r="O2609" i="14"/>
  <c r="U2609" i="14" s="1"/>
  <c r="O2583" i="14"/>
  <c r="U2583" i="14" s="1"/>
  <c r="O2565" i="14"/>
  <c r="U2565" i="14" s="1"/>
  <c r="O2603" i="14"/>
  <c r="U2603" i="14" s="1"/>
  <c r="O2601" i="14"/>
  <c r="U2601" i="14" s="1"/>
  <c r="O2552" i="14"/>
  <c r="U2552" i="14" s="1"/>
  <c r="O2630" i="14"/>
  <c r="U2630" i="14" s="1"/>
  <c r="O2643" i="14"/>
  <c r="U2643" i="14" s="1"/>
  <c r="O2649" i="14"/>
  <c r="U2649" i="14" s="1"/>
  <c r="O2659" i="14"/>
  <c r="U2659" i="14" s="1"/>
  <c r="O2606" i="14"/>
  <c r="U2606" i="14" s="1"/>
  <c r="O2580" i="14"/>
  <c r="U2580" i="14" s="1"/>
  <c r="O2641" i="14"/>
  <c r="U2641" i="14" s="1"/>
  <c r="O2591" i="14"/>
  <c r="O2605" i="14"/>
  <c r="U2605" i="14" s="1"/>
  <c r="O2553" i="14"/>
  <c r="U2553" i="14" s="1"/>
  <c r="O2488" i="14"/>
  <c r="U2488" i="14" s="1"/>
  <c r="O2505" i="14"/>
  <c r="U2505" i="14" s="1"/>
  <c r="O2542" i="14"/>
  <c r="U2542" i="14" s="1"/>
  <c r="O2571" i="14"/>
  <c r="U2571" i="14" s="1"/>
  <c r="O2569" i="14"/>
  <c r="U2569" i="14" s="1"/>
  <c r="O2549" i="14"/>
  <c r="U2549" i="14" s="1"/>
  <c r="O2511" i="14"/>
  <c r="U2511" i="14" s="1"/>
  <c r="O2485" i="14"/>
  <c r="U2485" i="14" s="1"/>
  <c r="O2668" i="14"/>
  <c r="U2668" i="14" s="1"/>
  <c r="O2675" i="14"/>
  <c r="U2675" i="14" s="1"/>
  <c r="O2669" i="14"/>
  <c r="U2669" i="14" s="1"/>
  <c r="O2527" i="14"/>
  <c r="U2527" i="14" s="1"/>
  <c r="O2576" i="14"/>
  <c r="U2576" i="14" s="1"/>
  <c r="O2548" i="14"/>
  <c r="U2548" i="14" s="1"/>
  <c r="O2647" i="14"/>
  <c r="U2647" i="14" s="1"/>
  <c r="O2646" i="14"/>
  <c r="U2646" i="14" s="1"/>
  <c r="O2535" i="14"/>
  <c r="U2535" i="14" s="1"/>
  <c r="O2724" i="14"/>
  <c r="U2724" i="14" s="1"/>
  <c r="O2710" i="14"/>
  <c r="U2710" i="14" s="1"/>
  <c r="O2570" i="14"/>
  <c r="U2570" i="14" s="1"/>
  <c r="O2597" i="14"/>
  <c r="U2597" i="14" s="1"/>
  <c r="O2717" i="14"/>
  <c r="U2717" i="14" s="1"/>
  <c r="O2711" i="14"/>
  <c r="U2711" i="14" s="1"/>
  <c r="O2722" i="14"/>
  <c r="U2722" i="14" s="1"/>
  <c r="O2546" i="14"/>
  <c r="U2546" i="14" s="1"/>
  <c r="O2492" i="14"/>
  <c r="U2492" i="14" s="1"/>
  <c r="O2533" i="14"/>
  <c r="U2533" i="14" s="1"/>
  <c r="O2520" i="14"/>
  <c r="U2520" i="14" s="1"/>
  <c r="O2512" i="14"/>
  <c r="U2512" i="14" s="1"/>
  <c r="O2563" i="14"/>
  <c r="U2563" i="14" s="1"/>
  <c r="O2631" i="14"/>
  <c r="U2631" i="14" s="1"/>
  <c r="O2502" i="14"/>
  <c r="U2502" i="14" s="1"/>
  <c r="O2694" i="14"/>
  <c r="U2694" i="14" s="1"/>
  <c r="O2541" i="14"/>
  <c r="U2541" i="14" s="1"/>
  <c r="O2523" i="14"/>
  <c r="U2523" i="14" s="1"/>
  <c r="O2664" i="14"/>
  <c r="U2664" i="14" s="1"/>
  <c r="O2715" i="14"/>
  <c r="U2715" i="14" s="1"/>
  <c r="O2648" i="14"/>
  <c r="U2648" i="14" s="1"/>
  <c r="O2537" i="14"/>
  <c r="U2537" i="14" s="1"/>
  <c r="I2522" i="14"/>
  <c r="I2638" i="14"/>
  <c r="L2643" i="14"/>
  <c r="R2643" i="14" s="1"/>
  <c r="L2629" i="14"/>
  <c r="R2629" i="14" s="1"/>
  <c r="L2589" i="14"/>
  <c r="L2563" i="14"/>
  <c r="R2563" i="14" s="1"/>
  <c r="L2514" i="14"/>
  <c r="R2514" i="14" s="1"/>
  <c r="L2712" i="14"/>
  <c r="R2712" i="14" s="1"/>
  <c r="L2722" i="14"/>
  <c r="L2663" i="14"/>
  <c r="R2663" i="14" s="1"/>
  <c r="L2607" i="14"/>
  <c r="L2628" i="14"/>
  <c r="R2628" i="14" s="1"/>
  <c r="L2649" i="14"/>
  <c r="R2649" i="14" s="1"/>
  <c r="L2639" i="14"/>
  <c r="R2639" i="14" s="1"/>
  <c r="L2612" i="14"/>
  <c r="R2612" i="14" s="1"/>
  <c r="L2543" i="14"/>
  <c r="R2543" i="14" s="1"/>
  <c r="L2673" i="14"/>
  <c r="L2588" i="14"/>
  <c r="R2588" i="14" s="1"/>
  <c r="L2595" i="14"/>
  <c r="R2595" i="14" s="1"/>
  <c r="L2667" i="14"/>
  <c r="R2667" i="14" s="1"/>
  <c r="L2696" i="14"/>
  <c r="L2527" i="14"/>
  <c r="R2527" i="14" s="1"/>
  <c r="L2583" i="14"/>
  <c r="R2583" i="14" s="1"/>
  <c r="L2509" i="14"/>
  <c r="R2509" i="14" s="1"/>
  <c r="L2560" i="14"/>
  <c r="L2507" i="14"/>
  <c r="R2507" i="14" s="1"/>
  <c r="L2710" i="14"/>
  <c r="R2710" i="14" s="1"/>
  <c r="L2691" i="14"/>
  <c r="R2691" i="14" s="1"/>
  <c r="L2660" i="14"/>
  <c r="R2660" i="14" s="1"/>
  <c r="L2709" i="14"/>
  <c r="R2709" i="14" s="1"/>
  <c r="L2717" i="14"/>
  <c r="L2721" i="14"/>
  <c r="R2721" i="14" s="1"/>
  <c r="L2708" i="14"/>
  <c r="R2708" i="14" s="1"/>
  <c r="L2528" i="14"/>
  <c r="R2528" i="14" s="1"/>
  <c r="L2623" i="14"/>
  <c r="R2623" i="14" s="1"/>
  <c r="L2618" i="14"/>
  <c r="R2618" i="14" s="1"/>
  <c r="L2635" i="14"/>
  <c r="L2654" i="14"/>
  <c r="R2654" i="14" s="1"/>
  <c r="L2716" i="14"/>
  <c r="R2716" i="14" s="1"/>
  <c r="L2596" i="14"/>
  <c r="R2596" i="14" s="1"/>
  <c r="L2685" i="14"/>
  <c r="R2685" i="14" s="1"/>
  <c r="L2642" i="14"/>
  <c r="R2642" i="14" s="1"/>
  <c r="L2624" i="14"/>
  <c r="R2624" i="14" s="1"/>
  <c r="L2625" i="14"/>
  <c r="R2625" i="14" s="1"/>
  <c r="L2575" i="14"/>
  <c r="R2575" i="14" s="1"/>
  <c r="L2636" i="14"/>
  <c r="R2636" i="14" s="1"/>
  <c r="L2621" i="14"/>
  <c r="R2621" i="14" s="1"/>
  <c r="L2616" i="14"/>
  <c r="R2616" i="14" s="1"/>
  <c r="L2622" i="14"/>
  <c r="L2486" i="14"/>
  <c r="R2486" i="14" s="1"/>
  <c r="L2593" i="14"/>
  <c r="L2542" i="14"/>
  <c r="R2542" i="14" s="1"/>
  <c r="L2551" i="14"/>
  <c r="L2490" i="14"/>
  <c r="R2490" i="14" s="1"/>
  <c r="L2699" i="14"/>
  <c r="R2699" i="14" s="1"/>
  <c r="L2637" i="14"/>
  <c r="R2637" i="14" s="1"/>
  <c r="L2634" i="14"/>
  <c r="R2634" i="14" s="1"/>
  <c r="L2541" i="14"/>
  <c r="R2541" i="14" s="1"/>
  <c r="L2631" i="14"/>
  <c r="R2631" i="14" s="1"/>
  <c r="L2529" i="14"/>
  <c r="R2529" i="14" s="1"/>
  <c r="L2561" i="14"/>
  <c r="R2561" i="14" s="1"/>
  <c r="L2648" i="14"/>
  <c r="R2648" i="14" s="1"/>
  <c r="L2638" i="14"/>
  <c r="L2499" i="14"/>
  <c r="R2499" i="14" s="1"/>
  <c r="L2504" i="14"/>
  <c r="R2504" i="14" s="1"/>
  <c r="L2694" i="14"/>
  <c r="R2694" i="14" s="1"/>
  <c r="L2665" i="14"/>
  <c r="L2547" i="14"/>
  <c r="R2547" i="14" s="1"/>
  <c r="L2524" i="14"/>
  <c r="R2524" i="14" s="1"/>
  <c r="L2704" i="14"/>
  <c r="R2704" i="14" s="1"/>
  <c r="L2518" i="14"/>
  <c r="L2487" i="14"/>
  <c r="R2487" i="14" s="1"/>
  <c r="L2540" i="14"/>
  <c r="R2540" i="14" s="1"/>
  <c r="L2614" i="14"/>
  <c r="R2614" i="14" s="1"/>
  <c r="L2545" i="14"/>
  <c r="L2512" i="14"/>
  <c r="R2512" i="14" s="1"/>
  <c r="L2498" i="14"/>
  <c r="L2672" i="14"/>
  <c r="R2672" i="14" s="1"/>
  <c r="L2726" i="14"/>
  <c r="L2707" i="14"/>
  <c r="R2707" i="14" s="1"/>
  <c r="L2585" i="14"/>
  <c r="R2585" i="14" s="1"/>
  <c r="L2680" i="14"/>
  <c r="R2680" i="14" s="1"/>
  <c r="L2706" i="14"/>
  <c r="R2706" i="14" s="1"/>
  <c r="L2613" i="14"/>
  <c r="R2613" i="14" s="1"/>
  <c r="L2605" i="14"/>
  <c r="L2508" i="14"/>
  <c r="R2508" i="14" s="1"/>
  <c r="L2603" i="14"/>
  <c r="R2603" i="14" s="1"/>
  <c r="L2568" i="14"/>
  <c r="R2568" i="14" s="1"/>
  <c r="L2598" i="14"/>
  <c r="R2598" i="14" s="1"/>
  <c r="L2556" i="14"/>
  <c r="R2556" i="14" s="1"/>
  <c r="L2534" i="14"/>
  <c r="L2506" i="14"/>
  <c r="R2506" i="14" s="1"/>
  <c r="L2677" i="14"/>
  <c r="R2677" i="14" s="1"/>
  <c r="L2657" i="14"/>
  <c r="R2657" i="14" s="1"/>
  <c r="L2656" i="14"/>
  <c r="L2587" i="14"/>
  <c r="R2587" i="14" s="1"/>
  <c r="L2693" i="14"/>
  <c r="L2582" i="14"/>
  <c r="R2582" i="14" s="1"/>
  <c r="L2604" i="14"/>
  <c r="R2604" i="14" s="1"/>
  <c r="L2594" i="14"/>
  <c r="R2594" i="14" s="1"/>
  <c r="L2538" i="14"/>
  <c r="L2592" i="14"/>
  <c r="R2592" i="14" s="1"/>
  <c r="L2501" i="14"/>
  <c r="L2698" i="14"/>
  <c r="R2698" i="14" s="1"/>
  <c r="L2553" i="14"/>
  <c r="R2553" i="14" s="1"/>
  <c r="L2557" i="14"/>
  <c r="R2557" i="14" s="1"/>
  <c r="L2617" i="14"/>
  <c r="L2571" i="14"/>
  <c r="R2571" i="14" s="1"/>
  <c r="L2714" i="14"/>
  <c r="L2574" i="14"/>
  <c r="R2574" i="14" s="1"/>
  <c r="L2676" i="14"/>
  <c r="R2676" i="14" s="1"/>
  <c r="L2675" i="14"/>
  <c r="R2675" i="14" s="1"/>
  <c r="L2655" i="14"/>
  <c r="L2630" i="14"/>
  <c r="R2630" i="14" s="1"/>
  <c r="L2650" i="14"/>
  <c r="L2644" i="14"/>
  <c r="R2644" i="14" s="1"/>
  <c r="L2626" i="14"/>
  <c r="L2647" i="14"/>
  <c r="R2647" i="14" s="1"/>
  <c r="L2653" i="14"/>
  <c r="L2564" i="14"/>
  <c r="R2564" i="14" s="1"/>
  <c r="L2552" i="14"/>
  <c r="R2552" i="14" s="1"/>
  <c r="L2572" i="14"/>
  <c r="R2572" i="14" s="1"/>
  <c r="L2562" i="14"/>
  <c r="L2579" i="14"/>
  <c r="R2579" i="14" s="1"/>
  <c r="L2705" i="14"/>
  <c r="R2705" i="14" s="1"/>
  <c r="L2565" i="14"/>
  <c r="R2565" i="14" s="1"/>
  <c r="L2609" i="14"/>
  <c r="R2609" i="14" s="1"/>
  <c r="L2567" i="14"/>
  <c r="R2567" i="14" s="1"/>
  <c r="L2578" i="14"/>
  <c r="R2578" i="14" s="1"/>
  <c r="L2689" i="14"/>
  <c r="R2689" i="14" s="1"/>
  <c r="L2627" i="14"/>
  <c r="L2590" i="14"/>
  <c r="R2590" i="14" s="1"/>
  <c r="L2550" i="14"/>
  <c r="R2550" i="14" s="1"/>
  <c r="L2570" i="14"/>
  <c r="R2570" i="14" s="1"/>
  <c r="L2576" i="14"/>
  <c r="L2586" i="14"/>
  <c r="R2586" i="14" s="1"/>
  <c r="L2539" i="14"/>
  <c r="L2533" i="14"/>
  <c r="R2533" i="14" s="1"/>
  <c r="L2713" i="14"/>
  <c r="R2713" i="14" s="1"/>
  <c r="L2620" i="14"/>
  <c r="R2620" i="14" s="1"/>
  <c r="L2537" i="14"/>
  <c r="L2718" i="14"/>
  <c r="R2718" i="14" s="1"/>
  <c r="L2532" i="14"/>
  <c r="R2532" i="14" s="1"/>
  <c r="L2496" i="14"/>
  <c r="R2496" i="14" s="1"/>
  <c r="L2546" i="14"/>
  <c r="R2546" i="14" s="1"/>
  <c r="L2516" i="14"/>
  <c r="R2516" i="14" s="1"/>
  <c r="L2727" i="14"/>
  <c r="R2727" i="14" s="1"/>
  <c r="L2661" i="14"/>
  <c r="R2661" i="14" s="1"/>
  <c r="L2502" i="14"/>
  <c r="L2725" i="14"/>
  <c r="R2725" i="14" s="1"/>
  <c r="L2687" i="14"/>
  <c r="L2695" i="14"/>
  <c r="R2695" i="14" s="1"/>
  <c r="L2674" i="14"/>
  <c r="L2566" i="14"/>
  <c r="R2566" i="14" s="1"/>
  <c r="L2525" i="14"/>
  <c r="L2521" i="14"/>
  <c r="R2521" i="14" s="1"/>
  <c r="L2682" i="14"/>
  <c r="R2682" i="14" s="1"/>
  <c r="L2544" i="14"/>
  <c r="R2544" i="14" s="1"/>
  <c r="L2688" i="14"/>
  <c r="R2688" i="14" s="1"/>
  <c r="L2700" i="14"/>
  <c r="R2700" i="14" s="1"/>
  <c r="L2669" i="14"/>
  <c r="L2640" i="14"/>
  <c r="R2640" i="14" s="1"/>
  <c r="L2671" i="14"/>
  <c r="R2671" i="14" s="1"/>
  <c r="L2701" i="14"/>
  <c r="R2701" i="14" s="1"/>
  <c r="L2488" i="14"/>
  <c r="L2497" i="14"/>
  <c r="R2497" i="14" s="1"/>
  <c r="L2703" i="14"/>
  <c r="L2684" i="14"/>
  <c r="R2684" i="14" s="1"/>
  <c r="L2601" i="14"/>
  <c r="L2559" i="14"/>
  <c r="R2559" i="14" s="1"/>
  <c r="L2581" i="14"/>
  <c r="R2581" i="14" s="1"/>
  <c r="L2530" i="14"/>
  <c r="R2530" i="14" s="1"/>
  <c r="L2549" i="14"/>
  <c r="R2549" i="14" s="1"/>
  <c r="L2523" i="14"/>
  <c r="R2523" i="14" s="1"/>
  <c r="L2494" i="14"/>
  <c r="R2494" i="14" s="1"/>
  <c r="L2535" i="14"/>
  <c r="R2535" i="14" s="1"/>
  <c r="L2515" i="14"/>
  <c r="R2515" i="14" s="1"/>
  <c r="L2615" i="14"/>
  <c r="R2615" i="14" s="1"/>
  <c r="L2652" i="14"/>
  <c r="R2652" i="14" s="1"/>
  <c r="L2548" i="14"/>
  <c r="R2548" i="14" s="1"/>
  <c r="L2668" i="14"/>
  <c r="R2668" i="14" s="1"/>
  <c r="L2690" i="14"/>
  <c r="R2690" i="14" s="1"/>
  <c r="L2485" i="14"/>
  <c r="R2485" i="14" s="1"/>
  <c r="L2659" i="14"/>
  <c r="R2659" i="14" s="1"/>
  <c r="L2573" i="14"/>
  <c r="R2573" i="14" s="1"/>
  <c r="L2597" i="14"/>
  <c r="R2597" i="14" s="1"/>
  <c r="L2662" i="14"/>
  <c r="R2662" i="14" s="1"/>
  <c r="L2599" i="14"/>
  <c r="R2599" i="14" s="1"/>
  <c r="L2610" i="14"/>
  <c r="R2610" i="14" s="1"/>
  <c r="L2584" i="14"/>
  <c r="R2584" i="14" s="1"/>
  <c r="L2664" i="14"/>
  <c r="L2569" i="14"/>
  <c r="R2569" i="14" s="1"/>
  <c r="L2580" i="14"/>
  <c r="L2602" i="14"/>
  <c r="R2602" i="14" s="1"/>
  <c r="L2608" i="14"/>
  <c r="R2608" i="14" s="1"/>
  <c r="L2632" i="14"/>
  <c r="R2632" i="14" s="1"/>
  <c r="L2491" i="14"/>
  <c r="L2513" i="14"/>
  <c r="R2513" i="14" s="1"/>
  <c r="L2503" i="14"/>
  <c r="R2503" i="14" s="1"/>
  <c r="L2522" i="14"/>
  <c r="R2522" i="14" s="1"/>
  <c r="L2531" i="14"/>
  <c r="R2531" i="14" s="1"/>
  <c r="L2670" i="14"/>
  <c r="R2670" i="14" s="1"/>
  <c r="L2555" i="14"/>
  <c r="L2510" i="14"/>
  <c r="R2510" i="14" s="1"/>
  <c r="L2519" i="14"/>
  <c r="L2493" i="14"/>
  <c r="R2493" i="14" s="1"/>
  <c r="L2646" i="14"/>
  <c r="R2646" i="14" s="1"/>
  <c r="L2536" i="14"/>
  <c r="R2536" i="14" s="1"/>
  <c r="L2489" i="14"/>
  <c r="R2489" i="14" s="1"/>
  <c r="L2511" i="14"/>
  <c r="R2511" i="14" s="1"/>
  <c r="L2517" i="14"/>
  <c r="L2679" i="14"/>
  <c r="R2679" i="14" s="1"/>
  <c r="L2692" i="14"/>
  <c r="R2692" i="14" s="1"/>
  <c r="L2681" i="14"/>
  <c r="R2681" i="14" s="1"/>
  <c r="L2645" i="14"/>
  <c r="R2645" i="14" s="1"/>
  <c r="L2683" i="14"/>
  <c r="R2683" i="14" s="1"/>
  <c r="L2505" i="14"/>
  <c r="L2577" i="14"/>
  <c r="R2577" i="14" s="1"/>
  <c r="L2619" i="14"/>
  <c r="L2554" i="14"/>
  <c r="R2554" i="14" s="1"/>
  <c r="L2591" i="14"/>
  <c r="R2591" i="14" s="1"/>
  <c r="L2651" i="14"/>
  <c r="R2651" i="14" s="1"/>
  <c r="L2658" i="14"/>
  <c r="R2658" i="14" s="1"/>
  <c r="L2678" i="14"/>
  <c r="R2678" i="14" s="1"/>
  <c r="L2666" i="14"/>
  <c r="L2495" i="14"/>
  <c r="R2495" i="14" s="1"/>
  <c r="L2606" i="14"/>
  <c r="L2702" i="14"/>
  <c r="R2702" i="14" s="1"/>
  <c r="L2641" i="14"/>
  <c r="R2641" i="14" s="1"/>
  <c r="L2558" i="14"/>
  <c r="R2558" i="14" s="1"/>
  <c r="L2724" i="14"/>
  <c r="L2633" i="14"/>
  <c r="R2633" i="14" s="1"/>
  <c r="L2500" i="14"/>
  <c r="R2500" i="14" s="1"/>
  <c r="L2711" i="14"/>
  <c r="R2711" i="14" s="1"/>
  <c r="L2492" i="14"/>
  <c r="L2723" i="14"/>
  <c r="R2723" i="14" s="1"/>
  <c r="L2720" i="14"/>
  <c r="R2720" i="14" s="1"/>
  <c r="L2719" i="14"/>
  <c r="R2719" i="14" s="1"/>
  <c r="L2715" i="14"/>
  <c r="L2697" i="14"/>
  <c r="R2697" i="14" s="1"/>
  <c r="L2686" i="14"/>
  <c r="R2686" i="14" s="1"/>
  <c r="L2600" i="14"/>
  <c r="R2600" i="14" s="1"/>
  <c r="L2520" i="14"/>
  <c r="R2520" i="14" s="1"/>
  <c r="L2611" i="14"/>
  <c r="R2611" i="14" s="1"/>
  <c r="L2526" i="14"/>
  <c r="F2565" i="14"/>
  <c r="E2519" i="14" l="1"/>
  <c r="E2508" i="14"/>
  <c r="E2610" i="14"/>
  <c r="E2657" i="14"/>
  <c r="E2529" i="14"/>
  <c r="E2724" i="14"/>
  <c r="E2673" i="14"/>
  <c r="E2686" i="14"/>
  <c r="E2655" i="14"/>
  <c r="E2701" i="14"/>
  <c r="E2648" i="14"/>
  <c r="E2561" i="14"/>
  <c r="G2487" i="14"/>
  <c r="E2634" i="14"/>
  <c r="E2636" i="14"/>
  <c r="G2697" i="14"/>
  <c r="H2665" i="14"/>
  <c r="G2679" i="14"/>
  <c r="G2567" i="14"/>
  <c r="E2589" i="14"/>
  <c r="E2679" i="14"/>
  <c r="E2547" i="14"/>
  <c r="E2564" i="14"/>
  <c r="E2565" i="14"/>
  <c r="E2592" i="14"/>
  <c r="E2522" i="14"/>
  <c r="E2604" i="14"/>
  <c r="E2597" i="14"/>
  <c r="E2691" i="14"/>
  <c r="E2543" i="14"/>
  <c r="E2539" i="14"/>
  <c r="E2586" i="14"/>
  <c r="E2704" i="14"/>
  <c r="E2677" i="14"/>
  <c r="G2654" i="14"/>
  <c r="G2705" i="14"/>
  <c r="E2583" i="14"/>
  <c r="E2579" i="14"/>
  <c r="E2620" i="14"/>
  <c r="G2540" i="14"/>
  <c r="G2600" i="14"/>
  <c r="G2667" i="14"/>
  <c r="E2585" i="14"/>
  <c r="E2630" i="14"/>
  <c r="E2647" i="14"/>
  <c r="E2560" i="14"/>
  <c r="E2656" i="14"/>
  <c r="G2622" i="14"/>
  <c r="G2623" i="14"/>
  <c r="G2527" i="14"/>
  <c r="E2545" i="14"/>
  <c r="E2557" i="14"/>
  <c r="E2651" i="14"/>
  <c r="E2496" i="14"/>
  <c r="E2618" i="14"/>
  <c r="E2715" i="14"/>
  <c r="E2517" i="14"/>
  <c r="E2552" i="14"/>
  <c r="E2559" i="14"/>
  <c r="E2628" i="14"/>
  <c r="E2573" i="14"/>
  <c r="E2568" i="14"/>
  <c r="E2627" i="14"/>
  <c r="E2588" i="14"/>
  <c r="E2501" i="14"/>
  <c r="E2605" i="14"/>
  <c r="E2549" i="14"/>
  <c r="E2551" i="14"/>
  <c r="E2535" i="14"/>
  <c r="E2578" i="14"/>
  <c r="E2718" i="14"/>
  <c r="E2709" i="14"/>
  <c r="E2638" i="14"/>
  <c r="E2542" i="14"/>
  <c r="E2623" i="14"/>
  <c r="E2658" i="14"/>
  <c r="E2515" i="14"/>
  <c r="E2531" i="14"/>
  <c r="H2624" i="14"/>
  <c r="H2492" i="14"/>
  <c r="H2565" i="14"/>
  <c r="F2543" i="14"/>
  <c r="G2704" i="14"/>
  <c r="G2712" i="14"/>
  <c r="E2566" i="14"/>
  <c r="E2523" i="14"/>
  <c r="E2646" i="14"/>
  <c r="E2613" i="14"/>
  <c r="H2557" i="14"/>
  <c r="G2563" i="14"/>
  <c r="G2576" i="14"/>
  <c r="G2504" i="14"/>
  <c r="E2575" i="14"/>
  <c r="E2593" i="14"/>
  <c r="E2659" i="14"/>
  <c r="E2702" i="14"/>
  <c r="H2605" i="14"/>
  <c r="H2533" i="14"/>
  <c r="H2487" i="14"/>
  <c r="H2571" i="14"/>
  <c r="H2705" i="14"/>
  <c r="H2703" i="14"/>
  <c r="E2489" i="14"/>
  <c r="E2537" i="14"/>
  <c r="H2509" i="14"/>
  <c r="H2704" i="14"/>
  <c r="F2553" i="14"/>
  <c r="G2636" i="14"/>
  <c r="G2650" i="14"/>
  <c r="G2551" i="14"/>
  <c r="E2725" i="14"/>
  <c r="E2525" i="14"/>
  <c r="G2529" i="14"/>
  <c r="E2614" i="14"/>
  <c r="E2582" i="14"/>
  <c r="E2595" i="14"/>
  <c r="E2664" i="14"/>
  <c r="H2649" i="14"/>
  <c r="G2587" i="14"/>
  <c r="E2527" i="14"/>
  <c r="E2675" i="14"/>
  <c r="E2727" i="14"/>
  <c r="E2587" i="14"/>
  <c r="E2524" i="14"/>
  <c r="E2607" i="14"/>
  <c r="H2648" i="14"/>
  <c r="H2572" i="14"/>
  <c r="H2588" i="14"/>
  <c r="G2720" i="14"/>
  <c r="E2625" i="14"/>
  <c r="E2612" i="14"/>
  <c r="E2591" i="14"/>
  <c r="E2617" i="14"/>
  <c r="E2505" i="14"/>
  <c r="E2558" i="14"/>
  <c r="E2716" i="14"/>
  <c r="E2492" i="14"/>
  <c r="E2683" i="14"/>
  <c r="H2499" i="14"/>
  <c r="H2669" i="14"/>
  <c r="E2689" i="14"/>
  <c r="E2511" i="14"/>
  <c r="E2590" i="14"/>
  <c r="E2544" i="14"/>
  <c r="E2540" i="14"/>
  <c r="E2661" i="14"/>
  <c r="E2633" i="14"/>
  <c r="E2555" i="14"/>
  <c r="F2524" i="14"/>
  <c r="H2674" i="14"/>
  <c r="H2721" i="14"/>
  <c r="G2552" i="14"/>
  <c r="G2526" i="14"/>
  <c r="G2685" i="14"/>
  <c r="G2651" i="14"/>
  <c r="G2559" i="14"/>
  <c r="E2512" i="14"/>
  <c r="E2640" i="14"/>
  <c r="E2672" i="14"/>
  <c r="E2510" i="14"/>
  <c r="E2491" i="14"/>
  <c r="E2554" i="14"/>
  <c r="E2644" i="14"/>
  <c r="E2574" i="14"/>
  <c r="E2700" i="14"/>
  <c r="E2500" i="14"/>
  <c r="E2584" i="14"/>
  <c r="E2652" i="14"/>
  <c r="I2499" i="14"/>
  <c r="H2652" i="14"/>
  <c r="H2607" i="14"/>
  <c r="H2579" i="14"/>
  <c r="H2698" i="14"/>
  <c r="H2709" i="14"/>
  <c r="H2700" i="14"/>
  <c r="G2652" i="14"/>
  <c r="G2525" i="14"/>
  <c r="G2533" i="14"/>
  <c r="E2504" i="14"/>
  <c r="E2693" i="14"/>
  <c r="E2556" i="14"/>
  <c r="E2707" i="14"/>
  <c r="E2645" i="14"/>
  <c r="E2513" i="14"/>
  <c r="E2687" i="14"/>
  <c r="E2490" i="14"/>
  <c r="E2624" i="14"/>
  <c r="E2611" i="14"/>
  <c r="E2670" i="14"/>
  <c r="I2663" i="14"/>
  <c r="I2493" i="14"/>
  <c r="I2709" i="14"/>
  <c r="F2723" i="14"/>
  <c r="I2570" i="14"/>
  <c r="H2556" i="14"/>
  <c r="H2643" i="14"/>
  <c r="F2630" i="14"/>
  <c r="F2720" i="14"/>
  <c r="I2608" i="14"/>
  <c r="I2526" i="14"/>
  <c r="I2619" i="14"/>
  <c r="I2521" i="14"/>
  <c r="I2559" i="14"/>
  <c r="H2618" i="14"/>
  <c r="I2689" i="14"/>
  <c r="I2612" i="14"/>
  <c r="I2667" i="14"/>
  <c r="H2720" i="14"/>
  <c r="F2600" i="14"/>
  <c r="F2572" i="14"/>
  <c r="I2676" i="14"/>
  <c r="I2536" i="14"/>
  <c r="I2588" i="14"/>
  <c r="I2555" i="14"/>
  <c r="I2520" i="14"/>
  <c r="F2592" i="14"/>
  <c r="H2512" i="14"/>
  <c r="I2698" i="14"/>
  <c r="I2697" i="14"/>
  <c r="F2708" i="14"/>
  <c r="F2578" i="14"/>
  <c r="F2544" i="14"/>
  <c r="F2663" i="14"/>
  <c r="F2649" i="14"/>
  <c r="I2567" i="14"/>
  <c r="I2547" i="14"/>
  <c r="I2695" i="14"/>
  <c r="I2598" i="14"/>
  <c r="I2572" i="14"/>
  <c r="I2650" i="14"/>
  <c r="I2604" i="14"/>
  <c r="I2503" i="14"/>
  <c r="H2680" i="14"/>
  <c r="H2629" i="14"/>
  <c r="H2670" i="14"/>
  <c r="H2522" i="14"/>
  <c r="H2520" i="14"/>
  <c r="H2582" i="14"/>
  <c r="H2566" i="14"/>
  <c r="H2552" i="14"/>
  <c r="G2547" i="14"/>
  <c r="F2598" i="14"/>
  <c r="F2541" i="14"/>
  <c r="F2588" i="14"/>
  <c r="F2563" i="14"/>
  <c r="I2644" i="14"/>
  <c r="I2540" i="14"/>
  <c r="I2606" i="14"/>
  <c r="I2579" i="14"/>
  <c r="I2706" i="14"/>
  <c r="I2613" i="14"/>
  <c r="H2707" i="14"/>
  <c r="H2508" i="14"/>
  <c r="H2568" i="14"/>
  <c r="H2620" i="14"/>
  <c r="H2625" i="14"/>
  <c r="H2687" i="14"/>
  <c r="H2514" i="14"/>
  <c r="H2578" i="14"/>
  <c r="H2593" i="14"/>
  <c r="H2701" i="14"/>
  <c r="G2642" i="14"/>
  <c r="G2528" i="14"/>
  <c r="G2586" i="14"/>
  <c r="F2686" i="14"/>
  <c r="F2618" i="14"/>
  <c r="I2720" i="14"/>
  <c r="I2545" i="14"/>
  <c r="H2617" i="14"/>
  <c r="H2713" i="14"/>
  <c r="H2541" i="14"/>
  <c r="G2520" i="14"/>
  <c r="G2701" i="14"/>
  <c r="I2649" i="14"/>
  <c r="I2513" i="14"/>
  <c r="H2493" i="14"/>
  <c r="H2604" i="14"/>
  <c r="G2710" i="14"/>
  <c r="F2594" i="14"/>
  <c r="F2569" i="14"/>
  <c r="F2512" i="14"/>
  <c r="I2512" i="14"/>
  <c r="I2622" i="14"/>
  <c r="I2615" i="14"/>
  <c r="I2582" i="14"/>
  <c r="H2656" i="14"/>
  <c r="H2555" i="14"/>
  <c r="F2697" i="14"/>
  <c r="I2629" i="14"/>
  <c r="I2528" i="14"/>
  <c r="H2598" i="14"/>
  <c r="H2722" i="14"/>
  <c r="H2716" i="14"/>
  <c r="H2537" i="14"/>
  <c r="H2553" i="14"/>
  <c r="H2639" i="14"/>
  <c r="H2507" i="14"/>
  <c r="H2613" i="14"/>
  <c r="H2550" i="14"/>
  <c r="H2619" i="14"/>
  <c r="H2671" i="14"/>
  <c r="H2549" i="14"/>
  <c r="H2516" i="14"/>
  <c r="G2645" i="14"/>
  <c r="G2550" i="14"/>
  <c r="G2617" i="14"/>
  <c r="G2681" i="14"/>
  <c r="G2601" i="14"/>
  <c r="G2653" i="14"/>
  <c r="F2603" i="14"/>
  <c r="F2645" i="14"/>
  <c r="F2513" i="14"/>
  <c r="I2507" i="14"/>
  <c r="I2577" i="14"/>
  <c r="I2685" i="14"/>
  <c r="H2686" i="14"/>
  <c r="H2644" i="14"/>
  <c r="H2647" i="14"/>
  <c r="H2653" i="14"/>
  <c r="H2688" i="14"/>
  <c r="H2589" i="14"/>
  <c r="H2637" i="14"/>
  <c r="H2535" i="14"/>
  <c r="H2531" i="14"/>
  <c r="H2527" i="14"/>
  <c r="H2511" i="14"/>
  <c r="H2679" i="14"/>
  <c r="H2673" i="14"/>
  <c r="H2544" i="14"/>
  <c r="G2691" i="14"/>
  <c r="F2494" i="14"/>
  <c r="F2699" i="14"/>
  <c r="I2713" i="14"/>
  <c r="I2610" i="14"/>
  <c r="H2642" i="14"/>
  <c r="H2635" i="14"/>
  <c r="H2718" i="14"/>
  <c r="H2690" i="14"/>
  <c r="H2659" i="14"/>
  <c r="H2581" i="14"/>
  <c r="H2510" i="14"/>
  <c r="H2561" i="14"/>
  <c r="H2684" i="14"/>
  <c r="H2543" i="14"/>
  <c r="H2663" i="14"/>
  <c r="H2585" i="14"/>
  <c r="G2507" i="14"/>
  <c r="G2682" i="14"/>
  <c r="G2637" i="14"/>
  <c r="G2494" i="14"/>
  <c r="F2500" i="14"/>
  <c r="F2585" i="14"/>
  <c r="F2504" i="14"/>
  <c r="I2486" i="14"/>
  <c r="I2511" i="14"/>
  <c r="I2533" i="14"/>
  <c r="I2687" i="14"/>
  <c r="I2671" i="14"/>
  <c r="I2711" i="14"/>
  <c r="I2661" i="14"/>
  <c r="I2669" i="14"/>
  <c r="I2523" i="14"/>
  <c r="H2616" i="14"/>
  <c r="H2706" i="14"/>
  <c r="G2638" i="14"/>
  <c r="G2646" i="14"/>
  <c r="G2516" i="14"/>
  <c r="G2579" i="14"/>
  <c r="G2722" i="14"/>
  <c r="G2632" i="14"/>
  <c r="G2628" i="14"/>
  <c r="G2708" i="14"/>
  <c r="G2542" i="14"/>
  <c r="G2670" i="14"/>
  <c r="G2596" i="14"/>
  <c r="G2700" i="14"/>
  <c r="G2500" i="14"/>
  <c r="G2492" i="14"/>
  <c r="G2593" i="14"/>
  <c r="G2486" i="14"/>
  <c r="G2569" i="14"/>
  <c r="E2635" i="14"/>
  <c r="F2682" i="14"/>
  <c r="F2531" i="14"/>
  <c r="F2677" i="14"/>
  <c r="F2550" i="14"/>
  <c r="F2549" i="14"/>
  <c r="F2660" i="14"/>
  <c r="F2546" i="14"/>
  <c r="F2634" i="14"/>
  <c r="F2591" i="14"/>
  <c r="F2540" i="14"/>
  <c r="F2515" i="14"/>
  <c r="F2489" i="14"/>
  <c r="F2561" i="14"/>
  <c r="I2500" i="14"/>
  <c r="I2725" i="14"/>
  <c r="I2501" i="14"/>
  <c r="I2647" i="14"/>
  <c r="I2626" i="14"/>
  <c r="I2630" i="14"/>
  <c r="I2538" i="14"/>
  <c r="I2566" i="14"/>
  <c r="I2673" i="14"/>
  <c r="I2704" i="14"/>
  <c r="H2717" i="14"/>
  <c r="H2530" i="14"/>
  <c r="H2597" i="14"/>
  <c r="H2554" i="14"/>
  <c r="G2621" i="14"/>
  <c r="G2719" i="14"/>
  <c r="G2609" i="14"/>
  <c r="G2635" i="14"/>
  <c r="G2675" i="14"/>
  <c r="G2606" i="14"/>
  <c r="G2534" i="14"/>
  <c r="G2625" i="14"/>
  <c r="G2715" i="14"/>
  <c r="G2648" i="14"/>
  <c r="G2518" i="14"/>
  <c r="G2537" i="14"/>
  <c r="G2627" i="14"/>
  <c r="F2692" i="14"/>
  <c r="F2573" i="14"/>
  <c r="F2552" i="14"/>
  <c r="F2705" i="14"/>
  <c r="F2575" i="14"/>
  <c r="F2685" i="14"/>
  <c r="F2668" i="14"/>
  <c r="I2605" i="14"/>
  <c r="I2595" i="14"/>
  <c r="I2542" i="14"/>
  <c r="I2537" i="14"/>
  <c r="I2565" i="14"/>
  <c r="I2710" i="14"/>
  <c r="I2581" i="14"/>
  <c r="I2592" i="14"/>
  <c r="I2574" i="14"/>
  <c r="I2631" i="14"/>
  <c r="I2653" i="14"/>
  <c r="H2697" i="14"/>
  <c r="G2590" i="14"/>
  <c r="G2688" i="14"/>
  <c r="G2517" i="14"/>
  <c r="G2687" i="14"/>
  <c r="G2544" i="14"/>
  <c r="G2511" i="14"/>
  <c r="G2546" i="14"/>
  <c r="G2669" i="14"/>
  <c r="G2557" i="14"/>
  <c r="G2613" i="14"/>
  <c r="G2634" i="14"/>
  <c r="G2603" i="14"/>
  <c r="G2577" i="14"/>
  <c r="G2702" i="14"/>
  <c r="F2509" i="14"/>
  <c r="F2625" i="14"/>
  <c r="F2637" i="14"/>
  <c r="F2548" i="14"/>
  <c r="F2651" i="14"/>
  <c r="F2712" i="14"/>
  <c r="F2632" i="14"/>
  <c r="F2698" i="14"/>
  <c r="F2571" i="14"/>
  <c r="F2675" i="14"/>
  <c r="I2643" i="14"/>
  <c r="I2490" i="14"/>
  <c r="I2642" i="14"/>
  <c r="H2525" i="14"/>
  <c r="H2495" i="14"/>
  <c r="H2631" i="14"/>
  <c r="H2540" i="14"/>
  <c r="H2676" i="14"/>
  <c r="H2498" i="14"/>
  <c r="H2518" i="14"/>
  <c r="H2608" i="14"/>
  <c r="G2519" i="14"/>
  <c r="G2699" i="14"/>
  <c r="G2580" i="14"/>
  <c r="G2633" i="14"/>
  <c r="G2583" i="14"/>
  <c r="G2674" i="14"/>
  <c r="G2505" i="14"/>
  <c r="G2649" i="14"/>
  <c r="G2711" i="14"/>
  <c r="G2489" i="14"/>
  <c r="G2581" i="14"/>
  <c r="G2503" i="14"/>
  <c r="G2706" i="14"/>
  <c r="G2564" i="14"/>
  <c r="G2616" i="14"/>
  <c r="F2629" i="14"/>
  <c r="F2633" i="14"/>
  <c r="F2522" i="14"/>
  <c r="I2684" i="14"/>
  <c r="I2517" i="14"/>
  <c r="I2688" i="14"/>
  <c r="I2600" i="14"/>
  <c r="I2637" i="14"/>
  <c r="I2632" i="14"/>
  <c r="I2718" i="14"/>
  <c r="I2584" i="14"/>
  <c r="I2714" i="14"/>
  <c r="H2667" i="14"/>
  <c r="H2506" i="14"/>
  <c r="H2575" i="14"/>
  <c r="H2630" i="14"/>
  <c r="H2677" i="14"/>
  <c r="H2546" i="14"/>
  <c r="G2535" i="14"/>
  <c r="G2490" i="14"/>
  <c r="G2496" i="14"/>
  <c r="G2615" i="14"/>
  <c r="G2692" i="14"/>
  <c r="G2611" i="14"/>
  <c r="G2602" i="14"/>
  <c r="G2570" i="14"/>
  <c r="G2686" i="14"/>
  <c r="G2555" i="14"/>
  <c r="G2595" i="14"/>
  <c r="G2591" i="14"/>
  <c r="G2668" i="14"/>
  <c r="G2707" i="14"/>
  <c r="G2531" i="14"/>
  <c r="G2678" i="14"/>
  <c r="G2594" i="14"/>
  <c r="G2498" i="14"/>
  <c r="E2486" i="14"/>
  <c r="E2521" i="14"/>
  <c r="E2506" i="14"/>
  <c r="F2547" i="14"/>
  <c r="F2721" i="14"/>
  <c r="F2567" i="14"/>
  <c r="F2535" i="14"/>
  <c r="F2620" i="14"/>
  <c r="F2579" i="14"/>
  <c r="F2695" i="14"/>
  <c r="F2691" i="14"/>
  <c r="F2530" i="14"/>
  <c r="F2510" i="14"/>
  <c r="F2684" i="14"/>
  <c r="F2700" i="14"/>
  <c r="F2564" i="14"/>
  <c r="F2616" i="14"/>
  <c r="F2628" i="14"/>
  <c r="F2667" i="14"/>
  <c r="F2707" i="14"/>
  <c r="F2487" i="14"/>
  <c r="F2596" i="14"/>
  <c r="F2529" i="14"/>
  <c r="F2496" i="14"/>
  <c r="F2587" i="14"/>
  <c r="F2559" i="14"/>
  <c r="I2596" i="14"/>
  <c r="I2640" i="14"/>
  <c r="H2601" i="14"/>
  <c r="H2485" i="14"/>
  <c r="H2542" i="14"/>
  <c r="H2583" i="14"/>
  <c r="H2584" i="14"/>
  <c r="H2685" i="14"/>
  <c r="H2576" i="14"/>
  <c r="H2681" i="14"/>
  <c r="H2675" i="14"/>
  <c r="G2604" i="14"/>
  <c r="G2630" i="14"/>
  <c r="G2558" i="14"/>
  <c r="G2619" i="14"/>
  <c r="G2499" i="14"/>
  <c r="G2664" i="14"/>
  <c r="G2626" i="14"/>
  <c r="G2523" i="14"/>
  <c r="G2493" i="14"/>
  <c r="G2589" i="14"/>
  <c r="G2659" i="14"/>
  <c r="G2716" i="14"/>
  <c r="F2595" i="14"/>
  <c r="F2624" i="14"/>
  <c r="F2532" i="14"/>
  <c r="F2652" i="14"/>
  <c r="F2581" i="14"/>
  <c r="I2712" i="14"/>
  <c r="I2599" i="14"/>
  <c r="I2506" i="14"/>
  <c r="I2609" i="14"/>
  <c r="I2715" i="14"/>
  <c r="I2497" i="14"/>
  <c r="I2601" i="14"/>
  <c r="I2487" i="14"/>
  <c r="I2564" i="14"/>
  <c r="I2716" i="14"/>
  <c r="I2550" i="14"/>
  <c r="I2665" i="14"/>
  <c r="H2600" i="14"/>
  <c r="H2536" i="14"/>
  <c r="H2528" i="14"/>
  <c r="H2724" i="14"/>
  <c r="H2696" i="14"/>
  <c r="H2524" i="14"/>
  <c r="H2534" i="14"/>
  <c r="H2689" i="14"/>
  <c r="H2672" i="14"/>
  <c r="H2626" i="14"/>
  <c r="H2646" i="14"/>
  <c r="G2709" i="14"/>
  <c r="G2683" i="14"/>
  <c r="G2538" i="14"/>
  <c r="G2515" i="14"/>
  <c r="G2488" i="14"/>
  <c r="G2661" i="14"/>
  <c r="E2710" i="14"/>
  <c r="E2497" i="14"/>
  <c r="E2494" i="14"/>
  <c r="E2698" i="14"/>
  <c r="F2658" i="14"/>
  <c r="F2485" i="14"/>
  <c r="F2710" i="14"/>
  <c r="F2604" i="14"/>
  <c r="F2609" i="14"/>
  <c r="F2676" i="14"/>
  <c r="F2643" i="14"/>
  <c r="F2713" i="14"/>
  <c r="F2688" i="14"/>
  <c r="F2503" i="14"/>
  <c r="F2671" i="14"/>
  <c r="F2662" i="14"/>
  <c r="F2659" i="14"/>
  <c r="I2668" i="14"/>
  <c r="I2491" i="14"/>
  <c r="I2524" i="14"/>
  <c r="I2597" i="14"/>
  <c r="I2488" i="14"/>
  <c r="I2546" i="14"/>
  <c r="I2641" i="14"/>
  <c r="I2569" i="14"/>
  <c r="I2576" i="14"/>
  <c r="I2639" i="14"/>
  <c r="I2560" i="14"/>
  <c r="H2623" i="14"/>
  <c r="H2569" i="14"/>
  <c r="H2538" i="14"/>
  <c r="H2655" i="14"/>
  <c r="H2628" i="14"/>
  <c r="H2490" i="14"/>
  <c r="H2488" i="14"/>
  <c r="H2640" i="14"/>
  <c r="H2591" i="14"/>
  <c r="H2567" i="14"/>
  <c r="H2694" i="14"/>
  <c r="G2718" i="14"/>
  <c r="G2574" i="14"/>
  <c r="G2723" i="14"/>
  <c r="G2571" i="14"/>
  <c r="G2676" i="14"/>
  <c r="E2660" i="14"/>
  <c r="E2703" i="14"/>
  <c r="E2567" i="14"/>
  <c r="F2583" i="14"/>
  <c r="F2623" i="14"/>
  <c r="F2612" i="14"/>
  <c r="F2514" i="14"/>
  <c r="F2727" i="14"/>
  <c r="F2646" i="14"/>
  <c r="F2621" i="14"/>
  <c r="F2608" i="14"/>
  <c r="F2706" i="14"/>
  <c r="F2716" i="14"/>
  <c r="F2631" i="14"/>
  <c r="I2607" i="14"/>
  <c r="I2614" i="14"/>
  <c r="I2525" i="14"/>
  <c r="I2694" i="14"/>
  <c r="I2535" i="14"/>
  <c r="I2585" i="14"/>
  <c r="I2573" i="14"/>
  <c r="I2509" i="14"/>
  <c r="I2590" i="14"/>
  <c r="I2534" i="14"/>
  <c r="I2696" i="14"/>
  <c r="H2632" i="14"/>
  <c r="H2693" i="14"/>
  <c r="H2702" i="14"/>
  <c r="H2580" i="14"/>
  <c r="H2587" i="14"/>
  <c r="H2494" i="14"/>
  <c r="H2723" i="14"/>
  <c r="H2634" i="14"/>
  <c r="H2501" i="14"/>
  <c r="H2599" i="14"/>
  <c r="H2662" i="14"/>
  <c r="H2654" i="14"/>
  <c r="G2663" i="14"/>
  <c r="G2513" i="14"/>
  <c r="G2578" i="14"/>
  <c r="G2539" i="14"/>
  <c r="E2502" i="14"/>
  <c r="E2711" i="14"/>
  <c r="E2666" i="14"/>
  <c r="R2526" i="14"/>
  <c r="V2526" i="14" s="1"/>
  <c r="A2526" i="14" s="1"/>
  <c r="F2526" i="14"/>
  <c r="R2666" i="14"/>
  <c r="F2666" i="14"/>
  <c r="R2505" i="14"/>
  <c r="V2505" i="14" s="1"/>
  <c r="A2505" i="14" s="1"/>
  <c r="F2505" i="14"/>
  <c r="R2519" i="14"/>
  <c r="F2519" i="14"/>
  <c r="R2491" i="14"/>
  <c r="V2491" i="14" s="1"/>
  <c r="A2491" i="14" s="1"/>
  <c r="F2491" i="14"/>
  <c r="R2580" i="14"/>
  <c r="V2580" i="14" s="1"/>
  <c r="A2580" i="14" s="1"/>
  <c r="F2580" i="14"/>
  <c r="R2601" i="14"/>
  <c r="V2601" i="14" s="1"/>
  <c r="A2601" i="14" s="1"/>
  <c r="F2601" i="14"/>
  <c r="R2488" i="14"/>
  <c r="V2488" i="14" s="1"/>
  <c r="A2488" i="14" s="1"/>
  <c r="F2488" i="14"/>
  <c r="R2669" i="14"/>
  <c r="V2669" i="14" s="1"/>
  <c r="A2669" i="14" s="1"/>
  <c r="F2669" i="14"/>
  <c r="R2674" i="14"/>
  <c r="V2674" i="14" s="1"/>
  <c r="A2674" i="14" s="1"/>
  <c r="F2674" i="14"/>
  <c r="R2502" i="14"/>
  <c r="V2502" i="14" s="1"/>
  <c r="A2502" i="14" s="1"/>
  <c r="F2502" i="14"/>
  <c r="R2537" i="14"/>
  <c r="V2537" i="14" s="1"/>
  <c r="A2537" i="14" s="1"/>
  <c r="F2537" i="14"/>
  <c r="R2539" i="14"/>
  <c r="V2539" i="14" s="1"/>
  <c r="A2539" i="14" s="1"/>
  <c r="F2539" i="14"/>
  <c r="R2626" i="14"/>
  <c r="V2626" i="14" s="1"/>
  <c r="A2626" i="14" s="1"/>
  <c r="F2626" i="14"/>
  <c r="R2655" i="14"/>
  <c r="F2655" i="14"/>
  <c r="R2714" i="14"/>
  <c r="V2714" i="14" s="1"/>
  <c r="A2714" i="14" s="1"/>
  <c r="F2714" i="14"/>
  <c r="R2538" i="14"/>
  <c r="V2538" i="14" s="1"/>
  <c r="A2538" i="14" s="1"/>
  <c r="F2538" i="14"/>
  <c r="R2693" i="14"/>
  <c r="F2693" i="14"/>
  <c r="R2605" i="14"/>
  <c r="V2605" i="14" s="1"/>
  <c r="A2605" i="14" s="1"/>
  <c r="F2605" i="14"/>
  <c r="R2498" i="14"/>
  <c r="V2498" i="14" s="1"/>
  <c r="A2498" i="14" s="1"/>
  <c r="F2498" i="14"/>
  <c r="R2551" i="14"/>
  <c r="V2551" i="14" s="1"/>
  <c r="A2551" i="14" s="1"/>
  <c r="F2551" i="14"/>
  <c r="R2622" i="14"/>
  <c r="V2622" i="14" s="1"/>
  <c r="A2622" i="14" s="1"/>
  <c r="F2622" i="14"/>
  <c r="R2635" i="14"/>
  <c r="V2635" i="14" s="1"/>
  <c r="A2635" i="14" s="1"/>
  <c r="F2635" i="14"/>
  <c r="R2560" i="14"/>
  <c r="V2560" i="14" s="1"/>
  <c r="A2560" i="14" s="1"/>
  <c r="F2560" i="14"/>
  <c r="R2696" i="14"/>
  <c r="V2696" i="14" s="1"/>
  <c r="A2696" i="14" s="1"/>
  <c r="F2696" i="14"/>
  <c r="R2673" i="14"/>
  <c r="V2673" i="14" s="1"/>
  <c r="A2673" i="14" s="1"/>
  <c r="F2673" i="14"/>
  <c r="R2722" i="14"/>
  <c r="V2722" i="14" s="1"/>
  <c r="A2722" i="14" s="1"/>
  <c r="F2722" i="14"/>
  <c r="R2589" i="14"/>
  <c r="F2589" i="14"/>
  <c r="U2682" i="14"/>
  <c r="V2682" i="14" s="1"/>
  <c r="A2682" i="14" s="1"/>
  <c r="I2682" i="14"/>
  <c r="U2701" i="14"/>
  <c r="V2701" i="14" s="1"/>
  <c r="A2701" i="14" s="1"/>
  <c r="I2701" i="14"/>
  <c r="U2651" i="14"/>
  <c r="V2651" i="14" s="1"/>
  <c r="A2651" i="14" s="1"/>
  <c r="I2651" i="14"/>
  <c r="U2656" i="14"/>
  <c r="I2656" i="14"/>
  <c r="U2556" i="14"/>
  <c r="V2556" i="14" s="1"/>
  <c r="A2556" i="14" s="1"/>
  <c r="I2556" i="14"/>
  <c r="U2575" i="14"/>
  <c r="V2575" i="14" s="1"/>
  <c r="A2575" i="14" s="1"/>
  <c r="I2575" i="14"/>
  <c r="U2726" i="14"/>
  <c r="I2726" i="14"/>
  <c r="U2633" i="14"/>
  <c r="V2633" i="14" s="1"/>
  <c r="A2633" i="14" s="1"/>
  <c r="I2633" i="14"/>
  <c r="U2594" i="14"/>
  <c r="V2594" i="14" s="1"/>
  <c r="A2594" i="14" s="1"/>
  <c r="I2594" i="14"/>
  <c r="U2589" i="14"/>
  <c r="I2589" i="14"/>
  <c r="U2707" i="14"/>
  <c r="V2707" i="14" s="1"/>
  <c r="A2707" i="14" s="1"/>
  <c r="I2707" i="14"/>
  <c r="U2708" i="14"/>
  <c r="V2708" i="14" s="1"/>
  <c r="A2708" i="14" s="1"/>
  <c r="I2708" i="14"/>
  <c r="U2621" i="14"/>
  <c r="I2621" i="14"/>
  <c r="U2666" i="14"/>
  <c r="I2666" i="14"/>
  <c r="U2702" i="14"/>
  <c r="V2702" i="14" s="1"/>
  <c r="A2702" i="14" s="1"/>
  <c r="I2702" i="14"/>
  <c r="U2636" i="14"/>
  <c r="I2636" i="14"/>
  <c r="U2508" i="14"/>
  <c r="V2508" i="14" s="1"/>
  <c r="A2508" i="14" s="1"/>
  <c r="I2508" i="14"/>
  <c r="F2641" i="14"/>
  <c r="U2679" i="14"/>
  <c r="V2679" i="14" s="1"/>
  <c r="A2679" i="14" s="1"/>
  <c r="I2679" i="14"/>
  <c r="U2691" i="14"/>
  <c r="V2691" i="14" s="1"/>
  <c r="A2691" i="14" s="1"/>
  <c r="I2691" i="14"/>
  <c r="U2531" i="14"/>
  <c r="V2531" i="14" s="1"/>
  <c r="A2531" i="14" s="1"/>
  <c r="I2531" i="14"/>
  <c r="U2518" i="14"/>
  <c r="I2518" i="14"/>
  <c r="U2519" i="14"/>
  <c r="I2519" i="14"/>
  <c r="U2620" i="14"/>
  <c r="V2620" i="14" s="1"/>
  <c r="A2620" i="14" s="1"/>
  <c r="I2620" i="14"/>
  <c r="U2529" i="14"/>
  <c r="V2529" i="14" s="1"/>
  <c r="A2529" i="14" s="1"/>
  <c r="I2529" i="14"/>
  <c r="T2548" i="14"/>
  <c r="V2548" i="14" s="1"/>
  <c r="A2548" i="14" s="1"/>
  <c r="H2548" i="14"/>
  <c r="T2621" i="14"/>
  <c r="H2621" i="14"/>
  <c r="T2636" i="14"/>
  <c r="H2636" i="14"/>
  <c r="T2590" i="14"/>
  <c r="V2590" i="14" s="1"/>
  <c r="A2590" i="14" s="1"/>
  <c r="H2590" i="14"/>
  <c r="T2532" i="14"/>
  <c r="H2532" i="14"/>
  <c r="R2715" i="14"/>
  <c r="V2715" i="14" s="1"/>
  <c r="A2715" i="14" s="1"/>
  <c r="F2715" i="14"/>
  <c r="R2492" i="14"/>
  <c r="V2492" i="14" s="1"/>
  <c r="A2492" i="14" s="1"/>
  <c r="F2492" i="14"/>
  <c r="R2724" i="14"/>
  <c r="V2724" i="14" s="1"/>
  <c r="A2724" i="14" s="1"/>
  <c r="F2724" i="14"/>
  <c r="R2606" i="14"/>
  <c r="V2606" i="14" s="1"/>
  <c r="A2606" i="14" s="1"/>
  <c r="F2606" i="14"/>
  <c r="R2619" i="14"/>
  <c r="V2619" i="14" s="1"/>
  <c r="A2619" i="14" s="1"/>
  <c r="F2619" i="14"/>
  <c r="R2517" i="14"/>
  <c r="V2517" i="14" s="1"/>
  <c r="A2517" i="14" s="1"/>
  <c r="F2517" i="14"/>
  <c r="R2555" i="14"/>
  <c r="V2555" i="14" s="1"/>
  <c r="A2555" i="14" s="1"/>
  <c r="F2555" i="14"/>
  <c r="R2664" i="14"/>
  <c r="V2664" i="14" s="1"/>
  <c r="A2664" i="14" s="1"/>
  <c r="F2664" i="14"/>
  <c r="R2703" i="14"/>
  <c r="V2703" i="14" s="1"/>
  <c r="A2703" i="14" s="1"/>
  <c r="F2703" i="14"/>
  <c r="R2525" i="14"/>
  <c r="V2525" i="14" s="1"/>
  <c r="A2525" i="14" s="1"/>
  <c r="F2525" i="14"/>
  <c r="R2687" i="14"/>
  <c r="V2687" i="14" s="1"/>
  <c r="A2687" i="14" s="1"/>
  <c r="F2687" i="14"/>
  <c r="R2576" i="14"/>
  <c r="V2576" i="14" s="1"/>
  <c r="A2576" i="14" s="1"/>
  <c r="F2576" i="14"/>
  <c r="R2627" i="14"/>
  <c r="V2627" i="14" s="1"/>
  <c r="A2627" i="14" s="1"/>
  <c r="F2627" i="14"/>
  <c r="R2562" i="14"/>
  <c r="V2562" i="14" s="1"/>
  <c r="A2562" i="14" s="1"/>
  <c r="F2562" i="14"/>
  <c r="R2653" i="14"/>
  <c r="V2653" i="14" s="1"/>
  <c r="A2653" i="14" s="1"/>
  <c r="F2653" i="14"/>
  <c r="R2650" i="14"/>
  <c r="V2650" i="14" s="1"/>
  <c r="A2650" i="14" s="1"/>
  <c r="F2650" i="14"/>
  <c r="R2617" i="14"/>
  <c r="F2617" i="14"/>
  <c r="R2501" i="14"/>
  <c r="V2501" i="14" s="1"/>
  <c r="A2501" i="14" s="1"/>
  <c r="F2501" i="14"/>
  <c r="R2656" i="14"/>
  <c r="F2656" i="14"/>
  <c r="R2534" i="14"/>
  <c r="V2534" i="14" s="1"/>
  <c r="A2534" i="14" s="1"/>
  <c r="F2534" i="14"/>
  <c r="R2726" i="14"/>
  <c r="F2726" i="14"/>
  <c r="R2545" i="14"/>
  <c r="V2545" i="14" s="1"/>
  <c r="A2545" i="14" s="1"/>
  <c r="F2545" i="14"/>
  <c r="R2518" i="14"/>
  <c r="F2518" i="14"/>
  <c r="R2665" i="14"/>
  <c r="V2665" i="14" s="1"/>
  <c r="A2665" i="14" s="1"/>
  <c r="F2665" i="14"/>
  <c r="R2638" i="14"/>
  <c r="V2638" i="14" s="1"/>
  <c r="A2638" i="14" s="1"/>
  <c r="F2638" i="14"/>
  <c r="R2593" i="14"/>
  <c r="V2593" i="14" s="1"/>
  <c r="A2593" i="14" s="1"/>
  <c r="F2593" i="14"/>
  <c r="R2717" i="14"/>
  <c r="V2717" i="14" s="1"/>
  <c r="A2717" i="14" s="1"/>
  <c r="F2717" i="14"/>
  <c r="R2607" i="14"/>
  <c r="V2607" i="14" s="1"/>
  <c r="A2607" i="14" s="1"/>
  <c r="F2607" i="14"/>
  <c r="I2558" i="14"/>
  <c r="I2485" i="14"/>
  <c r="U2693" i="14"/>
  <c r="I2693" i="14"/>
  <c r="U2655" i="14"/>
  <c r="I2655" i="14"/>
  <c r="U2690" i="14"/>
  <c r="V2690" i="14" s="1"/>
  <c r="A2690" i="14" s="1"/>
  <c r="I2690" i="14"/>
  <c r="U2654" i="14"/>
  <c r="V2654" i="14" s="1"/>
  <c r="A2654" i="14" s="1"/>
  <c r="I2654" i="14"/>
  <c r="U2495" i="14"/>
  <c r="V2495" i="14" s="1"/>
  <c r="A2495" i="14" s="1"/>
  <c r="I2495" i="14"/>
  <c r="U2617" i="14"/>
  <c r="I2617" i="14"/>
  <c r="U2532" i="14"/>
  <c r="I2532" i="14"/>
  <c r="U2494" i="14"/>
  <c r="V2494" i="14" s="1"/>
  <c r="A2494" i="14" s="1"/>
  <c r="I2494" i="14"/>
  <c r="U2557" i="14"/>
  <c r="V2557" i="14" s="1"/>
  <c r="A2557" i="14" s="1"/>
  <c r="I2557" i="14"/>
  <c r="U2625" i="14"/>
  <c r="V2625" i="14" s="1"/>
  <c r="A2625" i="14" s="1"/>
  <c r="I2625" i="14"/>
  <c r="U2721" i="14"/>
  <c r="V2721" i="14" s="1"/>
  <c r="A2721" i="14" s="1"/>
  <c r="I2721" i="14"/>
  <c r="U2602" i="14"/>
  <c r="V2602" i="14" s="1"/>
  <c r="A2602" i="14" s="1"/>
  <c r="I2602" i="14"/>
  <c r="U2586" i="14"/>
  <c r="V2586" i="14" s="1"/>
  <c r="A2586" i="14" s="1"/>
  <c r="I2586" i="14"/>
  <c r="U2618" i="14"/>
  <c r="V2618" i="14" s="1"/>
  <c r="A2618" i="14" s="1"/>
  <c r="I2618" i="14"/>
  <c r="F2520" i="14"/>
  <c r="F2610" i="14"/>
  <c r="U2591" i="14"/>
  <c r="V2591" i="14" s="1"/>
  <c r="A2591" i="14" s="1"/>
  <c r="I2591" i="14"/>
  <c r="U2496" i="14"/>
  <c r="V2496" i="14" s="1"/>
  <c r="A2496" i="14" s="1"/>
  <c r="I2496" i="14"/>
  <c r="H2712" i="14"/>
  <c r="I2683" i="14"/>
  <c r="H2638" i="14"/>
  <c r="H2609" i="14"/>
  <c r="H2610" i="14"/>
  <c r="H2603" i="14"/>
  <c r="H2614" i="14"/>
  <c r="H2725" i="14"/>
  <c r="H2606" i="14"/>
  <c r="H2695" i="14"/>
  <c r="H2678" i="14"/>
  <c r="H2622" i="14"/>
  <c r="H2504" i="14"/>
  <c r="G2556" i="14"/>
  <c r="G2497" i="14"/>
  <c r="G2647" i="14"/>
  <c r="G2673" i="14"/>
  <c r="G2631" i="14"/>
  <c r="G2532" i="14"/>
  <c r="G2572" i="14"/>
  <c r="G2592" i="14"/>
  <c r="G2612" i="14"/>
  <c r="G2501" i="14"/>
  <c r="G2510" i="14"/>
  <c r="G2568" i="14"/>
  <c r="G2605" i="14"/>
  <c r="G2614" i="14"/>
  <c r="G2506" i="14"/>
  <c r="G2522" i="14"/>
  <c r="G2640" i="14"/>
  <c r="G2693" i="14"/>
  <c r="E2717" i="14"/>
  <c r="E2680" i="14"/>
  <c r="E2690" i="14"/>
  <c r="G2562" i="14"/>
  <c r="G2514" i="14"/>
  <c r="G2662" i="14"/>
  <c r="G2566" i="14"/>
  <c r="G2672" i="14"/>
  <c r="G2721" i="14"/>
  <c r="G2658" i="14"/>
  <c r="G2680" i="14"/>
  <c r="G2607" i="14"/>
  <c r="G2573" i="14"/>
  <c r="G2560" i="14"/>
  <c r="G2713" i="14"/>
  <c r="G2584" i="14"/>
  <c r="E2668" i="14"/>
  <c r="E2629" i="14"/>
  <c r="E2594" i="14"/>
  <c r="E2563" i="14"/>
  <c r="E2571" i="14"/>
  <c r="E2721" i="14"/>
  <c r="E2533" i="14"/>
  <c r="E2536" i="14"/>
  <c r="I2551" i="14"/>
  <c r="I2686" i="14"/>
  <c r="I2544" i="14"/>
  <c r="I2616" i="14"/>
  <c r="I2681" i="14"/>
  <c r="H2496" i="14"/>
  <c r="H2574" i="14"/>
  <c r="H2683" i="14"/>
  <c r="H2715" i="14"/>
  <c r="H2726" i="14"/>
  <c r="H2682" i="14"/>
  <c r="H2596" i="14"/>
  <c r="H2592" i="14"/>
  <c r="H2560" i="14"/>
  <c r="H2691" i="14"/>
  <c r="H2551" i="14"/>
  <c r="H2517" i="14"/>
  <c r="H2570" i="14"/>
  <c r="H2577" i="14"/>
  <c r="G2548" i="14"/>
  <c r="G2543" i="14"/>
  <c r="G2553" i="14"/>
  <c r="G2620" i="14"/>
  <c r="G2695" i="14"/>
  <c r="G2671" i="14"/>
  <c r="G2485" i="14"/>
  <c r="G2512" i="14"/>
  <c r="G2725" i="14"/>
  <c r="G2660" i="14"/>
  <c r="G2524" i="14"/>
  <c r="G2508" i="14"/>
  <c r="G2665" i="14"/>
  <c r="G2655" i="14"/>
  <c r="G2597" i="14"/>
  <c r="E2621" i="14"/>
  <c r="E2714" i="14"/>
  <c r="E2550" i="14"/>
  <c r="E2569" i="14"/>
  <c r="E2722" i="14"/>
  <c r="E2695" i="14"/>
  <c r="E2526" i="14"/>
  <c r="E2516" i="14"/>
  <c r="E2603" i="14"/>
  <c r="E2509" i="14"/>
  <c r="E2498" i="14"/>
  <c r="E2548" i="14"/>
  <c r="V2485" i="14"/>
  <c r="A2485" i="14" s="1"/>
  <c r="E2487" i="14"/>
  <c r="V2667" i="14"/>
  <c r="A2667" i="14" s="1"/>
  <c r="V2713" i="14"/>
  <c r="A2713" i="14" s="1"/>
  <c r="V2688" i="14"/>
  <c r="A2688" i="14" s="1"/>
  <c r="V2596" i="14"/>
  <c r="A2596" i="14" s="1"/>
  <c r="H2486" i="14"/>
  <c r="V2706" i="14"/>
  <c r="A2706" i="14" s="1"/>
  <c r="V2581" i="14"/>
  <c r="A2581" i="14" s="1"/>
  <c r="V2546" i="14"/>
  <c r="A2546" i="14" s="1"/>
  <c r="E2520" i="14"/>
  <c r="V2603" i="14"/>
  <c r="A2603" i="14" s="1"/>
  <c r="V2609" i="14"/>
  <c r="A2609" i="14" s="1"/>
  <c r="V2720" i="14"/>
  <c r="A2720" i="14" s="1"/>
  <c r="V2550" i="14"/>
  <c r="A2550" i="14" s="1"/>
  <c r="V2637" i="14"/>
  <c r="A2637" i="14" s="1"/>
  <c r="V2616" i="14"/>
  <c r="A2616" i="14" s="1"/>
  <c r="I2660" i="14"/>
  <c r="V2514" i="14"/>
  <c r="A2514" i="14" s="1"/>
  <c r="V2528" i="14"/>
  <c r="A2528" i="14" s="1"/>
  <c r="V2683" i="14"/>
  <c r="A2683" i="14" s="1"/>
  <c r="V2608" i="14"/>
  <c r="A2608" i="14" s="1"/>
  <c r="V2642" i="14"/>
  <c r="A2642" i="14" s="1"/>
  <c r="V2681" i="14"/>
  <c r="A2681" i="14" s="1"/>
  <c r="V2719" i="14"/>
  <c r="A2719" i="14" s="1"/>
  <c r="V2598" i="14"/>
  <c r="A2598" i="14" s="1"/>
  <c r="V2628" i="14"/>
  <c r="A2628" i="14" s="1"/>
  <c r="V2572" i="14"/>
  <c r="A2572" i="14" s="1"/>
  <c r="V2632" i="14"/>
  <c r="A2632" i="14" s="1"/>
  <c r="F2536" i="14"/>
  <c r="F2566" i="14"/>
  <c r="F2701" i="14"/>
  <c r="F2490" i="14"/>
  <c r="F2584" i="14"/>
  <c r="F2533" i="14"/>
  <c r="F2611" i="14"/>
  <c r="F2508" i="14"/>
  <c r="F2711" i="14"/>
  <c r="F2647" i="14"/>
  <c r="F2495" i="14"/>
  <c r="F2557" i="14"/>
  <c r="F2702" i="14"/>
  <c r="F2554" i="14"/>
  <c r="F2639" i="14"/>
  <c r="F2568" i="14"/>
  <c r="F2499" i="14"/>
  <c r="F2690" i="14"/>
  <c r="F2597" i="14"/>
  <c r="F2640" i="14"/>
  <c r="F2614" i="14"/>
  <c r="F2506" i="14"/>
  <c r="F2679" i="14"/>
  <c r="F2582" i="14"/>
  <c r="F2497" i="14"/>
  <c r="I2580" i="14"/>
  <c r="I2489" i="14"/>
  <c r="I2543" i="14"/>
  <c r="I2571" i="14"/>
  <c r="I2646" i="14"/>
  <c r="I2628" i="14"/>
  <c r="I2563" i="14"/>
  <c r="I2659" i="14"/>
  <c r="I2611" i="14"/>
  <c r="I2723" i="14"/>
  <c r="I2553" i="14"/>
  <c r="I2674" i="14"/>
  <c r="I2552" i="14"/>
  <c r="I2692" i="14"/>
  <c r="I2603" i="14"/>
  <c r="I2703" i="14"/>
  <c r="I2648" i="14"/>
  <c r="I2593" i="14"/>
  <c r="I2530" i="14"/>
  <c r="I2645" i="14"/>
  <c r="I2677" i="14"/>
  <c r="I2587" i="14"/>
  <c r="I2561" i="14"/>
  <c r="H2664" i="14"/>
  <c r="H2595" i="14"/>
  <c r="H2519" i="14"/>
  <c r="H2529" i="14"/>
  <c r="H2497" i="14"/>
  <c r="H2602" i="14"/>
  <c r="H2633" i="14"/>
  <c r="H2641" i="14"/>
  <c r="H2513" i="14"/>
  <c r="H2586" i="14"/>
  <c r="H2521" i="14"/>
  <c r="H2505" i="14"/>
  <c r="H2714" i="14"/>
  <c r="H2563" i="14"/>
  <c r="H2660" i="14"/>
  <c r="H2627" i="14"/>
  <c r="H2523" i="14"/>
  <c r="H2503" i="14"/>
  <c r="G2703" i="14"/>
  <c r="G2690" i="14"/>
  <c r="G2509" i="14"/>
  <c r="G2657" i="14"/>
  <c r="G2565" i="14"/>
  <c r="G2641" i="14"/>
  <c r="G2599" i="14"/>
  <c r="G2588" i="14"/>
  <c r="G2502" i="14"/>
  <c r="G2585" i="14"/>
  <c r="G2698" i="14"/>
  <c r="G2610" i="14"/>
  <c r="G2666" i="14"/>
  <c r="G2575" i="14"/>
  <c r="G2554" i="14"/>
  <c r="G2726" i="14"/>
  <c r="E2650" i="14"/>
  <c r="E2667" i="14"/>
  <c r="E2608" i="14"/>
  <c r="E2720" i="14"/>
  <c r="E2514" i="14"/>
  <c r="E2653" i="14"/>
  <c r="E2600" i="14"/>
  <c r="E2488" i="14"/>
  <c r="E2626" i="14"/>
  <c r="E2577" i="14"/>
  <c r="E2723" i="14"/>
  <c r="E2499" i="14"/>
  <c r="E2532" i="14"/>
  <c r="E2706" i="14"/>
  <c r="V2523" i="14"/>
  <c r="A2523" i="14" s="1"/>
  <c r="V2709" i="14"/>
  <c r="A2709" i="14" s="1"/>
  <c r="V2668" i="14"/>
  <c r="A2668" i="14" s="1"/>
  <c r="V2604" i="14"/>
  <c r="A2604" i="14" s="1"/>
  <c r="V2659" i="14"/>
  <c r="A2659" i="14" s="1"/>
  <c r="V2522" i="14"/>
  <c r="A2522" i="14" s="1"/>
  <c r="V2597" i="14"/>
  <c r="A2597" i="14" s="1"/>
  <c r="V2613" i="14"/>
  <c r="A2613" i="14" s="1"/>
  <c r="V2646" i="14"/>
  <c r="A2646" i="14" s="1"/>
  <c r="V2507" i="14"/>
  <c r="A2507" i="14" s="1"/>
  <c r="V2487" i="14"/>
  <c r="A2487" i="14" s="1"/>
  <c r="V2677" i="14"/>
  <c r="A2677" i="14" s="1"/>
  <c r="V2661" i="14"/>
  <c r="A2661" i="14" s="1"/>
  <c r="V2524" i="14"/>
  <c r="A2524" i="14" s="1"/>
  <c r="E2538" i="14"/>
  <c r="V2559" i="14"/>
  <c r="A2559" i="14" s="1"/>
  <c r="E2541" i="14"/>
  <c r="V2647" i="14"/>
  <c r="A2647" i="14" s="1"/>
  <c r="V2624" i="14"/>
  <c r="A2624" i="14" s="1"/>
  <c r="V2585" i="14"/>
  <c r="A2585" i="14" s="1"/>
  <c r="V2630" i="14"/>
  <c r="A2630" i="14" s="1"/>
  <c r="V2704" i="14"/>
  <c r="A2704" i="14" s="1"/>
  <c r="V2579" i="14"/>
  <c r="A2579" i="14" s="1"/>
  <c r="V2672" i="14"/>
  <c r="A2672" i="14" s="1"/>
  <c r="V2583" i="14"/>
  <c r="A2583" i="14" s="1"/>
  <c r="V2584" i="14"/>
  <c r="A2584" i="14" s="1"/>
  <c r="V2565" i="14"/>
  <c r="A2565" i="14" s="1"/>
  <c r="V2535" i="14"/>
  <c r="A2535" i="14" s="1"/>
  <c r="E2596" i="14"/>
  <c r="V2640" i="14"/>
  <c r="A2640" i="14" s="1"/>
  <c r="V2543" i="14"/>
  <c r="A2543" i="14" s="1"/>
  <c r="V2700" i="14"/>
  <c r="A2700" i="14" s="1"/>
  <c r="E2676" i="14"/>
  <c r="V2513" i="14"/>
  <c r="A2513" i="14" s="1"/>
  <c r="V2515" i="14"/>
  <c r="A2515" i="14" s="1"/>
  <c r="V2699" i="14"/>
  <c r="A2699" i="14" s="1"/>
  <c r="V2697" i="14"/>
  <c r="A2697" i="14" s="1"/>
  <c r="V2592" i="14"/>
  <c r="A2592" i="14" s="1"/>
  <c r="V2644" i="14"/>
  <c r="A2644" i="14" s="1"/>
  <c r="V2649" i="14"/>
  <c r="A2649" i="14" s="1"/>
  <c r="V2631" i="14"/>
  <c r="A2631" i="14" s="1"/>
  <c r="V2500" i="14"/>
  <c r="A2500" i="14" s="1"/>
  <c r="V2670" i="14"/>
  <c r="A2670" i="14" s="1"/>
  <c r="V2663" i="14"/>
  <c r="A2663" i="14" s="1"/>
  <c r="V2662" i="14"/>
  <c r="A2662" i="14" s="1"/>
  <c r="V2652" i="14"/>
  <c r="A2652" i="14" s="1"/>
  <c r="V2611" i="14"/>
  <c r="A2611" i="14" s="1"/>
  <c r="V2599" i="14"/>
  <c r="A2599" i="14" s="1"/>
  <c r="V2587" i="14"/>
  <c r="A2587" i="14" s="1"/>
  <c r="V2577" i="14"/>
  <c r="A2577" i="14" s="1"/>
  <c r="V2639" i="14"/>
  <c r="A2639" i="14" s="1"/>
  <c r="V2499" i="14"/>
  <c r="A2499" i="14" s="1"/>
  <c r="V2641" i="14"/>
  <c r="A2641" i="14" s="1"/>
  <c r="F2725" i="14"/>
  <c r="F2689" i="14"/>
  <c r="F2602" i="14"/>
  <c r="F2680" i="14"/>
  <c r="F2493" i="14"/>
  <c r="F2615" i="14"/>
  <c r="F2556" i="14"/>
  <c r="F2694" i="14"/>
  <c r="F2507" i="14"/>
  <c r="F2657" i="14"/>
  <c r="F2527" i="14"/>
  <c r="I2583" i="14"/>
  <c r="I2624" i="14"/>
  <c r="I2634" i="14"/>
  <c r="I2658" i="14"/>
  <c r="I2492" i="14"/>
  <c r="I2662" i="14"/>
  <c r="I2675" i="14"/>
  <c r="I2705" i="14"/>
  <c r="I2699" i="14"/>
  <c r="I2504" i="14"/>
  <c r="I2700" i="14"/>
  <c r="I2719" i="14"/>
  <c r="I2505" i="14"/>
  <c r="I2652" i="14"/>
  <c r="I2548" i="14"/>
  <c r="I2515" i="14"/>
  <c r="I2514" i="14"/>
  <c r="H2719" i="14"/>
  <c r="H2711" i="14"/>
  <c r="H2545" i="14"/>
  <c r="H2615" i="14"/>
  <c r="H2573" i="14"/>
  <c r="H2558" i="14"/>
  <c r="H2658" i="14"/>
  <c r="H2612" i="14"/>
  <c r="H2502" i="14"/>
  <c r="H2562" i="14"/>
  <c r="H2651" i="14"/>
  <c r="G2608" i="14"/>
  <c r="G2696" i="14"/>
  <c r="G2582" i="14"/>
  <c r="G2724" i="14"/>
  <c r="G2717" i="14"/>
  <c r="G2530" i="14"/>
  <c r="G2727" i="14"/>
  <c r="G2684" i="14"/>
  <c r="G2561" i="14"/>
  <c r="G2639" i="14"/>
  <c r="G2541" i="14"/>
  <c r="E2712" i="14"/>
  <c r="E2719" i="14"/>
  <c r="E2726" i="14"/>
  <c r="E2637" i="14"/>
  <c r="E2598" i="14"/>
  <c r="E2619" i="14"/>
  <c r="E2674" i="14"/>
  <c r="E2493" i="14"/>
  <c r="E2681" i="14"/>
  <c r="E2654" i="14"/>
  <c r="E2616" i="14"/>
  <c r="E2534" i="14"/>
  <c r="V2527" i="14"/>
  <c r="A2527" i="14" s="1"/>
  <c r="V2725" i="14"/>
  <c r="A2725" i="14" s="1"/>
  <c r="V2595" i="14"/>
  <c r="A2595" i="14" s="1"/>
  <c r="E2688" i="14"/>
  <c r="V2567" i="14"/>
  <c r="A2567" i="14" s="1"/>
  <c r="V2629" i="14"/>
  <c r="A2629" i="14" s="1"/>
  <c r="V2571" i="14"/>
  <c r="A2571" i="14" s="1"/>
  <c r="V2569" i="14"/>
  <c r="A2569" i="14" s="1"/>
  <c r="V2710" i="14"/>
  <c r="A2710" i="14" s="1"/>
  <c r="V2533" i="14"/>
  <c r="A2533" i="14" s="1"/>
  <c r="V2516" i="14"/>
  <c r="A2516" i="14" s="1"/>
  <c r="V2509" i="14"/>
  <c r="A2509" i="14" s="1"/>
  <c r="V2676" i="14"/>
  <c r="A2676" i="14" s="1"/>
  <c r="V2536" i="14"/>
  <c r="A2536" i="14" s="1"/>
  <c r="V2541" i="14"/>
  <c r="A2541" i="14" s="1"/>
  <c r="V2503" i="14"/>
  <c r="A2503" i="14" s="1"/>
  <c r="V2497" i="14"/>
  <c r="A2497" i="14" s="1"/>
  <c r="E2669" i="14"/>
  <c r="V2489" i="14"/>
  <c r="A2489" i="14" s="1"/>
  <c r="V2564" i="14"/>
  <c r="A2564" i="14" s="1"/>
  <c r="V2588" i="14"/>
  <c r="A2588" i="14" s="1"/>
  <c r="V2623" i="14"/>
  <c r="A2623" i="14" s="1"/>
  <c r="V2542" i="14"/>
  <c r="A2542" i="14" s="1"/>
  <c r="V2547" i="14"/>
  <c r="A2547" i="14" s="1"/>
  <c r="E2609" i="14"/>
  <c r="V2540" i="14"/>
  <c r="A2540" i="14" s="1"/>
  <c r="V2716" i="14"/>
  <c r="A2716" i="14" s="1"/>
  <c r="V2573" i="14"/>
  <c r="A2573" i="14" s="1"/>
  <c r="V2549" i="14"/>
  <c r="A2549" i="14" s="1"/>
  <c r="V2578" i="14"/>
  <c r="A2578" i="14" s="1"/>
  <c r="V2718" i="14"/>
  <c r="A2718" i="14" s="1"/>
  <c r="E2572" i="14"/>
  <c r="E2639" i="14"/>
  <c r="E2682" i="14"/>
  <c r="V2574" i="14"/>
  <c r="A2574" i="14" s="1"/>
  <c r="V2680" i="14"/>
  <c r="A2680" i="14" s="1"/>
  <c r="V2678" i="14"/>
  <c r="A2678" i="14" s="1"/>
  <c r="V2615" i="14"/>
  <c r="A2615" i="14" s="1"/>
  <c r="V2685" i="14"/>
  <c r="A2685" i="14" s="1"/>
  <c r="V2561" i="14"/>
  <c r="A2561" i="14" s="1"/>
  <c r="V2686" i="14"/>
  <c r="A2686" i="14" s="1"/>
  <c r="V2648" i="14"/>
  <c r="A2648" i="14" s="1"/>
  <c r="V2657" i="14"/>
  <c r="A2657" i="14" s="1"/>
  <c r="V2493" i="14"/>
  <c r="A2493" i="14" s="1"/>
  <c r="V2530" i="14"/>
  <c r="A2530" i="14" s="1"/>
  <c r="V2684" i="14"/>
  <c r="A2684" i="14" s="1"/>
  <c r="V2600" i="14"/>
  <c r="A2600" i="14" s="1"/>
  <c r="V2723" i="14"/>
  <c r="A2723" i="14" s="1"/>
  <c r="V2712" i="14"/>
  <c r="A2712" i="14" s="1"/>
  <c r="E2530" i="14"/>
  <c r="F2516" i="14"/>
  <c r="F2570" i="14"/>
  <c r="F2577" i="14"/>
  <c r="F2672" i="14"/>
  <c r="F2654" i="14"/>
  <c r="F2636" i="14"/>
  <c r="F2670" i="14"/>
  <c r="F2599" i="14"/>
  <c r="F2521" i="14"/>
  <c r="F2586" i="14"/>
  <c r="F2719" i="14"/>
  <c r="F2648" i="14"/>
  <c r="F2642" i="14"/>
  <c r="F2590" i="14"/>
  <c r="F2681" i="14"/>
  <c r="F2678" i="14"/>
  <c r="F2661" i="14"/>
  <c r="F2523" i="14"/>
  <c r="F2574" i="14"/>
  <c r="F2486" i="14"/>
  <c r="F2511" i="14"/>
  <c r="F2558" i="14"/>
  <c r="F2613" i="14"/>
  <c r="F2709" i="14"/>
  <c r="F2644" i="14"/>
  <c r="F2718" i="14"/>
  <c r="F2704" i="14"/>
  <c r="F2528" i="14"/>
  <c r="F2542" i="14"/>
  <c r="F2683" i="14"/>
  <c r="I2554" i="14"/>
  <c r="I2724" i="14"/>
  <c r="I2502" i="14"/>
  <c r="I2627" i="14"/>
  <c r="I2623" i="14"/>
  <c r="I2510" i="14"/>
  <c r="I2539" i="14"/>
  <c r="I2635" i="14"/>
  <c r="I2562" i="14"/>
  <c r="I2498" i="14"/>
  <c r="I2516" i="14"/>
  <c r="I2664" i="14"/>
  <c r="I2527" i="14"/>
  <c r="I2541" i="14"/>
  <c r="I2717" i="14"/>
  <c r="I2549" i="14"/>
  <c r="I2722" i="14"/>
  <c r="I2670" i="14"/>
  <c r="I2678" i="14"/>
  <c r="I2672" i="14"/>
  <c r="I2578" i="14"/>
  <c r="I2568" i="14"/>
  <c r="I2727" i="14"/>
  <c r="I2657" i="14"/>
  <c r="I2680" i="14"/>
  <c r="H2559" i="14"/>
  <c r="H2539" i="14"/>
  <c r="H2710" i="14"/>
  <c r="H2645" i="14"/>
  <c r="H2611" i="14"/>
  <c r="H2692" i="14"/>
  <c r="H2594" i="14"/>
  <c r="H2547" i="14"/>
  <c r="H2500" i="14"/>
  <c r="H2650" i="14"/>
  <c r="H2708" i="14"/>
  <c r="H2515" i="14"/>
  <c r="H2661" i="14"/>
  <c r="H2668" i="14"/>
  <c r="H2666" i="14"/>
  <c r="H2489" i="14"/>
  <c r="H2564" i="14"/>
  <c r="H2526" i="14"/>
  <c r="H2657" i="14"/>
  <c r="H2491" i="14"/>
  <c r="H2699" i="14"/>
  <c r="H2727" i="14"/>
  <c r="G2521" i="14"/>
  <c r="G2536" i="14"/>
  <c r="G2545" i="14"/>
  <c r="G2694" i="14"/>
  <c r="G2598" i="14"/>
  <c r="G2549" i="14"/>
  <c r="G2618" i="14"/>
  <c r="G2714" i="14"/>
  <c r="G2677" i="14"/>
  <c r="G2656" i="14"/>
  <c r="G2644" i="14"/>
  <c r="G2643" i="14"/>
  <c r="G2495" i="14"/>
  <c r="G2689" i="14"/>
  <c r="G2491" i="14"/>
  <c r="E2546" i="14"/>
  <c r="E2642" i="14"/>
  <c r="E2576" i="14"/>
  <c r="E2684" i="14"/>
  <c r="E2601" i="14"/>
  <c r="E2528" i="14"/>
  <c r="E2581" i="14"/>
  <c r="E2599" i="14"/>
  <c r="E2495" i="14"/>
  <c r="E2580" i="14"/>
  <c r="E2485" i="14"/>
  <c r="E2606" i="14"/>
  <c r="E2641" i="14"/>
  <c r="V2660" i="14"/>
  <c r="A2660" i="14" s="1"/>
  <c r="V2506" i="14"/>
  <c r="A2506" i="14" s="1"/>
  <c r="V2711" i="14"/>
  <c r="A2711" i="14" s="1"/>
  <c r="V2486" i="14"/>
  <c r="A2486" i="14" s="1"/>
  <c r="E2632" i="14"/>
  <c r="V2658" i="14"/>
  <c r="A2658" i="14" s="1"/>
  <c r="V2634" i="14"/>
  <c r="A2634" i="14" s="1"/>
  <c r="V2552" i="14"/>
  <c r="A2552" i="14" s="1"/>
  <c r="V2512" i="14"/>
  <c r="A2512" i="14" s="1"/>
  <c r="V2510" i="14"/>
  <c r="A2510" i="14" s="1"/>
  <c r="V2554" i="14"/>
  <c r="A2554" i="14" s="1"/>
  <c r="V2568" i="14"/>
  <c r="A2568" i="14" s="1"/>
  <c r="V2520" i="14"/>
  <c r="A2520" i="14" s="1"/>
  <c r="V2645" i="14"/>
  <c r="A2645" i="14" s="1"/>
  <c r="V2490" i="14"/>
  <c r="A2490" i="14" s="1"/>
  <c r="E2713" i="14"/>
  <c r="V2695" i="14"/>
  <c r="A2695" i="14" s="1"/>
  <c r="V2614" i="14"/>
  <c r="A2614" i="14" s="1"/>
  <c r="V2612" i="14"/>
  <c r="A2612" i="14" s="1"/>
  <c r="V2675" i="14"/>
  <c r="A2675" i="14" s="1"/>
  <c r="V2582" i="14"/>
  <c r="A2582" i="14" s="1"/>
  <c r="V2558" i="14"/>
  <c r="A2558" i="14" s="1"/>
  <c r="V2544" i="14"/>
  <c r="A2544" i="14" s="1"/>
  <c r="V2511" i="14"/>
  <c r="A2511" i="14" s="1"/>
  <c r="V2566" i="14"/>
  <c r="A2566" i="14" s="1"/>
  <c r="E2562" i="14"/>
  <c r="V2521" i="14"/>
  <c r="A2521" i="14" s="1"/>
  <c r="V2563" i="14"/>
  <c r="A2563" i="14" s="1"/>
  <c r="V2689" i="14"/>
  <c r="A2689" i="14" s="1"/>
  <c r="V2727" i="14"/>
  <c r="A2727" i="14" s="1"/>
  <c r="E2518" i="14"/>
  <c r="V2610" i="14"/>
  <c r="A2610" i="14" s="1"/>
  <c r="E2507" i="14"/>
  <c r="V2692" i="14"/>
  <c r="A2692" i="14" s="1"/>
  <c r="V2504" i="14"/>
  <c r="A2504" i="14" s="1"/>
  <c r="V2698" i="14"/>
  <c r="A2698" i="14" s="1"/>
  <c r="V2570" i="14"/>
  <c r="A2570" i="14" s="1"/>
  <c r="V2643" i="14"/>
  <c r="A2643" i="14" s="1"/>
  <c r="V2705" i="14"/>
  <c r="A2705" i="14" s="1"/>
  <c r="V2694" i="14"/>
  <c r="A2694" i="14" s="1"/>
  <c r="V2553" i="14"/>
  <c r="A2553" i="14" s="1"/>
  <c r="V2671" i="14"/>
  <c r="A2671" i="14" s="1"/>
  <c r="J2555" i="14" l="1"/>
  <c r="J2700" i="14"/>
  <c r="J2517" i="14"/>
  <c r="J2501" i="14"/>
  <c r="V2693" i="14"/>
  <c r="A2693" i="14" s="1"/>
  <c r="V2518" i="14"/>
  <c r="A2518" i="14" s="1"/>
  <c r="J2579" i="14"/>
  <c r="J2649" i="14"/>
  <c r="J2631" i="14"/>
  <c r="J2531" i="14"/>
  <c r="J2522" i="14"/>
  <c r="J2588" i="14"/>
  <c r="J2540" i="14"/>
  <c r="J2613" i="14"/>
  <c r="J2720" i="14"/>
  <c r="J2697" i="14"/>
  <c r="V2589" i="14"/>
  <c r="A2589" i="14" s="1"/>
  <c r="V2666" i="14"/>
  <c r="A2666" i="14" s="1"/>
  <c r="J2559" i="14"/>
  <c r="J2510" i="14"/>
  <c r="J2709" i="14"/>
  <c r="J2639" i="14"/>
  <c r="J2610" i="14"/>
  <c r="J2552" i="14"/>
  <c r="J2487" i="14"/>
  <c r="J2665" i="14"/>
  <c r="J2607" i="14"/>
  <c r="J2663" i="14"/>
  <c r="J2704" i="14"/>
  <c r="J2670" i="14"/>
  <c r="J2572" i="14"/>
  <c r="J2513" i="14"/>
  <c r="J2571" i="14"/>
  <c r="J2512" i="14"/>
  <c r="J2625" i="14"/>
  <c r="J2494" i="14"/>
  <c r="J2687" i="14"/>
  <c r="J2716" i="14"/>
  <c r="J2593" i="14"/>
  <c r="J2535" i="14"/>
  <c r="J2685" i="14"/>
  <c r="J2546" i="14"/>
  <c r="J2582" i="14"/>
  <c r="J2675" i="14"/>
  <c r="J2543" i="14"/>
  <c r="J2629" i="14"/>
  <c r="V2656" i="14"/>
  <c r="A2656" i="14" s="1"/>
  <c r="J2537" i="14"/>
  <c r="J2674" i="14"/>
  <c r="J2573" i="14"/>
  <c r="J2721" i="14"/>
  <c r="V2519" i="14"/>
  <c r="A2519" i="14" s="1"/>
  <c r="J2589" i="14"/>
  <c r="J2604" i="14"/>
  <c r="J2686" i="14"/>
  <c r="J2715" i="14"/>
  <c r="J2671" i="14"/>
  <c r="J2507" i="14"/>
  <c r="J2511" i="14"/>
  <c r="J2688" i="14"/>
  <c r="J2561" i="14"/>
  <c r="J2618" i="14"/>
  <c r="J2564" i="14"/>
  <c r="J2500" i="14"/>
  <c r="J2611" i="14"/>
  <c r="J2648" i="14"/>
  <c r="J2595" i="14"/>
  <c r="J2647" i="14"/>
  <c r="J2566" i="14"/>
  <c r="V2636" i="14"/>
  <c r="A2636" i="14" s="1"/>
  <c r="J2576" i="14"/>
  <c r="J2689" i="14"/>
  <c r="J2489" i="14"/>
  <c r="J2578" i="14"/>
  <c r="J2624" i="14"/>
  <c r="J2706" i="14"/>
  <c r="J2600" i="14"/>
  <c r="J2632" i="14"/>
  <c r="J2666" i="14"/>
  <c r="J2708" i="14"/>
  <c r="J2664" i="14"/>
  <c r="J2718" i="14"/>
  <c r="J2523" i="14"/>
  <c r="J2636" i="14"/>
  <c r="J2570" i="14"/>
  <c r="J2534" i="14"/>
  <c r="J2492" i="14"/>
  <c r="J2667" i="14"/>
  <c r="J2585" i="14"/>
  <c r="J2557" i="14"/>
  <c r="J2657" i="14"/>
  <c r="J2643" i="14"/>
  <c r="J2727" i="14"/>
  <c r="J2668" i="14"/>
  <c r="J2692" i="14"/>
  <c r="J2542" i="14"/>
  <c r="J2712" i="14"/>
  <c r="J2705" i="14"/>
  <c r="J2565" i="14"/>
  <c r="J2691" i="14"/>
  <c r="J2544" i="14"/>
  <c r="J2533" i="14"/>
  <c r="J2655" i="14"/>
  <c r="J2617" i="14"/>
  <c r="J2724" i="14"/>
  <c r="J2679" i="14"/>
  <c r="V2726" i="14"/>
  <c r="A2726" i="14" s="1"/>
  <c r="J2634" i="14"/>
  <c r="J2525" i="14"/>
  <c r="J2591" i="14"/>
  <c r="J2658" i="14"/>
  <c r="J2620" i="14"/>
  <c r="J2630" i="14"/>
  <c r="J2548" i="14"/>
  <c r="J2547" i="14"/>
  <c r="J2623" i="14"/>
  <c r="J2574" i="14"/>
  <c r="J2609" i="14"/>
  <c r="J2619" i="14"/>
  <c r="J2583" i="14"/>
  <c r="J2698" i="14"/>
  <c r="J2659" i="14"/>
  <c r="J2597" i="14"/>
  <c r="J2524" i="14"/>
  <c r="J2496" i="14"/>
  <c r="J2592" i="14"/>
  <c r="V2655" i="14"/>
  <c r="A2655" i="14" s="1"/>
  <c r="V2621" i="14"/>
  <c r="A2621" i="14" s="1"/>
  <c r="J2677" i="14"/>
  <c r="J2710" i="14"/>
  <c r="J2558" i="14"/>
  <c r="J2590" i="14"/>
  <c r="J2586" i="14"/>
  <c r="J2602" i="14"/>
  <c r="J2653" i="14"/>
  <c r="J2529" i="14"/>
  <c r="J2640" i="14"/>
  <c r="J2490" i="14"/>
  <c r="J2518" i="14"/>
  <c r="J2713" i="14"/>
  <c r="J2581" i="14"/>
  <c r="J2714" i="14"/>
  <c r="J2539" i="14"/>
  <c r="J2637" i="14"/>
  <c r="J2660" i="14"/>
  <c r="J2628" i="14"/>
  <c r="J2509" i="14"/>
  <c r="J2695" i="14"/>
  <c r="J2638" i="14"/>
  <c r="V2532" i="14"/>
  <c r="A2532" i="14" s="1"/>
  <c r="J2702" i="14"/>
  <c r="J2707" i="14"/>
  <c r="J2551" i="14"/>
  <c r="J2605" i="14"/>
  <c r="J2526" i="14"/>
  <c r="J2587" i="14"/>
  <c r="J2621" i="14"/>
  <c r="J2612" i="14"/>
  <c r="J2567" i="14"/>
  <c r="J2569" i="14"/>
  <c r="J2503" i="14"/>
  <c r="J2550" i="14"/>
  <c r="J2506" i="14"/>
  <c r="J2528" i="14"/>
  <c r="J2699" i="14"/>
  <c r="J2486" i="14"/>
  <c r="J2682" i="14"/>
  <c r="J2651" i="14"/>
  <c r="J2556" i="14"/>
  <c r="J2722" i="14"/>
  <c r="J2669" i="14"/>
  <c r="J2616" i="14"/>
  <c r="J2538" i="14"/>
  <c r="J2646" i="14"/>
  <c r="J2504" i="14"/>
  <c r="V2617" i="14"/>
  <c r="A2617" i="14" s="1"/>
  <c r="J2633" i="14"/>
  <c r="J2701" i="14"/>
  <c r="J2673" i="14"/>
  <c r="J2560" i="14"/>
  <c r="J2622" i="14"/>
  <c r="J2693" i="14"/>
  <c r="J2562" i="14"/>
  <c r="J2601" i="14"/>
  <c r="J2594" i="14"/>
  <c r="J2635" i="14"/>
  <c r="J2683" i="14"/>
  <c r="J2696" i="14"/>
  <c r="J2652" i="14"/>
  <c r="J2725" i="14"/>
  <c r="J2676" i="14"/>
  <c r="J2596" i="14"/>
  <c r="J2532" i="14"/>
  <c r="J2554" i="14"/>
  <c r="J2497" i="14"/>
  <c r="J2614" i="14"/>
  <c r="J2584" i="14"/>
  <c r="J2536" i="14"/>
  <c r="J2520" i="14"/>
  <c r="J2485" i="14"/>
  <c r="J2684" i="14"/>
  <c r="J2493" i="14"/>
  <c r="J2711" i="14"/>
  <c r="J2723" i="14"/>
  <c r="J2488" i="14"/>
  <c r="J2575" i="14"/>
  <c r="J2690" i="14"/>
  <c r="J2603" i="14"/>
  <c r="J2553" i="14"/>
  <c r="J2563" i="14"/>
  <c r="J2508" i="14"/>
  <c r="J2580" i="14"/>
  <c r="J2599" i="14"/>
  <c r="J2656" i="14"/>
  <c r="J2545" i="14"/>
  <c r="J2498" i="14"/>
  <c r="J2672" i="14"/>
  <c r="J2726" i="14"/>
  <c r="J2662" i="14"/>
  <c r="J2626" i="14"/>
  <c r="J2703" i="14"/>
  <c r="J2519" i="14"/>
  <c r="J2606" i="14"/>
  <c r="J2549" i="14"/>
  <c r="J2515" i="14"/>
  <c r="J2645" i="14"/>
  <c r="J2499" i="14"/>
  <c r="J2491" i="14"/>
  <c r="J2644" i="14"/>
  <c r="J2661" i="14"/>
  <c r="J2521" i="14"/>
  <c r="J2516" i="14"/>
  <c r="J2717" i="14"/>
  <c r="J2615" i="14"/>
  <c r="J2694" i="14"/>
  <c r="J2680" i="14"/>
  <c r="J2678" i="14"/>
  <c r="J2527" i="14"/>
  <c r="J2627" i="14"/>
  <c r="J2505" i="14"/>
  <c r="J2568" i="14"/>
  <c r="J2502" i="14"/>
  <c r="J2654" i="14"/>
  <c r="J2495" i="14"/>
  <c r="J2642" i="14"/>
  <c r="J2530" i="14"/>
  <c r="J2541" i="14"/>
  <c r="J2608" i="14"/>
  <c r="J2650" i="14"/>
  <c r="J2681" i="14"/>
  <c r="J2719" i="14"/>
  <c r="J2641" i="14"/>
  <c r="J2598" i="14"/>
  <c r="J2577" i="14"/>
  <c r="J2514" i="14"/>
  <c r="AA14" i="14" l="1"/>
  <c r="H163" i="13" s="1"/>
  <c r="AB14" i="14" l="1"/>
  <c r="E143" i="13"/>
  <c r="G143" i="13"/>
  <c r="D143" i="13"/>
  <c r="D163" i="13" s="1"/>
  <c r="AJ37" i="14" s="1"/>
  <c r="I143" i="13"/>
  <c r="J143" i="13"/>
  <c r="K163" i="13"/>
  <c r="J163" i="13"/>
  <c r="K143" i="13" l="1"/>
  <c r="G110" i="13" s="1"/>
  <c r="I110" i="13" s="1"/>
  <c r="L143" i="13"/>
  <c r="AA18" i="14"/>
  <c r="AA19" i="14" s="1"/>
  <c r="AA57" i="14" l="1"/>
  <c r="H110" i="13" s="1"/>
  <c r="AB57" i="14"/>
</calcChain>
</file>

<file path=xl/sharedStrings.xml><?xml version="1.0" encoding="utf-8"?>
<sst xmlns="http://schemas.openxmlformats.org/spreadsheetml/2006/main" count="2359" uniqueCount="1107">
  <si>
    <t>paramento</t>
  </si>
  <si>
    <t>h,par</t>
  </si>
  <si>
    <t>[m]</t>
  </si>
  <si>
    <t>b</t>
  </si>
  <si>
    <t>L</t>
  </si>
  <si>
    <t>sb</t>
  </si>
  <si>
    <t>P,rett</t>
  </si>
  <si>
    <t>[kN/m]</t>
  </si>
  <si>
    <t>P,triang</t>
  </si>
  <si>
    <t>nc</t>
  </si>
  <si>
    <t>[-]</t>
  </si>
  <si>
    <t>sc</t>
  </si>
  <si>
    <t>[kN]</t>
  </si>
  <si>
    <t>distanza dal bordo laterale</t>
  </si>
  <si>
    <t>[kNm]</t>
  </si>
  <si>
    <t>hc(iniziale)</t>
  </si>
  <si>
    <t>a</t>
  </si>
  <si>
    <t>[deg]</t>
  </si>
  <si>
    <t>tan(a)</t>
  </si>
  <si>
    <t>-</t>
  </si>
  <si>
    <t>PARAMENTO CON CONTRAFFORTI</t>
  </si>
  <si>
    <t>step</t>
  </si>
  <si>
    <t>z</t>
  </si>
  <si>
    <t>h(z)</t>
  </si>
  <si>
    <t>hc(z)</t>
  </si>
  <si>
    <t>A</t>
  </si>
  <si>
    <t>Sx</t>
  </si>
  <si>
    <t>Sy</t>
  </si>
  <si>
    <t>xg</t>
  </si>
  <si>
    <t>yg</t>
  </si>
  <si>
    <t>Ix,trasv(z)</t>
  </si>
  <si>
    <t>T,ed(z)</t>
  </si>
  <si>
    <t>M,ed(z)</t>
  </si>
  <si>
    <r>
      <t>[m</t>
    </r>
    <r>
      <rPr>
        <sz val="11"/>
        <color theme="1"/>
        <rFont val="Calibri"/>
        <family val="2"/>
      </rPr>
      <t>²</t>
    </r>
    <r>
      <rPr>
        <sz val="11"/>
        <color theme="1"/>
        <rFont val="Calibri"/>
        <family val="2"/>
        <scheme val="minor"/>
      </rPr>
      <t>]</t>
    </r>
  </si>
  <si>
    <r>
      <t>[m</t>
    </r>
    <r>
      <rPr>
        <sz val="11"/>
        <color theme="1"/>
        <rFont val="Calibri"/>
        <family val="2"/>
      </rPr>
      <t>³</t>
    </r>
    <r>
      <rPr>
        <sz val="11"/>
        <color theme="1"/>
        <rFont val="Calibri"/>
        <family val="2"/>
        <scheme val="minor"/>
      </rPr>
      <t>]</t>
    </r>
  </si>
  <si>
    <r>
      <t>[m</t>
    </r>
    <r>
      <rPr>
        <sz val="11"/>
        <color theme="1"/>
        <rFont val="Calibri"/>
        <family val="2"/>
      </rPr>
      <t>⁴</t>
    </r>
    <r>
      <rPr>
        <sz val="11"/>
        <color theme="1"/>
        <rFont val="Calibri"/>
        <family val="2"/>
        <scheme val="minor"/>
      </rPr>
      <t>]</t>
    </r>
  </si>
  <si>
    <t>zattera</t>
  </si>
  <si>
    <t>Il foglio esegue il calcolo della capacità portante del terreno di fondazione</t>
  </si>
  <si>
    <t>Le verifiche geotecniche dettate dalle NTC-08, sono eseguite dando</t>
  </si>
  <si>
    <t xml:space="preserve">la possibilità di scegliere i diversi approcci e le diverse combinazioni, sia </t>
  </si>
  <si>
    <t>in condizioni drenate che non drenate.</t>
  </si>
  <si>
    <t xml:space="preserve">Le verifiche di tipo GEO vanno condotte in approccio 1 combinazione 2, </t>
  </si>
  <si>
    <t>in quanto si ottengono i valori più gravosi.</t>
  </si>
  <si>
    <t xml:space="preserve">Nel caso di terreni saturi poco permeabili l'incremento delle tensioni totali </t>
  </si>
  <si>
    <t xml:space="preserve">dovuto al carico trasmesso dalla fondazione nel terreno genera a breve </t>
  </si>
  <si>
    <t xml:space="preserve">termine ΔU˃0, A lungo termnine le tensioni efficaci crescono e di </t>
  </si>
  <si>
    <t xml:space="preserve"> conseguenza il carico limite. La condizione più sfavorevole per la stabilità </t>
  </si>
  <si>
    <t xml:space="preserve">della fondazione si ha perciò al termine della costruzione. Pertanto, il </t>
  </si>
  <si>
    <t xml:space="preserve">calcolo del carico limite viene eseguito in termini di tensioni totali a breve </t>
  </si>
  <si>
    <t xml:space="preserve">termine. Nel caso di terreni molto permeabili, la verifica di stabilità deve </t>
  </si>
  <si>
    <t>essere eseguita in tensioni efficaci, tenendo conto della posizione della</t>
  </si>
  <si>
    <t xml:space="preserve"> falda e dei valori delle pressioni neutre nel terreno.</t>
  </si>
  <si>
    <t>Si trascura a vantaggio di sicurezza la sottospinta idraulica dovuta alla falda.</t>
  </si>
  <si>
    <t>CONDIZIONI DRENATE</t>
  </si>
  <si>
    <t>CONDIZIONI NON DRENATE</t>
  </si>
  <si>
    <t>TERRENI</t>
  </si>
  <si>
    <t>Terreni a grana grossa</t>
  </si>
  <si>
    <t xml:space="preserve">Terreni a grana fina a lungo termine </t>
  </si>
  <si>
    <t>Terreni a grana fina a breve termine</t>
  </si>
  <si>
    <t>PARAMETRI DI RESISTENZA AL TAGLIO</t>
  </si>
  <si>
    <t xml:space="preserve">c' </t>
  </si>
  <si>
    <t>ϕ'</t>
  </si>
  <si>
    <r>
      <t>c</t>
    </r>
    <r>
      <rPr>
        <b/>
        <sz val="10"/>
        <color theme="1"/>
        <rFont val="Calibri"/>
        <family val="2"/>
        <scheme val="minor"/>
      </rPr>
      <t>u</t>
    </r>
  </si>
  <si>
    <t>Di seguito si dispongono dei fogli per la progettazione delle armature sia</t>
  </si>
  <si>
    <t>per il paramento che per la zattera; nonché le tabelle prese dalla normativa.</t>
  </si>
  <si>
    <t>Ing. Davide Cicchini</t>
  </si>
  <si>
    <t>www.davidecicchini.it</t>
  </si>
  <si>
    <t>BARICENTRO MURO</t>
  </si>
  <si>
    <t>A,trasv(z)</t>
  </si>
  <si>
    <t>V(z)</t>
  </si>
  <si>
    <t>Syz</t>
  </si>
  <si>
    <t>Sxz</t>
  </si>
  <si>
    <t>Sxy</t>
  </si>
  <si>
    <t>Xg</t>
  </si>
  <si>
    <t>Yg</t>
  </si>
  <si>
    <t>Zg</t>
  </si>
  <si>
    <t>proprio sotto il muretto di colmo</t>
  </si>
  <si>
    <t>sez iniziale</t>
  </si>
  <si>
    <t>sezione finale</t>
  </si>
  <si>
    <t>totale</t>
  </si>
  <si>
    <t>ZATTERA</t>
  </si>
  <si>
    <t>lato libero</t>
  </si>
  <si>
    <t>lato terra</t>
  </si>
  <si>
    <t>DENTE</t>
  </si>
  <si>
    <t>TERRA</t>
  </si>
  <si>
    <t>rettangolo</t>
  </si>
  <si>
    <t>triangolo sup</t>
  </si>
  <si>
    <t>triangolo inf</t>
  </si>
  <si>
    <t>terra+muro</t>
  </si>
  <si>
    <t>muro</t>
  </si>
  <si>
    <t>terra</t>
  </si>
  <si>
    <t>terra media pesata</t>
  </si>
  <si>
    <t>muro media pesata</t>
  </si>
  <si>
    <t>sezione trasv iniziale</t>
  </si>
  <si>
    <t>sezione trasv finale</t>
  </si>
  <si>
    <t>sezione long</t>
  </si>
  <si>
    <t>ALTEZZA DEL PARAMENTO DALL'ESTRADOSSO DELLA ZATTERA</t>
  </si>
  <si>
    <r>
      <t>h</t>
    </r>
    <r>
      <rPr>
        <b/>
        <vertAlign val="subscript"/>
        <sz val="11"/>
        <rFont val="Calibri"/>
        <family val="2"/>
      </rPr>
      <t>p</t>
    </r>
    <r>
      <rPr>
        <b/>
        <sz val="11"/>
        <rFont val="Calibri"/>
        <family val="2"/>
      </rPr>
      <t xml:space="preserve"> </t>
    </r>
  </si>
  <si>
    <t>LUNGHEZZA DEL PARAMENTO DEL PARAMENTO</t>
  </si>
  <si>
    <t xml:space="preserve">L </t>
  </si>
  <si>
    <t>SPESSORE DEL PARAMENTO</t>
  </si>
  <si>
    <r>
      <t>s</t>
    </r>
    <r>
      <rPr>
        <b/>
        <vertAlign val="subscript"/>
        <sz val="11"/>
        <rFont val="Calibri"/>
        <family val="2"/>
      </rPr>
      <t xml:space="preserve">p </t>
    </r>
  </si>
  <si>
    <t>NUMERO DI COSTOLE</t>
  </si>
  <si>
    <t>pos dente lato sx</t>
  </si>
  <si>
    <t>SPESSORE DELLE COSTOLE</t>
  </si>
  <si>
    <r>
      <t>S</t>
    </r>
    <r>
      <rPr>
        <b/>
        <vertAlign val="subscript"/>
        <sz val="11"/>
        <rFont val="Calibri"/>
        <family val="2"/>
      </rPr>
      <t>c</t>
    </r>
    <r>
      <rPr>
        <b/>
        <sz val="11"/>
        <rFont val="Calibri"/>
        <family val="2"/>
      </rPr>
      <t xml:space="preserve"> </t>
    </r>
  </si>
  <si>
    <t>DISTANZA DAL BORDO DELLE COSTOLE ESTERNE</t>
  </si>
  <si>
    <r>
      <t>D</t>
    </r>
    <r>
      <rPr>
        <b/>
        <vertAlign val="subscript"/>
        <sz val="11"/>
        <rFont val="Calibri"/>
        <family val="2"/>
      </rPr>
      <t>c</t>
    </r>
    <r>
      <rPr>
        <b/>
        <sz val="11"/>
        <rFont val="Calibri"/>
        <family val="2"/>
      </rPr>
      <t xml:space="preserve"> </t>
    </r>
  </si>
  <si>
    <t>ALTEZZA INIZIALE DELLA COSTOLA</t>
  </si>
  <si>
    <r>
      <t>h</t>
    </r>
    <r>
      <rPr>
        <b/>
        <vertAlign val="subscript"/>
        <sz val="11"/>
        <rFont val="Calibri"/>
        <family val="2"/>
      </rPr>
      <t>ic</t>
    </r>
    <r>
      <rPr>
        <b/>
        <sz val="11"/>
        <rFont val="Calibri"/>
        <family val="2"/>
      </rPr>
      <t xml:space="preserve"> </t>
    </r>
  </si>
  <si>
    <t>INCLINAZIONE DELLE COSTOLE</t>
  </si>
  <si>
    <t>α</t>
  </si>
  <si>
    <r>
      <t>tan(</t>
    </r>
    <r>
      <rPr>
        <b/>
        <sz val="11"/>
        <color theme="1"/>
        <rFont val="Calibri"/>
        <family val="2"/>
      </rPr>
      <t>α</t>
    </r>
    <r>
      <rPr>
        <b/>
        <sz val="11"/>
        <color theme="1"/>
        <rFont val="Calibri"/>
        <family val="2"/>
        <scheme val="minor"/>
      </rPr>
      <t>)</t>
    </r>
  </si>
  <si>
    <t>ALTEZZADEL ZATTERA</t>
  </si>
  <si>
    <r>
      <t>h</t>
    </r>
    <r>
      <rPr>
        <b/>
        <vertAlign val="subscript"/>
        <sz val="11"/>
        <rFont val="Calibri"/>
        <family val="2"/>
      </rPr>
      <t>z</t>
    </r>
    <r>
      <rPr>
        <b/>
        <sz val="11"/>
        <rFont val="Calibri"/>
        <family val="2"/>
      </rPr>
      <t xml:space="preserve"> [m]</t>
    </r>
  </si>
  <si>
    <t>LUNGHEZZA DELLA ZATTERA sx</t>
  </si>
  <si>
    <r>
      <t>s</t>
    </r>
    <r>
      <rPr>
        <b/>
        <vertAlign val="subscript"/>
        <sz val="11"/>
        <rFont val="Calibri"/>
        <family val="2"/>
      </rPr>
      <t xml:space="preserve">z,dx </t>
    </r>
    <r>
      <rPr>
        <b/>
        <sz val="11"/>
        <rFont val="Calibri"/>
        <family val="2"/>
      </rPr>
      <t>[m]</t>
    </r>
  </si>
  <si>
    <t>LUNGHEZZA DELLA ZATTERA dx</t>
  </si>
  <si>
    <r>
      <t>s</t>
    </r>
    <r>
      <rPr>
        <b/>
        <vertAlign val="subscript"/>
        <sz val="11"/>
        <rFont val="Calibri"/>
        <family val="2"/>
      </rPr>
      <t xml:space="preserve">z,sx </t>
    </r>
    <r>
      <rPr>
        <b/>
        <sz val="11"/>
        <rFont val="Calibri"/>
        <family val="2"/>
      </rPr>
      <t>[m]</t>
    </r>
  </si>
  <si>
    <t>dente</t>
  </si>
  <si>
    <t>SPESSORE DEL DENTE</t>
  </si>
  <si>
    <t>S,dente</t>
  </si>
  <si>
    <t>ALTEZZA DEL DENTE</t>
  </si>
  <si>
    <t>h,dente</t>
  </si>
  <si>
    <t>muretto di colmo</t>
  </si>
  <si>
    <t>ALTEZZA DEL MURETTO DI COLMO</t>
  </si>
  <si>
    <r>
      <t>h</t>
    </r>
    <r>
      <rPr>
        <b/>
        <vertAlign val="subscript"/>
        <sz val="11"/>
        <rFont val="Calibri"/>
        <family val="2"/>
      </rPr>
      <t>m</t>
    </r>
    <r>
      <rPr>
        <b/>
        <sz val="11"/>
        <rFont val="Calibri"/>
        <family val="2"/>
      </rPr>
      <t xml:space="preserve"> [m]</t>
    </r>
  </si>
  <si>
    <t>tensioni terreno</t>
  </si>
  <si>
    <t>sigma lato terra</t>
  </si>
  <si>
    <t>carico muro</t>
  </si>
  <si>
    <t>sx</t>
  </si>
  <si>
    <t>tratteggio mezzeria</t>
  </si>
  <si>
    <t>dx</t>
  </si>
  <si>
    <t>sigma zattera</t>
  </si>
  <si>
    <t>STRATI</t>
  </si>
  <si>
    <t>non drenato</t>
  </si>
  <si>
    <t>S1</t>
  </si>
  <si>
    <t>x</t>
  </si>
  <si>
    <t>y</t>
  </si>
  <si>
    <t>S2</t>
  </si>
  <si>
    <t>DX</t>
  </si>
  <si>
    <t>S3</t>
  </si>
  <si>
    <t>TOT</t>
  </si>
  <si>
    <t>sigma sovraccarico</t>
  </si>
  <si>
    <t>SX</t>
  </si>
  <si>
    <t>drenato</t>
  </si>
  <si>
    <t>sigma variabile</t>
  </si>
  <si>
    <t>FALDA</t>
  </si>
  <si>
    <t>coefficienti s presi dagli appunti della monaco</t>
  </si>
  <si>
    <t>allineato</t>
  </si>
  <si>
    <r>
      <rPr>
        <sz val="18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</rPr>
      <t>γ</t>
    </r>
  </si>
  <si>
    <t>SE(DATI!C4="Q";0,6;SE(DATI!C10="si";1;1+0,1*(1+SEN($C$4*PI.GRECO()/180)*$G$4)/(1-SEN($C$4*PI.GRECO()/180*$G$5))))</t>
  </si>
  <si>
    <r>
      <rPr>
        <sz val="18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c</t>
    </r>
  </si>
  <si>
    <t>SE(DATI!C4="Q";1+C20/C18;SE(DATI!C10="si";1;1+0,2*(1+SEN($C$4*PI.GRECO()/180)*$G$4)/(1-SEN($C$4*PI.GRECO()/180*$G$5))))</t>
  </si>
  <si>
    <r>
      <rPr>
        <sz val="18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q</t>
    </r>
  </si>
  <si>
    <t>SE(DATI!C4="Q";1+TAN($C$4*PI.GRECO()/180);C24)</t>
  </si>
  <si>
    <t>Tipo fondazione: N per nastri; Q per quadrate o circolari</t>
  </si>
  <si>
    <t>N</t>
  </si>
  <si>
    <t>no</t>
  </si>
  <si>
    <t>Condizioni drenate</t>
  </si>
  <si>
    <t>secondo Meyerhof, 1963</t>
  </si>
  <si>
    <t>si</t>
  </si>
  <si>
    <t>Condizioni non drenate</t>
  </si>
  <si>
    <t>secondo Hansen, 1970</t>
  </si>
  <si>
    <t>Secondo Vesic, 1973</t>
  </si>
  <si>
    <t>2.SOLLECITAZIONI SULLA FONDAZIONE</t>
  </si>
  <si>
    <t>Bisogna inserire le sollecitazioni affioranti dai pilastri in combinazione "caratteristica".</t>
  </si>
  <si>
    <t>Questi campi possono essere lasciati anche vuoti, naturalmente il coefficiente correttivo "i" sarà unitario.</t>
  </si>
  <si>
    <t>Il peso proprio della fondazione viene inserito di default in questa sezione, perché deve essere moltiplicato</t>
  </si>
  <si>
    <t>per il coefficiente amplificativo.</t>
  </si>
  <si>
    <r>
      <t>G</t>
    </r>
    <r>
      <rPr>
        <b/>
        <sz val="8"/>
        <color theme="1"/>
        <rFont val="Calibri"/>
        <family val="2"/>
        <scheme val="minor"/>
      </rPr>
      <t>K1</t>
    </r>
  </si>
  <si>
    <r>
      <t>G</t>
    </r>
    <r>
      <rPr>
        <b/>
        <sz val="8"/>
        <color theme="1"/>
        <rFont val="Calibri"/>
        <family val="2"/>
        <scheme val="minor"/>
      </rPr>
      <t>K2</t>
    </r>
  </si>
  <si>
    <r>
      <t>Q</t>
    </r>
    <r>
      <rPr>
        <b/>
        <sz val="8"/>
        <color theme="1"/>
        <rFont val="Calibri"/>
        <family val="2"/>
        <scheme val="minor"/>
      </rPr>
      <t>K</t>
    </r>
  </si>
  <si>
    <t>Forza normale alla base</t>
  </si>
  <si>
    <t>V</t>
  </si>
  <si>
    <t>Forza parallela al lato lungo</t>
  </si>
  <si>
    <t>Hx</t>
  </si>
  <si>
    <t>Forza parallela al lato corto</t>
  </si>
  <si>
    <t>Hy</t>
  </si>
  <si>
    <t>Momento che arrotola attorna al lato corto</t>
  </si>
  <si>
    <t>Mx</t>
  </si>
  <si>
    <t>Momento che arrotola attorno al lato lungo</t>
  </si>
  <si>
    <t>My</t>
  </si>
  <si>
    <t>Forza tagliante combinata</t>
  </si>
  <si>
    <t>H</t>
  </si>
  <si>
    <t>OSSERVAZIONE</t>
  </si>
  <si>
    <t xml:space="preserve">La verifica sulla capacità portante della fondazione è riferita solo alla risultante verticale "V". </t>
  </si>
  <si>
    <t xml:space="preserve">L'introduzione delle forze orizzontali produce modifiche sui coefficienti "i" e sulle dimensioni </t>
  </si>
  <si>
    <t>B* e L* ricavate dalla regola di Meyerhof. A sua volta queste modifiche ripercuotono i propri</t>
  </si>
  <si>
    <t>effetti sul carico limite del terreno.</t>
  </si>
  <si>
    <t xml:space="preserve">RIEPILOGO DEI COEFFICIENTI </t>
  </si>
  <si>
    <t>STR</t>
  </si>
  <si>
    <t>GEO</t>
  </si>
  <si>
    <t>A1</t>
  </si>
  <si>
    <t>A2</t>
  </si>
  <si>
    <t>APPROCCIO 1 --- Combinazione (A1+M1+R1)</t>
  </si>
  <si>
    <t>APPROCCIO 1 --- Combinazione (A2+M2+R2)</t>
  </si>
  <si>
    <t xml:space="preserve"> APPROCCIO 2 --- Combinazione (A1+M1+R3)</t>
  </si>
  <si>
    <t>UNITARIA</t>
  </si>
  <si>
    <t>M1</t>
  </si>
  <si>
    <t>M2</t>
  </si>
  <si>
    <r>
      <t>Tan(ϕ')</t>
    </r>
    <r>
      <rPr>
        <b/>
        <sz val="8"/>
        <color theme="1"/>
        <rFont val="Calibri"/>
        <family val="2"/>
        <scheme val="minor"/>
      </rPr>
      <t>,k</t>
    </r>
  </si>
  <si>
    <r>
      <t>c'</t>
    </r>
    <r>
      <rPr>
        <b/>
        <sz val="8"/>
        <color theme="1"/>
        <rFont val="Calibri"/>
        <family val="2"/>
        <scheme val="minor"/>
      </rPr>
      <t>,k</t>
    </r>
  </si>
  <si>
    <t xml:space="preserve">SISMICA </t>
  </si>
  <si>
    <r>
      <t>cu</t>
    </r>
    <r>
      <rPr>
        <b/>
        <sz val="8"/>
        <color theme="1"/>
        <rFont val="Calibri"/>
        <family val="2"/>
        <scheme val="minor"/>
      </rPr>
      <t>,k</t>
    </r>
  </si>
  <si>
    <r>
      <t>ϒ</t>
    </r>
    <r>
      <rPr>
        <b/>
        <sz val="8"/>
        <color theme="1"/>
        <rFont val="Calibri"/>
        <family val="2"/>
      </rPr>
      <t>,k</t>
    </r>
  </si>
  <si>
    <t>R1</t>
  </si>
  <si>
    <t>R2</t>
  </si>
  <si>
    <t>R3</t>
  </si>
  <si>
    <t>capacità portante</t>
  </si>
  <si>
    <t>scorrimento</t>
  </si>
  <si>
    <t>2.DATI FONDAZIONE</t>
  </si>
  <si>
    <t>Lato corto</t>
  </si>
  <si>
    <t>B</t>
  </si>
  <si>
    <t>Lato lungo</t>
  </si>
  <si>
    <t>Altezza del fondazione</t>
  </si>
  <si>
    <r>
      <t>Mx</t>
    </r>
    <r>
      <rPr>
        <b/>
        <sz val="9"/>
        <color theme="1"/>
        <rFont val="Calibri"/>
        <family val="2"/>
        <scheme val="minor"/>
      </rPr>
      <t>,d</t>
    </r>
  </si>
  <si>
    <r>
      <rPr>
        <b/>
        <sz val="11"/>
        <color theme="1"/>
        <rFont val="Calibri"/>
        <family val="2"/>
        <scheme val="minor"/>
      </rPr>
      <t xml:space="preserve">NB --&gt; </t>
    </r>
    <r>
      <rPr>
        <sz val="11"/>
        <color theme="1"/>
        <rFont val="Calibri"/>
        <family val="2"/>
        <scheme val="minor"/>
      </rPr>
      <t>Nel caso di assenza di falda inserire un valore maggiore di Hscorrimento =</t>
    </r>
  </si>
  <si>
    <t>L*</t>
  </si>
  <si>
    <r>
      <rPr>
        <sz val="16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</rPr>
      <t>L</t>
    </r>
  </si>
  <si>
    <t>LUNGHEZZA DELLA ZATTERA DALL'ASSE DEL MURO- LATO LIBERO</t>
  </si>
  <si>
    <t>LUNGHEZZA DELLA ZATTERA DALL'ASSE DEL MURO- LATO TERRENO</t>
  </si>
  <si>
    <r>
      <t>σ</t>
    </r>
    <r>
      <rPr>
        <b/>
        <sz val="8"/>
        <rFont val="Calibri"/>
        <family val="2"/>
      </rPr>
      <t>(inc)</t>
    </r>
    <r>
      <rPr>
        <b/>
        <sz val="11"/>
        <rFont val="Calibri"/>
        <family val="2"/>
      </rPr>
      <t xml:space="preserve"> [kN/m²]</t>
    </r>
  </si>
  <si>
    <r>
      <t>σ</t>
    </r>
    <r>
      <rPr>
        <b/>
        <vertAlign val="subscript"/>
        <sz val="11"/>
        <rFont val="Calibri"/>
        <family val="2"/>
      </rPr>
      <t>tmax</t>
    </r>
    <r>
      <rPr>
        <b/>
        <sz val="11"/>
        <rFont val="Calibri"/>
        <family val="2"/>
      </rPr>
      <t xml:space="preserve"> [kN/m²]</t>
    </r>
  </si>
  <si>
    <t>Reazione del terreno</t>
  </si>
  <si>
    <r>
      <t>U</t>
    </r>
    <r>
      <rPr>
        <b/>
        <sz val="8"/>
        <rFont val="Calibri"/>
        <family val="2"/>
        <scheme val="minor"/>
      </rPr>
      <t>d</t>
    </r>
    <r>
      <rPr>
        <b/>
        <sz val="8"/>
        <rFont val="Calibri"/>
        <family val="2"/>
      </rPr>
      <t xml:space="preserve"> </t>
    </r>
    <r>
      <rPr>
        <b/>
        <sz val="11"/>
        <rFont val="Calibri"/>
        <family val="2"/>
      </rPr>
      <t>[m]</t>
    </r>
  </si>
  <si>
    <t>e [m]</t>
  </si>
  <si>
    <t>B/6 [m]</t>
  </si>
  <si>
    <r>
      <t>q</t>
    </r>
    <r>
      <rPr>
        <b/>
        <vertAlign val="subscript"/>
        <sz val="11"/>
        <rFont val="Calibri"/>
        <family val="2"/>
      </rPr>
      <t>lato,libero</t>
    </r>
    <r>
      <rPr>
        <b/>
        <sz val="11"/>
        <rFont val="Calibri"/>
        <family val="2"/>
      </rPr>
      <t xml:space="preserve"> [kN/m]</t>
    </r>
  </si>
  <si>
    <t>CARICO INDOTTO DA SOPRA, escluso zattera</t>
  </si>
  <si>
    <t>SOLLECITAZIONI SLU:</t>
  </si>
  <si>
    <r>
      <t>q</t>
    </r>
    <r>
      <rPr>
        <b/>
        <vertAlign val="subscript"/>
        <sz val="11"/>
        <rFont val="Calibri"/>
        <family val="2"/>
      </rPr>
      <t>incastro</t>
    </r>
    <r>
      <rPr>
        <b/>
        <sz val="11"/>
        <rFont val="Calibri"/>
        <family val="2"/>
      </rPr>
      <t xml:space="preserve"> [kN/m]</t>
    </r>
  </si>
  <si>
    <t>CARICO INDOTTO zattera+muro</t>
  </si>
  <si>
    <t xml:space="preserve"> sollecitazioni mensola lato libero</t>
  </si>
  <si>
    <t>sollecitazioni</t>
  </si>
  <si>
    <t>LUNG PAR</t>
  </si>
  <si>
    <t>m</t>
  </si>
  <si>
    <t>mensola lato terra</t>
  </si>
  <si>
    <t>Tensione media</t>
  </si>
  <si>
    <r>
      <t>σ</t>
    </r>
    <r>
      <rPr>
        <b/>
        <sz val="9"/>
        <color theme="1"/>
        <rFont val="Calibri"/>
        <family val="2"/>
      </rPr>
      <t>medio</t>
    </r>
  </si>
  <si>
    <t>Tensione lato di valle</t>
  </si>
  <si>
    <r>
      <t>σ</t>
    </r>
    <r>
      <rPr>
        <b/>
        <sz val="9"/>
        <color theme="1"/>
        <rFont val="Calibri"/>
        <family val="2"/>
      </rPr>
      <t>monte</t>
    </r>
  </si>
  <si>
    <t>Tensione lato terreno</t>
  </si>
  <si>
    <r>
      <t>σ</t>
    </r>
    <r>
      <rPr>
        <b/>
        <sz val="9"/>
        <color theme="1"/>
        <rFont val="Calibri"/>
        <family val="2"/>
      </rPr>
      <t>valle</t>
    </r>
  </si>
  <si>
    <t>NON DRENATE</t>
  </si>
  <si>
    <t>con sovraspinta dell'acqua</t>
  </si>
  <si>
    <t>fess traz</t>
  </si>
  <si>
    <t>grafici tensioni terreno</t>
  </si>
  <si>
    <t>z0</t>
  </si>
  <si>
    <r>
      <t>σ</t>
    </r>
    <r>
      <rPr>
        <b/>
        <vertAlign val="subscript"/>
        <sz val="12"/>
        <rFont val="Calibri"/>
        <family val="2"/>
      </rPr>
      <t>h</t>
    </r>
  </si>
  <si>
    <t>DRENATE</t>
  </si>
  <si>
    <r>
      <t xml:space="preserve">Grafico condizioni non drenate: </t>
    </r>
    <r>
      <rPr>
        <b/>
        <u/>
        <sz val="11"/>
        <color theme="1"/>
        <rFont val="Calibri"/>
        <family val="2"/>
        <scheme val="minor"/>
      </rPr>
      <t>Acceso</t>
    </r>
  </si>
  <si>
    <t>1° strato:    limi-argille</t>
  </si>
  <si>
    <r>
      <t>σ</t>
    </r>
    <r>
      <rPr>
        <b/>
        <vertAlign val="subscript"/>
        <sz val="12"/>
        <rFont val="Calibri"/>
        <family val="2"/>
      </rPr>
      <t>v</t>
    </r>
  </si>
  <si>
    <r>
      <t xml:space="preserve">Grafico condizioni non drenate: </t>
    </r>
    <r>
      <rPr>
        <b/>
        <u/>
        <sz val="11"/>
        <color theme="1"/>
        <rFont val="Calibri"/>
        <family val="2"/>
        <scheme val="minor"/>
      </rPr>
      <t>Spento</t>
    </r>
  </si>
  <si>
    <t>1°strato: ghiaia-sabbie</t>
  </si>
  <si>
    <t>Grafico condizioni drenate: Acceso</t>
  </si>
  <si>
    <t>2° strato:    limi-argille</t>
  </si>
  <si>
    <t>Grafico condizioni drenate: Spento</t>
  </si>
  <si>
    <t>2°strato: ghiaia-sabbie</t>
  </si>
  <si>
    <t>Grafico condizioni non drenate con sovraspinta acqua nelle fessure di trazione:  Acceso</t>
  </si>
  <si>
    <t>3° strato:    limi-argille</t>
  </si>
  <si>
    <t>Grafico condizioni non drenate con sovraspinta acqua nelle fessure di trazione: Spento</t>
  </si>
  <si>
    <t>3°strato: ghiaia-sabbie</t>
  </si>
  <si>
    <t>Grafico condizioni drenate con sovraspinta acqua nelle fessure di trazione: Acceso</t>
  </si>
  <si>
    <t>Strato di fondazione:        limi-argille</t>
  </si>
  <si>
    <t>Grafico condizioni drenate con sovraspinta acqua nelle fessure di trazione: Spento</t>
  </si>
  <si>
    <t>Strato di fondazione:      ghiaia-sabbie</t>
  </si>
  <si>
    <t>Rankine</t>
  </si>
  <si>
    <t>kv</t>
  </si>
  <si>
    <t>Muller-Breslau</t>
  </si>
  <si>
    <t>Terreno a permeabilità elevata</t>
  </si>
  <si>
    <t>Lancellotta</t>
  </si>
  <si>
    <t>Terreno a bassa permeabilità</t>
  </si>
  <si>
    <t>Mononobe Okabe K(kv+)</t>
  </si>
  <si>
    <t>Mononobe Okabe K(kv-)</t>
  </si>
  <si>
    <t>Mononobe Okabe</t>
  </si>
  <si>
    <t>K(kv+)</t>
  </si>
  <si>
    <t>K(kv-)</t>
  </si>
  <si>
    <r>
      <rPr>
        <b/>
        <sz val="11"/>
        <color theme="1"/>
        <rFont val="Calibri"/>
        <family val="2"/>
      </rPr>
      <t>ϑ</t>
    </r>
    <r>
      <rPr>
        <b/>
        <sz val="11"/>
        <color theme="1"/>
        <rFont val="Calibri"/>
        <family val="2"/>
        <scheme val="minor"/>
      </rPr>
      <t>(kv+)</t>
    </r>
  </si>
  <si>
    <r>
      <rPr>
        <b/>
        <sz val="11"/>
        <color theme="1"/>
        <rFont val="Calibri"/>
        <family val="2"/>
      </rPr>
      <t>ϑ</t>
    </r>
    <r>
      <rPr>
        <b/>
        <sz val="11"/>
        <color theme="1"/>
        <rFont val="Calibri"/>
        <family val="2"/>
        <scheme val="minor"/>
      </rPr>
      <t>(kv-)</t>
    </r>
  </si>
  <si>
    <t>Kh</t>
  </si>
  <si>
    <t>Kv</t>
  </si>
  <si>
    <t>parametri sismici</t>
  </si>
  <si>
    <t>β</t>
  </si>
  <si>
    <t>C8/10</t>
  </si>
  <si>
    <t>Fe B450C</t>
  </si>
  <si>
    <t>SS</t>
  </si>
  <si>
    <t>CC</t>
  </si>
  <si>
    <t>ST</t>
  </si>
  <si>
    <t>T1</t>
  </si>
  <si>
    <t>PENDENZA DELLA COSTOLA</t>
  </si>
  <si>
    <t>C12/15</t>
  </si>
  <si>
    <t>Fe B44k</t>
  </si>
  <si>
    <t>T2</t>
  </si>
  <si>
    <t>C16/20</t>
  </si>
  <si>
    <t>C</t>
  </si>
  <si>
    <t>T3</t>
  </si>
  <si>
    <t>C20/25</t>
  </si>
  <si>
    <t>D</t>
  </si>
  <si>
    <t>T4</t>
  </si>
  <si>
    <t>INCLINAZIONE DELLE COSTOLE / PARAMENTO</t>
  </si>
  <si>
    <t>ψ</t>
  </si>
  <si>
    <t>C25/30</t>
  </si>
  <si>
    <t>E</t>
  </si>
  <si>
    <t>C28/35</t>
  </si>
  <si>
    <t>C32/40</t>
  </si>
  <si>
    <t>C35/45</t>
  </si>
  <si>
    <t>Asse del paramento</t>
  </si>
  <si>
    <t>C40/50</t>
  </si>
  <si>
    <t>Ewd</t>
  </si>
  <si>
    <t>Filo dx del paramento</t>
  </si>
  <si>
    <t>C45/55</t>
  </si>
  <si>
    <t>Fine del tratto inclinato</t>
  </si>
  <si>
    <t>C50/60</t>
  </si>
  <si>
    <t>ALTEZZA FINALE DELLA COSTOLA</t>
  </si>
  <si>
    <r>
      <t>h</t>
    </r>
    <r>
      <rPr>
        <b/>
        <vertAlign val="subscript"/>
        <sz val="11"/>
        <rFont val="Calibri"/>
        <family val="2"/>
      </rPr>
      <t>fc</t>
    </r>
    <r>
      <rPr>
        <b/>
        <sz val="11"/>
        <rFont val="Calibri"/>
        <family val="2"/>
      </rPr>
      <t xml:space="preserve"> </t>
    </r>
  </si>
  <si>
    <t>categoria di sottosuolo</t>
  </si>
  <si>
    <t>ALTEZZA FINALE DELLA SEZIONE</t>
  </si>
  <si>
    <t>B,C,D,E</t>
  </si>
  <si>
    <r>
      <t>γ</t>
    </r>
    <r>
      <rPr>
        <b/>
        <i/>
        <sz val="8"/>
        <color theme="1"/>
        <rFont val="Calibri"/>
        <family val="2"/>
        <scheme val="minor"/>
      </rPr>
      <t>G1</t>
    </r>
  </si>
  <si>
    <t>lunghezza netta zattera</t>
  </si>
  <si>
    <t>bm</t>
  </si>
  <si>
    <r>
      <t>γ</t>
    </r>
    <r>
      <rPr>
        <b/>
        <i/>
        <sz val="8"/>
        <color theme="1"/>
        <rFont val="Calibri"/>
        <family val="2"/>
        <scheme val="minor"/>
      </rPr>
      <t>G2</t>
    </r>
  </si>
  <si>
    <t>grandezze geometriche derivate</t>
  </si>
  <si>
    <t>0.2&lt;ag&lt;=0.4</t>
  </si>
  <si>
    <r>
      <t>γ</t>
    </r>
    <r>
      <rPr>
        <b/>
        <i/>
        <sz val="8"/>
        <color theme="1"/>
        <rFont val="Calibri"/>
        <family val="2"/>
        <scheme val="minor"/>
      </rPr>
      <t>Qk</t>
    </r>
  </si>
  <si>
    <t>0.1&lt;ag&lt;=0.2</t>
  </si>
  <si>
    <t>MOLTIPLICATORE PER LE SPINTE</t>
  </si>
  <si>
    <t>ag&lt;=0.1</t>
  </si>
  <si>
    <r>
      <t>β</t>
    </r>
    <r>
      <rPr>
        <sz val="8"/>
        <color theme="1"/>
        <rFont val="Calibri"/>
        <family val="2"/>
      </rPr>
      <t>m</t>
    </r>
  </si>
  <si>
    <t>Condizione di verifica:</t>
  </si>
  <si>
    <t>STATICA</t>
  </si>
  <si>
    <t>Quota della falda</t>
  </si>
  <si>
    <t>1 CARATTERISITCHE DEI MATERIALI</t>
  </si>
  <si>
    <t>1.1 Calcestruzzo</t>
  </si>
  <si>
    <t>Classe del calcestruzzo</t>
  </si>
  <si>
    <t>Peso specifico del calcestruzzo</t>
  </si>
  <si>
    <r>
      <rPr>
        <b/>
        <sz val="11"/>
        <rFont val="Times New Roman"/>
        <family val="1"/>
      </rPr>
      <t>γ</t>
    </r>
    <r>
      <rPr>
        <b/>
        <vertAlign val="subscript"/>
        <sz val="11"/>
        <rFont val="Calibri"/>
        <family val="2"/>
      </rPr>
      <t>cls</t>
    </r>
    <r>
      <rPr>
        <b/>
        <sz val="11"/>
        <rFont val="Calibri"/>
        <family val="2"/>
      </rPr>
      <t xml:space="preserve"> </t>
    </r>
  </si>
  <si>
    <t>Altezza del sottofondo in magrone</t>
  </si>
  <si>
    <r>
      <t>H</t>
    </r>
    <r>
      <rPr>
        <b/>
        <sz val="8"/>
        <color theme="1"/>
        <rFont val="Calibri"/>
        <family val="2"/>
        <scheme val="minor"/>
      </rPr>
      <t>mag</t>
    </r>
  </si>
  <si>
    <t>Resistenza cubica caratteristica</t>
  </si>
  <si>
    <r>
      <t>R</t>
    </r>
    <r>
      <rPr>
        <b/>
        <sz val="8"/>
        <color theme="1"/>
        <rFont val="Calibri"/>
        <family val="2"/>
        <scheme val="minor"/>
      </rPr>
      <t>c,k</t>
    </r>
  </si>
  <si>
    <t>Resistenza cilindrica media</t>
  </si>
  <si>
    <r>
      <t>f</t>
    </r>
    <r>
      <rPr>
        <b/>
        <sz val="8"/>
        <color theme="1"/>
        <rFont val="Calibri"/>
        <family val="2"/>
        <scheme val="minor"/>
      </rPr>
      <t>c,m</t>
    </r>
  </si>
  <si>
    <t>Resistenza cilindrica caratteristica</t>
  </si>
  <si>
    <r>
      <t>f</t>
    </r>
    <r>
      <rPr>
        <b/>
        <sz val="8"/>
        <color theme="1"/>
        <rFont val="Calibri"/>
        <family val="2"/>
        <scheme val="minor"/>
      </rPr>
      <t>c,k</t>
    </r>
  </si>
  <si>
    <t>Resistenza cilindrica di calcolo</t>
  </si>
  <si>
    <r>
      <t>f</t>
    </r>
    <r>
      <rPr>
        <b/>
        <sz val="8"/>
        <color theme="1"/>
        <rFont val="Calibri"/>
        <family val="2"/>
        <scheme val="minor"/>
      </rPr>
      <t>c,d</t>
    </r>
  </si>
  <si>
    <t>Resistenza a trazione caratteristica</t>
  </si>
  <si>
    <r>
      <t>f</t>
    </r>
    <r>
      <rPr>
        <b/>
        <sz val="8"/>
        <color theme="1"/>
        <rFont val="Calibri"/>
        <family val="2"/>
        <scheme val="minor"/>
      </rPr>
      <t>ct,m</t>
    </r>
  </si>
  <si>
    <t>Resistenza a trazione media</t>
  </si>
  <si>
    <r>
      <t>f</t>
    </r>
    <r>
      <rPr>
        <b/>
        <sz val="8"/>
        <color theme="1"/>
        <rFont val="Calibri"/>
        <family val="2"/>
        <scheme val="minor"/>
      </rPr>
      <t>ct,k</t>
    </r>
  </si>
  <si>
    <t>Resistenza a trazione di calcolo</t>
  </si>
  <si>
    <r>
      <t>f</t>
    </r>
    <r>
      <rPr>
        <b/>
        <sz val="8"/>
        <color theme="1"/>
        <rFont val="Calibri"/>
        <family val="2"/>
        <scheme val="minor"/>
      </rPr>
      <t>ct,d</t>
    </r>
  </si>
  <si>
    <t>Resistenza tangenziale di calcolo</t>
  </si>
  <si>
    <r>
      <t>f</t>
    </r>
    <r>
      <rPr>
        <b/>
        <sz val="9"/>
        <color theme="1"/>
        <rFont val="Calibri"/>
        <family val="2"/>
        <scheme val="minor"/>
      </rPr>
      <t>b,d</t>
    </r>
  </si>
  <si>
    <t xml:space="preserve">Modulo di Young </t>
  </si>
  <si>
    <r>
      <t>E</t>
    </r>
    <r>
      <rPr>
        <b/>
        <sz val="9"/>
        <color theme="1"/>
        <rFont val="Calibri"/>
        <family val="2"/>
        <scheme val="minor"/>
      </rPr>
      <t>c</t>
    </r>
  </si>
  <si>
    <t>1.2 Acciaio</t>
  </si>
  <si>
    <t>Tipo di acciaio</t>
  </si>
  <si>
    <r>
      <t>f</t>
    </r>
    <r>
      <rPr>
        <b/>
        <sz val="8"/>
        <color theme="1"/>
        <rFont val="Calibri"/>
        <family val="2"/>
        <scheme val="minor"/>
      </rPr>
      <t>y,d</t>
    </r>
  </si>
  <si>
    <t>TROVA I PARAMETRI SISMICI (ag; F0;TC*)</t>
  </si>
  <si>
    <t>Accelerazione massima su suolo rigido</t>
  </si>
  <si>
    <r>
      <t>a</t>
    </r>
    <r>
      <rPr>
        <b/>
        <vertAlign val="subscript"/>
        <sz val="11"/>
        <color theme="1"/>
        <rFont val="Calibri"/>
        <family val="2"/>
        <scheme val="minor"/>
      </rPr>
      <t>g</t>
    </r>
  </si>
  <si>
    <t>Coefficiente di amplificazione spettrale</t>
  </si>
  <si>
    <r>
      <t>F</t>
    </r>
    <r>
      <rPr>
        <b/>
        <vertAlign val="subscript"/>
        <sz val="11"/>
        <color theme="1"/>
        <rFont val="Calibri"/>
        <family val="2"/>
        <scheme val="minor"/>
      </rPr>
      <t>O</t>
    </r>
  </si>
  <si>
    <t>Periodo di inizio tratto a velocità costante</t>
  </si>
  <si>
    <r>
      <t>T</t>
    </r>
    <r>
      <rPr>
        <b/>
        <vertAlign val="subscript"/>
        <sz val="11"/>
        <color theme="1"/>
        <rFont val="Calibri"/>
        <family val="2"/>
        <scheme val="minor"/>
      </rPr>
      <t>c</t>
    </r>
    <r>
      <rPr>
        <b/>
        <vertAlign val="superscript"/>
        <sz val="11"/>
        <color theme="1"/>
        <rFont val="Calibri"/>
        <family val="2"/>
        <scheme val="minor"/>
      </rPr>
      <t>*</t>
    </r>
  </si>
  <si>
    <t>Categoria di sottosuolo</t>
  </si>
  <si>
    <t>Categoria topografica</t>
  </si>
  <si>
    <t>Accelerazione di gravità</t>
  </si>
  <si>
    <t>g</t>
  </si>
  <si>
    <t>Accelerazione orizzontale  riferita al suolo rigido adimensionale</t>
  </si>
  <si>
    <r>
      <t>a</t>
    </r>
    <r>
      <rPr>
        <b/>
        <sz val="8"/>
        <color theme="1"/>
        <rFont val="Calibri"/>
        <family val="2"/>
        <scheme val="minor"/>
      </rPr>
      <t>g</t>
    </r>
    <r>
      <rPr>
        <b/>
        <sz val="11"/>
        <color theme="1"/>
        <rFont val="Calibri"/>
        <family val="2"/>
        <scheme val="minor"/>
      </rPr>
      <t>/g</t>
    </r>
  </si>
  <si>
    <t>Coefficiente di amplificazione topografica</t>
  </si>
  <si>
    <r>
      <t>S</t>
    </r>
    <r>
      <rPr>
        <b/>
        <vertAlign val="subscript"/>
        <sz val="11"/>
        <color theme="1"/>
        <rFont val="Calibri"/>
        <family val="2"/>
        <scheme val="minor"/>
      </rPr>
      <t>T</t>
    </r>
  </si>
  <si>
    <t>Coefficiente di amplificazione stratigrafica</t>
  </si>
  <si>
    <r>
      <t>S</t>
    </r>
    <r>
      <rPr>
        <b/>
        <vertAlign val="subscript"/>
        <sz val="11"/>
        <color theme="1"/>
        <rFont val="Calibri"/>
        <family val="2"/>
        <scheme val="minor"/>
      </rPr>
      <t>S</t>
    </r>
  </si>
  <si>
    <r>
      <t>Prodotto S</t>
    </r>
    <r>
      <rPr>
        <sz val="8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*S</t>
    </r>
    <r>
      <rPr>
        <sz val="8"/>
        <color theme="1"/>
        <rFont val="Calibri"/>
        <family val="2"/>
        <scheme val="minor"/>
      </rPr>
      <t>T</t>
    </r>
  </si>
  <si>
    <t>S</t>
  </si>
  <si>
    <t>Accelerazione orizzontale  riferita al sito adimensionale</t>
  </si>
  <si>
    <r>
      <t>a</t>
    </r>
    <r>
      <rPr>
        <b/>
        <sz val="8"/>
        <color theme="1"/>
        <rFont val="Calibri"/>
        <family val="2"/>
        <scheme val="minor"/>
      </rPr>
      <t>(max)</t>
    </r>
    <r>
      <rPr>
        <b/>
        <sz val="11"/>
        <color theme="1"/>
        <rFont val="Calibri"/>
        <family val="2"/>
        <scheme val="minor"/>
      </rPr>
      <t>/g</t>
    </r>
  </si>
  <si>
    <t>Coefficiente funzione della categoria di sottosuolo</t>
  </si>
  <si>
    <r>
      <t>C</t>
    </r>
    <r>
      <rPr>
        <b/>
        <vertAlign val="subscript"/>
        <sz val="11"/>
        <color theme="1"/>
        <rFont val="Calibri"/>
        <family val="2"/>
        <scheme val="minor"/>
      </rPr>
      <t>c</t>
    </r>
  </si>
  <si>
    <t>Periodo del tratto ad accelerazione costante</t>
  </si>
  <si>
    <r>
      <t>T</t>
    </r>
    <r>
      <rPr>
        <b/>
        <vertAlign val="subscript"/>
        <sz val="11"/>
        <color theme="1"/>
        <rFont val="Calibri"/>
        <family val="2"/>
        <scheme val="minor"/>
      </rPr>
      <t>B</t>
    </r>
  </si>
  <si>
    <t>Periodo del tratto a velocità costante</t>
  </si>
  <si>
    <r>
      <t>T</t>
    </r>
    <r>
      <rPr>
        <b/>
        <vertAlign val="subscript"/>
        <sz val="11"/>
        <color theme="1"/>
        <rFont val="Calibri"/>
        <family val="2"/>
        <scheme val="minor"/>
      </rPr>
      <t>C</t>
    </r>
  </si>
  <si>
    <t>Periodo del tratto a spostamento costante</t>
  </si>
  <si>
    <r>
      <t>T</t>
    </r>
    <r>
      <rPr>
        <b/>
        <vertAlign val="subscript"/>
        <sz val="11"/>
        <color theme="1"/>
        <rFont val="Calibri"/>
        <family val="2"/>
        <scheme val="minor"/>
      </rPr>
      <t>D</t>
    </r>
  </si>
  <si>
    <t>Coefficiente di smorzamento viscoso</t>
  </si>
  <si>
    <t>Coefficiente di correzione per smorzamento viscoso diverso dal 5%</t>
  </si>
  <si>
    <t>h</t>
  </si>
  <si>
    <t>Coefficiente di riduzione dell’accelerazione massima attesa al sito</t>
  </si>
  <si>
    <r>
      <t>β</t>
    </r>
    <r>
      <rPr>
        <b/>
        <sz val="8"/>
        <color theme="1"/>
        <rFont val="Calibri"/>
        <family val="2"/>
      </rPr>
      <t>m</t>
    </r>
  </si>
  <si>
    <t>Coefficiente sismico orizzontale</t>
  </si>
  <si>
    <t>Coefficiente sismico verticale</t>
  </si>
  <si>
    <t>3 GEOMETRIA DEL MURO</t>
  </si>
  <si>
    <t>Altezza del paramento dall'estradosso della zattera</t>
  </si>
  <si>
    <t>Spessore del paramento</t>
  </si>
  <si>
    <t>Numero di costole</t>
  </si>
  <si>
    <t>Spessore delle costole</t>
  </si>
  <si>
    <t>Distanza delle costole dal bordo esterno.</t>
  </si>
  <si>
    <t>Altezza iniziale della sezione (alla testa del paramento)</t>
  </si>
  <si>
    <r>
      <t>h</t>
    </r>
    <r>
      <rPr>
        <b/>
        <vertAlign val="subscript"/>
        <sz val="11"/>
        <rFont val="Calibri"/>
        <family val="2"/>
      </rPr>
      <t>iS</t>
    </r>
  </si>
  <si>
    <t>Altezza finale della sezione (alla base del paramento)</t>
  </si>
  <si>
    <r>
      <t>h</t>
    </r>
    <r>
      <rPr>
        <b/>
        <vertAlign val="subscript"/>
        <sz val="11"/>
        <rFont val="Calibri"/>
        <family val="2"/>
      </rPr>
      <t>fs</t>
    </r>
  </si>
  <si>
    <t>Altezza della zattera</t>
  </si>
  <si>
    <r>
      <t>h</t>
    </r>
    <r>
      <rPr>
        <b/>
        <vertAlign val="subscript"/>
        <sz val="11"/>
        <rFont val="Calibri"/>
        <family val="2"/>
      </rPr>
      <t>z</t>
    </r>
    <r>
      <rPr>
        <b/>
        <sz val="11"/>
        <rFont val="Calibri"/>
        <family val="2"/>
      </rPr>
      <t xml:space="preserve"> </t>
    </r>
  </si>
  <si>
    <t>Lunghezza netta della zattera lato SX</t>
  </si>
  <si>
    <r>
      <t>s</t>
    </r>
    <r>
      <rPr>
        <b/>
        <vertAlign val="subscript"/>
        <sz val="11"/>
        <rFont val="Calibri"/>
        <family val="2"/>
      </rPr>
      <t xml:space="preserve">z,sx </t>
    </r>
  </si>
  <si>
    <r>
      <t>s</t>
    </r>
    <r>
      <rPr>
        <b/>
        <vertAlign val="subscript"/>
        <sz val="11"/>
        <rFont val="Calibri"/>
        <family val="2"/>
      </rPr>
      <t xml:space="preserve">z,dx </t>
    </r>
  </si>
  <si>
    <t>Riferimento per definire la lunghezza netta di destra della zattera</t>
  </si>
  <si>
    <t>Spessore del dente</t>
  </si>
  <si>
    <r>
      <t>s</t>
    </r>
    <r>
      <rPr>
        <b/>
        <vertAlign val="subscript"/>
        <sz val="11"/>
        <rFont val="Calibri"/>
        <family val="2"/>
      </rPr>
      <t xml:space="preserve">d </t>
    </r>
  </si>
  <si>
    <t>Altezza del dente</t>
  </si>
  <si>
    <r>
      <t>h</t>
    </r>
    <r>
      <rPr>
        <b/>
        <vertAlign val="subscript"/>
        <sz val="11"/>
        <rFont val="Calibri"/>
        <family val="2"/>
      </rPr>
      <t>d</t>
    </r>
    <r>
      <rPr>
        <b/>
        <sz val="11"/>
        <rFont val="Calibri"/>
        <family val="2"/>
      </rPr>
      <t xml:space="preserve"> </t>
    </r>
  </si>
  <si>
    <t>Spostamento percentuale del dente rispetto all'origine degli assi</t>
  </si>
  <si>
    <r>
      <t>S</t>
    </r>
    <r>
      <rPr>
        <b/>
        <sz val="8"/>
        <rFont val="Calibri"/>
        <family val="2"/>
        <scheme val="minor"/>
      </rPr>
      <t>%</t>
    </r>
  </si>
  <si>
    <t>Posizione del baricentro del dente</t>
  </si>
  <si>
    <r>
      <t>X</t>
    </r>
    <r>
      <rPr>
        <b/>
        <sz val="8"/>
        <rFont val="Calibri"/>
        <family val="2"/>
        <scheme val="minor"/>
      </rPr>
      <t>g,dente</t>
    </r>
  </si>
  <si>
    <t>Altezza del muretto di colmo</t>
  </si>
  <si>
    <r>
      <t>h</t>
    </r>
    <r>
      <rPr>
        <b/>
        <vertAlign val="subscript"/>
        <sz val="11"/>
        <rFont val="Calibri"/>
        <family val="2"/>
      </rPr>
      <t>m</t>
    </r>
    <r>
      <rPr>
        <b/>
        <sz val="11"/>
        <rFont val="Calibri"/>
        <family val="2"/>
      </rPr>
      <t xml:space="preserve"> </t>
    </r>
  </si>
  <si>
    <t>4 CARICHI AGGIUNTIVI</t>
  </si>
  <si>
    <t>Carico permanente non strutturale sul terreno</t>
  </si>
  <si>
    <r>
      <t>G</t>
    </r>
    <r>
      <rPr>
        <b/>
        <vertAlign val="subscript"/>
        <sz val="11"/>
        <rFont val="Calibri"/>
        <family val="2"/>
      </rPr>
      <t>qp</t>
    </r>
  </si>
  <si>
    <t>Carico varibile sul terreno</t>
  </si>
  <si>
    <r>
      <t>q</t>
    </r>
    <r>
      <rPr>
        <b/>
        <vertAlign val="subscript"/>
        <sz val="11"/>
        <rFont val="Calibri"/>
        <family val="2"/>
      </rPr>
      <t>qp</t>
    </r>
  </si>
  <si>
    <t>5 GEOTECNICA</t>
  </si>
  <si>
    <t>5.1 TERRAPIENO</t>
  </si>
  <si>
    <t>5.1.1 Inclinazione terreno</t>
  </si>
  <si>
    <t>Inclinazione del terreno a tergo del muro</t>
  </si>
  <si>
    <r>
      <t>ω</t>
    </r>
    <r>
      <rPr>
        <b/>
        <sz val="8"/>
        <color theme="1"/>
        <rFont val="Calibri"/>
        <family val="2"/>
      </rPr>
      <t>m</t>
    </r>
  </si>
  <si>
    <r>
      <t>ω</t>
    </r>
    <r>
      <rPr>
        <b/>
        <sz val="8"/>
        <color theme="1"/>
        <rFont val="Calibri"/>
        <family val="2"/>
      </rPr>
      <t>m%</t>
    </r>
  </si>
  <si>
    <t>5.1.2 Stratigrafia terreno</t>
  </si>
  <si>
    <t>Bisogna sempre partire dal primo strato</t>
  </si>
  <si>
    <t>Angolo di attrito</t>
  </si>
  <si>
    <t>Peso specifico del terreno a tergo del muro</t>
  </si>
  <si>
    <t>ϒ</t>
  </si>
  <si>
    <t>Coesione non drenata</t>
  </si>
  <si>
    <t>cu</t>
  </si>
  <si>
    <t>Coesione</t>
  </si>
  <si>
    <t>c'</t>
  </si>
  <si>
    <t>Altezza dello strato</t>
  </si>
  <si>
    <t>Z</t>
  </si>
  <si>
    <t>5.1.3 Falda</t>
  </si>
  <si>
    <t>Attiva la falda:</t>
  </si>
  <si>
    <t>Quota della falda dal p.c. di monte</t>
  </si>
  <si>
    <r>
      <rPr>
        <b/>
        <sz val="14"/>
        <color theme="1"/>
        <rFont val="Calibri"/>
        <family val="2"/>
      </rPr>
      <t>H</t>
    </r>
    <r>
      <rPr>
        <b/>
        <sz val="9"/>
        <color theme="1"/>
        <rFont val="Calibri"/>
        <family val="2"/>
      </rPr>
      <t>falda</t>
    </r>
  </si>
  <si>
    <t>Peso specifico acqua</t>
  </si>
  <si>
    <r>
      <t>ϒ</t>
    </r>
    <r>
      <rPr>
        <b/>
        <sz val="8"/>
        <color theme="1"/>
        <rFont val="Calibri"/>
        <family val="2"/>
      </rPr>
      <t>w</t>
    </r>
  </si>
  <si>
    <t>5.1.4 Attrito</t>
  </si>
  <si>
    <t>Attiva attrito muro terreno</t>
  </si>
  <si>
    <t>5.1.5 Permeabilità del terreno</t>
  </si>
  <si>
    <t>5.2 Output grafico</t>
  </si>
  <si>
    <t>quota max terreno</t>
  </si>
  <si>
    <t>Posizione del terreno</t>
  </si>
  <si>
    <t>5.3 FONDAZIONE</t>
  </si>
  <si>
    <t>Inclinazione piano posa</t>
  </si>
  <si>
    <t>Inclinazione piano campagna</t>
  </si>
  <si>
    <r>
      <t>ω</t>
    </r>
    <r>
      <rPr>
        <b/>
        <sz val="8"/>
        <color theme="1"/>
        <rFont val="Calibri"/>
        <family val="2"/>
      </rPr>
      <t>v</t>
    </r>
  </si>
  <si>
    <t>Resistenza a taglio non drenata</t>
  </si>
  <si>
    <t>Peso specifico del terreno sotto il piano di posa.</t>
  </si>
  <si>
    <t>Quota della falda dal piano campagna del lato libero</t>
  </si>
  <si>
    <t>6 SELEZIONE DELLA COMBINAZIONE</t>
  </si>
  <si>
    <t>Approccio e combinazione utilizzata:</t>
  </si>
  <si>
    <t>AZIONI</t>
  </si>
  <si>
    <t>GEOTECNICA</t>
  </si>
  <si>
    <t>M</t>
  </si>
  <si>
    <t>RESISTENZE</t>
  </si>
  <si>
    <t>R</t>
  </si>
  <si>
    <t xml:space="preserve">capacità portante </t>
  </si>
  <si>
    <t>Secondo la combinazione:</t>
  </si>
  <si>
    <t>2 TERRAPIENO</t>
  </si>
  <si>
    <t>Dati utilizzati nel calcolo</t>
  </si>
  <si>
    <r>
      <t>ϕ'</t>
    </r>
    <r>
      <rPr>
        <b/>
        <sz val="8"/>
        <color theme="1"/>
        <rFont val="Calibri"/>
        <family val="2"/>
      </rPr>
      <t>,d</t>
    </r>
  </si>
  <si>
    <r>
      <t>ϒ</t>
    </r>
    <r>
      <rPr>
        <b/>
        <sz val="8"/>
        <color theme="1"/>
        <rFont val="Calibri"/>
        <family val="2"/>
      </rPr>
      <t>,d</t>
    </r>
  </si>
  <si>
    <t>cu,d</t>
  </si>
  <si>
    <t>c',d</t>
  </si>
  <si>
    <t>Angolo di attrito muro terreno</t>
  </si>
  <si>
    <t>δ,d</t>
  </si>
  <si>
    <t xml:space="preserve">Quota della falda </t>
  </si>
  <si>
    <t>ω</t>
  </si>
  <si>
    <r>
      <t>ω</t>
    </r>
    <r>
      <rPr>
        <b/>
        <sz val="8"/>
        <color theme="1"/>
        <rFont val="Calibri"/>
        <family val="2"/>
      </rPr>
      <t>%</t>
    </r>
  </si>
  <si>
    <t>Altezza paramento+zattera</t>
  </si>
  <si>
    <r>
      <t>H</t>
    </r>
    <r>
      <rPr>
        <b/>
        <sz val="8"/>
        <color theme="1"/>
        <rFont val="Calibri"/>
        <family val="2"/>
      </rPr>
      <t>tot</t>
    </r>
  </si>
  <si>
    <t>Altezza di calcolo del terreno</t>
  </si>
  <si>
    <t xml:space="preserve">Inclinazione del paramento </t>
  </si>
  <si>
    <t>Inserisci drenaggio a tergo del paramento</t>
  </si>
  <si>
    <t>3 CARICHI AGGIUNTIVI</t>
  </si>
  <si>
    <t>Carico variabile sul terreno</t>
  </si>
  <si>
    <t>4 TEORIA DI CALCOLO</t>
  </si>
  <si>
    <t>5 TENSIONI E SPINTE DI CALCOLO</t>
  </si>
  <si>
    <t>tensioni orizzontali</t>
  </si>
  <si>
    <t>Fessure di trazione</t>
  </si>
  <si>
    <r>
      <t>z</t>
    </r>
    <r>
      <rPr>
        <b/>
        <sz val="8"/>
        <color theme="1"/>
        <rFont val="Calibri"/>
        <family val="2"/>
        <scheme val="minor"/>
      </rPr>
      <t>,par</t>
    </r>
  </si>
  <si>
    <t>u</t>
  </si>
  <si>
    <t>γ z</t>
  </si>
  <si>
    <r>
      <t>σ</t>
    </r>
    <r>
      <rPr>
        <b/>
        <vertAlign val="subscript"/>
        <sz val="12"/>
        <rFont val="Calibri"/>
        <family val="2"/>
      </rPr>
      <t>v,terra</t>
    </r>
  </si>
  <si>
    <r>
      <t>σ</t>
    </r>
    <r>
      <rPr>
        <b/>
        <vertAlign val="subscript"/>
        <sz val="12"/>
        <rFont val="Calibri"/>
        <family val="2"/>
      </rPr>
      <t>v,G2</t>
    </r>
  </si>
  <si>
    <r>
      <t>σ</t>
    </r>
    <r>
      <rPr>
        <b/>
        <vertAlign val="subscript"/>
        <sz val="12"/>
        <rFont val="Calibri"/>
        <family val="2"/>
      </rPr>
      <t>v,Qk</t>
    </r>
  </si>
  <si>
    <r>
      <t>γ</t>
    </r>
    <r>
      <rPr>
        <b/>
        <sz val="8"/>
        <color rgb="FFFF0000"/>
        <rFont val="Calibri"/>
        <family val="2"/>
      </rPr>
      <t>G1</t>
    </r>
    <r>
      <rPr>
        <b/>
        <sz val="12"/>
        <color rgb="FFFF0000"/>
        <rFont val="Calibri"/>
        <family val="2"/>
      </rPr>
      <t xml:space="preserve"> x σ</t>
    </r>
    <r>
      <rPr>
        <b/>
        <vertAlign val="subscript"/>
        <sz val="12"/>
        <color rgb="FFFF0000"/>
        <rFont val="Calibri"/>
        <family val="2"/>
      </rPr>
      <t xml:space="preserve">h,terra </t>
    </r>
  </si>
  <si>
    <r>
      <t>γ</t>
    </r>
    <r>
      <rPr>
        <b/>
        <sz val="8"/>
        <color rgb="FFFF0000"/>
        <rFont val="Calibri"/>
        <family val="2"/>
      </rPr>
      <t>G2</t>
    </r>
    <r>
      <rPr>
        <b/>
        <sz val="12"/>
        <color rgb="FFFF0000"/>
        <rFont val="Calibri"/>
        <family val="2"/>
      </rPr>
      <t xml:space="preserve"> x σ</t>
    </r>
    <r>
      <rPr>
        <b/>
        <vertAlign val="subscript"/>
        <sz val="12"/>
        <color rgb="FFFF0000"/>
        <rFont val="Calibri"/>
        <family val="2"/>
      </rPr>
      <t>h,G2</t>
    </r>
  </si>
  <si>
    <r>
      <t>γ</t>
    </r>
    <r>
      <rPr>
        <b/>
        <sz val="8"/>
        <color rgb="FFFF0000"/>
        <rFont val="Calibri"/>
        <family val="2"/>
      </rPr>
      <t>Qk</t>
    </r>
    <r>
      <rPr>
        <b/>
        <sz val="12"/>
        <color rgb="FFFF0000"/>
        <rFont val="Calibri"/>
        <family val="2"/>
      </rPr>
      <t xml:space="preserve"> x σ</t>
    </r>
    <r>
      <rPr>
        <b/>
        <vertAlign val="subscript"/>
        <sz val="12"/>
        <color rgb="FFFF0000"/>
        <rFont val="Calibri"/>
        <family val="2"/>
      </rPr>
      <t>h,Qk</t>
    </r>
  </si>
  <si>
    <r>
      <t>∑σ</t>
    </r>
    <r>
      <rPr>
        <b/>
        <vertAlign val="subscript"/>
        <sz val="12"/>
        <rFont val="Calibri"/>
        <family val="2"/>
      </rPr>
      <t>v</t>
    </r>
  </si>
  <si>
    <r>
      <t>∑σ</t>
    </r>
    <r>
      <rPr>
        <b/>
        <vertAlign val="subscript"/>
        <sz val="12"/>
        <rFont val="Calibri"/>
        <family val="2"/>
      </rPr>
      <t>h</t>
    </r>
  </si>
  <si>
    <r>
      <t>M</t>
    </r>
    <r>
      <rPr>
        <b/>
        <sz val="8"/>
        <color rgb="FFFF0000"/>
        <rFont val="Calibri"/>
        <family val="2"/>
      </rPr>
      <t>r</t>
    </r>
  </si>
  <si>
    <t>Profondità</t>
  </si>
  <si>
    <t>Pressione dell'acqua</t>
  </si>
  <si>
    <t>2 c' √KA</t>
  </si>
  <si>
    <t>PANNELLO DI COMANDO PER GRAFICO TENSIONI ORIZZONTALI</t>
  </si>
  <si>
    <t>CARATTERISTICHE DEL MURO</t>
  </si>
  <si>
    <t>P</t>
  </si>
  <si>
    <r>
      <t>H</t>
    </r>
    <r>
      <rPr>
        <b/>
        <sz val="8"/>
        <color theme="1"/>
        <rFont val="Calibri"/>
        <family val="2"/>
        <scheme val="minor"/>
      </rPr>
      <t>,tot</t>
    </r>
  </si>
  <si>
    <t>Peso totale calcestruzzo</t>
  </si>
  <si>
    <r>
      <rPr>
        <b/>
        <sz val="11"/>
        <color theme="1"/>
        <rFont val="Times New Roman"/>
        <family val="1"/>
      </rPr>
      <t>Σ</t>
    </r>
    <r>
      <rPr>
        <b/>
        <sz val="11"/>
        <color theme="1"/>
        <rFont val="Calibri"/>
        <family val="2"/>
      </rPr>
      <t xml:space="preserve">W </t>
    </r>
  </si>
  <si>
    <t>Braccio della forza risultante, dovuto al peso del muro</t>
  </si>
  <si>
    <r>
      <t>x</t>
    </r>
    <r>
      <rPr>
        <b/>
        <vertAlign val="subscript"/>
        <sz val="11"/>
        <color theme="1"/>
        <rFont val="Calibri"/>
        <family val="2"/>
      </rPr>
      <t>0</t>
    </r>
    <r>
      <rPr>
        <b/>
        <sz val="11"/>
        <color theme="1"/>
        <rFont val="Calibri"/>
        <family val="2"/>
      </rPr>
      <t xml:space="preserve"> </t>
    </r>
  </si>
  <si>
    <t>Paramento</t>
  </si>
  <si>
    <t>Zattera</t>
  </si>
  <si>
    <t>Dente</t>
  </si>
  <si>
    <t>Peso del terreno che grava sulla zattera</t>
  </si>
  <si>
    <r>
      <t>W</t>
    </r>
    <r>
      <rPr>
        <b/>
        <vertAlign val="subscript"/>
        <sz val="11"/>
        <color theme="1"/>
        <rFont val="Calibri"/>
        <family val="2"/>
      </rPr>
      <t>t</t>
    </r>
    <r>
      <rPr>
        <b/>
        <sz val="11"/>
        <color theme="1"/>
        <rFont val="Calibri"/>
        <family val="2"/>
      </rPr>
      <t xml:space="preserve"> </t>
    </r>
  </si>
  <si>
    <t>Braccio della forza risultante, dovuto al peso del terreno</t>
  </si>
  <si>
    <r>
      <t>x</t>
    </r>
    <r>
      <rPr>
        <b/>
        <vertAlign val="subscript"/>
        <sz val="11"/>
        <color theme="1"/>
        <rFont val="Calibri"/>
        <family val="2"/>
      </rPr>
      <t>t</t>
    </r>
    <r>
      <rPr>
        <b/>
        <sz val="11"/>
        <color theme="1"/>
        <rFont val="Calibri"/>
        <family val="2"/>
      </rPr>
      <t xml:space="preserve"> </t>
    </r>
  </si>
  <si>
    <t>Peso specifico        (media pesata)</t>
  </si>
  <si>
    <r>
      <t>γ</t>
    </r>
    <r>
      <rPr>
        <b/>
        <sz val="8"/>
        <color theme="1"/>
        <rFont val="Calibri"/>
        <family val="2"/>
      </rPr>
      <t>m</t>
    </r>
  </si>
  <si>
    <t>baricentro terra muro</t>
  </si>
  <si>
    <r>
      <t>X</t>
    </r>
    <r>
      <rPr>
        <b/>
        <sz val="8"/>
        <color theme="1"/>
        <rFont val="Calibri"/>
        <family val="2"/>
        <scheme val="minor"/>
      </rPr>
      <t>g,t+m</t>
    </r>
  </si>
  <si>
    <r>
      <t>Y</t>
    </r>
    <r>
      <rPr>
        <b/>
        <sz val="8"/>
        <color theme="1"/>
        <rFont val="Calibri"/>
        <family val="2"/>
        <scheme val="minor"/>
      </rPr>
      <t>g,t+m</t>
    </r>
  </si>
  <si>
    <r>
      <t>Z</t>
    </r>
    <r>
      <rPr>
        <b/>
        <sz val="8"/>
        <color theme="1"/>
        <rFont val="Calibri"/>
        <family val="2"/>
        <scheme val="minor"/>
      </rPr>
      <t>g,t+m</t>
    </r>
  </si>
  <si>
    <t>baricentro terra</t>
  </si>
  <si>
    <r>
      <t>X</t>
    </r>
    <r>
      <rPr>
        <b/>
        <sz val="8"/>
        <color theme="1"/>
        <rFont val="Calibri"/>
        <family val="2"/>
        <scheme val="minor"/>
      </rPr>
      <t>g,t</t>
    </r>
  </si>
  <si>
    <r>
      <t>Y</t>
    </r>
    <r>
      <rPr>
        <b/>
        <sz val="8"/>
        <color theme="1"/>
        <rFont val="Calibri"/>
        <family val="2"/>
        <scheme val="minor"/>
      </rPr>
      <t>g,t</t>
    </r>
  </si>
  <si>
    <r>
      <t>Z</t>
    </r>
    <r>
      <rPr>
        <b/>
        <sz val="8"/>
        <color theme="1"/>
        <rFont val="Calibri"/>
        <family val="2"/>
        <scheme val="minor"/>
      </rPr>
      <t>g,t</t>
    </r>
  </si>
  <si>
    <t>baricentro muro</t>
  </si>
  <si>
    <t>CARICHI DESTABILIZZANTI</t>
  </si>
  <si>
    <r>
      <t>M</t>
    </r>
    <r>
      <rPr>
        <b/>
        <sz val="8"/>
        <color theme="1" tint="4.9989318521683403E-2"/>
        <rFont val="Calibri"/>
        <family val="2"/>
      </rPr>
      <t>r</t>
    </r>
  </si>
  <si>
    <r>
      <t>γ</t>
    </r>
    <r>
      <rPr>
        <b/>
        <sz val="9"/>
        <color theme="1"/>
        <rFont val="Calibri"/>
        <family val="2"/>
        <scheme val="minor"/>
      </rPr>
      <t>G1</t>
    </r>
  </si>
  <si>
    <r>
      <t>Me</t>
    </r>
    <r>
      <rPr>
        <b/>
        <sz val="8"/>
        <color theme="1" tint="4.9989318521683403E-2"/>
        <rFont val="Calibri"/>
        <family val="2"/>
      </rPr>
      <t>d</t>
    </r>
  </si>
  <si>
    <t>Analisi delle Spinte Cond. non drenate</t>
  </si>
  <si>
    <t>Ed</t>
  </si>
  <si>
    <t>CARICHI STABILIZZANTI</t>
  </si>
  <si>
    <t>Peso</t>
  </si>
  <si>
    <r>
      <t>γ</t>
    </r>
    <r>
      <rPr>
        <b/>
        <sz val="8"/>
        <color theme="1"/>
        <rFont val="Calibri"/>
        <family val="2"/>
        <scheme val="minor"/>
      </rPr>
      <t>g</t>
    </r>
  </si>
  <si>
    <r>
      <t>Peso</t>
    </r>
    <r>
      <rPr>
        <b/>
        <sz val="8"/>
        <color theme="1"/>
        <rFont val="Calibri"/>
        <family val="2"/>
        <scheme val="minor"/>
      </rPr>
      <t>,d</t>
    </r>
    <r>
      <rPr>
        <b/>
        <sz val="11"/>
        <color theme="1"/>
        <rFont val="Calibri"/>
        <family val="2"/>
        <scheme val="minor"/>
      </rPr>
      <t xml:space="preserve">  </t>
    </r>
  </si>
  <si>
    <t>dist dal c.r.</t>
  </si>
  <si>
    <t xml:space="preserve">Mrd </t>
  </si>
  <si>
    <t xml:space="preserve">Muro </t>
  </si>
  <si>
    <t>Terra</t>
  </si>
  <si>
    <r>
      <t>G</t>
    </r>
    <r>
      <rPr>
        <b/>
        <sz val="8"/>
        <color theme="1"/>
        <rFont val="calibrian"/>
      </rPr>
      <t>2</t>
    </r>
  </si>
  <si>
    <r>
      <t>Q</t>
    </r>
    <r>
      <rPr>
        <b/>
        <sz val="8"/>
        <color theme="1"/>
        <rFont val="calibrian"/>
      </rPr>
      <t>k</t>
    </r>
  </si>
  <si>
    <r>
      <t>S</t>
    </r>
    <r>
      <rPr>
        <b/>
        <sz val="8"/>
        <color theme="1"/>
        <rFont val="Calibri"/>
        <family val="2"/>
      </rPr>
      <t>h,tot Y</t>
    </r>
  </si>
  <si>
    <t>Rd</t>
  </si>
  <si>
    <t>Rd/Ed</t>
  </si>
  <si>
    <r>
      <t>γ</t>
    </r>
    <r>
      <rPr>
        <b/>
        <sz val="9"/>
        <color theme="1"/>
        <rFont val="Calibri"/>
        <family val="2"/>
        <scheme val="minor"/>
      </rPr>
      <t>G2</t>
    </r>
  </si>
  <si>
    <r>
      <t>γ</t>
    </r>
    <r>
      <rPr>
        <b/>
        <sz val="9"/>
        <color theme="1"/>
        <rFont val="Calibri"/>
        <family val="2"/>
        <scheme val="minor"/>
      </rPr>
      <t>Qk</t>
    </r>
  </si>
  <si>
    <t>CARICHI ORIZZONTALI</t>
  </si>
  <si>
    <r>
      <t>S</t>
    </r>
    <r>
      <rPr>
        <b/>
        <sz val="8"/>
        <color theme="1"/>
        <rFont val="Calibri"/>
        <family val="2"/>
      </rPr>
      <t>h,tot X</t>
    </r>
  </si>
  <si>
    <t>Mr</t>
  </si>
  <si>
    <t>Analisi delle Spinte (Max tra condizione drenate e non drenate)</t>
  </si>
  <si>
    <t>CARICHI VERTICALI</t>
  </si>
  <si>
    <t>Ved</t>
  </si>
  <si>
    <t>3-Tensioni sul terreno</t>
  </si>
  <si>
    <t>3.1 Tensioni indotte dai carichi</t>
  </si>
  <si>
    <t>Carico variabile</t>
  </si>
  <si>
    <r>
      <t>σ</t>
    </r>
    <r>
      <rPr>
        <b/>
        <vertAlign val="subscript"/>
        <sz val="12"/>
        <rFont val="Calibri"/>
        <family val="2"/>
      </rPr>
      <t>Qk</t>
    </r>
  </si>
  <si>
    <t>Carico permanente non strutturale</t>
  </si>
  <si>
    <r>
      <t>σ</t>
    </r>
    <r>
      <rPr>
        <b/>
        <vertAlign val="subscript"/>
        <sz val="12"/>
        <rFont val="Calibri"/>
        <family val="2"/>
      </rPr>
      <t>G2</t>
    </r>
    <r>
      <rPr>
        <b/>
        <sz val="12"/>
        <rFont val="Calibri"/>
        <family val="2"/>
      </rPr>
      <t xml:space="preserve"> </t>
    </r>
  </si>
  <si>
    <t>Carico terra a tergo del paramento</t>
  </si>
  <si>
    <t>Carico zattera e paramento</t>
  </si>
  <si>
    <r>
      <t>σ</t>
    </r>
    <r>
      <rPr>
        <b/>
        <vertAlign val="subscript"/>
        <sz val="12"/>
        <rFont val="Calibri"/>
        <family val="2"/>
      </rPr>
      <t>zatt+param</t>
    </r>
    <r>
      <rPr>
        <b/>
        <sz val="12"/>
        <rFont val="Calibri"/>
        <family val="2"/>
      </rPr>
      <t xml:space="preserve"> </t>
    </r>
  </si>
  <si>
    <t>3.2 Tensioni indotte sul terreno</t>
  </si>
  <si>
    <t>Eccentricità riferita alcentro di rotazione</t>
  </si>
  <si>
    <r>
      <t>U</t>
    </r>
    <r>
      <rPr>
        <b/>
        <sz val="9"/>
        <rFont val="Calibri"/>
        <family val="2"/>
        <scheme val="minor"/>
      </rPr>
      <t>d</t>
    </r>
  </si>
  <si>
    <t>Eccentricità riferita al baricentro della zattera</t>
  </si>
  <si>
    <t xml:space="preserve">e </t>
  </si>
  <si>
    <t>Ampiezza del nocciolo centrale d'inerzia della zattera</t>
  </si>
  <si>
    <t xml:space="preserve">Lz/6 </t>
  </si>
  <si>
    <t xml:space="preserve">Lunghezza totale della zattera </t>
  </si>
  <si>
    <r>
      <t>L</t>
    </r>
    <r>
      <rPr>
        <sz val="8"/>
        <color theme="1"/>
        <rFont val="Calibri"/>
        <family val="2"/>
        <scheme val="minor"/>
      </rPr>
      <t>z</t>
    </r>
  </si>
  <si>
    <t>Larghezza totale della zattera</t>
  </si>
  <si>
    <r>
      <t>B</t>
    </r>
    <r>
      <rPr>
        <b/>
        <sz val="8"/>
        <color theme="1"/>
        <rFont val="Calibri"/>
        <family val="2"/>
        <scheme val="minor"/>
      </rPr>
      <t>z</t>
    </r>
  </si>
  <si>
    <t>Area d'impronta della zattera</t>
  </si>
  <si>
    <r>
      <t>A</t>
    </r>
    <r>
      <rPr>
        <sz val="8"/>
        <color theme="1"/>
        <rFont val="Calibri"/>
        <family val="2"/>
        <scheme val="minor"/>
      </rPr>
      <t>z</t>
    </r>
  </si>
  <si>
    <t>4-Carichi sulla zattera</t>
  </si>
  <si>
    <t>incastro</t>
  </si>
  <si>
    <t>estremo</t>
  </si>
  <si>
    <t>angolo di attrito</t>
  </si>
  <si>
    <r>
      <t>ϕ'</t>
    </r>
    <r>
      <rPr>
        <b/>
        <sz val="9"/>
        <color theme="1"/>
        <rFont val="Calibri"/>
        <family val="2"/>
      </rPr>
      <t>,d</t>
    </r>
  </si>
  <si>
    <r>
      <t>V</t>
    </r>
    <r>
      <rPr>
        <b/>
        <sz val="9"/>
        <color theme="1"/>
        <rFont val="Calibri"/>
        <family val="2"/>
        <scheme val="minor"/>
      </rPr>
      <t>,d</t>
    </r>
  </si>
  <si>
    <t>coesione</t>
  </si>
  <si>
    <r>
      <t>c'</t>
    </r>
    <r>
      <rPr>
        <b/>
        <sz val="9"/>
        <color theme="1"/>
        <rFont val="Calibri"/>
        <family val="2"/>
        <scheme val="minor"/>
      </rPr>
      <t>,d</t>
    </r>
  </si>
  <si>
    <r>
      <t>H</t>
    </r>
    <r>
      <rPr>
        <b/>
        <sz val="9"/>
        <color theme="1"/>
        <rFont val="Calibri"/>
        <family val="2"/>
        <scheme val="minor"/>
      </rPr>
      <t>,d</t>
    </r>
  </si>
  <si>
    <t>B*</t>
  </si>
  <si>
    <r>
      <t>M</t>
    </r>
    <r>
      <rPr>
        <b/>
        <sz val="9"/>
        <color theme="1"/>
        <rFont val="Calibri"/>
        <family val="2"/>
        <scheme val="minor"/>
      </rPr>
      <t>,d</t>
    </r>
  </si>
  <si>
    <t>inclinazione piano posa</t>
  </si>
  <si>
    <t>inclinazione piano campagna</t>
  </si>
  <si>
    <t>Hm</t>
  </si>
  <si>
    <t>Profondità della curva di scorrimento</t>
  </si>
  <si>
    <r>
      <rPr>
        <b/>
        <sz val="14"/>
        <color theme="1"/>
        <rFont val="Calibri"/>
        <family val="2"/>
      </rPr>
      <t>H</t>
    </r>
    <r>
      <rPr>
        <b/>
        <sz val="11"/>
        <color theme="1"/>
        <rFont val="Calibri"/>
        <family val="2"/>
      </rPr>
      <t>scor.</t>
    </r>
  </si>
  <si>
    <r>
      <rPr>
        <sz val="16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</rPr>
      <t>γ</t>
    </r>
  </si>
  <si>
    <t>Secondo Vesic (1970)</t>
  </si>
  <si>
    <r>
      <rPr>
        <sz val="16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c</t>
    </r>
  </si>
  <si>
    <t>Secondo Prandtl (1921)</t>
  </si>
  <si>
    <r>
      <rPr>
        <sz val="16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q</t>
    </r>
  </si>
  <si>
    <r>
      <rPr>
        <sz val="16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</rPr>
      <t>γ</t>
    </r>
  </si>
  <si>
    <r>
      <rPr>
        <sz val="16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</rPr>
      <t>γ</t>
    </r>
  </si>
  <si>
    <r>
      <rPr>
        <sz val="16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</rPr>
      <t>γ</t>
    </r>
  </si>
  <si>
    <r>
      <rPr>
        <sz val="16"/>
        <color theme="1"/>
        <rFont val="Calibri"/>
        <family val="2"/>
        <scheme val="minor"/>
      </rPr>
      <t>g</t>
    </r>
    <r>
      <rPr>
        <sz val="11"/>
        <color theme="1"/>
        <rFont val="Calibri"/>
        <family val="2"/>
      </rPr>
      <t>γ</t>
    </r>
  </si>
  <si>
    <r>
      <rPr>
        <sz val="11"/>
        <color theme="1"/>
        <rFont val="Calibri"/>
        <family val="2"/>
      </rPr>
      <t>Ψ</t>
    </r>
    <r>
      <rPr>
        <sz val="11"/>
        <color theme="1"/>
        <rFont val="Calibri"/>
        <family val="2"/>
      </rPr>
      <t>γ</t>
    </r>
  </si>
  <si>
    <r>
      <rPr>
        <sz val="16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>c</t>
    </r>
  </si>
  <si>
    <r>
      <rPr>
        <sz val="16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>c</t>
    </r>
  </si>
  <si>
    <r>
      <rPr>
        <sz val="16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c</t>
    </r>
  </si>
  <si>
    <r>
      <rPr>
        <sz val="16"/>
        <color theme="1"/>
        <rFont val="Calibri"/>
        <family val="2"/>
        <scheme val="minor"/>
      </rPr>
      <t>g</t>
    </r>
    <r>
      <rPr>
        <sz val="11"/>
        <color theme="1"/>
        <rFont val="Calibri"/>
        <family val="2"/>
        <scheme val="minor"/>
      </rPr>
      <t>c</t>
    </r>
  </si>
  <si>
    <r>
      <rPr>
        <sz val="11"/>
        <color theme="1"/>
        <rFont val="Calibri"/>
        <family val="2"/>
      </rPr>
      <t>Ψ</t>
    </r>
    <r>
      <rPr>
        <sz val="11"/>
        <color theme="1"/>
        <rFont val="Calibri"/>
        <family val="2"/>
        <scheme val="minor"/>
      </rPr>
      <t>c</t>
    </r>
  </si>
  <si>
    <r>
      <rPr>
        <sz val="16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>q</t>
    </r>
  </si>
  <si>
    <r>
      <rPr>
        <sz val="16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>q</t>
    </r>
  </si>
  <si>
    <r>
      <rPr>
        <sz val="16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q</t>
    </r>
  </si>
  <si>
    <r>
      <rPr>
        <sz val="16"/>
        <color theme="1"/>
        <rFont val="Calibri"/>
        <family val="2"/>
        <scheme val="minor"/>
      </rPr>
      <t>g</t>
    </r>
    <r>
      <rPr>
        <sz val="11"/>
        <color theme="1"/>
        <rFont val="Calibri"/>
        <family val="2"/>
        <scheme val="minor"/>
      </rPr>
      <t>q</t>
    </r>
  </si>
  <si>
    <r>
      <t>Ψ</t>
    </r>
    <r>
      <rPr>
        <sz val="11"/>
        <color theme="1"/>
        <rFont val="Calibri"/>
        <family val="2"/>
        <scheme val="minor"/>
      </rPr>
      <t>q</t>
    </r>
  </si>
  <si>
    <r>
      <rPr>
        <sz val="16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</rPr>
      <t>b</t>
    </r>
  </si>
  <si>
    <r>
      <rPr>
        <b/>
        <sz val="16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</rPr>
      <t>lim</t>
    </r>
  </si>
  <si>
    <r>
      <t>[kN/m</t>
    </r>
    <r>
      <rPr>
        <b/>
        <sz val="11"/>
        <color theme="1"/>
        <rFont val="Calibri"/>
        <family val="2"/>
      </rPr>
      <t>²</t>
    </r>
    <r>
      <rPr>
        <b/>
        <sz val="11"/>
        <color theme="1"/>
        <rFont val="Calibri"/>
        <family val="2"/>
        <scheme val="minor"/>
      </rPr>
      <t>]</t>
    </r>
  </si>
  <si>
    <r>
      <rPr>
        <b/>
        <sz val="16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</rPr>
      <t>lim</t>
    </r>
  </si>
  <si>
    <t xml:space="preserve"> </t>
  </si>
  <si>
    <r>
      <rPr>
        <b/>
        <sz val="16"/>
        <color theme="1"/>
        <rFont val="Calibri"/>
        <family val="2"/>
        <scheme val="minor"/>
      </rPr>
      <t>E</t>
    </r>
    <r>
      <rPr>
        <b/>
        <sz val="8"/>
        <color theme="1"/>
        <rFont val="Calibri"/>
        <family val="2"/>
        <scheme val="minor"/>
      </rPr>
      <t>d</t>
    </r>
  </si>
  <si>
    <t>(ROTTURA GENERALE)</t>
  </si>
  <si>
    <r>
      <rPr>
        <b/>
        <sz val="16"/>
        <color theme="1"/>
        <rFont val="Calibri"/>
        <family val="2"/>
        <scheme val="minor"/>
      </rPr>
      <t>R</t>
    </r>
    <r>
      <rPr>
        <b/>
        <sz val="8"/>
        <color theme="1"/>
        <rFont val="Calibri"/>
        <family val="2"/>
        <scheme val="minor"/>
      </rPr>
      <t>d</t>
    </r>
  </si>
  <si>
    <r>
      <t>e</t>
    </r>
    <r>
      <rPr>
        <b/>
        <sz val="8"/>
        <color theme="1"/>
        <rFont val="Calibri"/>
        <family val="2"/>
        <scheme val="minor"/>
      </rPr>
      <t>d</t>
    </r>
  </si>
  <si>
    <t>[kPa]</t>
  </si>
  <si>
    <r>
      <rPr>
        <b/>
        <sz val="12"/>
        <color theme="1"/>
        <rFont val="Calibri"/>
        <family val="2"/>
        <scheme val="minor"/>
      </rPr>
      <t>r</t>
    </r>
    <r>
      <rPr>
        <b/>
        <sz val="8"/>
        <color theme="1"/>
        <rFont val="Calibri"/>
        <family val="2"/>
      </rPr>
      <t>d</t>
    </r>
  </si>
  <si>
    <t>Tensione normale media</t>
  </si>
  <si>
    <t>σ</t>
  </si>
  <si>
    <t>Modulo di Young del terreno</t>
  </si>
  <si>
    <r>
      <t>I</t>
    </r>
    <r>
      <rPr>
        <b/>
        <sz val="11"/>
        <color theme="1"/>
        <rFont val="Calibri"/>
        <family val="2"/>
        <scheme val="minor"/>
      </rPr>
      <t>r</t>
    </r>
  </si>
  <si>
    <r>
      <t>I</t>
    </r>
    <r>
      <rPr>
        <b/>
        <sz val="11"/>
        <color theme="1"/>
        <rFont val="Calibri"/>
        <family val="2"/>
        <scheme val="minor"/>
      </rPr>
      <t>r,crit</t>
    </r>
  </si>
  <si>
    <r>
      <t>Se D</t>
    </r>
    <r>
      <rPr>
        <sz val="9"/>
        <color theme="1"/>
        <rFont val="Calibri"/>
        <family val="2"/>
        <scheme val="minor"/>
      </rPr>
      <t xml:space="preserve">R </t>
    </r>
    <r>
      <rPr>
        <sz val="11"/>
        <color theme="1"/>
        <rFont val="Calibri"/>
        <family val="2"/>
        <scheme val="minor"/>
      </rPr>
      <t xml:space="preserve">è compreso negli intervalli del grafico di De Beer bisogna utilizzare i seguenti </t>
    </r>
  </si>
  <si>
    <r>
      <t>parametri meccanici corretti, validi per D</t>
    </r>
    <r>
      <rPr>
        <sz val="9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 xml:space="preserve"> minori del 67%.</t>
    </r>
  </si>
  <si>
    <t>La verifica verrà eseguita come nel caso di rottura generale utilizzando nel calcolo</t>
  </si>
  <si>
    <t>i parametri modificati secondo Vesic.</t>
  </si>
  <si>
    <r>
      <t>Definisci D</t>
    </r>
    <r>
      <rPr>
        <b/>
        <sz val="9"/>
        <color theme="1"/>
        <rFont val="Calibri"/>
        <family val="2"/>
        <scheme val="minor"/>
      </rPr>
      <t xml:space="preserve">R </t>
    </r>
    <r>
      <rPr>
        <b/>
        <sz val="11"/>
        <color theme="1"/>
        <rFont val="Calibri"/>
        <family val="2"/>
        <scheme val="minor"/>
      </rPr>
      <t>percentuale</t>
    </r>
  </si>
  <si>
    <t>angolo di attrito corretto</t>
  </si>
  <si>
    <t>coesione corretta</t>
  </si>
  <si>
    <t>parametro di correzione</t>
  </si>
  <si>
    <t>r</t>
  </si>
  <si>
    <t>De Beer (1967)</t>
  </si>
  <si>
    <t>ϕ,d</t>
  </si>
  <si>
    <r>
      <rPr>
        <sz val="16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</rPr>
      <t>γ</t>
    </r>
    <r>
      <rPr>
        <sz val="9"/>
        <color theme="1"/>
        <rFont val="Calibri"/>
        <family val="2"/>
      </rPr>
      <t>,0</t>
    </r>
  </si>
  <si>
    <r>
      <rPr>
        <sz val="16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c</t>
    </r>
    <r>
      <rPr>
        <sz val="9"/>
        <color theme="1"/>
        <rFont val="Calibri"/>
        <family val="2"/>
        <scheme val="minor"/>
      </rPr>
      <t>,0</t>
    </r>
  </si>
  <si>
    <r>
      <rPr>
        <sz val="16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>q</t>
    </r>
    <r>
      <rPr>
        <sz val="9"/>
        <color theme="1"/>
        <rFont val="Calibri"/>
        <family val="2"/>
        <scheme val="minor"/>
      </rPr>
      <t>,0</t>
    </r>
  </si>
  <si>
    <r>
      <rPr>
        <sz val="18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c,</t>
    </r>
    <r>
      <rPr>
        <sz val="8"/>
        <color theme="1"/>
        <rFont val="Calibri"/>
        <family val="2"/>
        <scheme val="minor"/>
      </rPr>
      <t>0</t>
    </r>
  </si>
  <si>
    <r>
      <rPr>
        <sz val="16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>c,0</t>
    </r>
  </si>
  <si>
    <r>
      <rPr>
        <sz val="16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>c,0</t>
    </r>
  </si>
  <si>
    <r>
      <rPr>
        <sz val="16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c,0</t>
    </r>
  </si>
  <si>
    <r>
      <rPr>
        <sz val="16"/>
        <color theme="1"/>
        <rFont val="Calibri"/>
        <family val="2"/>
        <scheme val="minor"/>
      </rPr>
      <t>g</t>
    </r>
    <r>
      <rPr>
        <sz val="11"/>
        <color theme="1"/>
        <rFont val="Calibri"/>
        <family val="2"/>
        <scheme val="minor"/>
      </rPr>
      <t>c,0</t>
    </r>
  </si>
  <si>
    <t>Questo tipo di rottura richiede una significativa variazione di volume del terreno, perciò non può verificarsi in condizioni drenate</t>
  </si>
  <si>
    <t>in cui per ipotesi il terreno è incomprimibile. La verifica si appilca soprattuto in terreni sabbiosi sciolti.</t>
  </si>
  <si>
    <t>Questo tipo di rottura costituisce un caso intermedio fra la rottura globale e la rottura per punzonamento e non si verifica in condizioni</t>
  </si>
  <si>
    <t>drenate, perché per ipotesi il terreno è incomprimibile.</t>
  </si>
  <si>
    <t>kN/m</t>
  </si>
  <si>
    <t>2.Progetto delle Armature</t>
  </si>
  <si>
    <t>OUTPUT SOLO CARICO TRIANGOLARE</t>
  </si>
  <si>
    <t>OUTPUT SOLO CARICO RETTANGOLARE</t>
  </si>
  <si>
    <t>OUTPUT SOVRAPPOSIZIONE DEGLI EFFETTI</t>
  </si>
  <si>
    <r>
      <rPr>
        <b/>
        <sz val="14"/>
        <color indexed="8"/>
        <rFont val="Calibri"/>
        <family val="2"/>
      </rPr>
      <t>M</t>
    </r>
    <r>
      <rPr>
        <sz val="11"/>
        <color theme="1"/>
        <rFont val="Calibri"/>
        <family val="2"/>
        <scheme val="minor"/>
      </rPr>
      <t>inc</t>
    </r>
  </si>
  <si>
    <t>kNm</t>
  </si>
  <si>
    <r>
      <rPr>
        <b/>
        <sz val="14"/>
        <color indexed="8"/>
        <rFont val="Calibri"/>
        <family val="2"/>
      </rPr>
      <t>T</t>
    </r>
    <r>
      <rPr>
        <sz val="11"/>
        <color theme="1"/>
        <rFont val="Calibri"/>
        <family val="2"/>
        <scheme val="minor"/>
      </rPr>
      <t>inc</t>
    </r>
  </si>
  <si>
    <t>kN</t>
  </si>
  <si>
    <t>mm</t>
  </si>
  <si>
    <r>
      <rPr>
        <b/>
        <sz val="14"/>
        <color indexed="8"/>
        <rFont val="Calibri"/>
        <family val="2"/>
      </rPr>
      <t>q</t>
    </r>
    <r>
      <rPr>
        <sz val="11"/>
        <color theme="1"/>
        <rFont val="Calibri"/>
        <family val="2"/>
        <scheme val="minor"/>
      </rPr>
      <t>max(</t>
    </r>
    <r>
      <rPr>
        <sz val="11"/>
        <color indexed="8"/>
        <rFont val="Calibri"/>
        <family val="2"/>
      </rPr>
      <t>Δ</t>
    </r>
    <r>
      <rPr>
        <sz val="11"/>
        <color theme="1"/>
        <rFont val="Calibri"/>
        <family val="2"/>
        <scheme val="minor"/>
      </rPr>
      <t>)</t>
    </r>
  </si>
  <si>
    <r>
      <rPr>
        <b/>
        <sz val="14"/>
        <color indexed="8"/>
        <rFont val="Calibri"/>
        <family val="2"/>
      </rPr>
      <t>q</t>
    </r>
    <r>
      <rPr>
        <sz val="11"/>
        <color theme="1"/>
        <rFont val="Calibri"/>
        <family val="2"/>
        <scheme val="minor"/>
      </rPr>
      <t>max(</t>
    </r>
    <r>
      <rPr>
        <sz val="11"/>
        <color indexed="8"/>
        <rFont val="Calibri"/>
        <family val="2"/>
      </rPr>
      <t>□</t>
    </r>
    <r>
      <rPr>
        <sz val="11"/>
        <color theme="1"/>
        <rFont val="Calibri"/>
        <family val="2"/>
        <scheme val="minor"/>
      </rPr>
      <t>)</t>
    </r>
  </si>
  <si>
    <t>l</t>
  </si>
  <si>
    <r>
      <t>kN/m</t>
    </r>
    <r>
      <rPr>
        <sz val="11"/>
        <color indexed="8"/>
        <rFont val="Calibri"/>
        <family val="2"/>
      </rPr>
      <t>²</t>
    </r>
  </si>
  <si>
    <t>I</t>
  </si>
  <si>
    <r>
      <t>m</t>
    </r>
    <r>
      <rPr>
        <sz val="11"/>
        <color indexed="8"/>
        <rFont val="Calibri"/>
        <family val="2"/>
      </rPr>
      <t>⁴</t>
    </r>
  </si>
  <si>
    <r>
      <t>R</t>
    </r>
    <r>
      <rPr>
        <b/>
        <sz val="8"/>
        <color theme="1"/>
        <rFont val="Calibri"/>
        <family val="2"/>
        <scheme val="minor"/>
      </rPr>
      <t>ck</t>
    </r>
    <r>
      <rPr>
        <b/>
        <sz val="11"/>
        <color theme="1"/>
        <rFont val="Calibri"/>
        <family val="2"/>
        <scheme val="minor"/>
      </rPr>
      <t>=</t>
    </r>
  </si>
  <si>
    <r>
      <t>N/mm</t>
    </r>
    <r>
      <rPr>
        <vertAlign val="superscript"/>
        <sz val="11"/>
        <color indexed="8"/>
        <rFont val="Calibri"/>
        <family val="2"/>
      </rPr>
      <t>2</t>
    </r>
  </si>
  <si>
    <r>
      <t>f</t>
    </r>
    <r>
      <rPr>
        <b/>
        <sz val="8"/>
        <color theme="1"/>
        <rFont val="Calibri"/>
        <family val="2"/>
        <scheme val="minor"/>
      </rPr>
      <t>yk</t>
    </r>
    <r>
      <rPr>
        <b/>
        <sz val="11"/>
        <color theme="1"/>
        <rFont val="Calibri"/>
        <family val="2"/>
        <scheme val="minor"/>
      </rPr>
      <t>=</t>
    </r>
  </si>
  <si>
    <t>c=</t>
  </si>
  <si>
    <t>INPUT ARMATURA LOGITUDINALE</t>
  </si>
  <si>
    <r>
      <t>As min[mm</t>
    </r>
    <r>
      <rPr>
        <b/>
        <vertAlign val="superscript"/>
        <sz val="11"/>
        <color indexed="8"/>
        <rFont val="Calibri"/>
        <family val="2"/>
      </rPr>
      <t>2</t>
    </r>
    <r>
      <rPr>
        <b/>
        <sz val="11"/>
        <color indexed="8"/>
        <rFont val="Calibri"/>
        <family val="2"/>
      </rPr>
      <t>]</t>
    </r>
  </si>
  <si>
    <r>
      <t>As [mm</t>
    </r>
    <r>
      <rPr>
        <b/>
        <vertAlign val="superscript"/>
        <sz val="11"/>
        <color indexed="8"/>
        <rFont val="Calibri"/>
        <family val="2"/>
      </rPr>
      <t>2</t>
    </r>
    <r>
      <rPr>
        <b/>
        <sz val="11"/>
        <color indexed="8"/>
        <rFont val="Calibri"/>
        <family val="2"/>
      </rPr>
      <t>]</t>
    </r>
  </si>
  <si>
    <t>INPUT ARMATURA TRASVERSALE MINIMA</t>
  </si>
  <si>
    <r>
      <t>As min[mm</t>
    </r>
    <r>
      <rPr>
        <vertAlign val="superscript"/>
        <sz val="11"/>
        <color indexed="8"/>
        <rFont val="Calibri"/>
        <family val="2"/>
      </rPr>
      <t>2</t>
    </r>
    <r>
      <rPr>
        <sz val="11"/>
        <color indexed="8"/>
        <rFont val="Calibri"/>
        <family val="2"/>
      </rPr>
      <t>]</t>
    </r>
  </si>
  <si>
    <t>2.4.1.Verifica che per l'elemento non occorre armatura a taglio</t>
  </si>
  <si>
    <r>
      <t>V</t>
    </r>
    <r>
      <rPr>
        <vertAlign val="subscript"/>
        <sz val="11"/>
        <color indexed="8"/>
        <rFont val="Calibri"/>
        <family val="2"/>
      </rPr>
      <t>rd</t>
    </r>
    <r>
      <rPr>
        <sz val="11"/>
        <color indexed="8"/>
        <rFont val="Calibri"/>
        <family val="2"/>
      </rPr>
      <t xml:space="preserve"> (kN)</t>
    </r>
  </si>
  <si>
    <r>
      <t>V</t>
    </r>
    <r>
      <rPr>
        <vertAlign val="subscript"/>
        <sz val="11"/>
        <color indexed="8"/>
        <rFont val="Calibri"/>
        <family val="2"/>
      </rPr>
      <t>ed</t>
    </r>
    <r>
      <rPr>
        <sz val="11"/>
        <color indexed="8"/>
        <rFont val="Calibri"/>
        <family val="2"/>
      </rPr>
      <t xml:space="preserve"> (kN)</t>
    </r>
  </si>
  <si>
    <r>
      <t>V</t>
    </r>
    <r>
      <rPr>
        <vertAlign val="subscript"/>
        <sz val="11"/>
        <color indexed="8"/>
        <rFont val="Calibri"/>
        <family val="2"/>
      </rPr>
      <t>sd</t>
    </r>
    <r>
      <rPr>
        <vertAlign val="superscript"/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 xml:space="preserve">&lt;Vrd </t>
    </r>
  </si>
  <si>
    <r>
      <t>ρ</t>
    </r>
    <r>
      <rPr>
        <vertAlign val="subscript"/>
        <sz val="11"/>
        <color indexed="8"/>
        <rFont val="Calibri"/>
        <family val="2"/>
      </rPr>
      <t>l</t>
    </r>
  </si>
  <si>
    <t>k</t>
  </si>
  <si>
    <r>
      <t>v</t>
    </r>
    <r>
      <rPr>
        <vertAlign val="subscript"/>
        <sz val="11"/>
        <color indexed="8"/>
        <rFont val="Calibri"/>
        <family val="2"/>
      </rPr>
      <t>min</t>
    </r>
  </si>
  <si>
    <t>2.1.Sollecitazioni mensola lato terreno</t>
  </si>
  <si>
    <r>
      <rPr>
        <b/>
        <sz val="14"/>
        <color indexed="8"/>
        <rFont val="Calibri"/>
        <family val="2"/>
      </rPr>
      <t>R</t>
    </r>
    <r>
      <rPr>
        <sz val="11"/>
        <color theme="1"/>
        <rFont val="Calibri"/>
        <family val="2"/>
        <scheme val="minor"/>
      </rPr>
      <t>inc</t>
    </r>
  </si>
  <si>
    <t>2.2.Sollecitazioni mensola lato libero</t>
  </si>
  <si>
    <t>2.3.Definizione delle caratteristiche meccaniche di acciaio e calcestruzzo</t>
  </si>
  <si>
    <t>2.4.Progetto a flessione zattera lato terreno</t>
  </si>
  <si>
    <t>2.5.Progetto a taglio zattera lato terreno</t>
  </si>
  <si>
    <t>2.5.1.Verifica che per la zattera lato terreno, non occorre armatura a taglio</t>
  </si>
  <si>
    <t>2.6.Progetto a flessione zattera lato libero</t>
  </si>
  <si>
    <t>2.7.Progetto a taglio zattera lato libero</t>
  </si>
  <si>
    <t>2.7.1.Verifica che per la zattera lato libero, non occorre armatura a taglio</t>
  </si>
  <si>
    <t>Coordiante Spettro</t>
  </si>
  <si>
    <t>T</t>
  </si>
  <si>
    <t xml:space="preserve">Se(T) </t>
  </si>
  <si>
    <t>s</t>
  </si>
  <si>
    <r>
      <t>m/s</t>
    </r>
    <r>
      <rPr>
        <b/>
        <sz val="11"/>
        <color theme="1"/>
        <rFont val="Times New Roman"/>
        <family val="1"/>
      </rPr>
      <t>²</t>
    </r>
  </si>
  <si>
    <t>Acc. Spettro orizzontale elastico</t>
  </si>
  <si>
    <t>Periodi fondamentali</t>
  </si>
  <si>
    <t xml:space="preserve">Se (0) </t>
  </si>
  <si>
    <r>
      <t>T</t>
    </r>
    <r>
      <rPr>
        <b/>
        <vertAlign val="subscript"/>
        <sz val="11"/>
        <color theme="1"/>
        <rFont val="Calibri"/>
        <family val="2"/>
        <scheme val="minor"/>
      </rPr>
      <t>0</t>
    </r>
  </si>
  <si>
    <r>
      <t>Se (T</t>
    </r>
    <r>
      <rPr>
        <sz val="8"/>
        <color theme="1"/>
        <rFont val="Calibri"/>
        <family val="2"/>
      </rPr>
      <t>B</t>
    </r>
    <r>
      <rPr>
        <sz val="11"/>
        <color theme="1"/>
        <rFont val="Calibri"/>
        <family val="2"/>
      </rPr>
      <t xml:space="preserve">) </t>
    </r>
  </si>
  <si>
    <r>
      <t>Se (T</t>
    </r>
    <r>
      <rPr>
        <sz val="8"/>
        <color theme="1"/>
        <rFont val="Calibri"/>
        <family val="2"/>
      </rPr>
      <t>C</t>
    </r>
    <r>
      <rPr>
        <sz val="11"/>
        <color theme="1"/>
        <rFont val="Calibri"/>
        <family val="2"/>
      </rPr>
      <t xml:space="preserve">) </t>
    </r>
  </si>
  <si>
    <r>
      <t>Se (T</t>
    </r>
    <r>
      <rPr>
        <sz val="8"/>
        <color theme="1"/>
        <rFont val="Calibri"/>
        <family val="2"/>
      </rPr>
      <t>D</t>
    </r>
    <r>
      <rPr>
        <sz val="11"/>
        <color theme="1"/>
        <rFont val="Calibri"/>
        <family val="2"/>
      </rPr>
      <t xml:space="preserve">) </t>
    </r>
  </si>
  <si>
    <t>Coefficienti di forma.</t>
  </si>
  <si>
    <t>Secondo De Beer</t>
  </si>
  <si>
    <t>Coefficienti di profondità.</t>
  </si>
  <si>
    <t>Secondo Brich-Hansen, 1970; Vesic, 1973</t>
  </si>
  <si>
    <t>Coefficienti di inclinazione del carico.</t>
  </si>
  <si>
    <t>Coefficiente di inclinazione del piano campagna.</t>
  </si>
  <si>
    <t>Secondo Brich-Hansen, 1970</t>
  </si>
  <si>
    <t>Coefficiente di inclinazione del piano di posa.</t>
  </si>
  <si>
    <t>Base</t>
  </si>
  <si>
    <t>Larghezza</t>
  </si>
  <si>
    <t>Base ridotta</t>
  </si>
  <si>
    <r>
      <rPr>
        <b/>
        <sz val="16"/>
        <color theme="1"/>
        <rFont val="Calibri"/>
        <family val="2"/>
        <scheme val="minor"/>
      </rPr>
      <t>e</t>
    </r>
    <r>
      <rPr>
        <b/>
        <sz val="8"/>
        <color theme="1"/>
        <rFont val="Calibri"/>
        <family val="2"/>
      </rPr>
      <t>b</t>
    </r>
  </si>
  <si>
    <t>Altezza zattera</t>
  </si>
  <si>
    <t>Affondamento</t>
  </si>
  <si>
    <t>Altezza magrone</t>
  </si>
  <si>
    <t>Carico verticale</t>
  </si>
  <si>
    <t>Carico Orizzontale</t>
  </si>
  <si>
    <t>TIPO ROTTURA:</t>
  </si>
  <si>
    <t>Coefficienti di forma</t>
  </si>
  <si>
    <t>Coefficienti di profondità</t>
  </si>
  <si>
    <t>Coefficienti di Inclinazione del carico</t>
  </si>
  <si>
    <t>Coefficienti di Inclinazione del piano campagna</t>
  </si>
  <si>
    <t>Coefficienti che tengono conto della rottura per ponzunamento</t>
  </si>
  <si>
    <t>Coefficienti di Inclinazione del piano di posa della fondazione</t>
  </si>
  <si>
    <t>Secondo Vesic (1973)</t>
  </si>
  <si>
    <t>Hscor.</t>
  </si>
  <si>
    <t>VERIFICA AL RIBALTAMENTO</t>
  </si>
  <si>
    <t>VERIFICA AL COLLASSO PER CARICO LIMITE PER IL SISTEMA TERRENO-FONDAZIONE</t>
  </si>
  <si>
    <t>Momento Sollecitante</t>
  </si>
  <si>
    <r>
      <t>M</t>
    </r>
    <r>
      <rPr>
        <b/>
        <sz val="8"/>
        <color rgb="FFFF0000"/>
        <rFont val="Calibri"/>
        <family val="2"/>
      </rPr>
      <t>r, tot</t>
    </r>
  </si>
  <si>
    <r>
      <t>Sh,</t>
    </r>
    <r>
      <rPr>
        <b/>
        <sz val="8"/>
        <color rgb="FFFF0000"/>
        <rFont val="Calibri"/>
        <family val="2"/>
        <scheme val="minor"/>
      </rPr>
      <t>tot X</t>
    </r>
  </si>
  <si>
    <t>Situazione più gravosa</t>
  </si>
  <si>
    <t>Spinta orizzontale totale, nella situazione più gravosa</t>
  </si>
  <si>
    <t>Momento ribaltante totale, nella situazione più gravosa</t>
  </si>
  <si>
    <t>h,ter</t>
  </si>
  <si>
    <t>Altezza paramento e zattera</t>
  </si>
  <si>
    <t>h,tot</t>
  </si>
  <si>
    <t>2 Caratteristiche geometriche e pesi</t>
  </si>
  <si>
    <t>2.1 Caratteristiche geometriche e pesi del muro</t>
  </si>
  <si>
    <t>2.2 Caratteristiche geometriche e pesi del sistema terra-muro</t>
  </si>
  <si>
    <t>3 Verifica allo SLU di ribaltamento</t>
  </si>
  <si>
    <t>3.1 La verifica al ribaltamento si tratta con la combinazione EQU</t>
  </si>
  <si>
    <t>2 DATI DI PROGETTO</t>
  </si>
  <si>
    <t>3 FATTORI DI CAPACITA' PORTANTE</t>
  </si>
  <si>
    <t>4 COEFFICIENTI CORRETTIVI</t>
  </si>
  <si>
    <t>5 REGOLA DI MEYERHOF</t>
  </si>
  <si>
    <t>6 CARICO LIMITE</t>
  </si>
  <si>
    <t>7 VERIFICA CAPACITA' PORTANTE</t>
  </si>
  <si>
    <t>8 VERIFICA A SCORRIMENTO</t>
  </si>
  <si>
    <t>9 VERIFICA A PUNZONAMENTO</t>
  </si>
  <si>
    <t>10 VERIFICA PER ROTTURA LOCALE</t>
  </si>
  <si>
    <t>9 ROTTURA PER PUNZONAMENTO</t>
  </si>
  <si>
    <t>10 ROTTURA LOCALE</t>
  </si>
  <si>
    <t>Vuoi utilizzare valori unitari del coefficiente ?</t>
  </si>
  <si>
    <t>d</t>
  </si>
  <si>
    <t>Vuoi trascurare la spinta passiva nella verifica a scorrimento?</t>
  </si>
  <si>
    <t>Altezza per la spinta passiva</t>
  </si>
  <si>
    <t>Vuoi definire l'angolo di attrito?</t>
  </si>
  <si>
    <r>
      <t>δ</t>
    </r>
    <r>
      <rPr>
        <b/>
        <sz val="8"/>
        <color theme="1"/>
        <rFont val="Calibri"/>
        <family val="2"/>
      </rPr>
      <t>,k</t>
    </r>
  </si>
  <si>
    <r>
      <t>δ</t>
    </r>
    <r>
      <rPr>
        <b/>
        <sz val="8"/>
        <color theme="1"/>
        <rFont val="Calibri"/>
        <family val="2"/>
      </rPr>
      <t>,d</t>
    </r>
  </si>
  <si>
    <t>PHI-THETA(+)</t>
  </si>
  <si>
    <t>PHI-THETA(-)</t>
  </si>
  <si>
    <t>Wood</t>
  </si>
  <si>
    <t>kh</t>
  </si>
  <si>
    <t>Spinta a riposo</t>
  </si>
  <si>
    <t>Coefficienti di spinta attiva secondo la teoria di:</t>
  </si>
  <si>
    <t>1 COMBINAZIONE DI CALCOLO E PARAMETRI SISMICI</t>
  </si>
  <si>
    <t xml:space="preserve">Coefficiente di riduzione dell’accelerazione </t>
  </si>
  <si>
    <t>1 Combinazione di calcolo e parametri sismici</t>
  </si>
  <si>
    <r>
      <t>H</t>
    </r>
    <r>
      <rPr>
        <b/>
        <sz val="8"/>
        <color theme="1"/>
        <rFont val="Calibri"/>
        <family val="2"/>
      </rPr>
      <t>cal</t>
    </r>
  </si>
  <si>
    <r>
      <t>γ</t>
    </r>
    <r>
      <rPr>
        <b/>
        <i/>
        <sz val="9"/>
        <color theme="1"/>
        <rFont val="Calibri"/>
        <family val="2"/>
        <scheme val="minor"/>
      </rPr>
      <t>G1</t>
    </r>
  </si>
  <si>
    <r>
      <t>γ</t>
    </r>
    <r>
      <rPr>
        <b/>
        <i/>
        <sz val="9"/>
        <color theme="1"/>
        <rFont val="Calibri"/>
        <family val="2"/>
        <scheme val="minor"/>
      </rPr>
      <t>G2</t>
    </r>
  </si>
  <si>
    <r>
      <t>γ</t>
    </r>
    <r>
      <rPr>
        <b/>
        <i/>
        <sz val="9"/>
        <color theme="1"/>
        <rFont val="Calibri"/>
        <family val="2"/>
        <scheme val="minor"/>
      </rPr>
      <t>Qk</t>
    </r>
  </si>
  <si>
    <t>1-Combinazione di calcolo e parametri sismici</t>
  </si>
  <si>
    <t>asse neutro</t>
  </si>
  <si>
    <t>Rispetto al centro di rotazione</t>
  </si>
  <si>
    <t>Rispetto all'origine degli assi</t>
  </si>
  <si>
    <t>ZattSx</t>
  </si>
  <si>
    <t>ZattDx</t>
  </si>
  <si>
    <t>inc</t>
  </si>
  <si>
    <t>O.A.</t>
  </si>
  <si>
    <t>segno tens</t>
  </si>
  <si>
    <t>tensioni terreno real</t>
  </si>
  <si>
    <t>Posizione dell'asse neutro riferito all'origine degli assi</t>
  </si>
  <si>
    <t>a.n.</t>
  </si>
  <si>
    <t>q</t>
  </si>
  <si>
    <t>segno</t>
  </si>
  <si>
    <t>pend</t>
  </si>
  <si>
    <r>
      <t>S</t>
    </r>
    <r>
      <rPr>
        <b/>
        <sz val="8"/>
        <color rgb="FFFF0000"/>
        <rFont val="Calibri"/>
        <family val="2"/>
      </rPr>
      <t>h,terra</t>
    </r>
  </si>
  <si>
    <r>
      <t>S</t>
    </r>
    <r>
      <rPr>
        <b/>
        <sz val="8"/>
        <color rgb="FFFF0000"/>
        <rFont val="Calibri"/>
        <family val="2"/>
      </rPr>
      <t>h,G2</t>
    </r>
  </si>
  <si>
    <r>
      <t>S</t>
    </r>
    <r>
      <rPr>
        <b/>
        <sz val="8"/>
        <color rgb="FFFF0000"/>
        <rFont val="Calibri"/>
        <family val="2"/>
      </rPr>
      <t>h,Qk</t>
    </r>
  </si>
  <si>
    <t>Spinte e momenti risultanti</t>
  </si>
  <si>
    <r>
      <t>γ</t>
    </r>
    <r>
      <rPr>
        <b/>
        <sz val="8"/>
        <color rgb="FFFF0000"/>
        <rFont val="Calibri"/>
        <family val="2"/>
      </rPr>
      <t>G1</t>
    </r>
    <r>
      <rPr>
        <b/>
        <sz val="12"/>
        <color rgb="FFFF0000"/>
        <rFont val="Calibri"/>
        <family val="2"/>
      </rPr>
      <t/>
    </r>
  </si>
  <si>
    <r>
      <t>γ</t>
    </r>
    <r>
      <rPr>
        <b/>
        <sz val="8"/>
        <color rgb="FFFF0000"/>
        <rFont val="Calibri"/>
        <family val="2"/>
      </rPr>
      <t>G2</t>
    </r>
    <r>
      <rPr>
        <b/>
        <sz val="12"/>
        <color rgb="FFFF0000"/>
        <rFont val="Calibri"/>
        <family val="2"/>
      </rPr>
      <t xml:space="preserve"> </t>
    </r>
  </si>
  <si>
    <r>
      <t>γ</t>
    </r>
    <r>
      <rPr>
        <b/>
        <sz val="8"/>
        <color rgb="FFFF0000"/>
        <rFont val="Calibri"/>
        <family val="2"/>
      </rPr>
      <t>Qk</t>
    </r>
    <r>
      <rPr>
        <b/>
        <sz val="12"/>
        <color rgb="FFFF0000"/>
        <rFont val="Calibri"/>
        <family val="2"/>
      </rPr>
      <t xml:space="preserve"> </t>
    </r>
  </si>
  <si>
    <r>
      <t>σ</t>
    </r>
    <r>
      <rPr>
        <b/>
        <vertAlign val="subscript"/>
        <sz val="12"/>
        <color rgb="FFFF0000"/>
        <rFont val="Calibri"/>
        <family val="2"/>
      </rPr>
      <t xml:space="preserve">h,terra </t>
    </r>
  </si>
  <si>
    <r>
      <t>σ</t>
    </r>
    <r>
      <rPr>
        <b/>
        <vertAlign val="subscript"/>
        <sz val="12"/>
        <color rgb="FFFF0000"/>
        <rFont val="Calibri"/>
        <family val="2"/>
      </rPr>
      <t>h,G2</t>
    </r>
  </si>
  <si>
    <r>
      <t>σ</t>
    </r>
    <r>
      <rPr>
        <b/>
        <vertAlign val="subscript"/>
        <sz val="12"/>
        <color rgb="FFFF0000"/>
        <rFont val="Calibri"/>
        <family val="2"/>
      </rPr>
      <t>h,Qk</t>
    </r>
  </si>
  <si>
    <r>
      <t>γ</t>
    </r>
    <r>
      <rPr>
        <b/>
        <sz val="8"/>
        <color rgb="FFFF0000"/>
        <rFont val="Calibri"/>
        <family val="2"/>
      </rPr>
      <t>G1</t>
    </r>
    <r>
      <rPr>
        <b/>
        <sz val="12"/>
        <color rgb="FFFF0000"/>
        <rFont val="Calibri"/>
        <family val="2"/>
      </rPr>
      <t xml:space="preserve"> x S</t>
    </r>
    <r>
      <rPr>
        <b/>
        <vertAlign val="subscript"/>
        <sz val="12"/>
        <color rgb="FFFF0000"/>
        <rFont val="Calibri"/>
        <family val="2"/>
      </rPr>
      <t xml:space="preserve">h,terra </t>
    </r>
  </si>
  <si>
    <r>
      <t>γ</t>
    </r>
    <r>
      <rPr>
        <b/>
        <sz val="8"/>
        <color rgb="FFFF0000"/>
        <rFont val="Calibri"/>
        <family val="2"/>
      </rPr>
      <t>G2</t>
    </r>
    <r>
      <rPr>
        <b/>
        <sz val="12"/>
        <color rgb="FFFF0000"/>
        <rFont val="Calibri"/>
        <family val="2"/>
      </rPr>
      <t xml:space="preserve"> x S</t>
    </r>
    <r>
      <rPr>
        <b/>
        <vertAlign val="subscript"/>
        <sz val="12"/>
        <color rgb="FFFF0000"/>
        <rFont val="Calibri"/>
        <family val="2"/>
      </rPr>
      <t>h,G2</t>
    </r>
  </si>
  <si>
    <r>
      <t>γ</t>
    </r>
    <r>
      <rPr>
        <b/>
        <sz val="8"/>
        <color rgb="FFFF0000"/>
        <rFont val="Calibri"/>
        <family val="2"/>
      </rPr>
      <t>Qk</t>
    </r>
    <r>
      <rPr>
        <b/>
        <sz val="12"/>
        <color rgb="FFFF0000"/>
        <rFont val="Calibri"/>
        <family val="2"/>
      </rPr>
      <t xml:space="preserve"> x S</t>
    </r>
    <r>
      <rPr>
        <b/>
        <vertAlign val="subscript"/>
        <sz val="12"/>
        <color rgb="FFFF0000"/>
        <rFont val="Calibri"/>
        <family val="2"/>
      </rPr>
      <t>h,Qk</t>
    </r>
  </si>
  <si>
    <r>
      <t>∑S</t>
    </r>
    <r>
      <rPr>
        <b/>
        <sz val="8"/>
        <color rgb="FFFF0000"/>
        <rFont val="Calibri"/>
        <family val="2"/>
      </rPr>
      <t>h</t>
    </r>
  </si>
  <si>
    <r>
      <t>∑S</t>
    </r>
    <r>
      <rPr>
        <b/>
        <sz val="8"/>
        <color rgb="FFFF0000"/>
        <rFont val="Calibri"/>
        <family val="2"/>
      </rPr>
      <t>h, X</t>
    </r>
  </si>
  <si>
    <r>
      <t>∑S</t>
    </r>
    <r>
      <rPr>
        <b/>
        <sz val="8"/>
        <color rgb="FFFF0000"/>
        <rFont val="Calibri"/>
        <family val="2"/>
      </rPr>
      <t>h, Y</t>
    </r>
  </si>
  <si>
    <t>tensioni risultanti</t>
  </si>
  <si>
    <t>Coefficienti amplificativi</t>
  </si>
  <si>
    <t>Spinte di calcolo</t>
  </si>
  <si>
    <t xml:space="preserve">2 cu </t>
  </si>
  <si>
    <t>phi,check</t>
  </si>
  <si>
    <t>gamma,check</t>
  </si>
  <si>
    <t>cu,check</t>
  </si>
  <si>
    <t>c',check</t>
  </si>
  <si>
    <r>
      <t xml:space="preserve"> σ</t>
    </r>
    <r>
      <rPr>
        <b/>
        <vertAlign val="subscript"/>
        <sz val="12"/>
        <color rgb="FFFF0000"/>
        <rFont val="Calibri"/>
        <family val="2"/>
      </rPr>
      <t>h,G2</t>
    </r>
  </si>
  <si>
    <r>
      <t>γ</t>
    </r>
    <r>
      <rPr>
        <b/>
        <sz val="8"/>
        <color theme="1"/>
        <rFont val="Calibri"/>
        <family val="2"/>
        <scheme val="minor"/>
      </rPr>
      <t>G1</t>
    </r>
  </si>
  <si>
    <t>Spinte e momenti</t>
  </si>
  <si>
    <r>
      <t>M</t>
    </r>
    <r>
      <rPr>
        <b/>
        <sz val="8"/>
        <color rgb="FFFF0000"/>
        <rFont val="Calibri"/>
        <family val="2"/>
      </rPr>
      <t>r,d</t>
    </r>
  </si>
  <si>
    <r>
      <t>M</t>
    </r>
    <r>
      <rPr>
        <b/>
        <sz val="8"/>
        <color rgb="FFFF0000"/>
        <rFont val="Calibri"/>
        <family val="2"/>
      </rPr>
      <t>r, tot car</t>
    </r>
  </si>
  <si>
    <r>
      <t>m</t>
    </r>
    <r>
      <rPr>
        <b/>
        <sz val="8"/>
        <color theme="0" tint="-0.499984740745262"/>
        <rFont val="Calibri"/>
        <family val="2"/>
        <scheme val="minor"/>
      </rPr>
      <t>b</t>
    </r>
  </si>
  <si>
    <r>
      <t>σ</t>
    </r>
    <r>
      <rPr>
        <b/>
        <sz val="9"/>
        <color theme="1"/>
        <rFont val="Calibri"/>
        <family val="2"/>
      </rPr>
      <t>inc</t>
    </r>
  </si>
  <si>
    <t>Tensione sull'asse del paramento</t>
  </si>
  <si>
    <t>SOLLECITAZIONI</t>
  </si>
  <si>
    <t>VALORI PURIFICATI DA GAMMA</t>
  </si>
  <si>
    <t xml:space="preserve">CARICO </t>
  </si>
  <si>
    <t>Larghezza del muro</t>
  </si>
  <si>
    <t>T,fittizio</t>
  </si>
  <si>
    <t>T,inc</t>
  </si>
  <si>
    <t>M,inc</t>
  </si>
  <si>
    <t>ΔT dovuto alle approssimazioni</t>
  </si>
  <si>
    <t>Analisi delle Spinte Cond. drenate</t>
  </si>
  <si>
    <t>SUL PARAMENTO</t>
  </si>
  <si>
    <t>h,par,ARM</t>
  </si>
  <si>
    <t>M,fittizio</t>
  </si>
  <si>
    <t>h,cal,par</t>
  </si>
  <si>
    <t>h,cal,tot</t>
  </si>
  <si>
    <t>COSTRUZIONE DEL CARICO INERZIALE EQUIVALENTE</t>
  </si>
  <si>
    <t>Pm</t>
  </si>
  <si>
    <t>A+B</t>
  </si>
  <si>
    <t>testa</t>
  </si>
  <si>
    <t>base</t>
  </si>
  <si>
    <t>carico</t>
  </si>
  <si>
    <t>m*z+q</t>
  </si>
  <si>
    <t>zg</t>
  </si>
  <si>
    <r>
      <t>1</t>
    </r>
    <r>
      <rPr>
        <b/>
        <sz val="11"/>
        <color theme="1"/>
        <rFont val="Calibri"/>
        <family val="2"/>
      </rPr>
      <t>±</t>
    </r>
    <r>
      <rPr>
        <b/>
        <sz val="11"/>
        <color theme="1"/>
        <rFont val="Calibri"/>
        <family val="2"/>
        <scheme val="minor"/>
      </rPr>
      <t>kv</t>
    </r>
  </si>
  <si>
    <t>anteriore</t>
  </si>
  <si>
    <r>
      <t>ϒ</t>
    </r>
    <r>
      <rPr>
        <b/>
        <sz val="8"/>
        <color theme="1"/>
        <rFont val="Calibri"/>
        <family val="2"/>
      </rPr>
      <t>f,sotto</t>
    </r>
  </si>
  <si>
    <r>
      <t>ϒ</t>
    </r>
    <r>
      <rPr>
        <b/>
        <sz val="8"/>
        <color theme="1"/>
        <rFont val="Calibri"/>
        <family val="2"/>
      </rPr>
      <t>f,sopra</t>
    </r>
  </si>
  <si>
    <t>terreno monte</t>
  </si>
  <si>
    <t>terreno valle</t>
  </si>
  <si>
    <r>
      <t>ϒ</t>
    </r>
    <r>
      <rPr>
        <b/>
        <sz val="9"/>
        <color theme="1"/>
        <rFont val="Calibri"/>
        <family val="2"/>
      </rPr>
      <t>f,sopra,d</t>
    </r>
  </si>
  <si>
    <r>
      <t>ϒf</t>
    </r>
    <r>
      <rPr>
        <b/>
        <sz val="9"/>
        <color theme="1"/>
        <rFont val="Calibri"/>
        <family val="2"/>
      </rPr>
      <t>,sotto,d</t>
    </r>
  </si>
  <si>
    <r>
      <t>ϒ'</t>
    </r>
    <r>
      <rPr>
        <b/>
        <sz val="9"/>
        <color theme="1"/>
        <rFont val="Calibri"/>
        <family val="2"/>
      </rPr>
      <t>f,sopra,d</t>
    </r>
  </si>
  <si>
    <r>
      <t>ϒ'f</t>
    </r>
    <r>
      <rPr>
        <b/>
        <sz val="9"/>
        <color theme="1"/>
        <rFont val="Calibri"/>
        <family val="2"/>
      </rPr>
      <t>,sotto,d</t>
    </r>
  </si>
  <si>
    <t>Carico terra a valle del paramento</t>
  </si>
  <si>
    <r>
      <t>σ</t>
    </r>
    <r>
      <rPr>
        <b/>
        <vertAlign val="subscript"/>
        <sz val="12"/>
        <rFont val="Calibri"/>
        <family val="2"/>
      </rPr>
      <t>terra,tergo</t>
    </r>
  </si>
  <si>
    <r>
      <t>σ</t>
    </r>
    <r>
      <rPr>
        <b/>
        <vertAlign val="subscript"/>
        <sz val="12"/>
        <rFont val="Calibri"/>
        <family val="2"/>
      </rPr>
      <t>terra, valle</t>
    </r>
  </si>
  <si>
    <t>Peso specifico del terreno sopra la zattera dal lato di valle</t>
  </si>
  <si>
    <t>Affondamento della zattera, misurato rispetto al piano di posa</t>
  </si>
  <si>
    <t>sigma terra tergo</t>
  </si>
  <si>
    <t>sigma terra valle</t>
  </si>
  <si>
    <t>CARICO INDOTTO DA SOPRA, terreno lato valle</t>
  </si>
  <si>
    <t>Ka</t>
  </si>
  <si>
    <t>Inclinazione del paramento (complementare)</t>
  </si>
  <si>
    <t>STRATO 1</t>
  </si>
  <si>
    <t>STRATO 3</t>
  </si>
  <si>
    <t>STRATO 2</t>
  </si>
  <si>
    <t>Resoconto coefficienti di Spinta Attiva</t>
  </si>
  <si>
    <t>Altezza del cuneo di spinta passiva</t>
  </si>
  <si>
    <t>γG1</t>
  </si>
  <si>
    <t>γG2</t>
  </si>
  <si>
    <t>γQk</t>
  </si>
  <si>
    <t>scorri-              mento</t>
  </si>
  <si>
    <t>5.1 Output grafico " Tensioni risultanti amplificate dai coefficienti γ "</t>
  </si>
  <si>
    <t>3.1 Carichi</t>
  </si>
  <si>
    <t>3 Sollecitazioni</t>
  </si>
  <si>
    <t>2 Caratteristiche dei materiali</t>
  </si>
  <si>
    <t>distribuzione del carico dinamico dell'acqua</t>
  </si>
  <si>
    <t>Coefficiente riduttivo per attrito e inclinazione</t>
  </si>
  <si>
    <t>distribuzione trapezia delle forze d'inerzia</t>
  </si>
  <si>
    <t>z,parziale</t>
  </si>
  <si>
    <t>3.1 Caratteristiche della sollecitazione</t>
  </si>
  <si>
    <t>Sh,tot Y</t>
  </si>
  <si>
    <t>carico del muro</t>
  </si>
  <si>
    <t>coef</t>
  </si>
  <si>
    <t>inerz</t>
  </si>
  <si>
    <t>acq din</t>
  </si>
  <si>
    <t>T(triang)</t>
  </si>
  <si>
    <t>T(rett)</t>
  </si>
  <si>
    <t>carico medio triang</t>
  </si>
  <si>
    <t>carico medio rett</t>
  </si>
  <si>
    <r>
      <t>Sh,</t>
    </r>
    <r>
      <rPr>
        <b/>
        <sz val="9"/>
        <rFont val="Calibri"/>
        <family val="2"/>
        <scheme val="minor"/>
      </rPr>
      <t>tot X</t>
    </r>
  </si>
  <si>
    <t>POS 3</t>
  </si>
  <si>
    <t>POS 4</t>
  </si>
  <si>
    <t>POS 5</t>
  </si>
  <si>
    <t>POS 2</t>
  </si>
  <si>
    <t>POS 1</t>
  </si>
  <si>
    <t xml:space="preserve">As </t>
  </si>
  <si>
    <r>
      <rPr>
        <sz val="11"/>
        <color theme="1"/>
        <rFont val="Calibri"/>
        <family val="2"/>
      </rPr>
      <t>Σ</t>
    </r>
    <r>
      <rPr>
        <sz val="9.9"/>
        <color theme="1"/>
        <rFont val="Calibri"/>
        <family val="2"/>
      </rPr>
      <t>M</t>
    </r>
  </si>
  <si>
    <t>MC</t>
  </si>
  <si>
    <t>MPOS1</t>
  </si>
  <si>
    <t>MPOS2</t>
  </si>
  <si>
    <t>MPOS3</t>
  </si>
  <si>
    <t>MPOS4</t>
  </si>
  <si>
    <t>MPOS5</t>
  </si>
  <si>
    <t>STEP</t>
  </si>
  <si>
    <t>SEZIONE STEP 0</t>
  </si>
  <si>
    <t>β2</t>
  </si>
  <si>
    <r>
      <t>β</t>
    </r>
    <r>
      <rPr>
        <b/>
        <sz val="9.9"/>
        <color theme="1"/>
        <rFont val="Calibri"/>
        <family val="2"/>
      </rPr>
      <t>1</t>
    </r>
  </si>
  <si>
    <r>
      <t>α</t>
    </r>
    <r>
      <rPr>
        <b/>
        <sz val="9"/>
        <color theme="1"/>
        <rFont val="Calibri"/>
        <family val="2"/>
      </rPr>
      <t>c</t>
    </r>
  </si>
  <si>
    <r>
      <t>ε</t>
    </r>
    <r>
      <rPr>
        <b/>
        <sz val="9"/>
        <color theme="1"/>
        <rFont val="Calibri"/>
        <family val="2"/>
      </rPr>
      <t>c</t>
    </r>
  </si>
  <si>
    <r>
      <t>ε</t>
    </r>
    <r>
      <rPr>
        <b/>
        <sz val="9"/>
        <color theme="1"/>
        <rFont val="Calibri"/>
        <family val="2"/>
      </rPr>
      <t>s1</t>
    </r>
  </si>
  <si>
    <r>
      <t>ε</t>
    </r>
    <r>
      <rPr>
        <b/>
        <sz val="9"/>
        <color theme="1"/>
        <rFont val="Calibri"/>
        <family val="2"/>
      </rPr>
      <t>s2</t>
    </r>
  </si>
  <si>
    <r>
      <t>ε</t>
    </r>
    <r>
      <rPr>
        <b/>
        <sz val="9"/>
        <color theme="1"/>
        <rFont val="Calibri"/>
        <family val="2"/>
      </rPr>
      <t>s3</t>
    </r>
  </si>
  <si>
    <r>
      <t>ε</t>
    </r>
    <r>
      <rPr>
        <b/>
        <sz val="9"/>
        <color theme="1"/>
        <rFont val="Calibri"/>
        <family val="2"/>
      </rPr>
      <t>s4</t>
    </r>
  </si>
  <si>
    <r>
      <t>ε</t>
    </r>
    <r>
      <rPr>
        <b/>
        <sz val="9"/>
        <color theme="1"/>
        <rFont val="Calibri"/>
        <family val="2"/>
      </rPr>
      <t>s5</t>
    </r>
  </si>
  <si>
    <t>d(z)</t>
  </si>
  <si>
    <t>trappola</t>
  </si>
  <si>
    <t>M,Rd(z)</t>
  </si>
  <si>
    <t>M,Ed(z)</t>
  </si>
  <si>
    <t>M,min</t>
  </si>
  <si>
    <r>
      <t>M</t>
    </r>
    <r>
      <rPr>
        <b/>
        <sz val="9"/>
        <color theme="1"/>
        <rFont val="Calibri"/>
        <family val="2"/>
        <scheme val="minor"/>
      </rPr>
      <t>POS1</t>
    </r>
  </si>
  <si>
    <r>
      <t>M</t>
    </r>
    <r>
      <rPr>
        <b/>
        <sz val="9"/>
        <color theme="1"/>
        <rFont val="Calibri"/>
        <family val="2"/>
        <scheme val="minor"/>
      </rPr>
      <t>POS2</t>
    </r>
  </si>
  <si>
    <r>
      <t>M</t>
    </r>
    <r>
      <rPr>
        <b/>
        <sz val="9"/>
        <color theme="1"/>
        <rFont val="Calibri"/>
        <family val="2"/>
        <scheme val="minor"/>
      </rPr>
      <t>POS3</t>
    </r>
  </si>
  <si>
    <r>
      <t>M</t>
    </r>
    <r>
      <rPr>
        <b/>
        <sz val="9"/>
        <color theme="1"/>
        <rFont val="Calibri"/>
        <family val="2"/>
        <scheme val="minor"/>
      </rPr>
      <t>POS4</t>
    </r>
  </si>
  <si>
    <r>
      <t>M</t>
    </r>
    <r>
      <rPr>
        <b/>
        <sz val="9"/>
        <color theme="1"/>
        <rFont val="Calibri"/>
        <family val="2"/>
        <scheme val="minor"/>
      </rPr>
      <t>POS5</t>
    </r>
  </si>
  <si>
    <t>VERIFICA</t>
  </si>
  <si>
    <r>
      <t>Dist,</t>
    </r>
    <r>
      <rPr>
        <b/>
        <sz val="9"/>
        <color theme="1"/>
        <rFont val="Calibri"/>
        <family val="2"/>
        <scheme val="minor"/>
      </rPr>
      <t>POS 5</t>
    </r>
  </si>
  <si>
    <t>ARMATURE PER GLI STEP 0-2</t>
  </si>
  <si>
    <t>ARMATURE PER GLI STEP 3-4</t>
  </si>
  <si>
    <t>ARMATURE PER GLI STEP 5-6</t>
  </si>
  <si>
    <t>ARMATURE PER GLI STEP 7-8</t>
  </si>
  <si>
    <t>Spessore del copriferro</t>
  </si>
  <si>
    <t>SEZIONE STEP 1</t>
  </si>
  <si>
    <t>2 PARAMETRI SISMICI SLV</t>
  </si>
  <si>
    <t xml:space="preserve">Coefficiente di amplificazione spettrale </t>
  </si>
  <si>
    <t>ATTIVA</t>
  </si>
  <si>
    <t>SEZIONE STEP 2</t>
  </si>
  <si>
    <t>SEZIONE STEP 3</t>
  </si>
  <si>
    <t>SEZIONE STEP 4</t>
  </si>
  <si>
    <t>SEZIONE STEP 5</t>
  </si>
  <si>
    <t>SEZIONE STEP 6</t>
  </si>
  <si>
    <t>SEZIONE STEP 7</t>
  </si>
  <si>
    <t>ARMATURE PER GLI STEP 9-10</t>
  </si>
  <si>
    <r>
      <t>M</t>
    </r>
    <r>
      <rPr>
        <b/>
        <sz val="9"/>
        <color theme="1"/>
        <rFont val="Calibri"/>
        <family val="2"/>
        <scheme val="minor"/>
      </rPr>
      <t>CLS</t>
    </r>
  </si>
  <si>
    <t>SEZIONE STEP 8</t>
  </si>
  <si>
    <t>SEZIONE STEP 9</t>
  </si>
  <si>
    <t>SEZIONE STEP 10</t>
  </si>
  <si>
    <t>H costole</t>
  </si>
  <si>
    <t>distribuito</t>
  </si>
  <si>
    <t>puntuale</t>
  </si>
  <si>
    <t>1.3 Deformazioni limite</t>
  </si>
  <si>
    <t>Deformazione allo snervamento per l'acciaio</t>
  </si>
  <si>
    <t>Deformazione a rottura per il calcestruzzo</t>
  </si>
  <si>
    <t>Coefficiente di fatica del calcestruzzo</t>
  </si>
  <si>
    <t>ASSE NEUTRO</t>
  </si>
  <si>
    <t>POS1</t>
  </si>
  <si>
    <t>POS2</t>
  </si>
  <si>
    <t>POS3</t>
  </si>
  <si>
    <t>POS4</t>
  </si>
  <si>
    <t>POS5</t>
  </si>
  <si>
    <t>L1</t>
  </si>
  <si>
    <t>L2</t>
  </si>
  <si>
    <t>L3</t>
  </si>
  <si>
    <t>L4</t>
  </si>
  <si>
    <t>L5</t>
  </si>
  <si>
    <t>QUANDO STA A SX</t>
  </si>
  <si>
    <t>QUANDO STA A DX</t>
  </si>
  <si>
    <r>
      <t>Dist,</t>
    </r>
    <r>
      <rPr>
        <b/>
        <sz val="9"/>
        <color theme="1"/>
        <rFont val="Calibri"/>
        <family val="2"/>
        <scheme val="minor"/>
      </rPr>
      <t>POS 1</t>
    </r>
  </si>
  <si>
    <r>
      <t>Dist,</t>
    </r>
    <r>
      <rPr>
        <b/>
        <sz val="9"/>
        <color theme="1"/>
        <rFont val="Calibri"/>
        <family val="2"/>
        <scheme val="minor"/>
      </rPr>
      <t>POS 2</t>
    </r>
  </si>
  <si>
    <r>
      <t>Dist,</t>
    </r>
    <r>
      <rPr>
        <b/>
        <sz val="9"/>
        <color theme="1"/>
        <rFont val="Calibri"/>
        <family val="2"/>
        <scheme val="minor"/>
      </rPr>
      <t>POS 3</t>
    </r>
  </si>
  <si>
    <r>
      <t>Dist,</t>
    </r>
    <r>
      <rPr>
        <b/>
        <sz val="9"/>
        <color theme="1"/>
        <rFont val="Calibri"/>
        <family val="2"/>
        <scheme val="minor"/>
      </rPr>
      <t>POS 4</t>
    </r>
  </si>
  <si>
    <t>A partire dall'estradosso della zattera (interessano solo il paramento)</t>
  </si>
  <si>
    <t>ARMATURA</t>
  </si>
  <si>
    <t>←POS 3</t>
  </si>
  <si>
    <t>Se la casella è rossa l'armatura ha raggiunto il limite di deformazione, posto a 6,5%</t>
  </si>
  <si>
    <t>Se la casella è gialla: l'armatura è in campo elastico &lt; 0,187%</t>
  </si>
  <si>
    <t>utilizzo</t>
  </si>
  <si>
    <t>Il valore negativo indica armatura compressa</t>
  </si>
  <si>
    <t>Da quota</t>
  </si>
  <si>
    <t>a quota</t>
  </si>
  <si>
    <t>Quota (z)</t>
  </si>
  <si>
    <t>Si inserisce un'armatura di tentativo e si verifica se questa è sufficiente oppure eccessiva</t>
  </si>
  <si>
    <t>4.1 Definizione della posizione delle armature</t>
  </si>
  <si>
    <t>4 Progetto a flessione</t>
  </si>
  <si>
    <t>4.2 Definizione dello spessore del copriferro</t>
  </si>
  <si>
    <t>4.3 Definizione del quantitativo di armatura al variare della quota del parmento</t>
  </si>
  <si>
    <t>4.4 Verifiche flessione</t>
  </si>
  <si>
    <t>4.4.1 Momento resistente vs Momento sollecitante e coefficiente di utilizzo</t>
  </si>
  <si>
    <t>4.4.1 Momenti resistenti di tutti gli elementi e posizione dell'asse neutro</t>
  </si>
  <si>
    <t>4.4.2 Deformazione delle armature</t>
  </si>
  <si>
    <t>4.4.3 Posizione delle armature al variare della quota del paramento</t>
  </si>
  <si>
    <t>5 Progetto a taglio</t>
  </si>
  <si>
    <r>
      <t>h,</t>
    </r>
    <r>
      <rPr>
        <b/>
        <sz val="9"/>
        <color theme="1"/>
        <rFont val="Calibri"/>
        <family val="2"/>
        <scheme val="minor"/>
      </rPr>
      <t>par</t>
    </r>
  </si>
  <si>
    <t>Altezza del paramento</t>
  </si>
  <si>
    <r>
      <t>ε</t>
    </r>
    <r>
      <rPr>
        <b/>
        <sz val="9"/>
        <color theme="1"/>
        <rFont val="Calibri"/>
        <family val="2"/>
      </rPr>
      <t>ys</t>
    </r>
  </si>
  <si>
    <r>
      <t>ε</t>
    </r>
    <r>
      <rPr>
        <b/>
        <sz val="9"/>
        <color theme="1"/>
        <rFont val="Calibri"/>
        <family val="2"/>
      </rPr>
      <t>us</t>
    </r>
  </si>
  <si>
    <t>INCASTRO</t>
  </si>
  <si>
    <t>TESTA</t>
  </si>
  <si>
    <t>altezza della sezione(problema numerico!)</t>
  </si>
  <si>
    <t>3.1 Output grafico: sezione sagittale e trasversale</t>
  </si>
  <si>
    <t>grafico Mrd</t>
  </si>
  <si>
    <t>Paraghiaia</t>
  </si>
  <si>
    <t>tensioni orizzontali totali</t>
  </si>
  <si>
    <t>tensioni verticali totali</t>
  </si>
  <si>
    <t>cond drenate</t>
  </si>
  <si>
    <t>cond non drenate</t>
  </si>
  <si>
    <r>
      <t>σ'</t>
    </r>
    <r>
      <rPr>
        <b/>
        <vertAlign val="subscript"/>
        <sz val="12"/>
        <rFont val="Calibri"/>
        <family val="2"/>
      </rPr>
      <t>v,terra</t>
    </r>
  </si>
  <si>
    <t>tensioni verticali efficaci</t>
  </si>
  <si>
    <t>ΣF</t>
  </si>
  <si>
    <t>PASSO VAR</t>
  </si>
  <si>
    <r>
      <t>Σ</t>
    </r>
    <r>
      <rPr>
        <b/>
        <sz val="9.9"/>
        <color theme="1"/>
        <rFont val="Calibri"/>
        <family val="2"/>
      </rPr>
      <t>M= M,Rd(z)</t>
    </r>
  </si>
  <si>
    <t>L'asse neutro parte sempre dal lembo compresso</t>
  </si>
  <si>
    <t>Muro a contrafforti</t>
  </si>
  <si>
    <t>Muro a paramento inclinato</t>
  </si>
  <si>
    <t>Muro a paramento verticale</t>
  </si>
  <si>
    <t>Verifica cap 4</t>
  </si>
  <si>
    <t>Asl</t>
  </si>
  <si>
    <t>Loess</t>
  </si>
  <si>
    <t>Sabbia e ghiaia compatta</t>
  </si>
  <si>
    <t>Sabbia e ghiaia sciolta</t>
  </si>
  <si>
    <t>Sabbia compatta</t>
  </si>
  <si>
    <t>Sabbia sciolta</t>
  </si>
  <si>
    <t>Sabbia limosa</t>
  </si>
  <si>
    <t>Limo</t>
  </si>
  <si>
    <t>Argilla sabbiosa</t>
  </si>
  <si>
    <t>Argilla dura (non sature)</t>
  </si>
  <si>
    <t>Argilla media</t>
  </si>
  <si>
    <t xml:space="preserve">Argilla  molle </t>
  </si>
  <si>
    <t>Argilla molto molle (sature)</t>
  </si>
  <si>
    <t>ν</t>
  </si>
  <si>
    <t>medio</t>
  </si>
  <si>
    <t>min</t>
  </si>
  <si>
    <t>max</t>
  </si>
  <si>
    <t>M [kpa]</t>
  </si>
  <si>
    <t>Dr</t>
  </si>
  <si>
    <t>coefficiente di Poisson</t>
  </si>
  <si>
    <t>E [kpa]</t>
  </si>
  <si>
    <t>Kw</t>
  </si>
  <si>
    <t>Costante di Winkler</t>
  </si>
  <si>
    <t>Coefficiente di Poisson</t>
  </si>
  <si>
    <t>Modulo edometrico</t>
  </si>
  <si>
    <t>Modulo elastico</t>
  </si>
  <si>
    <t>Densità relativa</t>
  </si>
  <si>
    <t>P.S. terreno sopra il piano di posa.</t>
  </si>
  <si>
    <r>
      <t>ϒ'f</t>
    </r>
    <r>
      <rPr>
        <b/>
        <sz val="9"/>
        <color theme="1"/>
        <rFont val="Calibri"/>
        <family val="2"/>
      </rPr>
      <t>,medio</t>
    </r>
  </si>
  <si>
    <t>P.S. terreno sotto il piano di posa.</t>
  </si>
  <si>
    <t xml:space="preserve">P.S. medio del terreno </t>
  </si>
  <si>
    <r>
      <t>ϒf</t>
    </r>
    <r>
      <rPr>
        <b/>
        <sz val="9"/>
        <color theme="1"/>
        <rFont val="Calibri"/>
        <family val="2"/>
      </rPr>
      <t>,medio</t>
    </r>
  </si>
  <si>
    <r>
      <t xml:space="preserve">Per muro a paramento inclinato inserire: </t>
    </r>
    <r>
      <rPr>
        <b/>
        <sz val="14"/>
        <color theme="1"/>
        <rFont val="Calibri"/>
        <family val="2"/>
        <scheme val="minor"/>
      </rPr>
      <t xml:space="preserve">nc=1 </t>
    </r>
    <r>
      <rPr>
        <sz val="14"/>
        <color theme="1"/>
        <rFont val="Calibri"/>
        <family val="2"/>
        <scheme val="minor"/>
      </rPr>
      <t>e</t>
    </r>
    <r>
      <rPr>
        <b/>
        <sz val="14"/>
        <color theme="1"/>
        <rFont val="Calibri"/>
        <family val="2"/>
        <scheme val="minor"/>
      </rPr>
      <t xml:space="preserve"> sc=L</t>
    </r>
  </si>
  <si>
    <r>
      <t xml:space="preserve">Se </t>
    </r>
    <r>
      <rPr>
        <b/>
        <sz val="14"/>
        <color theme="1"/>
        <rFont val="Calibri"/>
        <family val="2"/>
        <scheme val="minor"/>
      </rPr>
      <t>his=hfs</t>
    </r>
    <r>
      <rPr>
        <sz val="14"/>
        <color theme="1"/>
        <rFont val="Calibri"/>
        <family val="2"/>
        <scheme val="minor"/>
      </rPr>
      <t xml:space="preserve"> il paramento è verticale; altrimenti è inclinato</t>
    </r>
  </si>
  <si>
    <t>Questo programma è pensato per il pogetto e la verifica di paramenti</t>
  </si>
  <si>
    <t>a semigravità, dalla geometria articolata. Ad esempio muri a contrafforte</t>
  </si>
  <si>
    <t xml:space="preserve">a costole inclinate. </t>
  </si>
  <si>
    <t xml:space="preserve">Il foglio di calcolo esegue tutte le verifiche sulla stabilità del muro, escluse </t>
  </si>
  <si>
    <t>analisi pseudo-statica.</t>
  </si>
  <si>
    <t>le verifiche alla stabilità del pendio. Si calcola l'azione sismica attraverso</t>
  </si>
  <si>
    <t xml:space="preserve">Il calcolo della spinta viene effettuato sfruttando le varie teorie presenti in </t>
  </si>
  <si>
    <t>Si considera inoltre la spinta dell'acqua e la riduzione di spinta dovuta alla</t>
  </si>
  <si>
    <t xml:space="preserve">coesione. Si può anche fare l'ipotesi che a tergo del paramento venga </t>
  </si>
  <si>
    <t>realizzato un drenaggio, annullando in questo modo le spinte dell'acqua.</t>
  </si>
  <si>
    <t>utilizzando la formula di Brich-Hansen, con coefficienti correttivi.</t>
  </si>
  <si>
    <t>letteratura: Rankine; Muller-Breslau; Lancellotta; Mononobe-Okabe.</t>
  </si>
  <si>
    <t>paraghiaia</t>
  </si>
  <si>
    <t>il riferimento in questa analisi si trova in sommità sul paramento, sul lato sx</t>
  </si>
  <si>
    <r>
      <t xml:space="preserve">Nel caso di muri a contrafforti in </t>
    </r>
    <r>
      <rPr>
        <b/>
        <sz val="14"/>
        <color theme="1"/>
        <rFont val="Calibri"/>
        <family val="2"/>
        <scheme val="minor"/>
      </rPr>
      <t>his</t>
    </r>
    <r>
      <rPr>
        <sz val="14"/>
        <color theme="1"/>
        <rFont val="Calibri"/>
        <family val="2"/>
        <scheme val="minor"/>
      </rPr>
      <t xml:space="preserve"> e</t>
    </r>
    <r>
      <rPr>
        <b/>
        <sz val="14"/>
        <color theme="1"/>
        <rFont val="Calibri"/>
        <family val="2"/>
        <scheme val="minor"/>
      </rPr>
      <t xml:space="preserve"> hfs </t>
    </r>
    <r>
      <rPr>
        <sz val="14"/>
        <color theme="1"/>
        <rFont val="Calibri"/>
        <family val="2"/>
        <scheme val="minor"/>
      </rPr>
      <t>includere anche lo spessore della costola</t>
    </r>
  </si>
  <si>
    <t>Quando si inseriscono i dati conviene sempre aiutarsi con l'auto-disegno più in basso</t>
  </si>
  <si>
    <t>ANALISI DELLE SPINTE</t>
  </si>
  <si>
    <t>DEFINIZIONE DATI</t>
  </si>
  <si>
    <t>TAGLIO</t>
  </si>
  <si>
    <t>La "lunghezza della zattera a sx" (sinistra) indica l'stensione della zattera dal faccia del paramento, mentre la "lunghezza della zattera a dx" (destra) indica l'estensione della zattera in base al riferimento scelto sul punto subito sotto.</t>
  </si>
  <si>
    <t>Lunghezza della zattera lato DX (in base al riferimento)</t>
  </si>
  <si>
    <t xml:space="preserve">Lunghezza netta zattera lato DX </t>
  </si>
  <si>
    <t>L(sx)</t>
  </si>
  <si>
    <t>L(dx)</t>
  </si>
  <si>
    <t>MOMENTO</t>
  </si>
  <si>
    <t>4.1 Lunghezza di calcolo della zattera</t>
  </si>
  <si>
    <t>4.2 Carichi trapezioidali agenti sulla zattera</t>
  </si>
  <si>
    <t>5-Sollecitazioni sulla zattera</t>
  </si>
  <si>
    <t>5.1 Sollecitazione tagliante</t>
  </si>
  <si>
    <t>2-Sollecitazioni trasmesse dal paramento</t>
  </si>
  <si>
    <t>Resoconto:</t>
  </si>
  <si>
    <t>Grafico condizioni non drenate: Acceso</t>
  </si>
  <si>
    <t>Spinta totale di combinazione</t>
  </si>
  <si>
    <t>Momento totale di combinazione</t>
  </si>
  <si>
    <t>1 TENSIONI E SPINTE DI CALCOLO CONDIZIONI NON DRENATE</t>
  </si>
  <si>
    <t>2 TENSIONI E SPINTE DI CALCOLO CONDIZIONI NON DRENATE</t>
  </si>
  <si>
    <t>Le sollecitazioni si riferiscono alla seguente larghezza di calcolo:</t>
  </si>
  <si>
    <r>
      <t xml:space="preserve">Coefficiente di riduzione dell’accelerazione massima attesa al sito </t>
    </r>
    <r>
      <rPr>
        <b/>
        <sz val="11"/>
        <color theme="1"/>
        <rFont val="Calibri"/>
        <family val="2"/>
        <scheme val="minor"/>
      </rPr>
      <t xml:space="preserve">βm </t>
    </r>
    <r>
      <rPr>
        <sz val="11"/>
        <color theme="1"/>
        <rFont val="Calibri"/>
        <family val="2"/>
        <scheme val="minor"/>
      </rPr>
      <t>unitario?</t>
    </r>
  </si>
  <si>
    <t>SOLLECITAZIONI NEL PARAMENTO</t>
  </si>
  <si>
    <t>Utilizzare i parametri corretti?</t>
  </si>
  <si>
    <t>versione 1.3</t>
  </si>
  <si>
    <t>SOLLECITAZIONI NELLA ZATTERA</t>
  </si>
  <si>
    <t>5.2 Sollecitazione flettente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</si>
</sst>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164" formatCode="0.000"/>
    <numFmt numFmtId="165" formatCode="0.0"/>
    <numFmt numFmtId="166" formatCode="0.0000"/>
    <numFmt numFmtId="167" formatCode="0.00\ &quot;m&quot;"/>
    <numFmt numFmtId="168" formatCode="0.00\ &quot;mc&quot;"/>
    <numFmt numFmtId="169" formatCode="0.00\ &quot;mq&quot;"/>
    <numFmt numFmtId="170" formatCode="&quot;φ&quot;\ 0"/>
    <numFmt numFmtId="171" formatCode="&quot;/&quot;\ 0.0\ &quot;cm&quot;"/>
    <numFmt numFmtId="172" formatCode="0.000000"/>
    <numFmt numFmtId="173" formatCode="&quot;±&quot;\ 0.00"/>
    <numFmt numFmtId="174" formatCode="0.000000000"/>
    <numFmt numFmtId="175" formatCode="0.00&quot; m&quot;"/>
    <numFmt numFmtId="176" formatCode="0.00&quot; m³&quot;"/>
    <numFmt numFmtId="177" formatCode="0.00&quot; kN&quot;"/>
    <numFmt numFmtId="178" formatCode="0.00&quot; kN/m²&quot;"/>
    <numFmt numFmtId="179" formatCode="&quot;±&quot;\ 0.00&quot; m&quot;"/>
    <numFmt numFmtId="180" formatCode="0.00&quot; °&quot;"/>
    <numFmt numFmtId="181" formatCode="0.000&quot; m&quot;"/>
    <numFmt numFmtId="182" formatCode="0.00&quot; kN/m³&quot;"/>
    <numFmt numFmtId="183" formatCode="0.00&quot; kPa&quot;"/>
    <numFmt numFmtId="184" formatCode="0&quot; %&quot;"/>
    <numFmt numFmtId="185" formatCode="0.0&quot; %&quot;"/>
    <numFmt numFmtId="186" formatCode="0.0&quot; kN/m³&quot;"/>
    <numFmt numFmtId="187" formatCode="0.0&quot; kPa&quot;"/>
    <numFmt numFmtId="188" formatCode="0.0&quot; kN&quot;"/>
    <numFmt numFmtId="189" formatCode="0.0&quot; kNm&quot;"/>
    <numFmt numFmtId="190" formatCode="0.000&quot; m/s²&quot;"/>
    <numFmt numFmtId="191" formatCode="0.000&quot; s&quot;"/>
    <numFmt numFmtId="192" formatCode="&quot;±&quot;\ 0.000"/>
    <numFmt numFmtId="193" formatCode="0.0000&quot; m&quot;"/>
    <numFmt numFmtId="194" formatCode="0.000&quot; kN&quot;"/>
    <numFmt numFmtId="195" formatCode="0.00&quot; kN/m&quot;"/>
    <numFmt numFmtId="196" formatCode="0.00&quot; N/mm²&quot;"/>
    <numFmt numFmtId="197" formatCode="0.0&quot; N/mm²&quot;"/>
    <numFmt numFmtId="198" formatCode="0&quot; N/mm²&quot;"/>
    <numFmt numFmtId="199" formatCode="0&quot; kPa&quot;"/>
    <numFmt numFmtId="200" formatCode="0.00000000000000000000000000000000"/>
    <numFmt numFmtId="201" formatCode="0&quot; mm²&quot;"/>
    <numFmt numFmtId="202" formatCode="0&quot; mm&quot;"/>
    <numFmt numFmtId="203" formatCode="0.000%"/>
    <numFmt numFmtId="204" formatCode="0.0&quot; mm&quot;"/>
    <numFmt numFmtId="205" formatCode="0.00000&quot; m&quot;"/>
    <numFmt numFmtId="206" formatCode="0.000000&quot; m&quot;"/>
    <numFmt numFmtId="207" formatCode="0.00000000&quot; m&quot;"/>
    <numFmt numFmtId="208" formatCode="0.000000000&quot; m&quot;"/>
    <numFmt numFmtId="209" formatCode="0&quot; N/cm³&quot;"/>
    <numFmt numFmtId="210" formatCode="0.000000000000000&quot; m&quot;"/>
    <numFmt numFmtId="211" formatCode="0.00&quot; kNm&quot;"/>
  </numFmts>
  <fonts count="10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</font>
    <font>
      <b/>
      <i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</font>
    <font>
      <b/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.9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12"/>
      <color theme="2" tint="-0.749992370372631"/>
      <name val="Arial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vertAlign val="subscript"/>
      <sz val="11"/>
      <color theme="1"/>
      <name val="Calibri"/>
      <family val="2"/>
    </font>
    <font>
      <b/>
      <sz val="11"/>
      <color theme="1"/>
      <name val="Times New Roman"/>
      <family val="1"/>
    </font>
    <font>
      <b/>
      <sz val="14"/>
      <color indexed="8"/>
      <name val="Calibri"/>
      <family val="2"/>
    </font>
    <font>
      <sz val="11"/>
      <color indexed="8"/>
      <name val="Calibri"/>
      <family val="2"/>
    </font>
    <font>
      <vertAlign val="subscript"/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b/>
      <vertAlign val="superscript"/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b/>
      <sz val="11"/>
      <name val="Times New Roman"/>
      <family val="1"/>
    </font>
    <font>
      <b/>
      <vertAlign val="subscript"/>
      <sz val="11"/>
      <name val="Calibri"/>
      <family val="2"/>
    </font>
    <font>
      <b/>
      <sz val="11"/>
      <name val="Calibri"/>
      <family val="2"/>
    </font>
    <font>
      <b/>
      <sz val="11"/>
      <color rgb="FF00B0F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name val="Calibri"/>
      <family val="2"/>
    </font>
    <font>
      <b/>
      <sz val="10"/>
      <color rgb="FFFF0000"/>
      <name val="Calibri"/>
      <family val="2"/>
      <scheme val="minor"/>
    </font>
    <font>
      <b/>
      <sz val="11"/>
      <color rgb="FFFF0000"/>
      <name val="Calibri"/>
      <family val="2"/>
    </font>
    <font>
      <b/>
      <i/>
      <sz val="14"/>
      <color rgb="FFFF000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name val="Calibri"/>
      <family val="2"/>
    </font>
    <font>
      <b/>
      <vertAlign val="subscript"/>
      <sz val="12"/>
      <name val="Calibri"/>
      <family val="2"/>
    </font>
    <font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rgb="FFFF0000"/>
      <name val="Calibri"/>
      <family val="2"/>
    </font>
    <font>
      <b/>
      <vertAlign val="subscript"/>
      <sz val="12"/>
      <color rgb="FFFF0000"/>
      <name val="Calibri"/>
      <family val="2"/>
    </font>
    <font>
      <b/>
      <i/>
      <u/>
      <sz val="12"/>
      <color theme="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8"/>
      <color rgb="FFFF0000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1"/>
      <color theme="1"/>
      <name val="Symbol"/>
      <family val="1"/>
      <charset val="2"/>
    </font>
    <font>
      <sz val="8"/>
      <color theme="1"/>
      <name val="Calibri"/>
      <family val="2"/>
    </font>
    <font>
      <b/>
      <sz val="8"/>
      <color theme="1"/>
      <name val="calibrian"/>
    </font>
    <font>
      <b/>
      <sz val="11"/>
      <color theme="1" tint="4.9989318521683403E-2"/>
      <name val="Calibri"/>
      <family val="2"/>
      <scheme val="minor"/>
    </font>
    <font>
      <b/>
      <sz val="8"/>
      <color theme="1" tint="4.9989318521683403E-2"/>
      <name val="Calibri"/>
      <family val="2"/>
    </font>
    <font>
      <b/>
      <sz val="9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2"/>
      <color theme="1"/>
      <name val="Calibri"/>
      <family val="2"/>
    </font>
    <font>
      <i/>
      <u/>
      <sz val="11"/>
      <color theme="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0"/>
      <color theme="1"/>
      <name val="Calibri"/>
      <family val="2"/>
    </font>
    <font>
      <b/>
      <sz val="18"/>
      <color rgb="FFFF0000"/>
      <name val="Calibri"/>
      <family val="2"/>
      <scheme val="minor"/>
    </font>
    <font>
      <b/>
      <sz val="16"/>
      <color theme="3" tint="0.39997558519241921"/>
      <name val="Calibri"/>
      <family val="2"/>
      <scheme val="minor"/>
    </font>
    <font>
      <b/>
      <sz val="16"/>
      <color theme="2" tint="-0.499984740745262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sz val="12"/>
      <color rgb="FF002060"/>
      <name val="Calibri"/>
      <family val="2"/>
    </font>
    <font>
      <b/>
      <i/>
      <sz val="10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i/>
      <u/>
      <sz val="14"/>
      <color rgb="FFFF0000"/>
      <name val="Calibri"/>
      <family val="2"/>
      <scheme val="minor"/>
    </font>
    <font>
      <sz val="9.9"/>
      <color theme="1"/>
      <name val="Calibri"/>
      <family val="2"/>
    </font>
    <font>
      <b/>
      <i/>
      <u/>
      <sz val="12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/>
      <bottom/>
      <diagonal/>
    </border>
    <border>
      <left style="thin">
        <color rgb="FF00B0F0"/>
      </left>
      <right/>
      <top style="thin">
        <color rgb="FF00B0F0"/>
      </top>
      <bottom style="thin">
        <color rgb="FF00B0F0"/>
      </bottom>
      <diagonal/>
    </border>
    <border>
      <left/>
      <right/>
      <top style="thin">
        <color rgb="FF00B0F0"/>
      </top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>
      <left/>
      <right style="thin">
        <color indexed="64"/>
      </right>
      <top/>
      <bottom/>
      <diagonal style="thin">
        <color indexed="64"/>
      </diagonal>
    </border>
    <border diagonalUp="1">
      <left/>
      <right/>
      <top/>
      <bottom/>
      <diagonal style="thin">
        <color auto="1"/>
      </diagonal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 diagonalUp="1">
      <left/>
      <right style="dotted">
        <color indexed="64"/>
      </right>
      <top/>
      <bottom/>
      <diagonal style="thin">
        <color auto="1"/>
      </diagonal>
    </border>
    <border diagonalUp="1">
      <left style="thin">
        <color auto="1"/>
      </left>
      <right/>
      <top/>
      <bottom/>
      <diagonal style="thin">
        <color auto="1"/>
      </diagonal>
    </border>
    <border>
      <left style="dotted">
        <color indexed="64"/>
      </left>
      <right/>
      <top/>
      <bottom/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 style="thin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 diagonalUp="1">
      <left/>
      <right/>
      <top/>
      <bottom style="thin">
        <color auto="1"/>
      </bottom>
      <diagonal style="thin">
        <color auto="1"/>
      </diagonal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rgb="FFFF0000"/>
      </left>
      <right style="thin">
        <color auto="1"/>
      </right>
      <top style="thin">
        <color rgb="FFFF0000"/>
      </top>
      <bottom style="thin">
        <color rgb="FFFF0000"/>
      </bottom>
      <diagonal/>
    </border>
    <border>
      <left style="thin">
        <color auto="1"/>
      </left>
      <right style="thin">
        <color auto="1"/>
      </right>
      <top style="thin">
        <color rgb="FFFF0000"/>
      </top>
      <bottom style="thin">
        <color rgb="FFFF0000"/>
      </bottom>
      <diagonal/>
    </border>
    <border>
      <left style="thin">
        <color auto="1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1057">
    <xf numFmtId="0" fontId="0" fillId="0" borderId="0" xfId="0"/>
    <xf numFmtId="0" fontId="12" fillId="0" borderId="0" xfId="0" applyFont="1" applyProtection="1">
      <protection hidden="1"/>
    </xf>
    <xf numFmtId="0" fontId="0" fillId="0" borderId="0" xfId="0" applyProtection="1">
      <protection hidden="1"/>
    </xf>
    <xf numFmtId="2" fontId="0" fillId="0" borderId="0" xfId="0" applyNumberForma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10" fillId="0" borderId="0" xfId="0" applyFont="1" applyProtection="1">
      <protection hidden="1"/>
    </xf>
    <xf numFmtId="165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2" fontId="0" fillId="0" borderId="3" xfId="0" applyNumberFormat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3" fillId="0" borderId="0" xfId="0" applyFont="1" applyProtection="1">
      <protection hidden="1"/>
    </xf>
    <xf numFmtId="0" fontId="16" fillId="0" borderId="0" xfId="0" applyFont="1"/>
    <xf numFmtId="0" fontId="1" fillId="0" borderId="0" xfId="0" applyFont="1" applyAlignment="1" applyProtection="1">
      <protection hidden="1"/>
    </xf>
    <xf numFmtId="0" fontId="0" fillId="0" borderId="0" xfId="0" applyFont="1" applyProtection="1">
      <protection hidden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2" fontId="0" fillId="0" borderId="0" xfId="0" applyNumberFormat="1" applyProtection="1">
      <protection hidden="1"/>
    </xf>
    <xf numFmtId="0" fontId="20" fillId="0" borderId="3" xfId="0" applyFont="1" applyBorder="1" applyAlignment="1" applyProtection="1">
      <alignment horizontal="center" vertical="center"/>
      <protection hidden="1"/>
    </xf>
    <xf numFmtId="0" fontId="20" fillId="0" borderId="0" xfId="0" applyFont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Border="1" applyAlignment="1" applyProtection="1">
      <alignment horizontal="left" vertical="center"/>
      <protection hidden="1"/>
    </xf>
    <xf numFmtId="0" fontId="6" fillId="0" borderId="3" xfId="0" applyFont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left"/>
      <protection hidden="1"/>
    </xf>
    <xf numFmtId="0" fontId="1" fillId="0" borderId="0" xfId="0" applyFont="1"/>
    <xf numFmtId="0" fontId="1" fillId="0" borderId="14" xfId="0" applyFont="1" applyBorder="1" applyAlignment="1" applyProtection="1">
      <alignment horizontal="center" vertical="center"/>
      <protection hidden="1"/>
    </xf>
    <xf numFmtId="165" fontId="1" fillId="0" borderId="15" xfId="0" applyNumberFormat="1" applyFont="1" applyBorder="1" applyAlignment="1" applyProtection="1">
      <alignment horizontal="center" vertical="center"/>
      <protection hidden="1"/>
    </xf>
    <xf numFmtId="0" fontId="1" fillId="0" borderId="16" xfId="0" applyFont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/>
    </xf>
    <xf numFmtId="0" fontId="0" fillId="0" borderId="0" xfId="0" applyBorder="1"/>
    <xf numFmtId="165" fontId="0" fillId="0" borderId="17" xfId="0" applyNumberFormat="1" applyBorder="1" applyAlignment="1" applyProtection="1">
      <alignment horizontal="center" vertical="center"/>
      <protection hidden="1"/>
    </xf>
    <xf numFmtId="0" fontId="6" fillId="0" borderId="0" xfId="0" applyFont="1" applyProtection="1">
      <protection hidden="1"/>
    </xf>
    <xf numFmtId="0" fontId="0" fillId="0" borderId="3" xfId="0" applyBorder="1" applyAlignment="1" applyProtection="1">
      <alignment horizontal="center" vertical="center"/>
    </xf>
    <xf numFmtId="2" fontId="0" fillId="0" borderId="3" xfId="0" applyNumberFormat="1" applyBorder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166" fontId="1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wrapText="1"/>
      <protection hidden="1"/>
    </xf>
    <xf numFmtId="2" fontId="0" fillId="0" borderId="0" xfId="0" applyNumberFormat="1" applyAlignment="1">
      <alignment horizontal="center" vertical="center"/>
    </xf>
    <xf numFmtId="0" fontId="0" fillId="0" borderId="9" xfId="0" applyBorder="1"/>
    <xf numFmtId="2" fontId="0" fillId="0" borderId="9" xfId="0" applyNumberForma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10" fontId="1" fillId="0" borderId="0" xfId="0" applyNumberFormat="1" applyFont="1" applyFill="1" applyAlignment="1">
      <alignment horizontal="center" vertical="center"/>
    </xf>
    <xf numFmtId="10" fontId="0" fillId="0" borderId="0" xfId="0" applyNumberFormat="1" applyFill="1" applyAlignment="1">
      <alignment horizontal="center" vertical="center"/>
    </xf>
    <xf numFmtId="0" fontId="13" fillId="0" borderId="4" xfId="0" applyFont="1" applyBorder="1" applyProtection="1">
      <protection hidden="1"/>
    </xf>
    <xf numFmtId="0" fontId="0" fillId="0" borderId="8" xfId="0" applyBorder="1" applyProtection="1">
      <protection hidden="1"/>
    </xf>
    <xf numFmtId="0" fontId="0" fillId="0" borderId="5" xfId="0" applyBorder="1" applyProtection="1">
      <protection hidden="1"/>
    </xf>
    <xf numFmtId="0" fontId="0" fillId="0" borderId="22" xfId="0" applyBorder="1" applyProtection="1">
      <protection hidden="1"/>
    </xf>
    <xf numFmtId="2" fontId="0" fillId="0" borderId="23" xfId="0" applyNumberFormat="1" applyBorder="1" applyAlignment="1" applyProtection="1">
      <alignment horizontal="center" vertical="center"/>
      <protection hidden="1"/>
    </xf>
    <xf numFmtId="0" fontId="0" fillId="0" borderId="23" xfId="0" applyBorder="1" applyProtection="1"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2" fontId="0" fillId="0" borderId="9" xfId="0" applyNumberFormat="1" applyBorder="1" applyAlignment="1" applyProtection="1">
      <alignment horizontal="center" vertical="center"/>
      <protection hidden="1"/>
    </xf>
    <xf numFmtId="0" fontId="0" fillId="0" borderId="7" xfId="0" applyBorder="1" applyProtection="1">
      <protection hidden="1"/>
    </xf>
    <xf numFmtId="0" fontId="0" fillId="0" borderId="17" xfId="0" applyBorder="1" applyProtection="1">
      <protection hidden="1"/>
    </xf>
    <xf numFmtId="0" fontId="4" fillId="0" borderId="17" xfId="0" applyFont="1" applyBorder="1" applyAlignment="1" applyProtection="1">
      <alignment horizontal="center" vertical="center"/>
      <protection hidden="1"/>
    </xf>
    <xf numFmtId="2" fontId="41" fillId="0" borderId="0" xfId="0" applyNumberFormat="1" applyFont="1" applyFill="1" applyAlignment="1" applyProtection="1">
      <alignment horizontal="center" vertical="center"/>
      <protection hidden="1"/>
    </xf>
    <xf numFmtId="0" fontId="32" fillId="0" borderId="0" xfId="0" applyFont="1" applyFill="1" applyProtection="1">
      <protection hidden="1"/>
    </xf>
    <xf numFmtId="0" fontId="6" fillId="0" borderId="21" xfId="0" applyFont="1" applyBorder="1" applyAlignment="1" applyProtection="1">
      <protection hidden="1"/>
    </xf>
    <xf numFmtId="164" fontId="0" fillId="0" borderId="3" xfId="0" applyNumberFormat="1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44" fillId="0" borderId="0" xfId="0" applyFont="1" applyFill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165" fontId="1" fillId="0" borderId="0" xfId="0" applyNumberFormat="1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right" vertical="center"/>
      <protection hidden="1"/>
    </xf>
    <xf numFmtId="0" fontId="50" fillId="0" borderId="0" xfId="0" applyFont="1" applyProtection="1">
      <protection hidden="1"/>
    </xf>
    <xf numFmtId="0" fontId="44" fillId="0" borderId="31" xfId="0" applyFont="1" applyFill="1" applyBorder="1" applyAlignment="1" applyProtection="1">
      <alignment horizontal="center" vertical="center"/>
      <protection hidden="1"/>
    </xf>
    <xf numFmtId="0" fontId="0" fillId="0" borderId="31" xfId="0" applyBorder="1" applyProtection="1">
      <protection hidden="1"/>
    </xf>
    <xf numFmtId="0" fontId="0" fillId="0" borderId="33" xfId="0" applyBorder="1" applyProtection="1">
      <protection hidden="1"/>
    </xf>
    <xf numFmtId="0" fontId="0" fillId="0" borderId="32" xfId="0" applyBorder="1" applyProtection="1">
      <protection hidden="1"/>
    </xf>
    <xf numFmtId="0" fontId="44" fillId="0" borderId="34" xfId="0" applyFont="1" applyFill="1" applyBorder="1" applyAlignment="1" applyProtection="1">
      <alignment horizontal="center" vertical="center"/>
      <protection hidden="1"/>
    </xf>
    <xf numFmtId="0" fontId="0" fillId="0" borderId="10" xfId="0" applyBorder="1" applyAlignment="1">
      <alignment horizontal="center" vertical="center"/>
    </xf>
    <xf numFmtId="2" fontId="1" fillId="0" borderId="23" xfId="0" applyNumberFormat="1" applyFont="1" applyBorder="1" applyAlignment="1" applyProtection="1">
      <alignment horizontal="center" vertical="center"/>
      <protection hidden="1"/>
    </xf>
    <xf numFmtId="2" fontId="1" fillId="0" borderId="34" xfId="0" applyNumberFormat="1" applyFont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170" fontId="2" fillId="0" borderId="3" xfId="0" applyNumberFormat="1" applyFont="1" applyBorder="1" applyAlignment="1" applyProtection="1">
      <alignment horizontal="center" vertical="center"/>
      <protection locked="0"/>
    </xf>
    <xf numFmtId="171" fontId="0" fillId="0" borderId="3" xfId="0" applyNumberFormat="1" applyBorder="1" applyAlignment="1" applyProtection="1">
      <alignment horizontal="center" vertical="center"/>
      <protection locked="0"/>
    </xf>
    <xf numFmtId="1" fontId="0" fillId="0" borderId="0" xfId="0" applyNumberFormat="1" applyFill="1" applyBorder="1" applyAlignment="1" applyProtection="1">
      <alignment horizontal="center"/>
      <protection hidden="1"/>
    </xf>
    <xf numFmtId="0" fontId="31" fillId="0" borderId="0" xfId="0" applyFont="1" applyBorder="1" applyAlignment="1" applyProtection="1">
      <alignment vertical="center" wrapText="1"/>
      <protection hidden="1"/>
    </xf>
    <xf numFmtId="169" fontId="0" fillId="0" borderId="0" xfId="0" applyNumberFormat="1" applyAlignment="1" applyProtection="1">
      <alignment horizontal="center" vertical="center"/>
      <protection hidden="1"/>
    </xf>
    <xf numFmtId="168" fontId="0" fillId="0" borderId="0" xfId="0" applyNumberFormat="1" applyAlignment="1" applyProtection="1">
      <alignment horizontal="center" vertical="center"/>
      <protection hidden="1"/>
    </xf>
    <xf numFmtId="0" fontId="23" fillId="0" borderId="0" xfId="0" applyFont="1" applyBorder="1" applyAlignment="1" applyProtection="1">
      <alignment horizontal="center" wrapText="1"/>
      <protection hidden="1"/>
    </xf>
    <xf numFmtId="164" fontId="1" fillId="0" borderId="0" xfId="0" applyNumberFormat="1" applyFont="1" applyFill="1" applyBorder="1" applyAlignment="1" applyProtection="1">
      <alignment horizontal="center" vertical="center"/>
      <protection hidden="1"/>
    </xf>
    <xf numFmtId="0" fontId="1" fillId="0" borderId="27" xfId="0" applyFont="1" applyFill="1" applyBorder="1" applyAlignment="1" applyProtection="1">
      <alignment horizontal="center" vertical="center"/>
      <protection hidden="1"/>
    </xf>
    <xf numFmtId="0" fontId="1" fillId="0" borderId="26" xfId="0" applyFont="1" applyFill="1" applyBorder="1" applyAlignment="1" applyProtection="1">
      <alignment horizontal="center" vertical="center"/>
      <protection hidden="1"/>
    </xf>
    <xf numFmtId="0" fontId="31" fillId="0" borderId="0" xfId="0" applyFont="1" applyProtection="1"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2" fontId="0" fillId="0" borderId="8" xfId="0" applyNumberFormat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2" fontId="1" fillId="0" borderId="31" xfId="0" applyNumberFormat="1" applyFont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0" fontId="0" fillId="0" borderId="32" xfId="0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horizontal="center" vertical="center"/>
      <protection hidden="1"/>
    </xf>
    <xf numFmtId="0" fontId="0" fillId="0" borderId="29" xfId="0" applyBorder="1" applyProtection="1"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6" xfId="0" applyBorder="1" applyProtection="1"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2" fontId="0" fillId="0" borderId="17" xfId="0" applyNumberFormat="1" applyFill="1" applyBorder="1" applyAlignment="1" applyProtection="1">
      <alignment horizontal="center" vertical="center"/>
      <protection hidden="1"/>
    </xf>
    <xf numFmtId="0" fontId="26" fillId="0" borderId="17" xfId="0" applyFont="1" applyBorder="1" applyAlignment="1" applyProtection="1">
      <alignment horizontal="center" vertical="center"/>
      <protection hidden="1"/>
    </xf>
    <xf numFmtId="1" fontId="0" fillId="0" borderId="17" xfId="0" applyNumberFormat="1" applyFill="1" applyBorder="1" applyAlignment="1" applyProtection="1">
      <alignment horizontal="center" vertical="center"/>
      <protection hidden="1"/>
    </xf>
    <xf numFmtId="171" fontId="0" fillId="0" borderId="0" xfId="0" applyNumberFormat="1" applyBorder="1" applyAlignment="1" applyProtection="1">
      <alignment horizontal="center" vertical="center"/>
      <protection hidden="1"/>
    </xf>
    <xf numFmtId="0" fontId="4" fillId="0" borderId="10" xfId="0" applyFont="1" applyBorder="1" applyAlignment="1" applyProtection="1">
      <alignment horizontal="center" vertical="center"/>
      <protection hidden="1"/>
    </xf>
    <xf numFmtId="1" fontId="0" fillId="0" borderId="10" xfId="0" applyNumberFormat="1" applyBorder="1" applyAlignment="1" applyProtection="1">
      <alignment horizontal="center" vertical="center"/>
      <protection hidden="1"/>
    </xf>
    <xf numFmtId="1" fontId="0" fillId="0" borderId="17" xfId="0" applyNumberFormat="1" applyBorder="1" applyAlignment="1" applyProtection="1">
      <alignment horizontal="center" vertical="center"/>
      <protection hidden="1"/>
    </xf>
    <xf numFmtId="1" fontId="0" fillId="0" borderId="0" xfId="0" applyNumberFormat="1" applyBorder="1" applyAlignment="1" applyProtection="1">
      <alignment horizontal="center" vertical="center"/>
      <protection hidden="1"/>
    </xf>
    <xf numFmtId="0" fontId="41" fillId="0" borderId="0" xfId="0" applyFont="1" applyFill="1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horizontal="center" vertical="center"/>
      <protection hidden="1"/>
    </xf>
    <xf numFmtId="0" fontId="2" fillId="0" borderId="17" xfId="0" applyFont="1" applyFill="1" applyBorder="1" applyAlignment="1" applyProtection="1">
      <alignment horizontal="center" vertical="center"/>
      <protection hidden="1"/>
    </xf>
    <xf numFmtId="0" fontId="2" fillId="0" borderId="17" xfId="0" applyFont="1" applyBorder="1" applyAlignment="1" applyProtection="1">
      <alignment horizontal="center" vertical="center"/>
      <protection hidden="1"/>
    </xf>
    <xf numFmtId="0" fontId="0" fillId="0" borderId="28" xfId="0" applyBorder="1" applyProtection="1">
      <protection hidden="1"/>
    </xf>
    <xf numFmtId="0" fontId="41" fillId="0" borderId="0" xfId="0" applyFont="1" applyBorder="1" applyProtection="1">
      <protection hidden="1"/>
    </xf>
    <xf numFmtId="172" fontId="0" fillId="0" borderId="17" xfId="0" applyNumberFormat="1" applyFill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/>
      <protection hidden="1"/>
    </xf>
    <xf numFmtId="2" fontId="0" fillId="0" borderId="0" xfId="0" applyNumberFormat="1" applyBorder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0" fontId="0" fillId="0" borderId="0" xfId="0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 textRotation="90" wrapText="1"/>
      <protection hidden="1"/>
    </xf>
    <xf numFmtId="0" fontId="2" fillId="0" borderId="0" xfId="0" applyFont="1" applyProtection="1">
      <protection hidden="1"/>
    </xf>
    <xf numFmtId="173" fontId="0" fillId="0" borderId="0" xfId="0" applyNumberFormat="1" applyAlignment="1" applyProtection="1">
      <alignment horizontal="center" vertical="center"/>
      <protection hidden="1"/>
    </xf>
    <xf numFmtId="17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2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/>
    <xf numFmtId="0" fontId="0" fillId="0" borderId="0" xfId="0" applyBorder="1" applyAlignment="1"/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8" borderId="0" xfId="0" applyFill="1" applyAlignment="1">
      <alignment horizontal="center" vertical="center"/>
    </xf>
    <xf numFmtId="0" fontId="0" fillId="0" borderId="0" xfId="0" applyFill="1"/>
    <xf numFmtId="0" fontId="0" fillId="3" borderId="0" xfId="0" applyFill="1" applyAlignment="1">
      <alignment horizontal="center" vertical="center"/>
    </xf>
    <xf numFmtId="0" fontId="0" fillId="0" borderId="0" xfId="0" applyFill="1" applyBorder="1"/>
    <xf numFmtId="0" fontId="0" fillId="6" borderId="0" xfId="0" applyFill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166" fontId="0" fillId="0" borderId="9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2" fontId="55" fillId="0" borderId="0" xfId="0" applyNumberFormat="1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174" fontId="0" fillId="0" borderId="0" xfId="0" applyNumberFormat="1" applyAlignment="1">
      <alignment horizontal="center" vertical="center"/>
    </xf>
    <xf numFmtId="164" fontId="55" fillId="0" borderId="0" xfId="0" applyNumberFormat="1" applyFont="1" applyAlignment="1">
      <alignment horizontal="center" vertical="center"/>
    </xf>
    <xf numFmtId="164" fontId="55" fillId="0" borderId="0" xfId="0" applyNumberFormat="1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175" fontId="0" fillId="0" borderId="0" xfId="0" applyNumberFormat="1" applyAlignment="1">
      <alignment horizontal="center"/>
    </xf>
    <xf numFmtId="166" fontId="0" fillId="0" borderId="17" xfId="0" applyNumberFormat="1" applyFont="1" applyBorder="1" applyAlignment="1">
      <alignment horizontal="center" vertical="center"/>
    </xf>
    <xf numFmtId="0" fontId="31" fillId="0" borderId="0" xfId="0" applyFont="1"/>
    <xf numFmtId="164" fontId="0" fillId="0" borderId="0" xfId="0" applyNumberFormat="1" applyBorder="1" applyAlignment="1" applyProtection="1">
      <alignment horizontal="center" vertical="center"/>
      <protection locked="0"/>
    </xf>
    <xf numFmtId="0" fontId="0" fillId="0" borderId="0" xfId="0" applyAlignment="1">
      <alignment horizontal="right"/>
    </xf>
    <xf numFmtId="2" fontId="44" fillId="0" borderId="0" xfId="0" applyNumberFormat="1" applyFont="1" applyFill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/>
    </xf>
    <xf numFmtId="0" fontId="0" fillId="0" borderId="22" xfId="0" applyBorder="1" applyAlignment="1"/>
    <xf numFmtId="0" fontId="1" fillId="0" borderId="10" xfId="0" applyFont="1" applyBorder="1" applyAlignment="1">
      <alignment horizontal="center" vertical="center"/>
    </xf>
    <xf numFmtId="0" fontId="1" fillId="0" borderId="22" xfId="0" applyFont="1" applyBorder="1" applyAlignment="1"/>
    <xf numFmtId="167" fontId="0" fillId="0" borderId="0" xfId="0" applyNumberFormat="1" applyBorder="1" applyAlignment="1" applyProtection="1">
      <alignment horizontal="center" vertical="center"/>
      <protection hidden="1"/>
    </xf>
    <xf numFmtId="177" fontId="0" fillId="0" borderId="17" xfId="0" applyNumberFormat="1" applyBorder="1" applyAlignment="1">
      <alignment horizontal="center" vertical="center"/>
    </xf>
    <xf numFmtId="0" fontId="0" fillId="0" borderId="0" xfId="0" applyFill="1" applyBorder="1" applyProtection="1">
      <protection hidden="1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164" fontId="0" fillId="6" borderId="0" xfId="0" applyNumberFormat="1" applyFill="1" applyAlignment="1">
      <alignment horizontal="center" vertical="center"/>
    </xf>
    <xf numFmtId="0" fontId="10" fillId="0" borderId="0" xfId="0" applyFont="1" applyAlignment="1">
      <alignment horizontal="right"/>
    </xf>
    <xf numFmtId="0" fontId="0" fillId="0" borderId="10" xfId="0" applyBorder="1"/>
    <xf numFmtId="0" fontId="0" fillId="0" borderId="11" xfId="0" applyBorder="1"/>
    <xf numFmtId="0" fontId="57" fillId="0" borderId="10" xfId="0" applyFont="1" applyFill="1" applyBorder="1" applyAlignment="1" applyProtection="1">
      <alignment horizontal="center" vertical="center"/>
      <protection hidden="1"/>
    </xf>
    <xf numFmtId="2" fontId="0" fillId="0" borderId="0" xfId="0" applyNumberFormat="1" applyBorder="1" applyAlignment="1" applyProtection="1">
      <alignment horizontal="center" vertical="center"/>
    </xf>
    <xf numFmtId="179" fontId="0" fillId="0" borderId="0" xfId="0" applyNumberFormat="1" applyAlignment="1" applyProtection="1">
      <alignment horizontal="center" vertical="center"/>
      <protection hidden="1"/>
    </xf>
    <xf numFmtId="180" fontId="0" fillId="0" borderId="3" xfId="0" applyNumberFormat="1" applyBorder="1" applyAlignment="1">
      <alignment horizontal="center" vertical="center"/>
    </xf>
    <xf numFmtId="181" fontId="0" fillId="0" borderId="3" xfId="0" applyNumberFormat="1" applyBorder="1" applyAlignment="1">
      <alignment horizontal="center" vertical="center"/>
    </xf>
    <xf numFmtId="178" fontId="0" fillId="0" borderId="3" xfId="0" applyNumberFormat="1" applyBorder="1" applyAlignment="1" applyProtection="1">
      <alignment horizontal="center" vertical="center"/>
      <protection locked="0"/>
    </xf>
    <xf numFmtId="182" fontId="0" fillId="0" borderId="3" xfId="0" applyNumberFormat="1" applyBorder="1" applyAlignment="1" applyProtection="1">
      <alignment horizontal="center" vertical="center"/>
      <protection locked="0"/>
    </xf>
    <xf numFmtId="175" fontId="0" fillId="0" borderId="3" xfId="0" applyNumberFormat="1" applyBorder="1" applyAlignment="1" applyProtection="1">
      <alignment horizontal="center" vertical="center"/>
      <protection locked="0"/>
    </xf>
    <xf numFmtId="183" fontId="0" fillId="0" borderId="3" xfId="0" applyNumberFormat="1" applyBorder="1" applyAlignment="1" applyProtection="1">
      <alignment horizontal="center" vertical="center"/>
      <protection locked="0"/>
    </xf>
    <xf numFmtId="0" fontId="56" fillId="0" borderId="0" xfId="0" applyFont="1" applyBorder="1" applyAlignment="1">
      <alignment horizontal="center" vertical="center"/>
    </xf>
    <xf numFmtId="166" fontId="0" fillId="0" borderId="0" xfId="0" applyNumberFormat="1" applyBorder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2" fontId="0" fillId="0" borderId="0" xfId="0" applyNumberFormat="1"/>
    <xf numFmtId="172" fontId="0" fillId="0" borderId="0" xfId="0" applyNumberFormat="1" applyBorder="1" applyAlignment="1">
      <alignment horizontal="center" vertical="center"/>
    </xf>
    <xf numFmtId="177" fontId="0" fillId="0" borderId="0" xfId="0" applyNumberFormat="1" applyBorder="1" applyAlignment="1">
      <alignment horizontal="center" vertical="center"/>
    </xf>
    <xf numFmtId="0" fontId="10" fillId="0" borderId="9" xfId="0" applyFont="1" applyBorder="1" applyAlignment="1">
      <alignment horizontal="right"/>
    </xf>
    <xf numFmtId="172" fontId="0" fillId="0" borderId="9" xfId="0" applyNumberForma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0" fillId="0" borderId="0" xfId="0" applyFill="1" applyAlignment="1">
      <alignment horizontal="center" vertical="center"/>
    </xf>
    <xf numFmtId="172" fontId="0" fillId="0" borderId="0" xfId="0" applyNumberFormat="1" applyFill="1" applyAlignment="1">
      <alignment horizontal="center" vertical="center"/>
    </xf>
    <xf numFmtId="2" fontId="0" fillId="5" borderId="0" xfId="0" applyNumberFormat="1" applyFill="1" applyProtection="1">
      <protection hidden="1"/>
    </xf>
    <xf numFmtId="0" fontId="0" fillId="2" borderId="0" xfId="0" applyFill="1" applyAlignment="1">
      <alignment horizontal="center" vertical="center"/>
    </xf>
    <xf numFmtId="177" fontId="1" fillId="0" borderId="25" xfId="0" applyNumberFormat="1" applyFont="1" applyFill="1" applyBorder="1" applyAlignment="1" applyProtection="1">
      <alignment horizontal="center" vertical="center"/>
      <protection hidden="1"/>
    </xf>
    <xf numFmtId="0" fontId="4" fillId="0" borderId="27" xfId="0" applyFont="1" applyFill="1" applyBorder="1" applyAlignment="1" applyProtection="1">
      <alignment horizontal="center" vertical="center"/>
      <protection hidden="1"/>
    </xf>
    <xf numFmtId="175" fontId="1" fillId="0" borderId="25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Fill="1" applyProtection="1">
      <protection hidden="1"/>
    </xf>
    <xf numFmtId="2" fontId="0" fillId="0" borderId="0" xfId="0" applyNumberFormat="1" applyFill="1" applyAlignment="1" applyProtection="1">
      <alignment horizontal="center" vertical="center"/>
      <protection hidden="1"/>
    </xf>
    <xf numFmtId="0" fontId="0" fillId="0" borderId="0" xfId="0" applyFill="1" applyAlignment="1" applyProtection="1">
      <alignment horizontal="center" vertical="center"/>
      <protection hidden="1"/>
    </xf>
    <xf numFmtId="2" fontId="1" fillId="0" borderId="0" xfId="0" applyNumberFormat="1" applyFont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3" xfId="0" applyBorder="1"/>
    <xf numFmtId="2" fontId="0" fillId="0" borderId="0" xfId="0" applyNumberFormat="1" applyFill="1" applyAlignment="1">
      <alignment horizontal="center" vertical="center"/>
    </xf>
    <xf numFmtId="2" fontId="0" fillId="0" borderId="0" xfId="0" applyNumberFormat="1" applyFont="1" applyAlignment="1">
      <alignment horizontal="left"/>
    </xf>
    <xf numFmtId="2" fontId="0" fillId="8" borderId="0" xfId="0" applyNumberForma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0" fontId="0" fillId="0" borderId="42" xfId="0" applyBorder="1" applyAlignment="1">
      <alignment horizontal="center" vertical="center"/>
    </xf>
    <xf numFmtId="2" fontId="0" fillId="0" borderId="43" xfId="0" applyNumberForma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175" fontId="0" fillId="0" borderId="27" xfId="0" applyNumberFormat="1" applyBorder="1" applyAlignment="1" applyProtection="1">
      <alignment horizontal="center" vertical="center"/>
      <protection locked="0"/>
    </xf>
    <xf numFmtId="186" fontId="0" fillId="0" borderId="3" xfId="0" applyNumberFormat="1" applyBorder="1" applyAlignment="1" applyProtection="1">
      <alignment horizontal="center" vertical="center"/>
      <protection locked="0"/>
    </xf>
    <xf numFmtId="175" fontId="0" fillId="0" borderId="9" xfId="0" applyNumberFormat="1" applyBorder="1" applyAlignment="1">
      <alignment horizontal="center" vertical="center"/>
    </xf>
    <xf numFmtId="175" fontId="0" fillId="0" borderId="0" xfId="0" applyNumberFormat="1" applyBorder="1" applyAlignment="1">
      <alignment horizontal="center" vertical="center"/>
    </xf>
    <xf numFmtId="0" fontId="0" fillId="0" borderId="22" xfId="0" applyBorder="1"/>
    <xf numFmtId="187" fontId="0" fillId="0" borderId="0" xfId="0" applyNumberFormat="1" applyBorder="1" applyAlignment="1" applyProtection="1">
      <alignment horizontal="center" vertical="center"/>
      <protection locked="0"/>
    </xf>
    <xf numFmtId="187" fontId="0" fillId="0" borderId="9" xfId="0" applyNumberFormat="1" applyBorder="1" applyAlignment="1">
      <alignment horizontal="center" vertical="center"/>
    </xf>
    <xf numFmtId="187" fontId="0" fillId="0" borderId="9" xfId="0" applyNumberFormat="1" applyBorder="1" applyAlignment="1" applyProtection="1">
      <alignment horizontal="center" vertical="center"/>
      <protection locked="0"/>
    </xf>
    <xf numFmtId="187" fontId="0" fillId="0" borderId="22" xfId="0" applyNumberFormat="1" applyBorder="1" applyAlignment="1" applyProtection="1">
      <alignment horizontal="center" vertical="center"/>
      <protection locked="0"/>
    </xf>
    <xf numFmtId="187" fontId="0" fillId="0" borderId="6" xfId="0" applyNumberFormat="1" applyBorder="1" applyAlignment="1" applyProtection="1">
      <alignment horizontal="center" vertical="center"/>
      <protection locked="0"/>
    </xf>
    <xf numFmtId="187" fontId="0" fillId="0" borderId="23" xfId="0" applyNumberFormat="1" applyBorder="1" applyAlignment="1" applyProtection="1">
      <alignment horizontal="center" vertical="center"/>
      <protection locked="0"/>
    </xf>
    <xf numFmtId="187" fontId="0" fillId="0" borderId="7" xfId="0" applyNumberFormat="1" applyBorder="1" applyAlignment="1" applyProtection="1">
      <alignment horizontal="center" vertical="center"/>
      <protection locked="0"/>
    </xf>
    <xf numFmtId="0" fontId="60" fillId="8" borderId="0" xfId="0" applyFont="1" applyFill="1" applyAlignment="1" applyProtection="1">
      <alignment horizontal="center" vertical="center"/>
      <protection hidden="1"/>
    </xf>
    <xf numFmtId="0" fontId="60" fillId="9" borderId="0" xfId="0" applyFont="1" applyFill="1" applyAlignment="1" applyProtection="1">
      <alignment horizontal="center" vertical="center"/>
      <protection hidden="1"/>
    </xf>
    <xf numFmtId="187" fontId="1" fillId="0" borderId="0" xfId="0" applyNumberFormat="1" applyFont="1" applyBorder="1" applyAlignment="1" applyProtection="1">
      <alignment horizontal="center" vertical="center"/>
      <protection locked="0"/>
    </xf>
    <xf numFmtId="187" fontId="1" fillId="0" borderId="9" xfId="0" applyNumberFormat="1" applyFont="1" applyBorder="1" applyAlignment="1" applyProtection="1">
      <alignment horizontal="center" vertical="center"/>
      <protection locked="0"/>
    </xf>
    <xf numFmtId="0" fontId="1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7" fillId="0" borderId="11" xfId="0" applyFont="1" applyFill="1" applyBorder="1" applyAlignment="1" applyProtection="1">
      <alignment horizontal="center" vertical="center"/>
      <protection hidden="1"/>
    </xf>
    <xf numFmtId="0" fontId="57" fillId="0" borderId="12" xfId="0" applyFont="1" applyFill="1" applyBorder="1" applyAlignment="1" applyProtection="1">
      <alignment horizontal="center" vertical="center"/>
      <protection hidden="1"/>
    </xf>
    <xf numFmtId="175" fontId="0" fillId="0" borderId="22" xfId="0" applyNumberFormat="1" applyBorder="1" applyAlignment="1">
      <alignment horizontal="center" vertical="center"/>
    </xf>
    <xf numFmtId="187" fontId="0" fillId="0" borderId="0" xfId="0" applyNumberFormat="1" applyBorder="1" applyAlignment="1">
      <alignment horizontal="center" vertical="center"/>
    </xf>
    <xf numFmtId="187" fontId="1" fillId="0" borderId="23" xfId="0" applyNumberFormat="1" applyFont="1" applyBorder="1" applyAlignment="1" applyProtection="1">
      <alignment horizontal="center" vertical="center"/>
      <protection locked="0"/>
    </xf>
    <xf numFmtId="175" fontId="0" fillId="0" borderId="6" xfId="0" applyNumberFormat="1" applyBorder="1" applyAlignment="1">
      <alignment horizontal="center" vertical="center"/>
    </xf>
    <xf numFmtId="187" fontId="1" fillId="0" borderId="7" xfId="0" applyNumberFormat="1" applyFont="1" applyBorder="1" applyAlignment="1" applyProtection="1">
      <alignment horizontal="center" vertical="center"/>
      <protection locked="0"/>
    </xf>
    <xf numFmtId="0" fontId="0" fillId="6" borderId="0" xfId="0" applyFill="1"/>
    <xf numFmtId="0" fontId="61" fillId="0" borderId="11" xfId="0" applyFont="1" applyFill="1" applyBorder="1" applyAlignment="1" applyProtection="1">
      <alignment horizontal="center" vertical="center"/>
      <protection hidden="1"/>
    </xf>
    <xf numFmtId="0" fontId="61" fillId="0" borderId="12" xfId="0" applyFont="1" applyFill="1" applyBorder="1" applyAlignment="1" applyProtection="1">
      <alignment horizontal="center" vertical="center"/>
      <protection hidden="1"/>
    </xf>
    <xf numFmtId="0" fontId="0" fillId="0" borderId="6" xfId="0" applyBorder="1"/>
    <xf numFmtId="0" fontId="0" fillId="0" borderId="7" xfId="0" applyBorder="1"/>
    <xf numFmtId="175" fontId="0" fillId="0" borderId="22" xfId="0" applyNumberFormat="1" applyBorder="1"/>
    <xf numFmtId="2" fontId="0" fillId="0" borderId="0" xfId="0" applyNumberFormat="1" applyBorder="1"/>
    <xf numFmtId="175" fontId="0" fillId="0" borderId="0" xfId="0" applyNumberFormat="1" applyBorder="1"/>
    <xf numFmtId="2" fontId="0" fillId="0" borderId="23" xfId="0" applyNumberFormat="1" applyBorder="1"/>
    <xf numFmtId="175" fontId="0" fillId="0" borderId="6" xfId="0" applyNumberFormat="1" applyBorder="1"/>
    <xf numFmtId="2" fontId="0" fillId="0" borderId="9" xfId="0" applyNumberFormat="1" applyBorder="1"/>
    <xf numFmtId="175" fontId="0" fillId="0" borderId="9" xfId="0" applyNumberFormat="1" applyBorder="1"/>
    <xf numFmtId="2" fontId="0" fillId="0" borderId="7" xfId="0" applyNumberFormat="1" applyBorder="1"/>
    <xf numFmtId="164" fontId="0" fillId="0" borderId="5" xfId="0" applyNumberFormat="1" applyBorder="1" applyAlignment="1">
      <alignment horizontal="center" vertical="center"/>
    </xf>
    <xf numFmtId="164" fontId="0" fillId="0" borderId="23" xfId="0" applyNumberForma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0" fontId="63" fillId="0" borderId="0" xfId="0" applyFont="1" applyProtection="1">
      <protection hidden="1"/>
    </xf>
    <xf numFmtId="0" fontId="1" fillId="0" borderId="3" xfId="0" applyFont="1" applyBorder="1" applyAlignment="1">
      <alignment horizontal="center" vertical="center"/>
    </xf>
    <xf numFmtId="0" fontId="0" fillId="0" borderId="8" xfId="0" applyBorder="1"/>
    <xf numFmtId="0" fontId="0" fillId="0" borderId="5" xfId="0" applyBorder="1"/>
    <xf numFmtId="0" fontId="1" fillId="0" borderId="2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0" fillId="0" borderId="0" xfId="0" applyNumberFormat="1" applyFont="1" applyBorder="1" applyAlignment="1">
      <alignment horizontal="center" vertical="center"/>
    </xf>
    <xf numFmtId="164" fontId="0" fillId="6" borderId="4" xfId="0" applyNumberFormat="1" applyFill="1" applyBorder="1" applyAlignment="1">
      <alignment horizontal="center" vertical="center"/>
    </xf>
    <xf numFmtId="164" fontId="0" fillId="6" borderId="22" xfId="0" applyNumberFormat="1" applyFill="1" applyBorder="1" applyAlignment="1">
      <alignment horizontal="center" vertical="center"/>
    </xf>
    <xf numFmtId="164" fontId="0" fillId="6" borderId="6" xfId="0" applyNumberFormat="1" applyFill="1" applyBorder="1" applyAlignment="1">
      <alignment horizontal="center" vertical="center"/>
    </xf>
    <xf numFmtId="166" fontId="0" fillId="0" borderId="22" xfId="0" applyNumberFormat="1" applyBorder="1" applyAlignment="1">
      <alignment horizontal="center" vertical="center"/>
    </xf>
    <xf numFmtId="0" fontId="1" fillId="0" borderId="10" xfId="0" applyFont="1" applyBorder="1" applyAlignment="1"/>
    <xf numFmtId="0" fontId="1" fillId="0" borderId="12" xfId="0" applyFont="1" applyBorder="1" applyAlignment="1"/>
    <xf numFmtId="0" fontId="1" fillId="0" borderId="10" xfId="0" applyFont="1" applyBorder="1" applyAlignment="1" applyProtection="1">
      <protection hidden="1"/>
    </xf>
    <xf numFmtId="0" fontId="1" fillId="0" borderId="12" xfId="0" applyFont="1" applyBorder="1" applyAlignment="1" applyProtection="1">
      <protection hidden="1"/>
    </xf>
    <xf numFmtId="164" fontId="0" fillId="0" borderId="17" xfId="0" applyNumberFormat="1" applyBorder="1" applyAlignment="1">
      <alignment horizontal="center" vertical="center"/>
    </xf>
    <xf numFmtId="2" fontId="0" fillId="0" borderId="23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horizontal="left" vertical="center"/>
    </xf>
    <xf numFmtId="187" fontId="1" fillId="0" borderId="5" xfId="0" applyNumberFormat="1" applyFont="1" applyBorder="1" applyAlignment="1" applyProtection="1">
      <alignment horizontal="center" vertical="center"/>
      <protection locked="0"/>
    </xf>
    <xf numFmtId="0" fontId="57" fillId="0" borderId="17" xfId="0" applyFont="1" applyFill="1" applyBorder="1" applyAlignment="1" applyProtection="1">
      <alignment horizontal="center" vertical="center"/>
      <protection hidden="1"/>
    </xf>
    <xf numFmtId="187" fontId="1" fillId="0" borderId="26" xfId="0" applyNumberFormat="1" applyFont="1" applyBorder="1" applyAlignment="1" applyProtection="1">
      <alignment horizontal="center" vertical="center"/>
      <protection locked="0"/>
    </xf>
    <xf numFmtId="187" fontId="1" fillId="0" borderId="25" xfId="0" applyNumberFormat="1" applyFont="1" applyBorder="1" applyAlignment="1" applyProtection="1">
      <alignment horizontal="center" vertical="center"/>
      <protection locked="0"/>
    </xf>
    <xf numFmtId="0" fontId="0" fillId="0" borderId="26" xfId="0" applyBorder="1"/>
    <xf numFmtId="0" fontId="0" fillId="0" borderId="25" xfId="0" applyBorder="1"/>
    <xf numFmtId="0" fontId="60" fillId="0" borderId="0" xfId="0" applyFont="1"/>
    <xf numFmtId="0" fontId="6" fillId="0" borderId="0" xfId="0" applyFont="1" applyAlignment="1">
      <alignment horizontal="center" vertical="center"/>
    </xf>
    <xf numFmtId="0" fontId="61" fillId="0" borderId="17" xfId="0" applyFont="1" applyFill="1" applyBorder="1" applyAlignment="1" applyProtection="1">
      <alignment horizontal="center" vertical="center"/>
      <protection hidden="1"/>
    </xf>
    <xf numFmtId="189" fontId="0" fillId="0" borderId="0" xfId="0" applyNumberFormat="1" applyBorder="1" applyAlignment="1">
      <alignment horizontal="center" vertical="center"/>
    </xf>
    <xf numFmtId="0" fontId="0" fillId="0" borderId="4" xfId="0" applyBorder="1"/>
    <xf numFmtId="0" fontId="66" fillId="0" borderId="0" xfId="0" applyFont="1" applyAlignment="1" applyProtection="1">
      <alignment horizontal="right"/>
      <protection hidden="1"/>
    </xf>
    <xf numFmtId="0" fontId="0" fillId="0" borderId="9" xfId="0" applyBorder="1" applyAlignment="1"/>
    <xf numFmtId="0" fontId="61" fillId="0" borderId="0" xfId="0" applyFont="1" applyFill="1" applyBorder="1" applyAlignment="1" applyProtection="1">
      <alignment horizontal="center" vertical="center"/>
      <protection hidden="1"/>
    </xf>
    <xf numFmtId="0" fontId="1" fillId="0" borderId="17" xfId="0" applyFont="1" applyBorder="1" applyAlignment="1">
      <alignment horizontal="center"/>
    </xf>
    <xf numFmtId="0" fontId="0" fillId="0" borderId="0" xfId="0" applyFont="1" applyAlignment="1" applyProtection="1">
      <alignment horizontal="center"/>
      <protection hidden="1"/>
    </xf>
    <xf numFmtId="164" fontId="0" fillId="0" borderId="17" xfId="0" applyNumberFormat="1" applyFont="1" applyBorder="1" applyAlignment="1" applyProtection="1">
      <alignment horizontal="center" vertical="center"/>
      <protection hidden="1"/>
    </xf>
    <xf numFmtId="164" fontId="32" fillId="0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 wrapText="1"/>
      <protection hidden="1"/>
    </xf>
    <xf numFmtId="0" fontId="0" fillId="0" borderId="0" xfId="0" applyFont="1" applyAlignment="1" applyProtection="1">
      <alignment horizontal="center" vertical="center" wrapText="1"/>
      <protection hidden="1"/>
    </xf>
    <xf numFmtId="0" fontId="1" fillId="0" borderId="17" xfId="0" applyFont="1" applyFill="1" applyBorder="1" applyAlignment="1" applyProtection="1">
      <alignment horizontal="center" vertical="center"/>
      <protection hidden="1"/>
    </xf>
    <xf numFmtId="164" fontId="0" fillId="0" borderId="0" xfId="0" applyNumberFormat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 wrapText="1"/>
      <protection hidden="1"/>
    </xf>
    <xf numFmtId="0" fontId="0" fillId="0" borderId="8" xfId="0" applyFont="1" applyBorder="1" applyAlignment="1">
      <alignment horizontal="center" vertical="center" wrapText="1"/>
    </xf>
    <xf numFmtId="2" fontId="0" fillId="0" borderId="0" xfId="0" applyNumberFormat="1" applyFont="1" applyBorder="1" applyAlignment="1">
      <alignment horizontal="center" vertical="center" wrapText="1"/>
    </xf>
    <xf numFmtId="165" fontId="0" fillId="0" borderId="0" xfId="0" applyNumberFormat="1" applyFont="1" applyBorder="1" applyAlignment="1">
      <alignment horizontal="center" vertical="center" wrapText="1"/>
    </xf>
    <xf numFmtId="165" fontId="0" fillId="0" borderId="0" xfId="0" applyNumberFormat="1" applyFont="1" applyBorder="1" applyAlignment="1">
      <alignment horizontal="center"/>
    </xf>
    <xf numFmtId="2" fontId="0" fillId="0" borderId="0" xfId="0" applyNumberFormat="1" applyFont="1" applyBorder="1" applyAlignment="1">
      <alignment horizontal="center" vertical="center"/>
    </xf>
    <xf numFmtId="2" fontId="0" fillId="0" borderId="9" xfId="0" applyNumberFormat="1" applyFont="1" applyBorder="1" applyAlignment="1">
      <alignment horizontal="center" vertical="center"/>
    </xf>
    <xf numFmtId="0" fontId="1" fillId="0" borderId="0" xfId="0" applyFont="1" applyAlignment="1">
      <alignment horizontal="right"/>
    </xf>
    <xf numFmtId="0" fontId="0" fillId="0" borderId="23" xfId="0" applyBorder="1" applyAlignment="1"/>
    <xf numFmtId="0" fontId="0" fillId="0" borderId="6" xfId="0" applyBorder="1" applyAlignment="1"/>
    <xf numFmtId="0" fontId="0" fillId="0" borderId="7" xfId="0" applyBorder="1" applyAlignment="1"/>
    <xf numFmtId="0" fontId="20" fillId="0" borderId="18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vertical="center"/>
      <protection hidden="1"/>
    </xf>
    <xf numFmtId="0" fontId="4" fillId="0" borderId="9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0" fontId="1" fillId="0" borderId="0" xfId="0" applyFont="1" applyBorder="1" applyAlignment="1" applyProtection="1">
      <protection hidden="1"/>
    </xf>
    <xf numFmtId="0" fontId="1" fillId="0" borderId="0" xfId="0" applyFont="1" applyBorder="1" applyAlignment="1">
      <alignment horizontal="left"/>
    </xf>
    <xf numFmtId="164" fontId="0" fillId="0" borderId="17" xfId="0" applyNumberFormat="1" applyFont="1" applyBorder="1" applyAlignment="1">
      <alignment horizontal="center" vertical="center"/>
    </xf>
    <xf numFmtId="164" fontId="0" fillId="0" borderId="27" xfId="0" applyNumberFormat="1" applyFont="1" applyBorder="1" applyAlignment="1">
      <alignment horizontal="center" vertical="center"/>
    </xf>
    <xf numFmtId="175" fontId="0" fillId="0" borderId="0" xfId="0" applyNumberFormat="1" applyFill="1" applyAlignment="1" applyProtection="1">
      <alignment horizontal="center" vertical="center"/>
      <protection hidden="1"/>
    </xf>
    <xf numFmtId="2" fontId="74" fillId="0" borderId="0" xfId="0" applyNumberFormat="1" applyFont="1" applyFill="1" applyAlignment="1" applyProtection="1">
      <alignment horizontal="center" vertical="center"/>
      <protection hidden="1"/>
    </xf>
    <xf numFmtId="2" fontId="74" fillId="0" borderId="0" xfId="0" applyNumberFormat="1" applyFont="1" applyFill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right"/>
      <protection hidden="1"/>
    </xf>
    <xf numFmtId="2" fontId="1" fillId="0" borderId="24" xfId="0" applyNumberFormat="1" applyFont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>
      <alignment horizontal="center" vertical="center"/>
    </xf>
    <xf numFmtId="2" fontId="0" fillId="0" borderId="0" xfId="0" applyNumberFormat="1" applyFill="1" applyBorder="1" applyAlignment="1" applyProtection="1">
      <alignment horizontal="center" vertical="center"/>
    </xf>
    <xf numFmtId="0" fontId="30" fillId="0" borderId="0" xfId="0" applyFont="1" applyFill="1" applyBorder="1" applyAlignment="1">
      <alignment vertical="center"/>
    </xf>
    <xf numFmtId="193" fontId="0" fillId="0" borderId="35" xfId="0" applyNumberFormat="1" applyFont="1" applyBorder="1" applyAlignment="1">
      <alignment horizontal="center" vertical="center"/>
    </xf>
    <xf numFmtId="180" fontId="0" fillId="0" borderId="40" xfId="0" applyNumberFormat="1" applyBorder="1" applyAlignment="1">
      <alignment horizontal="center" vertical="center"/>
    </xf>
    <xf numFmtId="181" fontId="0" fillId="0" borderId="0" xfId="0" applyNumberFormat="1" applyBorder="1" applyAlignment="1">
      <alignment horizontal="center" vertical="center"/>
    </xf>
    <xf numFmtId="0" fontId="0" fillId="0" borderId="4" xfId="0" applyBorder="1" applyProtection="1">
      <protection hidden="1"/>
    </xf>
    <xf numFmtId="2" fontId="41" fillId="0" borderId="8" xfId="0" applyNumberFormat="1" applyFont="1" applyFill="1" applyBorder="1" applyAlignment="1" applyProtection="1">
      <alignment horizontal="center" vertical="center"/>
      <protection hidden="1"/>
    </xf>
    <xf numFmtId="181" fontId="0" fillId="0" borderId="50" xfId="0" applyNumberFormat="1" applyBorder="1" applyAlignment="1">
      <alignment horizontal="center" vertical="center"/>
    </xf>
    <xf numFmtId="2" fontId="41" fillId="0" borderId="0" xfId="0" applyNumberFormat="1" applyFont="1" applyFill="1" applyBorder="1" applyAlignment="1" applyProtection="1">
      <alignment horizontal="center" vertical="center"/>
      <protection hidden="1"/>
    </xf>
    <xf numFmtId="193" fontId="0" fillId="0" borderId="51" xfId="0" applyNumberFormat="1" applyFill="1" applyBorder="1" applyAlignment="1">
      <alignment horizontal="center" vertical="center"/>
    </xf>
    <xf numFmtId="193" fontId="0" fillId="0" borderId="6" xfId="0" applyNumberFormat="1" applyBorder="1" applyAlignment="1">
      <alignment horizontal="center" vertical="center"/>
    </xf>
    <xf numFmtId="0" fontId="65" fillId="0" borderId="0" xfId="0" applyFont="1"/>
    <xf numFmtId="0" fontId="0" fillId="0" borderId="10" xfId="0" applyBorder="1" applyProtection="1">
      <protection hidden="1"/>
    </xf>
    <xf numFmtId="181" fontId="0" fillId="0" borderId="52" xfId="0" applyNumberForma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72" fontId="0" fillId="0" borderId="22" xfId="0" applyNumberFormat="1" applyBorder="1" applyAlignment="1">
      <alignment horizontal="center" vertical="center"/>
    </xf>
    <xf numFmtId="166" fontId="0" fillId="0" borderId="6" xfId="0" applyNumberFormat="1" applyBorder="1" applyAlignment="1">
      <alignment horizontal="center" vertical="center"/>
    </xf>
    <xf numFmtId="2" fontId="0" fillId="0" borderId="22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0" fontId="66" fillId="0" borderId="0" xfId="0" applyFont="1" applyProtection="1">
      <protection hidden="1"/>
    </xf>
    <xf numFmtId="0" fontId="60" fillId="0" borderId="17" xfId="0" applyFont="1" applyBorder="1" applyAlignment="1">
      <alignment horizontal="center" vertical="center"/>
    </xf>
    <xf numFmtId="2" fontId="60" fillId="0" borderId="17" xfId="0" applyNumberFormat="1" applyFont="1" applyBorder="1" applyAlignment="1">
      <alignment horizontal="center" vertical="center"/>
    </xf>
    <xf numFmtId="0" fontId="1" fillId="0" borderId="9" xfId="0" applyFont="1" applyFill="1" applyBorder="1" applyAlignment="1" applyProtection="1">
      <alignment vertical="center"/>
      <protection hidden="1"/>
    </xf>
    <xf numFmtId="189" fontId="0" fillId="0" borderId="0" xfId="0" applyNumberFormat="1" applyAlignment="1" applyProtection="1">
      <alignment horizontal="center" vertical="center"/>
      <protection hidden="1"/>
    </xf>
    <xf numFmtId="189" fontId="0" fillId="0" borderId="9" xfId="0" applyNumberFormat="1" applyBorder="1" applyAlignment="1" applyProtection="1">
      <alignment horizontal="center" vertical="center"/>
      <protection hidden="1"/>
    </xf>
    <xf numFmtId="2" fontId="1" fillId="0" borderId="0" xfId="0" applyNumberFormat="1" applyFont="1" applyFill="1" applyAlignment="1" applyProtection="1">
      <alignment horizontal="center" vertical="center"/>
      <protection hidden="1"/>
    </xf>
    <xf numFmtId="2" fontId="74" fillId="0" borderId="17" xfId="0" applyNumberFormat="1" applyFont="1" applyFill="1" applyBorder="1" applyAlignment="1" applyProtection="1">
      <alignment horizontal="center" vertical="center"/>
      <protection hidden="1"/>
    </xf>
    <xf numFmtId="177" fontId="0" fillId="0" borderId="17" xfId="0" applyNumberFormat="1" applyBorder="1" applyAlignment="1" applyProtection="1">
      <alignment horizontal="center" vertical="center"/>
      <protection hidden="1"/>
    </xf>
    <xf numFmtId="189" fontId="0" fillId="0" borderId="17" xfId="0" applyNumberFormat="1" applyBorder="1" applyAlignment="1" applyProtection="1">
      <alignment horizontal="center" vertical="center"/>
      <protection hidden="1"/>
    </xf>
    <xf numFmtId="0" fontId="1" fillId="0" borderId="9" xfId="0" applyFont="1" applyBorder="1" applyAlignment="1" applyProtection="1">
      <alignment horizontal="center" vertical="center" wrapText="1"/>
      <protection hidden="1"/>
    </xf>
    <xf numFmtId="2" fontId="1" fillId="0" borderId="22" xfId="0" applyNumberFormat="1" applyFont="1" applyBorder="1" applyAlignment="1" applyProtection="1">
      <alignment horizontal="center" vertical="center"/>
      <protection hidden="1"/>
    </xf>
    <xf numFmtId="165" fontId="0" fillId="0" borderId="22" xfId="0" applyNumberFormat="1" applyBorder="1" applyAlignment="1" applyProtection="1">
      <alignment horizontal="center" vertical="center"/>
      <protection hidden="1"/>
    </xf>
    <xf numFmtId="2" fontId="0" fillId="0" borderId="0" xfId="0" applyNumberFormat="1" applyFill="1" applyBorder="1" applyAlignment="1" applyProtection="1">
      <alignment horizontal="center" vertical="center"/>
      <protection hidden="1"/>
    </xf>
    <xf numFmtId="189" fontId="0" fillId="0" borderId="0" xfId="0" applyNumberFormat="1" applyBorder="1" applyAlignment="1" applyProtection="1">
      <alignment horizontal="center" vertical="center"/>
      <protection hidden="1"/>
    </xf>
    <xf numFmtId="0" fontId="60" fillId="0" borderId="0" xfId="0" applyFont="1" applyFill="1" applyBorder="1" applyAlignment="1">
      <alignment horizontal="left" vertical="center"/>
    </xf>
    <xf numFmtId="183" fontId="0" fillId="0" borderId="0" xfId="0" applyNumberFormat="1" applyAlignment="1" applyProtection="1">
      <alignment horizontal="center" vertical="center"/>
      <protection hidden="1"/>
    </xf>
    <xf numFmtId="0" fontId="57" fillId="0" borderId="0" xfId="0" applyFont="1" applyFill="1" applyBorder="1" applyAlignment="1" applyProtection="1">
      <alignment horizontal="center" vertical="center"/>
      <protection hidden="1"/>
    </xf>
    <xf numFmtId="0" fontId="32" fillId="0" borderId="0" xfId="0" applyFont="1" applyBorder="1" applyAlignment="1" applyProtection="1">
      <alignment vertical="center"/>
      <protection hidden="1"/>
    </xf>
    <xf numFmtId="183" fontId="0" fillId="0" borderId="0" xfId="0" applyNumberFormat="1"/>
    <xf numFmtId="0" fontId="0" fillId="0" borderId="0" xfId="0" applyAlignment="1">
      <alignment horizontal="left" vertical="center"/>
    </xf>
    <xf numFmtId="2" fontId="0" fillId="0" borderId="31" xfId="0" applyNumberFormat="1" applyBorder="1" applyProtection="1">
      <protection hidden="1"/>
    </xf>
    <xf numFmtId="195" fontId="1" fillId="0" borderId="17" xfId="0" applyNumberFormat="1" applyFont="1" applyBorder="1" applyAlignment="1" applyProtection="1">
      <alignment horizontal="center" vertical="center"/>
      <protection hidden="1"/>
    </xf>
    <xf numFmtId="183" fontId="0" fillId="0" borderId="0" xfId="0" applyNumberFormat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horizontal="right"/>
      <protection hidden="1"/>
    </xf>
    <xf numFmtId="197" fontId="1" fillId="0" borderId="0" xfId="0" applyNumberFormat="1" applyFont="1" applyBorder="1" applyAlignment="1" applyProtection="1">
      <alignment horizontal="center" vertical="center"/>
      <protection hidden="1"/>
    </xf>
    <xf numFmtId="197" fontId="0" fillId="0" borderId="17" xfId="0" applyNumberFormat="1" applyFont="1" applyBorder="1" applyAlignment="1" applyProtection="1">
      <alignment horizontal="center" vertical="center"/>
      <protection hidden="1"/>
    </xf>
    <xf numFmtId="196" fontId="0" fillId="0" borderId="17" xfId="0" applyNumberFormat="1" applyFont="1" applyBorder="1" applyAlignment="1" applyProtection="1">
      <alignment horizontal="center" vertical="center"/>
      <protection hidden="1"/>
    </xf>
    <xf numFmtId="198" fontId="0" fillId="0" borderId="17" xfId="0" applyNumberFormat="1" applyFont="1" applyBorder="1" applyAlignment="1" applyProtection="1">
      <alignment horizontal="center" vertical="center"/>
      <protection hidden="1"/>
    </xf>
    <xf numFmtId="184" fontId="0" fillId="0" borderId="17" xfId="0" applyNumberFormat="1" applyBorder="1" applyAlignment="1" applyProtection="1">
      <alignment horizontal="center" vertical="center"/>
      <protection hidden="1"/>
    </xf>
    <xf numFmtId="0" fontId="71" fillId="0" borderId="23" xfId="0" applyFont="1" applyBorder="1" applyAlignment="1" applyProtection="1">
      <alignment horizontal="center" vertical="center"/>
      <protection hidden="1"/>
    </xf>
    <xf numFmtId="0" fontId="4" fillId="0" borderId="23" xfId="0" applyFont="1" applyBorder="1" applyAlignment="1" applyProtection="1">
      <alignment horizontal="center" vertical="center"/>
      <protection hidden="1"/>
    </xf>
    <xf numFmtId="0" fontId="13" fillId="0" borderId="0" xfId="0" applyFont="1" applyBorder="1" applyAlignment="1" applyProtection="1">
      <protection hidden="1"/>
    </xf>
    <xf numFmtId="0" fontId="13" fillId="0" borderId="0" xfId="0" applyFont="1" applyAlignment="1" applyProtection="1">
      <protection hidden="1"/>
    </xf>
    <xf numFmtId="0" fontId="82" fillId="0" borderId="0" xfId="0" applyFont="1" applyProtection="1">
      <protection hidden="1"/>
    </xf>
    <xf numFmtId="0" fontId="0" fillId="0" borderId="0" xfId="0" applyBorder="1" applyAlignment="1">
      <alignment horizontal="center"/>
    </xf>
    <xf numFmtId="0" fontId="1" fillId="0" borderId="0" xfId="0" applyFont="1" applyAlignment="1" applyProtection="1">
      <alignment horizontal="center"/>
      <protection hidden="1"/>
    </xf>
    <xf numFmtId="0" fontId="17" fillId="0" borderId="0" xfId="1" applyAlignment="1" applyProtection="1">
      <alignment horizontal="center"/>
      <protection hidden="1"/>
    </xf>
    <xf numFmtId="0" fontId="23" fillId="0" borderId="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" fillId="0" borderId="0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2" fontId="0" fillId="0" borderId="17" xfId="0" applyNumberFormat="1" applyBorder="1" applyAlignment="1" applyProtection="1">
      <alignment horizontal="center" vertical="center"/>
      <protection hidden="1"/>
    </xf>
    <xf numFmtId="0" fontId="0" fillId="0" borderId="17" xfId="0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2" fontId="0" fillId="0" borderId="0" xfId="0" applyNumberFormat="1" applyBorder="1" applyAlignment="1" applyProtection="1">
      <alignment horizontal="center" vertical="center"/>
      <protection hidden="1"/>
    </xf>
    <xf numFmtId="2" fontId="1" fillId="0" borderId="0" xfId="0" applyNumberFormat="1" applyFont="1" applyAlignment="1" applyProtection="1">
      <alignment horizontal="center" vertical="center"/>
      <protection hidden="1"/>
    </xf>
    <xf numFmtId="0" fontId="41" fillId="0" borderId="0" xfId="0" applyFont="1" applyFill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horizontal="center" vertical="center"/>
      <protection hidden="1"/>
    </xf>
    <xf numFmtId="0" fontId="0" fillId="0" borderId="17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8" borderId="17" xfId="0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164" fontId="0" fillId="0" borderId="17" xfId="0" applyNumberFormat="1" applyFill="1" applyBorder="1" applyAlignment="1">
      <alignment horizontal="center" vertical="center"/>
    </xf>
    <xf numFmtId="1" fontId="0" fillId="6" borderId="0" xfId="0" applyNumberFormat="1" applyFill="1" applyAlignment="1">
      <alignment horizontal="center" vertical="center"/>
    </xf>
    <xf numFmtId="164" fontId="0" fillId="0" borderId="17" xfId="0" applyNumberFormat="1" applyBorder="1" applyAlignment="1" applyProtection="1">
      <alignment horizontal="center"/>
      <protection hidden="1"/>
    </xf>
    <xf numFmtId="0" fontId="0" fillId="0" borderId="0" xfId="0" applyFont="1" applyAlignment="1" applyProtection="1">
      <alignment vertical="center"/>
      <protection hidden="1"/>
    </xf>
    <xf numFmtId="189" fontId="0" fillId="0" borderId="17" xfId="0" applyNumberFormat="1" applyBorder="1" applyAlignment="1">
      <alignment horizontal="center" vertical="center"/>
    </xf>
    <xf numFmtId="185" fontId="0" fillId="0" borderId="3" xfId="0" applyNumberFormat="1" applyBorder="1" applyAlignment="1" applyProtection="1">
      <alignment horizontal="center" vertical="center"/>
      <protection locked="0"/>
    </xf>
    <xf numFmtId="0" fontId="55" fillId="0" borderId="0" xfId="0" applyFont="1" applyBorder="1" applyAlignment="1" applyProtection="1">
      <alignment vertical="center" wrapText="1"/>
      <protection hidden="1"/>
    </xf>
    <xf numFmtId="0" fontId="83" fillId="0" borderId="17" xfId="0" applyFont="1" applyBorder="1" applyAlignment="1" applyProtection="1">
      <alignment horizontal="center" vertical="center"/>
      <protection hidden="1"/>
    </xf>
    <xf numFmtId="0" fontId="84" fillId="0" borderId="0" xfId="0" applyFont="1" applyProtection="1">
      <protection hidden="1"/>
    </xf>
    <xf numFmtId="0" fontId="85" fillId="0" borderId="0" xfId="0" applyFont="1" applyProtection="1">
      <protection hidden="1"/>
    </xf>
    <xf numFmtId="0" fontId="86" fillId="0" borderId="0" xfId="0" applyFont="1" applyProtection="1">
      <protection hidden="1"/>
    </xf>
    <xf numFmtId="0" fontId="49" fillId="0" borderId="0" xfId="0" applyFont="1" applyFill="1" applyBorder="1" applyAlignment="1" applyProtection="1">
      <alignment horizontal="center" vertical="center"/>
      <protection hidden="1"/>
    </xf>
    <xf numFmtId="0" fontId="80" fillId="0" borderId="0" xfId="0" applyFont="1" applyFill="1" applyBorder="1" applyAlignment="1" applyProtection="1">
      <alignment horizontal="center" vertical="center"/>
      <protection hidden="1"/>
    </xf>
    <xf numFmtId="0" fontId="1" fillId="0" borderId="9" xfId="0" applyFont="1" applyFill="1" applyBorder="1" applyAlignment="1" applyProtection="1">
      <alignment horizontal="center" vertical="center"/>
      <protection hidden="1"/>
    </xf>
    <xf numFmtId="2" fontId="0" fillId="0" borderId="9" xfId="0" applyNumberForma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 applyProtection="1"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10" fillId="0" borderId="0" xfId="0" applyFont="1" applyProtection="1">
      <protection hidden="1"/>
    </xf>
    <xf numFmtId="0" fontId="1" fillId="0" borderId="0" xfId="0" applyFont="1" applyAlignment="1" applyProtection="1"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1" fillId="0" borderId="0" xfId="0" applyFont="1"/>
    <xf numFmtId="165" fontId="6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Protection="1">
      <protection hidden="1"/>
    </xf>
    <xf numFmtId="0" fontId="0" fillId="0" borderId="0" xfId="0" applyAlignment="1" applyProtection="1">
      <protection hidden="1"/>
    </xf>
    <xf numFmtId="0" fontId="4" fillId="0" borderId="17" xfId="0" applyFont="1" applyBorder="1" applyAlignment="1" applyProtection="1">
      <alignment horizontal="center" vertical="center"/>
      <protection hidden="1"/>
    </xf>
    <xf numFmtId="0" fontId="41" fillId="0" borderId="0" xfId="0" applyFont="1" applyFill="1" applyAlignment="1" applyProtection="1">
      <alignment horizontal="center" vertical="center"/>
      <protection hidden="1"/>
    </xf>
    <xf numFmtId="0" fontId="53" fillId="0" borderId="0" xfId="0" applyFont="1" applyProtection="1">
      <protection hidden="1"/>
    </xf>
    <xf numFmtId="164" fontId="0" fillId="0" borderId="0" xfId="0" applyNumberFormat="1" applyAlignment="1">
      <alignment horizontal="center" vertical="center"/>
    </xf>
    <xf numFmtId="0" fontId="0" fillId="0" borderId="0" xfId="0" applyFill="1"/>
    <xf numFmtId="2" fontId="0" fillId="0" borderId="0" xfId="0" applyNumberFormat="1"/>
    <xf numFmtId="0" fontId="0" fillId="0" borderId="0" xfId="0" applyFill="1" applyProtection="1">
      <protection hidden="1"/>
    </xf>
    <xf numFmtId="0" fontId="18" fillId="0" borderId="17" xfId="0" applyFont="1" applyBorder="1" applyAlignment="1" applyProtection="1">
      <alignment horizontal="center" vertical="center"/>
      <protection hidden="1"/>
    </xf>
    <xf numFmtId="2" fontId="1" fillId="0" borderId="17" xfId="0" applyNumberFormat="1" applyFont="1" applyBorder="1" applyAlignment="1" applyProtection="1">
      <alignment horizontal="center" vertical="center"/>
      <protection hidden="1"/>
    </xf>
    <xf numFmtId="2" fontId="0" fillId="0" borderId="11" xfId="0" applyNumberFormat="1" applyBorder="1" applyAlignment="1" applyProtection="1">
      <alignment horizontal="center" vertical="center"/>
      <protection hidden="1"/>
    </xf>
    <xf numFmtId="0" fontId="41" fillId="0" borderId="0" xfId="0" applyFont="1" applyFill="1" applyAlignment="1" applyProtection="1">
      <alignment vertical="center"/>
      <protection hidden="1"/>
    </xf>
    <xf numFmtId="0" fontId="0" fillId="0" borderId="0" xfId="0" applyBorder="1" applyAlignment="1" applyProtection="1">
      <alignment horizontal="center" vertical="center"/>
    </xf>
    <xf numFmtId="0" fontId="1" fillId="0" borderId="13" xfId="0" applyFont="1" applyBorder="1" applyAlignment="1" applyProtection="1">
      <alignment horizontal="center" vertical="center"/>
      <protection hidden="1"/>
    </xf>
    <xf numFmtId="0" fontId="1" fillId="0" borderId="26" xfId="0" applyFont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0" fillId="0" borderId="12" xfId="0" applyBorder="1"/>
    <xf numFmtId="2" fontId="1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0" xfId="0" applyAlignment="1" applyProtection="1">
      <alignment horizontal="left"/>
      <protection hidden="1"/>
    </xf>
    <xf numFmtId="0" fontId="1" fillId="0" borderId="0" xfId="0" applyFont="1" applyAlignment="1" applyProtection="1">
      <alignment horizontal="right"/>
      <protection hidden="1"/>
    </xf>
    <xf numFmtId="0" fontId="0" fillId="0" borderId="0" xfId="0" applyAlignment="1" applyProtection="1">
      <alignment horizontal="center" vertical="center"/>
      <protection hidden="1"/>
    </xf>
    <xf numFmtId="0" fontId="81" fillId="0" borderId="0" xfId="0" applyFont="1" applyAlignment="1" applyProtection="1">
      <alignment horizontal="left" vertical="center"/>
      <protection hidden="1"/>
    </xf>
    <xf numFmtId="0" fontId="89" fillId="0" borderId="0" xfId="0" applyFont="1" applyProtection="1">
      <protection hidden="1"/>
    </xf>
    <xf numFmtId="175" fontId="0" fillId="0" borderId="17" xfId="0" applyNumberFormat="1" applyFill="1" applyBorder="1" applyAlignment="1" applyProtection="1">
      <alignment horizontal="center" vertical="center"/>
      <protection hidden="1"/>
    </xf>
    <xf numFmtId="0" fontId="49" fillId="0" borderId="0" xfId="0" applyFont="1" applyFill="1" applyAlignment="1" applyProtection="1">
      <protection hidden="1"/>
    </xf>
    <xf numFmtId="0" fontId="1" fillId="6" borderId="0" xfId="0" applyFont="1" applyFill="1" applyAlignment="1" applyProtection="1">
      <alignment horizontal="center" vertical="center"/>
      <protection hidden="1"/>
    </xf>
    <xf numFmtId="175" fontId="0" fillId="6" borderId="0" xfId="0" applyNumberFormat="1" applyFill="1" applyAlignment="1" applyProtection="1">
      <alignment horizontal="center" vertical="center"/>
      <protection hidden="1"/>
    </xf>
    <xf numFmtId="0" fontId="1" fillId="6" borderId="0" xfId="0" applyFont="1" applyFill="1"/>
    <xf numFmtId="181" fontId="0" fillId="0" borderId="17" xfId="0" applyNumberFormat="1" applyFill="1" applyBorder="1" applyAlignment="1" applyProtection="1">
      <alignment horizontal="center" vertical="center"/>
      <protection hidden="1"/>
    </xf>
    <xf numFmtId="0" fontId="61" fillId="0" borderId="58" xfId="0" applyFont="1" applyFill="1" applyBorder="1" applyAlignment="1" applyProtection="1">
      <alignment horizontal="center" vertical="center"/>
      <protection hidden="1"/>
    </xf>
    <xf numFmtId="2" fontId="0" fillId="0" borderId="0" xfId="0" applyNumberFormat="1" applyAlignment="1">
      <alignment horizontal="left"/>
    </xf>
    <xf numFmtId="0" fontId="1" fillId="0" borderId="0" xfId="0" applyFont="1" applyFill="1" applyBorder="1" applyAlignment="1" applyProtection="1">
      <alignment horizontal="right"/>
      <protection hidden="1"/>
    </xf>
    <xf numFmtId="0" fontId="61" fillId="0" borderId="10" xfId="0" applyFont="1" applyFill="1" applyBorder="1" applyAlignment="1" applyProtection="1">
      <alignment horizontal="center" vertical="center"/>
      <protection hidden="1"/>
    </xf>
    <xf numFmtId="0" fontId="90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187" fontId="0" fillId="0" borderId="0" xfId="0" applyNumberFormat="1"/>
    <xf numFmtId="0" fontId="1" fillId="0" borderId="0" xfId="0" applyFont="1" applyAlignment="1">
      <alignment horizontal="center" vertical="center"/>
    </xf>
    <xf numFmtId="0" fontId="0" fillId="0" borderId="17" xfId="0" applyBorder="1" applyAlignment="1">
      <alignment horizontal="center" vertical="center"/>
    </xf>
    <xf numFmtId="1" fontId="0" fillId="0" borderId="0" xfId="0" applyNumberFormat="1" applyAlignment="1" applyProtection="1">
      <alignment horizontal="center" vertical="center"/>
      <protection hidden="1"/>
    </xf>
    <xf numFmtId="0" fontId="60" fillId="0" borderId="0" xfId="0" applyFont="1" applyBorder="1" applyAlignment="1" applyProtection="1">
      <alignment horizontal="center"/>
      <protection hidden="1"/>
    </xf>
    <xf numFmtId="0" fontId="92" fillId="0" borderId="17" xfId="0" applyFont="1" applyBorder="1" applyAlignment="1" applyProtection="1">
      <alignment horizontal="center"/>
      <protection hidden="1"/>
    </xf>
    <xf numFmtId="164" fontId="94" fillId="0" borderId="17" xfId="0" applyNumberFormat="1" applyFont="1" applyBorder="1" applyAlignment="1" applyProtection="1">
      <alignment horizontal="center"/>
      <protection hidden="1"/>
    </xf>
    <xf numFmtId="0" fontId="0" fillId="12" borderId="0" xfId="0" applyFill="1"/>
    <xf numFmtId="164" fontId="0" fillId="0" borderId="0" xfId="0" applyNumberFormat="1"/>
    <xf numFmtId="2" fontId="0" fillId="6" borderId="0" xfId="0" applyNumberFormat="1" applyFill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166" fontId="0" fillId="0" borderId="17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4" fillId="0" borderId="0" xfId="0" applyFont="1"/>
    <xf numFmtId="10" fontId="0" fillId="0" borderId="0" xfId="0" applyNumberFormat="1" applyAlignment="1">
      <alignment horizontal="center" vertical="center"/>
    </xf>
    <xf numFmtId="166" fontId="0" fillId="0" borderId="0" xfId="0" applyNumberFormat="1"/>
    <xf numFmtId="0" fontId="0" fillId="0" borderId="0" xfId="0" applyAlignment="1">
      <alignment horizontal="left"/>
    </xf>
    <xf numFmtId="0" fontId="1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2" fontId="0" fillId="2" borderId="3" xfId="0" applyNumberFormat="1" applyFill="1" applyBorder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2" fontId="0" fillId="0" borderId="0" xfId="0" applyNumberFormat="1" applyFont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61" xfId="0" applyFont="1" applyBorder="1" applyAlignment="1">
      <alignment horizontal="center" vertical="center" wrapText="1"/>
    </xf>
    <xf numFmtId="0" fontId="1" fillId="0" borderId="62" xfId="0" applyFont="1" applyBorder="1" applyAlignment="1">
      <alignment horizontal="center" vertical="center"/>
    </xf>
    <xf numFmtId="0" fontId="1" fillId="0" borderId="63" xfId="0" applyFont="1" applyBorder="1" applyAlignment="1">
      <alignment horizontal="center" vertical="center"/>
    </xf>
    <xf numFmtId="0" fontId="1" fillId="0" borderId="64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5" borderId="22" xfId="0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31" fillId="0" borderId="23" xfId="0" applyFont="1" applyBorder="1"/>
    <xf numFmtId="0" fontId="31" fillId="0" borderId="7" xfId="0" applyFont="1" applyBorder="1"/>
    <xf numFmtId="0" fontId="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" fillId="0" borderId="0" xfId="0" applyFont="1" applyAlignment="1" applyProtection="1">
      <alignment horizontal="center" vertical="center"/>
      <protection hidden="1"/>
    </xf>
    <xf numFmtId="0" fontId="0" fillId="0" borderId="17" xfId="0" applyBorder="1" applyAlignment="1">
      <alignment horizontal="center" vertical="center"/>
    </xf>
    <xf numFmtId="0" fontId="41" fillId="2" borderId="17" xfId="0" applyFont="1" applyFill="1" applyBorder="1" applyAlignment="1" applyProtection="1">
      <alignment horizontal="center" vertical="center"/>
      <protection hidden="1"/>
    </xf>
    <xf numFmtId="2" fontId="0" fillId="0" borderId="0" xfId="0" applyNumberFormat="1" applyBorder="1" applyAlignment="1" applyProtection="1">
      <alignment horizontal="center" vertical="center"/>
      <protection hidden="1"/>
    </xf>
    <xf numFmtId="175" fontId="0" fillId="0" borderId="17" xfId="0" applyNumberFormat="1" applyBorder="1" applyAlignment="1">
      <alignment horizontal="center" vertical="center"/>
    </xf>
    <xf numFmtId="0" fontId="10" fillId="0" borderId="0" xfId="0" applyFont="1" applyBorder="1" applyAlignment="1" applyProtection="1">
      <protection hidden="1"/>
    </xf>
    <xf numFmtId="2" fontId="0" fillId="0" borderId="22" xfId="0" applyNumberFormat="1" applyBorder="1" applyAlignment="1" applyProtection="1">
      <alignment vertical="center"/>
      <protection hidden="1"/>
    </xf>
    <xf numFmtId="0" fontId="1" fillId="0" borderId="22" xfId="0" applyFont="1" applyBorder="1" applyAlignment="1" applyProtection="1">
      <alignment horizontal="center" vertical="center"/>
      <protection hidden="1"/>
    </xf>
    <xf numFmtId="195" fontId="0" fillId="0" borderId="17" xfId="0" applyNumberFormat="1" applyFont="1" applyBorder="1" applyAlignment="1" applyProtection="1">
      <alignment horizontal="center" vertical="center"/>
      <protection hidden="1"/>
    </xf>
    <xf numFmtId="0" fontId="32" fillId="0" borderId="0" xfId="0" applyFont="1" applyFill="1" applyAlignment="1" applyProtection="1">
      <alignment vertical="center"/>
      <protection hidden="1"/>
    </xf>
    <xf numFmtId="198" fontId="0" fillId="0" borderId="0" xfId="0" applyNumberFormat="1" applyFont="1" applyBorder="1" applyAlignment="1" applyProtection="1">
      <alignment horizontal="center" vertical="center"/>
      <protection hidden="1"/>
    </xf>
    <xf numFmtId="0" fontId="4" fillId="0" borderId="9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>
      <alignment horizontal="center" vertical="center"/>
    </xf>
    <xf numFmtId="0" fontId="0" fillId="0" borderId="17" xfId="0" applyBorder="1" applyAlignment="1">
      <alignment horizontal="center" vertical="center"/>
    </xf>
    <xf numFmtId="175" fontId="0" fillId="0" borderId="0" xfId="0" applyNumberFormat="1" applyProtection="1">
      <protection hidden="1"/>
    </xf>
    <xf numFmtId="175" fontId="0" fillId="0" borderId="17" xfId="0" applyNumberFormat="1" applyBorder="1" applyAlignment="1" applyProtection="1">
      <alignment horizontal="center" vertical="center"/>
      <protection hidden="1"/>
    </xf>
    <xf numFmtId="195" fontId="0" fillId="0" borderId="0" xfId="0" applyNumberFormat="1" applyBorder="1"/>
    <xf numFmtId="175" fontId="0" fillId="0" borderId="4" xfId="0" applyNumberFormat="1" applyBorder="1" applyAlignment="1">
      <alignment horizontal="center" vertical="center"/>
    </xf>
    <xf numFmtId="0" fontId="0" fillId="0" borderId="17" xfId="0" applyBorder="1"/>
    <xf numFmtId="175" fontId="0" fillId="0" borderId="17" xfId="0" applyNumberFormat="1" applyBorder="1"/>
    <xf numFmtId="164" fontId="0" fillId="0" borderId="17" xfId="0" applyNumberFormat="1" applyBorder="1"/>
    <xf numFmtId="2" fontId="0" fillId="0" borderId="17" xfId="0" applyNumberFormat="1" applyBorder="1" applyProtection="1">
      <protection hidden="1"/>
    </xf>
    <xf numFmtId="201" fontId="0" fillId="0" borderId="17" xfId="0" applyNumberFormat="1" applyBorder="1" applyAlignment="1" applyProtection="1">
      <alignment horizontal="center" vertical="center"/>
      <protection hidden="1"/>
    </xf>
    <xf numFmtId="181" fontId="0" fillId="0" borderId="17" xfId="0" applyNumberFormat="1" applyBorder="1" applyAlignment="1">
      <alignment horizontal="center" vertical="center"/>
    </xf>
    <xf numFmtId="202" fontId="0" fillId="0" borderId="3" xfId="0" applyNumberFormat="1" applyBorder="1" applyAlignment="1" applyProtection="1">
      <alignment horizontal="center" vertical="center"/>
      <protection locked="0"/>
    </xf>
    <xf numFmtId="1" fontId="0" fillId="0" borderId="0" xfId="0" applyNumberFormat="1" applyAlignment="1">
      <alignment horizontal="center" vertical="center"/>
    </xf>
    <xf numFmtId="0" fontId="95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wrapText="1"/>
    </xf>
    <xf numFmtId="202" fontId="0" fillId="0" borderId="17" xfId="0" applyNumberFormat="1" applyBorder="1" applyAlignment="1">
      <alignment horizontal="center" vertical="center"/>
    </xf>
    <xf numFmtId="202" fontId="0" fillId="0" borderId="65" xfId="0" applyNumberFormat="1" applyBorder="1" applyAlignment="1">
      <alignment horizontal="center" vertical="center"/>
    </xf>
    <xf numFmtId="203" fontId="0" fillId="0" borderId="0" xfId="0" applyNumberFormat="1" applyAlignment="1" applyProtection="1">
      <alignment horizontal="center" vertical="center"/>
      <protection hidden="1"/>
    </xf>
    <xf numFmtId="203" fontId="0" fillId="0" borderId="0" xfId="0" applyNumberFormat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0" fontId="4" fillId="0" borderId="17" xfId="0" applyFont="1" applyBorder="1" applyAlignment="1" applyProtection="1">
      <alignment horizontal="center" vertical="center"/>
      <protection hidden="1"/>
    </xf>
    <xf numFmtId="0" fontId="2" fillId="6" borderId="17" xfId="0" applyFont="1" applyFill="1" applyBorder="1" applyAlignment="1">
      <alignment horizontal="center" vertical="center"/>
    </xf>
    <xf numFmtId="170" fontId="2" fillId="0" borderId="0" xfId="0" applyNumberFormat="1" applyFont="1" applyBorder="1" applyAlignment="1" applyProtection="1">
      <alignment horizontal="center" vertical="center"/>
      <protection locked="0"/>
    </xf>
    <xf numFmtId="171" fontId="0" fillId="0" borderId="0" xfId="0" applyNumberFormat="1" applyBorder="1" applyAlignment="1" applyProtection="1">
      <alignment horizontal="center" vertical="center"/>
      <protection locked="0"/>
    </xf>
    <xf numFmtId="201" fontId="0" fillId="0" borderId="0" xfId="0" applyNumberFormat="1" applyBorder="1" applyAlignment="1" applyProtection="1">
      <alignment horizontal="center" vertical="center"/>
      <protection hidden="1"/>
    </xf>
    <xf numFmtId="0" fontId="96" fillId="0" borderId="0" xfId="0" applyFont="1" applyFill="1" applyBorder="1" applyAlignment="1">
      <alignment vertical="center" wrapText="1"/>
    </xf>
    <xf numFmtId="0" fontId="78" fillId="0" borderId="0" xfId="0" applyFont="1"/>
    <xf numFmtId="175" fontId="0" fillId="3" borderId="17" xfId="0" applyNumberFormat="1" applyFill="1" applyBorder="1" applyAlignment="1">
      <alignment horizontal="center" vertical="center"/>
    </xf>
    <xf numFmtId="0" fontId="97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0" fontId="4" fillId="0" borderId="17" xfId="0" applyFont="1" applyBorder="1" applyAlignment="1" applyProtection="1">
      <alignment horizontal="center" vertical="center"/>
      <protection hidden="1"/>
    </xf>
    <xf numFmtId="0" fontId="1" fillId="0" borderId="39" xfId="0" applyFont="1" applyBorder="1" applyAlignment="1">
      <alignment horizontal="center" vertical="center"/>
    </xf>
    <xf numFmtId="203" fontId="0" fillId="0" borderId="17" xfId="0" applyNumberForma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98" fillId="0" borderId="0" xfId="0" applyFont="1"/>
    <xf numFmtId="202" fontId="0" fillId="0" borderId="0" xfId="0" applyNumberFormat="1" applyBorder="1" applyAlignment="1">
      <alignment horizontal="center" vertical="center"/>
    </xf>
    <xf numFmtId="1" fontId="0" fillId="0" borderId="3" xfId="0" applyNumberFormat="1" applyBorder="1" applyAlignment="1" applyProtection="1">
      <alignment horizontal="center" vertical="center"/>
      <protection locked="0"/>
    </xf>
    <xf numFmtId="203" fontId="0" fillId="0" borderId="17" xfId="0" applyNumberFormat="1" applyBorder="1" applyAlignment="1" applyProtection="1">
      <alignment horizontal="center" vertical="center"/>
      <protection hidden="1"/>
    </xf>
    <xf numFmtId="0" fontId="0" fillId="6" borderId="0" xfId="0" applyFill="1" applyBorder="1"/>
    <xf numFmtId="202" fontId="0" fillId="0" borderId="0" xfId="0" applyNumberForma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hidden="1"/>
    </xf>
    <xf numFmtId="0" fontId="0" fillId="0" borderId="17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164" fontId="0" fillId="0" borderId="17" xfId="0" applyNumberFormat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/>
    </xf>
    <xf numFmtId="164" fontId="0" fillId="0" borderId="0" xfId="0" applyNumberFormat="1" applyFont="1"/>
    <xf numFmtId="166" fontId="0" fillId="0" borderId="0" xfId="0" applyNumberFormat="1" applyFont="1"/>
    <xf numFmtId="202" fontId="0" fillId="0" borderId="17" xfId="0" applyNumberFormat="1" applyFill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41" fillId="2" borderId="17" xfId="0" applyFont="1" applyFill="1" applyBorder="1" applyAlignment="1" applyProtection="1">
      <alignment horizontal="center" vertical="center"/>
      <protection hidden="1"/>
    </xf>
    <xf numFmtId="0" fontId="78" fillId="0" borderId="0" xfId="0" applyFont="1" applyAlignment="1">
      <alignment horizontal="right"/>
    </xf>
    <xf numFmtId="0" fontId="100" fillId="0" borderId="0" xfId="0" applyFont="1"/>
    <xf numFmtId="0" fontId="6" fillId="2" borderId="3" xfId="0" applyFont="1" applyFill="1" applyBorder="1" applyAlignment="1" applyProtection="1">
      <alignment horizontal="center" vertical="center"/>
    </xf>
    <xf numFmtId="2" fontId="32" fillId="0" borderId="17" xfId="0" applyNumberFormat="1" applyFont="1" applyFill="1" applyBorder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54" fillId="0" borderId="0" xfId="0" applyFont="1" applyAlignment="1">
      <alignment horizontal="right"/>
    </xf>
    <xf numFmtId="0" fontId="54" fillId="0" borderId="0" xfId="0" applyFont="1" applyBorder="1" applyAlignment="1">
      <alignment horizontal="center" vertical="center"/>
    </xf>
    <xf numFmtId="175" fontId="54" fillId="0" borderId="0" xfId="0" applyNumberFormat="1" applyFont="1" applyBorder="1" applyAlignment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174" fontId="0" fillId="0" borderId="0" xfId="0" applyNumberFormat="1"/>
    <xf numFmtId="189" fontId="0" fillId="0" borderId="17" xfId="0" applyNumberFormat="1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87" fontId="0" fillId="0" borderId="6" xfId="0" applyNumberFormat="1" applyBorder="1" applyAlignment="1">
      <alignment horizontal="center" vertical="center"/>
    </xf>
    <xf numFmtId="187" fontId="0" fillId="0" borderId="4" xfId="0" applyNumberFormat="1" applyBorder="1" applyAlignment="1">
      <alignment horizontal="center" vertical="center"/>
    </xf>
    <xf numFmtId="187" fontId="0" fillId="0" borderId="22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32" fillId="0" borderId="0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/>
      <protection hidden="1"/>
    </xf>
    <xf numFmtId="204" fontId="0" fillId="0" borderId="0" xfId="0" applyNumberFormat="1" applyAlignment="1">
      <alignment horizontal="center" vertical="center"/>
    </xf>
    <xf numFmtId="204" fontId="0" fillId="0" borderId="17" xfId="0" applyNumberFormat="1" applyBorder="1" applyAlignment="1">
      <alignment horizontal="center" vertical="center"/>
    </xf>
    <xf numFmtId="1" fontId="0" fillId="6" borderId="0" xfId="0" applyNumberFormat="1" applyFill="1" applyAlignment="1" applyProtection="1">
      <alignment horizontal="center" vertical="center"/>
      <protection hidden="1"/>
    </xf>
    <xf numFmtId="2" fontId="0" fillId="0" borderId="17" xfId="0" applyNumberFormat="1" applyBorder="1" applyAlignment="1" applyProtection="1">
      <alignment horizontal="center" vertical="center"/>
      <protection hidden="1"/>
    </xf>
    <xf numFmtId="0" fontId="0" fillId="0" borderId="17" xfId="0" applyBorder="1" applyAlignment="1">
      <alignment horizontal="center" vertical="center"/>
    </xf>
    <xf numFmtId="164" fontId="0" fillId="0" borderId="17" xfId="0" applyNumberFormat="1" applyBorder="1" applyAlignment="1" applyProtection="1">
      <alignment horizontal="center" vertical="center"/>
      <protection hidden="1"/>
    </xf>
    <xf numFmtId="0" fontId="41" fillId="2" borderId="17" xfId="0" applyFont="1" applyFill="1" applyBorder="1" applyAlignment="1" applyProtection="1">
      <alignment horizontal="center" vertical="center"/>
      <protection hidden="1"/>
    </xf>
    <xf numFmtId="205" fontId="0" fillId="0" borderId="17" xfId="0" applyNumberFormat="1" applyBorder="1"/>
    <xf numFmtId="206" fontId="0" fillId="0" borderId="17" xfId="0" applyNumberFormat="1" applyBorder="1"/>
    <xf numFmtId="207" fontId="0" fillId="0" borderId="17" xfId="0" applyNumberFormat="1" applyBorder="1"/>
    <xf numFmtId="205" fontId="0" fillId="0" borderId="22" xfId="0" applyNumberFormat="1" applyBorder="1" applyAlignment="1">
      <alignment horizontal="center" vertical="center"/>
    </xf>
    <xf numFmtId="208" fontId="0" fillId="0" borderId="22" xfId="0" applyNumberFormat="1" applyBorder="1" applyAlignment="1">
      <alignment horizontal="center" vertical="center"/>
    </xf>
    <xf numFmtId="206" fontId="0" fillId="0" borderId="6" xfId="0" applyNumberFormat="1" applyBorder="1" applyAlignment="1">
      <alignment horizontal="center" vertical="center"/>
    </xf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1" fillId="0" borderId="23" xfId="0" applyFont="1" applyBorder="1" applyAlignment="1" applyProtection="1">
      <alignment horizontal="center" vertical="center"/>
      <protection hidden="1"/>
    </xf>
    <xf numFmtId="0" fontId="1" fillId="0" borderId="10" xfId="0" applyFont="1" applyBorder="1" applyAlignment="1" applyProtection="1">
      <alignment horizontal="center" vertical="center"/>
      <protection hidden="1"/>
    </xf>
    <xf numFmtId="0" fontId="1" fillId="0" borderId="17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2" fontId="0" fillId="0" borderId="17" xfId="0" applyNumberFormat="1" applyBorder="1" applyAlignment="1" applyProtection="1">
      <alignment horizontal="center" vertical="center"/>
      <protection hidden="1"/>
    </xf>
    <xf numFmtId="0" fontId="0" fillId="0" borderId="17" xfId="0" applyBorder="1" applyAlignment="1">
      <alignment horizontal="center" vertical="center"/>
    </xf>
    <xf numFmtId="0" fontId="60" fillId="0" borderId="17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right"/>
      <protection hidden="1"/>
    </xf>
    <xf numFmtId="0" fontId="1" fillId="0" borderId="0" xfId="0" applyFont="1" applyAlignment="1" applyProtection="1">
      <alignment horizontal="left"/>
      <protection hidden="1"/>
    </xf>
    <xf numFmtId="2" fontId="6" fillId="0" borderId="0" xfId="0" applyNumberFormat="1" applyFont="1" applyAlignment="1" applyProtection="1">
      <alignment horizontal="center" vertical="center"/>
      <protection hidden="1"/>
    </xf>
    <xf numFmtId="0" fontId="0" fillId="0" borderId="22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" fillId="2" borderId="2" xfId="0" applyFont="1" applyFill="1" applyBorder="1" applyAlignment="1" applyProtection="1">
      <alignment horizontal="center" vertical="center"/>
      <protection hidden="1"/>
    </xf>
    <xf numFmtId="2" fontId="1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17" xfId="0" applyFont="1" applyBorder="1" applyAlignment="1" applyProtection="1">
      <alignment horizontal="center" vertical="center"/>
      <protection hidden="1"/>
    </xf>
    <xf numFmtId="0" fontId="1" fillId="0" borderId="17" xfId="0" applyFont="1" applyBorder="1" applyAlignment="1">
      <alignment horizontal="center" vertical="center"/>
    </xf>
    <xf numFmtId="164" fontId="0" fillId="0" borderId="17" xfId="0" applyNumberFormat="1" applyBorder="1" applyAlignment="1" applyProtection="1">
      <alignment horizontal="center" vertical="center"/>
      <protection hidden="1"/>
    </xf>
    <xf numFmtId="2" fontId="0" fillId="0" borderId="17" xfId="0" applyNumberFormat="1" applyBorder="1" applyAlignment="1">
      <alignment horizontal="center" vertical="center"/>
    </xf>
    <xf numFmtId="2" fontId="0" fillId="0" borderId="0" xfId="0" applyNumberFormat="1" applyBorder="1" applyAlignment="1" applyProtection="1">
      <alignment horizontal="center" vertical="center"/>
      <protection hidden="1"/>
    </xf>
    <xf numFmtId="0" fontId="45" fillId="0" borderId="0" xfId="0" applyFont="1" applyBorder="1" applyAlignment="1" applyProtection="1">
      <alignment horizontal="center"/>
      <protection hidden="1"/>
    </xf>
    <xf numFmtId="0" fontId="2" fillId="0" borderId="17" xfId="0" applyFont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164" fontId="0" fillId="0" borderId="17" xfId="0" applyNumberFormat="1" applyBorder="1" applyAlignment="1" applyProtection="1">
      <alignment vertical="center"/>
      <protection hidden="1"/>
    </xf>
    <xf numFmtId="2" fontId="0" fillId="0" borderId="17" xfId="0" applyNumberFormat="1" applyBorder="1" applyAlignment="1" applyProtection="1">
      <alignment vertical="center"/>
      <protection hidden="1"/>
    </xf>
    <xf numFmtId="190" fontId="32" fillId="0" borderId="17" xfId="0" applyNumberFormat="1" applyFont="1" applyFill="1" applyBorder="1" applyAlignment="1" applyProtection="1">
      <alignment horizontal="center" vertical="center"/>
      <protection hidden="1"/>
    </xf>
    <xf numFmtId="191" fontId="32" fillId="0" borderId="17" xfId="0" applyNumberFormat="1" applyFont="1" applyFill="1" applyBorder="1" applyAlignment="1" applyProtection="1">
      <alignment horizontal="center" vertical="center"/>
      <protection hidden="1"/>
    </xf>
    <xf numFmtId="182" fontId="0" fillId="0" borderId="17" xfId="0" applyNumberFormat="1" applyBorder="1" applyAlignment="1" applyProtection="1">
      <alignment horizontal="center" vertical="center"/>
      <protection hidden="1"/>
    </xf>
    <xf numFmtId="175" fontId="0" fillId="0" borderId="0" xfId="0" applyNumberFormat="1" applyBorder="1" applyAlignment="1" applyProtection="1">
      <alignment horizontal="center" vertical="center"/>
      <protection hidden="1"/>
    </xf>
    <xf numFmtId="177" fontId="0" fillId="0" borderId="9" xfId="0" applyNumberFormat="1" applyBorder="1" applyAlignment="1" applyProtection="1">
      <alignment horizontal="center" vertical="center"/>
      <protection hidden="1"/>
    </xf>
    <xf numFmtId="177" fontId="0" fillId="0" borderId="0" xfId="0" applyNumberFormat="1" applyBorder="1" applyAlignment="1" applyProtection="1">
      <alignment horizontal="center" vertical="center"/>
      <protection hidden="1"/>
    </xf>
    <xf numFmtId="177" fontId="0" fillId="0" borderId="0" xfId="0" applyNumberFormat="1" applyFill="1" applyBorder="1" applyAlignment="1" applyProtection="1">
      <alignment horizontal="center" vertical="center"/>
      <protection hidden="1"/>
    </xf>
    <xf numFmtId="177" fontId="0" fillId="0" borderId="9" xfId="0" applyNumberFormat="1" applyFill="1" applyBorder="1" applyAlignment="1" applyProtection="1">
      <alignment horizontal="center" vertical="center"/>
      <protection hidden="1"/>
    </xf>
    <xf numFmtId="188" fontId="0" fillId="0" borderId="17" xfId="0" applyNumberFormat="1" applyFont="1" applyBorder="1" applyAlignment="1" applyProtection="1">
      <alignment horizontal="center" vertical="center"/>
      <protection hidden="1"/>
    </xf>
    <xf numFmtId="181" fontId="0" fillId="0" borderId="17" xfId="0" applyNumberFormat="1" applyBorder="1" applyAlignment="1" applyProtection="1">
      <alignment horizontal="center" vertical="center"/>
      <protection hidden="1"/>
    </xf>
    <xf numFmtId="181" fontId="0" fillId="0" borderId="0" xfId="0" applyNumberFormat="1" applyBorder="1" applyAlignment="1" applyProtection="1">
      <alignment horizontal="center" vertical="center"/>
      <protection hidden="1"/>
    </xf>
    <xf numFmtId="180" fontId="0" fillId="0" borderId="3" xfId="0" applyNumberFormat="1" applyBorder="1" applyAlignment="1" applyProtection="1">
      <alignment horizontal="center" vertical="center"/>
      <protection locked="0"/>
    </xf>
    <xf numFmtId="0" fontId="0" fillId="0" borderId="23" xfId="0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209" fontId="0" fillId="0" borderId="17" xfId="0" applyNumberFormat="1" applyBorder="1" applyAlignment="1" applyProtection="1">
      <alignment horizontal="center" vertical="center"/>
      <protection hidden="1"/>
    </xf>
    <xf numFmtId="199" fontId="0" fillId="0" borderId="17" xfId="0" applyNumberFormat="1" applyBorder="1" applyAlignment="1" applyProtection="1">
      <alignment horizontal="center" vertical="center"/>
      <protection hidden="1"/>
    </xf>
    <xf numFmtId="0" fontId="60" fillId="0" borderId="0" xfId="0" applyFont="1" applyBorder="1" applyAlignment="1" applyProtection="1">
      <alignment horizontal="center" vertical="center"/>
      <protection hidden="1"/>
    </xf>
    <xf numFmtId="0" fontId="60" fillId="0" borderId="3" xfId="0" applyFont="1" applyBorder="1" applyAlignment="1" applyProtection="1">
      <alignment horizontal="center" vertical="center"/>
      <protection locked="0"/>
    </xf>
    <xf numFmtId="186" fontId="0" fillId="0" borderId="17" xfId="0" applyNumberFormat="1" applyBorder="1" applyAlignment="1" applyProtection="1">
      <alignment horizontal="center" vertical="center"/>
      <protection hidden="1"/>
    </xf>
    <xf numFmtId="183" fontId="0" fillId="0" borderId="17" xfId="0" applyNumberFormat="1" applyBorder="1" applyAlignment="1" applyProtection="1">
      <alignment horizontal="center" vertical="center"/>
      <protection hidden="1"/>
    </xf>
    <xf numFmtId="178" fontId="0" fillId="0" borderId="0" xfId="0" applyNumberFormat="1" applyBorder="1" applyAlignment="1" applyProtection="1">
      <alignment horizontal="center" vertical="center"/>
      <protection hidden="1"/>
    </xf>
    <xf numFmtId="0" fontId="67" fillId="0" borderId="0" xfId="0" applyFont="1" applyFill="1" applyBorder="1" applyAlignment="1" applyProtection="1">
      <alignment wrapText="1"/>
      <protection hidden="1"/>
    </xf>
    <xf numFmtId="0" fontId="51" fillId="0" borderId="0" xfId="0" applyFont="1" applyProtection="1">
      <protection hidden="1"/>
    </xf>
    <xf numFmtId="180" fontId="0" fillId="0" borderId="17" xfId="0" applyNumberFormat="1" applyBorder="1" applyAlignment="1" applyProtection="1">
      <alignment horizontal="center" vertical="center"/>
      <protection hidden="1"/>
    </xf>
    <xf numFmtId="187" fontId="0" fillId="0" borderId="17" xfId="0" applyNumberFormat="1" applyBorder="1" applyAlignment="1" applyProtection="1">
      <alignment horizontal="center" vertical="center"/>
      <protection hidden="1"/>
    </xf>
    <xf numFmtId="187" fontId="0" fillId="0" borderId="27" xfId="0" applyNumberFormat="1" applyBorder="1" applyAlignment="1" applyProtection="1">
      <alignment horizontal="center" vertical="center"/>
      <protection hidden="1"/>
    </xf>
    <xf numFmtId="164" fontId="0" fillId="0" borderId="27" xfId="0" applyNumberFormat="1" applyFont="1" applyBorder="1" applyAlignment="1" applyProtection="1">
      <alignment horizontal="center" vertical="center"/>
      <protection hidden="1"/>
    </xf>
    <xf numFmtId="180" fontId="0" fillId="0" borderId="27" xfId="0" applyNumberFormat="1" applyBorder="1" applyAlignment="1" applyProtection="1">
      <alignment horizontal="center" vertical="center"/>
      <protection hidden="1"/>
    </xf>
    <xf numFmtId="175" fontId="0" fillId="0" borderId="11" xfId="0" applyNumberFormat="1" applyBorder="1" applyAlignment="1" applyProtection="1">
      <alignment horizontal="center" vertical="center"/>
      <protection hidden="1"/>
    </xf>
    <xf numFmtId="185" fontId="0" fillId="0" borderId="17" xfId="0" applyNumberFormat="1" applyBorder="1" applyAlignment="1" applyProtection="1">
      <alignment horizontal="center" vertical="center"/>
      <protection hidden="1"/>
    </xf>
    <xf numFmtId="0" fontId="1" fillId="0" borderId="0" xfId="0" applyFont="1" applyFill="1" applyProtection="1">
      <protection hidden="1"/>
    </xf>
    <xf numFmtId="180" fontId="0" fillId="0" borderId="0" xfId="0" applyNumberFormat="1" applyBorder="1" applyAlignment="1" applyProtection="1">
      <alignment horizontal="center" vertical="center"/>
      <protection hidden="1"/>
    </xf>
    <xf numFmtId="178" fontId="0" fillId="0" borderId="27" xfId="0" applyNumberFormat="1" applyBorder="1" applyAlignment="1" applyProtection="1">
      <alignment horizontal="center" vertical="center"/>
      <protection hidden="1"/>
    </xf>
    <xf numFmtId="0" fontId="67" fillId="0" borderId="22" xfId="0" applyFont="1" applyFill="1" applyBorder="1" applyAlignment="1" applyProtection="1">
      <alignment wrapText="1"/>
      <protection hidden="1"/>
    </xf>
    <xf numFmtId="178" fontId="0" fillId="0" borderId="17" xfId="0" applyNumberFormat="1" applyBorder="1" applyAlignment="1" applyProtection="1">
      <alignment horizontal="center" vertical="center"/>
      <protection hidden="1"/>
    </xf>
    <xf numFmtId="0" fontId="53" fillId="0" borderId="0" xfId="0" applyFont="1" applyAlignment="1" applyProtection="1">
      <alignment vertical="center" wrapText="1"/>
      <protection hidden="1"/>
    </xf>
    <xf numFmtId="180" fontId="1" fillId="0" borderId="0" xfId="0" applyNumberFormat="1" applyFont="1" applyFill="1" applyBorder="1" applyAlignment="1" applyProtection="1">
      <alignment horizontal="center" vertical="center"/>
      <protection hidden="1"/>
    </xf>
    <xf numFmtId="164" fontId="1" fillId="0" borderId="0" xfId="0" applyNumberFormat="1" applyFont="1" applyAlignment="1" applyProtection="1">
      <alignment horizontal="center" vertical="center"/>
      <protection hidden="1"/>
    </xf>
    <xf numFmtId="194" fontId="1" fillId="0" borderId="0" xfId="0" applyNumberFormat="1" applyFont="1" applyBorder="1" applyAlignment="1" applyProtection="1">
      <alignment horizontal="center" vertical="center"/>
      <protection hidden="1"/>
    </xf>
    <xf numFmtId="0" fontId="81" fillId="0" borderId="0" xfId="0" applyFont="1" applyProtection="1">
      <protection hidden="1"/>
    </xf>
    <xf numFmtId="188" fontId="1" fillId="0" borderId="0" xfId="0" applyNumberFormat="1" applyFont="1" applyBorder="1" applyAlignment="1" applyProtection="1">
      <alignment horizontal="center" vertical="center"/>
      <protection hidden="1"/>
    </xf>
    <xf numFmtId="186" fontId="0" fillId="0" borderId="0" xfId="0" applyNumberFormat="1" applyBorder="1" applyAlignment="1" applyProtection="1">
      <alignment horizontal="center" vertical="center"/>
      <protection hidden="1"/>
    </xf>
    <xf numFmtId="0" fontId="60" fillId="0" borderId="0" xfId="0" applyFont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60" fillId="0" borderId="0" xfId="0" applyFont="1" applyBorder="1" applyAlignment="1" applyProtection="1">
      <protection hidden="1"/>
    </xf>
    <xf numFmtId="0" fontId="1" fillId="0" borderId="11" xfId="0" applyFont="1" applyBorder="1" applyAlignment="1" applyProtection="1">
      <alignment horizontal="center" vertical="center"/>
      <protection hidden="1"/>
    </xf>
    <xf numFmtId="0" fontId="4" fillId="0" borderId="11" xfId="0" applyFont="1" applyBorder="1" applyAlignment="1" applyProtection="1">
      <alignment horizontal="center" vertical="center"/>
      <protection hidden="1"/>
    </xf>
    <xf numFmtId="188" fontId="0" fillId="0" borderId="0" xfId="0" applyNumberFormat="1" applyBorder="1" applyAlignment="1" applyProtection="1">
      <alignment horizontal="center" vertical="center"/>
      <protection hidden="1"/>
    </xf>
    <xf numFmtId="175" fontId="0" fillId="0" borderId="22" xfId="0" applyNumberFormat="1" applyBorder="1" applyAlignment="1" applyProtection="1">
      <alignment horizontal="center" vertical="center"/>
      <protection hidden="1"/>
    </xf>
    <xf numFmtId="187" fontId="0" fillId="0" borderId="0" xfId="0" applyNumberFormat="1" applyAlignment="1" applyProtection="1">
      <alignment horizontal="center" vertical="center"/>
      <protection hidden="1"/>
    </xf>
    <xf numFmtId="187" fontId="0" fillId="0" borderId="0" xfId="0" applyNumberFormat="1" applyBorder="1" applyAlignment="1" applyProtection="1">
      <alignment horizontal="center" vertical="center"/>
      <protection hidden="1"/>
    </xf>
    <xf numFmtId="187" fontId="0" fillId="0" borderId="23" xfId="0" applyNumberFormat="1" applyBorder="1" applyAlignment="1" applyProtection="1">
      <alignment horizontal="center" vertical="center"/>
      <protection hidden="1"/>
    </xf>
    <xf numFmtId="187" fontId="1" fillId="0" borderId="8" xfId="0" applyNumberFormat="1" applyFont="1" applyBorder="1" applyAlignment="1" applyProtection="1">
      <alignment horizontal="center" vertical="center"/>
      <protection hidden="1"/>
    </xf>
    <xf numFmtId="0" fontId="0" fillId="0" borderId="27" xfId="0" applyBorder="1" applyProtection="1">
      <protection hidden="1"/>
    </xf>
    <xf numFmtId="187" fontId="1" fillId="0" borderId="4" xfId="0" applyNumberFormat="1" applyFont="1" applyBorder="1" applyAlignment="1" applyProtection="1">
      <alignment horizontal="center" vertical="center"/>
      <protection hidden="1"/>
    </xf>
    <xf numFmtId="187" fontId="1" fillId="0" borderId="5" xfId="0" applyNumberFormat="1" applyFont="1" applyBorder="1" applyAlignment="1" applyProtection="1">
      <alignment horizontal="center" vertical="center"/>
      <protection hidden="1"/>
    </xf>
    <xf numFmtId="189" fontId="0" fillId="0" borderId="26" xfId="0" applyNumberFormat="1" applyBorder="1" applyAlignment="1" applyProtection="1">
      <alignment horizontal="center" vertical="center"/>
      <protection hidden="1"/>
    </xf>
    <xf numFmtId="165" fontId="0" fillId="0" borderId="22" xfId="0" applyNumberFormat="1" applyFont="1" applyBorder="1" applyAlignment="1" applyProtection="1">
      <alignment horizontal="center" vertical="center"/>
      <protection hidden="1"/>
    </xf>
    <xf numFmtId="165" fontId="0" fillId="0" borderId="0" xfId="0" applyNumberFormat="1" applyFont="1" applyBorder="1" applyAlignment="1" applyProtection="1">
      <alignment horizontal="center" vertical="center"/>
      <protection hidden="1"/>
    </xf>
    <xf numFmtId="188" fontId="0" fillId="0" borderId="22" xfId="0" applyNumberFormat="1" applyBorder="1" applyAlignment="1" applyProtection="1">
      <alignment horizontal="center" vertical="center"/>
      <protection hidden="1"/>
    </xf>
    <xf numFmtId="188" fontId="0" fillId="0" borderId="23" xfId="0" applyNumberFormat="1" applyBorder="1" applyAlignment="1" applyProtection="1">
      <alignment horizontal="center" vertical="center"/>
      <protection hidden="1"/>
    </xf>
    <xf numFmtId="175" fontId="0" fillId="0" borderId="6" xfId="0" applyNumberFormat="1" applyBorder="1" applyAlignment="1" applyProtection="1">
      <alignment horizontal="center" vertical="center"/>
      <protection hidden="1"/>
    </xf>
    <xf numFmtId="175" fontId="0" fillId="0" borderId="9" xfId="0" applyNumberFormat="1" applyBorder="1" applyAlignment="1" applyProtection="1">
      <alignment horizontal="center" vertical="center"/>
      <protection hidden="1"/>
    </xf>
    <xf numFmtId="187" fontId="0" fillId="0" borderId="9" xfId="0" applyNumberFormat="1" applyBorder="1" applyAlignment="1" applyProtection="1">
      <alignment horizontal="center" vertical="center"/>
      <protection hidden="1"/>
    </xf>
    <xf numFmtId="164" fontId="0" fillId="0" borderId="9" xfId="0" applyNumberFormat="1" applyBorder="1" applyAlignment="1" applyProtection="1">
      <alignment horizontal="center" vertical="center"/>
      <protection hidden="1"/>
    </xf>
    <xf numFmtId="187" fontId="0" fillId="0" borderId="7" xfId="0" applyNumberFormat="1" applyBorder="1" applyAlignment="1" applyProtection="1">
      <alignment horizontal="center" vertical="center"/>
      <protection hidden="1"/>
    </xf>
    <xf numFmtId="187" fontId="0" fillId="0" borderId="6" xfId="0" applyNumberFormat="1" applyBorder="1" applyAlignment="1" applyProtection="1">
      <alignment horizontal="center" vertical="center"/>
      <protection hidden="1"/>
    </xf>
    <xf numFmtId="188" fontId="0" fillId="0" borderId="6" xfId="0" applyNumberFormat="1" applyBorder="1" applyAlignment="1" applyProtection="1">
      <alignment horizontal="center" vertical="center"/>
      <protection hidden="1"/>
    </xf>
    <xf numFmtId="188" fontId="0" fillId="0" borderId="9" xfId="0" applyNumberFormat="1" applyBorder="1" applyAlignment="1" applyProtection="1">
      <alignment horizontal="center" vertical="center"/>
      <protection hidden="1"/>
    </xf>
    <xf numFmtId="189" fontId="0" fillId="0" borderId="25" xfId="0" applyNumberFormat="1" applyBorder="1" applyAlignment="1" applyProtection="1">
      <alignment horizontal="center" vertical="center"/>
      <protection hidden="1"/>
    </xf>
    <xf numFmtId="165" fontId="0" fillId="0" borderId="6" xfId="0" applyNumberFormat="1" applyFont="1" applyBorder="1" applyAlignment="1" applyProtection="1">
      <alignment horizontal="center" vertical="center"/>
      <protection hidden="1"/>
    </xf>
    <xf numFmtId="165" fontId="0" fillId="0" borderId="9" xfId="0" applyNumberFormat="1" applyFont="1" applyBorder="1" applyAlignment="1" applyProtection="1">
      <alignment horizontal="center" vertical="center"/>
      <protection hidden="1"/>
    </xf>
    <xf numFmtId="188" fontId="0" fillId="0" borderId="7" xfId="0" applyNumberFormat="1" applyBorder="1" applyAlignment="1" applyProtection="1">
      <alignment horizontal="center" vertical="center"/>
      <protection hidden="1"/>
    </xf>
    <xf numFmtId="188" fontId="0" fillId="0" borderId="25" xfId="0" applyNumberFormat="1" applyBorder="1" applyAlignment="1" applyProtection="1">
      <alignment horizontal="center" vertical="center"/>
      <protection hidden="1"/>
    </xf>
    <xf numFmtId="175" fontId="0" fillId="0" borderId="0" xfId="0" applyNumberFormat="1" applyAlignment="1" applyProtection="1">
      <alignment horizontal="center" vertical="center"/>
      <protection hidden="1"/>
    </xf>
    <xf numFmtId="175" fontId="0" fillId="0" borderId="8" xfId="0" applyNumberFormat="1" applyBorder="1" applyAlignment="1" applyProtection="1">
      <alignment horizontal="center" vertical="center"/>
      <protection hidden="1"/>
    </xf>
    <xf numFmtId="189" fontId="1" fillId="0" borderId="0" xfId="0" applyNumberFormat="1" applyFont="1" applyBorder="1" applyAlignment="1" applyProtection="1">
      <alignment horizontal="center" vertical="center"/>
      <protection hidden="1"/>
    </xf>
    <xf numFmtId="187" fontId="1" fillId="0" borderId="0" xfId="0" applyNumberFormat="1" applyFont="1" applyBorder="1" applyAlignment="1" applyProtection="1">
      <alignment horizontal="center" vertical="center"/>
      <protection hidden="1"/>
    </xf>
    <xf numFmtId="187" fontId="4" fillId="0" borderId="0" xfId="0" applyNumberFormat="1" applyFont="1" applyBorder="1" applyAlignment="1" applyProtection="1">
      <alignment horizontal="center" vertical="center"/>
      <protection hidden="1"/>
    </xf>
    <xf numFmtId="188" fontId="1" fillId="0" borderId="0" xfId="0" applyNumberFormat="1" applyFont="1" applyFill="1" applyBorder="1" applyAlignment="1" applyProtection="1">
      <alignment horizontal="center" vertical="center"/>
      <protection hidden="1"/>
    </xf>
    <xf numFmtId="175" fontId="1" fillId="0" borderId="17" xfId="0" applyNumberFormat="1" applyFont="1" applyBorder="1" applyAlignment="1" applyProtection="1">
      <alignment horizontal="center" vertical="center"/>
      <protection hidden="1"/>
    </xf>
    <xf numFmtId="187" fontId="10" fillId="0" borderId="56" xfId="0" applyNumberFormat="1" applyFont="1" applyBorder="1" applyAlignment="1" applyProtection="1">
      <alignment horizontal="center" vertical="center"/>
      <protection hidden="1"/>
    </xf>
    <xf numFmtId="188" fontId="10" fillId="0" borderId="57" xfId="0" applyNumberFormat="1" applyFont="1" applyBorder="1" applyAlignment="1" applyProtection="1">
      <alignment horizontal="center" vertical="center"/>
      <protection hidden="1"/>
    </xf>
    <xf numFmtId="187" fontId="1" fillId="0" borderId="17" xfId="0" applyNumberFormat="1" applyFont="1" applyBorder="1" applyAlignment="1" applyProtection="1">
      <alignment horizontal="center" vertical="center"/>
      <protection hidden="1"/>
    </xf>
    <xf numFmtId="189" fontId="10" fillId="0" borderId="59" xfId="0" applyNumberFormat="1" applyFont="1" applyBorder="1" applyAlignment="1" applyProtection="1">
      <alignment horizontal="center" vertical="center"/>
      <protection hidden="1"/>
    </xf>
    <xf numFmtId="187" fontId="0" fillId="0" borderId="22" xfId="0" applyNumberFormat="1" applyBorder="1" applyAlignment="1" applyProtection="1">
      <alignment horizontal="center" vertical="center"/>
      <protection hidden="1"/>
    </xf>
    <xf numFmtId="187" fontId="0" fillId="0" borderId="5" xfId="0" applyNumberFormat="1" applyBorder="1" applyAlignment="1" applyProtection="1">
      <alignment horizontal="center" vertical="center"/>
      <protection hidden="1"/>
    </xf>
    <xf numFmtId="189" fontId="1" fillId="0" borderId="8" xfId="0" applyNumberFormat="1" applyFont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left"/>
      <protection hidden="1"/>
    </xf>
    <xf numFmtId="0" fontId="0" fillId="0" borderId="21" xfId="0" applyBorder="1" applyProtection="1">
      <protection hidden="1"/>
    </xf>
    <xf numFmtId="192" fontId="0" fillId="0" borderId="17" xfId="0" applyNumberFormat="1" applyBorder="1" applyAlignment="1" applyProtection="1">
      <alignment horizontal="center" vertical="center"/>
      <protection hidden="1"/>
    </xf>
    <xf numFmtId="192" fontId="0" fillId="0" borderId="0" xfId="0" applyNumberFormat="1" applyBorder="1" applyAlignment="1" applyProtection="1">
      <alignment horizontal="center" vertical="center"/>
      <protection hidden="1"/>
    </xf>
    <xf numFmtId="0" fontId="0" fillId="0" borderId="22" xfId="0" applyBorder="1" applyAlignment="1" applyProtection="1">
      <protection hidden="1"/>
    </xf>
    <xf numFmtId="0" fontId="100" fillId="0" borderId="0" xfId="0" applyFont="1" applyAlignment="1" applyProtection="1">
      <alignment horizontal="left" vertical="center"/>
      <protection hidden="1"/>
    </xf>
    <xf numFmtId="0" fontId="77" fillId="0" borderId="0" xfId="0" applyFont="1" applyAlignment="1" applyProtection="1">
      <alignment horizontal="center" vertical="center"/>
      <protection hidden="1"/>
    </xf>
    <xf numFmtId="181" fontId="0" fillId="0" borderId="41" xfId="0" applyNumberFormat="1" applyBorder="1" applyAlignment="1" applyProtection="1">
      <alignment horizontal="center" vertical="center"/>
      <protection hidden="1"/>
    </xf>
    <xf numFmtId="181" fontId="0" fillId="0" borderId="25" xfId="0" applyNumberFormat="1" applyBorder="1" applyAlignment="1" applyProtection="1">
      <alignment horizontal="center" vertical="center"/>
      <protection hidden="1"/>
    </xf>
    <xf numFmtId="0" fontId="1" fillId="0" borderId="22" xfId="0" applyFont="1" applyBorder="1" applyAlignment="1" applyProtection="1">
      <protection hidden="1"/>
    </xf>
    <xf numFmtId="175" fontId="0" fillId="0" borderId="0" xfId="0" applyNumberFormat="1" applyAlignment="1" applyProtection="1">
      <alignment horizontal="center"/>
      <protection hidden="1"/>
    </xf>
    <xf numFmtId="175" fontId="10" fillId="0" borderId="0" xfId="0" applyNumberFormat="1" applyFont="1" applyFill="1" applyBorder="1" applyAlignment="1" applyProtection="1">
      <alignment horizontal="left" vertical="center"/>
      <protection hidden="1"/>
    </xf>
    <xf numFmtId="185" fontId="0" fillId="0" borderId="25" xfId="0" applyNumberFormat="1" applyBorder="1" applyAlignment="1" applyProtection="1">
      <alignment horizontal="center" vertical="center"/>
      <protection hidden="1"/>
    </xf>
    <xf numFmtId="185" fontId="0" fillId="0" borderId="0" xfId="0" applyNumberFormat="1" applyBorder="1" applyAlignment="1" applyProtection="1">
      <alignment horizontal="center" vertical="center"/>
      <protection hidden="1"/>
    </xf>
    <xf numFmtId="0" fontId="50" fillId="0" borderId="0" xfId="0" applyFont="1" applyFill="1" applyProtection="1">
      <protection hidden="1"/>
    </xf>
    <xf numFmtId="200" fontId="0" fillId="0" borderId="0" xfId="0" applyNumberFormat="1" applyAlignment="1" applyProtection="1">
      <protection hidden="1"/>
    </xf>
    <xf numFmtId="175" fontId="0" fillId="0" borderId="35" xfId="0" applyNumberFormat="1" applyBorder="1" applyAlignment="1" applyProtection="1">
      <alignment horizontal="center" vertical="center"/>
      <protection hidden="1"/>
    </xf>
    <xf numFmtId="0" fontId="91" fillId="0" borderId="17" xfId="0" applyFont="1" applyBorder="1" applyAlignment="1" applyProtection="1">
      <alignment horizontal="center" vertical="center"/>
      <protection hidden="1"/>
    </xf>
    <xf numFmtId="190" fontId="32" fillId="0" borderId="3" xfId="0" applyNumberFormat="1" applyFont="1" applyFill="1" applyBorder="1" applyAlignment="1" applyProtection="1">
      <alignment horizontal="center" vertical="center"/>
      <protection locked="0"/>
    </xf>
    <xf numFmtId="164" fontId="32" fillId="0" borderId="3" xfId="0" applyNumberFormat="1" applyFont="1" applyFill="1" applyBorder="1" applyAlignment="1" applyProtection="1">
      <alignment horizontal="center" vertical="center"/>
      <protection locked="0"/>
    </xf>
    <xf numFmtId="191" fontId="32" fillId="0" borderId="3" xfId="0" applyNumberFormat="1" applyFont="1" applyFill="1" applyBorder="1" applyAlignment="1" applyProtection="1">
      <alignment horizontal="center" vertical="center"/>
      <protection locked="0"/>
    </xf>
    <xf numFmtId="181" fontId="0" fillId="0" borderId="3" xfId="0" applyNumberFormat="1" applyBorder="1" applyAlignment="1" applyProtection="1">
      <alignment horizontal="center" vertical="center"/>
      <protection locked="0"/>
    </xf>
    <xf numFmtId="181" fontId="0" fillId="0" borderId="53" xfId="0" applyNumberFormat="1" applyBorder="1" applyAlignment="1" applyProtection="1">
      <alignment horizontal="center" vertical="center"/>
      <protection locked="0"/>
    </xf>
    <xf numFmtId="184" fontId="0" fillId="0" borderId="3" xfId="0" applyNumberFormat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vertical="center"/>
      <protection hidden="1"/>
    </xf>
    <xf numFmtId="166" fontId="1" fillId="0" borderId="17" xfId="0" applyNumberFormat="1" applyFont="1" applyFill="1" applyBorder="1" applyAlignment="1" applyProtection="1">
      <alignment horizontal="center" vertical="center"/>
      <protection hidden="1"/>
    </xf>
    <xf numFmtId="176" fontId="0" fillId="0" borderId="17" xfId="0" applyNumberFormat="1" applyBorder="1" applyAlignment="1" applyProtection="1">
      <alignment horizontal="center"/>
      <protection hidden="1"/>
    </xf>
    <xf numFmtId="0" fontId="0" fillId="0" borderId="17" xfId="0" applyFont="1" applyBorder="1" applyAlignment="1" applyProtection="1">
      <alignment horizontal="center" vertical="center"/>
      <protection hidden="1"/>
    </xf>
    <xf numFmtId="166" fontId="1" fillId="0" borderId="17" xfId="0" applyNumberFormat="1" applyFont="1" applyBorder="1" applyAlignment="1" applyProtection="1">
      <alignment horizontal="center" vertical="center"/>
      <protection hidden="1"/>
    </xf>
    <xf numFmtId="175" fontId="0" fillId="0" borderId="17" xfId="0" applyNumberFormat="1" applyBorder="1" applyAlignment="1" applyProtection="1">
      <alignment horizontal="center"/>
      <protection hidden="1"/>
    </xf>
    <xf numFmtId="181" fontId="0" fillId="0" borderId="17" xfId="0" applyNumberFormat="1" applyBorder="1" applyAlignment="1" applyProtection="1">
      <alignment horizontal="center"/>
      <protection hidden="1"/>
    </xf>
    <xf numFmtId="172" fontId="0" fillId="0" borderId="0" xfId="0" applyNumberFormat="1" applyAlignment="1" applyProtection="1">
      <alignment horizontal="center" vertical="center"/>
      <protection hidden="1"/>
    </xf>
    <xf numFmtId="166" fontId="1" fillId="0" borderId="0" xfId="0" applyNumberFormat="1" applyFont="1" applyBorder="1" applyAlignment="1" applyProtection="1">
      <alignment horizontal="center" vertical="center"/>
      <protection hidden="1"/>
    </xf>
    <xf numFmtId="175" fontId="0" fillId="0" borderId="0" xfId="0" applyNumberFormat="1" applyBorder="1" applyAlignment="1" applyProtection="1">
      <alignment horizontal="center"/>
      <protection hidden="1"/>
    </xf>
    <xf numFmtId="10" fontId="0" fillId="0" borderId="0" xfId="0" applyNumberFormat="1" applyFill="1" applyAlignment="1" applyProtection="1">
      <alignment horizontal="center" vertical="center"/>
      <protection hidden="1"/>
    </xf>
    <xf numFmtId="10" fontId="1" fillId="0" borderId="0" xfId="0" applyNumberFormat="1" applyFont="1" applyFill="1" applyAlignment="1" applyProtection="1">
      <alignment horizontal="center" vertical="center"/>
      <protection hidden="1"/>
    </xf>
    <xf numFmtId="166" fontId="0" fillId="0" borderId="17" xfId="0" applyNumberFormat="1" applyFont="1" applyBorder="1" applyAlignment="1" applyProtection="1">
      <alignment horizontal="center" vertical="center"/>
      <protection hidden="1"/>
    </xf>
    <xf numFmtId="176" fontId="0" fillId="0" borderId="0" xfId="0" applyNumberFormat="1" applyBorder="1" applyAlignment="1" applyProtection="1">
      <alignment horizontal="center"/>
      <protection hidden="1"/>
    </xf>
    <xf numFmtId="0" fontId="4" fillId="0" borderId="27" xfId="0" applyFont="1" applyBorder="1" applyAlignment="1" applyProtection="1">
      <alignment horizontal="center" vertical="center"/>
      <protection hidden="1"/>
    </xf>
    <xf numFmtId="186" fontId="1" fillId="0" borderId="25" xfId="0" applyNumberFormat="1" applyFont="1" applyBorder="1" applyAlignment="1" applyProtection="1">
      <alignment horizontal="center" vertical="center"/>
      <protection hidden="1"/>
    </xf>
    <xf numFmtId="0" fontId="23" fillId="0" borderId="0" xfId="0" applyFont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188" fontId="0" fillId="0" borderId="17" xfId="0" applyNumberFormat="1" applyBorder="1" applyAlignment="1" applyProtection="1">
      <alignment horizontal="center" vertical="center"/>
      <protection hidden="1"/>
    </xf>
    <xf numFmtId="180" fontId="0" fillId="0" borderId="12" xfId="0" applyNumberFormat="1" applyBorder="1" applyAlignment="1" applyProtection="1">
      <alignment horizontal="center" vertical="center"/>
      <protection hidden="1"/>
    </xf>
    <xf numFmtId="0" fontId="0" fillId="0" borderId="0" xfId="0" applyProtection="1">
      <protection locked="0"/>
    </xf>
    <xf numFmtId="0" fontId="17" fillId="11" borderId="3" xfId="1" applyFill="1" applyBorder="1" applyAlignment="1">
      <alignment horizontal="center" vertical="center"/>
    </xf>
    <xf numFmtId="0" fontId="1" fillId="0" borderId="17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" fillId="0" borderId="27" xfId="0" applyFont="1" applyBorder="1" applyAlignment="1" applyProtection="1">
      <alignment horizontal="center" vertical="center"/>
      <protection hidden="1"/>
    </xf>
    <xf numFmtId="0" fontId="1" fillId="0" borderId="25" xfId="0" applyFont="1" applyBorder="1" applyAlignment="1" applyProtection="1">
      <alignment horizontal="center" vertical="center"/>
      <protection hidden="1"/>
    </xf>
    <xf numFmtId="0" fontId="1" fillId="0" borderId="10" xfId="0" applyFont="1" applyBorder="1" applyAlignment="1" applyProtection="1">
      <alignment horizontal="center" vertical="center"/>
      <protection hidden="1"/>
    </xf>
    <xf numFmtId="0" fontId="60" fillId="0" borderId="17" xfId="0" applyFont="1" applyBorder="1" applyAlignment="1" applyProtection="1">
      <alignment horizontal="center" vertical="center"/>
      <protection hidden="1"/>
    </xf>
    <xf numFmtId="0" fontId="81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210" fontId="0" fillId="0" borderId="17" xfId="0" applyNumberFormat="1" applyBorder="1" applyAlignment="1" applyProtection="1">
      <alignment horizontal="center" vertical="center"/>
      <protection locked="0"/>
    </xf>
    <xf numFmtId="181" fontId="0" fillId="0" borderId="41" xfId="0" applyNumberFormat="1" applyBorder="1" applyAlignment="1">
      <alignment horizontal="center" vertical="center"/>
    </xf>
    <xf numFmtId="181" fontId="1" fillId="0" borderId="17" xfId="0" applyNumberFormat="1" applyFont="1" applyBorder="1" applyAlignment="1">
      <alignment horizontal="center" vertical="center"/>
    </xf>
    <xf numFmtId="211" fontId="1" fillId="0" borderId="0" xfId="0" applyNumberFormat="1" applyFont="1" applyBorder="1" applyAlignment="1" applyProtection="1">
      <alignment vertical="center"/>
      <protection hidden="1"/>
    </xf>
    <xf numFmtId="0" fontId="60" fillId="0" borderId="0" xfId="0" applyFont="1" applyAlignment="1" applyProtection="1">
      <alignment vertical="top"/>
      <protection hidden="1"/>
    </xf>
    <xf numFmtId="187" fontId="91" fillId="0" borderId="0" xfId="0" applyNumberFormat="1" applyFont="1" applyFill="1" applyBorder="1" applyAlignment="1" applyProtection="1">
      <alignment vertical="top" wrapText="1"/>
      <protection hidden="1"/>
    </xf>
    <xf numFmtId="0" fontId="91" fillId="0" borderId="0" xfId="0" applyFont="1" applyFill="1" applyAlignment="1" applyProtection="1">
      <alignment vertical="top" wrapText="1"/>
      <protection hidden="1"/>
    </xf>
    <xf numFmtId="0" fontId="91" fillId="0" borderId="0" xfId="0" applyFont="1" applyFill="1" applyBorder="1" applyAlignment="1" applyProtection="1">
      <alignment vertical="top" wrapText="1"/>
      <protection hidden="1"/>
    </xf>
    <xf numFmtId="164" fontId="0" fillId="0" borderId="0" xfId="0" applyNumberFormat="1" applyFont="1" applyBorder="1" applyAlignment="1" applyProtection="1">
      <alignment horizontal="center" vertical="center"/>
      <protection hidden="1"/>
    </xf>
    <xf numFmtId="0" fontId="4" fillId="0" borderId="12" xfId="0" applyFont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175" fontId="1" fillId="0" borderId="0" xfId="0" applyNumberFormat="1" applyFont="1" applyBorder="1" applyAlignment="1" applyProtection="1">
      <alignment horizontal="left" vertical="top"/>
      <protection hidden="1"/>
    </xf>
    <xf numFmtId="0" fontId="1" fillId="0" borderId="23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17" fillId="0" borderId="0" xfId="1" applyAlignment="1" applyProtection="1">
      <alignment horizontal="center"/>
      <protection locked="0"/>
    </xf>
    <xf numFmtId="0" fontId="17" fillId="0" borderId="0" xfId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1" fillId="0" borderId="4" xfId="0" applyFont="1" applyBorder="1" applyAlignment="1" applyProtection="1">
      <alignment horizontal="center" wrapText="1"/>
      <protection hidden="1"/>
    </xf>
    <xf numFmtId="0" fontId="1" fillId="0" borderId="5" xfId="0" applyFont="1" applyBorder="1" applyAlignment="1" applyProtection="1">
      <alignment horizontal="center" wrapText="1"/>
      <protection hidden="1"/>
    </xf>
    <xf numFmtId="0" fontId="1" fillId="0" borderId="6" xfId="0" applyFont="1" applyBorder="1" applyAlignment="1" applyProtection="1">
      <alignment horizontal="center" wrapText="1"/>
      <protection hidden="1"/>
    </xf>
    <xf numFmtId="0" fontId="1" fillId="0" borderId="7" xfId="0" applyFont="1" applyBorder="1" applyAlignment="1" applyProtection="1">
      <alignment horizontal="center" wrapText="1"/>
      <protection hidden="1"/>
    </xf>
    <xf numFmtId="0" fontId="8" fillId="0" borderId="4" xfId="0" applyFont="1" applyBorder="1" applyAlignment="1" applyProtection="1">
      <alignment horizontal="center" vertical="center"/>
      <protection hidden="1"/>
    </xf>
    <xf numFmtId="0" fontId="8" fillId="0" borderId="8" xfId="0" applyFont="1" applyBorder="1" applyAlignment="1" applyProtection="1">
      <alignment horizontal="center" vertical="center"/>
      <protection hidden="1"/>
    </xf>
    <xf numFmtId="0" fontId="8" fillId="0" borderId="6" xfId="0" applyFont="1" applyBorder="1" applyAlignment="1" applyProtection="1">
      <alignment horizontal="center" vertical="center"/>
      <protection hidden="1"/>
    </xf>
    <xf numFmtId="0" fontId="8" fillId="0" borderId="9" xfId="0" applyFont="1" applyBorder="1" applyAlignment="1" applyProtection="1">
      <alignment horizontal="center" vertical="center"/>
      <protection hidden="1"/>
    </xf>
    <xf numFmtId="0" fontId="11" fillId="0" borderId="8" xfId="0" applyFont="1" applyBorder="1" applyAlignment="1" applyProtection="1">
      <alignment horizontal="center" vertical="center"/>
      <protection hidden="1"/>
    </xf>
    <xf numFmtId="0" fontId="11" fillId="0" borderId="5" xfId="0" applyFont="1" applyBorder="1" applyAlignment="1" applyProtection="1">
      <alignment horizontal="center" vertical="center"/>
      <protection hidden="1"/>
    </xf>
    <xf numFmtId="0" fontId="11" fillId="0" borderId="9" xfId="0" applyFont="1" applyBorder="1" applyAlignment="1" applyProtection="1">
      <alignment horizontal="center" vertical="center"/>
      <protection hidden="1"/>
    </xf>
    <xf numFmtId="0" fontId="11" fillId="0" borderId="7" xfId="0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horizontal="center" vertical="center"/>
      <protection hidden="1"/>
    </xf>
    <xf numFmtId="0" fontId="8" fillId="0" borderId="7" xfId="0" applyFont="1" applyBorder="1" applyAlignment="1" applyProtection="1">
      <alignment horizontal="center" vertical="center"/>
      <protection hidden="1"/>
    </xf>
    <xf numFmtId="0" fontId="1" fillId="0" borderId="4" xfId="0" applyFont="1" applyBorder="1" applyAlignment="1" applyProtection="1">
      <alignment horizontal="center" vertical="center"/>
      <protection hidden="1"/>
    </xf>
    <xf numFmtId="0" fontId="1" fillId="0" borderId="5" xfId="0" applyFont="1" applyBorder="1" applyAlignment="1" applyProtection="1">
      <alignment horizontal="center" vertical="center"/>
      <protection hidden="1"/>
    </xf>
    <xf numFmtId="0" fontId="1" fillId="0" borderId="6" xfId="0" applyFont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29" fillId="13" borderId="0" xfId="0" applyFont="1" applyFill="1" applyAlignment="1" applyProtection="1">
      <alignment horizontal="center" vertical="center"/>
      <protection hidden="1"/>
    </xf>
    <xf numFmtId="0" fontId="1" fillId="0" borderId="17" xfId="0" applyFont="1" applyBorder="1" applyAlignment="1">
      <alignment horizontal="center"/>
    </xf>
    <xf numFmtId="0" fontId="1" fillId="0" borderId="10" xfId="0" applyFont="1" applyBorder="1" applyAlignment="1" applyProtection="1">
      <alignment horizontal="center"/>
      <protection hidden="1"/>
    </xf>
    <xf numFmtId="0" fontId="1" fillId="0" borderId="11" xfId="0" applyFont="1" applyBorder="1" applyAlignment="1" applyProtection="1">
      <alignment horizontal="center"/>
      <protection hidden="1"/>
    </xf>
    <xf numFmtId="0" fontId="60" fillId="0" borderId="17" xfId="0" applyFont="1" applyBorder="1" applyAlignment="1">
      <alignment horizontal="center"/>
    </xf>
    <xf numFmtId="0" fontId="60" fillId="0" borderId="0" xfId="0" applyFont="1" applyAlignment="1">
      <alignment horizontal="center"/>
    </xf>
    <xf numFmtId="0" fontId="0" fillId="0" borderId="17" xfId="0" applyBorder="1" applyAlignment="1">
      <alignment horizontal="center"/>
    </xf>
    <xf numFmtId="0" fontId="1" fillId="6" borderId="0" xfId="0" applyFont="1" applyFill="1" applyAlignment="1">
      <alignment horizontal="center" vertical="center"/>
    </xf>
    <xf numFmtId="0" fontId="1" fillId="6" borderId="23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" fillId="0" borderId="12" xfId="0" applyFont="1" applyBorder="1" applyAlignment="1" applyProtection="1">
      <alignment horizontal="center"/>
      <protection hidden="1"/>
    </xf>
    <xf numFmtId="0" fontId="48" fillId="0" borderId="22" xfId="0" applyFont="1" applyBorder="1" applyAlignment="1" applyProtection="1">
      <alignment horizontal="right" vertical="center"/>
      <protection hidden="1"/>
    </xf>
    <xf numFmtId="0" fontId="48" fillId="0" borderId="31" xfId="0" applyFont="1" applyBorder="1" applyAlignment="1" applyProtection="1">
      <alignment horizontal="right" vertical="center"/>
      <protection hidden="1"/>
    </xf>
    <xf numFmtId="0" fontId="1" fillId="0" borderId="0" xfId="0" applyFont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64" fillId="0" borderId="10" xfId="0" applyFont="1" applyBorder="1" applyAlignment="1">
      <alignment horizontal="center"/>
    </xf>
    <xf numFmtId="0" fontId="64" fillId="0" borderId="11" xfId="0" applyFont="1" applyBorder="1" applyAlignment="1">
      <alignment horizontal="center"/>
    </xf>
    <xf numFmtId="0" fontId="64" fillId="0" borderId="12" xfId="0" applyFont="1" applyBorder="1" applyAlignment="1">
      <alignment horizontal="center"/>
    </xf>
    <xf numFmtId="0" fontId="44" fillId="0" borderId="0" xfId="0" applyFont="1" applyFill="1" applyAlignment="1" applyProtection="1">
      <alignment horizontal="center" vertical="center" wrapText="1"/>
      <protection hidden="1"/>
    </xf>
    <xf numFmtId="0" fontId="51" fillId="0" borderId="0" xfId="0" applyFont="1" applyBorder="1" applyAlignment="1" applyProtection="1">
      <alignment horizontal="center" vertical="center"/>
      <protection hidden="1"/>
    </xf>
    <xf numFmtId="0" fontId="48" fillId="0" borderId="22" xfId="0" applyFont="1" applyBorder="1" applyAlignment="1" applyProtection="1">
      <alignment horizontal="center"/>
      <protection hidden="1"/>
    </xf>
    <xf numFmtId="0" fontId="48" fillId="0" borderId="23" xfId="0" applyFont="1" applyBorder="1" applyAlignment="1" applyProtection="1">
      <alignment horizontal="center"/>
      <protection hidden="1"/>
    </xf>
    <xf numFmtId="0" fontId="52" fillId="0" borderId="23" xfId="0" applyFont="1" applyBorder="1" applyAlignment="1" applyProtection="1">
      <alignment horizontal="center" wrapText="1"/>
      <protection hidden="1"/>
    </xf>
    <xf numFmtId="0" fontId="52" fillId="0" borderId="7" xfId="0" applyFont="1" applyBorder="1" applyAlignment="1" applyProtection="1">
      <alignment horizontal="center" wrapText="1"/>
      <protection hidden="1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48" fillId="0" borderId="4" xfId="0" applyFont="1" applyBorder="1" applyAlignment="1" applyProtection="1">
      <alignment horizontal="center"/>
      <protection hidden="1"/>
    </xf>
    <xf numFmtId="0" fontId="48" fillId="0" borderId="5" xfId="0" applyFont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0" fontId="6" fillId="0" borderId="23" xfId="0" applyFont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1" fillId="0" borderId="23" xfId="0" applyFont="1" applyBorder="1" applyAlignment="1" applyProtection="1">
      <alignment horizontal="center" vertical="center"/>
      <protection hidden="1"/>
    </xf>
    <xf numFmtId="0" fontId="13" fillId="0" borderId="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3" xfId="0" applyBorder="1" applyAlignment="1">
      <alignment horizontal="center"/>
    </xf>
    <xf numFmtId="0" fontId="60" fillId="0" borderId="0" xfId="0" applyFont="1" applyAlignment="1" applyProtection="1">
      <alignment horizontal="center" vertical="center"/>
      <protection hidden="1"/>
    </xf>
    <xf numFmtId="0" fontId="1" fillId="0" borderId="10" xfId="0" applyFont="1" applyBorder="1" applyAlignment="1" applyProtection="1">
      <alignment horizontal="center" vertical="center"/>
      <protection hidden="1"/>
    </xf>
    <xf numFmtId="0" fontId="1" fillId="0" borderId="12" xfId="0" applyFont="1" applyBorder="1" applyAlignment="1" applyProtection="1">
      <alignment horizontal="center" vertical="center"/>
      <protection hidden="1"/>
    </xf>
    <xf numFmtId="0" fontId="1" fillId="0" borderId="17" xfId="0" applyFont="1" applyBorder="1" applyAlignment="1" applyProtection="1">
      <alignment horizontal="center" vertical="center"/>
      <protection hidden="1"/>
    </xf>
    <xf numFmtId="2" fontId="0" fillId="0" borderId="17" xfId="0" applyNumberFormat="1" applyBorder="1" applyAlignment="1" applyProtection="1">
      <alignment horizontal="center" vertical="center"/>
      <protection hidden="1"/>
    </xf>
    <xf numFmtId="2" fontId="0" fillId="0" borderId="10" xfId="0" applyNumberFormat="1" applyBorder="1" applyAlignment="1" applyProtection="1">
      <alignment horizontal="center" vertical="center"/>
      <protection hidden="1"/>
    </xf>
    <xf numFmtId="2" fontId="0" fillId="0" borderId="12" xfId="0" applyNumberFormat="1" applyBorder="1" applyAlignment="1" applyProtection="1">
      <alignment horizontal="center" vertical="center"/>
      <protection hidden="1"/>
    </xf>
    <xf numFmtId="0" fontId="78" fillId="0" borderId="0" xfId="0" applyFont="1" applyFill="1" applyAlignment="1" applyProtection="1">
      <alignment horizontal="center" vertical="center" wrapText="1"/>
      <protection hidden="1"/>
    </xf>
    <xf numFmtId="0" fontId="59" fillId="0" borderId="66" xfId="0" applyFont="1" applyBorder="1" applyAlignment="1" applyProtection="1">
      <alignment horizontal="center" vertical="center" wrapText="1"/>
      <protection hidden="1"/>
    </xf>
    <xf numFmtId="0" fontId="59" fillId="0" borderId="67" xfId="0" applyFont="1" applyBorder="1" applyAlignment="1" applyProtection="1">
      <alignment horizontal="center" vertical="center" wrapText="1"/>
      <protection hidden="1"/>
    </xf>
    <xf numFmtId="0" fontId="59" fillId="0" borderId="68" xfId="0" applyFont="1" applyBorder="1" applyAlignment="1" applyProtection="1">
      <alignment horizontal="center" vertical="center" wrapText="1"/>
      <protection hidden="1"/>
    </xf>
    <xf numFmtId="0" fontId="1" fillId="0" borderId="17" xfId="0" applyFont="1" applyBorder="1" applyAlignment="1" applyProtection="1">
      <alignment horizontal="center" vertical="center" wrapText="1"/>
      <protection hidden="1"/>
    </xf>
    <xf numFmtId="0" fontId="8" fillId="9" borderId="46" xfId="0" applyFont="1" applyFill="1" applyBorder="1" applyAlignment="1" applyProtection="1">
      <alignment horizontal="center" vertical="center" textRotation="90" wrapText="1"/>
      <protection locked="0"/>
    </xf>
    <xf numFmtId="0" fontId="8" fillId="9" borderId="47" xfId="0" applyFont="1" applyFill="1" applyBorder="1" applyAlignment="1" applyProtection="1">
      <alignment horizontal="center" vertical="center" textRotation="90" wrapText="1"/>
      <protection locked="0"/>
    </xf>
    <xf numFmtId="0" fontId="8" fillId="9" borderId="21" xfId="0" applyFont="1" applyFill="1" applyBorder="1" applyAlignment="1" applyProtection="1">
      <alignment horizontal="center" vertical="center" textRotation="90" wrapText="1"/>
      <protection locked="0"/>
    </xf>
    <xf numFmtId="0" fontId="8" fillId="9" borderId="13" xfId="0" applyFont="1" applyFill="1" applyBorder="1" applyAlignment="1" applyProtection="1">
      <alignment horizontal="center" vertical="center" textRotation="90" wrapText="1"/>
      <protection locked="0"/>
    </xf>
    <xf numFmtId="0" fontId="8" fillId="9" borderId="48" xfId="0" applyFont="1" applyFill="1" applyBorder="1" applyAlignment="1" applyProtection="1">
      <alignment horizontal="center" vertical="center" textRotation="90" wrapText="1"/>
      <protection locked="0"/>
    </xf>
    <xf numFmtId="0" fontId="8" fillId="9" borderId="49" xfId="0" applyFont="1" applyFill="1" applyBorder="1" applyAlignment="1" applyProtection="1">
      <alignment horizontal="center" vertical="center" textRotation="90" wrapText="1"/>
      <protection locked="0"/>
    </xf>
    <xf numFmtId="180" fontId="1" fillId="0" borderId="0" xfId="0" applyNumberFormat="1" applyFont="1" applyBorder="1" applyAlignment="1" applyProtection="1">
      <alignment horizontal="center" vertical="center"/>
      <protection hidden="1"/>
    </xf>
    <xf numFmtId="180" fontId="1" fillId="0" borderId="13" xfId="0" applyNumberFormat="1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54" fillId="0" borderId="18" xfId="0" applyFont="1" applyBorder="1" applyAlignment="1" applyProtection="1">
      <alignment horizontal="center"/>
      <protection locked="0"/>
    </xf>
    <xf numFmtId="0" fontId="54" fillId="0" borderId="20" xfId="0" applyFont="1" applyBorder="1" applyAlignment="1" applyProtection="1">
      <alignment horizontal="center"/>
      <protection locked="0"/>
    </xf>
    <xf numFmtId="0" fontId="20" fillId="0" borderId="69" xfId="0" applyFont="1" applyBorder="1" applyAlignment="1" applyProtection="1">
      <alignment horizontal="center" vertical="center" wrapText="1"/>
      <protection hidden="1"/>
    </xf>
    <xf numFmtId="0" fontId="20" fillId="0" borderId="70" xfId="0" applyFont="1" applyBorder="1" applyAlignment="1" applyProtection="1">
      <alignment horizontal="center" vertical="center" wrapText="1"/>
      <protection hidden="1"/>
    </xf>
    <xf numFmtId="0" fontId="20" fillId="0" borderId="71" xfId="0" applyFont="1" applyBorder="1" applyAlignment="1" applyProtection="1">
      <alignment horizontal="center" vertical="center" wrapText="1"/>
      <protection hidden="1"/>
    </xf>
    <xf numFmtId="0" fontId="20" fillId="0" borderId="72" xfId="0" applyFont="1" applyBorder="1" applyAlignment="1" applyProtection="1">
      <alignment horizontal="center" vertical="center" wrapText="1"/>
      <protection hidden="1"/>
    </xf>
    <xf numFmtId="0" fontId="20" fillId="0" borderId="0" xfId="0" applyFont="1" applyBorder="1" applyAlignment="1" applyProtection="1">
      <alignment horizontal="center" vertical="center" wrapText="1"/>
      <protection hidden="1"/>
    </xf>
    <xf numFmtId="0" fontId="20" fillId="0" borderId="73" xfId="0" applyFont="1" applyBorder="1" applyAlignment="1" applyProtection="1">
      <alignment horizontal="center" vertical="center" wrapText="1"/>
      <protection hidden="1"/>
    </xf>
    <xf numFmtId="0" fontId="20" fillId="0" borderId="74" xfId="0" applyFont="1" applyBorder="1" applyAlignment="1" applyProtection="1">
      <alignment horizontal="center" vertical="center" wrapText="1"/>
      <protection hidden="1"/>
    </xf>
    <xf numFmtId="0" fontId="20" fillId="0" borderId="75" xfId="0" applyFont="1" applyBorder="1" applyAlignment="1" applyProtection="1">
      <alignment horizontal="center" vertical="center" wrapText="1"/>
      <protection hidden="1"/>
    </xf>
    <xf numFmtId="0" fontId="20" fillId="0" borderId="76" xfId="0" applyFont="1" applyBorder="1" applyAlignment="1" applyProtection="1">
      <alignment horizontal="center" vertical="center" wrapText="1"/>
      <protection hidden="1"/>
    </xf>
    <xf numFmtId="0" fontId="0" fillId="10" borderId="18" xfId="0" applyFill="1" applyBorder="1" applyAlignment="1" applyProtection="1">
      <alignment horizontal="left"/>
      <protection locked="0"/>
    </xf>
    <xf numFmtId="0" fontId="0" fillId="10" borderId="19" xfId="0" applyFill="1" applyBorder="1" applyAlignment="1" applyProtection="1">
      <alignment horizontal="left"/>
      <protection locked="0"/>
    </xf>
    <xf numFmtId="0" fontId="0" fillId="10" borderId="20" xfId="0" applyFill="1" applyBorder="1" applyAlignment="1" applyProtection="1">
      <alignment horizontal="left"/>
      <protection locked="0"/>
    </xf>
    <xf numFmtId="0" fontId="53" fillId="0" borderId="0" xfId="0" applyFont="1" applyAlignment="1" applyProtection="1">
      <alignment horizontal="left"/>
      <protection hidden="1"/>
    </xf>
    <xf numFmtId="0" fontId="8" fillId="9" borderId="46" xfId="0" applyFont="1" applyFill="1" applyBorder="1" applyAlignment="1" applyProtection="1">
      <alignment horizontal="center" vertical="center" textRotation="90" wrapText="1"/>
      <protection hidden="1"/>
    </xf>
    <xf numFmtId="0" fontId="8" fillId="9" borderId="47" xfId="0" applyFont="1" applyFill="1" applyBorder="1" applyAlignment="1" applyProtection="1">
      <alignment horizontal="center" vertical="center" textRotation="90" wrapText="1"/>
      <protection hidden="1"/>
    </xf>
    <xf numFmtId="0" fontId="8" fillId="9" borderId="21" xfId="0" applyFont="1" applyFill="1" applyBorder="1" applyAlignment="1" applyProtection="1">
      <alignment horizontal="center" vertical="center" textRotation="90" wrapText="1"/>
      <protection hidden="1"/>
    </xf>
    <xf numFmtId="0" fontId="8" fillId="9" borderId="13" xfId="0" applyFont="1" applyFill="1" applyBorder="1" applyAlignment="1" applyProtection="1">
      <alignment horizontal="center" vertical="center" textRotation="90" wrapText="1"/>
      <protection hidden="1"/>
    </xf>
    <xf numFmtId="0" fontId="8" fillId="9" borderId="48" xfId="0" applyFont="1" applyFill="1" applyBorder="1" applyAlignment="1" applyProtection="1">
      <alignment horizontal="center" vertical="center" textRotation="90" wrapText="1"/>
      <protection hidden="1"/>
    </xf>
    <xf numFmtId="0" fontId="8" fillId="9" borderId="49" xfId="0" applyFont="1" applyFill="1" applyBorder="1" applyAlignment="1" applyProtection="1">
      <alignment horizontal="center" vertical="center" textRotation="90" wrapText="1"/>
      <protection hidden="1"/>
    </xf>
    <xf numFmtId="0" fontId="81" fillId="0" borderId="0" xfId="0" applyFont="1" applyAlignment="1" applyProtection="1">
      <alignment horizontal="center" vertical="center" wrapText="1"/>
      <protection hidden="1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60" fillId="0" borderId="0" xfId="0" applyFont="1" applyAlignment="1" applyProtection="1">
      <alignment horizontal="center" vertical="center" wrapText="1"/>
      <protection hidden="1"/>
    </xf>
    <xf numFmtId="0" fontId="21" fillId="0" borderId="0" xfId="0" applyFont="1" applyFill="1" applyBorder="1" applyAlignment="1" applyProtection="1">
      <alignment horizontal="center" vertical="center" wrapText="1"/>
      <protection hidden="1"/>
    </xf>
    <xf numFmtId="0" fontId="91" fillId="0" borderId="0" xfId="0" applyFont="1" applyFill="1" applyAlignment="1" applyProtection="1">
      <alignment horizontal="center" vertical="top" wrapText="1"/>
      <protection hidden="1"/>
    </xf>
    <xf numFmtId="0" fontId="60" fillId="0" borderId="0" xfId="0" applyFont="1" applyAlignment="1">
      <alignment horizontal="center" vertical="center"/>
    </xf>
    <xf numFmtId="0" fontId="60" fillId="0" borderId="60" xfId="0" applyFont="1" applyBorder="1" applyAlignment="1">
      <alignment horizontal="center" vertical="center"/>
    </xf>
    <xf numFmtId="0" fontId="25" fillId="0" borderId="0" xfId="0" applyFont="1" applyFill="1" applyAlignment="1" applyProtection="1">
      <alignment horizontal="center" vertical="center"/>
      <protection hidden="1"/>
    </xf>
    <xf numFmtId="187" fontId="91" fillId="0" borderId="0" xfId="0" applyNumberFormat="1" applyFont="1" applyFill="1" applyBorder="1" applyAlignment="1" applyProtection="1">
      <alignment horizontal="center" vertical="top" wrapText="1"/>
      <protection hidden="1"/>
    </xf>
    <xf numFmtId="0" fontId="0" fillId="5" borderId="18" xfId="0" applyFill="1" applyBorder="1" applyAlignment="1" applyProtection="1">
      <alignment horizontal="left"/>
      <protection locked="0"/>
    </xf>
    <xf numFmtId="0" fontId="0" fillId="5" borderId="19" xfId="0" applyFill="1" applyBorder="1" applyAlignment="1" applyProtection="1">
      <alignment horizontal="left"/>
      <protection locked="0"/>
    </xf>
    <xf numFmtId="0" fontId="0" fillId="5" borderId="20" xfId="0" applyFill="1" applyBorder="1" applyAlignment="1" applyProtection="1">
      <alignment horizontal="left"/>
      <protection locked="0"/>
    </xf>
    <xf numFmtId="0" fontId="60" fillId="0" borderId="17" xfId="0" applyFont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60" fillId="0" borderId="10" xfId="0" applyFont="1" applyBorder="1" applyAlignment="1" applyProtection="1">
      <alignment horizontal="center"/>
      <protection hidden="1"/>
    </xf>
    <xf numFmtId="0" fontId="60" fillId="0" borderId="11" xfId="0" applyFont="1" applyBorder="1" applyAlignment="1" applyProtection="1">
      <alignment horizontal="center"/>
      <protection hidden="1"/>
    </xf>
    <xf numFmtId="0" fontId="60" fillId="0" borderId="12" xfId="0" applyFont="1" applyBorder="1" applyAlignment="1" applyProtection="1">
      <alignment horizontal="center"/>
      <protection hidden="1"/>
    </xf>
    <xf numFmtId="0" fontId="60" fillId="0" borderId="17" xfId="0" applyFont="1" applyBorder="1" applyAlignment="1" applyProtection="1">
      <alignment horizont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0" fillId="0" borderId="26" xfId="0" applyBorder="1" applyAlignment="1" applyProtection="1">
      <alignment horizontal="center" vertical="center"/>
      <protection hidden="1"/>
    </xf>
    <xf numFmtId="0" fontId="0" fillId="0" borderId="25" xfId="0" applyBorder="1" applyAlignment="1" applyProtection="1">
      <alignment horizontal="center" vertical="center"/>
      <protection hidden="1"/>
    </xf>
    <xf numFmtId="0" fontId="21" fillId="0" borderId="17" xfId="0" applyFont="1" applyBorder="1" applyAlignment="1" applyProtection="1">
      <alignment horizontal="center" vertical="center" wrapText="1"/>
      <protection hidden="1"/>
    </xf>
    <xf numFmtId="0" fontId="0" fillId="0" borderId="17" xfId="0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right"/>
      <protection hidden="1"/>
    </xf>
    <xf numFmtId="0" fontId="1" fillId="0" borderId="0" xfId="0" applyFont="1" applyAlignment="1" applyProtection="1">
      <alignment horizontal="left"/>
      <protection hidden="1"/>
    </xf>
    <xf numFmtId="0" fontId="1" fillId="0" borderId="9" xfId="0" applyFont="1" applyBorder="1" applyAlignment="1" applyProtection="1">
      <alignment horizontal="center" vertical="center"/>
      <protection hidden="1"/>
    </xf>
    <xf numFmtId="0" fontId="6" fillId="2" borderId="1" xfId="0" applyFont="1" applyFill="1" applyBorder="1" applyAlignment="1" applyProtection="1">
      <alignment horizontal="center" vertical="center"/>
      <protection hidden="1"/>
    </xf>
    <xf numFmtId="0" fontId="6" fillId="2" borderId="2" xfId="0" applyFont="1" applyFill="1" applyBorder="1" applyAlignment="1" applyProtection="1">
      <alignment horizontal="center" vertical="center"/>
      <protection hidden="1"/>
    </xf>
    <xf numFmtId="2" fontId="6" fillId="0" borderId="0" xfId="0" applyNumberFormat="1" applyFont="1" applyAlignment="1" applyProtection="1">
      <alignment horizontal="center" vertical="center"/>
      <protection hidden="1"/>
    </xf>
    <xf numFmtId="0" fontId="0" fillId="0" borderId="22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65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Border="1" applyAlignment="1" applyProtection="1">
      <alignment horizontal="left"/>
      <protection hidden="1"/>
    </xf>
    <xf numFmtId="0" fontId="55" fillId="0" borderId="17" xfId="0" applyFont="1" applyBorder="1" applyAlignment="1" applyProtection="1">
      <alignment horizontal="center" vertical="center" wrapText="1"/>
      <protection hidden="1"/>
    </xf>
    <xf numFmtId="0" fontId="1" fillId="2" borderId="1" xfId="0" applyFont="1" applyFill="1" applyBorder="1" applyAlignment="1" applyProtection="1">
      <alignment horizontal="center" vertical="center"/>
      <protection hidden="1"/>
    </xf>
    <xf numFmtId="0" fontId="1" fillId="2" borderId="2" xfId="0" applyFont="1" applyFill="1" applyBorder="1" applyAlignment="1" applyProtection="1">
      <alignment horizontal="center" vertical="center"/>
      <protection hidden="1"/>
    </xf>
    <xf numFmtId="2" fontId="1" fillId="0" borderId="0" xfId="0" applyNumberFormat="1" applyFont="1" applyAlignment="1" applyProtection="1">
      <alignment horizontal="center" vertical="center"/>
      <protection hidden="1"/>
    </xf>
    <xf numFmtId="2" fontId="0" fillId="0" borderId="27" xfId="0" applyNumberFormat="1" applyBorder="1" applyAlignment="1" applyProtection="1">
      <alignment horizontal="center" vertical="center"/>
      <protection hidden="1"/>
    </xf>
    <xf numFmtId="2" fontId="0" fillId="0" borderId="25" xfId="0" applyNumberForma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" fillId="0" borderId="13" xfId="0" applyFont="1" applyBorder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0" fillId="0" borderId="19" xfId="0" applyBorder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left"/>
      <protection hidden="1"/>
    </xf>
    <xf numFmtId="199" fontId="0" fillId="0" borderId="17" xfId="0" applyNumberFormat="1" applyBorder="1" applyAlignment="1" applyProtection="1">
      <alignment horizontal="center" vertical="center"/>
      <protection hidden="1"/>
    </xf>
    <xf numFmtId="0" fontId="1" fillId="0" borderId="54" xfId="0" applyFont="1" applyBorder="1" applyAlignment="1" applyProtection="1">
      <alignment horizontal="center"/>
      <protection hidden="1"/>
    </xf>
    <xf numFmtId="0" fontId="25" fillId="0" borderId="0" xfId="0" applyFont="1" applyAlignment="1" applyProtection="1">
      <alignment horizontal="right"/>
      <protection hidden="1"/>
    </xf>
    <xf numFmtId="0" fontId="0" fillId="0" borderId="55" xfId="0" applyBorder="1" applyAlignment="1" applyProtection="1">
      <alignment horizontal="center"/>
      <protection hidden="1"/>
    </xf>
    <xf numFmtId="0" fontId="0" fillId="0" borderId="35" xfId="0" applyBorder="1" applyAlignment="1" applyProtection="1">
      <alignment horizontal="center"/>
      <protection hidden="1"/>
    </xf>
    <xf numFmtId="0" fontId="0" fillId="0" borderId="22" xfId="0" applyBorder="1" applyAlignment="1" applyProtection="1">
      <alignment horizontal="center"/>
      <protection hidden="1"/>
    </xf>
    <xf numFmtId="0" fontId="59" fillId="0" borderId="4" xfId="0" applyFont="1" applyBorder="1" applyAlignment="1">
      <alignment horizontal="center" vertical="center"/>
    </xf>
    <xf numFmtId="0" fontId="59" fillId="0" borderId="8" xfId="0" applyFont="1" applyBorder="1" applyAlignment="1">
      <alignment horizontal="center" vertical="center"/>
    </xf>
    <xf numFmtId="0" fontId="59" fillId="0" borderId="5" xfId="0" applyFont="1" applyBorder="1" applyAlignment="1">
      <alignment horizontal="center" vertical="center"/>
    </xf>
    <xf numFmtId="0" fontId="59" fillId="0" borderId="22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0" fontId="59" fillId="0" borderId="6" xfId="0" applyFont="1" applyBorder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0" fontId="59" fillId="0" borderId="7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0" fillId="6" borderId="22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1" fillId="13" borderId="0" xfId="0" applyFont="1" applyFill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22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0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7" fillId="0" borderId="17" xfId="0" applyFont="1" applyFill="1" applyBorder="1" applyAlignment="1" applyProtection="1">
      <alignment horizontal="center" vertical="center"/>
      <protection hidden="1"/>
    </xf>
    <xf numFmtId="0" fontId="96" fillId="0" borderId="0" xfId="0" applyFont="1" applyFill="1" applyBorder="1" applyAlignment="1" applyProtection="1">
      <alignment horizontal="center" vertical="center" wrapText="1"/>
      <protection hidden="1"/>
    </xf>
    <xf numFmtId="0" fontId="1" fillId="0" borderId="27" xfId="0" applyFont="1" applyFill="1" applyBorder="1" applyAlignment="1" applyProtection="1">
      <alignment horizontal="center" vertical="center" wrapText="1"/>
      <protection hidden="1"/>
    </xf>
    <xf numFmtId="0" fontId="1" fillId="0" borderId="25" xfId="0" applyFont="1" applyFill="1" applyBorder="1" applyAlignment="1" applyProtection="1">
      <alignment horizontal="center" vertical="center" wrapText="1"/>
      <protection hidden="1"/>
    </xf>
    <xf numFmtId="0" fontId="1" fillId="0" borderId="27" xfId="0" applyFont="1" applyFill="1" applyBorder="1" applyAlignment="1" applyProtection="1">
      <alignment horizontal="center" vertical="center"/>
      <protection hidden="1"/>
    </xf>
    <xf numFmtId="0" fontId="1" fillId="0" borderId="25" xfId="0" applyFont="1" applyFill="1" applyBorder="1" applyAlignment="1" applyProtection="1">
      <alignment horizontal="center" vertical="center"/>
      <protection hidden="1"/>
    </xf>
    <xf numFmtId="0" fontId="1" fillId="0" borderId="27" xfId="0" applyFont="1" applyBorder="1" applyAlignment="1" applyProtection="1">
      <alignment horizontal="center" vertical="center"/>
      <protection hidden="1"/>
    </xf>
    <xf numFmtId="0" fontId="1" fillId="0" borderId="25" xfId="0" applyFont="1" applyBorder="1" applyAlignment="1" applyProtection="1">
      <alignment horizontal="center" vertical="center"/>
      <protection hidden="1"/>
    </xf>
    <xf numFmtId="0" fontId="32" fillId="0" borderId="0" xfId="0" applyFont="1" applyFill="1" applyAlignment="1" applyProtection="1">
      <alignment horizontal="left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0" fontId="23" fillId="0" borderId="17" xfId="0" applyFont="1" applyBorder="1" applyAlignment="1" applyProtection="1">
      <alignment horizontal="center" vertical="center"/>
      <protection hidden="1"/>
    </xf>
    <xf numFmtId="0" fontId="99" fillId="0" borderId="0" xfId="0" applyFont="1" applyAlignment="1" applyProtection="1">
      <alignment horizontal="left"/>
      <protection hidden="1"/>
    </xf>
    <xf numFmtId="0" fontId="23" fillId="0" borderId="17" xfId="0" applyFont="1" applyFill="1" applyBorder="1" applyAlignment="1" applyProtection="1">
      <alignment horizontal="center" vertical="center" wrapText="1"/>
      <protection hidden="1"/>
    </xf>
    <xf numFmtId="0" fontId="95" fillId="0" borderId="0" xfId="0" applyFont="1" applyFill="1" applyAlignment="1" applyProtection="1">
      <alignment horizontal="center" vertical="center" wrapText="1"/>
      <protection hidden="1"/>
    </xf>
    <xf numFmtId="0" fontId="0" fillId="0" borderId="0" xfId="0" applyFill="1" applyAlignment="1" applyProtection="1">
      <alignment horizontal="center"/>
      <protection hidden="1"/>
    </xf>
    <xf numFmtId="0" fontId="32" fillId="0" borderId="0" xfId="0" applyFont="1" applyBorder="1" applyAlignment="1" applyProtection="1">
      <alignment horizontal="center" vertical="center" wrapText="1"/>
      <protection hidden="1"/>
    </xf>
    <xf numFmtId="0" fontId="41" fillId="2" borderId="10" xfId="0" applyFont="1" applyFill="1" applyBorder="1" applyAlignment="1" applyProtection="1">
      <alignment horizontal="center" vertical="center"/>
      <protection hidden="1"/>
    </xf>
    <xf numFmtId="0" fontId="41" fillId="2" borderId="12" xfId="0" applyFont="1" applyFill="1" applyBorder="1" applyAlignment="1" applyProtection="1">
      <alignment horizontal="center" vertical="center"/>
      <protection hidden="1"/>
    </xf>
    <xf numFmtId="164" fontId="0" fillId="0" borderId="17" xfId="0" applyNumberFormat="1" applyBorder="1" applyAlignment="1" applyProtection="1">
      <alignment horizontal="center" vertical="center"/>
      <protection hidden="1"/>
    </xf>
    <xf numFmtId="0" fontId="41" fillId="2" borderId="11" xfId="0" applyFont="1" applyFill="1" applyBorder="1" applyAlignment="1" applyProtection="1">
      <alignment horizontal="center" vertical="center"/>
      <protection hidden="1"/>
    </xf>
    <xf numFmtId="0" fontId="41" fillId="2" borderId="17" xfId="0" applyFont="1" applyFill="1" applyBorder="1" applyAlignment="1" applyProtection="1">
      <alignment horizontal="center" vertical="center"/>
      <protection hidden="1"/>
    </xf>
    <xf numFmtId="164" fontId="0" fillId="0" borderId="10" xfId="0" applyNumberFormat="1" applyBorder="1" applyAlignment="1" applyProtection="1">
      <alignment horizontal="center" vertical="center"/>
      <protection hidden="1"/>
    </xf>
    <xf numFmtId="164" fontId="0" fillId="0" borderId="12" xfId="0" applyNumberFormat="1" applyBorder="1" applyAlignment="1" applyProtection="1">
      <alignment horizontal="center" vertical="center"/>
      <protection hidden="1"/>
    </xf>
    <xf numFmtId="0" fontId="32" fillId="0" borderId="13" xfId="0" applyFont="1" applyBorder="1" applyAlignment="1" applyProtection="1">
      <alignment horizontal="center" vertical="center" wrapText="1"/>
      <protection hidden="1"/>
    </xf>
    <xf numFmtId="0" fontId="2" fillId="0" borderId="17" xfId="0" applyFont="1" applyFill="1" applyBorder="1" applyAlignment="1" applyProtection="1">
      <alignment horizontal="center" vertical="center"/>
      <protection hidden="1"/>
    </xf>
    <xf numFmtId="0" fontId="1" fillId="0" borderId="17" xfId="0" applyFont="1" applyBorder="1" applyAlignment="1">
      <alignment horizontal="center" vertical="center"/>
    </xf>
    <xf numFmtId="0" fontId="2" fillId="0" borderId="17" xfId="0" applyFont="1" applyBorder="1" applyAlignment="1" applyProtection="1">
      <alignment horizontal="center" vertical="center"/>
      <protection hidden="1"/>
    </xf>
    <xf numFmtId="0" fontId="1" fillId="0" borderId="27" xfId="0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7" xfId="0" applyFont="1" applyFill="1" applyBorder="1" applyAlignment="1">
      <alignment horizontal="center" vertical="center"/>
    </xf>
    <xf numFmtId="0" fontId="1" fillId="0" borderId="25" xfId="0" applyFont="1" applyFill="1" applyBorder="1" applyAlignment="1">
      <alignment horizontal="center" vertical="center"/>
    </xf>
    <xf numFmtId="0" fontId="4" fillId="0" borderId="17" xfId="0" applyFont="1" applyBorder="1" applyAlignment="1" applyProtection="1">
      <alignment horizontal="center" vertical="center"/>
      <protection hidden="1"/>
    </xf>
    <xf numFmtId="0" fontId="4" fillId="0" borderId="17" xfId="0" applyFont="1" applyFill="1" applyBorder="1" applyAlignment="1">
      <alignment horizontal="center" vertical="center"/>
    </xf>
    <xf numFmtId="0" fontId="6" fillId="0" borderId="10" xfId="0" applyFont="1" applyBorder="1" applyAlignment="1" applyProtection="1">
      <alignment horizontal="center"/>
      <protection hidden="1"/>
    </xf>
    <xf numFmtId="0" fontId="6" fillId="0" borderId="11" xfId="0" applyFont="1" applyBorder="1" applyAlignment="1" applyProtection="1">
      <alignment horizontal="center"/>
      <protection hidden="1"/>
    </xf>
    <xf numFmtId="0" fontId="6" fillId="0" borderId="12" xfId="0" applyFont="1" applyBorder="1" applyAlignment="1" applyProtection="1">
      <alignment horizontal="center"/>
      <protection hidden="1"/>
    </xf>
    <xf numFmtId="0" fontId="97" fillId="6" borderId="17" xfId="0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3" borderId="27" xfId="0" applyFont="1" applyFill="1" applyBorder="1" applyAlignment="1">
      <alignment horizontal="center" vertical="center"/>
    </xf>
    <xf numFmtId="0" fontId="1" fillId="3" borderId="25" xfId="0" applyFont="1" applyFill="1" applyBorder="1" applyAlignment="1">
      <alignment horizontal="center" vertical="center"/>
    </xf>
    <xf numFmtId="211" fontId="1" fillId="0" borderId="27" xfId="0" applyNumberFormat="1" applyFont="1" applyBorder="1" applyAlignment="1" applyProtection="1">
      <alignment horizontal="center" vertical="center"/>
      <protection hidden="1"/>
    </xf>
    <xf numFmtId="211" fontId="1" fillId="0" borderId="25" xfId="0" applyNumberFormat="1" applyFont="1" applyBorder="1" applyAlignment="1" applyProtection="1">
      <alignment horizontal="center" vertical="center"/>
      <protection hidden="1"/>
    </xf>
    <xf numFmtId="177" fontId="1" fillId="0" borderId="27" xfId="0" applyNumberFormat="1" applyFont="1" applyBorder="1" applyAlignment="1" applyProtection="1">
      <alignment horizontal="center" vertical="center"/>
      <protection hidden="1"/>
    </xf>
    <xf numFmtId="177" fontId="1" fillId="0" borderId="25" xfId="0" applyNumberFormat="1" applyFont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right" vertical="center"/>
      <protection hidden="1"/>
    </xf>
    <xf numFmtId="0" fontId="2" fillId="0" borderId="10" xfId="0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 applyProtection="1">
      <alignment horizontal="center" vertical="center"/>
      <protection hidden="1"/>
    </xf>
    <xf numFmtId="0" fontId="45" fillId="0" borderId="9" xfId="0" applyFont="1" applyBorder="1" applyAlignment="1" applyProtection="1">
      <alignment horizontal="center"/>
      <protection hidden="1"/>
    </xf>
    <xf numFmtId="0" fontId="45" fillId="0" borderId="0" xfId="0" applyFont="1" applyBorder="1" applyAlignment="1" applyProtection="1">
      <alignment horizontal="center"/>
      <protection hidden="1"/>
    </xf>
  </cellXfs>
  <cellStyles count="2">
    <cellStyle name="Collegamento ipertestuale" xfId="1" builtinId="8"/>
    <cellStyle name="Normale" xfId="0" builtinId="0"/>
  </cellStyles>
  <dxfs count="30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revisionHeaders" Target="revisions/revisionHeader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37909646769024"/>
          <c:y val="9.6587926509186392E-2"/>
          <c:w val="0.67590238371041611"/>
          <c:h val="0.73772047027894183"/>
        </c:manualLayout>
      </c:layout>
      <c:scatterChart>
        <c:scatterStyle val="lineMarker"/>
        <c:varyColors val="0"/>
        <c:ser>
          <c:idx val="6"/>
          <c:order val="0"/>
          <c:spPr>
            <a:ln w="2857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muro+tensioni'!$J$44:$J$58</c:f>
              <c:numCache>
                <c:formatCode>General</c:formatCode>
                <c:ptCount val="15"/>
                <c:pt idx="0">
                  <c:v>0</c:v>
                </c:pt>
                <c:pt idx="1">
                  <c:v>2.8</c:v>
                </c:pt>
                <c:pt idx="2">
                  <c:v>2.8</c:v>
                </c:pt>
                <c:pt idx="3">
                  <c:v>3.4</c:v>
                </c:pt>
                <c:pt idx="4">
                  <c:v>3.4</c:v>
                </c:pt>
                <c:pt idx="5">
                  <c:v>3.4</c:v>
                </c:pt>
                <c:pt idx="6" formatCode="0.000">
                  <c:v>3.4</c:v>
                </c:pt>
                <c:pt idx="7" formatCode="0.000">
                  <c:v>1.5100100000000001</c:v>
                </c:pt>
                <c:pt idx="8" formatCode="0.000">
                  <c:v>0.89</c:v>
                </c:pt>
                <c:pt idx="9" formatCode="0.000">
                  <c:v>0.77</c:v>
                </c:pt>
                <c:pt idx="10" formatCode="0.000">
                  <c:v>0.77</c:v>
                </c:pt>
                <c:pt idx="11" formatCode="0.000">
                  <c:v>0.65</c:v>
                </c:pt>
                <c:pt idx="12" formatCode="0.000">
                  <c:v>0.65</c:v>
                </c:pt>
                <c:pt idx="13" formatCode="0.000">
                  <c:v>0</c:v>
                </c:pt>
                <c:pt idx="14" formatCode="0.000">
                  <c:v>0</c:v>
                </c:pt>
              </c:numCache>
            </c:numRef>
          </c:xVal>
          <c:yVal>
            <c:numRef>
              <c:f>'geom masse muro+tensioni'!$K$44:$K$58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-0.6</c:v>
                </c:pt>
                <c:pt idx="3">
                  <c:v>-0.6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0.5</c:v>
                </c:pt>
                <c:pt idx="8">
                  <c:v>4.8</c:v>
                </c:pt>
                <c:pt idx="9">
                  <c:v>4.8</c:v>
                </c:pt>
                <c:pt idx="10">
                  <c:v>5</c:v>
                </c:pt>
                <c:pt idx="11">
                  <c:v>5</c:v>
                </c:pt>
                <c:pt idx="12">
                  <c:v>0.50000000000000022</c:v>
                </c:pt>
                <c:pt idx="13">
                  <c:v>0.50000000000000022</c:v>
                </c:pt>
                <c:pt idx="1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E2-41F4-A868-AE1ED52AEA29}"/>
            </c:ext>
          </c:extLst>
        </c:ser>
        <c:ser>
          <c:idx val="7"/>
          <c:order val="1"/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muro+tensioni'!$J$60:$J$61</c:f>
              <c:numCache>
                <c:formatCode>General</c:formatCode>
                <c:ptCount val="2"/>
                <c:pt idx="0">
                  <c:v>0.77</c:v>
                </c:pt>
                <c:pt idx="1">
                  <c:v>0.77</c:v>
                </c:pt>
              </c:numCache>
            </c:numRef>
          </c:xVal>
          <c:yVal>
            <c:numRef>
              <c:f>'geom masse muro+tensioni'!$K$60:$K$61</c:f>
              <c:numCache>
                <c:formatCode>General</c:formatCode>
                <c:ptCount val="2"/>
                <c:pt idx="0">
                  <c:v>0.5</c:v>
                </c:pt>
                <c:pt idx="1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3E2-41F4-A868-AE1ED52AEA29}"/>
            </c:ext>
          </c:extLst>
        </c:ser>
        <c:ser>
          <c:idx val="8"/>
          <c:order val="2"/>
          <c:spPr>
            <a:ln w="19050" cap="rnd">
              <a:solidFill>
                <a:schemeClr val="accent3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muro+tensioni'!$J$62:$J$63</c:f>
              <c:numCache>
                <c:formatCode>0.000</c:formatCode>
                <c:ptCount val="2"/>
                <c:pt idx="0" formatCode="General">
                  <c:v>0.77</c:v>
                </c:pt>
                <c:pt idx="1">
                  <c:v>1.5100100000000001</c:v>
                </c:pt>
              </c:numCache>
            </c:numRef>
          </c:xVal>
          <c:yVal>
            <c:numRef>
              <c:f>'geom masse muro+tensioni'!$K$62:$K$63</c:f>
              <c:numCache>
                <c:formatCode>General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3E2-41F4-A868-AE1ED52AEA29}"/>
            </c:ext>
          </c:extLst>
        </c:ser>
        <c:ser>
          <c:idx val="9"/>
          <c:order val="3"/>
          <c:spPr>
            <a:ln w="95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muro+tensioni'!$J$65</c:f>
              <c:numCache>
                <c:formatCode>General</c:formatCode>
                <c:ptCount val="1"/>
                <c:pt idx="0">
                  <c:v>0.65</c:v>
                </c:pt>
              </c:numCache>
            </c:numRef>
          </c:xVal>
          <c:yVal>
            <c:numRef>
              <c:f>'geom masse muro+tensioni'!$K$65</c:f>
              <c:numCache>
                <c:formatCode>General</c:formatCode>
                <c:ptCount val="1"/>
                <c:pt idx="0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3E2-41F4-A868-AE1ED52AEA29}"/>
            </c:ext>
          </c:extLst>
        </c:ser>
        <c:ser>
          <c:idx val="10"/>
          <c:order val="4"/>
          <c:spPr>
            <a:ln w="952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muro+tensioni'!$J$66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3E2-41F4-A868-AE1ED52AEA29}"/>
            </c:ext>
          </c:extLst>
        </c:ser>
        <c:ser>
          <c:idx val="11"/>
          <c:order val="5"/>
          <c:spPr>
            <a:ln w="952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muro+tensioni'!$J$67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muro+tensioni'!$K$67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3E2-41F4-A868-AE1ED52AEA29}"/>
            </c:ext>
          </c:extLst>
        </c:ser>
        <c:ser>
          <c:idx val="0"/>
          <c:order val="6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3E2-41F4-A868-AE1ED52AEA2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36314012424424624"/>
                  <c:y val="5.55664237622471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3E2-41F4-A868-AE1ED52AEA29}"/>
                </c:ext>
                <c:ext xmlns:c15="http://schemas.microsoft.com/office/drawing/2012/chart" uri="{CE6537A1-D6FC-4f65-9D91-7224C49458BB}">
                  <c15:layout>
                    <c:manualLayout>
                      <c:w val="0.2121639258679196"/>
                      <c:h val="5.106101030658923E-2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0.17284798897344542"/>
                  <c:y val="5.3473940757405171E-2"/>
                </c:manualLayout>
              </c:layout>
              <c:numFmt formatCode="#,##0.00&quot; m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3E2-41F4-A868-AE1ED52AEA29}"/>
                </c:ext>
                <c:ext xmlns:c15="http://schemas.microsoft.com/office/drawing/2012/chart" uri="{CE6537A1-D6FC-4f65-9D91-7224C49458BB}">
                  <c15:layout>
                    <c:manualLayout>
                      <c:w val="0.21257646644075051"/>
                      <c:h val="3.9379355719720323E-2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0.11323704648650765"/>
                  <c:y val="8.387799351168066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3E2-41F4-A868-AE1ED52AEA2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5500099837489316E-2"/>
                  <c:y val="5.66107881410993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3E2-41F4-A868-AE1ED52AEA2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0761839127650764E-2"/>
                  <c:y val="3.143935976906325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3E2-41F4-A868-AE1ED52AEA2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3612282781806847E-2"/>
                  <c:y val="-2.41053373910363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43E2-41F4-A868-AE1ED52AEA2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8810930756560565E-2"/>
                  <c:y val="-6.35279568637115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3E2-41F4-A868-AE1ED52AEA2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8909612555413867E-2"/>
                  <c:y val="3.43082238278699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43E2-41F4-A868-AE1ED52AEA29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0093305375934146"/>
                  <c:y val="-2.80032930666275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3E2-41F4-A868-AE1ED52AEA29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1.0024584915712313E-2"/>
                  <c:y val="-6.8621639686343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43E2-41F4-A868-AE1ED52AEA29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15575184386867846"/>
                  <c:y val="-9.59229552827635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3E2-41F4-A868-AE1ED52AEA29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0.25534743911201047"/>
                  <c:y val="-9.62982180769414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43E2-41F4-A868-AE1ED52AEA29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43E2-41F4-A868-AE1ED52AEA29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43E2-41F4-A868-AE1ED52AEA29}"/>
                </c:ext>
                <c:ext xmlns:c15="http://schemas.microsoft.com/office/drawing/2012/chart" uri="{CE6537A1-D6FC-4f65-9D91-7224C49458BB}"/>
              </c:extLst>
            </c:dLbl>
            <c:numFmt formatCode="#,##0.00&quot; m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muro+tensioni'!$J$44:$J$58</c:f>
              <c:numCache>
                <c:formatCode>General</c:formatCode>
                <c:ptCount val="15"/>
                <c:pt idx="0">
                  <c:v>0</c:v>
                </c:pt>
                <c:pt idx="1">
                  <c:v>2.8</c:v>
                </c:pt>
                <c:pt idx="2">
                  <c:v>2.8</c:v>
                </c:pt>
                <c:pt idx="3">
                  <c:v>3.4</c:v>
                </c:pt>
                <c:pt idx="4">
                  <c:v>3.4</c:v>
                </c:pt>
                <c:pt idx="5">
                  <c:v>3.4</c:v>
                </c:pt>
                <c:pt idx="6" formatCode="0.000">
                  <c:v>3.4</c:v>
                </c:pt>
                <c:pt idx="7" formatCode="0.000">
                  <c:v>1.5100100000000001</c:v>
                </c:pt>
                <c:pt idx="8" formatCode="0.000">
                  <c:v>0.89</c:v>
                </c:pt>
                <c:pt idx="9" formatCode="0.000">
                  <c:v>0.77</c:v>
                </c:pt>
                <c:pt idx="10" formatCode="0.000">
                  <c:v>0.77</c:v>
                </c:pt>
                <c:pt idx="11" formatCode="0.000">
                  <c:v>0.65</c:v>
                </c:pt>
                <c:pt idx="12" formatCode="0.000">
                  <c:v>0.65</c:v>
                </c:pt>
                <c:pt idx="13" formatCode="0.000">
                  <c:v>0</c:v>
                </c:pt>
                <c:pt idx="14" formatCode="0.000">
                  <c:v>0</c:v>
                </c:pt>
              </c:numCache>
            </c:numRef>
          </c:xVal>
          <c:yVal>
            <c:numRef>
              <c:f>'geom masse muro+tensioni'!$K$44:$K$58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-0.6</c:v>
                </c:pt>
                <c:pt idx="3">
                  <c:v>-0.6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0.5</c:v>
                </c:pt>
                <c:pt idx="8">
                  <c:v>4.8</c:v>
                </c:pt>
                <c:pt idx="9">
                  <c:v>4.8</c:v>
                </c:pt>
                <c:pt idx="10">
                  <c:v>5</c:v>
                </c:pt>
                <c:pt idx="11">
                  <c:v>5</c:v>
                </c:pt>
                <c:pt idx="12">
                  <c:v>0.50000000000000022</c:v>
                </c:pt>
                <c:pt idx="13">
                  <c:v>0.50000000000000022</c:v>
                </c:pt>
                <c:pt idx="1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5-43E2-41F4-A868-AE1ED52AEA29}"/>
            </c:ext>
          </c:extLst>
        </c:ser>
        <c:ser>
          <c:idx val="1"/>
          <c:order val="7"/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muro+tensioni'!$J$60:$J$61</c:f>
              <c:numCache>
                <c:formatCode>General</c:formatCode>
                <c:ptCount val="2"/>
                <c:pt idx="0">
                  <c:v>0.77</c:v>
                </c:pt>
                <c:pt idx="1">
                  <c:v>0.77</c:v>
                </c:pt>
              </c:numCache>
            </c:numRef>
          </c:xVal>
          <c:yVal>
            <c:numRef>
              <c:f>'geom masse muro+tensioni'!$K$60:$K$61</c:f>
              <c:numCache>
                <c:formatCode>General</c:formatCode>
                <c:ptCount val="2"/>
                <c:pt idx="0">
                  <c:v>0.5</c:v>
                </c:pt>
                <c:pt idx="1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6-43E2-41F4-A868-AE1ED52AEA29}"/>
            </c:ext>
          </c:extLst>
        </c:ser>
        <c:ser>
          <c:idx val="2"/>
          <c:order val="8"/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5500178399487799E-2"/>
                  <c:y val="2.8462167105553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43E2-41F4-A868-AE1ED52AEA2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43E2-41F4-A868-AE1ED52AEA29}"/>
                </c:ext>
                <c:ext xmlns:c15="http://schemas.microsoft.com/office/drawing/2012/chart" uri="{CE6537A1-D6FC-4f65-9D91-7224C49458BB}"/>
              </c:extLst>
            </c:dLbl>
            <c:numFmt formatCode="#,##0.00&quot; m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muro+tensioni'!$J$62:$J$63</c:f>
              <c:numCache>
                <c:formatCode>0.000</c:formatCode>
                <c:ptCount val="2"/>
                <c:pt idx="0" formatCode="General">
                  <c:v>0.77</c:v>
                </c:pt>
                <c:pt idx="1">
                  <c:v>1.5100100000000001</c:v>
                </c:pt>
              </c:numCache>
            </c:numRef>
          </c:xVal>
          <c:yVal>
            <c:numRef>
              <c:f>'geom masse muro+tensioni'!$K$62:$K$63</c:f>
              <c:numCache>
                <c:formatCode>General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9-43E2-41F4-A868-AE1ED52AEA29}"/>
            </c:ext>
          </c:extLst>
        </c:ser>
        <c:ser>
          <c:idx val="3"/>
          <c:order val="9"/>
          <c:spPr>
            <a:ln w="95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4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35091013064707705"/>
                  <c:y val="1.755677279470463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SEZIONE 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43E2-41F4-A868-AE1ED52AEA29}"/>
                </c:ext>
                <c:ext xmlns:c15="http://schemas.microsoft.com/office/drawing/2012/chart" uri="{CE6537A1-D6FC-4f65-9D91-7224C49458BB}">
                  <c15:layout>
                    <c:manualLayout>
                      <c:w val="0.18286998626178547"/>
                      <c:h val="4.8331287744394387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muro+tensioni'!$J$65</c:f>
              <c:numCache>
                <c:formatCode>General</c:formatCode>
                <c:ptCount val="1"/>
                <c:pt idx="0">
                  <c:v>0.65</c:v>
                </c:pt>
              </c:numCache>
            </c:numRef>
          </c:xVal>
          <c:yVal>
            <c:numRef>
              <c:f>'geom masse muro+tensioni'!$K$65</c:f>
              <c:numCache>
                <c:formatCode>General</c:formatCode>
                <c:ptCount val="1"/>
                <c:pt idx="0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B-43E2-41F4-A868-AE1ED52AE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11503120"/>
        <c:axId val="-311497136"/>
      </c:scatterChart>
      <c:scatterChart>
        <c:scatterStyle val="smoothMarker"/>
        <c:varyColors val="0"/>
        <c:ser>
          <c:idx val="4"/>
          <c:order val="10"/>
          <c:spPr>
            <a:ln w="95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5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22803511292931958"/>
                  <c:y val="-3.721580998027421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>
                        <a:solidFill>
                          <a:srgbClr val="FF0000"/>
                        </a:solidFill>
                      </a:rPr>
                      <a:t>origine</a:t>
                    </a:r>
                    <a:r>
                      <a:rPr lang="en-US" b="1" baseline="0">
                        <a:solidFill>
                          <a:srgbClr val="FF0000"/>
                        </a:solidFill>
                      </a:rPr>
                      <a:t> degli assi</a:t>
                    </a:r>
                    <a:endParaRPr lang="en-US" b="1">
                      <a:solidFill>
                        <a:srgbClr val="FF0000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43E2-41F4-A868-AE1ED52AEA29}"/>
                </c:ext>
                <c:ext xmlns:c15="http://schemas.microsoft.com/office/drawing/2012/chart" uri="{CE6537A1-D6FC-4f65-9D91-7224C49458BB}">
                  <c15:layout>
                    <c:manualLayout>
                      <c:w val="0.22229318592415595"/>
                      <c:h val="4.1682832096741423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muro+tensioni'!$J$66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D-43E2-41F4-A868-AE1ED52AEA29}"/>
            </c:ext>
          </c:extLst>
        </c:ser>
        <c:ser>
          <c:idx val="5"/>
          <c:order val="11"/>
          <c:spPr>
            <a:ln w="952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6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22306925321485652"/>
                  <c:y val="1.207695001880942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SEZIONE</a:t>
                    </a:r>
                    <a:r>
                      <a:rPr lang="en-US" b="1" baseline="0"/>
                      <a:t> 3</a:t>
                    </a:r>
                    <a:endParaRPr lang="en-US" b="1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43E2-41F4-A868-AE1ED52AEA29}"/>
                </c:ext>
                <c:ext xmlns:c15="http://schemas.microsoft.com/office/drawing/2012/chart" uri="{CE6537A1-D6FC-4f65-9D91-7224C49458BB}">
                  <c15:layout>
                    <c:manualLayout>
                      <c:w val="0.14626216082720853"/>
                      <c:h val="3.4951876463338055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muro+tensioni'!$J$67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muro+tensioni'!$K$67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F-43E2-41F4-A868-AE1ED52AEA29}"/>
            </c:ext>
          </c:extLst>
        </c:ser>
        <c:ser>
          <c:idx val="12"/>
          <c:order val="12"/>
          <c:spPr>
            <a:ln w="952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80000"/>
                    <a:lumOff val="20000"/>
                  </a:schemeClr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32237794298059136"/>
                  <c:y val="-4.1699853416181286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SEZIONE 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43E2-41F4-A868-AE1ED52AEA2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muro+tensioni'!$J$68</c:f>
              <c:numCache>
                <c:formatCode>General</c:formatCode>
                <c:ptCount val="1"/>
                <c:pt idx="0">
                  <c:v>0.65</c:v>
                </c:pt>
              </c:numCache>
            </c:numRef>
          </c:xVal>
          <c:yVal>
            <c:numRef>
              <c:f>'geom masse muro+tensioni'!$K$68</c:f>
              <c:numCache>
                <c:formatCode>General</c:formatCode>
                <c:ptCount val="1"/>
                <c:pt idx="0">
                  <c:v>0.5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1-43E2-41F4-A868-AE1ED52AEA29}"/>
            </c:ext>
          </c:extLst>
        </c:ser>
        <c:ser>
          <c:idx val="13"/>
          <c:order val="13"/>
          <c:spPr>
            <a:ln w="9525" cap="rnd">
              <a:solidFill>
                <a:schemeClr val="accent2">
                  <a:lumMod val="80000"/>
                  <a:lumOff val="2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gradFill flip="none" rotWithShape="1">
                <a:gsLst>
                  <a:gs pos="0">
                    <a:srgbClr val="FF0000">
                      <a:shade val="30000"/>
                      <a:satMod val="115000"/>
                    </a:srgbClr>
                  </a:gs>
                  <a:gs pos="50000">
                    <a:srgbClr val="FF0000">
                      <a:shade val="67500"/>
                      <a:satMod val="115000"/>
                    </a:srgbClr>
                  </a:gs>
                  <a:gs pos="100000">
                    <a:srgbClr val="FF0000">
                      <a:shade val="100000"/>
                      <a:satMod val="115000"/>
                    </a:srgbClr>
                  </a:gs>
                </a:gsLst>
                <a:path path="circle">
                  <a:fillToRect l="50000" t="50000" r="50000" b="50000"/>
                </a:path>
                <a:tileRect/>
              </a:gradFill>
              <a:ln w="9525">
                <a:solidFill>
                  <a:schemeClr val="accent2">
                    <a:lumMod val="80000"/>
                    <a:lumOff val="20000"/>
                  </a:schemeClr>
                </a:solidFill>
                <a:prstDash val="sysDash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.21836236909667908"/>
                  <c:y val="-0.1072667366726683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5F7BA4E-175A-4BCC-AFDA-B01F4832574A}" type="XVALUE">
                      <a:rPr lang="en-US" b="1"/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[VALORE X]</a:t>
                    </a:fld>
                    <a:r>
                      <a:rPr lang="en-US" b="1" baseline="0"/>
                      <a:t>; </a:t>
                    </a:r>
                    <a:fld id="{D3C1F569-10DC-4BA0-8C14-CF4812E5DF98}" type="YVALUE">
                      <a:rPr lang="en-US" b="1" baseline="0"/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[VALORE Y]</a:t>
                    </a:fld>
                    <a:r>
                      <a:rPr lang="en-US" b="1" baseline="0"/>
                      <a:t>   BARICENTRO DEL MURO</a:t>
                    </a:r>
                  </a:p>
                </c:rich>
              </c:tx>
              <c:numFmt formatCode="#,##0.00&quot; m&quot;" sourceLinked="0"/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43E2-41F4-A868-AE1ED52AEA29}"/>
                </c:ext>
                <c:ext xmlns:c15="http://schemas.microsoft.com/office/drawing/2012/chart" uri="{CE6537A1-D6FC-4f65-9D91-7224C49458BB}">
                  <c15:layout>
                    <c:manualLayout>
                      <c:w val="0.22912872172830948"/>
                      <c:h val="9.8984588121881906E-2"/>
                    </c:manualLayout>
                  </c15:layout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'VER. EQU COND. NON DRENATE'!$C$38</c:f>
              <c:numCache>
                <c:formatCode>0.000" m"</c:formatCode>
                <c:ptCount val="1"/>
                <c:pt idx="0">
                  <c:v>1.6326655274280244</c:v>
                </c:pt>
              </c:numCache>
            </c:numRef>
          </c:xVal>
          <c:yVal>
            <c:numRef>
              <c:f>'VER. EQU COND. NON DRENATE'!$C$40</c:f>
              <c:numCache>
                <c:formatCode>0.000" m"</c:formatCode>
                <c:ptCount val="1"/>
                <c:pt idx="0">
                  <c:v>0.81324289489780677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3-43E2-41F4-A868-AE1ED52AE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11503120"/>
        <c:axId val="-311497136"/>
      </c:scatterChart>
      <c:valAx>
        <c:axId val="-311503120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050">
                    <a:latin typeface="Calibri" panose="020F0502020204030204" pitchFamily="34" charset="0"/>
                  </a:rPr>
                  <a:t>asse x →</a:t>
                </a:r>
                <a:endParaRPr lang="it-IT" sz="1050"/>
              </a:p>
            </c:rich>
          </c:tx>
          <c:layout>
            <c:manualLayout>
              <c:xMode val="edge"/>
              <c:yMode val="edge"/>
              <c:x val="0.42168322558245536"/>
              <c:y val="0.9181190532845147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crossAx val="-311497136"/>
        <c:crosses val="autoZero"/>
        <c:crossBetween val="midCat"/>
      </c:valAx>
      <c:valAx>
        <c:axId val="-311497136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050">
                    <a:latin typeface="Calibri" panose="020F0502020204030204" pitchFamily="34" charset="0"/>
                  </a:rPr>
                  <a:t> asse z →</a:t>
                </a:r>
                <a:endParaRPr lang="it-IT" sz="1050"/>
              </a:p>
            </c:rich>
          </c:tx>
          <c:layout>
            <c:manualLayout>
              <c:xMode val="edge"/>
              <c:yMode val="edge"/>
              <c:x val="2.6572041623288717E-2"/>
              <c:y val="0.3785962080826854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crossAx val="-311503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12989291583572"/>
          <c:y val="8.7375391329095942E-2"/>
          <c:w val="0.71665170451554816"/>
          <c:h val="0.83876380019426711"/>
        </c:manualLayout>
      </c:layout>
      <c:scatterChart>
        <c:scatterStyle val="smoothMarker"/>
        <c:varyColors val="0"/>
        <c:ser>
          <c:idx val="4"/>
          <c:order val="9"/>
          <c:spPr>
            <a:ln w="95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5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12283554451508014"/>
                  <c:y val="5.0734655156057316E-2"/>
                </c:manualLayout>
              </c:layout>
              <c:tx>
                <c:rich>
                  <a:bodyPr/>
                  <a:lstStyle/>
                  <a:p>
                    <a:r>
                      <a:rPr lang="en-US" b="1" baseline="0">
                        <a:solidFill>
                          <a:srgbClr val="FF0000"/>
                        </a:solidFill>
                      </a:rPr>
                      <a:t>origine degli assi</a:t>
                    </a:r>
                    <a:endParaRPr lang="en-US" b="1">
                      <a:solidFill>
                        <a:srgbClr val="FF0000"/>
                      </a:solidFill>
                    </a:endParaRP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B8C-4715-930B-D0DC4E85D11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muro+tensioni'!$J$66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B8C-4715-930B-D0DC4E85D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45766240"/>
        <c:axId val="-245765696"/>
      </c:scatterChart>
      <c:scatterChart>
        <c:scatterStyle val="lineMarker"/>
        <c:varyColors val="0"/>
        <c:ser>
          <c:idx val="6"/>
          <c:order val="0"/>
          <c:spPr>
            <a:ln w="2857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muro+tensioni'!$J$44:$J$58</c:f>
              <c:numCache>
                <c:formatCode>General</c:formatCode>
                <c:ptCount val="15"/>
                <c:pt idx="0">
                  <c:v>0</c:v>
                </c:pt>
                <c:pt idx="1">
                  <c:v>2.8</c:v>
                </c:pt>
                <c:pt idx="2">
                  <c:v>2.8</c:v>
                </c:pt>
                <c:pt idx="3">
                  <c:v>3.4</c:v>
                </c:pt>
                <c:pt idx="4">
                  <c:v>3.4</c:v>
                </c:pt>
                <c:pt idx="5">
                  <c:v>3.4</c:v>
                </c:pt>
                <c:pt idx="6" formatCode="0.000">
                  <c:v>3.4</c:v>
                </c:pt>
                <c:pt idx="7" formatCode="0.000">
                  <c:v>1.5100100000000001</c:v>
                </c:pt>
                <c:pt idx="8" formatCode="0.000">
                  <c:v>0.89</c:v>
                </c:pt>
                <c:pt idx="9" formatCode="0.000">
                  <c:v>0.77</c:v>
                </c:pt>
                <c:pt idx="10" formatCode="0.000">
                  <c:v>0.77</c:v>
                </c:pt>
                <c:pt idx="11" formatCode="0.000">
                  <c:v>0.65</c:v>
                </c:pt>
                <c:pt idx="12" formatCode="0.000">
                  <c:v>0.65</c:v>
                </c:pt>
                <c:pt idx="13" formatCode="0.000">
                  <c:v>0</c:v>
                </c:pt>
                <c:pt idx="14" formatCode="0.000">
                  <c:v>0</c:v>
                </c:pt>
              </c:numCache>
            </c:numRef>
          </c:xVal>
          <c:yVal>
            <c:numRef>
              <c:f>'geom masse muro+tensioni'!$K$44:$K$58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-0.6</c:v>
                </c:pt>
                <c:pt idx="3">
                  <c:v>-0.6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0.5</c:v>
                </c:pt>
                <c:pt idx="8">
                  <c:v>4.8</c:v>
                </c:pt>
                <c:pt idx="9">
                  <c:v>4.8</c:v>
                </c:pt>
                <c:pt idx="10">
                  <c:v>5</c:v>
                </c:pt>
                <c:pt idx="11">
                  <c:v>5</c:v>
                </c:pt>
                <c:pt idx="12">
                  <c:v>0.50000000000000022</c:v>
                </c:pt>
                <c:pt idx="13">
                  <c:v>0.50000000000000022</c:v>
                </c:pt>
                <c:pt idx="1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B8C-4715-930B-D0DC4E85D11F}"/>
            </c:ext>
          </c:extLst>
        </c:ser>
        <c:ser>
          <c:idx val="7"/>
          <c:order val="1"/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muro+tensioni'!$J$60:$J$61</c:f>
              <c:numCache>
                <c:formatCode>General</c:formatCode>
                <c:ptCount val="2"/>
                <c:pt idx="0">
                  <c:v>0.77</c:v>
                </c:pt>
                <c:pt idx="1">
                  <c:v>0.77</c:v>
                </c:pt>
              </c:numCache>
            </c:numRef>
          </c:xVal>
          <c:yVal>
            <c:numRef>
              <c:f>'geom masse muro+tensioni'!$K$60:$K$61</c:f>
              <c:numCache>
                <c:formatCode>General</c:formatCode>
                <c:ptCount val="2"/>
                <c:pt idx="0">
                  <c:v>0.5</c:v>
                </c:pt>
                <c:pt idx="1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B8C-4715-930B-D0DC4E85D11F}"/>
            </c:ext>
          </c:extLst>
        </c:ser>
        <c:ser>
          <c:idx val="8"/>
          <c:order val="2"/>
          <c:spPr>
            <a:ln w="19050" cap="rnd">
              <a:solidFill>
                <a:schemeClr val="accent3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muro+tensioni'!$J$62:$J$63</c:f>
              <c:numCache>
                <c:formatCode>0.000</c:formatCode>
                <c:ptCount val="2"/>
                <c:pt idx="0" formatCode="General">
                  <c:v>0.77</c:v>
                </c:pt>
                <c:pt idx="1">
                  <c:v>1.5100100000000001</c:v>
                </c:pt>
              </c:numCache>
            </c:numRef>
          </c:xVal>
          <c:yVal>
            <c:numRef>
              <c:f>'geom masse muro+tensioni'!$K$62:$K$63</c:f>
              <c:numCache>
                <c:formatCode>General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B8C-4715-930B-D0DC4E85D11F}"/>
            </c:ext>
          </c:extLst>
        </c:ser>
        <c:ser>
          <c:idx val="9"/>
          <c:order val="3"/>
          <c:spPr>
            <a:ln w="95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muro+tensioni'!$J$65</c:f>
              <c:numCache>
                <c:formatCode>General</c:formatCode>
                <c:ptCount val="1"/>
                <c:pt idx="0">
                  <c:v>0.65</c:v>
                </c:pt>
              </c:numCache>
            </c:numRef>
          </c:xVal>
          <c:yVal>
            <c:numRef>
              <c:f>'geom masse muro+tensioni'!$K$65</c:f>
              <c:numCache>
                <c:formatCode>General</c:formatCode>
                <c:ptCount val="1"/>
                <c:pt idx="0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B8C-4715-930B-D0DC4E85D11F}"/>
            </c:ext>
          </c:extLst>
        </c:ser>
        <c:ser>
          <c:idx val="10"/>
          <c:order val="4"/>
          <c:spPr>
            <a:ln w="952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muro+tensioni'!$J$66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B8C-4715-930B-D0DC4E85D11F}"/>
            </c:ext>
          </c:extLst>
        </c:ser>
        <c:ser>
          <c:idx val="11"/>
          <c:order val="5"/>
          <c:spPr>
            <a:ln w="952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muro+tensioni'!$J$67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muro+tensioni'!$K$67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B8C-4715-930B-D0DC4E85D11F}"/>
            </c:ext>
          </c:extLst>
        </c:ser>
        <c:ser>
          <c:idx val="0"/>
          <c:order val="6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muro+tensioni'!$J$44:$J$58</c:f>
              <c:numCache>
                <c:formatCode>General</c:formatCode>
                <c:ptCount val="15"/>
                <c:pt idx="0">
                  <c:v>0</c:v>
                </c:pt>
                <c:pt idx="1">
                  <c:v>2.8</c:v>
                </c:pt>
                <c:pt idx="2">
                  <c:v>2.8</c:v>
                </c:pt>
                <c:pt idx="3">
                  <c:v>3.4</c:v>
                </c:pt>
                <c:pt idx="4">
                  <c:v>3.4</c:v>
                </c:pt>
                <c:pt idx="5">
                  <c:v>3.4</c:v>
                </c:pt>
                <c:pt idx="6" formatCode="0.000">
                  <c:v>3.4</c:v>
                </c:pt>
                <c:pt idx="7" formatCode="0.000">
                  <c:v>1.5100100000000001</c:v>
                </c:pt>
                <c:pt idx="8" formatCode="0.000">
                  <c:v>0.89</c:v>
                </c:pt>
                <c:pt idx="9" formatCode="0.000">
                  <c:v>0.77</c:v>
                </c:pt>
                <c:pt idx="10" formatCode="0.000">
                  <c:v>0.77</c:v>
                </c:pt>
                <c:pt idx="11" formatCode="0.000">
                  <c:v>0.65</c:v>
                </c:pt>
                <c:pt idx="12" formatCode="0.000">
                  <c:v>0.65</c:v>
                </c:pt>
                <c:pt idx="13" formatCode="0.000">
                  <c:v>0</c:v>
                </c:pt>
                <c:pt idx="14" formatCode="0.000">
                  <c:v>0</c:v>
                </c:pt>
              </c:numCache>
            </c:numRef>
          </c:xVal>
          <c:yVal>
            <c:numRef>
              <c:f>'geom masse muro+tensioni'!$K$44:$K$58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-0.6</c:v>
                </c:pt>
                <c:pt idx="3">
                  <c:v>-0.6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0.5</c:v>
                </c:pt>
                <c:pt idx="8">
                  <c:v>4.8</c:v>
                </c:pt>
                <c:pt idx="9">
                  <c:v>4.8</c:v>
                </c:pt>
                <c:pt idx="10">
                  <c:v>5</c:v>
                </c:pt>
                <c:pt idx="11">
                  <c:v>5</c:v>
                </c:pt>
                <c:pt idx="12">
                  <c:v>0.50000000000000022</c:v>
                </c:pt>
                <c:pt idx="13">
                  <c:v>0.50000000000000022</c:v>
                </c:pt>
                <c:pt idx="1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B8C-4715-930B-D0DC4E85D11F}"/>
            </c:ext>
          </c:extLst>
        </c:ser>
        <c:ser>
          <c:idx val="1"/>
          <c:order val="7"/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muro+tensioni'!$J$60:$J$61</c:f>
              <c:numCache>
                <c:formatCode>General</c:formatCode>
                <c:ptCount val="2"/>
                <c:pt idx="0">
                  <c:v>0.77</c:v>
                </c:pt>
                <c:pt idx="1">
                  <c:v>0.77</c:v>
                </c:pt>
              </c:numCache>
            </c:numRef>
          </c:xVal>
          <c:yVal>
            <c:numRef>
              <c:f>'geom masse muro+tensioni'!$K$60:$K$61</c:f>
              <c:numCache>
                <c:formatCode>General</c:formatCode>
                <c:ptCount val="2"/>
                <c:pt idx="0">
                  <c:v>0.5</c:v>
                </c:pt>
                <c:pt idx="1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B8C-4715-930B-D0DC4E85D11F}"/>
            </c:ext>
          </c:extLst>
        </c:ser>
        <c:ser>
          <c:idx val="2"/>
          <c:order val="8"/>
          <c:spPr>
            <a:ln w="19050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muro+tensioni'!$J$62:$J$63</c:f>
              <c:numCache>
                <c:formatCode>0.000</c:formatCode>
                <c:ptCount val="2"/>
                <c:pt idx="0" formatCode="General">
                  <c:v>0.77</c:v>
                </c:pt>
                <c:pt idx="1">
                  <c:v>1.5100100000000001</c:v>
                </c:pt>
              </c:numCache>
            </c:numRef>
          </c:xVal>
          <c:yVal>
            <c:numRef>
              <c:f>'geom masse muro+tensioni'!$K$62:$K$63</c:f>
              <c:numCache>
                <c:formatCode>General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B8C-4715-930B-D0DC4E85D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45766240"/>
        <c:axId val="-245765696"/>
      </c:scatterChart>
      <c:scatterChart>
        <c:scatterStyle val="lineMarker"/>
        <c:varyColors val="0"/>
        <c:ser>
          <c:idx val="14"/>
          <c:order val="10"/>
          <c:tx>
            <c:v>terreno</c:v>
          </c:tx>
          <c:spPr>
            <a:ln w="9525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Pt>
            <c:idx val="1"/>
            <c:bubble3D val="0"/>
            <c:spPr>
              <a:ln w="28575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7B8C-4715-930B-D0DC4E85D11F}"/>
              </c:ext>
            </c:extLst>
          </c:dPt>
          <c:dPt>
            <c:idx val="2"/>
            <c:bubble3D val="0"/>
            <c:spPr>
              <a:ln w="28575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B8C-4715-930B-D0DC4E85D11F}"/>
              </c:ext>
            </c:extLst>
          </c:dPt>
          <c:xVal>
            <c:numRef>
              <c:f>'geom masse muro+tensioni'!$M$82:$M$84</c:f>
              <c:numCache>
                <c:formatCode>0.00</c:formatCode>
                <c:ptCount val="3"/>
                <c:pt idx="0">
                  <c:v>0.77</c:v>
                </c:pt>
                <c:pt idx="1">
                  <c:v>3.4</c:v>
                </c:pt>
                <c:pt idx="2">
                  <c:v>3.4</c:v>
                </c:pt>
              </c:numCache>
            </c:numRef>
          </c:xVal>
          <c:yVal>
            <c:numRef>
              <c:f>'geom masse muro+tensioni'!$N$82:$N$84</c:f>
              <c:numCache>
                <c:formatCode>0.00</c:formatCode>
                <c:ptCount val="3"/>
                <c:pt idx="0">
                  <c:v>4.8</c:v>
                </c:pt>
                <c:pt idx="1">
                  <c:v>5.0320615922608809</c:v>
                </c:pt>
                <c:pt idx="2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7B8C-4715-930B-D0DC4E85D11F}"/>
            </c:ext>
          </c:extLst>
        </c:ser>
        <c:ser>
          <c:idx val="3"/>
          <c:order val="11"/>
          <c:tx>
            <c:v>baricentro terra+muro</c:v>
          </c:tx>
          <c:spPr>
            <a:ln w="9525" cap="rnd">
              <a:solidFill>
                <a:schemeClr val="accent4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4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0.25686894325299597"/>
                  <c:y val="-5.04111887218904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1C904C0-1179-4E92-9FFA-BF5ED6FC8AB2}" type="XVALUE">
                      <a:rPr lang="en-US" sz="1050"/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[VALORE X]</a:t>
                    </a:fld>
                    <a:r>
                      <a:rPr lang="en-US" sz="1050" baseline="0"/>
                      <a:t>; </a:t>
                    </a:r>
                    <a:fld id="{C53BFFDD-591B-4C53-BFF6-06B45E42DB4E}" type="YVALUE">
                      <a:rPr lang="en-US" sz="1050" baseline="0"/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[VALORE Y]</a:t>
                    </a:fld>
                    <a:r>
                      <a:rPr lang="en-US" sz="1050" baseline="0"/>
                      <a:t> baricentro terra+muro</a:t>
                    </a:r>
                  </a:p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50" baseline="0"/>
                      <a:t> </a:t>
                    </a:r>
                    <a:r>
                      <a:rPr lang="en-US" sz="900" baseline="0"/>
                      <a:t>(media pesata sui pesi specifici</a:t>
                    </a:r>
                    <a:r>
                      <a:rPr lang="en-US" sz="1050" baseline="0"/>
                      <a:t>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B8C-4715-930B-D0DC4E85D11F}"/>
                </c:ext>
                <c:ext xmlns:c15="http://schemas.microsoft.com/office/drawing/2012/chart" uri="{CE6537A1-D6FC-4f65-9D91-7224C49458BB}">
                  <c15:layout>
                    <c:manualLayout>
                      <c:w val="0.18638295601419991"/>
                      <c:h val="0.17895186814308542"/>
                    </c:manualLayout>
                  </c15:layout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'VER. EQU COND. NON DRENATE'!$C$79</c:f>
              <c:numCache>
                <c:formatCode>0.00" m"</c:formatCode>
                <c:ptCount val="1"/>
                <c:pt idx="0">
                  <c:v>1.9461947151714729</c:v>
                </c:pt>
              </c:numCache>
            </c:numRef>
          </c:xVal>
          <c:yVal>
            <c:numRef>
              <c:f>'VER. EQU COND. NON DRENATE'!$C$81</c:f>
              <c:numCache>
                <c:formatCode>0.00" m"</c:formatCode>
                <c:ptCount val="1"/>
                <c:pt idx="0">
                  <c:v>2.2165813430007493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2-7B8C-4715-930B-D0DC4E85D11F}"/>
            </c:ext>
          </c:extLst>
        </c:ser>
        <c:ser>
          <c:idx val="5"/>
          <c:order val="12"/>
          <c:tx>
            <c:v>baricentro terra</c:v>
          </c:tx>
          <c:spPr>
            <a:ln w="9525" cap="rnd">
              <a:solidFill>
                <a:schemeClr val="accent6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6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9.0238037102235921E-2"/>
                  <c:y val="-0.43182255596223212"/>
                </c:manualLayout>
              </c:layout>
              <c:tx>
                <c:rich>
                  <a:bodyPr/>
                  <a:lstStyle/>
                  <a:p>
                    <a:fld id="{98B8FECF-7796-4966-ABC7-675B551908D6}" type="XVALUE">
                      <a:rPr lang="en-US" sz="1050"/>
                      <a:pPr/>
                      <a:t>[VALORE X]</a:t>
                    </a:fld>
                    <a:r>
                      <a:rPr lang="en-US" sz="1050" baseline="0"/>
                      <a:t>; </a:t>
                    </a:r>
                    <a:fld id="{FF87735F-1B66-4CD7-831D-A3E701C54E12}" type="YVALUE">
                      <a:rPr lang="en-US" sz="1050" baseline="0"/>
                      <a:pPr/>
                      <a:t>[VALORE Y]</a:t>
                    </a:fld>
                    <a:r>
                      <a:rPr lang="en-US" sz="1050" baseline="0"/>
                      <a:t> baricentro terra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7B8C-4715-930B-D0DC4E85D11F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'VER. EQU COND. NON DRENATE'!$C$84</c:f>
              <c:numCache>
                <c:formatCode>0.00" m"</c:formatCode>
                <c:ptCount val="1"/>
                <c:pt idx="0">
                  <c:v>2.0483562999253735</c:v>
                </c:pt>
              </c:numCache>
            </c:numRef>
          </c:xVal>
          <c:yVal>
            <c:numRef>
              <c:f>'VER. EQU COND. NON DRENATE'!$C$86</c:f>
              <c:numCache>
                <c:formatCode>0.00" m"</c:formatCode>
                <c:ptCount val="1"/>
                <c:pt idx="0">
                  <c:v>2.6738506672257989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7B8C-4715-930B-D0DC4E85D11F}"/>
            </c:ext>
          </c:extLst>
        </c:ser>
        <c:ser>
          <c:idx val="12"/>
          <c:order val="13"/>
          <c:tx>
            <c:v>baricentro muro</c:v>
          </c:tx>
          <c:spPr>
            <a:ln w="952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>
                    <a:lumMod val="80000"/>
                    <a:lumOff val="20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2.0671527659997465E-2"/>
                  <c:y val="0.25131581675310349"/>
                </c:manualLayout>
              </c:layout>
              <c:tx>
                <c:rich>
                  <a:bodyPr/>
                  <a:lstStyle/>
                  <a:p>
                    <a:fld id="{2465A305-C929-4DA6-87A5-AABF5F952A16}" type="XVALUE">
                      <a:rPr lang="en-US" sz="1050"/>
                      <a:pPr/>
                      <a:t>[VALORE X]</a:t>
                    </a:fld>
                    <a:r>
                      <a:rPr lang="en-US" sz="1050" baseline="0"/>
                      <a:t>; </a:t>
                    </a:r>
                    <a:fld id="{8A290CF4-FEA8-4B9C-93CD-B16FEE7C51AB}" type="YVALUE">
                      <a:rPr lang="en-US" sz="1050" baseline="0"/>
                      <a:pPr/>
                      <a:t>[VALORE Y]</a:t>
                    </a:fld>
                    <a:r>
                      <a:rPr lang="en-US" sz="1050" baseline="0"/>
                      <a:t> baicentro muro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7B8C-4715-930B-D0DC4E85D11F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'VER. EQU COND. NON DRENATE'!$C$89</c:f>
              <c:numCache>
                <c:formatCode>0.00" m"</c:formatCode>
                <c:ptCount val="1"/>
                <c:pt idx="0">
                  <c:v>1.6326655274280244</c:v>
                </c:pt>
              </c:numCache>
            </c:numRef>
          </c:xVal>
          <c:yVal>
            <c:numRef>
              <c:f>'VER. EQU COND. NON DRENATE'!$C$91</c:f>
              <c:numCache>
                <c:formatCode>0.00" m"</c:formatCode>
                <c:ptCount val="1"/>
                <c:pt idx="0">
                  <c:v>0.81324289489780677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6-7B8C-4715-930B-D0DC4E85D11F}"/>
            </c:ext>
          </c:extLst>
        </c:ser>
        <c:ser>
          <c:idx val="13"/>
          <c:order val="14"/>
          <c:tx>
            <c:v>terreno valle</c:v>
          </c:tx>
          <c:spPr>
            <a:ln w="19050" cap="rnd">
              <a:solidFill>
                <a:schemeClr val="bg2">
                  <a:lumMod val="50000"/>
                </a:schemeClr>
              </a:solidFill>
              <a:prstDash val="dash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'geom masse muro+tensioni'!$O$82:$O$85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0.65</c:v>
                </c:pt>
                <c:pt idx="3">
                  <c:v>0.65</c:v>
                </c:pt>
              </c:numCache>
            </c:numRef>
          </c:xVal>
          <c:yVal>
            <c:numRef>
              <c:f>'geom masse muro+tensioni'!$P$82:$P$85</c:f>
              <c:numCache>
                <c:formatCode>General</c:formatCode>
                <c:ptCount val="4"/>
                <c:pt idx="0">
                  <c:v>0.5</c:v>
                </c:pt>
                <c:pt idx="1">
                  <c:v>1.05</c:v>
                </c:pt>
                <c:pt idx="2">
                  <c:v>1.05</c:v>
                </c:pt>
                <c:pt idx="3">
                  <c:v>0.5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45770048"/>
        <c:axId val="-245760800"/>
      </c:scatterChart>
      <c:valAx>
        <c:axId val="-2457662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245765696"/>
        <c:crosses val="autoZero"/>
        <c:crossBetween val="midCat"/>
      </c:valAx>
      <c:valAx>
        <c:axId val="-245765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245766240"/>
        <c:crosses val="autoZero"/>
        <c:crossBetween val="midCat"/>
      </c:valAx>
      <c:valAx>
        <c:axId val="-245760800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-245770048"/>
        <c:crosses val="max"/>
        <c:crossBetween val="midCat"/>
      </c:valAx>
      <c:valAx>
        <c:axId val="-245770048"/>
        <c:scaling>
          <c:orientation val="minMax"/>
        </c:scaling>
        <c:delete val="1"/>
        <c:axPos val="t"/>
        <c:numFmt formatCode="0.00" sourceLinked="1"/>
        <c:majorTickMark val="out"/>
        <c:minorTickMark val="none"/>
        <c:tickLblPos val="nextTo"/>
        <c:crossAx val="-245760800"/>
        <c:crosses val="max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37909646769024"/>
          <c:y val="7.6487525625162964E-2"/>
          <c:w val="0.64649066860089499"/>
          <c:h val="0.76759132403682995"/>
        </c:manualLayout>
      </c:layout>
      <c:scatterChart>
        <c:scatterStyle val="lineMarker"/>
        <c:varyColors val="0"/>
        <c:ser>
          <c:idx val="6"/>
          <c:order val="0"/>
          <c:spPr>
            <a:ln w="2857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muro+tensioni'!$J$44:$J$58</c:f>
              <c:numCache>
                <c:formatCode>General</c:formatCode>
                <c:ptCount val="15"/>
                <c:pt idx="0">
                  <c:v>0</c:v>
                </c:pt>
                <c:pt idx="1">
                  <c:v>2.8</c:v>
                </c:pt>
                <c:pt idx="2">
                  <c:v>2.8</c:v>
                </c:pt>
                <c:pt idx="3">
                  <c:v>3.4</c:v>
                </c:pt>
                <c:pt idx="4">
                  <c:v>3.4</c:v>
                </c:pt>
                <c:pt idx="5">
                  <c:v>3.4</c:v>
                </c:pt>
                <c:pt idx="6" formatCode="0.000">
                  <c:v>3.4</c:v>
                </c:pt>
                <c:pt idx="7" formatCode="0.000">
                  <c:v>1.5100100000000001</c:v>
                </c:pt>
                <c:pt idx="8" formatCode="0.000">
                  <c:v>0.89</c:v>
                </c:pt>
                <c:pt idx="9" formatCode="0.000">
                  <c:v>0.77</c:v>
                </c:pt>
                <c:pt idx="10" formatCode="0.000">
                  <c:v>0.77</c:v>
                </c:pt>
                <c:pt idx="11" formatCode="0.000">
                  <c:v>0.65</c:v>
                </c:pt>
                <c:pt idx="12" formatCode="0.000">
                  <c:v>0.65</c:v>
                </c:pt>
                <c:pt idx="13" formatCode="0.000">
                  <c:v>0</c:v>
                </c:pt>
                <c:pt idx="14" formatCode="0.000">
                  <c:v>0</c:v>
                </c:pt>
              </c:numCache>
            </c:numRef>
          </c:xVal>
          <c:yVal>
            <c:numRef>
              <c:f>'geom masse muro+tensioni'!$K$44:$K$58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-0.6</c:v>
                </c:pt>
                <c:pt idx="3">
                  <c:v>-0.6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0.5</c:v>
                </c:pt>
                <c:pt idx="8">
                  <c:v>4.8</c:v>
                </c:pt>
                <c:pt idx="9">
                  <c:v>4.8</c:v>
                </c:pt>
                <c:pt idx="10">
                  <c:v>5</c:v>
                </c:pt>
                <c:pt idx="11">
                  <c:v>5</c:v>
                </c:pt>
                <c:pt idx="12">
                  <c:v>0.50000000000000022</c:v>
                </c:pt>
                <c:pt idx="13">
                  <c:v>0.50000000000000022</c:v>
                </c:pt>
                <c:pt idx="1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47-4C5F-91B3-7F23020816EC}"/>
            </c:ext>
          </c:extLst>
        </c:ser>
        <c:ser>
          <c:idx val="7"/>
          <c:order val="1"/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muro+tensioni'!$J$60:$J$61</c:f>
              <c:numCache>
                <c:formatCode>General</c:formatCode>
                <c:ptCount val="2"/>
                <c:pt idx="0">
                  <c:v>0.77</c:v>
                </c:pt>
                <c:pt idx="1">
                  <c:v>0.77</c:v>
                </c:pt>
              </c:numCache>
            </c:numRef>
          </c:xVal>
          <c:yVal>
            <c:numRef>
              <c:f>'geom masse muro+tensioni'!$K$60:$K$61</c:f>
              <c:numCache>
                <c:formatCode>General</c:formatCode>
                <c:ptCount val="2"/>
                <c:pt idx="0">
                  <c:v>0.5</c:v>
                </c:pt>
                <c:pt idx="1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47-4C5F-91B3-7F23020816EC}"/>
            </c:ext>
          </c:extLst>
        </c:ser>
        <c:ser>
          <c:idx val="8"/>
          <c:order val="2"/>
          <c:spPr>
            <a:ln w="19050" cap="rnd">
              <a:solidFill>
                <a:schemeClr val="accent3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muro+tensioni'!$J$62:$J$63</c:f>
              <c:numCache>
                <c:formatCode>0.000</c:formatCode>
                <c:ptCount val="2"/>
                <c:pt idx="0" formatCode="General">
                  <c:v>0.77</c:v>
                </c:pt>
                <c:pt idx="1">
                  <c:v>1.5100100000000001</c:v>
                </c:pt>
              </c:numCache>
            </c:numRef>
          </c:xVal>
          <c:yVal>
            <c:numRef>
              <c:f>'geom masse muro+tensioni'!$K$62:$K$63</c:f>
              <c:numCache>
                <c:formatCode>General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547-4C5F-91B3-7F23020816EC}"/>
            </c:ext>
          </c:extLst>
        </c:ser>
        <c:ser>
          <c:idx val="9"/>
          <c:order val="3"/>
          <c:spPr>
            <a:ln w="95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muro+tensioni'!$J$65</c:f>
              <c:numCache>
                <c:formatCode>General</c:formatCode>
                <c:ptCount val="1"/>
                <c:pt idx="0">
                  <c:v>0.65</c:v>
                </c:pt>
              </c:numCache>
            </c:numRef>
          </c:xVal>
          <c:yVal>
            <c:numRef>
              <c:f>'geom masse muro+tensioni'!$K$65</c:f>
              <c:numCache>
                <c:formatCode>General</c:formatCode>
                <c:ptCount val="1"/>
                <c:pt idx="0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547-4C5F-91B3-7F23020816EC}"/>
            </c:ext>
          </c:extLst>
        </c:ser>
        <c:ser>
          <c:idx val="10"/>
          <c:order val="4"/>
          <c:spPr>
            <a:ln w="952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muro+tensioni'!$J$66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547-4C5F-91B3-7F23020816EC}"/>
            </c:ext>
          </c:extLst>
        </c:ser>
        <c:ser>
          <c:idx val="11"/>
          <c:order val="5"/>
          <c:spPr>
            <a:ln w="952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muro+tensioni'!$J$67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muro+tensioni'!$K$67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547-4C5F-91B3-7F23020816EC}"/>
            </c:ext>
          </c:extLst>
        </c:ser>
        <c:ser>
          <c:idx val="0"/>
          <c:order val="6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547-4C5F-91B3-7F23020816E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36062265231801111"/>
                  <c:y val="4.836060199202123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547-4C5F-91B3-7F23020816EC}"/>
                </c:ext>
                <c:ext xmlns:c15="http://schemas.microsoft.com/office/drawing/2012/chart" uri="{CE6537A1-D6FC-4f65-9D91-7224C49458BB}">
                  <c15:layout>
                    <c:manualLayout>
                      <c:w val="0.15960925362994788"/>
                      <c:h val="5.106104357575203E-2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0.16189903908325814"/>
                  <c:y val="7.7493231123743206E-2"/>
                </c:manualLayout>
              </c:layout>
              <c:numFmt formatCode="#,##0.00&quot; m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547-4C5F-91B3-7F23020816EC}"/>
                </c:ext>
                <c:ext xmlns:c15="http://schemas.microsoft.com/office/drawing/2012/chart" uri="{CE6537A1-D6FC-4f65-9D91-7224C49458BB}">
                  <c15:layout>
                    <c:manualLayout>
                      <c:w val="0.21257646644075051"/>
                      <c:h val="3.9379355719720323E-2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0.10885757293087357"/>
                  <c:y val="0.1151030480558062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501268175603095E-2"/>
                  <c:y val="3.49935204889477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0312017752734206E-2"/>
                  <c:y val="0.1092663816640050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3612282781806847E-2"/>
                  <c:y val="-2.41053373910363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3415280524581589E-2"/>
                  <c:y val="-4.2034740467780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9.3875469040631807E-2"/>
                  <c:y val="4.30945501891003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0093305375934146"/>
                  <c:y val="-2.80032930666275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1.0024584915712313E-2"/>
                  <c:y val="-6.8621639686343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6344415180032665"/>
                  <c:y val="-0.121048501939420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562056139630592"/>
                  <c:y val="-3.47935312433771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2547-4C5F-91B3-7F23020816EC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2547-4C5F-91B3-7F23020816EC}"/>
                </c:ext>
                <c:ext xmlns:c15="http://schemas.microsoft.com/office/drawing/2012/chart" uri="{CE6537A1-D6FC-4f65-9D91-7224C49458BB}"/>
              </c:extLst>
            </c:dLbl>
            <c:numFmt formatCode="#,##0.00&quot; m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muro+tensioni'!$J$44:$J$58</c:f>
              <c:numCache>
                <c:formatCode>General</c:formatCode>
                <c:ptCount val="15"/>
                <c:pt idx="0">
                  <c:v>0</c:v>
                </c:pt>
                <c:pt idx="1">
                  <c:v>2.8</c:v>
                </c:pt>
                <c:pt idx="2">
                  <c:v>2.8</c:v>
                </c:pt>
                <c:pt idx="3">
                  <c:v>3.4</c:v>
                </c:pt>
                <c:pt idx="4">
                  <c:v>3.4</c:v>
                </c:pt>
                <c:pt idx="5">
                  <c:v>3.4</c:v>
                </c:pt>
                <c:pt idx="6" formatCode="0.000">
                  <c:v>3.4</c:v>
                </c:pt>
                <c:pt idx="7" formatCode="0.000">
                  <c:v>1.5100100000000001</c:v>
                </c:pt>
                <c:pt idx="8" formatCode="0.000">
                  <c:v>0.89</c:v>
                </c:pt>
                <c:pt idx="9" formatCode="0.000">
                  <c:v>0.77</c:v>
                </c:pt>
                <c:pt idx="10" formatCode="0.000">
                  <c:v>0.77</c:v>
                </c:pt>
                <c:pt idx="11" formatCode="0.000">
                  <c:v>0.65</c:v>
                </c:pt>
                <c:pt idx="12" formatCode="0.000">
                  <c:v>0.65</c:v>
                </c:pt>
                <c:pt idx="13" formatCode="0.000">
                  <c:v>0</c:v>
                </c:pt>
                <c:pt idx="14" formatCode="0.000">
                  <c:v>0</c:v>
                </c:pt>
              </c:numCache>
            </c:numRef>
          </c:xVal>
          <c:yVal>
            <c:numRef>
              <c:f>'geom masse muro+tensioni'!$K$44:$K$58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-0.6</c:v>
                </c:pt>
                <c:pt idx="3">
                  <c:v>-0.6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0.5</c:v>
                </c:pt>
                <c:pt idx="8">
                  <c:v>4.8</c:v>
                </c:pt>
                <c:pt idx="9">
                  <c:v>4.8</c:v>
                </c:pt>
                <c:pt idx="10">
                  <c:v>5</c:v>
                </c:pt>
                <c:pt idx="11">
                  <c:v>5</c:v>
                </c:pt>
                <c:pt idx="12">
                  <c:v>0.50000000000000022</c:v>
                </c:pt>
                <c:pt idx="13">
                  <c:v>0.50000000000000022</c:v>
                </c:pt>
                <c:pt idx="1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5-2547-4C5F-91B3-7F23020816EC}"/>
            </c:ext>
          </c:extLst>
        </c:ser>
        <c:ser>
          <c:idx val="1"/>
          <c:order val="7"/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muro+tensioni'!$J$60:$J$61</c:f>
              <c:numCache>
                <c:formatCode>General</c:formatCode>
                <c:ptCount val="2"/>
                <c:pt idx="0">
                  <c:v>0.77</c:v>
                </c:pt>
                <c:pt idx="1">
                  <c:v>0.77</c:v>
                </c:pt>
              </c:numCache>
            </c:numRef>
          </c:xVal>
          <c:yVal>
            <c:numRef>
              <c:f>'geom masse muro+tensioni'!$K$60:$K$61</c:f>
              <c:numCache>
                <c:formatCode>General</c:formatCode>
                <c:ptCount val="2"/>
                <c:pt idx="0">
                  <c:v>0.5</c:v>
                </c:pt>
                <c:pt idx="1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6-2547-4C5F-91B3-7F23020816EC}"/>
            </c:ext>
          </c:extLst>
        </c:ser>
        <c:ser>
          <c:idx val="2"/>
          <c:order val="8"/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5500099837489476E-2"/>
                  <c:y val="3.944509754896869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2547-4C5F-91B3-7F23020816EC}"/>
                </c:ext>
                <c:ext xmlns:c15="http://schemas.microsoft.com/office/drawing/2012/chart" uri="{CE6537A1-D6FC-4f65-9D91-7224C49458BB}"/>
              </c:extLst>
            </c:dLbl>
            <c:numFmt formatCode="#,##0.00&quot; m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muro+tensioni'!$J$62:$J$63</c:f>
              <c:numCache>
                <c:formatCode>0.000</c:formatCode>
                <c:ptCount val="2"/>
                <c:pt idx="0" formatCode="General">
                  <c:v>0.77</c:v>
                </c:pt>
                <c:pt idx="1">
                  <c:v>1.5100100000000001</c:v>
                </c:pt>
              </c:numCache>
            </c:numRef>
          </c:xVal>
          <c:yVal>
            <c:numRef>
              <c:f>'geom masse muro+tensioni'!$K$62:$K$63</c:f>
              <c:numCache>
                <c:formatCode>General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9-2547-4C5F-91B3-7F23020816EC}"/>
            </c:ext>
          </c:extLst>
        </c:ser>
        <c:ser>
          <c:idx val="3"/>
          <c:order val="9"/>
          <c:spPr>
            <a:ln w="95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4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35091013064707705"/>
                  <c:y val="1.755677279470463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SEZIONE 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2547-4C5F-91B3-7F23020816EC}"/>
                </c:ext>
                <c:ext xmlns:c15="http://schemas.microsoft.com/office/drawing/2012/chart" uri="{CE6537A1-D6FC-4f65-9D91-7224C49458BB}">
                  <c15:layout>
                    <c:manualLayout>
                      <c:w val="0.18286998626178547"/>
                      <c:h val="4.8331287744394387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muro+tensioni'!$J$65</c:f>
              <c:numCache>
                <c:formatCode>General</c:formatCode>
                <c:ptCount val="1"/>
                <c:pt idx="0">
                  <c:v>0.65</c:v>
                </c:pt>
              </c:numCache>
            </c:numRef>
          </c:xVal>
          <c:yVal>
            <c:numRef>
              <c:f>'geom masse muro+tensioni'!$K$65</c:f>
              <c:numCache>
                <c:formatCode>General</c:formatCode>
                <c:ptCount val="1"/>
                <c:pt idx="0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B-2547-4C5F-91B3-7F2302081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45767872"/>
        <c:axId val="-245771136"/>
      </c:scatterChart>
      <c:scatterChart>
        <c:scatterStyle val="smoothMarker"/>
        <c:varyColors val="0"/>
        <c:ser>
          <c:idx val="4"/>
          <c:order val="10"/>
          <c:spPr>
            <a:ln w="95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5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22803511292931958"/>
                  <c:y val="-3.721580998027421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>
                        <a:solidFill>
                          <a:srgbClr val="FF0000"/>
                        </a:solidFill>
                      </a:rPr>
                      <a:t>origine</a:t>
                    </a:r>
                    <a:r>
                      <a:rPr lang="en-US" b="1" baseline="0">
                        <a:solidFill>
                          <a:srgbClr val="FF0000"/>
                        </a:solidFill>
                      </a:rPr>
                      <a:t> degli assi</a:t>
                    </a:r>
                    <a:endParaRPr lang="en-US" b="1">
                      <a:solidFill>
                        <a:srgbClr val="FF0000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2547-4C5F-91B3-7F23020816EC}"/>
                </c:ext>
                <c:ext xmlns:c15="http://schemas.microsoft.com/office/drawing/2012/chart" uri="{CE6537A1-D6FC-4f65-9D91-7224C49458BB}">
                  <c15:layout>
                    <c:manualLayout>
                      <c:w val="0.22229318592415595"/>
                      <c:h val="4.1682832096741423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muro+tensioni'!$J$66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D-2547-4C5F-91B3-7F23020816EC}"/>
            </c:ext>
          </c:extLst>
        </c:ser>
        <c:ser>
          <c:idx val="5"/>
          <c:order val="11"/>
          <c:spPr>
            <a:ln w="952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6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22539678981735176"/>
                  <c:y val="1.640823643066318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SEZIONE</a:t>
                    </a:r>
                    <a:r>
                      <a:rPr lang="en-US" b="1" baseline="0"/>
                      <a:t> 3</a:t>
                    </a:r>
                    <a:endParaRPr lang="en-US" b="1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2547-4C5F-91B3-7F23020816EC}"/>
                </c:ext>
                <c:ext xmlns:c15="http://schemas.microsoft.com/office/drawing/2012/chart" uri="{CE6537A1-D6FC-4f65-9D91-7224C49458BB}">
                  <c15:layout>
                    <c:manualLayout>
                      <c:w val="0.14626216082720853"/>
                      <c:h val="3.4951876463338055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muro+tensioni'!$J$67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muro+tensioni'!$K$67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F-2547-4C5F-91B3-7F23020816EC}"/>
            </c:ext>
          </c:extLst>
        </c:ser>
        <c:ser>
          <c:idx val="12"/>
          <c:order val="12"/>
          <c:spPr>
            <a:ln w="952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80000"/>
                    <a:lumOff val="20000"/>
                  </a:schemeClr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20295861661094511"/>
                  <c:y val="-0.113712203797833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SEZIONE 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muro+tensioni'!$J$68</c:f>
              <c:numCache>
                <c:formatCode>General</c:formatCode>
                <c:ptCount val="1"/>
                <c:pt idx="0">
                  <c:v>0.65</c:v>
                </c:pt>
              </c:numCache>
            </c:numRef>
          </c:xVal>
          <c:yVal>
            <c:numRef>
              <c:f>'geom masse muro+tensioni'!$K$68</c:f>
              <c:numCache>
                <c:formatCode>General</c:formatCode>
                <c:ptCount val="1"/>
                <c:pt idx="0">
                  <c:v>0.5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1-2547-4C5F-91B3-7F23020816EC}"/>
            </c:ext>
          </c:extLst>
        </c:ser>
        <c:ser>
          <c:idx val="13"/>
          <c:order val="13"/>
          <c:spPr>
            <a:ln w="9525" cap="rnd">
              <a:solidFill>
                <a:schemeClr val="accent2">
                  <a:lumMod val="80000"/>
                  <a:lumOff val="2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gradFill flip="none" rotWithShape="1">
                <a:gsLst>
                  <a:gs pos="0">
                    <a:srgbClr val="FF0000">
                      <a:shade val="30000"/>
                      <a:satMod val="115000"/>
                    </a:srgbClr>
                  </a:gs>
                  <a:gs pos="50000">
                    <a:srgbClr val="FF0000">
                      <a:shade val="67500"/>
                      <a:satMod val="115000"/>
                    </a:srgbClr>
                  </a:gs>
                  <a:gs pos="100000">
                    <a:srgbClr val="FF0000">
                      <a:shade val="100000"/>
                      <a:satMod val="115000"/>
                    </a:srgbClr>
                  </a:gs>
                </a:gsLst>
                <a:path path="circle">
                  <a:fillToRect l="50000" t="50000" r="50000" b="50000"/>
                </a:path>
                <a:tileRect/>
              </a:gradFill>
              <a:ln w="9525">
                <a:solidFill>
                  <a:schemeClr val="accent2">
                    <a:lumMod val="80000"/>
                    <a:lumOff val="20000"/>
                  </a:schemeClr>
                </a:solidFill>
                <a:prstDash val="sysDash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.21836236909667908"/>
                  <c:y val="-0.1072667366726683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5F7BA4E-175A-4BCC-AFDA-B01F4832574A}" type="XVALUE">
                      <a:rPr lang="en-US" b="1"/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[VALORE X]</a:t>
                    </a:fld>
                    <a:r>
                      <a:rPr lang="en-US" b="1" baseline="0"/>
                      <a:t>; </a:t>
                    </a:r>
                    <a:fld id="{D3C1F569-10DC-4BA0-8C14-CF4812E5DF98}" type="YVALUE">
                      <a:rPr lang="en-US" b="1" baseline="0"/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[VALORE Y]</a:t>
                    </a:fld>
                    <a:r>
                      <a:rPr lang="en-US" b="1" baseline="0"/>
                      <a:t>   BARICENTRO DEL MURO</a:t>
                    </a:r>
                  </a:p>
                </c:rich>
              </c:tx>
              <c:numFmt formatCode="#,##0.00&quot; m&quot;" sourceLinked="0"/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2547-4C5F-91B3-7F23020816EC}"/>
                </c:ext>
                <c:ext xmlns:c15="http://schemas.microsoft.com/office/drawing/2012/chart" uri="{CE6537A1-D6FC-4f65-9D91-7224C49458BB}">
                  <c15:layout>
                    <c:manualLayout>
                      <c:w val="0.22912872172830948"/>
                      <c:h val="9.8984588121881906E-2"/>
                    </c:manualLayout>
                  </c15:layout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'VER. EQU COND. DRENATE'!$C$38</c:f>
              <c:numCache>
                <c:formatCode>0.000" m"</c:formatCode>
                <c:ptCount val="1"/>
                <c:pt idx="0">
                  <c:v>1.6326655274280244</c:v>
                </c:pt>
              </c:numCache>
            </c:numRef>
          </c:xVal>
          <c:yVal>
            <c:numRef>
              <c:f>'VER. EQU COND. DRENATE'!$C$40</c:f>
              <c:numCache>
                <c:formatCode>0.000" m"</c:formatCode>
                <c:ptCount val="1"/>
                <c:pt idx="0">
                  <c:v>0.81324289489780677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3-2547-4C5F-91B3-7F2302081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45767872"/>
        <c:axId val="-245771136"/>
      </c:scatterChart>
      <c:valAx>
        <c:axId val="-24576787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050">
                    <a:latin typeface="Calibri" panose="020F0502020204030204" pitchFamily="34" charset="0"/>
                  </a:rPr>
                  <a:t>asse x →</a:t>
                </a:r>
                <a:endParaRPr lang="it-IT" sz="1050"/>
              </a:p>
            </c:rich>
          </c:tx>
          <c:layout>
            <c:manualLayout>
              <c:xMode val="edge"/>
              <c:yMode val="edge"/>
              <c:x val="0.41384661198217487"/>
              <c:y val="0.968634712419081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crossAx val="-245771136"/>
        <c:crosses val="autoZero"/>
        <c:crossBetween val="midCat"/>
      </c:valAx>
      <c:valAx>
        <c:axId val="-245771136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050">
                    <a:latin typeface="Calibri" panose="020F0502020204030204" pitchFamily="34" charset="0"/>
                  </a:rPr>
                  <a:t> asse z →</a:t>
                </a:r>
                <a:endParaRPr lang="it-IT" sz="1050"/>
              </a:p>
            </c:rich>
          </c:tx>
          <c:layout>
            <c:manualLayout>
              <c:xMode val="edge"/>
              <c:yMode val="edge"/>
              <c:x val="2.6572041623288717E-2"/>
              <c:y val="0.3785962080826854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crossAx val="-245767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12989291583572"/>
          <c:y val="8.7375391329095942E-2"/>
          <c:w val="0.71665170451554816"/>
          <c:h val="0.83876380019426711"/>
        </c:manualLayout>
      </c:layout>
      <c:scatterChart>
        <c:scatterStyle val="smoothMarker"/>
        <c:varyColors val="0"/>
        <c:ser>
          <c:idx val="4"/>
          <c:order val="9"/>
          <c:spPr>
            <a:ln w="95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5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12283554451508014"/>
                  <c:y val="5.0734655156057316E-2"/>
                </c:manualLayout>
              </c:layout>
              <c:tx>
                <c:rich>
                  <a:bodyPr/>
                  <a:lstStyle/>
                  <a:p>
                    <a:r>
                      <a:rPr lang="en-US" b="1" baseline="0">
                        <a:solidFill>
                          <a:srgbClr val="FF0000"/>
                        </a:solidFill>
                      </a:rPr>
                      <a:t>origine degli assi</a:t>
                    </a:r>
                    <a:endParaRPr lang="en-US" b="1">
                      <a:solidFill>
                        <a:srgbClr val="FF0000"/>
                      </a:solidFill>
                    </a:endParaRP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B8C-4715-930B-D0DC4E85D11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muro+tensioni'!$J$66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B8C-4715-930B-D0DC4E85D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45758624"/>
        <c:axId val="-245768960"/>
      </c:scatterChart>
      <c:scatterChart>
        <c:scatterStyle val="lineMarker"/>
        <c:varyColors val="0"/>
        <c:ser>
          <c:idx val="6"/>
          <c:order val="0"/>
          <c:spPr>
            <a:ln w="2857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muro+tensioni'!$J$44:$J$58</c:f>
              <c:numCache>
                <c:formatCode>General</c:formatCode>
                <c:ptCount val="15"/>
                <c:pt idx="0">
                  <c:v>0</c:v>
                </c:pt>
                <c:pt idx="1">
                  <c:v>2.8</c:v>
                </c:pt>
                <c:pt idx="2">
                  <c:v>2.8</c:v>
                </c:pt>
                <c:pt idx="3">
                  <c:v>3.4</c:v>
                </c:pt>
                <c:pt idx="4">
                  <c:v>3.4</c:v>
                </c:pt>
                <c:pt idx="5">
                  <c:v>3.4</c:v>
                </c:pt>
                <c:pt idx="6" formatCode="0.000">
                  <c:v>3.4</c:v>
                </c:pt>
                <c:pt idx="7" formatCode="0.000">
                  <c:v>1.5100100000000001</c:v>
                </c:pt>
                <c:pt idx="8" formatCode="0.000">
                  <c:v>0.89</c:v>
                </c:pt>
                <c:pt idx="9" formatCode="0.000">
                  <c:v>0.77</c:v>
                </c:pt>
                <c:pt idx="10" formatCode="0.000">
                  <c:v>0.77</c:v>
                </c:pt>
                <c:pt idx="11" formatCode="0.000">
                  <c:v>0.65</c:v>
                </c:pt>
                <c:pt idx="12" formatCode="0.000">
                  <c:v>0.65</c:v>
                </c:pt>
                <c:pt idx="13" formatCode="0.000">
                  <c:v>0</c:v>
                </c:pt>
                <c:pt idx="14" formatCode="0.000">
                  <c:v>0</c:v>
                </c:pt>
              </c:numCache>
            </c:numRef>
          </c:xVal>
          <c:yVal>
            <c:numRef>
              <c:f>'geom masse muro+tensioni'!$K$44:$K$58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-0.6</c:v>
                </c:pt>
                <c:pt idx="3">
                  <c:v>-0.6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0.5</c:v>
                </c:pt>
                <c:pt idx="8">
                  <c:v>4.8</c:v>
                </c:pt>
                <c:pt idx="9">
                  <c:v>4.8</c:v>
                </c:pt>
                <c:pt idx="10">
                  <c:v>5</c:v>
                </c:pt>
                <c:pt idx="11">
                  <c:v>5</c:v>
                </c:pt>
                <c:pt idx="12">
                  <c:v>0.50000000000000022</c:v>
                </c:pt>
                <c:pt idx="13">
                  <c:v>0.50000000000000022</c:v>
                </c:pt>
                <c:pt idx="1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B8C-4715-930B-D0DC4E85D11F}"/>
            </c:ext>
          </c:extLst>
        </c:ser>
        <c:ser>
          <c:idx val="7"/>
          <c:order val="1"/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muro+tensioni'!$J$60:$J$61</c:f>
              <c:numCache>
                <c:formatCode>General</c:formatCode>
                <c:ptCount val="2"/>
                <c:pt idx="0">
                  <c:v>0.77</c:v>
                </c:pt>
                <c:pt idx="1">
                  <c:v>0.77</c:v>
                </c:pt>
              </c:numCache>
            </c:numRef>
          </c:xVal>
          <c:yVal>
            <c:numRef>
              <c:f>'geom masse muro+tensioni'!$K$60:$K$61</c:f>
              <c:numCache>
                <c:formatCode>General</c:formatCode>
                <c:ptCount val="2"/>
                <c:pt idx="0">
                  <c:v>0.5</c:v>
                </c:pt>
                <c:pt idx="1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B8C-4715-930B-D0DC4E85D11F}"/>
            </c:ext>
          </c:extLst>
        </c:ser>
        <c:ser>
          <c:idx val="8"/>
          <c:order val="2"/>
          <c:spPr>
            <a:ln w="19050" cap="rnd">
              <a:solidFill>
                <a:schemeClr val="accent3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muro+tensioni'!$J$62:$J$63</c:f>
              <c:numCache>
                <c:formatCode>0.000</c:formatCode>
                <c:ptCount val="2"/>
                <c:pt idx="0" formatCode="General">
                  <c:v>0.77</c:v>
                </c:pt>
                <c:pt idx="1">
                  <c:v>1.5100100000000001</c:v>
                </c:pt>
              </c:numCache>
            </c:numRef>
          </c:xVal>
          <c:yVal>
            <c:numRef>
              <c:f>'geom masse muro+tensioni'!$K$62:$K$63</c:f>
              <c:numCache>
                <c:formatCode>General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B8C-4715-930B-D0DC4E85D11F}"/>
            </c:ext>
          </c:extLst>
        </c:ser>
        <c:ser>
          <c:idx val="9"/>
          <c:order val="3"/>
          <c:spPr>
            <a:ln w="95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muro+tensioni'!$J$65</c:f>
              <c:numCache>
                <c:formatCode>General</c:formatCode>
                <c:ptCount val="1"/>
                <c:pt idx="0">
                  <c:v>0.65</c:v>
                </c:pt>
              </c:numCache>
            </c:numRef>
          </c:xVal>
          <c:yVal>
            <c:numRef>
              <c:f>'geom masse muro+tensioni'!$K$65</c:f>
              <c:numCache>
                <c:formatCode>General</c:formatCode>
                <c:ptCount val="1"/>
                <c:pt idx="0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B8C-4715-930B-D0DC4E85D11F}"/>
            </c:ext>
          </c:extLst>
        </c:ser>
        <c:ser>
          <c:idx val="10"/>
          <c:order val="4"/>
          <c:spPr>
            <a:ln w="952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muro+tensioni'!$J$66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B8C-4715-930B-D0DC4E85D11F}"/>
            </c:ext>
          </c:extLst>
        </c:ser>
        <c:ser>
          <c:idx val="11"/>
          <c:order val="5"/>
          <c:spPr>
            <a:ln w="952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muro+tensioni'!$J$67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muro+tensioni'!$K$67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B8C-4715-930B-D0DC4E85D11F}"/>
            </c:ext>
          </c:extLst>
        </c:ser>
        <c:ser>
          <c:idx val="0"/>
          <c:order val="6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muro+tensioni'!$J$44:$J$58</c:f>
              <c:numCache>
                <c:formatCode>General</c:formatCode>
                <c:ptCount val="15"/>
                <c:pt idx="0">
                  <c:v>0</c:v>
                </c:pt>
                <c:pt idx="1">
                  <c:v>2.8</c:v>
                </c:pt>
                <c:pt idx="2">
                  <c:v>2.8</c:v>
                </c:pt>
                <c:pt idx="3">
                  <c:v>3.4</c:v>
                </c:pt>
                <c:pt idx="4">
                  <c:v>3.4</c:v>
                </c:pt>
                <c:pt idx="5">
                  <c:v>3.4</c:v>
                </c:pt>
                <c:pt idx="6" formatCode="0.000">
                  <c:v>3.4</c:v>
                </c:pt>
                <c:pt idx="7" formatCode="0.000">
                  <c:v>1.5100100000000001</c:v>
                </c:pt>
                <c:pt idx="8" formatCode="0.000">
                  <c:v>0.89</c:v>
                </c:pt>
                <c:pt idx="9" formatCode="0.000">
                  <c:v>0.77</c:v>
                </c:pt>
                <c:pt idx="10" formatCode="0.000">
                  <c:v>0.77</c:v>
                </c:pt>
                <c:pt idx="11" formatCode="0.000">
                  <c:v>0.65</c:v>
                </c:pt>
                <c:pt idx="12" formatCode="0.000">
                  <c:v>0.65</c:v>
                </c:pt>
                <c:pt idx="13" formatCode="0.000">
                  <c:v>0</c:v>
                </c:pt>
                <c:pt idx="14" formatCode="0.000">
                  <c:v>0</c:v>
                </c:pt>
              </c:numCache>
            </c:numRef>
          </c:xVal>
          <c:yVal>
            <c:numRef>
              <c:f>'geom masse muro+tensioni'!$K$44:$K$58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-0.6</c:v>
                </c:pt>
                <c:pt idx="3">
                  <c:v>-0.6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0.5</c:v>
                </c:pt>
                <c:pt idx="8">
                  <c:v>4.8</c:v>
                </c:pt>
                <c:pt idx="9">
                  <c:v>4.8</c:v>
                </c:pt>
                <c:pt idx="10">
                  <c:v>5</c:v>
                </c:pt>
                <c:pt idx="11">
                  <c:v>5</c:v>
                </c:pt>
                <c:pt idx="12">
                  <c:v>0.50000000000000022</c:v>
                </c:pt>
                <c:pt idx="13">
                  <c:v>0.50000000000000022</c:v>
                </c:pt>
                <c:pt idx="1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B8C-4715-930B-D0DC4E85D11F}"/>
            </c:ext>
          </c:extLst>
        </c:ser>
        <c:ser>
          <c:idx val="1"/>
          <c:order val="7"/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muro+tensioni'!$J$60:$J$61</c:f>
              <c:numCache>
                <c:formatCode>General</c:formatCode>
                <c:ptCount val="2"/>
                <c:pt idx="0">
                  <c:v>0.77</c:v>
                </c:pt>
                <c:pt idx="1">
                  <c:v>0.77</c:v>
                </c:pt>
              </c:numCache>
            </c:numRef>
          </c:xVal>
          <c:yVal>
            <c:numRef>
              <c:f>'geom masse muro+tensioni'!$K$60:$K$61</c:f>
              <c:numCache>
                <c:formatCode>General</c:formatCode>
                <c:ptCount val="2"/>
                <c:pt idx="0">
                  <c:v>0.5</c:v>
                </c:pt>
                <c:pt idx="1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B8C-4715-930B-D0DC4E85D11F}"/>
            </c:ext>
          </c:extLst>
        </c:ser>
        <c:ser>
          <c:idx val="2"/>
          <c:order val="8"/>
          <c:spPr>
            <a:ln w="19050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muro+tensioni'!$J$62:$J$63</c:f>
              <c:numCache>
                <c:formatCode>0.000</c:formatCode>
                <c:ptCount val="2"/>
                <c:pt idx="0" formatCode="General">
                  <c:v>0.77</c:v>
                </c:pt>
                <c:pt idx="1">
                  <c:v>1.5100100000000001</c:v>
                </c:pt>
              </c:numCache>
            </c:numRef>
          </c:xVal>
          <c:yVal>
            <c:numRef>
              <c:f>'geom masse muro+tensioni'!$K$62:$K$63</c:f>
              <c:numCache>
                <c:formatCode>General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B8C-4715-930B-D0DC4E85D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45758624"/>
        <c:axId val="-245768960"/>
      </c:scatterChart>
      <c:scatterChart>
        <c:scatterStyle val="lineMarker"/>
        <c:varyColors val="0"/>
        <c:ser>
          <c:idx val="14"/>
          <c:order val="10"/>
          <c:tx>
            <c:v>terreno</c:v>
          </c:tx>
          <c:spPr>
            <a:ln w="9525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Pt>
            <c:idx val="1"/>
            <c:bubble3D val="0"/>
            <c:spPr>
              <a:ln w="28575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7B8C-4715-930B-D0DC4E85D11F}"/>
              </c:ext>
            </c:extLst>
          </c:dPt>
          <c:dPt>
            <c:idx val="2"/>
            <c:bubble3D val="0"/>
            <c:spPr>
              <a:ln w="28575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B8C-4715-930B-D0DC4E85D11F}"/>
              </c:ext>
            </c:extLst>
          </c:dPt>
          <c:xVal>
            <c:numRef>
              <c:f>'geom masse muro+tensioni'!$M$82:$M$84</c:f>
              <c:numCache>
                <c:formatCode>0.00</c:formatCode>
                <c:ptCount val="3"/>
                <c:pt idx="0">
                  <c:v>0.77</c:v>
                </c:pt>
                <c:pt idx="1">
                  <c:v>3.4</c:v>
                </c:pt>
                <c:pt idx="2">
                  <c:v>3.4</c:v>
                </c:pt>
              </c:numCache>
            </c:numRef>
          </c:xVal>
          <c:yVal>
            <c:numRef>
              <c:f>'geom masse muro+tensioni'!$N$82:$N$84</c:f>
              <c:numCache>
                <c:formatCode>0.00</c:formatCode>
                <c:ptCount val="3"/>
                <c:pt idx="0">
                  <c:v>4.8</c:v>
                </c:pt>
                <c:pt idx="1">
                  <c:v>5.0320615922608809</c:v>
                </c:pt>
                <c:pt idx="2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7B8C-4715-930B-D0DC4E85D11F}"/>
            </c:ext>
          </c:extLst>
        </c:ser>
        <c:ser>
          <c:idx val="3"/>
          <c:order val="11"/>
          <c:tx>
            <c:v>baricentro terra+muro</c:v>
          </c:tx>
          <c:spPr>
            <a:ln w="9525" cap="rnd">
              <a:solidFill>
                <a:schemeClr val="accent4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4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0.26615327481036571"/>
                  <c:y val="-3.876070399751064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1C904C0-1179-4E92-9FFA-BF5ED6FC8AB2}" type="XVALUE">
                      <a:rPr lang="en-US" sz="1050"/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[VALORE X]</a:t>
                    </a:fld>
                    <a:r>
                      <a:rPr lang="en-US" sz="1050" baseline="0"/>
                      <a:t>; </a:t>
                    </a:r>
                    <a:fld id="{C53BFFDD-591B-4C53-BFF6-06B45E42DB4E}" type="YVALUE">
                      <a:rPr lang="en-US" sz="1050" baseline="0"/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[VALORE Y]</a:t>
                    </a:fld>
                    <a:r>
                      <a:rPr lang="en-US" sz="1050" baseline="0"/>
                      <a:t> baricentro terra+muro</a:t>
                    </a:r>
                  </a:p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50" baseline="0"/>
                      <a:t> </a:t>
                    </a:r>
                    <a:r>
                      <a:rPr lang="en-US" sz="900" baseline="0"/>
                      <a:t>(media pesata sui pesi specifici</a:t>
                    </a:r>
                    <a:r>
                      <a:rPr lang="en-US" sz="1050" baseline="0"/>
                      <a:t>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B8C-4715-930B-D0DC4E85D11F}"/>
                </c:ext>
                <c:ext xmlns:c15="http://schemas.microsoft.com/office/drawing/2012/chart" uri="{CE6537A1-D6FC-4f65-9D91-7224C49458BB}">
                  <c15:layout>
                    <c:manualLayout>
                      <c:w val="0.18638295601419991"/>
                      <c:h val="0.17895186814308542"/>
                    </c:manualLayout>
                  </c15:layout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'VER. EQU COND. NON DRENATE'!$C$79</c:f>
              <c:numCache>
                <c:formatCode>0.00" m"</c:formatCode>
                <c:ptCount val="1"/>
                <c:pt idx="0">
                  <c:v>1.9461947151714729</c:v>
                </c:pt>
              </c:numCache>
            </c:numRef>
          </c:xVal>
          <c:yVal>
            <c:numRef>
              <c:f>'VER. EQU COND. NON DRENATE'!$C$81</c:f>
              <c:numCache>
                <c:formatCode>0.00" m"</c:formatCode>
                <c:ptCount val="1"/>
                <c:pt idx="0">
                  <c:v>2.2165813430007493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2-7B8C-4715-930B-D0DC4E85D11F}"/>
            </c:ext>
          </c:extLst>
        </c:ser>
        <c:ser>
          <c:idx val="5"/>
          <c:order val="12"/>
          <c:tx>
            <c:v>baricentro terra</c:v>
          </c:tx>
          <c:spPr>
            <a:ln w="9525" cap="rnd">
              <a:solidFill>
                <a:schemeClr val="accent6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6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8.7916954212893458E-2"/>
                  <c:y val="-0.42716236207248015"/>
                </c:manualLayout>
              </c:layout>
              <c:tx>
                <c:rich>
                  <a:bodyPr/>
                  <a:lstStyle/>
                  <a:p>
                    <a:fld id="{98B8FECF-7796-4966-ABC7-675B551908D6}" type="XVALUE">
                      <a:rPr lang="en-US" sz="1050"/>
                      <a:pPr/>
                      <a:t>[VALORE X]</a:t>
                    </a:fld>
                    <a:r>
                      <a:rPr lang="en-US" sz="1050" baseline="0"/>
                      <a:t>; </a:t>
                    </a:r>
                    <a:fld id="{FF87735F-1B66-4CD7-831D-A3E701C54E12}" type="YVALUE">
                      <a:rPr lang="en-US" sz="1050" baseline="0"/>
                      <a:pPr/>
                      <a:t>[VALORE Y]</a:t>
                    </a:fld>
                    <a:r>
                      <a:rPr lang="en-US" sz="1050" baseline="0"/>
                      <a:t> baricentro terra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7B8C-4715-930B-D0DC4E85D11F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'VER. EQU COND. NON DRENATE'!$C$84</c:f>
              <c:numCache>
                <c:formatCode>0.00" m"</c:formatCode>
                <c:ptCount val="1"/>
                <c:pt idx="0">
                  <c:v>2.0483562999253735</c:v>
                </c:pt>
              </c:numCache>
            </c:numRef>
          </c:xVal>
          <c:yVal>
            <c:numRef>
              <c:f>'VER. EQU COND. NON DRENATE'!$C$86</c:f>
              <c:numCache>
                <c:formatCode>0.00" m"</c:formatCode>
                <c:ptCount val="1"/>
                <c:pt idx="0">
                  <c:v>2.6738506672257989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7B8C-4715-930B-D0DC4E85D11F}"/>
            </c:ext>
          </c:extLst>
        </c:ser>
        <c:ser>
          <c:idx val="12"/>
          <c:order val="13"/>
          <c:tx>
            <c:v>baricentro muro</c:v>
          </c:tx>
          <c:spPr>
            <a:ln w="952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>
                    <a:lumMod val="80000"/>
                    <a:lumOff val="20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1.8350444770655082E-2"/>
                  <c:y val="0.23966533202872375"/>
                </c:manualLayout>
              </c:layout>
              <c:tx>
                <c:rich>
                  <a:bodyPr/>
                  <a:lstStyle/>
                  <a:p>
                    <a:fld id="{2465A305-C929-4DA6-87A5-AABF5F952A16}" type="XVALUE">
                      <a:rPr lang="en-US" sz="1050"/>
                      <a:pPr/>
                      <a:t>[VALORE X]</a:t>
                    </a:fld>
                    <a:r>
                      <a:rPr lang="en-US" sz="1050" baseline="0"/>
                      <a:t>; </a:t>
                    </a:r>
                    <a:fld id="{8A290CF4-FEA8-4B9C-93CD-B16FEE7C51AB}" type="YVALUE">
                      <a:rPr lang="en-US" sz="1050" baseline="0"/>
                      <a:pPr/>
                      <a:t>[VALORE Y]</a:t>
                    </a:fld>
                    <a:r>
                      <a:rPr lang="en-US" sz="1050" baseline="0"/>
                      <a:t> baicentro muro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7B8C-4715-930B-D0DC4E85D11F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'VER. EQU COND. NON DRENATE'!$C$89</c:f>
              <c:numCache>
                <c:formatCode>0.00" m"</c:formatCode>
                <c:ptCount val="1"/>
                <c:pt idx="0">
                  <c:v>1.6326655274280244</c:v>
                </c:pt>
              </c:numCache>
            </c:numRef>
          </c:xVal>
          <c:yVal>
            <c:numRef>
              <c:f>'VER. EQU COND. NON DRENATE'!$C$91</c:f>
              <c:numCache>
                <c:formatCode>0.00" m"</c:formatCode>
                <c:ptCount val="1"/>
                <c:pt idx="0">
                  <c:v>0.81324289489780677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6-7B8C-4715-930B-D0DC4E85D11F}"/>
            </c:ext>
          </c:extLst>
        </c:ser>
        <c:ser>
          <c:idx val="13"/>
          <c:order val="14"/>
          <c:tx>
            <c:v>terreno valle</c:v>
          </c:tx>
          <c:spPr>
            <a:ln w="19050" cap="rnd">
              <a:solidFill>
                <a:schemeClr val="bg2">
                  <a:lumMod val="50000"/>
                </a:schemeClr>
              </a:solidFill>
              <a:prstDash val="dash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'geom masse muro+tensioni'!$O$82:$O$85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0.65</c:v>
                </c:pt>
                <c:pt idx="3">
                  <c:v>0.65</c:v>
                </c:pt>
              </c:numCache>
            </c:numRef>
          </c:xVal>
          <c:yVal>
            <c:numRef>
              <c:f>'geom masse muro+tensioni'!$P$82:$P$85</c:f>
              <c:numCache>
                <c:formatCode>General</c:formatCode>
                <c:ptCount val="4"/>
                <c:pt idx="0">
                  <c:v>0.5</c:v>
                </c:pt>
                <c:pt idx="1">
                  <c:v>1.05</c:v>
                </c:pt>
                <c:pt idx="2">
                  <c:v>1.05</c:v>
                </c:pt>
                <c:pt idx="3">
                  <c:v>0.5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45757536"/>
        <c:axId val="-245758080"/>
      </c:scatterChart>
      <c:valAx>
        <c:axId val="-2457586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245768960"/>
        <c:crosses val="autoZero"/>
        <c:crossBetween val="midCat"/>
      </c:valAx>
      <c:valAx>
        <c:axId val="-2457689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245758624"/>
        <c:crosses val="autoZero"/>
        <c:crossBetween val="midCat"/>
      </c:valAx>
      <c:valAx>
        <c:axId val="-245758080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-245757536"/>
        <c:crosses val="max"/>
        <c:crossBetween val="midCat"/>
      </c:valAx>
      <c:valAx>
        <c:axId val="-245757536"/>
        <c:scaling>
          <c:orientation val="minMax"/>
        </c:scaling>
        <c:delete val="1"/>
        <c:axPos val="t"/>
        <c:numFmt formatCode="0.00" sourceLinked="1"/>
        <c:majorTickMark val="out"/>
        <c:minorTickMark val="none"/>
        <c:tickLblPos val="nextTo"/>
        <c:crossAx val="-245758080"/>
        <c:crosses val="max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Variazione del momento d'inerzia della sez.</a:t>
            </a:r>
            <a:r>
              <a:rPr lang="it-IT" baseline="0"/>
              <a:t> trasversale del paramento</a:t>
            </a:r>
            <a:endParaRPr lang="it-IT"/>
          </a:p>
        </c:rich>
      </c:tx>
      <c:layout>
        <c:manualLayout>
          <c:xMode val="edge"/>
          <c:yMode val="edge"/>
          <c:x val="0.19118744531933513"/>
          <c:y val="3.703703703703704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</c:trendlineLbl>
          </c:trendline>
          <c:xVal>
            <c:numRef>
              <c:f>'SOLLECITAZ NASCOSTO'!$C$32:$C$448</c:f>
              <c:numCache>
                <c:formatCode>0.000</c:formatCode>
                <c:ptCount val="417"/>
                <c:pt idx="0">
                  <c:v>0</c:v>
                </c:pt>
                <c:pt idx="1">
                  <c:v>1.0894378827550195E-2</c:v>
                </c:pt>
                <c:pt idx="2">
                  <c:v>2.1788757655100389E-2</c:v>
                </c:pt>
                <c:pt idx="3">
                  <c:v>3.2683136482650588E-2</c:v>
                </c:pt>
                <c:pt idx="4">
                  <c:v>4.3577515310200779E-2</c:v>
                </c:pt>
                <c:pt idx="5">
                  <c:v>5.447189413775097E-2</c:v>
                </c:pt>
                <c:pt idx="6">
                  <c:v>6.5366272965301175E-2</c:v>
                </c:pt>
                <c:pt idx="7">
                  <c:v>7.6260651792851367E-2</c:v>
                </c:pt>
                <c:pt idx="8">
                  <c:v>8.7155030620401558E-2</c:v>
                </c:pt>
                <c:pt idx="9">
                  <c:v>9.8049409447951749E-2</c:v>
                </c:pt>
                <c:pt idx="10">
                  <c:v>0.10894378827550194</c:v>
                </c:pt>
                <c:pt idx="11">
                  <c:v>0.11983816710305215</c:v>
                </c:pt>
                <c:pt idx="12">
                  <c:v>0.13073254593060235</c:v>
                </c:pt>
                <c:pt idx="13">
                  <c:v>0.14162692475815253</c:v>
                </c:pt>
                <c:pt idx="14">
                  <c:v>0.15252130358570273</c:v>
                </c:pt>
                <c:pt idx="15">
                  <c:v>0.16341568241325291</c:v>
                </c:pt>
                <c:pt idx="16">
                  <c:v>0.17431006124080312</c:v>
                </c:pt>
                <c:pt idx="17">
                  <c:v>0.18520444006835332</c:v>
                </c:pt>
                <c:pt idx="18">
                  <c:v>0.1960988188959035</c:v>
                </c:pt>
                <c:pt idx="19">
                  <c:v>0.2069931977234537</c:v>
                </c:pt>
                <c:pt idx="20">
                  <c:v>0.21788757655100388</c:v>
                </c:pt>
                <c:pt idx="21">
                  <c:v>0.22878195537855409</c:v>
                </c:pt>
                <c:pt idx="22">
                  <c:v>0.23967633420610429</c:v>
                </c:pt>
                <c:pt idx="23">
                  <c:v>0.25057071303365447</c:v>
                </c:pt>
                <c:pt idx="24">
                  <c:v>0.2614650918612047</c:v>
                </c:pt>
                <c:pt idx="25">
                  <c:v>0.27235947068875488</c:v>
                </c:pt>
                <c:pt idx="26">
                  <c:v>0.28325384951630506</c:v>
                </c:pt>
                <c:pt idx="27">
                  <c:v>0.29414822834385523</c:v>
                </c:pt>
                <c:pt idx="28">
                  <c:v>0.30504260717140547</c:v>
                </c:pt>
                <c:pt idx="29">
                  <c:v>0.31593698599895564</c:v>
                </c:pt>
                <c:pt idx="30">
                  <c:v>0.32683136482650582</c:v>
                </c:pt>
                <c:pt idx="31">
                  <c:v>0.33772574365405605</c:v>
                </c:pt>
                <c:pt idx="32">
                  <c:v>0.34862012248160623</c:v>
                </c:pt>
                <c:pt idx="33">
                  <c:v>0.35951450130915641</c:v>
                </c:pt>
                <c:pt idx="34">
                  <c:v>0.37040888013670664</c:v>
                </c:pt>
                <c:pt idx="35">
                  <c:v>0.38130325896425682</c:v>
                </c:pt>
                <c:pt idx="36">
                  <c:v>0.392197637791807</c:v>
                </c:pt>
                <c:pt idx="37">
                  <c:v>0.40309201661935723</c:v>
                </c:pt>
                <c:pt idx="38">
                  <c:v>0.41398639544690741</c:v>
                </c:pt>
                <c:pt idx="39">
                  <c:v>0.42488077427445758</c:v>
                </c:pt>
                <c:pt idx="40">
                  <c:v>0.43577515310200776</c:v>
                </c:pt>
                <c:pt idx="41">
                  <c:v>0.44666953192955799</c:v>
                </c:pt>
                <c:pt idx="42">
                  <c:v>0.45756391075710817</c:v>
                </c:pt>
                <c:pt idx="43">
                  <c:v>0.46845828958465835</c:v>
                </c:pt>
                <c:pt idx="44">
                  <c:v>0.47935266841220858</c:v>
                </c:pt>
                <c:pt idx="45">
                  <c:v>0.49024704723975876</c:v>
                </c:pt>
                <c:pt idx="46">
                  <c:v>0.50114142606730894</c:v>
                </c:pt>
                <c:pt idx="47">
                  <c:v>0.51203580489485911</c:v>
                </c:pt>
                <c:pt idx="48">
                  <c:v>0.5229301837224094</c:v>
                </c:pt>
                <c:pt idx="49">
                  <c:v>0.53382456254995958</c:v>
                </c:pt>
                <c:pt idx="50">
                  <c:v>0.54471894137750976</c:v>
                </c:pt>
                <c:pt idx="51">
                  <c:v>0.55561332020505994</c:v>
                </c:pt>
                <c:pt idx="52">
                  <c:v>0.56650769903261011</c:v>
                </c:pt>
                <c:pt idx="53">
                  <c:v>0.57740207786016029</c:v>
                </c:pt>
                <c:pt idx="54">
                  <c:v>0.58829645668771047</c:v>
                </c:pt>
                <c:pt idx="55">
                  <c:v>0.59919083551526076</c:v>
                </c:pt>
                <c:pt idx="56">
                  <c:v>0.61008521434281093</c:v>
                </c:pt>
                <c:pt idx="57">
                  <c:v>0.62097959317036111</c:v>
                </c:pt>
                <c:pt idx="58">
                  <c:v>0.63187397199791129</c:v>
                </c:pt>
                <c:pt idx="59">
                  <c:v>0.64276835082546147</c:v>
                </c:pt>
                <c:pt idx="60">
                  <c:v>0.65366272965301164</c:v>
                </c:pt>
                <c:pt idx="61">
                  <c:v>0.66455710848056193</c:v>
                </c:pt>
                <c:pt idx="62">
                  <c:v>0.67545148730811211</c:v>
                </c:pt>
                <c:pt idx="63">
                  <c:v>0.68634586613566229</c:v>
                </c:pt>
                <c:pt idx="64">
                  <c:v>0.69724024496321246</c:v>
                </c:pt>
                <c:pt idx="65">
                  <c:v>0.70813462379076264</c:v>
                </c:pt>
                <c:pt idx="66">
                  <c:v>0.71902900261831282</c:v>
                </c:pt>
                <c:pt idx="67">
                  <c:v>0.729923381445863</c:v>
                </c:pt>
                <c:pt idx="68">
                  <c:v>0.74081776027341328</c:v>
                </c:pt>
                <c:pt idx="69">
                  <c:v>0.75171213910096346</c:v>
                </c:pt>
                <c:pt idx="70">
                  <c:v>0.76260651792851364</c:v>
                </c:pt>
                <c:pt idx="71">
                  <c:v>0.77350089675606382</c:v>
                </c:pt>
                <c:pt idx="72">
                  <c:v>0.78439527558361399</c:v>
                </c:pt>
                <c:pt idx="73">
                  <c:v>0.79528965441116417</c:v>
                </c:pt>
                <c:pt idx="74">
                  <c:v>0.80618403323871446</c:v>
                </c:pt>
                <c:pt idx="75">
                  <c:v>0.81707841206626464</c:v>
                </c:pt>
                <c:pt idx="76">
                  <c:v>0.82797279089381481</c:v>
                </c:pt>
                <c:pt idx="77">
                  <c:v>0.83886716972136499</c:v>
                </c:pt>
                <c:pt idx="78">
                  <c:v>0.84976154854891517</c:v>
                </c:pt>
                <c:pt idx="79">
                  <c:v>0.86065592737646535</c:v>
                </c:pt>
                <c:pt idx="80">
                  <c:v>0.87155030620401552</c:v>
                </c:pt>
                <c:pt idx="81">
                  <c:v>0.88244468503156581</c:v>
                </c:pt>
                <c:pt idx="82">
                  <c:v>0.89333906385911599</c:v>
                </c:pt>
                <c:pt idx="83">
                  <c:v>0.90423344268666617</c:v>
                </c:pt>
                <c:pt idx="84">
                  <c:v>0.91512782151421634</c:v>
                </c:pt>
                <c:pt idx="85">
                  <c:v>0.92602220034176652</c:v>
                </c:pt>
                <c:pt idx="86">
                  <c:v>0.9369165791693167</c:v>
                </c:pt>
                <c:pt idx="87">
                  <c:v>0.94781095799686699</c:v>
                </c:pt>
                <c:pt idx="88">
                  <c:v>0.95870533682441716</c:v>
                </c:pt>
                <c:pt idx="89">
                  <c:v>0.96959971565196734</c:v>
                </c:pt>
                <c:pt idx="90">
                  <c:v>0.98049409447951752</c:v>
                </c:pt>
                <c:pt idx="91">
                  <c:v>0.9913884733070677</c:v>
                </c:pt>
                <c:pt idx="92">
                  <c:v>1.0022828521346179</c:v>
                </c:pt>
                <c:pt idx="93">
                  <c:v>1.0131772309621681</c:v>
                </c:pt>
                <c:pt idx="94">
                  <c:v>1.0240716097897182</c:v>
                </c:pt>
                <c:pt idx="95">
                  <c:v>1.0349659886172684</c:v>
                </c:pt>
                <c:pt idx="96">
                  <c:v>1.0458603674448188</c:v>
                </c:pt>
                <c:pt idx="97">
                  <c:v>1.056754746272369</c:v>
                </c:pt>
                <c:pt idx="98">
                  <c:v>1.0676491250999192</c:v>
                </c:pt>
                <c:pt idx="99">
                  <c:v>1.0785435039274693</c:v>
                </c:pt>
                <c:pt idx="100">
                  <c:v>1.0894378827550195</c:v>
                </c:pt>
                <c:pt idx="101">
                  <c:v>1.1003322615825697</c:v>
                </c:pt>
                <c:pt idx="102">
                  <c:v>1.1112266404101199</c:v>
                </c:pt>
                <c:pt idx="103">
                  <c:v>1.12212101923767</c:v>
                </c:pt>
                <c:pt idx="104">
                  <c:v>1.1330153980652202</c:v>
                </c:pt>
                <c:pt idx="105">
                  <c:v>1.1439097768927704</c:v>
                </c:pt>
                <c:pt idx="106">
                  <c:v>1.1548041557203206</c:v>
                </c:pt>
                <c:pt idx="107">
                  <c:v>1.1656985345478708</c:v>
                </c:pt>
                <c:pt idx="108">
                  <c:v>1.1765929133754209</c:v>
                </c:pt>
                <c:pt idx="109">
                  <c:v>1.1874872922029713</c:v>
                </c:pt>
                <c:pt idx="110">
                  <c:v>1.1983816710305215</c:v>
                </c:pt>
                <c:pt idx="111">
                  <c:v>1.2092760498580717</c:v>
                </c:pt>
                <c:pt idx="112">
                  <c:v>1.2201704286856219</c:v>
                </c:pt>
                <c:pt idx="113">
                  <c:v>1.231064807513172</c:v>
                </c:pt>
                <c:pt idx="114">
                  <c:v>1.2419591863407222</c:v>
                </c:pt>
                <c:pt idx="115">
                  <c:v>1.2528535651682724</c:v>
                </c:pt>
                <c:pt idx="116">
                  <c:v>1.2637479439958226</c:v>
                </c:pt>
                <c:pt idx="117">
                  <c:v>1.2746423228233728</c:v>
                </c:pt>
                <c:pt idx="118">
                  <c:v>1.2855367016509229</c:v>
                </c:pt>
                <c:pt idx="119">
                  <c:v>1.2964310804784731</c:v>
                </c:pt>
                <c:pt idx="120">
                  <c:v>1.3073254593060233</c:v>
                </c:pt>
                <c:pt idx="121">
                  <c:v>1.3182198381335735</c:v>
                </c:pt>
                <c:pt idx="122">
                  <c:v>1.3291142169611239</c:v>
                </c:pt>
                <c:pt idx="123">
                  <c:v>1.340008595788674</c:v>
                </c:pt>
                <c:pt idx="124">
                  <c:v>1.3509029746162242</c:v>
                </c:pt>
                <c:pt idx="125">
                  <c:v>1.3617973534437744</c:v>
                </c:pt>
                <c:pt idx="126">
                  <c:v>1.3726917322713246</c:v>
                </c:pt>
                <c:pt idx="127">
                  <c:v>1.3835861110988747</c:v>
                </c:pt>
                <c:pt idx="128">
                  <c:v>1.3944804899264249</c:v>
                </c:pt>
                <c:pt idx="129">
                  <c:v>1.4053748687539751</c:v>
                </c:pt>
                <c:pt idx="130">
                  <c:v>1.4162692475815253</c:v>
                </c:pt>
                <c:pt idx="131">
                  <c:v>1.4271636264090755</c:v>
                </c:pt>
                <c:pt idx="132">
                  <c:v>1.4380580052366256</c:v>
                </c:pt>
                <c:pt idx="133">
                  <c:v>1.4489523840641758</c:v>
                </c:pt>
                <c:pt idx="134">
                  <c:v>1.459846762891726</c:v>
                </c:pt>
                <c:pt idx="135">
                  <c:v>1.4707411417192764</c:v>
                </c:pt>
                <c:pt idx="136">
                  <c:v>1.4816355205468266</c:v>
                </c:pt>
                <c:pt idx="137">
                  <c:v>1.4925298993743767</c:v>
                </c:pt>
                <c:pt idx="138">
                  <c:v>1.5034242782019269</c:v>
                </c:pt>
                <c:pt idx="139">
                  <c:v>1.5143186570294771</c:v>
                </c:pt>
                <c:pt idx="140">
                  <c:v>1.5252130358570273</c:v>
                </c:pt>
                <c:pt idx="141">
                  <c:v>1.5361074146845775</c:v>
                </c:pt>
                <c:pt idx="142">
                  <c:v>1.5470017935121276</c:v>
                </c:pt>
                <c:pt idx="143">
                  <c:v>1.5578961723396778</c:v>
                </c:pt>
                <c:pt idx="144">
                  <c:v>1.568790551167228</c:v>
                </c:pt>
                <c:pt idx="145">
                  <c:v>1.5796849299947782</c:v>
                </c:pt>
                <c:pt idx="146">
                  <c:v>1.5905793088223283</c:v>
                </c:pt>
                <c:pt idx="147">
                  <c:v>1.6014736876498785</c:v>
                </c:pt>
                <c:pt idx="148">
                  <c:v>1.6123680664774289</c:v>
                </c:pt>
                <c:pt idx="149">
                  <c:v>1.6232624453049791</c:v>
                </c:pt>
                <c:pt idx="150">
                  <c:v>1.6341568241325293</c:v>
                </c:pt>
                <c:pt idx="151">
                  <c:v>1.6450512029600795</c:v>
                </c:pt>
                <c:pt idx="152">
                  <c:v>1.6559455817876296</c:v>
                </c:pt>
                <c:pt idx="153">
                  <c:v>1.6668399606151798</c:v>
                </c:pt>
                <c:pt idx="154">
                  <c:v>1.67773433944273</c:v>
                </c:pt>
                <c:pt idx="155">
                  <c:v>1.6886287182702802</c:v>
                </c:pt>
                <c:pt idx="156">
                  <c:v>1.6995230970978303</c:v>
                </c:pt>
                <c:pt idx="157">
                  <c:v>1.7104174759253805</c:v>
                </c:pt>
                <c:pt idx="158">
                  <c:v>1.7213118547529307</c:v>
                </c:pt>
                <c:pt idx="159">
                  <c:v>1.7322062335804809</c:v>
                </c:pt>
                <c:pt idx="160">
                  <c:v>1.743100612408031</c:v>
                </c:pt>
                <c:pt idx="161">
                  <c:v>1.7539949912355814</c:v>
                </c:pt>
                <c:pt idx="162">
                  <c:v>1.7648893700631316</c:v>
                </c:pt>
                <c:pt idx="163">
                  <c:v>1.7757837488906818</c:v>
                </c:pt>
                <c:pt idx="164">
                  <c:v>1.786678127718232</c:v>
                </c:pt>
                <c:pt idx="165">
                  <c:v>1.7975725065457822</c:v>
                </c:pt>
                <c:pt idx="166">
                  <c:v>1.8084668853733323</c:v>
                </c:pt>
                <c:pt idx="167">
                  <c:v>1.8193612642008825</c:v>
                </c:pt>
                <c:pt idx="168">
                  <c:v>1.8302556430284327</c:v>
                </c:pt>
                <c:pt idx="169">
                  <c:v>1.8411500218559829</c:v>
                </c:pt>
                <c:pt idx="170">
                  <c:v>1.852044400683533</c:v>
                </c:pt>
                <c:pt idx="171">
                  <c:v>1.8629387795110832</c:v>
                </c:pt>
                <c:pt idx="172">
                  <c:v>1.8738331583386334</c:v>
                </c:pt>
                <c:pt idx="173">
                  <c:v>1.8847275371661838</c:v>
                </c:pt>
                <c:pt idx="174">
                  <c:v>1.895621915993734</c:v>
                </c:pt>
                <c:pt idx="175">
                  <c:v>1.9065162948212842</c:v>
                </c:pt>
                <c:pt idx="176">
                  <c:v>1.9174106736488343</c:v>
                </c:pt>
                <c:pt idx="177">
                  <c:v>1.9283050524763845</c:v>
                </c:pt>
                <c:pt idx="178">
                  <c:v>1.9391994313039347</c:v>
                </c:pt>
                <c:pt idx="179">
                  <c:v>1.9500938101314849</c:v>
                </c:pt>
                <c:pt idx="180">
                  <c:v>1.960988188959035</c:v>
                </c:pt>
                <c:pt idx="181">
                  <c:v>1.9718825677865852</c:v>
                </c:pt>
                <c:pt idx="182">
                  <c:v>1.9827769466141354</c:v>
                </c:pt>
                <c:pt idx="183">
                  <c:v>1.9936713254416856</c:v>
                </c:pt>
                <c:pt idx="184">
                  <c:v>2.0045657042692357</c:v>
                </c:pt>
                <c:pt idx="185">
                  <c:v>2.0154600830967859</c:v>
                </c:pt>
                <c:pt idx="186">
                  <c:v>2.0263544619243361</c:v>
                </c:pt>
                <c:pt idx="187">
                  <c:v>2.0372488407518863</c:v>
                </c:pt>
                <c:pt idx="188">
                  <c:v>2.0481432195794365</c:v>
                </c:pt>
                <c:pt idx="189">
                  <c:v>2.0590375984069866</c:v>
                </c:pt>
                <c:pt idx="190">
                  <c:v>2.0699319772345368</c:v>
                </c:pt>
                <c:pt idx="191">
                  <c:v>2.080826356062087</c:v>
                </c:pt>
                <c:pt idx="192">
                  <c:v>2.0917207348896376</c:v>
                </c:pt>
                <c:pt idx="193">
                  <c:v>2.1026151137171878</c:v>
                </c:pt>
                <c:pt idx="194">
                  <c:v>2.113509492544738</c:v>
                </c:pt>
                <c:pt idx="195">
                  <c:v>2.1244038713722881</c:v>
                </c:pt>
                <c:pt idx="196">
                  <c:v>2.1352982501998383</c:v>
                </c:pt>
                <c:pt idx="197">
                  <c:v>2.1461926290273885</c:v>
                </c:pt>
                <c:pt idx="198">
                  <c:v>2.1570870078549387</c:v>
                </c:pt>
                <c:pt idx="199">
                  <c:v>2.1679813866824889</c:v>
                </c:pt>
                <c:pt idx="200">
                  <c:v>2.178875765510039</c:v>
                </c:pt>
                <c:pt idx="201">
                  <c:v>2.1897701443375892</c:v>
                </c:pt>
                <c:pt idx="202">
                  <c:v>2.2006645231651394</c:v>
                </c:pt>
                <c:pt idx="203">
                  <c:v>2.2115589019926896</c:v>
                </c:pt>
                <c:pt idx="204">
                  <c:v>2.2224532808202397</c:v>
                </c:pt>
                <c:pt idx="205">
                  <c:v>2.2333476596477899</c:v>
                </c:pt>
                <c:pt idx="206">
                  <c:v>2.2442420384753401</c:v>
                </c:pt>
                <c:pt idx="207">
                  <c:v>2.2551364173028903</c:v>
                </c:pt>
                <c:pt idx="208">
                  <c:v>2.2660307961304405</c:v>
                </c:pt>
                <c:pt idx="209">
                  <c:v>2.2769251749579906</c:v>
                </c:pt>
                <c:pt idx="210">
                  <c:v>2.2878195537855408</c:v>
                </c:pt>
                <c:pt idx="211">
                  <c:v>2.298713932613091</c:v>
                </c:pt>
                <c:pt idx="212">
                  <c:v>2.3096083114406412</c:v>
                </c:pt>
                <c:pt idx="213">
                  <c:v>2.3205026902681913</c:v>
                </c:pt>
                <c:pt idx="214">
                  <c:v>2.3313970690957415</c:v>
                </c:pt>
                <c:pt idx="215">
                  <c:v>2.3422914479232917</c:v>
                </c:pt>
                <c:pt idx="216">
                  <c:v>2.3531858267508419</c:v>
                </c:pt>
                <c:pt idx="217">
                  <c:v>2.364080205578392</c:v>
                </c:pt>
                <c:pt idx="218">
                  <c:v>2.3749745844059427</c:v>
                </c:pt>
                <c:pt idx="219">
                  <c:v>2.3858689632334928</c:v>
                </c:pt>
                <c:pt idx="220">
                  <c:v>2.396763342061043</c:v>
                </c:pt>
                <c:pt idx="221">
                  <c:v>2.4076577208885932</c:v>
                </c:pt>
                <c:pt idx="222">
                  <c:v>2.4185520997161434</c:v>
                </c:pt>
                <c:pt idx="223">
                  <c:v>2.4294464785436936</c:v>
                </c:pt>
                <c:pt idx="224">
                  <c:v>2.4403408573712437</c:v>
                </c:pt>
                <c:pt idx="225">
                  <c:v>2.4512352361987939</c:v>
                </c:pt>
                <c:pt idx="226">
                  <c:v>2.4621296150263441</c:v>
                </c:pt>
                <c:pt idx="227">
                  <c:v>2.4730239938538943</c:v>
                </c:pt>
                <c:pt idx="228">
                  <c:v>2.4839183726814444</c:v>
                </c:pt>
                <c:pt idx="229">
                  <c:v>2.4948127515089946</c:v>
                </c:pt>
                <c:pt idx="230">
                  <c:v>2.5057071303365448</c:v>
                </c:pt>
                <c:pt idx="231">
                  <c:v>2.516601509164095</c:v>
                </c:pt>
                <c:pt idx="232">
                  <c:v>2.5274958879916452</c:v>
                </c:pt>
                <c:pt idx="233">
                  <c:v>2.5383902668191953</c:v>
                </c:pt>
                <c:pt idx="234">
                  <c:v>2.5492846456467455</c:v>
                </c:pt>
                <c:pt idx="235">
                  <c:v>2.5601790244742957</c:v>
                </c:pt>
                <c:pt idx="236">
                  <c:v>2.5710734033018459</c:v>
                </c:pt>
                <c:pt idx="237">
                  <c:v>2.581967782129396</c:v>
                </c:pt>
                <c:pt idx="238">
                  <c:v>2.5928621609569462</c:v>
                </c:pt>
                <c:pt idx="239">
                  <c:v>2.6037565397844964</c:v>
                </c:pt>
                <c:pt idx="240">
                  <c:v>2.6146509186120466</c:v>
                </c:pt>
                <c:pt idx="241">
                  <c:v>2.6255452974395967</c:v>
                </c:pt>
                <c:pt idx="242">
                  <c:v>2.6364396762671469</c:v>
                </c:pt>
                <c:pt idx="243">
                  <c:v>2.6473340550946971</c:v>
                </c:pt>
                <c:pt idx="244">
                  <c:v>2.6582284339222477</c:v>
                </c:pt>
                <c:pt idx="245">
                  <c:v>2.6691228127497979</c:v>
                </c:pt>
                <c:pt idx="246">
                  <c:v>2.6800171915773481</c:v>
                </c:pt>
                <c:pt idx="247">
                  <c:v>2.6909115704048983</c:v>
                </c:pt>
                <c:pt idx="248">
                  <c:v>2.7018059492324484</c:v>
                </c:pt>
                <c:pt idx="249">
                  <c:v>2.7127003280599986</c:v>
                </c:pt>
                <c:pt idx="250">
                  <c:v>2.7235947068875488</c:v>
                </c:pt>
                <c:pt idx="251">
                  <c:v>2.734489085715099</c:v>
                </c:pt>
                <c:pt idx="252">
                  <c:v>2.7453834645426491</c:v>
                </c:pt>
                <c:pt idx="253">
                  <c:v>2.7562778433701993</c:v>
                </c:pt>
                <c:pt idx="254">
                  <c:v>2.7671722221977495</c:v>
                </c:pt>
                <c:pt idx="255">
                  <c:v>2.7780666010252997</c:v>
                </c:pt>
                <c:pt idx="256">
                  <c:v>2.7889609798528499</c:v>
                </c:pt>
                <c:pt idx="257">
                  <c:v>2.7998553586804</c:v>
                </c:pt>
                <c:pt idx="258">
                  <c:v>2.8107497375079502</c:v>
                </c:pt>
                <c:pt idx="259">
                  <c:v>2.8216441163355004</c:v>
                </c:pt>
                <c:pt idx="260">
                  <c:v>2.8325384951630506</c:v>
                </c:pt>
                <c:pt idx="261">
                  <c:v>2.8434328739906007</c:v>
                </c:pt>
                <c:pt idx="262">
                  <c:v>2.8543272528181509</c:v>
                </c:pt>
                <c:pt idx="263">
                  <c:v>2.8652216316457011</c:v>
                </c:pt>
                <c:pt idx="264">
                  <c:v>2.8761160104732513</c:v>
                </c:pt>
                <c:pt idx="265">
                  <c:v>2.8870103893008014</c:v>
                </c:pt>
                <c:pt idx="266">
                  <c:v>2.8979047681283516</c:v>
                </c:pt>
                <c:pt idx="267">
                  <c:v>2.9087991469559018</c:v>
                </c:pt>
                <c:pt idx="268">
                  <c:v>2.919693525783452</c:v>
                </c:pt>
                <c:pt idx="269">
                  <c:v>2.9305879046110026</c:v>
                </c:pt>
                <c:pt idx="270">
                  <c:v>2.9414822834385528</c:v>
                </c:pt>
                <c:pt idx="271">
                  <c:v>2.952376662266103</c:v>
                </c:pt>
                <c:pt idx="272">
                  <c:v>2.9632710410936531</c:v>
                </c:pt>
                <c:pt idx="273">
                  <c:v>2.9741654199212033</c:v>
                </c:pt>
                <c:pt idx="274">
                  <c:v>2.9850597987487535</c:v>
                </c:pt>
                <c:pt idx="275">
                  <c:v>2.9959541775763037</c:v>
                </c:pt>
                <c:pt idx="276">
                  <c:v>3.0068485564038538</c:v>
                </c:pt>
                <c:pt idx="277">
                  <c:v>3.017742935231404</c:v>
                </c:pt>
                <c:pt idx="278">
                  <c:v>3.0286373140589542</c:v>
                </c:pt>
                <c:pt idx="279">
                  <c:v>3.0395316928865044</c:v>
                </c:pt>
                <c:pt idx="280">
                  <c:v>3.0504260717140546</c:v>
                </c:pt>
                <c:pt idx="281">
                  <c:v>3.0613204505416047</c:v>
                </c:pt>
                <c:pt idx="282">
                  <c:v>3.0722148293691549</c:v>
                </c:pt>
                <c:pt idx="283">
                  <c:v>3.0831092081967051</c:v>
                </c:pt>
                <c:pt idx="284">
                  <c:v>3.0940035870242553</c:v>
                </c:pt>
                <c:pt idx="285">
                  <c:v>3.1048979658518054</c:v>
                </c:pt>
                <c:pt idx="286">
                  <c:v>3.1157923446793556</c:v>
                </c:pt>
                <c:pt idx="287">
                  <c:v>3.1266867235069058</c:v>
                </c:pt>
                <c:pt idx="288">
                  <c:v>3.137581102334456</c:v>
                </c:pt>
                <c:pt idx="289">
                  <c:v>3.1484754811620062</c:v>
                </c:pt>
                <c:pt idx="290">
                  <c:v>3.1593698599895563</c:v>
                </c:pt>
                <c:pt idx="291">
                  <c:v>3.1702642388171065</c:v>
                </c:pt>
                <c:pt idx="292">
                  <c:v>3.1811586176446567</c:v>
                </c:pt>
                <c:pt idx="293">
                  <c:v>3.1920529964722069</c:v>
                </c:pt>
                <c:pt idx="294">
                  <c:v>3.202947375299757</c:v>
                </c:pt>
                <c:pt idx="295">
                  <c:v>3.2138417541273077</c:v>
                </c:pt>
                <c:pt idx="296">
                  <c:v>3.2247361329548578</c:v>
                </c:pt>
                <c:pt idx="297">
                  <c:v>3.235630511782408</c:v>
                </c:pt>
                <c:pt idx="298">
                  <c:v>3.2465248906099582</c:v>
                </c:pt>
                <c:pt idx="299">
                  <c:v>3.2574192694375084</c:v>
                </c:pt>
                <c:pt idx="300">
                  <c:v>3.2683136482650585</c:v>
                </c:pt>
                <c:pt idx="301">
                  <c:v>3.2792080270926087</c:v>
                </c:pt>
                <c:pt idx="302">
                  <c:v>3.2901024059201589</c:v>
                </c:pt>
                <c:pt idx="303">
                  <c:v>3.3009967847477091</c:v>
                </c:pt>
                <c:pt idx="304">
                  <c:v>3.3118911635752593</c:v>
                </c:pt>
                <c:pt idx="305">
                  <c:v>3.3227855424028094</c:v>
                </c:pt>
                <c:pt idx="306">
                  <c:v>3.3336799212303596</c:v>
                </c:pt>
                <c:pt idx="307">
                  <c:v>3.3445743000579098</c:v>
                </c:pt>
                <c:pt idx="308">
                  <c:v>3.35546867888546</c:v>
                </c:pt>
                <c:pt idx="309">
                  <c:v>3.3663630577130101</c:v>
                </c:pt>
                <c:pt idx="310">
                  <c:v>3.3772574365405603</c:v>
                </c:pt>
                <c:pt idx="311">
                  <c:v>3.3881518153681105</c:v>
                </c:pt>
                <c:pt idx="312">
                  <c:v>3.3990461941956607</c:v>
                </c:pt>
                <c:pt idx="313">
                  <c:v>3.4099405730232109</c:v>
                </c:pt>
                <c:pt idx="314">
                  <c:v>3.420834951850761</c:v>
                </c:pt>
                <c:pt idx="315">
                  <c:v>3.4317293306783112</c:v>
                </c:pt>
                <c:pt idx="316">
                  <c:v>3.4426237095058614</c:v>
                </c:pt>
                <c:pt idx="317">
                  <c:v>3.4535180883334116</c:v>
                </c:pt>
                <c:pt idx="318">
                  <c:v>3.4644124671609617</c:v>
                </c:pt>
                <c:pt idx="319">
                  <c:v>3.4753068459885119</c:v>
                </c:pt>
                <c:pt idx="320">
                  <c:v>3.4862012248160621</c:v>
                </c:pt>
                <c:pt idx="321">
                  <c:v>3.4970956036436127</c:v>
                </c:pt>
                <c:pt idx="322">
                  <c:v>3.5079899824711629</c:v>
                </c:pt>
                <c:pt idx="323">
                  <c:v>3.5188843612987131</c:v>
                </c:pt>
                <c:pt idx="324">
                  <c:v>3.5297787401262632</c:v>
                </c:pt>
                <c:pt idx="325">
                  <c:v>3.5406731189538134</c:v>
                </c:pt>
                <c:pt idx="326">
                  <c:v>3.5515674977813636</c:v>
                </c:pt>
                <c:pt idx="327">
                  <c:v>3.5624618766089138</c:v>
                </c:pt>
                <c:pt idx="328">
                  <c:v>3.573356255436464</c:v>
                </c:pt>
                <c:pt idx="329">
                  <c:v>3.5842506342640141</c:v>
                </c:pt>
                <c:pt idx="330">
                  <c:v>3.5951450130915643</c:v>
                </c:pt>
                <c:pt idx="331">
                  <c:v>3.6060393919191145</c:v>
                </c:pt>
                <c:pt idx="332">
                  <c:v>3.6169337707466647</c:v>
                </c:pt>
                <c:pt idx="333">
                  <c:v>3.6278281495742148</c:v>
                </c:pt>
                <c:pt idx="334">
                  <c:v>3.638722528401765</c:v>
                </c:pt>
                <c:pt idx="335">
                  <c:v>3.6496169072293152</c:v>
                </c:pt>
                <c:pt idx="336">
                  <c:v>3.6605112860568654</c:v>
                </c:pt>
                <c:pt idx="337">
                  <c:v>3.6714056648844156</c:v>
                </c:pt>
                <c:pt idx="338">
                  <c:v>3.6823000437119657</c:v>
                </c:pt>
                <c:pt idx="339">
                  <c:v>3.6931944225395159</c:v>
                </c:pt>
                <c:pt idx="340">
                  <c:v>3.7040888013670661</c:v>
                </c:pt>
                <c:pt idx="341">
                  <c:v>3.7149831801946163</c:v>
                </c:pt>
                <c:pt idx="342">
                  <c:v>3.7258775590221664</c:v>
                </c:pt>
                <c:pt idx="343">
                  <c:v>3.7367719378497166</c:v>
                </c:pt>
                <c:pt idx="344">
                  <c:v>3.7476663166772668</c:v>
                </c:pt>
                <c:pt idx="345">
                  <c:v>3.758560695504817</c:v>
                </c:pt>
                <c:pt idx="346">
                  <c:v>3.7694550743323676</c:v>
                </c:pt>
                <c:pt idx="347">
                  <c:v>3.7803494531599178</c:v>
                </c:pt>
                <c:pt idx="348">
                  <c:v>3.7912438319874679</c:v>
                </c:pt>
                <c:pt idx="349">
                  <c:v>3.8021382108150181</c:v>
                </c:pt>
                <c:pt idx="350">
                  <c:v>3.8130325896425683</c:v>
                </c:pt>
                <c:pt idx="351">
                  <c:v>3.8239269684701185</c:v>
                </c:pt>
                <c:pt idx="352">
                  <c:v>3.8348213472976687</c:v>
                </c:pt>
                <c:pt idx="353">
                  <c:v>3.8457157261252188</c:v>
                </c:pt>
                <c:pt idx="354">
                  <c:v>3.856610104952769</c:v>
                </c:pt>
                <c:pt idx="355">
                  <c:v>3.8675044837803192</c:v>
                </c:pt>
                <c:pt idx="356">
                  <c:v>3.8783988626078694</c:v>
                </c:pt>
                <c:pt idx="357">
                  <c:v>3.8892932414354195</c:v>
                </c:pt>
                <c:pt idx="358">
                  <c:v>3.9001876202629697</c:v>
                </c:pt>
                <c:pt idx="359">
                  <c:v>3.9110819990905199</c:v>
                </c:pt>
                <c:pt idx="360">
                  <c:v>3.9219763779180701</c:v>
                </c:pt>
                <c:pt idx="361">
                  <c:v>3.9328707567456203</c:v>
                </c:pt>
                <c:pt idx="362">
                  <c:v>3.9437651355731704</c:v>
                </c:pt>
                <c:pt idx="363">
                  <c:v>3.9546595144007206</c:v>
                </c:pt>
                <c:pt idx="364">
                  <c:v>3.9655538932282708</c:v>
                </c:pt>
                <c:pt idx="365">
                  <c:v>3.976448272055821</c:v>
                </c:pt>
                <c:pt idx="366">
                  <c:v>3.9873426508833711</c:v>
                </c:pt>
                <c:pt idx="367">
                  <c:v>3.9982370297109213</c:v>
                </c:pt>
                <c:pt idx="368">
                  <c:v>4.0091314085384715</c:v>
                </c:pt>
                <c:pt idx="369">
                  <c:v>4.0200257873660217</c:v>
                </c:pt>
                <c:pt idx="370">
                  <c:v>4.0309201661935719</c:v>
                </c:pt>
                <c:pt idx="371">
                  <c:v>4.041814545021122</c:v>
                </c:pt>
                <c:pt idx="372">
                  <c:v>4.0527089238486722</c:v>
                </c:pt>
                <c:pt idx="373">
                  <c:v>4.0636033026762224</c:v>
                </c:pt>
                <c:pt idx="374">
                  <c:v>4.0744976815037726</c:v>
                </c:pt>
                <c:pt idx="375">
                  <c:v>4.0853920603313227</c:v>
                </c:pt>
                <c:pt idx="376">
                  <c:v>4.0962864391588729</c:v>
                </c:pt>
                <c:pt idx="377">
                  <c:v>4.1071808179864231</c:v>
                </c:pt>
                <c:pt idx="378">
                  <c:v>4.1180751968139733</c:v>
                </c:pt>
                <c:pt idx="379">
                  <c:v>4.1289695756415234</c:v>
                </c:pt>
                <c:pt idx="380">
                  <c:v>4.1398639544690736</c:v>
                </c:pt>
                <c:pt idx="381">
                  <c:v>4.1507583332966238</c:v>
                </c:pt>
                <c:pt idx="382">
                  <c:v>4.161652712124174</c:v>
                </c:pt>
                <c:pt idx="383">
                  <c:v>4.1725470909517242</c:v>
                </c:pt>
                <c:pt idx="384">
                  <c:v>4.1834414697792752</c:v>
                </c:pt>
                <c:pt idx="385">
                  <c:v>4.1943358486068254</c:v>
                </c:pt>
                <c:pt idx="386">
                  <c:v>4.2052302274343756</c:v>
                </c:pt>
                <c:pt idx="387">
                  <c:v>4.2161246062619258</c:v>
                </c:pt>
                <c:pt idx="388">
                  <c:v>4.2270189850894759</c:v>
                </c:pt>
                <c:pt idx="389">
                  <c:v>4.2379133639170261</c:v>
                </c:pt>
                <c:pt idx="390">
                  <c:v>4.2488077427445763</c:v>
                </c:pt>
                <c:pt idx="391">
                  <c:v>4.2597021215721265</c:v>
                </c:pt>
                <c:pt idx="392">
                  <c:v>4.2705965003996766</c:v>
                </c:pt>
                <c:pt idx="393">
                  <c:v>4.2814908792272268</c:v>
                </c:pt>
                <c:pt idx="394">
                  <c:v>4.292385258054777</c:v>
                </c:pt>
                <c:pt idx="395">
                  <c:v>4.3032796368823272</c:v>
                </c:pt>
                <c:pt idx="396">
                  <c:v>4.3141740157098774</c:v>
                </c:pt>
                <c:pt idx="397">
                  <c:v>4.3250683945374275</c:v>
                </c:pt>
                <c:pt idx="398">
                  <c:v>4.3359627733649777</c:v>
                </c:pt>
                <c:pt idx="399">
                  <c:v>4.3468571521925279</c:v>
                </c:pt>
                <c:pt idx="400">
                  <c:v>4.3577515310200781</c:v>
                </c:pt>
                <c:pt idx="401">
                  <c:v>4.3686459098476282</c:v>
                </c:pt>
                <c:pt idx="402">
                  <c:v>4.3795402886751784</c:v>
                </c:pt>
                <c:pt idx="403">
                  <c:v>4.3904346675027286</c:v>
                </c:pt>
                <c:pt idx="404">
                  <c:v>4.4013290463302788</c:v>
                </c:pt>
                <c:pt idx="405">
                  <c:v>4.4122234251578289</c:v>
                </c:pt>
                <c:pt idx="406">
                  <c:v>4.4231178039853791</c:v>
                </c:pt>
                <c:pt idx="407">
                  <c:v>4.4340121828129293</c:v>
                </c:pt>
                <c:pt idx="408">
                  <c:v>4.4449065616404795</c:v>
                </c:pt>
                <c:pt idx="409">
                  <c:v>4.4558009404680297</c:v>
                </c:pt>
                <c:pt idx="410">
                  <c:v>4.4666953192955798</c:v>
                </c:pt>
                <c:pt idx="411">
                  <c:v>4.47758969812313</c:v>
                </c:pt>
                <c:pt idx="412">
                  <c:v>4.4884840769506802</c:v>
                </c:pt>
                <c:pt idx="413">
                  <c:v>4.4993784557782304</c:v>
                </c:pt>
                <c:pt idx="414">
                  <c:v>4.5102728346057805</c:v>
                </c:pt>
                <c:pt idx="415">
                  <c:v>4.5211672134333307</c:v>
                </c:pt>
                <c:pt idx="416">
                  <c:v>4.5320615922608809</c:v>
                </c:pt>
              </c:numCache>
            </c:numRef>
          </c:xVal>
          <c:yVal>
            <c:numRef>
              <c:f>'SOLLECITAZ NASCOSTO'!$K$32:$K$448</c:f>
              <c:numCache>
                <c:formatCode>0.000000</c:formatCode>
                <c:ptCount val="417"/>
                <c:pt idx="0">
                  <c:v>6.476563629178398E-4</c:v>
                </c:pt>
                <c:pt idx="1">
                  <c:v>6.5729762552412126E-4</c:v>
                </c:pt>
                <c:pt idx="2">
                  <c:v>6.6712884687408964E-4</c:v>
                </c:pt>
                <c:pt idx="3">
                  <c:v>6.7715163184097924E-4</c:v>
                </c:pt>
                <c:pt idx="4">
                  <c:v>6.8736757929292454E-4</c:v>
                </c:pt>
                <c:pt idx="5">
                  <c:v>6.9777828213867096E-4</c:v>
                </c:pt>
                <c:pt idx="6">
                  <c:v>7.0838532737286229E-4</c:v>
                </c:pt>
                <c:pt idx="7">
                  <c:v>7.1919029612092203E-4</c:v>
                </c:pt>
                <c:pt idx="8">
                  <c:v>7.3019476368352016E-4</c:v>
                </c:pt>
                <c:pt idx="9">
                  <c:v>7.414002995806433E-4</c:v>
                </c:pt>
                <c:pt idx="10">
                  <c:v>7.5280846759525949E-4</c:v>
                </c:pt>
                <c:pt idx="11">
                  <c:v>7.6442082581659038E-4</c:v>
                </c:pt>
                <c:pt idx="12">
                  <c:v>7.7623892668299244E-4</c:v>
                </c:pt>
                <c:pt idx="13">
                  <c:v>7.882643170244502E-4</c:v>
                </c:pt>
                <c:pt idx="14">
                  <c:v>8.0049853810468881E-4</c:v>
                </c:pt>
                <c:pt idx="15">
                  <c:v>8.1294312566290261E-4</c:v>
                </c:pt>
                <c:pt idx="16">
                  <c:v>8.2559960995511636E-4</c:v>
                </c:pt>
                <c:pt idx="17">
                  <c:v>8.3846951579516905E-4</c:v>
                </c:pt>
                <c:pt idx="18">
                  <c:v>8.5155436259533356E-4</c:v>
                </c:pt>
                <c:pt idx="19">
                  <c:v>8.6485566440657195E-4</c:v>
                </c:pt>
                <c:pt idx="20">
                  <c:v>8.7837492995843417E-4</c:v>
                </c:pt>
                <c:pt idx="21">
                  <c:v>8.9211366269859461E-4</c:v>
                </c:pt>
                <c:pt idx="22">
                  <c:v>9.0607336083204444E-4</c:v>
                </c:pt>
                <c:pt idx="23">
                  <c:v>9.2025551735993064E-4</c:v>
                </c:pt>
                <c:pt idx="24">
                  <c:v>9.3466162011804951E-4</c:v>
                </c:pt>
                <c:pt idx="25">
                  <c:v>9.492931518150045E-4</c:v>
                </c:pt>
                <c:pt idx="26">
                  <c:v>9.6415159007001922E-4</c:v>
                </c:pt>
                <c:pt idx="27">
                  <c:v>9.7923840745042226E-4</c:v>
                </c:pt>
                <c:pt idx="28">
                  <c:v>9.9455507150879655E-4</c:v>
                </c:pt>
                <c:pt idx="29">
                  <c:v>1.0101030448198059E-3</c:v>
                </c:pt>
                <c:pt idx="30">
                  <c:v>1.0258837850166938E-3</c:v>
                </c:pt>
                <c:pt idx="31">
                  <c:v>1.0418987448274609E-3</c:v>
                </c:pt>
                <c:pt idx="32">
                  <c:v>1.0581493721107313E-3</c:v>
                </c:pt>
                <c:pt idx="33">
                  <c:v>1.0746371098912968E-3</c:v>
                </c:pt>
                <c:pt idx="34">
                  <c:v>1.0913633963953572E-3</c:v>
                </c:pt>
                <c:pt idx="35">
                  <c:v>1.1083296650854445E-3</c:v>
                </c:pt>
                <c:pt idx="36">
                  <c:v>1.1255373446950518E-3</c:v>
                </c:pt>
                <c:pt idx="37">
                  <c:v>1.1429878592629557E-3</c:v>
                </c:pt>
                <c:pt idx="38">
                  <c:v>1.1606826281672369E-3</c:v>
                </c:pt>
                <c:pt idx="39">
                  <c:v>1.1786230661590146E-3</c:v>
                </c:pt>
                <c:pt idx="40">
                  <c:v>1.1968105833958791E-3</c:v>
                </c:pt>
                <c:pt idx="41">
                  <c:v>1.2152465854750401E-3</c:v>
                </c:pt>
                <c:pt idx="42">
                  <c:v>1.2339324734661858E-3</c:v>
                </c:pt>
                <c:pt idx="43">
                  <c:v>1.2528696439440617E-3</c:v>
                </c:pt>
                <c:pt idx="44">
                  <c:v>1.2720594890207647E-3</c:v>
                </c:pt>
                <c:pt idx="45">
                  <c:v>1.2915033963777607E-3</c:v>
                </c:pt>
                <c:pt idx="46">
                  <c:v>1.3112027492976266E-3</c:v>
                </c:pt>
                <c:pt idx="47">
                  <c:v>1.3311589266955227E-3</c:v>
                </c:pt>
                <c:pt idx="48">
                  <c:v>1.3513733031503903E-3</c:v>
                </c:pt>
                <c:pt idx="49">
                  <c:v>1.3718472489358839E-3</c:v>
                </c:pt>
                <c:pt idx="50">
                  <c:v>1.392582130051044E-3</c:v>
                </c:pt>
                <c:pt idx="51">
                  <c:v>1.4135793082506987E-3</c:v>
                </c:pt>
                <c:pt idx="52">
                  <c:v>1.4348401410756162E-3</c:v>
                </c:pt>
                <c:pt idx="53">
                  <c:v>1.4563659818823921E-3</c:v>
                </c:pt>
                <c:pt idx="54">
                  <c:v>1.4781581798730872E-3</c:v>
                </c:pt>
                <c:pt idx="55">
                  <c:v>1.5002180801246151E-3</c:v>
                </c:pt>
                <c:pt idx="56">
                  <c:v>1.5225470236178754E-3</c:v>
                </c:pt>
                <c:pt idx="57">
                  <c:v>1.5451463472666456E-3</c:v>
                </c:pt>
                <c:pt idx="58">
                  <c:v>1.5680173839462263E-3</c:v>
                </c:pt>
                <c:pt idx="59">
                  <c:v>1.591161462521844E-3</c:v>
                </c:pt>
                <c:pt idx="60">
                  <c:v>1.6145799078768168E-3</c:v>
                </c:pt>
                <c:pt idx="61">
                  <c:v>1.6382740409404803E-3</c:v>
                </c:pt>
                <c:pt idx="62">
                  <c:v>1.6622451787158829E-3</c:v>
                </c:pt>
                <c:pt idx="63">
                  <c:v>1.6864946343072402E-3</c:v>
                </c:pt>
                <c:pt idx="64">
                  <c:v>1.7110237169471743E-3</c:v>
                </c:pt>
                <c:pt idx="65">
                  <c:v>1.7358337320237068E-3</c:v>
                </c:pt>
                <c:pt idx="66">
                  <c:v>1.7609259811070424E-3</c:v>
                </c:pt>
                <c:pt idx="67">
                  <c:v>1.7863017619761164E-3</c:v>
                </c:pt>
                <c:pt idx="68">
                  <c:v>1.8119623686449308E-3</c:v>
                </c:pt>
                <c:pt idx="69">
                  <c:v>1.8379090913886635E-3</c:v>
                </c:pt>
                <c:pt idx="70">
                  <c:v>1.8641432167695667E-3</c:v>
                </c:pt>
                <c:pt idx="71">
                  <c:v>1.8906660276626437E-3</c:v>
                </c:pt>
                <c:pt idx="72">
                  <c:v>1.9174788032811211E-3</c:v>
                </c:pt>
                <c:pt idx="73">
                  <c:v>1.9445828192017059E-3</c:v>
                </c:pt>
                <c:pt idx="74">
                  <c:v>1.9719793473896275E-3</c:v>
                </c:pt>
                <c:pt idx="75">
                  <c:v>1.9996696562234848E-3</c:v>
                </c:pt>
                <c:pt idx="76">
                  <c:v>2.0276550105198816E-3</c:v>
                </c:pt>
                <c:pt idx="77">
                  <c:v>2.0559366715578618E-3</c:v>
                </c:pt>
                <c:pt idx="78">
                  <c:v>2.0845158971031382E-3</c:v>
                </c:pt>
                <c:pt idx="79">
                  <c:v>2.1133939414321296E-3</c:v>
                </c:pt>
                <c:pt idx="80">
                  <c:v>2.1425720553558004E-3</c:v>
                </c:pt>
                <c:pt idx="81">
                  <c:v>2.1720514862432969E-3</c:v>
                </c:pt>
                <c:pt idx="82">
                  <c:v>2.2018334780454021E-3</c:v>
                </c:pt>
                <c:pt idx="83">
                  <c:v>2.2319192713177831E-3</c:v>
                </c:pt>
                <c:pt idx="84">
                  <c:v>2.262310103244073E-3</c:v>
                </c:pt>
                <c:pt idx="85">
                  <c:v>2.2930072076587375E-3</c:v>
                </c:pt>
                <c:pt idx="86">
                  <c:v>2.324011815069776E-3</c:v>
                </c:pt>
                <c:pt idx="87">
                  <c:v>2.3553251526812306E-3</c:v>
                </c:pt>
                <c:pt idx="88">
                  <c:v>2.3869484444155073E-3</c:v>
                </c:pt>
                <c:pt idx="89">
                  <c:v>2.4188829109355325E-3</c:v>
                </c:pt>
                <c:pt idx="90">
                  <c:v>2.4511297696667086E-3</c:v>
                </c:pt>
                <c:pt idx="91">
                  <c:v>2.4836902348187107E-3</c:v>
                </c:pt>
                <c:pt idx="92">
                  <c:v>2.5165655174070991E-3</c:v>
                </c:pt>
                <c:pt idx="93">
                  <c:v>2.5497568252747559E-3</c:v>
                </c:pt>
                <c:pt idx="94">
                  <c:v>2.5832653631131597E-3</c:v>
                </c:pt>
                <c:pt idx="95">
                  <c:v>2.617092332483474E-3</c:v>
                </c:pt>
                <c:pt idx="96">
                  <c:v>2.6512389318374793E-3</c:v>
                </c:pt>
                <c:pt idx="97">
                  <c:v>2.6857063565383288E-3</c:v>
                </c:pt>
                <c:pt idx="98">
                  <c:v>2.7204957988811482E-3</c:v>
                </c:pt>
                <c:pt idx="99">
                  <c:v>2.7556084481134553E-3</c:v>
                </c:pt>
                <c:pt idx="100">
                  <c:v>2.7910454904554348E-3</c:v>
                </c:pt>
                <c:pt idx="101">
                  <c:v>2.8268081091200399E-3</c:v>
                </c:pt>
                <c:pt idx="102">
                  <c:v>2.862897484332935E-3</c:v>
                </c:pt>
                <c:pt idx="103">
                  <c:v>2.8993147933522798E-3</c:v>
                </c:pt>
                <c:pt idx="104">
                  <c:v>2.9360612104883626E-3</c:v>
                </c:pt>
                <c:pt idx="105">
                  <c:v>2.9731379071230735E-3</c:v>
                </c:pt>
                <c:pt idx="106">
                  <c:v>3.0105460517292188E-3</c:v>
                </c:pt>
                <c:pt idx="107">
                  <c:v>3.0482868098896925E-3</c:v>
                </c:pt>
                <c:pt idx="108">
                  <c:v>3.0863613443164843E-3</c:v>
                </c:pt>
                <c:pt idx="109">
                  <c:v>3.1247708148695549E-3</c:v>
                </c:pt>
                <c:pt idx="110">
                  <c:v>3.1635163785755449E-3</c:v>
                </c:pt>
                <c:pt idx="111">
                  <c:v>3.2025991896463464E-3</c:v>
                </c:pt>
                <c:pt idx="112">
                  <c:v>3.2420203994975214E-3</c:v>
                </c:pt>
                <c:pt idx="113">
                  <c:v>3.2817811567665946E-3</c:v>
                </c:pt>
                <c:pt idx="114">
                  <c:v>3.3218826073311714E-3</c:v>
                </c:pt>
                <c:pt idx="115">
                  <c:v>3.3623258943269439E-3</c:v>
                </c:pt>
                <c:pt idx="116">
                  <c:v>3.4031121581655386E-3</c:v>
                </c:pt>
                <c:pt idx="117">
                  <c:v>3.4442425365522377E-3</c:v>
                </c:pt>
                <c:pt idx="118">
                  <c:v>3.4857181645035424E-3</c:v>
                </c:pt>
                <c:pt idx="119">
                  <c:v>3.5275401743646243E-3</c:v>
                </c:pt>
                <c:pt idx="120">
                  <c:v>3.5697096958266198E-3</c:v>
                </c:pt>
                <c:pt idx="121">
                  <c:v>3.6122278559438071E-3</c:v>
                </c:pt>
                <c:pt idx="122">
                  <c:v>3.6550957791506352E-3</c:v>
                </c:pt>
                <c:pt idx="123">
                  <c:v>3.6983145872786301E-3</c:v>
                </c:pt>
                <c:pt idx="124">
                  <c:v>3.7418853995731761E-3</c:v>
                </c:pt>
                <c:pt idx="125">
                  <c:v>3.7858093327101461E-3</c:v>
                </c:pt>
                <c:pt idx="126">
                  <c:v>3.8300875008124304E-3</c:v>
                </c:pt>
                <c:pt idx="127">
                  <c:v>3.8747210154663082E-3</c:v>
                </c:pt>
                <c:pt idx="128">
                  <c:v>3.9197109857377378E-3</c:v>
                </c:pt>
                <c:pt idx="129">
                  <c:v>3.965058518188457E-3</c:v>
                </c:pt>
                <c:pt idx="130">
                  <c:v>4.0107647168920284E-3</c:v>
                </c:pt>
                <c:pt idx="131">
                  <c:v>4.0568306834497178E-3</c:v>
                </c:pt>
                <c:pt idx="132">
                  <c:v>4.1032575170062563E-3</c:v>
                </c:pt>
                <c:pt idx="133">
                  <c:v>4.1500463142655026E-3</c:v>
                </c:pt>
                <c:pt idx="134">
                  <c:v>4.197198169505964E-3</c:v>
                </c:pt>
                <c:pt idx="135">
                  <c:v>4.2447141745962074E-3</c:v>
                </c:pt>
                <c:pt idx="136">
                  <c:v>4.292595419010151E-3</c:v>
                </c:pt>
                <c:pt idx="137">
                  <c:v>4.3408429898422474E-3</c:v>
                </c:pt>
                <c:pt idx="138">
                  <c:v>4.3894579718225446E-3</c:v>
                </c:pt>
                <c:pt idx="139">
                  <c:v>4.4384414473316253E-3</c:v>
                </c:pt>
                <c:pt idx="140">
                  <c:v>4.4877944964154511E-3</c:v>
                </c:pt>
                <c:pt idx="141">
                  <c:v>4.5375181968000814E-3</c:v>
                </c:pt>
                <c:pt idx="142">
                  <c:v>4.5876136239062747E-3</c:v>
                </c:pt>
                <c:pt idx="143">
                  <c:v>4.63808185086401E-3</c:v>
                </c:pt>
                <c:pt idx="144">
                  <c:v>4.6889239485268519E-3</c:v>
                </c:pt>
                <c:pt idx="145">
                  <c:v>4.7401409854862537E-3</c:v>
                </c:pt>
                <c:pt idx="146">
                  <c:v>4.7917340280857271E-3</c:v>
                </c:pt>
                <c:pt idx="147">
                  <c:v>4.8437041404349058E-3</c:v>
                </c:pt>
                <c:pt idx="148">
                  <c:v>4.8960523844235205E-3</c:v>
                </c:pt>
                <c:pt idx="149">
                  <c:v>4.9487798197352358E-3</c:v>
                </c:pt>
                <c:pt idx="150">
                  <c:v>5.00188750386143E-3</c:v>
                </c:pt>
                <c:pt idx="151">
                  <c:v>5.0553764921148362E-3</c:v>
                </c:pt>
                <c:pt idx="152">
                  <c:v>5.1092478376430911E-3</c:v>
                </c:pt>
                <c:pt idx="153">
                  <c:v>5.1635025914421873E-3</c:v>
                </c:pt>
                <c:pt idx="154">
                  <c:v>5.2181418023698224E-3</c:v>
                </c:pt>
                <c:pt idx="155">
                  <c:v>5.2731665171586468E-3</c:v>
                </c:pt>
                <c:pt idx="156">
                  <c:v>5.3285777804294217E-3</c:v>
                </c:pt>
                <c:pt idx="157">
                  <c:v>5.3843766347040582E-3</c:v>
                </c:pt>
                <c:pt idx="158">
                  <c:v>5.4405641204185997E-3</c:v>
                </c:pt>
                <c:pt idx="159">
                  <c:v>5.4971412759360549E-3</c:v>
                </c:pt>
                <c:pt idx="160">
                  <c:v>5.5541091375591826E-3</c:v>
                </c:pt>
                <c:pt idx="161">
                  <c:v>5.6114687395431607E-3</c:v>
                </c:pt>
                <c:pt idx="162">
                  <c:v>5.6692211141081668E-3</c:v>
                </c:pt>
                <c:pt idx="163">
                  <c:v>5.7273672914518493E-3</c:v>
                </c:pt>
                <c:pt idx="164">
                  <c:v>5.7859082997617512E-3</c:v>
                </c:pt>
                <c:pt idx="165">
                  <c:v>5.8448451652275725E-3</c:v>
                </c:pt>
                <c:pt idx="166">
                  <c:v>5.9041789120534262E-3</c:v>
                </c:pt>
                <c:pt idx="167">
                  <c:v>5.9639105624699302E-3</c:v>
                </c:pt>
                <c:pt idx="168">
                  <c:v>6.0240411367462601E-3</c:v>
                </c:pt>
                <c:pt idx="169">
                  <c:v>6.0845716532020901E-3</c:v>
                </c:pt>
                <c:pt idx="170">
                  <c:v>6.1455031282194464E-3</c:v>
                </c:pt>
                <c:pt idx="171">
                  <c:v>6.2068365762544923E-3</c:v>
                </c:pt>
                <c:pt idx="172">
                  <c:v>6.2685730098492104E-3</c:v>
                </c:pt>
                <c:pt idx="173">
                  <c:v>6.3307134396429947E-3</c:v>
                </c:pt>
                <c:pt idx="174">
                  <c:v>6.3932588743841872E-3</c:v>
                </c:pt>
                <c:pt idx="175">
                  <c:v>6.4562103209415056E-3</c:v>
                </c:pt>
                <c:pt idx="176">
                  <c:v>6.5195687843153842E-3</c:v>
                </c:pt>
                <c:pt idx="177">
                  <c:v>6.5833352676492622E-3</c:v>
                </c:pt>
                <c:pt idx="178">
                  <c:v>6.6475107722407528E-3</c:v>
                </c:pt>
                <c:pt idx="179">
                  <c:v>6.7120962975527739E-3</c:v>
                </c:pt>
                <c:pt idx="180">
                  <c:v>6.7770928412245364E-3</c:v>
                </c:pt>
                <c:pt idx="181">
                  <c:v>6.8425013990825395E-3</c:v>
                </c:pt>
                <c:pt idx="182">
                  <c:v>6.9083229651514047E-3</c:v>
                </c:pt>
                <c:pt idx="183">
                  <c:v>6.9745585316646876E-3</c:v>
                </c:pt>
                <c:pt idx="184">
                  <c:v>7.041209089075573E-3</c:v>
                </c:pt>
                <c:pt idx="185">
                  <c:v>7.1082756260675249E-3</c:v>
                </c:pt>
                <c:pt idx="186">
                  <c:v>7.1757591295648435E-3</c:v>
                </c:pt>
                <c:pt idx="187">
                  <c:v>7.2436605847431496E-3</c:v>
                </c:pt>
                <c:pt idx="188">
                  <c:v>7.3119809750397946E-3</c:v>
                </c:pt>
                <c:pt idx="189">
                  <c:v>7.3807212821641877E-3</c:v>
                </c:pt>
                <c:pt idx="190">
                  <c:v>7.4498824861080788E-3</c:v>
                </c:pt>
                <c:pt idx="191">
                  <c:v>7.5194655651557325E-3</c:v>
                </c:pt>
                <c:pt idx="192">
                  <c:v>7.5894714958940381E-3</c:v>
                </c:pt>
                <c:pt idx="193">
                  <c:v>7.659901253222569E-3</c:v>
                </c:pt>
                <c:pt idx="194">
                  <c:v>7.7307558103635564E-3</c:v>
                </c:pt>
                <c:pt idx="195">
                  <c:v>7.8020361388717744E-3</c:v>
                </c:pt>
                <c:pt idx="196">
                  <c:v>7.8737432086443942E-3</c:v>
                </c:pt>
                <c:pt idx="197">
                  <c:v>7.9458779879307342E-3</c:v>
                </c:pt>
                <c:pt idx="198">
                  <c:v>8.018441443341958E-3</c:v>
                </c:pt>
                <c:pt idx="199">
                  <c:v>8.0914345398607011E-3</c:v>
                </c:pt>
                <c:pt idx="200">
                  <c:v>8.1648582408506334E-3</c:v>
                </c:pt>
                <c:pt idx="201">
                  <c:v>8.2387135080659261E-3</c:v>
                </c:pt>
                <c:pt idx="202">
                  <c:v>8.3130013016607142E-3</c:v>
                </c:pt>
                <c:pt idx="203">
                  <c:v>8.3877225801984277E-3</c:v>
                </c:pt>
                <c:pt idx="204">
                  <c:v>8.4628783006610933E-3</c:v>
                </c:pt>
                <c:pt idx="205">
                  <c:v>8.5384694184585594E-3</c:v>
                </c:pt>
                <c:pt idx="206">
                  <c:v>8.6144968874376573E-3</c:v>
                </c:pt>
                <c:pt idx="207">
                  <c:v>8.6909616598913088E-3</c:v>
                </c:pt>
                <c:pt idx="208">
                  <c:v>8.7678646865675461E-3</c:v>
                </c:pt>
                <c:pt idx="209">
                  <c:v>8.8452069166785087E-3</c:v>
                </c:pt>
                <c:pt idx="210">
                  <c:v>8.922989297909311E-3</c:v>
                </c:pt>
                <c:pt idx="211">
                  <c:v>9.0012127764269416E-3</c:v>
                </c:pt>
                <c:pt idx="212">
                  <c:v>9.0798782968890199E-3</c:v>
                </c:pt>
                <c:pt idx="213">
                  <c:v>9.1589868024525255E-3</c:v>
                </c:pt>
                <c:pt idx="214">
                  <c:v>9.2385392347824648E-3</c:v>
                </c:pt>
                <c:pt idx="215">
                  <c:v>9.3185365340604769E-3</c:v>
                </c:pt>
                <c:pt idx="216">
                  <c:v>9.3989796389933773E-3</c:v>
                </c:pt>
                <c:pt idx="217">
                  <c:v>9.4798694868216474E-3</c:v>
                </c:pt>
                <c:pt idx="218">
                  <c:v>9.5612070133278756E-3</c:v>
                </c:pt>
                <c:pt idx="219">
                  <c:v>9.6429931528450794E-3</c:v>
                </c:pt>
                <c:pt idx="220">
                  <c:v>9.7252288382650848E-3</c:v>
                </c:pt>
                <c:pt idx="221">
                  <c:v>9.8079150010467325E-3</c:v>
                </c:pt>
                <c:pt idx="222">
                  <c:v>9.8910525712241106E-3</c:v>
                </c:pt>
                <c:pt idx="223">
                  <c:v>9.9746424774146379E-3</c:v>
                </c:pt>
                <c:pt idx="224">
                  <c:v>1.0058685646827241E-2</c:v>
                </c:pt>
                <c:pt idx="225">
                  <c:v>1.0143183005270303E-2</c:v>
                </c:pt>
                <c:pt idx="226">
                  <c:v>1.0228135477159693E-2</c:v>
                </c:pt>
                <c:pt idx="227">
                  <c:v>1.0313543985526651E-2</c:v>
                </c:pt>
                <c:pt idx="228">
                  <c:v>1.0399409452025693E-2</c:v>
                </c:pt>
                <c:pt idx="229">
                  <c:v>1.0485732796942388E-2</c:v>
                </c:pt>
                <c:pt idx="230">
                  <c:v>1.0572514939201152E-2</c:v>
                </c:pt>
                <c:pt idx="231">
                  <c:v>1.0659756796372918E-2</c:v>
                </c:pt>
                <c:pt idx="232">
                  <c:v>1.0747459284682846E-2</c:v>
                </c:pt>
                <c:pt idx="233">
                  <c:v>1.0835623319017874E-2</c:v>
                </c:pt>
                <c:pt idx="234">
                  <c:v>1.0924249812934302E-2</c:v>
                </c:pt>
                <c:pt idx="235">
                  <c:v>1.1013339678665288E-2</c:v>
                </c:pt>
                <c:pt idx="236">
                  <c:v>1.1102893827128287E-2</c:v>
                </c:pt>
                <c:pt idx="237">
                  <c:v>1.1192913167932472E-2</c:v>
                </c:pt>
                <c:pt idx="238">
                  <c:v>1.1283398609386059E-2</c:v>
                </c:pt>
                <c:pt idx="239">
                  <c:v>1.1374351058503646E-2</c:v>
                </c:pt>
                <c:pt idx="240">
                  <c:v>1.146577142101341E-2</c:v>
                </c:pt>
                <c:pt idx="241">
                  <c:v>1.1557660601364362E-2</c:v>
                </c:pt>
                <c:pt idx="242">
                  <c:v>1.1650019502733484E-2</c:v>
                </c:pt>
                <c:pt idx="243">
                  <c:v>1.1742849027032832E-2</c:v>
                </c:pt>
                <c:pt idx="244">
                  <c:v>1.1836150074916599E-2</c:v>
                </c:pt>
                <c:pt idx="245">
                  <c:v>1.1929923545788109E-2</c:v>
                </c:pt>
                <c:pt idx="246">
                  <c:v>1.202417033780682E-2</c:v>
                </c:pt>
                <c:pt idx="247">
                  <c:v>1.2118891347895212E-2</c:v>
                </c:pt>
                <c:pt idx="248">
                  <c:v>1.2214087471745679E-2</c:v>
                </c:pt>
                <c:pt idx="249">
                  <c:v>1.2309759603827341E-2</c:v>
                </c:pt>
                <c:pt idx="250">
                  <c:v>1.2405908637392826E-2</c:v>
                </c:pt>
                <c:pt idx="251">
                  <c:v>1.2502535464485025E-2</c:v>
                </c:pt>
                <c:pt idx="252">
                  <c:v>1.2599640975943769E-2</c:v>
                </c:pt>
                <c:pt idx="253">
                  <c:v>1.2697226061412463E-2</c:v>
                </c:pt>
                <c:pt idx="254">
                  <c:v>1.2795291609344721E-2</c:v>
                </c:pt>
                <c:pt idx="255">
                  <c:v>1.2893838507010903E-2</c:v>
                </c:pt>
                <c:pt idx="256">
                  <c:v>1.2992867640504641E-2</c:v>
                </c:pt>
                <c:pt idx="257">
                  <c:v>1.3092379894749304E-2</c:v>
                </c:pt>
                <c:pt idx="258">
                  <c:v>1.3192376153504444E-2</c:v>
                </c:pt>
                <c:pt idx="259">
                  <c:v>1.3292857299372164E-2</c:v>
                </c:pt>
                <c:pt idx="260">
                  <c:v>1.3393824213803482E-2</c:v>
                </c:pt>
                <c:pt idx="261">
                  <c:v>1.3495277777104627E-2</c:v>
                </c:pt>
                <c:pt idx="262">
                  <c:v>1.3597218868443291E-2</c:v>
                </c:pt>
                <c:pt idx="263">
                  <c:v>1.3699648365854876E-2</c:v>
                </c:pt>
                <c:pt idx="264">
                  <c:v>1.3802567146248661E-2</c:v>
                </c:pt>
                <c:pt idx="265">
                  <c:v>1.3905976085413947E-2</c:v>
                </c:pt>
                <c:pt idx="266">
                  <c:v>1.4009876058026147E-2</c:v>
                </c:pt>
                <c:pt idx="267">
                  <c:v>1.4114267937652865E-2</c:v>
                </c:pt>
                <c:pt idx="268">
                  <c:v>1.4219152596759897E-2</c:v>
                </c:pt>
                <c:pt idx="269">
                  <c:v>1.4324530906717241E-2</c:v>
                </c:pt>
                <c:pt idx="270">
                  <c:v>1.4430403737804999E-2</c:v>
                </c:pt>
                <c:pt idx="271">
                  <c:v>1.4536771959219321E-2</c:v>
                </c:pt>
                <c:pt idx="272">
                  <c:v>1.4643636439078251E-2</c:v>
                </c:pt>
                <c:pt idx="273">
                  <c:v>1.4750998044427574E-2</c:v>
                </c:pt>
                <c:pt idx="274">
                  <c:v>1.4858857641246566E-2</c:v>
                </c:pt>
                <c:pt idx="275">
                  <c:v>1.496721609445379E-2</c:v>
                </c:pt>
                <c:pt idx="276">
                  <c:v>1.5076074267912794E-2</c:v>
                </c:pt>
                <c:pt idx="277">
                  <c:v>1.518543302443779E-2</c:v>
                </c:pt>
                <c:pt idx="278">
                  <c:v>1.5295293225799296E-2</c:v>
                </c:pt>
                <c:pt idx="279">
                  <c:v>1.5405655732729747E-2</c:v>
                </c:pt>
                <c:pt idx="280">
                  <c:v>1.5516521404929049E-2</c:v>
                </c:pt>
                <c:pt idx="281">
                  <c:v>1.5627891101070136E-2</c:v>
                </c:pt>
                <c:pt idx="282">
                  <c:v>1.5739765678804467E-2</c:v>
                </c:pt>
                <c:pt idx="283">
                  <c:v>1.585214599476744E-2</c:v>
                </c:pt>
                <c:pt idx="284">
                  <c:v>1.5965032904583891E-2</c:v>
                </c:pt>
                <c:pt idx="285">
                  <c:v>1.6078427262873451E-2</c:v>
                </c:pt>
                <c:pt idx="286">
                  <c:v>1.6192329923255908E-2</c:v>
                </c:pt>
                <c:pt idx="287">
                  <c:v>1.6306741738356521E-2</c:v>
                </c:pt>
                <c:pt idx="288">
                  <c:v>1.6421663559811339E-2</c:v>
                </c:pt>
                <c:pt idx="289">
                  <c:v>1.6537096238272431E-2</c:v>
                </c:pt>
                <c:pt idx="290">
                  <c:v>1.6653040623413114E-2</c:v>
                </c:pt>
                <c:pt idx="291">
                  <c:v>1.6769497563933169E-2</c:v>
                </c:pt>
                <c:pt idx="292">
                  <c:v>1.6886467907563943E-2</c:v>
                </c:pt>
                <c:pt idx="293">
                  <c:v>1.7003952501073529E-2</c:v>
                </c:pt>
                <c:pt idx="294">
                  <c:v>1.7121952190271843E-2</c:v>
                </c:pt>
                <c:pt idx="295">
                  <c:v>1.7240467820015669E-2</c:v>
                </c:pt>
                <c:pt idx="296">
                  <c:v>1.7359500234213687E-2</c:v>
                </c:pt>
                <c:pt idx="297">
                  <c:v>1.7479050275831479E-2</c:v>
                </c:pt>
                <c:pt idx="298">
                  <c:v>1.7599118786896496E-2</c:v>
                </c:pt>
                <c:pt idx="299">
                  <c:v>1.7719706608502986E-2</c:v>
                </c:pt>
                <c:pt idx="300">
                  <c:v>1.7840814580816888E-2</c:v>
                </c:pt>
                <c:pt idx="301">
                  <c:v>1.7962443543080714E-2</c:v>
                </c:pt>
                <c:pt idx="302">
                  <c:v>1.8084594333618385E-2</c:v>
                </c:pt>
                <c:pt idx="303">
                  <c:v>1.8207267789840047E-2</c:v>
                </c:pt>
                <c:pt idx="304">
                  <c:v>1.8330464748246827E-2</c:v>
                </c:pt>
                <c:pt idx="305">
                  <c:v>1.8454186044435605E-2</c:v>
                </c:pt>
                <c:pt idx="306">
                  <c:v>1.8578432513103753E-2</c:v>
                </c:pt>
                <c:pt idx="307">
                  <c:v>1.8703204988053775E-2</c:v>
                </c:pt>
                <c:pt idx="308">
                  <c:v>1.8828504302197999E-2</c:v>
                </c:pt>
                <c:pt idx="309">
                  <c:v>1.8954331287563221E-2</c:v>
                </c:pt>
                <c:pt idx="310">
                  <c:v>1.9080686775295272E-2</c:v>
                </c:pt>
                <c:pt idx="311">
                  <c:v>1.9207571595663612E-2</c:v>
                </c:pt>
                <c:pt idx="312">
                  <c:v>1.9334986578065917E-2</c:v>
                </c:pt>
                <c:pt idx="313">
                  <c:v>1.9462932551032493E-2</c:v>
                </c:pt>
                <c:pt idx="314">
                  <c:v>1.9591410342230872E-2</c:v>
                </c:pt>
                <c:pt idx="315">
                  <c:v>1.9720420778470204E-2</c:v>
                </c:pt>
                <c:pt idx="316">
                  <c:v>1.9849964685705754E-2</c:v>
                </c:pt>
                <c:pt idx="317">
                  <c:v>1.9980042889043224E-2</c:v>
                </c:pt>
                <c:pt idx="318">
                  <c:v>2.011065621274322E-2</c:v>
                </c:pt>
                <c:pt idx="319">
                  <c:v>2.0241805480225552E-2</c:v>
                </c:pt>
                <c:pt idx="320">
                  <c:v>2.0373491514073559E-2</c:v>
                </c:pt>
                <c:pt idx="321">
                  <c:v>2.0505715136038445E-2</c:v>
                </c:pt>
                <c:pt idx="322">
                  <c:v>2.0638477167043499E-2</c:v>
                </c:pt>
                <c:pt idx="323">
                  <c:v>2.0771778427188393E-2</c:v>
                </c:pt>
                <c:pt idx="324">
                  <c:v>2.0905619735753372E-2</c:v>
                </c:pt>
                <c:pt idx="325">
                  <c:v>2.1040001911203435E-2</c:v>
                </c:pt>
                <c:pt idx="326">
                  <c:v>2.1174925771192558E-2</c:v>
                </c:pt>
                <c:pt idx="327">
                  <c:v>2.1310392132567781E-2</c:v>
                </c:pt>
                <c:pt idx="328">
                  <c:v>2.1446401811373333E-2</c:v>
                </c:pt>
                <c:pt idx="329">
                  <c:v>2.1582955622854737E-2</c:v>
                </c:pt>
                <c:pt idx="330">
                  <c:v>2.1720054381462926E-2</c:v>
                </c:pt>
                <c:pt idx="331">
                  <c:v>2.1857698900858168E-2</c:v>
                </c:pt>
                <c:pt idx="332">
                  <c:v>2.1995889993914185E-2</c:v>
                </c:pt>
                <c:pt idx="333">
                  <c:v>2.2134628472722115E-2</c:v>
                </c:pt>
                <c:pt idx="334">
                  <c:v>2.2273915148594475E-2</c:v>
                </c:pt>
                <c:pt idx="335">
                  <c:v>2.2413750832069104E-2</c:v>
                </c:pt>
                <c:pt idx="336">
                  <c:v>2.2554136332913106E-2</c:v>
                </c:pt>
                <c:pt idx="337">
                  <c:v>2.2695072460126687E-2</c:v>
                </c:pt>
                <c:pt idx="338">
                  <c:v>2.2836560021947123E-2</c:v>
                </c:pt>
                <c:pt idx="339">
                  <c:v>2.2978599825852517E-2</c:v>
                </c:pt>
                <c:pt idx="340">
                  <c:v>2.3121192678565709E-2</c:v>
                </c:pt>
                <c:pt idx="341">
                  <c:v>2.3264339386057997E-2</c:v>
                </c:pt>
                <c:pt idx="342">
                  <c:v>2.3408040753552975E-2</c:v>
                </c:pt>
                <c:pt idx="343">
                  <c:v>2.3552297585530284E-2</c:v>
                </c:pt>
                <c:pt idx="344">
                  <c:v>2.3697110685729342E-2</c:v>
                </c:pt>
                <c:pt idx="345">
                  <c:v>2.3842480857152994E-2</c:v>
                </c:pt>
                <c:pt idx="346">
                  <c:v>2.398840890207133E-2</c:v>
                </c:pt>
                <c:pt idx="347">
                  <c:v>2.4134895622025261E-2</c:v>
                </c:pt>
                <c:pt idx="348">
                  <c:v>2.4281941817830173E-2</c:v>
                </c:pt>
                <c:pt idx="349">
                  <c:v>2.4429548289579557E-2</c:v>
                </c:pt>
                <c:pt idx="350">
                  <c:v>2.4577715836648667E-2</c:v>
                </c:pt>
                <c:pt idx="351">
                  <c:v>2.4726445257698008E-2</c:v>
                </c:pt>
                <c:pt idx="352">
                  <c:v>2.4875737350676948E-2</c:v>
                </c:pt>
                <c:pt idx="353">
                  <c:v>2.5025592912827285E-2</c:v>
                </c:pt>
                <c:pt idx="354">
                  <c:v>2.5176012740686669E-2</c:v>
                </c:pt>
                <c:pt idx="355">
                  <c:v>2.5326997630092232E-2</c:v>
                </c:pt>
                <c:pt idx="356">
                  <c:v>2.5478548376183928E-2</c:v>
                </c:pt>
                <c:pt idx="357">
                  <c:v>2.5630665773408098E-2</c:v>
                </c:pt>
                <c:pt idx="358">
                  <c:v>2.5783350615520784E-2</c:v>
                </c:pt>
                <c:pt idx="359">
                  <c:v>2.5936603695591302E-2</c:v>
                </c:pt>
                <c:pt idx="360">
                  <c:v>2.6090425806005492E-2</c:v>
                </c:pt>
                <c:pt idx="361">
                  <c:v>2.6244817738469171E-2</c:v>
                </c:pt>
                <c:pt idx="362">
                  <c:v>2.6399780284011465E-2</c:v>
                </c:pt>
                <c:pt idx="363">
                  <c:v>2.6555314232988122E-2</c:v>
                </c:pt>
                <c:pt idx="364">
                  <c:v>2.6711420375084866E-2</c:v>
                </c:pt>
                <c:pt idx="365">
                  <c:v>2.6868099499320661E-2</c:v>
                </c:pt>
                <c:pt idx="366">
                  <c:v>2.7025352394051003E-2</c:v>
                </c:pt>
                <c:pt idx="367">
                  <c:v>2.7183179846971162E-2</c:v>
                </c:pt>
                <c:pt idx="368">
                  <c:v>2.7341582645119419E-2</c:v>
                </c:pt>
                <c:pt idx="369">
                  <c:v>2.7500561574880324E-2</c:v>
                </c:pt>
                <c:pt idx="370">
                  <c:v>2.7660117421987818E-2</c:v>
                </c:pt>
                <c:pt idx="371">
                  <c:v>2.7820250971528487E-2</c:v>
                </c:pt>
                <c:pt idx="372">
                  <c:v>2.7980963007944656E-2</c:v>
                </c:pt>
                <c:pt idx="373">
                  <c:v>2.814225431503764E-2</c:v>
                </c:pt>
                <c:pt idx="374">
                  <c:v>2.8304125675970723E-2</c:v>
                </c:pt>
                <c:pt idx="375">
                  <c:v>2.8466577873272367E-2</c:v>
                </c:pt>
                <c:pt idx="376">
                  <c:v>2.8629611688839283E-2</c:v>
                </c:pt>
                <c:pt idx="377">
                  <c:v>2.8793227903939452E-2</c:v>
                </c:pt>
                <c:pt idx="378">
                  <c:v>2.8957427299215258E-2</c:v>
                </c:pt>
                <c:pt idx="379">
                  <c:v>2.9122210654686453E-2</c:v>
                </c:pt>
                <c:pt idx="380">
                  <c:v>2.9287578749753216E-2</c:v>
                </c:pt>
                <c:pt idx="381">
                  <c:v>2.9453532363199125E-2</c:v>
                </c:pt>
                <c:pt idx="382">
                  <c:v>2.9620072273194152E-2</c:v>
                </c:pt>
                <c:pt idx="383">
                  <c:v>2.9787199257297614E-2</c:v>
                </c:pt>
                <c:pt idx="384">
                  <c:v>2.9954914092461163E-2</c:v>
                </c:pt>
                <c:pt idx="385">
                  <c:v>3.0123217555031633E-2</c:v>
                </c:pt>
                <c:pt idx="386">
                  <c:v>3.0292110420754071E-2</c:v>
                </c:pt>
                <c:pt idx="387">
                  <c:v>3.0461593464774506E-2</c:v>
                </c:pt>
                <c:pt idx="388">
                  <c:v>3.0631667461642934E-2</c:v>
                </c:pt>
                <c:pt idx="389">
                  <c:v>3.0802333185316132E-2</c:v>
                </c:pt>
                <c:pt idx="390">
                  <c:v>3.0973591409160475E-2</c:v>
                </c:pt>
                <c:pt idx="391">
                  <c:v>3.1145442905954876E-2</c:v>
                </c:pt>
                <c:pt idx="392">
                  <c:v>3.1317888447893419E-2</c:v>
                </c:pt>
                <c:pt idx="393">
                  <c:v>3.1490928806588388E-2</c:v>
                </c:pt>
                <c:pt idx="394">
                  <c:v>3.1664564753072812E-2</c:v>
                </c:pt>
                <c:pt idx="395">
                  <c:v>3.1838797057803424E-2</c:v>
                </c:pt>
                <c:pt idx="396">
                  <c:v>3.2013626490663291E-2</c:v>
                </c:pt>
                <c:pt idx="397">
                  <c:v>3.2189053820964604E-2</c:v>
                </c:pt>
                <c:pt idx="398">
                  <c:v>3.2365079817451389E-2</c:v>
                </c:pt>
                <c:pt idx="399">
                  <c:v>3.2541705248302188E-2</c:v>
                </c:pt>
                <c:pt idx="400">
                  <c:v>3.2718930881132771E-2</c:v>
                </c:pt>
                <c:pt idx="401">
                  <c:v>3.2896757482998765E-2</c:v>
                </c:pt>
                <c:pt idx="402">
                  <c:v>3.3075185820398395E-2</c:v>
                </c:pt>
                <c:pt idx="403">
                  <c:v>3.3254216659275054E-2</c:v>
                </c:pt>
                <c:pt idx="404">
                  <c:v>3.3433850765019979E-2</c:v>
                </c:pt>
                <c:pt idx="405">
                  <c:v>3.3614088902474776E-2</c:v>
                </c:pt>
                <c:pt idx="406">
                  <c:v>3.3794931835934128E-2</c:v>
                </c:pt>
                <c:pt idx="407">
                  <c:v>3.3976380329148334E-2</c:v>
                </c:pt>
                <c:pt idx="408">
                  <c:v>3.4158435145325843E-2</c:v>
                </c:pt>
                <c:pt idx="409">
                  <c:v>3.4341097047135845E-2</c:v>
                </c:pt>
                <c:pt idx="410">
                  <c:v>3.4524366796710809E-2</c:v>
                </c:pt>
                <c:pt idx="411">
                  <c:v>3.4708245155648985E-2</c:v>
                </c:pt>
                <c:pt idx="412">
                  <c:v>3.4892732885016944E-2</c:v>
                </c:pt>
                <c:pt idx="413">
                  <c:v>3.5077830745352069E-2</c:v>
                </c:pt>
                <c:pt idx="414">
                  <c:v>3.5263539496664983E-2</c:v>
                </c:pt>
                <c:pt idx="415">
                  <c:v>3.544985989844212E-2</c:v>
                </c:pt>
                <c:pt idx="416">
                  <c:v>3.5636792709648091E-2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93C-4A71-AE28-FC24C962A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39164688"/>
        <c:axId val="-239174480"/>
      </c:scatterChart>
      <c:valAx>
        <c:axId val="-239164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Altezza del muro</a:t>
                </a:r>
                <a:r>
                  <a:rPr lang="it-IT" baseline="0"/>
                  <a:t> (asse z)</a:t>
                </a:r>
                <a:endParaRPr lang="it-IT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239174480"/>
        <c:crosses val="autoZero"/>
        <c:crossBetween val="midCat"/>
      </c:valAx>
      <c:valAx>
        <c:axId val="-23917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239164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Variazione del baricentro della</a:t>
            </a:r>
            <a:r>
              <a:rPr lang="it-IT" baseline="0"/>
              <a:t> sez. trasversale del paramento</a:t>
            </a:r>
            <a:endParaRPr lang="it-IT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0642029746281723"/>
          <c:y val="0.19603796393295314"/>
          <c:w val="0.75141312335958033"/>
          <c:h val="0.6432988040044871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</c:trendlineLbl>
          </c:trendline>
          <c:xVal>
            <c:numRef>
              <c:f>'SOLLECITAZ NASCOSTO'!$C$32:$C$448</c:f>
              <c:numCache>
                <c:formatCode>0.000</c:formatCode>
                <c:ptCount val="417"/>
                <c:pt idx="0">
                  <c:v>0</c:v>
                </c:pt>
                <c:pt idx="1">
                  <c:v>1.0894378827550195E-2</c:v>
                </c:pt>
                <c:pt idx="2">
                  <c:v>2.1788757655100389E-2</c:v>
                </c:pt>
                <c:pt idx="3">
                  <c:v>3.2683136482650588E-2</c:v>
                </c:pt>
                <c:pt idx="4">
                  <c:v>4.3577515310200779E-2</c:v>
                </c:pt>
                <c:pt idx="5">
                  <c:v>5.447189413775097E-2</c:v>
                </c:pt>
                <c:pt idx="6">
                  <c:v>6.5366272965301175E-2</c:v>
                </c:pt>
                <c:pt idx="7">
                  <c:v>7.6260651792851367E-2</c:v>
                </c:pt>
                <c:pt idx="8">
                  <c:v>8.7155030620401558E-2</c:v>
                </c:pt>
                <c:pt idx="9">
                  <c:v>9.8049409447951749E-2</c:v>
                </c:pt>
                <c:pt idx="10">
                  <c:v>0.10894378827550194</c:v>
                </c:pt>
                <c:pt idx="11">
                  <c:v>0.11983816710305215</c:v>
                </c:pt>
                <c:pt idx="12">
                  <c:v>0.13073254593060235</c:v>
                </c:pt>
                <c:pt idx="13">
                  <c:v>0.14162692475815253</c:v>
                </c:pt>
                <c:pt idx="14">
                  <c:v>0.15252130358570273</c:v>
                </c:pt>
                <c:pt idx="15">
                  <c:v>0.16341568241325291</c:v>
                </c:pt>
                <c:pt idx="16">
                  <c:v>0.17431006124080312</c:v>
                </c:pt>
                <c:pt idx="17">
                  <c:v>0.18520444006835332</c:v>
                </c:pt>
                <c:pt idx="18">
                  <c:v>0.1960988188959035</c:v>
                </c:pt>
                <c:pt idx="19">
                  <c:v>0.2069931977234537</c:v>
                </c:pt>
                <c:pt idx="20">
                  <c:v>0.21788757655100388</c:v>
                </c:pt>
                <c:pt idx="21">
                  <c:v>0.22878195537855409</c:v>
                </c:pt>
                <c:pt idx="22">
                  <c:v>0.23967633420610429</c:v>
                </c:pt>
                <c:pt idx="23">
                  <c:v>0.25057071303365447</c:v>
                </c:pt>
                <c:pt idx="24">
                  <c:v>0.2614650918612047</c:v>
                </c:pt>
                <c:pt idx="25">
                  <c:v>0.27235947068875488</c:v>
                </c:pt>
                <c:pt idx="26">
                  <c:v>0.28325384951630506</c:v>
                </c:pt>
                <c:pt idx="27">
                  <c:v>0.29414822834385523</c:v>
                </c:pt>
                <c:pt idx="28">
                  <c:v>0.30504260717140547</c:v>
                </c:pt>
                <c:pt idx="29">
                  <c:v>0.31593698599895564</c:v>
                </c:pt>
                <c:pt idx="30">
                  <c:v>0.32683136482650582</c:v>
                </c:pt>
                <c:pt idx="31">
                  <c:v>0.33772574365405605</c:v>
                </c:pt>
                <c:pt idx="32">
                  <c:v>0.34862012248160623</c:v>
                </c:pt>
                <c:pt idx="33">
                  <c:v>0.35951450130915641</c:v>
                </c:pt>
                <c:pt idx="34">
                  <c:v>0.37040888013670664</c:v>
                </c:pt>
                <c:pt idx="35">
                  <c:v>0.38130325896425682</c:v>
                </c:pt>
                <c:pt idx="36">
                  <c:v>0.392197637791807</c:v>
                </c:pt>
                <c:pt idx="37">
                  <c:v>0.40309201661935723</c:v>
                </c:pt>
                <c:pt idx="38">
                  <c:v>0.41398639544690741</c:v>
                </c:pt>
                <c:pt idx="39">
                  <c:v>0.42488077427445758</c:v>
                </c:pt>
                <c:pt idx="40">
                  <c:v>0.43577515310200776</c:v>
                </c:pt>
                <c:pt idx="41">
                  <c:v>0.44666953192955799</c:v>
                </c:pt>
                <c:pt idx="42">
                  <c:v>0.45756391075710817</c:v>
                </c:pt>
                <c:pt idx="43">
                  <c:v>0.46845828958465835</c:v>
                </c:pt>
                <c:pt idx="44">
                  <c:v>0.47935266841220858</c:v>
                </c:pt>
                <c:pt idx="45">
                  <c:v>0.49024704723975876</c:v>
                </c:pt>
                <c:pt idx="46">
                  <c:v>0.50114142606730894</c:v>
                </c:pt>
                <c:pt idx="47">
                  <c:v>0.51203580489485911</c:v>
                </c:pt>
                <c:pt idx="48">
                  <c:v>0.5229301837224094</c:v>
                </c:pt>
                <c:pt idx="49">
                  <c:v>0.53382456254995958</c:v>
                </c:pt>
                <c:pt idx="50">
                  <c:v>0.54471894137750976</c:v>
                </c:pt>
                <c:pt idx="51">
                  <c:v>0.55561332020505994</c:v>
                </c:pt>
                <c:pt idx="52">
                  <c:v>0.56650769903261011</c:v>
                </c:pt>
                <c:pt idx="53">
                  <c:v>0.57740207786016029</c:v>
                </c:pt>
                <c:pt idx="54">
                  <c:v>0.58829645668771047</c:v>
                </c:pt>
                <c:pt idx="55">
                  <c:v>0.59919083551526076</c:v>
                </c:pt>
                <c:pt idx="56">
                  <c:v>0.61008521434281093</c:v>
                </c:pt>
                <c:pt idx="57">
                  <c:v>0.62097959317036111</c:v>
                </c:pt>
                <c:pt idx="58">
                  <c:v>0.63187397199791129</c:v>
                </c:pt>
                <c:pt idx="59">
                  <c:v>0.64276835082546147</c:v>
                </c:pt>
                <c:pt idx="60">
                  <c:v>0.65366272965301164</c:v>
                </c:pt>
                <c:pt idx="61">
                  <c:v>0.66455710848056193</c:v>
                </c:pt>
                <c:pt idx="62">
                  <c:v>0.67545148730811211</c:v>
                </c:pt>
                <c:pt idx="63">
                  <c:v>0.68634586613566229</c:v>
                </c:pt>
                <c:pt idx="64">
                  <c:v>0.69724024496321246</c:v>
                </c:pt>
                <c:pt idx="65">
                  <c:v>0.70813462379076264</c:v>
                </c:pt>
                <c:pt idx="66">
                  <c:v>0.71902900261831282</c:v>
                </c:pt>
                <c:pt idx="67">
                  <c:v>0.729923381445863</c:v>
                </c:pt>
                <c:pt idx="68">
                  <c:v>0.74081776027341328</c:v>
                </c:pt>
                <c:pt idx="69">
                  <c:v>0.75171213910096346</c:v>
                </c:pt>
                <c:pt idx="70">
                  <c:v>0.76260651792851364</c:v>
                </c:pt>
                <c:pt idx="71">
                  <c:v>0.77350089675606382</c:v>
                </c:pt>
                <c:pt idx="72">
                  <c:v>0.78439527558361399</c:v>
                </c:pt>
                <c:pt idx="73">
                  <c:v>0.79528965441116417</c:v>
                </c:pt>
                <c:pt idx="74">
                  <c:v>0.80618403323871446</c:v>
                </c:pt>
                <c:pt idx="75">
                  <c:v>0.81707841206626464</c:v>
                </c:pt>
                <c:pt idx="76">
                  <c:v>0.82797279089381481</c:v>
                </c:pt>
                <c:pt idx="77">
                  <c:v>0.83886716972136499</c:v>
                </c:pt>
                <c:pt idx="78">
                  <c:v>0.84976154854891517</c:v>
                </c:pt>
                <c:pt idx="79">
                  <c:v>0.86065592737646535</c:v>
                </c:pt>
                <c:pt idx="80">
                  <c:v>0.87155030620401552</c:v>
                </c:pt>
                <c:pt idx="81">
                  <c:v>0.88244468503156581</c:v>
                </c:pt>
                <c:pt idx="82">
                  <c:v>0.89333906385911599</c:v>
                </c:pt>
                <c:pt idx="83">
                  <c:v>0.90423344268666617</c:v>
                </c:pt>
                <c:pt idx="84">
                  <c:v>0.91512782151421634</c:v>
                </c:pt>
                <c:pt idx="85">
                  <c:v>0.92602220034176652</c:v>
                </c:pt>
                <c:pt idx="86">
                  <c:v>0.9369165791693167</c:v>
                </c:pt>
                <c:pt idx="87">
                  <c:v>0.94781095799686699</c:v>
                </c:pt>
                <c:pt idx="88">
                  <c:v>0.95870533682441716</c:v>
                </c:pt>
                <c:pt idx="89">
                  <c:v>0.96959971565196734</c:v>
                </c:pt>
                <c:pt idx="90">
                  <c:v>0.98049409447951752</c:v>
                </c:pt>
                <c:pt idx="91">
                  <c:v>0.9913884733070677</c:v>
                </c:pt>
                <c:pt idx="92">
                  <c:v>1.0022828521346179</c:v>
                </c:pt>
                <c:pt idx="93">
                  <c:v>1.0131772309621681</c:v>
                </c:pt>
                <c:pt idx="94">
                  <c:v>1.0240716097897182</c:v>
                </c:pt>
                <c:pt idx="95">
                  <c:v>1.0349659886172684</c:v>
                </c:pt>
                <c:pt idx="96">
                  <c:v>1.0458603674448188</c:v>
                </c:pt>
                <c:pt idx="97">
                  <c:v>1.056754746272369</c:v>
                </c:pt>
                <c:pt idx="98">
                  <c:v>1.0676491250999192</c:v>
                </c:pt>
                <c:pt idx="99">
                  <c:v>1.0785435039274693</c:v>
                </c:pt>
                <c:pt idx="100">
                  <c:v>1.0894378827550195</c:v>
                </c:pt>
                <c:pt idx="101">
                  <c:v>1.1003322615825697</c:v>
                </c:pt>
                <c:pt idx="102">
                  <c:v>1.1112266404101199</c:v>
                </c:pt>
                <c:pt idx="103">
                  <c:v>1.12212101923767</c:v>
                </c:pt>
                <c:pt idx="104">
                  <c:v>1.1330153980652202</c:v>
                </c:pt>
                <c:pt idx="105">
                  <c:v>1.1439097768927704</c:v>
                </c:pt>
                <c:pt idx="106">
                  <c:v>1.1548041557203206</c:v>
                </c:pt>
                <c:pt idx="107">
                  <c:v>1.1656985345478708</c:v>
                </c:pt>
                <c:pt idx="108">
                  <c:v>1.1765929133754209</c:v>
                </c:pt>
                <c:pt idx="109">
                  <c:v>1.1874872922029713</c:v>
                </c:pt>
                <c:pt idx="110">
                  <c:v>1.1983816710305215</c:v>
                </c:pt>
                <c:pt idx="111">
                  <c:v>1.2092760498580717</c:v>
                </c:pt>
                <c:pt idx="112">
                  <c:v>1.2201704286856219</c:v>
                </c:pt>
                <c:pt idx="113">
                  <c:v>1.231064807513172</c:v>
                </c:pt>
                <c:pt idx="114">
                  <c:v>1.2419591863407222</c:v>
                </c:pt>
                <c:pt idx="115">
                  <c:v>1.2528535651682724</c:v>
                </c:pt>
                <c:pt idx="116">
                  <c:v>1.2637479439958226</c:v>
                </c:pt>
                <c:pt idx="117">
                  <c:v>1.2746423228233728</c:v>
                </c:pt>
                <c:pt idx="118">
                  <c:v>1.2855367016509229</c:v>
                </c:pt>
                <c:pt idx="119">
                  <c:v>1.2964310804784731</c:v>
                </c:pt>
                <c:pt idx="120">
                  <c:v>1.3073254593060233</c:v>
                </c:pt>
                <c:pt idx="121">
                  <c:v>1.3182198381335735</c:v>
                </c:pt>
                <c:pt idx="122">
                  <c:v>1.3291142169611239</c:v>
                </c:pt>
                <c:pt idx="123">
                  <c:v>1.340008595788674</c:v>
                </c:pt>
                <c:pt idx="124">
                  <c:v>1.3509029746162242</c:v>
                </c:pt>
                <c:pt idx="125">
                  <c:v>1.3617973534437744</c:v>
                </c:pt>
                <c:pt idx="126">
                  <c:v>1.3726917322713246</c:v>
                </c:pt>
                <c:pt idx="127">
                  <c:v>1.3835861110988747</c:v>
                </c:pt>
                <c:pt idx="128">
                  <c:v>1.3944804899264249</c:v>
                </c:pt>
                <c:pt idx="129">
                  <c:v>1.4053748687539751</c:v>
                </c:pt>
                <c:pt idx="130">
                  <c:v>1.4162692475815253</c:v>
                </c:pt>
                <c:pt idx="131">
                  <c:v>1.4271636264090755</c:v>
                </c:pt>
                <c:pt idx="132">
                  <c:v>1.4380580052366256</c:v>
                </c:pt>
                <c:pt idx="133">
                  <c:v>1.4489523840641758</c:v>
                </c:pt>
                <c:pt idx="134">
                  <c:v>1.459846762891726</c:v>
                </c:pt>
                <c:pt idx="135">
                  <c:v>1.4707411417192764</c:v>
                </c:pt>
                <c:pt idx="136">
                  <c:v>1.4816355205468266</c:v>
                </c:pt>
                <c:pt idx="137">
                  <c:v>1.4925298993743767</c:v>
                </c:pt>
                <c:pt idx="138">
                  <c:v>1.5034242782019269</c:v>
                </c:pt>
                <c:pt idx="139">
                  <c:v>1.5143186570294771</c:v>
                </c:pt>
                <c:pt idx="140">
                  <c:v>1.5252130358570273</c:v>
                </c:pt>
                <c:pt idx="141">
                  <c:v>1.5361074146845775</c:v>
                </c:pt>
                <c:pt idx="142">
                  <c:v>1.5470017935121276</c:v>
                </c:pt>
                <c:pt idx="143">
                  <c:v>1.5578961723396778</c:v>
                </c:pt>
                <c:pt idx="144">
                  <c:v>1.568790551167228</c:v>
                </c:pt>
                <c:pt idx="145">
                  <c:v>1.5796849299947782</c:v>
                </c:pt>
                <c:pt idx="146">
                  <c:v>1.5905793088223283</c:v>
                </c:pt>
                <c:pt idx="147">
                  <c:v>1.6014736876498785</c:v>
                </c:pt>
                <c:pt idx="148">
                  <c:v>1.6123680664774289</c:v>
                </c:pt>
                <c:pt idx="149">
                  <c:v>1.6232624453049791</c:v>
                </c:pt>
                <c:pt idx="150">
                  <c:v>1.6341568241325293</c:v>
                </c:pt>
                <c:pt idx="151">
                  <c:v>1.6450512029600795</c:v>
                </c:pt>
                <c:pt idx="152">
                  <c:v>1.6559455817876296</c:v>
                </c:pt>
                <c:pt idx="153">
                  <c:v>1.6668399606151798</c:v>
                </c:pt>
                <c:pt idx="154">
                  <c:v>1.67773433944273</c:v>
                </c:pt>
                <c:pt idx="155">
                  <c:v>1.6886287182702802</c:v>
                </c:pt>
                <c:pt idx="156">
                  <c:v>1.6995230970978303</c:v>
                </c:pt>
                <c:pt idx="157">
                  <c:v>1.7104174759253805</c:v>
                </c:pt>
                <c:pt idx="158">
                  <c:v>1.7213118547529307</c:v>
                </c:pt>
                <c:pt idx="159">
                  <c:v>1.7322062335804809</c:v>
                </c:pt>
                <c:pt idx="160">
                  <c:v>1.743100612408031</c:v>
                </c:pt>
                <c:pt idx="161">
                  <c:v>1.7539949912355814</c:v>
                </c:pt>
                <c:pt idx="162">
                  <c:v>1.7648893700631316</c:v>
                </c:pt>
                <c:pt idx="163">
                  <c:v>1.7757837488906818</c:v>
                </c:pt>
                <c:pt idx="164">
                  <c:v>1.786678127718232</c:v>
                </c:pt>
                <c:pt idx="165">
                  <c:v>1.7975725065457822</c:v>
                </c:pt>
                <c:pt idx="166">
                  <c:v>1.8084668853733323</c:v>
                </c:pt>
                <c:pt idx="167">
                  <c:v>1.8193612642008825</c:v>
                </c:pt>
                <c:pt idx="168">
                  <c:v>1.8302556430284327</c:v>
                </c:pt>
                <c:pt idx="169">
                  <c:v>1.8411500218559829</c:v>
                </c:pt>
                <c:pt idx="170">
                  <c:v>1.852044400683533</c:v>
                </c:pt>
                <c:pt idx="171">
                  <c:v>1.8629387795110832</c:v>
                </c:pt>
                <c:pt idx="172">
                  <c:v>1.8738331583386334</c:v>
                </c:pt>
                <c:pt idx="173">
                  <c:v>1.8847275371661838</c:v>
                </c:pt>
                <c:pt idx="174">
                  <c:v>1.895621915993734</c:v>
                </c:pt>
                <c:pt idx="175">
                  <c:v>1.9065162948212842</c:v>
                </c:pt>
                <c:pt idx="176">
                  <c:v>1.9174106736488343</c:v>
                </c:pt>
                <c:pt idx="177">
                  <c:v>1.9283050524763845</c:v>
                </c:pt>
                <c:pt idx="178">
                  <c:v>1.9391994313039347</c:v>
                </c:pt>
                <c:pt idx="179">
                  <c:v>1.9500938101314849</c:v>
                </c:pt>
                <c:pt idx="180">
                  <c:v>1.960988188959035</c:v>
                </c:pt>
                <c:pt idx="181">
                  <c:v>1.9718825677865852</c:v>
                </c:pt>
                <c:pt idx="182">
                  <c:v>1.9827769466141354</c:v>
                </c:pt>
                <c:pt idx="183">
                  <c:v>1.9936713254416856</c:v>
                </c:pt>
                <c:pt idx="184">
                  <c:v>2.0045657042692357</c:v>
                </c:pt>
                <c:pt idx="185">
                  <c:v>2.0154600830967859</c:v>
                </c:pt>
                <c:pt idx="186">
                  <c:v>2.0263544619243361</c:v>
                </c:pt>
                <c:pt idx="187">
                  <c:v>2.0372488407518863</c:v>
                </c:pt>
                <c:pt idx="188">
                  <c:v>2.0481432195794365</c:v>
                </c:pt>
                <c:pt idx="189">
                  <c:v>2.0590375984069866</c:v>
                </c:pt>
                <c:pt idx="190">
                  <c:v>2.0699319772345368</c:v>
                </c:pt>
                <c:pt idx="191">
                  <c:v>2.080826356062087</c:v>
                </c:pt>
                <c:pt idx="192">
                  <c:v>2.0917207348896376</c:v>
                </c:pt>
                <c:pt idx="193">
                  <c:v>2.1026151137171878</c:v>
                </c:pt>
                <c:pt idx="194">
                  <c:v>2.113509492544738</c:v>
                </c:pt>
                <c:pt idx="195">
                  <c:v>2.1244038713722881</c:v>
                </c:pt>
                <c:pt idx="196">
                  <c:v>2.1352982501998383</c:v>
                </c:pt>
                <c:pt idx="197">
                  <c:v>2.1461926290273885</c:v>
                </c:pt>
                <c:pt idx="198">
                  <c:v>2.1570870078549387</c:v>
                </c:pt>
                <c:pt idx="199">
                  <c:v>2.1679813866824889</c:v>
                </c:pt>
                <c:pt idx="200">
                  <c:v>2.178875765510039</c:v>
                </c:pt>
                <c:pt idx="201">
                  <c:v>2.1897701443375892</c:v>
                </c:pt>
                <c:pt idx="202">
                  <c:v>2.2006645231651394</c:v>
                </c:pt>
                <c:pt idx="203">
                  <c:v>2.2115589019926896</c:v>
                </c:pt>
                <c:pt idx="204">
                  <c:v>2.2224532808202397</c:v>
                </c:pt>
                <c:pt idx="205">
                  <c:v>2.2333476596477899</c:v>
                </c:pt>
                <c:pt idx="206">
                  <c:v>2.2442420384753401</c:v>
                </c:pt>
                <c:pt idx="207">
                  <c:v>2.2551364173028903</c:v>
                </c:pt>
                <c:pt idx="208">
                  <c:v>2.2660307961304405</c:v>
                </c:pt>
                <c:pt idx="209">
                  <c:v>2.2769251749579906</c:v>
                </c:pt>
                <c:pt idx="210">
                  <c:v>2.2878195537855408</c:v>
                </c:pt>
                <c:pt idx="211">
                  <c:v>2.298713932613091</c:v>
                </c:pt>
                <c:pt idx="212">
                  <c:v>2.3096083114406412</c:v>
                </c:pt>
                <c:pt idx="213">
                  <c:v>2.3205026902681913</c:v>
                </c:pt>
                <c:pt idx="214">
                  <c:v>2.3313970690957415</c:v>
                </c:pt>
                <c:pt idx="215">
                  <c:v>2.3422914479232917</c:v>
                </c:pt>
                <c:pt idx="216">
                  <c:v>2.3531858267508419</c:v>
                </c:pt>
                <c:pt idx="217">
                  <c:v>2.364080205578392</c:v>
                </c:pt>
                <c:pt idx="218">
                  <c:v>2.3749745844059427</c:v>
                </c:pt>
                <c:pt idx="219">
                  <c:v>2.3858689632334928</c:v>
                </c:pt>
                <c:pt idx="220">
                  <c:v>2.396763342061043</c:v>
                </c:pt>
                <c:pt idx="221">
                  <c:v>2.4076577208885932</c:v>
                </c:pt>
                <c:pt idx="222">
                  <c:v>2.4185520997161434</c:v>
                </c:pt>
                <c:pt idx="223">
                  <c:v>2.4294464785436936</c:v>
                </c:pt>
                <c:pt idx="224">
                  <c:v>2.4403408573712437</c:v>
                </c:pt>
                <c:pt idx="225">
                  <c:v>2.4512352361987939</c:v>
                </c:pt>
                <c:pt idx="226">
                  <c:v>2.4621296150263441</c:v>
                </c:pt>
                <c:pt idx="227">
                  <c:v>2.4730239938538943</c:v>
                </c:pt>
                <c:pt idx="228">
                  <c:v>2.4839183726814444</c:v>
                </c:pt>
                <c:pt idx="229">
                  <c:v>2.4948127515089946</c:v>
                </c:pt>
                <c:pt idx="230">
                  <c:v>2.5057071303365448</c:v>
                </c:pt>
                <c:pt idx="231">
                  <c:v>2.516601509164095</c:v>
                </c:pt>
                <c:pt idx="232">
                  <c:v>2.5274958879916452</c:v>
                </c:pt>
                <c:pt idx="233">
                  <c:v>2.5383902668191953</c:v>
                </c:pt>
                <c:pt idx="234">
                  <c:v>2.5492846456467455</c:v>
                </c:pt>
                <c:pt idx="235">
                  <c:v>2.5601790244742957</c:v>
                </c:pt>
                <c:pt idx="236">
                  <c:v>2.5710734033018459</c:v>
                </c:pt>
                <c:pt idx="237">
                  <c:v>2.581967782129396</c:v>
                </c:pt>
                <c:pt idx="238">
                  <c:v>2.5928621609569462</c:v>
                </c:pt>
                <c:pt idx="239">
                  <c:v>2.6037565397844964</c:v>
                </c:pt>
                <c:pt idx="240">
                  <c:v>2.6146509186120466</c:v>
                </c:pt>
                <c:pt idx="241">
                  <c:v>2.6255452974395967</c:v>
                </c:pt>
                <c:pt idx="242">
                  <c:v>2.6364396762671469</c:v>
                </c:pt>
                <c:pt idx="243">
                  <c:v>2.6473340550946971</c:v>
                </c:pt>
                <c:pt idx="244">
                  <c:v>2.6582284339222477</c:v>
                </c:pt>
                <c:pt idx="245">
                  <c:v>2.6691228127497979</c:v>
                </c:pt>
                <c:pt idx="246">
                  <c:v>2.6800171915773481</c:v>
                </c:pt>
                <c:pt idx="247">
                  <c:v>2.6909115704048983</c:v>
                </c:pt>
                <c:pt idx="248">
                  <c:v>2.7018059492324484</c:v>
                </c:pt>
                <c:pt idx="249">
                  <c:v>2.7127003280599986</c:v>
                </c:pt>
                <c:pt idx="250">
                  <c:v>2.7235947068875488</c:v>
                </c:pt>
                <c:pt idx="251">
                  <c:v>2.734489085715099</c:v>
                </c:pt>
                <c:pt idx="252">
                  <c:v>2.7453834645426491</c:v>
                </c:pt>
                <c:pt idx="253">
                  <c:v>2.7562778433701993</c:v>
                </c:pt>
                <c:pt idx="254">
                  <c:v>2.7671722221977495</c:v>
                </c:pt>
                <c:pt idx="255">
                  <c:v>2.7780666010252997</c:v>
                </c:pt>
                <c:pt idx="256">
                  <c:v>2.7889609798528499</c:v>
                </c:pt>
                <c:pt idx="257">
                  <c:v>2.7998553586804</c:v>
                </c:pt>
                <c:pt idx="258">
                  <c:v>2.8107497375079502</c:v>
                </c:pt>
                <c:pt idx="259">
                  <c:v>2.8216441163355004</c:v>
                </c:pt>
                <c:pt idx="260">
                  <c:v>2.8325384951630506</c:v>
                </c:pt>
                <c:pt idx="261">
                  <c:v>2.8434328739906007</c:v>
                </c:pt>
                <c:pt idx="262">
                  <c:v>2.8543272528181509</c:v>
                </c:pt>
                <c:pt idx="263">
                  <c:v>2.8652216316457011</c:v>
                </c:pt>
                <c:pt idx="264">
                  <c:v>2.8761160104732513</c:v>
                </c:pt>
                <c:pt idx="265">
                  <c:v>2.8870103893008014</c:v>
                </c:pt>
                <c:pt idx="266">
                  <c:v>2.8979047681283516</c:v>
                </c:pt>
                <c:pt idx="267">
                  <c:v>2.9087991469559018</c:v>
                </c:pt>
                <c:pt idx="268">
                  <c:v>2.919693525783452</c:v>
                </c:pt>
                <c:pt idx="269">
                  <c:v>2.9305879046110026</c:v>
                </c:pt>
                <c:pt idx="270">
                  <c:v>2.9414822834385528</c:v>
                </c:pt>
                <c:pt idx="271">
                  <c:v>2.952376662266103</c:v>
                </c:pt>
                <c:pt idx="272">
                  <c:v>2.9632710410936531</c:v>
                </c:pt>
                <c:pt idx="273">
                  <c:v>2.9741654199212033</c:v>
                </c:pt>
                <c:pt idx="274">
                  <c:v>2.9850597987487535</c:v>
                </c:pt>
                <c:pt idx="275">
                  <c:v>2.9959541775763037</c:v>
                </c:pt>
                <c:pt idx="276">
                  <c:v>3.0068485564038538</c:v>
                </c:pt>
                <c:pt idx="277">
                  <c:v>3.017742935231404</c:v>
                </c:pt>
                <c:pt idx="278">
                  <c:v>3.0286373140589542</c:v>
                </c:pt>
                <c:pt idx="279">
                  <c:v>3.0395316928865044</c:v>
                </c:pt>
                <c:pt idx="280">
                  <c:v>3.0504260717140546</c:v>
                </c:pt>
                <c:pt idx="281">
                  <c:v>3.0613204505416047</c:v>
                </c:pt>
                <c:pt idx="282">
                  <c:v>3.0722148293691549</c:v>
                </c:pt>
                <c:pt idx="283">
                  <c:v>3.0831092081967051</c:v>
                </c:pt>
                <c:pt idx="284">
                  <c:v>3.0940035870242553</c:v>
                </c:pt>
                <c:pt idx="285">
                  <c:v>3.1048979658518054</c:v>
                </c:pt>
                <c:pt idx="286">
                  <c:v>3.1157923446793556</c:v>
                </c:pt>
                <c:pt idx="287">
                  <c:v>3.1266867235069058</c:v>
                </c:pt>
                <c:pt idx="288">
                  <c:v>3.137581102334456</c:v>
                </c:pt>
                <c:pt idx="289">
                  <c:v>3.1484754811620062</c:v>
                </c:pt>
                <c:pt idx="290">
                  <c:v>3.1593698599895563</c:v>
                </c:pt>
                <c:pt idx="291">
                  <c:v>3.1702642388171065</c:v>
                </c:pt>
                <c:pt idx="292">
                  <c:v>3.1811586176446567</c:v>
                </c:pt>
                <c:pt idx="293">
                  <c:v>3.1920529964722069</c:v>
                </c:pt>
                <c:pt idx="294">
                  <c:v>3.202947375299757</c:v>
                </c:pt>
                <c:pt idx="295">
                  <c:v>3.2138417541273077</c:v>
                </c:pt>
                <c:pt idx="296">
                  <c:v>3.2247361329548578</c:v>
                </c:pt>
                <c:pt idx="297">
                  <c:v>3.235630511782408</c:v>
                </c:pt>
                <c:pt idx="298">
                  <c:v>3.2465248906099582</c:v>
                </c:pt>
                <c:pt idx="299">
                  <c:v>3.2574192694375084</c:v>
                </c:pt>
                <c:pt idx="300">
                  <c:v>3.2683136482650585</c:v>
                </c:pt>
                <c:pt idx="301">
                  <c:v>3.2792080270926087</c:v>
                </c:pt>
                <c:pt idx="302">
                  <c:v>3.2901024059201589</c:v>
                </c:pt>
                <c:pt idx="303">
                  <c:v>3.3009967847477091</c:v>
                </c:pt>
                <c:pt idx="304">
                  <c:v>3.3118911635752593</c:v>
                </c:pt>
                <c:pt idx="305">
                  <c:v>3.3227855424028094</c:v>
                </c:pt>
                <c:pt idx="306">
                  <c:v>3.3336799212303596</c:v>
                </c:pt>
                <c:pt idx="307">
                  <c:v>3.3445743000579098</c:v>
                </c:pt>
                <c:pt idx="308">
                  <c:v>3.35546867888546</c:v>
                </c:pt>
                <c:pt idx="309">
                  <c:v>3.3663630577130101</c:v>
                </c:pt>
                <c:pt idx="310">
                  <c:v>3.3772574365405603</c:v>
                </c:pt>
                <c:pt idx="311">
                  <c:v>3.3881518153681105</c:v>
                </c:pt>
                <c:pt idx="312">
                  <c:v>3.3990461941956607</c:v>
                </c:pt>
                <c:pt idx="313">
                  <c:v>3.4099405730232109</c:v>
                </c:pt>
                <c:pt idx="314">
                  <c:v>3.420834951850761</c:v>
                </c:pt>
                <c:pt idx="315">
                  <c:v>3.4317293306783112</c:v>
                </c:pt>
                <c:pt idx="316">
                  <c:v>3.4426237095058614</c:v>
                </c:pt>
                <c:pt idx="317">
                  <c:v>3.4535180883334116</c:v>
                </c:pt>
                <c:pt idx="318">
                  <c:v>3.4644124671609617</c:v>
                </c:pt>
                <c:pt idx="319">
                  <c:v>3.4753068459885119</c:v>
                </c:pt>
                <c:pt idx="320">
                  <c:v>3.4862012248160621</c:v>
                </c:pt>
                <c:pt idx="321">
                  <c:v>3.4970956036436127</c:v>
                </c:pt>
                <c:pt idx="322">
                  <c:v>3.5079899824711629</c:v>
                </c:pt>
                <c:pt idx="323">
                  <c:v>3.5188843612987131</c:v>
                </c:pt>
                <c:pt idx="324">
                  <c:v>3.5297787401262632</c:v>
                </c:pt>
                <c:pt idx="325">
                  <c:v>3.5406731189538134</c:v>
                </c:pt>
                <c:pt idx="326">
                  <c:v>3.5515674977813636</c:v>
                </c:pt>
                <c:pt idx="327">
                  <c:v>3.5624618766089138</c:v>
                </c:pt>
                <c:pt idx="328">
                  <c:v>3.573356255436464</c:v>
                </c:pt>
                <c:pt idx="329">
                  <c:v>3.5842506342640141</c:v>
                </c:pt>
                <c:pt idx="330">
                  <c:v>3.5951450130915643</c:v>
                </c:pt>
                <c:pt idx="331">
                  <c:v>3.6060393919191145</c:v>
                </c:pt>
                <c:pt idx="332">
                  <c:v>3.6169337707466647</c:v>
                </c:pt>
                <c:pt idx="333">
                  <c:v>3.6278281495742148</c:v>
                </c:pt>
                <c:pt idx="334">
                  <c:v>3.638722528401765</c:v>
                </c:pt>
                <c:pt idx="335">
                  <c:v>3.6496169072293152</c:v>
                </c:pt>
                <c:pt idx="336">
                  <c:v>3.6605112860568654</c:v>
                </c:pt>
                <c:pt idx="337">
                  <c:v>3.6714056648844156</c:v>
                </c:pt>
                <c:pt idx="338">
                  <c:v>3.6823000437119657</c:v>
                </c:pt>
                <c:pt idx="339">
                  <c:v>3.6931944225395159</c:v>
                </c:pt>
                <c:pt idx="340">
                  <c:v>3.7040888013670661</c:v>
                </c:pt>
                <c:pt idx="341">
                  <c:v>3.7149831801946163</c:v>
                </c:pt>
                <c:pt idx="342">
                  <c:v>3.7258775590221664</c:v>
                </c:pt>
                <c:pt idx="343">
                  <c:v>3.7367719378497166</c:v>
                </c:pt>
                <c:pt idx="344">
                  <c:v>3.7476663166772668</c:v>
                </c:pt>
                <c:pt idx="345">
                  <c:v>3.758560695504817</c:v>
                </c:pt>
                <c:pt idx="346">
                  <c:v>3.7694550743323676</c:v>
                </c:pt>
                <c:pt idx="347">
                  <c:v>3.7803494531599178</c:v>
                </c:pt>
                <c:pt idx="348">
                  <c:v>3.7912438319874679</c:v>
                </c:pt>
                <c:pt idx="349">
                  <c:v>3.8021382108150181</c:v>
                </c:pt>
                <c:pt idx="350">
                  <c:v>3.8130325896425683</c:v>
                </c:pt>
                <c:pt idx="351">
                  <c:v>3.8239269684701185</c:v>
                </c:pt>
                <c:pt idx="352">
                  <c:v>3.8348213472976687</c:v>
                </c:pt>
                <c:pt idx="353">
                  <c:v>3.8457157261252188</c:v>
                </c:pt>
                <c:pt idx="354">
                  <c:v>3.856610104952769</c:v>
                </c:pt>
                <c:pt idx="355">
                  <c:v>3.8675044837803192</c:v>
                </c:pt>
                <c:pt idx="356">
                  <c:v>3.8783988626078694</c:v>
                </c:pt>
                <c:pt idx="357">
                  <c:v>3.8892932414354195</c:v>
                </c:pt>
                <c:pt idx="358">
                  <c:v>3.9001876202629697</c:v>
                </c:pt>
                <c:pt idx="359">
                  <c:v>3.9110819990905199</c:v>
                </c:pt>
                <c:pt idx="360">
                  <c:v>3.9219763779180701</c:v>
                </c:pt>
                <c:pt idx="361">
                  <c:v>3.9328707567456203</c:v>
                </c:pt>
                <c:pt idx="362">
                  <c:v>3.9437651355731704</c:v>
                </c:pt>
                <c:pt idx="363">
                  <c:v>3.9546595144007206</c:v>
                </c:pt>
                <c:pt idx="364">
                  <c:v>3.9655538932282708</c:v>
                </c:pt>
                <c:pt idx="365">
                  <c:v>3.976448272055821</c:v>
                </c:pt>
                <c:pt idx="366">
                  <c:v>3.9873426508833711</c:v>
                </c:pt>
                <c:pt idx="367">
                  <c:v>3.9982370297109213</c:v>
                </c:pt>
                <c:pt idx="368">
                  <c:v>4.0091314085384715</c:v>
                </c:pt>
                <c:pt idx="369">
                  <c:v>4.0200257873660217</c:v>
                </c:pt>
                <c:pt idx="370">
                  <c:v>4.0309201661935719</c:v>
                </c:pt>
                <c:pt idx="371">
                  <c:v>4.041814545021122</c:v>
                </c:pt>
                <c:pt idx="372">
                  <c:v>4.0527089238486722</c:v>
                </c:pt>
                <c:pt idx="373">
                  <c:v>4.0636033026762224</c:v>
                </c:pt>
                <c:pt idx="374">
                  <c:v>4.0744976815037726</c:v>
                </c:pt>
                <c:pt idx="375">
                  <c:v>4.0853920603313227</c:v>
                </c:pt>
                <c:pt idx="376">
                  <c:v>4.0962864391588729</c:v>
                </c:pt>
                <c:pt idx="377">
                  <c:v>4.1071808179864231</c:v>
                </c:pt>
                <c:pt idx="378">
                  <c:v>4.1180751968139733</c:v>
                </c:pt>
                <c:pt idx="379">
                  <c:v>4.1289695756415234</c:v>
                </c:pt>
                <c:pt idx="380">
                  <c:v>4.1398639544690736</c:v>
                </c:pt>
                <c:pt idx="381">
                  <c:v>4.1507583332966238</c:v>
                </c:pt>
                <c:pt idx="382">
                  <c:v>4.161652712124174</c:v>
                </c:pt>
                <c:pt idx="383">
                  <c:v>4.1725470909517242</c:v>
                </c:pt>
                <c:pt idx="384">
                  <c:v>4.1834414697792752</c:v>
                </c:pt>
                <c:pt idx="385">
                  <c:v>4.1943358486068254</c:v>
                </c:pt>
                <c:pt idx="386">
                  <c:v>4.2052302274343756</c:v>
                </c:pt>
                <c:pt idx="387">
                  <c:v>4.2161246062619258</c:v>
                </c:pt>
                <c:pt idx="388">
                  <c:v>4.2270189850894759</c:v>
                </c:pt>
                <c:pt idx="389">
                  <c:v>4.2379133639170261</c:v>
                </c:pt>
                <c:pt idx="390">
                  <c:v>4.2488077427445763</c:v>
                </c:pt>
                <c:pt idx="391">
                  <c:v>4.2597021215721265</c:v>
                </c:pt>
                <c:pt idx="392">
                  <c:v>4.2705965003996766</c:v>
                </c:pt>
                <c:pt idx="393">
                  <c:v>4.2814908792272268</c:v>
                </c:pt>
                <c:pt idx="394">
                  <c:v>4.292385258054777</c:v>
                </c:pt>
                <c:pt idx="395">
                  <c:v>4.3032796368823272</c:v>
                </c:pt>
                <c:pt idx="396">
                  <c:v>4.3141740157098774</c:v>
                </c:pt>
                <c:pt idx="397">
                  <c:v>4.3250683945374275</c:v>
                </c:pt>
                <c:pt idx="398">
                  <c:v>4.3359627733649777</c:v>
                </c:pt>
                <c:pt idx="399">
                  <c:v>4.3468571521925279</c:v>
                </c:pt>
                <c:pt idx="400">
                  <c:v>4.3577515310200781</c:v>
                </c:pt>
                <c:pt idx="401">
                  <c:v>4.3686459098476282</c:v>
                </c:pt>
                <c:pt idx="402">
                  <c:v>4.3795402886751784</c:v>
                </c:pt>
                <c:pt idx="403">
                  <c:v>4.3904346675027286</c:v>
                </c:pt>
                <c:pt idx="404">
                  <c:v>4.4013290463302788</c:v>
                </c:pt>
                <c:pt idx="405">
                  <c:v>4.4122234251578289</c:v>
                </c:pt>
                <c:pt idx="406">
                  <c:v>4.4231178039853791</c:v>
                </c:pt>
                <c:pt idx="407">
                  <c:v>4.4340121828129293</c:v>
                </c:pt>
                <c:pt idx="408">
                  <c:v>4.4449065616404795</c:v>
                </c:pt>
                <c:pt idx="409">
                  <c:v>4.4558009404680297</c:v>
                </c:pt>
                <c:pt idx="410">
                  <c:v>4.4666953192955798</c:v>
                </c:pt>
                <c:pt idx="411">
                  <c:v>4.47758969812313</c:v>
                </c:pt>
                <c:pt idx="412">
                  <c:v>4.4884840769506802</c:v>
                </c:pt>
                <c:pt idx="413">
                  <c:v>4.4993784557782304</c:v>
                </c:pt>
                <c:pt idx="414">
                  <c:v>4.5102728346057805</c:v>
                </c:pt>
                <c:pt idx="415">
                  <c:v>4.5211672134333307</c:v>
                </c:pt>
                <c:pt idx="416">
                  <c:v>4.5320615922608809</c:v>
                </c:pt>
              </c:numCache>
            </c:numRef>
          </c:xVal>
          <c:yVal>
            <c:numRef>
              <c:f>'SOLLECITAZ NASCOSTO'!$J$32:$J$448</c:f>
              <c:numCache>
                <c:formatCode>0.0000</c:formatCode>
                <c:ptCount val="417"/>
                <c:pt idx="0">
                  <c:v>6.8727105802353333E-2</c:v>
                </c:pt>
                <c:pt idx="1">
                  <c:v>6.8939384531778461E-2</c:v>
                </c:pt>
                <c:pt idx="2">
                  <c:v>6.915341624704989E-2</c:v>
                </c:pt>
                <c:pt idx="3">
                  <c:v>6.9369192918053699E-2</c:v>
                </c:pt>
                <c:pt idx="4">
                  <c:v>6.9586706563647238E-2</c:v>
                </c:pt>
                <c:pt idx="5">
                  <c:v>6.9805949251286303E-2</c:v>
                </c:pt>
                <c:pt idx="6">
                  <c:v>7.002691309665586E-2</c:v>
                </c:pt>
                <c:pt idx="7">
                  <c:v>7.0249590263304074E-2</c:v>
                </c:pt>
                <c:pt idx="8">
                  <c:v>7.0473972962279613E-2</c:v>
                </c:pt>
                <c:pt idx="9">
                  <c:v>7.0700053451772313E-2</c:v>
                </c:pt>
                <c:pt idx="10">
                  <c:v>7.0927824036757084E-2</c:v>
                </c:pt>
                <c:pt idx="11">
                  <c:v>7.1157277068640973E-2</c:v>
                </c:pt>
                <c:pt idx="12">
                  <c:v>7.1388404944913553E-2</c:v>
                </c:pt>
                <c:pt idx="13">
                  <c:v>7.162120010880034E-2</c:v>
                </c:pt>
                <c:pt idx="14">
                  <c:v>7.1855655048919428E-2</c:v>
                </c:pt>
                <c:pt idx="15">
                  <c:v>7.2091762298941084E-2</c:v>
                </c:pt>
                <c:pt idx="16">
                  <c:v>7.2329514437250539E-2</c:v>
                </c:pt>
                <c:pt idx="17">
                  <c:v>7.2568904086613775E-2</c:v>
                </c:pt>
                <c:pt idx="18">
                  <c:v>7.2809923913846192E-2</c:v>
                </c:pt>
                <c:pt idx="19">
                  <c:v>7.3052566629484408E-2</c:v>
                </c:pt>
                <c:pt idx="20">
                  <c:v>7.3296824987460887E-2</c:v>
                </c:pt>
                <c:pt idx="21">
                  <c:v>7.3542691784781414E-2</c:v>
                </c:pt>
                <c:pt idx="22">
                  <c:v>7.3790159861205643E-2</c:v>
                </c:pt>
                <c:pt idx="23">
                  <c:v>7.4039222098930227E-2</c:v>
                </c:pt>
                <c:pt idx="24">
                  <c:v>7.4289871422275014E-2</c:v>
                </c:pt>
                <c:pt idx="25">
                  <c:v>7.4542100797371766E-2</c:v>
                </c:pt>
                <c:pt idx="26">
                  <c:v>7.4795903231855906E-2</c:v>
                </c:pt>
                <c:pt idx="27">
                  <c:v>7.5051271774560738E-2</c:v>
                </c:pt>
                <c:pt idx="28">
                  <c:v>7.5308199515214544E-2</c:v>
                </c:pt>
                <c:pt idx="29">
                  <c:v>7.5566679584140303E-2</c:v>
                </c:pt>
                <c:pt idx="30">
                  <c:v>7.582670515195794E-2</c:v>
                </c:pt>
                <c:pt idx="31">
                  <c:v>7.6088269429289354E-2</c:v>
                </c:pt>
                <c:pt idx="32">
                  <c:v>7.6351365666465998E-2</c:v>
                </c:pt>
                <c:pt idx="33">
                  <c:v>7.6615987153238904E-2</c:v>
                </c:pt>
                <c:pt idx="34">
                  <c:v>7.68821272184914E-2</c:v>
                </c:pt>
                <c:pt idx="35">
                  <c:v>7.714977922995421E-2</c:v>
                </c:pt>
                <c:pt idx="36">
                  <c:v>7.7418936593923127E-2</c:v>
                </c:pt>
                <c:pt idx="37">
                  <c:v>7.7689592754979095E-2</c:v>
                </c:pt>
                <c:pt idx="38">
                  <c:v>7.796174119571074E-2</c:v>
                </c:pt>
                <c:pt idx="39">
                  <c:v>7.8235375436439367E-2</c:v>
                </c:pt>
                <c:pt idx="40">
                  <c:v>7.8510489034946201E-2</c:v>
                </c:pt>
                <c:pt idx="41">
                  <c:v>7.8787075586202127E-2</c:v>
                </c:pt>
                <c:pt idx="42">
                  <c:v>7.9065128722099698E-2</c:v>
                </c:pt>
                <c:pt idx="43">
                  <c:v>7.9344642111187511E-2</c:v>
                </c:pt>
                <c:pt idx="44">
                  <c:v>7.9625609458406771E-2</c:v>
                </c:pt>
                <c:pt idx="45">
                  <c:v>7.9908024504830269E-2</c:v>
                </c:pt>
                <c:pt idx="46">
                  <c:v>8.0191881027403433E-2</c:v>
                </c:pt>
                <c:pt idx="47">
                  <c:v>8.0477172838687813E-2</c:v>
                </c:pt>
                <c:pt idx="48">
                  <c:v>8.0763893786606505E-2</c:v>
                </c:pt>
                <c:pt idx="49">
                  <c:v>8.1052037754191994E-2</c:v>
                </c:pt>
                <c:pt idx="50">
                  <c:v>8.1341598659336045E-2</c:v>
                </c:pt>
                <c:pt idx="51">
                  <c:v>8.1632570454541684E-2</c:v>
                </c:pt>
                <c:pt idx="52">
                  <c:v>8.1924947126677375E-2</c:v>
                </c:pt>
                <c:pt idx="53">
                  <c:v>8.2218722696733332E-2</c:v>
                </c:pt>
                <c:pt idx="54">
                  <c:v>8.2513891219579652E-2</c:v>
                </c:pt>
                <c:pt idx="55">
                  <c:v>8.2810446783726885E-2</c:v>
                </c:pt>
                <c:pt idx="56">
                  <c:v>8.3108383511088291E-2</c:v>
                </c:pt>
                <c:pt idx="57">
                  <c:v>8.3407695556744266E-2</c:v>
                </c:pt>
                <c:pt idx="58">
                  <c:v>8.3708377108708834E-2</c:v>
                </c:pt>
                <c:pt idx="59">
                  <c:v>8.4010422387697861E-2</c:v>
                </c:pt>
                <c:pt idx="60">
                  <c:v>8.4313825646899529E-2</c:v>
                </c:pt>
                <c:pt idx="61">
                  <c:v>8.4618581171746449E-2</c:v>
                </c:pt>
                <c:pt idx="62">
                  <c:v>8.4924683279689966E-2</c:v>
                </c:pt>
                <c:pt idx="63">
                  <c:v>8.5232126319976093E-2</c:v>
                </c:pt>
                <c:pt idx="64">
                  <c:v>8.5540904673423568E-2</c:v>
                </c:pt>
                <c:pt idx="65">
                  <c:v>8.5851012752203568E-2</c:v>
                </c:pt>
                <c:pt idx="66">
                  <c:v>8.6162444999621376E-2</c:v>
                </c:pt>
                <c:pt idx="67">
                  <c:v>8.6475195889899867E-2</c:v>
                </c:pt>
                <c:pt idx="68">
                  <c:v>8.6789259927964699E-2</c:v>
                </c:pt>
                <c:pt idx="69">
                  <c:v>8.7104631649231518E-2</c:v>
                </c:pt>
                <c:pt idx="70">
                  <c:v>8.7421305619394568E-2</c:v>
                </c:pt>
                <c:pt idx="71">
                  <c:v>8.7739276434217445E-2</c:v>
                </c:pt>
                <c:pt idx="72">
                  <c:v>8.8058538719325327E-2</c:v>
                </c:pt>
                <c:pt idx="73">
                  <c:v>8.8379087129999048E-2</c:v>
                </c:pt>
                <c:pt idx="74">
                  <c:v>8.8700916350970771E-2</c:v>
                </c:pt>
                <c:pt idx="75">
                  <c:v>8.9024021096221442E-2</c:v>
                </c:pt>
                <c:pt idx="76">
                  <c:v>8.9348396108779926E-2</c:v>
                </c:pt>
                <c:pt idx="77">
                  <c:v>8.9674036160523649E-2</c:v>
                </c:pt>
                <c:pt idx="78">
                  <c:v>9.0000936051981076E-2</c:v>
                </c:pt>
                <c:pt idx="79">
                  <c:v>9.0329090612135607E-2</c:v>
                </c:pt>
                <c:pt idx="80">
                  <c:v>9.065849469823134E-2</c:v>
                </c:pt>
                <c:pt idx="81">
                  <c:v>9.0989143195580102E-2</c:v>
                </c:pt>
                <c:pt idx="82">
                  <c:v>9.1321031017370394E-2</c:v>
                </c:pt>
                <c:pt idx="83">
                  <c:v>9.1654153104477526E-2</c:v>
                </c:pt>
                <c:pt idx="84">
                  <c:v>9.198850442527573E-2</c:v>
                </c:pt>
                <c:pt idx="85">
                  <c:v>9.2324079975451404E-2</c:v>
                </c:pt>
                <c:pt idx="86">
                  <c:v>9.2660874777818134E-2</c:v>
                </c:pt>
                <c:pt idx="87">
                  <c:v>9.2998883882133121E-2</c:v>
                </c:pt>
                <c:pt idx="88">
                  <c:v>9.3338102364914993E-2</c:v>
                </c:pt>
                <c:pt idx="89">
                  <c:v>9.3678525329263476E-2</c:v>
                </c:pt>
                <c:pt idx="90">
                  <c:v>9.4020147904679927E-2</c:v>
                </c:pt>
                <c:pt idx="91">
                  <c:v>9.4362965246889821E-2</c:v>
                </c:pt>
                <c:pt idx="92">
                  <c:v>9.4706972537666537E-2</c:v>
                </c:pt>
                <c:pt idx="93">
                  <c:v>9.5052164984656351E-2</c:v>
                </c:pt>
                <c:pt idx="94">
                  <c:v>9.5398537821205151E-2</c:v>
                </c:pt>
                <c:pt idx="95">
                  <c:v>9.5746086306186376E-2</c:v>
                </c:pt>
                <c:pt idx="96">
                  <c:v>9.6094805723830237E-2</c:v>
                </c:pt>
                <c:pt idx="97">
                  <c:v>9.6444691383554562E-2</c:v>
                </c:pt>
                <c:pt idx="98">
                  <c:v>9.6795738619796803E-2</c:v>
                </c:pt>
                <c:pt idx="99">
                  <c:v>9.7147942791847366E-2</c:v>
                </c:pt>
                <c:pt idx="100">
                  <c:v>9.7501299283684534E-2</c:v>
                </c:pt>
                <c:pt idx="101">
                  <c:v>9.7855803503810374E-2</c:v>
                </c:pt>
                <c:pt idx="102">
                  <c:v>9.8211450885088036E-2</c:v>
                </c:pt>
                <c:pt idx="103">
                  <c:v>9.8568236884580565E-2</c:v>
                </c:pt>
                <c:pt idx="104">
                  <c:v>9.8926156983390745E-2</c:v>
                </c:pt>
                <c:pt idx="105">
                  <c:v>9.9285206686502259E-2</c:v>
                </c:pt>
                <c:pt idx="106">
                  <c:v>9.9645381522622145E-2</c:v>
                </c:pt>
                <c:pt idx="107">
                  <c:v>0.10000667704402465</c:v>
                </c:pt>
                <c:pt idx="108">
                  <c:v>0.10036908882639596</c:v>
                </c:pt>
                <c:pt idx="109">
                  <c:v>0.10073261246868048</c:v>
                </c:pt>
                <c:pt idx="110">
                  <c:v>0.10109724359292811</c:v>
                </c:pt>
                <c:pt idx="111">
                  <c:v>0.10146297784414302</c:v>
                </c:pt>
                <c:pt idx="112">
                  <c:v>0.10182981089013299</c:v>
                </c:pt>
                <c:pt idx="113">
                  <c:v>0.10219773842136091</c:v>
                </c:pt>
                <c:pt idx="114">
                  <c:v>0.10256675615079638</c:v>
                </c:pt>
                <c:pt idx="115">
                  <c:v>0.10293685981376924</c:v>
                </c:pt>
                <c:pt idx="116">
                  <c:v>0.10330804516782396</c:v>
                </c:pt>
                <c:pt idx="117">
                  <c:v>0.1036803079925751</c:v>
                </c:pt>
                <c:pt idx="118">
                  <c:v>0.10405364408956402</c:v>
                </c:pt>
                <c:pt idx="119">
                  <c:v>0.1044280492821167</c:v>
                </c:pt>
                <c:pt idx="120">
                  <c:v>0.10480351941520252</c:v>
                </c:pt>
                <c:pt idx="121">
                  <c:v>0.1051800503552944</c:v>
                </c:pt>
                <c:pt idx="122">
                  <c:v>0.10555763799022977</c:v>
                </c:pt>
                <c:pt idx="123">
                  <c:v>0.10593627822907269</c:v>
                </c:pt>
                <c:pt idx="124">
                  <c:v>0.10631596700197721</c:v>
                </c:pt>
                <c:pt idx="125">
                  <c:v>0.1066967002600515</c:v>
                </c:pt>
                <c:pt idx="126">
                  <c:v>0.10707847397522316</c:v>
                </c:pt>
                <c:pt idx="127">
                  <c:v>0.10746128414010572</c:v>
                </c:pt>
                <c:pt idx="128">
                  <c:v>0.10784512676786587</c:v>
                </c:pt>
                <c:pt idx="129">
                  <c:v>0.10822999789209188</c:v>
                </c:pt>
                <c:pt idx="130">
                  <c:v>0.10861589356666317</c:v>
                </c:pt>
                <c:pt idx="131">
                  <c:v>0.10900280986562044</c:v>
                </c:pt>
                <c:pt idx="132">
                  <c:v>0.10939074288303739</c:v>
                </c:pt>
                <c:pt idx="133">
                  <c:v>0.10977968873289289</c:v>
                </c:pt>
                <c:pt idx="134">
                  <c:v>0.11016964354894433</c:v>
                </c:pt>
                <c:pt idx="135">
                  <c:v>0.11056060348460216</c:v>
                </c:pt>
                <c:pt idx="136">
                  <c:v>0.1109525647128049</c:v>
                </c:pt>
                <c:pt idx="137">
                  <c:v>0.11134552342589558</c:v>
                </c:pt>
                <c:pt idx="138">
                  <c:v>0.11173947583549884</c:v>
                </c:pt>
                <c:pt idx="139">
                  <c:v>0.11213441817239901</c:v>
                </c:pt>
                <c:pt idx="140">
                  <c:v>0.11253034668641915</c:v>
                </c:pt>
                <c:pt idx="141">
                  <c:v>0.112927257646301</c:v>
                </c:pt>
                <c:pt idx="142">
                  <c:v>0.1133251473395859</c:v>
                </c:pt>
                <c:pt idx="143">
                  <c:v>0.1137240120724964</c:v>
                </c:pt>
                <c:pt idx="144">
                  <c:v>0.11412384816981894</c:v>
                </c:pt>
                <c:pt idx="145">
                  <c:v>0.11452465197478751</c:v>
                </c:pt>
                <c:pt idx="146">
                  <c:v>0.11492641984896788</c:v>
                </c:pt>
                <c:pt idx="147">
                  <c:v>0.11532914817214299</c:v>
                </c:pt>
                <c:pt idx="148">
                  <c:v>0.11573283334219897</c:v>
                </c:pt>
                <c:pt idx="149">
                  <c:v>0.11613747177501219</c:v>
                </c:pt>
                <c:pt idx="150">
                  <c:v>0.11654305990433708</c:v>
                </c:pt>
                <c:pt idx="151">
                  <c:v>0.11694959418169486</c:v>
                </c:pt>
                <c:pt idx="152">
                  <c:v>0.11735707107626286</c:v>
                </c:pt>
                <c:pt idx="153">
                  <c:v>0.11776548707476506</c:v>
                </c:pt>
                <c:pt idx="154">
                  <c:v>0.11817483868136303</c:v>
                </c:pt>
                <c:pt idx="155">
                  <c:v>0.11858512241754804</c:v>
                </c:pt>
                <c:pt idx="156">
                  <c:v>0.1189963348220337</c:v>
                </c:pt>
                <c:pt idx="157">
                  <c:v>0.11940847245064948</c:v>
                </c:pt>
                <c:pt idx="158">
                  <c:v>0.11982153187623527</c:v>
                </c:pt>
                <c:pt idx="159">
                  <c:v>0.12023550968853614</c:v>
                </c:pt>
                <c:pt idx="160">
                  <c:v>0.12065040249409857</c:v>
                </c:pt>
                <c:pt idx="161">
                  <c:v>0.12106620691616686</c:v>
                </c:pt>
                <c:pt idx="162">
                  <c:v>0.12148291959458075</c:v>
                </c:pt>
                <c:pt idx="163">
                  <c:v>0.12190053718567338</c:v>
                </c:pt>
                <c:pt idx="164">
                  <c:v>0.12231905636217048</c:v>
                </c:pt>
                <c:pt idx="165">
                  <c:v>0.12273847381308968</c:v>
                </c:pt>
                <c:pt idx="166">
                  <c:v>0.12315878624364132</c:v>
                </c:pt>
                <c:pt idx="167">
                  <c:v>0.12357999037512933</c:v>
                </c:pt>
                <c:pt idx="168">
                  <c:v>0.1240020829448531</c:v>
                </c:pt>
                <c:pt idx="169">
                  <c:v>0.12442506070601007</c:v>
                </c:pt>
                <c:pt idx="170">
                  <c:v>0.12484892042759921</c:v>
                </c:pt>
                <c:pt idx="171">
                  <c:v>0.12527365889432465</c:v>
                </c:pt>
                <c:pt idx="172">
                  <c:v>0.12569927290650068</c:v>
                </c:pt>
                <c:pt idx="173">
                  <c:v>0.12612575927995689</c:v>
                </c:pt>
                <c:pt idx="174">
                  <c:v>0.12655311484594453</c:v>
                </c:pt>
                <c:pt idx="175">
                  <c:v>0.12698133645104295</c:v>
                </c:pt>
                <c:pt idx="176">
                  <c:v>0.12741042095706734</c:v>
                </c:pt>
                <c:pt idx="177">
                  <c:v>0.12784036524097642</c:v>
                </c:pt>
                <c:pt idx="178">
                  <c:v>0.12827116619478171</c:v>
                </c:pt>
                <c:pt idx="179">
                  <c:v>0.1287028207254565</c:v>
                </c:pt>
                <c:pt idx="180">
                  <c:v>0.12913532575484613</c:v>
                </c:pt>
                <c:pt idx="181">
                  <c:v>0.12956867821957876</c:v>
                </c:pt>
                <c:pt idx="182">
                  <c:v>0.1300028750709766</c:v>
                </c:pt>
                <c:pt idx="183">
                  <c:v>0.13043791327496806</c:v>
                </c:pt>
                <c:pt idx="184">
                  <c:v>0.13087378981200018</c:v>
                </c:pt>
                <c:pt idx="185">
                  <c:v>0.13131050167695213</c:v>
                </c:pt>
                <c:pt idx="186">
                  <c:v>0.13174804587904881</c:v>
                </c:pt>
                <c:pt idx="187">
                  <c:v>0.13218641944177567</c:v>
                </c:pt>
                <c:pt idx="188">
                  <c:v>0.13262561940279363</c:v>
                </c:pt>
                <c:pt idx="189">
                  <c:v>0.13306564281385463</c:v>
                </c:pt>
                <c:pt idx="190">
                  <c:v>0.13350648674071838</c:v>
                </c:pt>
                <c:pt idx="191">
                  <c:v>0.13394814826306881</c:v>
                </c:pt>
                <c:pt idx="192">
                  <c:v>0.13439062447443195</c:v>
                </c:pt>
                <c:pt idx="193">
                  <c:v>0.1348339124820937</c:v>
                </c:pt>
                <c:pt idx="194">
                  <c:v>0.13527800940701873</c:v>
                </c:pt>
                <c:pt idx="195">
                  <c:v>0.13572291238376957</c:v>
                </c:pt>
                <c:pt idx="196">
                  <c:v>0.13616861856042653</c:v>
                </c:pt>
                <c:pt idx="197">
                  <c:v>0.13661512509850807</c:v>
                </c:pt>
                <c:pt idx="198">
                  <c:v>0.13706242917289158</c:v>
                </c:pt>
                <c:pt idx="199">
                  <c:v>0.13751052797173519</c:v>
                </c:pt>
                <c:pt idx="200">
                  <c:v>0.13795941869639952</c:v>
                </c:pt>
                <c:pt idx="201">
                  <c:v>0.1384090985613704</c:v>
                </c:pt>
                <c:pt idx="202">
                  <c:v>0.13885956479418216</c:v>
                </c:pt>
                <c:pt idx="203">
                  <c:v>0.13931081463534098</c:v>
                </c:pt>
                <c:pt idx="204">
                  <c:v>0.13976284533824951</c:v>
                </c:pt>
                <c:pt idx="205">
                  <c:v>0.14021565416913129</c:v>
                </c:pt>
                <c:pt idx="206">
                  <c:v>0.14066923840695619</c:v>
                </c:pt>
                <c:pt idx="207">
                  <c:v>0.14112359534336621</c:v>
                </c:pt>
                <c:pt idx="208">
                  <c:v>0.14157872228260171</c:v>
                </c:pt>
                <c:pt idx="209">
                  <c:v>0.14203461654142838</c:v>
                </c:pt>
                <c:pt idx="210">
                  <c:v>0.14249127544906431</c:v>
                </c:pt>
                <c:pt idx="211">
                  <c:v>0.14294869634710825</c:v>
                </c:pt>
                <c:pt idx="212">
                  <c:v>0.14340687658946757</c:v>
                </c:pt>
                <c:pt idx="213">
                  <c:v>0.14386581354228731</c:v>
                </c:pt>
                <c:pt idx="214">
                  <c:v>0.14432550458387944</c:v>
                </c:pt>
                <c:pt idx="215">
                  <c:v>0.14478594710465278</c:v>
                </c:pt>
                <c:pt idx="216">
                  <c:v>0.1452471385070431</c:v>
                </c:pt>
                <c:pt idx="217">
                  <c:v>0.14570907620544427</c:v>
                </c:pt>
                <c:pt idx="218">
                  <c:v>0.14617175762613913</c:v>
                </c:pt>
                <c:pt idx="219">
                  <c:v>0.14663518020723135</c:v>
                </c:pt>
                <c:pt idx="220">
                  <c:v>0.14709934139857794</c:v>
                </c:pt>
                <c:pt idx="221">
                  <c:v>0.1475642386617215</c:v>
                </c:pt>
                <c:pt idx="222">
                  <c:v>0.14802986946982369</c:v>
                </c:pt>
                <c:pt idx="223">
                  <c:v>0.14849623130759856</c:v>
                </c:pt>
                <c:pt idx="224">
                  <c:v>0.14896332167124685</c:v>
                </c:pt>
                <c:pt idx="225">
                  <c:v>0.14943113806839031</c:v>
                </c:pt>
                <c:pt idx="226">
                  <c:v>0.14989967801800677</c:v>
                </c:pt>
                <c:pt idx="227">
                  <c:v>0.15036893905036541</c:v>
                </c:pt>
                <c:pt idx="228">
                  <c:v>0.15083891870696278</c:v>
                </c:pt>
                <c:pt idx="229">
                  <c:v>0.15130961454045891</c:v>
                </c:pt>
                <c:pt idx="230">
                  <c:v>0.15178102411461414</c:v>
                </c:pt>
                <c:pt idx="231">
                  <c:v>0.15225314500422613</c:v>
                </c:pt>
                <c:pt idx="232">
                  <c:v>0.15272597479506744</c:v>
                </c:pt>
                <c:pt idx="233">
                  <c:v>0.15319951108382376</c:v>
                </c:pt>
                <c:pt idx="234">
                  <c:v>0.15367375147803197</c:v>
                </c:pt>
                <c:pt idx="235">
                  <c:v>0.15414869359601913</c:v>
                </c:pt>
                <c:pt idx="236">
                  <c:v>0.15462433506684181</c:v>
                </c:pt>
                <c:pt idx="237">
                  <c:v>0.15510067353022552</c:v>
                </c:pt>
                <c:pt idx="238">
                  <c:v>0.155577706636505</c:v>
                </c:pt>
                <c:pt idx="239">
                  <c:v>0.15605543204656447</c:v>
                </c:pt>
                <c:pt idx="240">
                  <c:v>0.15653384743177859</c:v>
                </c:pt>
                <c:pt idx="241">
                  <c:v>0.15701295047395375</c:v>
                </c:pt>
                <c:pt idx="242">
                  <c:v>0.15749273886526968</c:v>
                </c:pt>
                <c:pt idx="243">
                  <c:v>0.15797321030822142</c:v>
                </c:pt>
                <c:pt idx="244">
                  <c:v>0.158454362515562</c:v>
                </c:pt>
                <c:pt idx="245">
                  <c:v>0.1589361932102448</c:v>
                </c:pt>
                <c:pt idx="246">
                  <c:v>0.15941870012536721</c:v>
                </c:pt>
                <c:pt idx="247">
                  <c:v>0.15990188100411407</c:v>
                </c:pt>
                <c:pt idx="248">
                  <c:v>0.16038573359970143</c:v>
                </c:pt>
                <c:pt idx="249">
                  <c:v>0.16087025567532112</c:v>
                </c:pt>
                <c:pt idx="250">
                  <c:v>0.16135544500408525</c:v>
                </c:pt>
                <c:pt idx="251">
                  <c:v>0.16184129936897151</c:v>
                </c:pt>
                <c:pt idx="252">
                  <c:v>0.16232781656276837</c:v>
                </c:pt>
                <c:pt idx="253">
                  <c:v>0.16281499438802091</c:v>
                </c:pt>
                <c:pt idx="254">
                  <c:v>0.16330283065697715</c:v>
                </c:pt>
                <c:pt idx="255">
                  <c:v>0.16379132319153433</c:v>
                </c:pt>
                <c:pt idx="256">
                  <c:v>0.16428046982318592</c:v>
                </c:pt>
                <c:pt idx="257">
                  <c:v>0.16477026839296871</c:v>
                </c:pt>
                <c:pt idx="258">
                  <c:v>0.16526071675141057</c:v>
                </c:pt>
                <c:pt idx="259">
                  <c:v>0.16575181275847803</c:v>
                </c:pt>
                <c:pt idx="260">
                  <c:v>0.16624355428352483</c:v>
                </c:pt>
                <c:pt idx="261">
                  <c:v>0.16673593920524046</c:v>
                </c:pt>
                <c:pt idx="262">
                  <c:v>0.16722896541159876</c:v>
                </c:pt>
                <c:pt idx="263">
                  <c:v>0.16772263079980776</c:v>
                </c:pt>
                <c:pt idx="264">
                  <c:v>0.1682169332762587</c:v>
                </c:pt>
                <c:pt idx="265">
                  <c:v>0.16871187075647631</c:v>
                </c:pt>
                <c:pt idx="266">
                  <c:v>0.16920744116506892</c:v>
                </c:pt>
                <c:pt idx="267">
                  <c:v>0.16970364243567904</c:v>
                </c:pt>
                <c:pt idx="268">
                  <c:v>0.17020047251093429</c:v>
                </c:pt>
                <c:pt idx="269">
                  <c:v>0.17069792934239875</c:v>
                </c:pt>
                <c:pt idx="270">
                  <c:v>0.171196010890524</c:v>
                </c:pt>
                <c:pt idx="271">
                  <c:v>0.1716947151246016</c:v>
                </c:pt>
                <c:pt idx="272">
                  <c:v>0.17219404002271488</c:v>
                </c:pt>
                <c:pt idx="273">
                  <c:v>0.17269398357169161</c:v>
                </c:pt>
                <c:pt idx="274">
                  <c:v>0.17319454376705637</c:v>
                </c:pt>
                <c:pt idx="275">
                  <c:v>0.17369571861298419</c:v>
                </c:pt>
                <c:pt idx="276">
                  <c:v>0.17419750612225363</c:v>
                </c:pt>
                <c:pt idx="277">
                  <c:v>0.17469990431620044</c:v>
                </c:pt>
                <c:pt idx="278">
                  <c:v>0.1752029112246718</c:v>
                </c:pt>
                <c:pt idx="279">
                  <c:v>0.17570652488598018</c:v>
                </c:pt>
                <c:pt idx="280">
                  <c:v>0.17621074334685835</c:v>
                </c:pt>
                <c:pt idx="281">
                  <c:v>0.17671556466241409</c:v>
                </c:pt>
                <c:pt idx="282">
                  <c:v>0.17722098689608523</c:v>
                </c:pt>
                <c:pt idx="283">
                  <c:v>0.17772700811959524</c:v>
                </c:pt>
                <c:pt idx="284">
                  <c:v>0.17823362641290896</c:v>
                </c:pt>
                <c:pt idx="285">
                  <c:v>0.17874083986418854</c:v>
                </c:pt>
                <c:pt idx="286">
                  <c:v>0.17924864656974987</c:v>
                </c:pt>
                <c:pt idx="287">
                  <c:v>0.17975704463401898</c:v>
                </c:pt>
                <c:pt idx="288">
                  <c:v>0.18026603216948905</c:v>
                </c:pt>
                <c:pt idx="289">
                  <c:v>0.18077560729667747</c:v>
                </c:pt>
                <c:pt idx="290">
                  <c:v>0.1812857681440832</c:v>
                </c:pt>
                <c:pt idx="291">
                  <c:v>0.1817965128481446</c:v>
                </c:pt>
                <c:pt idx="292">
                  <c:v>0.18230783955319724</c:v>
                </c:pt>
                <c:pt idx="293">
                  <c:v>0.18281974641143209</c:v>
                </c:pt>
                <c:pt idx="294">
                  <c:v>0.18333223158285417</c:v>
                </c:pt>
                <c:pt idx="295">
                  <c:v>0.1838452932352411</c:v>
                </c:pt>
                <c:pt idx="296">
                  <c:v>0.1843589295441021</c:v>
                </c:pt>
                <c:pt idx="297">
                  <c:v>0.18487313869263752</c:v>
                </c:pt>
                <c:pt idx="298">
                  <c:v>0.18538791887169798</c:v>
                </c:pt>
                <c:pt idx="299">
                  <c:v>0.1859032682797444</c:v>
                </c:pt>
                <c:pt idx="300">
                  <c:v>0.18641918512280803</c:v>
                </c:pt>
                <c:pt idx="301">
                  <c:v>0.18693566761445046</c:v>
                </c:pt>
                <c:pt idx="302">
                  <c:v>0.18745271397572452</c:v>
                </c:pt>
                <c:pt idx="303">
                  <c:v>0.18797032243513481</c:v>
                </c:pt>
                <c:pt idx="304">
                  <c:v>0.1884884912285987</c:v>
                </c:pt>
                <c:pt idx="305">
                  <c:v>0.18900721859940781</c:v>
                </c:pt>
                <c:pt idx="306">
                  <c:v>0.18952650279818931</c:v>
                </c:pt>
                <c:pt idx="307">
                  <c:v>0.19004634208286778</c:v>
                </c:pt>
                <c:pt idx="308">
                  <c:v>0.1905667347186272</c:v>
                </c:pt>
                <c:pt idx="309">
                  <c:v>0.1910876789778731</c:v>
                </c:pt>
                <c:pt idx="310">
                  <c:v>0.19160917314019504</c:v>
                </c:pt>
                <c:pt idx="311">
                  <c:v>0.19213121549232945</c:v>
                </c:pt>
                <c:pt idx="312">
                  <c:v>0.19265380432812237</c:v>
                </c:pt>
                <c:pt idx="313">
                  <c:v>0.19317693794849264</c:v>
                </c:pt>
                <c:pt idx="314">
                  <c:v>0.19370061466139535</c:v>
                </c:pt>
                <c:pt idx="315">
                  <c:v>0.19422483278178546</c:v>
                </c:pt>
                <c:pt idx="316">
                  <c:v>0.19474959063158162</c:v>
                </c:pt>
                <c:pt idx="317">
                  <c:v>0.19527488653963024</c:v>
                </c:pt>
                <c:pt idx="318">
                  <c:v>0.19580071884166972</c:v>
                </c:pt>
                <c:pt idx="319">
                  <c:v>0.19632708588029496</c:v>
                </c:pt>
                <c:pt idx="320">
                  <c:v>0.19685398600492224</c:v>
                </c:pt>
                <c:pt idx="321">
                  <c:v>0.19738141757175406</c:v>
                </c:pt>
                <c:pt idx="322">
                  <c:v>0.19790937894374414</c:v>
                </c:pt>
                <c:pt idx="323">
                  <c:v>0.19843786849056297</c:v>
                </c:pt>
                <c:pt idx="324">
                  <c:v>0.19896688458856354</c:v>
                </c:pt>
                <c:pt idx="325">
                  <c:v>0.19949642562074688</c:v>
                </c:pt>
                <c:pt idx="326">
                  <c:v>0.20002648997672809</c:v>
                </c:pt>
                <c:pt idx="327">
                  <c:v>0.20055707605270265</c:v>
                </c:pt>
                <c:pt idx="328">
                  <c:v>0.20108818225141292</c:v>
                </c:pt>
                <c:pt idx="329">
                  <c:v>0.20161980698211451</c:v>
                </c:pt>
                <c:pt idx="330">
                  <c:v>0.20215194866054345</c:v>
                </c:pt>
                <c:pt idx="331">
                  <c:v>0.20268460570888286</c:v>
                </c:pt>
                <c:pt idx="332">
                  <c:v>0.20321777655573051</c:v>
                </c:pt>
                <c:pt idx="333">
                  <c:v>0.20375145963606611</c:v>
                </c:pt>
                <c:pt idx="334">
                  <c:v>0.20428565339121882</c:v>
                </c:pt>
                <c:pt idx="335">
                  <c:v>0.20482035626883541</c:v>
                </c:pt>
                <c:pt idx="336">
                  <c:v>0.20535556672284797</c:v>
                </c:pt>
                <c:pt idx="337">
                  <c:v>0.20589128321344219</c:v>
                </c:pt>
                <c:pt idx="338">
                  <c:v>0.20642750420702594</c:v>
                </c:pt>
                <c:pt idx="339">
                  <c:v>0.20696422817619772</c:v>
                </c:pt>
                <c:pt idx="340">
                  <c:v>0.20750145359971556</c:v>
                </c:pt>
                <c:pt idx="341">
                  <c:v>0.20803917896246588</c:v>
                </c:pt>
                <c:pt idx="342">
                  <c:v>0.20857740275543268</c:v>
                </c:pt>
                <c:pt idx="343">
                  <c:v>0.20911612347566705</c:v>
                </c:pt>
                <c:pt idx="344">
                  <c:v>0.20965533962625663</c:v>
                </c:pt>
                <c:pt idx="345">
                  <c:v>0.21019504971629502</c:v>
                </c:pt>
                <c:pt idx="346">
                  <c:v>0.2107352522608523</c:v>
                </c:pt>
                <c:pt idx="347">
                  <c:v>0.21127594578094458</c:v>
                </c:pt>
                <c:pt idx="348">
                  <c:v>0.21181712880350467</c:v>
                </c:pt>
                <c:pt idx="349">
                  <c:v>0.21235879986135203</c:v>
                </c:pt>
                <c:pt idx="350">
                  <c:v>0.21290095749316393</c:v>
                </c:pt>
                <c:pt idx="351">
                  <c:v>0.21344360024344594</c:v>
                </c:pt>
                <c:pt idx="352">
                  <c:v>0.21398672666250296</c:v>
                </c:pt>
                <c:pt idx="353">
                  <c:v>0.21453033530641022</c:v>
                </c:pt>
                <c:pt idx="354">
                  <c:v>0.21507442473698507</c:v>
                </c:pt>
                <c:pt idx="355">
                  <c:v>0.21561899352175784</c:v>
                </c:pt>
                <c:pt idx="356">
                  <c:v>0.21616404023394395</c:v>
                </c:pt>
                <c:pt idx="357">
                  <c:v>0.2167095634524156</c:v>
                </c:pt>
                <c:pt idx="358">
                  <c:v>0.21725556176167365</c:v>
                </c:pt>
                <c:pt idx="359">
                  <c:v>0.21780203375181992</c:v>
                </c:pt>
                <c:pt idx="360">
                  <c:v>0.21834897801852954</c:v>
                </c:pt>
                <c:pt idx="361">
                  <c:v>0.21889639316302331</c:v>
                </c:pt>
                <c:pt idx="362">
                  <c:v>0.21944427779204051</c:v>
                </c:pt>
                <c:pt idx="363">
                  <c:v>0.21999263051781148</c:v>
                </c:pt>
                <c:pt idx="364">
                  <c:v>0.22054144995803074</c:v>
                </c:pt>
                <c:pt idx="365">
                  <c:v>0.22109073473583032</c:v>
                </c:pt>
                <c:pt idx="366">
                  <c:v>0.2216404834797526</c:v>
                </c:pt>
                <c:pt idx="367">
                  <c:v>0.22219069482372419</c:v>
                </c:pt>
                <c:pt idx="368">
                  <c:v>0.22274136740702918</c:v>
                </c:pt>
                <c:pt idx="369">
                  <c:v>0.22329249987428323</c:v>
                </c:pt>
                <c:pt idx="370">
                  <c:v>0.22384409087540724</c:v>
                </c:pt>
                <c:pt idx="371">
                  <c:v>0.22439613906560157</c:v>
                </c:pt>
                <c:pt idx="372">
                  <c:v>0.22494864310532012</c:v>
                </c:pt>
                <c:pt idx="373">
                  <c:v>0.2255016016602448</c:v>
                </c:pt>
                <c:pt idx="374">
                  <c:v>0.22605501340126014</c:v>
                </c:pt>
                <c:pt idx="375">
                  <c:v>0.22660887700442756</c:v>
                </c:pt>
                <c:pt idx="376">
                  <c:v>0.22716319115096076</c:v>
                </c:pt>
                <c:pt idx="377">
                  <c:v>0.22771795452720023</c:v>
                </c:pt>
                <c:pt idx="378">
                  <c:v>0.22827316582458868</c:v>
                </c:pt>
                <c:pt idx="379">
                  <c:v>0.22882882373964583</c:v>
                </c:pt>
                <c:pt idx="380">
                  <c:v>0.2293849269739445</c:v>
                </c:pt>
                <c:pt idx="381">
                  <c:v>0.22994147423408548</c:v>
                </c:pt>
                <c:pt idx="382">
                  <c:v>0.23049846423167367</c:v>
                </c:pt>
                <c:pt idx="383">
                  <c:v>0.23105589568329366</c:v>
                </c:pt>
                <c:pt idx="384">
                  <c:v>0.23161376731048577</c:v>
                </c:pt>
                <c:pt idx="385">
                  <c:v>0.2321720778397221</c:v>
                </c:pt>
                <c:pt idx="386">
                  <c:v>0.23273082600238296</c:v>
                </c:pt>
                <c:pt idx="387">
                  <c:v>0.23329001053473297</c:v>
                </c:pt>
                <c:pt idx="388">
                  <c:v>0.23384963017789784</c:v>
                </c:pt>
                <c:pt idx="389">
                  <c:v>0.23440968367784079</c:v>
                </c:pt>
                <c:pt idx="390">
                  <c:v>0.23497016978533952</c:v>
                </c:pt>
                <c:pt idx="391">
                  <c:v>0.23553108725596311</c:v>
                </c:pt>
                <c:pt idx="392">
                  <c:v>0.23609243485004877</c:v>
                </c:pt>
                <c:pt idx="393">
                  <c:v>0.2366542113326795</c:v>
                </c:pt>
                <c:pt idx="394">
                  <c:v>0.23721641547366101</c:v>
                </c:pt>
                <c:pt idx="395">
                  <c:v>0.23777904604749953</c:v>
                </c:pt>
                <c:pt idx="396">
                  <c:v>0.23834210183337889</c:v>
                </c:pt>
                <c:pt idx="397">
                  <c:v>0.23890558161513872</c:v>
                </c:pt>
                <c:pt idx="398">
                  <c:v>0.23946948418125205</c:v>
                </c:pt>
                <c:pt idx="399">
                  <c:v>0.24003380832480314</c:v>
                </c:pt>
                <c:pt idx="400">
                  <c:v>0.2405985528434659</c:v>
                </c:pt>
                <c:pt idx="401">
                  <c:v>0.24116371653948168</c:v>
                </c:pt>
                <c:pt idx="402">
                  <c:v>0.2417292982196379</c:v>
                </c:pt>
                <c:pt idx="403">
                  <c:v>0.24229529669524649</c:v>
                </c:pt>
                <c:pt idx="404">
                  <c:v>0.24286171078212243</c:v>
                </c:pt>
                <c:pt idx="405">
                  <c:v>0.2434285393005621</c:v>
                </c:pt>
                <c:pt idx="406">
                  <c:v>0.24399578107532283</c:v>
                </c:pt>
                <c:pt idx="407">
                  <c:v>0.24456343493560107</c:v>
                </c:pt>
                <c:pt idx="408">
                  <c:v>0.24513149971501205</c:v>
                </c:pt>
                <c:pt idx="409">
                  <c:v>0.24569997425156859</c:v>
                </c:pt>
                <c:pt idx="410">
                  <c:v>0.24626885738766044</c:v>
                </c:pt>
                <c:pt idx="411">
                  <c:v>0.24683814797003378</c:v>
                </c:pt>
                <c:pt idx="412">
                  <c:v>0.24740784484977091</c:v>
                </c:pt>
                <c:pt idx="413">
                  <c:v>0.2479779468822694</c:v>
                </c:pt>
                <c:pt idx="414">
                  <c:v>0.24854845292722236</c:v>
                </c:pt>
                <c:pt idx="415">
                  <c:v>0.24911936184859804</c:v>
                </c:pt>
                <c:pt idx="416">
                  <c:v>0.24969067251461985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13-4C0E-988F-42783F506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39169584"/>
        <c:axId val="-239170672"/>
      </c:scatterChart>
      <c:valAx>
        <c:axId val="-239169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Altezza del muro (asse z)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239170672"/>
        <c:crosses val="autoZero"/>
        <c:crossBetween val="midCat"/>
      </c:valAx>
      <c:valAx>
        <c:axId val="-23917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Posizione del</a:t>
                </a:r>
                <a:r>
                  <a:rPr lang="it-IT" baseline="0"/>
                  <a:t> baricentro riferito all'altezza massima della sezione</a:t>
                </a:r>
                <a:endParaRPr lang="it-IT"/>
              </a:p>
            </c:rich>
          </c:tx>
          <c:layout>
            <c:manualLayout>
              <c:xMode val="edge"/>
              <c:yMode val="edge"/>
              <c:x val="4.0000000000000015E-2"/>
              <c:y val="0.1526187028182348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239169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Taglio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'SOLLECITAZ NASCOSTO'!$C$32:$C$468</c:f>
              <c:numCache>
                <c:formatCode>0.000</c:formatCode>
                <c:ptCount val="437"/>
                <c:pt idx="0">
                  <c:v>0</c:v>
                </c:pt>
                <c:pt idx="1">
                  <c:v>1.0894378827550195E-2</c:v>
                </c:pt>
                <c:pt idx="2">
                  <c:v>2.1788757655100389E-2</c:v>
                </c:pt>
                <c:pt idx="3">
                  <c:v>3.2683136482650588E-2</c:v>
                </c:pt>
                <c:pt idx="4">
                  <c:v>4.3577515310200779E-2</c:v>
                </c:pt>
                <c:pt idx="5">
                  <c:v>5.447189413775097E-2</c:v>
                </c:pt>
                <c:pt idx="6">
                  <c:v>6.5366272965301175E-2</c:v>
                </c:pt>
                <c:pt idx="7">
                  <c:v>7.6260651792851367E-2</c:v>
                </c:pt>
                <c:pt idx="8">
                  <c:v>8.7155030620401558E-2</c:v>
                </c:pt>
                <c:pt idx="9">
                  <c:v>9.8049409447951749E-2</c:v>
                </c:pt>
                <c:pt idx="10">
                  <c:v>0.10894378827550194</c:v>
                </c:pt>
                <c:pt idx="11">
                  <c:v>0.11983816710305215</c:v>
                </c:pt>
                <c:pt idx="12">
                  <c:v>0.13073254593060235</c:v>
                </c:pt>
                <c:pt idx="13">
                  <c:v>0.14162692475815253</c:v>
                </c:pt>
                <c:pt idx="14">
                  <c:v>0.15252130358570273</c:v>
                </c:pt>
                <c:pt idx="15">
                  <c:v>0.16341568241325291</c:v>
                </c:pt>
                <c:pt idx="16">
                  <c:v>0.17431006124080312</c:v>
                </c:pt>
                <c:pt idx="17">
                  <c:v>0.18520444006835332</c:v>
                </c:pt>
                <c:pt idx="18">
                  <c:v>0.1960988188959035</c:v>
                </c:pt>
                <c:pt idx="19">
                  <c:v>0.2069931977234537</c:v>
                </c:pt>
                <c:pt idx="20">
                  <c:v>0.21788757655100388</c:v>
                </c:pt>
                <c:pt idx="21">
                  <c:v>0.22878195537855409</c:v>
                </c:pt>
                <c:pt idx="22">
                  <c:v>0.23967633420610429</c:v>
                </c:pt>
                <c:pt idx="23">
                  <c:v>0.25057071303365447</c:v>
                </c:pt>
                <c:pt idx="24">
                  <c:v>0.2614650918612047</c:v>
                </c:pt>
                <c:pt idx="25">
                  <c:v>0.27235947068875488</c:v>
                </c:pt>
                <c:pt idx="26">
                  <c:v>0.28325384951630506</c:v>
                </c:pt>
                <c:pt idx="27">
                  <c:v>0.29414822834385523</c:v>
                </c:pt>
                <c:pt idx="28">
                  <c:v>0.30504260717140547</c:v>
                </c:pt>
                <c:pt idx="29">
                  <c:v>0.31593698599895564</c:v>
                </c:pt>
                <c:pt idx="30">
                  <c:v>0.32683136482650582</c:v>
                </c:pt>
                <c:pt idx="31">
                  <c:v>0.33772574365405605</c:v>
                </c:pt>
                <c:pt idx="32">
                  <c:v>0.34862012248160623</c:v>
                </c:pt>
                <c:pt idx="33">
                  <c:v>0.35951450130915641</c:v>
                </c:pt>
                <c:pt idx="34">
                  <c:v>0.37040888013670664</c:v>
                </c:pt>
                <c:pt idx="35">
                  <c:v>0.38130325896425682</c:v>
                </c:pt>
                <c:pt idx="36">
                  <c:v>0.392197637791807</c:v>
                </c:pt>
                <c:pt idx="37">
                  <c:v>0.40309201661935723</c:v>
                </c:pt>
                <c:pt idx="38">
                  <c:v>0.41398639544690741</c:v>
                </c:pt>
                <c:pt idx="39">
                  <c:v>0.42488077427445758</c:v>
                </c:pt>
                <c:pt idx="40">
                  <c:v>0.43577515310200776</c:v>
                </c:pt>
                <c:pt idx="41">
                  <c:v>0.44666953192955799</c:v>
                </c:pt>
                <c:pt idx="42">
                  <c:v>0.45756391075710817</c:v>
                </c:pt>
                <c:pt idx="43">
                  <c:v>0.46845828958465835</c:v>
                </c:pt>
                <c:pt idx="44">
                  <c:v>0.47935266841220858</c:v>
                </c:pt>
                <c:pt idx="45">
                  <c:v>0.49024704723975876</c:v>
                </c:pt>
                <c:pt idx="46">
                  <c:v>0.50114142606730894</c:v>
                </c:pt>
                <c:pt idx="47">
                  <c:v>0.51203580489485911</c:v>
                </c:pt>
                <c:pt idx="48">
                  <c:v>0.5229301837224094</c:v>
                </c:pt>
                <c:pt idx="49">
                  <c:v>0.53382456254995958</c:v>
                </c:pt>
                <c:pt idx="50">
                  <c:v>0.54471894137750976</c:v>
                </c:pt>
                <c:pt idx="51">
                  <c:v>0.55561332020505994</c:v>
                </c:pt>
                <c:pt idx="52">
                  <c:v>0.56650769903261011</c:v>
                </c:pt>
                <c:pt idx="53">
                  <c:v>0.57740207786016029</c:v>
                </c:pt>
                <c:pt idx="54">
                  <c:v>0.58829645668771047</c:v>
                </c:pt>
                <c:pt idx="55">
                  <c:v>0.59919083551526076</c:v>
                </c:pt>
                <c:pt idx="56">
                  <c:v>0.61008521434281093</c:v>
                </c:pt>
                <c:pt idx="57">
                  <c:v>0.62097959317036111</c:v>
                </c:pt>
                <c:pt idx="58">
                  <c:v>0.63187397199791129</c:v>
                </c:pt>
                <c:pt idx="59">
                  <c:v>0.64276835082546147</c:v>
                </c:pt>
                <c:pt idx="60">
                  <c:v>0.65366272965301164</c:v>
                </c:pt>
                <c:pt idx="61">
                  <c:v>0.66455710848056193</c:v>
                </c:pt>
                <c:pt idx="62">
                  <c:v>0.67545148730811211</c:v>
                </c:pt>
                <c:pt idx="63">
                  <c:v>0.68634586613566229</c:v>
                </c:pt>
                <c:pt idx="64">
                  <c:v>0.69724024496321246</c:v>
                </c:pt>
                <c:pt idx="65">
                  <c:v>0.70813462379076264</c:v>
                </c:pt>
                <c:pt idx="66">
                  <c:v>0.71902900261831282</c:v>
                </c:pt>
                <c:pt idx="67">
                  <c:v>0.729923381445863</c:v>
                </c:pt>
                <c:pt idx="68">
                  <c:v>0.74081776027341328</c:v>
                </c:pt>
                <c:pt idx="69">
                  <c:v>0.75171213910096346</c:v>
                </c:pt>
                <c:pt idx="70">
                  <c:v>0.76260651792851364</c:v>
                </c:pt>
                <c:pt idx="71">
                  <c:v>0.77350089675606382</c:v>
                </c:pt>
                <c:pt idx="72">
                  <c:v>0.78439527558361399</c:v>
                </c:pt>
                <c:pt idx="73">
                  <c:v>0.79528965441116417</c:v>
                </c:pt>
                <c:pt idx="74">
                  <c:v>0.80618403323871446</c:v>
                </c:pt>
                <c:pt idx="75">
                  <c:v>0.81707841206626464</c:v>
                </c:pt>
                <c:pt idx="76">
                  <c:v>0.82797279089381481</c:v>
                </c:pt>
                <c:pt idx="77">
                  <c:v>0.83886716972136499</c:v>
                </c:pt>
                <c:pt idx="78">
                  <c:v>0.84976154854891517</c:v>
                </c:pt>
                <c:pt idx="79">
                  <c:v>0.86065592737646535</c:v>
                </c:pt>
                <c:pt idx="80">
                  <c:v>0.87155030620401552</c:v>
                </c:pt>
                <c:pt idx="81">
                  <c:v>0.88244468503156581</c:v>
                </c:pt>
                <c:pt idx="82">
                  <c:v>0.89333906385911599</c:v>
                </c:pt>
                <c:pt idx="83">
                  <c:v>0.90423344268666617</c:v>
                </c:pt>
                <c:pt idx="84">
                  <c:v>0.91512782151421634</c:v>
                </c:pt>
                <c:pt idx="85">
                  <c:v>0.92602220034176652</c:v>
                </c:pt>
                <c:pt idx="86">
                  <c:v>0.9369165791693167</c:v>
                </c:pt>
                <c:pt idx="87">
                  <c:v>0.94781095799686699</c:v>
                </c:pt>
                <c:pt idx="88">
                  <c:v>0.95870533682441716</c:v>
                </c:pt>
                <c:pt idx="89">
                  <c:v>0.96959971565196734</c:v>
                </c:pt>
                <c:pt idx="90">
                  <c:v>0.98049409447951752</c:v>
                </c:pt>
                <c:pt idx="91">
                  <c:v>0.9913884733070677</c:v>
                </c:pt>
                <c:pt idx="92">
                  <c:v>1.0022828521346179</c:v>
                </c:pt>
                <c:pt idx="93">
                  <c:v>1.0131772309621681</c:v>
                </c:pt>
                <c:pt idx="94">
                  <c:v>1.0240716097897182</c:v>
                </c:pt>
                <c:pt idx="95">
                  <c:v>1.0349659886172684</c:v>
                </c:pt>
                <c:pt idx="96">
                  <c:v>1.0458603674448188</c:v>
                </c:pt>
                <c:pt idx="97">
                  <c:v>1.056754746272369</c:v>
                </c:pt>
                <c:pt idx="98">
                  <c:v>1.0676491250999192</c:v>
                </c:pt>
                <c:pt idx="99">
                  <c:v>1.0785435039274693</c:v>
                </c:pt>
                <c:pt idx="100">
                  <c:v>1.0894378827550195</c:v>
                </c:pt>
                <c:pt idx="101">
                  <c:v>1.1003322615825697</c:v>
                </c:pt>
                <c:pt idx="102">
                  <c:v>1.1112266404101199</c:v>
                </c:pt>
                <c:pt idx="103">
                  <c:v>1.12212101923767</c:v>
                </c:pt>
                <c:pt idx="104">
                  <c:v>1.1330153980652202</c:v>
                </c:pt>
                <c:pt idx="105">
                  <c:v>1.1439097768927704</c:v>
                </c:pt>
                <c:pt idx="106">
                  <c:v>1.1548041557203206</c:v>
                </c:pt>
                <c:pt idx="107">
                  <c:v>1.1656985345478708</c:v>
                </c:pt>
                <c:pt idx="108">
                  <c:v>1.1765929133754209</c:v>
                </c:pt>
                <c:pt idx="109">
                  <c:v>1.1874872922029713</c:v>
                </c:pt>
                <c:pt idx="110">
                  <c:v>1.1983816710305215</c:v>
                </c:pt>
                <c:pt idx="111">
                  <c:v>1.2092760498580717</c:v>
                </c:pt>
                <c:pt idx="112">
                  <c:v>1.2201704286856219</c:v>
                </c:pt>
                <c:pt idx="113">
                  <c:v>1.231064807513172</c:v>
                </c:pt>
                <c:pt idx="114">
                  <c:v>1.2419591863407222</c:v>
                </c:pt>
                <c:pt idx="115">
                  <c:v>1.2528535651682724</c:v>
                </c:pt>
                <c:pt idx="116">
                  <c:v>1.2637479439958226</c:v>
                </c:pt>
                <c:pt idx="117">
                  <c:v>1.2746423228233728</c:v>
                </c:pt>
                <c:pt idx="118">
                  <c:v>1.2855367016509229</c:v>
                </c:pt>
                <c:pt idx="119">
                  <c:v>1.2964310804784731</c:v>
                </c:pt>
                <c:pt idx="120">
                  <c:v>1.3073254593060233</c:v>
                </c:pt>
                <c:pt idx="121">
                  <c:v>1.3182198381335735</c:v>
                </c:pt>
                <c:pt idx="122">
                  <c:v>1.3291142169611239</c:v>
                </c:pt>
                <c:pt idx="123">
                  <c:v>1.340008595788674</c:v>
                </c:pt>
                <c:pt idx="124">
                  <c:v>1.3509029746162242</c:v>
                </c:pt>
                <c:pt idx="125">
                  <c:v>1.3617973534437744</c:v>
                </c:pt>
                <c:pt idx="126">
                  <c:v>1.3726917322713246</c:v>
                </c:pt>
                <c:pt idx="127">
                  <c:v>1.3835861110988747</c:v>
                </c:pt>
                <c:pt idx="128">
                  <c:v>1.3944804899264249</c:v>
                </c:pt>
                <c:pt idx="129">
                  <c:v>1.4053748687539751</c:v>
                </c:pt>
                <c:pt idx="130">
                  <c:v>1.4162692475815253</c:v>
                </c:pt>
                <c:pt idx="131">
                  <c:v>1.4271636264090755</c:v>
                </c:pt>
                <c:pt idx="132">
                  <c:v>1.4380580052366256</c:v>
                </c:pt>
                <c:pt idx="133">
                  <c:v>1.4489523840641758</c:v>
                </c:pt>
                <c:pt idx="134">
                  <c:v>1.459846762891726</c:v>
                </c:pt>
                <c:pt idx="135">
                  <c:v>1.4707411417192764</c:v>
                </c:pt>
                <c:pt idx="136">
                  <c:v>1.4816355205468266</c:v>
                </c:pt>
                <c:pt idx="137">
                  <c:v>1.4925298993743767</c:v>
                </c:pt>
                <c:pt idx="138">
                  <c:v>1.5034242782019269</c:v>
                </c:pt>
                <c:pt idx="139">
                  <c:v>1.5143186570294771</c:v>
                </c:pt>
                <c:pt idx="140">
                  <c:v>1.5252130358570273</c:v>
                </c:pt>
                <c:pt idx="141">
                  <c:v>1.5361074146845775</c:v>
                </c:pt>
                <c:pt idx="142">
                  <c:v>1.5470017935121276</c:v>
                </c:pt>
                <c:pt idx="143">
                  <c:v>1.5578961723396778</c:v>
                </c:pt>
                <c:pt idx="144">
                  <c:v>1.568790551167228</c:v>
                </c:pt>
                <c:pt idx="145">
                  <c:v>1.5796849299947782</c:v>
                </c:pt>
                <c:pt idx="146">
                  <c:v>1.5905793088223283</c:v>
                </c:pt>
                <c:pt idx="147">
                  <c:v>1.6014736876498785</c:v>
                </c:pt>
                <c:pt idx="148">
                  <c:v>1.6123680664774289</c:v>
                </c:pt>
                <c:pt idx="149">
                  <c:v>1.6232624453049791</c:v>
                </c:pt>
                <c:pt idx="150">
                  <c:v>1.6341568241325293</c:v>
                </c:pt>
                <c:pt idx="151">
                  <c:v>1.6450512029600795</c:v>
                </c:pt>
                <c:pt idx="152">
                  <c:v>1.6559455817876296</c:v>
                </c:pt>
                <c:pt idx="153">
                  <c:v>1.6668399606151798</c:v>
                </c:pt>
                <c:pt idx="154">
                  <c:v>1.67773433944273</c:v>
                </c:pt>
                <c:pt idx="155">
                  <c:v>1.6886287182702802</c:v>
                </c:pt>
                <c:pt idx="156">
                  <c:v>1.6995230970978303</c:v>
                </c:pt>
                <c:pt idx="157">
                  <c:v>1.7104174759253805</c:v>
                </c:pt>
                <c:pt idx="158">
                  <c:v>1.7213118547529307</c:v>
                </c:pt>
                <c:pt idx="159">
                  <c:v>1.7322062335804809</c:v>
                </c:pt>
                <c:pt idx="160">
                  <c:v>1.743100612408031</c:v>
                </c:pt>
                <c:pt idx="161">
                  <c:v>1.7539949912355814</c:v>
                </c:pt>
                <c:pt idx="162">
                  <c:v>1.7648893700631316</c:v>
                </c:pt>
                <c:pt idx="163">
                  <c:v>1.7757837488906818</c:v>
                </c:pt>
                <c:pt idx="164">
                  <c:v>1.786678127718232</c:v>
                </c:pt>
                <c:pt idx="165">
                  <c:v>1.7975725065457822</c:v>
                </c:pt>
                <c:pt idx="166">
                  <c:v>1.8084668853733323</c:v>
                </c:pt>
                <c:pt idx="167">
                  <c:v>1.8193612642008825</c:v>
                </c:pt>
                <c:pt idx="168">
                  <c:v>1.8302556430284327</c:v>
                </c:pt>
                <c:pt idx="169">
                  <c:v>1.8411500218559829</c:v>
                </c:pt>
                <c:pt idx="170">
                  <c:v>1.852044400683533</c:v>
                </c:pt>
                <c:pt idx="171">
                  <c:v>1.8629387795110832</c:v>
                </c:pt>
                <c:pt idx="172">
                  <c:v>1.8738331583386334</c:v>
                </c:pt>
                <c:pt idx="173">
                  <c:v>1.8847275371661838</c:v>
                </c:pt>
                <c:pt idx="174">
                  <c:v>1.895621915993734</c:v>
                </c:pt>
                <c:pt idx="175">
                  <c:v>1.9065162948212842</c:v>
                </c:pt>
                <c:pt idx="176">
                  <c:v>1.9174106736488343</c:v>
                </c:pt>
                <c:pt idx="177">
                  <c:v>1.9283050524763845</c:v>
                </c:pt>
                <c:pt idx="178">
                  <c:v>1.9391994313039347</c:v>
                </c:pt>
                <c:pt idx="179">
                  <c:v>1.9500938101314849</c:v>
                </c:pt>
                <c:pt idx="180">
                  <c:v>1.960988188959035</c:v>
                </c:pt>
                <c:pt idx="181">
                  <c:v>1.9718825677865852</c:v>
                </c:pt>
                <c:pt idx="182">
                  <c:v>1.9827769466141354</c:v>
                </c:pt>
                <c:pt idx="183">
                  <c:v>1.9936713254416856</c:v>
                </c:pt>
                <c:pt idx="184">
                  <c:v>2.0045657042692357</c:v>
                </c:pt>
                <c:pt idx="185">
                  <c:v>2.0154600830967859</c:v>
                </c:pt>
                <c:pt idx="186">
                  <c:v>2.0263544619243361</c:v>
                </c:pt>
                <c:pt idx="187">
                  <c:v>2.0372488407518863</c:v>
                </c:pt>
                <c:pt idx="188">
                  <c:v>2.0481432195794365</c:v>
                </c:pt>
                <c:pt idx="189">
                  <c:v>2.0590375984069866</c:v>
                </c:pt>
                <c:pt idx="190">
                  <c:v>2.0699319772345368</c:v>
                </c:pt>
                <c:pt idx="191">
                  <c:v>2.080826356062087</c:v>
                </c:pt>
                <c:pt idx="192">
                  <c:v>2.0917207348896376</c:v>
                </c:pt>
                <c:pt idx="193">
                  <c:v>2.1026151137171878</c:v>
                </c:pt>
                <c:pt idx="194">
                  <c:v>2.113509492544738</c:v>
                </c:pt>
                <c:pt idx="195">
                  <c:v>2.1244038713722881</c:v>
                </c:pt>
                <c:pt idx="196">
                  <c:v>2.1352982501998383</c:v>
                </c:pt>
                <c:pt idx="197">
                  <c:v>2.1461926290273885</c:v>
                </c:pt>
                <c:pt idx="198">
                  <c:v>2.1570870078549387</c:v>
                </c:pt>
                <c:pt idx="199">
                  <c:v>2.1679813866824889</c:v>
                </c:pt>
                <c:pt idx="200">
                  <c:v>2.178875765510039</c:v>
                </c:pt>
                <c:pt idx="201">
                  <c:v>2.1897701443375892</c:v>
                </c:pt>
                <c:pt idx="202">
                  <c:v>2.2006645231651394</c:v>
                </c:pt>
                <c:pt idx="203">
                  <c:v>2.2115589019926896</c:v>
                </c:pt>
                <c:pt idx="204">
                  <c:v>2.2224532808202397</c:v>
                </c:pt>
                <c:pt idx="205">
                  <c:v>2.2333476596477899</c:v>
                </c:pt>
                <c:pt idx="206">
                  <c:v>2.2442420384753401</c:v>
                </c:pt>
                <c:pt idx="207">
                  <c:v>2.2551364173028903</c:v>
                </c:pt>
                <c:pt idx="208">
                  <c:v>2.2660307961304405</c:v>
                </c:pt>
                <c:pt idx="209">
                  <c:v>2.2769251749579906</c:v>
                </c:pt>
                <c:pt idx="210">
                  <c:v>2.2878195537855408</c:v>
                </c:pt>
                <c:pt idx="211">
                  <c:v>2.298713932613091</c:v>
                </c:pt>
                <c:pt idx="212">
                  <c:v>2.3096083114406412</c:v>
                </c:pt>
                <c:pt idx="213">
                  <c:v>2.3205026902681913</c:v>
                </c:pt>
                <c:pt idx="214">
                  <c:v>2.3313970690957415</c:v>
                </c:pt>
                <c:pt idx="215">
                  <c:v>2.3422914479232917</c:v>
                </c:pt>
                <c:pt idx="216">
                  <c:v>2.3531858267508419</c:v>
                </c:pt>
                <c:pt idx="217">
                  <c:v>2.364080205578392</c:v>
                </c:pt>
                <c:pt idx="218">
                  <c:v>2.3749745844059427</c:v>
                </c:pt>
                <c:pt idx="219">
                  <c:v>2.3858689632334928</c:v>
                </c:pt>
                <c:pt idx="220">
                  <c:v>2.396763342061043</c:v>
                </c:pt>
                <c:pt idx="221">
                  <c:v>2.4076577208885932</c:v>
                </c:pt>
                <c:pt idx="222">
                  <c:v>2.4185520997161434</c:v>
                </c:pt>
                <c:pt idx="223">
                  <c:v>2.4294464785436936</c:v>
                </c:pt>
                <c:pt idx="224">
                  <c:v>2.4403408573712437</c:v>
                </c:pt>
                <c:pt idx="225">
                  <c:v>2.4512352361987939</c:v>
                </c:pt>
                <c:pt idx="226">
                  <c:v>2.4621296150263441</c:v>
                </c:pt>
                <c:pt idx="227">
                  <c:v>2.4730239938538943</c:v>
                </c:pt>
                <c:pt idx="228">
                  <c:v>2.4839183726814444</c:v>
                </c:pt>
                <c:pt idx="229">
                  <c:v>2.4948127515089946</c:v>
                </c:pt>
                <c:pt idx="230">
                  <c:v>2.5057071303365448</c:v>
                </c:pt>
                <c:pt idx="231">
                  <c:v>2.516601509164095</c:v>
                </c:pt>
                <c:pt idx="232">
                  <c:v>2.5274958879916452</c:v>
                </c:pt>
                <c:pt idx="233">
                  <c:v>2.5383902668191953</c:v>
                </c:pt>
                <c:pt idx="234">
                  <c:v>2.5492846456467455</c:v>
                </c:pt>
                <c:pt idx="235">
                  <c:v>2.5601790244742957</c:v>
                </c:pt>
                <c:pt idx="236">
                  <c:v>2.5710734033018459</c:v>
                </c:pt>
                <c:pt idx="237">
                  <c:v>2.581967782129396</c:v>
                </c:pt>
                <c:pt idx="238">
                  <c:v>2.5928621609569462</c:v>
                </c:pt>
                <c:pt idx="239">
                  <c:v>2.6037565397844964</c:v>
                </c:pt>
                <c:pt idx="240">
                  <c:v>2.6146509186120466</c:v>
                </c:pt>
                <c:pt idx="241">
                  <c:v>2.6255452974395967</c:v>
                </c:pt>
                <c:pt idx="242">
                  <c:v>2.6364396762671469</c:v>
                </c:pt>
                <c:pt idx="243">
                  <c:v>2.6473340550946971</c:v>
                </c:pt>
                <c:pt idx="244">
                  <c:v>2.6582284339222477</c:v>
                </c:pt>
                <c:pt idx="245">
                  <c:v>2.6691228127497979</c:v>
                </c:pt>
                <c:pt idx="246">
                  <c:v>2.6800171915773481</c:v>
                </c:pt>
                <c:pt idx="247">
                  <c:v>2.6909115704048983</c:v>
                </c:pt>
                <c:pt idx="248">
                  <c:v>2.7018059492324484</c:v>
                </c:pt>
                <c:pt idx="249">
                  <c:v>2.7127003280599986</c:v>
                </c:pt>
                <c:pt idx="250">
                  <c:v>2.7235947068875488</c:v>
                </c:pt>
                <c:pt idx="251">
                  <c:v>2.734489085715099</c:v>
                </c:pt>
                <c:pt idx="252">
                  <c:v>2.7453834645426491</c:v>
                </c:pt>
                <c:pt idx="253">
                  <c:v>2.7562778433701993</c:v>
                </c:pt>
                <c:pt idx="254">
                  <c:v>2.7671722221977495</c:v>
                </c:pt>
                <c:pt idx="255">
                  <c:v>2.7780666010252997</c:v>
                </c:pt>
                <c:pt idx="256">
                  <c:v>2.7889609798528499</c:v>
                </c:pt>
                <c:pt idx="257">
                  <c:v>2.7998553586804</c:v>
                </c:pt>
                <c:pt idx="258">
                  <c:v>2.8107497375079502</c:v>
                </c:pt>
                <c:pt idx="259">
                  <c:v>2.8216441163355004</c:v>
                </c:pt>
                <c:pt idx="260">
                  <c:v>2.8325384951630506</c:v>
                </c:pt>
                <c:pt idx="261">
                  <c:v>2.8434328739906007</c:v>
                </c:pt>
                <c:pt idx="262">
                  <c:v>2.8543272528181509</c:v>
                </c:pt>
                <c:pt idx="263">
                  <c:v>2.8652216316457011</c:v>
                </c:pt>
                <c:pt idx="264">
                  <c:v>2.8761160104732513</c:v>
                </c:pt>
                <c:pt idx="265">
                  <c:v>2.8870103893008014</c:v>
                </c:pt>
                <c:pt idx="266">
                  <c:v>2.8979047681283516</c:v>
                </c:pt>
                <c:pt idx="267">
                  <c:v>2.9087991469559018</c:v>
                </c:pt>
                <c:pt idx="268">
                  <c:v>2.919693525783452</c:v>
                </c:pt>
                <c:pt idx="269">
                  <c:v>2.9305879046110026</c:v>
                </c:pt>
                <c:pt idx="270">
                  <c:v>2.9414822834385528</c:v>
                </c:pt>
                <c:pt idx="271">
                  <c:v>2.952376662266103</c:v>
                </c:pt>
                <c:pt idx="272">
                  <c:v>2.9632710410936531</c:v>
                </c:pt>
                <c:pt idx="273">
                  <c:v>2.9741654199212033</c:v>
                </c:pt>
                <c:pt idx="274">
                  <c:v>2.9850597987487535</c:v>
                </c:pt>
                <c:pt idx="275">
                  <c:v>2.9959541775763037</c:v>
                </c:pt>
                <c:pt idx="276">
                  <c:v>3.0068485564038538</c:v>
                </c:pt>
                <c:pt idx="277">
                  <c:v>3.017742935231404</c:v>
                </c:pt>
                <c:pt idx="278">
                  <c:v>3.0286373140589542</c:v>
                </c:pt>
                <c:pt idx="279">
                  <c:v>3.0395316928865044</c:v>
                </c:pt>
                <c:pt idx="280">
                  <c:v>3.0504260717140546</c:v>
                </c:pt>
                <c:pt idx="281">
                  <c:v>3.0613204505416047</c:v>
                </c:pt>
                <c:pt idx="282">
                  <c:v>3.0722148293691549</c:v>
                </c:pt>
                <c:pt idx="283">
                  <c:v>3.0831092081967051</c:v>
                </c:pt>
                <c:pt idx="284">
                  <c:v>3.0940035870242553</c:v>
                </c:pt>
                <c:pt idx="285">
                  <c:v>3.1048979658518054</c:v>
                </c:pt>
                <c:pt idx="286">
                  <c:v>3.1157923446793556</c:v>
                </c:pt>
                <c:pt idx="287">
                  <c:v>3.1266867235069058</c:v>
                </c:pt>
                <c:pt idx="288">
                  <c:v>3.137581102334456</c:v>
                </c:pt>
                <c:pt idx="289">
                  <c:v>3.1484754811620062</c:v>
                </c:pt>
                <c:pt idx="290">
                  <c:v>3.1593698599895563</c:v>
                </c:pt>
                <c:pt idx="291">
                  <c:v>3.1702642388171065</c:v>
                </c:pt>
                <c:pt idx="292">
                  <c:v>3.1811586176446567</c:v>
                </c:pt>
                <c:pt idx="293">
                  <c:v>3.1920529964722069</c:v>
                </c:pt>
                <c:pt idx="294">
                  <c:v>3.202947375299757</c:v>
                </c:pt>
                <c:pt idx="295">
                  <c:v>3.2138417541273077</c:v>
                </c:pt>
                <c:pt idx="296">
                  <c:v>3.2247361329548578</c:v>
                </c:pt>
                <c:pt idx="297">
                  <c:v>3.235630511782408</c:v>
                </c:pt>
                <c:pt idx="298">
                  <c:v>3.2465248906099582</c:v>
                </c:pt>
                <c:pt idx="299">
                  <c:v>3.2574192694375084</c:v>
                </c:pt>
                <c:pt idx="300">
                  <c:v>3.2683136482650585</c:v>
                </c:pt>
                <c:pt idx="301">
                  <c:v>3.2792080270926087</c:v>
                </c:pt>
                <c:pt idx="302">
                  <c:v>3.2901024059201589</c:v>
                </c:pt>
                <c:pt idx="303">
                  <c:v>3.3009967847477091</c:v>
                </c:pt>
                <c:pt idx="304">
                  <c:v>3.3118911635752593</c:v>
                </c:pt>
                <c:pt idx="305">
                  <c:v>3.3227855424028094</c:v>
                </c:pt>
                <c:pt idx="306">
                  <c:v>3.3336799212303596</c:v>
                </c:pt>
                <c:pt idx="307">
                  <c:v>3.3445743000579098</c:v>
                </c:pt>
                <c:pt idx="308">
                  <c:v>3.35546867888546</c:v>
                </c:pt>
                <c:pt idx="309">
                  <c:v>3.3663630577130101</c:v>
                </c:pt>
                <c:pt idx="310">
                  <c:v>3.3772574365405603</c:v>
                </c:pt>
                <c:pt idx="311">
                  <c:v>3.3881518153681105</c:v>
                </c:pt>
                <c:pt idx="312">
                  <c:v>3.3990461941956607</c:v>
                </c:pt>
                <c:pt idx="313">
                  <c:v>3.4099405730232109</c:v>
                </c:pt>
                <c:pt idx="314">
                  <c:v>3.420834951850761</c:v>
                </c:pt>
                <c:pt idx="315">
                  <c:v>3.4317293306783112</c:v>
                </c:pt>
                <c:pt idx="316">
                  <c:v>3.4426237095058614</c:v>
                </c:pt>
                <c:pt idx="317">
                  <c:v>3.4535180883334116</c:v>
                </c:pt>
                <c:pt idx="318">
                  <c:v>3.4644124671609617</c:v>
                </c:pt>
                <c:pt idx="319">
                  <c:v>3.4753068459885119</c:v>
                </c:pt>
                <c:pt idx="320">
                  <c:v>3.4862012248160621</c:v>
                </c:pt>
                <c:pt idx="321">
                  <c:v>3.4970956036436127</c:v>
                </c:pt>
                <c:pt idx="322">
                  <c:v>3.5079899824711629</c:v>
                </c:pt>
                <c:pt idx="323">
                  <c:v>3.5188843612987131</c:v>
                </c:pt>
                <c:pt idx="324">
                  <c:v>3.5297787401262632</c:v>
                </c:pt>
                <c:pt idx="325">
                  <c:v>3.5406731189538134</c:v>
                </c:pt>
                <c:pt idx="326">
                  <c:v>3.5515674977813636</c:v>
                </c:pt>
                <c:pt idx="327">
                  <c:v>3.5624618766089138</c:v>
                </c:pt>
                <c:pt idx="328">
                  <c:v>3.573356255436464</c:v>
                </c:pt>
                <c:pt idx="329">
                  <c:v>3.5842506342640141</c:v>
                </c:pt>
                <c:pt idx="330">
                  <c:v>3.5951450130915643</c:v>
                </c:pt>
                <c:pt idx="331">
                  <c:v>3.6060393919191145</c:v>
                </c:pt>
                <c:pt idx="332">
                  <c:v>3.6169337707466647</c:v>
                </c:pt>
                <c:pt idx="333">
                  <c:v>3.6278281495742148</c:v>
                </c:pt>
                <c:pt idx="334">
                  <c:v>3.638722528401765</c:v>
                </c:pt>
                <c:pt idx="335">
                  <c:v>3.6496169072293152</c:v>
                </c:pt>
                <c:pt idx="336">
                  <c:v>3.6605112860568654</c:v>
                </c:pt>
                <c:pt idx="337">
                  <c:v>3.6714056648844156</c:v>
                </c:pt>
                <c:pt idx="338">
                  <c:v>3.6823000437119657</c:v>
                </c:pt>
                <c:pt idx="339">
                  <c:v>3.6931944225395159</c:v>
                </c:pt>
                <c:pt idx="340">
                  <c:v>3.7040888013670661</c:v>
                </c:pt>
                <c:pt idx="341">
                  <c:v>3.7149831801946163</c:v>
                </c:pt>
                <c:pt idx="342">
                  <c:v>3.7258775590221664</c:v>
                </c:pt>
                <c:pt idx="343">
                  <c:v>3.7367719378497166</c:v>
                </c:pt>
                <c:pt idx="344">
                  <c:v>3.7476663166772668</c:v>
                </c:pt>
                <c:pt idx="345">
                  <c:v>3.758560695504817</c:v>
                </c:pt>
                <c:pt idx="346">
                  <c:v>3.7694550743323676</c:v>
                </c:pt>
                <c:pt idx="347">
                  <c:v>3.7803494531599178</c:v>
                </c:pt>
                <c:pt idx="348">
                  <c:v>3.7912438319874679</c:v>
                </c:pt>
                <c:pt idx="349">
                  <c:v>3.8021382108150181</c:v>
                </c:pt>
                <c:pt idx="350">
                  <c:v>3.8130325896425683</c:v>
                </c:pt>
                <c:pt idx="351">
                  <c:v>3.8239269684701185</c:v>
                </c:pt>
                <c:pt idx="352">
                  <c:v>3.8348213472976687</c:v>
                </c:pt>
                <c:pt idx="353">
                  <c:v>3.8457157261252188</c:v>
                </c:pt>
                <c:pt idx="354">
                  <c:v>3.856610104952769</c:v>
                </c:pt>
                <c:pt idx="355">
                  <c:v>3.8675044837803192</c:v>
                </c:pt>
                <c:pt idx="356">
                  <c:v>3.8783988626078694</c:v>
                </c:pt>
                <c:pt idx="357">
                  <c:v>3.8892932414354195</c:v>
                </c:pt>
                <c:pt idx="358">
                  <c:v>3.9001876202629697</c:v>
                </c:pt>
                <c:pt idx="359">
                  <c:v>3.9110819990905199</c:v>
                </c:pt>
                <c:pt idx="360">
                  <c:v>3.9219763779180701</c:v>
                </c:pt>
                <c:pt idx="361">
                  <c:v>3.9328707567456203</c:v>
                </c:pt>
                <c:pt idx="362">
                  <c:v>3.9437651355731704</c:v>
                </c:pt>
                <c:pt idx="363">
                  <c:v>3.9546595144007206</c:v>
                </c:pt>
                <c:pt idx="364">
                  <c:v>3.9655538932282708</c:v>
                </c:pt>
                <c:pt idx="365">
                  <c:v>3.976448272055821</c:v>
                </c:pt>
                <c:pt idx="366">
                  <c:v>3.9873426508833711</c:v>
                </c:pt>
                <c:pt idx="367">
                  <c:v>3.9982370297109213</c:v>
                </c:pt>
                <c:pt idx="368">
                  <c:v>4.0091314085384715</c:v>
                </c:pt>
                <c:pt idx="369">
                  <c:v>4.0200257873660217</c:v>
                </c:pt>
                <c:pt idx="370">
                  <c:v>4.0309201661935719</c:v>
                </c:pt>
                <c:pt idx="371">
                  <c:v>4.041814545021122</c:v>
                </c:pt>
                <c:pt idx="372">
                  <c:v>4.0527089238486722</c:v>
                </c:pt>
                <c:pt idx="373">
                  <c:v>4.0636033026762224</c:v>
                </c:pt>
                <c:pt idx="374">
                  <c:v>4.0744976815037726</c:v>
                </c:pt>
                <c:pt idx="375">
                  <c:v>4.0853920603313227</c:v>
                </c:pt>
                <c:pt idx="376">
                  <c:v>4.0962864391588729</c:v>
                </c:pt>
                <c:pt idx="377">
                  <c:v>4.1071808179864231</c:v>
                </c:pt>
                <c:pt idx="378">
                  <c:v>4.1180751968139733</c:v>
                </c:pt>
                <c:pt idx="379">
                  <c:v>4.1289695756415234</c:v>
                </c:pt>
                <c:pt idx="380">
                  <c:v>4.1398639544690736</c:v>
                </c:pt>
                <c:pt idx="381">
                  <c:v>4.1507583332966238</c:v>
                </c:pt>
                <c:pt idx="382">
                  <c:v>4.161652712124174</c:v>
                </c:pt>
                <c:pt idx="383">
                  <c:v>4.1725470909517242</c:v>
                </c:pt>
                <c:pt idx="384">
                  <c:v>4.1834414697792752</c:v>
                </c:pt>
                <c:pt idx="385">
                  <c:v>4.1943358486068254</c:v>
                </c:pt>
                <c:pt idx="386">
                  <c:v>4.2052302274343756</c:v>
                </c:pt>
                <c:pt idx="387">
                  <c:v>4.2161246062619258</c:v>
                </c:pt>
                <c:pt idx="388">
                  <c:v>4.2270189850894759</c:v>
                </c:pt>
                <c:pt idx="389">
                  <c:v>4.2379133639170261</c:v>
                </c:pt>
                <c:pt idx="390">
                  <c:v>4.2488077427445763</c:v>
                </c:pt>
                <c:pt idx="391">
                  <c:v>4.2597021215721265</c:v>
                </c:pt>
                <c:pt idx="392">
                  <c:v>4.2705965003996766</c:v>
                </c:pt>
                <c:pt idx="393">
                  <c:v>4.2814908792272268</c:v>
                </c:pt>
                <c:pt idx="394">
                  <c:v>4.292385258054777</c:v>
                </c:pt>
                <c:pt idx="395">
                  <c:v>4.3032796368823272</c:v>
                </c:pt>
                <c:pt idx="396">
                  <c:v>4.3141740157098774</c:v>
                </c:pt>
                <c:pt idx="397">
                  <c:v>4.3250683945374275</c:v>
                </c:pt>
                <c:pt idx="398">
                  <c:v>4.3359627733649777</c:v>
                </c:pt>
                <c:pt idx="399">
                  <c:v>4.3468571521925279</c:v>
                </c:pt>
                <c:pt idx="400">
                  <c:v>4.3577515310200781</c:v>
                </c:pt>
                <c:pt idx="401">
                  <c:v>4.3686459098476282</c:v>
                </c:pt>
                <c:pt idx="402">
                  <c:v>4.3795402886751784</c:v>
                </c:pt>
                <c:pt idx="403">
                  <c:v>4.3904346675027286</c:v>
                </c:pt>
                <c:pt idx="404">
                  <c:v>4.4013290463302788</c:v>
                </c:pt>
                <c:pt idx="405">
                  <c:v>4.4122234251578289</c:v>
                </c:pt>
                <c:pt idx="406">
                  <c:v>4.4231178039853791</c:v>
                </c:pt>
                <c:pt idx="407">
                  <c:v>4.4340121828129293</c:v>
                </c:pt>
                <c:pt idx="408">
                  <c:v>4.4449065616404795</c:v>
                </c:pt>
                <c:pt idx="409">
                  <c:v>4.4558009404680297</c:v>
                </c:pt>
                <c:pt idx="410">
                  <c:v>4.4666953192955798</c:v>
                </c:pt>
                <c:pt idx="411">
                  <c:v>4.47758969812313</c:v>
                </c:pt>
                <c:pt idx="412">
                  <c:v>4.4884840769506802</c:v>
                </c:pt>
                <c:pt idx="413">
                  <c:v>4.4993784557782304</c:v>
                </c:pt>
                <c:pt idx="414">
                  <c:v>4.5102728346057805</c:v>
                </c:pt>
                <c:pt idx="415">
                  <c:v>4.5211672134333307</c:v>
                </c:pt>
                <c:pt idx="416">
                  <c:v>4.5320615922608809</c:v>
                </c:pt>
                <c:pt idx="417">
                  <c:v>4.5570615922608813</c:v>
                </c:pt>
                <c:pt idx="418">
                  <c:v>4.5820615922608807</c:v>
                </c:pt>
                <c:pt idx="419">
                  <c:v>4.6070615922608811</c:v>
                </c:pt>
                <c:pt idx="420">
                  <c:v>4.6320615922608805</c:v>
                </c:pt>
                <c:pt idx="421">
                  <c:v>4.6570615922608809</c:v>
                </c:pt>
                <c:pt idx="422">
                  <c:v>4.6820615922608813</c:v>
                </c:pt>
                <c:pt idx="423">
                  <c:v>4.7070615922608807</c:v>
                </c:pt>
                <c:pt idx="424">
                  <c:v>4.7320615922608811</c:v>
                </c:pt>
                <c:pt idx="425">
                  <c:v>4.7570615922608805</c:v>
                </c:pt>
                <c:pt idx="426">
                  <c:v>4.7820615922608809</c:v>
                </c:pt>
                <c:pt idx="427">
                  <c:v>4.8070615922608813</c:v>
                </c:pt>
                <c:pt idx="428">
                  <c:v>4.8320615922608807</c:v>
                </c:pt>
                <c:pt idx="429">
                  <c:v>4.8570615922608811</c:v>
                </c:pt>
                <c:pt idx="430">
                  <c:v>4.8820615922608805</c:v>
                </c:pt>
                <c:pt idx="431">
                  <c:v>4.9070615922608809</c:v>
                </c:pt>
                <c:pt idx="432">
                  <c:v>4.9320615922608813</c:v>
                </c:pt>
                <c:pt idx="433">
                  <c:v>4.9570615922608807</c:v>
                </c:pt>
                <c:pt idx="434">
                  <c:v>4.9820615922608811</c:v>
                </c:pt>
                <c:pt idx="435">
                  <c:v>5.0070615922608805</c:v>
                </c:pt>
                <c:pt idx="436">
                  <c:v>5.0320615922608809</c:v>
                </c:pt>
              </c:numCache>
            </c:numRef>
          </c:xVal>
          <c:yVal>
            <c:numRef>
              <c:f>'SOLLECITAZ NASCOSTO'!$L$32:$L$468</c:f>
              <c:numCache>
                <c:formatCode>0.00</c:formatCode>
                <c:ptCount val="437"/>
                <c:pt idx="0">
                  <c:v>0</c:v>
                </c:pt>
                <c:pt idx="1">
                  <c:v>0.14817888741172053</c:v>
                </c:pt>
                <c:pt idx="2">
                  <c:v>0.29916986380093991</c:v>
                </c:pt>
                <c:pt idx="3">
                  <c:v>0.45297292916765813</c:v>
                </c:pt>
                <c:pt idx="4">
                  <c:v>0.6095880835118751</c:v>
                </c:pt>
                <c:pt idx="5">
                  <c:v>0.76901532683359086</c:v>
                </c:pt>
                <c:pt idx="6">
                  <c:v>0.9312546591328057</c:v>
                </c:pt>
                <c:pt idx="7">
                  <c:v>1.0963060804095193</c:v>
                </c:pt>
                <c:pt idx="8">
                  <c:v>1.2641695906637316</c:v>
                </c:pt>
                <c:pt idx="9">
                  <c:v>1.4348451898954426</c:v>
                </c:pt>
                <c:pt idx="10">
                  <c:v>1.6083328781046526</c:v>
                </c:pt>
                <c:pt idx="11">
                  <c:v>1.7846326552913616</c:v>
                </c:pt>
                <c:pt idx="12">
                  <c:v>1.9637445214555695</c:v>
                </c:pt>
                <c:pt idx="13">
                  <c:v>2.145668476597276</c:v>
                </c:pt>
                <c:pt idx="14">
                  <c:v>2.3304045207164816</c:v>
                </c:pt>
                <c:pt idx="15">
                  <c:v>2.5179526538131856</c:v>
                </c:pt>
                <c:pt idx="16">
                  <c:v>2.7083128758873887</c:v>
                </c:pt>
                <c:pt idx="17">
                  <c:v>2.9014851869390905</c:v>
                </c:pt>
                <c:pt idx="18">
                  <c:v>3.0974695869682911</c:v>
                </c:pt>
                <c:pt idx="19">
                  <c:v>3.2962660759749909</c:v>
                </c:pt>
                <c:pt idx="20">
                  <c:v>3.497874653959189</c:v>
                </c:pt>
                <c:pt idx="21">
                  <c:v>3.7022953209208862</c:v>
                </c:pt>
                <c:pt idx="22">
                  <c:v>3.9095280768600826</c:v>
                </c:pt>
                <c:pt idx="23">
                  <c:v>4.1195729217767774</c:v>
                </c:pt>
                <c:pt idx="24">
                  <c:v>4.3324298556709726</c:v>
                </c:pt>
                <c:pt idx="25">
                  <c:v>4.5480988785426657</c:v>
                </c:pt>
                <c:pt idx="26">
                  <c:v>4.7665799903918575</c:v>
                </c:pt>
                <c:pt idx="27">
                  <c:v>4.9878731912185481</c:v>
                </c:pt>
                <c:pt idx="28">
                  <c:v>5.2119784810227383</c:v>
                </c:pt>
                <c:pt idx="29">
                  <c:v>5.4388958598044264</c:v>
                </c:pt>
                <c:pt idx="30">
                  <c:v>5.6686253275636131</c:v>
                </c:pt>
                <c:pt idx="31">
                  <c:v>5.9011668843003005</c:v>
                </c:pt>
                <c:pt idx="32">
                  <c:v>6.1365205300144847</c:v>
                </c:pt>
                <c:pt idx="33">
                  <c:v>6.3746862647061677</c:v>
                </c:pt>
                <c:pt idx="34">
                  <c:v>6.6156640883753512</c:v>
                </c:pt>
                <c:pt idx="35">
                  <c:v>6.8594540010220326</c:v>
                </c:pt>
                <c:pt idx="36">
                  <c:v>7.1060560026462127</c:v>
                </c:pt>
                <c:pt idx="37">
                  <c:v>7.3554700932478925</c:v>
                </c:pt>
                <c:pt idx="38">
                  <c:v>7.6076962728270701</c:v>
                </c:pt>
                <c:pt idx="39">
                  <c:v>7.8627345413837464</c:v>
                </c:pt>
                <c:pt idx="40">
                  <c:v>8.1205848989179223</c:v>
                </c:pt>
                <c:pt idx="41">
                  <c:v>8.3812473454295979</c:v>
                </c:pt>
                <c:pt idx="42">
                  <c:v>8.6447218809187714</c:v>
                </c:pt>
                <c:pt idx="43">
                  <c:v>8.9110085053854426</c:v>
                </c:pt>
                <c:pt idx="44">
                  <c:v>9.1801072188296153</c:v>
                </c:pt>
                <c:pt idx="45">
                  <c:v>9.4520180212512841</c:v>
                </c:pt>
                <c:pt idx="46">
                  <c:v>9.7267409126504525</c:v>
                </c:pt>
                <c:pt idx="47">
                  <c:v>10.004275893027119</c:v>
                </c:pt>
                <c:pt idx="48">
                  <c:v>10.284622962381288</c:v>
                </c:pt>
                <c:pt idx="49">
                  <c:v>10.567782120712954</c:v>
                </c:pt>
                <c:pt idx="50">
                  <c:v>10.853753368022117</c:v>
                </c:pt>
                <c:pt idx="51">
                  <c:v>11.14253670430878</c:v>
                </c:pt>
                <c:pt idx="52">
                  <c:v>11.434132129572941</c:v>
                </c:pt>
                <c:pt idx="53">
                  <c:v>11.728539643814601</c:v>
                </c:pt>
                <c:pt idx="54">
                  <c:v>12.02575924703376</c:v>
                </c:pt>
                <c:pt idx="55">
                  <c:v>12.325790939230421</c:v>
                </c:pt>
                <c:pt idx="56">
                  <c:v>12.628634720404577</c:v>
                </c:pt>
                <c:pt idx="57">
                  <c:v>12.934290590556232</c:v>
                </c:pt>
                <c:pt idx="58">
                  <c:v>13.242758549685387</c:v>
                </c:pt>
                <c:pt idx="59">
                  <c:v>13.55403859779204</c:v>
                </c:pt>
                <c:pt idx="60">
                  <c:v>13.868130734876193</c:v>
                </c:pt>
                <c:pt idx="61">
                  <c:v>14.185034960937847</c:v>
                </c:pt>
                <c:pt idx="62">
                  <c:v>14.504751275976997</c:v>
                </c:pt>
                <c:pt idx="63">
                  <c:v>14.827279679993644</c:v>
                </c:pt>
                <c:pt idx="64">
                  <c:v>15.152620172987792</c:v>
                </c:pt>
                <c:pt idx="65">
                  <c:v>15.480772754959437</c:v>
                </c:pt>
                <c:pt idx="66">
                  <c:v>15.811737425908582</c:v>
                </c:pt>
                <c:pt idx="67">
                  <c:v>16.145514185835225</c:v>
                </c:pt>
                <c:pt idx="68">
                  <c:v>16.482103034739371</c:v>
                </c:pt>
                <c:pt idx="69">
                  <c:v>16.821503972621013</c:v>
                </c:pt>
                <c:pt idx="70">
                  <c:v>17.163716999480155</c:v>
                </c:pt>
                <c:pt idx="71">
                  <c:v>17.508742115316792</c:v>
                </c:pt>
                <c:pt idx="72">
                  <c:v>17.85657932013093</c:v>
                </c:pt>
                <c:pt idx="73">
                  <c:v>18.207228613922567</c:v>
                </c:pt>
                <c:pt idx="74">
                  <c:v>18.560689996691707</c:v>
                </c:pt>
                <c:pt idx="75">
                  <c:v>18.916963468438343</c:v>
                </c:pt>
                <c:pt idx="76">
                  <c:v>19.276049029162476</c:v>
                </c:pt>
                <c:pt idx="77">
                  <c:v>19.637946678864107</c:v>
                </c:pt>
                <c:pt idx="78">
                  <c:v>20.002656417543239</c:v>
                </c:pt>
                <c:pt idx="79">
                  <c:v>20.37017824519987</c:v>
                </c:pt>
                <c:pt idx="80">
                  <c:v>20.740512161833998</c:v>
                </c:pt>
                <c:pt idx="81">
                  <c:v>21.113658167445628</c:v>
                </c:pt>
                <c:pt idx="82">
                  <c:v>21.489616262034755</c:v>
                </c:pt>
                <c:pt idx="83">
                  <c:v>21.868386445601381</c:v>
                </c:pt>
                <c:pt idx="84">
                  <c:v>22.249968718145503</c:v>
                </c:pt>
                <c:pt idx="85">
                  <c:v>22.634363079667125</c:v>
                </c:pt>
                <c:pt idx="86">
                  <c:v>23.021569530166246</c:v>
                </c:pt>
                <c:pt idx="87">
                  <c:v>23.411588069642871</c:v>
                </c:pt>
                <c:pt idx="88">
                  <c:v>23.804418698096992</c:v>
                </c:pt>
                <c:pt idx="89">
                  <c:v>24.200061415528609</c:v>
                </c:pt>
                <c:pt idx="90">
                  <c:v>24.598516221937725</c:v>
                </c:pt>
                <c:pt idx="91">
                  <c:v>24.999783117324341</c:v>
                </c:pt>
                <c:pt idx="92">
                  <c:v>25.403862101688457</c:v>
                </c:pt>
                <c:pt idx="93">
                  <c:v>25.810753175030069</c:v>
                </c:pt>
                <c:pt idx="94">
                  <c:v>26.22045633734918</c:v>
                </c:pt>
                <c:pt idx="95">
                  <c:v>26.632971588645791</c:v>
                </c:pt>
                <c:pt idx="96">
                  <c:v>27.048298928919909</c:v>
                </c:pt>
                <c:pt idx="97">
                  <c:v>27.466438358171519</c:v>
                </c:pt>
                <c:pt idx="98">
                  <c:v>27.887389876400626</c:v>
                </c:pt>
                <c:pt idx="99">
                  <c:v>28.311153483607232</c:v>
                </c:pt>
                <c:pt idx="100">
                  <c:v>28.737729179791337</c:v>
                </c:pt>
                <c:pt idx="101">
                  <c:v>29.167116964952942</c:v>
                </c:pt>
                <c:pt idx="102">
                  <c:v>29.599316839092044</c:v>
                </c:pt>
                <c:pt idx="103">
                  <c:v>30.034328802208645</c:v>
                </c:pt>
                <c:pt idx="104">
                  <c:v>30.472152854302745</c:v>
                </c:pt>
                <c:pt idx="105">
                  <c:v>30.912788995374346</c:v>
                </c:pt>
                <c:pt idx="106">
                  <c:v>31.356237225423445</c:v>
                </c:pt>
                <c:pt idx="107">
                  <c:v>31.802497544450041</c:v>
                </c:pt>
                <c:pt idx="108">
                  <c:v>32.251569952454133</c:v>
                </c:pt>
                <c:pt idx="109">
                  <c:v>32.703454449435732</c:v>
                </c:pt>
                <c:pt idx="110">
                  <c:v>33.158151035394823</c:v>
                </c:pt>
                <c:pt idx="111">
                  <c:v>33.615659710331414</c:v>
                </c:pt>
                <c:pt idx="112">
                  <c:v>34.075980474245505</c:v>
                </c:pt>
                <c:pt idx="113">
                  <c:v>34.539113327137095</c:v>
                </c:pt>
                <c:pt idx="114">
                  <c:v>35.005058269006177</c:v>
                </c:pt>
                <c:pt idx="115">
                  <c:v>35.47381529985276</c:v>
                </c:pt>
                <c:pt idx="116">
                  <c:v>35.945384419676842</c:v>
                </c:pt>
                <c:pt idx="117">
                  <c:v>36.419765628478423</c:v>
                </c:pt>
                <c:pt idx="118">
                  <c:v>36.896958926257504</c:v>
                </c:pt>
                <c:pt idx="119">
                  <c:v>37.376964313014085</c:v>
                </c:pt>
                <c:pt idx="120">
                  <c:v>37.859781788748165</c:v>
                </c:pt>
                <c:pt idx="121">
                  <c:v>38.345411353459745</c:v>
                </c:pt>
                <c:pt idx="122">
                  <c:v>38.833853007148832</c:v>
                </c:pt>
                <c:pt idx="123">
                  <c:v>39.325106749815404</c:v>
                </c:pt>
                <c:pt idx="124">
                  <c:v>39.819172581459476</c:v>
                </c:pt>
                <c:pt idx="125">
                  <c:v>40.316050502081048</c:v>
                </c:pt>
                <c:pt idx="126">
                  <c:v>40.815740511680119</c:v>
                </c:pt>
                <c:pt idx="127">
                  <c:v>41.318242610256689</c:v>
                </c:pt>
                <c:pt idx="128">
                  <c:v>41.82355679781076</c:v>
                </c:pt>
                <c:pt idx="129">
                  <c:v>42.33168307434233</c:v>
                </c:pt>
                <c:pt idx="130">
                  <c:v>42.842621439851399</c:v>
                </c:pt>
                <c:pt idx="131">
                  <c:v>43.356371894337968</c:v>
                </c:pt>
                <c:pt idx="132">
                  <c:v>43.87293443780203</c:v>
                </c:pt>
                <c:pt idx="133">
                  <c:v>44.392309070243591</c:v>
                </c:pt>
                <c:pt idx="134">
                  <c:v>44.914495791662652</c:v>
                </c:pt>
                <c:pt idx="135">
                  <c:v>45.439494602059227</c:v>
                </c:pt>
                <c:pt idx="136">
                  <c:v>45.967305501433287</c:v>
                </c:pt>
                <c:pt idx="137">
                  <c:v>46.497928489784847</c:v>
                </c:pt>
                <c:pt idx="138">
                  <c:v>47.031363567113907</c:v>
                </c:pt>
                <c:pt idx="139">
                  <c:v>47.567610733420466</c:v>
                </c:pt>
                <c:pt idx="140">
                  <c:v>48.106669988704525</c:v>
                </c:pt>
                <c:pt idx="141">
                  <c:v>48.648541332966076</c:v>
                </c:pt>
                <c:pt idx="142">
                  <c:v>49.193224766205127</c:v>
                </c:pt>
                <c:pt idx="143">
                  <c:v>49.740720288421677</c:v>
                </c:pt>
                <c:pt idx="144">
                  <c:v>50.291027899615727</c:v>
                </c:pt>
                <c:pt idx="145">
                  <c:v>50.844147599787277</c:v>
                </c:pt>
                <c:pt idx="146">
                  <c:v>51.400079388936327</c:v>
                </c:pt>
                <c:pt idx="147">
                  <c:v>51.958823267062876</c:v>
                </c:pt>
                <c:pt idx="148">
                  <c:v>52.520379234166931</c:v>
                </c:pt>
                <c:pt idx="149">
                  <c:v>53.084747290248472</c:v>
                </c:pt>
                <c:pt idx="150">
                  <c:v>53.651927435307513</c:v>
                </c:pt>
                <c:pt idx="151">
                  <c:v>54.221919669344054</c:v>
                </c:pt>
                <c:pt idx="152">
                  <c:v>54.794723992358094</c:v>
                </c:pt>
                <c:pt idx="153">
                  <c:v>55.370340404349633</c:v>
                </c:pt>
                <c:pt idx="154">
                  <c:v>55.948768905318673</c:v>
                </c:pt>
                <c:pt idx="155">
                  <c:v>56.530009495265212</c:v>
                </c:pt>
                <c:pt idx="156">
                  <c:v>57.11406217418925</c:v>
                </c:pt>
                <c:pt idx="157">
                  <c:v>57.700926942090788</c:v>
                </c:pt>
                <c:pt idx="158">
                  <c:v>58.290603798969819</c:v>
                </c:pt>
                <c:pt idx="159">
                  <c:v>58.883092744826349</c:v>
                </c:pt>
                <c:pt idx="160">
                  <c:v>59.478393779660379</c:v>
                </c:pt>
                <c:pt idx="161">
                  <c:v>60.076506903471923</c:v>
                </c:pt>
                <c:pt idx="162">
                  <c:v>60.677432116260952</c:v>
                </c:pt>
                <c:pt idx="163">
                  <c:v>61.281169418027481</c:v>
                </c:pt>
                <c:pt idx="164">
                  <c:v>61.88771880877151</c:v>
                </c:pt>
                <c:pt idx="165">
                  <c:v>62.497080288493038</c:v>
                </c:pt>
                <c:pt idx="166">
                  <c:v>63.109253857192066</c:v>
                </c:pt>
                <c:pt idx="167">
                  <c:v>63.724239514868586</c:v>
                </c:pt>
                <c:pt idx="168">
                  <c:v>64.342037261522606</c:v>
                </c:pt>
                <c:pt idx="169">
                  <c:v>64.962647097154132</c:v>
                </c:pt>
                <c:pt idx="170">
                  <c:v>65.586069021763151</c:v>
                </c:pt>
                <c:pt idx="171">
                  <c:v>66.212303035349677</c:v>
                </c:pt>
                <c:pt idx="172">
                  <c:v>66.841349137913696</c:v>
                </c:pt>
                <c:pt idx="173">
                  <c:v>67.473207329455221</c:v>
                </c:pt>
                <c:pt idx="174">
                  <c:v>68.107877609974238</c:v>
                </c:pt>
                <c:pt idx="175">
                  <c:v>68.745359979470749</c:v>
                </c:pt>
                <c:pt idx="176">
                  <c:v>69.385654437944766</c:v>
                </c:pt>
                <c:pt idx="177">
                  <c:v>70.028760985396275</c:v>
                </c:pt>
                <c:pt idx="178">
                  <c:v>70.674679621825291</c:v>
                </c:pt>
                <c:pt idx="179">
                  <c:v>71.3234103472318</c:v>
                </c:pt>
                <c:pt idx="180">
                  <c:v>71.974953161615815</c:v>
                </c:pt>
                <c:pt idx="181">
                  <c:v>72.629308064977323</c:v>
                </c:pt>
                <c:pt idx="182">
                  <c:v>73.286475057316324</c:v>
                </c:pt>
                <c:pt idx="183">
                  <c:v>73.946454138632831</c:v>
                </c:pt>
                <c:pt idx="184">
                  <c:v>74.60924530892683</c:v>
                </c:pt>
                <c:pt idx="185">
                  <c:v>75.274848568198337</c:v>
                </c:pt>
                <c:pt idx="186">
                  <c:v>75.943263916447336</c:v>
                </c:pt>
                <c:pt idx="187">
                  <c:v>76.614491353673841</c:v>
                </c:pt>
                <c:pt idx="188">
                  <c:v>77.28853087987784</c:v>
                </c:pt>
                <c:pt idx="189">
                  <c:v>77.965382495059345</c:v>
                </c:pt>
                <c:pt idx="190">
                  <c:v>78.645046199218342</c:v>
                </c:pt>
                <c:pt idx="191">
                  <c:v>79.327521992354832</c:v>
                </c:pt>
                <c:pt idx="192">
                  <c:v>80.012809874468857</c:v>
                </c:pt>
                <c:pt idx="193">
                  <c:v>80.700909845560346</c:v>
                </c:pt>
                <c:pt idx="194">
                  <c:v>81.391821905629342</c:v>
                </c:pt>
                <c:pt idx="195">
                  <c:v>82.085546054675831</c:v>
                </c:pt>
                <c:pt idx="196">
                  <c:v>82.782082292699826</c:v>
                </c:pt>
                <c:pt idx="197">
                  <c:v>83.481430619701314</c:v>
                </c:pt>
                <c:pt idx="198">
                  <c:v>84.183591035680308</c:v>
                </c:pt>
                <c:pt idx="199">
                  <c:v>84.888563540636795</c:v>
                </c:pt>
                <c:pt idx="200">
                  <c:v>85.596348134570775</c:v>
                </c:pt>
                <c:pt idx="201">
                  <c:v>86.306944817482261</c:v>
                </c:pt>
                <c:pt idx="202">
                  <c:v>87.02035358937124</c:v>
                </c:pt>
                <c:pt idx="203">
                  <c:v>87.736574450237725</c:v>
                </c:pt>
                <c:pt idx="204">
                  <c:v>88.455607400081703</c:v>
                </c:pt>
                <c:pt idx="205">
                  <c:v>89.177452438903188</c:v>
                </c:pt>
                <c:pt idx="206">
                  <c:v>89.902109566702165</c:v>
                </c:pt>
                <c:pt idx="207">
                  <c:v>90.629578783478649</c:v>
                </c:pt>
                <c:pt idx="208">
                  <c:v>91.359860089232626</c:v>
                </c:pt>
                <c:pt idx="209">
                  <c:v>92.092953483964095</c:v>
                </c:pt>
                <c:pt idx="210">
                  <c:v>92.828858967673071</c:v>
                </c:pt>
                <c:pt idx="211">
                  <c:v>93.567576540359539</c:v>
                </c:pt>
                <c:pt idx="212">
                  <c:v>94.309106202023514</c:v>
                </c:pt>
                <c:pt idx="213">
                  <c:v>95.053447952664982</c:v>
                </c:pt>
                <c:pt idx="214">
                  <c:v>95.800601792283956</c:v>
                </c:pt>
                <c:pt idx="215">
                  <c:v>96.550567720880423</c:v>
                </c:pt>
                <c:pt idx="216">
                  <c:v>97.303345738454396</c:v>
                </c:pt>
                <c:pt idx="217">
                  <c:v>98.058935845005863</c:v>
                </c:pt>
                <c:pt idx="218">
                  <c:v>98.817338040534864</c:v>
                </c:pt>
                <c:pt idx="219">
                  <c:v>99.578552325041329</c:v>
                </c:pt>
                <c:pt idx="220">
                  <c:v>100.34257869852529</c:v>
                </c:pt>
                <c:pt idx="221">
                  <c:v>101.10941716098675</c:v>
                </c:pt>
                <c:pt idx="222">
                  <c:v>101.87906771242571</c:v>
                </c:pt>
                <c:pt idx="223">
                  <c:v>102.65153035284217</c:v>
                </c:pt>
                <c:pt idx="224">
                  <c:v>103.42680508223613</c:v>
                </c:pt>
                <c:pt idx="225">
                  <c:v>104.20489190060759</c:v>
                </c:pt>
                <c:pt idx="226">
                  <c:v>104.98579080795655</c:v>
                </c:pt>
                <c:pt idx="227">
                  <c:v>105.769501804283</c:v>
                </c:pt>
                <c:pt idx="228">
                  <c:v>106.55602488958695</c:v>
                </c:pt>
                <c:pt idx="229">
                  <c:v>107.3453600638684</c:v>
                </c:pt>
                <c:pt idx="230">
                  <c:v>108.13750732712735</c:v>
                </c:pt>
                <c:pt idx="231">
                  <c:v>108.9324666793638</c:v>
                </c:pt>
                <c:pt idx="232">
                  <c:v>109.73023812057775</c:v>
                </c:pt>
                <c:pt idx="233">
                  <c:v>110.5308216507692</c:v>
                </c:pt>
                <c:pt idx="234">
                  <c:v>111.33421726993815</c:v>
                </c:pt>
                <c:pt idx="235">
                  <c:v>112.1404249780846</c:v>
                </c:pt>
                <c:pt idx="236">
                  <c:v>112.94944477520853</c:v>
                </c:pt>
                <c:pt idx="237">
                  <c:v>113.76127666130998</c:v>
                </c:pt>
                <c:pt idx="238">
                  <c:v>114.57592063638891</c:v>
                </c:pt>
                <c:pt idx="239">
                  <c:v>115.39337670044536</c:v>
                </c:pt>
                <c:pt idx="240">
                  <c:v>116.21364485347929</c:v>
                </c:pt>
                <c:pt idx="241">
                  <c:v>117.03672509549074</c:v>
                </c:pt>
                <c:pt idx="242">
                  <c:v>117.86261742647967</c:v>
                </c:pt>
                <c:pt idx="243">
                  <c:v>118.69132184644612</c:v>
                </c:pt>
                <c:pt idx="244">
                  <c:v>119.52283835539008</c:v>
                </c:pt>
                <c:pt idx="245">
                  <c:v>120.35716695331151</c:v>
                </c:pt>
                <c:pt idx="246">
                  <c:v>121.19430764021044</c:v>
                </c:pt>
                <c:pt idx="247">
                  <c:v>122.03426041608687</c:v>
                </c:pt>
                <c:pt idx="248">
                  <c:v>122.8770252809408</c:v>
                </c:pt>
                <c:pt idx="249">
                  <c:v>123.72260223477222</c:v>
                </c:pt>
                <c:pt idx="250">
                  <c:v>124.57099127758116</c:v>
                </c:pt>
                <c:pt idx="251">
                  <c:v>125.42219240936758</c:v>
                </c:pt>
                <c:pt idx="252">
                  <c:v>126.27620563013151</c:v>
                </c:pt>
                <c:pt idx="253">
                  <c:v>127.13303093987294</c:v>
                </c:pt>
                <c:pt idx="254">
                  <c:v>127.99266833859186</c:v>
                </c:pt>
                <c:pt idx="255">
                  <c:v>128.85511782628828</c:v>
                </c:pt>
                <c:pt idx="256">
                  <c:v>129.72037940296221</c:v>
                </c:pt>
                <c:pt idx="257">
                  <c:v>130.58845306861363</c:v>
                </c:pt>
                <c:pt idx="258">
                  <c:v>131.45933882324258</c:v>
                </c:pt>
                <c:pt idx="259">
                  <c:v>132.33303666684901</c:v>
                </c:pt>
                <c:pt idx="260">
                  <c:v>133.20954659943294</c:v>
                </c:pt>
                <c:pt idx="261">
                  <c:v>134.08886862099436</c:v>
                </c:pt>
                <c:pt idx="262">
                  <c:v>134.97100273153328</c:v>
                </c:pt>
                <c:pt idx="263">
                  <c:v>135.85594893104971</c:v>
                </c:pt>
                <c:pt idx="264">
                  <c:v>136.74370721954364</c:v>
                </c:pt>
                <c:pt idx="265">
                  <c:v>137.63427759701506</c:v>
                </c:pt>
                <c:pt idx="266">
                  <c:v>138.52766006346397</c:v>
                </c:pt>
                <c:pt idx="267">
                  <c:v>139.4238546188904</c:v>
                </c:pt>
                <c:pt idx="268">
                  <c:v>140.32286126329433</c:v>
                </c:pt>
                <c:pt idx="269">
                  <c:v>141.22467999667577</c:v>
                </c:pt>
                <c:pt idx="270">
                  <c:v>142.12931081903469</c:v>
                </c:pt>
                <c:pt idx="271">
                  <c:v>143.03675373037109</c:v>
                </c:pt>
                <c:pt idx="272">
                  <c:v>143.94700873068501</c:v>
                </c:pt>
                <c:pt idx="273">
                  <c:v>144.86007581997643</c:v>
                </c:pt>
                <c:pt idx="274">
                  <c:v>145.77595499824534</c:v>
                </c:pt>
                <c:pt idx="275">
                  <c:v>146.69464626549174</c:v>
                </c:pt>
                <c:pt idx="276">
                  <c:v>147.61614962171566</c:v>
                </c:pt>
                <c:pt idx="277">
                  <c:v>148.54046506691708</c:v>
                </c:pt>
                <c:pt idx="278">
                  <c:v>149.46759260109599</c:v>
                </c:pt>
                <c:pt idx="279">
                  <c:v>150.39753222425239</c:v>
                </c:pt>
                <c:pt idx="280">
                  <c:v>151.33028393638628</c:v>
                </c:pt>
                <c:pt idx="281">
                  <c:v>152.26584773749769</c:v>
                </c:pt>
                <c:pt idx="282">
                  <c:v>153.2042236275866</c:v>
                </c:pt>
                <c:pt idx="283">
                  <c:v>154.145411606653</c:v>
                </c:pt>
                <c:pt idx="284">
                  <c:v>155.08941167469689</c:v>
                </c:pt>
                <c:pt idx="285">
                  <c:v>156.0362238317183</c:v>
                </c:pt>
                <c:pt idx="286">
                  <c:v>156.98584807771721</c:v>
                </c:pt>
                <c:pt idx="287">
                  <c:v>157.9382844126936</c:v>
                </c:pt>
                <c:pt idx="288">
                  <c:v>158.89353283664749</c:v>
                </c:pt>
                <c:pt idx="289">
                  <c:v>159.85159334957888</c:v>
                </c:pt>
                <c:pt idx="290">
                  <c:v>160.81246595148778</c:v>
                </c:pt>
                <c:pt idx="291">
                  <c:v>161.77615064237418</c:v>
                </c:pt>
                <c:pt idx="292">
                  <c:v>162.74264742223806</c:v>
                </c:pt>
                <c:pt idx="293">
                  <c:v>163.71195629107945</c:v>
                </c:pt>
                <c:pt idx="294">
                  <c:v>164.68407724889835</c:v>
                </c:pt>
                <c:pt idx="295">
                  <c:v>165.65901029569477</c:v>
                </c:pt>
                <c:pt idx="296">
                  <c:v>166.63675543146866</c:v>
                </c:pt>
                <c:pt idx="297">
                  <c:v>167.61731265622004</c:v>
                </c:pt>
                <c:pt idx="298">
                  <c:v>168.60068196994891</c:v>
                </c:pt>
                <c:pt idx="299">
                  <c:v>169.5868633726553</c:v>
                </c:pt>
                <c:pt idx="300">
                  <c:v>170.57585686433919</c:v>
                </c:pt>
                <c:pt idx="301">
                  <c:v>171.56766244500056</c:v>
                </c:pt>
                <c:pt idx="302">
                  <c:v>172.56228011463944</c:v>
                </c:pt>
                <c:pt idx="303">
                  <c:v>173.55970987325583</c:v>
                </c:pt>
                <c:pt idx="304">
                  <c:v>174.55995172084971</c:v>
                </c:pt>
                <c:pt idx="305">
                  <c:v>175.56300565742109</c:v>
                </c:pt>
                <c:pt idx="306">
                  <c:v>176.56887168296996</c:v>
                </c:pt>
                <c:pt idx="307">
                  <c:v>177.57754979749632</c:v>
                </c:pt>
                <c:pt idx="308">
                  <c:v>178.5890400010002</c:v>
                </c:pt>
                <c:pt idx="309">
                  <c:v>179.60334229348157</c:v>
                </c:pt>
                <c:pt idx="310">
                  <c:v>180.62045667494044</c:v>
                </c:pt>
                <c:pt idx="311">
                  <c:v>181.6403831453768</c:v>
                </c:pt>
                <c:pt idx="312">
                  <c:v>182.66312170479068</c:v>
                </c:pt>
                <c:pt idx="313">
                  <c:v>183.68867235318206</c:v>
                </c:pt>
                <c:pt idx="314">
                  <c:v>184.71703509055092</c:v>
                </c:pt>
                <c:pt idx="315">
                  <c:v>185.74820991689728</c:v>
                </c:pt>
                <c:pt idx="316">
                  <c:v>186.78219683222113</c:v>
                </c:pt>
                <c:pt idx="317">
                  <c:v>187.8189958365225</c:v>
                </c:pt>
                <c:pt idx="318">
                  <c:v>188.85860692980137</c:v>
                </c:pt>
                <c:pt idx="319">
                  <c:v>189.90103011205773</c:v>
                </c:pt>
                <c:pt idx="320">
                  <c:v>190.94626538329157</c:v>
                </c:pt>
                <c:pt idx="321">
                  <c:v>191.99431274350297</c:v>
                </c:pt>
                <c:pt idx="322">
                  <c:v>193.04517219269184</c:v>
                </c:pt>
                <c:pt idx="323">
                  <c:v>194.09884373085819</c:v>
                </c:pt>
                <c:pt idx="324">
                  <c:v>195.15532735800204</c:v>
                </c:pt>
                <c:pt idx="325">
                  <c:v>196.21462307412338</c:v>
                </c:pt>
                <c:pt idx="326">
                  <c:v>197.27673087922224</c:v>
                </c:pt>
                <c:pt idx="327">
                  <c:v>198.3416507732986</c:v>
                </c:pt>
                <c:pt idx="328">
                  <c:v>199.40938275635244</c:v>
                </c:pt>
                <c:pt idx="329">
                  <c:v>200.47992682838378</c:v>
                </c:pt>
                <c:pt idx="330">
                  <c:v>201.55328298939264</c:v>
                </c:pt>
                <c:pt idx="331">
                  <c:v>202.62945123937899</c:v>
                </c:pt>
                <c:pt idx="332">
                  <c:v>203.70843157834284</c:v>
                </c:pt>
                <c:pt idx="333">
                  <c:v>204.79022400628418</c:v>
                </c:pt>
                <c:pt idx="334">
                  <c:v>205.87482852320301</c:v>
                </c:pt>
                <c:pt idx="335">
                  <c:v>206.96224512909936</c:v>
                </c:pt>
                <c:pt idx="336">
                  <c:v>208.0524738239732</c:v>
                </c:pt>
                <c:pt idx="337">
                  <c:v>209.14551460782454</c:v>
                </c:pt>
                <c:pt idx="338">
                  <c:v>210.24136748065337</c:v>
                </c:pt>
                <c:pt idx="339">
                  <c:v>211.34003244245972</c:v>
                </c:pt>
                <c:pt idx="340">
                  <c:v>212.44150949324356</c:v>
                </c:pt>
                <c:pt idx="341">
                  <c:v>213.54579863300489</c:v>
                </c:pt>
                <c:pt idx="342">
                  <c:v>214.65289986174372</c:v>
                </c:pt>
                <c:pt idx="343">
                  <c:v>215.76281317946004</c:v>
                </c:pt>
                <c:pt idx="344">
                  <c:v>216.87553858615388</c:v>
                </c:pt>
                <c:pt idx="345">
                  <c:v>217.99107608182521</c:v>
                </c:pt>
                <c:pt idx="346">
                  <c:v>219.1094256664741</c:v>
                </c:pt>
                <c:pt idx="347">
                  <c:v>220.23058734010041</c:v>
                </c:pt>
                <c:pt idx="348">
                  <c:v>221.35456110270425</c:v>
                </c:pt>
                <c:pt idx="349">
                  <c:v>222.48134695428558</c:v>
                </c:pt>
                <c:pt idx="350">
                  <c:v>223.61094489484441</c:v>
                </c:pt>
                <c:pt idx="351">
                  <c:v>224.74335492438072</c:v>
                </c:pt>
                <c:pt idx="352">
                  <c:v>225.87857704289453</c:v>
                </c:pt>
                <c:pt idx="353">
                  <c:v>227.01661125038586</c:v>
                </c:pt>
                <c:pt idx="354">
                  <c:v>228.15745754685469</c:v>
                </c:pt>
                <c:pt idx="355">
                  <c:v>229.301115932301</c:v>
                </c:pt>
                <c:pt idx="356">
                  <c:v>230.44758640672481</c:v>
                </c:pt>
                <c:pt idx="357">
                  <c:v>231.59686897012614</c:v>
                </c:pt>
                <c:pt idx="358">
                  <c:v>232.74896362250496</c:v>
                </c:pt>
                <c:pt idx="359">
                  <c:v>233.90387036386127</c:v>
                </c:pt>
                <c:pt idx="360">
                  <c:v>235.06158919419508</c:v>
                </c:pt>
                <c:pt idx="361">
                  <c:v>236.22212011350638</c:v>
                </c:pt>
                <c:pt idx="362">
                  <c:v>237.3854631217952</c:v>
                </c:pt>
                <c:pt idx="363">
                  <c:v>238.55161821906151</c:v>
                </c:pt>
                <c:pt idx="364">
                  <c:v>239.72058540530531</c:v>
                </c:pt>
                <c:pt idx="365">
                  <c:v>240.89236468052661</c:v>
                </c:pt>
                <c:pt idx="366">
                  <c:v>242.06695604472543</c:v>
                </c:pt>
                <c:pt idx="367">
                  <c:v>243.24435949790174</c:v>
                </c:pt>
                <c:pt idx="368">
                  <c:v>244.42457504005554</c:v>
                </c:pt>
                <c:pt idx="369">
                  <c:v>245.60760267118684</c:v>
                </c:pt>
                <c:pt idx="370">
                  <c:v>246.79344239129563</c:v>
                </c:pt>
                <c:pt idx="371">
                  <c:v>247.98209420038194</c:v>
                </c:pt>
                <c:pt idx="372">
                  <c:v>249.17355809844574</c:v>
                </c:pt>
                <c:pt idx="373">
                  <c:v>250.36783408548703</c:v>
                </c:pt>
                <c:pt idx="374">
                  <c:v>251.56492216150582</c:v>
                </c:pt>
                <c:pt idx="375">
                  <c:v>252.76482232650213</c:v>
                </c:pt>
                <c:pt idx="376">
                  <c:v>253.96753458047593</c:v>
                </c:pt>
                <c:pt idx="377">
                  <c:v>255.17305892342722</c:v>
                </c:pt>
                <c:pt idx="378">
                  <c:v>256.38139535535601</c:v>
                </c:pt>
                <c:pt idx="379">
                  <c:v>257.59254387626231</c:v>
                </c:pt>
                <c:pt idx="380">
                  <c:v>258.80650448614608</c:v>
                </c:pt>
                <c:pt idx="381">
                  <c:v>260.02327718500737</c:v>
                </c:pt>
                <c:pt idx="382">
                  <c:v>261.24286197284619</c:v>
                </c:pt>
                <c:pt idx="383">
                  <c:v>262.46525884966246</c:v>
                </c:pt>
                <c:pt idx="384">
                  <c:v>263.69046781545637</c:v>
                </c:pt>
                <c:pt idx="385">
                  <c:v>264.91848887022763</c:v>
                </c:pt>
                <c:pt idx="386">
                  <c:v>266.14932201397642</c:v>
                </c:pt>
                <c:pt idx="387">
                  <c:v>267.38296724670272</c:v>
                </c:pt>
                <c:pt idx="388">
                  <c:v>268.61942456840649</c:v>
                </c:pt>
                <c:pt idx="389">
                  <c:v>269.85869397908778</c:v>
                </c:pt>
                <c:pt idx="390">
                  <c:v>271.10077547874653</c:v>
                </c:pt>
                <c:pt idx="391">
                  <c:v>272.3456690673828</c:v>
                </c:pt>
                <c:pt idx="392">
                  <c:v>273.59337474499659</c:v>
                </c:pt>
                <c:pt idx="393">
                  <c:v>274.84389251158785</c:v>
                </c:pt>
                <c:pt idx="394">
                  <c:v>276.09722236715663</c:v>
                </c:pt>
                <c:pt idx="395">
                  <c:v>277.35336431170293</c:v>
                </c:pt>
                <c:pt idx="396">
                  <c:v>278.6123183452267</c:v>
                </c:pt>
                <c:pt idx="397">
                  <c:v>279.87408446772798</c:v>
                </c:pt>
                <c:pt idx="398">
                  <c:v>281.13866267920673</c:v>
                </c:pt>
                <c:pt idx="399">
                  <c:v>282.406052979663</c:v>
                </c:pt>
                <c:pt idx="400">
                  <c:v>283.67625536909679</c:v>
                </c:pt>
                <c:pt idx="401">
                  <c:v>284.94926984750805</c:v>
                </c:pt>
                <c:pt idx="402">
                  <c:v>286.22509641489683</c:v>
                </c:pt>
                <c:pt idx="403">
                  <c:v>287.50373507126307</c:v>
                </c:pt>
                <c:pt idx="404">
                  <c:v>288.78518581660683</c:v>
                </c:pt>
                <c:pt idx="405">
                  <c:v>290.06944865092811</c:v>
                </c:pt>
                <c:pt idx="406">
                  <c:v>291.35652357422686</c:v>
                </c:pt>
                <c:pt idx="407">
                  <c:v>292.64641058650312</c:v>
                </c:pt>
                <c:pt idx="408">
                  <c:v>293.93910968775685</c:v>
                </c:pt>
                <c:pt idx="409">
                  <c:v>295.23462087798811</c:v>
                </c:pt>
                <c:pt idx="410">
                  <c:v>296.53294415719688</c:v>
                </c:pt>
                <c:pt idx="411">
                  <c:v>297.83407952538312</c:v>
                </c:pt>
                <c:pt idx="412">
                  <c:v>299.13802698254688</c:v>
                </c:pt>
                <c:pt idx="413">
                  <c:v>300.44478652868816</c:v>
                </c:pt>
                <c:pt idx="414">
                  <c:v>301.7543581638069</c:v>
                </c:pt>
                <c:pt idx="415">
                  <c:v>303.06674188790316</c:v>
                </c:pt>
                <c:pt idx="416">
                  <c:v>304.38193770097689</c:v>
                </c:pt>
                <c:pt idx="417">
                  <c:v>307.41062895330185</c:v>
                </c:pt>
                <c:pt idx="418">
                  <c:v>310.45412846899444</c:v>
                </c:pt>
                <c:pt idx="419">
                  <c:v>313.51243624805483</c:v>
                </c:pt>
                <c:pt idx="420">
                  <c:v>316.58555229048284</c:v>
                </c:pt>
                <c:pt idx="421">
                  <c:v>319.67347659627865</c:v>
                </c:pt>
                <c:pt idx="422">
                  <c:v>322.77620916544214</c:v>
                </c:pt>
                <c:pt idx="423">
                  <c:v>325.8937499979732</c:v>
                </c:pt>
                <c:pt idx="424">
                  <c:v>329.02609909387212</c:v>
                </c:pt>
                <c:pt idx="425">
                  <c:v>332.17325645313861</c:v>
                </c:pt>
                <c:pt idx="426">
                  <c:v>335.33522207577289</c:v>
                </c:pt>
                <c:pt idx="427">
                  <c:v>338.51199596177491</c:v>
                </c:pt>
                <c:pt idx="428">
                  <c:v>341.70357811114451</c:v>
                </c:pt>
                <c:pt idx="429">
                  <c:v>344.9099685238819</c:v>
                </c:pt>
                <c:pt idx="430">
                  <c:v>348.13116719998692</c:v>
                </c:pt>
                <c:pt idx="431">
                  <c:v>351.36717413945973</c:v>
                </c:pt>
                <c:pt idx="432">
                  <c:v>354.61798934230023</c:v>
                </c:pt>
                <c:pt idx="433">
                  <c:v>357.88361280850836</c:v>
                </c:pt>
                <c:pt idx="434">
                  <c:v>361.16404453808428</c:v>
                </c:pt>
                <c:pt idx="435">
                  <c:v>364.45928453102778</c:v>
                </c:pt>
                <c:pt idx="436">
                  <c:v>367.76933278733912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D1C-430B-A934-E8986DF39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39161424"/>
        <c:axId val="-239169040"/>
      </c:scatterChart>
      <c:valAx>
        <c:axId val="-239161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239169040"/>
        <c:crosses val="autoZero"/>
        <c:crossBetween val="midCat"/>
      </c:valAx>
      <c:valAx>
        <c:axId val="-23916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2391614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Momento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'SOLLECITAZ NASCOSTO'!$C$32:$C$468</c:f>
              <c:numCache>
                <c:formatCode>0.000</c:formatCode>
                <c:ptCount val="437"/>
                <c:pt idx="0">
                  <c:v>0</c:v>
                </c:pt>
                <c:pt idx="1">
                  <c:v>1.0894378827550195E-2</c:v>
                </c:pt>
                <c:pt idx="2">
                  <c:v>2.1788757655100389E-2</c:v>
                </c:pt>
                <c:pt idx="3">
                  <c:v>3.2683136482650588E-2</c:v>
                </c:pt>
                <c:pt idx="4">
                  <c:v>4.3577515310200779E-2</c:v>
                </c:pt>
                <c:pt idx="5">
                  <c:v>5.447189413775097E-2</c:v>
                </c:pt>
                <c:pt idx="6">
                  <c:v>6.5366272965301175E-2</c:v>
                </c:pt>
                <c:pt idx="7">
                  <c:v>7.6260651792851367E-2</c:v>
                </c:pt>
                <c:pt idx="8">
                  <c:v>8.7155030620401558E-2</c:v>
                </c:pt>
                <c:pt idx="9">
                  <c:v>9.8049409447951749E-2</c:v>
                </c:pt>
                <c:pt idx="10">
                  <c:v>0.10894378827550194</c:v>
                </c:pt>
                <c:pt idx="11">
                  <c:v>0.11983816710305215</c:v>
                </c:pt>
                <c:pt idx="12">
                  <c:v>0.13073254593060235</c:v>
                </c:pt>
                <c:pt idx="13">
                  <c:v>0.14162692475815253</c:v>
                </c:pt>
                <c:pt idx="14">
                  <c:v>0.15252130358570273</c:v>
                </c:pt>
                <c:pt idx="15">
                  <c:v>0.16341568241325291</c:v>
                </c:pt>
                <c:pt idx="16">
                  <c:v>0.17431006124080312</c:v>
                </c:pt>
                <c:pt idx="17">
                  <c:v>0.18520444006835332</c:v>
                </c:pt>
                <c:pt idx="18">
                  <c:v>0.1960988188959035</c:v>
                </c:pt>
                <c:pt idx="19">
                  <c:v>0.2069931977234537</c:v>
                </c:pt>
                <c:pt idx="20">
                  <c:v>0.21788757655100388</c:v>
                </c:pt>
                <c:pt idx="21">
                  <c:v>0.22878195537855409</c:v>
                </c:pt>
                <c:pt idx="22">
                  <c:v>0.23967633420610429</c:v>
                </c:pt>
                <c:pt idx="23">
                  <c:v>0.25057071303365447</c:v>
                </c:pt>
                <c:pt idx="24">
                  <c:v>0.2614650918612047</c:v>
                </c:pt>
                <c:pt idx="25">
                  <c:v>0.27235947068875488</c:v>
                </c:pt>
                <c:pt idx="26">
                  <c:v>0.28325384951630506</c:v>
                </c:pt>
                <c:pt idx="27">
                  <c:v>0.29414822834385523</c:v>
                </c:pt>
                <c:pt idx="28">
                  <c:v>0.30504260717140547</c:v>
                </c:pt>
                <c:pt idx="29">
                  <c:v>0.31593698599895564</c:v>
                </c:pt>
                <c:pt idx="30">
                  <c:v>0.32683136482650582</c:v>
                </c:pt>
                <c:pt idx="31">
                  <c:v>0.33772574365405605</c:v>
                </c:pt>
                <c:pt idx="32">
                  <c:v>0.34862012248160623</c:v>
                </c:pt>
                <c:pt idx="33">
                  <c:v>0.35951450130915641</c:v>
                </c:pt>
                <c:pt idx="34">
                  <c:v>0.37040888013670664</c:v>
                </c:pt>
                <c:pt idx="35">
                  <c:v>0.38130325896425682</c:v>
                </c:pt>
                <c:pt idx="36">
                  <c:v>0.392197637791807</c:v>
                </c:pt>
                <c:pt idx="37">
                  <c:v>0.40309201661935723</c:v>
                </c:pt>
                <c:pt idx="38">
                  <c:v>0.41398639544690741</c:v>
                </c:pt>
                <c:pt idx="39">
                  <c:v>0.42488077427445758</c:v>
                </c:pt>
                <c:pt idx="40">
                  <c:v>0.43577515310200776</c:v>
                </c:pt>
                <c:pt idx="41">
                  <c:v>0.44666953192955799</c:v>
                </c:pt>
                <c:pt idx="42">
                  <c:v>0.45756391075710817</c:v>
                </c:pt>
                <c:pt idx="43">
                  <c:v>0.46845828958465835</c:v>
                </c:pt>
                <c:pt idx="44">
                  <c:v>0.47935266841220858</c:v>
                </c:pt>
                <c:pt idx="45">
                  <c:v>0.49024704723975876</c:v>
                </c:pt>
                <c:pt idx="46">
                  <c:v>0.50114142606730894</c:v>
                </c:pt>
                <c:pt idx="47">
                  <c:v>0.51203580489485911</c:v>
                </c:pt>
                <c:pt idx="48">
                  <c:v>0.5229301837224094</c:v>
                </c:pt>
                <c:pt idx="49">
                  <c:v>0.53382456254995958</c:v>
                </c:pt>
                <c:pt idx="50">
                  <c:v>0.54471894137750976</c:v>
                </c:pt>
                <c:pt idx="51">
                  <c:v>0.55561332020505994</c:v>
                </c:pt>
                <c:pt idx="52">
                  <c:v>0.56650769903261011</c:v>
                </c:pt>
                <c:pt idx="53">
                  <c:v>0.57740207786016029</c:v>
                </c:pt>
                <c:pt idx="54">
                  <c:v>0.58829645668771047</c:v>
                </c:pt>
                <c:pt idx="55">
                  <c:v>0.59919083551526076</c:v>
                </c:pt>
                <c:pt idx="56">
                  <c:v>0.61008521434281093</c:v>
                </c:pt>
                <c:pt idx="57">
                  <c:v>0.62097959317036111</c:v>
                </c:pt>
                <c:pt idx="58">
                  <c:v>0.63187397199791129</c:v>
                </c:pt>
                <c:pt idx="59">
                  <c:v>0.64276835082546147</c:v>
                </c:pt>
                <c:pt idx="60">
                  <c:v>0.65366272965301164</c:v>
                </c:pt>
                <c:pt idx="61">
                  <c:v>0.66455710848056193</c:v>
                </c:pt>
                <c:pt idx="62">
                  <c:v>0.67545148730811211</c:v>
                </c:pt>
                <c:pt idx="63">
                  <c:v>0.68634586613566229</c:v>
                </c:pt>
                <c:pt idx="64">
                  <c:v>0.69724024496321246</c:v>
                </c:pt>
                <c:pt idx="65">
                  <c:v>0.70813462379076264</c:v>
                </c:pt>
                <c:pt idx="66">
                  <c:v>0.71902900261831282</c:v>
                </c:pt>
                <c:pt idx="67">
                  <c:v>0.729923381445863</c:v>
                </c:pt>
                <c:pt idx="68">
                  <c:v>0.74081776027341328</c:v>
                </c:pt>
                <c:pt idx="69">
                  <c:v>0.75171213910096346</c:v>
                </c:pt>
                <c:pt idx="70">
                  <c:v>0.76260651792851364</c:v>
                </c:pt>
                <c:pt idx="71">
                  <c:v>0.77350089675606382</c:v>
                </c:pt>
                <c:pt idx="72">
                  <c:v>0.78439527558361399</c:v>
                </c:pt>
                <c:pt idx="73">
                  <c:v>0.79528965441116417</c:v>
                </c:pt>
                <c:pt idx="74">
                  <c:v>0.80618403323871446</c:v>
                </c:pt>
                <c:pt idx="75">
                  <c:v>0.81707841206626464</c:v>
                </c:pt>
                <c:pt idx="76">
                  <c:v>0.82797279089381481</c:v>
                </c:pt>
                <c:pt idx="77">
                  <c:v>0.83886716972136499</c:v>
                </c:pt>
                <c:pt idx="78">
                  <c:v>0.84976154854891517</c:v>
                </c:pt>
                <c:pt idx="79">
                  <c:v>0.86065592737646535</c:v>
                </c:pt>
                <c:pt idx="80">
                  <c:v>0.87155030620401552</c:v>
                </c:pt>
                <c:pt idx="81">
                  <c:v>0.88244468503156581</c:v>
                </c:pt>
                <c:pt idx="82">
                  <c:v>0.89333906385911599</c:v>
                </c:pt>
                <c:pt idx="83">
                  <c:v>0.90423344268666617</c:v>
                </c:pt>
                <c:pt idx="84">
                  <c:v>0.91512782151421634</c:v>
                </c:pt>
                <c:pt idx="85">
                  <c:v>0.92602220034176652</c:v>
                </c:pt>
                <c:pt idx="86">
                  <c:v>0.9369165791693167</c:v>
                </c:pt>
                <c:pt idx="87">
                  <c:v>0.94781095799686699</c:v>
                </c:pt>
                <c:pt idx="88">
                  <c:v>0.95870533682441716</c:v>
                </c:pt>
                <c:pt idx="89">
                  <c:v>0.96959971565196734</c:v>
                </c:pt>
                <c:pt idx="90">
                  <c:v>0.98049409447951752</c:v>
                </c:pt>
                <c:pt idx="91">
                  <c:v>0.9913884733070677</c:v>
                </c:pt>
                <c:pt idx="92">
                  <c:v>1.0022828521346179</c:v>
                </c:pt>
                <c:pt idx="93">
                  <c:v>1.0131772309621681</c:v>
                </c:pt>
                <c:pt idx="94">
                  <c:v>1.0240716097897182</c:v>
                </c:pt>
                <c:pt idx="95">
                  <c:v>1.0349659886172684</c:v>
                </c:pt>
                <c:pt idx="96">
                  <c:v>1.0458603674448188</c:v>
                </c:pt>
                <c:pt idx="97">
                  <c:v>1.056754746272369</c:v>
                </c:pt>
                <c:pt idx="98">
                  <c:v>1.0676491250999192</c:v>
                </c:pt>
                <c:pt idx="99">
                  <c:v>1.0785435039274693</c:v>
                </c:pt>
                <c:pt idx="100">
                  <c:v>1.0894378827550195</c:v>
                </c:pt>
                <c:pt idx="101">
                  <c:v>1.1003322615825697</c:v>
                </c:pt>
                <c:pt idx="102">
                  <c:v>1.1112266404101199</c:v>
                </c:pt>
                <c:pt idx="103">
                  <c:v>1.12212101923767</c:v>
                </c:pt>
                <c:pt idx="104">
                  <c:v>1.1330153980652202</c:v>
                </c:pt>
                <c:pt idx="105">
                  <c:v>1.1439097768927704</c:v>
                </c:pt>
                <c:pt idx="106">
                  <c:v>1.1548041557203206</c:v>
                </c:pt>
                <c:pt idx="107">
                  <c:v>1.1656985345478708</c:v>
                </c:pt>
                <c:pt idx="108">
                  <c:v>1.1765929133754209</c:v>
                </c:pt>
                <c:pt idx="109">
                  <c:v>1.1874872922029713</c:v>
                </c:pt>
                <c:pt idx="110">
                  <c:v>1.1983816710305215</c:v>
                </c:pt>
                <c:pt idx="111">
                  <c:v>1.2092760498580717</c:v>
                </c:pt>
                <c:pt idx="112">
                  <c:v>1.2201704286856219</c:v>
                </c:pt>
                <c:pt idx="113">
                  <c:v>1.231064807513172</c:v>
                </c:pt>
                <c:pt idx="114">
                  <c:v>1.2419591863407222</c:v>
                </c:pt>
                <c:pt idx="115">
                  <c:v>1.2528535651682724</c:v>
                </c:pt>
                <c:pt idx="116">
                  <c:v>1.2637479439958226</c:v>
                </c:pt>
                <c:pt idx="117">
                  <c:v>1.2746423228233728</c:v>
                </c:pt>
                <c:pt idx="118">
                  <c:v>1.2855367016509229</c:v>
                </c:pt>
                <c:pt idx="119">
                  <c:v>1.2964310804784731</c:v>
                </c:pt>
                <c:pt idx="120">
                  <c:v>1.3073254593060233</c:v>
                </c:pt>
                <c:pt idx="121">
                  <c:v>1.3182198381335735</c:v>
                </c:pt>
                <c:pt idx="122">
                  <c:v>1.3291142169611239</c:v>
                </c:pt>
                <c:pt idx="123">
                  <c:v>1.340008595788674</c:v>
                </c:pt>
                <c:pt idx="124">
                  <c:v>1.3509029746162242</c:v>
                </c:pt>
                <c:pt idx="125">
                  <c:v>1.3617973534437744</c:v>
                </c:pt>
                <c:pt idx="126">
                  <c:v>1.3726917322713246</c:v>
                </c:pt>
                <c:pt idx="127">
                  <c:v>1.3835861110988747</c:v>
                </c:pt>
                <c:pt idx="128">
                  <c:v>1.3944804899264249</c:v>
                </c:pt>
                <c:pt idx="129">
                  <c:v>1.4053748687539751</c:v>
                </c:pt>
                <c:pt idx="130">
                  <c:v>1.4162692475815253</c:v>
                </c:pt>
                <c:pt idx="131">
                  <c:v>1.4271636264090755</c:v>
                </c:pt>
                <c:pt idx="132">
                  <c:v>1.4380580052366256</c:v>
                </c:pt>
                <c:pt idx="133">
                  <c:v>1.4489523840641758</c:v>
                </c:pt>
                <c:pt idx="134">
                  <c:v>1.459846762891726</c:v>
                </c:pt>
                <c:pt idx="135">
                  <c:v>1.4707411417192764</c:v>
                </c:pt>
                <c:pt idx="136">
                  <c:v>1.4816355205468266</c:v>
                </c:pt>
                <c:pt idx="137">
                  <c:v>1.4925298993743767</c:v>
                </c:pt>
                <c:pt idx="138">
                  <c:v>1.5034242782019269</c:v>
                </c:pt>
                <c:pt idx="139">
                  <c:v>1.5143186570294771</c:v>
                </c:pt>
                <c:pt idx="140">
                  <c:v>1.5252130358570273</c:v>
                </c:pt>
                <c:pt idx="141">
                  <c:v>1.5361074146845775</c:v>
                </c:pt>
                <c:pt idx="142">
                  <c:v>1.5470017935121276</c:v>
                </c:pt>
                <c:pt idx="143">
                  <c:v>1.5578961723396778</c:v>
                </c:pt>
                <c:pt idx="144">
                  <c:v>1.568790551167228</c:v>
                </c:pt>
                <c:pt idx="145">
                  <c:v>1.5796849299947782</c:v>
                </c:pt>
                <c:pt idx="146">
                  <c:v>1.5905793088223283</c:v>
                </c:pt>
                <c:pt idx="147">
                  <c:v>1.6014736876498785</c:v>
                </c:pt>
                <c:pt idx="148">
                  <c:v>1.6123680664774289</c:v>
                </c:pt>
                <c:pt idx="149">
                  <c:v>1.6232624453049791</c:v>
                </c:pt>
                <c:pt idx="150">
                  <c:v>1.6341568241325293</c:v>
                </c:pt>
                <c:pt idx="151">
                  <c:v>1.6450512029600795</c:v>
                </c:pt>
                <c:pt idx="152">
                  <c:v>1.6559455817876296</c:v>
                </c:pt>
                <c:pt idx="153">
                  <c:v>1.6668399606151798</c:v>
                </c:pt>
                <c:pt idx="154">
                  <c:v>1.67773433944273</c:v>
                </c:pt>
                <c:pt idx="155">
                  <c:v>1.6886287182702802</c:v>
                </c:pt>
                <c:pt idx="156">
                  <c:v>1.6995230970978303</c:v>
                </c:pt>
                <c:pt idx="157">
                  <c:v>1.7104174759253805</c:v>
                </c:pt>
                <c:pt idx="158">
                  <c:v>1.7213118547529307</c:v>
                </c:pt>
                <c:pt idx="159">
                  <c:v>1.7322062335804809</c:v>
                </c:pt>
                <c:pt idx="160">
                  <c:v>1.743100612408031</c:v>
                </c:pt>
                <c:pt idx="161">
                  <c:v>1.7539949912355814</c:v>
                </c:pt>
                <c:pt idx="162">
                  <c:v>1.7648893700631316</c:v>
                </c:pt>
                <c:pt idx="163">
                  <c:v>1.7757837488906818</c:v>
                </c:pt>
                <c:pt idx="164">
                  <c:v>1.786678127718232</c:v>
                </c:pt>
                <c:pt idx="165">
                  <c:v>1.7975725065457822</c:v>
                </c:pt>
                <c:pt idx="166">
                  <c:v>1.8084668853733323</c:v>
                </c:pt>
                <c:pt idx="167">
                  <c:v>1.8193612642008825</c:v>
                </c:pt>
                <c:pt idx="168">
                  <c:v>1.8302556430284327</c:v>
                </c:pt>
                <c:pt idx="169">
                  <c:v>1.8411500218559829</c:v>
                </c:pt>
                <c:pt idx="170">
                  <c:v>1.852044400683533</c:v>
                </c:pt>
                <c:pt idx="171">
                  <c:v>1.8629387795110832</c:v>
                </c:pt>
                <c:pt idx="172">
                  <c:v>1.8738331583386334</c:v>
                </c:pt>
                <c:pt idx="173">
                  <c:v>1.8847275371661838</c:v>
                </c:pt>
                <c:pt idx="174">
                  <c:v>1.895621915993734</c:v>
                </c:pt>
                <c:pt idx="175">
                  <c:v>1.9065162948212842</c:v>
                </c:pt>
                <c:pt idx="176">
                  <c:v>1.9174106736488343</c:v>
                </c:pt>
                <c:pt idx="177">
                  <c:v>1.9283050524763845</c:v>
                </c:pt>
                <c:pt idx="178">
                  <c:v>1.9391994313039347</c:v>
                </c:pt>
                <c:pt idx="179">
                  <c:v>1.9500938101314849</c:v>
                </c:pt>
                <c:pt idx="180">
                  <c:v>1.960988188959035</c:v>
                </c:pt>
                <c:pt idx="181">
                  <c:v>1.9718825677865852</c:v>
                </c:pt>
                <c:pt idx="182">
                  <c:v>1.9827769466141354</c:v>
                </c:pt>
                <c:pt idx="183">
                  <c:v>1.9936713254416856</c:v>
                </c:pt>
                <c:pt idx="184">
                  <c:v>2.0045657042692357</c:v>
                </c:pt>
                <c:pt idx="185">
                  <c:v>2.0154600830967859</c:v>
                </c:pt>
                <c:pt idx="186">
                  <c:v>2.0263544619243361</c:v>
                </c:pt>
                <c:pt idx="187">
                  <c:v>2.0372488407518863</c:v>
                </c:pt>
                <c:pt idx="188">
                  <c:v>2.0481432195794365</c:v>
                </c:pt>
                <c:pt idx="189">
                  <c:v>2.0590375984069866</c:v>
                </c:pt>
                <c:pt idx="190">
                  <c:v>2.0699319772345368</c:v>
                </c:pt>
                <c:pt idx="191">
                  <c:v>2.080826356062087</c:v>
                </c:pt>
                <c:pt idx="192">
                  <c:v>2.0917207348896376</c:v>
                </c:pt>
                <c:pt idx="193">
                  <c:v>2.1026151137171878</c:v>
                </c:pt>
                <c:pt idx="194">
                  <c:v>2.113509492544738</c:v>
                </c:pt>
                <c:pt idx="195">
                  <c:v>2.1244038713722881</c:v>
                </c:pt>
                <c:pt idx="196">
                  <c:v>2.1352982501998383</c:v>
                </c:pt>
                <c:pt idx="197">
                  <c:v>2.1461926290273885</c:v>
                </c:pt>
                <c:pt idx="198">
                  <c:v>2.1570870078549387</c:v>
                </c:pt>
                <c:pt idx="199">
                  <c:v>2.1679813866824889</c:v>
                </c:pt>
                <c:pt idx="200">
                  <c:v>2.178875765510039</c:v>
                </c:pt>
                <c:pt idx="201">
                  <c:v>2.1897701443375892</c:v>
                </c:pt>
                <c:pt idx="202">
                  <c:v>2.2006645231651394</c:v>
                </c:pt>
                <c:pt idx="203">
                  <c:v>2.2115589019926896</c:v>
                </c:pt>
                <c:pt idx="204">
                  <c:v>2.2224532808202397</c:v>
                </c:pt>
                <c:pt idx="205">
                  <c:v>2.2333476596477899</c:v>
                </c:pt>
                <c:pt idx="206">
                  <c:v>2.2442420384753401</c:v>
                </c:pt>
                <c:pt idx="207">
                  <c:v>2.2551364173028903</c:v>
                </c:pt>
                <c:pt idx="208">
                  <c:v>2.2660307961304405</c:v>
                </c:pt>
                <c:pt idx="209">
                  <c:v>2.2769251749579906</c:v>
                </c:pt>
                <c:pt idx="210">
                  <c:v>2.2878195537855408</c:v>
                </c:pt>
                <c:pt idx="211">
                  <c:v>2.298713932613091</c:v>
                </c:pt>
                <c:pt idx="212">
                  <c:v>2.3096083114406412</c:v>
                </c:pt>
                <c:pt idx="213">
                  <c:v>2.3205026902681913</c:v>
                </c:pt>
                <c:pt idx="214">
                  <c:v>2.3313970690957415</c:v>
                </c:pt>
                <c:pt idx="215">
                  <c:v>2.3422914479232917</c:v>
                </c:pt>
                <c:pt idx="216">
                  <c:v>2.3531858267508419</c:v>
                </c:pt>
                <c:pt idx="217">
                  <c:v>2.364080205578392</c:v>
                </c:pt>
                <c:pt idx="218">
                  <c:v>2.3749745844059427</c:v>
                </c:pt>
                <c:pt idx="219">
                  <c:v>2.3858689632334928</c:v>
                </c:pt>
                <c:pt idx="220">
                  <c:v>2.396763342061043</c:v>
                </c:pt>
                <c:pt idx="221">
                  <c:v>2.4076577208885932</c:v>
                </c:pt>
                <c:pt idx="222">
                  <c:v>2.4185520997161434</c:v>
                </c:pt>
                <c:pt idx="223">
                  <c:v>2.4294464785436936</c:v>
                </c:pt>
                <c:pt idx="224">
                  <c:v>2.4403408573712437</c:v>
                </c:pt>
                <c:pt idx="225">
                  <c:v>2.4512352361987939</c:v>
                </c:pt>
                <c:pt idx="226">
                  <c:v>2.4621296150263441</c:v>
                </c:pt>
                <c:pt idx="227">
                  <c:v>2.4730239938538943</c:v>
                </c:pt>
                <c:pt idx="228">
                  <c:v>2.4839183726814444</c:v>
                </c:pt>
                <c:pt idx="229">
                  <c:v>2.4948127515089946</c:v>
                </c:pt>
                <c:pt idx="230">
                  <c:v>2.5057071303365448</c:v>
                </c:pt>
                <c:pt idx="231">
                  <c:v>2.516601509164095</c:v>
                </c:pt>
                <c:pt idx="232">
                  <c:v>2.5274958879916452</c:v>
                </c:pt>
                <c:pt idx="233">
                  <c:v>2.5383902668191953</c:v>
                </c:pt>
                <c:pt idx="234">
                  <c:v>2.5492846456467455</c:v>
                </c:pt>
                <c:pt idx="235">
                  <c:v>2.5601790244742957</c:v>
                </c:pt>
                <c:pt idx="236">
                  <c:v>2.5710734033018459</c:v>
                </c:pt>
                <c:pt idx="237">
                  <c:v>2.581967782129396</c:v>
                </c:pt>
                <c:pt idx="238">
                  <c:v>2.5928621609569462</c:v>
                </c:pt>
                <c:pt idx="239">
                  <c:v>2.6037565397844964</c:v>
                </c:pt>
                <c:pt idx="240">
                  <c:v>2.6146509186120466</c:v>
                </c:pt>
                <c:pt idx="241">
                  <c:v>2.6255452974395967</c:v>
                </c:pt>
                <c:pt idx="242">
                  <c:v>2.6364396762671469</c:v>
                </c:pt>
                <c:pt idx="243">
                  <c:v>2.6473340550946971</c:v>
                </c:pt>
                <c:pt idx="244">
                  <c:v>2.6582284339222477</c:v>
                </c:pt>
                <c:pt idx="245">
                  <c:v>2.6691228127497979</c:v>
                </c:pt>
                <c:pt idx="246">
                  <c:v>2.6800171915773481</c:v>
                </c:pt>
                <c:pt idx="247">
                  <c:v>2.6909115704048983</c:v>
                </c:pt>
                <c:pt idx="248">
                  <c:v>2.7018059492324484</c:v>
                </c:pt>
                <c:pt idx="249">
                  <c:v>2.7127003280599986</c:v>
                </c:pt>
                <c:pt idx="250">
                  <c:v>2.7235947068875488</c:v>
                </c:pt>
                <c:pt idx="251">
                  <c:v>2.734489085715099</c:v>
                </c:pt>
                <c:pt idx="252">
                  <c:v>2.7453834645426491</c:v>
                </c:pt>
                <c:pt idx="253">
                  <c:v>2.7562778433701993</c:v>
                </c:pt>
                <c:pt idx="254">
                  <c:v>2.7671722221977495</c:v>
                </c:pt>
                <c:pt idx="255">
                  <c:v>2.7780666010252997</c:v>
                </c:pt>
                <c:pt idx="256">
                  <c:v>2.7889609798528499</c:v>
                </c:pt>
                <c:pt idx="257">
                  <c:v>2.7998553586804</c:v>
                </c:pt>
                <c:pt idx="258">
                  <c:v>2.8107497375079502</c:v>
                </c:pt>
                <c:pt idx="259">
                  <c:v>2.8216441163355004</c:v>
                </c:pt>
                <c:pt idx="260">
                  <c:v>2.8325384951630506</c:v>
                </c:pt>
                <c:pt idx="261">
                  <c:v>2.8434328739906007</c:v>
                </c:pt>
                <c:pt idx="262">
                  <c:v>2.8543272528181509</c:v>
                </c:pt>
                <c:pt idx="263">
                  <c:v>2.8652216316457011</c:v>
                </c:pt>
                <c:pt idx="264">
                  <c:v>2.8761160104732513</c:v>
                </c:pt>
                <c:pt idx="265">
                  <c:v>2.8870103893008014</c:v>
                </c:pt>
                <c:pt idx="266">
                  <c:v>2.8979047681283516</c:v>
                </c:pt>
                <c:pt idx="267">
                  <c:v>2.9087991469559018</c:v>
                </c:pt>
                <c:pt idx="268">
                  <c:v>2.919693525783452</c:v>
                </c:pt>
                <c:pt idx="269">
                  <c:v>2.9305879046110026</c:v>
                </c:pt>
                <c:pt idx="270">
                  <c:v>2.9414822834385528</c:v>
                </c:pt>
                <c:pt idx="271">
                  <c:v>2.952376662266103</c:v>
                </c:pt>
                <c:pt idx="272">
                  <c:v>2.9632710410936531</c:v>
                </c:pt>
                <c:pt idx="273">
                  <c:v>2.9741654199212033</c:v>
                </c:pt>
                <c:pt idx="274">
                  <c:v>2.9850597987487535</c:v>
                </c:pt>
                <c:pt idx="275">
                  <c:v>2.9959541775763037</c:v>
                </c:pt>
                <c:pt idx="276">
                  <c:v>3.0068485564038538</c:v>
                </c:pt>
                <c:pt idx="277">
                  <c:v>3.017742935231404</c:v>
                </c:pt>
                <c:pt idx="278">
                  <c:v>3.0286373140589542</c:v>
                </c:pt>
                <c:pt idx="279">
                  <c:v>3.0395316928865044</c:v>
                </c:pt>
                <c:pt idx="280">
                  <c:v>3.0504260717140546</c:v>
                </c:pt>
                <c:pt idx="281">
                  <c:v>3.0613204505416047</c:v>
                </c:pt>
                <c:pt idx="282">
                  <c:v>3.0722148293691549</c:v>
                </c:pt>
                <c:pt idx="283">
                  <c:v>3.0831092081967051</c:v>
                </c:pt>
                <c:pt idx="284">
                  <c:v>3.0940035870242553</c:v>
                </c:pt>
                <c:pt idx="285">
                  <c:v>3.1048979658518054</c:v>
                </c:pt>
                <c:pt idx="286">
                  <c:v>3.1157923446793556</c:v>
                </c:pt>
                <c:pt idx="287">
                  <c:v>3.1266867235069058</c:v>
                </c:pt>
                <c:pt idx="288">
                  <c:v>3.137581102334456</c:v>
                </c:pt>
                <c:pt idx="289">
                  <c:v>3.1484754811620062</c:v>
                </c:pt>
                <c:pt idx="290">
                  <c:v>3.1593698599895563</c:v>
                </c:pt>
                <c:pt idx="291">
                  <c:v>3.1702642388171065</c:v>
                </c:pt>
                <c:pt idx="292">
                  <c:v>3.1811586176446567</c:v>
                </c:pt>
                <c:pt idx="293">
                  <c:v>3.1920529964722069</c:v>
                </c:pt>
                <c:pt idx="294">
                  <c:v>3.202947375299757</c:v>
                </c:pt>
                <c:pt idx="295">
                  <c:v>3.2138417541273077</c:v>
                </c:pt>
                <c:pt idx="296">
                  <c:v>3.2247361329548578</c:v>
                </c:pt>
                <c:pt idx="297">
                  <c:v>3.235630511782408</c:v>
                </c:pt>
                <c:pt idx="298">
                  <c:v>3.2465248906099582</c:v>
                </c:pt>
                <c:pt idx="299">
                  <c:v>3.2574192694375084</c:v>
                </c:pt>
                <c:pt idx="300">
                  <c:v>3.2683136482650585</c:v>
                </c:pt>
                <c:pt idx="301">
                  <c:v>3.2792080270926087</c:v>
                </c:pt>
                <c:pt idx="302">
                  <c:v>3.2901024059201589</c:v>
                </c:pt>
                <c:pt idx="303">
                  <c:v>3.3009967847477091</c:v>
                </c:pt>
                <c:pt idx="304">
                  <c:v>3.3118911635752593</c:v>
                </c:pt>
                <c:pt idx="305">
                  <c:v>3.3227855424028094</c:v>
                </c:pt>
                <c:pt idx="306">
                  <c:v>3.3336799212303596</c:v>
                </c:pt>
                <c:pt idx="307">
                  <c:v>3.3445743000579098</c:v>
                </c:pt>
                <c:pt idx="308">
                  <c:v>3.35546867888546</c:v>
                </c:pt>
                <c:pt idx="309">
                  <c:v>3.3663630577130101</c:v>
                </c:pt>
                <c:pt idx="310">
                  <c:v>3.3772574365405603</c:v>
                </c:pt>
                <c:pt idx="311">
                  <c:v>3.3881518153681105</c:v>
                </c:pt>
                <c:pt idx="312">
                  <c:v>3.3990461941956607</c:v>
                </c:pt>
                <c:pt idx="313">
                  <c:v>3.4099405730232109</c:v>
                </c:pt>
                <c:pt idx="314">
                  <c:v>3.420834951850761</c:v>
                </c:pt>
                <c:pt idx="315">
                  <c:v>3.4317293306783112</c:v>
                </c:pt>
                <c:pt idx="316">
                  <c:v>3.4426237095058614</c:v>
                </c:pt>
                <c:pt idx="317">
                  <c:v>3.4535180883334116</c:v>
                </c:pt>
                <c:pt idx="318">
                  <c:v>3.4644124671609617</c:v>
                </c:pt>
                <c:pt idx="319">
                  <c:v>3.4753068459885119</c:v>
                </c:pt>
                <c:pt idx="320">
                  <c:v>3.4862012248160621</c:v>
                </c:pt>
                <c:pt idx="321">
                  <c:v>3.4970956036436127</c:v>
                </c:pt>
                <c:pt idx="322">
                  <c:v>3.5079899824711629</c:v>
                </c:pt>
                <c:pt idx="323">
                  <c:v>3.5188843612987131</c:v>
                </c:pt>
                <c:pt idx="324">
                  <c:v>3.5297787401262632</c:v>
                </c:pt>
                <c:pt idx="325">
                  <c:v>3.5406731189538134</c:v>
                </c:pt>
                <c:pt idx="326">
                  <c:v>3.5515674977813636</c:v>
                </c:pt>
                <c:pt idx="327">
                  <c:v>3.5624618766089138</c:v>
                </c:pt>
                <c:pt idx="328">
                  <c:v>3.573356255436464</c:v>
                </c:pt>
                <c:pt idx="329">
                  <c:v>3.5842506342640141</c:v>
                </c:pt>
                <c:pt idx="330">
                  <c:v>3.5951450130915643</c:v>
                </c:pt>
                <c:pt idx="331">
                  <c:v>3.6060393919191145</c:v>
                </c:pt>
                <c:pt idx="332">
                  <c:v>3.6169337707466647</c:v>
                </c:pt>
                <c:pt idx="333">
                  <c:v>3.6278281495742148</c:v>
                </c:pt>
                <c:pt idx="334">
                  <c:v>3.638722528401765</c:v>
                </c:pt>
                <c:pt idx="335">
                  <c:v>3.6496169072293152</c:v>
                </c:pt>
                <c:pt idx="336">
                  <c:v>3.6605112860568654</c:v>
                </c:pt>
                <c:pt idx="337">
                  <c:v>3.6714056648844156</c:v>
                </c:pt>
                <c:pt idx="338">
                  <c:v>3.6823000437119657</c:v>
                </c:pt>
                <c:pt idx="339">
                  <c:v>3.6931944225395159</c:v>
                </c:pt>
                <c:pt idx="340">
                  <c:v>3.7040888013670661</c:v>
                </c:pt>
                <c:pt idx="341">
                  <c:v>3.7149831801946163</c:v>
                </c:pt>
                <c:pt idx="342">
                  <c:v>3.7258775590221664</c:v>
                </c:pt>
                <c:pt idx="343">
                  <c:v>3.7367719378497166</c:v>
                </c:pt>
                <c:pt idx="344">
                  <c:v>3.7476663166772668</c:v>
                </c:pt>
                <c:pt idx="345">
                  <c:v>3.758560695504817</c:v>
                </c:pt>
                <c:pt idx="346">
                  <c:v>3.7694550743323676</c:v>
                </c:pt>
                <c:pt idx="347">
                  <c:v>3.7803494531599178</c:v>
                </c:pt>
                <c:pt idx="348">
                  <c:v>3.7912438319874679</c:v>
                </c:pt>
                <c:pt idx="349">
                  <c:v>3.8021382108150181</c:v>
                </c:pt>
                <c:pt idx="350">
                  <c:v>3.8130325896425683</c:v>
                </c:pt>
                <c:pt idx="351">
                  <c:v>3.8239269684701185</c:v>
                </c:pt>
                <c:pt idx="352">
                  <c:v>3.8348213472976687</c:v>
                </c:pt>
                <c:pt idx="353">
                  <c:v>3.8457157261252188</c:v>
                </c:pt>
                <c:pt idx="354">
                  <c:v>3.856610104952769</c:v>
                </c:pt>
                <c:pt idx="355">
                  <c:v>3.8675044837803192</c:v>
                </c:pt>
                <c:pt idx="356">
                  <c:v>3.8783988626078694</c:v>
                </c:pt>
                <c:pt idx="357">
                  <c:v>3.8892932414354195</c:v>
                </c:pt>
                <c:pt idx="358">
                  <c:v>3.9001876202629697</c:v>
                </c:pt>
                <c:pt idx="359">
                  <c:v>3.9110819990905199</c:v>
                </c:pt>
                <c:pt idx="360">
                  <c:v>3.9219763779180701</c:v>
                </c:pt>
                <c:pt idx="361">
                  <c:v>3.9328707567456203</c:v>
                </c:pt>
                <c:pt idx="362">
                  <c:v>3.9437651355731704</c:v>
                </c:pt>
                <c:pt idx="363">
                  <c:v>3.9546595144007206</c:v>
                </c:pt>
                <c:pt idx="364">
                  <c:v>3.9655538932282708</c:v>
                </c:pt>
                <c:pt idx="365">
                  <c:v>3.976448272055821</c:v>
                </c:pt>
                <c:pt idx="366">
                  <c:v>3.9873426508833711</c:v>
                </c:pt>
                <c:pt idx="367">
                  <c:v>3.9982370297109213</c:v>
                </c:pt>
                <c:pt idx="368">
                  <c:v>4.0091314085384715</c:v>
                </c:pt>
                <c:pt idx="369">
                  <c:v>4.0200257873660217</c:v>
                </c:pt>
                <c:pt idx="370">
                  <c:v>4.0309201661935719</c:v>
                </c:pt>
                <c:pt idx="371">
                  <c:v>4.041814545021122</c:v>
                </c:pt>
                <c:pt idx="372">
                  <c:v>4.0527089238486722</c:v>
                </c:pt>
                <c:pt idx="373">
                  <c:v>4.0636033026762224</c:v>
                </c:pt>
                <c:pt idx="374">
                  <c:v>4.0744976815037726</c:v>
                </c:pt>
                <c:pt idx="375">
                  <c:v>4.0853920603313227</c:v>
                </c:pt>
                <c:pt idx="376">
                  <c:v>4.0962864391588729</c:v>
                </c:pt>
                <c:pt idx="377">
                  <c:v>4.1071808179864231</c:v>
                </c:pt>
                <c:pt idx="378">
                  <c:v>4.1180751968139733</c:v>
                </c:pt>
                <c:pt idx="379">
                  <c:v>4.1289695756415234</c:v>
                </c:pt>
                <c:pt idx="380">
                  <c:v>4.1398639544690736</c:v>
                </c:pt>
                <c:pt idx="381">
                  <c:v>4.1507583332966238</c:v>
                </c:pt>
                <c:pt idx="382">
                  <c:v>4.161652712124174</c:v>
                </c:pt>
                <c:pt idx="383">
                  <c:v>4.1725470909517242</c:v>
                </c:pt>
                <c:pt idx="384">
                  <c:v>4.1834414697792752</c:v>
                </c:pt>
                <c:pt idx="385">
                  <c:v>4.1943358486068254</c:v>
                </c:pt>
                <c:pt idx="386">
                  <c:v>4.2052302274343756</c:v>
                </c:pt>
                <c:pt idx="387">
                  <c:v>4.2161246062619258</c:v>
                </c:pt>
                <c:pt idx="388">
                  <c:v>4.2270189850894759</c:v>
                </c:pt>
                <c:pt idx="389">
                  <c:v>4.2379133639170261</c:v>
                </c:pt>
                <c:pt idx="390">
                  <c:v>4.2488077427445763</c:v>
                </c:pt>
                <c:pt idx="391">
                  <c:v>4.2597021215721265</c:v>
                </c:pt>
                <c:pt idx="392">
                  <c:v>4.2705965003996766</c:v>
                </c:pt>
                <c:pt idx="393">
                  <c:v>4.2814908792272268</c:v>
                </c:pt>
                <c:pt idx="394">
                  <c:v>4.292385258054777</c:v>
                </c:pt>
                <c:pt idx="395">
                  <c:v>4.3032796368823272</c:v>
                </c:pt>
                <c:pt idx="396">
                  <c:v>4.3141740157098774</c:v>
                </c:pt>
                <c:pt idx="397">
                  <c:v>4.3250683945374275</c:v>
                </c:pt>
                <c:pt idx="398">
                  <c:v>4.3359627733649777</c:v>
                </c:pt>
                <c:pt idx="399">
                  <c:v>4.3468571521925279</c:v>
                </c:pt>
                <c:pt idx="400">
                  <c:v>4.3577515310200781</c:v>
                </c:pt>
                <c:pt idx="401">
                  <c:v>4.3686459098476282</c:v>
                </c:pt>
                <c:pt idx="402">
                  <c:v>4.3795402886751784</c:v>
                </c:pt>
                <c:pt idx="403">
                  <c:v>4.3904346675027286</c:v>
                </c:pt>
                <c:pt idx="404">
                  <c:v>4.4013290463302788</c:v>
                </c:pt>
                <c:pt idx="405">
                  <c:v>4.4122234251578289</c:v>
                </c:pt>
                <c:pt idx="406">
                  <c:v>4.4231178039853791</c:v>
                </c:pt>
                <c:pt idx="407">
                  <c:v>4.4340121828129293</c:v>
                </c:pt>
                <c:pt idx="408">
                  <c:v>4.4449065616404795</c:v>
                </c:pt>
                <c:pt idx="409">
                  <c:v>4.4558009404680297</c:v>
                </c:pt>
                <c:pt idx="410">
                  <c:v>4.4666953192955798</c:v>
                </c:pt>
                <c:pt idx="411">
                  <c:v>4.47758969812313</c:v>
                </c:pt>
                <c:pt idx="412">
                  <c:v>4.4884840769506802</c:v>
                </c:pt>
                <c:pt idx="413">
                  <c:v>4.4993784557782304</c:v>
                </c:pt>
                <c:pt idx="414">
                  <c:v>4.5102728346057805</c:v>
                </c:pt>
                <c:pt idx="415">
                  <c:v>4.5211672134333307</c:v>
                </c:pt>
                <c:pt idx="416">
                  <c:v>4.5320615922608809</c:v>
                </c:pt>
                <c:pt idx="417">
                  <c:v>4.5570615922608813</c:v>
                </c:pt>
                <c:pt idx="418">
                  <c:v>4.5820615922608807</c:v>
                </c:pt>
                <c:pt idx="419">
                  <c:v>4.6070615922608811</c:v>
                </c:pt>
                <c:pt idx="420">
                  <c:v>4.6320615922608805</c:v>
                </c:pt>
                <c:pt idx="421">
                  <c:v>4.6570615922608809</c:v>
                </c:pt>
                <c:pt idx="422">
                  <c:v>4.6820615922608813</c:v>
                </c:pt>
                <c:pt idx="423">
                  <c:v>4.7070615922608807</c:v>
                </c:pt>
                <c:pt idx="424">
                  <c:v>4.7320615922608811</c:v>
                </c:pt>
                <c:pt idx="425">
                  <c:v>4.7570615922608805</c:v>
                </c:pt>
                <c:pt idx="426">
                  <c:v>4.7820615922608809</c:v>
                </c:pt>
                <c:pt idx="427">
                  <c:v>4.8070615922608813</c:v>
                </c:pt>
                <c:pt idx="428">
                  <c:v>4.8320615922608807</c:v>
                </c:pt>
                <c:pt idx="429">
                  <c:v>4.8570615922608811</c:v>
                </c:pt>
                <c:pt idx="430">
                  <c:v>4.8820615922608805</c:v>
                </c:pt>
                <c:pt idx="431">
                  <c:v>4.9070615922608809</c:v>
                </c:pt>
                <c:pt idx="432">
                  <c:v>4.9320615922608813</c:v>
                </c:pt>
                <c:pt idx="433">
                  <c:v>4.9570615922608807</c:v>
                </c:pt>
                <c:pt idx="434">
                  <c:v>4.9820615922608811</c:v>
                </c:pt>
                <c:pt idx="435">
                  <c:v>5.0070615922608805</c:v>
                </c:pt>
                <c:pt idx="436">
                  <c:v>5.0320615922608809</c:v>
                </c:pt>
              </c:numCache>
            </c:numRef>
          </c:xVal>
          <c:yVal>
            <c:numRef>
              <c:f>'SOLLECITAZ NASCOSTO'!$M$32:$M$468</c:f>
              <c:numCache>
                <c:formatCode>0.00</c:formatCode>
                <c:ptCount val="437"/>
                <c:pt idx="0">
                  <c:v>0</c:v>
                </c:pt>
                <c:pt idx="1">
                  <c:v>-8.0715846685409606E-4</c:v>
                </c:pt>
                <c:pt idx="2">
                  <c:v>-3.24395184872521E-3</c:v>
                </c:pt>
                <c:pt idx="3">
                  <c:v>-7.3410161082309933E-3</c:v>
                </c:pt>
                <c:pt idx="4">
                  <c:v>-1.3128987207989093E-2</c:v>
                </c:pt>
                <c:pt idx="5">
                  <c:v>-2.0638501110617158E-2</c:v>
                </c:pt>
                <c:pt idx="6">
                  <c:v>-2.9900193778732854E-2</c:v>
                </c:pt>
                <c:pt idx="7">
                  <c:v>-4.0944701174953808E-2</c:v>
                </c:pt>
                <c:pt idx="8">
                  <c:v>-5.3802659261897687E-2</c:v>
                </c:pt>
                <c:pt idx="9">
                  <c:v>-6.8504704002182129E-2</c:v>
                </c:pt>
                <c:pt idx="10">
                  <c:v>-8.5081471358424796E-2</c:v>
                </c:pt>
                <c:pt idx="11">
                  <c:v>-0.10356359729324335</c:v>
                </c:pt>
                <c:pt idx="12">
                  <c:v>-0.12398171776925544</c:v>
                </c:pt>
                <c:pt idx="13">
                  <c:v>-0.14636646874907866</c:v>
                </c:pt>
                <c:pt idx="14">
                  <c:v>-0.17074848619533076</c:v>
                </c:pt>
                <c:pt idx="15">
                  <c:v>-0.19715840607062926</c:v>
                </c:pt>
                <c:pt idx="16">
                  <c:v>-0.22562686433759196</c:v>
                </c:pt>
                <c:pt idx="17">
                  <c:v>-0.25618449695883644</c:v>
                </c:pt>
                <c:pt idx="18">
                  <c:v>-0.28886193989698028</c:v>
                </c:pt>
                <c:pt idx="19">
                  <c:v>-0.32368982911464128</c:v>
                </c:pt>
                <c:pt idx="20">
                  <c:v>-0.36069880057443687</c:v>
                </c:pt>
                <c:pt idx="21">
                  <c:v>-0.39991949023898499</c:v>
                </c:pt>
                <c:pt idx="22">
                  <c:v>-0.44138253407090311</c:v>
                </c:pt>
                <c:pt idx="23">
                  <c:v>-0.48511856803280878</c:v>
                </c:pt>
                <c:pt idx="24">
                  <c:v>-0.53115822808732005</c:v>
                </c:pt>
                <c:pt idx="25">
                  <c:v>-0.57953215019705406</c:v>
                </c:pt>
                <c:pt idx="26">
                  <c:v>-0.63027097032462875</c:v>
                </c:pt>
                <c:pt idx="27">
                  <c:v>-0.68340532443266166</c:v>
                </c:pt>
                <c:pt idx="28">
                  <c:v>-0.73896584848377078</c:v>
                </c:pt>
                <c:pt idx="29">
                  <c:v>-0.7969831784405732</c:v>
                </c:pt>
                <c:pt idx="30">
                  <c:v>-0.85748795026568692</c:v>
                </c:pt>
                <c:pt idx="31">
                  <c:v>-0.92051079992172979</c:v>
                </c:pt>
                <c:pt idx="32">
                  <c:v>-0.98608236337131894</c:v>
                </c:pt>
                <c:pt idx="33">
                  <c:v>-1.0542332765770723</c:v>
                </c:pt>
                <c:pt idx="34">
                  <c:v>-1.1249941755016077</c:v>
                </c:pt>
                <c:pt idx="35">
                  <c:v>-1.1983956961075424</c:v>
                </c:pt>
                <c:pt idx="36">
                  <c:v>-1.2744684743574941</c:v>
                </c:pt>
                <c:pt idx="37">
                  <c:v>-1.353243146214081</c:v>
                </c:pt>
                <c:pt idx="38">
                  <c:v>-1.4347503476399199</c:v>
                </c:pt>
                <c:pt idx="39">
                  <c:v>-1.5190207145976291</c:v>
                </c:pt>
                <c:pt idx="40">
                  <c:v>-1.606084883049826</c:v>
                </c:pt>
                <c:pt idx="41">
                  <c:v>-1.6959734889591287</c:v>
                </c:pt>
                <c:pt idx="42">
                  <c:v>-1.788717168288154</c:v>
                </c:pt>
                <c:pt idx="43">
                  <c:v>-1.8843465569995199</c:v>
                </c:pt>
                <c:pt idx="44">
                  <c:v>-1.9828922910558446</c:v>
                </c:pt>
                <c:pt idx="45">
                  <c:v>-2.0843850064197449</c:v>
                </c:pt>
                <c:pt idx="46">
                  <c:v>-2.188855339053839</c:v>
                </c:pt>
                <c:pt idx="47">
                  <c:v>-2.2963339249207442</c:v>
                </c:pt>
                <c:pt idx="48">
                  <c:v>-2.4068513999830796</c:v>
                </c:pt>
                <c:pt idx="49">
                  <c:v>-2.5204384002034605</c:v>
                </c:pt>
                <c:pt idx="50">
                  <c:v>-2.6371255615445057</c:v>
                </c:pt>
                <c:pt idx="51">
                  <c:v>-2.7569435199688326</c:v>
                </c:pt>
                <c:pt idx="52">
                  <c:v>-2.879922911439059</c:v>
                </c:pt>
                <c:pt idx="53">
                  <c:v>-3.0060943719178028</c:v>
                </c:pt>
                <c:pt idx="54">
                  <c:v>-3.1354885373676815</c:v>
                </c:pt>
                <c:pt idx="55">
                  <c:v>-3.2681360437513138</c:v>
                </c:pt>
                <c:pt idx="56">
                  <c:v>-3.404067527031315</c:v>
                </c:pt>
                <c:pt idx="57">
                  <c:v>-3.5433136231703042</c:v>
                </c:pt>
                <c:pt idx="58">
                  <c:v>-3.6859049681308989</c:v>
                </c:pt>
                <c:pt idx="59">
                  <c:v>-3.8318721978757164</c:v>
                </c:pt>
                <c:pt idx="60">
                  <c:v>-3.9812459483673748</c:v>
                </c:pt>
                <c:pt idx="61">
                  <c:v>-4.1340568555684927</c:v>
                </c:pt>
                <c:pt idx="62">
                  <c:v>-4.2903355554416853</c:v>
                </c:pt>
                <c:pt idx="63">
                  <c:v>-4.4501126839495715</c:v>
                </c:pt>
                <c:pt idx="64">
                  <c:v>-4.6134188770547695</c:v>
                </c:pt>
                <c:pt idx="65">
                  <c:v>-4.7802847707198959</c:v>
                </c:pt>
                <c:pt idx="66">
                  <c:v>-4.950741000907569</c:v>
                </c:pt>
                <c:pt idx="67">
                  <c:v>-5.1248182035804071</c:v>
                </c:pt>
                <c:pt idx="68">
                  <c:v>-5.3025470147010285</c:v>
                </c:pt>
                <c:pt idx="69">
                  <c:v>-5.4839580702320481</c:v>
                </c:pt>
                <c:pt idx="70">
                  <c:v>-5.6690820061360849</c:v>
                </c:pt>
                <c:pt idx="71">
                  <c:v>-5.8579494583757565</c:v>
                </c:pt>
                <c:pt idx="72">
                  <c:v>-6.0505910629136803</c:v>
                </c:pt>
                <c:pt idx="73">
                  <c:v>-6.2470374557124746</c:v>
                </c:pt>
                <c:pt idx="74">
                  <c:v>-6.4473192727347586</c:v>
                </c:pt>
                <c:pt idx="75">
                  <c:v>-6.6514671499431461</c:v>
                </c:pt>
                <c:pt idx="76">
                  <c:v>-6.8595117233002574</c:v>
                </c:pt>
                <c:pt idx="77">
                  <c:v>-7.0714836287687088</c:v>
                </c:pt>
                <c:pt idx="78">
                  <c:v>-7.2874135023111188</c:v>
                </c:pt>
                <c:pt idx="79">
                  <c:v>-7.5073319798901048</c:v>
                </c:pt>
                <c:pt idx="80">
                  <c:v>-7.7312696974682851</c:v>
                </c:pt>
                <c:pt idx="81">
                  <c:v>-7.9592572910082788</c:v>
                </c:pt>
                <c:pt idx="82">
                  <c:v>-8.1913253964726991</c:v>
                </c:pt>
                <c:pt idx="83">
                  <c:v>-8.4275046498241668</c:v>
                </c:pt>
                <c:pt idx="84">
                  <c:v>-8.6678256870252977</c:v>
                </c:pt>
                <c:pt idx="85">
                  <c:v>-8.9123191440387117</c:v>
                </c:pt>
                <c:pt idx="86">
                  <c:v>-9.1610156568270256</c:v>
                </c:pt>
                <c:pt idx="87">
                  <c:v>-9.4139458613528593</c:v>
                </c:pt>
                <c:pt idx="88">
                  <c:v>-9.671140393578824</c:v>
                </c:pt>
                <c:pt idx="89">
                  <c:v>-9.9326298894675418</c:v>
                </c:pt>
                <c:pt idx="90">
                  <c:v>-10.198444984981631</c:v>
                </c:pt>
                <c:pt idx="91">
                  <c:v>-10.468616316083708</c:v>
                </c:pt>
                <c:pt idx="92">
                  <c:v>-10.743174518736389</c:v>
                </c:pt>
                <c:pt idx="93">
                  <c:v>-11.022150228902294</c:v>
                </c:pt>
                <c:pt idx="94">
                  <c:v>-11.305574082544041</c:v>
                </c:pt>
                <c:pt idx="95">
                  <c:v>-11.593476715624245</c:v>
                </c:pt>
                <c:pt idx="96">
                  <c:v>-11.885888764105532</c:v>
                </c:pt>
                <c:pt idx="97">
                  <c:v>-12.182840863950506</c:v>
                </c:pt>
                <c:pt idx="98">
                  <c:v>-12.484363651121793</c:v>
                </c:pt>
                <c:pt idx="99">
                  <c:v>-12.790487761582009</c:v>
                </c:pt>
                <c:pt idx="100">
                  <c:v>-13.10124383129377</c:v>
                </c:pt>
                <c:pt idx="101">
                  <c:v>-13.416662496219697</c:v>
                </c:pt>
                <c:pt idx="102">
                  <c:v>-13.736774392322406</c:v>
                </c:pt>
                <c:pt idx="103">
                  <c:v>-14.061610155564514</c:v>
                </c:pt>
                <c:pt idx="104">
                  <c:v>-14.391200421908639</c:v>
                </c:pt>
                <c:pt idx="105">
                  <c:v>-14.7255758273174</c:v>
                </c:pt>
                <c:pt idx="106">
                  <c:v>-15.064767007753412</c:v>
                </c:pt>
                <c:pt idx="107">
                  <c:v>-15.408804599179295</c:v>
                </c:pt>
                <c:pt idx="108">
                  <c:v>-15.757719237557666</c:v>
                </c:pt>
                <c:pt idx="109">
                  <c:v>-16.111541558851151</c:v>
                </c:pt>
                <c:pt idx="110">
                  <c:v>-16.470302199022353</c:v>
                </c:pt>
                <c:pt idx="111">
                  <c:v>-16.834031794033894</c:v>
                </c:pt>
                <c:pt idx="112">
                  <c:v>-17.202760979848392</c:v>
                </c:pt>
                <c:pt idx="113">
                  <c:v>-17.576520392428467</c:v>
                </c:pt>
                <c:pt idx="114">
                  <c:v>-17.955340667736738</c:v>
                </c:pt>
                <c:pt idx="115">
                  <c:v>-18.33925244173582</c:v>
                </c:pt>
                <c:pt idx="116">
                  <c:v>-18.728286350388331</c:v>
                </c:pt>
                <c:pt idx="117">
                  <c:v>-19.122473029656888</c:v>
                </c:pt>
                <c:pt idx="118">
                  <c:v>-19.521843115504108</c:v>
                </c:pt>
                <c:pt idx="119">
                  <c:v>-19.926427243892611</c:v>
                </c:pt>
                <c:pt idx="120">
                  <c:v>-20.336256050785014</c:v>
                </c:pt>
                <c:pt idx="121">
                  <c:v>-20.751360172143936</c:v>
                </c:pt>
                <c:pt idx="122">
                  <c:v>-21.171770243932002</c:v>
                </c:pt>
                <c:pt idx="123">
                  <c:v>-21.59751690211181</c:v>
                </c:pt>
                <c:pt idx="124">
                  <c:v>-22.02863078264599</c:v>
                </c:pt>
                <c:pt idx="125">
                  <c:v>-22.465142521497157</c:v>
                </c:pt>
                <c:pt idx="126">
                  <c:v>-22.907082754627929</c:v>
                </c:pt>
                <c:pt idx="127">
                  <c:v>-23.354482118000924</c:v>
                </c:pt>
                <c:pt idx="128">
                  <c:v>-23.807371247578761</c:v>
                </c:pt>
                <c:pt idx="129">
                  <c:v>-24.265780779324057</c:v>
                </c:pt>
                <c:pt idx="130">
                  <c:v>-24.729741349199429</c:v>
                </c:pt>
                <c:pt idx="131">
                  <c:v>-25.199283593167493</c:v>
                </c:pt>
                <c:pt idx="132">
                  <c:v>-25.67443814719087</c:v>
                </c:pt>
                <c:pt idx="133">
                  <c:v>-26.155235647232175</c:v>
                </c:pt>
                <c:pt idx="134">
                  <c:v>-26.641706729254029</c:v>
                </c:pt>
                <c:pt idx="135">
                  <c:v>-27.133882029219055</c:v>
                </c:pt>
                <c:pt idx="136">
                  <c:v>-27.631792183089857</c:v>
                </c:pt>
                <c:pt idx="137">
                  <c:v>-28.135467826829057</c:v>
                </c:pt>
                <c:pt idx="138">
                  <c:v>-28.644939596399276</c:v>
                </c:pt>
                <c:pt idx="139">
                  <c:v>-29.16023812776313</c:v>
                </c:pt>
                <c:pt idx="140">
                  <c:v>-29.681394056883235</c:v>
                </c:pt>
                <c:pt idx="141">
                  <c:v>-30.208438019722212</c:v>
                </c:pt>
                <c:pt idx="142">
                  <c:v>-30.741400652242675</c:v>
                </c:pt>
                <c:pt idx="143">
                  <c:v>-31.280312590407245</c:v>
                </c:pt>
                <c:pt idx="144">
                  <c:v>-31.825204470178537</c:v>
                </c:pt>
                <c:pt idx="145">
                  <c:v>-32.376106927519174</c:v>
                </c:pt>
                <c:pt idx="146">
                  <c:v>-32.933050598391766</c:v>
                </c:pt>
                <c:pt idx="147">
                  <c:v>-33.496066118758932</c:v>
                </c:pt>
                <c:pt idx="148">
                  <c:v>-34.065184124583304</c:v>
                </c:pt>
                <c:pt idx="149">
                  <c:v>-34.640435251827476</c:v>
                </c:pt>
                <c:pt idx="150">
                  <c:v>-35.22185013645408</c:v>
                </c:pt>
                <c:pt idx="151">
                  <c:v>-35.809459414425731</c:v>
                </c:pt>
                <c:pt idx="152">
                  <c:v>-36.403293721705047</c:v>
                </c:pt>
                <c:pt idx="153">
                  <c:v>-37.003383694254644</c:v>
                </c:pt>
                <c:pt idx="154">
                  <c:v>-37.609759968037139</c:v>
                </c:pt>
                <c:pt idx="155">
                  <c:v>-38.222453179015154</c:v>
                </c:pt>
                <c:pt idx="156">
                  <c:v>-38.841493963151308</c:v>
                </c:pt>
                <c:pt idx="157">
                  <c:v>-39.466912956408208</c:v>
                </c:pt>
                <c:pt idx="158">
                  <c:v>-40.09874079474848</c:v>
                </c:pt>
                <c:pt idx="159">
                  <c:v>-40.737008114134738</c:v>
                </c:pt>
                <c:pt idx="160">
                  <c:v>-41.381745550529608</c:v>
                </c:pt>
                <c:pt idx="161">
                  <c:v>-42.032983739895712</c:v>
                </c:pt>
                <c:pt idx="162">
                  <c:v>-42.690753318195647</c:v>
                </c:pt>
                <c:pt idx="163">
                  <c:v>-43.355084921392034</c:v>
                </c:pt>
                <c:pt idx="164">
                  <c:v>-44.026009185447499</c:v>
                </c:pt>
                <c:pt idx="165">
                  <c:v>-44.703556746324658</c:v>
                </c:pt>
                <c:pt idx="166">
                  <c:v>-45.387758239986127</c:v>
                </c:pt>
                <c:pt idx="167">
                  <c:v>-46.07864430239453</c:v>
                </c:pt>
                <c:pt idx="168">
                  <c:v>-46.776245569512476</c:v>
                </c:pt>
                <c:pt idx="169">
                  <c:v>-47.480592677302589</c:v>
                </c:pt>
                <c:pt idx="170">
                  <c:v>-48.191716261727485</c:v>
                </c:pt>
                <c:pt idx="171">
                  <c:v>-48.909646958749782</c:v>
                </c:pt>
                <c:pt idx="172">
                  <c:v>-49.634415404332096</c:v>
                </c:pt>
                <c:pt idx="173">
                  <c:v>-50.366052234437056</c:v>
                </c:pt>
                <c:pt idx="174">
                  <c:v>-51.10458808502726</c:v>
                </c:pt>
                <c:pt idx="175">
                  <c:v>-51.850053592065329</c:v>
                </c:pt>
                <c:pt idx="176">
                  <c:v>-52.602479391513889</c:v>
                </c:pt>
                <c:pt idx="177">
                  <c:v>-53.361896119335555</c:v>
                </c:pt>
                <c:pt idx="178">
                  <c:v>-54.128334411492943</c:v>
                </c:pt>
                <c:pt idx="179">
                  <c:v>-54.901824903948672</c:v>
                </c:pt>
                <c:pt idx="180">
                  <c:v>-55.682398232665363</c:v>
                </c:pt>
                <c:pt idx="181">
                  <c:v>-56.470085033605628</c:v>
                </c:pt>
                <c:pt idx="182">
                  <c:v>-57.264915942732088</c:v>
                </c:pt>
                <c:pt idx="183">
                  <c:v>-58.066921596007361</c:v>
                </c:pt>
                <c:pt idx="184">
                  <c:v>-58.876132629394064</c:v>
                </c:pt>
                <c:pt idx="185">
                  <c:v>-59.692579678854813</c:v>
                </c:pt>
                <c:pt idx="186">
                  <c:v>-60.516293380352224</c:v>
                </c:pt>
                <c:pt idx="187">
                  <c:v>-61.347304369848921</c:v>
                </c:pt>
                <c:pt idx="188">
                  <c:v>-62.185643283307513</c:v>
                </c:pt>
                <c:pt idx="189">
                  <c:v>-63.031340756690625</c:v>
                </c:pt>
                <c:pt idx="190">
                  <c:v>-63.884427425960872</c:v>
                </c:pt>
                <c:pt idx="191">
                  <c:v>-64.744933927080879</c:v>
                </c:pt>
                <c:pt idx="192">
                  <c:v>-65.612890896013283</c:v>
                </c:pt>
                <c:pt idx="193">
                  <c:v>-66.488328968720637</c:v>
                </c:pt>
                <c:pt idx="194">
                  <c:v>-67.3712787811656</c:v>
                </c:pt>
                <c:pt idx="195">
                  <c:v>-68.261770969310788</c:v>
                </c:pt>
                <c:pt idx="196">
                  <c:v>-69.159836169118819</c:v>
                </c:pt>
                <c:pt idx="197">
                  <c:v>-70.065505016552308</c:v>
                </c:pt>
                <c:pt idx="198">
                  <c:v>-70.978808147573872</c:v>
                </c:pt>
                <c:pt idx="199">
                  <c:v>-71.899776198146128</c:v>
                </c:pt>
                <c:pt idx="200">
                  <c:v>-72.828439804231706</c:v>
                </c:pt>
                <c:pt idx="201">
                  <c:v>-73.76482960179321</c:v>
                </c:pt>
                <c:pt idx="202">
                  <c:v>-74.708976226793254</c:v>
                </c:pt>
                <c:pt idx="203">
                  <c:v>-75.660910315194471</c:v>
                </c:pt>
                <c:pt idx="204">
                  <c:v>-76.620662502959462</c:v>
                </c:pt>
                <c:pt idx="205">
                  <c:v>-77.588263426050858</c:v>
                </c:pt>
                <c:pt idx="206">
                  <c:v>-78.563743720431276</c:v>
                </c:pt>
                <c:pt idx="207">
                  <c:v>-79.547134022063318</c:v>
                </c:pt>
                <c:pt idx="208">
                  <c:v>-80.538464966909615</c:v>
                </c:pt>
                <c:pt idx="209">
                  <c:v>-81.537767190932783</c:v>
                </c:pt>
                <c:pt idx="210">
                  <c:v>-82.545071330095439</c:v>
                </c:pt>
                <c:pt idx="211">
                  <c:v>-83.5604080203602</c:v>
                </c:pt>
                <c:pt idx="212">
                  <c:v>-84.583807897689695</c:v>
                </c:pt>
                <c:pt idx="213">
                  <c:v>-85.615301598046528</c:v>
                </c:pt>
                <c:pt idx="214">
                  <c:v>-86.654919757393316</c:v>
                </c:pt>
                <c:pt idx="215">
                  <c:v>-87.702693011692688</c:v>
                </c:pt>
                <c:pt idx="216">
                  <c:v>-88.758651996907247</c:v>
                </c:pt>
                <c:pt idx="217">
                  <c:v>-89.822827348999624</c:v>
                </c:pt>
                <c:pt idx="218">
                  <c:v>-90.895249703932464</c:v>
                </c:pt>
                <c:pt idx="219">
                  <c:v>-91.975949697668312</c:v>
                </c:pt>
                <c:pt idx="220">
                  <c:v>-93.064957966169828</c:v>
                </c:pt>
                <c:pt idx="221">
                  <c:v>-94.162305145399628</c:v>
                </c:pt>
                <c:pt idx="222">
                  <c:v>-95.268021871320329</c:v>
                </c:pt>
                <c:pt idx="223">
                  <c:v>-96.382138779894547</c:v>
                </c:pt>
                <c:pt idx="224">
                  <c:v>-97.504686507084898</c:v>
                </c:pt>
                <c:pt idx="225">
                  <c:v>-98.635695688854</c:v>
                </c:pt>
                <c:pt idx="226">
                  <c:v>-99.775196961164468</c:v>
                </c:pt>
                <c:pt idx="227">
                  <c:v>-100.92322095997893</c:v>
                </c:pt>
                <c:pt idx="228">
                  <c:v>-102.07979832126</c:v>
                </c:pt>
                <c:pt idx="229">
                  <c:v>-103.2449596809703</c:v>
                </c:pt>
                <c:pt idx="230">
                  <c:v>-104.41873567507243</c:v>
                </c:pt>
                <c:pt idx="231">
                  <c:v>-105.60115693952902</c:v>
                </c:pt>
                <c:pt idx="232">
                  <c:v>-106.79225411030269</c:v>
                </c:pt>
                <c:pt idx="233">
                  <c:v>-107.99205782335605</c:v>
                </c:pt>
                <c:pt idx="234">
                  <c:v>-109.20059871465172</c:v>
                </c:pt>
                <c:pt idx="235">
                  <c:v>-110.41790742015232</c:v>
                </c:pt>
                <c:pt idx="236">
                  <c:v>-111.64401457582046</c:v>
                </c:pt>
                <c:pt idx="237">
                  <c:v>-112.87895081761879</c:v>
                </c:pt>
                <c:pt idx="238">
                  <c:v>-114.12274678150989</c:v>
                </c:pt>
                <c:pt idx="239">
                  <c:v>-115.37543310345639</c:v>
                </c:pt>
                <c:pt idx="240">
                  <c:v>-116.6370404194209</c:v>
                </c:pt>
                <c:pt idx="241">
                  <c:v>-117.90759936536605</c:v>
                </c:pt>
                <c:pt idx="242">
                  <c:v>-119.18714057725445</c:v>
                </c:pt>
                <c:pt idx="243">
                  <c:v>-120.47569469104873</c:v>
                </c:pt>
                <c:pt idx="244">
                  <c:v>-121.77329234271154</c:v>
                </c:pt>
                <c:pt idx="245">
                  <c:v>-123.07996416820541</c:v>
                </c:pt>
                <c:pt idx="246">
                  <c:v>-124.395740803493</c:v>
                </c:pt>
                <c:pt idx="247">
                  <c:v>-125.72065288453693</c:v>
                </c:pt>
                <c:pt idx="248">
                  <c:v>-127.05473104729982</c:v>
                </c:pt>
                <c:pt idx="249">
                  <c:v>-128.39800592774429</c:v>
                </c:pt>
                <c:pt idx="250">
                  <c:v>-129.75050816183295</c:v>
                </c:pt>
                <c:pt idx="251">
                  <c:v>-131.11226838552844</c:v>
                </c:pt>
                <c:pt idx="252">
                  <c:v>-132.48331723479333</c:v>
                </c:pt>
                <c:pt idx="253">
                  <c:v>-133.86368534559028</c:v>
                </c:pt>
                <c:pt idx="254">
                  <c:v>-135.25340335388191</c:v>
                </c:pt>
                <c:pt idx="255">
                  <c:v>-136.65250189563082</c:v>
                </c:pt>
                <c:pt idx="256">
                  <c:v>-138.06101160679961</c:v>
                </c:pt>
                <c:pt idx="257">
                  <c:v>-139.47896312335092</c:v>
                </c:pt>
                <c:pt idx="258">
                  <c:v>-140.90638708124737</c:v>
                </c:pt>
                <c:pt idx="259">
                  <c:v>-142.34331411645158</c:v>
                </c:pt>
                <c:pt idx="260">
                  <c:v>-143.78977486492616</c:v>
                </c:pt>
                <c:pt idx="261">
                  <c:v>-145.24579996263373</c:v>
                </c:pt>
                <c:pt idx="262">
                  <c:v>-146.7114200455369</c:v>
                </c:pt>
                <c:pt idx="263">
                  <c:v>-148.18666574959829</c:v>
                </c:pt>
                <c:pt idx="264">
                  <c:v>-149.67156771078052</c:v>
                </c:pt>
                <c:pt idx="265">
                  <c:v>-151.16615656504624</c:v>
                </c:pt>
                <c:pt idx="266">
                  <c:v>-152.67046294835802</c:v>
                </c:pt>
                <c:pt idx="267">
                  <c:v>-154.1845174966785</c:v>
                </c:pt>
                <c:pt idx="268">
                  <c:v>-155.70835084597027</c:v>
                </c:pt>
                <c:pt idx="269">
                  <c:v>-157.24199363219606</c:v>
                </c:pt>
                <c:pt idx="270">
                  <c:v>-158.78547649131832</c:v>
                </c:pt>
                <c:pt idx="271">
                  <c:v>-160.33883005929974</c:v>
                </c:pt>
                <c:pt idx="272">
                  <c:v>-161.90208497210295</c:v>
                </c:pt>
                <c:pt idx="273">
                  <c:v>-163.47527186569056</c:v>
                </c:pt>
                <c:pt idx="274">
                  <c:v>-165.05842137602519</c:v>
                </c:pt>
                <c:pt idx="275">
                  <c:v>-166.65156413906945</c:v>
                </c:pt>
                <c:pt idx="276">
                  <c:v>-168.25473079078597</c:v>
                </c:pt>
                <c:pt idx="277">
                  <c:v>-169.86795196713737</c:v>
                </c:pt>
                <c:pt idx="278">
                  <c:v>-171.49125830408624</c:v>
                </c:pt>
                <c:pt idx="279">
                  <c:v>-173.12468043759523</c:v>
                </c:pt>
                <c:pt idx="280">
                  <c:v>-174.76824900362695</c:v>
                </c:pt>
                <c:pt idx="281">
                  <c:v>-176.42199463814399</c:v>
                </c:pt>
                <c:pt idx="282">
                  <c:v>-178.08594797710899</c:v>
                </c:pt>
                <c:pt idx="283">
                  <c:v>-179.76013965648457</c:v>
                </c:pt>
                <c:pt idx="284">
                  <c:v>-181.44460031223335</c:v>
                </c:pt>
                <c:pt idx="285">
                  <c:v>-183.13936058031794</c:v>
                </c:pt>
                <c:pt idx="286">
                  <c:v>-184.84445109670096</c:v>
                </c:pt>
                <c:pt idx="287">
                  <c:v>-186.55990249734504</c:v>
                </c:pt>
                <c:pt idx="288">
                  <c:v>-188.28574541821277</c:v>
                </c:pt>
                <c:pt idx="289">
                  <c:v>-190.02201049526678</c:v>
                </c:pt>
                <c:pt idx="290">
                  <c:v>-191.76872836446969</c:v>
                </c:pt>
                <c:pt idx="291">
                  <c:v>-193.52592966178412</c:v>
                </c:pt>
                <c:pt idx="292">
                  <c:v>-195.2936450231727</c:v>
                </c:pt>
                <c:pt idx="293">
                  <c:v>-197.07190508459803</c:v>
                </c:pt>
                <c:pt idx="294">
                  <c:v>-198.86074048202272</c:v>
                </c:pt>
                <c:pt idx="295">
                  <c:v>-200.66018185140948</c:v>
                </c:pt>
                <c:pt idx="296">
                  <c:v>-202.47025982872077</c:v>
                </c:pt>
                <c:pt idx="297">
                  <c:v>-204.29100504991928</c:v>
                </c:pt>
                <c:pt idx="298">
                  <c:v>-206.12244815096764</c:v>
                </c:pt>
                <c:pt idx="299">
                  <c:v>-207.96461976782845</c:v>
                </c:pt>
                <c:pt idx="300">
                  <c:v>-209.81755053646435</c:v>
                </c:pt>
                <c:pt idx="301">
                  <c:v>-211.68127109283793</c:v>
                </c:pt>
                <c:pt idx="302">
                  <c:v>-213.55581207291183</c:v>
                </c:pt>
                <c:pt idx="303">
                  <c:v>-215.44120411264868</c:v>
                </c:pt>
                <c:pt idx="304">
                  <c:v>-217.33747784801105</c:v>
                </c:pt>
                <c:pt idx="305">
                  <c:v>-219.24466391496159</c:v>
                </c:pt>
                <c:pt idx="306">
                  <c:v>-221.16279294946293</c:v>
                </c:pt>
                <c:pt idx="307">
                  <c:v>-223.09189558747767</c:v>
                </c:pt>
                <c:pt idx="308">
                  <c:v>-225.0320024649684</c:v>
                </c:pt>
                <c:pt idx="309">
                  <c:v>-226.98314421789777</c:v>
                </c:pt>
                <c:pt idx="310">
                  <c:v>-228.9453514822284</c:v>
                </c:pt>
                <c:pt idx="311">
                  <c:v>-230.91865489392291</c:v>
                </c:pt>
                <c:pt idx="312">
                  <c:v>-232.9030850889439</c:v>
                </c:pt>
                <c:pt idx="313">
                  <c:v>-234.89867270325399</c:v>
                </c:pt>
                <c:pt idx="314">
                  <c:v>-236.90544837281581</c:v>
                </c:pt>
                <c:pt idx="315">
                  <c:v>-238.92344273359197</c:v>
                </c:pt>
                <c:pt idx="316">
                  <c:v>-240.95268642154508</c:v>
                </c:pt>
                <c:pt idx="317">
                  <c:v>-242.99321007263779</c:v>
                </c:pt>
                <c:pt idx="318">
                  <c:v>-245.04504432283269</c:v>
                </c:pt>
                <c:pt idx="319">
                  <c:v>-247.1082198080924</c:v>
                </c:pt>
                <c:pt idx="320">
                  <c:v>-249.18276716437953</c:v>
                </c:pt>
                <c:pt idx="321">
                  <c:v>-251.26871702765681</c:v>
                </c:pt>
                <c:pt idx="322">
                  <c:v>-253.36610003388665</c:v>
                </c:pt>
                <c:pt idx="323">
                  <c:v>-255.4749468190318</c:v>
                </c:pt>
                <c:pt idx="324">
                  <c:v>-257.59528801905486</c:v>
                </c:pt>
                <c:pt idx="325">
                  <c:v>-259.7271542699184</c:v>
                </c:pt>
                <c:pt idx="326">
                  <c:v>-261.87057620758509</c:v>
                </c:pt>
                <c:pt idx="327">
                  <c:v>-264.02558446801754</c:v>
                </c:pt>
                <c:pt idx="328">
                  <c:v>-266.19220968717838</c:v>
                </c:pt>
                <c:pt idx="329">
                  <c:v>-268.37048250103015</c:v>
                </c:pt>
                <c:pt idx="330">
                  <c:v>-270.56043354553555</c:v>
                </c:pt>
                <c:pt idx="331">
                  <c:v>-272.76209345665717</c:v>
                </c:pt>
                <c:pt idx="332">
                  <c:v>-274.97549287035764</c:v>
                </c:pt>
                <c:pt idx="333">
                  <c:v>-277.20066242259958</c:v>
                </c:pt>
                <c:pt idx="334">
                  <c:v>-279.4376327493456</c:v>
                </c:pt>
                <c:pt idx="335">
                  <c:v>-281.68643448655831</c:v>
                </c:pt>
                <c:pt idx="336">
                  <c:v>-283.94709827020034</c:v>
                </c:pt>
                <c:pt idx="337">
                  <c:v>-286.2196547362343</c:v>
                </c:pt>
                <c:pt idx="338">
                  <c:v>-288.50413452062281</c:v>
                </c:pt>
                <c:pt idx="339">
                  <c:v>-290.80056825932849</c:v>
                </c:pt>
                <c:pt idx="340">
                  <c:v>-293.10898658831394</c:v>
                </c:pt>
                <c:pt idx="341">
                  <c:v>-295.42942014354179</c:v>
                </c:pt>
                <c:pt idx="342">
                  <c:v>-297.76189956097465</c:v>
                </c:pt>
                <c:pt idx="343">
                  <c:v>-300.10645547657515</c:v>
                </c:pt>
                <c:pt idx="344">
                  <c:v>-302.46311852630589</c:v>
                </c:pt>
                <c:pt idx="345">
                  <c:v>-304.8319193461295</c:v>
                </c:pt>
                <c:pt idx="346">
                  <c:v>-307.21288857200869</c:v>
                </c:pt>
                <c:pt idx="347">
                  <c:v>-309.60605683990593</c:v>
                </c:pt>
                <c:pt idx="348">
                  <c:v>-312.01145478578388</c:v>
                </c:pt>
                <c:pt idx="349">
                  <c:v>-314.42911304560516</c:v>
                </c:pt>
                <c:pt idx="350">
                  <c:v>-316.85906225533239</c:v>
                </c:pt>
                <c:pt idx="351">
                  <c:v>-319.30133305092824</c:v>
                </c:pt>
                <c:pt idx="352">
                  <c:v>-321.75595606835526</c:v>
                </c:pt>
                <c:pt idx="353">
                  <c:v>-324.22296194357608</c:v>
                </c:pt>
                <c:pt idx="354">
                  <c:v>-326.70238131255337</c:v>
                </c:pt>
                <c:pt idx="355">
                  <c:v>-329.19424481124969</c:v>
                </c:pt>
                <c:pt idx="356">
                  <c:v>-331.69858307562765</c:v>
                </c:pt>
                <c:pt idx="357">
                  <c:v>-334.21542674164994</c:v>
                </c:pt>
                <c:pt idx="358">
                  <c:v>-336.7448064452791</c:v>
                </c:pt>
                <c:pt idx="359">
                  <c:v>-339.28675282247775</c:v>
                </c:pt>
                <c:pt idx="360">
                  <c:v>-341.84129650920858</c:v>
                </c:pt>
                <c:pt idx="361">
                  <c:v>-344.40846814143413</c:v>
                </c:pt>
                <c:pt idx="362">
                  <c:v>-346.98829835511708</c:v>
                </c:pt>
                <c:pt idx="363">
                  <c:v>-349.58081778622</c:v>
                </c:pt>
                <c:pt idx="364">
                  <c:v>-352.18605707070554</c:v>
                </c:pt>
                <c:pt idx="365">
                  <c:v>-354.80404684453629</c:v>
                </c:pt>
                <c:pt idx="366">
                  <c:v>-357.4348177436749</c:v>
                </c:pt>
                <c:pt idx="367">
                  <c:v>-360.07840040408394</c:v>
                </c:pt>
                <c:pt idx="368">
                  <c:v>-362.73482546172607</c:v>
                </c:pt>
                <c:pt idx="369">
                  <c:v>-365.40412355256393</c:v>
                </c:pt>
                <c:pt idx="370">
                  <c:v>-368.08632531256006</c:v>
                </c:pt>
                <c:pt idx="371">
                  <c:v>-370.78146137767715</c:v>
                </c:pt>
                <c:pt idx="372">
                  <c:v>-373.4895623838778</c:v>
                </c:pt>
                <c:pt idx="373">
                  <c:v>-376.21065896712457</c:v>
                </c:pt>
                <c:pt idx="374">
                  <c:v>-378.94478176338015</c:v>
                </c:pt>
                <c:pt idx="375">
                  <c:v>-381.69196140860714</c:v>
                </c:pt>
                <c:pt idx="376">
                  <c:v>-384.45222853876811</c:v>
                </c:pt>
                <c:pt idx="377">
                  <c:v>-387.22561378982573</c:v>
                </c:pt>
                <c:pt idx="378">
                  <c:v>-390.01214779774261</c:v>
                </c:pt>
                <c:pt idx="379">
                  <c:v>-392.81186119848138</c:v>
                </c:pt>
                <c:pt idx="380">
                  <c:v>-395.62478462800465</c:v>
                </c:pt>
                <c:pt idx="381">
                  <c:v>-398.45094872227497</c:v>
                </c:pt>
                <c:pt idx="382">
                  <c:v>-401.29038411725503</c:v>
                </c:pt>
                <c:pt idx="383">
                  <c:v>-404.14312144890744</c:v>
                </c:pt>
                <c:pt idx="384">
                  <c:v>-407.00919135319504</c:v>
                </c:pt>
                <c:pt idx="385">
                  <c:v>-409.88862446607999</c:v>
                </c:pt>
                <c:pt idx="386">
                  <c:v>-412.78145142352514</c:v>
                </c:pt>
                <c:pt idx="387">
                  <c:v>-415.68770286149311</c:v>
                </c:pt>
                <c:pt idx="388">
                  <c:v>-418.60740941594651</c:v>
                </c:pt>
                <c:pt idx="389">
                  <c:v>-421.54060172284795</c:v>
                </c:pt>
                <c:pt idx="390">
                  <c:v>-424.48731041816006</c:v>
                </c:pt>
                <c:pt idx="391">
                  <c:v>-427.44756613784546</c:v>
                </c:pt>
                <c:pt idx="392">
                  <c:v>-430.42139951786675</c:v>
                </c:pt>
                <c:pt idx="393">
                  <c:v>-433.40884119418655</c:v>
                </c:pt>
                <c:pt idx="394">
                  <c:v>-436.40992180276749</c:v>
                </c:pt>
                <c:pt idx="395">
                  <c:v>-439.42467197957217</c:v>
                </c:pt>
                <c:pt idx="396">
                  <c:v>-442.45312236056321</c:v>
                </c:pt>
                <c:pt idx="397">
                  <c:v>-445.4953035817033</c:v>
                </c:pt>
                <c:pt idx="398">
                  <c:v>-448.55124627895498</c:v>
                </c:pt>
                <c:pt idx="399">
                  <c:v>-451.62098108828087</c:v>
                </c:pt>
                <c:pt idx="400">
                  <c:v>-454.70453864564359</c:v>
                </c:pt>
                <c:pt idx="401">
                  <c:v>-457.80194958700577</c:v>
                </c:pt>
                <c:pt idx="402">
                  <c:v>-460.91324454833006</c:v>
                </c:pt>
                <c:pt idx="403">
                  <c:v>-464.03845416557903</c:v>
                </c:pt>
                <c:pt idx="404">
                  <c:v>-467.17760907471529</c:v>
                </c:pt>
                <c:pt idx="405">
                  <c:v>-470.33073991170147</c:v>
                </c:pt>
                <c:pt idx="406">
                  <c:v>-473.49787731250024</c:v>
                </c:pt>
                <c:pt idx="407">
                  <c:v>-476.67905191307415</c:v>
                </c:pt>
                <c:pt idx="408">
                  <c:v>-479.87429434938588</c:v>
                </c:pt>
                <c:pt idx="409">
                  <c:v>-483.08363525739799</c:v>
                </c:pt>
                <c:pt idx="410">
                  <c:v>-486.30710527307309</c:v>
                </c:pt>
                <c:pt idx="411">
                  <c:v>-489.54473503237386</c:v>
                </c:pt>
                <c:pt idx="412">
                  <c:v>-492.79655517126287</c:v>
                </c:pt>
                <c:pt idx="413">
                  <c:v>-496.06259632570277</c:v>
                </c:pt>
                <c:pt idx="414">
                  <c:v>-499.34288913165614</c:v>
                </c:pt>
                <c:pt idx="415">
                  <c:v>-502.63746422508564</c:v>
                </c:pt>
                <c:pt idx="416">
                  <c:v>-505.94635224195383</c:v>
                </c:pt>
                <c:pt idx="417">
                  <c:v>-513.5937593251324</c:v>
                </c:pt>
                <c:pt idx="418">
                  <c:v>-521.31706879291096</c:v>
                </c:pt>
                <c:pt idx="419">
                  <c:v>-529.11665085187417</c:v>
                </c:pt>
                <c:pt idx="420">
                  <c:v>-536.99287570860577</c:v>
                </c:pt>
                <c:pt idx="421">
                  <c:v>-544.9461135696904</c:v>
                </c:pt>
                <c:pt idx="422">
                  <c:v>-552.97673464171203</c:v>
                </c:pt>
                <c:pt idx="423">
                  <c:v>-561.08510913125451</c:v>
                </c:pt>
                <c:pt idx="424">
                  <c:v>-569.27160724490273</c:v>
                </c:pt>
                <c:pt idx="425">
                  <c:v>-577.53659918924018</c:v>
                </c:pt>
                <c:pt idx="426">
                  <c:v>-585.88045517085175</c:v>
                </c:pt>
                <c:pt idx="427">
                  <c:v>-594.30354539632117</c:v>
                </c:pt>
                <c:pt idx="428">
                  <c:v>-602.80624007223253</c:v>
                </c:pt>
                <c:pt idx="429">
                  <c:v>-611.38890940517047</c:v>
                </c:pt>
                <c:pt idx="430">
                  <c:v>-620.05192360171861</c:v>
                </c:pt>
                <c:pt idx="431">
                  <c:v>-628.79565286846184</c:v>
                </c:pt>
                <c:pt idx="432">
                  <c:v>-637.62046741198401</c:v>
                </c:pt>
                <c:pt idx="433">
                  <c:v>-646.52673743886896</c:v>
                </c:pt>
                <c:pt idx="434">
                  <c:v>-655.51483315570147</c:v>
                </c:pt>
                <c:pt idx="435">
                  <c:v>-664.58512476906515</c:v>
                </c:pt>
                <c:pt idx="436">
                  <c:v>-673.73798248554488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7C6-499B-B781-3681EB789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39166864"/>
        <c:axId val="-239163056"/>
      </c:scatterChart>
      <c:valAx>
        <c:axId val="-23916686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239163056"/>
        <c:crosses val="autoZero"/>
        <c:crossBetween val="midCat"/>
      </c:valAx>
      <c:valAx>
        <c:axId val="-23916305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239166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85698872630862"/>
          <c:y val="9.6587926509186392E-2"/>
          <c:w val="0.70818044098313571"/>
          <c:h val="0.83876380019426711"/>
        </c:manualLayout>
      </c:layout>
      <c:scatterChart>
        <c:scatterStyle val="lineMarker"/>
        <c:varyColors val="0"/>
        <c:ser>
          <c:idx val="6"/>
          <c:order val="0"/>
          <c:spPr>
            <a:ln w="2857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muro+tensioni'!$J$44:$J$58</c:f>
              <c:numCache>
                <c:formatCode>General</c:formatCode>
                <c:ptCount val="15"/>
                <c:pt idx="0">
                  <c:v>0</c:v>
                </c:pt>
                <c:pt idx="1">
                  <c:v>2.8</c:v>
                </c:pt>
                <c:pt idx="2">
                  <c:v>2.8</c:v>
                </c:pt>
                <c:pt idx="3">
                  <c:v>3.4</c:v>
                </c:pt>
                <c:pt idx="4">
                  <c:v>3.4</c:v>
                </c:pt>
                <c:pt idx="5">
                  <c:v>3.4</c:v>
                </c:pt>
                <c:pt idx="6" formatCode="0.000">
                  <c:v>3.4</c:v>
                </c:pt>
                <c:pt idx="7" formatCode="0.000">
                  <c:v>1.5100100000000001</c:v>
                </c:pt>
                <c:pt idx="8" formatCode="0.000">
                  <c:v>0.89</c:v>
                </c:pt>
                <c:pt idx="9" formatCode="0.000">
                  <c:v>0.77</c:v>
                </c:pt>
                <c:pt idx="10" formatCode="0.000">
                  <c:v>0.77</c:v>
                </c:pt>
                <c:pt idx="11" formatCode="0.000">
                  <c:v>0.65</c:v>
                </c:pt>
                <c:pt idx="12" formatCode="0.000">
                  <c:v>0.65</c:v>
                </c:pt>
                <c:pt idx="13" formatCode="0.000">
                  <c:v>0</c:v>
                </c:pt>
                <c:pt idx="14" formatCode="0.000">
                  <c:v>0</c:v>
                </c:pt>
              </c:numCache>
            </c:numRef>
          </c:xVal>
          <c:yVal>
            <c:numRef>
              <c:f>'geom masse muro+tensioni'!$K$44:$K$58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-0.6</c:v>
                </c:pt>
                <c:pt idx="3">
                  <c:v>-0.6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0.5</c:v>
                </c:pt>
                <c:pt idx="8">
                  <c:v>4.8</c:v>
                </c:pt>
                <c:pt idx="9">
                  <c:v>4.8</c:v>
                </c:pt>
                <c:pt idx="10">
                  <c:v>5</c:v>
                </c:pt>
                <c:pt idx="11">
                  <c:v>5</c:v>
                </c:pt>
                <c:pt idx="12">
                  <c:v>0.50000000000000022</c:v>
                </c:pt>
                <c:pt idx="13">
                  <c:v>0.50000000000000022</c:v>
                </c:pt>
                <c:pt idx="1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67-4F63-A73E-0F9446383E37}"/>
            </c:ext>
          </c:extLst>
        </c:ser>
        <c:ser>
          <c:idx val="7"/>
          <c:order val="1"/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muro+tensioni'!$J$60:$J$61</c:f>
              <c:numCache>
                <c:formatCode>General</c:formatCode>
                <c:ptCount val="2"/>
                <c:pt idx="0">
                  <c:v>0.77</c:v>
                </c:pt>
                <c:pt idx="1">
                  <c:v>0.77</c:v>
                </c:pt>
              </c:numCache>
            </c:numRef>
          </c:xVal>
          <c:yVal>
            <c:numRef>
              <c:f>'geom masse muro+tensioni'!$K$60:$K$61</c:f>
              <c:numCache>
                <c:formatCode>General</c:formatCode>
                <c:ptCount val="2"/>
                <c:pt idx="0">
                  <c:v>0.5</c:v>
                </c:pt>
                <c:pt idx="1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67-4F63-A73E-0F9446383E37}"/>
            </c:ext>
          </c:extLst>
        </c:ser>
        <c:ser>
          <c:idx val="8"/>
          <c:order val="2"/>
          <c:spPr>
            <a:ln w="19050" cap="rnd">
              <a:solidFill>
                <a:schemeClr val="accent3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muro+tensioni'!$J$62:$J$63</c:f>
              <c:numCache>
                <c:formatCode>0.000</c:formatCode>
                <c:ptCount val="2"/>
                <c:pt idx="0" formatCode="General">
                  <c:v>0.77</c:v>
                </c:pt>
                <c:pt idx="1">
                  <c:v>1.5100100000000001</c:v>
                </c:pt>
              </c:numCache>
            </c:numRef>
          </c:xVal>
          <c:yVal>
            <c:numRef>
              <c:f>'geom masse muro+tensioni'!$K$62:$K$63</c:f>
              <c:numCache>
                <c:formatCode>General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A67-4F63-A73E-0F9446383E37}"/>
            </c:ext>
          </c:extLst>
        </c:ser>
        <c:ser>
          <c:idx val="9"/>
          <c:order val="3"/>
          <c:spPr>
            <a:ln w="95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muro+tensioni'!$J$65</c:f>
              <c:numCache>
                <c:formatCode>General</c:formatCode>
                <c:ptCount val="1"/>
                <c:pt idx="0">
                  <c:v>0.65</c:v>
                </c:pt>
              </c:numCache>
            </c:numRef>
          </c:xVal>
          <c:yVal>
            <c:numRef>
              <c:f>'geom masse muro+tensioni'!$K$65</c:f>
              <c:numCache>
                <c:formatCode>General</c:formatCode>
                <c:ptCount val="1"/>
                <c:pt idx="0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A67-4F63-A73E-0F9446383E37}"/>
            </c:ext>
          </c:extLst>
        </c:ser>
        <c:ser>
          <c:idx val="10"/>
          <c:order val="4"/>
          <c:spPr>
            <a:ln w="952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muro+tensioni'!$J$66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A67-4F63-A73E-0F9446383E37}"/>
            </c:ext>
          </c:extLst>
        </c:ser>
        <c:ser>
          <c:idx val="11"/>
          <c:order val="5"/>
          <c:spPr>
            <a:ln w="952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muro+tensioni'!$J$67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muro+tensioni'!$K$67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A67-4F63-A73E-0F9446383E37}"/>
            </c:ext>
          </c:extLst>
        </c:ser>
        <c:ser>
          <c:idx val="0"/>
          <c:order val="6"/>
          <c:spPr>
            <a:ln w="2857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A67-4F63-A73E-0F9446383E3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2836864368901143"/>
                  <c:y val="-1.06861022865782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A67-4F63-A73E-0F9446383E37}"/>
                </c:ext>
                <c:ext xmlns:c15="http://schemas.microsoft.com/office/drawing/2012/chart" uri="{CE6537A1-D6FC-4f65-9D91-7224C49458BB}">
                  <c15:layout>
                    <c:manualLayout>
                      <c:w val="0.2121639258679196"/>
                      <c:h val="5.106101030658923E-2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0.27464815644582347"/>
                  <c:y val="-2.5201034545174396E-2"/>
                </c:manualLayout>
              </c:layout>
              <c:numFmt formatCode="#,##0.00&quot; m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DA67-4F63-A73E-0F9446383E37}"/>
                </c:ext>
                <c:ext xmlns:c15="http://schemas.microsoft.com/office/drawing/2012/chart" uri="{CE6537A1-D6FC-4f65-9D91-7224C49458BB}">
                  <c15:layout>
                    <c:manualLayout>
                      <c:w val="0.21257646644075051"/>
                      <c:h val="3.9379355719720323E-2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0.33670073879742185"/>
                  <c:y val="9.42299552558695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A67-4F63-A73E-0F9446383E3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5500099837489316E-2"/>
                  <c:y val="5.66107881410993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DA67-4F63-A73E-0F9446383E3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5727622227576735E-2"/>
                  <c:y val="-8.84714976647064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A67-4F63-A73E-0F9446383E3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3612282781806847E-2"/>
                  <c:y val="-2.41053373910363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DA67-4F63-A73E-0F9446383E3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3981727206231262E-2"/>
                  <c:y val="-5.01471882943767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A67-4F63-A73E-0F9446383E3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9.3875469040631807E-2"/>
                  <c:y val="4.30945501891003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DA67-4F63-A73E-0F9446383E37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81769283471404"/>
                  <c:y val="-7.2993159319651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A67-4F63-A73E-0F9446383E37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3.7336744726076405E-2"/>
                  <c:y val="-4.79176638353277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DA67-4F63-A73E-0F9446383E37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10609315213214836"/>
                  <c:y val="-5.658544650422633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A67-4F63-A73E-0F9446383E37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0.28236239384504291"/>
                  <c:y val="-0.1051869267972497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DA67-4F63-A73E-0F9446383E37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4.9127022592969305E-2"/>
                  <c:y val="0.1116278836156886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DA67-4F63-A73E-0F9446383E37}"/>
                </c:ext>
                <c:ext xmlns:c15="http://schemas.microsoft.com/office/drawing/2012/chart" uri="{CE6537A1-D6FC-4f65-9D91-7224C49458BB}"/>
              </c:extLst>
            </c:dLbl>
            <c:numFmt formatCode="#,##0.00&quot; m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muro+tensioni'!$J$44:$J$58</c:f>
              <c:numCache>
                <c:formatCode>General</c:formatCode>
                <c:ptCount val="15"/>
                <c:pt idx="0">
                  <c:v>0</c:v>
                </c:pt>
                <c:pt idx="1">
                  <c:v>2.8</c:v>
                </c:pt>
                <c:pt idx="2">
                  <c:v>2.8</c:v>
                </c:pt>
                <c:pt idx="3">
                  <c:v>3.4</c:v>
                </c:pt>
                <c:pt idx="4">
                  <c:v>3.4</c:v>
                </c:pt>
                <c:pt idx="5">
                  <c:v>3.4</c:v>
                </c:pt>
                <c:pt idx="6" formatCode="0.000">
                  <c:v>3.4</c:v>
                </c:pt>
                <c:pt idx="7" formatCode="0.000">
                  <c:v>1.5100100000000001</c:v>
                </c:pt>
                <c:pt idx="8" formatCode="0.000">
                  <c:v>0.89</c:v>
                </c:pt>
                <c:pt idx="9" formatCode="0.000">
                  <c:v>0.77</c:v>
                </c:pt>
                <c:pt idx="10" formatCode="0.000">
                  <c:v>0.77</c:v>
                </c:pt>
                <c:pt idx="11" formatCode="0.000">
                  <c:v>0.65</c:v>
                </c:pt>
                <c:pt idx="12" formatCode="0.000">
                  <c:v>0.65</c:v>
                </c:pt>
                <c:pt idx="13" formatCode="0.000">
                  <c:v>0</c:v>
                </c:pt>
                <c:pt idx="14" formatCode="0.000">
                  <c:v>0</c:v>
                </c:pt>
              </c:numCache>
            </c:numRef>
          </c:xVal>
          <c:yVal>
            <c:numRef>
              <c:f>'geom masse muro+tensioni'!$K$44:$K$58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-0.6</c:v>
                </c:pt>
                <c:pt idx="3">
                  <c:v>-0.6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0.5</c:v>
                </c:pt>
                <c:pt idx="8">
                  <c:v>4.8</c:v>
                </c:pt>
                <c:pt idx="9">
                  <c:v>4.8</c:v>
                </c:pt>
                <c:pt idx="10">
                  <c:v>5</c:v>
                </c:pt>
                <c:pt idx="11">
                  <c:v>5</c:v>
                </c:pt>
                <c:pt idx="12">
                  <c:v>0.50000000000000022</c:v>
                </c:pt>
                <c:pt idx="13">
                  <c:v>0.50000000000000022</c:v>
                </c:pt>
                <c:pt idx="1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DA67-4F63-A73E-0F9446383E37}"/>
            </c:ext>
          </c:extLst>
        </c:ser>
        <c:ser>
          <c:idx val="1"/>
          <c:order val="7"/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muro+tensioni'!$J$60:$J$61</c:f>
              <c:numCache>
                <c:formatCode>General</c:formatCode>
                <c:ptCount val="2"/>
                <c:pt idx="0">
                  <c:v>0.77</c:v>
                </c:pt>
                <c:pt idx="1">
                  <c:v>0.77</c:v>
                </c:pt>
              </c:numCache>
            </c:numRef>
          </c:xVal>
          <c:yVal>
            <c:numRef>
              <c:f>'geom masse muro+tensioni'!$K$60:$K$61</c:f>
              <c:numCache>
                <c:formatCode>General</c:formatCode>
                <c:ptCount val="2"/>
                <c:pt idx="0">
                  <c:v>0.5</c:v>
                </c:pt>
                <c:pt idx="1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5-DA67-4F63-A73E-0F9446383E37}"/>
            </c:ext>
          </c:extLst>
        </c:ser>
        <c:ser>
          <c:idx val="2"/>
          <c:order val="8"/>
          <c:spPr>
            <a:ln w="1905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5500099837489476E-2"/>
                  <c:y val="3.944509754896869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DA67-4F63-A73E-0F9446383E3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DA67-4F63-A73E-0F9446383E37}"/>
                </c:ext>
                <c:ext xmlns:c15="http://schemas.microsoft.com/office/drawing/2012/chart" uri="{CE6537A1-D6FC-4f65-9D91-7224C49458BB}"/>
              </c:extLst>
            </c:dLbl>
            <c:numFmt formatCode="#,##0.00&quot; m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muro+tensioni'!$J$62:$J$63</c:f>
              <c:numCache>
                <c:formatCode>0.000</c:formatCode>
                <c:ptCount val="2"/>
                <c:pt idx="0" formatCode="General">
                  <c:v>0.77</c:v>
                </c:pt>
                <c:pt idx="1">
                  <c:v>1.5100100000000001</c:v>
                </c:pt>
              </c:numCache>
            </c:numRef>
          </c:xVal>
          <c:yVal>
            <c:numRef>
              <c:f>'geom masse muro+tensioni'!$K$62:$K$63</c:f>
              <c:numCache>
                <c:formatCode>General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8-DA67-4F63-A73E-0F9446383E37}"/>
            </c:ext>
          </c:extLst>
        </c:ser>
        <c:ser>
          <c:idx val="3"/>
          <c:order val="9"/>
          <c:spPr>
            <a:ln w="95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4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36084182659162178"/>
                  <c:y val="2.867075867485067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SEZIONE 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DA67-4F63-A73E-0F9446383E37}"/>
                </c:ext>
                <c:ext xmlns:c15="http://schemas.microsoft.com/office/drawing/2012/chart" uri="{CE6537A1-D6FC-4f65-9D91-7224C49458BB}">
                  <c15:layout>
                    <c:manualLayout>
                      <c:w val="0.18286998626178547"/>
                      <c:h val="4.8331287744394387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muro+tensioni'!$J$65</c:f>
              <c:numCache>
                <c:formatCode>General</c:formatCode>
                <c:ptCount val="1"/>
                <c:pt idx="0">
                  <c:v>0.65</c:v>
                </c:pt>
              </c:numCache>
            </c:numRef>
          </c:xVal>
          <c:yVal>
            <c:numRef>
              <c:f>'geom masse muro+tensioni'!$K$65</c:f>
              <c:numCache>
                <c:formatCode>General</c:formatCode>
                <c:ptCount val="1"/>
                <c:pt idx="0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A-DA67-4F63-A73E-0F9446383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39167408"/>
        <c:axId val="-239164144"/>
      </c:scatterChart>
      <c:scatterChart>
        <c:scatterStyle val="smoothMarker"/>
        <c:varyColors val="0"/>
        <c:ser>
          <c:idx val="4"/>
          <c:order val="10"/>
          <c:spPr>
            <a:ln w="95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5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36387463561516004"/>
                  <c:y val="-3.51454729576125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>
                        <a:solidFill>
                          <a:srgbClr val="FF0000"/>
                        </a:solidFill>
                      </a:rPr>
                      <a:t>origine</a:t>
                    </a:r>
                    <a:r>
                      <a:rPr lang="en-US" b="1" baseline="0">
                        <a:solidFill>
                          <a:srgbClr val="FF0000"/>
                        </a:solidFill>
                      </a:rPr>
                      <a:t> degli assi</a:t>
                    </a:r>
                    <a:endParaRPr lang="en-US" b="1">
                      <a:solidFill>
                        <a:srgbClr val="FF0000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DA67-4F63-A73E-0F9446383E37}"/>
                </c:ext>
                <c:ext xmlns:c15="http://schemas.microsoft.com/office/drawing/2012/chart" uri="{CE6537A1-D6FC-4f65-9D91-7224C49458BB}">
                  <c15:layout>
                    <c:manualLayout>
                      <c:w val="0.22229318592415595"/>
                      <c:h val="4.1682832096741423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muro+tensioni'!$J$66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C-DA67-4F63-A73E-0F9446383E37}"/>
            </c:ext>
          </c:extLst>
        </c:ser>
        <c:ser>
          <c:idx val="5"/>
          <c:order val="11"/>
          <c:spPr>
            <a:ln w="952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6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23755016953265545"/>
                  <c:y val="4.07588125541701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SEZIONE</a:t>
                    </a:r>
                    <a:r>
                      <a:rPr lang="en-US" b="1" baseline="0"/>
                      <a:t> 3</a:t>
                    </a:r>
                    <a:endParaRPr lang="en-US" b="1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DA67-4F63-A73E-0F9446383E37}"/>
                </c:ext>
                <c:ext xmlns:c15="http://schemas.microsoft.com/office/drawing/2012/chart" uri="{CE6537A1-D6FC-4f65-9D91-7224C49458BB}">
                  <c15:layout>
                    <c:manualLayout>
                      <c:w val="0.14626216082720853"/>
                      <c:h val="3.4951876463338055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muro+tensioni'!$J$67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muro+tensioni'!$K$67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E-DA67-4F63-A73E-0F9446383E37}"/>
            </c:ext>
          </c:extLst>
        </c:ser>
        <c:ser>
          <c:idx val="12"/>
          <c:order val="12"/>
          <c:spPr>
            <a:ln w="952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80000"/>
                    <a:lumOff val="20000"/>
                  </a:schemeClr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28513395898160027"/>
                  <c:y val="-6.5180297138113533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SEZIONE 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DA67-4F63-A73E-0F9446383E3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muro+tensioni'!$J$68</c:f>
              <c:numCache>
                <c:formatCode>General</c:formatCode>
                <c:ptCount val="1"/>
                <c:pt idx="0">
                  <c:v>0.65</c:v>
                </c:pt>
              </c:numCache>
            </c:numRef>
          </c:xVal>
          <c:yVal>
            <c:numRef>
              <c:f>'geom masse muro+tensioni'!$K$68</c:f>
              <c:numCache>
                <c:formatCode>General</c:formatCode>
                <c:ptCount val="1"/>
                <c:pt idx="0">
                  <c:v>0.5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0-DA67-4F63-A73E-0F9446383E37}"/>
            </c:ext>
          </c:extLst>
        </c:ser>
        <c:ser>
          <c:idx val="13"/>
          <c:order val="13"/>
          <c:spPr>
            <a:ln w="9525" cap="rnd">
              <a:solidFill>
                <a:schemeClr val="accent2">
                  <a:lumMod val="80000"/>
                  <a:lumOff val="2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gradFill flip="none" rotWithShape="1">
                <a:gsLst>
                  <a:gs pos="0">
                    <a:srgbClr val="FF0000">
                      <a:shade val="30000"/>
                      <a:satMod val="115000"/>
                    </a:srgbClr>
                  </a:gs>
                  <a:gs pos="50000">
                    <a:srgbClr val="FF0000">
                      <a:shade val="67500"/>
                      <a:satMod val="115000"/>
                    </a:srgbClr>
                  </a:gs>
                  <a:gs pos="100000">
                    <a:srgbClr val="FF0000">
                      <a:shade val="100000"/>
                      <a:satMod val="115000"/>
                    </a:srgbClr>
                  </a:gs>
                </a:gsLst>
                <a:path path="circle">
                  <a:fillToRect l="50000" t="50000" r="50000" b="50000"/>
                </a:path>
                <a:tileRect/>
              </a:gradFill>
              <a:ln w="9525">
                <a:solidFill>
                  <a:schemeClr val="accent2">
                    <a:lumMod val="80000"/>
                    <a:lumOff val="20000"/>
                  </a:schemeClr>
                </a:solidFill>
                <a:prstDash val="sysDash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.21836236909667908"/>
                  <c:y val="-0.1072667366726683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5F7BA4E-175A-4BCC-AFDA-B01F4832574A}" type="XVALUE">
                      <a:rPr lang="en-US" b="1"/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[VALORE X]</a:t>
                    </a:fld>
                    <a:r>
                      <a:rPr lang="en-US" b="1" baseline="0"/>
                      <a:t>; </a:t>
                    </a:r>
                    <a:fld id="{D3C1F569-10DC-4BA0-8C14-CF4812E5DF98}" type="YVALUE">
                      <a:rPr lang="en-US" b="1" baseline="0"/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[VALORE Y]</a:t>
                    </a:fld>
                    <a:r>
                      <a:rPr lang="en-US" b="1" baseline="0"/>
                      <a:t>   BARICENTRO DEL MURO</a:t>
                    </a:r>
                  </a:p>
                </c:rich>
              </c:tx>
              <c:numFmt formatCode="#,##0.00&quot; m&quot;" sourceLinked="0"/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DA67-4F63-A73E-0F9446383E37}"/>
                </c:ext>
                <c:ext xmlns:c15="http://schemas.microsoft.com/office/drawing/2012/chart" uri="{CE6537A1-D6FC-4f65-9D91-7224C49458BB}">
                  <c15:layout>
                    <c:manualLayout>
                      <c:w val="0.22912872172830948"/>
                      <c:h val="9.8984588121881906E-2"/>
                    </c:manualLayout>
                  </c15:layout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'VER. EQU COND. NON DRENATE'!$C$38</c:f>
              <c:numCache>
                <c:formatCode>0.000" m"</c:formatCode>
                <c:ptCount val="1"/>
                <c:pt idx="0">
                  <c:v>1.6326655274280244</c:v>
                </c:pt>
              </c:numCache>
            </c:numRef>
          </c:xVal>
          <c:yVal>
            <c:numRef>
              <c:f>'VER. EQU COND. NON DRENATE'!$C$40</c:f>
              <c:numCache>
                <c:formatCode>0.000" m"</c:formatCode>
                <c:ptCount val="1"/>
                <c:pt idx="0">
                  <c:v>0.81324289489780677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2-DA67-4F63-A73E-0F9446383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39167408"/>
        <c:axId val="-239164144"/>
      </c:scatterChart>
      <c:valAx>
        <c:axId val="-239167408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050">
                    <a:latin typeface="Calibri" panose="020F0502020204030204" pitchFamily="34" charset="0"/>
                  </a:rPr>
                  <a:t>asse x →</a:t>
                </a:r>
                <a:endParaRPr lang="it-IT" sz="1050"/>
              </a:p>
            </c:rich>
          </c:tx>
          <c:layout>
            <c:manualLayout>
              <c:xMode val="edge"/>
              <c:yMode val="edge"/>
              <c:x val="0.41384661198217487"/>
              <c:y val="0.968634712419081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crossAx val="-239164144"/>
        <c:crosses val="autoZero"/>
        <c:crossBetween val="midCat"/>
      </c:valAx>
      <c:valAx>
        <c:axId val="-239164144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050">
                    <a:latin typeface="Calibri" panose="020F0502020204030204" pitchFamily="34" charset="0"/>
                  </a:rPr>
                  <a:t> asse z →</a:t>
                </a:r>
                <a:endParaRPr lang="it-IT" sz="1050"/>
              </a:p>
            </c:rich>
          </c:tx>
          <c:layout>
            <c:manualLayout>
              <c:xMode val="edge"/>
              <c:yMode val="edge"/>
              <c:x val="0.108508646231849"/>
              <c:y val="0.5214533028976705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crossAx val="-239167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428547010494914E-2"/>
          <c:y val="9.6537826908444271E-2"/>
          <c:w val="0.8025318064292245"/>
          <c:h val="0.83876380019426711"/>
        </c:manualLayout>
      </c:layout>
      <c:scatterChart>
        <c:scatterStyle val="smoothMarker"/>
        <c:varyColors val="0"/>
        <c:ser>
          <c:idx val="4"/>
          <c:order val="9"/>
          <c:spPr>
            <a:ln w="95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5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7845263919016662E-2"/>
                  <c:y val="4.8325096101043401E-2"/>
                </c:manualLayout>
              </c:layout>
              <c:tx>
                <c:rich>
                  <a:bodyPr/>
                  <a:lstStyle/>
                  <a:p>
                    <a:r>
                      <a:rPr lang="en-US" b="1" baseline="0">
                        <a:solidFill>
                          <a:srgbClr val="FF0000"/>
                        </a:solidFill>
                      </a:rPr>
                      <a:t>origine degli assi</a:t>
                    </a:r>
                    <a:endParaRPr lang="en-US" b="1">
                      <a:solidFill>
                        <a:srgbClr val="FF0000"/>
                      </a:solidFill>
                    </a:endParaRP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66B-40DB-9834-52164B064D2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muro+tensioni'!$J$66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66B-40DB-9834-52164B064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39160880"/>
        <c:axId val="-239173392"/>
      </c:scatterChart>
      <c:scatterChart>
        <c:scatterStyle val="lineMarker"/>
        <c:varyColors val="0"/>
        <c:ser>
          <c:idx val="6"/>
          <c:order val="0"/>
          <c:spPr>
            <a:ln w="2857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muro+tensioni'!$J$44:$J$58</c:f>
              <c:numCache>
                <c:formatCode>General</c:formatCode>
                <c:ptCount val="15"/>
                <c:pt idx="0">
                  <c:v>0</c:v>
                </c:pt>
                <c:pt idx="1">
                  <c:v>2.8</c:v>
                </c:pt>
                <c:pt idx="2">
                  <c:v>2.8</c:v>
                </c:pt>
                <c:pt idx="3">
                  <c:v>3.4</c:v>
                </c:pt>
                <c:pt idx="4">
                  <c:v>3.4</c:v>
                </c:pt>
                <c:pt idx="5">
                  <c:v>3.4</c:v>
                </c:pt>
                <c:pt idx="6" formatCode="0.000">
                  <c:v>3.4</c:v>
                </c:pt>
                <c:pt idx="7" formatCode="0.000">
                  <c:v>1.5100100000000001</c:v>
                </c:pt>
                <c:pt idx="8" formatCode="0.000">
                  <c:v>0.89</c:v>
                </c:pt>
                <c:pt idx="9" formatCode="0.000">
                  <c:v>0.77</c:v>
                </c:pt>
                <c:pt idx="10" formatCode="0.000">
                  <c:v>0.77</c:v>
                </c:pt>
                <c:pt idx="11" formatCode="0.000">
                  <c:v>0.65</c:v>
                </c:pt>
                <c:pt idx="12" formatCode="0.000">
                  <c:v>0.65</c:v>
                </c:pt>
                <c:pt idx="13" formatCode="0.000">
                  <c:v>0</c:v>
                </c:pt>
                <c:pt idx="14" formatCode="0.000">
                  <c:v>0</c:v>
                </c:pt>
              </c:numCache>
            </c:numRef>
          </c:xVal>
          <c:yVal>
            <c:numRef>
              <c:f>'geom masse muro+tensioni'!$K$44:$K$58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-0.6</c:v>
                </c:pt>
                <c:pt idx="3">
                  <c:v>-0.6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0.5</c:v>
                </c:pt>
                <c:pt idx="8">
                  <c:v>4.8</c:v>
                </c:pt>
                <c:pt idx="9">
                  <c:v>4.8</c:v>
                </c:pt>
                <c:pt idx="10">
                  <c:v>5</c:v>
                </c:pt>
                <c:pt idx="11">
                  <c:v>5</c:v>
                </c:pt>
                <c:pt idx="12">
                  <c:v>0.50000000000000022</c:v>
                </c:pt>
                <c:pt idx="13">
                  <c:v>0.50000000000000022</c:v>
                </c:pt>
                <c:pt idx="1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66B-40DB-9834-52164B064D2B}"/>
            </c:ext>
          </c:extLst>
        </c:ser>
        <c:ser>
          <c:idx val="7"/>
          <c:order val="1"/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muro+tensioni'!$J$60:$J$61</c:f>
              <c:numCache>
                <c:formatCode>General</c:formatCode>
                <c:ptCount val="2"/>
                <c:pt idx="0">
                  <c:v>0.77</c:v>
                </c:pt>
                <c:pt idx="1">
                  <c:v>0.77</c:v>
                </c:pt>
              </c:numCache>
            </c:numRef>
          </c:xVal>
          <c:yVal>
            <c:numRef>
              <c:f>'geom masse muro+tensioni'!$K$60:$K$61</c:f>
              <c:numCache>
                <c:formatCode>General</c:formatCode>
                <c:ptCount val="2"/>
                <c:pt idx="0">
                  <c:v>0.5</c:v>
                </c:pt>
                <c:pt idx="1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66B-40DB-9834-52164B064D2B}"/>
            </c:ext>
          </c:extLst>
        </c:ser>
        <c:ser>
          <c:idx val="8"/>
          <c:order val="2"/>
          <c:spPr>
            <a:ln w="19050" cap="rnd">
              <a:solidFill>
                <a:schemeClr val="accent3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muro+tensioni'!$J$62:$J$63</c:f>
              <c:numCache>
                <c:formatCode>0.000</c:formatCode>
                <c:ptCount val="2"/>
                <c:pt idx="0" formatCode="General">
                  <c:v>0.77</c:v>
                </c:pt>
                <c:pt idx="1">
                  <c:v>1.5100100000000001</c:v>
                </c:pt>
              </c:numCache>
            </c:numRef>
          </c:xVal>
          <c:yVal>
            <c:numRef>
              <c:f>'geom masse muro+tensioni'!$K$62:$K$63</c:f>
              <c:numCache>
                <c:formatCode>General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66B-40DB-9834-52164B064D2B}"/>
            </c:ext>
          </c:extLst>
        </c:ser>
        <c:ser>
          <c:idx val="9"/>
          <c:order val="3"/>
          <c:spPr>
            <a:ln w="95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muro+tensioni'!$J$65</c:f>
              <c:numCache>
                <c:formatCode>General</c:formatCode>
                <c:ptCount val="1"/>
                <c:pt idx="0">
                  <c:v>0.65</c:v>
                </c:pt>
              </c:numCache>
            </c:numRef>
          </c:xVal>
          <c:yVal>
            <c:numRef>
              <c:f>'geom masse muro+tensioni'!$K$65</c:f>
              <c:numCache>
                <c:formatCode>General</c:formatCode>
                <c:ptCount val="1"/>
                <c:pt idx="0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66B-40DB-9834-52164B064D2B}"/>
            </c:ext>
          </c:extLst>
        </c:ser>
        <c:ser>
          <c:idx val="10"/>
          <c:order val="4"/>
          <c:spPr>
            <a:ln w="952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muro+tensioni'!$J$66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66B-40DB-9834-52164B064D2B}"/>
            </c:ext>
          </c:extLst>
        </c:ser>
        <c:ser>
          <c:idx val="11"/>
          <c:order val="5"/>
          <c:spPr>
            <a:ln w="952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muro+tensioni'!$J$67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muro+tensioni'!$K$67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66B-40DB-9834-52164B064D2B}"/>
            </c:ext>
          </c:extLst>
        </c:ser>
        <c:ser>
          <c:idx val="0"/>
          <c:order val="6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muro+tensioni'!$J$44:$J$58</c:f>
              <c:numCache>
                <c:formatCode>General</c:formatCode>
                <c:ptCount val="15"/>
                <c:pt idx="0">
                  <c:v>0</c:v>
                </c:pt>
                <c:pt idx="1">
                  <c:v>2.8</c:v>
                </c:pt>
                <c:pt idx="2">
                  <c:v>2.8</c:v>
                </c:pt>
                <c:pt idx="3">
                  <c:v>3.4</c:v>
                </c:pt>
                <c:pt idx="4">
                  <c:v>3.4</c:v>
                </c:pt>
                <c:pt idx="5">
                  <c:v>3.4</c:v>
                </c:pt>
                <c:pt idx="6" formatCode="0.000">
                  <c:v>3.4</c:v>
                </c:pt>
                <c:pt idx="7" formatCode="0.000">
                  <c:v>1.5100100000000001</c:v>
                </c:pt>
                <c:pt idx="8" formatCode="0.000">
                  <c:v>0.89</c:v>
                </c:pt>
                <c:pt idx="9" formatCode="0.000">
                  <c:v>0.77</c:v>
                </c:pt>
                <c:pt idx="10" formatCode="0.000">
                  <c:v>0.77</c:v>
                </c:pt>
                <c:pt idx="11" formatCode="0.000">
                  <c:v>0.65</c:v>
                </c:pt>
                <c:pt idx="12" formatCode="0.000">
                  <c:v>0.65</c:v>
                </c:pt>
                <c:pt idx="13" formatCode="0.000">
                  <c:v>0</c:v>
                </c:pt>
                <c:pt idx="14" formatCode="0.000">
                  <c:v>0</c:v>
                </c:pt>
              </c:numCache>
            </c:numRef>
          </c:xVal>
          <c:yVal>
            <c:numRef>
              <c:f>'geom masse muro+tensioni'!$K$44:$K$58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-0.6</c:v>
                </c:pt>
                <c:pt idx="3">
                  <c:v>-0.6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0.5</c:v>
                </c:pt>
                <c:pt idx="8">
                  <c:v>4.8</c:v>
                </c:pt>
                <c:pt idx="9">
                  <c:v>4.8</c:v>
                </c:pt>
                <c:pt idx="10">
                  <c:v>5</c:v>
                </c:pt>
                <c:pt idx="11">
                  <c:v>5</c:v>
                </c:pt>
                <c:pt idx="12">
                  <c:v>0.50000000000000022</c:v>
                </c:pt>
                <c:pt idx="13">
                  <c:v>0.50000000000000022</c:v>
                </c:pt>
                <c:pt idx="1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66B-40DB-9834-52164B064D2B}"/>
            </c:ext>
          </c:extLst>
        </c:ser>
        <c:ser>
          <c:idx val="1"/>
          <c:order val="7"/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muro+tensioni'!$J$60:$J$61</c:f>
              <c:numCache>
                <c:formatCode>General</c:formatCode>
                <c:ptCount val="2"/>
                <c:pt idx="0">
                  <c:v>0.77</c:v>
                </c:pt>
                <c:pt idx="1">
                  <c:v>0.77</c:v>
                </c:pt>
              </c:numCache>
            </c:numRef>
          </c:xVal>
          <c:yVal>
            <c:numRef>
              <c:f>'geom masse muro+tensioni'!$K$60:$K$61</c:f>
              <c:numCache>
                <c:formatCode>General</c:formatCode>
                <c:ptCount val="2"/>
                <c:pt idx="0">
                  <c:v>0.5</c:v>
                </c:pt>
                <c:pt idx="1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66B-40DB-9834-52164B064D2B}"/>
            </c:ext>
          </c:extLst>
        </c:ser>
        <c:ser>
          <c:idx val="2"/>
          <c:order val="8"/>
          <c:spPr>
            <a:ln w="19050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muro+tensioni'!$J$62:$J$63</c:f>
              <c:numCache>
                <c:formatCode>0.000</c:formatCode>
                <c:ptCount val="2"/>
                <c:pt idx="0" formatCode="General">
                  <c:v>0.77</c:v>
                </c:pt>
                <c:pt idx="1">
                  <c:v>1.5100100000000001</c:v>
                </c:pt>
              </c:numCache>
            </c:numRef>
          </c:xVal>
          <c:yVal>
            <c:numRef>
              <c:f>'geom masse muro+tensioni'!$K$62:$K$63</c:f>
              <c:numCache>
                <c:formatCode>General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66B-40DB-9834-52164B064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39160880"/>
        <c:axId val="-239173392"/>
      </c:scatterChart>
      <c:scatterChart>
        <c:scatterStyle val="lineMarker"/>
        <c:varyColors val="0"/>
        <c:ser>
          <c:idx val="14"/>
          <c:order val="10"/>
          <c:tx>
            <c:v>terreno</c:v>
          </c:tx>
          <c:spPr>
            <a:ln w="9525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Pt>
            <c:idx val="1"/>
            <c:bubble3D val="0"/>
            <c:spPr>
              <a:ln w="28575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766B-40DB-9834-52164B064D2B}"/>
              </c:ext>
            </c:extLst>
          </c:dPt>
          <c:dPt>
            <c:idx val="2"/>
            <c:bubble3D val="0"/>
            <c:spPr>
              <a:ln w="28575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66B-40DB-9834-52164B064D2B}"/>
              </c:ext>
            </c:extLst>
          </c:dPt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66B-40DB-9834-52164B064D2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-5.711147721032402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terreno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66B-40DB-9834-52164B064D2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766B-40DB-9834-52164B064D2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muro+tensioni'!$M$82:$M$84</c:f>
              <c:numCache>
                <c:formatCode>0.00</c:formatCode>
                <c:ptCount val="3"/>
                <c:pt idx="0">
                  <c:v>0.77</c:v>
                </c:pt>
                <c:pt idx="1">
                  <c:v>3.4</c:v>
                </c:pt>
                <c:pt idx="2">
                  <c:v>3.4</c:v>
                </c:pt>
              </c:numCache>
            </c:numRef>
          </c:xVal>
          <c:yVal>
            <c:numRef>
              <c:f>'geom masse muro+tensioni'!$N$82:$N$84</c:f>
              <c:numCache>
                <c:formatCode>0.00</c:formatCode>
                <c:ptCount val="3"/>
                <c:pt idx="0">
                  <c:v>4.8</c:v>
                </c:pt>
                <c:pt idx="1">
                  <c:v>5.0320615922608809</c:v>
                </c:pt>
                <c:pt idx="2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766B-40DB-9834-52164B064D2B}"/>
            </c:ext>
          </c:extLst>
        </c:ser>
        <c:ser>
          <c:idx val="3"/>
          <c:order val="11"/>
          <c:tx>
            <c:v>baricentro terra+muro</c:v>
          </c:tx>
          <c:spPr>
            <a:ln w="9525" cap="rnd">
              <a:solidFill>
                <a:schemeClr val="accent4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4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0.15618221258134496"/>
                  <c:y val="-7.1790846991031707E-2"/>
                </c:manualLayout>
              </c:layout>
              <c:tx>
                <c:rich>
                  <a:bodyPr/>
                  <a:lstStyle/>
                  <a:p>
                    <a:fld id="{F1C904C0-1179-4E92-9FFA-BF5ED6FC8AB2}" type="XVALUE">
                      <a:rPr lang="en-US"/>
                      <a:pPr/>
                      <a:t>[VALORE X]</a:t>
                    </a:fld>
                    <a:r>
                      <a:rPr lang="en-US" baseline="0"/>
                      <a:t>; </a:t>
                    </a:r>
                    <a:fld id="{C53BFFDD-591B-4C53-BFF6-06B45E42DB4E}" type="YVALUE">
                      <a:rPr lang="en-US" baseline="0"/>
                      <a:pPr/>
                      <a:t>[VALORE Y]</a:t>
                    </a:fld>
                    <a:r>
                      <a:rPr lang="en-US" baseline="0"/>
                      <a:t> baricentro terra+muro</a:t>
                    </a:r>
                  </a:p>
                  <a:p>
                    <a:r>
                      <a:rPr lang="en-US" sz="800" baseline="0"/>
                      <a:t>(media pesata sui pesi specifici)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66B-40DB-9834-52164B064D2B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'VER. EQU COND. NON DRENATE'!$C$79</c:f>
              <c:numCache>
                <c:formatCode>0.00" m"</c:formatCode>
                <c:ptCount val="1"/>
                <c:pt idx="0">
                  <c:v>1.9461947151714729</c:v>
                </c:pt>
              </c:numCache>
            </c:numRef>
          </c:xVal>
          <c:yVal>
            <c:numRef>
              <c:f>'VER. EQU COND. NON DRENATE'!$C$81</c:f>
              <c:numCache>
                <c:formatCode>0.00" m"</c:formatCode>
                <c:ptCount val="1"/>
                <c:pt idx="0">
                  <c:v>2.2165813430007493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2-766B-40DB-9834-52164B064D2B}"/>
            </c:ext>
          </c:extLst>
        </c:ser>
        <c:ser>
          <c:idx val="5"/>
          <c:order val="12"/>
          <c:tx>
            <c:v>baricentro terra</c:v>
          </c:tx>
          <c:spPr>
            <a:ln w="9525" cap="rnd">
              <a:solidFill>
                <a:schemeClr val="accent6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6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4.6276211135213317E-2"/>
                  <c:y val="-0.15076371968161961"/>
                </c:manualLayout>
              </c:layout>
              <c:tx>
                <c:rich>
                  <a:bodyPr/>
                  <a:lstStyle/>
                  <a:p>
                    <a:fld id="{98B8FECF-7796-4966-ABC7-675B551908D6}" type="XVALUE">
                      <a:rPr lang="en-US"/>
                      <a:pPr/>
                      <a:t>[VALORE X]</a:t>
                    </a:fld>
                    <a:r>
                      <a:rPr lang="en-US" baseline="0"/>
                      <a:t>; </a:t>
                    </a:r>
                    <a:fld id="{FF87735F-1B66-4CD7-831D-A3E701C54E12}" type="YVALUE">
                      <a:rPr lang="en-US" baseline="0"/>
                      <a:pPr/>
                      <a:t>[VALORE Y]</a:t>
                    </a:fld>
                    <a:r>
                      <a:rPr lang="en-US" baseline="0"/>
                      <a:t> baricentro terra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766B-40DB-9834-52164B064D2B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'VER. EQU COND. NON DRENATE'!$C$84</c:f>
              <c:numCache>
                <c:formatCode>0.00" m"</c:formatCode>
                <c:ptCount val="1"/>
                <c:pt idx="0">
                  <c:v>2.0483562999253735</c:v>
                </c:pt>
              </c:numCache>
            </c:numRef>
          </c:xVal>
          <c:yVal>
            <c:numRef>
              <c:f>'VER. EQU COND. NON DRENATE'!$C$86</c:f>
              <c:numCache>
                <c:formatCode>0.00" m"</c:formatCode>
                <c:ptCount val="1"/>
                <c:pt idx="0">
                  <c:v>2.6738506672257989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766B-40DB-9834-52164B064D2B}"/>
            </c:ext>
          </c:extLst>
        </c:ser>
        <c:ser>
          <c:idx val="12"/>
          <c:order val="13"/>
          <c:tx>
            <c:v>baricentro muro</c:v>
          </c:tx>
          <c:spPr>
            <a:ln w="952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>
                    <a:lumMod val="80000"/>
                    <a:lumOff val="20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6.9414316702819973E-2"/>
                  <c:y val="-3.0752333882482236E-2"/>
                </c:manualLayout>
              </c:layout>
              <c:tx>
                <c:rich>
                  <a:bodyPr/>
                  <a:lstStyle/>
                  <a:p>
                    <a:fld id="{2465A305-C929-4DA6-87A5-AABF5F952A16}" type="XVALUE">
                      <a:rPr lang="en-US"/>
                      <a:pPr/>
                      <a:t>[VALORE X]</a:t>
                    </a:fld>
                    <a:r>
                      <a:rPr lang="en-US" baseline="0"/>
                      <a:t>; </a:t>
                    </a:r>
                    <a:fld id="{8A290CF4-FEA8-4B9C-93CD-B16FEE7C51AB}" type="YVALUE">
                      <a:rPr lang="en-US" baseline="0"/>
                      <a:pPr/>
                      <a:t>[VALORE Y]</a:t>
                    </a:fld>
                    <a:r>
                      <a:rPr lang="en-US" baseline="0"/>
                      <a:t> baicentro muro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766B-40DB-9834-52164B064D2B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'VER. EQU COND. NON DRENATE'!$C$89</c:f>
              <c:numCache>
                <c:formatCode>0.00" m"</c:formatCode>
                <c:ptCount val="1"/>
                <c:pt idx="0">
                  <c:v>1.6326655274280244</c:v>
                </c:pt>
              </c:numCache>
            </c:numRef>
          </c:xVal>
          <c:yVal>
            <c:numRef>
              <c:f>'VER. EQU COND. NON DRENATE'!$C$91</c:f>
              <c:numCache>
                <c:formatCode>0.00" m"</c:formatCode>
                <c:ptCount val="1"/>
                <c:pt idx="0">
                  <c:v>0.81324289489780677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6-766B-40DB-9834-52164B064D2B}"/>
            </c:ext>
          </c:extLst>
        </c:ser>
        <c:ser>
          <c:idx val="13"/>
          <c:order val="14"/>
          <c:tx>
            <c:v>STR1</c:v>
          </c:tx>
          <c:spPr>
            <a:ln w="952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'geom masse muro+tensioni'!$M$109:$M$110</c:f>
              <c:numCache>
                <c:formatCode>General</c:formatCode>
                <c:ptCount val="2"/>
                <c:pt idx="0">
                  <c:v>0.77</c:v>
                </c:pt>
                <c:pt idx="1">
                  <c:v>3.4</c:v>
                </c:pt>
              </c:numCache>
            </c:numRef>
          </c:xVal>
          <c:yVal>
            <c:numRef>
              <c:f>'geom masse muro+tensioni'!$N$109:$N$110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766B-40DB-9834-52164B064D2B}"/>
            </c:ext>
          </c:extLst>
        </c:ser>
        <c:ser>
          <c:idx val="15"/>
          <c:order val="15"/>
          <c:tx>
            <c:v>STR2</c:v>
          </c:tx>
          <c:spPr>
            <a:ln w="952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'geom masse muro+tensioni'!$M$111:$M$112</c:f>
              <c:numCache>
                <c:formatCode>General</c:formatCode>
                <c:ptCount val="2"/>
                <c:pt idx="0">
                  <c:v>0.77</c:v>
                </c:pt>
                <c:pt idx="1">
                  <c:v>3.4</c:v>
                </c:pt>
              </c:numCache>
            </c:numRef>
          </c:xVal>
          <c:yVal>
            <c:numRef>
              <c:f>'geom masse muro+tensioni'!$N$111:$N$112</c:f>
              <c:numCache>
                <c:formatCode>0.00</c:formatCode>
                <c:ptCount val="2"/>
                <c:pt idx="0">
                  <c:v>8.8817841970012523E-16</c:v>
                </c:pt>
                <c:pt idx="1">
                  <c:v>8.8817841970012523E-16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8-766B-40DB-9834-52164B064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39165232"/>
        <c:axId val="-239165776"/>
      </c:scatterChart>
      <c:valAx>
        <c:axId val="-2391608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239173392"/>
        <c:crosses val="autoZero"/>
        <c:crossBetween val="midCat"/>
      </c:valAx>
      <c:valAx>
        <c:axId val="-2391733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239160880"/>
        <c:crosses val="autoZero"/>
        <c:crossBetween val="midCat"/>
      </c:valAx>
      <c:valAx>
        <c:axId val="-239165776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-239165232"/>
        <c:crosses val="max"/>
        <c:crossBetween val="midCat"/>
      </c:valAx>
      <c:valAx>
        <c:axId val="-239165232"/>
        <c:scaling>
          <c:orientation val="minMax"/>
        </c:scaling>
        <c:delete val="1"/>
        <c:axPos val="t"/>
        <c:numFmt formatCode="0.00" sourceLinked="1"/>
        <c:majorTickMark val="out"/>
        <c:minorTickMark val="none"/>
        <c:tickLblPos val="nextTo"/>
        <c:crossAx val="-239165776"/>
        <c:crosses val="max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</a:t>
            </a:r>
            <a:r>
              <a:rPr lang="it-IT" baseline="0"/>
              <a:t> dei Carichi</a:t>
            </a:r>
            <a:endParaRPr lang="it-IT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737704566070345"/>
          <c:y val="8.9891004253492612E-2"/>
          <c:w val="0.83980999307601911"/>
          <c:h val="0.83821464690808833"/>
        </c:manualLayout>
      </c:layout>
      <c:scatterChart>
        <c:scatterStyle val="lineMarker"/>
        <c:varyColors val="0"/>
        <c:ser>
          <c:idx val="0"/>
          <c:order val="0"/>
          <c:tx>
            <c:v>muro</c:v>
          </c:tx>
          <c:spPr>
            <a:ln w="31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muro+tensioni'!$J$44:$J$58</c:f>
              <c:numCache>
                <c:formatCode>General</c:formatCode>
                <c:ptCount val="15"/>
                <c:pt idx="0">
                  <c:v>0</c:v>
                </c:pt>
                <c:pt idx="1">
                  <c:v>2.8</c:v>
                </c:pt>
                <c:pt idx="2">
                  <c:v>2.8</c:v>
                </c:pt>
                <c:pt idx="3">
                  <c:v>3.4</c:v>
                </c:pt>
                <c:pt idx="4">
                  <c:v>3.4</c:v>
                </c:pt>
                <c:pt idx="5">
                  <c:v>3.4</c:v>
                </c:pt>
                <c:pt idx="6" formatCode="0.000">
                  <c:v>3.4</c:v>
                </c:pt>
                <c:pt idx="7" formatCode="0.000">
                  <c:v>1.5100100000000001</c:v>
                </c:pt>
                <c:pt idx="8" formatCode="0.000">
                  <c:v>0.89</c:v>
                </c:pt>
                <c:pt idx="9" formatCode="0.000">
                  <c:v>0.77</c:v>
                </c:pt>
                <c:pt idx="10" formatCode="0.000">
                  <c:v>0.77</c:v>
                </c:pt>
                <c:pt idx="11" formatCode="0.000">
                  <c:v>0.65</c:v>
                </c:pt>
                <c:pt idx="12" formatCode="0.000">
                  <c:v>0.65</c:v>
                </c:pt>
                <c:pt idx="13" formatCode="0.000">
                  <c:v>0</c:v>
                </c:pt>
                <c:pt idx="14" formatCode="0.000">
                  <c:v>0</c:v>
                </c:pt>
              </c:numCache>
            </c:numRef>
          </c:xVal>
          <c:yVal>
            <c:numRef>
              <c:f>'geom masse muro+tensioni'!$K$44:$K$58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-0.6</c:v>
                </c:pt>
                <c:pt idx="3">
                  <c:v>-0.6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0.5</c:v>
                </c:pt>
                <c:pt idx="8">
                  <c:v>4.8</c:v>
                </c:pt>
                <c:pt idx="9">
                  <c:v>4.8</c:v>
                </c:pt>
                <c:pt idx="10">
                  <c:v>5</c:v>
                </c:pt>
                <c:pt idx="11">
                  <c:v>5</c:v>
                </c:pt>
                <c:pt idx="12">
                  <c:v>0.50000000000000022</c:v>
                </c:pt>
                <c:pt idx="13">
                  <c:v>0.50000000000000022</c:v>
                </c:pt>
                <c:pt idx="1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48D-4D15-ABD0-864FD42EE67E}"/>
            </c:ext>
          </c:extLst>
        </c:ser>
        <c:ser>
          <c:idx val="3"/>
          <c:order val="1"/>
          <c:tx>
            <c:v>terreno</c:v>
          </c:tx>
          <c:spPr>
            <a:ln w="9525" cap="rnd">
              <a:solidFill>
                <a:schemeClr val="bg2">
                  <a:lumMod val="75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'geom masse muro+tensioni'!$M$82:$M$84</c:f>
              <c:numCache>
                <c:formatCode>0.00</c:formatCode>
                <c:ptCount val="3"/>
                <c:pt idx="0">
                  <c:v>0.77</c:v>
                </c:pt>
                <c:pt idx="1">
                  <c:v>3.4</c:v>
                </c:pt>
                <c:pt idx="2">
                  <c:v>3.4</c:v>
                </c:pt>
              </c:numCache>
            </c:numRef>
          </c:xVal>
          <c:yVal>
            <c:numRef>
              <c:f>'geom masse muro+tensioni'!$N$82:$N$84</c:f>
              <c:numCache>
                <c:formatCode>0.00</c:formatCode>
                <c:ptCount val="3"/>
                <c:pt idx="0">
                  <c:v>4.8</c:v>
                </c:pt>
                <c:pt idx="1">
                  <c:v>5.0320615922608809</c:v>
                </c:pt>
                <c:pt idx="2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48D-4D15-ABD0-864FD42EE67E}"/>
            </c:ext>
          </c:extLst>
        </c:ser>
        <c:ser>
          <c:idx val="1"/>
          <c:order val="2"/>
          <c:tx>
            <c:v>spinta</c:v>
          </c:tx>
          <c:spPr>
            <a:ln w="95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'geom masse muro+tensioni'!$J$84:$J$95</c:f>
              <c:numCache>
                <c:formatCode>0.000</c:formatCode>
                <c:ptCount val="12"/>
                <c:pt idx="0">
                  <c:v>10.473602294854036</c:v>
                </c:pt>
                <c:pt idx="1">
                  <c:v>10.473602294854036</c:v>
                </c:pt>
                <c:pt idx="2">
                  <c:v>10.473602294854036</c:v>
                </c:pt>
                <c:pt idx="3">
                  <c:v>10.473602294854036</c:v>
                </c:pt>
                <c:pt idx="4">
                  <c:v>10.473602294854036</c:v>
                </c:pt>
                <c:pt idx="5">
                  <c:v>10.473602294854036</c:v>
                </c:pt>
                <c:pt idx="6">
                  <c:v>10.473602294854036</c:v>
                </c:pt>
                <c:pt idx="7">
                  <c:v>10.473602294854036</c:v>
                </c:pt>
                <c:pt idx="8">
                  <c:v>6.2047143614628251</c:v>
                </c:pt>
                <c:pt idx="9">
                  <c:v>3.7399999999999998</c:v>
                </c:pt>
                <c:pt idx="10">
                  <c:v>3.7399999999999998</c:v>
                </c:pt>
                <c:pt idx="11">
                  <c:v>10.473602294854036</c:v>
                </c:pt>
              </c:numCache>
            </c:numRef>
          </c:xVal>
          <c:yVal>
            <c:numRef>
              <c:f>'geom masse muro+tensioni'!$K$84:$K$95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5.0320615922608809</c:v>
                </c:pt>
                <c:pt idx="9">
                  <c:v>5.0320615922608809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48D-4D15-ABD0-864FD42EE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39159792"/>
        <c:axId val="-239175024"/>
      </c:scatterChart>
      <c:valAx>
        <c:axId val="-239159792"/>
        <c:scaling>
          <c:orientation val="minMax"/>
        </c:scaling>
        <c:delete val="1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050">
                    <a:latin typeface="Calibri" panose="020F0502020204030204" pitchFamily="34" charset="0"/>
                  </a:rPr>
                  <a:t>asse x →</a:t>
                </a:r>
                <a:endParaRPr lang="it-IT" sz="1050"/>
              </a:p>
            </c:rich>
          </c:tx>
          <c:layout>
            <c:manualLayout>
              <c:xMode val="edge"/>
              <c:yMode val="edge"/>
              <c:x val="0.41384661198217487"/>
              <c:y val="0.968634712419081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crossAx val="-239175024"/>
        <c:crosses val="max"/>
        <c:crossBetween val="midCat"/>
      </c:valAx>
      <c:valAx>
        <c:axId val="-2391750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050">
                    <a:latin typeface="Calibri" panose="020F0502020204030204" pitchFamily="34" charset="0"/>
                  </a:rPr>
                  <a:t> asse z →</a:t>
                </a:r>
                <a:endParaRPr lang="it-IT" sz="1050"/>
              </a:p>
            </c:rich>
          </c:tx>
          <c:layout>
            <c:manualLayout>
              <c:xMode val="edge"/>
              <c:yMode val="edge"/>
              <c:x val="2.452782050136703E-2"/>
              <c:y val="0.265835552292105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239159792"/>
        <c:crosses val="autoZero"/>
        <c:crossBetween val="midCat"/>
        <c:minorUnit val="0.5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SEZIONE</a:t>
            </a:r>
            <a:r>
              <a:rPr lang="en-US" sz="1200" baseline="0"/>
              <a:t> 1</a:t>
            </a:r>
            <a:endParaRPr lang="en-US" sz="1200"/>
          </a:p>
        </c:rich>
      </c:tx>
      <c:layout>
        <c:manualLayout>
          <c:xMode val="edge"/>
          <c:yMode val="edge"/>
          <c:x val="0.43354927840287311"/>
          <c:y val="4.947482972383796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"/>
          <c:y val="0.15659080286197113"/>
          <c:w val="0.97018470721245098"/>
          <c:h val="0.800346765971135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muro+tensioni'!$C$44:$C$69</c:f>
              <c:numCache>
                <c:formatCode>General</c:formatCode>
                <c:ptCount val="26"/>
                <c:pt idx="0">
                  <c:v>0</c:v>
                </c:pt>
                <c:pt idx="1">
                  <c:v>1.25</c:v>
                </c:pt>
                <c:pt idx="2">
                  <c:v>1.25</c:v>
                </c:pt>
                <c:pt idx="3">
                  <c:v>0.71</c:v>
                </c:pt>
                <c:pt idx="4">
                  <c:v>0.71</c:v>
                </c:pt>
                <c:pt idx="5">
                  <c:v>0.54999999999999993</c:v>
                </c:pt>
                <c:pt idx="6">
                  <c:v>0.54999999999999993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-0.54999999999999993</c:v>
                </c:pt>
                <c:pt idx="20">
                  <c:v>-0.54999999999999993</c:v>
                </c:pt>
                <c:pt idx="21">
                  <c:v>-0.71</c:v>
                </c:pt>
                <c:pt idx="22">
                  <c:v>-0.71</c:v>
                </c:pt>
                <c:pt idx="23">
                  <c:v>-1.25</c:v>
                </c:pt>
                <c:pt idx="24">
                  <c:v>-1.25</c:v>
                </c:pt>
                <c:pt idx="25">
                  <c:v>0</c:v>
                </c:pt>
              </c:numCache>
            </c:numRef>
          </c:xVal>
          <c:yVal>
            <c:numRef>
              <c:f>'geom masse muro+tensioni'!$D$44:$D$69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0.12</c:v>
                </c:pt>
                <c:pt idx="3">
                  <c:v>0.12</c:v>
                </c:pt>
                <c:pt idx="4">
                  <c:v>0.24</c:v>
                </c:pt>
                <c:pt idx="5">
                  <c:v>0.24</c:v>
                </c:pt>
                <c:pt idx="6">
                  <c:v>0.12</c:v>
                </c:pt>
                <c:pt idx="7">
                  <c:v>0.12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0.12</c:v>
                </c:pt>
                <c:pt idx="12">
                  <c:v>0.12</c:v>
                </c:pt>
                <c:pt idx="13">
                  <c:v>0.12</c:v>
                </c:pt>
                <c:pt idx="14">
                  <c:v>0.12</c:v>
                </c:pt>
                <c:pt idx="15">
                  <c:v>0.12</c:v>
                </c:pt>
                <c:pt idx="16">
                  <c:v>0.12</c:v>
                </c:pt>
                <c:pt idx="17">
                  <c:v>0.12</c:v>
                </c:pt>
                <c:pt idx="18">
                  <c:v>0.12</c:v>
                </c:pt>
                <c:pt idx="19">
                  <c:v>0.12</c:v>
                </c:pt>
                <c:pt idx="20">
                  <c:v>0.24</c:v>
                </c:pt>
                <c:pt idx="21">
                  <c:v>0.24</c:v>
                </c:pt>
                <c:pt idx="22">
                  <c:v>0.12</c:v>
                </c:pt>
                <c:pt idx="23">
                  <c:v>0.12</c:v>
                </c:pt>
                <c:pt idx="24">
                  <c:v>0</c:v>
                </c:pt>
                <c:pt idx="25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CD3-482E-B1AD-EB16BEB75CDC}"/>
            </c:ext>
          </c:extLst>
        </c:ser>
        <c:ser>
          <c:idx val="1"/>
          <c:order val="1"/>
          <c:spPr>
            <a:ln w="6350" cap="rnd">
              <a:solidFill>
                <a:schemeClr val="bg2">
                  <a:lumMod val="2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7.8777669458790014E-2"/>
                  <c:y val="0.2161305694112019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>
                        <a:solidFill>
                          <a:srgbClr val="FF0000"/>
                        </a:solidFill>
                      </a:rPr>
                      <a:t>asse x in mezzeria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CD3-482E-B1AD-EB16BEB75CDC}"/>
                </c:ext>
                <c:ext xmlns:c15="http://schemas.microsoft.com/office/drawing/2012/chart" uri="{CE6537A1-D6FC-4f65-9D91-7224C49458BB}">
                  <c15:layout>
                    <c:manualLayout>
                      <c:w val="0.24507708104498283"/>
                      <c:h val="0.19895963371569481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muro+tensioni'!$F$44:$F$69</c:f>
              <c:numCache>
                <c:formatCode>General</c:formatCode>
                <c:ptCount val="26"/>
                <c:pt idx="0">
                  <c:v>0</c:v>
                </c:pt>
                <c:pt idx="1">
                  <c:v>1.25</c:v>
                </c:pt>
                <c:pt idx="2">
                  <c:v>1.25</c:v>
                </c:pt>
                <c:pt idx="3">
                  <c:v>0.71</c:v>
                </c:pt>
                <c:pt idx="4">
                  <c:v>0.71</c:v>
                </c:pt>
                <c:pt idx="5">
                  <c:v>0.54999999999999993</c:v>
                </c:pt>
                <c:pt idx="6">
                  <c:v>0.54999999999999993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-0.54999999999999993</c:v>
                </c:pt>
                <c:pt idx="20">
                  <c:v>-0.54999999999999993</c:v>
                </c:pt>
                <c:pt idx="21">
                  <c:v>-0.71</c:v>
                </c:pt>
                <c:pt idx="22">
                  <c:v>-0.71</c:v>
                </c:pt>
                <c:pt idx="23">
                  <c:v>-1.25</c:v>
                </c:pt>
                <c:pt idx="24">
                  <c:v>-1.25</c:v>
                </c:pt>
                <c:pt idx="25">
                  <c:v>0</c:v>
                </c:pt>
              </c:numCache>
            </c:numRef>
          </c:xVal>
          <c:yVal>
            <c:numRef>
              <c:f>'geom masse muro+tensioni'!$G$44:$G$69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0.12</c:v>
                </c:pt>
                <c:pt idx="3">
                  <c:v>0.12</c:v>
                </c:pt>
                <c:pt idx="4" formatCode="0.000">
                  <c:v>0.86001000000000005</c:v>
                </c:pt>
                <c:pt idx="5" formatCode="0.000">
                  <c:v>0.86001000000000005</c:v>
                </c:pt>
                <c:pt idx="6" formatCode="0.000">
                  <c:v>0.12</c:v>
                </c:pt>
                <c:pt idx="7">
                  <c:v>0.12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0.12</c:v>
                </c:pt>
                <c:pt idx="12">
                  <c:v>0.12</c:v>
                </c:pt>
                <c:pt idx="13">
                  <c:v>0.12</c:v>
                </c:pt>
                <c:pt idx="14">
                  <c:v>0.12</c:v>
                </c:pt>
                <c:pt idx="15">
                  <c:v>0.12</c:v>
                </c:pt>
                <c:pt idx="16">
                  <c:v>0.12</c:v>
                </c:pt>
                <c:pt idx="17">
                  <c:v>0.12</c:v>
                </c:pt>
                <c:pt idx="18">
                  <c:v>0.12</c:v>
                </c:pt>
                <c:pt idx="19">
                  <c:v>0.12</c:v>
                </c:pt>
                <c:pt idx="20" formatCode="0.000">
                  <c:v>0.86001000000000005</c:v>
                </c:pt>
                <c:pt idx="21" formatCode="0.000">
                  <c:v>0.86001000000000005</c:v>
                </c:pt>
                <c:pt idx="22" formatCode="0.000">
                  <c:v>0.12</c:v>
                </c:pt>
                <c:pt idx="23" formatCode="0.000">
                  <c:v>0.12</c:v>
                </c:pt>
                <c:pt idx="24" formatCode="0.000">
                  <c:v>0</c:v>
                </c:pt>
                <c:pt idx="25" formatCode="0.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CD3-482E-B1AD-EB16BEB75CDC}"/>
            </c:ext>
          </c:extLst>
        </c:ser>
        <c:ser>
          <c:idx val="2"/>
          <c:order val="2"/>
          <c:spPr>
            <a:ln w="95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muro+tensioni'!$C$72:$C$77</c:f>
              <c:numCache>
                <c:formatCode>General</c:formatCode>
                <c:ptCount val="6"/>
                <c:pt idx="0">
                  <c:v>1.25</c:v>
                </c:pt>
                <c:pt idx="1">
                  <c:v>1.25</c:v>
                </c:pt>
                <c:pt idx="2">
                  <c:v>-1.25</c:v>
                </c:pt>
                <c:pt idx="3">
                  <c:v>-1.25</c:v>
                </c:pt>
                <c:pt idx="4">
                  <c:v>1.25</c:v>
                </c:pt>
                <c:pt idx="5">
                  <c:v>1.25</c:v>
                </c:pt>
              </c:numCache>
            </c:numRef>
          </c:xVal>
          <c:yVal>
            <c:numRef>
              <c:f>'geom masse muro+tensioni'!$D$72:$D$77</c:f>
              <c:numCache>
                <c:formatCode>General</c:formatCode>
                <c:ptCount val="6"/>
                <c:pt idx="0">
                  <c:v>0</c:v>
                </c:pt>
                <c:pt idx="1">
                  <c:v>2.75</c:v>
                </c:pt>
                <c:pt idx="2">
                  <c:v>2.75</c:v>
                </c:pt>
                <c:pt idx="3">
                  <c:v>-0.65</c:v>
                </c:pt>
                <c:pt idx="4">
                  <c:v>-0.65</c:v>
                </c:pt>
                <c:pt idx="5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CD3-482E-B1AD-EB16BEB75CDC}"/>
            </c:ext>
          </c:extLst>
        </c:ser>
        <c:ser>
          <c:idx val="3"/>
          <c:order val="3"/>
          <c:spPr>
            <a:ln w="9525" cap="rnd">
              <a:solidFill>
                <a:schemeClr val="bg2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muro+tensioni'!$F$72:$F$76</c:f>
              <c:numCache>
                <c:formatCode>General</c:formatCode>
                <c:ptCount val="5"/>
                <c:pt idx="0">
                  <c:v>1.25</c:v>
                </c:pt>
                <c:pt idx="1">
                  <c:v>1.25</c:v>
                </c:pt>
                <c:pt idx="2">
                  <c:v>-1.25</c:v>
                </c:pt>
                <c:pt idx="3">
                  <c:v>-1.25</c:v>
                </c:pt>
                <c:pt idx="4">
                  <c:v>1.25</c:v>
                </c:pt>
              </c:numCache>
            </c:numRef>
          </c:xVal>
          <c:yVal>
            <c:numRef>
              <c:f>'geom masse muro+tensioni'!$G$72:$G$76</c:f>
              <c:numCache>
                <c:formatCode>General</c:formatCode>
                <c:ptCount val="5"/>
                <c:pt idx="0">
                  <c:v>2.15</c:v>
                </c:pt>
                <c:pt idx="1">
                  <c:v>2.7499999999999996</c:v>
                </c:pt>
                <c:pt idx="2">
                  <c:v>2.7499999999999996</c:v>
                </c:pt>
                <c:pt idx="3">
                  <c:v>2.15</c:v>
                </c:pt>
                <c:pt idx="4">
                  <c:v>2.15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CD3-482E-B1AD-EB16BEB75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11493872"/>
        <c:axId val="-311493328"/>
      </c:scatterChart>
      <c:valAx>
        <c:axId val="-31149387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100">
                    <a:latin typeface="Calibri" panose="020F0502020204030204" pitchFamily="34" charset="0"/>
                  </a:rPr>
                  <a:t>asse y →</a:t>
                </a:r>
                <a:endParaRPr lang="it-IT" sz="1100"/>
              </a:p>
            </c:rich>
          </c:tx>
          <c:layout>
            <c:manualLayout>
              <c:xMode val="edge"/>
              <c:yMode val="edge"/>
              <c:x val="0.37440523134206455"/>
              <c:y val="0.8722827454787329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crossAx val="-311493328"/>
        <c:crosses val="autoZero"/>
        <c:crossBetween val="midCat"/>
      </c:valAx>
      <c:valAx>
        <c:axId val="-311493328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100" b="1" i="0" baseline="0">
                    <a:effectLst/>
                  </a:rPr>
                  <a:t>asse x →</a:t>
                </a:r>
                <a:endParaRPr lang="it-IT" sz="5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crossAx val="-311493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Momento flettente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'SOLLECITAZ NASCOSTO'!$T$32:$T$448</c:f>
              <c:numCache>
                <c:formatCode>0.00</c:formatCode>
                <c:ptCount val="417"/>
                <c:pt idx="0">
                  <c:v>4.5320615922608809</c:v>
                </c:pt>
                <c:pt idx="1">
                  <c:v>4.5320615922608809</c:v>
                </c:pt>
                <c:pt idx="2">
                  <c:v>4.5320615922608809</c:v>
                </c:pt>
                <c:pt idx="3">
                  <c:v>4.5320615922608809</c:v>
                </c:pt>
                <c:pt idx="4">
                  <c:v>4.5320615922608809</c:v>
                </c:pt>
                <c:pt idx="5">
                  <c:v>4.5320615922608809</c:v>
                </c:pt>
                <c:pt idx="6">
                  <c:v>4.5320615922608809</c:v>
                </c:pt>
                <c:pt idx="7">
                  <c:v>4.5320615922608809</c:v>
                </c:pt>
                <c:pt idx="8">
                  <c:v>4.5320615922608809</c:v>
                </c:pt>
                <c:pt idx="9">
                  <c:v>4.5320615922608809</c:v>
                </c:pt>
                <c:pt idx="10">
                  <c:v>4.5320615922608809</c:v>
                </c:pt>
                <c:pt idx="11">
                  <c:v>4.5320615922608809</c:v>
                </c:pt>
                <c:pt idx="12">
                  <c:v>4.5320615922608809</c:v>
                </c:pt>
                <c:pt idx="13">
                  <c:v>4.5320615922608809</c:v>
                </c:pt>
                <c:pt idx="14">
                  <c:v>4.5320615922608809</c:v>
                </c:pt>
                <c:pt idx="15">
                  <c:v>4.5320615922608809</c:v>
                </c:pt>
                <c:pt idx="16">
                  <c:v>4.5320615922608809</c:v>
                </c:pt>
                <c:pt idx="17">
                  <c:v>4.5320615922608809</c:v>
                </c:pt>
                <c:pt idx="18">
                  <c:v>4.5320615922608809</c:v>
                </c:pt>
                <c:pt idx="19">
                  <c:v>4.5320615922608809</c:v>
                </c:pt>
                <c:pt idx="20">
                  <c:v>4.5320615922608809</c:v>
                </c:pt>
                <c:pt idx="21">
                  <c:v>4.5320615922608809</c:v>
                </c:pt>
                <c:pt idx="22">
                  <c:v>4.5320615922608809</c:v>
                </c:pt>
                <c:pt idx="23">
                  <c:v>4.5320615922608809</c:v>
                </c:pt>
                <c:pt idx="24">
                  <c:v>4.5320615922608809</c:v>
                </c:pt>
                <c:pt idx="25">
                  <c:v>4.5320615922608809</c:v>
                </c:pt>
                <c:pt idx="26">
                  <c:v>4.5320615922608809</c:v>
                </c:pt>
                <c:pt idx="27">
                  <c:v>4.5320615922608809</c:v>
                </c:pt>
                <c:pt idx="28">
                  <c:v>4.5320615922608809</c:v>
                </c:pt>
                <c:pt idx="29">
                  <c:v>4.5320615922608809</c:v>
                </c:pt>
                <c:pt idx="30">
                  <c:v>4.5320615922608809</c:v>
                </c:pt>
                <c:pt idx="31">
                  <c:v>4.5320615922608809</c:v>
                </c:pt>
                <c:pt idx="32">
                  <c:v>4.5320615922608809</c:v>
                </c:pt>
                <c:pt idx="33">
                  <c:v>4.5320615922608809</c:v>
                </c:pt>
                <c:pt idx="34">
                  <c:v>4.5320615922608809</c:v>
                </c:pt>
                <c:pt idx="35">
                  <c:v>4.5320615922608809</c:v>
                </c:pt>
                <c:pt idx="36">
                  <c:v>4.5320615922608809</c:v>
                </c:pt>
                <c:pt idx="37">
                  <c:v>4.5320615922608809</c:v>
                </c:pt>
                <c:pt idx="38">
                  <c:v>4.5320615922608809</c:v>
                </c:pt>
                <c:pt idx="39">
                  <c:v>4.5320615922608809</c:v>
                </c:pt>
                <c:pt idx="40">
                  <c:v>4.5320615922608809</c:v>
                </c:pt>
                <c:pt idx="41">
                  <c:v>4.5320615922608809</c:v>
                </c:pt>
                <c:pt idx="42">
                  <c:v>4.5320615922608809</c:v>
                </c:pt>
                <c:pt idx="43">
                  <c:v>4.5320615922608809</c:v>
                </c:pt>
                <c:pt idx="44">
                  <c:v>4.5320615922608809</c:v>
                </c:pt>
                <c:pt idx="45">
                  <c:v>4.5320615922608809</c:v>
                </c:pt>
                <c:pt idx="46">
                  <c:v>4.5309201661935719</c:v>
                </c:pt>
                <c:pt idx="47">
                  <c:v>4.5200257873660217</c:v>
                </c:pt>
                <c:pt idx="48">
                  <c:v>4.5091314085384715</c:v>
                </c:pt>
                <c:pt idx="49">
                  <c:v>4.4982370297109213</c:v>
                </c:pt>
                <c:pt idx="50">
                  <c:v>4.4873426508833711</c:v>
                </c:pt>
                <c:pt idx="51">
                  <c:v>4.476448272055821</c:v>
                </c:pt>
                <c:pt idx="52">
                  <c:v>4.4655538932282708</c:v>
                </c:pt>
                <c:pt idx="53">
                  <c:v>4.4546595144007206</c:v>
                </c:pt>
                <c:pt idx="54">
                  <c:v>4.4437651355731704</c:v>
                </c:pt>
                <c:pt idx="55">
                  <c:v>4.4328707567456203</c:v>
                </c:pt>
                <c:pt idx="56">
                  <c:v>4.4219763779180701</c:v>
                </c:pt>
                <c:pt idx="57">
                  <c:v>4.4110819990905199</c:v>
                </c:pt>
                <c:pt idx="58">
                  <c:v>4.4001876202629697</c:v>
                </c:pt>
                <c:pt idx="59">
                  <c:v>4.3892932414354195</c:v>
                </c:pt>
                <c:pt idx="60">
                  <c:v>4.3783988626078694</c:v>
                </c:pt>
                <c:pt idx="61">
                  <c:v>4.3675044837803192</c:v>
                </c:pt>
                <c:pt idx="62">
                  <c:v>4.356610104952769</c:v>
                </c:pt>
                <c:pt idx="63">
                  <c:v>4.3457157261252188</c:v>
                </c:pt>
                <c:pt idx="64">
                  <c:v>4.3348213472976687</c:v>
                </c:pt>
                <c:pt idx="65">
                  <c:v>4.3239269684701185</c:v>
                </c:pt>
                <c:pt idx="66">
                  <c:v>4.3130325896425683</c:v>
                </c:pt>
                <c:pt idx="67">
                  <c:v>4.3021382108150181</c:v>
                </c:pt>
                <c:pt idx="68">
                  <c:v>4.2912438319874679</c:v>
                </c:pt>
                <c:pt idx="69">
                  <c:v>4.2803494531599178</c:v>
                </c:pt>
                <c:pt idx="70">
                  <c:v>4.2694550743323676</c:v>
                </c:pt>
                <c:pt idx="71">
                  <c:v>4.2585606955048174</c:v>
                </c:pt>
                <c:pt idx="72">
                  <c:v>4.2476663166772672</c:v>
                </c:pt>
                <c:pt idx="73">
                  <c:v>4.2367719378497171</c:v>
                </c:pt>
                <c:pt idx="74">
                  <c:v>4.225877559022166</c:v>
                </c:pt>
                <c:pt idx="75">
                  <c:v>4.2149831801946167</c:v>
                </c:pt>
                <c:pt idx="76">
                  <c:v>4.2040888013670656</c:v>
                </c:pt>
                <c:pt idx="77">
                  <c:v>4.1931944225395164</c:v>
                </c:pt>
                <c:pt idx="78">
                  <c:v>4.1823000437119653</c:v>
                </c:pt>
                <c:pt idx="79">
                  <c:v>4.171405664884416</c:v>
                </c:pt>
                <c:pt idx="80">
                  <c:v>4.1605112860568649</c:v>
                </c:pt>
                <c:pt idx="81">
                  <c:v>4.1496169072293148</c:v>
                </c:pt>
                <c:pt idx="82">
                  <c:v>4.1387225284017646</c:v>
                </c:pt>
                <c:pt idx="83">
                  <c:v>4.1278281495742144</c:v>
                </c:pt>
                <c:pt idx="84">
                  <c:v>4.1169337707466642</c:v>
                </c:pt>
                <c:pt idx="85">
                  <c:v>4.106039391919114</c:v>
                </c:pt>
                <c:pt idx="86">
                  <c:v>4.0951450130915639</c:v>
                </c:pt>
                <c:pt idx="87">
                  <c:v>4.0842506342640137</c:v>
                </c:pt>
                <c:pt idx="88">
                  <c:v>4.0733562554364635</c:v>
                </c:pt>
                <c:pt idx="89">
                  <c:v>4.0624618766089133</c:v>
                </c:pt>
                <c:pt idx="90">
                  <c:v>4.0515674977813632</c:v>
                </c:pt>
                <c:pt idx="91">
                  <c:v>4.040673118953813</c:v>
                </c:pt>
                <c:pt idx="92">
                  <c:v>4.0297787401262628</c:v>
                </c:pt>
                <c:pt idx="93">
                  <c:v>4.0188843612987126</c:v>
                </c:pt>
                <c:pt idx="94">
                  <c:v>4.0079899824711624</c:v>
                </c:pt>
                <c:pt idx="95">
                  <c:v>3.9970956036436123</c:v>
                </c:pt>
                <c:pt idx="96">
                  <c:v>3.9862012248160621</c:v>
                </c:pt>
                <c:pt idx="97">
                  <c:v>3.9753068459885119</c:v>
                </c:pt>
                <c:pt idx="98">
                  <c:v>3.9644124671609617</c:v>
                </c:pt>
                <c:pt idx="99">
                  <c:v>3.9535180883334116</c:v>
                </c:pt>
                <c:pt idx="100">
                  <c:v>3.9426237095058614</c:v>
                </c:pt>
                <c:pt idx="101">
                  <c:v>3.9317293306783112</c:v>
                </c:pt>
                <c:pt idx="102">
                  <c:v>3.920834951850761</c:v>
                </c:pt>
                <c:pt idx="103">
                  <c:v>3.9099405730232109</c:v>
                </c:pt>
                <c:pt idx="104">
                  <c:v>3.8990461941956607</c:v>
                </c:pt>
                <c:pt idx="105">
                  <c:v>3.8881518153681105</c:v>
                </c:pt>
                <c:pt idx="106">
                  <c:v>3.8772574365405603</c:v>
                </c:pt>
                <c:pt idx="107">
                  <c:v>3.8663630577130101</c:v>
                </c:pt>
                <c:pt idx="108">
                  <c:v>3.85546867888546</c:v>
                </c:pt>
                <c:pt idx="109">
                  <c:v>3.8445743000579098</c:v>
                </c:pt>
                <c:pt idx="110">
                  <c:v>3.8336799212303596</c:v>
                </c:pt>
                <c:pt idx="111">
                  <c:v>3.8227855424028094</c:v>
                </c:pt>
                <c:pt idx="112">
                  <c:v>3.8118911635752593</c:v>
                </c:pt>
                <c:pt idx="113">
                  <c:v>3.8009967847477091</c:v>
                </c:pt>
                <c:pt idx="114">
                  <c:v>3.7901024059201589</c:v>
                </c:pt>
                <c:pt idx="115">
                  <c:v>3.7792080270926087</c:v>
                </c:pt>
                <c:pt idx="116">
                  <c:v>3.7683136482650585</c:v>
                </c:pt>
                <c:pt idx="117">
                  <c:v>3.7574192694375084</c:v>
                </c:pt>
                <c:pt idx="118">
                  <c:v>3.7465248906099582</c:v>
                </c:pt>
                <c:pt idx="119">
                  <c:v>3.735630511782408</c:v>
                </c:pt>
                <c:pt idx="120">
                  <c:v>3.7247361329548578</c:v>
                </c:pt>
                <c:pt idx="121">
                  <c:v>3.7138417541273077</c:v>
                </c:pt>
                <c:pt idx="122">
                  <c:v>3.702947375299757</c:v>
                </c:pt>
                <c:pt idx="123">
                  <c:v>3.6920529964722069</c:v>
                </c:pt>
                <c:pt idx="124">
                  <c:v>3.6811586176446567</c:v>
                </c:pt>
                <c:pt idx="125">
                  <c:v>3.6702642388171065</c:v>
                </c:pt>
                <c:pt idx="126">
                  <c:v>3.6593698599895563</c:v>
                </c:pt>
                <c:pt idx="127">
                  <c:v>3.6484754811620062</c:v>
                </c:pt>
                <c:pt idx="128">
                  <c:v>3.637581102334456</c:v>
                </c:pt>
                <c:pt idx="129">
                  <c:v>3.6266867235069058</c:v>
                </c:pt>
                <c:pt idx="130">
                  <c:v>3.6157923446793556</c:v>
                </c:pt>
                <c:pt idx="131">
                  <c:v>3.6048979658518054</c:v>
                </c:pt>
                <c:pt idx="132">
                  <c:v>3.5940035870242553</c:v>
                </c:pt>
                <c:pt idx="133">
                  <c:v>3.5831092081967051</c:v>
                </c:pt>
                <c:pt idx="134">
                  <c:v>3.5722148293691549</c:v>
                </c:pt>
                <c:pt idx="135">
                  <c:v>3.5613204505416043</c:v>
                </c:pt>
                <c:pt idx="136">
                  <c:v>3.5504260717140541</c:v>
                </c:pt>
                <c:pt idx="137">
                  <c:v>3.5395316928865039</c:v>
                </c:pt>
                <c:pt idx="138">
                  <c:v>3.5286373140589538</c:v>
                </c:pt>
                <c:pt idx="139">
                  <c:v>3.5177429352314036</c:v>
                </c:pt>
                <c:pt idx="140">
                  <c:v>3.5068485564038534</c:v>
                </c:pt>
                <c:pt idx="141">
                  <c:v>3.4959541775763032</c:v>
                </c:pt>
                <c:pt idx="142">
                  <c:v>3.485059798748753</c:v>
                </c:pt>
                <c:pt idx="143">
                  <c:v>3.4741654199212029</c:v>
                </c:pt>
                <c:pt idx="144">
                  <c:v>3.4632710410936527</c:v>
                </c:pt>
                <c:pt idx="145">
                  <c:v>3.4523766622661025</c:v>
                </c:pt>
                <c:pt idx="146">
                  <c:v>3.4414822834385523</c:v>
                </c:pt>
                <c:pt idx="147">
                  <c:v>3.4305879046110022</c:v>
                </c:pt>
                <c:pt idx="148">
                  <c:v>3.419693525783452</c:v>
                </c:pt>
                <c:pt idx="149">
                  <c:v>3.4087991469559018</c:v>
                </c:pt>
                <c:pt idx="150">
                  <c:v>3.3979047681283516</c:v>
                </c:pt>
                <c:pt idx="151">
                  <c:v>3.3870103893008014</c:v>
                </c:pt>
                <c:pt idx="152">
                  <c:v>3.3761160104732513</c:v>
                </c:pt>
                <c:pt idx="153">
                  <c:v>3.3652216316457011</c:v>
                </c:pt>
                <c:pt idx="154">
                  <c:v>3.3543272528181509</c:v>
                </c:pt>
                <c:pt idx="155">
                  <c:v>3.3434328739906007</c:v>
                </c:pt>
                <c:pt idx="156">
                  <c:v>3.3325384951630506</c:v>
                </c:pt>
                <c:pt idx="157">
                  <c:v>3.3216441163355004</c:v>
                </c:pt>
                <c:pt idx="158">
                  <c:v>3.3107497375079502</c:v>
                </c:pt>
                <c:pt idx="159">
                  <c:v>3.2998553586804</c:v>
                </c:pt>
                <c:pt idx="160">
                  <c:v>3.2889609798528499</c:v>
                </c:pt>
                <c:pt idx="161">
                  <c:v>3.2780666010252997</c:v>
                </c:pt>
                <c:pt idx="162">
                  <c:v>3.2671722221977495</c:v>
                </c:pt>
                <c:pt idx="163">
                  <c:v>3.2562778433701993</c:v>
                </c:pt>
                <c:pt idx="164">
                  <c:v>3.2453834645426491</c:v>
                </c:pt>
                <c:pt idx="165">
                  <c:v>3.234489085715099</c:v>
                </c:pt>
                <c:pt idx="166">
                  <c:v>3.2235947068875488</c:v>
                </c:pt>
                <c:pt idx="167">
                  <c:v>3.2127003280599986</c:v>
                </c:pt>
                <c:pt idx="168">
                  <c:v>3.2018059492324484</c:v>
                </c:pt>
                <c:pt idx="169">
                  <c:v>3.1909115704048983</c:v>
                </c:pt>
                <c:pt idx="170">
                  <c:v>3.1800171915773481</c:v>
                </c:pt>
                <c:pt idx="171">
                  <c:v>3.1691228127497979</c:v>
                </c:pt>
                <c:pt idx="172">
                  <c:v>3.1582284339222477</c:v>
                </c:pt>
                <c:pt idx="173">
                  <c:v>3.1473340550946971</c:v>
                </c:pt>
                <c:pt idx="174">
                  <c:v>3.1364396762671469</c:v>
                </c:pt>
                <c:pt idx="175">
                  <c:v>3.1255452974395967</c:v>
                </c:pt>
                <c:pt idx="176">
                  <c:v>3.1146509186120466</c:v>
                </c:pt>
                <c:pt idx="177">
                  <c:v>3.1037565397844964</c:v>
                </c:pt>
                <c:pt idx="178">
                  <c:v>3.0928621609569462</c:v>
                </c:pt>
                <c:pt idx="179">
                  <c:v>3.081967782129396</c:v>
                </c:pt>
                <c:pt idx="180">
                  <c:v>3.0710734033018459</c:v>
                </c:pt>
                <c:pt idx="181">
                  <c:v>3.0601790244742957</c:v>
                </c:pt>
                <c:pt idx="182">
                  <c:v>3.0492846456467455</c:v>
                </c:pt>
                <c:pt idx="183">
                  <c:v>3.0383902668191953</c:v>
                </c:pt>
                <c:pt idx="184">
                  <c:v>3.0274958879916452</c:v>
                </c:pt>
                <c:pt idx="185">
                  <c:v>3.016601509164095</c:v>
                </c:pt>
                <c:pt idx="186">
                  <c:v>3.0057071303365448</c:v>
                </c:pt>
                <c:pt idx="187">
                  <c:v>2.9948127515089946</c:v>
                </c:pt>
                <c:pt idx="188">
                  <c:v>2.9839183726814444</c:v>
                </c:pt>
                <c:pt idx="189">
                  <c:v>2.9730239938538943</c:v>
                </c:pt>
                <c:pt idx="190">
                  <c:v>2.9621296150263441</c:v>
                </c:pt>
                <c:pt idx="191">
                  <c:v>2.9512352361987939</c:v>
                </c:pt>
                <c:pt idx="192">
                  <c:v>2.9403408573712433</c:v>
                </c:pt>
                <c:pt idx="193">
                  <c:v>2.9294464785436931</c:v>
                </c:pt>
                <c:pt idx="194">
                  <c:v>2.9185520997161429</c:v>
                </c:pt>
                <c:pt idx="195">
                  <c:v>2.9076577208885928</c:v>
                </c:pt>
                <c:pt idx="196">
                  <c:v>2.8967633420610426</c:v>
                </c:pt>
                <c:pt idx="197">
                  <c:v>2.8858689632334924</c:v>
                </c:pt>
                <c:pt idx="198">
                  <c:v>2.8749745844059422</c:v>
                </c:pt>
                <c:pt idx="199">
                  <c:v>2.864080205578392</c:v>
                </c:pt>
                <c:pt idx="200">
                  <c:v>2.8531858267508419</c:v>
                </c:pt>
                <c:pt idx="201">
                  <c:v>2.8422914479232917</c:v>
                </c:pt>
                <c:pt idx="202">
                  <c:v>2.8313970690957415</c:v>
                </c:pt>
                <c:pt idx="203">
                  <c:v>2.8205026902681913</c:v>
                </c:pt>
                <c:pt idx="204">
                  <c:v>2.8096083114406412</c:v>
                </c:pt>
                <c:pt idx="205">
                  <c:v>2.798713932613091</c:v>
                </c:pt>
                <c:pt idx="206">
                  <c:v>2.7878195537855408</c:v>
                </c:pt>
                <c:pt idx="207">
                  <c:v>2.7769251749579906</c:v>
                </c:pt>
                <c:pt idx="208">
                  <c:v>2.7660307961304405</c:v>
                </c:pt>
                <c:pt idx="209">
                  <c:v>2.7551364173028903</c:v>
                </c:pt>
                <c:pt idx="210">
                  <c:v>2.7442420384753401</c:v>
                </c:pt>
                <c:pt idx="211">
                  <c:v>2.7333476596477899</c:v>
                </c:pt>
                <c:pt idx="212">
                  <c:v>2.7224532808202397</c:v>
                </c:pt>
                <c:pt idx="213">
                  <c:v>2.7115589019926896</c:v>
                </c:pt>
                <c:pt idx="214">
                  <c:v>2.7006645231651394</c:v>
                </c:pt>
                <c:pt idx="215">
                  <c:v>2.6897701443375892</c:v>
                </c:pt>
                <c:pt idx="216">
                  <c:v>2.678875765510039</c:v>
                </c:pt>
                <c:pt idx="217">
                  <c:v>2.6679813866824889</c:v>
                </c:pt>
                <c:pt idx="218">
                  <c:v>2.6570870078549382</c:v>
                </c:pt>
                <c:pt idx="219">
                  <c:v>2.6461926290273881</c:v>
                </c:pt>
                <c:pt idx="220">
                  <c:v>2.6352982501998379</c:v>
                </c:pt>
                <c:pt idx="221">
                  <c:v>2.6244038713722877</c:v>
                </c:pt>
                <c:pt idx="222">
                  <c:v>2.6135094925447375</c:v>
                </c:pt>
                <c:pt idx="223">
                  <c:v>2.6026151137171873</c:v>
                </c:pt>
                <c:pt idx="224">
                  <c:v>2.5917207348896372</c:v>
                </c:pt>
                <c:pt idx="225">
                  <c:v>2.580826356062087</c:v>
                </c:pt>
                <c:pt idx="226">
                  <c:v>2.5699319772345368</c:v>
                </c:pt>
                <c:pt idx="227">
                  <c:v>2.5590375984069866</c:v>
                </c:pt>
                <c:pt idx="228">
                  <c:v>2.5481432195794365</c:v>
                </c:pt>
                <c:pt idx="229">
                  <c:v>2.5372488407518863</c:v>
                </c:pt>
                <c:pt idx="230">
                  <c:v>2.5263544619243361</c:v>
                </c:pt>
                <c:pt idx="231">
                  <c:v>2.5154600830967859</c:v>
                </c:pt>
                <c:pt idx="232">
                  <c:v>2.5045657042692357</c:v>
                </c:pt>
                <c:pt idx="233">
                  <c:v>2.4936713254416856</c:v>
                </c:pt>
                <c:pt idx="234">
                  <c:v>2.4827769466141354</c:v>
                </c:pt>
                <c:pt idx="235">
                  <c:v>2.4718825677865852</c:v>
                </c:pt>
                <c:pt idx="236">
                  <c:v>2.460988188959035</c:v>
                </c:pt>
                <c:pt idx="237">
                  <c:v>2.4500938101314849</c:v>
                </c:pt>
                <c:pt idx="238">
                  <c:v>2.4391994313039347</c:v>
                </c:pt>
                <c:pt idx="239">
                  <c:v>2.4283050524763845</c:v>
                </c:pt>
                <c:pt idx="240">
                  <c:v>2.4174106736488343</c:v>
                </c:pt>
                <c:pt idx="241">
                  <c:v>2.4065162948212842</c:v>
                </c:pt>
                <c:pt idx="242">
                  <c:v>2.395621915993734</c:v>
                </c:pt>
                <c:pt idx="243">
                  <c:v>2.3847275371661838</c:v>
                </c:pt>
                <c:pt idx="244">
                  <c:v>2.3738331583386332</c:v>
                </c:pt>
                <c:pt idx="245">
                  <c:v>2.362938779511083</c:v>
                </c:pt>
                <c:pt idx="246">
                  <c:v>2.3520444006835328</c:v>
                </c:pt>
                <c:pt idx="247">
                  <c:v>2.3411500218559826</c:v>
                </c:pt>
                <c:pt idx="248">
                  <c:v>2.3302556430284325</c:v>
                </c:pt>
                <c:pt idx="249">
                  <c:v>2.3193612642008823</c:v>
                </c:pt>
                <c:pt idx="250">
                  <c:v>2.3084668853733321</c:v>
                </c:pt>
                <c:pt idx="251">
                  <c:v>2.2975725065457819</c:v>
                </c:pt>
                <c:pt idx="252">
                  <c:v>2.2866781277182318</c:v>
                </c:pt>
                <c:pt idx="253">
                  <c:v>2.2757837488906816</c:v>
                </c:pt>
                <c:pt idx="254">
                  <c:v>2.2648893700631314</c:v>
                </c:pt>
                <c:pt idx="255">
                  <c:v>2.2539949912355812</c:v>
                </c:pt>
                <c:pt idx="256">
                  <c:v>2.243100612408031</c:v>
                </c:pt>
                <c:pt idx="257">
                  <c:v>2.2322062335804809</c:v>
                </c:pt>
                <c:pt idx="258">
                  <c:v>2.2213118547529307</c:v>
                </c:pt>
                <c:pt idx="259">
                  <c:v>2.2104174759253805</c:v>
                </c:pt>
                <c:pt idx="260">
                  <c:v>2.1995230970978303</c:v>
                </c:pt>
                <c:pt idx="261">
                  <c:v>2.1886287182702802</c:v>
                </c:pt>
                <c:pt idx="262">
                  <c:v>2.17773433944273</c:v>
                </c:pt>
                <c:pt idx="263">
                  <c:v>2.1668399606151798</c:v>
                </c:pt>
                <c:pt idx="264">
                  <c:v>2.1559455817876296</c:v>
                </c:pt>
                <c:pt idx="265">
                  <c:v>2.1450512029600795</c:v>
                </c:pt>
                <c:pt idx="266">
                  <c:v>2.1341568241325293</c:v>
                </c:pt>
                <c:pt idx="267">
                  <c:v>2.1232624453049791</c:v>
                </c:pt>
                <c:pt idx="268">
                  <c:v>2.1123680664774289</c:v>
                </c:pt>
                <c:pt idx="269">
                  <c:v>2.1014736876498783</c:v>
                </c:pt>
                <c:pt idx="270">
                  <c:v>2.0905793088223281</c:v>
                </c:pt>
                <c:pt idx="271">
                  <c:v>2.0796849299947779</c:v>
                </c:pt>
                <c:pt idx="272">
                  <c:v>2.0687905511672278</c:v>
                </c:pt>
                <c:pt idx="273">
                  <c:v>2.0578961723396776</c:v>
                </c:pt>
                <c:pt idx="274">
                  <c:v>2.0470017935121274</c:v>
                </c:pt>
                <c:pt idx="275">
                  <c:v>2.0361074146845772</c:v>
                </c:pt>
                <c:pt idx="276">
                  <c:v>2.0252130358570271</c:v>
                </c:pt>
                <c:pt idx="277">
                  <c:v>2.0143186570294769</c:v>
                </c:pt>
                <c:pt idx="278">
                  <c:v>2.0034242782019267</c:v>
                </c:pt>
                <c:pt idx="279">
                  <c:v>1.9925298993743765</c:v>
                </c:pt>
                <c:pt idx="280">
                  <c:v>1.9816355205468263</c:v>
                </c:pt>
                <c:pt idx="281">
                  <c:v>1.9707411417192762</c:v>
                </c:pt>
                <c:pt idx="282">
                  <c:v>1.959846762891726</c:v>
                </c:pt>
                <c:pt idx="283">
                  <c:v>1.9489523840641758</c:v>
                </c:pt>
                <c:pt idx="284">
                  <c:v>1.9380580052366256</c:v>
                </c:pt>
                <c:pt idx="285">
                  <c:v>1.9271636264090755</c:v>
                </c:pt>
                <c:pt idx="286">
                  <c:v>1.9162692475815253</c:v>
                </c:pt>
                <c:pt idx="287">
                  <c:v>1.9053748687539751</c:v>
                </c:pt>
                <c:pt idx="288">
                  <c:v>1.8944804899264249</c:v>
                </c:pt>
                <c:pt idx="289">
                  <c:v>1.8835861110988747</c:v>
                </c:pt>
                <c:pt idx="290">
                  <c:v>1.8726917322713246</c:v>
                </c:pt>
                <c:pt idx="291">
                  <c:v>1.8617973534437744</c:v>
                </c:pt>
                <c:pt idx="292">
                  <c:v>1.8509029746162242</c:v>
                </c:pt>
                <c:pt idx="293">
                  <c:v>1.840008595788674</c:v>
                </c:pt>
                <c:pt idx="294">
                  <c:v>1.8291142169611239</c:v>
                </c:pt>
                <c:pt idx="295">
                  <c:v>1.8182198381335732</c:v>
                </c:pt>
                <c:pt idx="296">
                  <c:v>1.8073254593060231</c:v>
                </c:pt>
                <c:pt idx="297">
                  <c:v>1.7964310804784729</c:v>
                </c:pt>
                <c:pt idx="298">
                  <c:v>1.7855367016509227</c:v>
                </c:pt>
                <c:pt idx="299">
                  <c:v>1.7746423228233725</c:v>
                </c:pt>
                <c:pt idx="300">
                  <c:v>1.7637479439958224</c:v>
                </c:pt>
                <c:pt idx="301">
                  <c:v>1.7528535651682722</c:v>
                </c:pt>
                <c:pt idx="302">
                  <c:v>1.741959186340722</c:v>
                </c:pt>
                <c:pt idx="303">
                  <c:v>1.7310648075131718</c:v>
                </c:pt>
                <c:pt idx="304">
                  <c:v>1.7201704286856216</c:v>
                </c:pt>
                <c:pt idx="305">
                  <c:v>1.7092760498580715</c:v>
                </c:pt>
                <c:pt idx="306">
                  <c:v>1.6983816710305213</c:v>
                </c:pt>
                <c:pt idx="307">
                  <c:v>1.6874872922029711</c:v>
                </c:pt>
                <c:pt idx="308">
                  <c:v>1.6765929133754209</c:v>
                </c:pt>
                <c:pt idx="309">
                  <c:v>1.6656985345478708</c:v>
                </c:pt>
                <c:pt idx="310">
                  <c:v>1.6548041557203206</c:v>
                </c:pt>
                <c:pt idx="311">
                  <c:v>1.6439097768927704</c:v>
                </c:pt>
                <c:pt idx="312">
                  <c:v>1.6330153980652202</c:v>
                </c:pt>
                <c:pt idx="313">
                  <c:v>1.62212101923767</c:v>
                </c:pt>
                <c:pt idx="314">
                  <c:v>1.6112266404101199</c:v>
                </c:pt>
                <c:pt idx="315">
                  <c:v>1.6003322615825697</c:v>
                </c:pt>
                <c:pt idx="316">
                  <c:v>1.5894378827550195</c:v>
                </c:pt>
                <c:pt idx="317">
                  <c:v>1.5785435039274693</c:v>
                </c:pt>
                <c:pt idx="318">
                  <c:v>1.5676491250999192</c:v>
                </c:pt>
                <c:pt idx="319">
                  <c:v>1.556754746272369</c:v>
                </c:pt>
                <c:pt idx="320">
                  <c:v>1.5458603674448188</c:v>
                </c:pt>
                <c:pt idx="321">
                  <c:v>1.5349659886172682</c:v>
                </c:pt>
                <c:pt idx="322">
                  <c:v>1.524071609789718</c:v>
                </c:pt>
                <c:pt idx="323">
                  <c:v>1.5131772309621678</c:v>
                </c:pt>
                <c:pt idx="324">
                  <c:v>1.5022828521346177</c:v>
                </c:pt>
                <c:pt idx="325">
                  <c:v>1.4913884733070675</c:v>
                </c:pt>
                <c:pt idx="326">
                  <c:v>1.4804940944795173</c:v>
                </c:pt>
                <c:pt idx="327">
                  <c:v>1.4695997156519671</c:v>
                </c:pt>
                <c:pt idx="328">
                  <c:v>1.4587053368244169</c:v>
                </c:pt>
                <c:pt idx="329">
                  <c:v>1.4478109579968668</c:v>
                </c:pt>
                <c:pt idx="330">
                  <c:v>1.4369165791693166</c:v>
                </c:pt>
                <c:pt idx="331">
                  <c:v>1.4260222003417664</c:v>
                </c:pt>
                <c:pt idx="332">
                  <c:v>1.4151278215142162</c:v>
                </c:pt>
                <c:pt idx="333">
                  <c:v>1.4042334426866661</c:v>
                </c:pt>
                <c:pt idx="334">
                  <c:v>1.3933390638591159</c:v>
                </c:pt>
                <c:pt idx="335">
                  <c:v>1.3824446850315657</c:v>
                </c:pt>
                <c:pt idx="336">
                  <c:v>1.3715503062040155</c:v>
                </c:pt>
                <c:pt idx="337">
                  <c:v>1.3606559273764653</c:v>
                </c:pt>
                <c:pt idx="338">
                  <c:v>1.3497615485489152</c:v>
                </c:pt>
                <c:pt idx="339">
                  <c:v>1.338867169721365</c:v>
                </c:pt>
                <c:pt idx="340">
                  <c:v>1.3279727908938148</c:v>
                </c:pt>
                <c:pt idx="341">
                  <c:v>1.3170784120662646</c:v>
                </c:pt>
                <c:pt idx="342">
                  <c:v>1.3061840332387145</c:v>
                </c:pt>
                <c:pt idx="343">
                  <c:v>1.2952896544111643</c:v>
                </c:pt>
                <c:pt idx="344">
                  <c:v>1.2843952755836141</c:v>
                </c:pt>
                <c:pt idx="345">
                  <c:v>1.2735008967560639</c:v>
                </c:pt>
                <c:pt idx="346">
                  <c:v>1.2626065179285133</c:v>
                </c:pt>
                <c:pt idx="347">
                  <c:v>1.2517121391009631</c:v>
                </c:pt>
                <c:pt idx="348">
                  <c:v>1.240817760273413</c:v>
                </c:pt>
                <c:pt idx="349">
                  <c:v>1.2299233814458628</c:v>
                </c:pt>
                <c:pt idx="350">
                  <c:v>1.2190290026183126</c:v>
                </c:pt>
                <c:pt idx="351">
                  <c:v>1.2081346237907624</c:v>
                </c:pt>
                <c:pt idx="352">
                  <c:v>1.1972402449632122</c:v>
                </c:pt>
                <c:pt idx="353">
                  <c:v>1.1863458661356621</c:v>
                </c:pt>
                <c:pt idx="354">
                  <c:v>1.1754514873081119</c:v>
                </c:pt>
                <c:pt idx="355">
                  <c:v>1.1645571084805617</c:v>
                </c:pt>
                <c:pt idx="356">
                  <c:v>1.1536627296530115</c:v>
                </c:pt>
                <c:pt idx="357">
                  <c:v>1.1427683508254614</c:v>
                </c:pt>
                <c:pt idx="358">
                  <c:v>1.1318739719979112</c:v>
                </c:pt>
                <c:pt idx="359">
                  <c:v>1.120979593170361</c:v>
                </c:pt>
                <c:pt idx="360">
                  <c:v>1.1100852143428108</c:v>
                </c:pt>
                <c:pt idx="361">
                  <c:v>1.0991908355152606</c:v>
                </c:pt>
                <c:pt idx="362">
                  <c:v>1.0882964566877105</c:v>
                </c:pt>
                <c:pt idx="363">
                  <c:v>1.0774020778601603</c:v>
                </c:pt>
                <c:pt idx="364">
                  <c:v>1.0665076990326101</c:v>
                </c:pt>
                <c:pt idx="365">
                  <c:v>1.0556133202050599</c:v>
                </c:pt>
                <c:pt idx="366">
                  <c:v>1.0447189413775098</c:v>
                </c:pt>
                <c:pt idx="367">
                  <c:v>1.0338245625499596</c:v>
                </c:pt>
                <c:pt idx="368">
                  <c:v>1.0229301837224094</c:v>
                </c:pt>
                <c:pt idx="369">
                  <c:v>1.0120358048948592</c:v>
                </c:pt>
                <c:pt idx="370">
                  <c:v>1.001141426067309</c:v>
                </c:pt>
                <c:pt idx="371">
                  <c:v>0.99024704723975887</c:v>
                </c:pt>
                <c:pt idx="372">
                  <c:v>0.97935266841220869</c:v>
                </c:pt>
                <c:pt idx="373">
                  <c:v>0.96845828958465852</c:v>
                </c:pt>
                <c:pt idx="374">
                  <c:v>0.95756391075710834</c:v>
                </c:pt>
                <c:pt idx="375">
                  <c:v>0.94666953192955816</c:v>
                </c:pt>
                <c:pt idx="376">
                  <c:v>0.93577515310200798</c:v>
                </c:pt>
                <c:pt idx="377">
                  <c:v>0.92488077427445781</c:v>
                </c:pt>
                <c:pt idx="378">
                  <c:v>0.91398639544690763</c:v>
                </c:pt>
                <c:pt idx="379">
                  <c:v>0.90309201661935745</c:v>
                </c:pt>
                <c:pt idx="380">
                  <c:v>0.89219763779180727</c:v>
                </c:pt>
                <c:pt idx="381">
                  <c:v>0.8813032589642571</c:v>
                </c:pt>
                <c:pt idx="382">
                  <c:v>0.87040888013670692</c:v>
                </c:pt>
                <c:pt idx="383">
                  <c:v>0.85951450130915674</c:v>
                </c:pt>
                <c:pt idx="384">
                  <c:v>0.84862012248160568</c:v>
                </c:pt>
                <c:pt idx="385">
                  <c:v>0.8377257436540555</c:v>
                </c:pt>
                <c:pt idx="386">
                  <c:v>0.82683136482650532</c:v>
                </c:pt>
                <c:pt idx="387">
                  <c:v>0.81593698599895514</c:v>
                </c:pt>
                <c:pt idx="388">
                  <c:v>0.80504260717140497</c:v>
                </c:pt>
                <c:pt idx="389">
                  <c:v>0.79414822834385479</c:v>
                </c:pt>
                <c:pt idx="390">
                  <c:v>0.78325384951630461</c:v>
                </c:pt>
                <c:pt idx="391">
                  <c:v>0.77235947068875443</c:v>
                </c:pt>
                <c:pt idx="392">
                  <c:v>0.76146509186120426</c:v>
                </c:pt>
                <c:pt idx="393">
                  <c:v>0.75057071303365408</c:v>
                </c:pt>
                <c:pt idx="394">
                  <c:v>0.7396763342061039</c:v>
                </c:pt>
                <c:pt idx="395">
                  <c:v>0.72878195537855373</c:v>
                </c:pt>
                <c:pt idx="396">
                  <c:v>0.71788757655100355</c:v>
                </c:pt>
                <c:pt idx="397">
                  <c:v>0.70699319772345337</c:v>
                </c:pt>
                <c:pt idx="398">
                  <c:v>0.69609881889590319</c:v>
                </c:pt>
                <c:pt idx="399">
                  <c:v>0.68520444006835302</c:v>
                </c:pt>
                <c:pt idx="400">
                  <c:v>0.67431006124080284</c:v>
                </c:pt>
                <c:pt idx="401">
                  <c:v>0.66341568241325266</c:v>
                </c:pt>
                <c:pt idx="402">
                  <c:v>0.65252130358570248</c:v>
                </c:pt>
                <c:pt idx="403">
                  <c:v>0.64162692475815231</c:v>
                </c:pt>
                <c:pt idx="404">
                  <c:v>0.63073254593060213</c:v>
                </c:pt>
                <c:pt idx="405">
                  <c:v>0.61983816710305195</c:v>
                </c:pt>
                <c:pt idx="406">
                  <c:v>0.60894378827550177</c:v>
                </c:pt>
                <c:pt idx="407">
                  <c:v>0.5980494094479516</c:v>
                </c:pt>
                <c:pt idx="408">
                  <c:v>0.58715503062040142</c:v>
                </c:pt>
                <c:pt idx="409">
                  <c:v>0.57626065179285124</c:v>
                </c:pt>
                <c:pt idx="410">
                  <c:v>0.56536627296530106</c:v>
                </c:pt>
                <c:pt idx="411">
                  <c:v>0.55447189413775089</c:v>
                </c:pt>
                <c:pt idx="412">
                  <c:v>0.54357751531020071</c:v>
                </c:pt>
                <c:pt idx="413">
                  <c:v>0.53268313648265053</c:v>
                </c:pt>
                <c:pt idx="414">
                  <c:v>0.52178875765510035</c:v>
                </c:pt>
                <c:pt idx="415">
                  <c:v>0.51089437882755018</c:v>
                </c:pt>
                <c:pt idx="416">
                  <c:v>0.5</c:v>
                </c:pt>
              </c:numCache>
            </c:numRef>
          </c:xVal>
          <c:yVal>
            <c:numRef>
              <c:f>'SOLLECITAZ NASCOSTO'!$V$32:$V$448</c:f>
              <c:numCache>
                <c:formatCode>0.00</c:formatCode>
                <c:ptCount val="417"/>
                <c:pt idx="0">
                  <c:v>0</c:v>
                </c:pt>
                <c:pt idx="1">
                  <c:v>-8.0715846685409606E-4</c:v>
                </c:pt>
                <c:pt idx="2">
                  <c:v>-3.24395184872521E-3</c:v>
                </c:pt>
                <c:pt idx="3">
                  <c:v>-7.3410161082309933E-3</c:v>
                </c:pt>
                <c:pt idx="4">
                  <c:v>-1.3128987207989093E-2</c:v>
                </c:pt>
                <c:pt idx="5">
                  <c:v>-2.0638501110617158E-2</c:v>
                </c:pt>
                <c:pt idx="6">
                  <c:v>-2.9900193778732854E-2</c:v>
                </c:pt>
                <c:pt idx="7">
                  <c:v>-4.0944701174953808E-2</c:v>
                </c:pt>
                <c:pt idx="8">
                  <c:v>-5.3802659261897687E-2</c:v>
                </c:pt>
                <c:pt idx="9">
                  <c:v>-6.8504704002182129E-2</c:v>
                </c:pt>
                <c:pt idx="10">
                  <c:v>-8.5081471358424796E-2</c:v>
                </c:pt>
                <c:pt idx="11">
                  <c:v>-0.10356359729324335</c:v>
                </c:pt>
                <c:pt idx="12">
                  <c:v>-0.12398171776925544</c:v>
                </c:pt>
                <c:pt idx="13">
                  <c:v>-0.14636646874907866</c:v>
                </c:pt>
                <c:pt idx="14">
                  <c:v>-0.17074848619533076</c:v>
                </c:pt>
                <c:pt idx="15">
                  <c:v>-0.19715840607062926</c:v>
                </c:pt>
                <c:pt idx="16">
                  <c:v>-0.22562686433759196</c:v>
                </c:pt>
                <c:pt idx="17">
                  <c:v>-0.25618449695883644</c:v>
                </c:pt>
                <c:pt idx="18">
                  <c:v>-0.28886193989698028</c:v>
                </c:pt>
                <c:pt idx="19">
                  <c:v>-0.32368982911464128</c:v>
                </c:pt>
                <c:pt idx="20">
                  <c:v>-0.36069880057443687</c:v>
                </c:pt>
                <c:pt idx="21">
                  <c:v>-0.39991949023898499</c:v>
                </c:pt>
                <c:pt idx="22">
                  <c:v>-0.44138253407090311</c:v>
                </c:pt>
                <c:pt idx="23">
                  <c:v>-0.48511856803280878</c:v>
                </c:pt>
                <c:pt idx="24">
                  <c:v>-0.53115822808732005</c:v>
                </c:pt>
                <c:pt idx="25">
                  <c:v>-0.57953215019705406</c:v>
                </c:pt>
                <c:pt idx="26">
                  <c:v>-0.63027097032462875</c:v>
                </c:pt>
                <c:pt idx="27">
                  <c:v>-0.68340532443266166</c:v>
                </c:pt>
                <c:pt idx="28">
                  <c:v>-0.73896584848377078</c:v>
                </c:pt>
                <c:pt idx="29">
                  <c:v>-0.7969831784405732</c:v>
                </c:pt>
                <c:pt idx="30">
                  <c:v>-0.85748795026568692</c:v>
                </c:pt>
                <c:pt idx="31">
                  <c:v>-0.92051079992172979</c:v>
                </c:pt>
                <c:pt idx="32">
                  <c:v>-0.98608236337131894</c:v>
                </c:pt>
                <c:pt idx="33">
                  <c:v>-1.0542332765770723</c:v>
                </c:pt>
                <c:pt idx="34">
                  <c:v>-1.1249941755016077</c:v>
                </c:pt>
                <c:pt idx="35">
                  <c:v>-1.1983956961075424</c:v>
                </c:pt>
                <c:pt idx="36">
                  <c:v>-1.2744684743574941</c:v>
                </c:pt>
                <c:pt idx="37">
                  <c:v>-1.353243146214081</c:v>
                </c:pt>
                <c:pt idx="38">
                  <c:v>-1.4347503476399199</c:v>
                </c:pt>
                <c:pt idx="39">
                  <c:v>-1.5190207145976291</c:v>
                </c:pt>
                <c:pt idx="40">
                  <c:v>-1.606084883049826</c:v>
                </c:pt>
                <c:pt idx="41">
                  <c:v>-1.6959734889591287</c:v>
                </c:pt>
                <c:pt idx="42">
                  <c:v>-1.788717168288154</c:v>
                </c:pt>
                <c:pt idx="43">
                  <c:v>-1.8843465569995199</c:v>
                </c:pt>
                <c:pt idx="44">
                  <c:v>-1.9828922910558446</c:v>
                </c:pt>
                <c:pt idx="45">
                  <c:v>-2.0843850064197449</c:v>
                </c:pt>
                <c:pt idx="46">
                  <c:v>-2.188855339053839</c:v>
                </c:pt>
                <c:pt idx="47">
                  <c:v>-2.2963339249207442</c:v>
                </c:pt>
                <c:pt idx="48">
                  <c:v>-2.4068513999830796</c:v>
                </c:pt>
                <c:pt idx="49">
                  <c:v>-2.5204384002034605</c:v>
                </c:pt>
                <c:pt idx="50">
                  <c:v>-2.6371255615445057</c:v>
                </c:pt>
                <c:pt idx="51">
                  <c:v>-2.7569435199688326</c:v>
                </c:pt>
                <c:pt idx="52">
                  <c:v>-2.879922911439059</c:v>
                </c:pt>
                <c:pt idx="53">
                  <c:v>-3.0060943719178028</c:v>
                </c:pt>
                <c:pt idx="54">
                  <c:v>-3.1354885373676815</c:v>
                </c:pt>
                <c:pt idx="55">
                  <c:v>-3.2681360437513138</c:v>
                </c:pt>
                <c:pt idx="56">
                  <c:v>-3.404067527031315</c:v>
                </c:pt>
                <c:pt idx="57">
                  <c:v>-3.5433136231703042</c:v>
                </c:pt>
                <c:pt idx="58">
                  <c:v>-3.6859049681308989</c:v>
                </c:pt>
                <c:pt idx="59">
                  <c:v>-3.8318721978757164</c:v>
                </c:pt>
                <c:pt idx="60">
                  <c:v>-3.9812459483673748</c:v>
                </c:pt>
                <c:pt idx="61">
                  <c:v>-4.1340568555684927</c:v>
                </c:pt>
                <c:pt idx="62">
                  <c:v>-4.2903355554416853</c:v>
                </c:pt>
                <c:pt idx="63">
                  <c:v>-4.4501126839495715</c:v>
                </c:pt>
                <c:pt idx="64">
                  <c:v>-4.6134188770547695</c:v>
                </c:pt>
                <c:pt idx="65">
                  <c:v>-4.7802847707198959</c:v>
                </c:pt>
                <c:pt idx="66">
                  <c:v>-4.950741000907569</c:v>
                </c:pt>
                <c:pt idx="67">
                  <c:v>-5.1248182035804071</c:v>
                </c:pt>
                <c:pt idx="68">
                  <c:v>-5.3025470147010285</c:v>
                </c:pt>
                <c:pt idx="69">
                  <c:v>-5.4839580702320481</c:v>
                </c:pt>
                <c:pt idx="70">
                  <c:v>-5.6690820061360849</c:v>
                </c:pt>
                <c:pt idx="71">
                  <c:v>-5.8579494583757565</c:v>
                </c:pt>
                <c:pt idx="72">
                  <c:v>-6.0505910629136803</c:v>
                </c:pt>
                <c:pt idx="73">
                  <c:v>-6.2470374557124746</c:v>
                </c:pt>
                <c:pt idx="74">
                  <c:v>-6.4473192727347586</c:v>
                </c:pt>
                <c:pt idx="75">
                  <c:v>-6.6514671499431461</c:v>
                </c:pt>
                <c:pt idx="76">
                  <c:v>-6.8595117233002574</c:v>
                </c:pt>
                <c:pt idx="77">
                  <c:v>-7.0714836287687088</c:v>
                </c:pt>
                <c:pt idx="78">
                  <c:v>-7.2874135023111188</c:v>
                </c:pt>
                <c:pt idx="79">
                  <c:v>-7.5073319798901048</c:v>
                </c:pt>
                <c:pt idx="80">
                  <c:v>-7.7312696974682851</c:v>
                </c:pt>
                <c:pt idx="81">
                  <c:v>-7.9592572910082788</c:v>
                </c:pt>
                <c:pt idx="82">
                  <c:v>-8.1913253964726991</c:v>
                </c:pt>
                <c:pt idx="83">
                  <c:v>-8.4275046498241668</c:v>
                </c:pt>
                <c:pt idx="84">
                  <c:v>-8.6678256870252977</c:v>
                </c:pt>
                <c:pt idx="85">
                  <c:v>-8.9123191440387117</c:v>
                </c:pt>
                <c:pt idx="86">
                  <c:v>-9.1610156568270256</c:v>
                </c:pt>
                <c:pt idx="87">
                  <c:v>-9.4139458613528593</c:v>
                </c:pt>
                <c:pt idx="88">
                  <c:v>-9.671140393578824</c:v>
                </c:pt>
                <c:pt idx="89">
                  <c:v>-9.9326298894675418</c:v>
                </c:pt>
                <c:pt idx="90">
                  <c:v>-10.198444984981631</c:v>
                </c:pt>
                <c:pt idx="91">
                  <c:v>-10.468616316083708</c:v>
                </c:pt>
                <c:pt idx="92">
                  <c:v>-10.743174518736389</c:v>
                </c:pt>
                <c:pt idx="93">
                  <c:v>-11.022150228902294</c:v>
                </c:pt>
                <c:pt idx="94">
                  <c:v>-11.305574082544041</c:v>
                </c:pt>
                <c:pt idx="95">
                  <c:v>-11.593476715624245</c:v>
                </c:pt>
                <c:pt idx="96">
                  <c:v>-11.885888764105532</c:v>
                </c:pt>
                <c:pt idx="97">
                  <c:v>-12.182840863950506</c:v>
                </c:pt>
                <c:pt idx="98">
                  <c:v>-12.484363651121793</c:v>
                </c:pt>
                <c:pt idx="99">
                  <c:v>-12.790487761582009</c:v>
                </c:pt>
                <c:pt idx="100">
                  <c:v>-13.10124383129377</c:v>
                </c:pt>
                <c:pt idx="101">
                  <c:v>-13.416662496219697</c:v>
                </c:pt>
                <c:pt idx="102">
                  <c:v>-13.736774392322406</c:v>
                </c:pt>
                <c:pt idx="103">
                  <c:v>-14.061610155564514</c:v>
                </c:pt>
                <c:pt idx="104">
                  <c:v>-14.391200421908639</c:v>
                </c:pt>
                <c:pt idx="105">
                  <c:v>-14.7255758273174</c:v>
                </c:pt>
                <c:pt idx="106">
                  <c:v>-15.064767007753412</c:v>
                </c:pt>
                <c:pt idx="107">
                  <c:v>-15.408804599179295</c:v>
                </c:pt>
                <c:pt idx="108">
                  <c:v>-15.757719237557666</c:v>
                </c:pt>
                <c:pt idx="109">
                  <c:v>-16.111541558851151</c:v>
                </c:pt>
                <c:pt idx="110">
                  <c:v>-16.470302199022353</c:v>
                </c:pt>
                <c:pt idx="111">
                  <c:v>-16.834031794033894</c:v>
                </c:pt>
                <c:pt idx="112">
                  <c:v>-17.202760979848392</c:v>
                </c:pt>
                <c:pt idx="113">
                  <c:v>-17.576520392428467</c:v>
                </c:pt>
                <c:pt idx="114">
                  <c:v>-17.955340667736738</c:v>
                </c:pt>
                <c:pt idx="115">
                  <c:v>-18.33925244173582</c:v>
                </c:pt>
                <c:pt idx="116">
                  <c:v>-18.728286350388331</c:v>
                </c:pt>
                <c:pt idx="117">
                  <c:v>-19.122473029656888</c:v>
                </c:pt>
                <c:pt idx="118">
                  <c:v>-19.521843115504108</c:v>
                </c:pt>
                <c:pt idx="119">
                  <c:v>-19.926427243892611</c:v>
                </c:pt>
                <c:pt idx="120">
                  <c:v>-20.336256050785014</c:v>
                </c:pt>
                <c:pt idx="121">
                  <c:v>-20.751360172143936</c:v>
                </c:pt>
                <c:pt idx="122">
                  <c:v>-21.171770243932002</c:v>
                </c:pt>
                <c:pt idx="123">
                  <c:v>-21.59751690211181</c:v>
                </c:pt>
                <c:pt idx="124">
                  <c:v>-22.02863078264599</c:v>
                </c:pt>
                <c:pt idx="125">
                  <c:v>-22.465142521497157</c:v>
                </c:pt>
                <c:pt idx="126">
                  <c:v>-22.907082754627929</c:v>
                </c:pt>
                <c:pt idx="127">
                  <c:v>-23.354482118000924</c:v>
                </c:pt>
                <c:pt idx="128">
                  <c:v>-23.807371247578761</c:v>
                </c:pt>
                <c:pt idx="129">
                  <c:v>-24.265780779324057</c:v>
                </c:pt>
                <c:pt idx="130">
                  <c:v>-24.729741349199429</c:v>
                </c:pt>
                <c:pt idx="131">
                  <c:v>-25.199283593167493</c:v>
                </c:pt>
                <c:pt idx="132">
                  <c:v>-25.67443814719087</c:v>
                </c:pt>
                <c:pt idx="133">
                  <c:v>-26.155235647232175</c:v>
                </c:pt>
                <c:pt idx="134">
                  <c:v>-26.641706729254029</c:v>
                </c:pt>
                <c:pt idx="135">
                  <c:v>-27.133882029219055</c:v>
                </c:pt>
                <c:pt idx="136">
                  <c:v>-27.631792183089857</c:v>
                </c:pt>
                <c:pt idx="137">
                  <c:v>-28.135467826829057</c:v>
                </c:pt>
                <c:pt idx="138">
                  <c:v>-28.644939596399276</c:v>
                </c:pt>
                <c:pt idx="139">
                  <c:v>-29.16023812776313</c:v>
                </c:pt>
                <c:pt idx="140">
                  <c:v>-29.681394056883235</c:v>
                </c:pt>
                <c:pt idx="141">
                  <c:v>-30.208438019722212</c:v>
                </c:pt>
                <c:pt idx="142">
                  <c:v>-30.741400652242675</c:v>
                </c:pt>
                <c:pt idx="143">
                  <c:v>-31.280312590407245</c:v>
                </c:pt>
                <c:pt idx="144">
                  <c:v>-31.825204470178537</c:v>
                </c:pt>
                <c:pt idx="145">
                  <c:v>-32.376106927519174</c:v>
                </c:pt>
                <c:pt idx="146">
                  <c:v>-32.933050598391766</c:v>
                </c:pt>
                <c:pt idx="147">
                  <c:v>-33.496066118758932</c:v>
                </c:pt>
                <c:pt idx="148">
                  <c:v>-34.065184124583304</c:v>
                </c:pt>
                <c:pt idx="149">
                  <c:v>-34.640435251827476</c:v>
                </c:pt>
                <c:pt idx="150">
                  <c:v>-35.22185013645408</c:v>
                </c:pt>
                <c:pt idx="151">
                  <c:v>-35.809459414425731</c:v>
                </c:pt>
                <c:pt idx="152">
                  <c:v>-36.403293721705047</c:v>
                </c:pt>
                <c:pt idx="153">
                  <c:v>-37.003383694254644</c:v>
                </c:pt>
                <c:pt idx="154">
                  <c:v>-37.609759968037139</c:v>
                </c:pt>
                <c:pt idx="155">
                  <c:v>-38.222453179015154</c:v>
                </c:pt>
                <c:pt idx="156">
                  <c:v>-38.841493963151308</c:v>
                </c:pt>
                <c:pt idx="157">
                  <c:v>-39.466912956408208</c:v>
                </c:pt>
                <c:pt idx="158">
                  <c:v>-40.09874079474848</c:v>
                </c:pt>
                <c:pt idx="159">
                  <c:v>-40.737008114134738</c:v>
                </c:pt>
                <c:pt idx="160">
                  <c:v>-41.381745550529608</c:v>
                </c:pt>
                <c:pt idx="161">
                  <c:v>-42.032983739895712</c:v>
                </c:pt>
                <c:pt idx="162">
                  <c:v>-42.690753318195647</c:v>
                </c:pt>
                <c:pt idx="163">
                  <c:v>-43.355084921392034</c:v>
                </c:pt>
                <c:pt idx="164">
                  <c:v>-44.026009185447499</c:v>
                </c:pt>
                <c:pt idx="165">
                  <c:v>-44.703556746324658</c:v>
                </c:pt>
                <c:pt idx="166">
                  <c:v>-45.387758239986127</c:v>
                </c:pt>
                <c:pt idx="167">
                  <c:v>-46.07864430239453</c:v>
                </c:pt>
                <c:pt idx="168">
                  <c:v>-46.776245569512476</c:v>
                </c:pt>
                <c:pt idx="169">
                  <c:v>-47.480592677302589</c:v>
                </c:pt>
                <c:pt idx="170">
                  <c:v>-48.191716261727485</c:v>
                </c:pt>
                <c:pt idx="171">
                  <c:v>-48.909646958749782</c:v>
                </c:pt>
                <c:pt idx="172">
                  <c:v>-49.634415404332096</c:v>
                </c:pt>
                <c:pt idx="173">
                  <c:v>-50.366052234437056</c:v>
                </c:pt>
                <c:pt idx="174">
                  <c:v>-51.10458808502726</c:v>
                </c:pt>
                <c:pt idx="175">
                  <c:v>-51.850053592065329</c:v>
                </c:pt>
                <c:pt idx="176">
                  <c:v>-52.602479391513889</c:v>
                </c:pt>
                <c:pt idx="177">
                  <c:v>-53.361896119335555</c:v>
                </c:pt>
                <c:pt idx="178">
                  <c:v>-54.128334411492943</c:v>
                </c:pt>
                <c:pt idx="179">
                  <c:v>-54.901824903948672</c:v>
                </c:pt>
                <c:pt idx="180">
                  <c:v>-55.682398232665363</c:v>
                </c:pt>
                <c:pt idx="181">
                  <c:v>-56.470085033605628</c:v>
                </c:pt>
                <c:pt idx="182">
                  <c:v>-57.264915942732088</c:v>
                </c:pt>
                <c:pt idx="183">
                  <c:v>-58.066921596007361</c:v>
                </c:pt>
                <c:pt idx="184">
                  <c:v>-58.876132629394064</c:v>
                </c:pt>
                <c:pt idx="185">
                  <c:v>-59.692579678854813</c:v>
                </c:pt>
                <c:pt idx="186">
                  <c:v>-60.516293380352224</c:v>
                </c:pt>
                <c:pt idx="187">
                  <c:v>-61.347304369848921</c:v>
                </c:pt>
                <c:pt idx="188">
                  <c:v>-62.185643283307513</c:v>
                </c:pt>
                <c:pt idx="189">
                  <c:v>-63.031340756690625</c:v>
                </c:pt>
                <c:pt idx="190">
                  <c:v>-63.884427425960872</c:v>
                </c:pt>
                <c:pt idx="191">
                  <c:v>-64.744933927080879</c:v>
                </c:pt>
                <c:pt idx="192">
                  <c:v>-65.612890896013283</c:v>
                </c:pt>
                <c:pt idx="193">
                  <c:v>-66.488328968720637</c:v>
                </c:pt>
                <c:pt idx="194">
                  <c:v>-67.3712787811656</c:v>
                </c:pt>
                <c:pt idx="195">
                  <c:v>-68.261770969310788</c:v>
                </c:pt>
                <c:pt idx="196">
                  <c:v>-69.159836169118819</c:v>
                </c:pt>
                <c:pt idx="197">
                  <c:v>-70.065505016552308</c:v>
                </c:pt>
                <c:pt idx="198">
                  <c:v>-70.978808147573872</c:v>
                </c:pt>
                <c:pt idx="199">
                  <c:v>-71.899776198146128</c:v>
                </c:pt>
                <c:pt idx="200">
                  <c:v>-72.828439804231706</c:v>
                </c:pt>
                <c:pt idx="201">
                  <c:v>-73.76482960179321</c:v>
                </c:pt>
                <c:pt idx="202">
                  <c:v>-74.708976226793254</c:v>
                </c:pt>
                <c:pt idx="203">
                  <c:v>-75.660910315194471</c:v>
                </c:pt>
                <c:pt idx="204">
                  <c:v>-76.620662502959462</c:v>
                </c:pt>
                <c:pt idx="205">
                  <c:v>-77.588263426050858</c:v>
                </c:pt>
                <c:pt idx="206">
                  <c:v>-78.563743720431276</c:v>
                </c:pt>
                <c:pt idx="207">
                  <c:v>-79.547134022063318</c:v>
                </c:pt>
                <c:pt idx="208">
                  <c:v>-80.538464966909615</c:v>
                </c:pt>
                <c:pt idx="209">
                  <c:v>-81.537767190932783</c:v>
                </c:pt>
                <c:pt idx="210">
                  <c:v>-82.545071330095439</c:v>
                </c:pt>
                <c:pt idx="211">
                  <c:v>-83.5604080203602</c:v>
                </c:pt>
                <c:pt idx="212">
                  <c:v>-84.583807897689695</c:v>
                </c:pt>
                <c:pt idx="213">
                  <c:v>-85.615301598046528</c:v>
                </c:pt>
                <c:pt idx="214">
                  <c:v>-86.654919757393316</c:v>
                </c:pt>
                <c:pt idx="215">
                  <c:v>-87.702693011692688</c:v>
                </c:pt>
                <c:pt idx="216">
                  <c:v>-88.758651996907247</c:v>
                </c:pt>
                <c:pt idx="217">
                  <c:v>-89.822827348999624</c:v>
                </c:pt>
                <c:pt idx="218">
                  <c:v>-90.895249703932464</c:v>
                </c:pt>
                <c:pt idx="219">
                  <c:v>-91.975949697668312</c:v>
                </c:pt>
                <c:pt idx="220">
                  <c:v>-93.064957966169828</c:v>
                </c:pt>
                <c:pt idx="221">
                  <c:v>-94.162305145399628</c:v>
                </c:pt>
                <c:pt idx="222">
                  <c:v>-95.268021871320329</c:v>
                </c:pt>
                <c:pt idx="223">
                  <c:v>-96.382138779894547</c:v>
                </c:pt>
                <c:pt idx="224">
                  <c:v>-97.504686507084898</c:v>
                </c:pt>
                <c:pt idx="225">
                  <c:v>-98.635695688854</c:v>
                </c:pt>
                <c:pt idx="226">
                  <c:v>-99.775196961164468</c:v>
                </c:pt>
                <c:pt idx="227">
                  <c:v>-100.92322095997893</c:v>
                </c:pt>
                <c:pt idx="228">
                  <c:v>-102.07979832126</c:v>
                </c:pt>
                <c:pt idx="229">
                  <c:v>-103.2449596809703</c:v>
                </c:pt>
                <c:pt idx="230">
                  <c:v>-104.41873567507243</c:v>
                </c:pt>
                <c:pt idx="231">
                  <c:v>-105.60115693952902</c:v>
                </c:pt>
                <c:pt idx="232">
                  <c:v>-106.79225411030269</c:v>
                </c:pt>
                <c:pt idx="233">
                  <c:v>-107.99205782335605</c:v>
                </c:pt>
                <c:pt idx="234">
                  <c:v>-109.20059871465172</c:v>
                </c:pt>
                <c:pt idx="235">
                  <c:v>-110.41790742015232</c:v>
                </c:pt>
                <c:pt idx="236">
                  <c:v>-111.64401457582046</c:v>
                </c:pt>
                <c:pt idx="237">
                  <c:v>-112.87895081761879</c:v>
                </c:pt>
                <c:pt idx="238">
                  <c:v>-114.12274678150989</c:v>
                </c:pt>
                <c:pt idx="239">
                  <c:v>-115.37543310345639</c:v>
                </c:pt>
                <c:pt idx="240">
                  <c:v>-116.6370404194209</c:v>
                </c:pt>
                <c:pt idx="241">
                  <c:v>-117.90759936536605</c:v>
                </c:pt>
                <c:pt idx="242">
                  <c:v>-119.18714057725445</c:v>
                </c:pt>
                <c:pt idx="243">
                  <c:v>-120.47569469104873</c:v>
                </c:pt>
                <c:pt idx="244">
                  <c:v>-121.77329234271154</c:v>
                </c:pt>
                <c:pt idx="245">
                  <c:v>-123.07996416820541</c:v>
                </c:pt>
                <c:pt idx="246">
                  <c:v>-124.395740803493</c:v>
                </c:pt>
                <c:pt idx="247">
                  <c:v>-125.72065288453693</c:v>
                </c:pt>
                <c:pt idx="248">
                  <c:v>-127.05473104729982</c:v>
                </c:pt>
                <c:pt idx="249">
                  <c:v>-128.39800592774429</c:v>
                </c:pt>
                <c:pt idx="250">
                  <c:v>-129.75050816183295</c:v>
                </c:pt>
                <c:pt idx="251">
                  <c:v>-131.11226838552844</c:v>
                </c:pt>
                <c:pt idx="252">
                  <c:v>-132.48331723479333</c:v>
                </c:pt>
                <c:pt idx="253">
                  <c:v>-133.86368534559028</c:v>
                </c:pt>
                <c:pt idx="254">
                  <c:v>-135.25340335388191</c:v>
                </c:pt>
                <c:pt idx="255">
                  <c:v>-136.65250189563082</c:v>
                </c:pt>
                <c:pt idx="256">
                  <c:v>-138.06101160679961</c:v>
                </c:pt>
                <c:pt idx="257">
                  <c:v>-139.47896312335092</c:v>
                </c:pt>
                <c:pt idx="258">
                  <c:v>-140.90638708124737</c:v>
                </c:pt>
                <c:pt idx="259">
                  <c:v>-142.34331411645158</c:v>
                </c:pt>
                <c:pt idx="260">
                  <c:v>-143.78977486492616</c:v>
                </c:pt>
                <c:pt idx="261">
                  <c:v>-145.24579996263373</c:v>
                </c:pt>
                <c:pt idx="262">
                  <c:v>-146.7114200455369</c:v>
                </c:pt>
                <c:pt idx="263">
                  <c:v>-148.18666574959829</c:v>
                </c:pt>
                <c:pt idx="264">
                  <c:v>-149.67156771078052</c:v>
                </c:pt>
                <c:pt idx="265">
                  <c:v>-151.16615656504624</c:v>
                </c:pt>
                <c:pt idx="266">
                  <c:v>-152.67046294835802</c:v>
                </c:pt>
                <c:pt idx="267">
                  <c:v>-154.1845174966785</c:v>
                </c:pt>
                <c:pt idx="268">
                  <c:v>-155.70835084597027</c:v>
                </c:pt>
                <c:pt idx="269">
                  <c:v>-157.24199363219606</c:v>
                </c:pt>
                <c:pt idx="270">
                  <c:v>-158.78547649131832</c:v>
                </c:pt>
                <c:pt idx="271">
                  <c:v>-160.33883005929974</c:v>
                </c:pt>
                <c:pt idx="272">
                  <c:v>-161.90208497210295</c:v>
                </c:pt>
                <c:pt idx="273">
                  <c:v>-163.47527186569056</c:v>
                </c:pt>
                <c:pt idx="274">
                  <c:v>-165.05842137602519</c:v>
                </c:pt>
                <c:pt idx="275">
                  <c:v>-166.65156413906945</c:v>
                </c:pt>
                <c:pt idx="276">
                  <c:v>-168.25473079078597</c:v>
                </c:pt>
                <c:pt idx="277">
                  <c:v>-169.86795196713737</c:v>
                </c:pt>
                <c:pt idx="278">
                  <c:v>-171.49125830408624</c:v>
                </c:pt>
                <c:pt idx="279">
                  <c:v>-173.12468043759523</c:v>
                </c:pt>
                <c:pt idx="280">
                  <c:v>-174.76824900362695</c:v>
                </c:pt>
                <c:pt idx="281">
                  <c:v>-176.42199463814399</c:v>
                </c:pt>
                <c:pt idx="282">
                  <c:v>-178.08594797710899</c:v>
                </c:pt>
                <c:pt idx="283">
                  <c:v>-179.76013965648457</c:v>
                </c:pt>
                <c:pt idx="284">
                  <c:v>-181.44460031223335</c:v>
                </c:pt>
                <c:pt idx="285">
                  <c:v>-183.13936058031794</c:v>
                </c:pt>
                <c:pt idx="286">
                  <c:v>-184.84445109670096</c:v>
                </c:pt>
                <c:pt idx="287">
                  <c:v>-186.55990249734504</c:v>
                </c:pt>
                <c:pt idx="288">
                  <c:v>-188.28574541821277</c:v>
                </c:pt>
                <c:pt idx="289">
                  <c:v>-190.02201049526678</c:v>
                </c:pt>
                <c:pt idx="290">
                  <c:v>-191.76872836446969</c:v>
                </c:pt>
                <c:pt idx="291">
                  <c:v>-193.52592966178412</c:v>
                </c:pt>
                <c:pt idx="292">
                  <c:v>-195.2936450231727</c:v>
                </c:pt>
                <c:pt idx="293">
                  <c:v>-197.07190508459803</c:v>
                </c:pt>
                <c:pt idx="294">
                  <c:v>-198.86074048202272</c:v>
                </c:pt>
                <c:pt idx="295">
                  <c:v>-200.66018185140948</c:v>
                </c:pt>
                <c:pt idx="296">
                  <c:v>-202.47025982872077</c:v>
                </c:pt>
                <c:pt idx="297">
                  <c:v>-204.29100504991928</c:v>
                </c:pt>
                <c:pt idx="298">
                  <c:v>-206.12244815096764</c:v>
                </c:pt>
                <c:pt idx="299">
                  <c:v>-207.96461976782845</c:v>
                </c:pt>
                <c:pt idx="300">
                  <c:v>-209.81755053646435</c:v>
                </c:pt>
                <c:pt idx="301">
                  <c:v>-211.68127109283793</c:v>
                </c:pt>
                <c:pt idx="302">
                  <c:v>-213.55581207291183</c:v>
                </c:pt>
                <c:pt idx="303">
                  <c:v>-215.44120411264868</c:v>
                </c:pt>
                <c:pt idx="304">
                  <c:v>-217.33747784801105</c:v>
                </c:pt>
                <c:pt idx="305">
                  <c:v>-219.24466391496159</c:v>
                </c:pt>
                <c:pt idx="306">
                  <c:v>-221.16279294946293</c:v>
                </c:pt>
                <c:pt idx="307">
                  <c:v>-223.09189558747767</c:v>
                </c:pt>
                <c:pt idx="308">
                  <c:v>-225.0320024649684</c:v>
                </c:pt>
                <c:pt idx="309">
                  <c:v>-226.98314421789777</c:v>
                </c:pt>
                <c:pt idx="310">
                  <c:v>-228.9453514822284</c:v>
                </c:pt>
                <c:pt idx="311">
                  <c:v>-230.91865489392291</c:v>
                </c:pt>
                <c:pt idx="312">
                  <c:v>-232.9030850889439</c:v>
                </c:pt>
                <c:pt idx="313">
                  <c:v>-234.89867270325399</c:v>
                </c:pt>
                <c:pt idx="314">
                  <c:v>-236.90544837281581</c:v>
                </c:pt>
                <c:pt idx="315">
                  <c:v>-238.92344273359197</c:v>
                </c:pt>
                <c:pt idx="316">
                  <c:v>-240.95268642154508</c:v>
                </c:pt>
                <c:pt idx="317">
                  <c:v>-242.99321007263779</c:v>
                </c:pt>
                <c:pt idx="318">
                  <c:v>-245.04504432283269</c:v>
                </c:pt>
                <c:pt idx="319">
                  <c:v>-247.1082198080924</c:v>
                </c:pt>
                <c:pt idx="320">
                  <c:v>-249.18276716437953</c:v>
                </c:pt>
                <c:pt idx="321">
                  <c:v>-251.26871702765681</c:v>
                </c:pt>
                <c:pt idx="322">
                  <c:v>-253.36610003388665</c:v>
                </c:pt>
                <c:pt idx="323">
                  <c:v>-255.4749468190318</c:v>
                </c:pt>
                <c:pt idx="324">
                  <c:v>-257.59528801905486</c:v>
                </c:pt>
                <c:pt idx="325">
                  <c:v>-259.7271542699184</c:v>
                </c:pt>
                <c:pt idx="326">
                  <c:v>-261.87057620758509</c:v>
                </c:pt>
                <c:pt idx="327">
                  <c:v>-264.02558446801754</c:v>
                </c:pt>
                <c:pt idx="328">
                  <c:v>-266.19220968717838</c:v>
                </c:pt>
                <c:pt idx="329">
                  <c:v>-268.37048250103015</c:v>
                </c:pt>
                <c:pt idx="330">
                  <c:v>-270.56043354553555</c:v>
                </c:pt>
                <c:pt idx="331">
                  <c:v>-272.76209345665717</c:v>
                </c:pt>
                <c:pt idx="332">
                  <c:v>-274.97549287035764</c:v>
                </c:pt>
                <c:pt idx="333">
                  <c:v>-277.20066242259958</c:v>
                </c:pt>
                <c:pt idx="334">
                  <c:v>-279.4376327493456</c:v>
                </c:pt>
                <c:pt idx="335">
                  <c:v>-281.68643448655831</c:v>
                </c:pt>
                <c:pt idx="336">
                  <c:v>-283.94709827020034</c:v>
                </c:pt>
                <c:pt idx="337">
                  <c:v>-286.2196547362343</c:v>
                </c:pt>
                <c:pt idx="338">
                  <c:v>-288.50413452062281</c:v>
                </c:pt>
                <c:pt idx="339">
                  <c:v>-290.80056825932849</c:v>
                </c:pt>
                <c:pt idx="340">
                  <c:v>-293.10898658831394</c:v>
                </c:pt>
                <c:pt idx="341">
                  <c:v>-295.42942014354179</c:v>
                </c:pt>
                <c:pt idx="342">
                  <c:v>-297.76189956097465</c:v>
                </c:pt>
                <c:pt idx="343">
                  <c:v>-300.10645547657515</c:v>
                </c:pt>
                <c:pt idx="344">
                  <c:v>-302.46311852630589</c:v>
                </c:pt>
                <c:pt idx="345">
                  <c:v>-304.8319193461295</c:v>
                </c:pt>
                <c:pt idx="346">
                  <c:v>-307.21288857200869</c:v>
                </c:pt>
                <c:pt idx="347">
                  <c:v>-309.60605683990593</c:v>
                </c:pt>
                <c:pt idx="348">
                  <c:v>-312.01145478578388</c:v>
                </c:pt>
                <c:pt idx="349">
                  <c:v>-314.42911304560516</c:v>
                </c:pt>
                <c:pt idx="350">
                  <c:v>-316.85906225533239</c:v>
                </c:pt>
                <c:pt idx="351">
                  <c:v>-319.30133305092824</c:v>
                </c:pt>
                <c:pt idx="352">
                  <c:v>-321.75595606835526</c:v>
                </c:pt>
                <c:pt idx="353">
                  <c:v>-324.22296194357608</c:v>
                </c:pt>
                <c:pt idx="354">
                  <c:v>-326.70238131255337</c:v>
                </c:pt>
                <c:pt idx="355">
                  <c:v>-329.19424481124969</c:v>
                </c:pt>
                <c:pt idx="356">
                  <c:v>-331.69858307562765</c:v>
                </c:pt>
                <c:pt idx="357">
                  <c:v>-334.21542674164994</c:v>
                </c:pt>
                <c:pt idx="358">
                  <c:v>-336.7448064452791</c:v>
                </c:pt>
                <c:pt idx="359">
                  <c:v>-339.28675282247775</c:v>
                </c:pt>
                <c:pt idx="360">
                  <c:v>-341.84129650920858</c:v>
                </c:pt>
                <c:pt idx="361">
                  <c:v>-344.40846814143413</c:v>
                </c:pt>
                <c:pt idx="362">
                  <c:v>-346.98829835511708</c:v>
                </c:pt>
                <c:pt idx="363">
                  <c:v>-349.58081778622</c:v>
                </c:pt>
                <c:pt idx="364">
                  <c:v>-352.18605707070554</c:v>
                </c:pt>
                <c:pt idx="365">
                  <c:v>-354.80404684453629</c:v>
                </c:pt>
                <c:pt idx="366">
                  <c:v>-357.4348177436749</c:v>
                </c:pt>
                <c:pt idx="367">
                  <c:v>-360.07840040408394</c:v>
                </c:pt>
                <c:pt idx="368">
                  <c:v>-362.73482546172607</c:v>
                </c:pt>
                <c:pt idx="369">
                  <c:v>-365.40412355256393</c:v>
                </c:pt>
                <c:pt idx="370">
                  <c:v>-368.08632531256006</c:v>
                </c:pt>
                <c:pt idx="371">
                  <c:v>-370.78146137767715</c:v>
                </c:pt>
                <c:pt idx="372">
                  <c:v>-373.4895623838778</c:v>
                </c:pt>
                <c:pt idx="373">
                  <c:v>-376.21065896712457</c:v>
                </c:pt>
                <c:pt idx="374">
                  <c:v>-378.94478176338015</c:v>
                </c:pt>
                <c:pt idx="375">
                  <c:v>-381.69196140860714</c:v>
                </c:pt>
                <c:pt idx="376">
                  <c:v>-384.45222853876811</c:v>
                </c:pt>
                <c:pt idx="377">
                  <c:v>-387.22561378982573</c:v>
                </c:pt>
                <c:pt idx="378">
                  <c:v>-390.01214779774261</c:v>
                </c:pt>
                <c:pt idx="379">
                  <c:v>-392.81186119848138</c:v>
                </c:pt>
                <c:pt idx="380">
                  <c:v>-395.62478462800465</c:v>
                </c:pt>
                <c:pt idx="381">
                  <c:v>-398.45094872227497</c:v>
                </c:pt>
                <c:pt idx="382">
                  <c:v>-401.29038411725503</c:v>
                </c:pt>
                <c:pt idx="383">
                  <c:v>-404.14312144890744</c:v>
                </c:pt>
                <c:pt idx="384">
                  <c:v>-407.00919135319504</c:v>
                </c:pt>
                <c:pt idx="385">
                  <c:v>-409.88862446607999</c:v>
                </c:pt>
                <c:pt idx="386">
                  <c:v>-412.78145142352514</c:v>
                </c:pt>
                <c:pt idx="387">
                  <c:v>-415.68770286149311</c:v>
                </c:pt>
                <c:pt idx="388">
                  <c:v>-418.60740941594651</c:v>
                </c:pt>
                <c:pt idx="389">
                  <c:v>-421.54060172284795</c:v>
                </c:pt>
                <c:pt idx="390">
                  <c:v>-424.48731041816006</c:v>
                </c:pt>
                <c:pt idx="391">
                  <c:v>-427.44756613784546</c:v>
                </c:pt>
                <c:pt idx="392">
                  <c:v>-430.42139951786675</c:v>
                </c:pt>
                <c:pt idx="393">
                  <c:v>-433.40884119418655</c:v>
                </c:pt>
                <c:pt idx="394">
                  <c:v>-436.40992180276749</c:v>
                </c:pt>
                <c:pt idx="395">
                  <c:v>-439.42467197957217</c:v>
                </c:pt>
                <c:pt idx="396">
                  <c:v>-442.45312236056321</c:v>
                </c:pt>
                <c:pt idx="397">
                  <c:v>-445.4953035817033</c:v>
                </c:pt>
                <c:pt idx="398">
                  <c:v>-448.55124627895498</c:v>
                </c:pt>
                <c:pt idx="399">
                  <c:v>-451.62098108828087</c:v>
                </c:pt>
                <c:pt idx="400">
                  <c:v>-454.70453864564359</c:v>
                </c:pt>
                <c:pt idx="401">
                  <c:v>-457.80194958700577</c:v>
                </c:pt>
                <c:pt idx="402">
                  <c:v>-460.91324454833006</c:v>
                </c:pt>
                <c:pt idx="403">
                  <c:v>-464.03845416557903</c:v>
                </c:pt>
                <c:pt idx="404">
                  <c:v>-467.17760907471529</c:v>
                </c:pt>
                <c:pt idx="405">
                  <c:v>-470.33073991170147</c:v>
                </c:pt>
                <c:pt idx="406">
                  <c:v>-473.49787731250024</c:v>
                </c:pt>
                <c:pt idx="407">
                  <c:v>-476.67905191307415</c:v>
                </c:pt>
                <c:pt idx="408">
                  <c:v>-479.87429434938588</c:v>
                </c:pt>
                <c:pt idx="409">
                  <c:v>-483.08363525739799</c:v>
                </c:pt>
                <c:pt idx="410">
                  <c:v>-486.30710527307309</c:v>
                </c:pt>
                <c:pt idx="411">
                  <c:v>-489.54473503237386</c:v>
                </c:pt>
                <c:pt idx="412">
                  <c:v>-492.79655517126287</c:v>
                </c:pt>
                <c:pt idx="413">
                  <c:v>-496.06259632570277</c:v>
                </c:pt>
                <c:pt idx="414">
                  <c:v>-499.34288913165614</c:v>
                </c:pt>
                <c:pt idx="415">
                  <c:v>-502.63746422508564</c:v>
                </c:pt>
                <c:pt idx="416">
                  <c:v>-505.94635224195383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7C6-499B-B781-3681EB789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42710016"/>
        <c:axId val="-242713280"/>
      </c:scatterChart>
      <c:valAx>
        <c:axId val="-24271001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242713280"/>
        <c:crosses val="autoZero"/>
        <c:crossBetween val="midCat"/>
      </c:valAx>
      <c:valAx>
        <c:axId val="-242713280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242710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Taglio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4179640718562863E-2"/>
          <c:y val="0.1681963039468963"/>
          <c:w val="0.9069161205148758"/>
          <c:h val="0.78192072642744048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'SOLLECITAZ NASCOSTO'!$T$32:$T$448</c:f>
              <c:numCache>
                <c:formatCode>0.00</c:formatCode>
                <c:ptCount val="417"/>
                <c:pt idx="0">
                  <c:v>4.5320615922608809</c:v>
                </c:pt>
                <c:pt idx="1">
                  <c:v>4.5320615922608809</c:v>
                </c:pt>
                <c:pt idx="2">
                  <c:v>4.5320615922608809</c:v>
                </c:pt>
                <c:pt idx="3">
                  <c:v>4.5320615922608809</c:v>
                </c:pt>
                <c:pt idx="4">
                  <c:v>4.5320615922608809</c:v>
                </c:pt>
                <c:pt idx="5">
                  <c:v>4.5320615922608809</c:v>
                </c:pt>
                <c:pt idx="6">
                  <c:v>4.5320615922608809</c:v>
                </c:pt>
                <c:pt idx="7">
                  <c:v>4.5320615922608809</c:v>
                </c:pt>
                <c:pt idx="8">
                  <c:v>4.5320615922608809</c:v>
                </c:pt>
                <c:pt idx="9">
                  <c:v>4.5320615922608809</c:v>
                </c:pt>
                <c:pt idx="10">
                  <c:v>4.5320615922608809</c:v>
                </c:pt>
                <c:pt idx="11">
                  <c:v>4.5320615922608809</c:v>
                </c:pt>
                <c:pt idx="12">
                  <c:v>4.5320615922608809</c:v>
                </c:pt>
                <c:pt idx="13">
                  <c:v>4.5320615922608809</c:v>
                </c:pt>
                <c:pt idx="14">
                  <c:v>4.5320615922608809</c:v>
                </c:pt>
                <c:pt idx="15">
                  <c:v>4.5320615922608809</c:v>
                </c:pt>
                <c:pt idx="16">
                  <c:v>4.5320615922608809</c:v>
                </c:pt>
                <c:pt idx="17">
                  <c:v>4.5320615922608809</c:v>
                </c:pt>
                <c:pt idx="18">
                  <c:v>4.5320615922608809</c:v>
                </c:pt>
                <c:pt idx="19">
                  <c:v>4.5320615922608809</c:v>
                </c:pt>
                <c:pt idx="20">
                  <c:v>4.5320615922608809</c:v>
                </c:pt>
                <c:pt idx="21">
                  <c:v>4.5320615922608809</c:v>
                </c:pt>
                <c:pt idx="22">
                  <c:v>4.5320615922608809</c:v>
                </c:pt>
                <c:pt idx="23">
                  <c:v>4.5320615922608809</c:v>
                </c:pt>
                <c:pt idx="24">
                  <c:v>4.5320615922608809</c:v>
                </c:pt>
                <c:pt idx="25">
                  <c:v>4.5320615922608809</c:v>
                </c:pt>
                <c:pt idx="26">
                  <c:v>4.5320615922608809</c:v>
                </c:pt>
                <c:pt idx="27">
                  <c:v>4.5320615922608809</c:v>
                </c:pt>
                <c:pt idx="28">
                  <c:v>4.5320615922608809</c:v>
                </c:pt>
                <c:pt idx="29">
                  <c:v>4.5320615922608809</c:v>
                </c:pt>
                <c:pt idx="30">
                  <c:v>4.5320615922608809</c:v>
                </c:pt>
                <c:pt idx="31">
                  <c:v>4.5320615922608809</c:v>
                </c:pt>
                <c:pt idx="32">
                  <c:v>4.5320615922608809</c:v>
                </c:pt>
                <c:pt idx="33">
                  <c:v>4.5320615922608809</c:v>
                </c:pt>
                <c:pt idx="34">
                  <c:v>4.5320615922608809</c:v>
                </c:pt>
                <c:pt idx="35">
                  <c:v>4.5320615922608809</c:v>
                </c:pt>
                <c:pt idx="36">
                  <c:v>4.5320615922608809</c:v>
                </c:pt>
                <c:pt idx="37">
                  <c:v>4.5320615922608809</c:v>
                </c:pt>
                <c:pt idx="38">
                  <c:v>4.5320615922608809</c:v>
                </c:pt>
                <c:pt idx="39">
                  <c:v>4.5320615922608809</c:v>
                </c:pt>
                <c:pt idx="40">
                  <c:v>4.5320615922608809</c:v>
                </c:pt>
                <c:pt idx="41">
                  <c:v>4.5320615922608809</c:v>
                </c:pt>
                <c:pt idx="42">
                  <c:v>4.5320615922608809</c:v>
                </c:pt>
                <c:pt idx="43">
                  <c:v>4.5320615922608809</c:v>
                </c:pt>
                <c:pt idx="44">
                  <c:v>4.5320615922608809</c:v>
                </c:pt>
                <c:pt idx="45">
                  <c:v>4.5320615922608809</c:v>
                </c:pt>
                <c:pt idx="46">
                  <c:v>4.5309201661935719</c:v>
                </c:pt>
                <c:pt idx="47">
                  <c:v>4.5200257873660217</c:v>
                </c:pt>
                <c:pt idx="48">
                  <c:v>4.5091314085384715</c:v>
                </c:pt>
                <c:pt idx="49">
                  <c:v>4.4982370297109213</c:v>
                </c:pt>
                <c:pt idx="50">
                  <c:v>4.4873426508833711</c:v>
                </c:pt>
                <c:pt idx="51">
                  <c:v>4.476448272055821</c:v>
                </c:pt>
                <c:pt idx="52">
                  <c:v>4.4655538932282708</c:v>
                </c:pt>
                <c:pt idx="53">
                  <c:v>4.4546595144007206</c:v>
                </c:pt>
                <c:pt idx="54">
                  <c:v>4.4437651355731704</c:v>
                </c:pt>
                <c:pt idx="55">
                  <c:v>4.4328707567456203</c:v>
                </c:pt>
                <c:pt idx="56">
                  <c:v>4.4219763779180701</c:v>
                </c:pt>
                <c:pt idx="57">
                  <c:v>4.4110819990905199</c:v>
                </c:pt>
                <c:pt idx="58">
                  <c:v>4.4001876202629697</c:v>
                </c:pt>
                <c:pt idx="59">
                  <c:v>4.3892932414354195</c:v>
                </c:pt>
                <c:pt idx="60">
                  <c:v>4.3783988626078694</c:v>
                </c:pt>
                <c:pt idx="61">
                  <c:v>4.3675044837803192</c:v>
                </c:pt>
                <c:pt idx="62">
                  <c:v>4.356610104952769</c:v>
                </c:pt>
                <c:pt idx="63">
                  <c:v>4.3457157261252188</c:v>
                </c:pt>
                <c:pt idx="64">
                  <c:v>4.3348213472976687</c:v>
                </c:pt>
                <c:pt idx="65">
                  <c:v>4.3239269684701185</c:v>
                </c:pt>
                <c:pt idx="66">
                  <c:v>4.3130325896425683</c:v>
                </c:pt>
                <c:pt idx="67">
                  <c:v>4.3021382108150181</c:v>
                </c:pt>
                <c:pt idx="68">
                  <c:v>4.2912438319874679</c:v>
                </c:pt>
                <c:pt idx="69">
                  <c:v>4.2803494531599178</c:v>
                </c:pt>
                <c:pt idx="70">
                  <c:v>4.2694550743323676</c:v>
                </c:pt>
                <c:pt idx="71">
                  <c:v>4.2585606955048174</c:v>
                </c:pt>
                <c:pt idx="72">
                  <c:v>4.2476663166772672</c:v>
                </c:pt>
                <c:pt idx="73">
                  <c:v>4.2367719378497171</c:v>
                </c:pt>
                <c:pt idx="74">
                  <c:v>4.225877559022166</c:v>
                </c:pt>
                <c:pt idx="75">
                  <c:v>4.2149831801946167</c:v>
                </c:pt>
                <c:pt idx="76">
                  <c:v>4.2040888013670656</c:v>
                </c:pt>
                <c:pt idx="77">
                  <c:v>4.1931944225395164</c:v>
                </c:pt>
                <c:pt idx="78">
                  <c:v>4.1823000437119653</c:v>
                </c:pt>
                <c:pt idx="79">
                  <c:v>4.171405664884416</c:v>
                </c:pt>
                <c:pt idx="80">
                  <c:v>4.1605112860568649</c:v>
                </c:pt>
                <c:pt idx="81">
                  <c:v>4.1496169072293148</c:v>
                </c:pt>
                <c:pt idx="82">
                  <c:v>4.1387225284017646</c:v>
                </c:pt>
                <c:pt idx="83">
                  <c:v>4.1278281495742144</c:v>
                </c:pt>
                <c:pt idx="84">
                  <c:v>4.1169337707466642</c:v>
                </c:pt>
                <c:pt idx="85">
                  <c:v>4.106039391919114</c:v>
                </c:pt>
                <c:pt idx="86">
                  <c:v>4.0951450130915639</c:v>
                </c:pt>
                <c:pt idx="87">
                  <c:v>4.0842506342640137</c:v>
                </c:pt>
                <c:pt idx="88">
                  <c:v>4.0733562554364635</c:v>
                </c:pt>
                <c:pt idx="89">
                  <c:v>4.0624618766089133</c:v>
                </c:pt>
                <c:pt idx="90">
                  <c:v>4.0515674977813632</c:v>
                </c:pt>
                <c:pt idx="91">
                  <c:v>4.040673118953813</c:v>
                </c:pt>
                <c:pt idx="92">
                  <c:v>4.0297787401262628</c:v>
                </c:pt>
                <c:pt idx="93">
                  <c:v>4.0188843612987126</c:v>
                </c:pt>
                <c:pt idx="94">
                  <c:v>4.0079899824711624</c:v>
                </c:pt>
                <c:pt idx="95">
                  <c:v>3.9970956036436123</c:v>
                </c:pt>
                <c:pt idx="96">
                  <c:v>3.9862012248160621</c:v>
                </c:pt>
                <c:pt idx="97">
                  <c:v>3.9753068459885119</c:v>
                </c:pt>
                <c:pt idx="98">
                  <c:v>3.9644124671609617</c:v>
                </c:pt>
                <c:pt idx="99">
                  <c:v>3.9535180883334116</c:v>
                </c:pt>
                <c:pt idx="100">
                  <c:v>3.9426237095058614</c:v>
                </c:pt>
                <c:pt idx="101">
                  <c:v>3.9317293306783112</c:v>
                </c:pt>
                <c:pt idx="102">
                  <c:v>3.920834951850761</c:v>
                </c:pt>
                <c:pt idx="103">
                  <c:v>3.9099405730232109</c:v>
                </c:pt>
                <c:pt idx="104">
                  <c:v>3.8990461941956607</c:v>
                </c:pt>
                <c:pt idx="105">
                  <c:v>3.8881518153681105</c:v>
                </c:pt>
                <c:pt idx="106">
                  <c:v>3.8772574365405603</c:v>
                </c:pt>
                <c:pt idx="107">
                  <c:v>3.8663630577130101</c:v>
                </c:pt>
                <c:pt idx="108">
                  <c:v>3.85546867888546</c:v>
                </c:pt>
                <c:pt idx="109">
                  <c:v>3.8445743000579098</c:v>
                </c:pt>
                <c:pt idx="110">
                  <c:v>3.8336799212303596</c:v>
                </c:pt>
                <c:pt idx="111">
                  <c:v>3.8227855424028094</c:v>
                </c:pt>
                <c:pt idx="112">
                  <c:v>3.8118911635752593</c:v>
                </c:pt>
                <c:pt idx="113">
                  <c:v>3.8009967847477091</c:v>
                </c:pt>
                <c:pt idx="114">
                  <c:v>3.7901024059201589</c:v>
                </c:pt>
                <c:pt idx="115">
                  <c:v>3.7792080270926087</c:v>
                </c:pt>
                <c:pt idx="116">
                  <c:v>3.7683136482650585</c:v>
                </c:pt>
                <c:pt idx="117">
                  <c:v>3.7574192694375084</c:v>
                </c:pt>
                <c:pt idx="118">
                  <c:v>3.7465248906099582</c:v>
                </c:pt>
                <c:pt idx="119">
                  <c:v>3.735630511782408</c:v>
                </c:pt>
                <c:pt idx="120">
                  <c:v>3.7247361329548578</c:v>
                </c:pt>
                <c:pt idx="121">
                  <c:v>3.7138417541273077</c:v>
                </c:pt>
                <c:pt idx="122">
                  <c:v>3.702947375299757</c:v>
                </c:pt>
                <c:pt idx="123">
                  <c:v>3.6920529964722069</c:v>
                </c:pt>
                <c:pt idx="124">
                  <c:v>3.6811586176446567</c:v>
                </c:pt>
                <c:pt idx="125">
                  <c:v>3.6702642388171065</c:v>
                </c:pt>
                <c:pt idx="126">
                  <c:v>3.6593698599895563</c:v>
                </c:pt>
                <c:pt idx="127">
                  <c:v>3.6484754811620062</c:v>
                </c:pt>
                <c:pt idx="128">
                  <c:v>3.637581102334456</c:v>
                </c:pt>
                <c:pt idx="129">
                  <c:v>3.6266867235069058</c:v>
                </c:pt>
                <c:pt idx="130">
                  <c:v>3.6157923446793556</c:v>
                </c:pt>
                <c:pt idx="131">
                  <c:v>3.6048979658518054</c:v>
                </c:pt>
                <c:pt idx="132">
                  <c:v>3.5940035870242553</c:v>
                </c:pt>
                <c:pt idx="133">
                  <c:v>3.5831092081967051</c:v>
                </c:pt>
                <c:pt idx="134">
                  <c:v>3.5722148293691549</c:v>
                </c:pt>
                <c:pt idx="135">
                  <c:v>3.5613204505416043</c:v>
                </c:pt>
                <c:pt idx="136">
                  <c:v>3.5504260717140541</c:v>
                </c:pt>
                <c:pt idx="137">
                  <c:v>3.5395316928865039</c:v>
                </c:pt>
                <c:pt idx="138">
                  <c:v>3.5286373140589538</c:v>
                </c:pt>
                <c:pt idx="139">
                  <c:v>3.5177429352314036</c:v>
                </c:pt>
                <c:pt idx="140">
                  <c:v>3.5068485564038534</c:v>
                </c:pt>
                <c:pt idx="141">
                  <c:v>3.4959541775763032</c:v>
                </c:pt>
                <c:pt idx="142">
                  <c:v>3.485059798748753</c:v>
                </c:pt>
                <c:pt idx="143">
                  <c:v>3.4741654199212029</c:v>
                </c:pt>
                <c:pt idx="144">
                  <c:v>3.4632710410936527</c:v>
                </c:pt>
                <c:pt idx="145">
                  <c:v>3.4523766622661025</c:v>
                </c:pt>
                <c:pt idx="146">
                  <c:v>3.4414822834385523</c:v>
                </c:pt>
                <c:pt idx="147">
                  <c:v>3.4305879046110022</c:v>
                </c:pt>
                <c:pt idx="148">
                  <c:v>3.419693525783452</c:v>
                </c:pt>
                <c:pt idx="149">
                  <c:v>3.4087991469559018</c:v>
                </c:pt>
                <c:pt idx="150">
                  <c:v>3.3979047681283516</c:v>
                </c:pt>
                <c:pt idx="151">
                  <c:v>3.3870103893008014</c:v>
                </c:pt>
                <c:pt idx="152">
                  <c:v>3.3761160104732513</c:v>
                </c:pt>
                <c:pt idx="153">
                  <c:v>3.3652216316457011</c:v>
                </c:pt>
                <c:pt idx="154">
                  <c:v>3.3543272528181509</c:v>
                </c:pt>
                <c:pt idx="155">
                  <c:v>3.3434328739906007</c:v>
                </c:pt>
                <c:pt idx="156">
                  <c:v>3.3325384951630506</c:v>
                </c:pt>
                <c:pt idx="157">
                  <c:v>3.3216441163355004</c:v>
                </c:pt>
                <c:pt idx="158">
                  <c:v>3.3107497375079502</c:v>
                </c:pt>
                <c:pt idx="159">
                  <c:v>3.2998553586804</c:v>
                </c:pt>
                <c:pt idx="160">
                  <c:v>3.2889609798528499</c:v>
                </c:pt>
                <c:pt idx="161">
                  <c:v>3.2780666010252997</c:v>
                </c:pt>
                <c:pt idx="162">
                  <c:v>3.2671722221977495</c:v>
                </c:pt>
                <c:pt idx="163">
                  <c:v>3.2562778433701993</c:v>
                </c:pt>
                <c:pt idx="164">
                  <c:v>3.2453834645426491</c:v>
                </c:pt>
                <c:pt idx="165">
                  <c:v>3.234489085715099</c:v>
                </c:pt>
                <c:pt idx="166">
                  <c:v>3.2235947068875488</c:v>
                </c:pt>
                <c:pt idx="167">
                  <c:v>3.2127003280599986</c:v>
                </c:pt>
                <c:pt idx="168">
                  <c:v>3.2018059492324484</c:v>
                </c:pt>
                <c:pt idx="169">
                  <c:v>3.1909115704048983</c:v>
                </c:pt>
                <c:pt idx="170">
                  <c:v>3.1800171915773481</c:v>
                </c:pt>
                <c:pt idx="171">
                  <c:v>3.1691228127497979</c:v>
                </c:pt>
                <c:pt idx="172">
                  <c:v>3.1582284339222477</c:v>
                </c:pt>
                <c:pt idx="173">
                  <c:v>3.1473340550946971</c:v>
                </c:pt>
                <c:pt idx="174">
                  <c:v>3.1364396762671469</c:v>
                </c:pt>
                <c:pt idx="175">
                  <c:v>3.1255452974395967</c:v>
                </c:pt>
                <c:pt idx="176">
                  <c:v>3.1146509186120466</c:v>
                </c:pt>
                <c:pt idx="177">
                  <c:v>3.1037565397844964</c:v>
                </c:pt>
                <c:pt idx="178">
                  <c:v>3.0928621609569462</c:v>
                </c:pt>
                <c:pt idx="179">
                  <c:v>3.081967782129396</c:v>
                </c:pt>
                <c:pt idx="180">
                  <c:v>3.0710734033018459</c:v>
                </c:pt>
                <c:pt idx="181">
                  <c:v>3.0601790244742957</c:v>
                </c:pt>
                <c:pt idx="182">
                  <c:v>3.0492846456467455</c:v>
                </c:pt>
                <c:pt idx="183">
                  <c:v>3.0383902668191953</c:v>
                </c:pt>
                <c:pt idx="184">
                  <c:v>3.0274958879916452</c:v>
                </c:pt>
                <c:pt idx="185">
                  <c:v>3.016601509164095</c:v>
                </c:pt>
                <c:pt idx="186">
                  <c:v>3.0057071303365448</c:v>
                </c:pt>
                <c:pt idx="187">
                  <c:v>2.9948127515089946</c:v>
                </c:pt>
                <c:pt idx="188">
                  <c:v>2.9839183726814444</c:v>
                </c:pt>
                <c:pt idx="189">
                  <c:v>2.9730239938538943</c:v>
                </c:pt>
                <c:pt idx="190">
                  <c:v>2.9621296150263441</c:v>
                </c:pt>
                <c:pt idx="191">
                  <c:v>2.9512352361987939</c:v>
                </c:pt>
                <c:pt idx="192">
                  <c:v>2.9403408573712433</c:v>
                </c:pt>
                <c:pt idx="193">
                  <c:v>2.9294464785436931</c:v>
                </c:pt>
                <c:pt idx="194">
                  <c:v>2.9185520997161429</c:v>
                </c:pt>
                <c:pt idx="195">
                  <c:v>2.9076577208885928</c:v>
                </c:pt>
                <c:pt idx="196">
                  <c:v>2.8967633420610426</c:v>
                </c:pt>
                <c:pt idx="197">
                  <c:v>2.8858689632334924</c:v>
                </c:pt>
                <c:pt idx="198">
                  <c:v>2.8749745844059422</c:v>
                </c:pt>
                <c:pt idx="199">
                  <c:v>2.864080205578392</c:v>
                </c:pt>
                <c:pt idx="200">
                  <c:v>2.8531858267508419</c:v>
                </c:pt>
                <c:pt idx="201">
                  <c:v>2.8422914479232917</c:v>
                </c:pt>
                <c:pt idx="202">
                  <c:v>2.8313970690957415</c:v>
                </c:pt>
                <c:pt idx="203">
                  <c:v>2.8205026902681913</c:v>
                </c:pt>
                <c:pt idx="204">
                  <c:v>2.8096083114406412</c:v>
                </c:pt>
                <c:pt idx="205">
                  <c:v>2.798713932613091</c:v>
                </c:pt>
                <c:pt idx="206">
                  <c:v>2.7878195537855408</c:v>
                </c:pt>
                <c:pt idx="207">
                  <c:v>2.7769251749579906</c:v>
                </c:pt>
                <c:pt idx="208">
                  <c:v>2.7660307961304405</c:v>
                </c:pt>
                <c:pt idx="209">
                  <c:v>2.7551364173028903</c:v>
                </c:pt>
                <c:pt idx="210">
                  <c:v>2.7442420384753401</c:v>
                </c:pt>
                <c:pt idx="211">
                  <c:v>2.7333476596477899</c:v>
                </c:pt>
                <c:pt idx="212">
                  <c:v>2.7224532808202397</c:v>
                </c:pt>
                <c:pt idx="213">
                  <c:v>2.7115589019926896</c:v>
                </c:pt>
                <c:pt idx="214">
                  <c:v>2.7006645231651394</c:v>
                </c:pt>
                <c:pt idx="215">
                  <c:v>2.6897701443375892</c:v>
                </c:pt>
                <c:pt idx="216">
                  <c:v>2.678875765510039</c:v>
                </c:pt>
                <c:pt idx="217">
                  <c:v>2.6679813866824889</c:v>
                </c:pt>
                <c:pt idx="218">
                  <c:v>2.6570870078549382</c:v>
                </c:pt>
                <c:pt idx="219">
                  <c:v>2.6461926290273881</c:v>
                </c:pt>
                <c:pt idx="220">
                  <c:v>2.6352982501998379</c:v>
                </c:pt>
                <c:pt idx="221">
                  <c:v>2.6244038713722877</c:v>
                </c:pt>
                <c:pt idx="222">
                  <c:v>2.6135094925447375</c:v>
                </c:pt>
                <c:pt idx="223">
                  <c:v>2.6026151137171873</c:v>
                </c:pt>
                <c:pt idx="224">
                  <c:v>2.5917207348896372</c:v>
                </c:pt>
                <c:pt idx="225">
                  <c:v>2.580826356062087</c:v>
                </c:pt>
                <c:pt idx="226">
                  <c:v>2.5699319772345368</c:v>
                </c:pt>
                <c:pt idx="227">
                  <c:v>2.5590375984069866</c:v>
                </c:pt>
                <c:pt idx="228">
                  <c:v>2.5481432195794365</c:v>
                </c:pt>
                <c:pt idx="229">
                  <c:v>2.5372488407518863</c:v>
                </c:pt>
                <c:pt idx="230">
                  <c:v>2.5263544619243361</c:v>
                </c:pt>
                <c:pt idx="231">
                  <c:v>2.5154600830967859</c:v>
                </c:pt>
                <c:pt idx="232">
                  <c:v>2.5045657042692357</c:v>
                </c:pt>
                <c:pt idx="233">
                  <c:v>2.4936713254416856</c:v>
                </c:pt>
                <c:pt idx="234">
                  <c:v>2.4827769466141354</c:v>
                </c:pt>
                <c:pt idx="235">
                  <c:v>2.4718825677865852</c:v>
                </c:pt>
                <c:pt idx="236">
                  <c:v>2.460988188959035</c:v>
                </c:pt>
                <c:pt idx="237">
                  <c:v>2.4500938101314849</c:v>
                </c:pt>
                <c:pt idx="238">
                  <c:v>2.4391994313039347</c:v>
                </c:pt>
                <c:pt idx="239">
                  <c:v>2.4283050524763845</c:v>
                </c:pt>
                <c:pt idx="240">
                  <c:v>2.4174106736488343</c:v>
                </c:pt>
                <c:pt idx="241">
                  <c:v>2.4065162948212842</c:v>
                </c:pt>
                <c:pt idx="242">
                  <c:v>2.395621915993734</c:v>
                </c:pt>
                <c:pt idx="243">
                  <c:v>2.3847275371661838</c:v>
                </c:pt>
                <c:pt idx="244">
                  <c:v>2.3738331583386332</c:v>
                </c:pt>
                <c:pt idx="245">
                  <c:v>2.362938779511083</c:v>
                </c:pt>
                <c:pt idx="246">
                  <c:v>2.3520444006835328</c:v>
                </c:pt>
                <c:pt idx="247">
                  <c:v>2.3411500218559826</c:v>
                </c:pt>
                <c:pt idx="248">
                  <c:v>2.3302556430284325</c:v>
                </c:pt>
                <c:pt idx="249">
                  <c:v>2.3193612642008823</c:v>
                </c:pt>
                <c:pt idx="250">
                  <c:v>2.3084668853733321</c:v>
                </c:pt>
                <c:pt idx="251">
                  <c:v>2.2975725065457819</c:v>
                </c:pt>
                <c:pt idx="252">
                  <c:v>2.2866781277182318</c:v>
                </c:pt>
                <c:pt idx="253">
                  <c:v>2.2757837488906816</c:v>
                </c:pt>
                <c:pt idx="254">
                  <c:v>2.2648893700631314</c:v>
                </c:pt>
                <c:pt idx="255">
                  <c:v>2.2539949912355812</c:v>
                </c:pt>
                <c:pt idx="256">
                  <c:v>2.243100612408031</c:v>
                </c:pt>
                <c:pt idx="257">
                  <c:v>2.2322062335804809</c:v>
                </c:pt>
                <c:pt idx="258">
                  <c:v>2.2213118547529307</c:v>
                </c:pt>
                <c:pt idx="259">
                  <c:v>2.2104174759253805</c:v>
                </c:pt>
                <c:pt idx="260">
                  <c:v>2.1995230970978303</c:v>
                </c:pt>
                <c:pt idx="261">
                  <c:v>2.1886287182702802</c:v>
                </c:pt>
                <c:pt idx="262">
                  <c:v>2.17773433944273</c:v>
                </c:pt>
                <c:pt idx="263">
                  <c:v>2.1668399606151798</c:v>
                </c:pt>
                <c:pt idx="264">
                  <c:v>2.1559455817876296</c:v>
                </c:pt>
                <c:pt idx="265">
                  <c:v>2.1450512029600795</c:v>
                </c:pt>
                <c:pt idx="266">
                  <c:v>2.1341568241325293</c:v>
                </c:pt>
                <c:pt idx="267">
                  <c:v>2.1232624453049791</c:v>
                </c:pt>
                <c:pt idx="268">
                  <c:v>2.1123680664774289</c:v>
                </c:pt>
                <c:pt idx="269">
                  <c:v>2.1014736876498783</c:v>
                </c:pt>
                <c:pt idx="270">
                  <c:v>2.0905793088223281</c:v>
                </c:pt>
                <c:pt idx="271">
                  <c:v>2.0796849299947779</c:v>
                </c:pt>
                <c:pt idx="272">
                  <c:v>2.0687905511672278</c:v>
                </c:pt>
                <c:pt idx="273">
                  <c:v>2.0578961723396776</c:v>
                </c:pt>
                <c:pt idx="274">
                  <c:v>2.0470017935121274</c:v>
                </c:pt>
                <c:pt idx="275">
                  <c:v>2.0361074146845772</c:v>
                </c:pt>
                <c:pt idx="276">
                  <c:v>2.0252130358570271</c:v>
                </c:pt>
                <c:pt idx="277">
                  <c:v>2.0143186570294769</c:v>
                </c:pt>
                <c:pt idx="278">
                  <c:v>2.0034242782019267</c:v>
                </c:pt>
                <c:pt idx="279">
                  <c:v>1.9925298993743765</c:v>
                </c:pt>
                <c:pt idx="280">
                  <c:v>1.9816355205468263</c:v>
                </c:pt>
                <c:pt idx="281">
                  <c:v>1.9707411417192762</c:v>
                </c:pt>
                <c:pt idx="282">
                  <c:v>1.959846762891726</c:v>
                </c:pt>
                <c:pt idx="283">
                  <c:v>1.9489523840641758</c:v>
                </c:pt>
                <c:pt idx="284">
                  <c:v>1.9380580052366256</c:v>
                </c:pt>
                <c:pt idx="285">
                  <c:v>1.9271636264090755</c:v>
                </c:pt>
                <c:pt idx="286">
                  <c:v>1.9162692475815253</c:v>
                </c:pt>
                <c:pt idx="287">
                  <c:v>1.9053748687539751</c:v>
                </c:pt>
                <c:pt idx="288">
                  <c:v>1.8944804899264249</c:v>
                </c:pt>
                <c:pt idx="289">
                  <c:v>1.8835861110988747</c:v>
                </c:pt>
                <c:pt idx="290">
                  <c:v>1.8726917322713246</c:v>
                </c:pt>
                <c:pt idx="291">
                  <c:v>1.8617973534437744</c:v>
                </c:pt>
                <c:pt idx="292">
                  <c:v>1.8509029746162242</c:v>
                </c:pt>
                <c:pt idx="293">
                  <c:v>1.840008595788674</c:v>
                </c:pt>
                <c:pt idx="294">
                  <c:v>1.8291142169611239</c:v>
                </c:pt>
                <c:pt idx="295">
                  <c:v>1.8182198381335732</c:v>
                </c:pt>
                <c:pt idx="296">
                  <c:v>1.8073254593060231</c:v>
                </c:pt>
                <c:pt idx="297">
                  <c:v>1.7964310804784729</c:v>
                </c:pt>
                <c:pt idx="298">
                  <c:v>1.7855367016509227</c:v>
                </c:pt>
                <c:pt idx="299">
                  <c:v>1.7746423228233725</c:v>
                </c:pt>
                <c:pt idx="300">
                  <c:v>1.7637479439958224</c:v>
                </c:pt>
                <c:pt idx="301">
                  <c:v>1.7528535651682722</c:v>
                </c:pt>
                <c:pt idx="302">
                  <c:v>1.741959186340722</c:v>
                </c:pt>
                <c:pt idx="303">
                  <c:v>1.7310648075131718</c:v>
                </c:pt>
                <c:pt idx="304">
                  <c:v>1.7201704286856216</c:v>
                </c:pt>
                <c:pt idx="305">
                  <c:v>1.7092760498580715</c:v>
                </c:pt>
                <c:pt idx="306">
                  <c:v>1.6983816710305213</c:v>
                </c:pt>
                <c:pt idx="307">
                  <c:v>1.6874872922029711</c:v>
                </c:pt>
                <c:pt idx="308">
                  <c:v>1.6765929133754209</c:v>
                </c:pt>
                <c:pt idx="309">
                  <c:v>1.6656985345478708</c:v>
                </c:pt>
                <c:pt idx="310">
                  <c:v>1.6548041557203206</c:v>
                </c:pt>
                <c:pt idx="311">
                  <c:v>1.6439097768927704</c:v>
                </c:pt>
                <c:pt idx="312">
                  <c:v>1.6330153980652202</c:v>
                </c:pt>
                <c:pt idx="313">
                  <c:v>1.62212101923767</c:v>
                </c:pt>
                <c:pt idx="314">
                  <c:v>1.6112266404101199</c:v>
                </c:pt>
                <c:pt idx="315">
                  <c:v>1.6003322615825697</c:v>
                </c:pt>
                <c:pt idx="316">
                  <c:v>1.5894378827550195</c:v>
                </c:pt>
                <c:pt idx="317">
                  <c:v>1.5785435039274693</c:v>
                </c:pt>
                <c:pt idx="318">
                  <c:v>1.5676491250999192</c:v>
                </c:pt>
                <c:pt idx="319">
                  <c:v>1.556754746272369</c:v>
                </c:pt>
                <c:pt idx="320">
                  <c:v>1.5458603674448188</c:v>
                </c:pt>
                <c:pt idx="321">
                  <c:v>1.5349659886172682</c:v>
                </c:pt>
                <c:pt idx="322">
                  <c:v>1.524071609789718</c:v>
                </c:pt>
                <c:pt idx="323">
                  <c:v>1.5131772309621678</c:v>
                </c:pt>
                <c:pt idx="324">
                  <c:v>1.5022828521346177</c:v>
                </c:pt>
                <c:pt idx="325">
                  <c:v>1.4913884733070675</c:v>
                </c:pt>
                <c:pt idx="326">
                  <c:v>1.4804940944795173</c:v>
                </c:pt>
                <c:pt idx="327">
                  <c:v>1.4695997156519671</c:v>
                </c:pt>
                <c:pt idx="328">
                  <c:v>1.4587053368244169</c:v>
                </c:pt>
                <c:pt idx="329">
                  <c:v>1.4478109579968668</c:v>
                </c:pt>
                <c:pt idx="330">
                  <c:v>1.4369165791693166</c:v>
                </c:pt>
                <c:pt idx="331">
                  <c:v>1.4260222003417664</c:v>
                </c:pt>
                <c:pt idx="332">
                  <c:v>1.4151278215142162</c:v>
                </c:pt>
                <c:pt idx="333">
                  <c:v>1.4042334426866661</c:v>
                </c:pt>
                <c:pt idx="334">
                  <c:v>1.3933390638591159</c:v>
                </c:pt>
                <c:pt idx="335">
                  <c:v>1.3824446850315657</c:v>
                </c:pt>
                <c:pt idx="336">
                  <c:v>1.3715503062040155</c:v>
                </c:pt>
                <c:pt idx="337">
                  <c:v>1.3606559273764653</c:v>
                </c:pt>
                <c:pt idx="338">
                  <c:v>1.3497615485489152</c:v>
                </c:pt>
                <c:pt idx="339">
                  <c:v>1.338867169721365</c:v>
                </c:pt>
                <c:pt idx="340">
                  <c:v>1.3279727908938148</c:v>
                </c:pt>
                <c:pt idx="341">
                  <c:v>1.3170784120662646</c:v>
                </c:pt>
                <c:pt idx="342">
                  <c:v>1.3061840332387145</c:v>
                </c:pt>
                <c:pt idx="343">
                  <c:v>1.2952896544111643</c:v>
                </c:pt>
                <c:pt idx="344">
                  <c:v>1.2843952755836141</c:v>
                </c:pt>
                <c:pt idx="345">
                  <c:v>1.2735008967560639</c:v>
                </c:pt>
                <c:pt idx="346">
                  <c:v>1.2626065179285133</c:v>
                </c:pt>
                <c:pt idx="347">
                  <c:v>1.2517121391009631</c:v>
                </c:pt>
                <c:pt idx="348">
                  <c:v>1.240817760273413</c:v>
                </c:pt>
                <c:pt idx="349">
                  <c:v>1.2299233814458628</c:v>
                </c:pt>
                <c:pt idx="350">
                  <c:v>1.2190290026183126</c:v>
                </c:pt>
                <c:pt idx="351">
                  <c:v>1.2081346237907624</c:v>
                </c:pt>
                <c:pt idx="352">
                  <c:v>1.1972402449632122</c:v>
                </c:pt>
                <c:pt idx="353">
                  <c:v>1.1863458661356621</c:v>
                </c:pt>
                <c:pt idx="354">
                  <c:v>1.1754514873081119</c:v>
                </c:pt>
                <c:pt idx="355">
                  <c:v>1.1645571084805617</c:v>
                </c:pt>
                <c:pt idx="356">
                  <c:v>1.1536627296530115</c:v>
                </c:pt>
                <c:pt idx="357">
                  <c:v>1.1427683508254614</c:v>
                </c:pt>
                <c:pt idx="358">
                  <c:v>1.1318739719979112</c:v>
                </c:pt>
                <c:pt idx="359">
                  <c:v>1.120979593170361</c:v>
                </c:pt>
                <c:pt idx="360">
                  <c:v>1.1100852143428108</c:v>
                </c:pt>
                <c:pt idx="361">
                  <c:v>1.0991908355152606</c:v>
                </c:pt>
                <c:pt idx="362">
                  <c:v>1.0882964566877105</c:v>
                </c:pt>
                <c:pt idx="363">
                  <c:v>1.0774020778601603</c:v>
                </c:pt>
                <c:pt idx="364">
                  <c:v>1.0665076990326101</c:v>
                </c:pt>
                <c:pt idx="365">
                  <c:v>1.0556133202050599</c:v>
                </c:pt>
                <c:pt idx="366">
                  <c:v>1.0447189413775098</c:v>
                </c:pt>
                <c:pt idx="367">
                  <c:v>1.0338245625499596</c:v>
                </c:pt>
                <c:pt idx="368">
                  <c:v>1.0229301837224094</c:v>
                </c:pt>
                <c:pt idx="369">
                  <c:v>1.0120358048948592</c:v>
                </c:pt>
                <c:pt idx="370">
                  <c:v>1.001141426067309</c:v>
                </c:pt>
                <c:pt idx="371">
                  <c:v>0.99024704723975887</c:v>
                </c:pt>
                <c:pt idx="372">
                  <c:v>0.97935266841220869</c:v>
                </c:pt>
                <c:pt idx="373">
                  <c:v>0.96845828958465852</c:v>
                </c:pt>
                <c:pt idx="374">
                  <c:v>0.95756391075710834</c:v>
                </c:pt>
                <c:pt idx="375">
                  <c:v>0.94666953192955816</c:v>
                </c:pt>
                <c:pt idx="376">
                  <c:v>0.93577515310200798</c:v>
                </c:pt>
                <c:pt idx="377">
                  <c:v>0.92488077427445781</c:v>
                </c:pt>
                <c:pt idx="378">
                  <c:v>0.91398639544690763</c:v>
                </c:pt>
                <c:pt idx="379">
                  <c:v>0.90309201661935745</c:v>
                </c:pt>
                <c:pt idx="380">
                  <c:v>0.89219763779180727</c:v>
                </c:pt>
                <c:pt idx="381">
                  <c:v>0.8813032589642571</c:v>
                </c:pt>
                <c:pt idx="382">
                  <c:v>0.87040888013670692</c:v>
                </c:pt>
                <c:pt idx="383">
                  <c:v>0.85951450130915674</c:v>
                </c:pt>
                <c:pt idx="384">
                  <c:v>0.84862012248160568</c:v>
                </c:pt>
                <c:pt idx="385">
                  <c:v>0.8377257436540555</c:v>
                </c:pt>
                <c:pt idx="386">
                  <c:v>0.82683136482650532</c:v>
                </c:pt>
                <c:pt idx="387">
                  <c:v>0.81593698599895514</c:v>
                </c:pt>
                <c:pt idx="388">
                  <c:v>0.80504260717140497</c:v>
                </c:pt>
                <c:pt idx="389">
                  <c:v>0.79414822834385479</c:v>
                </c:pt>
                <c:pt idx="390">
                  <c:v>0.78325384951630461</c:v>
                </c:pt>
                <c:pt idx="391">
                  <c:v>0.77235947068875443</c:v>
                </c:pt>
                <c:pt idx="392">
                  <c:v>0.76146509186120426</c:v>
                </c:pt>
                <c:pt idx="393">
                  <c:v>0.75057071303365408</c:v>
                </c:pt>
                <c:pt idx="394">
                  <c:v>0.7396763342061039</c:v>
                </c:pt>
                <c:pt idx="395">
                  <c:v>0.72878195537855373</c:v>
                </c:pt>
                <c:pt idx="396">
                  <c:v>0.71788757655100355</c:v>
                </c:pt>
                <c:pt idx="397">
                  <c:v>0.70699319772345337</c:v>
                </c:pt>
                <c:pt idx="398">
                  <c:v>0.69609881889590319</c:v>
                </c:pt>
                <c:pt idx="399">
                  <c:v>0.68520444006835302</c:v>
                </c:pt>
                <c:pt idx="400">
                  <c:v>0.67431006124080284</c:v>
                </c:pt>
                <c:pt idx="401">
                  <c:v>0.66341568241325266</c:v>
                </c:pt>
                <c:pt idx="402">
                  <c:v>0.65252130358570248</c:v>
                </c:pt>
                <c:pt idx="403">
                  <c:v>0.64162692475815231</c:v>
                </c:pt>
                <c:pt idx="404">
                  <c:v>0.63073254593060213</c:v>
                </c:pt>
                <c:pt idx="405">
                  <c:v>0.61983816710305195</c:v>
                </c:pt>
                <c:pt idx="406">
                  <c:v>0.60894378827550177</c:v>
                </c:pt>
                <c:pt idx="407">
                  <c:v>0.5980494094479516</c:v>
                </c:pt>
                <c:pt idx="408">
                  <c:v>0.58715503062040142</c:v>
                </c:pt>
                <c:pt idx="409">
                  <c:v>0.57626065179285124</c:v>
                </c:pt>
                <c:pt idx="410">
                  <c:v>0.56536627296530106</c:v>
                </c:pt>
                <c:pt idx="411">
                  <c:v>0.55447189413775089</c:v>
                </c:pt>
                <c:pt idx="412">
                  <c:v>0.54357751531020071</c:v>
                </c:pt>
                <c:pt idx="413">
                  <c:v>0.53268313648265053</c:v>
                </c:pt>
                <c:pt idx="414">
                  <c:v>0.52178875765510035</c:v>
                </c:pt>
                <c:pt idx="415">
                  <c:v>0.51089437882755018</c:v>
                </c:pt>
                <c:pt idx="416">
                  <c:v>0.5</c:v>
                </c:pt>
              </c:numCache>
            </c:numRef>
          </c:xVal>
          <c:yVal>
            <c:numRef>
              <c:f>'SOLLECITAZ NASCOSTO'!$U$32:$U$448</c:f>
              <c:numCache>
                <c:formatCode>0.00</c:formatCode>
                <c:ptCount val="417"/>
                <c:pt idx="0">
                  <c:v>0</c:v>
                </c:pt>
                <c:pt idx="1">
                  <c:v>0.14817888741172053</c:v>
                </c:pt>
                <c:pt idx="2">
                  <c:v>0.29916986380093991</c:v>
                </c:pt>
                <c:pt idx="3">
                  <c:v>0.45297292916765813</c:v>
                </c:pt>
                <c:pt idx="4">
                  <c:v>0.6095880835118751</c:v>
                </c:pt>
                <c:pt idx="5">
                  <c:v>0.76901532683359086</c:v>
                </c:pt>
                <c:pt idx="6">
                  <c:v>0.9312546591328057</c:v>
                </c:pt>
                <c:pt idx="7">
                  <c:v>1.0963060804095193</c:v>
                </c:pt>
                <c:pt idx="8">
                  <c:v>1.2641695906637316</c:v>
                </c:pt>
                <c:pt idx="9">
                  <c:v>1.4348451898954426</c:v>
                </c:pt>
                <c:pt idx="10">
                  <c:v>1.6083328781046526</c:v>
                </c:pt>
                <c:pt idx="11">
                  <c:v>1.7846326552913616</c:v>
                </c:pt>
                <c:pt idx="12">
                  <c:v>1.9637445214555695</c:v>
                </c:pt>
                <c:pt idx="13">
                  <c:v>2.145668476597276</c:v>
                </c:pt>
                <c:pt idx="14">
                  <c:v>2.3304045207164816</c:v>
                </c:pt>
                <c:pt idx="15">
                  <c:v>2.5179526538131856</c:v>
                </c:pt>
                <c:pt idx="16">
                  <c:v>2.7083128758873887</c:v>
                </c:pt>
                <c:pt idx="17">
                  <c:v>2.9014851869390905</c:v>
                </c:pt>
                <c:pt idx="18">
                  <c:v>3.0974695869682911</c:v>
                </c:pt>
                <c:pt idx="19">
                  <c:v>3.2962660759749909</c:v>
                </c:pt>
                <c:pt idx="20">
                  <c:v>3.497874653959189</c:v>
                </c:pt>
                <c:pt idx="21">
                  <c:v>3.7022953209208862</c:v>
                </c:pt>
                <c:pt idx="22">
                  <c:v>3.9095280768600826</c:v>
                </c:pt>
                <c:pt idx="23">
                  <c:v>4.1195729217767774</c:v>
                </c:pt>
                <c:pt idx="24">
                  <c:v>4.3324298556709726</c:v>
                </c:pt>
                <c:pt idx="25">
                  <c:v>4.5480988785426657</c:v>
                </c:pt>
                <c:pt idx="26">
                  <c:v>4.7665799903918575</c:v>
                </c:pt>
                <c:pt idx="27">
                  <c:v>4.9878731912185481</c:v>
                </c:pt>
                <c:pt idx="28">
                  <c:v>5.2119784810227383</c:v>
                </c:pt>
                <c:pt idx="29">
                  <c:v>5.4388958598044264</c:v>
                </c:pt>
                <c:pt idx="30">
                  <c:v>5.6686253275636131</c:v>
                </c:pt>
                <c:pt idx="31">
                  <c:v>5.9011668843003005</c:v>
                </c:pt>
                <c:pt idx="32">
                  <c:v>6.1365205300144847</c:v>
                </c:pt>
                <c:pt idx="33">
                  <c:v>6.3746862647061677</c:v>
                </c:pt>
                <c:pt idx="34">
                  <c:v>6.6156640883753512</c:v>
                </c:pt>
                <c:pt idx="35">
                  <c:v>6.8594540010220326</c:v>
                </c:pt>
                <c:pt idx="36">
                  <c:v>7.1060560026462127</c:v>
                </c:pt>
                <c:pt idx="37">
                  <c:v>7.3554700932478925</c:v>
                </c:pt>
                <c:pt idx="38">
                  <c:v>7.6076962728270701</c:v>
                </c:pt>
                <c:pt idx="39">
                  <c:v>7.8627345413837464</c:v>
                </c:pt>
                <c:pt idx="40">
                  <c:v>8.1205848989179223</c:v>
                </c:pt>
                <c:pt idx="41">
                  <c:v>8.3812473454295979</c:v>
                </c:pt>
                <c:pt idx="42">
                  <c:v>8.6447218809187714</c:v>
                </c:pt>
                <c:pt idx="43">
                  <c:v>8.9110085053854426</c:v>
                </c:pt>
                <c:pt idx="44">
                  <c:v>9.1801072188296153</c:v>
                </c:pt>
                <c:pt idx="45">
                  <c:v>9.4520180212512841</c:v>
                </c:pt>
                <c:pt idx="46">
                  <c:v>9.7267409126504525</c:v>
                </c:pt>
                <c:pt idx="47">
                  <c:v>10.004275893027119</c:v>
                </c:pt>
                <c:pt idx="48">
                  <c:v>10.284622962381288</c:v>
                </c:pt>
                <c:pt idx="49">
                  <c:v>10.567782120712954</c:v>
                </c:pt>
                <c:pt idx="50">
                  <c:v>10.853753368022117</c:v>
                </c:pt>
                <c:pt idx="51">
                  <c:v>11.14253670430878</c:v>
                </c:pt>
                <c:pt idx="52">
                  <c:v>11.434132129572941</c:v>
                </c:pt>
                <c:pt idx="53">
                  <c:v>11.728539643814601</c:v>
                </c:pt>
                <c:pt idx="54">
                  <c:v>12.02575924703376</c:v>
                </c:pt>
                <c:pt idx="55">
                  <c:v>12.325790939230421</c:v>
                </c:pt>
                <c:pt idx="56">
                  <c:v>12.628634720404577</c:v>
                </c:pt>
                <c:pt idx="57">
                  <c:v>12.934290590556232</c:v>
                </c:pt>
                <c:pt idx="58">
                  <c:v>13.242758549685387</c:v>
                </c:pt>
                <c:pt idx="59">
                  <c:v>13.55403859779204</c:v>
                </c:pt>
                <c:pt idx="60">
                  <c:v>13.868130734876193</c:v>
                </c:pt>
                <c:pt idx="61">
                  <c:v>14.185034960937847</c:v>
                </c:pt>
                <c:pt idx="62">
                  <c:v>14.504751275976997</c:v>
                </c:pt>
                <c:pt idx="63">
                  <c:v>14.827279679993644</c:v>
                </c:pt>
                <c:pt idx="64">
                  <c:v>15.152620172987792</c:v>
                </c:pt>
                <c:pt idx="65">
                  <c:v>15.480772754959437</c:v>
                </c:pt>
                <c:pt idx="66">
                  <c:v>15.811737425908582</c:v>
                </c:pt>
                <c:pt idx="67">
                  <c:v>16.145514185835225</c:v>
                </c:pt>
                <c:pt idx="68">
                  <c:v>16.482103034739371</c:v>
                </c:pt>
                <c:pt idx="69">
                  <c:v>16.821503972621013</c:v>
                </c:pt>
                <c:pt idx="70">
                  <c:v>17.163716999480155</c:v>
                </c:pt>
                <c:pt idx="71">
                  <c:v>17.508742115316792</c:v>
                </c:pt>
                <c:pt idx="72">
                  <c:v>17.85657932013093</c:v>
                </c:pt>
                <c:pt idx="73">
                  <c:v>18.207228613922567</c:v>
                </c:pt>
                <c:pt idx="74">
                  <c:v>18.560689996691707</c:v>
                </c:pt>
                <c:pt idx="75">
                  <c:v>18.916963468438343</c:v>
                </c:pt>
                <c:pt idx="76">
                  <c:v>19.276049029162476</c:v>
                </c:pt>
                <c:pt idx="77">
                  <c:v>19.637946678864107</c:v>
                </c:pt>
                <c:pt idx="78">
                  <c:v>20.002656417543239</c:v>
                </c:pt>
                <c:pt idx="79">
                  <c:v>20.37017824519987</c:v>
                </c:pt>
                <c:pt idx="80">
                  <c:v>20.740512161833998</c:v>
                </c:pt>
                <c:pt idx="81">
                  <c:v>21.113658167445628</c:v>
                </c:pt>
                <c:pt idx="82">
                  <c:v>21.489616262034755</c:v>
                </c:pt>
                <c:pt idx="83">
                  <c:v>21.868386445601381</c:v>
                </c:pt>
                <c:pt idx="84">
                  <c:v>22.249968718145503</c:v>
                </c:pt>
                <c:pt idx="85">
                  <c:v>22.634363079667125</c:v>
                </c:pt>
                <c:pt idx="86">
                  <c:v>23.021569530166246</c:v>
                </c:pt>
                <c:pt idx="87">
                  <c:v>23.411588069642871</c:v>
                </c:pt>
                <c:pt idx="88">
                  <c:v>23.804418698096992</c:v>
                </c:pt>
                <c:pt idx="89">
                  <c:v>24.200061415528609</c:v>
                </c:pt>
                <c:pt idx="90">
                  <c:v>24.598516221937725</c:v>
                </c:pt>
                <c:pt idx="91">
                  <c:v>24.999783117324341</c:v>
                </c:pt>
                <c:pt idx="92">
                  <c:v>25.403862101688457</c:v>
                </c:pt>
                <c:pt idx="93">
                  <c:v>25.810753175030069</c:v>
                </c:pt>
                <c:pt idx="94">
                  <c:v>26.22045633734918</c:v>
                </c:pt>
                <c:pt idx="95">
                  <c:v>26.632971588645791</c:v>
                </c:pt>
                <c:pt idx="96">
                  <c:v>27.048298928919909</c:v>
                </c:pt>
                <c:pt idx="97">
                  <c:v>27.466438358171519</c:v>
                </c:pt>
                <c:pt idx="98">
                  <c:v>27.887389876400626</c:v>
                </c:pt>
                <c:pt idx="99">
                  <c:v>28.311153483607232</c:v>
                </c:pt>
                <c:pt idx="100">
                  <c:v>28.737729179791337</c:v>
                </c:pt>
                <c:pt idx="101">
                  <c:v>29.167116964952942</c:v>
                </c:pt>
                <c:pt idx="102">
                  <c:v>29.599316839092044</c:v>
                </c:pt>
                <c:pt idx="103">
                  <c:v>30.034328802208645</c:v>
                </c:pt>
                <c:pt idx="104">
                  <c:v>30.472152854302745</c:v>
                </c:pt>
                <c:pt idx="105">
                  <c:v>30.912788995374346</c:v>
                </c:pt>
                <c:pt idx="106">
                  <c:v>31.356237225423445</c:v>
                </c:pt>
                <c:pt idx="107">
                  <c:v>31.802497544450041</c:v>
                </c:pt>
                <c:pt idx="108">
                  <c:v>32.251569952454133</c:v>
                </c:pt>
                <c:pt idx="109">
                  <c:v>32.703454449435732</c:v>
                </c:pt>
                <c:pt idx="110">
                  <c:v>33.158151035394823</c:v>
                </c:pt>
                <c:pt idx="111">
                  <c:v>33.615659710331414</c:v>
                </c:pt>
                <c:pt idx="112">
                  <c:v>34.075980474245505</c:v>
                </c:pt>
                <c:pt idx="113">
                  <c:v>34.539113327137095</c:v>
                </c:pt>
                <c:pt idx="114">
                  <c:v>35.005058269006177</c:v>
                </c:pt>
                <c:pt idx="115">
                  <c:v>35.47381529985276</c:v>
                </c:pt>
                <c:pt idx="116">
                  <c:v>35.945384419676842</c:v>
                </c:pt>
                <c:pt idx="117">
                  <c:v>36.419765628478423</c:v>
                </c:pt>
                <c:pt idx="118">
                  <c:v>36.896958926257504</c:v>
                </c:pt>
                <c:pt idx="119">
                  <c:v>37.376964313014085</c:v>
                </c:pt>
                <c:pt idx="120">
                  <c:v>37.859781788748165</c:v>
                </c:pt>
                <c:pt idx="121">
                  <c:v>38.345411353459745</c:v>
                </c:pt>
                <c:pt idx="122">
                  <c:v>38.833853007148832</c:v>
                </c:pt>
                <c:pt idx="123">
                  <c:v>39.325106749815404</c:v>
                </c:pt>
                <c:pt idx="124">
                  <c:v>39.819172581459476</c:v>
                </c:pt>
                <c:pt idx="125">
                  <c:v>40.316050502081048</c:v>
                </c:pt>
                <c:pt idx="126">
                  <c:v>40.815740511680119</c:v>
                </c:pt>
                <c:pt idx="127">
                  <c:v>41.318242610256689</c:v>
                </c:pt>
                <c:pt idx="128">
                  <c:v>41.82355679781076</c:v>
                </c:pt>
                <c:pt idx="129">
                  <c:v>42.33168307434233</c:v>
                </c:pt>
                <c:pt idx="130">
                  <c:v>42.842621439851399</c:v>
                </c:pt>
                <c:pt idx="131">
                  <c:v>43.356371894337968</c:v>
                </c:pt>
                <c:pt idx="132">
                  <c:v>43.87293443780203</c:v>
                </c:pt>
                <c:pt idx="133">
                  <c:v>44.392309070243591</c:v>
                </c:pt>
                <c:pt idx="134">
                  <c:v>44.914495791662652</c:v>
                </c:pt>
                <c:pt idx="135">
                  <c:v>45.439494602059227</c:v>
                </c:pt>
                <c:pt idx="136">
                  <c:v>45.967305501433287</c:v>
                </c:pt>
                <c:pt idx="137">
                  <c:v>46.497928489784847</c:v>
                </c:pt>
                <c:pt idx="138">
                  <c:v>47.031363567113907</c:v>
                </c:pt>
                <c:pt idx="139">
                  <c:v>47.567610733420466</c:v>
                </c:pt>
                <c:pt idx="140">
                  <c:v>48.106669988704525</c:v>
                </c:pt>
                <c:pt idx="141">
                  <c:v>48.648541332966076</c:v>
                </c:pt>
                <c:pt idx="142">
                  <c:v>49.193224766205127</c:v>
                </c:pt>
                <c:pt idx="143">
                  <c:v>49.740720288421677</c:v>
                </c:pt>
                <c:pt idx="144">
                  <c:v>50.291027899615727</c:v>
                </c:pt>
                <c:pt idx="145">
                  <c:v>50.844147599787277</c:v>
                </c:pt>
                <c:pt idx="146">
                  <c:v>51.400079388936327</c:v>
                </c:pt>
                <c:pt idx="147">
                  <c:v>51.958823267062876</c:v>
                </c:pt>
                <c:pt idx="148">
                  <c:v>52.520379234166931</c:v>
                </c:pt>
                <c:pt idx="149">
                  <c:v>53.084747290248472</c:v>
                </c:pt>
                <c:pt idx="150">
                  <c:v>53.651927435307513</c:v>
                </c:pt>
                <c:pt idx="151">
                  <c:v>54.221919669344054</c:v>
                </c:pt>
                <c:pt idx="152">
                  <c:v>54.794723992358094</c:v>
                </c:pt>
                <c:pt idx="153">
                  <c:v>55.370340404349633</c:v>
                </c:pt>
                <c:pt idx="154">
                  <c:v>55.948768905318673</c:v>
                </c:pt>
                <c:pt idx="155">
                  <c:v>56.530009495265212</c:v>
                </c:pt>
                <c:pt idx="156">
                  <c:v>57.11406217418925</c:v>
                </c:pt>
                <c:pt idx="157">
                  <c:v>57.700926942090788</c:v>
                </c:pt>
                <c:pt idx="158">
                  <c:v>58.290603798969819</c:v>
                </c:pt>
                <c:pt idx="159">
                  <c:v>58.883092744826349</c:v>
                </c:pt>
                <c:pt idx="160">
                  <c:v>59.478393779660379</c:v>
                </c:pt>
                <c:pt idx="161">
                  <c:v>60.076506903471923</c:v>
                </c:pt>
                <c:pt idx="162">
                  <c:v>60.677432116260952</c:v>
                </c:pt>
                <c:pt idx="163">
                  <c:v>61.281169418027481</c:v>
                </c:pt>
                <c:pt idx="164">
                  <c:v>61.88771880877151</c:v>
                </c:pt>
                <c:pt idx="165">
                  <c:v>62.497080288493038</c:v>
                </c:pt>
                <c:pt idx="166">
                  <c:v>63.109253857192066</c:v>
                </c:pt>
                <c:pt idx="167">
                  <c:v>63.724239514868586</c:v>
                </c:pt>
                <c:pt idx="168">
                  <c:v>64.342037261522606</c:v>
                </c:pt>
                <c:pt idx="169">
                  <c:v>64.962647097154132</c:v>
                </c:pt>
                <c:pt idx="170">
                  <c:v>65.586069021763151</c:v>
                </c:pt>
                <c:pt idx="171">
                  <c:v>66.212303035349677</c:v>
                </c:pt>
                <c:pt idx="172">
                  <c:v>66.841349137913696</c:v>
                </c:pt>
                <c:pt idx="173">
                  <c:v>67.473207329455221</c:v>
                </c:pt>
                <c:pt idx="174">
                  <c:v>68.107877609974238</c:v>
                </c:pt>
                <c:pt idx="175">
                  <c:v>68.745359979470749</c:v>
                </c:pt>
                <c:pt idx="176">
                  <c:v>69.385654437944766</c:v>
                </c:pt>
                <c:pt idx="177">
                  <c:v>70.028760985396275</c:v>
                </c:pt>
                <c:pt idx="178">
                  <c:v>70.674679621825291</c:v>
                </c:pt>
                <c:pt idx="179">
                  <c:v>71.3234103472318</c:v>
                </c:pt>
                <c:pt idx="180">
                  <c:v>71.974953161615815</c:v>
                </c:pt>
                <c:pt idx="181">
                  <c:v>72.629308064977323</c:v>
                </c:pt>
                <c:pt idx="182">
                  <c:v>73.286475057316324</c:v>
                </c:pt>
                <c:pt idx="183">
                  <c:v>73.946454138632831</c:v>
                </c:pt>
                <c:pt idx="184">
                  <c:v>74.60924530892683</c:v>
                </c:pt>
                <c:pt idx="185">
                  <c:v>75.274848568198337</c:v>
                </c:pt>
                <c:pt idx="186">
                  <c:v>75.943263916447336</c:v>
                </c:pt>
                <c:pt idx="187">
                  <c:v>76.614491353673841</c:v>
                </c:pt>
                <c:pt idx="188">
                  <c:v>77.28853087987784</c:v>
                </c:pt>
                <c:pt idx="189">
                  <c:v>77.965382495059345</c:v>
                </c:pt>
                <c:pt idx="190">
                  <c:v>78.645046199218342</c:v>
                </c:pt>
                <c:pt idx="191">
                  <c:v>79.327521992354832</c:v>
                </c:pt>
                <c:pt idx="192">
                  <c:v>80.012809874468857</c:v>
                </c:pt>
                <c:pt idx="193">
                  <c:v>80.700909845560346</c:v>
                </c:pt>
                <c:pt idx="194">
                  <c:v>81.391821905629342</c:v>
                </c:pt>
                <c:pt idx="195">
                  <c:v>82.085546054675831</c:v>
                </c:pt>
                <c:pt idx="196">
                  <c:v>82.782082292699826</c:v>
                </c:pt>
                <c:pt idx="197">
                  <c:v>83.481430619701314</c:v>
                </c:pt>
                <c:pt idx="198">
                  <c:v>84.183591035680308</c:v>
                </c:pt>
                <c:pt idx="199">
                  <c:v>84.888563540636795</c:v>
                </c:pt>
                <c:pt idx="200">
                  <c:v>85.596348134570775</c:v>
                </c:pt>
                <c:pt idx="201">
                  <c:v>86.306944817482261</c:v>
                </c:pt>
                <c:pt idx="202">
                  <c:v>87.02035358937124</c:v>
                </c:pt>
                <c:pt idx="203">
                  <c:v>87.736574450237725</c:v>
                </c:pt>
                <c:pt idx="204">
                  <c:v>88.455607400081703</c:v>
                </c:pt>
                <c:pt idx="205">
                  <c:v>89.177452438903188</c:v>
                </c:pt>
                <c:pt idx="206">
                  <c:v>89.902109566702165</c:v>
                </c:pt>
                <c:pt idx="207">
                  <c:v>90.629578783478649</c:v>
                </c:pt>
                <c:pt idx="208">
                  <c:v>91.359860089232626</c:v>
                </c:pt>
                <c:pt idx="209">
                  <c:v>92.092953483964095</c:v>
                </c:pt>
                <c:pt idx="210">
                  <c:v>92.828858967673071</c:v>
                </c:pt>
                <c:pt idx="211">
                  <c:v>93.567576540359539</c:v>
                </c:pt>
                <c:pt idx="212">
                  <c:v>94.309106202023514</c:v>
                </c:pt>
                <c:pt idx="213">
                  <c:v>95.053447952664982</c:v>
                </c:pt>
                <c:pt idx="214">
                  <c:v>95.800601792283956</c:v>
                </c:pt>
                <c:pt idx="215">
                  <c:v>96.550567720880423</c:v>
                </c:pt>
                <c:pt idx="216">
                  <c:v>97.303345738454396</c:v>
                </c:pt>
                <c:pt idx="217">
                  <c:v>98.058935845005863</c:v>
                </c:pt>
                <c:pt idx="218">
                  <c:v>98.817338040534864</c:v>
                </c:pt>
                <c:pt idx="219">
                  <c:v>99.578552325041329</c:v>
                </c:pt>
                <c:pt idx="220">
                  <c:v>100.34257869852529</c:v>
                </c:pt>
                <c:pt idx="221">
                  <c:v>101.10941716098675</c:v>
                </c:pt>
                <c:pt idx="222">
                  <c:v>101.87906771242571</c:v>
                </c:pt>
                <c:pt idx="223">
                  <c:v>102.65153035284217</c:v>
                </c:pt>
                <c:pt idx="224">
                  <c:v>103.42680508223613</c:v>
                </c:pt>
                <c:pt idx="225">
                  <c:v>104.20489190060759</c:v>
                </c:pt>
                <c:pt idx="226">
                  <c:v>104.98579080795655</c:v>
                </c:pt>
                <c:pt idx="227">
                  <c:v>105.769501804283</c:v>
                </c:pt>
                <c:pt idx="228">
                  <c:v>106.55602488958695</c:v>
                </c:pt>
                <c:pt idx="229">
                  <c:v>107.3453600638684</c:v>
                </c:pt>
                <c:pt idx="230">
                  <c:v>108.13750732712735</c:v>
                </c:pt>
                <c:pt idx="231">
                  <c:v>108.9324666793638</c:v>
                </c:pt>
                <c:pt idx="232">
                  <c:v>109.73023812057775</c:v>
                </c:pt>
                <c:pt idx="233">
                  <c:v>110.5308216507692</c:v>
                </c:pt>
                <c:pt idx="234">
                  <c:v>111.33421726993815</c:v>
                </c:pt>
                <c:pt idx="235">
                  <c:v>112.1404249780846</c:v>
                </c:pt>
                <c:pt idx="236">
                  <c:v>112.94944477520853</c:v>
                </c:pt>
                <c:pt idx="237">
                  <c:v>113.76127666130998</c:v>
                </c:pt>
                <c:pt idx="238">
                  <c:v>114.57592063638891</c:v>
                </c:pt>
                <c:pt idx="239">
                  <c:v>115.39337670044536</c:v>
                </c:pt>
                <c:pt idx="240">
                  <c:v>116.21364485347929</c:v>
                </c:pt>
                <c:pt idx="241">
                  <c:v>117.03672509549074</c:v>
                </c:pt>
                <c:pt idx="242">
                  <c:v>117.86261742647967</c:v>
                </c:pt>
                <c:pt idx="243">
                  <c:v>118.69132184644612</c:v>
                </c:pt>
                <c:pt idx="244">
                  <c:v>119.52283835539008</c:v>
                </c:pt>
                <c:pt idx="245">
                  <c:v>120.35716695331151</c:v>
                </c:pt>
                <c:pt idx="246">
                  <c:v>121.19430764021044</c:v>
                </c:pt>
                <c:pt idx="247">
                  <c:v>122.03426041608687</c:v>
                </c:pt>
                <c:pt idx="248">
                  <c:v>122.8770252809408</c:v>
                </c:pt>
                <c:pt idx="249">
                  <c:v>123.72260223477222</c:v>
                </c:pt>
                <c:pt idx="250">
                  <c:v>124.57099127758116</c:v>
                </c:pt>
                <c:pt idx="251">
                  <c:v>125.42219240936758</c:v>
                </c:pt>
                <c:pt idx="252">
                  <c:v>126.27620563013151</c:v>
                </c:pt>
                <c:pt idx="253">
                  <c:v>127.13303093987294</c:v>
                </c:pt>
                <c:pt idx="254">
                  <c:v>127.99266833859186</c:v>
                </c:pt>
                <c:pt idx="255">
                  <c:v>128.85511782628828</c:v>
                </c:pt>
                <c:pt idx="256">
                  <c:v>129.72037940296221</c:v>
                </c:pt>
                <c:pt idx="257">
                  <c:v>130.58845306861363</c:v>
                </c:pt>
                <c:pt idx="258">
                  <c:v>131.45933882324258</c:v>
                </c:pt>
                <c:pt idx="259">
                  <c:v>132.33303666684901</c:v>
                </c:pt>
                <c:pt idx="260">
                  <c:v>133.20954659943294</c:v>
                </c:pt>
                <c:pt idx="261">
                  <c:v>134.08886862099436</c:v>
                </c:pt>
                <c:pt idx="262">
                  <c:v>134.97100273153328</c:v>
                </c:pt>
                <c:pt idx="263">
                  <c:v>135.85594893104971</c:v>
                </c:pt>
                <c:pt idx="264">
                  <c:v>136.74370721954364</c:v>
                </c:pt>
                <c:pt idx="265">
                  <c:v>137.63427759701506</c:v>
                </c:pt>
                <c:pt idx="266">
                  <c:v>138.52766006346397</c:v>
                </c:pt>
                <c:pt idx="267">
                  <c:v>139.4238546188904</c:v>
                </c:pt>
                <c:pt idx="268">
                  <c:v>140.32286126329433</c:v>
                </c:pt>
                <c:pt idx="269">
                  <c:v>141.22467999667577</c:v>
                </c:pt>
                <c:pt idx="270">
                  <c:v>142.12931081903469</c:v>
                </c:pt>
                <c:pt idx="271">
                  <c:v>143.03675373037109</c:v>
                </c:pt>
                <c:pt idx="272">
                  <c:v>143.94700873068501</c:v>
                </c:pt>
                <c:pt idx="273">
                  <c:v>144.86007581997643</c:v>
                </c:pt>
                <c:pt idx="274">
                  <c:v>145.77595499824534</c:v>
                </c:pt>
                <c:pt idx="275">
                  <c:v>146.69464626549174</c:v>
                </c:pt>
                <c:pt idx="276">
                  <c:v>147.61614962171566</c:v>
                </c:pt>
                <c:pt idx="277">
                  <c:v>148.54046506691708</c:v>
                </c:pt>
                <c:pt idx="278">
                  <c:v>149.46759260109599</c:v>
                </c:pt>
                <c:pt idx="279">
                  <c:v>150.39753222425239</c:v>
                </c:pt>
                <c:pt idx="280">
                  <c:v>151.33028393638628</c:v>
                </c:pt>
                <c:pt idx="281">
                  <c:v>152.26584773749769</c:v>
                </c:pt>
                <c:pt idx="282">
                  <c:v>153.2042236275866</c:v>
                </c:pt>
                <c:pt idx="283">
                  <c:v>154.145411606653</c:v>
                </c:pt>
                <c:pt idx="284">
                  <c:v>155.08941167469689</c:v>
                </c:pt>
                <c:pt idx="285">
                  <c:v>156.0362238317183</c:v>
                </c:pt>
                <c:pt idx="286">
                  <c:v>156.98584807771721</c:v>
                </c:pt>
                <c:pt idx="287">
                  <c:v>157.9382844126936</c:v>
                </c:pt>
                <c:pt idx="288">
                  <c:v>158.89353283664749</c:v>
                </c:pt>
                <c:pt idx="289">
                  <c:v>159.85159334957888</c:v>
                </c:pt>
                <c:pt idx="290">
                  <c:v>160.81246595148778</c:v>
                </c:pt>
                <c:pt idx="291">
                  <c:v>161.77615064237418</c:v>
                </c:pt>
                <c:pt idx="292">
                  <c:v>162.74264742223806</c:v>
                </c:pt>
                <c:pt idx="293">
                  <c:v>163.71195629107945</c:v>
                </c:pt>
                <c:pt idx="294">
                  <c:v>164.68407724889835</c:v>
                </c:pt>
                <c:pt idx="295">
                  <c:v>165.65901029569477</c:v>
                </c:pt>
                <c:pt idx="296">
                  <c:v>166.63675543146866</c:v>
                </c:pt>
                <c:pt idx="297">
                  <c:v>167.61731265622004</c:v>
                </c:pt>
                <c:pt idx="298">
                  <c:v>168.60068196994891</c:v>
                </c:pt>
                <c:pt idx="299">
                  <c:v>169.5868633726553</c:v>
                </c:pt>
                <c:pt idx="300">
                  <c:v>170.57585686433919</c:v>
                </c:pt>
                <c:pt idx="301">
                  <c:v>171.56766244500056</c:v>
                </c:pt>
                <c:pt idx="302">
                  <c:v>172.56228011463944</c:v>
                </c:pt>
                <c:pt idx="303">
                  <c:v>173.55970987325583</c:v>
                </c:pt>
                <c:pt idx="304">
                  <c:v>174.55995172084971</c:v>
                </c:pt>
                <c:pt idx="305">
                  <c:v>175.56300565742109</c:v>
                </c:pt>
                <c:pt idx="306">
                  <c:v>176.56887168296996</c:v>
                </c:pt>
                <c:pt idx="307">
                  <c:v>177.57754979749632</c:v>
                </c:pt>
                <c:pt idx="308">
                  <c:v>178.5890400010002</c:v>
                </c:pt>
                <c:pt idx="309">
                  <c:v>179.60334229348157</c:v>
                </c:pt>
                <c:pt idx="310">
                  <c:v>180.62045667494044</c:v>
                </c:pt>
                <c:pt idx="311">
                  <c:v>181.6403831453768</c:v>
                </c:pt>
                <c:pt idx="312">
                  <c:v>182.66312170479068</c:v>
                </c:pt>
                <c:pt idx="313">
                  <c:v>183.68867235318206</c:v>
                </c:pt>
                <c:pt idx="314">
                  <c:v>184.71703509055092</c:v>
                </c:pt>
                <c:pt idx="315">
                  <c:v>185.74820991689728</c:v>
                </c:pt>
                <c:pt idx="316">
                  <c:v>186.78219683222113</c:v>
                </c:pt>
                <c:pt idx="317">
                  <c:v>187.8189958365225</c:v>
                </c:pt>
                <c:pt idx="318">
                  <c:v>188.85860692980137</c:v>
                </c:pt>
                <c:pt idx="319">
                  <c:v>189.90103011205773</c:v>
                </c:pt>
                <c:pt idx="320">
                  <c:v>190.94626538329157</c:v>
                </c:pt>
                <c:pt idx="321">
                  <c:v>191.99431274350297</c:v>
                </c:pt>
                <c:pt idx="322">
                  <c:v>193.04517219269184</c:v>
                </c:pt>
                <c:pt idx="323">
                  <c:v>194.09884373085819</c:v>
                </c:pt>
                <c:pt idx="324">
                  <c:v>195.15532735800204</c:v>
                </c:pt>
                <c:pt idx="325">
                  <c:v>196.21462307412338</c:v>
                </c:pt>
                <c:pt idx="326">
                  <c:v>197.27673087922224</c:v>
                </c:pt>
                <c:pt idx="327">
                  <c:v>198.3416507732986</c:v>
                </c:pt>
                <c:pt idx="328">
                  <c:v>199.40938275635244</c:v>
                </c:pt>
                <c:pt idx="329">
                  <c:v>200.47992682838378</c:v>
                </c:pt>
                <c:pt idx="330">
                  <c:v>201.55328298939264</c:v>
                </c:pt>
                <c:pt idx="331">
                  <c:v>202.62945123937899</c:v>
                </c:pt>
                <c:pt idx="332">
                  <c:v>203.70843157834284</c:v>
                </c:pt>
                <c:pt idx="333">
                  <c:v>204.79022400628418</c:v>
                </c:pt>
                <c:pt idx="334">
                  <c:v>205.87482852320301</c:v>
                </c:pt>
                <c:pt idx="335">
                  <c:v>206.96224512909936</c:v>
                </c:pt>
                <c:pt idx="336">
                  <c:v>208.0524738239732</c:v>
                </c:pt>
                <c:pt idx="337">
                  <c:v>209.14551460782454</c:v>
                </c:pt>
                <c:pt idx="338">
                  <c:v>210.24136748065337</c:v>
                </c:pt>
                <c:pt idx="339">
                  <c:v>211.34003244245972</c:v>
                </c:pt>
                <c:pt idx="340">
                  <c:v>212.44150949324356</c:v>
                </c:pt>
                <c:pt idx="341">
                  <c:v>213.54579863300489</c:v>
                </c:pt>
                <c:pt idx="342">
                  <c:v>214.65289986174372</c:v>
                </c:pt>
                <c:pt idx="343">
                  <c:v>215.76281317946004</c:v>
                </c:pt>
                <c:pt idx="344">
                  <c:v>216.87553858615388</c:v>
                </c:pt>
                <c:pt idx="345">
                  <c:v>217.99107608182521</c:v>
                </c:pt>
                <c:pt idx="346">
                  <c:v>219.1094256664741</c:v>
                </c:pt>
                <c:pt idx="347">
                  <c:v>220.23058734010041</c:v>
                </c:pt>
                <c:pt idx="348">
                  <c:v>221.35456110270425</c:v>
                </c:pt>
                <c:pt idx="349">
                  <c:v>222.48134695428558</c:v>
                </c:pt>
                <c:pt idx="350">
                  <c:v>223.61094489484441</c:v>
                </c:pt>
                <c:pt idx="351">
                  <c:v>224.74335492438072</c:v>
                </c:pt>
                <c:pt idx="352">
                  <c:v>225.87857704289453</c:v>
                </c:pt>
                <c:pt idx="353">
                  <c:v>227.01661125038586</c:v>
                </c:pt>
                <c:pt idx="354">
                  <c:v>228.15745754685469</c:v>
                </c:pt>
                <c:pt idx="355">
                  <c:v>229.301115932301</c:v>
                </c:pt>
                <c:pt idx="356">
                  <c:v>230.44758640672481</c:v>
                </c:pt>
                <c:pt idx="357">
                  <c:v>231.59686897012614</c:v>
                </c:pt>
                <c:pt idx="358">
                  <c:v>232.74896362250496</c:v>
                </c:pt>
                <c:pt idx="359">
                  <c:v>233.90387036386127</c:v>
                </c:pt>
                <c:pt idx="360">
                  <c:v>235.06158919419508</c:v>
                </c:pt>
                <c:pt idx="361">
                  <c:v>236.22212011350638</c:v>
                </c:pt>
                <c:pt idx="362">
                  <c:v>237.3854631217952</c:v>
                </c:pt>
                <c:pt idx="363">
                  <c:v>238.55161821906151</c:v>
                </c:pt>
                <c:pt idx="364">
                  <c:v>239.72058540530531</c:v>
                </c:pt>
                <c:pt idx="365">
                  <c:v>240.89236468052661</c:v>
                </c:pt>
                <c:pt idx="366">
                  <c:v>242.06695604472543</c:v>
                </c:pt>
                <c:pt idx="367">
                  <c:v>243.24435949790174</c:v>
                </c:pt>
                <c:pt idx="368">
                  <c:v>244.42457504005554</c:v>
                </c:pt>
                <c:pt idx="369">
                  <c:v>245.60760267118684</c:v>
                </c:pt>
                <c:pt idx="370">
                  <c:v>246.79344239129563</c:v>
                </c:pt>
                <c:pt idx="371">
                  <c:v>247.98209420038194</c:v>
                </c:pt>
                <c:pt idx="372">
                  <c:v>249.17355809844574</c:v>
                </c:pt>
                <c:pt idx="373">
                  <c:v>250.36783408548703</c:v>
                </c:pt>
                <c:pt idx="374">
                  <c:v>251.56492216150582</c:v>
                </c:pt>
                <c:pt idx="375">
                  <c:v>252.76482232650213</c:v>
                </c:pt>
                <c:pt idx="376">
                  <c:v>253.96753458047593</c:v>
                </c:pt>
                <c:pt idx="377">
                  <c:v>255.17305892342722</c:v>
                </c:pt>
                <c:pt idx="378">
                  <c:v>256.38139535535601</c:v>
                </c:pt>
                <c:pt idx="379">
                  <c:v>257.59254387626231</c:v>
                </c:pt>
                <c:pt idx="380">
                  <c:v>258.80650448614608</c:v>
                </c:pt>
                <c:pt idx="381">
                  <c:v>260.02327718500737</c:v>
                </c:pt>
                <c:pt idx="382">
                  <c:v>261.24286197284619</c:v>
                </c:pt>
                <c:pt idx="383">
                  <c:v>262.46525884966246</c:v>
                </c:pt>
                <c:pt idx="384">
                  <c:v>263.69046781545637</c:v>
                </c:pt>
                <c:pt idx="385">
                  <c:v>264.91848887022763</c:v>
                </c:pt>
                <c:pt idx="386">
                  <c:v>266.14932201397642</c:v>
                </c:pt>
                <c:pt idx="387">
                  <c:v>267.38296724670272</c:v>
                </c:pt>
                <c:pt idx="388">
                  <c:v>268.61942456840649</c:v>
                </c:pt>
                <c:pt idx="389">
                  <c:v>269.85869397908778</c:v>
                </c:pt>
                <c:pt idx="390">
                  <c:v>271.10077547874653</c:v>
                </c:pt>
                <c:pt idx="391">
                  <c:v>272.3456690673828</c:v>
                </c:pt>
                <c:pt idx="392">
                  <c:v>273.59337474499659</c:v>
                </c:pt>
                <c:pt idx="393">
                  <c:v>274.84389251158785</c:v>
                </c:pt>
                <c:pt idx="394">
                  <c:v>276.09722236715663</c:v>
                </c:pt>
                <c:pt idx="395">
                  <c:v>277.35336431170293</c:v>
                </c:pt>
                <c:pt idx="396">
                  <c:v>278.6123183452267</c:v>
                </c:pt>
                <c:pt idx="397">
                  <c:v>279.87408446772798</c:v>
                </c:pt>
                <c:pt idx="398">
                  <c:v>281.13866267920673</c:v>
                </c:pt>
                <c:pt idx="399">
                  <c:v>282.406052979663</c:v>
                </c:pt>
                <c:pt idx="400">
                  <c:v>283.67625536909679</c:v>
                </c:pt>
                <c:pt idx="401">
                  <c:v>284.94926984750805</c:v>
                </c:pt>
                <c:pt idx="402">
                  <c:v>286.22509641489683</c:v>
                </c:pt>
                <c:pt idx="403">
                  <c:v>287.50373507126307</c:v>
                </c:pt>
                <c:pt idx="404">
                  <c:v>288.78518581660683</c:v>
                </c:pt>
                <c:pt idx="405">
                  <c:v>290.06944865092811</c:v>
                </c:pt>
                <c:pt idx="406">
                  <c:v>291.35652357422686</c:v>
                </c:pt>
                <c:pt idx="407">
                  <c:v>292.64641058650312</c:v>
                </c:pt>
                <c:pt idx="408">
                  <c:v>293.93910968775685</c:v>
                </c:pt>
                <c:pt idx="409">
                  <c:v>295.23462087798811</c:v>
                </c:pt>
                <c:pt idx="410">
                  <c:v>296.53294415719688</c:v>
                </c:pt>
                <c:pt idx="411">
                  <c:v>297.83407952538312</c:v>
                </c:pt>
                <c:pt idx="412">
                  <c:v>299.13802698254688</c:v>
                </c:pt>
                <c:pt idx="413">
                  <c:v>300.44478652868816</c:v>
                </c:pt>
                <c:pt idx="414">
                  <c:v>301.7543581638069</c:v>
                </c:pt>
                <c:pt idx="415">
                  <c:v>303.06674188790316</c:v>
                </c:pt>
                <c:pt idx="416">
                  <c:v>304.38193770097689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7C6-499B-B781-3681EB789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42712192"/>
        <c:axId val="-242709472"/>
      </c:scatterChart>
      <c:valAx>
        <c:axId val="-242712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242709472"/>
        <c:crosses val="autoZero"/>
        <c:crossBetween val="midCat"/>
      </c:valAx>
      <c:valAx>
        <c:axId val="-242709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242712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it-IT" sz="1200"/>
              <a:t>SEZIONE INCASTRO (step 10)</a:t>
            </a:r>
          </a:p>
        </c:rich>
      </c:tx>
      <c:layout>
        <c:manualLayout>
          <c:xMode val="edge"/>
          <c:yMode val="edge"/>
          <c:x val="0.33739993828458631"/>
          <c:y val="8.769061827355785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"/>
          <c:y val="0.23510550036997999"/>
          <c:w val="1"/>
          <c:h val="0.56659994257574864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solidFill>
                <a:schemeClr val="bg2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muro+tensioni'!$F$44:$F$69</c:f>
              <c:numCache>
                <c:formatCode>General</c:formatCode>
                <c:ptCount val="26"/>
                <c:pt idx="0">
                  <c:v>0</c:v>
                </c:pt>
                <c:pt idx="1">
                  <c:v>1.25</c:v>
                </c:pt>
                <c:pt idx="2">
                  <c:v>1.25</c:v>
                </c:pt>
                <c:pt idx="3">
                  <c:v>0.71</c:v>
                </c:pt>
                <c:pt idx="4">
                  <c:v>0.71</c:v>
                </c:pt>
                <c:pt idx="5">
                  <c:v>0.54999999999999993</c:v>
                </c:pt>
                <c:pt idx="6">
                  <c:v>0.54999999999999993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-0.54999999999999993</c:v>
                </c:pt>
                <c:pt idx="20">
                  <c:v>-0.54999999999999993</c:v>
                </c:pt>
                <c:pt idx="21">
                  <c:v>-0.71</c:v>
                </c:pt>
                <c:pt idx="22">
                  <c:v>-0.71</c:v>
                </c:pt>
                <c:pt idx="23">
                  <c:v>-1.25</c:v>
                </c:pt>
                <c:pt idx="24">
                  <c:v>-1.25</c:v>
                </c:pt>
                <c:pt idx="25">
                  <c:v>0</c:v>
                </c:pt>
              </c:numCache>
            </c:numRef>
          </c:xVal>
          <c:yVal>
            <c:numRef>
              <c:f>'geom masse muro+tensioni'!$G$44:$G$69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0.12</c:v>
                </c:pt>
                <c:pt idx="3">
                  <c:v>0.12</c:v>
                </c:pt>
                <c:pt idx="4" formatCode="0.000">
                  <c:v>0.86001000000000005</c:v>
                </c:pt>
                <c:pt idx="5" formatCode="0.000">
                  <c:v>0.86001000000000005</c:v>
                </c:pt>
                <c:pt idx="6" formatCode="0.000">
                  <c:v>0.12</c:v>
                </c:pt>
                <c:pt idx="7">
                  <c:v>0.12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0.12</c:v>
                </c:pt>
                <c:pt idx="12">
                  <c:v>0.12</c:v>
                </c:pt>
                <c:pt idx="13">
                  <c:v>0.12</c:v>
                </c:pt>
                <c:pt idx="14">
                  <c:v>0.12</c:v>
                </c:pt>
                <c:pt idx="15">
                  <c:v>0.12</c:v>
                </c:pt>
                <c:pt idx="16">
                  <c:v>0.12</c:v>
                </c:pt>
                <c:pt idx="17">
                  <c:v>0.12</c:v>
                </c:pt>
                <c:pt idx="18">
                  <c:v>0.12</c:v>
                </c:pt>
                <c:pt idx="19">
                  <c:v>0.12</c:v>
                </c:pt>
                <c:pt idx="20" formatCode="0.000">
                  <c:v>0.86001000000000005</c:v>
                </c:pt>
                <c:pt idx="21" formatCode="0.000">
                  <c:v>0.86001000000000005</c:v>
                </c:pt>
                <c:pt idx="22" formatCode="0.000">
                  <c:v>0.12</c:v>
                </c:pt>
                <c:pt idx="23" formatCode="0.000">
                  <c:v>0.12</c:v>
                </c:pt>
                <c:pt idx="24" formatCode="0.000">
                  <c:v>0</c:v>
                </c:pt>
                <c:pt idx="25" formatCode="0.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3C-429B-B48B-6180D77CD849}"/>
            </c:ext>
          </c:extLst>
        </c:ser>
        <c:ser>
          <c:idx val="1"/>
          <c:order val="1"/>
          <c:tx>
            <c:v>asse neutro</c:v>
          </c:tx>
          <c:spPr>
            <a:ln w="95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0260221847001515"/>
                  <c:y val="9.016908478378930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Asse</a:t>
                    </a:r>
                    <a:r>
                      <a:rPr lang="en-US" baseline="0"/>
                      <a:t> Neutro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sezione!$Z$18:$Z$19</c:f>
              <c:numCache>
                <c:formatCode>General</c:formatCode>
                <c:ptCount val="2"/>
                <c:pt idx="0">
                  <c:v>1.5</c:v>
                </c:pt>
                <c:pt idx="1">
                  <c:v>-1.5</c:v>
                </c:pt>
              </c:numCache>
            </c:numRef>
          </c:xVal>
          <c:yVal>
            <c:numRef>
              <c:f>sezione!$AA$18:$AA$19</c:f>
              <c:numCache>
                <c:formatCode>0.000</c:formatCode>
                <c:ptCount val="2"/>
                <c:pt idx="0">
                  <c:v>6.621249250792656E-2</c:v>
                </c:pt>
                <c:pt idx="1">
                  <c:v>6.621249250792656E-2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42707840"/>
        <c:axId val="-242714912"/>
      </c:scatterChart>
      <c:valAx>
        <c:axId val="-2427078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242714912"/>
        <c:crosses val="autoZero"/>
        <c:crossBetween val="midCat"/>
      </c:valAx>
      <c:valAx>
        <c:axId val="-2427149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242707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SEZIONE INCASTRO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"/>
          <c:y val="0.19648234025331215"/>
          <c:w val="1"/>
          <c:h val="0.72559051618005266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solidFill>
                <a:schemeClr val="bg2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muro+tensioni'!$F$44:$F$69</c:f>
              <c:numCache>
                <c:formatCode>General</c:formatCode>
                <c:ptCount val="26"/>
                <c:pt idx="0">
                  <c:v>0</c:v>
                </c:pt>
                <c:pt idx="1">
                  <c:v>1.25</c:v>
                </c:pt>
                <c:pt idx="2">
                  <c:v>1.25</c:v>
                </c:pt>
                <c:pt idx="3">
                  <c:v>0.71</c:v>
                </c:pt>
                <c:pt idx="4">
                  <c:v>0.71</c:v>
                </c:pt>
                <c:pt idx="5">
                  <c:v>0.54999999999999993</c:v>
                </c:pt>
                <c:pt idx="6">
                  <c:v>0.54999999999999993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-0.54999999999999993</c:v>
                </c:pt>
                <c:pt idx="20">
                  <c:v>-0.54999999999999993</c:v>
                </c:pt>
                <c:pt idx="21">
                  <c:v>-0.71</c:v>
                </c:pt>
                <c:pt idx="22">
                  <c:v>-0.71</c:v>
                </c:pt>
                <c:pt idx="23">
                  <c:v>-1.25</c:v>
                </c:pt>
                <c:pt idx="24">
                  <c:v>-1.25</c:v>
                </c:pt>
                <c:pt idx="25">
                  <c:v>0</c:v>
                </c:pt>
              </c:numCache>
            </c:numRef>
          </c:xVal>
          <c:yVal>
            <c:numRef>
              <c:f>'geom masse muro+tensioni'!$G$44:$G$69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0.12</c:v>
                </c:pt>
                <c:pt idx="3">
                  <c:v>0.12</c:v>
                </c:pt>
                <c:pt idx="4" formatCode="0.000">
                  <c:v>0.86001000000000005</c:v>
                </c:pt>
                <c:pt idx="5" formatCode="0.000">
                  <c:v>0.86001000000000005</c:v>
                </c:pt>
                <c:pt idx="6" formatCode="0.000">
                  <c:v>0.12</c:v>
                </c:pt>
                <c:pt idx="7">
                  <c:v>0.12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0.12</c:v>
                </c:pt>
                <c:pt idx="12">
                  <c:v>0.12</c:v>
                </c:pt>
                <c:pt idx="13">
                  <c:v>0.12</c:v>
                </c:pt>
                <c:pt idx="14">
                  <c:v>0.12</c:v>
                </c:pt>
                <c:pt idx="15">
                  <c:v>0.12</c:v>
                </c:pt>
                <c:pt idx="16">
                  <c:v>0.12</c:v>
                </c:pt>
                <c:pt idx="17">
                  <c:v>0.12</c:v>
                </c:pt>
                <c:pt idx="18">
                  <c:v>0.12</c:v>
                </c:pt>
                <c:pt idx="19">
                  <c:v>0.12</c:v>
                </c:pt>
                <c:pt idx="20" formatCode="0.000">
                  <c:v>0.86001000000000005</c:v>
                </c:pt>
                <c:pt idx="21" formatCode="0.000">
                  <c:v>0.86001000000000005</c:v>
                </c:pt>
                <c:pt idx="22" formatCode="0.000">
                  <c:v>0.12</c:v>
                </c:pt>
                <c:pt idx="23" formatCode="0.000">
                  <c:v>0.12</c:v>
                </c:pt>
                <c:pt idx="24" formatCode="0.000">
                  <c:v>0</c:v>
                </c:pt>
                <c:pt idx="25" formatCode="0.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3C-429B-B48B-6180D77CD849}"/>
            </c:ext>
          </c:extLst>
        </c:ser>
        <c:ser>
          <c:idx val="1"/>
          <c:order val="1"/>
          <c:tx>
            <c:v>POS1</c:v>
          </c:tx>
          <c:spPr>
            <a:ln w="952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sezione!$Z$22:$Z$23</c:f>
              <c:numCache>
                <c:formatCode>0.00</c:formatCode>
                <c:ptCount val="2"/>
                <c:pt idx="0">
                  <c:v>1.5</c:v>
                </c:pt>
                <c:pt idx="1">
                  <c:v>-1.25</c:v>
                </c:pt>
              </c:numCache>
            </c:numRef>
          </c:xVal>
          <c:yVal>
            <c:numRef>
              <c:f>sezione!$AA$22:$AA$23</c:f>
              <c:numCache>
                <c:formatCode>0.00</c:formatCode>
                <c:ptCount val="2"/>
                <c:pt idx="0">
                  <c:v>0.04</c:v>
                </c:pt>
                <c:pt idx="1">
                  <c:v>0.04</c:v>
                </c:pt>
              </c:numCache>
            </c:numRef>
          </c:yVal>
          <c:smooth val="0"/>
        </c:ser>
        <c:ser>
          <c:idx val="2"/>
          <c:order val="2"/>
          <c:tx>
            <c:v>POS2</c:v>
          </c:tx>
          <c:spPr>
            <a:ln w="31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Pt>
            <c:idx val="1"/>
            <c:bubble3D val="0"/>
            <c:spPr>
              <a:ln w="9525" cap="rnd">
                <a:solidFill>
                  <a:schemeClr val="bg1">
                    <a:lumMod val="50000"/>
                  </a:schemeClr>
                </a:solidFill>
                <a:prstDash val="sysDash"/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dPt>
          <c:xVal>
            <c:numRef>
              <c:f>sezione!$Z$26:$Z$27</c:f>
              <c:numCache>
                <c:formatCode>0.00</c:formatCode>
                <c:ptCount val="2"/>
                <c:pt idx="0">
                  <c:v>1.5</c:v>
                </c:pt>
                <c:pt idx="1">
                  <c:v>-1.25</c:v>
                </c:pt>
              </c:numCache>
            </c:numRef>
          </c:xVal>
          <c:yVal>
            <c:numRef>
              <c:f>sezione!$AA$26:$AA$27</c:f>
              <c:numCache>
                <c:formatCode>0.00</c:formatCode>
                <c:ptCount val="2"/>
                <c:pt idx="0">
                  <c:v>0.06</c:v>
                </c:pt>
                <c:pt idx="1">
                  <c:v>0.06</c:v>
                </c:pt>
              </c:numCache>
            </c:numRef>
          </c:yVal>
          <c:smooth val="0"/>
        </c:ser>
        <c:ser>
          <c:idx val="3"/>
          <c:order val="3"/>
          <c:tx>
            <c:v>POS3</c:v>
          </c:tx>
          <c:spPr>
            <a:ln w="9525" cap="rnd">
              <a:solidFill>
                <a:schemeClr val="accent4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Pt>
            <c:idx val="1"/>
            <c:bubble3D val="0"/>
            <c:spPr>
              <a:ln w="9525" cap="rnd">
                <a:solidFill>
                  <a:schemeClr val="bg1">
                    <a:lumMod val="50000"/>
                  </a:schemeClr>
                </a:solidFill>
                <a:prstDash val="sysDash"/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dPt>
          <c:xVal>
            <c:numRef>
              <c:f>sezione!$Z$30:$Z$31</c:f>
              <c:numCache>
                <c:formatCode>0.00</c:formatCode>
                <c:ptCount val="2"/>
                <c:pt idx="0">
                  <c:v>1.5</c:v>
                </c:pt>
                <c:pt idx="1">
                  <c:v>-1.25</c:v>
                </c:pt>
              </c:numCache>
            </c:numRef>
          </c:xVal>
          <c:yVal>
            <c:numRef>
              <c:f>sezione!$AA$30:$AA$31</c:f>
              <c:numCache>
                <c:formatCode>0.00</c:formatCode>
                <c:ptCount val="2"/>
                <c:pt idx="0">
                  <c:v>0.08</c:v>
                </c:pt>
                <c:pt idx="1">
                  <c:v>0.08</c:v>
                </c:pt>
              </c:numCache>
            </c:numRef>
          </c:yVal>
          <c:smooth val="0"/>
        </c:ser>
        <c:ser>
          <c:idx val="4"/>
          <c:order val="4"/>
          <c:tx>
            <c:v>POS4</c:v>
          </c:tx>
          <c:spPr>
            <a:ln w="952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sezione!$Z$35:$Z$36</c:f>
              <c:numCache>
                <c:formatCode>0.00</c:formatCode>
                <c:ptCount val="2"/>
                <c:pt idx="0">
                  <c:v>1.5</c:v>
                </c:pt>
                <c:pt idx="1">
                  <c:v>-1.25</c:v>
                </c:pt>
              </c:numCache>
            </c:numRef>
          </c:xVal>
          <c:yVal>
            <c:numRef>
              <c:f>sezione!$AA$35:$AA$36</c:f>
              <c:numCache>
                <c:formatCode>0.00</c:formatCode>
                <c:ptCount val="2"/>
                <c:pt idx="0">
                  <c:v>0.16</c:v>
                </c:pt>
                <c:pt idx="1">
                  <c:v>0.16</c:v>
                </c:pt>
              </c:numCache>
            </c:numRef>
          </c:yVal>
          <c:smooth val="0"/>
        </c:ser>
        <c:ser>
          <c:idx val="5"/>
          <c:order val="5"/>
          <c:tx>
            <c:v>POS5</c:v>
          </c:tx>
          <c:spPr>
            <a:ln w="952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sezione!$Z$40:$Z$41</c:f>
              <c:numCache>
                <c:formatCode>0.00</c:formatCode>
                <c:ptCount val="2"/>
                <c:pt idx="0">
                  <c:v>1.5</c:v>
                </c:pt>
                <c:pt idx="1">
                  <c:v>-1.25</c:v>
                </c:pt>
              </c:numCache>
            </c:numRef>
          </c:xVal>
          <c:yVal>
            <c:numRef>
              <c:f>sezione!$AA$40:$AA$41</c:f>
              <c:numCache>
                <c:formatCode>0.00</c:formatCode>
                <c:ptCount val="2"/>
                <c:pt idx="0">
                  <c:v>0.81843915725189087</c:v>
                </c:pt>
                <c:pt idx="1">
                  <c:v>0.81843915725189087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42717088"/>
        <c:axId val="-242711648"/>
      </c:scatterChart>
      <c:valAx>
        <c:axId val="-2427170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242711648"/>
        <c:crosses val="autoZero"/>
        <c:crossBetween val="midCat"/>
      </c:valAx>
      <c:valAx>
        <c:axId val="-2427116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242717088"/>
        <c:crosses val="autoZero"/>
        <c:crossBetween val="midCat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MRd</c:v>
          </c:tx>
          <c:spPr>
            <a:ln w="19050" cap="rnd">
              <a:solidFill>
                <a:schemeClr val="tx1">
                  <a:lumMod val="85000"/>
                  <a:lumOff val="1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sezione!$AC$46:$AC$58</c:f>
              <c:numCache>
                <c:formatCode>0.00" m"</c:formatCode>
                <c:ptCount val="13"/>
                <c:pt idx="0">
                  <c:v>4.5320615922608809</c:v>
                </c:pt>
                <c:pt idx="1">
                  <c:v>4.5320615922608809</c:v>
                </c:pt>
                <c:pt idx="2">
                  <c:v>4.3783988626078694</c:v>
                </c:pt>
                <c:pt idx="3">
                  <c:v>3.9535180883334116</c:v>
                </c:pt>
                <c:pt idx="4">
                  <c:v>3.5177429352314036</c:v>
                </c:pt>
                <c:pt idx="5">
                  <c:v>3.0928621609569462</c:v>
                </c:pt>
                <c:pt idx="6">
                  <c:v>2.6570870078549382</c:v>
                </c:pt>
                <c:pt idx="7">
                  <c:v>2.2322062335804809</c:v>
                </c:pt>
                <c:pt idx="8">
                  <c:v>1.7964310804784729</c:v>
                </c:pt>
                <c:pt idx="9">
                  <c:v>1.3715503062040155</c:v>
                </c:pt>
                <c:pt idx="10">
                  <c:v>0.93577515310200798</c:v>
                </c:pt>
                <c:pt idx="11">
                  <c:v>0.51089437882755018</c:v>
                </c:pt>
                <c:pt idx="12">
                  <c:v>0.51089437882755018</c:v>
                </c:pt>
              </c:numCache>
            </c:numRef>
          </c:xVal>
          <c:yVal>
            <c:numRef>
              <c:f>sezione!$AB$46:$AB$58</c:f>
              <c:numCache>
                <c:formatCode>0.0" kNm"</c:formatCode>
                <c:ptCount val="13"/>
                <c:pt idx="0" formatCode="General">
                  <c:v>0</c:v>
                </c:pt>
                <c:pt idx="1">
                  <c:v>-93.747409917364664</c:v>
                </c:pt>
                <c:pt idx="2">
                  <c:v>-108.54072094306069</c:v>
                </c:pt>
                <c:pt idx="3">
                  <c:v>-123.30354088199832</c:v>
                </c:pt>
                <c:pt idx="4">
                  <c:v>-163.41146198946615</c:v>
                </c:pt>
                <c:pt idx="5">
                  <c:v>-182.69899611916856</c:v>
                </c:pt>
                <c:pt idx="6">
                  <c:v>-299.79750564035527</c:v>
                </c:pt>
                <c:pt idx="7">
                  <c:v>-329.91052848955826</c:v>
                </c:pt>
                <c:pt idx="8">
                  <c:v>-615.1513562977126</c:v>
                </c:pt>
                <c:pt idx="9">
                  <c:v>-669.818678304581</c:v>
                </c:pt>
                <c:pt idx="10">
                  <c:v>-1329.6408378987776</c:v>
                </c:pt>
                <c:pt idx="11">
                  <c:v>-1431.6393295351243</c:v>
                </c:pt>
                <c:pt idx="12" formatCode="General">
                  <c:v>0</c:v>
                </c:pt>
              </c:numCache>
            </c:numRef>
          </c:yVal>
          <c:smooth val="0"/>
        </c:ser>
        <c:ser>
          <c:idx val="2"/>
          <c:order val="1"/>
          <c:tx>
            <c:v>MEd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sezione!$AC$46:$AC$58</c:f>
              <c:numCache>
                <c:formatCode>0.00" m"</c:formatCode>
                <c:ptCount val="13"/>
                <c:pt idx="0">
                  <c:v>4.5320615922608809</c:v>
                </c:pt>
                <c:pt idx="1">
                  <c:v>4.5320615922608809</c:v>
                </c:pt>
                <c:pt idx="2">
                  <c:v>4.3783988626078694</c:v>
                </c:pt>
                <c:pt idx="3">
                  <c:v>3.9535180883334116</c:v>
                </c:pt>
                <c:pt idx="4">
                  <c:v>3.5177429352314036</c:v>
                </c:pt>
                <c:pt idx="5">
                  <c:v>3.0928621609569462</c:v>
                </c:pt>
                <c:pt idx="6">
                  <c:v>2.6570870078549382</c:v>
                </c:pt>
                <c:pt idx="7">
                  <c:v>2.2322062335804809</c:v>
                </c:pt>
                <c:pt idx="8">
                  <c:v>1.7964310804784729</c:v>
                </c:pt>
                <c:pt idx="9">
                  <c:v>1.3715503062040155</c:v>
                </c:pt>
                <c:pt idx="10">
                  <c:v>0.93577515310200798</c:v>
                </c:pt>
                <c:pt idx="11">
                  <c:v>0.51089437882755018</c:v>
                </c:pt>
                <c:pt idx="12">
                  <c:v>0.51089437882755018</c:v>
                </c:pt>
              </c:numCache>
            </c:numRef>
          </c:xVal>
          <c:yVal>
            <c:numRef>
              <c:f>sezione!$AD$46:$AD$58</c:f>
              <c:numCache>
                <c:formatCode>0.0" kNm"</c:formatCode>
                <c:ptCount val="13"/>
                <c:pt idx="0" formatCode="General">
                  <c:v>0</c:v>
                </c:pt>
                <c:pt idx="1">
                  <c:v>-0.39991949023898499</c:v>
                </c:pt>
                <c:pt idx="2">
                  <c:v>-3.9812459483673748</c:v>
                </c:pt>
                <c:pt idx="3">
                  <c:v>-12.790487761582009</c:v>
                </c:pt>
                <c:pt idx="4">
                  <c:v>-29.16023812776313</c:v>
                </c:pt>
                <c:pt idx="5">
                  <c:v>-54.128334411492943</c:v>
                </c:pt>
                <c:pt idx="6">
                  <c:v>-90.895249703932464</c:v>
                </c:pt>
                <c:pt idx="7">
                  <c:v>-139.47896312335092</c:v>
                </c:pt>
                <c:pt idx="8">
                  <c:v>-204.29100504991928</c:v>
                </c:pt>
                <c:pt idx="9">
                  <c:v>-283.94709827020034</c:v>
                </c:pt>
                <c:pt idx="10">
                  <c:v>-384.45222853876811</c:v>
                </c:pt>
                <c:pt idx="11">
                  <c:v>-502.63746422508564</c:v>
                </c:pt>
                <c:pt idx="12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42706208"/>
        <c:axId val="-242705664"/>
      </c:scatterChart>
      <c:valAx>
        <c:axId val="-242706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&quot; m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242705664"/>
        <c:crosses val="autoZero"/>
        <c:crossBetween val="midCat"/>
      </c:valAx>
      <c:valAx>
        <c:axId val="-242705664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242706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SEZIONE TESTA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"/>
          <c:y val="0.19648234025331215"/>
          <c:w val="1"/>
          <c:h val="0.72559051618005266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solidFill>
                <a:schemeClr val="bg2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muro+tensioni'!$C$44:$C$69</c:f>
              <c:numCache>
                <c:formatCode>General</c:formatCode>
                <c:ptCount val="26"/>
                <c:pt idx="0">
                  <c:v>0</c:v>
                </c:pt>
                <c:pt idx="1">
                  <c:v>1.25</c:v>
                </c:pt>
                <c:pt idx="2">
                  <c:v>1.25</c:v>
                </c:pt>
                <c:pt idx="3">
                  <c:v>0.71</c:v>
                </c:pt>
                <c:pt idx="4">
                  <c:v>0.71</c:v>
                </c:pt>
                <c:pt idx="5">
                  <c:v>0.54999999999999993</c:v>
                </c:pt>
                <c:pt idx="6">
                  <c:v>0.54999999999999993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-0.54999999999999993</c:v>
                </c:pt>
                <c:pt idx="20">
                  <c:v>-0.54999999999999993</c:v>
                </c:pt>
                <c:pt idx="21">
                  <c:v>-0.71</c:v>
                </c:pt>
                <c:pt idx="22">
                  <c:v>-0.71</c:v>
                </c:pt>
                <c:pt idx="23">
                  <c:v>-1.25</c:v>
                </c:pt>
                <c:pt idx="24">
                  <c:v>-1.25</c:v>
                </c:pt>
                <c:pt idx="25">
                  <c:v>0</c:v>
                </c:pt>
              </c:numCache>
            </c:numRef>
          </c:xVal>
          <c:yVal>
            <c:numRef>
              <c:f>'geom masse muro+tensioni'!$D$44:$D$69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0.12</c:v>
                </c:pt>
                <c:pt idx="3">
                  <c:v>0.12</c:v>
                </c:pt>
                <c:pt idx="4">
                  <c:v>0.24</c:v>
                </c:pt>
                <c:pt idx="5">
                  <c:v>0.24</c:v>
                </c:pt>
                <c:pt idx="6">
                  <c:v>0.12</c:v>
                </c:pt>
                <c:pt idx="7">
                  <c:v>0.12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0.12</c:v>
                </c:pt>
                <c:pt idx="12">
                  <c:v>0.12</c:v>
                </c:pt>
                <c:pt idx="13">
                  <c:v>0.12</c:v>
                </c:pt>
                <c:pt idx="14">
                  <c:v>0.12</c:v>
                </c:pt>
                <c:pt idx="15">
                  <c:v>0.12</c:v>
                </c:pt>
                <c:pt idx="16">
                  <c:v>0.12</c:v>
                </c:pt>
                <c:pt idx="17">
                  <c:v>0.12</c:v>
                </c:pt>
                <c:pt idx="18">
                  <c:v>0.12</c:v>
                </c:pt>
                <c:pt idx="19">
                  <c:v>0.12</c:v>
                </c:pt>
                <c:pt idx="20">
                  <c:v>0.24</c:v>
                </c:pt>
                <c:pt idx="21">
                  <c:v>0.24</c:v>
                </c:pt>
                <c:pt idx="22">
                  <c:v>0.12</c:v>
                </c:pt>
                <c:pt idx="23">
                  <c:v>0.12</c:v>
                </c:pt>
                <c:pt idx="24">
                  <c:v>0</c:v>
                </c:pt>
                <c:pt idx="25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3C-429B-B48B-6180D77CD849}"/>
            </c:ext>
          </c:extLst>
        </c:ser>
        <c:ser>
          <c:idx val="1"/>
          <c:order val="1"/>
          <c:tx>
            <c:v>POS1</c:v>
          </c:tx>
          <c:spPr>
            <a:ln w="952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sezione!$Z$22:$Z$23</c:f>
              <c:numCache>
                <c:formatCode>0.00</c:formatCode>
                <c:ptCount val="2"/>
                <c:pt idx="0">
                  <c:v>1.5</c:v>
                </c:pt>
                <c:pt idx="1">
                  <c:v>-1.25</c:v>
                </c:pt>
              </c:numCache>
            </c:numRef>
          </c:xVal>
          <c:yVal>
            <c:numRef>
              <c:f>sezione!$AA$22:$AA$23</c:f>
              <c:numCache>
                <c:formatCode>0.00</c:formatCode>
                <c:ptCount val="2"/>
                <c:pt idx="0">
                  <c:v>0.04</c:v>
                </c:pt>
                <c:pt idx="1">
                  <c:v>0.04</c:v>
                </c:pt>
              </c:numCache>
            </c:numRef>
          </c:yVal>
          <c:smooth val="0"/>
        </c:ser>
        <c:ser>
          <c:idx val="2"/>
          <c:order val="2"/>
          <c:tx>
            <c:v>POS2</c:v>
          </c:tx>
          <c:spPr>
            <a:ln w="31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Pt>
            <c:idx val="1"/>
            <c:bubble3D val="0"/>
            <c:spPr>
              <a:ln w="9525" cap="rnd">
                <a:solidFill>
                  <a:schemeClr val="bg1">
                    <a:lumMod val="50000"/>
                  </a:schemeClr>
                </a:solidFill>
                <a:prstDash val="sysDash"/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dPt>
          <c:xVal>
            <c:numRef>
              <c:f>sezione!$Z$26:$Z$27</c:f>
              <c:numCache>
                <c:formatCode>0.00</c:formatCode>
                <c:ptCount val="2"/>
                <c:pt idx="0">
                  <c:v>1.5</c:v>
                </c:pt>
                <c:pt idx="1">
                  <c:v>-1.25</c:v>
                </c:pt>
              </c:numCache>
            </c:numRef>
          </c:xVal>
          <c:yVal>
            <c:numRef>
              <c:f>sezione!$AA$26:$AA$27</c:f>
              <c:numCache>
                <c:formatCode>0.00</c:formatCode>
                <c:ptCount val="2"/>
                <c:pt idx="0">
                  <c:v>0.06</c:v>
                </c:pt>
                <c:pt idx="1">
                  <c:v>0.06</c:v>
                </c:pt>
              </c:numCache>
            </c:numRef>
          </c:yVal>
          <c:smooth val="0"/>
        </c:ser>
        <c:ser>
          <c:idx val="3"/>
          <c:order val="3"/>
          <c:tx>
            <c:v>POS3</c:v>
          </c:tx>
          <c:spPr>
            <a:ln w="9525" cap="rnd">
              <a:solidFill>
                <a:schemeClr val="accent4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Pt>
            <c:idx val="1"/>
            <c:bubble3D val="0"/>
            <c:spPr>
              <a:ln w="9525" cap="rnd">
                <a:solidFill>
                  <a:schemeClr val="bg1">
                    <a:lumMod val="50000"/>
                  </a:schemeClr>
                </a:solidFill>
                <a:prstDash val="sysDash"/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dPt>
          <c:xVal>
            <c:numRef>
              <c:f>sezione!$Z$30:$Z$31</c:f>
              <c:numCache>
                <c:formatCode>0.00</c:formatCode>
                <c:ptCount val="2"/>
                <c:pt idx="0">
                  <c:v>1.5</c:v>
                </c:pt>
                <c:pt idx="1">
                  <c:v>-1.25</c:v>
                </c:pt>
              </c:numCache>
            </c:numRef>
          </c:xVal>
          <c:yVal>
            <c:numRef>
              <c:f>sezione!$AA$30:$AA$31</c:f>
              <c:numCache>
                <c:formatCode>0.00</c:formatCode>
                <c:ptCount val="2"/>
                <c:pt idx="0">
                  <c:v>0.08</c:v>
                </c:pt>
                <c:pt idx="1">
                  <c:v>0.08</c:v>
                </c:pt>
              </c:numCache>
            </c:numRef>
          </c:yVal>
          <c:smooth val="0"/>
        </c:ser>
        <c:ser>
          <c:idx val="4"/>
          <c:order val="4"/>
          <c:tx>
            <c:v>POS4</c:v>
          </c:tx>
          <c:spPr>
            <a:ln w="952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sezione!$Z$35:$Z$36</c:f>
              <c:numCache>
                <c:formatCode>0.00</c:formatCode>
                <c:ptCount val="2"/>
                <c:pt idx="0">
                  <c:v>1.5</c:v>
                </c:pt>
                <c:pt idx="1">
                  <c:v>-1.25</c:v>
                </c:pt>
              </c:numCache>
            </c:numRef>
          </c:xVal>
          <c:yVal>
            <c:numRef>
              <c:f>sezione!$AA$35:$AA$36</c:f>
              <c:numCache>
                <c:formatCode>0.00</c:formatCode>
                <c:ptCount val="2"/>
                <c:pt idx="0">
                  <c:v>0.16</c:v>
                </c:pt>
                <c:pt idx="1">
                  <c:v>0.16</c:v>
                </c:pt>
              </c:numCache>
            </c:numRef>
          </c:yVal>
          <c:smooth val="0"/>
        </c:ser>
        <c:ser>
          <c:idx val="5"/>
          <c:order val="5"/>
          <c:tx>
            <c:v>POS5</c:v>
          </c:tx>
          <c:spPr>
            <a:ln w="952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sezione!$Z$40:$Z$41</c:f>
              <c:numCache>
                <c:formatCode>0.00</c:formatCode>
                <c:ptCount val="2"/>
                <c:pt idx="0">
                  <c:v>1.5</c:v>
                </c:pt>
                <c:pt idx="1">
                  <c:v>-1.25</c:v>
                </c:pt>
              </c:numCache>
            </c:numRef>
          </c:xVal>
          <c:yVal>
            <c:numRef>
              <c:f>sezione!$AD$40:$AD$41</c:f>
              <c:numCache>
                <c:formatCode>0.00</c:formatCode>
                <c:ptCount val="2"/>
                <c:pt idx="0">
                  <c:v>0.19952711449688101</c:v>
                </c:pt>
                <c:pt idx="1">
                  <c:v>0.19952711449688101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42713824"/>
        <c:axId val="-242714368"/>
      </c:scatterChart>
      <c:valAx>
        <c:axId val="-2427138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242714368"/>
        <c:crosses val="autoZero"/>
        <c:crossBetween val="midCat"/>
      </c:valAx>
      <c:valAx>
        <c:axId val="-2427143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242713824"/>
        <c:crosses val="autoZero"/>
        <c:crossBetween val="midCat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it-IT" sz="1200" b="1" i="0" baseline="0">
                <a:effectLst/>
              </a:rPr>
              <a:t>SEZIONE TESTA (step 0)</a:t>
            </a:r>
            <a:endParaRPr lang="it-IT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"/>
          <c:y val="0.15119959708869843"/>
          <c:w val="1"/>
          <c:h val="0.82941031146034316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solidFill>
                <a:schemeClr val="bg2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muro+tensioni'!$C$44:$C$69</c:f>
              <c:numCache>
                <c:formatCode>General</c:formatCode>
                <c:ptCount val="26"/>
                <c:pt idx="0">
                  <c:v>0</c:v>
                </c:pt>
                <c:pt idx="1">
                  <c:v>1.25</c:v>
                </c:pt>
                <c:pt idx="2">
                  <c:v>1.25</c:v>
                </c:pt>
                <c:pt idx="3">
                  <c:v>0.71</c:v>
                </c:pt>
                <c:pt idx="4">
                  <c:v>0.71</c:v>
                </c:pt>
                <c:pt idx="5">
                  <c:v>0.54999999999999993</c:v>
                </c:pt>
                <c:pt idx="6">
                  <c:v>0.54999999999999993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-0.54999999999999993</c:v>
                </c:pt>
                <c:pt idx="20">
                  <c:v>-0.54999999999999993</c:v>
                </c:pt>
                <c:pt idx="21">
                  <c:v>-0.71</c:v>
                </c:pt>
                <c:pt idx="22">
                  <c:v>-0.71</c:v>
                </c:pt>
                <c:pt idx="23">
                  <c:v>-1.25</c:v>
                </c:pt>
                <c:pt idx="24">
                  <c:v>-1.25</c:v>
                </c:pt>
                <c:pt idx="25">
                  <c:v>0</c:v>
                </c:pt>
              </c:numCache>
            </c:numRef>
          </c:xVal>
          <c:yVal>
            <c:numRef>
              <c:f>'geom masse muro+tensioni'!$D$44:$D$69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0.12</c:v>
                </c:pt>
                <c:pt idx="3">
                  <c:v>0.12</c:v>
                </c:pt>
                <c:pt idx="4">
                  <c:v>0.24</c:v>
                </c:pt>
                <c:pt idx="5">
                  <c:v>0.24</c:v>
                </c:pt>
                <c:pt idx="6">
                  <c:v>0.12</c:v>
                </c:pt>
                <c:pt idx="7">
                  <c:v>0.12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0.12</c:v>
                </c:pt>
                <c:pt idx="12">
                  <c:v>0.12</c:v>
                </c:pt>
                <c:pt idx="13">
                  <c:v>0.12</c:v>
                </c:pt>
                <c:pt idx="14">
                  <c:v>0.12</c:v>
                </c:pt>
                <c:pt idx="15">
                  <c:v>0.12</c:v>
                </c:pt>
                <c:pt idx="16">
                  <c:v>0.12</c:v>
                </c:pt>
                <c:pt idx="17">
                  <c:v>0.12</c:v>
                </c:pt>
                <c:pt idx="18">
                  <c:v>0.12</c:v>
                </c:pt>
                <c:pt idx="19">
                  <c:v>0.12</c:v>
                </c:pt>
                <c:pt idx="20">
                  <c:v>0.24</c:v>
                </c:pt>
                <c:pt idx="21">
                  <c:v>0.24</c:v>
                </c:pt>
                <c:pt idx="22">
                  <c:v>0.12</c:v>
                </c:pt>
                <c:pt idx="23">
                  <c:v>0.12</c:v>
                </c:pt>
                <c:pt idx="24">
                  <c:v>0</c:v>
                </c:pt>
                <c:pt idx="25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3C-429B-B48B-6180D77CD849}"/>
            </c:ext>
          </c:extLst>
        </c:ser>
        <c:ser>
          <c:idx val="1"/>
          <c:order val="1"/>
          <c:tx>
            <c:v>ASSENEUTRO</c:v>
          </c:tx>
          <c:spPr>
            <a:ln w="95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05676614957733E-2"/>
                  <c:y val="0.1309090909090909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Asse Neutro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sezione!$AC$18:$AC$19</c:f>
              <c:numCache>
                <c:formatCode>General</c:formatCode>
                <c:ptCount val="2"/>
                <c:pt idx="0">
                  <c:v>1.5</c:v>
                </c:pt>
                <c:pt idx="1">
                  <c:v>-1.5</c:v>
                </c:pt>
              </c:numCache>
            </c:numRef>
          </c:xVal>
          <c:yVal>
            <c:numRef>
              <c:f>sezione!$AD$18:$AD$19</c:f>
              <c:numCache>
                <c:formatCode>0.000</c:formatCode>
                <c:ptCount val="2"/>
                <c:pt idx="0">
                  <c:v>1.7826781187183276E-2</c:v>
                </c:pt>
                <c:pt idx="1">
                  <c:v>1.7826781187183276E-2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42703488"/>
        <c:axId val="-242718720"/>
      </c:scatterChart>
      <c:valAx>
        <c:axId val="-2427034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242718720"/>
        <c:crosses val="autoZero"/>
        <c:crossBetween val="midCat"/>
      </c:valAx>
      <c:valAx>
        <c:axId val="-2427187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242703488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441472758952693"/>
          <c:y val="2.5736351448810472E-2"/>
          <c:w val="0.64359553090624488"/>
          <c:h val="0.67227448755336328"/>
        </c:manualLayout>
      </c:layout>
      <c:scatterChart>
        <c:scatterStyle val="lineMarker"/>
        <c:varyColors val="0"/>
        <c:ser>
          <c:idx val="0"/>
          <c:order val="0"/>
          <c:spPr>
            <a:ln w="31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muro+tensioni'!$J$44:$J$58</c:f>
              <c:numCache>
                <c:formatCode>General</c:formatCode>
                <c:ptCount val="15"/>
                <c:pt idx="0">
                  <c:v>0</c:v>
                </c:pt>
                <c:pt idx="1">
                  <c:v>2.8</c:v>
                </c:pt>
                <c:pt idx="2">
                  <c:v>2.8</c:v>
                </c:pt>
                <c:pt idx="3">
                  <c:v>3.4</c:v>
                </c:pt>
                <c:pt idx="4">
                  <c:v>3.4</c:v>
                </c:pt>
                <c:pt idx="5">
                  <c:v>3.4</c:v>
                </c:pt>
                <c:pt idx="6" formatCode="0.000">
                  <c:v>3.4</c:v>
                </c:pt>
                <c:pt idx="7" formatCode="0.000">
                  <c:v>1.5100100000000001</c:v>
                </c:pt>
                <c:pt idx="8" formatCode="0.000">
                  <c:v>0.89</c:v>
                </c:pt>
                <c:pt idx="9" formatCode="0.000">
                  <c:v>0.77</c:v>
                </c:pt>
                <c:pt idx="10" formatCode="0.000">
                  <c:v>0.77</c:v>
                </c:pt>
                <c:pt idx="11" formatCode="0.000">
                  <c:v>0.65</c:v>
                </c:pt>
                <c:pt idx="12" formatCode="0.000">
                  <c:v>0.65</c:v>
                </c:pt>
                <c:pt idx="13" formatCode="0.000">
                  <c:v>0</c:v>
                </c:pt>
                <c:pt idx="14" formatCode="0.000">
                  <c:v>0</c:v>
                </c:pt>
              </c:numCache>
            </c:numRef>
          </c:xVal>
          <c:yVal>
            <c:numRef>
              <c:f>'geom masse muro+tensioni'!$K$44:$K$58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-0.6</c:v>
                </c:pt>
                <c:pt idx="3">
                  <c:v>-0.6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0.5</c:v>
                </c:pt>
                <c:pt idx="8">
                  <c:v>4.8</c:v>
                </c:pt>
                <c:pt idx="9">
                  <c:v>4.8</c:v>
                </c:pt>
                <c:pt idx="10">
                  <c:v>5</c:v>
                </c:pt>
                <c:pt idx="11">
                  <c:v>5</c:v>
                </c:pt>
                <c:pt idx="12">
                  <c:v>0.50000000000000022</c:v>
                </c:pt>
                <c:pt idx="13">
                  <c:v>0.50000000000000022</c:v>
                </c:pt>
                <c:pt idx="1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E8-44F6-8F13-C2499EEC9AC9}"/>
            </c:ext>
          </c:extLst>
        </c:ser>
        <c:ser>
          <c:idx val="3"/>
          <c:order val="1"/>
          <c:tx>
            <c:v>Tensioni trasmesse al terreno</c:v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BE8-44F6-8F13-C2499EEC9AC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5585654429874438"/>
                  <c:y val="7.8475888805386293E-2"/>
                </c:manualLayout>
              </c:layout>
              <c:tx>
                <c:rich>
                  <a:bodyPr/>
                  <a:lstStyle/>
                  <a:p>
                    <a:fld id="{CA8F73AB-A1FF-4117-8934-69D48C8943C6}" type="YVALUE">
                      <a:rPr lang="en-US" sz="900"/>
                      <a:pPr/>
                      <a:t>[VALORE Y]</a:t>
                    </a:fld>
                    <a:endParaRPr lang="it-IT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BE8-44F6-8F13-C2499EEC9AC9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BE8-44F6-8F13-C2499EEC9AC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BE8-44F6-8F13-C2499EEC9AC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BE8-44F6-8F13-C2499EEC9AC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305517690337429E-2"/>
                  <c:y val="0.10984533239024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5222070761349681E-2"/>
                  <c:y val="1.7087051705149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&quot; MPa X 10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muro+tensioni'!$C$82:$C$88</c:f>
              <c:numCache>
                <c:formatCode>0.000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0.71</c:v>
                </c:pt>
                <c:pt idx="4">
                  <c:v>3.4</c:v>
                </c:pt>
                <c:pt idx="5">
                  <c:v>3.4</c:v>
                </c:pt>
                <c:pt idx="6">
                  <c:v>3.4</c:v>
                </c:pt>
              </c:numCache>
            </c:numRef>
          </c:xVal>
          <c:yVal>
            <c:numRef>
              <c:f>'geom masse muro+tensioni'!$D$82:$D$88</c:f>
              <c:numCache>
                <c:formatCode>0.000</c:formatCode>
                <c:ptCount val="7"/>
                <c:pt idx="0">
                  <c:v>0</c:v>
                </c:pt>
                <c:pt idx="1">
                  <c:v>-1.7572951659435294</c:v>
                </c:pt>
                <c:pt idx="2">
                  <c:v>-1.7572951659435294</c:v>
                </c:pt>
                <c:pt idx="3">
                  <c:v>-1.4653338779171841</c:v>
                </c:pt>
                <c:pt idx="4">
                  <c:v>-0.35917068807088987</c:v>
                </c:pt>
                <c:pt idx="5">
                  <c:v>-0.35917068807088987</c:v>
                </c:pt>
                <c:pt idx="6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BE8-44F6-8F13-C2499EEC9AC9}"/>
            </c:ext>
          </c:extLst>
        </c:ser>
        <c:ser>
          <c:idx val="1"/>
          <c:order val="2"/>
          <c:tx>
            <c:v>tratteggio mezzeria</c:v>
          </c:tx>
          <c:spPr>
            <a:ln w="9525" cap="rnd">
              <a:solidFill>
                <a:schemeClr val="accent2"/>
              </a:solidFill>
              <a:prstDash val="sysDash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'geom masse muro+tensioni'!$C$95:$C$96</c:f>
              <c:numCache>
                <c:formatCode>General</c:formatCode>
                <c:ptCount val="2"/>
                <c:pt idx="0">
                  <c:v>0.71</c:v>
                </c:pt>
                <c:pt idx="1">
                  <c:v>0.71</c:v>
                </c:pt>
              </c:numCache>
            </c:numRef>
          </c:xVal>
          <c:yVal>
            <c:numRef>
              <c:f>'geom masse muro+tensioni'!$D$95:$D$96</c:f>
              <c:numCache>
                <c:formatCode>General</c:formatCode>
                <c:ptCount val="2"/>
                <c:pt idx="0" formatCode="0.00">
                  <c:v>-1.4653338779171841</c:v>
                </c:pt>
                <c:pt idx="1">
                  <c:v>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BE8-44F6-8F13-C2499EEC9AC9}"/>
            </c:ext>
          </c:extLst>
        </c:ser>
        <c:ser>
          <c:idx val="2"/>
          <c:order val="3"/>
          <c:tx>
            <c:v>tensione indotta dal peso del muro</c:v>
          </c:tx>
          <c:spPr>
            <a:ln w="28575" cap="rnd">
              <a:solidFill>
                <a:srgbClr val="FF0000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BE8-44F6-8F13-C2499EEC9AC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BE8-44F6-8F13-C2499EEC9AC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0774766933273139E-2"/>
                  <c:y val="1.6782879719656901E-2"/>
                </c:manualLayout>
              </c:layout>
              <c:tx>
                <c:rich>
                  <a:bodyPr/>
                  <a:lstStyle/>
                  <a:p>
                    <a:r>
                      <a:rPr lang="el-GR" sz="1100">
                        <a:latin typeface="Calibri" panose="020F0502020204030204" pitchFamily="34" charset="0"/>
                      </a:rPr>
                      <a:t>σ,</a:t>
                    </a:r>
                    <a:r>
                      <a:rPr lang="it-IT" sz="1100">
                        <a:latin typeface="Calibri" panose="020F0502020204030204" pitchFamily="34" charset="0"/>
                      </a:rPr>
                      <a:t>zattera+muro</a:t>
                    </a:r>
                    <a:endParaRPr lang="it-IT" sz="110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BE8-44F6-8F13-C2499EEC9AC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BE8-44F6-8F13-C2499EEC9AC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4BE8-44F6-8F13-C2499EEC9AC9}"/>
                </c:ext>
                <c:ext xmlns:c15="http://schemas.microsoft.com/office/drawing/2012/chart" uri="{CE6537A1-D6FC-4f65-9D91-7224C49458BB}"/>
              </c:extLst>
            </c:dLbl>
            <c:numFmt formatCode="0.0000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muro+tensioni'!$C$99:$C$103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3.4</c:v>
                </c:pt>
                <c:pt idx="3">
                  <c:v>3.4</c:v>
                </c:pt>
                <c:pt idx="4">
                  <c:v>0</c:v>
                </c:pt>
              </c:numCache>
            </c:numRef>
          </c:xVal>
          <c:yVal>
            <c:numRef>
              <c:f>'geom masse muro+tensioni'!$D$99:$D$103</c:f>
              <c:numCache>
                <c:formatCode>General</c:formatCode>
                <c:ptCount val="5"/>
                <c:pt idx="0">
                  <c:v>0.65</c:v>
                </c:pt>
                <c:pt idx="1">
                  <c:v>0.92419564999999992</c:v>
                </c:pt>
                <c:pt idx="2">
                  <c:v>0.92419564999999992</c:v>
                </c:pt>
                <c:pt idx="3">
                  <c:v>0.65</c:v>
                </c:pt>
                <c:pt idx="4">
                  <c:v>0.65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4BE8-44F6-8F13-C2499EEC9AC9}"/>
            </c:ext>
          </c:extLst>
        </c:ser>
        <c:ser>
          <c:idx val="4"/>
          <c:order val="4"/>
          <c:tx>
            <c:v>tensione indotta dal terreno a tergo</c:v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4BE8-44F6-8F13-C2499EEC9AC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BE8-44F6-8F13-C2499EEC9AC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4BE8-44F6-8F13-C2499EEC9AC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8073612735460542E-2"/>
                  <c:y val="-2.367396806029333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900" b="0" i="0" u="none" strike="noStrike" kern="1200" baseline="0">
                        <a:solidFill>
                          <a:srgbClr val="1F497D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100" b="0" i="0" u="none" strike="noStrike" kern="1200" baseline="0">
                        <a:solidFill>
                          <a:srgbClr val="1F497D"/>
                        </a:solidFill>
                        <a:latin typeface="Calibri" panose="020F0502020204030204" pitchFamily="34" charset="0"/>
                      </a:rPr>
                      <a:t>σ,</a:t>
                    </a:r>
                    <a:r>
                      <a:rPr lang="en-US" sz="1100" b="0" i="0" u="none" strike="noStrike" kern="1200" baseline="0">
                        <a:solidFill>
                          <a:srgbClr val="1F497D"/>
                        </a:solidFill>
                        <a:latin typeface="Calibri" panose="020F0502020204030204" pitchFamily="34" charset="0"/>
                      </a:rPr>
                      <a:t>terra monte</a:t>
                    </a:r>
                    <a:endParaRPr lang="en-US" sz="1100" b="0" i="0" u="none" strike="noStrike" kern="1200" baseline="0">
                      <a:solidFill>
                        <a:srgbClr val="1F497D"/>
                      </a:solidFill>
                    </a:endParaRP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900" b="0" i="0" u="none" strike="noStrike" kern="1200" baseline="0">
                        <a:solidFill>
                          <a:srgbClr val="1F497D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BE8-44F6-8F13-C2499EEC9AC9}"/>
                </c:ext>
                <c:ext xmlns:c15="http://schemas.microsoft.com/office/drawing/2012/chart" uri="{CE6537A1-D6FC-4f65-9D91-7224C49458BB}">
                  <c15:layout>
                    <c:manualLayout>
                      <c:w val="0.13532806179001614"/>
                      <c:h val="5.4235771802814497E-2"/>
                    </c:manualLayout>
                  </c15:layout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4BE8-44F6-8F13-C2499EEC9AC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muro+tensioni'!$C$105:$C$109</c:f>
              <c:numCache>
                <c:formatCode>General</c:formatCode>
                <c:ptCount val="5"/>
                <c:pt idx="0">
                  <c:v>0.77</c:v>
                </c:pt>
                <c:pt idx="1">
                  <c:v>0.77</c:v>
                </c:pt>
                <c:pt idx="2">
                  <c:v>3.4</c:v>
                </c:pt>
                <c:pt idx="3">
                  <c:v>3.4</c:v>
                </c:pt>
                <c:pt idx="4">
                  <c:v>0.77</c:v>
                </c:pt>
              </c:numCache>
            </c:numRef>
          </c:xVal>
          <c:yVal>
            <c:numRef>
              <c:f>'geom masse muro+tensioni'!$D$105:$D$109</c:f>
              <c:numCache>
                <c:formatCode>0.00</c:formatCode>
                <c:ptCount val="5"/>
                <c:pt idx="0" formatCode="General">
                  <c:v>1.1090347799999998</c:v>
                </c:pt>
                <c:pt idx="1">
                  <c:v>1.8353424356148884</c:v>
                </c:pt>
                <c:pt idx="2">
                  <c:v>1.8353424356148884</c:v>
                </c:pt>
                <c:pt idx="3">
                  <c:v>1.1090347799999998</c:v>
                </c:pt>
                <c:pt idx="4" formatCode="General">
                  <c:v>1.1090347799999998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4BE8-44F6-8F13-C2499EEC9AC9}"/>
            </c:ext>
          </c:extLst>
        </c:ser>
        <c:ser>
          <c:idx val="5"/>
          <c:order val="5"/>
          <c:tx>
            <c:v>tensioni indotte dal sovraccarico</c:v>
          </c:tx>
          <c:spPr>
            <a:ln w="19050" cap="rnd">
              <a:solidFill>
                <a:schemeClr val="accent6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4BE8-44F6-8F13-C2499EEC9AC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4BE8-44F6-8F13-C2499EEC9AC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4BE8-44F6-8F13-C2499EEC9AC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461030855150541E-2"/>
                  <c:y val="-9.4562594946522843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900" b="0" i="0" u="none" strike="noStrike" kern="1200" baseline="0">
                        <a:solidFill>
                          <a:srgbClr val="1F497D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100" b="0" i="0" u="none" strike="noStrike" kern="1200" baseline="0">
                        <a:solidFill>
                          <a:srgbClr val="1F497D"/>
                        </a:solidFill>
                        <a:latin typeface="Calibri" panose="020F0502020204030204" pitchFamily="34" charset="0"/>
                      </a:rPr>
                      <a:t>G2</a:t>
                    </a:r>
                    <a:endParaRPr lang="en-US" sz="1100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4BE8-44F6-8F13-C2499EEC9AC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4BE8-44F6-8F13-C2499EEC9AC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muro+tensioni'!$C$111:$C$115</c:f>
              <c:numCache>
                <c:formatCode>General</c:formatCode>
                <c:ptCount val="5"/>
                <c:pt idx="0">
                  <c:v>0.77</c:v>
                </c:pt>
                <c:pt idx="1">
                  <c:v>0.77</c:v>
                </c:pt>
                <c:pt idx="2">
                  <c:v>3.4</c:v>
                </c:pt>
                <c:pt idx="3">
                  <c:v>3.4</c:v>
                </c:pt>
                <c:pt idx="4">
                  <c:v>0.77</c:v>
                </c:pt>
              </c:numCache>
            </c:numRef>
          </c:xVal>
          <c:yVal>
            <c:numRef>
              <c:f>'geom masse muro+tensioni'!$D$111:$D$115</c:f>
              <c:numCache>
                <c:formatCode>0.00</c:formatCode>
                <c:ptCount val="5"/>
                <c:pt idx="0" formatCode="General">
                  <c:v>2.2024109227378661</c:v>
                </c:pt>
                <c:pt idx="1">
                  <c:v>2.2124109227378659</c:v>
                </c:pt>
                <c:pt idx="2">
                  <c:v>2.2124109227378659</c:v>
                </c:pt>
                <c:pt idx="3" formatCode="General">
                  <c:v>2.2024109227378661</c:v>
                </c:pt>
                <c:pt idx="4" formatCode="General">
                  <c:v>2.2024109227378661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9-4BE8-44F6-8F13-C2499EEC9AC9}"/>
            </c:ext>
          </c:extLst>
        </c:ser>
        <c:ser>
          <c:idx val="6"/>
          <c:order val="6"/>
          <c:tx>
            <c:v>tensioni indotte dai carichi variabili</c:v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4BE8-44F6-8F13-C2499EEC9AC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4BE8-44F6-8F13-C2499EEC9AC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4BE8-44F6-8F13-C2499EEC9AC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7204259535140445E-2"/>
                  <c:y val="-1.1820324368315406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Qk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4BE8-44F6-8F13-C2499EEC9AC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4BE8-44F6-8F13-C2499EEC9AC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muro+tensioni'!$C$117:$C$121</c:f>
              <c:numCache>
                <c:formatCode>General</c:formatCode>
                <c:ptCount val="5"/>
                <c:pt idx="0">
                  <c:v>0.77</c:v>
                </c:pt>
                <c:pt idx="1">
                  <c:v>0.77</c:v>
                </c:pt>
                <c:pt idx="2">
                  <c:v>3.4</c:v>
                </c:pt>
                <c:pt idx="3">
                  <c:v>3.4</c:v>
                </c:pt>
                <c:pt idx="4">
                  <c:v>0.77</c:v>
                </c:pt>
              </c:numCache>
            </c:numRef>
          </c:xVal>
          <c:yVal>
            <c:numRef>
              <c:f>'geom masse muro+tensioni'!$D$117:$D$121</c:f>
              <c:numCache>
                <c:formatCode>0.00</c:formatCode>
                <c:ptCount val="5"/>
                <c:pt idx="0" formatCode="General">
                  <c:v>2.6548931072854391</c:v>
                </c:pt>
                <c:pt idx="1">
                  <c:v>2.6648931072854389</c:v>
                </c:pt>
                <c:pt idx="2">
                  <c:v>2.6648931072854389</c:v>
                </c:pt>
                <c:pt idx="3" formatCode="General">
                  <c:v>2.6548931072854391</c:v>
                </c:pt>
                <c:pt idx="4" formatCode="General">
                  <c:v>2.6548931072854391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F-4BE8-44F6-8F13-C2499EEC9AC9}"/>
            </c:ext>
          </c:extLst>
        </c:ser>
        <c:ser>
          <c:idx val="7"/>
          <c:order val="7"/>
          <c:tx>
            <c:v>tensioni elastiche</c:v>
          </c:tx>
          <c:spPr>
            <a:ln w="9525" cap="rnd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1682366584399612E-2"/>
                  <c:y val="7.8112236366397136E-2"/>
                </c:manualLayout>
              </c:layout>
              <c:numFmt formatCode="0.00&quot; MPa X 10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muro+tensioni'!$E$83:$E$87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0.71</c:v>
                </c:pt>
                <c:pt idx="3">
                  <c:v>3.4</c:v>
                </c:pt>
                <c:pt idx="4">
                  <c:v>3.4</c:v>
                </c:pt>
              </c:numCache>
            </c:numRef>
          </c:xVal>
          <c:yVal>
            <c:numRef>
              <c:f>'geom masse muro+tensioni'!$F$83:$F$87</c:f>
              <c:numCache>
                <c:formatCode>General</c:formatCode>
                <c:ptCount val="5"/>
                <c:pt idx="0">
                  <c:v>0</c:v>
                </c:pt>
                <c:pt idx="1">
                  <c:v>-1.7572951659435294</c:v>
                </c:pt>
                <c:pt idx="2">
                  <c:v>-1.4653338779171841</c:v>
                </c:pt>
                <c:pt idx="3">
                  <c:v>-0.35917068807088987</c:v>
                </c:pt>
                <c:pt idx="4">
                  <c:v>0</c:v>
                </c:pt>
              </c:numCache>
            </c:numRef>
          </c:yVal>
          <c:smooth val="0"/>
        </c:ser>
        <c:ser>
          <c:idx val="8"/>
          <c:order val="8"/>
          <c:tx>
            <c:v>tensione indotta dal terreno a valle</c:v>
          </c:tx>
          <c:spPr>
            <a:ln w="19050" cap="rnd">
              <a:solidFill>
                <a:schemeClr val="bg2">
                  <a:lumMod val="5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4226109336437322E-2"/>
                  <c:y val="-3.295359971707380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900" b="0" i="0" u="none" strike="noStrike" kern="1200" baseline="0">
                        <a:solidFill>
                          <a:srgbClr val="1F497D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900" b="0" i="0" u="none" strike="noStrike" kern="1200" baseline="0">
                        <a:solidFill>
                          <a:srgbClr val="1F497D"/>
                        </a:solidFill>
                        <a:latin typeface="Calibri" panose="020F0502020204030204" pitchFamily="34" charset="0"/>
                      </a:rPr>
                      <a:t>σ,</a:t>
                    </a:r>
                    <a:r>
                      <a:rPr lang="en-US" sz="900" b="0" i="0" u="none" strike="noStrike" kern="1200" baseline="0">
                        <a:solidFill>
                          <a:srgbClr val="1F497D"/>
                        </a:solidFill>
                        <a:latin typeface="Calibri" panose="020F0502020204030204" pitchFamily="34" charset="0"/>
                      </a:rPr>
                      <a:t>terra valle</a:t>
                    </a:r>
                    <a:endParaRPr lang="en-US" sz="900" b="0" i="0" u="none" strike="noStrike" kern="1200" baseline="0">
                      <a:solidFill>
                        <a:srgbClr val="1F497D"/>
                      </a:solidFill>
                    </a:endParaRP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900" b="0" i="0" u="none" strike="noStrike" kern="1200" baseline="0">
                        <a:solidFill>
                          <a:srgbClr val="1F497D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971796357741169E-2"/>
                      <c:h val="4.8746917507404709E-2"/>
                    </c:manualLayout>
                  </c15:layout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muro+tensioni'!$E$105:$E$109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0.65</c:v>
                </c:pt>
                <c:pt idx="3">
                  <c:v>0.65</c:v>
                </c:pt>
                <c:pt idx="4">
                  <c:v>0</c:v>
                </c:pt>
              </c:numCache>
            </c:numRef>
          </c:xVal>
          <c:yVal>
            <c:numRef>
              <c:f>'geom masse muro+tensioni'!$F$105:$F$109</c:f>
              <c:numCache>
                <c:formatCode>General</c:formatCode>
                <c:ptCount val="5"/>
                <c:pt idx="0">
                  <c:v>1.1090347799999998</c:v>
                </c:pt>
                <c:pt idx="1">
                  <c:v>1.1319351358718859</c:v>
                </c:pt>
                <c:pt idx="2">
                  <c:v>1.1319351358718859</c:v>
                </c:pt>
                <c:pt idx="3">
                  <c:v>1.1090347799999998</c:v>
                </c:pt>
                <c:pt idx="4">
                  <c:v>1.1090347799999998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26398064"/>
        <c:axId val="-226399696"/>
      </c:scatterChart>
      <c:valAx>
        <c:axId val="-226398064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050">
                    <a:latin typeface="Calibri" panose="020F0502020204030204" pitchFamily="34" charset="0"/>
                  </a:rPr>
                  <a:t>asse x →</a:t>
                </a:r>
                <a:endParaRPr lang="it-IT" sz="1050"/>
              </a:p>
            </c:rich>
          </c:tx>
          <c:layout>
            <c:manualLayout>
              <c:xMode val="edge"/>
              <c:yMode val="edge"/>
              <c:x val="0.46755017905878926"/>
              <c:y val="0.6713297826966456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crossAx val="-226399696"/>
        <c:crosses val="autoZero"/>
        <c:crossBetween val="midCat"/>
      </c:valAx>
      <c:valAx>
        <c:axId val="-226399696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050">
                    <a:latin typeface="Calibri" panose="020F0502020204030204" pitchFamily="34" charset="0"/>
                  </a:rPr>
                  <a:t> asse z →</a:t>
                </a:r>
                <a:endParaRPr lang="it-IT" sz="1050"/>
              </a:p>
            </c:rich>
          </c:tx>
          <c:layout>
            <c:manualLayout>
              <c:xMode val="edge"/>
              <c:yMode val="edge"/>
              <c:x val="2.4768830448970196E-2"/>
              <c:y val="0.1784336036380620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crossAx val="-226398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2"/>
        <c:delete val="1"/>
      </c:legendEntry>
      <c:layout>
        <c:manualLayout>
          <c:xMode val="edge"/>
          <c:yMode val="edge"/>
          <c:x val="2.2440982308590315E-2"/>
          <c:y val="0.75338991179805048"/>
          <c:w val="0.51387175199987634"/>
          <c:h val="0.213958368571219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CARICO ZATTERA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1013457408732961E-2"/>
          <c:y val="6.9241384877670939E-2"/>
          <c:w val="0.82346584281468604"/>
          <c:h val="0.85886425874876005"/>
        </c:manualLayout>
      </c:layout>
      <c:scatterChart>
        <c:scatterStyle val="lineMarker"/>
        <c:varyColors val="0"/>
        <c:ser>
          <c:idx val="0"/>
          <c:order val="0"/>
          <c:spPr>
            <a:ln w="31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muro+tensioni'!$J$44:$J$58</c:f>
              <c:numCache>
                <c:formatCode>General</c:formatCode>
                <c:ptCount val="15"/>
                <c:pt idx="0">
                  <c:v>0</c:v>
                </c:pt>
                <c:pt idx="1">
                  <c:v>2.8</c:v>
                </c:pt>
                <c:pt idx="2">
                  <c:v>2.8</c:v>
                </c:pt>
                <c:pt idx="3">
                  <c:v>3.4</c:v>
                </c:pt>
                <c:pt idx="4">
                  <c:v>3.4</c:v>
                </c:pt>
                <c:pt idx="5">
                  <c:v>3.4</c:v>
                </c:pt>
                <c:pt idx="6" formatCode="0.000">
                  <c:v>3.4</c:v>
                </c:pt>
                <c:pt idx="7" formatCode="0.000">
                  <c:v>1.5100100000000001</c:v>
                </c:pt>
                <c:pt idx="8" formatCode="0.000">
                  <c:v>0.89</c:v>
                </c:pt>
                <c:pt idx="9" formatCode="0.000">
                  <c:v>0.77</c:v>
                </c:pt>
                <c:pt idx="10" formatCode="0.000">
                  <c:v>0.77</c:v>
                </c:pt>
                <c:pt idx="11" formatCode="0.000">
                  <c:v>0.65</c:v>
                </c:pt>
                <c:pt idx="12" formatCode="0.000">
                  <c:v>0.65</c:v>
                </c:pt>
                <c:pt idx="13" formatCode="0.000">
                  <c:v>0</c:v>
                </c:pt>
                <c:pt idx="14" formatCode="0.000">
                  <c:v>0</c:v>
                </c:pt>
              </c:numCache>
            </c:numRef>
          </c:xVal>
          <c:yVal>
            <c:numRef>
              <c:f>'geom masse muro+tensioni'!$K$44:$K$58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-0.6</c:v>
                </c:pt>
                <c:pt idx="3">
                  <c:v>-0.6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0.5</c:v>
                </c:pt>
                <c:pt idx="8">
                  <c:v>4.8</c:v>
                </c:pt>
                <c:pt idx="9">
                  <c:v>4.8</c:v>
                </c:pt>
                <c:pt idx="10">
                  <c:v>5</c:v>
                </c:pt>
                <c:pt idx="11">
                  <c:v>5</c:v>
                </c:pt>
                <c:pt idx="12">
                  <c:v>0.50000000000000022</c:v>
                </c:pt>
                <c:pt idx="13">
                  <c:v>0.50000000000000022</c:v>
                </c:pt>
                <c:pt idx="1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D1-4DC0-93F2-39600591DFCE}"/>
            </c:ext>
          </c:extLst>
        </c:ser>
        <c:ser>
          <c:idx val="1"/>
          <c:order val="1"/>
          <c:tx>
            <c:v>tratteggio mezzeria</c:v>
          </c:tx>
          <c:spPr>
            <a:ln w="9525" cap="rnd">
              <a:solidFill>
                <a:schemeClr val="accent2"/>
              </a:solidFill>
              <a:prstDash val="sysDash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'geom masse muro+tensioni'!$C$95:$C$96</c:f>
              <c:numCache>
                <c:formatCode>General</c:formatCode>
                <c:ptCount val="2"/>
                <c:pt idx="0">
                  <c:v>0.71</c:v>
                </c:pt>
                <c:pt idx="1">
                  <c:v>0.71</c:v>
                </c:pt>
              </c:numCache>
            </c:numRef>
          </c:xVal>
          <c:yVal>
            <c:numRef>
              <c:f>'geom masse muro+tensioni'!$D$95:$D$96</c:f>
              <c:numCache>
                <c:formatCode>General</c:formatCode>
                <c:ptCount val="2"/>
                <c:pt idx="0" formatCode="0.00">
                  <c:v>-1.4653338779171841</c:v>
                </c:pt>
                <c:pt idx="1">
                  <c:v>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8D1-4DC0-93F2-39600591DFCE}"/>
            </c:ext>
          </c:extLst>
        </c:ser>
        <c:ser>
          <c:idx val="2"/>
          <c:order val="2"/>
          <c:tx>
            <c:v>CARICHI SULLA ZATTERA</c:v>
          </c:tx>
          <c:spPr>
            <a:ln w="19050" cap="rnd">
              <a:solidFill>
                <a:srgbClr val="FF0000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8D1-4DC0-93F2-39600591DFC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8.9726556907659322E-2"/>
                  <c:y val="6.1970239661646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8D1-4DC0-93F2-39600591DF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5114989262705794"/>
                  <c:y val="0.13951872272901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8D1-4DC0-93F2-39600591DF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5177236419454788E-2"/>
                  <c:y val="0.261173323574618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8D1-4DC0-93F2-39600591DFC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0691235042774584E-2"/>
                  <c:y val="6.237642465093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18D1-4DC0-93F2-39600591DF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8D1-4DC0-93F2-39600591DFC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18D1-4DC0-93F2-39600591DFCE}"/>
                </c:ext>
                <c:ext xmlns:c15="http://schemas.microsoft.com/office/drawing/2012/chart" uri="{CE6537A1-D6FC-4f65-9D91-7224C49458BB}"/>
              </c:extLst>
            </c:dLbl>
            <c:numFmt formatCode="0.00&quot; kN/100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muro+tensioni'!$G$82:$G$88</c:f>
              <c:numCache>
                <c:formatCode>0.000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0.71</c:v>
                </c:pt>
                <c:pt idx="3">
                  <c:v>0.71</c:v>
                </c:pt>
                <c:pt idx="4">
                  <c:v>3.4</c:v>
                </c:pt>
                <c:pt idx="5">
                  <c:v>3.4</c:v>
                </c:pt>
                <c:pt idx="6">
                  <c:v>0</c:v>
                </c:pt>
              </c:numCache>
            </c:numRef>
          </c:xVal>
          <c:yVal>
            <c:numRef>
              <c:f>'geom masse muro+tensioni'!$H$82:$H$88</c:f>
              <c:numCache>
                <c:formatCode>0.000</c:formatCode>
                <c:ptCount val="7"/>
                <c:pt idx="0">
                  <c:v>0</c:v>
                </c:pt>
                <c:pt idx="1">
                  <c:v>1.264555151263814</c:v>
                </c:pt>
                <c:pt idx="2">
                  <c:v>0.83592438612003717</c:v>
                </c:pt>
                <c:pt idx="3">
                  <c:v>-1.0298447529171841</c:v>
                </c:pt>
                <c:pt idx="4">
                  <c:v>-1.9420875759663316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8D1-4DC0-93F2-39600591DFCE}"/>
            </c:ext>
          </c:extLst>
        </c:ser>
        <c:ser>
          <c:idx val="3"/>
          <c:order val="3"/>
          <c:tx>
            <c:v>terra</c:v>
          </c:tx>
          <c:spPr>
            <a:ln w="9525" cap="rnd">
              <a:solidFill>
                <a:schemeClr val="bg2">
                  <a:lumMod val="50000"/>
                </a:schemeClr>
              </a:solidFill>
              <a:prstDash val="dash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'geom masse muro+tensioni'!$M$82:$M$84</c:f>
              <c:numCache>
                <c:formatCode>0.00</c:formatCode>
                <c:ptCount val="3"/>
                <c:pt idx="0">
                  <c:v>0.77</c:v>
                </c:pt>
                <c:pt idx="1">
                  <c:v>3.4</c:v>
                </c:pt>
                <c:pt idx="2">
                  <c:v>3.4</c:v>
                </c:pt>
              </c:numCache>
            </c:numRef>
          </c:xVal>
          <c:yVal>
            <c:numRef>
              <c:f>'geom masse muro+tensioni'!$N$82:$N$84</c:f>
              <c:numCache>
                <c:formatCode>0.00</c:formatCode>
                <c:ptCount val="3"/>
                <c:pt idx="0">
                  <c:v>4.8</c:v>
                </c:pt>
                <c:pt idx="1">
                  <c:v>5.0320615922608809</c:v>
                </c:pt>
                <c:pt idx="2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18D1-4DC0-93F2-39600591D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26394800"/>
        <c:axId val="-226393712"/>
      </c:scatterChart>
      <c:valAx>
        <c:axId val="-226394800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050">
                    <a:latin typeface="Calibri" panose="020F0502020204030204" pitchFamily="34" charset="0"/>
                  </a:rPr>
                  <a:t>asse x →</a:t>
                </a:r>
                <a:endParaRPr lang="it-IT" sz="1050"/>
              </a:p>
            </c:rich>
          </c:tx>
          <c:layout>
            <c:manualLayout>
              <c:xMode val="edge"/>
              <c:yMode val="edge"/>
              <c:x val="0.55851205308197238"/>
              <c:y val="0.947808641554951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crossAx val="-226393712"/>
        <c:crosses val="autoZero"/>
        <c:crossBetween val="midCat"/>
      </c:valAx>
      <c:valAx>
        <c:axId val="-226393712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050">
                    <a:latin typeface="Calibri" panose="020F0502020204030204" pitchFamily="34" charset="0"/>
                  </a:rPr>
                  <a:t> asse z →</a:t>
                </a:r>
                <a:endParaRPr lang="it-IT" sz="1050"/>
              </a:p>
            </c:rich>
          </c:tx>
          <c:layout>
            <c:manualLayout>
              <c:xMode val="edge"/>
              <c:yMode val="edge"/>
              <c:x val="2.2709663564781681E-2"/>
              <c:y val="4.8199425467575767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crossAx val="-226394800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Spettro di risposta elastico in</a:t>
            </a:r>
            <a:r>
              <a:rPr lang="it-IT" baseline="0"/>
              <a:t> accelerazione delle componenti orizzontali e </a:t>
            </a:r>
            <a:r>
              <a:rPr lang="it-IT" sz="1400" b="0" i="0" u="none" strike="noStrike" baseline="0">
                <a:effectLst/>
              </a:rPr>
              <a:t>Spettro di progetto elastico in accelerazione delle componenti orizzontali </a:t>
            </a:r>
            <a:endParaRPr lang="it-IT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17259206235585"/>
          <c:y val="0.18076033464566937"/>
          <c:w val="0.81818407752141764"/>
          <c:h val="0.71461142552493462"/>
        </c:manualLayout>
      </c:layout>
      <c:scatterChart>
        <c:scatterStyle val="smoothMarker"/>
        <c:varyColors val="0"/>
        <c:ser>
          <c:idx val="0"/>
          <c:order val="0"/>
          <c:tx>
            <c:v>SPETTRO ELASTICO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'SPETTRO DI PROGETTO ORIZZONTALE'!$B$5:$B$505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'SPETTRO DI PROGETTO ORIZZONTALE'!$C$5:$C$505</c:f>
              <c:numCache>
                <c:formatCode>0.000</c:formatCode>
                <c:ptCount val="501"/>
                <c:pt idx="0">
                  <c:v>0.41340086552174221</c:v>
                </c:pt>
                <c:pt idx="1">
                  <c:v>0.44119642581803903</c:v>
                </c:pt>
                <c:pt idx="2">
                  <c:v>0.46899198611433596</c:v>
                </c:pt>
                <c:pt idx="3">
                  <c:v>0.49678754641063272</c:v>
                </c:pt>
                <c:pt idx="4">
                  <c:v>0.52458310670692965</c:v>
                </c:pt>
                <c:pt idx="5">
                  <c:v>0.55237866700322658</c:v>
                </c:pt>
                <c:pt idx="6">
                  <c:v>0.58017422729952328</c:v>
                </c:pt>
                <c:pt idx="7">
                  <c:v>0.60796978759582021</c:v>
                </c:pt>
                <c:pt idx="8">
                  <c:v>0.63576534789211714</c:v>
                </c:pt>
                <c:pt idx="9">
                  <c:v>0.66356090818841384</c:v>
                </c:pt>
                <c:pt idx="10">
                  <c:v>0.69135646848471077</c:v>
                </c:pt>
                <c:pt idx="11">
                  <c:v>0.71915202878100759</c:v>
                </c:pt>
                <c:pt idx="12">
                  <c:v>0.74694758907730452</c:v>
                </c:pt>
                <c:pt idx="13">
                  <c:v>0.77474314937360134</c:v>
                </c:pt>
                <c:pt idx="14">
                  <c:v>0.80253870966989815</c:v>
                </c:pt>
                <c:pt idx="15">
                  <c:v>0.83033426996619519</c:v>
                </c:pt>
                <c:pt idx="16">
                  <c:v>0.8581298302624919</c:v>
                </c:pt>
                <c:pt idx="17">
                  <c:v>0.88592539055878883</c:v>
                </c:pt>
                <c:pt idx="18">
                  <c:v>0.91372095085508576</c:v>
                </c:pt>
                <c:pt idx="19">
                  <c:v>0.94151651115138268</c:v>
                </c:pt>
                <c:pt idx="20">
                  <c:v>0.96931207144767939</c:v>
                </c:pt>
                <c:pt idx="21">
                  <c:v>0.97781706721857686</c:v>
                </c:pt>
                <c:pt idx="22">
                  <c:v>0.97781706721857686</c:v>
                </c:pt>
                <c:pt idx="23">
                  <c:v>0.97781706721857686</c:v>
                </c:pt>
                <c:pt idx="24">
                  <c:v>0.97781706721857686</c:v>
                </c:pt>
                <c:pt idx="25">
                  <c:v>0.97781706721857686</c:v>
                </c:pt>
                <c:pt idx="26">
                  <c:v>0.97781706721857686</c:v>
                </c:pt>
                <c:pt idx="27">
                  <c:v>0.97781706721857686</c:v>
                </c:pt>
                <c:pt idx="28">
                  <c:v>0.97781706721857686</c:v>
                </c:pt>
                <c:pt idx="29">
                  <c:v>0.97781706721857686</c:v>
                </c:pt>
                <c:pt idx="30">
                  <c:v>0.97781706721857686</c:v>
                </c:pt>
                <c:pt idx="31">
                  <c:v>0.97781706721857686</c:v>
                </c:pt>
                <c:pt idx="32">
                  <c:v>0.97781706721857686</c:v>
                </c:pt>
                <c:pt idx="33">
                  <c:v>0.97781706721857686</c:v>
                </c:pt>
                <c:pt idx="34">
                  <c:v>0.97781706721857686</c:v>
                </c:pt>
                <c:pt idx="35">
                  <c:v>0.97781706721857686</c:v>
                </c:pt>
                <c:pt idx="36">
                  <c:v>0.97781706721857686</c:v>
                </c:pt>
                <c:pt idx="37">
                  <c:v>0.97781706721857686</c:v>
                </c:pt>
                <c:pt idx="38">
                  <c:v>0.97781706721857686</c:v>
                </c:pt>
                <c:pt idx="39">
                  <c:v>0.97781706721857686</c:v>
                </c:pt>
                <c:pt idx="40">
                  <c:v>0.97781706721857686</c:v>
                </c:pt>
                <c:pt idx="41">
                  <c:v>0.97781706721857686</c:v>
                </c:pt>
                <c:pt idx="42">
                  <c:v>0.97781706721857686</c:v>
                </c:pt>
                <c:pt idx="43">
                  <c:v>0.97781706721857686</c:v>
                </c:pt>
                <c:pt idx="44">
                  <c:v>0.97781706721857686</c:v>
                </c:pt>
                <c:pt idx="45">
                  <c:v>0.97781706721857686</c:v>
                </c:pt>
                <c:pt idx="46">
                  <c:v>0.97781706721857686</c:v>
                </c:pt>
                <c:pt idx="47">
                  <c:v>0.97781706721857686</c:v>
                </c:pt>
                <c:pt idx="48">
                  <c:v>0.97781706721857686</c:v>
                </c:pt>
                <c:pt idx="49">
                  <c:v>0.97781706721857686</c:v>
                </c:pt>
                <c:pt idx="50">
                  <c:v>0.97781706721857686</c:v>
                </c:pt>
                <c:pt idx="51">
                  <c:v>0.97781706721857686</c:v>
                </c:pt>
                <c:pt idx="52">
                  <c:v>0.97781706721857686</c:v>
                </c:pt>
                <c:pt idx="53">
                  <c:v>0.97781706721857686</c:v>
                </c:pt>
                <c:pt idx="54">
                  <c:v>0.97781706721857686</c:v>
                </c:pt>
                <c:pt idx="55">
                  <c:v>0.97781706721857686</c:v>
                </c:pt>
                <c:pt idx="56">
                  <c:v>0.97781706721857686</c:v>
                </c:pt>
                <c:pt idx="57">
                  <c:v>0.97781706721857686</c:v>
                </c:pt>
                <c:pt idx="58">
                  <c:v>0.97781706721857686</c:v>
                </c:pt>
                <c:pt idx="59">
                  <c:v>0.97781706721857686</c:v>
                </c:pt>
                <c:pt idx="60">
                  <c:v>0.97781706721857686</c:v>
                </c:pt>
                <c:pt idx="61">
                  <c:v>0.97650185352880725</c:v>
                </c:pt>
                <c:pt idx="62">
                  <c:v>0.96075182363318135</c:v>
                </c:pt>
                <c:pt idx="63">
                  <c:v>0.94550179468662277</c:v>
                </c:pt>
                <c:pt idx="64">
                  <c:v>0.93072832914464432</c:v>
                </c:pt>
                <c:pt idx="65">
                  <c:v>0.91640943177318834</c:v>
                </c:pt>
                <c:pt idx="66">
                  <c:v>0.90252444038268553</c:v>
                </c:pt>
                <c:pt idx="67">
                  <c:v>0.88905392634712299</c:v>
                </c:pt>
                <c:pt idx="68">
                  <c:v>0.87597960390084173</c:v>
                </c:pt>
                <c:pt idx="69">
                  <c:v>0.8632842473225687</c:v>
                </c:pt>
                <c:pt idx="70">
                  <c:v>0.85095161521796059</c:v>
                </c:pt>
                <c:pt idx="71">
                  <c:v>0.83896638120080624</c:v>
                </c:pt>
                <c:pt idx="72">
                  <c:v>0.82731407035079507</c:v>
                </c:pt>
                <c:pt idx="73">
                  <c:v>0.81598100089393477</c:v>
                </c:pt>
                <c:pt idx="74">
                  <c:v>0.80495423061158433</c:v>
                </c:pt>
                <c:pt idx="75">
                  <c:v>0.79422150753676313</c:v>
                </c:pt>
                <c:pt idx="76">
                  <c:v>0.7837712245428583</c:v>
                </c:pt>
                <c:pt idx="77">
                  <c:v>0.77359237747087317</c:v>
                </c:pt>
                <c:pt idx="78">
                  <c:v>0.76367452647765688</c:v>
                </c:pt>
                <c:pt idx="79">
                  <c:v>0.75400776031971184</c:v>
                </c:pt>
                <c:pt idx="80">
                  <c:v>0.74458266331571554</c:v>
                </c:pt>
                <c:pt idx="81">
                  <c:v>0.73539028475626211</c:v>
                </c:pt>
                <c:pt idx="82">
                  <c:v>0.72642211055191752</c:v>
                </c:pt>
                <c:pt idx="83">
                  <c:v>0.71767003693081</c:v>
                </c:pt>
                <c:pt idx="84">
                  <c:v>0.70912634601496705</c:v>
                </c:pt>
                <c:pt idx="85">
                  <c:v>0.7007836831206733</c:v>
                </c:pt>
                <c:pt idx="86">
                  <c:v>0.69263503564252604</c:v>
                </c:pt>
                <c:pt idx="87">
                  <c:v>0.68467371339376126</c:v>
                </c:pt>
                <c:pt idx="88">
                  <c:v>0.67689333028701415</c:v>
                </c:pt>
                <c:pt idx="89">
                  <c:v>0.66928778725008131</c:v>
                </c:pt>
                <c:pt idx="90">
                  <c:v>0.6618512562806359</c:v>
                </c:pt>
                <c:pt idx="91">
                  <c:v>0.65457816555227732</c:v>
                </c:pt>
                <c:pt idx="92">
                  <c:v>0.6474631854919265</c:v>
                </c:pt>
                <c:pt idx="93">
                  <c:v>0.64050121575545416</c:v>
                </c:pt>
                <c:pt idx="94">
                  <c:v>0.63368737303465139</c:v>
                </c:pt>
                <c:pt idx="95">
                  <c:v>0.62701697963428671</c:v>
                </c:pt>
                <c:pt idx="96">
                  <c:v>0.62048555276309614</c:v>
                </c:pt>
                <c:pt idx="97">
                  <c:v>0.61408879448718801</c:v>
                </c:pt>
                <c:pt idx="98">
                  <c:v>0.60782258229854313</c:v>
                </c:pt>
                <c:pt idx="99">
                  <c:v>0.60168296025512347</c:v>
                </c:pt>
                <c:pt idx="100">
                  <c:v>0.59566613065257235</c:v>
                </c:pt>
                <c:pt idx="101">
                  <c:v>0.58976844619066571</c:v>
                </c:pt>
                <c:pt idx="102">
                  <c:v>0.58398640260056112</c:v>
                </c:pt>
                <c:pt idx="103">
                  <c:v>0.57831663170152658</c:v>
                </c:pt>
                <c:pt idx="104">
                  <c:v>0.57275589485824263</c:v>
                </c:pt>
                <c:pt idx="105">
                  <c:v>0.56730107681197361</c:v>
                </c:pt>
                <c:pt idx="106">
                  <c:v>0.5619491798609173</c:v>
                </c:pt>
                <c:pt idx="107">
                  <c:v>0.55669731836689007</c:v>
                </c:pt>
                <c:pt idx="108">
                  <c:v>0.55154271356719653</c:v>
                </c:pt>
                <c:pt idx="109">
                  <c:v>0.5464826886720846</c:v>
                </c:pt>
                <c:pt idx="110">
                  <c:v>0.54151466422961114</c:v>
                </c:pt>
                <c:pt idx="111">
                  <c:v>0.53663615374105611</c:v>
                </c:pt>
                <c:pt idx="112">
                  <c:v>0.53184475951122534</c:v>
                </c:pt>
                <c:pt idx="113">
                  <c:v>0.52713816871909058</c:v>
                </c:pt>
                <c:pt idx="114">
                  <c:v>0.52251414969523879</c:v>
                </c:pt>
                <c:pt idx="115">
                  <c:v>0.51797054839354117</c:v>
                </c:pt>
                <c:pt idx="116">
                  <c:v>0.513505285045321</c:v>
                </c:pt>
                <c:pt idx="117">
                  <c:v>0.50911635098510455</c:v>
                </c:pt>
                <c:pt idx="118">
                  <c:v>0.5048018056377731</c:v>
                </c:pt>
                <c:pt idx="119">
                  <c:v>0.50055977365762383</c:v>
                </c:pt>
                <c:pt idx="120">
                  <c:v>0.49638844221047695</c:v>
                </c:pt>
                <c:pt idx="121">
                  <c:v>0.49228605839055561</c:v>
                </c:pt>
                <c:pt idx="122">
                  <c:v>0.48825092676440351</c:v>
                </c:pt>
                <c:pt idx="123">
                  <c:v>0.48428140703461164</c:v>
                </c:pt>
                <c:pt idx="124">
                  <c:v>0.48037591181659062</c:v>
                </c:pt>
                <c:pt idx="125">
                  <c:v>0.47653290452205782</c:v>
                </c:pt>
                <c:pt idx="126">
                  <c:v>0.47275089734331133</c:v>
                </c:pt>
                <c:pt idx="127">
                  <c:v>0.46902844933273408</c:v>
                </c:pt>
                <c:pt idx="128">
                  <c:v>0.46536416457232216</c:v>
                </c:pt>
                <c:pt idx="129">
                  <c:v>0.46175669042835066</c:v>
                </c:pt>
                <c:pt idx="130">
                  <c:v>0.45820471588659406</c:v>
                </c:pt>
                <c:pt idx="131">
                  <c:v>0.45470696996379567</c:v>
                </c:pt>
                <c:pt idx="132">
                  <c:v>0.45126222019134266</c:v>
                </c:pt>
                <c:pt idx="133">
                  <c:v>0.44786927116734759</c:v>
                </c:pt>
                <c:pt idx="134">
                  <c:v>0.44452696317356138</c:v>
                </c:pt>
                <c:pt idx="135">
                  <c:v>0.44123417085375732</c:v>
                </c:pt>
                <c:pt idx="136">
                  <c:v>0.43798980195042081</c:v>
                </c:pt>
                <c:pt idx="137">
                  <c:v>0.43479279609676813</c:v>
                </c:pt>
                <c:pt idx="138">
                  <c:v>0.43164212366128424</c:v>
                </c:pt>
                <c:pt idx="139">
                  <c:v>0.4285367846421384</c:v>
                </c:pt>
                <c:pt idx="140">
                  <c:v>0.42547580760898018</c:v>
                </c:pt>
                <c:pt idx="141">
                  <c:v>0.42245824868976756</c:v>
                </c:pt>
                <c:pt idx="142">
                  <c:v>0.41948319060040301</c:v>
                </c:pt>
                <c:pt idx="143">
                  <c:v>0.41654974171508546</c:v>
                </c:pt>
                <c:pt idx="144">
                  <c:v>0.41365703517539743</c:v>
                </c:pt>
                <c:pt idx="145">
                  <c:v>0.41080422803625677</c:v>
                </c:pt>
                <c:pt idx="146">
                  <c:v>0.40799050044696739</c:v>
                </c:pt>
                <c:pt idx="147">
                  <c:v>0.40521505486569542</c:v>
                </c:pt>
                <c:pt idx="148">
                  <c:v>0.40247711530579205</c:v>
                </c:pt>
                <c:pt idx="149">
                  <c:v>0.39977592661246464</c:v>
                </c:pt>
                <c:pt idx="150">
                  <c:v>0.39711075376838156</c:v>
                </c:pt>
                <c:pt idx="151">
                  <c:v>0.39448088122686903</c:v>
                </c:pt>
                <c:pt idx="152">
                  <c:v>0.3918856122714291</c:v>
                </c:pt>
                <c:pt idx="153">
                  <c:v>0.38932426840037404</c:v>
                </c:pt>
                <c:pt idx="154">
                  <c:v>0.38679618873543653</c:v>
                </c:pt>
                <c:pt idx="155">
                  <c:v>0.38430072945327243</c:v>
                </c:pt>
                <c:pt idx="156">
                  <c:v>0.38183726323882838</c:v>
                </c:pt>
                <c:pt idx="157">
                  <c:v>0.37940517875960023</c:v>
                </c:pt>
                <c:pt idx="158">
                  <c:v>0.37700388015985586</c:v>
                </c:pt>
                <c:pt idx="159">
                  <c:v>0.37463278657394483</c:v>
                </c:pt>
                <c:pt idx="160">
                  <c:v>0.37229133165785772</c:v>
                </c:pt>
                <c:pt idx="161">
                  <c:v>0.36997896313824369</c:v>
                </c:pt>
                <c:pt idx="162">
                  <c:v>0.367695142378131</c:v>
                </c:pt>
                <c:pt idx="163">
                  <c:v>0.36543934395863331</c:v>
                </c:pt>
                <c:pt idx="164">
                  <c:v>0.36321105527595876</c:v>
                </c:pt>
                <c:pt idx="165">
                  <c:v>0.36100977615307411</c:v>
                </c:pt>
                <c:pt idx="166">
                  <c:v>0.35883501846540494</c:v>
                </c:pt>
                <c:pt idx="167">
                  <c:v>0.35668630577998339</c:v>
                </c:pt>
                <c:pt idx="168">
                  <c:v>0.35456317300748347</c:v>
                </c:pt>
                <c:pt idx="169">
                  <c:v>0.35246516606661077</c:v>
                </c:pt>
                <c:pt idx="170">
                  <c:v>0.35039184156033665</c:v>
                </c:pt>
                <c:pt idx="171">
                  <c:v>0.3483427664634926</c:v>
                </c:pt>
                <c:pt idx="172">
                  <c:v>0.34631751782126297</c:v>
                </c:pt>
                <c:pt idx="173">
                  <c:v>0.34431568245813426</c:v>
                </c:pt>
                <c:pt idx="174">
                  <c:v>0.34233685669688058</c:v>
                </c:pt>
                <c:pt idx="175">
                  <c:v>0.34038064608718416</c:v>
                </c:pt>
                <c:pt idx="176">
                  <c:v>0.33844666514350696</c:v>
                </c:pt>
                <c:pt idx="177">
                  <c:v>0.33653453709184877</c:v>
                </c:pt>
                <c:pt idx="178">
                  <c:v>0.3346438936250406</c:v>
                </c:pt>
                <c:pt idx="179">
                  <c:v>0.33277437466624149</c:v>
                </c:pt>
                <c:pt idx="180">
                  <c:v>0.33092562814031795</c:v>
                </c:pt>
                <c:pt idx="181">
                  <c:v>0.32909730975280238</c:v>
                </c:pt>
                <c:pt idx="182">
                  <c:v>0.32728908277613861</c:v>
                </c:pt>
                <c:pt idx="183">
                  <c:v>0.32550061784293566</c:v>
                </c:pt>
                <c:pt idx="184">
                  <c:v>0.32373159274596314</c:v>
                </c:pt>
                <c:pt idx="185">
                  <c:v>0.32198169224463369</c:v>
                </c:pt>
                <c:pt idx="186">
                  <c:v>0.32025060787772702</c:v>
                </c:pt>
                <c:pt idx="187">
                  <c:v>0.31853803778212419</c:v>
                </c:pt>
                <c:pt idx="188">
                  <c:v>0.31684368651732564</c:v>
                </c:pt>
                <c:pt idx="189">
                  <c:v>0.31516726489554092</c:v>
                </c:pt>
                <c:pt idx="190">
                  <c:v>0.3135084898171433</c:v>
                </c:pt>
                <c:pt idx="191">
                  <c:v>0.31186708411129438</c:v>
                </c:pt>
                <c:pt idx="192">
                  <c:v>0.31024277638154807</c:v>
                </c:pt>
                <c:pt idx="193">
                  <c:v>0.30863530085625507</c:v>
                </c:pt>
                <c:pt idx="194">
                  <c:v>0.30704439724359395</c:v>
                </c:pt>
                <c:pt idx="195">
                  <c:v>0.30546981059106271</c:v>
                </c:pt>
                <c:pt idx="196">
                  <c:v>0.30391129114927157</c:v>
                </c:pt>
                <c:pt idx="197">
                  <c:v>0.30236859423988444</c:v>
                </c:pt>
                <c:pt idx="198">
                  <c:v>0.30084148012756173</c:v>
                </c:pt>
                <c:pt idx="199">
                  <c:v>0.29932971389576496</c:v>
                </c:pt>
                <c:pt idx="200">
                  <c:v>0.29783306532628617</c:v>
                </c:pt>
                <c:pt idx="201">
                  <c:v>0.29635130878237431</c:v>
                </c:pt>
                <c:pt idx="202">
                  <c:v>0.29488422309533291</c:v>
                </c:pt>
                <c:pt idx="203">
                  <c:v>0.29343159145446918</c:v>
                </c:pt>
                <c:pt idx="204">
                  <c:v>0.29199320130028067</c:v>
                </c:pt>
                <c:pt idx="205">
                  <c:v>0.29056884422076712</c:v>
                </c:pt>
                <c:pt idx="206">
                  <c:v>0.2891583158507634</c:v>
                </c:pt>
                <c:pt idx="207">
                  <c:v>0.28776141577418979</c:v>
                </c:pt>
                <c:pt idx="208">
                  <c:v>0.28637794742912154</c:v>
                </c:pt>
                <c:pt idx="209">
                  <c:v>0.28500771801558511</c:v>
                </c:pt>
                <c:pt idx="210">
                  <c:v>0.28365053840598714</c:v>
                </c:pt>
                <c:pt idx="211">
                  <c:v>0.2823062230580915</c:v>
                </c:pt>
                <c:pt idx="212">
                  <c:v>0.28097458993045898</c:v>
                </c:pt>
                <c:pt idx="213">
                  <c:v>0.27965546040026912</c:v>
                </c:pt>
                <c:pt idx="214">
                  <c:v>0.27834865918344537</c:v>
                </c:pt>
                <c:pt idx="215">
                  <c:v>0.27705401425701082</c:v>
                </c:pt>
                <c:pt idx="216">
                  <c:v>0.27577135678359876</c:v>
                </c:pt>
                <c:pt idx="217">
                  <c:v>0.27450052103805223</c:v>
                </c:pt>
                <c:pt idx="218">
                  <c:v>0.27324134433604286</c:v>
                </c:pt>
                <c:pt idx="219">
                  <c:v>0.27199366696464544</c:v>
                </c:pt>
                <c:pt idx="220">
                  <c:v>0.27075733211480613</c:v>
                </c:pt>
                <c:pt idx="221">
                  <c:v>0.26953218581564414</c:v>
                </c:pt>
                <c:pt idx="222">
                  <c:v>0.26831807687052867</c:v>
                </c:pt>
                <c:pt idx="223">
                  <c:v>0.26711485679487607</c:v>
                </c:pt>
                <c:pt idx="224">
                  <c:v>0.26592237975561328</c:v>
                </c:pt>
                <c:pt idx="225">
                  <c:v>0.26474050251225506</c:v>
                </c:pt>
                <c:pt idx="226">
                  <c:v>0.26356908435954596</c:v>
                </c:pt>
                <c:pt idx="227">
                  <c:v>0.2624079870716185</c:v>
                </c:pt>
                <c:pt idx="228">
                  <c:v>0.26125707484762017</c:v>
                </c:pt>
                <c:pt idx="229">
                  <c:v>0.26011621425876591</c:v>
                </c:pt>
                <c:pt idx="230">
                  <c:v>0.25898527419677136</c:v>
                </c:pt>
                <c:pt idx="231">
                  <c:v>0.25786412582362511</c:v>
                </c:pt>
                <c:pt idx="232">
                  <c:v>0.25675264252266128</c:v>
                </c:pt>
                <c:pt idx="233">
                  <c:v>0.25565069985089023</c:v>
                </c:pt>
                <c:pt idx="234">
                  <c:v>0.25455817549255311</c:v>
                </c:pt>
                <c:pt idx="235">
                  <c:v>0.25347494921386138</c:v>
                </c:pt>
                <c:pt idx="236">
                  <c:v>0.25240090281888744</c:v>
                </c:pt>
                <c:pt idx="237">
                  <c:v>0.25133592010657146</c:v>
                </c:pt>
                <c:pt idx="238">
                  <c:v>0.2502798868288128</c:v>
                </c:pt>
                <c:pt idx="239">
                  <c:v>0.24923269064961276</c:v>
                </c:pt>
                <c:pt idx="240">
                  <c:v>0.24819422110523939</c:v>
                </c:pt>
                <c:pt idx="241">
                  <c:v>0.24716436956538362</c:v>
                </c:pt>
                <c:pt idx="242">
                  <c:v>0.24614302919527881</c:v>
                </c:pt>
                <c:pt idx="243">
                  <c:v>0.24513009491875498</c:v>
                </c:pt>
                <c:pt idx="244">
                  <c:v>0.24412546338220276</c:v>
                </c:pt>
                <c:pt idx="245">
                  <c:v>0.24312903291941829</c:v>
                </c:pt>
                <c:pt idx="246">
                  <c:v>0.24214070351730682</c:v>
                </c:pt>
                <c:pt idx="247">
                  <c:v>0.24116037678241894</c:v>
                </c:pt>
                <c:pt idx="248">
                  <c:v>0.24018795590829634</c:v>
                </c:pt>
                <c:pt idx="249">
                  <c:v>0.23922334564360437</c:v>
                </c:pt>
                <c:pt idx="250">
                  <c:v>0.23826645226102997</c:v>
                </c:pt>
                <c:pt idx="251">
                  <c:v>0.2373171835269223</c:v>
                </c:pt>
                <c:pt idx="252">
                  <c:v>0.23637544867165675</c:v>
                </c:pt>
                <c:pt idx="253">
                  <c:v>0.23544115836070165</c:v>
                </c:pt>
                <c:pt idx="254">
                  <c:v>0.23451422466636812</c:v>
                </c:pt>
                <c:pt idx="255">
                  <c:v>0.23359456104022558</c:v>
                </c:pt>
                <c:pt idx="256">
                  <c:v>0.23268208228616219</c:v>
                </c:pt>
                <c:pt idx="257">
                  <c:v>0.23177670453407598</c:v>
                </c:pt>
                <c:pt idx="258">
                  <c:v>0.23087834521417647</c:v>
                </c:pt>
                <c:pt idx="259">
                  <c:v>0.22998692303188234</c:v>
                </c:pt>
                <c:pt idx="260">
                  <c:v>0.2291023579432982</c:v>
                </c:pt>
                <c:pt idx="261">
                  <c:v>0.22822457113125494</c:v>
                </c:pt>
                <c:pt idx="262">
                  <c:v>0.227353484981899</c:v>
                </c:pt>
                <c:pt idx="263">
                  <c:v>0.22648902306181576</c:v>
                </c:pt>
                <c:pt idx="264">
                  <c:v>0.22563111009567255</c:v>
                </c:pt>
                <c:pt idx="265">
                  <c:v>0.22413351223875028</c:v>
                </c:pt>
                <c:pt idx="266">
                  <c:v>0.22245146555721407</c:v>
                </c:pt>
                <c:pt idx="267">
                  <c:v>0.22078828286224017</c:v>
                </c:pt>
                <c:pt idx="268">
                  <c:v>0.21914368312773227</c:v>
                </c:pt>
                <c:pt idx="269">
                  <c:v>0.21751739054139993</c:v>
                </c:pt>
                <c:pt idx="270">
                  <c:v>0.21590913438911177</c:v>
                </c:pt>
                <c:pt idx="271">
                  <c:v>0.21431864894222907</c:v>
                </c:pt>
                <c:pt idx="272">
                  <c:v>0.21274567334783531</c:v>
                </c:pt>
                <c:pt idx="273">
                  <c:v>0.21118995152177344</c:v>
                </c:pt>
                <c:pt idx="274">
                  <c:v>0.20965123204441169</c:v>
                </c:pt>
                <c:pt idx="275">
                  <c:v>0.20812926805905796</c:v>
                </c:pt>
                <c:pt idx="276">
                  <c:v>0.20662381717294501</c:v>
                </c:pt>
                <c:pt idx="277">
                  <c:v>0.20513464136071444</c:v>
                </c:pt>
                <c:pt idx="278">
                  <c:v>0.20366150687032583</c:v>
                </c:pt>
                <c:pt idx="279">
                  <c:v>0.20220418413132235</c:v>
                </c:pt>
                <c:pt idx="280">
                  <c:v>0.20076244766538603</c:v>
                </c:pt>
                <c:pt idx="281">
                  <c:v>0.19933607599911685</c:v>
                </c:pt>
                <c:pt idx="282">
                  <c:v>0.19792485157897322</c:v>
                </c:pt>
                <c:pt idx="283">
                  <c:v>0.19652856068831259</c:v>
                </c:pt>
                <c:pt idx="284">
                  <c:v>0.19514699336647331</c:v>
                </c:pt>
                <c:pt idx="285">
                  <c:v>0.19377994332984022</c:v>
                </c:pt>
                <c:pt idx="286">
                  <c:v>0.1924272078948393</c:v>
                </c:pt>
                <c:pt idx="287">
                  <c:v>0.19108858790280661</c:v>
                </c:pt>
                <c:pt idx="288">
                  <c:v>0.18976388764668062</c:v>
                </c:pt>
                <c:pt idx="289">
                  <c:v>0.18845291479946694</c:v>
                </c:pt>
                <c:pt idx="290">
                  <c:v>0.18715548034442661</c:v>
                </c:pt>
                <c:pt idx="291">
                  <c:v>0.18587139850694112</c:v>
                </c:pt>
                <c:pt idx="292">
                  <c:v>0.18460048668800763</c:v>
                </c:pt>
                <c:pt idx="293">
                  <c:v>0.18334256539932076</c:v>
                </c:pt>
                <c:pt idx="294">
                  <c:v>0.18209745819989689</c:v>
                </c:pt>
                <c:pt idx="295">
                  <c:v>0.18086499163420039</c:v>
                </c:pt>
                <c:pt idx="296">
                  <c:v>0.17964499517172994</c:v>
                </c:pt>
                <c:pt idx="297">
                  <c:v>0.17843730114802678</c:v>
                </c:pt>
                <c:pt idx="298">
                  <c:v>0.17724174470706608</c:v>
                </c:pt>
                <c:pt idx="299">
                  <c:v>0.17605816374499494</c:v>
                </c:pt>
                <c:pt idx="300">
                  <c:v>0.17488639885518109</c:v>
                </c:pt>
                <c:pt idx="301">
                  <c:v>0.1737262932745367</c:v>
                </c:pt>
                <c:pt idx="302">
                  <c:v>0.17257769283108523</c:v>
                </c:pt>
                <c:pt idx="303">
                  <c:v>0.17144044589273713</c:v>
                </c:pt>
                <c:pt idx="304">
                  <c:v>0.17031440331724271</c:v>
                </c:pt>
                <c:pt idx="305">
                  <c:v>0.1691994184032927</c:v>
                </c:pt>
                <c:pt idx="306">
                  <c:v>0.16809534684273469</c:v>
                </c:pt>
                <c:pt idx="307">
                  <c:v>0.1670020466738778</c:v>
                </c:pt>
                <c:pt idx="308">
                  <c:v>0.16591937823585667</c:v>
                </c:pt>
                <c:pt idx="309">
                  <c:v>0.16484720412402792</c:v>
                </c:pt>
                <c:pt idx="310">
                  <c:v>0.16378538914637161</c:v>
                </c:pt>
                <c:pt idx="311">
                  <c:v>0.16273380028087295</c:v>
                </c:pt>
                <c:pt idx="312">
                  <c:v>0.16169230663385845</c:v>
                </c:pt>
                <c:pt idx="313">
                  <c:v>0.16066077939926218</c:v>
                </c:pt>
                <c:pt idx="314">
                  <c:v>0.15963909181879909</c:v>
                </c:pt>
                <c:pt idx="315">
                  <c:v>0.15862711914302161</c:v>
                </c:pt>
                <c:pt idx="316">
                  <c:v>0.15762473859323747</c:v>
                </c:pt>
                <c:pt idx="317">
                  <c:v>0.15663182932426753</c:v>
                </c:pt>
                <c:pt idx="318">
                  <c:v>0.15564827238802184</c:v>
                </c:pt>
                <c:pt idx="319">
                  <c:v>0.15467395069787368</c:v>
                </c:pt>
                <c:pt idx="320">
                  <c:v>0.15370874899381176</c:v>
                </c:pt>
                <c:pt idx="321">
                  <c:v>0.15275255380835129</c:v>
                </c:pt>
                <c:pt idx="322">
                  <c:v>0.15180525343318477</c:v>
                </c:pt>
                <c:pt idx="323">
                  <c:v>0.15086673788655436</c:v>
                </c:pt>
                <c:pt idx="324">
                  <c:v>0.14993689888132838</c:v>
                </c:pt>
                <c:pt idx="325">
                  <c:v>0.14901562979376409</c:v>
                </c:pt>
                <c:pt idx="326">
                  <c:v>0.14810282563294</c:v>
                </c:pt>
                <c:pt idx="327">
                  <c:v>0.14719838301084209</c:v>
                </c:pt>
                <c:pt idx="328">
                  <c:v>0.14630220011308687</c:v>
                </c:pt>
                <c:pt idx="329">
                  <c:v>0.14541417667026671</c:v>
                </c:pt>
                <c:pt idx="330">
                  <c:v>0.14453421392990207</c:v>
                </c:pt>
                <c:pt idx="331">
                  <c:v>0.14366221462898604</c:v>
                </c:pt>
                <c:pt idx="332">
                  <c:v>0.14279808296710644</c:v>
                </c:pt>
                <c:pt idx="333">
                  <c:v>0.14194172458013277</c:v>
                </c:pt>
                <c:pt idx="334">
                  <c:v>0.14109304651445323</c:v>
                </c:pt>
                <c:pt idx="335">
                  <c:v>0.1402519572017496</c:v>
                </c:pt>
                <c:pt idx="336">
                  <c:v>0.13941836643429659</c:v>
                </c:pt>
                <c:pt idx="337">
                  <c:v>0.13859218534077386</c:v>
                </c:pt>
                <c:pt idx="338">
                  <c:v>0.13777332636257789</c:v>
                </c:pt>
                <c:pt idx="339">
                  <c:v>0.13696170323062232</c:v>
                </c:pt>
                <c:pt idx="340">
                  <c:v>0.1361572309426155</c:v>
                </c:pt>
                <c:pt idx="341">
                  <c:v>0.13535982574080332</c:v>
                </c:pt>
                <c:pt idx="342">
                  <c:v>0.13456940509016752</c:v>
                </c:pt>
                <c:pt idx="343">
                  <c:v>0.13378588765706767</c:v>
                </c:pt>
                <c:pt idx="344">
                  <c:v>0.13300919328831765</c:v>
                </c:pt>
                <c:pt idx="345">
                  <c:v>0.13223924299068562</c:v>
                </c:pt>
                <c:pt idx="346">
                  <c:v>0.13147595891080854</c:v>
                </c:pt>
                <c:pt idx="347">
                  <c:v>0.13071926431551098</c:v>
                </c:pt>
                <c:pt idx="348">
                  <c:v>0.12996908357251916</c:v>
                </c:pt>
                <c:pt idx="349">
                  <c:v>0.12922534213156181</c:v>
                </c:pt>
                <c:pt idx="350">
                  <c:v>0.12848796650584787</c:v>
                </c:pt>
                <c:pt idx="351">
                  <c:v>0.12775688425391321</c:v>
                </c:pt>
                <c:pt idx="352">
                  <c:v>0.12703202396182825</c:v>
                </c:pt>
                <c:pt idx="353">
                  <c:v>0.12631331522575712</c:v>
                </c:pt>
                <c:pt idx="354">
                  <c:v>0.12560068863486201</c:v>
                </c:pt>
                <c:pt idx="355">
                  <c:v>0.1248940757545437</c:v>
                </c:pt>
                <c:pt idx="356">
                  <c:v>0.12419340911001113</c:v>
                </c:pt>
                <c:pt idx="357">
                  <c:v>0.12349862217017292</c:v>
                </c:pt>
                <c:pt idx="358">
                  <c:v>0.12280964933184337</c:v>
                </c:pt>
                <c:pt idx="359">
                  <c:v>0.12212642590425565</c:v>
                </c:pt>
                <c:pt idx="360">
                  <c:v>0.12144888809387633</c:v>
                </c:pt>
                <c:pt idx="361">
                  <c:v>0.1207769729895134</c:v>
                </c:pt>
                <c:pt idx="362">
                  <c:v>0.12011061854771204</c:v>
                </c:pt>
                <c:pt idx="363">
                  <c:v>0.11944976357843176</c:v>
                </c:pt>
                <c:pt idx="364">
                  <c:v>0.11879434773099849</c:v>
                </c:pt>
                <c:pt idx="365">
                  <c:v>0.1181443114803256</c:v>
                </c:pt>
                <c:pt idx="366">
                  <c:v>0.11749959611339827</c:v>
                </c:pt>
                <c:pt idx="367">
                  <c:v>0.11686014371601527</c:v>
                </c:pt>
                <c:pt idx="368">
                  <c:v>0.11622589715978247</c:v>
                </c:pt>
                <c:pt idx="369">
                  <c:v>0.11559680008935294</c:v>
                </c:pt>
                <c:pt idx="370">
                  <c:v>0.11497279690990783</c:v>
                </c:pt>
                <c:pt idx="371">
                  <c:v>0.11435383277487367</c:v>
                </c:pt>
                <c:pt idx="372">
                  <c:v>0.1137398535738697</c:v>
                </c:pt>
                <c:pt idx="373">
                  <c:v>0.11313080592088197</c:v>
                </c:pt>
                <c:pt idx="374">
                  <c:v>0.1125266371426577</c:v>
                </c:pt>
                <c:pt idx="375">
                  <c:v>0.11192729526731657</c:v>
                </c:pt>
                <c:pt idx="376">
                  <c:v>0.11133272901317333</c:v>
                </c:pt>
                <c:pt idx="377">
                  <c:v>0.11074288777776801</c:v>
                </c:pt>
                <c:pt idx="378">
                  <c:v>0.11015772162709885</c:v>
                </c:pt>
                <c:pt idx="379">
                  <c:v>0.10957718128505364</c:v>
                </c:pt>
                <c:pt idx="380">
                  <c:v>0.10900121812303597</c:v>
                </c:pt>
                <c:pt idx="381">
                  <c:v>0.10842978414978124</c:v>
                </c:pt>
                <c:pt idx="382">
                  <c:v>0.10786283200135958</c:v>
                </c:pt>
                <c:pt idx="383">
                  <c:v>0.10730031493136089</c:v>
                </c:pt>
                <c:pt idx="384">
                  <c:v>0.10674218680125867</c:v>
                </c:pt>
                <c:pt idx="385">
                  <c:v>0.10618840207094887</c:v>
                </c:pt>
                <c:pt idx="386">
                  <c:v>0.10563891578946011</c:v>
                </c:pt>
                <c:pt idx="387">
                  <c:v>0.10509368358583152</c:v>
                </c:pt>
                <c:pt idx="388">
                  <c:v>0.10455266166015519</c:v>
                </c:pt>
                <c:pt idx="389">
                  <c:v>0.10401580677477947</c:v>
                </c:pt>
                <c:pt idx="390">
                  <c:v>0.10348307624566996</c:v>
                </c:pt>
                <c:pt idx="391">
                  <c:v>0.10295442793392511</c:v>
                </c:pt>
                <c:pt idx="392">
                  <c:v>0.10242982023744276</c:v>
                </c:pt>
                <c:pt idx="393">
                  <c:v>0.10190921208273543</c:v>
                </c:pt>
                <c:pt idx="394">
                  <c:v>0.10139256291689046</c:v>
                </c:pt>
                <c:pt idx="395">
                  <c:v>0.10087983269967253</c:v>
                </c:pt>
                <c:pt idx="396">
                  <c:v>0.10037098189576579</c:v>
                </c:pt>
                <c:pt idx="397">
                  <c:v>9.9865971467152315E-2</c:v>
                </c:pt>
                <c:pt idx="398">
                  <c:v>9.9364762865624678E-2</c:v>
                </c:pt>
                <c:pt idx="399">
                  <c:v>9.8867318025429557E-2</c:v>
                </c:pt>
                <c:pt idx="400">
                  <c:v>9.8373599356040078E-2</c:v>
                </c:pt>
                <c:pt idx="401">
                  <c:v>9.7883569735053952E-2</c:v>
                </c:pt>
                <c:pt idx="402">
                  <c:v>9.7397192501215368E-2</c:v>
                </c:pt>
                <c:pt idx="403">
                  <c:v>9.6914431447557778E-2</c:v>
                </c:pt>
                <c:pt idx="404">
                  <c:v>9.6435250814665308E-2</c:v>
                </c:pt>
                <c:pt idx="405">
                  <c:v>9.5959615284050698E-2</c:v>
                </c:pt>
                <c:pt idx="406">
                  <c:v>9.5487489971647049E-2</c:v>
                </c:pt>
                <c:pt idx="407">
                  <c:v>9.5018840421411621E-2</c:v>
                </c:pt>
                <c:pt idx="408">
                  <c:v>9.4553632599038928E-2</c:v>
                </c:pt>
                <c:pt idx="409">
                  <c:v>9.4091832885781518E-2</c:v>
                </c:pt>
                <c:pt idx="410">
                  <c:v>9.3633408072376065E-2</c:v>
                </c:pt>
                <c:pt idx="411">
                  <c:v>9.3178325353072841E-2</c:v>
                </c:pt>
                <c:pt idx="412">
                  <c:v>9.2726552319766328E-2</c:v>
                </c:pt>
                <c:pt idx="413">
                  <c:v>9.2278056956225457E-2</c:v>
                </c:pt>
                <c:pt idx="414">
                  <c:v>9.1832807632420951E-2</c:v>
                </c:pt>
                <c:pt idx="415">
                  <c:v>9.139077309894858E-2</c:v>
                </c:pt>
                <c:pt idx="416">
                  <c:v>9.0951922481545988E-2</c:v>
                </c:pt>
                <c:pt idx="417">
                  <c:v>9.0516225275701287E-2</c:v>
                </c:pt>
                <c:pt idx="418">
                  <c:v>9.0083651341352211E-2</c:v>
                </c:pt>
                <c:pt idx="419">
                  <c:v>8.9654170897673316E-2</c:v>
                </c:pt>
                <c:pt idx="420">
                  <c:v>8.9227754517950258E-2</c:v>
                </c:pt>
                <c:pt idx="421">
                  <c:v>8.8804373124539052E-2</c:v>
                </c:pt>
                <c:pt idx="422">
                  <c:v>8.8383997983908877E-2</c:v>
                </c:pt>
                <c:pt idx="423">
                  <c:v>8.7966600701766776E-2</c:v>
                </c:pt>
                <c:pt idx="424">
                  <c:v>8.7552153218262874E-2</c:v>
                </c:pt>
                <c:pt idx="425">
                  <c:v>8.7140627803274334E-2</c:v>
                </c:pt>
                <c:pt idx="426">
                  <c:v>8.6731997051766777E-2</c:v>
                </c:pt>
                <c:pt idx="427">
                  <c:v>8.6326233879231662E-2</c:v>
                </c:pt>
                <c:pt idx="428">
                  <c:v>8.5923311517198175E-2</c:v>
                </c:pt>
                <c:pt idx="429">
                  <c:v>8.5523203508818327E-2</c:v>
                </c:pt>
                <c:pt idx="430">
                  <c:v>8.5125883704523717E-2</c:v>
                </c:pt>
                <c:pt idx="431">
                  <c:v>8.4731326257752898E-2</c:v>
                </c:pt>
                <c:pt idx="432">
                  <c:v>8.4339505620747782E-2</c:v>
                </c:pt>
                <c:pt idx="433">
                  <c:v>8.3950396540418026E-2</c:v>
                </c:pt>
                <c:pt idx="434">
                  <c:v>8.3563974054271878E-2</c:v>
                </c:pt>
                <c:pt idx="435">
                  <c:v>8.3180213486412663E-2</c:v>
                </c:pt>
                <c:pt idx="436">
                  <c:v>8.2799090443599219E-2</c:v>
                </c:pt>
                <c:pt idx="437">
                  <c:v>8.2420580811369576E-2</c:v>
                </c:pt>
                <c:pt idx="438">
                  <c:v>8.2044660750226442E-2</c:v>
                </c:pt>
                <c:pt idx="439">
                  <c:v>8.16713066918833E-2</c:v>
                </c:pt>
                <c:pt idx="440">
                  <c:v>8.1300495335570461E-2</c:v>
                </c:pt>
                <c:pt idx="441">
                  <c:v>8.0932203644399403E-2</c:v>
                </c:pt>
                <c:pt idx="442">
                  <c:v>8.0566408841784787E-2</c:v>
                </c:pt>
                <c:pt idx="443">
                  <c:v>8.0203088407922798E-2</c:v>
                </c:pt>
                <c:pt idx="444">
                  <c:v>7.9842220076325188E-2</c:v>
                </c:pt>
                <c:pt idx="445">
                  <c:v>7.9483781830407496E-2</c:v>
                </c:pt>
                <c:pt idx="446">
                  <c:v>7.9127751900130924E-2</c:v>
                </c:pt>
                <c:pt idx="447">
                  <c:v>7.8774108758696781E-2</c:v>
                </c:pt>
                <c:pt idx="448">
                  <c:v>7.8422831119292324E-2</c:v>
                </c:pt>
                <c:pt idx="449">
                  <c:v>7.8073897931887487E-2</c:v>
                </c:pt>
                <c:pt idx="450">
                  <c:v>7.7727288380081222E-2</c:v>
                </c:pt>
                <c:pt idx="451">
                  <c:v>7.7382981877996901E-2</c:v>
                </c:pt>
                <c:pt idx="452">
                  <c:v>7.7040958067225551E-2</c:v>
                </c:pt>
                <c:pt idx="453">
                  <c:v>7.6701196813816402E-2</c:v>
                </c:pt>
                <c:pt idx="454">
                  <c:v>7.6363678205313756E-2</c:v>
                </c:pt>
                <c:pt idx="455">
                  <c:v>7.6028382547839404E-2</c:v>
                </c:pt>
                <c:pt idx="456">
                  <c:v>7.5695290363219703E-2</c:v>
                </c:pt>
                <c:pt idx="457">
                  <c:v>7.5364382386156753E-2</c:v>
                </c:pt>
                <c:pt idx="458">
                  <c:v>7.5035639561442644E-2</c:v>
                </c:pt>
                <c:pt idx="459">
                  <c:v>7.4709043041216117E-2</c:v>
                </c:pt>
                <c:pt idx="460">
                  <c:v>7.4384574182261118E-2</c:v>
                </c:pt>
                <c:pt idx="461">
                  <c:v>7.4062214543346078E-2</c:v>
                </c:pt>
                <c:pt idx="462">
                  <c:v>7.374194588260366E-2</c:v>
                </c:pt>
                <c:pt idx="463">
                  <c:v>7.342375015494991E-2</c:v>
                </c:pt>
                <c:pt idx="464">
                  <c:v>7.3107609509542482E-2</c:v>
                </c:pt>
                <c:pt idx="465">
                  <c:v>7.2793506287276946E-2</c:v>
                </c:pt>
                <c:pt idx="466">
                  <c:v>7.2481423018320737E-2</c:v>
                </c:pt>
                <c:pt idx="467">
                  <c:v>7.2171342419683968E-2</c:v>
                </c:pt>
                <c:pt idx="468">
                  <c:v>7.1863247392826624E-2</c:v>
                </c:pt>
                <c:pt idx="469">
                  <c:v>7.1557121021301323E-2</c:v>
                </c:pt>
                <c:pt idx="470">
                  <c:v>7.1252946568431244E-2</c:v>
                </c:pt>
                <c:pt idx="471">
                  <c:v>7.0950707475022481E-2</c:v>
                </c:pt>
                <c:pt idx="472">
                  <c:v>7.0650387357110295E-2</c:v>
                </c:pt>
                <c:pt idx="473">
                  <c:v>7.0351970003738731E-2</c:v>
                </c:pt>
                <c:pt idx="474">
                  <c:v>7.0055439374772849E-2</c:v>
                </c:pt>
                <c:pt idx="475">
                  <c:v>6.9760779598743342E-2</c:v>
                </c:pt>
                <c:pt idx="476">
                  <c:v>6.9467974970722698E-2</c:v>
                </c:pt>
                <c:pt idx="477">
                  <c:v>6.9177009950232557E-2</c:v>
                </c:pt>
                <c:pt idx="478">
                  <c:v>6.8887869159181672E-2</c:v>
                </c:pt>
                <c:pt idx="479">
                  <c:v>6.8600537379833876E-2</c:v>
                </c:pt>
                <c:pt idx="480">
                  <c:v>6.8314999552805844E-2</c:v>
                </c:pt>
                <c:pt idx="481">
                  <c:v>6.8031240775093746E-2</c:v>
                </c:pt>
                <c:pt idx="482">
                  <c:v>6.7749246298128771E-2</c:v>
                </c:pt>
                <c:pt idx="483">
                  <c:v>6.7469001525860495E-2</c:v>
                </c:pt>
                <c:pt idx="484">
                  <c:v>6.719049201286828E-2</c:v>
                </c:pt>
                <c:pt idx="485">
                  <c:v>6.6913703462499599E-2</c:v>
                </c:pt>
                <c:pt idx="486">
                  <c:v>6.663862172503543E-2</c:v>
                </c:pt>
                <c:pt idx="487">
                  <c:v>6.6365232795881718E-2</c:v>
                </c:pt>
                <c:pt idx="488">
                  <c:v>6.6093522813786929E-2</c:v>
                </c:pt>
                <c:pt idx="489">
                  <c:v>6.5823478059085033E-2</c:v>
                </c:pt>
                <c:pt idx="490">
                  <c:v>6.555508495196366E-2</c:v>
                </c:pt>
                <c:pt idx="491">
                  <c:v>6.5288330050756696E-2</c:v>
                </c:pt>
                <c:pt idx="492">
                  <c:v>6.5023200050261395E-2</c:v>
                </c:pt>
                <c:pt idx="493">
                  <c:v>6.4759681780079223E-2</c:v>
                </c:pt>
                <c:pt idx="494">
                  <c:v>6.4497762202980202E-2</c:v>
                </c:pt>
                <c:pt idx="495">
                  <c:v>6.4237428413290387E-2</c:v>
                </c:pt>
                <c:pt idx="496">
                  <c:v>6.3978667635302092E-2</c:v>
                </c:pt>
                <c:pt idx="497">
                  <c:v>6.3721467221706393E-2</c:v>
                </c:pt>
                <c:pt idx="498">
                  <c:v>6.3465814652047856E-2</c:v>
                </c:pt>
                <c:pt idx="499">
                  <c:v>6.3211697531200595E-2</c:v>
                </c:pt>
                <c:pt idx="500">
                  <c:v>6.2959103587865925E-2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939-46B0-A2F6-6135ABB95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26390992"/>
        <c:axId val="-226400240"/>
      </c:scatterChart>
      <c:valAx>
        <c:axId val="-22639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050" b="1"/>
                  <a:t>Periodo   [s]</a:t>
                </a:r>
              </a:p>
            </c:rich>
          </c:tx>
          <c:layout>
            <c:manualLayout>
              <c:xMode val="edge"/>
              <c:yMode val="edge"/>
              <c:x val="0.429693465162447"/>
              <c:y val="0.9384022095277305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226400240"/>
        <c:crosses val="autoZero"/>
        <c:crossBetween val="midCat"/>
      </c:valAx>
      <c:valAx>
        <c:axId val="-22640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050" b="1"/>
                  <a:t>Pseudo</a:t>
                </a:r>
                <a:r>
                  <a:rPr lang="it-IT" sz="1050" b="1" baseline="0"/>
                  <a:t> Accelerazioni    [m/s</a:t>
                </a:r>
                <a:r>
                  <a:rPr lang="it-IT" sz="1050" b="1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²]</a:t>
                </a:r>
                <a:r>
                  <a:rPr lang="it-IT" sz="1050" b="1" baseline="0"/>
                  <a:t> </a:t>
                </a:r>
                <a:endParaRPr lang="it-IT" sz="1050" b="1"/>
              </a:p>
            </c:rich>
          </c:tx>
          <c:layout>
            <c:manualLayout>
              <c:xMode val="edge"/>
              <c:yMode val="edge"/>
              <c:x val="1.2759168517471688E-2"/>
              <c:y val="0.2599950823140573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226390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it-IT" sz="1200"/>
              <a:t>SEZIONE 2</a:t>
            </a:r>
          </a:p>
        </c:rich>
      </c:tx>
      <c:layout>
        <c:manualLayout>
          <c:xMode val="edge"/>
          <c:yMode val="edge"/>
          <c:x val="0.43345888929239779"/>
          <c:y val="5.91877675041657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"/>
          <c:y val="0.17587567114276689"/>
          <c:w val="1"/>
          <c:h val="0.7629849380860587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solidFill>
                <a:schemeClr val="bg2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muro+tensioni'!$F$44:$F$69</c:f>
              <c:numCache>
                <c:formatCode>General</c:formatCode>
                <c:ptCount val="26"/>
                <c:pt idx="0">
                  <c:v>0</c:v>
                </c:pt>
                <c:pt idx="1">
                  <c:v>1.25</c:v>
                </c:pt>
                <c:pt idx="2">
                  <c:v>1.25</c:v>
                </c:pt>
                <c:pt idx="3">
                  <c:v>0.71</c:v>
                </c:pt>
                <c:pt idx="4">
                  <c:v>0.71</c:v>
                </c:pt>
                <c:pt idx="5">
                  <c:v>0.54999999999999993</c:v>
                </c:pt>
                <c:pt idx="6">
                  <c:v>0.54999999999999993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-0.54999999999999993</c:v>
                </c:pt>
                <c:pt idx="20">
                  <c:v>-0.54999999999999993</c:v>
                </c:pt>
                <c:pt idx="21">
                  <c:v>-0.71</c:v>
                </c:pt>
                <c:pt idx="22">
                  <c:v>-0.71</c:v>
                </c:pt>
                <c:pt idx="23">
                  <c:v>-1.25</c:v>
                </c:pt>
                <c:pt idx="24">
                  <c:v>-1.25</c:v>
                </c:pt>
                <c:pt idx="25">
                  <c:v>0</c:v>
                </c:pt>
              </c:numCache>
            </c:numRef>
          </c:xVal>
          <c:yVal>
            <c:numRef>
              <c:f>'geom masse muro+tensioni'!$G$44:$G$69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0.12</c:v>
                </c:pt>
                <c:pt idx="3">
                  <c:v>0.12</c:v>
                </c:pt>
                <c:pt idx="4" formatCode="0.000">
                  <c:v>0.86001000000000005</c:v>
                </c:pt>
                <c:pt idx="5" formatCode="0.000">
                  <c:v>0.86001000000000005</c:v>
                </c:pt>
                <c:pt idx="6" formatCode="0.000">
                  <c:v>0.12</c:v>
                </c:pt>
                <c:pt idx="7">
                  <c:v>0.12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0.12</c:v>
                </c:pt>
                <c:pt idx="12">
                  <c:v>0.12</c:v>
                </c:pt>
                <c:pt idx="13">
                  <c:v>0.12</c:v>
                </c:pt>
                <c:pt idx="14">
                  <c:v>0.12</c:v>
                </c:pt>
                <c:pt idx="15">
                  <c:v>0.12</c:v>
                </c:pt>
                <c:pt idx="16">
                  <c:v>0.12</c:v>
                </c:pt>
                <c:pt idx="17">
                  <c:v>0.12</c:v>
                </c:pt>
                <c:pt idx="18">
                  <c:v>0.12</c:v>
                </c:pt>
                <c:pt idx="19">
                  <c:v>0.12</c:v>
                </c:pt>
                <c:pt idx="20" formatCode="0.000">
                  <c:v>0.86001000000000005</c:v>
                </c:pt>
                <c:pt idx="21" formatCode="0.000">
                  <c:v>0.86001000000000005</c:v>
                </c:pt>
                <c:pt idx="22" formatCode="0.000">
                  <c:v>0.12</c:v>
                </c:pt>
                <c:pt idx="23" formatCode="0.000">
                  <c:v>0.12</c:v>
                </c:pt>
                <c:pt idx="24" formatCode="0.000">
                  <c:v>0</c:v>
                </c:pt>
                <c:pt idx="25" formatCode="0.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3C-429B-B48B-6180D77CD849}"/>
            </c:ext>
          </c:extLst>
        </c:ser>
        <c:ser>
          <c:idx val="1"/>
          <c:order val="1"/>
          <c:spPr>
            <a:ln w="952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muro+tensioni'!$C$72:$C$77</c:f>
              <c:numCache>
                <c:formatCode>General</c:formatCode>
                <c:ptCount val="6"/>
                <c:pt idx="0">
                  <c:v>1.25</c:v>
                </c:pt>
                <c:pt idx="1">
                  <c:v>1.25</c:v>
                </c:pt>
                <c:pt idx="2">
                  <c:v>-1.25</c:v>
                </c:pt>
                <c:pt idx="3">
                  <c:v>-1.25</c:v>
                </c:pt>
                <c:pt idx="4">
                  <c:v>1.25</c:v>
                </c:pt>
                <c:pt idx="5">
                  <c:v>1.25</c:v>
                </c:pt>
              </c:numCache>
            </c:numRef>
          </c:xVal>
          <c:yVal>
            <c:numRef>
              <c:f>'geom masse muro+tensioni'!$D$72:$D$77</c:f>
              <c:numCache>
                <c:formatCode>General</c:formatCode>
                <c:ptCount val="6"/>
                <c:pt idx="0">
                  <c:v>0</c:v>
                </c:pt>
                <c:pt idx="1">
                  <c:v>2.75</c:v>
                </c:pt>
                <c:pt idx="2">
                  <c:v>2.75</c:v>
                </c:pt>
                <c:pt idx="3">
                  <c:v>-0.65</c:v>
                </c:pt>
                <c:pt idx="4">
                  <c:v>-0.65</c:v>
                </c:pt>
                <c:pt idx="5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83C-429B-B48B-6180D77CD849}"/>
            </c:ext>
          </c:extLst>
        </c:ser>
        <c:ser>
          <c:idx val="2"/>
          <c:order val="2"/>
          <c:spPr>
            <a:ln w="9525" cap="rnd">
              <a:solidFill>
                <a:schemeClr val="bg2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muro+tensioni'!$F$72:$F$76</c:f>
              <c:numCache>
                <c:formatCode>General</c:formatCode>
                <c:ptCount val="5"/>
                <c:pt idx="0">
                  <c:v>1.25</c:v>
                </c:pt>
                <c:pt idx="1">
                  <c:v>1.25</c:v>
                </c:pt>
                <c:pt idx="2">
                  <c:v>-1.25</c:v>
                </c:pt>
                <c:pt idx="3">
                  <c:v>-1.25</c:v>
                </c:pt>
                <c:pt idx="4">
                  <c:v>1.25</c:v>
                </c:pt>
              </c:numCache>
            </c:numRef>
          </c:xVal>
          <c:yVal>
            <c:numRef>
              <c:f>'geom masse muro+tensioni'!$G$72:$G$76</c:f>
              <c:numCache>
                <c:formatCode>General</c:formatCode>
                <c:ptCount val="5"/>
                <c:pt idx="0">
                  <c:v>2.15</c:v>
                </c:pt>
                <c:pt idx="1">
                  <c:v>2.7499999999999996</c:v>
                </c:pt>
                <c:pt idx="2">
                  <c:v>2.7499999999999996</c:v>
                </c:pt>
                <c:pt idx="3">
                  <c:v>2.15</c:v>
                </c:pt>
                <c:pt idx="4">
                  <c:v>2.15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83C-429B-B48B-6180D77C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11495504"/>
        <c:axId val="-311492240"/>
      </c:scatterChart>
      <c:valAx>
        <c:axId val="-3114955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311492240"/>
        <c:crosses val="autoZero"/>
        <c:crossBetween val="midCat"/>
      </c:valAx>
      <c:valAx>
        <c:axId val="-3114922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311495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it-IT" sz="1200"/>
              <a:t>SEZIONE</a:t>
            </a:r>
            <a:r>
              <a:rPr lang="it-IT" sz="1200" baseline="0"/>
              <a:t> 3</a:t>
            </a:r>
            <a:endParaRPr lang="it-IT" sz="1200"/>
          </a:p>
        </c:rich>
      </c:tx>
      <c:layout>
        <c:manualLayout>
          <c:xMode val="edge"/>
          <c:yMode val="edge"/>
          <c:x val="0.43331701937817008"/>
          <c:y val="1.830064794380692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"/>
          <c:y val="0.21387348623271524"/>
          <c:w val="1"/>
          <c:h val="0.77966596274016919"/>
        </c:manualLayout>
      </c:layout>
      <c:scatterChart>
        <c:scatterStyle val="lineMarker"/>
        <c:varyColors val="0"/>
        <c:ser>
          <c:idx val="1"/>
          <c:order val="0"/>
          <c:spPr>
            <a:ln w="28575" cap="rnd">
              <a:solidFill>
                <a:schemeClr val="bg2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muro+tensioni'!$C$72:$C$77</c:f>
              <c:numCache>
                <c:formatCode>General</c:formatCode>
                <c:ptCount val="6"/>
                <c:pt idx="0">
                  <c:v>1.25</c:v>
                </c:pt>
                <c:pt idx="1">
                  <c:v>1.25</c:v>
                </c:pt>
                <c:pt idx="2">
                  <c:v>-1.25</c:v>
                </c:pt>
                <c:pt idx="3">
                  <c:v>-1.25</c:v>
                </c:pt>
                <c:pt idx="4">
                  <c:v>1.25</c:v>
                </c:pt>
                <c:pt idx="5">
                  <c:v>1.25</c:v>
                </c:pt>
              </c:numCache>
            </c:numRef>
          </c:xVal>
          <c:yVal>
            <c:numRef>
              <c:f>'geom masse muro+tensioni'!$D$72:$D$77</c:f>
              <c:numCache>
                <c:formatCode>General</c:formatCode>
                <c:ptCount val="6"/>
                <c:pt idx="0">
                  <c:v>0</c:v>
                </c:pt>
                <c:pt idx="1">
                  <c:v>2.75</c:v>
                </c:pt>
                <c:pt idx="2">
                  <c:v>2.75</c:v>
                </c:pt>
                <c:pt idx="3">
                  <c:v>-0.65</c:v>
                </c:pt>
                <c:pt idx="4">
                  <c:v>-0.65</c:v>
                </c:pt>
                <c:pt idx="5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B-43D1-97E1-FF3C38239DBD}"/>
            </c:ext>
          </c:extLst>
        </c:ser>
        <c:ser>
          <c:idx val="0"/>
          <c:order val="1"/>
          <c:spPr>
            <a:ln w="9525" cap="rnd">
              <a:solidFill>
                <a:schemeClr val="bg2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muro+tensioni'!$F$72:$F$76</c:f>
              <c:numCache>
                <c:formatCode>General</c:formatCode>
                <c:ptCount val="5"/>
                <c:pt idx="0">
                  <c:v>1.25</c:v>
                </c:pt>
                <c:pt idx="1">
                  <c:v>1.25</c:v>
                </c:pt>
                <c:pt idx="2">
                  <c:v>-1.25</c:v>
                </c:pt>
                <c:pt idx="3">
                  <c:v>-1.25</c:v>
                </c:pt>
                <c:pt idx="4">
                  <c:v>1.25</c:v>
                </c:pt>
              </c:numCache>
            </c:numRef>
          </c:xVal>
          <c:yVal>
            <c:numRef>
              <c:f>'geom masse muro+tensioni'!$G$72:$G$76</c:f>
              <c:numCache>
                <c:formatCode>General</c:formatCode>
                <c:ptCount val="5"/>
                <c:pt idx="0">
                  <c:v>2.15</c:v>
                </c:pt>
                <c:pt idx="1">
                  <c:v>2.7499999999999996</c:v>
                </c:pt>
                <c:pt idx="2">
                  <c:v>2.7499999999999996</c:v>
                </c:pt>
                <c:pt idx="3">
                  <c:v>2.15</c:v>
                </c:pt>
                <c:pt idx="4">
                  <c:v>2.15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B-43D1-97E1-FF3C38239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11494960"/>
        <c:axId val="-311488976"/>
      </c:scatterChart>
      <c:valAx>
        <c:axId val="-3114949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311488976"/>
        <c:crosses val="autoZero"/>
        <c:crossBetween val="midCat"/>
      </c:valAx>
      <c:valAx>
        <c:axId val="-3114889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311494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4742546534502"/>
          <c:y val="9.2194735954546067E-2"/>
          <c:w val="0.69988258317025442"/>
          <c:h val="0.83876380019426711"/>
        </c:manualLayout>
      </c:layout>
      <c:scatterChart>
        <c:scatterStyle val="smoothMarker"/>
        <c:varyColors val="0"/>
        <c:ser>
          <c:idx val="4"/>
          <c:order val="9"/>
          <c:spPr>
            <a:ln w="95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5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14135266494610924"/>
                  <c:y val="8.1112000344219129E-2"/>
                </c:manualLayout>
              </c:layout>
              <c:tx>
                <c:rich>
                  <a:bodyPr/>
                  <a:lstStyle/>
                  <a:p>
                    <a:r>
                      <a:rPr lang="en-US" b="1" baseline="0">
                        <a:solidFill>
                          <a:srgbClr val="FF0000"/>
                        </a:solidFill>
                      </a:rPr>
                      <a:t>origine degli assi</a:t>
                    </a:r>
                    <a:endParaRPr lang="en-US" b="1">
                      <a:solidFill>
                        <a:srgbClr val="FF0000"/>
                      </a:solidFill>
                    </a:endParaRP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3A6-4215-B35B-617298B8563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muro+tensioni'!$J$66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3A6-4215-B35B-617298B85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11498768"/>
        <c:axId val="-311491152"/>
      </c:scatterChart>
      <c:scatterChart>
        <c:scatterStyle val="lineMarker"/>
        <c:varyColors val="0"/>
        <c:ser>
          <c:idx val="6"/>
          <c:order val="0"/>
          <c:spPr>
            <a:ln w="2857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muro+tensioni'!$J$44:$J$58</c:f>
              <c:numCache>
                <c:formatCode>General</c:formatCode>
                <c:ptCount val="15"/>
                <c:pt idx="0">
                  <c:v>0</c:v>
                </c:pt>
                <c:pt idx="1">
                  <c:v>2.8</c:v>
                </c:pt>
                <c:pt idx="2">
                  <c:v>2.8</c:v>
                </c:pt>
                <c:pt idx="3">
                  <c:v>3.4</c:v>
                </c:pt>
                <c:pt idx="4">
                  <c:v>3.4</c:v>
                </c:pt>
                <c:pt idx="5">
                  <c:v>3.4</c:v>
                </c:pt>
                <c:pt idx="6" formatCode="0.000">
                  <c:v>3.4</c:v>
                </c:pt>
                <c:pt idx="7" formatCode="0.000">
                  <c:v>1.5100100000000001</c:v>
                </c:pt>
                <c:pt idx="8" formatCode="0.000">
                  <c:v>0.89</c:v>
                </c:pt>
                <c:pt idx="9" formatCode="0.000">
                  <c:v>0.77</c:v>
                </c:pt>
                <c:pt idx="10" formatCode="0.000">
                  <c:v>0.77</c:v>
                </c:pt>
                <c:pt idx="11" formatCode="0.000">
                  <c:v>0.65</c:v>
                </c:pt>
                <c:pt idx="12" formatCode="0.000">
                  <c:v>0.65</c:v>
                </c:pt>
                <c:pt idx="13" formatCode="0.000">
                  <c:v>0</c:v>
                </c:pt>
                <c:pt idx="14" formatCode="0.000">
                  <c:v>0</c:v>
                </c:pt>
              </c:numCache>
            </c:numRef>
          </c:xVal>
          <c:yVal>
            <c:numRef>
              <c:f>'geom masse muro+tensioni'!$K$44:$K$58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-0.6</c:v>
                </c:pt>
                <c:pt idx="3">
                  <c:v>-0.6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0.5</c:v>
                </c:pt>
                <c:pt idx="8">
                  <c:v>4.8</c:v>
                </c:pt>
                <c:pt idx="9">
                  <c:v>4.8</c:v>
                </c:pt>
                <c:pt idx="10">
                  <c:v>5</c:v>
                </c:pt>
                <c:pt idx="11">
                  <c:v>5</c:v>
                </c:pt>
                <c:pt idx="12">
                  <c:v>0.50000000000000022</c:v>
                </c:pt>
                <c:pt idx="13">
                  <c:v>0.50000000000000022</c:v>
                </c:pt>
                <c:pt idx="1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3A6-4215-B35B-617298B85634}"/>
            </c:ext>
          </c:extLst>
        </c:ser>
        <c:ser>
          <c:idx val="7"/>
          <c:order val="1"/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muro+tensioni'!$J$60:$J$61</c:f>
              <c:numCache>
                <c:formatCode>General</c:formatCode>
                <c:ptCount val="2"/>
                <c:pt idx="0">
                  <c:v>0.77</c:v>
                </c:pt>
                <c:pt idx="1">
                  <c:v>0.77</c:v>
                </c:pt>
              </c:numCache>
            </c:numRef>
          </c:xVal>
          <c:yVal>
            <c:numRef>
              <c:f>'geom masse muro+tensioni'!$K$60:$K$61</c:f>
              <c:numCache>
                <c:formatCode>General</c:formatCode>
                <c:ptCount val="2"/>
                <c:pt idx="0">
                  <c:v>0.5</c:v>
                </c:pt>
                <c:pt idx="1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3A6-4215-B35B-617298B85634}"/>
            </c:ext>
          </c:extLst>
        </c:ser>
        <c:ser>
          <c:idx val="8"/>
          <c:order val="2"/>
          <c:spPr>
            <a:ln w="19050" cap="rnd">
              <a:solidFill>
                <a:schemeClr val="accent3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muro+tensioni'!$J$62:$J$63</c:f>
              <c:numCache>
                <c:formatCode>0.000</c:formatCode>
                <c:ptCount val="2"/>
                <c:pt idx="0" formatCode="General">
                  <c:v>0.77</c:v>
                </c:pt>
                <c:pt idx="1">
                  <c:v>1.5100100000000001</c:v>
                </c:pt>
              </c:numCache>
            </c:numRef>
          </c:xVal>
          <c:yVal>
            <c:numRef>
              <c:f>'geom masse muro+tensioni'!$K$62:$K$63</c:f>
              <c:numCache>
                <c:formatCode>General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3A6-4215-B35B-617298B85634}"/>
            </c:ext>
          </c:extLst>
        </c:ser>
        <c:ser>
          <c:idx val="9"/>
          <c:order val="3"/>
          <c:spPr>
            <a:ln w="95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muro+tensioni'!$J$65</c:f>
              <c:numCache>
                <c:formatCode>General</c:formatCode>
                <c:ptCount val="1"/>
                <c:pt idx="0">
                  <c:v>0.65</c:v>
                </c:pt>
              </c:numCache>
            </c:numRef>
          </c:xVal>
          <c:yVal>
            <c:numRef>
              <c:f>'geom masse muro+tensioni'!$K$65</c:f>
              <c:numCache>
                <c:formatCode>General</c:formatCode>
                <c:ptCount val="1"/>
                <c:pt idx="0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3A6-4215-B35B-617298B85634}"/>
            </c:ext>
          </c:extLst>
        </c:ser>
        <c:ser>
          <c:idx val="10"/>
          <c:order val="4"/>
          <c:spPr>
            <a:ln w="952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muro+tensioni'!$J$66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3A6-4215-B35B-617298B85634}"/>
            </c:ext>
          </c:extLst>
        </c:ser>
        <c:ser>
          <c:idx val="11"/>
          <c:order val="5"/>
          <c:spPr>
            <a:ln w="952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muro+tensioni'!$J$67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muro+tensioni'!$K$67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3A6-4215-B35B-617298B85634}"/>
            </c:ext>
          </c:extLst>
        </c:ser>
        <c:ser>
          <c:idx val="0"/>
          <c:order val="6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muro+tensioni'!$J$44:$J$58</c:f>
              <c:numCache>
                <c:formatCode>General</c:formatCode>
                <c:ptCount val="15"/>
                <c:pt idx="0">
                  <c:v>0</c:v>
                </c:pt>
                <c:pt idx="1">
                  <c:v>2.8</c:v>
                </c:pt>
                <c:pt idx="2">
                  <c:v>2.8</c:v>
                </c:pt>
                <c:pt idx="3">
                  <c:v>3.4</c:v>
                </c:pt>
                <c:pt idx="4">
                  <c:v>3.4</c:v>
                </c:pt>
                <c:pt idx="5">
                  <c:v>3.4</c:v>
                </c:pt>
                <c:pt idx="6" formatCode="0.000">
                  <c:v>3.4</c:v>
                </c:pt>
                <c:pt idx="7" formatCode="0.000">
                  <c:v>1.5100100000000001</c:v>
                </c:pt>
                <c:pt idx="8" formatCode="0.000">
                  <c:v>0.89</c:v>
                </c:pt>
                <c:pt idx="9" formatCode="0.000">
                  <c:v>0.77</c:v>
                </c:pt>
                <c:pt idx="10" formatCode="0.000">
                  <c:v>0.77</c:v>
                </c:pt>
                <c:pt idx="11" formatCode="0.000">
                  <c:v>0.65</c:v>
                </c:pt>
                <c:pt idx="12" formatCode="0.000">
                  <c:v>0.65</c:v>
                </c:pt>
                <c:pt idx="13" formatCode="0.000">
                  <c:v>0</c:v>
                </c:pt>
                <c:pt idx="14" formatCode="0.000">
                  <c:v>0</c:v>
                </c:pt>
              </c:numCache>
            </c:numRef>
          </c:xVal>
          <c:yVal>
            <c:numRef>
              <c:f>'geom masse muro+tensioni'!$K$44:$K$58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-0.6</c:v>
                </c:pt>
                <c:pt idx="3">
                  <c:v>-0.6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0.5</c:v>
                </c:pt>
                <c:pt idx="8">
                  <c:v>4.8</c:v>
                </c:pt>
                <c:pt idx="9">
                  <c:v>4.8</c:v>
                </c:pt>
                <c:pt idx="10">
                  <c:v>5</c:v>
                </c:pt>
                <c:pt idx="11">
                  <c:v>5</c:v>
                </c:pt>
                <c:pt idx="12">
                  <c:v>0.50000000000000022</c:v>
                </c:pt>
                <c:pt idx="13">
                  <c:v>0.50000000000000022</c:v>
                </c:pt>
                <c:pt idx="1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3A6-4215-B35B-617298B85634}"/>
            </c:ext>
          </c:extLst>
        </c:ser>
        <c:ser>
          <c:idx val="1"/>
          <c:order val="7"/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muro+tensioni'!$J$60:$J$61</c:f>
              <c:numCache>
                <c:formatCode>General</c:formatCode>
                <c:ptCount val="2"/>
                <c:pt idx="0">
                  <c:v>0.77</c:v>
                </c:pt>
                <c:pt idx="1">
                  <c:v>0.77</c:v>
                </c:pt>
              </c:numCache>
            </c:numRef>
          </c:xVal>
          <c:yVal>
            <c:numRef>
              <c:f>'geom masse muro+tensioni'!$K$60:$K$61</c:f>
              <c:numCache>
                <c:formatCode>General</c:formatCode>
                <c:ptCount val="2"/>
                <c:pt idx="0">
                  <c:v>0.5</c:v>
                </c:pt>
                <c:pt idx="1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3A6-4215-B35B-617298B85634}"/>
            </c:ext>
          </c:extLst>
        </c:ser>
        <c:ser>
          <c:idx val="2"/>
          <c:order val="8"/>
          <c:spPr>
            <a:ln w="19050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muro+tensioni'!$J$62:$J$63</c:f>
              <c:numCache>
                <c:formatCode>0.000</c:formatCode>
                <c:ptCount val="2"/>
                <c:pt idx="0" formatCode="General">
                  <c:v>0.77</c:v>
                </c:pt>
                <c:pt idx="1">
                  <c:v>1.5100100000000001</c:v>
                </c:pt>
              </c:numCache>
            </c:numRef>
          </c:xVal>
          <c:yVal>
            <c:numRef>
              <c:f>'geom masse muro+tensioni'!$K$62:$K$63</c:f>
              <c:numCache>
                <c:formatCode>General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B3A6-4215-B35B-617298B85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11498768"/>
        <c:axId val="-311491152"/>
      </c:scatterChart>
      <c:scatterChart>
        <c:scatterStyle val="lineMarker"/>
        <c:varyColors val="0"/>
        <c:ser>
          <c:idx val="14"/>
          <c:order val="10"/>
          <c:tx>
            <c:v>terreno</c:v>
          </c:tx>
          <c:spPr>
            <a:ln w="635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3A6-4215-B35B-617298B8563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0306998881407244"/>
                  <c:y val="-7.4277111137826063E-2"/>
                </c:manualLayout>
              </c:layout>
              <c:tx>
                <c:rich>
                  <a:bodyPr/>
                  <a:lstStyle/>
                  <a:p>
                    <a:fld id="{58AF8414-7FE2-4833-9E75-3BDE553A0E06}" type="YVALUE">
                      <a:rPr lang="en-US" sz="800"/>
                      <a:pPr/>
                      <a:t>[VALORE Y]</a:t>
                    </a:fld>
                    <a:r>
                      <a:rPr lang="en-US" sz="800"/>
                      <a:t> Quota massima terreno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B3A6-4215-B35B-617298B85634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B3A6-4215-B35B-617298B8563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muro+tensioni'!$M$82:$M$84</c:f>
              <c:numCache>
                <c:formatCode>0.00</c:formatCode>
                <c:ptCount val="3"/>
                <c:pt idx="0">
                  <c:v>0.77</c:v>
                </c:pt>
                <c:pt idx="1">
                  <c:v>3.4</c:v>
                </c:pt>
                <c:pt idx="2">
                  <c:v>3.4</c:v>
                </c:pt>
              </c:numCache>
            </c:numRef>
          </c:xVal>
          <c:yVal>
            <c:numRef>
              <c:f>'geom masse muro+tensioni'!$N$82:$N$84</c:f>
              <c:numCache>
                <c:formatCode>0.00</c:formatCode>
                <c:ptCount val="3"/>
                <c:pt idx="0">
                  <c:v>4.8</c:v>
                </c:pt>
                <c:pt idx="1">
                  <c:v>5.0320615922608809</c:v>
                </c:pt>
                <c:pt idx="2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B3A6-4215-B35B-617298B85634}"/>
            </c:ext>
          </c:extLst>
        </c:ser>
        <c:ser>
          <c:idx val="13"/>
          <c:order val="11"/>
          <c:tx>
            <c:v>STR1</c:v>
          </c:tx>
          <c:spPr>
            <a:ln w="952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Pt>
            <c:idx val="1"/>
            <c:bubble3D val="0"/>
            <c:spPr>
              <a:ln w="12700" cap="rnd">
                <a:solidFill>
                  <a:schemeClr val="bg2">
                    <a:lumMod val="75000"/>
                  </a:schemeClr>
                </a:solidFill>
                <a:prstDash val="sysDash"/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B3A6-4215-B35B-617298B85634}"/>
              </c:ext>
            </c:extLst>
          </c:dPt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B3A6-4215-B35B-617298B8563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24803390871405698"/>
                  <c:y val="3.5084804616254698E-5"/>
                </c:manualLayout>
              </c:layout>
              <c:tx>
                <c:rich>
                  <a:bodyPr/>
                  <a:lstStyle/>
                  <a:p>
                    <a:fld id="{B393D860-1174-4A65-88FB-77D2E6FCA860}" type="YVALUE">
                      <a:rPr lang="en-US" sz="800"/>
                      <a:pPr/>
                      <a:t>[VALORE Y]</a:t>
                    </a:fld>
                    <a:r>
                      <a:rPr lang="en-US" sz="800"/>
                      <a:t> Quota  fine primo strato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B3A6-4215-B35B-617298B85634}"/>
                </c:ext>
                <c:ext xmlns:c15="http://schemas.microsoft.com/office/drawing/2012/chart" uri="{CE6537A1-D6FC-4f65-9D91-7224C49458BB}">
                  <c15:layout>
                    <c:manualLayout>
                      <c:w val="0.17465564194872302"/>
                      <c:h val="5.4579234972677595E-2"/>
                    </c:manualLayout>
                  </c15:layout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muro+tensioni'!$M$109:$M$110</c:f>
              <c:numCache>
                <c:formatCode>General</c:formatCode>
                <c:ptCount val="2"/>
                <c:pt idx="0">
                  <c:v>0.77</c:v>
                </c:pt>
                <c:pt idx="1">
                  <c:v>3.4</c:v>
                </c:pt>
              </c:numCache>
            </c:numRef>
          </c:xVal>
          <c:yVal>
            <c:numRef>
              <c:f>'geom masse muro+tensioni'!$N$109:$N$110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B3A6-4215-B35B-617298B85634}"/>
            </c:ext>
          </c:extLst>
        </c:ser>
        <c:ser>
          <c:idx val="15"/>
          <c:order val="12"/>
          <c:tx>
            <c:v>STR2</c:v>
          </c:tx>
          <c:spPr>
            <a:ln w="127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B3A6-4215-B35B-617298B8563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23383381220801433"/>
                  <c:y val="1.2145533833360597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8FFB3C8-3960-4E4F-A146-2BF339540E19}" type="YVALUE">
                      <a:rPr lang="en-US" sz="800"/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[VALORE Y]</a:t>
                    </a:fld>
                    <a:r>
                      <a:rPr lang="en-US" sz="800"/>
                      <a:t> Quota fine secondo strato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B3A6-4215-B35B-617298B85634}"/>
                </c:ext>
                <c:ext xmlns:c15="http://schemas.microsoft.com/office/drawing/2012/chart" uri="{CE6537A1-D6FC-4f65-9D91-7224C49458BB}">
                  <c15:layout>
                    <c:manualLayout>
                      <c:w val="0.16311977715877435"/>
                      <c:h val="7.3236261934208083E-2"/>
                    </c:manualLayout>
                  </c15:layout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muro+tensioni'!$M$111:$M$112</c:f>
              <c:numCache>
                <c:formatCode>General</c:formatCode>
                <c:ptCount val="2"/>
                <c:pt idx="0">
                  <c:v>0.77</c:v>
                </c:pt>
                <c:pt idx="1">
                  <c:v>3.4</c:v>
                </c:pt>
              </c:numCache>
            </c:numRef>
          </c:xVal>
          <c:yVal>
            <c:numRef>
              <c:f>'geom masse muro+tensioni'!$N$111:$N$112</c:f>
              <c:numCache>
                <c:formatCode>0.00</c:formatCode>
                <c:ptCount val="2"/>
                <c:pt idx="0">
                  <c:v>8.8817841970012523E-16</c:v>
                </c:pt>
                <c:pt idx="1">
                  <c:v>8.8817841970012523E-16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B3A6-4215-B35B-617298B85634}"/>
            </c:ext>
          </c:extLst>
        </c:ser>
        <c:ser>
          <c:idx val="16"/>
          <c:order val="13"/>
          <c:tx>
            <c:v>FALDA</c:v>
          </c:tx>
          <c:spPr>
            <a:ln w="12700" cap="rnd">
              <a:solidFill>
                <a:schemeClr val="accent5">
                  <a:lumMod val="80000"/>
                  <a:lumOff val="20000"/>
                </a:schemeClr>
              </a:solidFill>
              <a:prstDash val="lgDashDotDot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B3A6-4215-B35B-617298B8563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23608689930471782"/>
                  <c:y val="-2.16588473988143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21C4431-B9B8-45CE-857B-0160241C4149}" type="YVALUE">
                      <a:rPr lang="en-US" sz="800"/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[VALORE Y]</a:t>
                    </a:fld>
                    <a:r>
                      <a:rPr lang="en-US" sz="800"/>
                      <a:t> Quota</a:t>
                    </a:r>
                    <a:r>
                      <a:rPr lang="en-US" sz="800" baseline="0"/>
                      <a:t> falda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B3A6-4215-B35B-617298B85634}"/>
                </c:ext>
                <c:ext xmlns:c15="http://schemas.microsoft.com/office/drawing/2012/chart" uri="{CE6537A1-D6FC-4f65-9D91-7224C49458BB}">
                  <c15:layout>
                    <c:manualLayout>
                      <c:w val="0.16768275831816287"/>
                      <c:h val="7.1587276117240334E-2"/>
                    </c:manualLayout>
                  </c15:layout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muro+tensioni'!$M$115:$M$116</c:f>
            </c:numRef>
          </c:xVal>
          <c:yVal>
            <c:numRef>
              <c:f>'geom masse muro+tensioni'!$N$115:$N$116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A-B3A6-4215-B35B-617298B85634}"/>
            </c:ext>
          </c:extLst>
        </c:ser>
        <c:ser>
          <c:idx val="3"/>
          <c:order val="14"/>
          <c:tx>
            <c:v>terreno valle</c:v>
          </c:tx>
          <c:spPr>
            <a:ln w="9525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21711512732217672"/>
                  <c:y val="3.278692189830118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Terreno</a:t>
                    </a:r>
                    <a:r>
                      <a:rPr lang="en-US" baseline="0"/>
                      <a:t> di valle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muro+tensioni'!$O$82:$O$85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0.65</c:v>
                </c:pt>
                <c:pt idx="3">
                  <c:v>0.65</c:v>
                </c:pt>
              </c:numCache>
            </c:numRef>
          </c:xVal>
          <c:yVal>
            <c:numRef>
              <c:f>'geom masse muro+tensioni'!$P$82:$P$85</c:f>
              <c:numCache>
                <c:formatCode>General</c:formatCode>
                <c:ptCount val="4"/>
                <c:pt idx="0">
                  <c:v>0.5</c:v>
                </c:pt>
                <c:pt idx="1">
                  <c:v>1.05</c:v>
                </c:pt>
                <c:pt idx="2">
                  <c:v>1.05</c:v>
                </c:pt>
                <c:pt idx="3">
                  <c:v>0.5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11502576"/>
        <c:axId val="-311490608"/>
      </c:scatterChart>
      <c:valAx>
        <c:axId val="-311498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311491152"/>
        <c:crosses val="autoZero"/>
        <c:crossBetween val="midCat"/>
      </c:valAx>
      <c:valAx>
        <c:axId val="-3114911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311498768"/>
        <c:crosses val="autoZero"/>
        <c:crossBetween val="midCat"/>
      </c:valAx>
      <c:valAx>
        <c:axId val="-31149060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-311502576"/>
        <c:crosses val="max"/>
        <c:crossBetween val="midCat"/>
      </c:valAx>
      <c:valAx>
        <c:axId val="-311502576"/>
        <c:scaling>
          <c:orientation val="minMax"/>
        </c:scaling>
        <c:delete val="1"/>
        <c:axPos val="t"/>
        <c:numFmt formatCode="0.00" sourceLinked="1"/>
        <c:majorTickMark val="out"/>
        <c:minorTickMark val="none"/>
        <c:tickLblPos val="nextTo"/>
        <c:crossAx val="-311490608"/>
        <c:crosses val="max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885035231849412E-2"/>
          <c:y val="4.7482292187627222E-2"/>
          <c:w val="0.84930915708800159"/>
          <c:h val="0.88141879606260432"/>
        </c:manualLayout>
      </c:layout>
      <c:scatterChart>
        <c:scatterStyle val="smoothMarker"/>
        <c:varyColors val="0"/>
        <c:ser>
          <c:idx val="4"/>
          <c:order val="9"/>
          <c:spPr>
            <a:ln w="95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5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9570304101444542E-3"/>
                  <c:y val="4.0322710100604564E-2"/>
                </c:manualLayout>
              </c:layout>
              <c:tx>
                <c:rich>
                  <a:bodyPr/>
                  <a:lstStyle/>
                  <a:p>
                    <a:r>
                      <a:rPr lang="en-US" b="1" baseline="0">
                        <a:solidFill>
                          <a:srgbClr val="FF0000"/>
                        </a:solidFill>
                      </a:rPr>
                      <a:t>origine degli assi</a:t>
                    </a:r>
                    <a:endParaRPr lang="en-US" b="1">
                      <a:solidFill>
                        <a:srgbClr val="FF0000"/>
                      </a:solidFill>
                    </a:endParaRP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BBE-40F8-82B0-CC81997EDA1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muro+tensioni'!$J$66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BBE-40F8-82B0-CC81997ED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11496592"/>
        <c:axId val="-311490064"/>
      </c:scatterChart>
      <c:scatterChart>
        <c:scatterStyle val="lineMarker"/>
        <c:varyColors val="0"/>
        <c:ser>
          <c:idx val="6"/>
          <c:order val="0"/>
          <c:spPr>
            <a:ln w="2857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muro+tensioni'!$J$44:$J$58</c:f>
              <c:numCache>
                <c:formatCode>General</c:formatCode>
                <c:ptCount val="15"/>
                <c:pt idx="0">
                  <c:v>0</c:v>
                </c:pt>
                <c:pt idx="1">
                  <c:v>2.8</c:v>
                </c:pt>
                <c:pt idx="2">
                  <c:v>2.8</c:v>
                </c:pt>
                <c:pt idx="3">
                  <c:v>3.4</c:v>
                </c:pt>
                <c:pt idx="4">
                  <c:v>3.4</c:v>
                </c:pt>
                <c:pt idx="5">
                  <c:v>3.4</c:v>
                </c:pt>
                <c:pt idx="6" formatCode="0.000">
                  <c:v>3.4</c:v>
                </c:pt>
                <c:pt idx="7" formatCode="0.000">
                  <c:v>1.5100100000000001</c:v>
                </c:pt>
                <c:pt idx="8" formatCode="0.000">
                  <c:v>0.89</c:v>
                </c:pt>
                <c:pt idx="9" formatCode="0.000">
                  <c:v>0.77</c:v>
                </c:pt>
                <c:pt idx="10" formatCode="0.000">
                  <c:v>0.77</c:v>
                </c:pt>
                <c:pt idx="11" formatCode="0.000">
                  <c:v>0.65</c:v>
                </c:pt>
                <c:pt idx="12" formatCode="0.000">
                  <c:v>0.65</c:v>
                </c:pt>
                <c:pt idx="13" formatCode="0.000">
                  <c:v>0</c:v>
                </c:pt>
                <c:pt idx="14" formatCode="0.000">
                  <c:v>0</c:v>
                </c:pt>
              </c:numCache>
            </c:numRef>
          </c:xVal>
          <c:yVal>
            <c:numRef>
              <c:f>'geom masse muro+tensioni'!$K$44:$K$58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-0.6</c:v>
                </c:pt>
                <c:pt idx="3">
                  <c:v>-0.6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0.5</c:v>
                </c:pt>
                <c:pt idx="8">
                  <c:v>4.8</c:v>
                </c:pt>
                <c:pt idx="9">
                  <c:v>4.8</c:v>
                </c:pt>
                <c:pt idx="10">
                  <c:v>5</c:v>
                </c:pt>
                <c:pt idx="11">
                  <c:v>5</c:v>
                </c:pt>
                <c:pt idx="12">
                  <c:v>0.50000000000000022</c:v>
                </c:pt>
                <c:pt idx="13">
                  <c:v>0.50000000000000022</c:v>
                </c:pt>
                <c:pt idx="1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BE-40F8-82B0-CC81997EDA13}"/>
            </c:ext>
          </c:extLst>
        </c:ser>
        <c:ser>
          <c:idx val="7"/>
          <c:order val="1"/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muro+tensioni'!$J$60:$J$61</c:f>
              <c:numCache>
                <c:formatCode>General</c:formatCode>
                <c:ptCount val="2"/>
                <c:pt idx="0">
                  <c:v>0.77</c:v>
                </c:pt>
                <c:pt idx="1">
                  <c:v>0.77</c:v>
                </c:pt>
              </c:numCache>
            </c:numRef>
          </c:xVal>
          <c:yVal>
            <c:numRef>
              <c:f>'geom masse muro+tensioni'!$K$60:$K$61</c:f>
              <c:numCache>
                <c:formatCode>General</c:formatCode>
                <c:ptCount val="2"/>
                <c:pt idx="0">
                  <c:v>0.5</c:v>
                </c:pt>
                <c:pt idx="1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BBE-40F8-82B0-CC81997EDA13}"/>
            </c:ext>
          </c:extLst>
        </c:ser>
        <c:ser>
          <c:idx val="8"/>
          <c:order val="2"/>
          <c:spPr>
            <a:ln w="19050" cap="rnd">
              <a:solidFill>
                <a:schemeClr val="accent3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muro+tensioni'!$J$62:$J$63</c:f>
              <c:numCache>
                <c:formatCode>0.000</c:formatCode>
                <c:ptCount val="2"/>
                <c:pt idx="0" formatCode="General">
                  <c:v>0.77</c:v>
                </c:pt>
                <c:pt idx="1">
                  <c:v>1.5100100000000001</c:v>
                </c:pt>
              </c:numCache>
            </c:numRef>
          </c:xVal>
          <c:yVal>
            <c:numRef>
              <c:f>'geom masse muro+tensioni'!$K$62:$K$63</c:f>
              <c:numCache>
                <c:formatCode>General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BBE-40F8-82B0-CC81997EDA13}"/>
            </c:ext>
          </c:extLst>
        </c:ser>
        <c:ser>
          <c:idx val="9"/>
          <c:order val="3"/>
          <c:spPr>
            <a:ln w="95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muro+tensioni'!$J$65</c:f>
              <c:numCache>
                <c:formatCode>General</c:formatCode>
                <c:ptCount val="1"/>
                <c:pt idx="0">
                  <c:v>0.65</c:v>
                </c:pt>
              </c:numCache>
            </c:numRef>
          </c:xVal>
          <c:yVal>
            <c:numRef>
              <c:f>'geom masse muro+tensioni'!$K$65</c:f>
              <c:numCache>
                <c:formatCode>General</c:formatCode>
                <c:ptCount val="1"/>
                <c:pt idx="0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BBE-40F8-82B0-CC81997EDA13}"/>
            </c:ext>
          </c:extLst>
        </c:ser>
        <c:ser>
          <c:idx val="10"/>
          <c:order val="4"/>
          <c:spPr>
            <a:ln w="952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muro+tensioni'!$J$66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BBE-40F8-82B0-CC81997EDA13}"/>
            </c:ext>
          </c:extLst>
        </c:ser>
        <c:ser>
          <c:idx val="11"/>
          <c:order val="5"/>
          <c:spPr>
            <a:ln w="952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muro+tensioni'!$J$67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muro+tensioni'!$K$67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BBE-40F8-82B0-CC81997EDA13}"/>
            </c:ext>
          </c:extLst>
        </c:ser>
        <c:ser>
          <c:idx val="0"/>
          <c:order val="6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muro+tensioni'!$J$44:$J$58</c:f>
              <c:numCache>
                <c:formatCode>General</c:formatCode>
                <c:ptCount val="15"/>
                <c:pt idx="0">
                  <c:v>0</c:v>
                </c:pt>
                <c:pt idx="1">
                  <c:v>2.8</c:v>
                </c:pt>
                <c:pt idx="2">
                  <c:v>2.8</c:v>
                </c:pt>
                <c:pt idx="3">
                  <c:v>3.4</c:v>
                </c:pt>
                <c:pt idx="4">
                  <c:v>3.4</c:v>
                </c:pt>
                <c:pt idx="5">
                  <c:v>3.4</c:v>
                </c:pt>
                <c:pt idx="6" formatCode="0.000">
                  <c:v>3.4</c:v>
                </c:pt>
                <c:pt idx="7" formatCode="0.000">
                  <c:v>1.5100100000000001</c:v>
                </c:pt>
                <c:pt idx="8" formatCode="0.000">
                  <c:v>0.89</c:v>
                </c:pt>
                <c:pt idx="9" formatCode="0.000">
                  <c:v>0.77</c:v>
                </c:pt>
                <c:pt idx="10" formatCode="0.000">
                  <c:v>0.77</c:v>
                </c:pt>
                <c:pt idx="11" formatCode="0.000">
                  <c:v>0.65</c:v>
                </c:pt>
                <c:pt idx="12" formatCode="0.000">
                  <c:v>0.65</c:v>
                </c:pt>
                <c:pt idx="13" formatCode="0.000">
                  <c:v>0</c:v>
                </c:pt>
                <c:pt idx="14" formatCode="0.000">
                  <c:v>0</c:v>
                </c:pt>
              </c:numCache>
            </c:numRef>
          </c:xVal>
          <c:yVal>
            <c:numRef>
              <c:f>'geom masse muro+tensioni'!$K$44:$K$58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-0.6</c:v>
                </c:pt>
                <c:pt idx="3">
                  <c:v>-0.6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0.5</c:v>
                </c:pt>
                <c:pt idx="8">
                  <c:v>4.8</c:v>
                </c:pt>
                <c:pt idx="9">
                  <c:v>4.8</c:v>
                </c:pt>
                <c:pt idx="10">
                  <c:v>5</c:v>
                </c:pt>
                <c:pt idx="11">
                  <c:v>5</c:v>
                </c:pt>
                <c:pt idx="12">
                  <c:v>0.50000000000000022</c:v>
                </c:pt>
                <c:pt idx="13">
                  <c:v>0.50000000000000022</c:v>
                </c:pt>
                <c:pt idx="1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BBE-40F8-82B0-CC81997EDA13}"/>
            </c:ext>
          </c:extLst>
        </c:ser>
        <c:ser>
          <c:idx val="1"/>
          <c:order val="7"/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muro+tensioni'!$J$60:$J$61</c:f>
              <c:numCache>
                <c:formatCode>General</c:formatCode>
                <c:ptCount val="2"/>
                <c:pt idx="0">
                  <c:v>0.77</c:v>
                </c:pt>
                <c:pt idx="1">
                  <c:v>0.77</c:v>
                </c:pt>
              </c:numCache>
            </c:numRef>
          </c:xVal>
          <c:yVal>
            <c:numRef>
              <c:f>'geom masse muro+tensioni'!$K$60:$K$61</c:f>
              <c:numCache>
                <c:formatCode>General</c:formatCode>
                <c:ptCount val="2"/>
                <c:pt idx="0">
                  <c:v>0.5</c:v>
                </c:pt>
                <c:pt idx="1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BBE-40F8-82B0-CC81997EDA13}"/>
            </c:ext>
          </c:extLst>
        </c:ser>
        <c:ser>
          <c:idx val="2"/>
          <c:order val="8"/>
          <c:spPr>
            <a:ln w="19050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muro+tensioni'!$J$62:$J$63</c:f>
              <c:numCache>
                <c:formatCode>0.000</c:formatCode>
                <c:ptCount val="2"/>
                <c:pt idx="0" formatCode="General">
                  <c:v>0.77</c:v>
                </c:pt>
                <c:pt idx="1">
                  <c:v>1.5100100000000001</c:v>
                </c:pt>
              </c:numCache>
            </c:numRef>
          </c:xVal>
          <c:yVal>
            <c:numRef>
              <c:f>'geom masse muro+tensioni'!$K$62:$K$63</c:f>
              <c:numCache>
                <c:formatCode>General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DBBE-40F8-82B0-CC81997ED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11496592"/>
        <c:axId val="-311490064"/>
      </c:scatterChart>
      <c:scatterChart>
        <c:scatterStyle val="lineMarker"/>
        <c:varyColors val="0"/>
        <c:ser>
          <c:idx val="14"/>
          <c:order val="10"/>
          <c:tx>
            <c:v>terreno</c:v>
          </c:tx>
          <c:spPr>
            <a:ln w="635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BE-40F8-82B0-CC81997EDA1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140970313238022"/>
                  <c:y val="-7.1502479847064954E-2"/>
                </c:manualLayout>
              </c:layout>
              <c:tx>
                <c:rich>
                  <a:bodyPr/>
                  <a:lstStyle/>
                  <a:p>
                    <a:fld id="{58AF8414-7FE2-4833-9E75-3BDE553A0E06}" type="YVALUE">
                      <a:rPr lang="en-US" sz="800"/>
                      <a:pPr/>
                      <a:t>[VALORE Y]</a:t>
                    </a:fld>
                    <a:r>
                      <a:rPr lang="en-US" sz="800"/>
                      <a:t> Quota massima terreno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DBBE-40F8-82B0-CC81997EDA13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DBBE-40F8-82B0-CC81997EDA1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muro+tensioni'!$M$82:$M$84</c:f>
              <c:numCache>
                <c:formatCode>0.00</c:formatCode>
                <c:ptCount val="3"/>
                <c:pt idx="0">
                  <c:v>0.77</c:v>
                </c:pt>
                <c:pt idx="1">
                  <c:v>3.4</c:v>
                </c:pt>
                <c:pt idx="2">
                  <c:v>3.4</c:v>
                </c:pt>
              </c:numCache>
            </c:numRef>
          </c:xVal>
          <c:yVal>
            <c:numRef>
              <c:f>'geom masse muro+tensioni'!$N$82:$N$84</c:f>
              <c:numCache>
                <c:formatCode>0.00</c:formatCode>
                <c:ptCount val="3"/>
                <c:pt idx="0">
                  <c:v>4.8</c:v>
                </c:pt>
                <c:pt idx="1">
                  <c:v>5.0320615922608809</c:v>
                </c:pt>
                <c:pt idx="2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DBBE-40F8-82B0-CC81997EDA13}"/>
            </c:ext>
          </c:extLst>
        </c:ser>
        <c:ser>
          <c:idx val="13"/>
          <c:order val="11"/>
          <c:tx>
            <c:v>STR1</c:v>
          </c:tx>
          <c:spPr>
            <a:ln w="952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Pt>
            <c:idx val="1"/>
            <c:bubble3D val="0"/>
            <c:spPr>
              <a:ln w="12700" cap="rnd">
                <a:solidFill>
                  <a:schemeClr val="bg2">
                    <a:lumMod val="75000"/>
                  </a:schemeClr>
                </a:solidFill>
                <a:prstDash val="sysDash"/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DBBE-40F8-82B0-CC81997EDA13}"/>
              </c:ext>
            </c:extLst>
          </c:dPt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DBBE-40F8-82B0-CC81997EDA1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21112992678581383"/>
                  <c:y val="8.7812877380140722E-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393D860-1174-4A65-88FB-77D2E6FCA860}" type="YVALUE">
                      <a:rPr lang="en-US" sz="800"/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[VALORE Y]</a:t>
                    </a:fld>
                    <a:r>
                      <a:rPr lang="en-US" sz="800"/>
                      <a:t> Quota  fine primo strato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DBBE-40F8-82B0-CC81997EDA13}"/>
                </c:ext>
                <c:ext xmlns:c15="http://schemas.microsoft.com/office/drawing/2012/chart" uri="{CE6537A1-D6FC-4f65-9D91-7224C49458BB}">
                  <c15:layout>
                    <c:manualLayout>
                      <c:w val="0.17465558653703897"/>
                      <c:h val="8.6955997762134557E-2"/>
                    </c:manualLayout>
                  </c15:layout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muro+tensioni'!$M$109:$M$110</c:f>
              <c:numCache>
                <c:formatCode>General</c:formatCode>
                <c:ptCount val="2"/>
                <c:pt idx="0">
                  <c:v>0.77</c:v>
                </c:pt>
                <c:pt idx="1">
                  <c:v>3.4</c:v>
                </c:pt>
              </c:numCache>
            </c:numRef>
          </c:xVal>
          <c:yVal>
            <c:numRef>
              <c:f>'geom masse muro+tensioni'!$N$109:$N$110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DBBE-40F8-82B0-CC81997EDA13}"/>
            </c:ext>
          </c:extLst>
        </c:ser>
        <c:ser>
          <c:idx val="15"/>
          <c:order val="12"/>
          <c:tx>
            <c:v>STR2</c:v>
          </c:tx>
          <c:spPr>
            <a:ln w="1270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DBBE-40F8-82B0-CC81997EDA1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20013533036073153"/>
                  <c:y val="-1.2735674594156212E-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8FFB3C8-3960-4E4F-A146-2BF339540E19}" type="YVALUE">
                      <a:rPr lang="en-US" sz="800"/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[VALORE Y]</a:t>
                    </a:fld>
                    <a:r>
                      <a:rPr lang="en-US" sz="800"/>
                      <a:t> Quota fine secondo strato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DBBE-40F8-82B0-CC81997EDA13}"/>
                </c:ext>
                <c:ext xmlns:c15="http://schemas.microsoft.com/office/drawing/2012/chart" uri="{CE6537A1-D6FC-4f65-9D91-7224C49458BB}">
                  <c15:layout>
                    <c:manualLayout>
                      <c:w val="0.15059222225528529"/>
                      <c:h val="9.2803510500771069E-2"/>
                    </c:manualLayout>
                  </c15:layout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muro+tensioni'!$M$111:$M$112</c:f>
              <c:numCache>
                <c:formatCode>General</c:formatCode>
                <c:ptCount val="2"/>
                <c:pt idx="0">
                  <c:v>0.77</c:v>
                </c:pt>
                <c:pt idx="1">
                  <c:v>3.4</c:v>
                </c:pt>
              </c:numCache>
            </c:numRef>
          </c:xVal>
          <c:yVal>
            <c:numRef>
              <c:f>'geom masse muro+tensioni'!$N$111:$N$112</c:f>
              <c:numCache>
                <c:formatCode>0.00</c:formatCode>
                <c:ptCount val="2"/>
                <c:pt idx="0">
                  <c:v>8.8817841970012523E-16</c:v>
                </c:pt>
                <c:pt idx="1">
                  <c:v>8.8817841970012523E-16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DBBE-40F8-82B0-CC81997EDA13}"/>
            </c:ext>
          </c:extLst>
        </c:ser>
        <c:ser>
          <c:idx val="16"/>
          <c:order val="13"/>
          <c:tx>
            <c:v>FALDA</c:v>
          </c:tx>
          <c:spPr>
            <a:ln w="12700" cap="rnd">
              <a:solidFill>
                <a:schemeClr val="accent5">
                  <a:lumMod val="80000"/>
                  <a:lumOff val="20000"/>
                </a:schemeClr>
              </a:solidFill>
              <a:prstDash val="lgDashDotDot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DBBE-40F8-82B0-CC81997EDA1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21282847159675994"/>
                  <c:y val="-4.3578466104300627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21C4431-B9B8-45CE-857B-0160241C4149}" type="YVALUE">
                      <a:rPr lang="en-US" sz="800"/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[VALORE Y]</a:t>
                    </a:fld>
                    <a:r>
                      <a:rPr lang="en-US" sz="800"/>
                      <a:t> Quota</a:t>
                    </a:r>
                    <a:r>
                      <a:rPr lang="en-US" sz="800" baseline="0"/>
                      <a:t> falda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DBBE-40F8-82B0-CC81997EDA13}"/>
                </c:ext>
                <c:ext xmlns:c15="http://schemas.microsoft.com/office/drawing/2012/chart" uri="{CE6537A1-D6FC-4f65-9D91-7224C49458BB}">
                  <c15:layout>
                    <c:manualLayout>
                      <c:w val="0.17635402657068508"/>
                      <c:h val="5.2288551148991863E-2"/>
                    </c:manualLayout>
                  </c15:layout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muro+tensioni'!$M$115:$M$116</c:f>
            </c:numRef>
          </c:xVal>
          <c:yVal>
            <c:numRef>
              <c:f>'geom masse muro+tensioni'!$N$115:$N$116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A-DBBE-40F8-82B0-CC81997EDA13}"/>
            </c:ext>
          </c:extLst>
        </c:ser>
        <c:ser>
          <c:idx val="3"/>
          <c:order val="14"/>
          <c:tx>
            <c:v>terreno valle</c:v>
          </c:tx>
          <c:spPr>
            <a:ln w="9525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'geom masse muro+tensioni'!$O$82:$O$85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0.65</c:v>
                </c:pt>
                <c:pt idx="3">
                  <c:v>0.65</c:v>
                </c:pt>
              </c:numCache>
            </c:numRef>
          </c:xVal>
          <c:yVal>
            <c:numRef>
              <c:f>'geom masse muro+tensioni'!$P$82:$P$85</c:f>
              <c:numCache>
                <c:formatCode>General</c:formatCode>
                <c:ptCount val="4"/>
                <c:pt idx="0">
                  <c:v>0.5</c:v>
                </c:pt>
                <c:pt idx="1">
                  <c:v>1.05</c:v>
                </c:pt>
                <c:pt idx="2">
                  <c:v>1.05</c:v>
                </c:pt>
                <c:pt idx="3">
                  <c:v>0.5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11499312"/>
        <c:axId val="-311504208"/>
      </c:scatterChart>
      <c:valAx>
        <c:axId val="-3114965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311490064"/>
        <c:crosses val="autoZero"/>
        <c:crossBetween val="midCat"/>
      </c:valAx>
      <c:valAx>
        <c:axId val="-3114900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311496592"/>
        <c:crosses val="autoZero"/>
        <c:crossBetween val="midCat"/>
      </c:valAx>
      <c:valAx>
        <c:axId val="-31150420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-311499312"/>
        <c:crosses val="max"/>
        <c:crossBetween val="midCat"/>
      </c:valAx>
      <c:valAx>
        <c:axId val="-311499312"/>
        <c:scaling>
          <c:orientation val="minMax"/>
        </c:scaling>
        <c:delete val="1"/>
        <c:axPos val="t"/>
        <c:numFmt formatCode="0.00" sourceLinked="1"/>
        <c:majorTickMark val="out"/>
        <c:minorTickMark val="none"/>
        <c:tickLblPos val="nextTo"/>
        <c:crossAx val="-311504208"/>
        <c:crosses val="max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TENSIONI</a:t>
            </a:r>
            <a:r>
              <a:rPr lang="it-IT" baseline="0"/>
              <a:t> ORIZZONTALI</a:t>
            </a:r>
            <a:endParaRPr lang="it-IT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453035883664497"/>
          <c:y val="0.1121764643976331"/>
          <c:w val="0.78969535993629558"/>
          <c:h val="0.84744072316073094"/>
        </c:manualLayout>
      </c:layout>
      <c:scatterChart>
        <c:scatterStyle val="lineMarker"/>
        <c:varyColors val="0"/>
        <c:ser>
          <c:idx val="0"/>
          <c:order val="0"/>
          <c:tx>
            <c:v>COND. NON DRENATE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'FOGLIO DEPOSITO'!$P$166:$P$174</c:f>
              <c:numCache>
                <c:formatCode>0.00</c:formatCode>
                <c:ptCount val="9"/>
                <c:pt idx="0">
                  <c:v>1.0181698404103103</c:v>
                </c:pt>
                <c:pt idx="1">
                  <c:v>50.084298911001504</c:v>
                </c:pt>
                <c:pt idx="2">
                  <c:v>50.084298911001504</c:v>
                </c:pt>
                <c:pt idx="3">
                  <c:v>50.084298911001504</c:v>
                </c:pt>
                <c:pt idx="4">
                  <c:v>50.084298911001504</c:v>
                </c:pt>
                <c:pt idx="5">
                  <c:v>50.084298911001504</c:v>
                </c:pt>
                <c:pt idx="6">
                  <c:v>50.084298911001504</c:v>
                </c:pt>
                <c:pt idx="7">
                  <c:v>50.084298911001504</c:v>
                </c:pt>
                <c:pt idx="8">
                  <c:v>50.084298911001504</c:v>
                </c:pt>
              </c:numCache>
            </c:numRef>
          </c:xVal>
          <c:yVal>
            <c:numRef>
              <c:f>'FOGLIO DEPOSITO'!$O$166:$O$174</c:f>
              <c:numCache>
                <c:formatCode>0.00" m"</c:formatCode>
                <c:ptCount val="9"/>
                <c:pt idx="0">
                  <c:v>0</c:v>
                </c:pt>
                <c:pt idx="1">
                  <c:v>5.03206159226088</c:v>
                </c:pt>
                <c:pt idx="2">
                  <c:v>5.03206159226088</c:v>
                </c:pt>
                <c:pt idx="3">
                  <c:v>5.03206159226088</c:v>
                </c:pt>
                <c:pt idx="4">
                  <c:v>5.03206159226088</c:v>
                </c:pt>
                <c:pt idx="5">
                  <c:v>5.03206159226088</c:v>
                </c:pt>
                <c:pt idx="6">
                  <c:v>5.03206159226088</c:v>
                </c:pt>
                <c:pt idx="7">
                  <c:v>5.03206159226088</c:v>
                </c:pt>
                <c:pt idx="8">
                  <c:v>5.03206159226088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7B-4663-977D-C0A8A015D2E4}"/>
            </c:ext>
          </c:extLst>
        </c:ser>
        <c:ser>
          <c:idx val="1"/>
          <c:order val="1"/>
          <c:tx>
            <c:v>COND. DRENATE</c:v>
          </c:tx>
          <c:spPr>
            <a:ln w="19050" cap="rnd">
              <a:solidFill>
                <a:schemeClr val="bg2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'FOGLIO DEPOSITO'!$T$166:$T$174</c:f>
              <c:numCache>
                <c:formatCode>0.00</c:formatCode>
                <c:ptCount val="9"/>
                <c:pt idx="0">
                  <c:v>1.0181698404103103</c:v>
                </c:pt>
                <c:pt idx="1">
                  <c:v>50.084298911001504</c:v>
                </c:pt>
                <c:pt idx="2">
                  <c:v>50.084298911001504</c:v>
                </c:pt>
                <c:pt idx="3">
                  <c:v>50.084298911001504</c:v>
                </c:pt>
                <c:pt idx="4">
                  <c:v>50.084298911001504</c:v>
                </c:pt>
                <c:pt idx="5">
                  <c:v>50.084298911001504</c:v>
                </c:pt>
                <c:pt idx="6">
                  <c:v>50.084298911001504</c:v>
                </c:pt>
                <c:pt idx="7">
                  <c:v>50.084298911001504</c:v>
                </c:pt>
                <c:pt idx="8">
                  <c:v>50.084298911001504</c:v>
                </c:pt>
              </c:numCache>
            </c:numRef>
          </c:xVal>
          <c:yVal>
            <c:numRef>
              <c:f>'FOGLIO DEPOSITO'!$S$166:$S$174</c:f>
              <c:numCache>
                <c:formatCode>0.00" m"</c:formatCode>
                <c:ptCount val="9"/>
                <c:pt idx="0">
                  <c:v>0</c:v>
                </c:pt>
                <c:pt idx="1">
                  <c:v>5.03206159226088</c:v>
                </c:pt>
                <c:pt idx="2">
                  <c:v>5.03206159226088</c:v>
                </c:pt>
                <c:pt idx="3">
                  <c:v>5.03206159226088</c:v>
                </c:pt>
                <c:pt idx="4">
                  <c:v>5.03206159226088</c:v>
                </c:pt>
                <c:pt idx="5">
                  <c:v>5.03206159226088</c:v>
                </c:pt>
                <c:pt idx="6">
                  <c:v>5.03206159226088</c:v>
                </c:pt>
                <c:pt idx="7">
                  <c:v>5.03206159226088</c:v>
                </c:pt>
                <c:pt idx="8">
                  <c:v>5.03206159226088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7B-4663-977D-C0A8A015D2E4}"/>
            </c:ext>
          </c:extLst>
        </c:ser>
        <c:ser>
          <c:idx val="2"/>
          <c:order val="2"/>
          <c:tx>
            <c:v>COND NON DRENATE +sovracq</c:v>
          </c:tx>
          <c:spPr>
            <a:ln w="19050" cap="rnd">
              <a:solidFill>
                <a:srgbClr val="00B0F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'FOGLIO DEPOSITO'!$X$166:$X$174</c:f>
              <c:numCache>
                <c:formatCode>0.00</c:formatCode>
                <c:ptCount val="9"/>
                <c:pt idx="0">
                  <c:v>1.0181698404103103</c:v>
                </c:pt>
                <c:pt idx="1">
                  <c:v>50.084298911001504</c:v>
                </c:pt>
                <c:pt idx="2">
                  <c:v>50.084298911001504</c:v>
                </c:pt>
                <c:pt idx="3">
                  <c:v>50.084298911001504</c:v>
                </c:pt>
                <c:pt idx="4">
                  <c:v>50.084298911001504</c:v>
                </c:pt>
                <c:pt idx="5">
                  <c:v>50.084298911001504</c:v>
                </c:pt>
                <c:pt idx="6">
                  <c:v>50.084298911001504</c:v>
                </c:pt>
                <c:pt idx="7">
                  <c:v>50.084298911001504</c:v>
                </c:pt>
                <c:pt idx="8">
                  <c:v>50.084298911001504</c:v>
                </c:pt>
              </c:numCache>
            </c:numRef>
          </c:xVal>
          <c:yVal>
            <c:numRef>
              <c:f>'FOGLIO DEPOSITO'!$V$166:$V$174</c:f>
              <c:numCache>
                <c:formatCode>0.00" m"</c:formatCode>
                <c:ptCount val="9"/>
                <c:pt idx="0">
                  <c:v>0</c:v>
                </c:pt>
                <c:pt idx="1">
                  <c:v>5.03206159226088</c:v>
                </c:pt>
                <c:pt idx="2">
                  <c:v>5.03206159226088</c:v>
                </c:pt>
                <c:pt idx="3">
                  <c:v>5.03206159226088</c:v>
                </c:pt>
                <c:pt idx="4">
                  <c:v>5.03206159226088</c:v>
                </c:pt>
                <c:pt idx="5">
                  <c:v>5.03206159226088</c:v>
                </c:pt>
                <c:pt idx="6">
                  <c:v>5.03206159226088</c:v>
                </c:pt>
                <c:pt idx="7">
                  <c:v>5.03206159226088</c:v>
                </c:pt>
                <c:pt idx="8">
                  <c:v>5.03206159226088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17B-4663-977D-C0A8A015D2E4}"/>
            </c:ext>
          </c:extLst>
        </c:ser>
        <c:ser>
          <c:idx val="3"/>
          <c:order val="3"/>
          <c:tx>
            <c:v>COND DRENATE +sovracq</c:v>
          </c:tx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'FOGLIO DEPOSITO'!$AB$166:$AB$174</c:f>
              <c:numCache>
                <c:formatCode>0.00</c:formatCode>
                <c:ptCount val="9"/>
                <c:pt idx="0">
                  <c:v>1.0181698404103103</c:v>
                </c:pt>
                <c:pt idx="1">
                  <c:v>50.084298911001504</c:v>
                </c:pt>
                <c:pt idx="2">
                  <c:v>50.084298911001504</c:v>
                </c:pt>
                <c:pt idx="3">
                  <c:v>50.084298911001504</c:v>
                </c:pt>
                <c:pt idx="4">
                  <c:v>50.084298911001504</c:v>
                </c:pt>
                <c:pt idx="5">
                  <c:v>50.084298911001504</c:v>
                </c:pt>
                <c:pt idx="6">
                  <c:v>50.084298911001504</c:v>
                </c:pt>
                <c:pt idx="7">
                  <c:v>50.084298911001504</c:v>
                </c:pt>
                <c:pt idx="8">
                  <c:v>50.084298911001504</c:v>
                </c:pt>
              </c:numCache>
            </c:numRef>
          </c:xVal>
          <c:yVal>
            <c:numRef>
              <c:f>'FOGLIO DEPOSITO'!$Z$166:$Z$174</c:f>
              <c:numCache>
                <c:formatCode>0.00" m"</c:formatCode>
                <c:ptCount val="9"/>
                <c:pt idx="0">
                  <c:v>0</c:v>
                </c:pt>
                <c:pt idx="1">
                  <c:v>5.03206159226088</c:v>
                </c:pt>
                <c:pt idx="2">
                  <c:v>5.03206159226088</c:v>
                </c:pt>
                <c:pt idx="3">
                  <c:v>5.03206159226088</c:v>
                </c:pt>
                <c:pt idx="4">
                  <c:v>5.03206159226088</c:v>
                </c:pt>
                <c:pt idx="5">
                  <c:v>5.03206159226088</c:v>
                </c:pt>
                <c:pt idx="6">
                  <c:v>5.03206159226088</c:v>
                </c:pt>
                <c:pt idx="7">
                  <c:v>5.03206159226088</c:v>
                </c:pt>
                <c:pt idx="8">
                  <c:v>5.03206159226088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17B-4663-977D-C0A8A015D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45762976"/>
        <c:axId val="-245763520"/>
      </c:scatterChart>
      <c:valAx>
        <c:axId val="-245762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245763520"/>
        <c:crosses val="autoZero"/>
        <c:crossBetween val="midCat"/>
      </c:valAx>
      <c:valAx>
        <c:axId val="-245763520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&quot; m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2457629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TENSIONI</a:t>
            </a:r>
            <a:r>
              <a:rPr lang="it-IT" baseline="0"/>
              <a:t> VERTICALI</a:t>
            </a:r>
            <a:endParaRPr lang="it-IT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865382096698998"/>
          <c:y val="0.10574042419417314"/>
          <c:w val="0.78969535993629558"/>
          <c:h val="0.81082657612885456"/>
        </c:manualLayout>
      </c:layout>
      <c:scatterChart>
        <c:scatterStyle val="lineMarker"/>
        <c:varyColors val="0"/>
        <c:ser>
          <c:idx val="0"/>
          <c:order val="0"/>
          <c:tx>
            <c:v>COND. NON DRENATE (tensioni totali)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'FOGLIO DEPOSITO'!$N$166:$N$174</c:f>
              <c:numCache>
                <c:formatCode>0.00</c:formatCode>
                <c:ptCount val="9"/>
                <c:pt idx="0">
                  <c:v>2</c:v>
                </c:pt>
                <c:pt idx="1">
                  <c:v>92.577108660695842</c:v>
                </c:pt>
                <c:pt idx="2">
                  <c:v>92.577108660695842</c:v>
                </c:pt>
                <c:pt idx="3">
                  <c:v>92.577108660695842</c:v>
                </c:pt>
                <c:pt idx="4">
                  <c:v>92.577108660695842</c:v>
                </c:pt>
                <c:pt idx="5">
                  <c:v>92.577108660695842</c:v>
                </c:pt>
                <c:pt idx="6">
                  <c:v>92.577108660695842</c:v>
                </c:pt>
                <c:pt idx="7">
                  <c:v>92.577108660695842</c:v>
                </c:pt>
                <c:pt idx="8">
                  <c:v>92.577108660695842</c:v>
                </c:pt>
              </c:numCache>
            </c:numRef>
          </c:xVal>
          <c:yVal>
            <c:numRef>
              <c:f>'FOGLIO DEPOSITO'!$M$166:$M$174</c:f>
              <c:numCache>
                <c:formatCode>0.00" m"</c:formatCode>
                <c:ptCount val="9"/>
                <c:pt idx="0">
                  <c:v>0</c:v>
                </c:pt>
                <c:pt idx="1">
                  <c:v>5.03206159226088</c:v>
                </c:pt>
                <c:pt idx="2">
                  <c:v>5.03206159226088</c:v>
                </c:pt>
                <c:pt idx="3">
                  <c:v>5.03206159226088</c:v>
                </c:pt>
                <c:pt idx="4">
                  <c:v>5.03206159226088</c:v>
                </c:pt>
                <c:pt idx="5">
                  <c:v>5.03206159226088</c:v>
                </c:pt>
                <c:pt idx="6">
                  <c:v>5.03206159226088</c:v>
                </c:pt>
                <c:pt idx="7">
                  <c:v>5.03206159226088</c:v>
                </c:pt>
                <c:pt idx="8">
                  <c:v>5.03206159226088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200-49C6-A642-30AACDE6E4E8}"/>
            </c:ext>
          </c:extLst>
        </c:ser>
        <c:ser>
          <c:idx val="1"/>
          <c:order val="1"/>
          <c:tx>
            <c:v>COND. DRENATE (tensioni efficaci)</c:v>
          </c:tx>
          <c:spPr>
            <a:ln w="19050" cap="rnd">
              <a:solidFill>
                <a:schemeClr val="bg2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'FOGLIO DEPOSITO'!$R$166:$R$174</c:f>
              <c:numCache>
                <c:formatCode>0.00</c:formatCode>
                <c:ptCount val="9"/>
                <c:pt idx="0">
                  <c:v>2</c:v>
                </c:pt>
                <c:pt idx="1">
                  <c:v>92.577108660695842</c:v>
                </c:pt>
                <c:pt idx="2">
                  <c:v>92.577108660695842</c:v>
                </c:pt>
                <c:pt idx="3">
                  <c:v>92.577108660695842</c:v>
                </c:pt>
                <c:pt idx="4">
                  <c:v>92.577108660695842</c:v>
                </c:pt>
                <c:pt idx="5">
                  <c:v>92.577108660695842</c:v>
                </c:pt>
                <c:pt idx="6">
                  <c:v>92.577108660695842</c:v>
                </c:pt>
                <c:pt idx="7">
                  <c:v>92.577108660695842</c:v>
                </c:pt>
                <c:pt idx="8">
                  <c:v>92.577108660695842</c:v>
                </c:pt>
              </c:numCache>
            </c:numRef>
          </c:xVal>
          <c:yVal>
            <c:numRef>
              <c:f>'FOGLIO DEPOSITO'!$Q$166:$Q$174</c:f>
              <c:numCache>
                <c:formatCode>0.00" m"</c:formatCode>
                <c:ptCount val="9"/>
                <c:pt idx="0">
                  <c:v>0</c:v>
                </c:pt>
                <c:pt idx="1">
                  <c:v>5.03206159226088</c:v>
                </c:pt>
                <c:pt idx="2">
                  <c:v>5.03206159226088</c:v>
                </c:pt>
                <c:pt idx="3">
                  <c:v>5.03206159226088</c:v>
                </c:pt>
                <c:pt idx="4">
                  <c:v>5.03206159226088</c:v>
                </c:pt>
                <c:pt idx="5">
                  <c:v>5.03206159226088</c:v>
                </c:pt>
                <c:pt idx="6">
                  <c:v>5.03206159226088</c:v>
                </c:pt>
                <c:pt idx="7">
                  <c:v>5.03206159226088</c:v>
                </c:pt>
                <c:pt idx="8">
                  <c:v>5.03206159226088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200-49C6-A642-30AACDE6E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45764064"/>
        <c:axId val="-245772224"/>
      </c:scatterChart>
      <c:valAx>
        <c:axId val="-24576406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245772224"/>
        <c:crosses val="autoZero"/>
        <c:crossBetween val="midCat"/>
      </c:valAx>
      <c:valAx>
        <c:axId val="-245772224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&quot; m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-245764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68804482341266"/>
          <c:y val="0.94040288851955667"/>
          <c:w val="0.80772768688888008"/>
          <c:h val="4.37382504123636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37909646769024"/>
          <c:y val="7.6487525625162964E-2"/>
          <c:w val="0.64649066860089499"/>
          <c:h val="0.76759132403682995"/>
        </c:manualLayout>
      </c:layout>
      <c:scatterChart>
        <c:scatterStyle val="lineMarker"/>
        <c:varyColors val="0"/>
        <c:ser>
          <c:idx val="6"/>
          <c:order val="0"/>
          <c:spPr>
            <a:ln w="2857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muro+tensioni'!$J$44:$J$58</c:f>
              <c:numCache>
                <c:formatCode>General</c:formatCode>
                <c:ptCount val="15"/>
                <c:pt idx="0">
                  <c:v>0</c:v>
                </c:pt>
                <c:pt idx="1">
                  <c:v>2.8</c:v>
                </c:pt>
                <c:pt idx="2">
                  <c:v>2.8</c:v>
                </c:pt>
                <c:pt idx="3">
                  <c:v>3.4</c:v>
                </c:pt>
                <c:pt idx="4">
                  <c:v>3.4</c:v>
                </c:pt>
                <c:pt idx="5">
                  <c:v>3.4</c:v>
                </c:pt>
                <c:pt idx="6" formatCode="0.000">
                  <c:v>3.4</c:v>
                </c:pt>
                <c:pt idx="7" formatCode="0.000">
                  <c:v>1.5100100000000001</c:v>
                </c:pt>
                <c:pt idx="8" formatCode="0.000">
                  <c:v>0.89</c:v>
                </c:pt>
                <c:pt idx="9" formatCode="0.000">
                  <c:v>0.77</c:v>
                </c:pt>
                <c:pt idx="10" formatCode="0.000">
                  <c:v>0.77</c:v>
                </c:pt>
                <c:pt idx="11" formatCode="0.000">
                  <c:v>0.65</c:v>
                </c:pt>
                <c:pt idx="12" formatCode="0.000">
                  <c:v>0.65</c:v>
                </c:pt>
                <c:pt idx="13" formatCode="0.000">
                  <c:v>0</c:v>
                </c:pt>
                <c:pt idx="14" formatCode="0.000">
                  <c:v>0</c:v>
                </c:pt>
              </c:numCache>
            </c:numRef>
          </c:xVal>
          <c:yVal>
            <c:numRef>
              <c:f>'geom masse muro+tensioni'!$K$44:$K$58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-0.6</c:v>
                </c:pt>
                <c:pt idx="3">
                  <c:v>-0.6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0.5</c:v>
                </c:pt>
                <c:pt idx="8">
                  <c:v>4.8</c:v>
                </c:pt>
                <c:pt idx="9">
                  <c:v>4.8</c:v>
                </c:pt>
                <c:pt idx="10">
                  <c:v>5</c:v>
                </c:pt>
                <c:pt idx="11">
                  <c:v>5</c:v>
                </c:pt>
                <c:pt idx="12">
                  <c:v>0.50000000000000022</c:v>
                </c:pt>
                <c:pt idx="13">
                  <c:v>0.50000000000000022</c:v>
                </c:pt>
                <c:pt idx="1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47-4C5F-91B3-7F23020816EC}"/>
            </c:ext>
          </c:extLst>
        </c:ser>
        <c:ser>
          <c:idx val="7"/>
          <c:order val="1"/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muro+tensioni'!$J$60:$J$61</c:f>
              <c:numCache>
                <c:formatCode>General</c:formatCode>
                <c:ptCount val="2"/>
                <c:pt idx="0">
                  <c:v>0.77</c:v>
                </c:pt>
                <c:pt idx="1">
                  <c:v>0.77</c:v>
                </c:pt>
              </c:numCache>
            </c:numRef>
          </c:xVal>
          <c:yVal>
            <c:numRef>
              <c:f>'geom masse muro+tensioni'!$K$60:$K$61</c:f>
              <c:numCache>
                <c:formatCode>General</c:formatCode>
                <c:ptCount val="2"/>
                <c:pt idx="0">
                  <c:v>0.5</c:v>
                </c:pt>
                <c:pt idx="1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47-4C5F-91B3-7F23020816EC}"/>
            </c:ext>
          </c:extLst>
        </c:ser>
        <c:ser>
          <c:idx val="8"/>
          <c:order val="2"/>
          <c:spPr>
            <a:ln w="19050" cap="rnd">
              <a:solidFill>
                <a:schemeClr val="accent3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muro+tensioni'!$J$62:$J$63</c:f>
              <c:numCache>
                <c:formatCode>0.000</c:formatCode>
                <c:ptCount val="2"/>
                <c:pt idx="0" formatCode="General">
                  <c:v>0.77</c:v>
                </c:pt>
                <c:pt idx="1">
                  <c:v>1.5100100000000001</c:v>
                </c:pt>
              </c:numCache>
            </c:numRef>
          </c:xVal>
          <c:yVal>
            <c:numRef>
              <c:f>'geom masse muro+tensioni'!$K$62:$K$63</c:f>
              <c:numCache>
                <c:formatCode>General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547-4C5F-91B3-7F23020816EC}"/>
            </c:ext>
          </c:extLst>
        </c:ser>
        <c:ser>
          <c:idx val="9"/>
          <c:order val="3"/>
          <c:spPr>
            <a:ln w="95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muro+tensioni'!$J$65</c:f>
              <c:numCache>
                <c:formatCode>General</c:formatCode>
                <c:ptCount val="1"/>
                <c:pt idx="0">
                  <c:v>0.65</c:v>
                </c:pt>
              </c:numCache>
            </c:numRef>
          </c:xVal>
          <c:yVal>
            <c:numRef>
              <c:f>'geom masse muro+tensioni'!$K$65</c:f>
              <c:numCache>
                <c:formatCode>General</c:formatCode>
                <c:ptCount val="1"/>
                <c:pt idx="0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547-4C5F-91B3-7F23020816EC}"/>
            </c:ext>
          </c:extLst>
        </c:ser>
        <c:ser>
          <c:idx val="10"/>
          <c:order val="4"/>
          <c:spPr>
            <a:ln w="952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muro+tensioni'!$J$66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547-4C5F-91B3-7F23020816EC}"/>
            </c:ext>
          </c:extLst>
        </c:ser>
        <c:ser>
          <c:idx val="11"/>
          <c:order val="5"/>
          <c:spPr>
            <a:ln w="952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'geom masse muro+tensioni'!$J$67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muro+tensioni'!$K$67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547-4C5F-91B3-7F23020816EC}"/>
            </c:ext>
          </c:extLst>
        </c:ser>
        <c:ser>
          <c:idx val="0"/>
          <c:order val="6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547-4C5F-91B3-7F23020816E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36062265231801111"/>
                  <c:y val="4.836060199202123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547-4C5F-91B3-7F23020816EC}"/>
                </c:ext>
                <c:ext xmlns:c15="http://schemas.microsoft.com/office/drawing/2012/chart" uri="{CE6537A1-D6FC-4f65-9D91-7224C49458BB}">
                  <c15:layout>
                    <c:manualLayout>
                      <c:w val="0.15960925362994788"/>
                      <c:h val="5.106104357575203E-2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0.16189903908325814"/>
                  <c:y val="7.7493231123743206E-2"/>
                </c:manualLayout>
              </c:layout>
              <c:numFmt formatCode="#,##0.00&quot; m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547-4C5F-91B3-7F23020816EC}"/>
                </c:ext>
                <c:ext xmlns:c15="http://schemas.microsoft.com/office/drawing/2012/chart" uri="{CE6537A1-D6FC-4f65-9D91-7224C49458BB}">
                  <c15:layout>
                    <c:manualLayout>
                      <c:w val="0.21257646644075051"/>
                      <c:h val="3.9379355719720323E-2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0.10885757293087357"/>
                  <c:y val="0.1151030480558062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501268175603095E-2"/>
                  <c:y val="3.49935204889477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0312017752734206E-2"/>
                  <c:y val="0.1092663816640050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3612282781806847E-2"/>
                  <c:y val="-2.41053373910363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3415280524581589E-2"/>
                  <c:y val="-4.2034740467780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9.3875469040631807E-2"/>
                  <c:y val="4.30945501891003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0093305375934146"/>
                  <c:y val="-2.80032930666275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1.0024584915712313E-2"/>
                  <c:y val="-6.8621639686343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6344415180032665"/>
                  <c:y val="-0.121048501939420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562056139630592"/>
                  <c:y val="-3.47935312433771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2547-4C5F-91B3-7F23020816EC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2547-4C5F-91B3-7F23020816EC}"/>
                </c:ext>
                <c:ext xmlns:c15="http://schemas.microsoft.com/office/drawing/2012/chart" uri="{CE6537A1-D6FC-4f65-9D91-7224C49458BB}"/>
              </c:extLst>
            </c:dLbl>
            <c:numFmt formatCode="#,##0.00&quot; m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muro+tensioni'!$J$44:$J$58</c:f>
              <c:numCache>
                <c:formatCode>General</c:formatCode>
                <c:ptCount val="15"/>
                <c:pt idx="0">
                  <c:v>0</c:v>
                </c:pt>
                <c:pt idx="1">
                  <c:v>2.8</c:v>
                </c:pt>
                <c:pt idx="2">
                  <c:v>2.8</c:v>
                </c:pt>
                <c:pt idx="3">
                  <c:v>3.4</c:v>
                </c:pt>
                <c:pt idx="4">
                  <c:v>3.4</c:v>
                </c:pt>
                <c:pt idx="5">
                  <c:v>3.4</c:v>
                </c:pt>
                <c:pt idx="6" formatCode="0.000">
                  <c:v>3.4</c:v>
                </c:pt>
                <c:pt idx="7" formatCode="0.000">
                  <c:v>1.5100100000000001</c:v>
                </c:pt>
                <c:pt idx="8" formatCode="0.000">
                  <c:v>0.89</c:v>
                </c:pt>
                <c:pt idx="9" formatCode="0.000">
                  <c:v>0.77</c:v>
                </c:pt>
                <c:pt idx="10" formatCode="0.000">
                  <c:v>0.77</c:v>
                </c:pt>
                <c:pt idx="11" formatCode="0.000">
                  <c:v>0.65</c:v>
                </c:pt>
                <c:pt idx="12" formatCode="0.000">
                  <c:v>0.65</c:v>
                </c:pt>
                <c:pt idx="13" formatCode="0.000">
                  <c:v>0</c:v>
                </c:pt>
                <c:pt idx="14" formatCode="0.000">
                  <c:v>0</c:v>
                </c:pt>
              </c:numCache>
            </c:numRef>
          </c:xVal>
          <c:yVal>
            <c:numRef>
              <c:f>'geom masse muro+tensioni'!$K$44:$K$58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-0.6</c:v>
                </c:pt>
                <c:pt idx="3">
                  <c:v>-0.6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0.5</c:v>
                </c:pt>
                <c:pt idx="8">
                  <c:v>4.8</c:v>
                </c:pt>
                <c:pt idx="9">
                  <c:v>4.8</c:v>
                </c:pt>
                <c:pt idx="10">
                  <c:v>5</c:v>
                </c:pt>
                <c:pt idx="11">
                  <c:v>5</c:v>
                </c:pt>
                <c:pt idx="12">
                  <c:v>0.50000000000000022</c:v>
                </c:pt>
                <c:pt idx="13">
                  <c:v>0.50000000000000022</c:v>
                </c:pt>
                <c:pt idx="14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5-2547-4C5F-91B3-7F23020816EC}"/>
            </c:ext>
          </c:extLst>
        </c:ser>
        <c:ser>
          <c:idx val="1"/>
          <c:order val="7"/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'geom masse muro+tensioni'!$J$60:$J$61</c:f>
              <c:numCache>
                <c:formatCode>General</c:formatCode>
                <c:ptCount val="2"/>
                <c:pt idx="0">
                  <c:v>0.77</c:v>
                </c:pt>
                <c:pt idx="1">
                  <c:v>0.77</c:v>
                </c:pt>
              </c:numCache>
            </c:numRef>
          </c:xVal>
          <c:yVal>
            <c:numRef>
              <c:f>'geom masse muro+tensioni'!$K$60:$K$61</c:f>
              <c:numCache>
                <c:formatCode>General</c:formatCode>
                <c:ptCount val="2"/>
                <c:pt idx="0">
                  <c:v>0.5</c:v>
                </c:pt>
                <c:pt idx="1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6-2547-4C5F-91B3-7F23020816EC}"/>
            </c:ext>
          </c:extLst>
        </c:ser>
        <c:ser>
          <c:idx val="2"/>
          <c:order val="8"/>
          <c:spPr>
            <a:ln w="19050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5500099837489476E-2"/>
                  <c:y val="3.944509754896869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2547-4C5F-91B3-7F23020816EC}"/>
                </c:ext>
                <c:ext xmlns:c15="http://schemas.microsoft.com/office/drawing/2012/chart" uri="{CE6537A1-D6FC-4f65-9D91-7224C49458BB}"/>
              </c:extLst>
            </c:dLbl>
            <c:numFmt formatCode="#,##0.00&quot; m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muro+tensioni'!$J$62:$J$63</c:f>
              <c:numCache>
                <c:formatCode>0.000</c:formatCode>
                <c:ptCount val="2"/>
                <c:pt idx="0" formatCode="General">
                  <c:v>0.77</c:v>
                </c:pt>
                <c:pt idx="1">
                  <c:v>1.5100100000000001</c:v>
                </c:pt>
              </c:numCache>
            </c:numRef>
          </c:xVal>
          <c:yVal>
            <c:numRef>
              <c:f>'geom masse muro+tensioni'!$K$62:$K$63</c:f>
              <c:numCache>
                <c:formatCode>General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9-2547-4C5F-91B3-7F23020816EC}"/>
            </c:ext>
          </c:extLst>
        </c:ser>
        <c:ser>
          <c:idx val="3"/>
          <c:order val="9"/>
          <c:spPr>
            <a:ln w="95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4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35091013064707705"/>
                  <c:y val="1.755677279470463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SEZIONE 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2547-4C5F-91B3-7F23020816EC}"/>
                </c:ext>
                <c:ext xmlns:c15="http://schemas.microsoft.com/office/drawing/2012/chart" uri="{CE6537A1-D6FC-4f65-9D91-7224C49458BB}">
                  <c15:layout>
                    <c:manualLayout>
                      <c:w val="0.18286998626178547"/>
                      <c:h val="4.8331287744394387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muro+tensioni'!$J$65</c:f>
              <c:numCache>
                <c:formatCode>General</c:formatCode>
                <c:ptCount val="1"/>
                <c:pt idx="0">
                  <c:v>0.65</c:v>
                </c:pt>
              </c:numCache>
            </c:numRef>
          </c:xVal>
          <c:yVal>
            <c:numRef>
              <c:f>'geom masse muro+tensioni'!$K$65</c:f>
              <c:numCache>
                <c:formatCode>General</c:formatCode>
                <c:ptCount val="1"/>
                <c:pt idx="0">
                  <c:v>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B-2547-4C5F-91B3-7F2302081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45760256"/>
        <c:axId val="-245761344"/>
      </c:scatterChart>
      <c:scatterChart>
        <c:scatterStyle val="smoothMarker"/>
        <c:varyColors val="0"/>
        <c:ser>
          <c:idx val="4"/>
          <c:order val="10"/>
          <c:spPr>
            <a:ln w="95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5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22803511292931958"/>
                  <c:y val="-3.721580998027421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>
                        <a:solidFill>
                          <a:srgbClr val="FF0000"/>
                        </a:solidFill>
                      </a:rPr>
                      <a:t>origine</a:t>
                    </a:r>
                    <a:r>
                      <a:rPr lang="en-US" b="1" baseline="0">
                        <a:solidFill>
                          <a:srgbClr val="FF0000"/>
                        </a:solidFill>
                      </a:rPr>
                      <a:t> degli assi</a:t>
                    </a:r>
                    <a:endParaRPr lang="en-US" b="1">
                      <a:solidFill>
                        <a:srgbClr val="FF0000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2547-4C5F-91B3-7F23020816EC}"/>
                </c:ext>
                <c:ext xmlns:c15="http://schemas.microsoft.com/office/drawing/2012/chart" uri="{CE6537A1-D6FC-4f65-9D91-7224C49458BB}">
                  <c15:layout>
                    <c:manualLayout>
                      <c:w val="0.22229318592415595"/>
                      <c:h val="4.1682832096741423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muro+tensioni'!$J$66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muro+tensioni'!$K$66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D-2547-4C5F-91B3-7F23020816EC}"/>
            </c:ext>
          </c:extLst>
        </c:ser>
        <c:ser>
          <c:idx val="5"/>
          <c:order val="11"/>
          <c:spPr>
            <a:ln w="952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6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22539678981735176"/>
                  <c:y val="1.640823643066318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SEZIONE</a:t>
                    </a:r>
                    <a:r>
                      <a:rPr lang="en-US" b="1" baseline="0"/>
                      <a:t> 3</a:t>
                    </a:r>
                    <a:endParaRPr lang="en-US" b="1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2547-4C5F-91B3-7F23020816EC}"/>
                </c:ext>
                <c:ext xmlns:c15="http://schemas.microsoft.com/office/drawing/2012/chart" uri="{CE6537A1-D6FC-4f65-9D91-7224C49458BB}">
                  <c15:layout>
                    <c:manualLayout>
                      <c:w val="0.14626216082720853"/>
                      <c:h val="3.4951876463338055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muro+tensioni'!$J$67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'geom masse muro+tensioni'!$K$67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F-2547-4C5F-91B3-7F23020816EC}"/>
            </c:ext>
          </c:extLst>
        </c:ser>
        <c:ser>
          <c:idx val="12"/>
          <c:order val="12"/>
          <c:spPr>
            <a:ln w="952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80000"/>
                    <a:lumOff val="20000"/>
                  </a:schemeClr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20295861661094511"/>
                  <c:y val="-0.113712203797833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SEZIONE 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2547-4C5F-91B3-7F23020816E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'geom masse muro+tensioni'!$J$68</c:f>
              <c:numCache>
                <c:formatCode>General</c:formatCode>
                <c:ptCount val="1"/>
                <c:pt idx="0">
                  <c:v>0.65</c:v>
                </c:pt>
              </c:numCache>
            </c:numRef>
          </c:xVal>
          <c:yVal>
            <c:numRef>
              <c:f>'geom masse muro+tensioni'!$K$68</c:f>
              <c:numCache>
                <c:formatCode>General</c:formatCode>
                <c:ptCount val="1"/>
                <c:pt idx="0">
                  <c:v>0.5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1-2547-4C5F-91B3-7F23020816EC}"/>
            </c:ext>
          </c:extLst>
        </c:ser>
        <c:ser>
          <c:idx val="13"/>
          <c:order val="13"/>
          <c:spPr>
            <a:ln w="9525" cap="rnd">
              <a:solidFill>
                <a:schemeClr val="accent2">
                  <a:lumMod val="80000"/>
                  <a:lumOff val="2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gradFill flip="none" rotWithShape="1">
                <a:gsLst>
                  <a:gs pos="0">
                    <a:srgbClr val="FF0000">
                      <a:shade val="30000"/>
                      <a:satMod val="115000"/>
                    </a:srgbClr>
                  </a:gs>
                  <a:gs pos="50000">
                    <a:srgbClr val="FF0000">
                      <a:shade val="67500"/>
                      <a:satMod val="115000"/>
                    </a:srgbClr>
                  </a:gs>
                  <a:gs pos="100000">
                    <a:srgbClr val="FF0000">
                      <a:shade val="100000"/>
                      <a:satMod val="115000"/>
                    </a:srgbClr>
                  </a:gs>
                </a:gsLst>
                <a:path path="circle">
                  <a:fillToRect l="50000" t="50000" r="50000" b="50000"/>
                </a:path>
                <a:tileRect/>
              </a:gradFill>
              <a:ln w="9525">
                <a:solidFill>
                  <a:schemeClr val="accent2">
                    <a:lumMod val="80000"/>
                    <a:lumOff val="20000"/>
                  </a:schemeClr>
                </a:solidFill>
                <a:prstDash val="sysDash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.21836236909667908"/>
                  <c:y val="-0.1072667366726683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5F7BA4E-175A-4BCC-AFDA-B01F4832574A}" type="XVALUE">
                      <a:rPr lang="en-US" b="1"/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[VALORE X]</a:t>
                    </a:fld>
                    <a:r>
                      <a:rPr lang="en-US" b="1" baseline="0"/>
                      <a:t>; </a:t>
                    </a:r>
                    <a:fld id="{D3C1F569-10DC-4BA0-8C14-CF4812E5DF98}" type="YVALUE">
                      <a:rPr lang="en-US" b="1" baseline="0"/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[VALORE Y]</a:t>
                    </a:fld>
                    <a:r>
                      <a:rPr lang="en-US" b="1" baseline="0"/>
                      <a:t>   BARICENTRO DEL MURO</a:t>
                    </a:r>
                  </a:p>
                </c:rich>
              </c:tx>
              <c:numFmt formatCode="#,##0.00&quot; m&quot;" sourceLinked="0"/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2547-4C5F-91B3-7F23020816EC}"/>
                </c:ext>
                <c:ext xmlns:c15="http://schemas.microsoft.com/office/drawing/2012/chart" uri="{CE6537A1-D6FC-4f65-9D91-7224C49458BB}">
                  <c15:layout>
                    <c:manualLayout>
                      <c:w val="0.22912872172830948"/>
                      <c:h val="9.8984588121881906E-2"/>
                    </c:manualLayout>
                  </c15:layout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xVal>
            <c:numRef>
              <c:f>'VER. EQU COND. NON DRENATE'!$C$38</c:f>
              <c:numCache>
                <c:formatCode>0.000" m"</c:formatCode>
                <c:ptCount val="1"/>
                <c:pt idx="0">
                  <c:v>1.6326655274280244</c:v>
                </c:pt>
              </c:numCache>
            </c:numRef>
          </c:xVal>
          <c:yVal>
            <c:numRef>
              <c:f>'VER. EQU COND. NON DRENATE'!$C$40</c:f>
              <c:numCache>
                <c:formatCode>0.000" m"</c:formatCode>
                <c:ptCount val="1"/>
                <c:pt idx="0">
                  <c:v>0.81324289489780677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23-2547-4C5F-91B3-7F2302081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45760256"/>
        <c:axId val="-245761344"/>
      </c:scatterChart>
      <c:valAx>
        <c:axId val="-24576025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050">
                    <a:latin typeface="Calibri" panose="020F0502020204030204" pitchFamily="34" charset="0"/>
                  </a:rPr>
                  <a:t>asse x →</a:t>
                </a:r>
                <a:endParaRPr lang="it-IT" sz="1050"/>
              </a:p>
            </c:rich>
          </c:tx>
          <c:layout>
            <c:manualLayout>
              <c:xMode val="edge"/>
              <c:yMode val="edge"/>
              <c:x val="0.41384661198217487"/>
              <c:y val="0.968634712419081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crossAx val="-245761344"/>
        <c:crosses val="autoZero"/>
        <c:crossBetween val="midCat"/>
      </c:valAx>
      <c:valAx>
        <c:axId val="-245761344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050">
                    <a:latin typeface="Calibri" panose="020F0502020204030204" pitchFamily="34" charset="0"/>
                  </a:rPr>
                  <a:t> asse z →</a:t>
                </a:r>
                <a:endParaRPr lang="it-IT" sz="1050"/>
              </a:p>
            </c:rich>
          </c:tx>
          <c:layout>
            <c:manualLayout>
              <c:xMode val="edge"/>
              <c:yMode val="edge"/>
              <c:x val="2.6572041623288717E-2"/>
              <c:y val="0.3785962080826854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crossAx val="-245760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0</xdr:row>
      <xdr:rowOff>171451</xdr:rowOff>
    </xdr:from>
    <xdr:ext cx="4810125" cy="478428"/>
    <xdr:pic>
      <xdr:nvPicPr>
        <xdr:cNvPr id="2" name="Immagine 1" descr="Cattura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8175" y="171451"/>
          <a:ext cx="4810125" cy="478428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179916</xdr:colOff>
      <xdr:row>42</xdr:row>
      <xdr:rowOff>31748</xdr:rowOff>
    </xdr:from>
    <xdr:to>
      <xdr:col>27</xdr:col>
      <xdr:colOff>296334</xdr:colOff>
      <xdr:row>60</xdr:row>
      <xdr:rowOff>116416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508000</xdr:colOff>
      <xdr:row>80</xdr:row>
      <xdr:rowOff>137583</xdr:rowOff>
    </xdr:from>
    <xdr:to>
      <xdr:col>18</xdr:col>
      <xdr:colOff>581025</xdr:colOff>
      <xdr:row>112</xdr:row>
      <xdr:rowOff>80433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7407</xdr:colOff>
      <xdr:row>73</xdr:row>
      <xdr:rowOff>157691</xdr:rowOff>
    </xdr:from>
    <xdr:to>
      <xdr:col>7</xdr:col>
      <xdr:colOff>0</xdr:colOff>
      <xdr:row>97</xdr:row>
      <xdr:rowOff>40217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10584</xdr:colOff>
      <xdr:row>130</xdr:row>
      <xdr:rowOff>105833</xdr:rowOff>
    </xdr:from>
    <xdr:to>
      <xdr:col>6</xdr:col>
      <xdr:colOff>804333</xdr:colOff>
      <xdr:row>146</xdr:row>
      <xdr:rowOff>95251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115</xdr:row>
      <xdr:rowOff>148167</xdr:rowOff>
    </xdr:from>
    <xdr:to>
      <xdr:col>6</xdr:col>
      <xdr:colOff>814916</xdr:colOff>
      <xdr:row>130</xdr:row>
      <xdr:rowOff>42334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178</xdr:row>
      <xdr:rowOff>39158</xdr:rowOff>
    </xdr:from>
    <xdr:to>
      <xdr:col>6</xdr:col>
      <xdr:colOff>891117</xdr:colOff>
      <xdr:row>189</xdr:row>
      <xdr:rowOff>158750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32808</xdr:colOff>
      <xdr:row>12</xdr:row>
      <xdr:rowOff>31750</xdr:rowOff>
    </xdr:from>
    <xdr:to>
      <xdr:col>8</xdr:col>
      <xdr:colOff>296333</xdr:colOff>
      <xdr:row>23</xdr:row>
      <xdr:rowOff>179917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10582</xdr:colOff>
      <xdr:row>110</xdr:row>
      <xdr:rowOff>95251</xdr:rowOff>
    </xdr:from>
    <xdr:to>
      <xdr:col>8</xdr:col>
      <xdr:colOff>857250</xdr:colOff>
      <xdr:row>127</xdr:row>
      <xdr:rowOff>74084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31751</xdr:colOff>
      <xdr:row>25</xdr:row>
      <xdr:rowOff>169333</xdr:rowOff>
    </xdr:from>
    <xdr:to>
      <xdr:col>8</xdr:col>
      <xdr:colOff>295276</xdr:colOff>
      <xdr:row>35</xdr:row>
      <xdr:rowOff>2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169334</xdr:colOff>
      <xdr:row>167</xdr:row>
      <xdr:rowOff>127000</xdr:rowOff>
    </xdr:from>
    <xdr:to>
      <xdr:col>6</xdr:col>
      <xdr:colOff>920750</xdr:colOff>
      <xdr:row>176</xdr:row>
      <xdr:rowOff>158750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15874</xdr:colOff>
      <xdr:row>78</xdr:row>
      <xdr:rowOff>112184</xdr:rowOff>
    </xdr:from>
    <xdr:to>
      <xdr:col>6</xdr:col>
      <xdr:colOff>971550</xdr:colOff>
      <xdr:row>108</xdr:row>
      <xdr:rowOff>47626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65616</xdr:colOff>
      <xdr:row>136</xdr:row>
      <xdr:rowOff>96307</xdr:rowOff>
    </xdr:from>
    <xdr:to>
      <xdr:col>6</xdr:col>
      <xdr:colOff>857250</xdr:colOff>
      <xdr:row>162</xdr:row>
      <xdr:rowOff>9525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13</xdr:col>
      <xdr:colOff>466725</xdr:colOff>
      <xdr:row>27</xdr:row>
      <xdr:rowOff>152400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305949</xdr:colOff>
      <xdr:row>11</xdr:row>
      <xdr:rowOff>57450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30749" cy="21529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</xdr:row>
      <xdr:rowOff>73800</xdr:rowOff>
    </xdr:from>
    <xdr:to>
      <xdr:col>13</xdr:col>
      <xdr:colOff>382154</xdr:colOff>
      <xdr:row>30</xdr:row>
      <xdr:rowOff>17174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978800"/>
          <a:ext cx="8268854" cy="375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23812</xdr:rowOff>
    </xdr:from>
    <xdr:to>
      <xdr:col>13</xdr:col>
      <xdr:colOff>609599</xdr:colOff>
      <xdr:row>52</xdr:row>
      <xdr:rowOff>138697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48312"/>
          <a:ext cx="8501062" cy="44963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154725</xdr:rowOff>
    </xdr:from>
    <xdr:to>
      <xdr:col>14</xdr:col>
      <xdr:colOff>35718</xdr:colOff>
      <xdr:row>59</xdr:row>
      <xdr:rowOff>78727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70225"/>
          <a:ext cx="8536781" cy="14480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38025</xdr:rowOff>
    </xdr:from>
    <xdr:to>
      <xdr:col>14</xdr:col>
      <xdr:colOff>35718</xdr:colOff>
      <xdr:row>66</xdr:row>
      <xdr:rowOff>9525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87025"/>
          <a:ext cx="8536781" cy="1495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956800" cy="3009900"/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956800" cy="300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15</xdr:row>
      <xdr:rowOff>95250</xdr:rowOff>
    </xdr:from>
    <xdr:ext cx="9956800" cy="4029075"/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2750"/>
          <a:ext cx="9956800" cy="402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36</xdr:row>
      <xdr:rowOff>38100</xdr:rowOff>
    </xdr:from>
    <xdr:ext cx="9994900" cy="2400300"/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96100"/>
          <a:ext cx="99949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38100</xdr:rowOff>
    </xdr:from>
    <xdr:to>
      <xdr:col>10</xdr:col>
      <xdr:colOff>428973</xdr:colOff>
      <xdr:row>9</xdr:row>
      <xdr:rowOff>200332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0" y="38100"/>
          <a:ext cx="2495898" cy="2200582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52</xdr:row>
      <xdr:rowOff>161925</xdr:rowOff>
    </xdr:from>
    <xdr:to>
      <xdr:col>1</xdr:col>
      <xdr:colOff>1440458</xdr:colOff>
      <xdr:row>59</xdr:row>
      <xdr:rowOff>70017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0610850"/>
          <a:ext cx="1202333" cy="1241592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80</xdr:row>
      <xdr:rowOff>133350</xdr:rowOff>
    </xdr:from>
    <xdr:to>
      <xdr:col>5</xdr:col>
      <xdr:colOff>2569321</xdr:colOff>
      <xdr:row>88</xdr:row>
      <xdr:rowOff>47884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20059650"/>
          <a:ext cx="2074021" cy="151473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10</xdr:col>
      <xdr:colOff>293103</xdr:colOff>
      <xdr:row>94</xdr:row>
      <xdr:rowOff>81457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625" y="17068800"/>
          <a:ext cx="2179053" cy="1605457"/>
        </a:xfrm>
        <a:prstGeom prst="rect">
          <a:avLst/>
        </a:prstGeom>
      </xdr:spPr>
    </xdr:pic>
    <xdr:clientData/>
  </xdr:twoCellAnchor>
  <xdr:twoCellAnchor editAs="oneCell">
    <xdr:from>
      <xdr:col>19</xdr:col>
      <xdr:colOff>590550</xdr:colOff>
      <xdr:row>194</xdr:row>
      <xdr:rowOff>24695</xdr:rowOff>
    </xdr:from>
    <xdr:to>
      <xdr:col>25</xdr:col>
      <xdr:colOff>315258</xdr:colOff>
      <xdr:row>201</xdr:row>
      <xdr:rowOff>28840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9475" y="38534270"/>
          <a:ext cx="4953933" cy="14043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276225</xdr:colOff>
      <xdr:row>91</xdr:row>
      <xdr:rowOff>85724</xdr:rowOff>
    </xdr:from>
    <xdr:to>
      <xdr:col>3</xdr:col>
      <xdr:colOff>390525</xdr:colOff>
      <xdr:row>117</xdr:row>
      <xdr:rowOff>133349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298753</xdr:colOff>
      <xdr:row>118</xdr:row>
      <xdr:rowOff>9525</xdr:rowOff>
    </xdr:from>
    <xdr:to>
      <xdr:col>3</xdr:col>
      <xdr:colOff>352425</xdr:colOff>
      <xdr:row>128</xdr:row>
      <xdr:rowOff>180974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298600</xdr:colOff>
      <xdr:row>129</xdr:row>
      <xdr:rowOff>133350</xdr:rowOff>
    </xdr:from>
    <xdr:to>
      <xdr:col>3</xdr:col>
      <xdr:colOff>371475</xdr:colOff>
      <xdr:row>139</xdr:row>
      <xdr:rowOff>171450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273956</xdr:colOff>
      <xdr:row>140</xdr:row>
      <xdr:rowOff>76200</xdr:rowOff>
    </xdr:from>
    <xdr:to>
      <xdr:col>3</xdr:col>
      <xdr:colOff>390525</xdr:colOff>
      <xdr:row>149</xdr:row>
      <xdr:rowOff>103414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57150</xdr:colOff>
      <xdr:row>199</xdr:row>
      <xdr:rowOff>114300</xdr:rowOff>
    </xdr:from>
    <xdr:to>
      <xdr:col>4</xdr:col>
      <xdr:colOff>57150</xdr:colOff>
      <xdr:row>229</xdr:row>
      <xdr:rowOff>171450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105</xdr:row>
      <xdr:rowOff>79374</xdr:rowOff>
    </xdr:from>
    <xdr:to>
      <xdr:col>4</xdr:col>
      <xdr:colOff>63501</xdr:colOff>
      <xdr:row>131</xdr:row>
      <xdr:rowOff>82549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111124</xdr:colOff>
      <xdr:row>136</xdr:row>
      <xdr:rowOff>63500</xdr:rowOff>
    </xdr:from>
    <xdr:to>
      <xdr:col>9</xdr:col>
      <xdr:colOff>603250</xdr:colOff>
      <xdr:row>164</xdr:row>
      <xdr:rowOff>31750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173037</xdr:colOff>
      <xdr:row>136</xdr:row>
      <xdr:rowOff>79375</xdr:rowOff>
    </xdr:from>
    <xdr:to>
      <xdr:col>3</xdr:col>
      <xdr:colOff>650874</xdr:colOff>
      <xdr:row>164</xdr:row>
      <xdr:rowOff>47623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253997</xdr:colOff>
      <xdr:row>30</xdr:row>
      <xdr:rowOff>190500</xdr:rowOff>
    </xdr:from>
    <xdr:to>
      <xdr:col>8</xdr:col>
      <xdr:colOff>889000</xdr:colOff>
      <xdr:row>57</xdr:row>
      <xdr:rowOff>228603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603250</xdr:colOff>
      <xdr:row>66</xdr:row>
      <xdr:rowOff>169333</xdr:rowOff>
    </xdr:from>
    <xdr:to>
      <xdr:col>8</xdr:col>
      <xdr:colOff>910167</xdr:colOff>
      <xdr:row>94</xdr:row>
      <xdr:rowOff>158750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253997</xdr:colOff>
      <xdr:row>30</xdr:row>
      <xdr:rowOff>190500</xdr:rowOff>
    </xdr:from>
    <xdr:to>
      <xdr:col>8</xdr:col>
      <xdr:colOff>889000</xdr:colOff>
      <xdr:row>57</xdr:row>
      <xdr:rowOff>228603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730250</xdr:colOff>
      <xdr:row>66</xdr:row>
      <xdr:rowOff>179916</xdr:rowOff>
    </xdr:from>
    <xdr:to>
      <xdr:col>8</xdr:col>
      <xdr:colOff>1037167</xdr:colOff>
      <xdr:row>94</xdr:row>
      <xdr:rowOff>169333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2086258</xdr:colOff>
      <xdr:row>66</xdr:row>
      <xdr:rowOff>136199</xdr:rowOff>
    </xdr:from>
    <xdr:to>
      <xdr:col>5</xdr:col>
      <xdr:colOff>518584</xdr:colOff>
      <xdr:row>72</xdr:row>
      <xdr:rowOff>45827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425" y="13831032"/>
          <a:ext cx="2813826" cy="1116128"/>
        </a:xfrm>
        <a:prstGeom prst="rect">
          <a:avLst/>
        </a:prstGeom>
      </xdr:spPr>
    </xdr:pic>
    <xdr:clientData/>
  </xdr:twoCellAnchor>
  <xdr:twoCellAnchor editAs="oneCell">
    <xdr:from>
      <xdr:col>5</xdr:col>
      <xdr:colOff>137584</xdr:colOff>
      <xdr:row>73</xdr:row>
      <xdr:rowOff>240906</xdr:rowOff>
    </xdr:from>
    <xdr:to>
      <xdr:col>6</xdr:col>
      <xdr:colOff>455084</xdr:colOff>
      <xdr:row>75</xdr:row>
      <xdr:rowOff>25395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2584" y="9776489"/>
          <a:ext cx="1016000" cy="299898"/>
        </a:xfrm>
        <a:prstGeom prst="rect">
          <a:avLst/>
        </a:prstGeom>
      </xdr:spPr>
    </xdr:pic>
    <xdr:clientData/>
  </xdr:twoCellAnchor>
  <xdr:twoCellAnchor editAs="oneCell">
    <xdr:from>
      <xdr:col>5</xdr:col>
      <xdr:colOff>116417</xdr:colOff>
      <xdr:row>82</xdr:row>
      <xdr:rowOff>0</xdr:rowOff>
    </xdr:from>
    <xdr:to>
      <xdr:col>6</xdr:col>
      <xdr:colOff>433917</xdr:colOff>
      <xdr:row>83</xdr:row>
      <xdr:rowOff>24731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2167" y="10837333"/>
          <a:ext cx="1016000" cy="299898"/>
        </a:xfrm>
        <a:prstGeom prst="rect">
          <a:avLst/>
        </a:prstGeom>
      </xdr:spPr>
    </xdr:pic>
    <xdr:clientData/>
  </xdr:twoCellAnchor>
  <xdr:twoCellAnchor editAs="oneCell">
    <xdr:from>
      <xdr:col>6</xdr:col>
      <xdr:colOff>179916</xdr:colOff>
      <xdr:row>97</xdr:row>
      <xdr:rowOff>21167</xdr:rowOff>
    </xdr:from>
    <xdr:to>
      <xdr:col>11</xdr:col>
      <xdr:colOff>374078</xdr:colOff>
      <xdr:row>114</xdr:row>
      <xdr:rowOff>18473</xdr:rowOff>
    </xdr:to>
    <xdr:pic>
      <xdr:nvPicPr>
        <xdr:cNvPr id="6" name="Immagine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72"/>
        <a:stretch/>
      </xdr:blipFill>
      <xdr:spPr>
        <a:xfrm>
          <a:off x="5185833" y="13356167"/>
          <a:ext cx="3623162" cy="32358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8466</xdr:colOff>
      <xdr:row>71</xdr:row>
      <xdr:rowOff>177385</xdr:rowOff>
    </xdr:from>
    <xdr:to>
      <xdr:col>9</xdr:col>
      <xdr:colOff>10584</xdr:colOff>
      <xdr:row>78</xdr:row>
      <xdr:rowOff>140546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7299" y="15078718"/>
          <a:ext cx="4701118" cy="1296661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127000</xdr:colOff>
      <xdr:row>81</xdr:row>
      <xdr:rowOff>179916</xdr:rowOff>
    </xdr:from>
    <xdr:to>
      <xdr:col>6</xdr:col>
      <xdr:colOff>455083</xdr:colOff>
      <xdr:row>82</xdr:row>
      <xdr:rowOff>268145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1218333"/>
          <a:ext cx="1016000" cy="299898"/>
        </a:xfrm>
        <a:prstGeom prst="rect">
          <a:avLst/>
        </a:prstGeom>
      </xdr:spPr>
    </xdr:pic>
    <xdr:clientData/>
  </xdr:twoCellAnchor>
  <xdr:twoCellAnchor editAs="oneCell">
    <xdr:from>
      <xdr:col>5</xdr:col>
      <xdr:colOff>116417</xdr:colOff>
      <xdr:row>89</xdr:row>
      <xdr:rowOff>179916</xdr:rowOff>
    </xdr:from>
    <xdr:to>
      <xdr:col>6</xdr:col>
      <xdr:colOff>444500</xdr:colOff>
      <xdr:row>91</xdr:row>
      <xdr:rowOff>3566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50" y="11927416"/>
          <a:ext cx="1016000" cy="299900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169333</xdr:colOff>
      <xdr:row>114</xdr:row>
      <xdr:rowOff>21167</xdr:rowOff>
    </xdr:from>
    <xdr:to>
      <xdr:col>7</xdr:col>
      <xdr:colOff>482029</xdr:colOff>
      <xdr:row>130</xdr:row>
      <xdr:rowOff>166640</xdr:rowOff>
    </xdr:to>
    <xdr:pic>
      <xdr:nvPicPr>
        <xdr:cNvPr id="5" name="Immagine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72"/>
        <a:stretch/>
      </xdr:blipFill>
      <xdr:spPr>
        <a:xfrm>
          <a:off x="2709333" y="15991417"/>
          <a:ext cx="3676079" cy="32887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341774</xdr:colOff>
      <xdr:row>17</xdr:row>
      <xdr:rowOff>114300</xdr:rowOff>
    </xdr:from>
    <xdr:to>
      <xdr:col>30</xdr:col>
      <xdr:colOff>327741</xdr:colOff>
      <xdr:row>33</xdr:row>
      <xdr:rowOff>39534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338189</xdr:colOff>
      <xdr:row>0</xdr:row>
      <xdr:rowOff>190296</xdr:rowOff>
    </xdr:from>
    <xdr:to>
      <xdr:col>30</xdr:col>
      <xdr:colOff>363692</xdr:colOff>
      <xdr:row>16</xdr:row>
      <xdr:rowOff>119525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341056</xdr:colOff>
      <xdr:row>33</xdr:row>
      <xdr:rowOff>156446</xdr:rowOff>
    </xdr:from>
    <xdr:to>
      <xdr:col>30</xdr:col>
      <xdr:colOff>348226</xdr:colOff>
      <xdr:row>48</xdr:row>
      <xdr:rowOff>52387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411317</xdr:colOff>
      <xdr:row>49</xdr:row>
      <xdr:rowOff>81935</xdr:rowOff>
    </xdr:from>
    <xdr:to>
      <xdr:col>30</xdr:col>
      <xdr:colOff>286775</xdr:colOff>
      <xdr:row>62</xdr:row>
      <xdr:rowOff>147894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cla/Desktop/FONDAZIONI%20DIRETTE%20IN%20ZONA%20SISMIC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TRUZIONI"/>
      <sheetName val="FOGLIO DEPOSITO"/>
      <sheetName val="DATI"/>
      <sheetName val="VER. GEO CONDIZIONI NON DRENATE"/>
      <sheetName val="VER. GEO CONDIZIONI DRENATE"/>
      <sheetName val="SPETTRO DI PROGETTO ORIZZONTALE"/>
      <sheetName val="FORMULE"/>
      <sheetName val="tabelle NTC 08"/>
      <sheetName val="ANALISI SISMICA PSEUDO-STATICA "/>
    </sheetNames>
    <sheetDataSet>
      <sheetData sheetId="0"/>
      <sheetData sheetId="1">
        <row r="16">
          <cell r="I16" t="str">
            <v>si</v>
          </cell>
        </row>
        <row r="17">
          <cell r="I17" t="str">
            <v>no</v>
          </cell>
        </row>
      </sheetData>
      <sheetData sheetId="2">
        <row r="51">
          <cell r="E51">
            <v>2.2999999999999998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2" Type="http://schemas.openxmlformats.org/officeDocument/2006/relationships/revisionLog" Target="revisionLog2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133364D6-3090-4334-926E-00EC7728B97E}" diskRevisions="1" revisionId="2" version="2" protected="1">
  <header guid="{D9B5B089-49C0-4D71-AFB6-507A5FD417BE}" dateTime="2016-08-10T13:17:09" maxSheetId="19" userName="Davide Cicchini" r:id="rId1">
    <sheetIdMap count="18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</sheetIdMap>
  </header>
  <header guid="{133364D6-3090-4334-926E-00EC7728B97E}" dateTime="2016-08-10T13:17:30" maxSheetId="19" userName="Davide Cicchini" r:id="rId2">
    <sheetIdMap count="18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01D851C-E4EE-4443-B6A9-9040ACB2A650}" action="delete"/>
  <rdn rId="0" localSheetId="3" customView="1" name="Z_101D851C_E4EE_4443_B6A9_9040ACB2A650_.wvu.PrintArea" hidden="1" oldHidden="1">
    <formula>DATI!$C$2:$H$277</formula>
    <oldFormula>DATI!$C$2:$H$277</oldFormula>
  </rdn>
  <rdn rId="0" localSheetId="4" customView="1" name="Z_101D851C_E4EE_4443_B6A9_9040ACB2A650_.wvu.PrintArea" hidden="1" oldHidden="1">
    <formula>SPINTE!$B$2:$J$166</formula>
    <oldFormula>SPINTE!$B$2:$J$166</oldFormula>
  </rdn>
  <rcv guid="{101D851C-E4EE-4443-B6A9-9040ACB2A650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avidecicchini.it/" TargetMode="External"/><Relationship Id="rId2" Type="http://schemas.openxmlformats.org/officeDocument/2006/relationships/hyperlink" Target="http://www.davidecicchini.it/" TargetMode="External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geostru.com/geoapp/parametri-sismici.aspx" TargetMode="External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6"/>
  <sheetViews>
    <sheetView showGridLines="0" showRowColHeaders="0" tabSelected="1" workbookViewId="0">
      <selection activeCell="G46" sqref="G46:I46"/>
    </sheetView>
  </sheetViews>
  <sheetFormatPr defaultRowHeight="15" x14ac:dyDescent="0.25"/>
  <cols>
    <col min="1" max="1" width="3" customWidth="1"/>
  </cols>
  <sheetData>
    <row r="1" spans="2:12" x14ac:dyDescent="0.25"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2:12" x14ac:dyDescent="0.25"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2:12" x14ac:dyDescent="0.25"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2:12" x14ac:dyDescent="0.25"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2:12" ht="15.75" x14ac:dyDescent="0.25">
      <c r="B5" s="121" t="s">
        <v>1064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2:12" ht="15.75" x14ac:dyDescent="0.25">
      <c r="B6" s="121" t="s">
        <v>1065</v>
      </c>
      <c r="C6" s="2"/>
      <c r="D6" s="2"/>
      <c r="E6" s="2"/>
      <c r="F6" s="2"/>
      <c r="G6" s="2"/>
      <c r="H6" s="2"/>
      <c r="I6" s="2"/>
      <c r="J6" s="2"/>
      <c r="K6" s="2"/>
      <c r="L6" s="2"/>
    </row>
    <row r="7" spans="2:12" s="421" customFormat="1" ht="15.75" x14ac:dyDescent="0.25">
      <c r="B7" s="121" t="s">
        <v>1066</v>
      </c>
      <c r="C7" s="422"/>
      <c r="D7" s="422"/>
      <c r="E7" s="422"/>
      <c r="F7" s="422"/>
      <c r="G7" s="422"/>
      <c r="H7" s="422"/>
      <c r="I7" s="422"/>
      <c r="J7" s="422"/>
      <c r="K7" s="422"/>
      <c r="L7" s="422"/>
    </row>
    <row r="8" spans="2:12" ht="15.75" x14ac:dyDescent="0.25">
      <c r="B8" s="121" t="s">
        <v>1067</v>
      </c>
      <c r="C8" s="2"/>
      <c r="D8" s="2"/>
      <c r="E8" s="2"/>
      <c r="F8" s="2"/>
      <c r="G8" s="2"/>
      <c r="H8" s="2"/>
      <c r="I8" s="2"/>
      <c r="J8" s="2"/>
      <c r="K8" s="2"/>
      <c r="L8" s="2"/>
    </row>
    <row r="9" spans="2:12" ht="15.75" x14ac:dyDescent="0.25">
      <c r="B9" s="121" t="s">
        <v>1069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2:12" ht="15.75" x14ac:dyDescent="0.25">
      <c r="B10" s="121" t="s">
        <v>1068</v>
      </c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2:12" ht="15.75" x14ac:dyDescent="0.25">
      <c r="B11" s="121" t="s">
        <v>1070</v>
      </c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2:12" ht="15.75" x14ac:dyDescent="0.25">
      <c r="B12" s="121" t="s">
        <v>1075</v>
      </c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2:12" ht="15.75" x14ac:dyDescent="0.25">
      <c r="B13" s="121" t="s">
        <v>1071</v>
      </c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2:12" ht="15.75" x14ac:dyDescent="0.25">
      <c r="B14" s="121" t="s">
        <v>1072</v>
      </c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2:12" ht="15.75" x14ac:dyDescent="0.25">
      <c r="B15" s="121" t="s">
        <v>1073</v>
      </c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2:12" ht="15.75" x14ac:dyDescent="0.25">
      <c r="B16" s="121" t="s">
        <v>37</v>
      </c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2:12" ht="15.75" x14ac:dyDescent="0.25">
      <c r="B17" s="121" t="s">
        <v>1074</v>
      </c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2:12" ht="15.75" x14ac:dyDescent="0.25">
      <c r="B18" s="121" t="s">
        <v>38</v>
      </c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2:12" ht="15.75" x14ac:dyDescent="0.25">
      <c r="B19" s="121" t="s">
        <v>39</v>
      </c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2:12" ht="15.75" x14ac:dyDescent="0.25">
      <c r="B20" s="121" t="s">
        <v>40</v>
      </c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2:12" ht="15.75" x14ac:dyDescent="0.25">
      <c r="B21" s="121" t="s">
        <v>41</v>
      </c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2:12" ht="15.75" x14ac:dyDescent="0.25">
      <c r="B22" s="121" t="s">
        <v>42</v>
      </c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2:12" ht="15.75" x14ac:dyDescent="0.25">
      <c r="B23" s="121" t="s">
        <v>43</v>
      </c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2:12" ht="15.75" x14ac:dyDescent="0.25">
      <c r="B24" s="121" t="s">
        <v>44</v>
      </c>
      <c r="C24" s="2"/>
      <c r="D24" s="2"/>
      <c r="E24" s="2"/>
      <c r="F24" s="2"/>
      <c r="G24" s="2"/>
      <c r="H24" s="2"/>
      <c r="I24" s="381"/>
      <c r="J24" s="2"/>
      <c r="K24" s="2"/>
      <c r="L24" s="2"/>
    </row>
    <row r="25" spans="2:12" ht="15.75" x14ac:dyDescent="0.25">
      <c r="B25" s="121" t="s">
        <v>45</v>
      </c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2:12" ht="15.75" x14ac:dyDescent="0.25">
      <c r="B26" s="121" t="s">
        <v>46</v>
      </c>
      <c r="C26" s="2"/>
      <c r="D26" s="2"/>
      <c r="E26" s="2"/>
      <c r="F26" s="2"/>
      <c r="G26" s="2"/>
      <c r="H26" s="2"/>
      <c r="I26" s="382"/>
      <c r="J26" s="2"/>
      <c r="K26" s="2"/>
      <c r="L26" s="2"/>
    </row>
    <row r="27" spans="2:12" ht="15.75" x14ac:dyDescent="0.25">
      <c r="B27" s="121" t="s">
        <v>47</v>
      </c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2:12" ht="15.75" x14ac:dyDescent="0.25">
      <c r="B28" s="121" t="s">
        <v>48</v>
      </c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2:12" ht="15.75" x14ac:dyDescent="0.25">
      <c r="B29" s="121" t="s">
        <v>49</v>
      </c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2:12" ht="15.75" x14ac:dyDescent="0.25">
      <c r="B30" s="121" t="s">
        <v>50</v>
      </c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2:12" ht="15.75" x14ac:dyDescent="0.25">
      <c r="B31" s="121" t="s">
        <v>51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2:12" ht="15.75" x14ac:dyDescent="0.25">
      <c r="B32" s="121" t="s">
        <v>52</v>
      </c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2:12" x14ac:dyDescent="0.25"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2:12" x14ac:dyDescent="0.25">
      <c r="B34" s="2"/>
      <c r="C34" s="2"/>
      <c r="D34" s="804" t="s">
        <v>53</v>
      </c>
      <c r="E34" s="805"/>
      <c r="F34" s="805"/>
      <c r="G34" s="806"/>
      <c r="H34" s="804" t="s">
        <v>54</v>
      </c>
      <c r="I34" s="805"/>
      <c r="J34" s="805"/>
      <c r="K34" s="806"/>
      <c r="L34" s="2"/>
    </row>
    <row r="35" spans="2:12" x14ac:dyDescent="0.25">
      <c r="B35" s="821" t="s">
        <v>55</v>
      </c>
      <c r="C35" s="822"/>
      <c r="D35" s="825" t="s">
        <v>56</v>
      </c>
      <c r="E35" s="826"/>
      <c r="F35" s="826"/>
      <c r="G35" s="827"/>
      <c r="H35" s="825"/>
      <c r="I35" s="826"/>
      <c r="J35" s="826"/>
      <c r="K35" s="827"/>
      <c r="L35" s="2"/>
    </row>
    <row r="36" spans="2:12" x14ac:dyDescent="0.25">
      <c r="B36" s="823"/>
      <c r="C36" s="824"/>
      <c r="D36" s="828" t="s">
        <v>57</v>
      </c>
      <c r="E36" s="829"/>
      <c r="F36" s="829"/>
      <c r="G36" s="830"/>
      <c r="H36" s="828" t="s">
        <v>58</v>
      </c>
      <c r="I36" s="829"/>
      <c r="J36" s="829"/>
      <c r="K36" s="830"/>
      <c r="L36" s="2"/>
    </row>
    <row r="37" spans="2:12" ht="15" customHeight="1" x14ac:dyDescent="0.25">
      <c r="B37" s="807" t="s">
        <v>59</v>
      </c>
      <c r="C37" s="808"/>
      <c r="D37" s="811" t="s">
        <v>60</v>
      </c>
      <c r="E37" s="812"/>
      <c r="F37" s="815" t="s">
        <v>61</v>
      </c>
      <c r="G37" s="816"/>
      <c r="H37" s="811" t="s">
        <v>62</v>
      </c>
      <c r="I37" s="812"/>
      <c r="J37" s="812"/>
      <c r="K37" s="819"/>
      <c r="L37" s="2"/>
    </row>
    <row r="38" spans="2:12" ht="15" customHeight="1" x14ac:dyDescent="0.25">
      <c r="B38" s="809"/>
      <c r="C38" s="810"/>
      <c r="D38" s="813"/>
      <c r="E38" s="814"/>
      <c r="F38" s="817"/>
      <c r="G38" s="818"/>
      <c r="H38" s="813"/>
      <c r="I38" s="814"/>
      <c r="J38" s="814"/>
      <c r="K38" s="820"/>
      <c r="L38" s="2"/>
    </row>
    <row r="39" spans="2:12" x14ac:dyDescent="0.25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2:12" ht="15.75" x14ac:dyDescent="0.25">
      <c r="B40" s="121" t="s">
        <v>63</v>
      </c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2:12" ht="15.75" x14ac:dyDescent="0.25">
      <c r="B41" s="121" t="s">
        <v>64</v>
      </c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2:12" ht="15.75" x14ac:dyDescent="0.25">
      <c r="B42" s="121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2:12" ht="15.75" x14ac:dyDescent="0.25">
      <c r="B43" s="831" t="s">
        <v>1104</v>
      </c>
      <c r="C43" s="831"/>
      <c r="D43" s="831"/>
      <c r="E43" s="2"/>
      <c r="F43" s="2"/>
      <c r="G43" s="2"/>
      <c r="H43" s="2"/>
      <c r="I43" s="2"/>
      <c r="J43" s="2"/>
      <c r="K43" s="2"/>
      <c r="L43" s="2"/>
    </row>
    <row r="44" spans="2:12" x14ac:dyDescent="0.25">
      <c r="B44" s="803" t="s">
        <v>66</v>
      </c>
      <c r="C44" s="803"/>
      <c r="D44" s="803"/>
      <c r="E44" s="2"/>
      <c r="F44" s="2"/>
      <c r="G44" s="801" t="s">
        <v>65</v>
      </c>
      <c r="H44" s="801"/>
      <c r="I44" s="801"/>
      <c r="J44" s="2"/>
      <c r="K44" s="2"/>
      <c r="L44" s="2"/>
    </row>
    <row r="45" spans="2:12" ht="15.75" x14ac:dyDescent="0.25">
      <c r="B45" s="121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2:12" ht="15.75" x14ac:dyDescent="0.25">
      <c r="B46" s="15"/>
      <c r="G46" s="802" t="s">
        <v>66</v>
      </c>
      <c r="H46" s="802"/>
      <c r="I46" s="802"/>
    </row>
  </sheetData>
  <sheetProtection algorithmName="SHA-512" hashValue="ctysO89dTR//OIfG4opnYjQlKQfMN78qbsydzDTXYG0K1k+1zZkxmLBvWTyuYO+p1ZhcU8JQGOA3iTQAy3WVgQ==" saltValue="D+1qaIaj/IPimubzwgVZMQ==" spinCount="100000" sheet="1" objects="1" scenarios="1" selectLockedCells="1"/>
  <customSheetViews>
    <customSheetView guid="{101D851C-E4EE-4443-B6A9-9040ACB2A650}" showGridLines="0" showRowCol="0" fitToPage="1">
      <selection activeCell="G46" sqref="G46:I46"/>
      <pageMargins left="0.7" right="0.7" top="0.75" bottom="0.75" header="0.3" footer="0.3"/>
      <pageSetup paperSize="9" scale="92" fitToHeight="0" orientation="portrait" r:id="rId1"/>
    </customSheetView>
  </customSheetViews>
  <mergeCells count="15">
    <mergeCell ref="G44:I44"/>
    <mergeCell ref="G46:I46"/>
    <mergeCell ref="B44:D44"/>
    <mergeCell ref="D34:G34"/>
    <mergeCell ref="H34:K34"/>
    <mergeCell ref="B37:C38"/>
    <mergeCell ref="D37:E38"/>
    <mergeCell ref="F37:G38"/>
    <mergeCell ref="H37:K38"/>
    <mergeCell ref="B35:C36"/>
    <mergeCell ref="D35:G35"/>
    <mergeCell ref="H35:K35"/>
    <mergeCell ref="D36:G36"/>
    <mergeCell ref="H36:K36"/>
    <mergeCell ref="B43:D43"/>
  </mergeCells>
  <hyperlinks>
    <hyperlink ref="B44" r:id="rId2"/>
    <hyperlink ref="G46" r:id="rId3"/>
  </hyperlinks>
  <pageMargins left="0.7" right="0.7" top="0.75" bottom="0.75" header="0.3" footer="0.3"/>
  <pageSetup paperSize="9" scale="92" fitToHeight="0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68"/>
  <sheetViews>
    <sheetView topLeftCell="N1" zoomScale="93" zoomScaleNormal="93" workbookViewId="0">
      <selection activeCell="C448" sqref="C447:R448"/>
    </sheetView>
  </sheetViews>
  <sheetFormatPr defaultRowHeight="15" x14ac:dyDescent="0.25"/>
  <cols>
    <col min="2" max="3" width="13.140625" customWidth="1"/>
    <col min="4" max="7" width="9.5703125" customWidth="1"/>
    <col min="8" max="8" width="11" customWidth="1"/>
    <col min="9" max="9" width="11.7109375" customWidth="1"/>
    <col min="10" max="10" width="11.28515625" customWidth="1"/>
    <col min="11" max="11" width="9.5703125" customWidth="1"/>
    <col min="12" max="12" width="10.5703125" customWidth="1"/>
    <col min="13" max="13" width="11.28515625" bestFit="1" customWidth="1"/>
    <col min="15" max="15" width="10.28515625" customWidth="1"/>
    <col min="16" max="22" width="10.28515625" style="421" customWidth="1"/>
    <col min="23" max="23" width="17" customWidth="1"/>
    <col min="24" max="24" width="11" customWidth="1"/>
    <col min="25" max="25" width="11.140625" customWidth="1"/>
    <col min="26" max="26" width="10" customWidth="1"/>
    <col min="27" max="27" width="10.5703125" bestFit="1" customWidth="1"/>
    <col min="28" max="28" width="10.5703125" customWidth="1"/>
    <col min="37" max="38" width="9.140625" style="421"/>
    <col min="41" max="41" width="9.85546875" customWidth="1"/>
  </cols>
  <sheetData>
    <row r="1" spans="1:26" ht="15" customHeight="1" x14ac:dyDescent="0.25">
      <c r="P1" s="985" t="s">
        <v>22</v>
      </c>
    </row>
    <row r="2" spans="1:26" ht="15" customHeight="1" x14ac:dyDescent="0.25">
      <c r="B2" s="857" t="s">
        <v>0</v>
      </c>
      <c r="C2" s="858"/>
      <c r="D2" s="859"/>
      <c r="F2" s="133"/>
      <c r="G2" s="133"/>
      <c r="H2" s="133"/>
      <c r="I2" s="133"/>
      <c r="J2" s="380"/>
      <c r="K2" s="32"/>
      <c r="L2" s="133"/>
      <c r="M2" s="133"/>
      <c r="N2" s="133"/>
      <c r="O2" s="32"/>
      <c r="P2" s="986"/>
      <c r="Q2" s="32"/>
      <c r="R2" s="32"/>
      <c r="S2" s="32"/>
      <c r="T2" s="32"/>
      <c r="U2" s="32"/>
      <c r="V2" s="32"/>
      <c r="W2" s="132"/>
      <c r="X2" s="132"/>
      <c r="Y2" s="32"/>
      <c r="Z2" s="32"/>
    </row>
    <row r="3" spans="1:26" s="421" customFormat="1" ht="15" customHeight="1" x14ac:dyDescent="0.25">
      <c r="B3" s="492"/>
      <c r="C3" s="492"/>
      <c r="D3" s="492"/>
      <c r="F3" s="133"/>
      <c r="G3" s="133"/>
      <c r="H3" s="133"/>
      <c r="I3" s="133"/>
      <c r="J3" s="492"/>
      <c r="K3" s="983" t="s">
        <v>902</v>
      </c>
      <c r="L3" s="984" t="s">
        <v>903</v>
      </c>
      <c r="M3" s="133"/>
      <c r="N3" s="133"/>
      <c r="O3" s="32"/>
      <c r="P3" s="987"/>
      <c r="R3" s="32"/>
      <c r="S3" s="32"/>
      <c r="T3" s="32"/>
      <c r="U3" s="32"/>
      <c r="V3" s="32"/>
      <c r="W3" s="132"/>
      <c r="X3" s="132"/>
      <c r="Y3" s="32"/>
      <c r="Z3" s="32"/>
    </row>
    <row r="4" spans="1:26" ht="15" customHeight="1" x14ac:dyDescent="0.25">
      <c r="B4" s="491" t="s">
        <v>845</v>
      </c>
      <c r="D4" s="31">
        <f>DATI!E60</f>
        <v>4.3</v>
      </c>
      <c r="F4" s="32"/>
      <c r="G4" s="32"/>
      <c r="H4" s="32"/>
      <c r="I4" s="32"/>
      <c r="J4" s="32"/>
      <c r="K4" s="983"/>
      <c r="L4" s="984"/>
      <c r="M4" s="32"/>
      <c r="N4" s="32"/>
      <c r="O4" s="32"/>
      <c r="P4" s="524">
        <v>0</v>
      </c>
      <c r="Q4" s="243"/>
      <c r="R4" s="32"/>
      <c r="S4" s="32"/>
      <c r="T4" s="32"/>
      <c r="U4" s="32"/>
      <c r="V4" s="32"/>
      <c r="W4" s="47"/>
      <c r="X4" s="46"/>
      <c r="Y4" s="32"/>
      <c r="Z4" s="32"/>
    </row>
    <row r="5" spans="1:26" x14ac:dyDescent="0.25">
      <c r="B5" s="384" t="s">
        <v>1</v>
      </c>
      <c r="D5" s="46">
        <f>DATI!E60</f>
        <v>4.3</v>
      </c>
      <c r="E5" s="31" t="s">
        <v>2</v>
      </c>
      <c r="F5" s="32"/>
      <c r="G5" s="32"/>
      <c r="H5" s="46"/>
      <c r="I5" s="32"/>
      <c r="J5" s="32"/>
      <c r="K5" s="983"/>
      <c r="L5" s="984"/>
      <c r="M5" s="46"/>
      <c r="N5" s="32"/>
      <c r="O5" s="32"/>
      <c r="P5" s="524">
        <f>'ANALISI DELLE SPINTE'!C9+'SOLLECITAZ NASCOSTO'!W23</f>
        <v>5.03206159226088</v>
      </c>
      <c r="Q5" s="243"/>
      <c r="R5" s="485" t="s">
        <v>842</v>
      </c>
      <c r="S5"/>
      <c r="T5" s="32"/>
      <c r="U5" s="32"/>
      <c r="V5" s="32"/>
      <c r="W5" s="47"/>
      <c r="X5" s="45"/>
      <c r="Y5" s="32"/>
      <c r="Z5" s="32"/>
    </row>
    <row r="6" spans="1:26" ht="15.75" thickBot="1" x14ac:dyDescent="0.3">
      <c r="B6" s="470" t="s">
        <v>847</v>
      </c>
      <c r="D6" s="46">
        <f>SPINTE!D60-DATI!E74</f>
        <v>4.5320615922608809</v>
      </c>
      <c r="F6" s="32"/>
      <c r="G6" s="32"/>
      <c r="H6" s="46"/>
      <c r="I6" s="32"/>
      <c r="J6" s="32"/>
      <c r="K6" s="32">
        <f>IF(SPINTE!$H$87&gt;=SPINTE!$H$93,SPINTE!$H$87,SPINTE!$H$93)/D7-N33</f>
        <v>59.612874672557133</v>
      </c>
      <c r="L6" s="45">
        <f>N33</f>
        <v>13.472346174690138</v>
      </c>
      <c r="M6" s="46"/>
      <c r="N6" s="32"/>
      <c r="O6" s="32"/>
      <c r="P6" s="524">
        <f>'ANALISI DELLE SPINTE'!C10+'SOLLECITAZ NASCOSTO'!W24</f>
        <v>5.03206159226088</v>
      </c>
      <c r="Q6" s="243"/>
      <c r="R6" s="188">
        <f>IF(SPINTE!$H$87&gt;=SPINTE!$H$93,SPINTE!H87-'SOLLECITAZ NASCOSTO'!H11+'SOLLECITAZ NASCOSTO'!I9,SPINTE!H93-'SOLLECITAZ NASCOSTO'!H11+'SOLLECITAZ NASCOSTO'!I9)</f>
        <v>-1.8758328224066645E-12</v>
      </c>
      <c r="S6" s="486">
        <f>R6/('SOLLECITAZ NASCOSTO'!H11+'SOLLECITAZ NASCOSTO'!I9)</f>
        <v>-5.1005689033113479E-15</v>
      </c>
      <c r="T6" s="32"/>
      <c r="U6" s="32"/>
      <c r="V6" s="32"/>
      <c r="W6" s="47"/>
      <c r="X6" s="45"/>
      <c r="Y6" s="47"/>
      <c r="Z6" s="45"/>
    </row>
    <row r="7" spans="1:26" ht="16.5" thickTop="1" thickBot="1" x14ac:dyDescent="0.3">
      <c r="A7" s="876"/>
      <c r="B7" s="499" t="s">
        <v>848</v>
      </c>
      <c r="D7" s="31">
        <f>SPINTE!D60</f>
        <v>5.0320615922608809</v>
      </c>
      <c r="F7" s="32"/>
      <c r="G7" s="496" t="s">
        <v>846</v>
      </c>
      <c r="H7" s="497">
        <v>0</v>
      </c>
      <c r="I7" s="498">
        <f>VLOOKUP(H7,AQ23:AR43,2,FALSE)</f>
        <v>0</v>
      </c>
      <c r="J7" s="32"/>
      <c r="K7" s="32"/>
      <c r="L7" s="32"/>
      <c r="M7" s="32"/>
      <c r="N7" s="32"/>
      <c r="O7" s="32"/>
      <c r="P7" s="524" t="str">
        <f>IF('Sollecitazioni nel paramento'!C106="","",'ANALISI DELLE SPINTE'!C11+'SOLLECITAZ NASCOSTO'!Q3)</f>
        <v/>
      </c>
      <c r="Q7" s="243"/>
      <c r="R7"/>
      <c r="S7"/>
      <c r="T7" s="32"/>
      <c r="U7" s="32"/>
      <c r="V7" s="32"/>
      <c r="W7" s="47"/>
      <c r="X7" s="45"/>
      <c r="Y7" s="47"/>
      <c r="Z7" s="45"/>
    </row>
    <row r="8" spans="1:26" ht="16.5" thickTop="1" thickBot="1" x14ac:dyDescent="0.3">
      <c r="A8" s="876"/>
      <c r="B8" s="384" t="s">
        <v>3</v>
      </c>
      <c r="D8" s="46">
        <f>DATI!E61</f>
        <v>2.5</v>
      </c>
      <c r="E8" s="31" t="s">
        <v>2</v>
      </c>
      <c r="F8" s="32"/>
      <c r="G8" s="129"/>
      <c r="H8" s="480"/>
      <c r="I8" s="134"/>
      <c r="J8" s="32"/>
      <c r="K8" s="46" t="s">
        <v>900</v>
      </c>
      <c r="L8" s="46" t="s">
        <v>901</v>
      </c>
      <c r="M8" s="46" t="s">
        <v>704</v>
      </c>
      <c r="N8" s="32"/>
      <c r="O8" s="32"/>
      <c r="P8" s="524" t="str">
        <f>IF('Sollecitazioni nel paramento'!C107="","",'ANALISI DELLE SPINTE'!C12+'SOLLECITAZ NASCOSTO'!Q4)</f>
        <v/>
      </c>
      <c r="Q8" s="243"/>
      <c r="R8" s="485" t="str">
        <f>IF('SOLLECITAZ NASCOSTO'!I9=0,"ΔM dovuto alle approssimazioni","")</f>
        <v>ΔM dovuto alle approssimazioni</v>
      </c>
      <c r="T8" s="32"/>
      <c r="U8" s="32"/>
      <c r="V8" s="32"/>
      <c r="W8" s="131"/>
      <c r="X8" s="45"/>
      <c r="Y8" s="32"/>
      <c r="Z8" s="32"/>
    </row>
    <row r="9" spans="1:26" ht="16.5" thickTop="1" thickBot="1" x14ac:dyDescent="0.3">
      <c r="A9" s="32"/>
      <c r="B9" s="384" t="s">
        <v>5</v>
      </c>
      <c r="D9" s="46">
        <f>DATI!E62</f>
        <v>0.12</v>
      </c>
      <c r="E9" s="31" t="s">
        <v>2</v>
      </c>
      <c r="F9" s="32"/>
      <c r="G9" s="484" t="s">
        <v>839</v>
      </c>
      <c r="H9" s="479">
        <v>0</v>
      </c>
      <c r="I9" s="480">
        <f>IF(SPINTE!C75="Spinta a riposo",-'SOLLECITAZ NASCOSTO'!M9,IF(SPINTE!C75="Wood",-'SOLLECITAZ NASCOSTO'!M9,VLOOKUP(H9,'SOLLECITAZ NASCOSTO'!AN23:AO43,2,FALSE)))</f>
        <v>0</v>
      </c>
      <c r="J9" s="32"/>
      <c r="K9">
        <f>K6*D7/10</f>
        <v>29.99756570440362</v>
      </c>
      <c r="L9" s="32">
        <f>L6*D7*3/8</f>
        <v>25.422628403737889</v>
      </c>
      <c r="M9" s="32">
        <f>K9+L9</f>
        <v>55.420194108141509</v>
      </c>
      <c r="N9" s="32"/>
      <c r="O9" s="32"/>
      <c r="P9" s="524" t="str">
        <f>IF('Sollecitazioni nel paramento'!C108="","",'ANALISI DELLE SPINTE'!C13+'SOLLECITAZ NASCOSTO'!Q5)</f>
        <v/>
      </c>
      <c r="Q9" s="573"/>
      <c r="R9" s="359">
        <f>IF('SOLLECITAZ NASCOSTO'!I9=0,IF(SPINTE!$H$88&gt;=SPINTE!$H$94,SPINTE!H88+'SOLLECITAZ NASCOSTO'!H12+'SOLLECITAZ NASCOSTO'!I7,SPINTE!H94+'SOLLECITAZ NASCOSTO'!H12+'SOLLECITAZ NASCOSTO'!I7),"")</f>
        <v>-1.6790576789844636E-3</v>
      </c>
      <c r="S9" s="486">
        <f>IF('SOLLECITAZ NASCOSTO'!I9=0,R9/(-'SOLLECITAZ NASCOSTO'!H12),"")</f>
        <v>-2.4921523242464484E-6</v>
      </c>
      <c r="T9" s="32"/>
      <c r="U9" s="32"/>
      <c r="V9" s="32"/>
      <c r="W9" s="131"/>
      <c r="X9" s="45"/>
      <c r="Y9" s="32"/>
      <c r="Z9" s="32"/>
    </row>
    <row r="10" spans="1:26" ht="15.75" thickTop="1" x14ac:dyDescent="0.25">
      <c r="B10" s="384" t="s">
        <v>4</v>
      </c>
      <c r="D10" s="41">
        <f>C448</f>
        <v>4.5320615922608809</v>
      </c>
      <c r="E10" s="31" t="s">
        <v>2</v>
      </c>
      <c r="F10" s="32"/>
      <c r="G10" s="27"/>
      <c r="H10" s="46"/>
      <c r="I10" s="31"/>
      <c r="J10" s="32"/>
      <c r="K10" s="32"/>
      <c r="L10" s="32"/>
      <c r="M10" s="32"/>
      <c r="N10" s="32"/>
      <c r="O10" s="32"/>
      <c r="P10" s="524" t="str">
        <f>IF('Sollecitazioni nel paramento'!C109="","",'ANALISI DELLE SPINTE'!C14+'SOLLECITAZ NASCOSTO'!Q6)</f>
        <v/>
      </c>
      <c r="Q10" s="573"/>
      <c r="R10" s="32"/>
      <c r="S10" s="32"/>
      <c r="T10" s="32"/>
      <c r="U10" s="32"/>
      <c r="V10" s="32"/>
      <c r="W10" s="32"/>
      <c r="X10" s="32"/>
      <c r="Y10" s="32"/>
      <c r="Z10" s="32"/>
    </row>
    <row r="11" spans="1:26" x14ac:dyDescent="0.25">
      <c r="B11" s="384" t="s">
        <v>9</v>
      </c>
      <c r="D11" s="46">
        <f>DATI!E63</f>
        <v>2</v>
      </c>
      <c r="E11" s="31" t="s">
        <v>10</v>
      </c>
      <c r="F11" s="32"/>
      <c r="G11" s="481" t="s">
        <v>840</v>
      </c>
      <c r="H11" s="482">
        <f>L468</f>
        <v>367.76933278733912</v>
      </c>
      <c r="I11" s="471" t="s">
        <v>12</v>
      </c>
      <c r="J11" s="32"/>
      <c r="K11" s="32"/>
      <c r="L11" s="32"/>
      <c r="M11" s="32"/>
      <c r="N11" s="32"/>
      <c r="O11" s="32"/>
      <c r="P11" s="524" t="str">
        <f>IF('Sollecitazioni nel paramento'!C110="","",'ANALISI DELLE SPINTE'!C15+'SOLLECITAZ NASCOSTO'!Q7)</f>
        <v/>
      </c>
      <c r="Q11" s="573"/>
      <c r="R11" s="32"/>
      <c r="S11" s="32"/>
      <c r="T11" s="32"/>
      <c r="U11" s="32"/>
      <c r="V11" s="32"/>
      <c r="W11" s="131"/>
      <c r="X11" s="32"/>
      <c r="Y11" s="32"/>
      <c r="Z11" s="32"/>
    </row>
    <row r="12" spans="1:26" x14ac:dyDescent="0.25">
      <c r="B12" s="384" t="s">
        <v>11</v>
      </c>
      <c r="D12" s="380">
        <f>DATI!E64</f>
        <v>0.16</v>
      </c>
      <c r="E12" s="31" t="s">
        <v>2</v>
      </c>
      <c r="F12" s="32"/>
      <c r="G12" s="481" t="s">
        <v>841</v>
      </c>
      <c r="H12" s="483">
        <f>M468</f>
        <v>-673.73798248554488</v>
      </c>
      <c r="I12" s="471" t="s">
        <v>14</v>
      </c>
      <c r="J12" s="32"/>
      <c r="K12" s="32"/>
      <c r="L12" s="32"/>
      <c r="M12" s="32"/>
      <c r="N12" s="32"/>
      <c r="O12" s="32"/>
      <c r="P12" s="524" t="str">
        <f>IF('Sollecitazioni nel paramento'!C111="","",'ANALISI DELLE SPINTE'!C16+'SOLLECITAZ NASCOSTO'!Q8)</f>
        <v/>
      </c>
      <c r="Q12" s="573"/>
      <c r="R12" s="32"/>
      <c r="S12" s="32"/>
      <c r="T12" s="32"/>
      <c r="U12" s="32"/>
      <c r="V12" s="32"/>
      <c r="W12" s="32"/>
      <c r="X12" s="32"/>
      <c r="Y12" s="32"/>
      <c r="Z12" s="32"/>
    </row>
    <row r="13" spans="1:26" x14ac:dyDescent="0.25">
      <c r="B13" s="130" t="s">
        <v>13</v>
      </c>
      <c r="D13" s="46">
        <f>DATI!E65</f>
        <v>0.54</v>
      </c>
      <c r="E13" s="31" t="s">
        <v>2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x14ac:dyDescent="0.25">
      <c r="B14" s="384" t="s">
        <v>15</v>
      </c>
      <c r="D14" s="46">
        <f>J15-D16*I15</f>
        <v>8.6539416786588635E-2</v>
      </c>
      <c r="E14" s="31" t="s">
        <v>2</v>
      </c>
      <c r="G14" s="129"/>
      <c r="I14" s="31" t="s">
        <v>22</v>
      </c>
      <c r="J14" s="31" t="s">
        <v>137</v>
      </c>
      <c r="L14" t="s">
        <v>800</v>
      </c>
    </row>
    <row r="15" spans="1:26" x14ac:dyDescent="0.25">
      <c r="B15" s="384" t="s">
        <v>16</v>
      </c>
      <c r="D15" s="46">
        <f>'FOGLIO DEPOSITO'!D196</f>
        <v>8.2048367238086399</v>
      </c>
      <c r="E15" s="31" t="s">
        <v>17</v>
      </c>
      <c r="I15">
        <f>DATI!G209-DATI!E60-DATI!E74</f>
        <v>0.23206159226088108</v>
      </c>
      <c r="J15">
        <f>'FOGLIO DEPOSITO'!D209</f>
        <v>0.12</v>
      </c>
      <c r="L15">
        <f>J15-D16*I15</f>
        <v>8.6539416786588635E-2</v>
      </c>
    </row>
    <row r="16" spans="1:26" x14ac:dyDescent="0.25">
      <c r="B16" s="384" t="s">
        <v>18</v>
      </c>
      <c r="D16" s="44">
        <f>TAN(D15*PI()/180)</f>
        <v>0.14418837209302326</v>
      </c>
      <c r="E16" s="31" t="s">
        <v>19</v>
      </c>
    </row>
    <row r="17" spans="1:44" x14ac:dyDescent="0.25">
      <c r="B17" s="384"/>
      <c r="D17" s="44"/>
      <c r="E17" s="31"/>
    </row>
    <row r="18" spans="1:44" x14ac:dyDescent="0.25">
      <c r="B18" s="384"/>
      <c r="D18" s="44">
        <f>($D$8-2*($D$13-D12/2))</f>
        <v>1.58</v>
      </c>
      <c r="E18" s="31">
        <f>D18/(D11-1)</f>
        <v>1.58</v>
      </c>
    </row>
    <row r="19" spans="1:44" x14ac:dyDescent="0.25">
      <c r="B19" s="384"/>
      <c r="C19" s="128"/>
      <c r="D19" s="31"/>
      <c r="AO19" s="478">
        <f>-IF(SPINTE!$H$87&gt;=SPINTE!$H$93,SPINTE!$H$87,SPINTE!$H$93)*0.375</f>
        <v>-137.91349979525148</v>
      </c>
      <c r="AR19" s="243">
        <f>-IF(SPINTE!$H$88&gt;=SPINTE!$H$94,SPINTE!$H$88,SPINTE!$H$94)*1</f>
        <v>-673.73630342786589</v>
      </c>
    </row>
    <row r="20" spans="1:44" ht="15.75" customHeight="1" x14ac:dyDescent="0.25">
      <c r="A20" s="981" t="s">
        <v>835</v>
      </c>
      <c r="B20" s="982"/>
      <c r="C20" s="982"/>
      <c r="D20" s="982"/>
      <c r="E20" s="982"/>
      <c r="F20" s="982"/>
      <c r="G20" s="982"/>
      <c r="H20" s="982"/>
      <c r="I20" s="982"/>
      <c r="J20" s="982"/>
      <c r="K20" s="982"/>
      <c r="L20" s="982"/>
      <c r="M20" s="982"/>
      <c r="N20" s="982"/>
      <c r="O20" s="982"/>
      <c r="P20" s="493"/>
      <c r="Q20" s="493"/>
      <c r="R20" s="493"/>
      <c r="S20" s="988" t="s">
        <v>844</v>
      </c>
      <c r="T20" s="988"/>
      <c r="U20" s="988"/>
      <c r="V20" s="988"/>
    </row>
    <row r="21" spans="1:44" x14ac:dyDescent="0.25">
      <c r="B21" s="384" t="s">
        <v>21</v>
      </c>
      <c r="C21" s="384" t="s">
        <v>22</v>
      </c>
      <c r="D21" s="384" t="s">
        <v>23</v>
      </c>
      <c r="E21" s="384" t="s">
        <v>24</v>
      </c>
      <c r="F21" s="384" t="s">
        <v>25</v>
      </c>
      <c r="G21" s="384" t="s">
        <v>26</v>
      </c>
      <c r="H21" s="384" t="s">
        <v>27</v>
      </c>
      <c r="I21" s="384" t="s">
        <v>28</v>
      </c>
      <c r="J21" s="384" t="s">
        <v>29</v>
      </c>
      <c r="K21" s="384" t="s">
        <v>30</v>
      </c>
      <c r="L21" s="384" t="s">
        <v>31</v>
      </c>
      <c r="M21" s="384" t="s">
        <v>32</v>
      </c>
      <c r="N21" s="470" t="s">
        <v>6</v>
      </c>
      <c r="O21" s="470" t="s">
        <v>8</v>
      </c>
      <c r="P21" s="491"/>
      <c r="Q21" s="491"/>
      <c r="R21" s="491" t="s">
        <v>22</v>
      </c>
      <c r="S21" s="494" t="s">
        <v>22</v>
      </c>
      <c r="T21" s="494" t="s">
        <v>22</v>
      </c>
      <c r="U21" s="494" t="s">
        <v>31</v>
      </c>
      <c r="V21" s="494" t="s">
        <v>32</v>
      </c>
      <c r="AN21" s="470" t="s">
        <v>21</v>
      </c>
      <c r="AO21" s="481" t="s">
        <v>839</v>
      </c>
      <c r="AQ21" s="491" t="s">
        <v>21</v>
      </c>
      <c r="AR21" s="481" t="s">
        <v>846</v>
      </c>
    </row>
    <row r="22" spans="1:44" x14ac:dyDescent="0.25">
      <c r="B22" s="31" t="s">
        <v>10</v>
      </c>
      <c r="C22" s="31" t="s">
        <v>2</v>
      </c>
      <c r="D22" s="31" t="s">
        <v>2</v>
      </c>
      <c r="E22" s="31" t="s">
        <v>2</v>
      </c>
      <c r="F22" s="31" t="s">
        <v>33</v>
      </c>
      <c r="G22" s="31" t="s">
        <v>34</v>
      </c>
      <c r="H22" s="31" t="s">
        <v>34</v>
      </c>
      <c r="I22" s="31" t="s">
        <v>2</v>
      </c>
      <c r="J22" s="31" t="s">
        <v>2</v>
      </c>
      <c r="K22" s="31" t="s">
        <v>35</v>
      </c>
      <c r="L22" s="31" t="s">
        <v>12</v>
      </c>
      <c r="M22" s="31" t="s">
        <v>14</v>
      </c>
      <c r="N22" s="31" t="s">
        <v>7</v>
      </c>
      <c r="O22" s="31" t="s">
        <v>7</v>
      </c>
      <c r="P22" s="31"/>
      <c r="Q22" s="31"/>
      <c r="R22" s="31" t="s">
        <v>2</v>
      </c>
      <c r="S22" s="494" t="s">
        <v>2</v>
      </c>
      <c r="T22" s="494" t="s">
        <v>2</v>
      </c>
      <c r="U22" s="494" t="s">
        <v>12</v>
      </c>
      <c r="V22" s="494" t="s">
        <v>14</v>
      </c>
      <c r="AN22" s="31" t="s">
        <v>10</v>
      </c>
      <c r="AO22" s="31" t="s">
        <v>12</v>
      </c>
      <c r="AQ22" s="31" t="s">
        <v>10</v>
      </c>
      <c r="AR22" s="31" t="s">
        <v>14</v>
      </c>
    </row>
    <row r="23" spans="1:44" x14ac:dyDescent="0.25">
      <c r="B23" s="31"/>
      <c r="C23" s="434"/>
      <c r="D23" s="980"/>
      <c r="E23" s="980"/>
      <c r="F23" s="980"/>
      <c r="G23" s="980"/>
      <c r="H23" s="980"/>
      <c r="I23" s="980"/>
      <c r="J23" s="980"/>
      <c r="K23" s="980"/>
      <c r="L23" s="41"/>
      <c r="M23" s="41"/>
      <c r="N23" s="31"/>
      <c r="O23" s="31"/>
      <c r="P23" s="31"/>
      <c r="Q23" s="31"/>
      <c r="R23" s="434"/>
      <c r="S23" s="495"/>
      <c r="T23" s="205"/>
      <c r="U23" s="205"/>
      <c r="V23" s="205"/>
      <c r="AN23" s="31">
        <v>0</v>
      </c>
      <c r="AO23" s="41">
        <f t="shared" ref="AO23:AO43" si="0">$AO$19/$AN$43*AN23</f>
        <v>0</v>
      </c>
      <c r="AQ23" s="31">
        <v>0</v>
      </c>
      <c r="AR23" s="41">
        <f>$AR$19/$AN$43*AQ23</f>
        <v>0</v>
      </c>
    </row>
    <row r="24" spans="1:44" x14ac:dyDescent="0.25">
      <c r="B24" s="31"/>
      <c r="C24" s="434"/>
      <c r="D24" s="980"/>
      <c r="E24" s="980"/>
      <c r="F24" s="980"/>
      <c r="G24" s="980"/>
      <c r="H24" s="980"/>
      <c r="I24" s="980"/>
      <c r="J24" s="980"/>
      <c r="K24" s="980"/>
      <c r="L24" s="41"/>
      <c r="M24" s="41"/>
      <c r="N24" s="31"/>
      <c r="O24" s="31"/>
      <c r="P24" s="31"/>
      <c r="Q24" s="31"/>
      <c r="R24" s="434"/>
      <c r="S24" s="495"/>
      <c r="T24" s="205"/>
      <c r="U24" s="205"/>
      <c r="V24" s="205"/>
      <c r="W24" s="421"/>
      <c r="AN24" s="31">
        <f>AN23+5</f>
        <v>5</v>
      </c>
      <c r="AO24" s="41">
        <f t="shared" si="0"/>
        <v>-6.8956749897625746</v>
      </c>
      <c r="AQ24" s="31">
        <f>AQ23+5</f>
        <v>5</v>
      </c>
      <c r="AR24" s="41">
        <f t="shared" ref="AR24:AR43" si="1">$AR$19/$AN$43*AQ24</f>
        <v>-33.686815171393299</v>
      </c>
    </row>
    <row r="25" spans="1:44" x14ac:dyDescent="0.25">
      <c r="B25" s="31"/>
      <c r="C25" s="434"/>
      <c r="D25" s="980"/>
      <c r="E25" s="980"/>
      <c r="F25" s="980"/>
      <c r="G25" s="980"/>
      <c r="H25" s="980"/>
      <c r="I25" s="980"/>
      <c r="J25" s="980"/>
      <c r="K25" s="980"/>
      <c r="L25" s="41"/>
      <c r="M25" s="41"/>
      <c r="N25" s="31"/>
      <c r="O25" s="31"/>
      <c r="P25" s="31"/>
      <c r="Q25" s="31"/>
      <c r="R25" s="434"/>
      <c r="S25" s="495"/>
      <c r="T25" s="205"/>
      <c r="U25" s="205"/>
      <c r="V25" s="205"/>
      <c r="AN25" s="31">
        <f t="shared" ref="AN25:AN43" si="2">AN24+5</f>
        <v>10</v>
      </c>
      <c r="AO25" s="41">
        <f t="shared" si="0"/>
        <v>-13.791349979525149</v>
      </c>
      <c r="AQ25" s="31">
        <f t="shared" ref="AQ25:AQ43" si="3">AQ24+5</f>
        <v>10</v>
      </c>
      <c r="AR25" s="41">
        <f t="shared" si="1"/>
        <v>-67.373630342786598</v>
      </c>
    </row>
    <row r="26" spans="1:44" x14ac:dyDescent="0.25">
      <c r="B26" s="31"/>
      <c r="C26" s="434"/>
      <c r="D26" s="980"/>
      <c r="E26" s="980"/>
      <c r="F26" s="980"/>
      <c r="G26" s="980"/>
      <c r="H26" s="980"/>
      <c r="I26" s="980"/>
      <c r="J26" s="980"/>
      <c r="K26" s="980"/>
      <c r="L26" s="41"/>
      <c r="M26" s="41"/>
      <c r="N26" s="31"/>
      <c r="O26" s="31"/>
      <c r="P26" s="31"/>
      <c r="R26" s="434"/>
      <c r="S26" s="495"/>
      <c r="T26" s="205"/>
      <c r="U26" s="205"/>
      <c r="V26" s="205"/>
      <c r="AN26" s="31">
        <f t="shared" si="2"/>
        <v>15</v>
      </c>
      <c r="AO26" s="41">
        <f t="shared" si="0"/>
        <v>-20.687024969287723</v>
      </c>
      <c r="AQ26" s="31">
        <f t="shared" si="3"/>
        <v>15</v>
      </c>
      <c r="AR26" s="41">
        <f t="shared" si="1"/>
        <v>-101.06044551417989</v>
      </c>
    </row>
    <row r="27" spans="1:44" x14ac:dyDescent="0.25">
      <c r="B27" s="31"/>
      <c r="C27" s="434"/>
      <c r="D27" s="980"/>
      <c r="E27" s="980"/>
      <c r="F27" s="980"/>
      <c r="G27" s="980"/>
      <c r="H27" s="980"/>
      <c r="I27" s="980"/>
      <c r="J27" s="980"/>
      <c r="K27" s="980"/>
      <c r="L27" s="41"/>
      <c r="M27" s="41"/>
      <c r="N27" s="31"/>
      <c r="O27" s="31"/>
      <c r="P27" s="31"/>
      <c r="Q27" s="31"/>
      <c r="R27" s="434"/>
      <c r="S27" s="495"/>
      <c r="T27" s="205"/>
      <c r="U27" s="205"/>
      <c r="V27" s="205"/>
      <c r="AN27" s="31">
        <f t="shared" si="2"/>
        <v>20</v>
      </c>
      <c r="AO27" s="41">
        <f t="shared" si="0"/>
        <v>-27.582699959050299</v>
      </c>
      <c r="AQ27" s="31">
        <f t="shared" si="3"/>
        <v>20</v>
      </c>
      <c r="AR27" s="41">
        <f t="shared" si="1"/>
        <v>-134.7472606855732</v>
      </c>
    </row>
    <row r="28" spans="1:44" x14ac:dyDescent="0.25">
      <c r="B28" s="31"/>
      <c r="C28" s="434"/>
      <c r="D28" s="980"/>
      <c r="E28" s="980"/>
      <c r="F28" s="980"/>
      <c r="G28" s="980"/>
      <c r="H28" s="980"/>
      <c r="I28" s="980"/>
      <c r="J28" s="980"/>
      <c r="K28" s="980"/>
      <c r="L28" s="41"/>
      <c r="M28" s="421">
        <f>VLOOKUP(sezione!AG49,'SOLLECITAZ NASCOSTO'!$C$23:$M$468,2,TRUE)</f>
        <v>0.3620528488493957</v>
      </c>
      <c r="N28" s="422">
        <f>VLOOKUP('Foglio deposito bis'!C100,'SOLLECITAZ NASCOSTO'!$T$32:$V$448,2,TRUE)</f>
        <v>304.38193770097689</v>
      </c>
      <c r="O28" s="31"/>
      <c r="P28" s="421">
        <f>ABS(VLOOKUP('Foglio deposito bis'!C103,'SOLLECITAZ NASCOSTO'!$C$23:$M$468,11,TRUE))</f>
        <v>253.36610003388665</v>
      </c>
      <c r="Q28" s="31"/>
      <c r="R28" s="434"/>
      <c r="S28" s="495"/>
      <c r="T28" s="205"/>
      <c r="U28" s="205"/>
      <c r="V28" s="205"/>
      <c r="AN28" s="31">
        <f t="shared" si="2"/>
        <v>25</v>
      </c>
      <c r="AO28" s="41">
        <f t="shared" si="0"/>
        <v>-34.478374948812871</v>
      </c>
      <c r="AQ28" s="31">
        <f t="shared" si="3"/>
        <v>25</v>
      </c>
      <c r="AR28" s="41">
        <f t="shared" si="1"/>
        <v>-168.43407585696647</v>
      </c>
    </row>
    <row r="29" spans="1:44" x14ac:dyDescent="0.25">
      <c r="B29" s="31"/>
      <c r="C29" s="434"/>
      <c r="D29" s="980"/>
      <c r="E29" s="980"/>
      <c r="F29" s="980"/>
      <c r="G29" s="980"/>
      <c r="H29" s="980"/>
      <c r="I29" s="980"/>
      <c r="J29" s="980"/>
      <c r="K29" s="980"/>
      <c r="L29" s="41"/>
      <c r="M29" s="41"/>
      <c r="O29" s="31"/>
      <c r="P29" s="31"/>
      <c r="Q29" s="31"/>
      <c r="R29" s="434"/>
      <c r="S29" s="495"/>
      <c r="T29" s="205"/>
      <c r="U29" s="205"/>
      <c r="V29" s="205"/>
      <c r="AN29" s="31">
        <f t="shared" si="2"/>
        <v>30</v>
      </c>
      <c r="AO29" s="41">
        <f t="shared" si="0"/>
        <v>-41.374049938575446</v>
      </c>
      <c r="AQ29" s="31">
        <f t="shared" si="3"/>
        <v>30</v>
      </c>
      <c r="AR29" s="41">
        <f t="shared" si="1"/>
        <v>-202.12089102835978</v>
      </c>
    </row>
    <row r="30" spans="1:44" x14ac:dyDescent="0.25">
      <c r="B30" s="31"/>
      <c r="C30" s="434"/>
      <c r="D30" s="980"/>
      <c r="E30" s="980"/>
      <c r="F30" s="980"/>
      <c r="G30" s="980"/>
      <c r="H30" s="980"/>
      <c r="I30" s="980"/>
      <c r="J30" s="980"/>
      <c r="K30" s="980"/>
      <c r="L30" s="41"/>
      <c r="M30" s="41"/>
      <c r="N30" s="31"/>
      <c r="O30" s="31"/>
      <c r="P30" s="31"/>
      <c r="Q30" s="31"/>
      <c r="R30" s="434"/>
      <c r="S30" s="495"/>
      <c r="T30" s="205"/>
      <c r="U30" s="205"/>
      <c r="V30" s="205"/>
      <c r="AN30" s="31">
        <f t="shared" si="2"/>
        <v>35</v>
      </c>
      <c r="AO30" s="41">
        <f t="shared" si="0"/>
        <v>-48.269724928338022</v>
      </c>
      <c r="AQ30" s="31">
        <f t="shared" si="3"/>
        <v>35</v>
      </c>
      <c r="AR30" s="41">
        <f t="shared" si="1"/>
        <v>-235.80770619975308</v>
      </c>
    </row>
    <row r="31" spans="1:44" x14ac:dyDescent="0.25">
      <c r="B31" s="31"/>
      <c r="C31" s="434"/>
      <c r="D31" s="980"/>
      <c r="E31" s="980"/>
      <c r="F31" s="980"/>
      <c r="G31" s="980"/>
      <c r="H31" s="980"/>
      <c r="I31" s="980"/>
      <c r="J31" s="980"/>
      <c r="K31" s="980"/>
      <c r="L31" s="41"/>
      <c r="M31" s="41"/>
      <c r="N31" s="31"/>
      <c r="O31" s="31"/>
      <c r="P31" s="31"/>
      <c r="Q31" s="31"/>
      <c r="R31" s="434"/>
      <c r="S31" s="495"/>
      <c r="T31" s="205"/>
      <c r="U31" s="205"/>
      <c r="V31" s="205"/>
      <c r="W31" s="421"/>
      <c r="AB31" s="436"/>
      <c r="AN31" s="31">
        <f>AN30+5</f>
        <v>40</v>
      </c>
      <c r="AO31" s="41">
        <f t="shared" si="0"/>
        <v>-55.165399918100597</v>
      </c>
      <c r="AQ31" s="31">
        <f>AQ30+5</f>
        <v>40</v>
      </c>
      <c r="AR31" s="41">
        <f t="shared" si="1"/>
        <v>-269.49452137114639</v>
      </c>
    </row>
    <row r="32" spans="1:44" x14ac:dyDescent="0.25">
      <c r="A32" s="581">
        <f>E32</f>
        <v>8.6539416786588635E-2</v>
      </c>
      <c r="B32" s="31">
        <v>0</v>
      </c>
      <c r="C32" s="434">
        <f>'SOLLECITAZ NASCOSTO'!$D$6/'SOLLECITAZ NASCOSTO'!$B$448*'SOLLECITAZ NASCOSTO'!B32</f>
        <v>0</v>
      </c>
      <c r="D32" s="128">
        <f>D9+D14</f>
        <v>0.20653941678658863</v>
      </c>
      <c r="E32" s="128">
        <f t="shared" ref="E32:E95" si="4">D32-$D$9</f>
        <v>8.6539416786588635E-2</v>
      </c>
      <c r="F32" s="128">
        <f t="shared" ref="F32:F95" si="5">E32*$D$12*$D$11+$D$8*$D$9</f>
        <v>0.32769261337170835</v>
      </c>
      <c r="G32" s="128">
        <f t="shared" ref="G32:G95" si="6">$D$12*E32*$D$11*($D$9+E32/2)+$D$9*$D$8*$D$9/2</f>
        <v>2.2521364909847064E-2</v>
      </c>
      <c r="H32" s="128">
        <f t="shared" ref="H32:H62" si="7">I32*F32</f>
        <v>0</v>
      </c>
      <c r="I32" s="128">
        <v>0</v>
      </c>
      <c r="J32" s="127">
        <f t="shared" ref="J32:J62" si="8">G32/F32</f>
        <v>6.8727105802353333E-2</v>
      </c>
      <c r="K32" s="126">
        <f t="shared" ref="K32:K95" si="9">$D$8*$D$9^3/12+$D$8*$D$9*(J32-$D$9/2)^2+$D$11*$D$12*(J32-$D$9)^3/3+$D$11*$D$12*(E32-(J32-$D$9))^3/3</f>
        <v>6.476563629178398E-4</v>
      </c>
      <c r="L32" s="41">
        <f>'SOLLECITAZ NASCOSTO'!I9</f>
        <v>0</v>
      </c>
      <c r="M32" s="41">
        <f>I7</f>
        <v>0</v>
      </c>
      <c r="N32" s="476"/>
      <c r="O32" s="476"/>
      <c r="P32" s="476"/>
      <c r="Q32" s="476"/>
      <c r="R32" s="434">
        <f t="shared" ref="R32:R95" si="10">C32</f>
        <v>0</v>
      </c>
      <c r="S32" s="495">
        <f>C32</f>
        <v>0</v>
      </c>
      <c r="T32" s="205">
        <f>IF(($R$468-S32)&lt;=$D$6,$R$468-S32,$D$6)</f>
        <v>4.5320615922608809</v>
      </c>
      <c r="U32" s="205">
        <f>L32</f>
        <v>0</v>
      </c>
      <c r="V32" s="205">
        <f>M32</f>
        <v>0</v>
      </c>
      <c r="W32" s="421"/>
      <c r="X32" s="470"/>
      <c r="AN32" s="31">
        <f t="shared" si="2"/>
        <v>45</v>
      </c>
      <c r="AO32" s="41">
        <f t="shared" si="0"/>
        <v>-62.061074907863173</v>
      </c>
      <c r="AQ32" s="31">
        <f t="shared" si="3"/>
        <v>45</v>
      </c>
      <c r="AR32" s="41">
        <f t="shared" si="1"/>
        <v>-303.18133654253967</v>
      </c>
    </row>
    <row r="33" spans="1:44" x14ac:dyDescent="0.25">
      <c r="A33" s="581">
        <f t="shared" ref="A33:A96" si="11">E33</f>
        <v>8.811025953469781E-2</v>
      </c>
      <c r="B33" s="31">
        <f t="shared" ref="B33:B61" si="12">B32+1</f>
        <v>1</v>
      </c>
      <c r="C33" s="434">
        <f>'SOLLECITAZ NASCOSTO'!$D$6/'SOLLECITAZ NASCOSTO'!$B$448*'SOLLECITAZ NASCOSTO'!B33</f>
        <v>1.0894378827550195E-2</v>
      </c>
      <c r="D33" s="128">
        <f>$D$9+$D$14+$D$16*C33</f>
        <v>0.20811025953469781</v>
      </c>
      <c r="E33" s="128">
        <f t="shared" si="4"/>
        <v>8.811025953469781E-2</v>
      </c>
      <c r="F33" s="128">
        <f t="shared" si="5"/>
        <v>0.32819528305110329</v>
      </c>
      <c r="G33" s="128">
        <f t="shared" si="6"/>
        <v>2.2625580819775885E-2</v>
      </c>
      <c r="H33" s="128">
        <f t="shared" si="7"/>
        <v>0</v>
      </c>
      <c r="I33" s="128">
        <v>0</v>
      </c>
      <c r="J33" s="127">
        <f t="shared" si="8"/>
        <v>6.8939384531778461E-2</v>
      </c>
      <c r="K33" s="126">
        <f t="shared" si="9"/>
        <v>6.5729762552412126E-4</v>
      </c>
      <c r="L33" s="41">
        <f>N33*C33+O33*C33/2+L32</f>
        <v>0.14817888741172053</v>
      </c>
      <c r="M33" s="41">
        <f t="shared" ref="M33:M62" si="13">M32-(L33+L32)*(C33-C32)/2</f>
        <v>-8.0715846685409606E-4</v>
      </c>
      <c r="N33" s="41">
        <f>IF(C33&lt;='SOLLECITAZ NASCOSTO'!$P$12,IF(C33&lt;='SOLLECITAZ NASCOSTO'!$P$11,IF(C33&lt;='SOLLECITAZ NASCOSTO'!$P$10,IF(C33&lt;='SOLLECITAZ NASCOSTO'!$P$9,IF(C33&lt;='SOLLECITAZ NASCOSTO'!$P$8,IF(C33&lt;='SOLLECITAZ NASCOSTO'!$P$7,IF(C33&lt;='SOLLECITAZ NASCOSTO'!$P$6,IF(C33&lt;='SOLLECITAZ NASCOSTO'!$P$5,'Sollecitazioni nel paramento'!$G$103,'Sollecitazioni nel paramento'!$G$104),'Sollecitazioni nel paramento'!$G$105),'Sollecitazioni nel paramento'!$G$106),'Sollecitazioni nel paramento'!$G$107),'Sollecitazioni nel paramento'!$G$108),'Sollecitazioni nel paramento'!$G$109),'Sollecitazioni nel paramento'!$G$110),'Sollecitazioni nel paramento'!$G$111)</f>
        <v>13.472346174690138</v>
      </c>
      <c r="O33" s="41">
        <f>IF(C33&lt;='SOLLECITAZ NASCOSTO'!$P$12,IF(C33&lt;='SOLLECITAZ NASCOSTO'!$P$11,IF(C33&lt;='SOLLECITAZ NASCOSTO'!$P$10,IF(C33&lt;='SOLLECITAZ NASCOSTO'!$P$9,IF(C33&lt;='SOLLECITAZ NASCOSTO'!$P$8,IF(C33&lt;='SOLLECITAZ NASCOSTO'!$P$7,IF(C33&lt;='SOLLECITAZ NASCOSTO'!$P$6,IF(C33&lt;='SOLLECITAZ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paramento'!$G$110),55555)*(C33-C32)/IF(C33&lt;='SOLLECITAZ NASCOSTO'!$P$12,IF(C33&lt;='SOLLECITAZ NASCOSTO'!$P$11,IF(C33&lt;='SOLLECITAZ NASCOSTO'!$P$10,IF(C33&lt;='SOLLECITAZ NASCOSTO'!$P$9,IF(C33&lt;='SOLLECITAZ NASCOSTO'!$P$8,IF(C33&lt;='SOLLECITAZ NASCOSTO'!$P$7,IF(C33&lt;='SOLLECITAZ NASCOSTO'!$P$6,IF(C33&lt;='SOLLECITAZ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0.25812292944940579</v>
      </c>
      <c r="P33" s="41">
        <v>0</v>
      </c>
      <c r="Q33" s="41">
        <f>IF(C33&lt;=$D$6,1,0+P32)</f>
        <v>1</v>
      </c>
      <c r="R33" s="434">
        <f t="shared" si="10"/>
        <v>1.0894378827550195E-2</v>
      </c>
      <c r="S33" s="41">
        <f>IF(C33&lt;=$D$4,C33,"")</f>
        <v>1.0894378827550195E-2</v>
      </c>
      <c r="T33" s="205">
        <f t="shared" ref="T33:T96" si="14">IF(($R$468-S33)&lt;=$D$6,$R$468-S33,$D$6)</f>
        <v>4.5320615922608809</v>
      </c>
      <c r="U33" s="41">
        <f>IF(C33&lt;=$D$4,L33,"")</f>
        <v>0.14817888741172053</v>
      </c>
      <c r="V33" s="41">
        <f>IF(C33&lt;=$D$4,M33,"")</f>
        <v>-8.0715846685409606E-4</v>
      </c>
      <c r="W33" s="421"/>
      <c r="AN33" s="31">
        <f t="shared" si="2"/>
        <v>50</v>
      </c>
      <c r="AO33" s="41">
        <f t="shared" si="0"/>
        <v>-68.956749897625741</v>
      </c>
      <c r="AQ33" s="31">
        <f t="shared" si="3"/>
        <v>50</v>
      </c>
      <c r="AR33" s="41">
        <f t="shared" si="1"/>
        <v>-336.86815171393295</v>
      </c>
    </row>
    <row r="34" spans="1:44" x14ac:dyDescent="0.25">
      <c r="A34" s="581">
        <f t="shared" si="11"/>
        <v>8.9681102282806957E-2</v>
      </c>
      <c r="B34" s="31">
        <f t="shared" si="12"/>
        <v>2</v>
      </c>
      <c r="C34" s="434">
        <f>'SOLLECITAZ NASCOSTO'!$D$6/'SOLLECITAZ NASCOSTO'!$B$448*'SOLLECITAZ NASCOSTO'!B34</f>
        <v>2.1788757655100389E-2</v>
      </c>
      <c r="D34" s="128">
        <f t="shared" ref="D34:D96" si="15">$D$9+$D$14+$D$16*C34</f>
        <v>0.20968110228280695</v>
      </c>
      <c r="E34" s="128">
        <f t="shared" si="4"/>
        <v>8.9681102282806957E-2</v>
      </c>
      <c r="F34" s="128">
        <f t="shared" si="5"/>
        <v>0.32869795273049823</v>
      </c>
      <c r="G34" s="128">
        <f t="shared" si="6"/>
        <v>2.2730586344725273E-2</v>
      </c>
      <c r="H34" s="128">
        <f t="shared" si="7"/>
        <v>0</v>
      </c>
      <c r="I34" s="128">
        <v>0</v>
      </c>
      <c r="J34" s="127">
        <f t="shared" si="8"/>
        <v>6.915341624704989E-2</v>
      </c>
      <c r="K34" s="126">
        <f t="shared" si="9"/>
        <v>6.6712884687408964E-4</v>
      </c>
      <c r="L34" s="41">
        <f t="shared" ref="L34:L62" si="16">L33+N34*(C34-C33)+O34*(C34-C33)/2</f>
        <v>0.29916986380093991</v>
      </c>
      <c r="M34" s="41">
        <f t="shared" si="13"/>
        <v>-3.24395184872521E-3</v>
      </c>
      <c r="N34" s="41">
        <f>(IF(C33&lt;='SOLLECITAZ NASCOSTO'!$P$12,IF(C33&lt;='SOLLECITAZ NASCOSTO'!$P$11,IF(C33&lt;='SOLLECITAZ NASCOSTO'!$P$10,IF(C33&lt;='SOLLECITAZ NASCOSTO'!$P$9,IF(C33&lt;='SOLLECITAZ NASCOSTO'!$P$8,IF(C33&lt;='SOLLECITAZ NASCOSTO'!$P$7,IF(C33&lt;='SOLLECITAZ NASCOSTO'!$P$6,IF(C33&lt;='SOLLECITAZ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paramento'!$G$111),55555)-IF(C33&lt;='SOLLECITAZ NASCOSTO'!$P$12,IF(C33&lt;='SOLLECITAZ NASCOSTO'!$P$11,IF(C33&lt;='SOLLECITAZ NASCOSTO'!$P$10,IF(C33&lt;='SOLLECITAZ NASCOSTO'!$P$9,IF(C33&lt;='SOLLECITAZ NASCOSTO'!$P$8,IF(C33&lt;='SOLLECITAZ NASCOSTO'!$P$7,IF(C33&lt;='SOLLECITAZ NASCOSTO'!$P$6,IF(C33&lt;='SOLLECITAZ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paramento'!$G$111))*(C33-IF(C33&lt;='SOLLECITAZ NASCOSTO'!$P$12,IF(C33&lt;='SOLLECITAZ NASCOSTO'!$P$11,IF(C33&lt;='SOLLECITAZ NASCOSTO'!$P$10,IF(C33&lt;='SOLLECITAZ NASCOSTO'!$P$9,IF(C33&lt;='SOLLECITAZ NASCOSTO'!$P$8,IF(C33&lt;='SOLLECITAZ NASCOSTO'!$P$7,IF(C33&lt;='SOLLECITAZ NASCOSTO'!$P$6,IF(C33&lt;='SOLLECITAZ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NASCOSTO'!$P$12))/IF(C33&lt;='SOLLECITAZ NASCOSTO'!$P$12,IF(C33&lt;='SOLLECITAZ NASCOSTO'!$P$11,IF(C33&lt;='SOLLECITAZ NASCOSTO'!$P$10,IF(C33&lt;='SOLLECITAZ NASCOSTO'!$P$9,IF(C33&lt;='SOLLECITAZ NASCOSTO'!$P$8,IF(C33&lt;='SOLLECITAZ NASCOSTO'!$P$7,IF(C33&lt;='SOLLECITAZ NASCOSTO'!$P$6,IF(C33&lt;='SOLLECITAZ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paramento'!$C$111)+IF(C33&lt;='SOLLECITAZ NASCOSTO'!$P$12,IF(C33&lt;='SOLLECITAZ NASCOSTO'!$P$11,IF(C33&lt;='SOLLECITAZ NASCOSTO'!$P$10,IF(C33&lt;='SOLLECITAZ NASCOSTO'!$P$9,IF(C33&lt;='SOLLECITAZ NASCOSTO'!$P$8,IF(C33&lt;='SOLLECITAZ NASCOSTO'!$P$7,IF(C33&lt;='SOLLECITAZ NASCOSTO'!$P$6,IF(C33&lt;='SOLLECITAZ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13.730469104139544</v>
      </c>
      <c r="O34" s="41">
        <f>IF(C34&lt;='SOLLECITAZ NASCOSTO'!$P$12,IF(C34&lt;='SOLLECITAZ NASCOSTO'!$P$11,IF(C34&lt;='SOLLECITAZ NASCOSTO'!$P$10,IF(C34&lt;='SOLLECITAZ NASCOSTO'!$P$9,IF(C34&lt;='SOLLECITAZ NASCOSTO'!$P$8,IF(C34&lt;='SOLLECITAZ NASCOSTO'!$P$7,IF(C34&lt;='SOLLECITAZ NASCOSTO'!$P$6,IF(C34&lt;='SOLLECITAZ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paramento'!$G$110),55555)*(C34-C33)/IF(C34&lt;='SOLLECITAZ NASCOSTO'!$P$12,IF(C34&lt;='SOLLECITAZ NASCOSTO'!$P$11,IF(C34&lt;='SOLLECITAZ NASCOSTO'!$P$10,IF(C34&lt;='SOLLECITAZ NASCOSTO'!$P$9,IF(C34&lt;='SOLLECITAZ NASCOSTO'!$P$8,IF(C34&lt;='SOLLECITAZ NASCOSTO'!$P$7,IF(C34&lt;='SOLLECITAZ NASCOSTO'!$P$6,IF(C34&lt;='SOLLECITAZ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0.25812292944940579</v>
      </c>
      <c r="P34" s="41">
        <f>P33+0.000001</f>
        <v>9.9999999999999995E-7</v>
      </c>
      <c r="Q34" s="41">
        <f>IF(C34&lt;=$D$6,1,0+P33)</f>
        <v>1</v>
      </c>
      <c r="R34" s="434">
        <f t="shared" si="10"/>
        <v>2.1788757655100389E-2</v>
      </c>
      <c r="S34" s="45">
        <f>IF(Q34=1,C33,0)</f>
        <v>1.0894378827550195E-2</v>
      </c>
      <c r="T34" s="205">
        <f t="shared" si="14"/>
        <v>4.5320615922608809</v>
      </c>
      <c r="U34" s="45">
        <f t="shared" ref="U34:U97" si="17">IF(Q34=1,L34,0)</f>
        <v>0.29916986380093991</v>
      </c>
      <c r="V34" s="45">
        <f t="shared" ref="V34:V97" si="18">IF(Q34=1,M34,0)</f>
        <v>-3.24395184872521E-3</v>
      </c>
      <c r="W34" s="421"/>
      <c r="AN34" s="31">
        <f t="shared" si="2"/>
        <v>55</v>
      </c>
      <c r="AO34" s="41">
        <f t="shared" si="0"/>
        <v>-75.852424887388324</v>
      </c>
      <c r="AQ34" s="31">
        <f t="shared" si="3"/>
        <v>55</v>
      </c>
      <c r="AR34" s="41">
        <f t="shared" si="1"/>
        <v>-370.55496688532628</v>
      </c>
    </row>
    <row r="35" spans="1:44" x14ac:dyDescent="0.25">
      <c r="A35" s="581">
        <f t="shared" si="11"/>
        <v>9.1251945030916132E-2</v>
      </c>
      <c r="B35" s="31">
        <f t="shared" si="12"/>
        <v>3</v>
      </c>
      <c r="C35" s="434">
        <f>'SOLLECITAZ NASCOSTO'!$D$6/'SOLLECITAZ NASCOSTO'!$B$448*'SOLLECITAZ NASCOSTO'!B35</f>
        <v>3.2683136482650588E-2</v>
      </c>
      <c r="D35" s="128">
        <f t="shared" si="15"/>
        <v>0.21125194503091613</v>
      </c>
      <c r="E35" s="128">
        <f t="shared" si="4"/>
        <v>9.1251945030916132E-2</v>
      </c>
      <c r="F35" s="128">
        <f t="shared" si="5"/>
        <v>0.32920062240989317</v>
      </c>
      <c r="G35" s="128">
        <f t="shared" si="6"/>
        <v>2.2836381484695231E-2</v>
      </c>
      <c r="H35" s="128">
        <f t="shared" si="7"/>
        <v>0</v>
      </c>
      <c r="I35" s="128">
        <v>0</v>
      </c>
      <c r="J35" s="127">
        <f t="shared" si="8"/>
        <v>6.9369192918053699E-2</v>
      </c>
      <c r="K35" s="126">
        <f t="shared" si="9"/>
        <v>6.7715163184097924E-4</v>
      </c>
      <c r="L35" s="41">
        <f t="shared" si="16"/>
        <v>0.45297292916765813</v>
      </c>
      <c r="M35" s="41">
        <f t="shared" si="13"/>
        <v>-7.3410161082309933E-3</v>
      </c>
      <c r="N35" s="41">
        <f>(IF(C34&lt;='SOLLECITAZ NASCOSTO'!$P$12,IF(C34&lt;='SOLLECITAZ NASCOSTO'!$P$11,IF(C34&lt;='SOLLECITAZ NASCOSTO'!$P$10,IF(C34&lt;='SOLLECITAZ NASCOSTO'!$P$9,IF(C34&lt;='SOLLECITAZ NASCOSTO'!$P$8,IF(C34&lt;='SOLLECITAZ NASCOSTO'!$P$7,IF(C34&lt;='SOLLECITAZ NASCOSTO'!$P$6,IF(C34&lt;='SOLLECITAZ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paramento'!$G$111),55555)-IF(C34&lt;='SOLLECITAZ NASCOSTO'!$P$12,IF(C34&lt;='SOLLECITAZ NASCOSTO'!$P$11,IF(C34&lt;='SOLLECITAZ NASCOSTO'!$P$10,IF(C34&lt;='SOLLECITAZ NASCOSTO'!$P$9,IF(C34&lt;='SOLLECITAZ NASCOSTO'!$P$8,IF(C34&lt;='SOLLECITAZ NASCOSTO'!$P$7,IF(C34&lt;='SOLLECITAZ NASCOSTO'!$P$6,IF(C34&lt;='SOLLECITAZ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paramento'!$G$111))*(C34-IF(C34&lt;='SOLLECITAZ NASCOSTO'!$P$12,IF(C34&lt;='SOLLECITAZ NASCOSTO'!$P$11,IF(C34&lt;='SOLLECITAZ NASCOSTO'!$P$10,IF(C34&lt;='SOLLECITAZ NASCOSTO'!$P$9,IF(C34&lt;='SOLLECITAZ NASCOSTO'!$P$8,IF(C34&lt;='SOLLECITAZ NASCOSTO'!$P$7,IF(C34&lt;='SOLLECITAZ NASCOSTO'!$P$6,IF(C34&lt;='SOLLECITAZ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NASCOSTO'!$P$12))/IF(C34&lt;='SOLLECITAZ NASCOSTO'!$P$12,IF(C34&lt;='SOLLECITAZ NASCOSTO'!$P$11,IF(C34&lt;='SOLLECITAZ NASCOSTO'!$P$10,IF(C34&lt;='SOLLECITAZ NASCOSTO'!$P$9,IF(C34&lt;='SOLLECITAZ NASCOSTO'!$P$8,IF(C34&lt;='SOLLECITAZ NASCOSTO'!$P$7,IF(C34&lt;='SOLLECITAZ NASCOSTO'!$P$6,IF(C34&lt;='SOLLECITAZ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paramento'!$C$111)+IF(C34&lt;='SOLLECITAZ NASCOSTO'!$P$12,IF(C34&lt;='SOLLECITAZ NASCOSTO'!$P$11,IF(C34&lt;='SOLLECITAZ NASCOSTO'!$P$10,IF(C34&lt;='SOLLECITAZ NASCOSTO'!$P$9,IF(C34&lt;='SOLLECITAZ NASCOSTO'!$P$8,IF(C34&lt;='SOLLECITAZ NASCOSTO'!$P$7,IF(C34&lt;='SOLLECITAZ NASCOSTO'!$P$6,IF(C34&lt;='SOLLECITAZ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13.988592033588949</v>
      </c>
      <c r="O35" s="41">
        <f>IF(C35&lt;='SOLLECITAZ NASCOSTO'!$P$12,IF(C35&lt;='SOLLECITAZ NASCOSTO'!$P$11,IF(C35&lt;='SOLLECITAZ NASCOSTO'!$P$10,IF(C35&lt;='SOLLECITAZ NASCOSTO'!$P$9,IF(C35&lt;='SOLLECITAZ NASCOSTO'!$P$8,IF(C35&lt;='SOLLECITAZ NASCOSTO'!$P$7,IF(C35&lt;='SOLLECITAZ NASCOSTO'!$P$6,IF(C35&lt;='SOLLECITAZ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paramento'!$G$110),55555)*(C35-C34)/IF(C35&lt;='SOLLECITAZ NASCOSTO'!$P$12,IF(C35&lt;='SOLLECITAZ NASCOSTO'!$P$11,IF(C35&lt;='SOLLECITAZ NASCOSTO'!$P$10,IF(C35&lt;='SOLLECITAZ NASCOSTO'!$P$9,IF(C35&lt;='SOLLECITAZ NASCOSTO'!$P$8,IF(C35&lt;='SOLLECITAZ NASCOSTO'!$P$7,IF(C35&lt;='SOLLECITAZ NASCOSTO'!$P$6,IF(C35&lt;='SOLLECITAZ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0.2581229294494059</v>
      </c>
      <c r="P35" s="41">
        <f>P34+0.000001</f>
        <v>1.9999999999999999E-6</v>
      </c>
      <c r="Q35" s="41">
        <f t="shared" ref="Q35:Q98" si="19">IF(C35&lt;=$D$6,1,0+P35)</f>
        <v>1</v>
      </c>
      <c r="R35" s="434">
        <f t="shared" si="10"/>
        <v>3.2683136482650588E-2</v>
      </c>
      <c r="S35" s="45">
        <f t="shared" ref="S35:S98" si="20">IF(Q35&lt;1,VLOOKUP(0,$Q$34:$R$468,2,TRUE),C35)</f>
        <v>3.2683136482650588E-2</v>
      </c>
      <c r="T35" s="205">
        <f t="shared" si="14"/>
        <v>4.5320615922608809</v>
      </c>
      <c r="U35" s="45">
        <f t="shared" si="17"/>
        <v>0.45297292916765813</v>
      </c>
      <c r="V35" s="45">
        <f t="shared" si="18"/>
        <v>-7.3410161082309933E-3</v>
      </c>
      <c r="W35" s="421"/>
      <c r="AN35" s="31">
        <f t="shared" si="2"/>
        <v>60</v>
      </c>
      <c r="AO35" s="41">
        <f t="shared" si="0"/>
        <v>-82.748099877150892</v>
      </c>
      <c r="AQ35" s="31">
        <f t="shared" si="3"/>
        <v>60</v>
      </c>
      <c r="AR35" s="41">
        <f t="shared" si="1"/>
        <v>-404.24178205671956</v>
      </c>
    </row>
    <row r="36" spans="1:44" x14ac:dyDescent="0.25">
      <c r="A36" s="581">
        <f t="shared" si="11"/>
        <v>9.2822787779025279E-2</v>
      </c>
      <c r="B36" s="31">
        <f t="shared" si="12"/>
        <v>4</v>
      </c>
      <c r="C36" s="434">
        <f>'SOLLECITAZ NASCOSTO'!$D$6/'SOLLECITAZ NASCOSTO'!$B$448*'SOLLECITAZ NASCOSTO'!B36</f>
        <v>4.3577515310200779E-2</v>
      </c>
      <c r="D36" s="128">
        <f t="shared" si="15"/>
        <v>0.21282278777902527</v>
      </c>
      <c r="E36" s="128">
        <f t="shared" si="4"/>
        <v>9.2822787779025279E-2</v>
      </c>
      <c r="F36" s="128">
        <f t="shared" si="5"/>
        <v>0.32970329208928806</v>
      </c>
      <c r="G36" s="128">
        <f t="shared" si="6"/>
        <v>2.2942966239685763E-2</v>
      </c>
      <c r="H36" s="128">
        <f t="shared" si="7"/>
        <v>0</v>
      </c>
      <c r="I36" s="128">
        <v>0</v>
      </c>
      <c r="J36" s="127">
        <f t="shared" si="8"/>
        <v>6.9586706563647238E-2</v>
      </c>
      <c r="K36" s="126">
        <f t="shared" si="9"/>
        <v>6.8736757929292454E-4</v>
      </c>
      <c r="L36" s="41">
        <f t="shared" si="16"/>
        <v>0.6095880835118751</v>
      </c>
      <c r="M36" s="41">
        <f t="shared" si="13"/>
        <v>-1.3128987207989093E-2</v>
      </c>
      <c r="N36" s="41">
        <f>(IF(C35&lt;='SOLLECITAZ NASCOSTO'!$P$12,IF(C35&lt;='SOLLECITAZ NASCOSTO'!$P$11,IF(C35&lt;='SOLLECITAZ NASCOSTO'!$P$10,IF(C35&lt;='SOLLECITAZ NASCOSTO'!$P$9,IF(C35&lt;='SOLLECITAZ NASCOSTO'!$P$8,IF(C35&lt;='SOLLECITAZ NASCOSTO'!$P$7,IF(C35&lt;='SOLLECITAZ NASCOSTO'!$P$6,IF(C35&lt;='SOLLECITAZ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paramento'!$G$111),55555)-IF(C35&lt;='SOLLECITAZ NASCOSTO'!$P$12,IF(C35&lt;='SOLLECITAZ NASCOSTO'!$P$11,IF(C35&lt;='SOLLECITAZ NASCOSTO'!$P$10,IF(C35&lt;='SOLLECITAZ NASCOSTO'!$P$9,IF(C35&lt;='SOLLECITAZ NASCOSTO'!$P$8,IF(C35&lt;='SOLLECITAZ NASCOSTO'!$P$7,IF(C35&lt;='SOLLECITAZ NASCOSTO'!$P$6,IF(C35&lt;='SOLLECITAZ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paramento'!$G$111))*(C35-IF(C35&lt;='SOLLECITAZ NASCOSTO'!$P$12,IF(C35&lt;='SOLLECITAZ NASCOSTO'!$P$11,IF(C35&lt;='SOLLECITAZ NASCOSTO'!$P$10,IF(C35&lt;='SOLLECITAZ NASCOSTO'!$P$9,IF(C35&lt;='SOLLECITAZ NASCOSTO'!$P$8,IF(C35&lt;='SOLLECITAZ NASCOSTO'!$P$7,IF(C35&lt;='SOLLECITAZ NASCOSTO'!$P$6,IF(C35&lt;='SOLLECITAZ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NASCOSTO'!$P$12))/IF(C35&lt;='SOLLECITAZ NASCOSTO'!$P$12,IF(C35&lt;='SOLLECITAZ NASCOSTO'!$P$11,IF(C35&lt;='SOLLECITAZ NASCOSTO'!$P$10,IF(C35&lt;='SOLLECITAZ NASCOSTO'!$P$9,IF(C35&lt;='SOLLECITAZ NASCOSTO'!$P$8,IF(C35&lt;='SOLLECITAZ NASCOSTO'!$P$7,IF(C35&lt;='SOLLECITAZ NASCOSTO'!$P$6,IF(C35&lt;='SOLLECITAZ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paramento'!$C$111)+IF(C35&lt;='SOLLECITAZ NASCOSTO'!$P$12,IF(C35&lt;='SOLLECITAZ NASCOSTO'!$P$11,IF(C35&lt;='SOLLECITAZ NASCOSTO'!$P$10,IF(C35&lt;='SOLLECITAZ NASCOSTO'!$P$9,IF(C35&lt;='SOLLECITAZ NASCOSTO'!$P$8,IF(C35&lt;='SOLLECITAZ NASCOSTO'!$P$7,IF(C35&lt;='SOLLECITAZ NASCOSTO'!$P$6,IF(C35&lt;='SOLLECITAZ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14.246714963038356</v>
      </c>
      <c r="O36" s="41">
        <f>IF(C36&lt;='SOLLECITAZ NASCOSTO'!$P$12,IF(C36&lt;='SOLLECITAZ NASCOSTO'!$P$11,IF(C36&lt;='SOLLECITAZ NASCOSTO'!$P$10,IF(C36&lt;='SOLLECITAZ NASCOSTO'!$P$9,IF(C36&lt;='SOLLECITAZ NASCOSTO'!$P$8,IF(C36&lt;='SOLLECITAZ NASCOSTO'!$P$7,IF(C36&lt;='SOLLECITAZ NASCOSTO'!$P$6,IF(C36&lt;='SOLLECITAZ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paramento'!$G$110),55555)*(C36-C35)/IF(C36&lt;='SOLLECITAZ NASCOSTO'!$P$12,IF(C36&lt;='SOLLECITAZ NASCOSTO'!$P$11,IF(C36&lt;='SOLLECITAZ NASCOSTO'!$P$10,IF(C36&lt;='SOLLECITAZ NASCOSTO'!$P$9,IF(C36&lt;='SOLLECITAZ NASCOSTO'!$P$8,IF(C36&lt;='SOLLECITAZ NASCOSTO'!$P$7,IF(C36&lt;='SOLLECITAZ NASCOSTO'!$P$6,IF(C36&lt;='SOLLECITAZ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0.25812292944940574</v>
      </c>
      <c r="P36" s="41">
        <f t="shared" ref="P36:P99" si="21">P35+0.000001</f>
        <v>3.0000000000000001E-6</v>
      </c>
      <c r="Q36" s="41">
        <f t="shared" si="19"/>
        <v>1</v>
      </c>
      <c r="R36" s="434">
        <f t="shared" si="10"/>
        <v>4.3577515310200779E-2</v>
      </c>
      <c r="S36" s="45">
        <f t="shared" si="20"/>
        <v>4.3577515310200779E-2</v>
      </c>
      <c r="T36" s="205">
        <f t="shared" si="14"/>
        <v>4.5320615922608809</v>
      </c>
      <c r="U36" s="45">
        <f t="shared" si="17"/>
        <v>0.6095880835118751</v>
      </c>
      <c r="V36" s="45">
        <f t="shared" si="18"/>
        <v>-1.3128987207989093E-2</v>
      </c>
      <c r="W36" s="421"/>
      <c r="AN36" s="31">
        <f t="shared" si="2"/>
        <v>65</v>
      </c>
      <c r="AO36" s="41">
        <f t="shared" si="0"/>
        <v>-89.643774866913475</v>
      </c>
      <c r="AQ36" s="31">
        <f t="shared" si="3"/>
        <v>65</v>
      </c>
      <c r="AR36" s="41">
        <f t="shared" si="1"/>
        <v>-437.92859722811284</v>
      </c>
    </row>
    <row r="37" spans="1:44" x14ac:dyDescent="0.25">
      <c r="A37" s="581">
        <f t="shared" si="11"/>
        <v>9.4393630527134453E-2</v>
      </c>
      <c r="B37" s="31">
        <f t="shared" si="12"/>
        <v>5</v>
      </c>
      <c r="C37" s="434">
        <f>'SOLLECITAZ NASCOSTO'!$D$6/'SOLLECITAZ NASCOSTO'!$B$448*'SOLLECITAZ NASCOSTO'!B37</f>
        <v>5.447189413775097E-2</v>
      </c>
      <c r="D37" s="128">
        <f t="shared" si="15"/>
        <v>0.21439363052713445</v>
      </c>
      <c r="E37" s="128">
        <f t="shared" si="4"/>
        <v>9.4393630527134453E-2</v>
      </c>
      <c r="F37" s="128">
        <f t="shared" si="5"/>
        <v>0.330205961768683</v>
      </c>
      <c r="G37" s="128">
        <f t="shared" si="6"/>
        <v>2.3050340609696868E-2</v>
      </c>
      <c r="H37" s="128">
        <f t="shared" si="7"/>
        <v>0</v>
      </c>
      <c r="I37" s="128">
        <v>0</v>
      </c>
      <c r="J37" s="127">
        <f t="shared" si="8"/>
        <v>6.9805949251286303E-2</v>
      </c>
      <c r="K37" s="126">
        <f t="shared" si="9"/>
        <v>6.9777828213867096E-4</v>
      </c>
      <c r="L37" s="41">
        <f t="shared" si="16"/>
        <v>0.76901532683359086</v>
      </c>
      <c r="M37" s="41">
        <f t="shared" si="13"/>
        <v>-2.0638501110617158E-2</v>
      </c>
      <c r="N37" s="41">
        <f>(IF(C36&lt;='SOLLECITAZ NASCOSTO'!$P$12,IF(C36&lt;='SOLLECITAZ NASCOSTO'!$P$11,IF(C36&lt;='SOLLECITAZ NASCOSTO'!$P$10,IF(C36&lt;='SOLLECITAZ NASCOSTO'!$P$9,IF(C36&lt;='SOLLECITAZ NASCOSTO'!$P$8,IF(C36&lt;='SOLLECITAZ NASCOSTO'!$P$7,IF(C36&lt;='SOLLECITAZ NASCOSTO'!$P$6,IF(C36&lt;='SOLLECITAZ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paramento'!$G$111),55555)-IF(C36&lt;='SOLLECITAZ NASCOSTO'!$P$12,IF(C36&lt;='SOLLECITAZ NASCOSTO'!$P$11,IF(C36&lt;='SOLLECITAZ NASCOSTO'!$P$10,IF(C36&lt;='SOLLECITAZ NASCOSTO'!$P$9,IF(C36&lt;='SOLLECITAZ NASCOSTO'!$P$8,IF(C36&lt;='SOLLECITAZ NASCOSTO'!$P$7,IF(C36&lt;='SOLLECITAZ NASCOSTO'!$P$6,IF(C36&lt;='SOLLECITAZ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paramento'!$G$111))*(C36-IF(C36&lt;='SOLLECITAZ NASCOSTO'!$P$12,IF(C36&lt;='SOLLECITAZ NASCOSTO'!$P$11,IF(C36&lt;='SOLLECITAZ NASCOSTO'!$P$10,IF(C36&lt;='SOLLECITAZ NASCOSTO'!$P$9,IF(C36&lt;='SOLLECITAZ NASCOSTO'!$P$8,IF(C36&lt;='SOLLECITAZ NASCOSTO'!$P$7,IF(C36&lt;='SOLLECITAZ NASCOSTO'!$P$6,IF(C36&lt;='SOLLECITAZ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NASCOSTO'!$P$12))/IF(C36&lt;='SOLLECITAZ NASCOSTO'!$P$12,IF(C36&lt;='SOLLECITAZ NASCOSTO'!$P$11,IF(C36&lt;='SOLLECITAZ NASCOSTO'!$P$10,IF(C36&lt;='SOLLECITAZ NASCOSTO'!$P$9,IF(C36&lt;='SOLLECITAZ NASCOSTO'!$P$8,IF(C36&lt;='SOLLECITAZ NASCOSTO'!$P$7,IF(C36&lt;='SOLLECITAZ NASCOSTO'!$P$6,IF(C36&lt;='SOLLECITAZ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paramento'!$C$111)+IF(C36&lt;='SOLLECITAZ NASCOSTO'!$P$12,IF(C36&lt;='SOLLECITAZ NASCOSTO'!$P$11,IF(C36&lt;='SOLLECITAZ NASCOSTO'!$P$10,IF(C36&lt;='SOLLECITAZ NASCOSTO'!$P$9,IF(C36&lt;='SOLLECITAZ NASCOSTO'!$P$8,IF(C36&lt;='SOLLECITAZ NASCOSTO'!$P$7,IF(C36&lt;='SOLLECITAZ NASCOSTO'!$P$6,IF(C36&lt;='SOLLECITAZ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14.50483789248776</v>
      </c>
      <c r="O37" s="41">
        <f>IF(C37&lt;='SOLLECITAZ NASCOSTO'!$P$12,IF(C37&lt;='SOLLECITAZ NASCOSTO'!$P$11,IF(C37&lt;='SOLLECITAZ NASCOSTO'!$P$10,IF(C37&lt;='SOLLECITAZ NASCOSTO'!$P$9,IF(C37&lt;='SOLLECITAZ NASCOSTO'!$P$8,IF(C37&lt;='SOLLECITAZ NASCOSTO'!$P$7,IF(C37&lt;='SOLLECITAZ NASCOSTO'!$P$6,IF(C37&lt;='SOLLECITAZ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paramento'!$G$110),55555)*(C37-C36)/IF(C37&lt;='SOLLECITAZ NASCOSTO'!$P$12,IF(C37&lt;='SOLLECITAZ NASCOSTO'!$P$11,IF(C37&lt;='SOLLECITAZ NASCOSTO'!$P$10,IF(C37&lt;='SOLLECITAZ NASCOSTO'!$P$9,IF(C37&lt;='SOLLECITAZ NASCOSTO'!$P$8,IF(C37&lt;='SOLLECITAZ NASCOSTO'!$P$7,IF(C37&lt;='SOLLECITAZ NASCOSTO'!$P$6,IF(C37&lt;='SOLLECITAZ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0.25812292944940574</v>
      </c>
      <c r="P37" s="41">
        <f t="shared" si="21"/>
        <v>3.9999999999999998E-6</v>
      </c>
      <c r="Q37" s="41">
        <f t="shared" si="19"/>
        <v>1</v>
      </c>
      <c r="R37" s="434">
        <f t="shared" si="10"/>
        <v>5.447189413775097E-2</v>
      </c>
      <c r="S37" s="45">
        <f t="shared" si="20"/>
        <v>5.447189413775097E-2</v>
      </c>
      <c r="T37" s="205">
        <f t="shared" si="14"/>
        <v>4.5320615922608809</v>
      </c>
      <c r="U37" s="45">
        <f t="shared" si="17"/>
        <v>0.76901532683359086</v>
      </c>
      <c r="V37" s="45">
        <f t="shared" si="18"/>
        <v>-2.0638501110617158E-2</v>
      </c>
      <c r="AN37" s="31">
        <f t="shared" si="2"/>
        <v>70</v>
      </c>
      <c r="AO37" s="41">
        <f t="shared" si="0"/>
        <v>-96.539449856676043</v>
      </c>
      <c r="AQ37" s="31">
        <f t="shared" si="3"/>
        <v>70</v>
      </c>
      <c r="AR37" s="41">
        <f t="shared" si="1"/>
        <v>-471.61541239950617</v>
      </c>
    </row>
    <row r="38" spans="1:44" x14ac:dyDescent="0.25">
      <c r="A38" s="581">
        <f t="shared" si="11"/>
        <v>9.59644732752436E-2</v>
      </c>
      <c r="B38" s="31">
        <f t="shared" si="12"/>
        <v>6</v>
      </c>
      <c r="C38" s="434">
        <f>'SOLLECITAZ NASCOSTO'!$D$6/'SOLLECITAZ NASCOSTO'!$B$448*'SOLLECITAZ NASCOSTO'!B38</f>
        <v>6.5366272965301175E-2</v>
      </c>
      <c r="D38" s="128">
        <f t="shared" si="15"/>
        <v>0.2159644732752436</v>
      </c>
      <c r="E38" s="128">
        <f t="shared" si="4"/>
        <v>9.59644732752436E-2</v>
      </c>
      <c r="F38" s="128">
        <f t="shared" si="5"/>
        <v>0.33070863144807794</v>
      </c>
      <c r="G38" s="128">
        <f t="shared" si="6"/>
        <v>2.3158504594728544E-2</v>
      </c>
      <c r="H38" s="128">
        <f t="shared" si="7"/>
        <v>0</v>
      </c>
      <c r="I38" s="128">
        <v>0</v>
      </c>
      <c r="J38" s="127">
        <f t="shared" si="8"/>
        <v>7.002691309665586E-2</v>
      </c>
      <c r="K38" s="126">
        <f t="shared" si="9"/>
        <v>7.0838532737286229E-4</v>
      </c>
      <c r="L38" s="41">
        <f t="shared" si="16"/>
        <v>0.9312546591328057</v>
      </c>
      <c r="M38" s="41">
        <f t="shared" si="13"/>
        <v>-2.9900193778732854E-2</v>
      </c>
      <c r="N38" s="41">
        <f>(IF(C37&lt;='SOLLECITAZ NASCOSTO'!$P$12,IF(C37&lt;='SOLLECITAZ NASCOSTO'!$P$11,IF(C37&lt;='SOLLECITAZ NASCOSTO'!$P$10,IF(C37&lt;='SOLLECITAZ NASCOSTO'!$P$9,IF(C37&lt;='SOLLECITAZ NASCOSTO'!$P$8,IF(C37&lt;='SOLLECITAZ NASCOSTO'!$P$7,IF(C37&lt;='SOLLECITAZ NASCOSTO'!$P$6,IF(C37&lt;='SOLLECITAZ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paramento'!$G$111),55555)-IF(C37&lt;='SOLLECITAZ NASCOSTO'!$P$12,IF(C37&lt;='SOLLECITAZ NASCOSTO'!$P$11,IF(C37&lt;='SOLLECITAZ NASCOSTO'!$P$10,IF(C37&lt;='SOLLECITAZ NASCOSTO'!$P$9,IF(C37&lt;='SOLLECITAZ NASCOSTO'!$P$8,IF(C37&lt;='SOLLECITAZ NASCOSTO'!$P$7,IF(C37&lt;='SOLLECITAZ NASCOSTO'!$P$6,IF(C37&lt;='SOLLECITAZ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paramento'!$G$111))*(C37-IF(C37&lt;='SOLLECITAZ NASCOSTO'!$P$12,IF(C37&lt;='SOLLECITAZ NASCOSTO'!$P$11,IF(C37&lt;='SOLLECITAZ NASCOSTO'!$P$10,IF(C37&lt;='SOLLECITAZ NASCOSTO'!$P$9,IF(C37&lt;='SOLLECITAZ NASCOSTO'!$P$8,IF(C37&lt;='SOLLECITAZ NASCOSTO'!$P$7,IF(C37&lt;='SOLLECITAZ NASCOSTO'!$P$6,IF(C37&lt;='SOLLECITAZ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NASCOSTO'!$P$12))/IF(C37&lt;='SOLLECITAZ NASCOSTO'!$P$12,IF(C37&lt;='SOLLECITAZ NASCOSTO'!$P$11,IF(C37&lt;='SOLLECITAZ NASCOSTO'!$P$10,IF(C37&lt;='SOLLECITAZ NASCOSTO'!$P$9,IF(C37&lt;='SOLLECITAZ NASCOSTO'!$P$8,IF(C37&lt;='SOLLECITAZ NASCOSTO'!$P$7,IF(C37&lt;='SOLLECITAZ NASCOSTO'!$P$6,IF(C37&lt;='SOLLECITAZ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paramento'!$C$111)+IF(C37&lt;='SOLLECITAZ NASCOSTO'!$P$12,IF(C37&lt;='SOLLECITAZ NASCOSTO'!$P$11,IF(C37&lt;='SOLLECITAZ NASCOSTO'!$P$10,IF(C37&lt;='SOLLECITAZ NASCOSTO'!$P$9,IF(C37&lt;='SOLLECITAZ NASCOSTO'!$P$8,IF(C37&lt;='SOLLECITAZ NASCOSTO'!$P$7,IF(C37&lt;='SOLLECITAZ NASCOSTO'!$P$6,IF(C37&lt;='SOLLECITAZ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14.762960821937167</v>
      </c>
      <c r="O38" s="41">
        <f>IF(C38&lt;='SOLLECITAZ NASCOSTO'!$P$12,IF(C38&lt;='SOLLECITAZ NASCOSTO'!$P$11,IF(C38&lt;='SOLLECITAZ NASCOSTO'!$P$10,IF(C38&lt;='SOLLECITAZ NASCOSTO'!$P$9,IF(C38&lt;='SOLLECITAZ NASCOSTO'!$P$8,IF(C38&lt;='SOLLECITAZ NASCOSTO'!$P$7,IF(C38&lt;='SOLLECITAZ NASCOSTO'!$P$6,IF(C38&lt;='SOLLECITAZ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paramento'!$G$110),55555)*(C38-C37)/IF(C38&lt;='SOLLECITAZ NASCOSTO'!$P$12,IF(C38&lt;='SOLLECITAZ NASCOSTO'!$P$11,IF(C38&lt;='SOLLECITAZ NASCOSTO'!$P$10,IF(C38&lt;='SOLLECITAZ NASCOSTO'!$P$9,IF(C38&lt;='SOLLECITAZ NASCOSTO'!$P$8,IF(C38&lt;='SOLLECITAZ NASCOSTO'!$P$7,IF(C38&lt;='SOLLECITAZ NASCOSTO'!$P$6,IF(C38&lt;='SOLLECITAZ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0.25812292944940607</v>
      </c>
      <c r="P38" s="41">
        <f t="shared" si="21"/>
        <v>4.9999999999999996E-6</v>
      </c>
      <c r="Q38" s="41">
        <f t="shared" si="19"/>
        <v>1</v>
      </c>
      <c r="R38" s="434">
        <f t="shared" si="10"/>
        <v>6.5366272965301175E-2</v>
      </c>
      <c r="S38" s="45">
        <f t="shared" si="20"/>
        <v>6.5366272965301175E-2</v>
      </c>
      <c r="T38" s="205">
        <f t="shared" si="14"/>
        <v>4.5320615922608809</v>
      </c>
      <c r="U38" s="45">
        <f t="shared" si="17"/>
        <v>0.9312546591328057</v>
      </c>
      <c r="V38" s="45">
        <f t="shared" si="18"/>
        <v>-2.9900193778732854E-2</v>
      </c>
      <c r="W38" s="488"/>
      <c r="AN38" s="31">
        <f t="shared" si="2"/>
        <v>75</v>
      </c>
      <c r="AO38" s="41">
        <f t="shared" si="0"/>
        <v>-103.43512484643863</v>
      </c>
      <c r="AQ38" s="31">
        <f t="shared" si="3"/>
        <v>75</v>
      </c>
      <c r="AR38" s="41">
        <f t="shared" si="1"/>
        <v>-505.30222757089945</v>
      </c>
    </row>
    <row r="39" spans="1:44" x14ac:dyDescent="0.25">
      <c r="A39" s="581">
        <f t="shared" si="11"/>
        <v>9.7535316023352775E-2</v>
      </c>
      <c r="B39" s="31">
        <f>B38+1</f>
        <v>7</v>
      </c>
      <c r="C39" s="434">
        <f>'SOLLECITAZ NASCOSTO'!$D$6/'SOLLECITAZ NASCOSTO'!$B$448*'SOLLECITAZ NASCOSTO'!B39</f>
        <v>7.6260651792851367E-2</v>
      </c>
      <c r="D39" s="128">
        <f t="shared" si="15"/>
        <v>0.21753531602335277</v>
      </c>
      <c r="E39" s="128">
        <f t="shared" si="4"/>
        <v>9.7535316023352775E-2</v>
      </c>
      <c r="F39" s="128">
        <f t="shared" si="5"/>
        <v>0.33121130112747288</v>
      </c>
      <c r="G39" s="128">
        <f t="shared" si="6"/>
        <v>2.3267458194780793E-2</v>
      </c>
      <c r="H39" s="128">
        <f t="shared" si="7"/>
        <v>0</v>
      </c>
      <c r="I39" s="128">
        <v>0</v>
      </c>
      <c r="J39" s="127">
        <f t="shared" si="8"/>
        <v>7.0249590263304074E-2</v>
      </c>
      <c r="K39" s="126">
        <f t="shared" si="9"/>
        <v>7.1919029612092203E-4</v>
      </c>
      <c r="L39" s="41">
        <f t="shared" si="16"/>
        <v>1.0963060804095193</v>
      </c>
      <c r="M39" s="41">
        <f t="shared" si="13"/>
        <v>-4.0944701174953808E-2</v>
      </c>
      <c r="N39" s="41">
        <f>(IF(C38&lt;='SOLLECITAZ NASCOSTO'!$P$12,IF(C38&lt;='SOLLECITAZ NASCOSTO'!$P$11,IF(C38&lt;='SOLLECITAZ NASCOSTO'!$P$10,IF(C38&lt;='SOLLECITAZ NASCOSTO'!$P$9,IF(C38&lt;='SOLLECITAZ NASCOSTO'!$P$8,IF(C38&lt;='SOLLECITAZ NASCOSTO'!$P$7,IF(C38&lt;='SOLLECITAZ NASCOSTO'!$P$6,IF(C38&lt;='SOLLECITAZ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paramento'!$G$111),55555)-IF(C38&lt;='SOLLECITAZ NASCOSTO'!$P$12,IF(C38&lt;='SOLLECITAZ NASCOSTO'!$P$11,IF(C38&lt;='SOLLECITAZ NASCOSTO'!$P$10,IF(C38&lt;='SOLLECITAZ NASCOSTO'!$P$9,IF(C38&lt;='SOLLECITAZ NASCOSTO'!$P$8,IF(C38&lt;='SOLLECITAZ NASCOSTO'!$P$7,IF(C38&lt;='SOLLECITAZ NASCOSTO'!$P$6,IF(C38&lt;='SOLLECITAZ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paramento'!$G$111))*(C38-IF(C38&lt;='SOLLECITAZ NASCOSTO'!$P$12,IF(C38&lt;='SOLLECITAZ NASCOSTO'!$P$11,IF(C38&lt;='SOLLECITAZ NASCOSTO'!$P$10,IF(C38&lt;='SOLLECITAZ NASCOSTO'!$P$9,IF(C38&lt;='SOLLECITAZ NASCOSTO'!$P$8,IF(C38&lt;='SOLLECITAZ NASCOSTO'!$P$7,IF(C38&lt;='SOLLECITAZ NASCOSTO'!$P$6,IF(C38&lt;='SOLLECITAZ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NASCOSTO'!$P$12))/IF(C38&lt;='SOLLECITAZ NASCOSTO'!$P$12,IF(C38&lt;='SOLLECITAZ NASCOSTO'!$P$11,IF(C38&lt;='SOLLECITAZ NASCOSTO'!$P$10,IF(C38&lt;='SOLLECITAZ NASCOSTO'!$P$9,IF(C38&lt;='SOLLECITAZ NASCOSTO'!$P$8,IF(C38&lt;='SOLLECITAZ NASCOSTO'!$P$7,IF(C38&lt;='SOLLECITAZ NASCOSTO'!$P$6,IF(C38&lt;='SOLLECITAZ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paramento'!$C$111)+IF(C38&lt;='SOLLECITAZ NASCOSTO'!$P$12,IF(C38&lt;='SOLLECITAZ NASCOSTO'!$P$11,IF(C38&lt;='SOLLECITAZ NASCOSTO'!$P$10,IF(C38&lt;='SOLLECITAZ NASCOSTO'!$P$9,IF(C38&lt;='SOLLECITAZ NASCOSTO'!$P$8,IF(C38&lt;='SOLLECITAZ NASCOSTO'!$P$7,IF(C38&lt;='SOLLECITAZ NASCOSTO'!$P$6,IF(C38&lt;='SOLLECITAZ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15.021083751386573</v>
      </c>
      <c r="O39" s="41">
        <f>IF(C39&lt;='SOLLECITAZ NASCOSTO'!$P$12,IF(C39&lt;='SOLLECITAZ NASCOSTO'!$P$11,IF(C39&lt;='SOLLECITAZ NASCOSTO'!$P$10,IF(C39&lt;='SOLLECITAZ NASCOSTO'!$P$9,IF(C39&lt;='SOLLECITAZ NASCOSTO'!$P$8,IF(C39&lt;='SOLLECITAZ NASCOSTO'!$P$7,IF(C39&lt;='SOLLECITAZ NASCOSTO'!$P$6,IF(C39&lt;='SOLLECITAZ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paramento'!$G$110),55555)*(C39-C38)/IF(C39&lt;='SOLLECITAZ NASCOSTO'!$P$12,IF(C39&lt;='SOLLECITAZ NASCOSTO'!$P$11,IF(C39&lt;='SOLLECITAZ NASCOSTO'!$P$10,IF(C39&lt;='SOLLECITAZ NASCOSTO'!$P$9,IF(C39&lt;='SOLLECITAZ NASCOSTO'!$P$8,IF(C39&lt;='SOLLECITAZ NASCOSTO'!$P$7,IF(C39&lt;='SOLLECITAZ NASCOSTO'!$P$6,IF(C39&lt;='SOLLECITAZ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0.25812292944940574</v>
      </c>
      <c r="P39" s="41">
        <f t="shared" si="21"/>
        <v>5.9999999999999993E-6</v>
      </c>
      <c r="Q39" s="41">
        <f t="shared" si="19"/>
        <v>1</v>
      </c>
      <c r="R39" s="434">
        <f t="shared" si="10"/>
        <v>7.6260651792851367E-2</v>
      </c>
      <c r="S39" s="45">
        <f t="shared" si="20"/>
        <v>7.6260651792851367E-2</v>
      </c>
      <c r="T39" s="205">
        <f t="shared" si="14"/>
        <v>4.5320615922608809</v>
      </c>
      <c r="U39" s="45">
        <f t="shared" si="17"/>
        <v>1.0963060804095193</v>
      </c>
      <c r="V39" s="45">
        <f t="shared" si="18"/>
        <v>-4.0944701174953808E-2</v>
      </c>
      <c r="W39" s="488"/>
      <c r="AN39" s="31">
        <f t="shared" si="2"/>
        <v>80</v>
      </c>
      <c r="AO39" s="41">
        <f t="shared" si="0"/>
        <v>-110.33079983620119</v>
      </c>
      <c r="AQ39" s="31">
        <f t="shared" si="3"/>
        <v>80</v>
      </c>
      <c r="AR39" s="41">
        <f t="shared" si="1"/>
        <v>-538.98904274229278</v>
      </c>
    </row>
    <row r="40" spans="1:44" x14ac:dyDescent="0.25">
      <c r="A40" s="581">
        <f t="shared" si="11"/>
        <v>9.9106158771461922E-2</v>
      </c>
      <c r="B40" s="31">
        <f t="shared" si="12"/>
        <v>8</v>
      </c>
      <c r="C40" s="434">
        <f>'SOLLECITAZ NASCOSTO'!$D$6/'SOLLECITAZ NASCOSTO'!$B$448*'SOLLECITAZ NASCOSTO'!B40</f>
        <v>8.7155030620401558E-2</v>
      </c>
      <c r="D40" s="128">
        <f t="shared" si="15"/>
        <v>0.21910615877146192</v>
      </c>
      <c r="E40" s="128">
        <f t="shared" si="4"/>
        <v>9.9106158771461922E-2</v>
      </c>
      <c r="F40" s="128">
        <f t="shared" si="5"/>
        <v>0.33171397080686782</v>
      </c>
      <c r="G40" s="128">
        <f t="shared" si="6"/>
        <v>2.337720140985361E-2</v>
      </c>
      <c r="H40" s="128">
        <f t="shared" si="7"/>
        <v>0</v>
      </c>
      <c r="I40" s="128">
        <v>0</v>
      </c>
      <c r="J40" s="127">
        <f t="shared" si="8"/>
        <v>7.0473972962279613E-2</v>
      </c>
      <c r="K40" s="126">
        <f t="shared" si="9"/>
        <v>7.3019476368352016E-4</v>
      </c>
      <c r="L40" s="41">
        <f t="shared" si="16"/>
        <v>1.2641695906637316</v>
      </c>
      <c r="M40" s="41">
        <f t="shared" si="13"/>
        <v>-5.3802659261897687E-2</v>
      </c>
      <c r="N40" s="41">
        <f>(IF(C39&lt;='SOLLECITAZ NASCOSTO'!$P$12,IF(C39&lt;='SOLLECITAZ NASCOSTO'!$P$11,IF(C39&lt;='SOLLECITAZ NASCOSTO'!$P$10,IF(C39&lt;='SOLLECITAZ NASCOSTO'!$P$9,IF(C39&lt;='SOLLECITAZ NASCOSTO'!$P$8,IF(C39&lt;='SOLLECITAZ NASCOSTO'!$P$7,IF(C39&lt;='SOLLECITAZ NASCOSTO'!$P$6,IF(C39&lt;='SOLLECITAZ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paramento'!$G$111),55555)-IF(C39&lt;='SOLLECITAZ NASCOSTO'!$P$12,IF(C39&lt;='SOLLECITAZ NASCOSTO'!$P$11,IF(C39&lt;='SOLLECITAZ NASCOSTO'!$P$10,IF(C39&lt;='SOLLECITAZ NASCOSTO'!$P$9,IF(C39&lt;='SOLLECITAZ NASCOSTO'!$P$8,IF(C39&lt;='SOLLECITAZ NASCOSTO'!$P$7,IF(C39&lt;='SOLLECITAZ NASCOSTO'!$P$6,IF(C39&lt;='SOLLECITAZ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paramento'!$G$111))*(C39-IF(C39&lt;='SOLLECITAZ NASCOSTO'!$P$12,IF(C39&lt;='SOLLECITAZ NASCOSTO'!$P$11,IF(C39&lt;='SOLLECITAZ NASCOSTO'!$P$10,IF(C39&lt;='SOLLECITAZ NASCOSTO'!$P$9,IF(C39&lt;='SOLLECITAZ NASCOSTO'!$P$8,IF(C39&lt;='SOLLECITAZ NASCOSTO'!$P$7,IF(C39&lt;='SOLLECITAZ NASCOSTO'!$P$6,IF(C39&lt;='SOLLECITAZ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NASCOSTO'!$P$12))/IF(C39&lt;='SOLLECITAZ NASCOSTO'!$P$12,IF(C39&lt;='SOLLECITAZ NASCOSTO'!$P$11,IF(C39&lt;='SOLLECITAZ NASCOSTO'!$P$10,IF(C39&lt;='SOLLECITAZ NASCOSTO'!$P$9,IF(C39&lt;='SOLLECITAZ NASCOSTO'!$P$8,IF(C39&lt;='SOLLECITAZ NASCOSTO'!$P$7,IF(C39&lt;='SOLLECITAZ NASCOSTO'!$P$6,IF(C39&lt;='SOLLECITAZ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paramento'!$C$111)+IF(C39&lt;='SOLLECITAZ NASCOSTO'!$P$12,IF(C39&lt;='SOLLECITAZ NASCOSTO'!$P$11,IF(C39&lt;='SOLLECITAZ NASCOSTO'!$P$10,IF(C39&lt;='SOLLECITAZ NASCOSTO'!$P$9,IF(C39&lt;='SOLLECITAZ NASCOSTO'!$P$8,IF(C39&lt;='SOLLECITAZ NASCOSTO'!$P$7,IF(C39&lt;='SOLLECITAZ NASCOSTO'!$P$6,IF(C39&lt;='SOLLECITAZ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15.279206680835978</v>
      </c>
      <c r="O40" s="41">
        <f>IF(C40&lt;='SOLLECITAZ NASCOSTO'!$P$12,IF(C40&lt;='SOLLECITAZ NASCOSTO'!$P$11,IF(C40&lt;='SOLLECITAZ NASCOSTO'!$P$10,IF(C40&lt;='SOLLECITAZ NASCOSTO'!$P$9,IF(C40&lt;='SOLLECITAZ NASCOSTO'!$P$8,IF(C40&lt;='SOLLECITAZ NASCOSTO'!$P$7,IF(C40&lt;='SOLLECITAZ NASCOSTO'!$P$6,IF(C40&lt;='SOLLECITAZ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paramento'!$G$110),55555)*(C40-C39)/IF(C40&lt;='SOLLECITAZ NASCOSTO'!$P$12,IF(C40&lt;='SOLLECITAZ NASCOSTO'!$P$11,IF(C40&lt;='SOLLECITAZ NASCOSTO'!$P$10,IF(C40&lt;='SOLLECITAZ NASCOSTO'!$P$9,IF(C40&lt;='SOLLECITAZ NASCOSTO'!$P$8,IF(C40&lt;='SOLLECITAZ NASCOSTO'!$P$7,IF(C40&lt;='SOLLECITAZ NASCOSTO'!$P$6,IF(C40&lt;='SOLLECITAZ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0.25812292944940574</v>
      </c>
      <c r="P40" s="41">
        <f t="shared" si="21"/>
        <v>6.999999999999999E-6</v>
      </c>
      <c r="Q40" s="41">
        <f t="shared" si="19"/>
        <v>1</v>
      </c>
      <c r="R40" s="434">
        <f t="shared" si="10"/>
        <v>8.7155030620401558E-2</v>
      </c>
      <c r="S40" s="45">
        <f t="shared" si="20"/>
        <v>8.7155030620401558E-2</v>
      </c>
      <c r="T40" s="205">
        <f t="shared" si="14"/>
        <v>4.5320615922608809</v>
      </c>
      <c r="U40" s="45">
        <f t="shared" si="17"/>
        <v>1.2641695906637316</v>
      </c>
      <c r="V40" s="45">
        <f t="shared" si="18"/>
        <v>-5.3802659261897687E-2</v>
      </c>
      <c r="W40" s="488"/>
      <c r="AN40" s="31">
        <f t="shared" si="2"/>
        <v>85</v>
      </c>
      <c r="AO40" s="41">
        <f t="shared" si="0"/>
        <v>-117.22647482596376</v>
      </c>
      <c r="AQ40" s="31">
        <f t="shared" si="3"/>
        <v>85</v>
      </c>
      <c r="AR40" s="41">
        <f t="shared" si="1"/>
        <v>-572.67585791368606</v>
      </c>
    </row>
    <row r="41" spans="1:44" x14ac:dyDescent="0.25">
      <c r="A41" s="581">
        <f t="shared" si="11"/>
        <v>0.1006770015195711</v>
      </c>
      <c r="B41" s="31">
        <f t="shared" si="12"/>
        <v>9</v>
      </c>
      <c r="C41" s="434">
        <f>'SOLLECITAZ NASCOSTO'!$D$6/'SOLLECITAZ NASCOSTO'!$B$448*'SOLLECITAZ NASCOSTO'!B41</f>
        <v>9.8049409447951749E-2</v>
      </c>
      <c r="D41" s="128">
        <f t="shared" si="15"/>
        <v>0.22067700151957109</v>
      </c>
      <c r="E41" s="128">
        <f t="shared" si="4"/>
        <v>0.1006770015195711</v>
      </c>
      <c r="F41" s="128">
        <f t="shared" si="5"/>
        <v>0.33221664048626276</v>
      </c>
      <c r="G41" s="128">
        <f t="shared" si="6"/>
        <v>2.3487734239947003E-2</v>
      </c>
      <c r="H41" s="128">
        <f t="shared" si="7"/>
        <v>0</v>
      </c>
      <c r="I41" s="128">
        <v>0</v>
      </c>
      <c r="J41" s="127">
        <f t="shared" si="8"/>
        <v>7.0700053451772313E-2</v>
      </c>
      <c r="K41" s="126">
        <f t="shared" si="9"/>
        <v>7.414002995806433E-4</v>
      </c>
      <c r="L41" s="41">
        <f t="shared" si="16"/>
        <v>1.4348451898954426</v>
      </c>
      <c r="M41" s="41">
        <f t="shared" si="13"/>
        <v>-6.8504704002182129E-2</v>
      </c>
      <c r="N41" s="41">
        <f>(IF(C40&lt;='SOLLECITAZ NASCOSTO'!$P$12,IF(C40&lt;='SOLLECITAZ NASCOSTO'!$P$11,IF(C40&lt;='SOLLECITAZ NASCOSTO'!$P$10,IF(C40&lt;='SOLLECITAZ NASCOSTO'!$P$9,IF(C40&lt;='SOLLECITAZ NASCOSTO'!$P$8,IF(C40&lt;='SOLLECITAZ NASCOSTO'!$P$7,IF(C40&lt;='SOLLECITAZ NASCOSTO'!$P$6,IF(C40&lt;='SOLLECITAZ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paramento'!$G$111),55555)-IF(C40&lt;='SOLLECITAZ NASCOSTO'!$P$12,IF(C40&lt;='SOLLECITAZ NASCOSTO'!$P$11,IF(C40&lt;='SOLLECITAZ NASCOSTO'!$P$10,IF(C40&lt;='SOLLECITAZ NASCOSTO'!$P$9,IF(C40&lt;='SOLLECITAZ NASCOSTO'!$P$8,IF(C40&lt;='SOLLECITAZ NASCOSTO'!$P$7,IF(C40&lt;='SOLLECITAZ NASCOSTO'!$P$6,IF(C40&lt;='SOLLECITAZ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paramento'!$G$111))*(C40-IF(C40&lt;='SOLLECITAZ NASCOSTO'!$P$12,IF(C40&lt;='SOLLECITAZ NASCOSTO'!$P$11,IF(C40&lt;='SOLLECITAZ NASCOSTO'!$P$10,IF(C40&lt;='SOLLECITAZ NASCOSTO'!$P$9,IF(C40&lt;='SOLLECITAZ NASCOSTO'!$P$8,IF(C40&lt;='SOLLECITAZ NASCOSTO'!$P$7,IF(C40&lt;='SOLLECITAZ NASCOSTO'!$P$6,IF(C40&lt;='SOLLECITAZ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NASCOSTO'!$P$12))/IF(C40&lt;='SOLLECITAZ NASCOSTO'!$P$12,IF(C40&lt;='SOLLECITAZ NASCOSTO'!$P$11,IF(C40&lt;='SOLLECITAZ NASCOSTO'!$P$10,IF(C40&lt;='SOLLECITAZ NASCOSTO'!$P$9,IF(C40&lt;='SOLLECITAZ NASCOSTO'!$P$8,IF(C40&lt;='SOLLECITAZ NASCOSTO'!$P$7,IF(C40&lt;='SOLLECITAZ NASCOSTO'!$P$6,IF(C40&lt;='SOLLECITAZ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paramento'!$C$111)+IF(C40&lt;='SOLLECITAZ NASCOSTO'!$P$12,IF(C40&lt;='SOLLECITAZ NASCOSTO'!$P$11,IF(C40&lt;='SOLLECITAZ NASCOSTO'!$P$10,IF(C40&lt;='SOLLECITAZ NASCOSTO'!$P$9,IF(C40&lt;='SOLLECITAZ NASCOSTO'!$P$8,IF(C40&lt;='SOLLECITAZ NASCOSTO'!$P$7,IF(C40&lt;='SOLLECITAZ NASCOSTO'!$P$6,IF(C40&lt;='SOLLECITAZ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15.537329610285385</v>
      </c>
      <c r="O41" s="41">
        <f>IF(C41&lt;='SOLLECITAZ NASCOSTO'!$P$12,IF(C41&lt;='SOLLECITAZ NASCOSTO'!$P$11,IF(C41&lt;='SOLLECITAZ NASCOSTO'!$P$10,IF(C41&lt;='SOLLECITAZ NASCOSTO'!$P$9,IF(C41&lt;='SOLLECITAZ NASCOSTO'!$P$8,IF(C41&lt;='SOLLECITAZ NASCOSTO'!$P$7,IF(C41&lt;='SOLLECITAZ NASCOSTO'!$P$6,IF(C41&lt;='SOLLECITAZ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paramento'!$G$110),55555)*(C41-C40)/IF(C41&lt;='SOLLECITAZ NASCOSTO'!$P$12,IF(C41&lt;='SOLLECITAZ NASCOSTO'!$P$11,IF(C41&lt;='SOLLECITAZ NASCOSTO'!$P$10,IF(C41&lt;='SOLLECITAZ NASCOSTO'!$P$9,IF(C41&lt;='SOLLECITAZ NASCOSTO'!$P$8,IF(C41&lt;='SOLLECITAZ NASCOSTO'!$P$7,IF(C41&lt;='SOLLECITAZ NASCOSTO'!$P$6,IF(C41&lt;='SOLLECITAZ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0.25812292944940574</v>
      </c>
      <c r="P41" s="41">
        <f t="shared" si="21"/>
        <v>7.9999999999999996E-6</v>
      </c>
      <c r="Q41" s="41">
        <f t="shared" si="19"/>
        <v>1</v>
      </c>
      <c r="R41" s="434">
        <f t="shared" si="10"/>
        <v>9.8049409447951749E-2</v>
      </c>
      <c r="S41" s="45">
        <f t="shared" si="20"/>
        <v>9.8049409447951749E-2</v>
      </c>
      <c r="T41" s="205">
        <f t="shared" si="14"/>
        <v>4.5320615922608809</v>
      </c>
      <c r="U41" s="45">
        <f t="shared" si="17"/>
        <v>1.4348451898954426</v>
      </c>
      <c r="V41" s="45">
        <f t="shared" si="18"/>
        <v>-6.8504704002182129E-2</v>
      </c>
      <c r="W41" s="488"/>
      <c r="AN41" s="31">
        <f t="shared" si="2"/>
        <v>90</v>
      </c>
      <c r="AO41" s="41">
        <f t="shared" si="0"/>
        <v>-124.12214981572635</v>
      </c>
      <c r="AQ41" s="31">
        <f t="shared" si="3"/>
        <v>90</v>
      </c>
      <c r="AR41" s="41">
        <f t="shared" si="1"/>
        <v>-606.36267308507934</v>
      </c>
    </row>
    <row r="42" spans="1:44" x14ac:dyDescent="0.25">
      <c r="A42" s="581">
        <f t="shared" si="11"/>
        <v>0.10224784426768024</v>
      </c>
      <c r="B42" s="31">
        <f t="shared" si="12"/>
        <v>10</v>
      </c>
      <c r="C42" s="434">
        <f>'SOLLECITAZ NASCOSTO'!$D$6/'SOLLECITAZ NASCOSTO'!$B$448*'SOLLECITAZ NASCOSTO'!B42</f>
        <v>0.10894378827550194</v>
      </c>
      <c r="D42" s="128">
        <f t="shared" si="15"/>
        <v>0.22224784426768024</v>
      </c>
      <c r="E42" s="128">
        <f t="shared" si="4"/>
        <v>0.10224784426768024</v>
      </c>
      <c r="F42" s="128">
        <f t="shared" si="5"/>
        <v>0.33271931016565764</v>
      </c>
      <c r="G42" s="128">
        <f t="shared" si="6"/>
        <v>2.3599056685060966E-2</v>
      </c>
      <c r="H42" s="128">
        <f t="shared" si="7"/>
        <v>0</v>
      </c>
      <c r="I42" s="128">
        <v>0</v>
      </c>
      <c r="J42" s="127">
        <f t="shared" si="8"/>
        <v>7.0927824036757084E-2</v>
      </c>
      <c r="K42" s="126">
        <f t="shared" si="9"/>
        <v>7.5280846759525949E-4</v>
      </c>
      <c r="L42" s="41">
        <f t="shared" si="16"/>
        <v>1.6083328781046526</v>
      </c>
      <c r="M42" s="41">
        <f t="shared" si="13"/>
        <v>-8.5081471358424796E-2</v>
      </c>
      <c r="N42" s="41">
        <f>(IF(C41&lt;='SOLLECITAZ NASCOSTO'!$P$12,IF(C41&lt;='SOLLECITAZ NASCOSTO'!$P$11,IF(C41&lt;='SOLLECITAZ NASCOSTO'!$P$10,IF(C41&lt;='SOLLECITAZ NASCOSTO'!$P$9,IF(C41&lt;='SOLLECITAZ NASCOSTO'!$P$8,IF(C41&lt;='SOLLECITAZ NASCOSTO'!$P$7,IF(C41&lt;='SOLLECITAZ NASCOSTO'!$P$6,IF(C41&lt;='SOLLECITAZ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paramento'!$G$111),55555)-IF(C41&lt;='SOLLECITAZ NASCOSTO'!$P$12,IF(C41&lt;='SOLLECITAZ NASCOSTO'!$P$11,IF(C41&lt;='SOLLECITAZ NASCOSTO'!$P$10,IF(C41&lt;='SOLLECITAZ NASCOSTO'!$P$9,IF(C41&lt;='SOLLECITAZ NASCOSTO'!$P$8,IF(C41&lt;='SOLLECITAZ NASCOSTO'!$P$7,IF(C41&lt;='SOLLECITAZ NASCOSTO'!$P$6,IF(C41&lt;='SOLLECITAZ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paramento'!$G$111))*(C41-IF(C41&lt;='SOLLECITAZ NASCOSTO'!$P$12,IF(C41&lt;='SOLLECITAZ NASCOSTO'!$P$11,IF(C41&lt;='SOLLECITAZ NASCOSTO'!$P$10,IF(C41&lt;='SOLLECITAZ NASCOSTO'!$P$9,IF(C41&lt;='SOLLECITAZ NASCOSTO'!$P$8,IF(C41&lt;='SOLLECITAZ NASCOSTO'!$P$7,IF(C41&lt;='SOLLECITAZ NASCOSTO'!$P$6,IF(C41&lt;='SOLLECITAZ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NASCOSTO'!$P$12))/IF(C41&lt;='SOLLECITAZ NASCOSTO'!$P$12,IF(C41&lt;='SOLLECITAZ NASCOSTO'!$P$11,IF(C41&lt;='SOLLECITAZ NASCOSTO'!$P$10,IF(C41&lt;='SOLLECITAZ NASCOSTO'!$P$9,IF(C41&lt;='SOLLECITAZ NASCOSTO'!$P$8,IF(C41&lt;='SOLLECITAZ NASCOSTO'!$P$7,IF(C41&lt;='SOLLECITAZ NASCOSTO'!$P$6,IF(C41&lt;='SOLLECITAZ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paramento'!$C$111)+IF(C41&lt;='SOLLECITAZ NASCOSTO'!$P$12,IF(C41&lt;='SOLLECITAZ NASCOSTO'!$P$11,IF(C41&lt;='SOLLECITAZ NASCOSTO'!$P$10,IF(C41&lt;='SOLLECITAZ NASCOSTO'!$P$9,IF(C41&lt;='SOLLECITAZ NASCOSTO'!$P$8,IF(C41&lt;='SOLLECITAZ NASCOSTO'!$P$7,IF(C41&lt;='SOLLECITAZ NASCOSTO'!$P$6,IF(C41&lt;='SOLLECITAZ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15.795452539734789</v>
      </c>
      <c r="O42" s="41">
        <f>IF(C42&lt;='SOLLECITAZ NASCOSTO'!$P$12,IF(C42&lt;='SOLLECITAZ NASCOSTO'!$P$11,IF(C42&lt;='SOLLECITAZ NASCOSTO'!$P$10,IF(C42&lt;='SOLLECITAZ NASCOSTO'!$P$9,IF(C42&lt;='SOLLECITAZ NASCOSTO'!$P$8,IF(C42&lt;='SOLLECITAZ NASCOSTO'!$P$7,IF(C42&lt;='SOLLECITAZ NASCOSTO'!$P$6,IF(C42&lt;='SOLLECITAZ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paramento'!$G$110),55555)*(C42-C41)/IF(C42&lt;='SOLLECITAZ NASCOSTO'!$P$12,IF(C42&lt;='SOLLECITAZ NASCOSTO'!$P$11,IF(C42&lt;='SOLLECITAZ NASCOSTO'!$P$10,IF(C42&lt;='SOLLECITAZ NASCOSTO'!$P$9,IF(C42&lt;='SOLLECITAZ NASCOSTO'!$P$8,IF(C42&lt;='SOLLECITAZ NASCOSTO'!$P$7,IF(C42&lt;='SOLLECITAZ NASCOSTO'!$P$6,IF(C42&lt;='SOLLECITAZ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0.25812292944940574</v>
      </c>
      <c r="P42" s="41">
        <f t="shared" si="21"/>
        <v>9.0000000000000002E-6</v>
      </c>
      <c r="Q42" s="41">
        <f t="shared" si="19"/>
        <v>1</v>
      </c>
      <c r="R42" s="434">
        <f t="shared" si="10"/>
        <v>0.10894378827550194</v>
      </c>
      <c r="S42" s="45">
        <f t="shared" si="20"/>
        <v>0.10894378827550194</v>
      </c>
      <c r="T42" s="205">
        <f t="shared" si="14"/>
        <v>4.5320615922608809</v>
      </c>
      <c r="U42" s="45">
        <f t="shared" si="17"/>
        <v>1.6083328781046526</v>
      </c>
      <c r="V42" s="45">
        <f t="shared" si="18"/>
        <v>-8.5081471358424796E-2</v>
      </c>
      <c r="W42" s="488"/>
      <c r="AN42" s="31">
        <f t="shared" si="2"/>
        <v>95</v>
      </c>
      <c r="AO42" s="41">
        <f t="shared" si="0"/>
        <v>-131.01782480548891</v>
      </c>
      <c r="AQ42" s="31">
        <f t="shared" si="3"/>
        <v>95</v>
      </c>
      <c r="AR42" s="41">
        <f t="shared" si="1"/>
        <v>-640.04948825647261</v>
      </c>
    </row>
    <row r="43" spans="1:44" x14ac:dyDescent="0.25">
      <c r="A43" s="581">
        <f t="shared" si="11"/>
        <v>0.10381868701578942</v>
      </c>
      <c r="B43" s="31">
        <f t="shared" si="12"/>
        <v>11</v>
      </c>
      <c r="C43" s="434">
        <f>'SOLLECITAZ NASCOSTO'!$D$6/'SOLLECITAZ NASCOSTO'!$B$448*'SOLLECITAZ NASCOSTO'!B43</f>
        <v>0.11983816710305215</v>
      </c>
      <c r="D43" s="128">
        <f t="shared" si="15"/>
        <v>0.22381868701578941</v>
      </c>
      <c r="E43" s="128">
        <f t="shared" si="4"/>
        <v>0.10381868701578942</v>
      </c>
      <c r="F43" s="128">
        <f t="shared" si="5"/>
        <v>0.33322197984505258</v>
      </c>
      <c r="G43" s="128">
        <f t="shared" si="6"/>
        <v>2.3711168745195504E-2</v>
      </c>
      <c r="H43" s="128">
        <f t="shared" si="7"/>
        <v>0</v>
      </c>
      <c r="I43" s="128">
        <v>0</v>
      </c>
      <c r="J43" s="127">
        <f t="shared" si="8"/>
        <v>7.1157277068640973E-2</v>
      </c>
      <c r="K43" s="126">
        <f t="shared" si="9"/>
        <v>7.6442082581659038E-4</v>
      </c>
      <c r="L43" s="41">
        <f t="shared" si="16"/>
        <v>1.7846326552913616</v>
      </c>
      <c r="M43" s="41">
        <f t="shared" si="13"/>
        <v>-0.10356359729324335</v>
      </c>
      <c r="N43" s="41">
        <f>(IF(C42&lt;='SOLLECITAZ NASCOSTO'!$P$12,IF(C42&lt;='SOLLECITAZ NASCOSTO'!$P$11,IF(C42&lt;='SOLLECITAZ NASCOSTO'!$P$10,IF(C42&lt;='SOLLECITAZ NASCOSTO'!$P$9,IF(C42&lt;='SOLLECITAZ NASCOSTO'!$P$8,IF(C42&lt;='SOLLECITAZ NASCOSTO'!$P$7,IF(C42&lt;='SOLLECITAZ NASCOSTO'!$P$6,IF(C42&lt;='SOLLECITAZ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paramento'!$G$111),55555)-IF(C42&lt;='SOLLECITAZ NASCOSTO'!$P$12,IF(C42&lt;='SOLLECITAZ NASCOSTO'!$P$11,IF(C42&lt;='SOLLECITAZ NASCOSTO'!$P$10,IF(C42&lt;='SOLLECITAZ NASCOSTO'!$P$9,IF(C42&lt;='SOLLECITAZ NASCOSTO'!$P$8,IF(C42&lt;='SOLLECITAZ NASCOSTO'!$P$7,IF(C42&lt;='SOLLECITAZ NASCOSTO'!$P$6,IF(C42&lt;='SOLLECITAZ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paramento'!$G$111))*(C42-IF(C42&lt;='SOLLECITAZ NASCOSTO'!$P$12,IF(C42&lt;='SOLLECITAZ NASCOSTO'!$P$11,IF(C42&lt;='SOLLECITAZ NASCOSTO'!$P$10,IF(C42&lt;='SOLLECITAZ NASCOSTO'!$P$9,IF(C42&lt;='SOLLECITAZ NASCOSTO'!$P$8,IF(C42&lt;='SOLLECITAZ NASCOSTO'!$P$7,IF(C42&lt;='SOLLECITAZ NASCOSTO'!$P$6,IF(C42&lt;='SOLLECITAZ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NASCOSTO'!$P$12))/IF(C42&lt;='SOLLECITAZ NASCOSTO'!$P$12,IF(C42&lt;='SOLLECITAZ NASCOSTO'!$P$11,IF(C42&lt;='SOLLECITAZ NASCOSTO'!$P$10,IF(C42&lt;='SOLLECITAZ NASCOSTO'!$P$9,IF(C42&lt;='SOLLECITAZ NASCOSTO'!$P$8,IF(C42&lt;='SOLLECITAZ NASCOSTO'!$P$7,IF(C42&lt;='SOLLECITAZ NASCOSTO'!$P$6,IF(C42&lt;='SOLLECITAZ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paramento'!$C$111)+IF(C42&lt;='SOLLECITAZ NASCOSTO'!$P$12,IF(C42&lt;='SOLLECITAZ NASCOSTO'!$P$11,IF(C42&lt;='SOLLECITAZ NASCOSTO'!$P$10,IF(C42&lt;='SOLLECITAZ NASCOSTO'!$P$9,IF(C42&lt;='SOLLECITAZ NASCOSTO'!$P$8,IF(C42&lt;='SOLLECITAZ NASCOSTO'!$P$7,IF(C42&lt;='SOLLECITAZ NASCOSTO'!$P$6,IF(C42&lt;='SOLLECITAZ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16.053575469184196</v>
      </c>
      <c r="O43" s="41">
        <f>IF(C43&lt;='SOLLECITAZ NASCOSTO'!$P$12,IF(C43&lt;='SOLLECITAZ NASCOSTO'!$P$11,IF(C43&lt;='SOLLECITAZ NASCOSTO'!$P$10,IF(C43&lt;='SOLLECITAZ NASCOSTO'!$P$9,IF(C43&lt;='SOLLECITAZ NASCOSTO'!$P$8,IF(C43&lt;='SOLLECITAZ NASCOSTO'!$P$7,IF(C43&lt;='SOLLECITAZ NASCOSTO'!$P$6,IF(C43&lt;='SOLLECITAZ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paramento'!$G$110),55555)*(C43-C42)/IF(C43&lt;='SOLLECITAZ NASCOSTO'!$P$12,IF(C43&lt;='SOLLECITAZ NASCOSTO'!$P$11,IF(C43&lt;='SOLLECITAZ NASCOSTO'!$P$10,IF(C43&lt;='SOLLECITAZ NASCOSTO'!$P$9,IF(C43&lt;='SOLLECITAZ NASCOSTO'!$P$8,IF(C43&lt;='SOLLECITAZ NASCOSTO'!$P$7,IF(C43&lt;='SOLLECITAZ NASCOSTO'!$P$6,IF(C43&lt;='SOLLECITAZ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0.25812292944940607</v>
      </c>
      <c r="P43" s="41">
        <f t="shared" si="21"/>
        <v>1.0000000000000001E-5</v>
      </c>
      <c r="Q43" s="41">
        <f t="shared" si="19"/>
        <v>1</v>
      </c>
      <c r="R43" s="434">
        <f t="shared" si="10"/>
        <v>0.11983816710305215</v>
      </c>
      <c r="S43" s="45">
        <f t="shared" si="20"/>
        <v>0.11983816710305215</v>
      </c>
      <c r="T43" s="205">
        <f t="shared" si="14"/>
        <v>4.5320615922608809</v>
      </c>
      <c r="U43" s="45">
        <f t="shared" si="17"/>
        <v>1.7846326552913616</v>
      </c>
      <c r="V43" s="45">
        <f t="shared" si="18"/>
        <v>-0.10356359729324335</v>
      </c>
      <c r="W43" s="488"/>
      <c r="AN43" s="31">
        <f t="shared" si="2"/>
        <v>100</v>
      </c>
      <c r="AO43" s="41">
        <f t="shared" si="0"/>
        <v>-137.91349979525148</v>
      </c>
      <c r="AQ43" s="31">
        <f t="shared" si="3"/>
        <v>100</v>
      </c>
      <c r="AR43" s="41">
        <f t="shared" si="1"/>
        <v>-673.73630342786589</v>
      </c>
    </row>
    <row r="44" spans="1:44" ht="15" customHeight="1" x14ac:dyDescent="0.25">
      <c r="A44" s="581">
        <f t="shared" si="11"/>
        <v>0.10538952976389859</v>
      </c>
      <c r="B44" s="31">
        <f t="shared" si="12"/>
        <v>12</v>
      </c>
      <c r="C44" s="434">
        <f>'SOLLECITAZ NASCOSTO'!$D$6/'SOLLECITAZ NASCOSTO'!$B$448*'SOLLECITAZ NASCOSTO'!B44</f>
        <v>0.13073254593060235</v>
      </c>
      <c r="D44" s="128">
        <f t="shared" si="15"/>
        <v>0.22538952976389859</v>
      </c>
      <c r="E44" s="128">
        <f t="shared" si="4"/>
        <v>0.10538952976389859</v>
      </c>
      <c r="F44" s="128">
        <f t="shared" si="5"/>
        <v>0.33372464952444753</v>
      </c>
      <c r="G44" s="128">
        <f t="shared" si="6"/>
        <v>2.3824070420350611E-2</v>
      </c>
      <c r="H44" s="128">
        <f t="shared" si="7"/>
        <v>0</v>
      </c>
      <c r="I44" s="128">
        <v>0</v>
      </c>
      <c r="J44" s="127">
        <f t="shared" si="8"/>
        <v>7.1388404944913553E-2</v>
      </c>
      <c r="K44" s="126">
        <f t="shared" si="9"/>
        <v>7.7623892668299244E-4</v>
      </c>
      <c r="L44" s="41">
        <f t="shared" si="16"/>
        <v>1.9637445214555695</v>
      </c>
      <c r="M44" s="41">
        <f t="shared" si="13"/>
        <v>-0.12398171776925544</v>
      </c>
      <c r="N44" s="41">
        <f>(IF(C43&lt;='SOLLECITAZ NASCOSTO'!$P$12,IF(C43&lt;='SOLLECITAZ NASCOSTO'!$P$11,IF(C43&lt;='SOLLECITAZ NASCOSTO'!$P$10,IF(C43&lt;='SOLLECITAZ NASCOSTO'!$P$9,IF(C43&lt;='SOLLECITAZ NASCOSTO'!$P$8,IF(C43&lt;='SOLLECITAZ NASCOSTO'!$P$7,IF(C43&lt;='SOLLECITAZ NASCOSTO'!$P$6,IF(C43&lt;='SOLLECITAZ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paramento'!$G$111),55555)-IF(C43&lt;='SOLLECITAZ NASCOSTO'!$P$12,IF(C43&lt;='SOLLECITAZ NASCOSTO'!$P$11,IF(C43&lt;='SOLLECITAZ NASCOSTO'!$P$10,IF(C43&lt;='SOLLECITAZ NASCOSTO'!$P$9,IF(C43&lt;='SOLLECITAZ NASCOSTO'!$P$8,IF(C43&lt;='SOLLECITAZ NASCOSTO'!$P$7,IF(C43&lt;='SOLLECITAZ NASCOSTO'!$P$6,IF(C43&lt;='SOLLECITAZ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paramento'!$G$111))*(C43-IF(C43&lt;='SOLLECITAZ NASCOSTO'!$P$12,IF(C43&lt;='SOLLECITAZ NASCOSTO'!$P$11,IF(C43&lt;='SOLLECITAZ NASCOSTO'!$P$10,IF(C43&lt;='SOLLECITAZ NASCOSTO'!$P$9,IF(C43&lt;='SOLLECITAZ NASCOSTO'!$P$8,IF(C43&lt;='SOLLECITAZ NASCOSTO'!$P$7,IF(C43&lt;='SOLLECITAZ NASCOSTO'!$P$6,IF(C43&lt;='SOLLECITAZ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NASCOSTO'!$P$12))/IF(C43&lt;='SOLLECITAZ NASCOSTO'!$P$12,IF(C43&lt;='SOLLECITAZ NASCOSTO'!$P$11,IF(C43&lt;='SOLLECITAZ NASCOSTO'!$P$10,IF(C43&lt;='SOLLECITAZ NASCOSTO'!$P$9,IF(C43&lt;='SOLLECITAZ NASCOSTO'!$P$8,IF(C43&lt;='SOLLECITAZ NASCOSTO'!$P$7,IF(C43&lt;='SOLLECITAZ NASCOSTO'!$P$6,IF(C43&lt;='SOLLECITAZ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paramento'!$C$111)+IF(C43&lt;='SOLLECITAZ NASCOSTO'!$P$12,IF(C43&lt;='SOLLECITAZ NASCOSTO'!$P$11,IF(C43&lt;='SOLLECITAZ NASCOSTO'!$P$10,IF(C43&lt;='SOLLECITAZ NASCOSTO'!$P$9,IF(C43&lt;='SOLLECITAZ NASCOSTO'!$P$8,IF(C43&lt;='SOLLECITAZ NASCOSTO'!$P$7,IF(C43&lt;='SOLLECITAZ NASCOSTO'!$P$6,IF(C43&lt;='SOLLECITAZ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16.311698398633602</v>
      </c>
      <c r="O44" s="41">
        <f>IF(C44&lt;='SOLLECITAZ NASCOSTO'!$P$12,IF(C44&lt;='SOLLECITAZ NASCOSTO'!$P$11,IF(C44&lt;='SOLLECITAZ NASCOSTO'!$P$10,IF(C44&lt;='SOLLECITAZ NASCOSTO'!$P$9,IF(C44&lt;='SOLLECITAZ NASCOSTO'!$P$8,IF(C44&lt;='SOLLECITAZ NASCOSTO'!$P$7,IF(C44&lt;='SOLLECITAZ NASCOSTO'!$P$6,IF(C44&lt;='SOLLECITAZ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paramento'!$G$110),55555)*(C44-C43)/IF(C44&lt;='SOLLECITAZ NASCOSTO'!$P$12,IF(C44&lt;='SOLLECITAZ NASCOSTO'!$P$11,IF(C44&lt;='SOLLECITAZ NASCOSTO'!$P$10,IF(C44&lt;='SOLLECITAZ NASCOSTO'!$P$9,IF(C44&lt;='SOLLECITAZ NASCOSTO'!$P$8,IF(C44&lt;='SOLLECITAZ NASCOSTO'!$P$7,IF(C44&lt;='SOLLECITAZ NASCOSTO'!$P$6,IF(C44&lt;='SOLLECITAZ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0.25812292944940607</v>
      </c>
      <c r="P44" s="41">
        <f t="shared" si="21"/>
        <v>1.1000000000000001E-5</v>
      </c>
      <c r="Q44" s="41">
        <f t="shared" si="19"/>
        <v>1</v>
      </c>
      <c r="R44" s="434">
        <f t="shared" si="10"/>
        <v>0.13073254593060235</v>
      </c>
      <c r="S44" s="45">
        <f t="shared" si="20"/>
        <v>0.13073254593060235</v>
      </c>
      <c r="T44" s="205">
        <f t="shared" si="14"/>
        <v>4.5320615922608809</v>
      </c>
      <c r="U44" s="45">
        <f t="shared" si="17"/>
        <v>1.9637445214555695</v>
      </c>
      <c r="V44" s="45">
        <f t="shared" si="18"/>
        <v>-0.12398171776925544</v>
      </c>
      <c r="W44" s="488"/>
      <c r="AN44" s="421"/>
    </row>
    <row r="45" spans="1:44" x14ac:dyDescent="0.25">
      <c r="A45" s="581">
        <f t="shared" si="11"/>
        <v>0.10696037251200774</v>
      </c>
      <c r="B45" s="31">
        <f t="shared" si="12"/>
        <v>13</v>
      </c>
      <c r="C45" s="434">
        <f>'SOLLECITAZ NASCOSTO'!$D$6/'SOLLECITAZ NASCOSTO'!$B$448*'SOLLECITAZ NASCOSTO'!B45</f>
        <v>0.14162692475815253</v>
      </c>
      <c r="D45" s="128">
        <f t="shared" si="15"/>
        <v>0.22696037251200774</v>
      </c>
      <c r="E45" s="128">
        <f t="shared" si="4"/>
        <v>0.10696037251200774</v>
      </c>
      <c r="F45" s="128">
        <f t="shared" si="5"/>
        <v>0.33422731920384247</v>
      </c>
      <c r="G45" s="128">
        <f t="shared" si="6"/>
        <v>2.3937761710526289E-2</v>
      </c>
      <c r="H45" s="128">
        <f t="shared" si="7"/>
        <v>0</v>
      </c>
      <c r="I45" s="128">
        <v>0</v>
      </c>
      <c r="J45" s="127">
        <f t="shared" si="8"/>
        <v>7.162120010880034E-2</v>
      </c>
      <c r="K45" s="126">
        <f t="shared" si="9"/>
        <v>7.882643170244502E-4</v>
      </c>
      <c r="L45" s="41">
        <f t="shared" si="16"/>
        <v>2.145668476597276</v>
      </c>
      <c r="M45" s="41">
        <f t="shared" si="13"/>
        <v>-0.14636646874907866</v>
      </c>
      <c r="N45" s="41">
        <f>(IF(C44&lt;='SOLLECITAZ NASCOSTO'!$P$12,IF(C44&lt;='SOLLECITAZ NASCOSTO'!$P$11,IF(C44&lt;='SOLLECITAZ NASCOSTO'!$P$10,IF(C44&lt;='SOLLECITAZ NASCOSTO'!$P$9,IF(C44&lt;='SOLLECITAZ NASCOSTO'!$P$8,IF(C44&lt;='SOLLECITAZ NASCOSTO'!$P$7,IF(C44&lt;='SOLLECITAZ NASCOSTO'!$P$6,IF(C44&lt;='SOLLECITAZ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paramento'!$G$111),55555)-IF(C44&lt;='SOLLECITAZ NASCOSTO'!$P$12,IF(C44&lt;='SOLLECITAZ NASCOSTO'!$P$11,IF(C44&lt;='SOLLECITAZ NASCOSTO'!$P$10,IF(C44&lt;='SOLLECITAZ NASCOSTO'!$P$9,IF(C44&lt;='SOLLECITAZ NASCOSTO'!$P$8,IF(C44&lt;='SOLLECITAZ NASCOSTO'!$P$7,IF(C44&lt;='SOLLECITAZ NASCOSTO'!$P$6,IF(C44&lt;='SOLLECITAZ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paramento'!$G$111))*(C44-IF(C44&lt;='SOLLECITAZ NASCOSTO'!$P$12,IF(C44&lt;='SOLLECITAZ NASCOSTO'!$P$11,IF(C44&lt;='SOLLECITAZ NASCOSTO'!$P$10,IF(C44&lt;='SOLLECITAZ NASCOSTO'!$P$9,IF(C44&lt;='SOLLECITAZ NASCOSTO'!$P$8,IF(C44&lt;='SOLLECITAZ NASCOSTO'!$P$7,IF(C44&lt;='SOLLECITAZ NASCOSTO'!$P$6,IF(C44&lt;='SOLLECITAZ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NASCOSTO'!$P$12))/IF(C44&lt;='SOLLECITAZ NASCOSTO'!$P$12,IF(C44&lt;='SOLLECITAZ NASCOSTO'!$P$11,IF(C44&lt;='SOLLECITAZ NASCOSTO'!$P$10,IF(C44&lt;='SOLLECITAZ NASCOSTO'!$P$9,IF(C44&lt;='SOLLECITAZ NASCOSTO'!$P$8,IF(C44&lt;='SOLLECITAZ NASCOSTO'!$P$7,IF(C44&lt;='SOLLECITAZ NASCOSTO'!$P$6,IF(C44&lt;='SOLLECITAZ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paramento'!$C$111)+IF(C44&lt;='SOLLECITAZ NASCOSTO'!$P$12,IF(C44&lt;='SOLLECITAZ NASCOSTO'!$P$11,IF(C44&lt;='SOLLECITAZ NASCOSTO'!$P$10,IF(C44&lt;='SOLLECITAZ NASCOSTO'!$P$9,IF(C44&lt;='SOLLECITAZ NASCOSTO'!$P$8,IF(C44&lt;='SOLLECITAZ NASCOSTO'!$P$7,IF(C44&lt;='SOLLECITAZ NASCOSTO'!$P$6,IF(C44&lt;='SOLLECITAZ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16.569821328083009</v>
      </c>
      <c r="O45" s="41">
        <f>IF(C45&lt;='SOLLECITAZ NASCOSTO'!$P$12,IF(C45&lt;='SOLLECITAZ NASCOSTO'!$P$11,IF(C45&lt;='SOLLECITAZ NASCOSTO'!$P$10,IF(C45&lt;='SOLLECITAZ NASCOSTO'!$P$9,IF(C45&lt;='SOLLECITAZ NASCOSTO'!$P$8,IF(C45&lt;='SOLLECITAZ NASCOSTO'!$P$7,IF(C45&lt;='SOLLECITAZ NASCOSTO'!$P$6,IF(C45&lt;='SOLLECITAZ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paramento'!$G$110),55555)*(C45-C44)/IF(C45&lt;='SOLLECITAZ NASCOSTO'!$P$12,IF(C45&lt;='SOLLECITAZ NASCOSTO'!$P$11,IF(C45&lt;='SOLLECITAZ NASCOSTO'!$P$10,IF(C45&lt;='SOLLECITAZ NASCOSTO'!$P$9,IF(C45&lt;='SOLLECITAZ NASCOSTO'!$P$8,IF(C45&lt;='SOLLECITAZ NASCOSTO'!$P$7,IF(C45&lt;='SOLLECITAZ NASCOSTO'!$P$6,IF(C45&lt;='SOLLECITAZ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5" s="41">
        <f t="shared" si="21"/>
        <v>1.2000000000000002E-5</v>
      </c>
      <c r="Q45" s="41">
        <f t="shared" si="19"/>
        <v>1</v>
      </c>
      <c r="R45" s="434">
        <f t="shared" si="10"/>
        <v>0.14162692475815253</v>
      </c>
      <c r="S45" s="45">
        <f t="shared" si="20"/>
        <v>0.14162692475815253</v>
      </c>
      <c r="T45" s="205">
        <f t="shared" si="14"/>
        <v>4.5320615922608809</v>
      </c>
      <c r="U45" s="45">
        <f t="shared" si="17"/>
        <v>2.145668476597276</v>
      </c>
      <c r="V45" s="45">
        <f t="shared" si="18"/>
        <v>-0.14636646874907866</v>
      </c>
      <c r="W45" s="488"/>
      <c r="AN45" s="421"/>
    </row>
    <row r="46" spans="1:44" x14ac:dyDescent="0.25">
      <c r="A46" s="581">
        <f t="shared" si="11"/>
        <v>0.10853121526011691</v>
      </c>
      <c r="B46" s="31">
        <f t="shared" si="12"/>
        <v>14</v>
      </c>
      <c r="C46" s="434">
        <f>'SOLLECITAZ NASCOSTO'!$D$6/'SOLLECITAZ NASCOSTO'!$B$448*'SOLLECITAZ NASCOSTO'!B46</f>
        <v>0.15252130358570273</v>
      </c>
      <c r="D46" s="128">
        <f t="shared" si="15"/>
        <v>0.22853121526011691</v>
      </c>
      <c r="E46" s="128">
        <f t="shared" si="4"/>
        <v>0.10853121526011691</v>
      </c>
      <c r="F46" s="128">
        <f t="shared" si="5"/>
        <v>0.33472998888323741</v>
      </c>
      <c r="G46" s="128">
        <f t="shared" si="6"/>
        <v>2.405224261572254E-2</v>
      </c>
      <c r="H46" s="128">
        <f t="shared" si="7"/>
        <v>0</v>
      </c>
      <c r="I46" s="128">
        <v>0</v>
      </c>
      <c r="J46" s="127">
        <f t="shared" si="8"/>
        <v>7.1855655048919428E-2</v>
      </c>
      <c r="K46" s="126">
        <f t="shared" si="9"/>
        <v>8.0049853810468881E-4</v>
      </c>
      <c r="L46" s="41">
        <f t="shared" si="16"/>
        <v>2.3304045207164816</v>
      </c>
      <c r="M46" s="41">
        <f t="shared" si="13"/>
        <v>-0.17074848619533076</v>
      </c>
      <c r="N46" s="41">
        <f>(IF(C45&lt;='SOLLECITAZ NASCOSTO'!$P$12,IF(C45&lt;='SOLLECITAZ NASCOSTO'!$P$11,IF(C45&lt;='SOLLECITAZ NASCOSTO'!$P$10,IF(C45&lt;='SOLLECITAZ NASCOSTO'!$P$9,IF(C45&lt;='SOLLECITAZ NASCOSTO'!$P$8,IF(C45&lt;='SOLLECITAZ NASCOSTO'!$P$7,IF(C45&lt;='SOLLECITAZ NASCOSTO'!$P$6,IF(C45&lt;='SOLLECITAZ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paramento'!$G$111),55555)-IF(C45&lt;='SOLLECITAZ NASCOSTO'!$P$12,IF(C45&lt;='SOLLECITAZ NASCOSTO'!$P$11,IF(C45&lt;='SOLLECITAZ NASCOSTO'!$P$10,IF(C45&lt;='SOLLECITAZ NASCOSTO'!$P$9,IF(C45&lt;='SOLLECITAZ NASCOSTO'!$P$8,IF(C45&lt;='SOLLECITAZ NASCOSTO'!$P$7,IF(C45&lt;='SOLLECITAZ NASCOSTO'!$P$6,IF(C45&lt;='SOLLECITAZ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paramento'!$G$111))*(C45-IF(C45&lt;='SOLLECITAZ NASCOSTO'!$P$12,IF(C45&lt;='SOLLECITAZ NASCOSTO'!$P$11,IF(C45&lt;='SOLLECITAZ NASCOSTO'!$P$10,IF(C45&lt;='SOLLECITAZ NASCOSTO'!$P$9,IF(C45&lt;='SOLLECITAZ NASCOSTO'!$P$8,IF(C45&lt;='SOLLECITAZ NASCOSTO'!$P$7,IF(C45&lt;='SOLLECITAZ NASCOSTO'!$P$6,IF(C45&lt;='SOLLECITAZ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NASCOSTO'!$P$12))/IF(C45&lt;='SOLLECITAZ NASCOSTO'!$P$12,IF(C45&lt;='SOLLECITAZ NASCOSTO'!$P$11,IF(C45&lt;='SOLLECITAZ NASCOSTO'!$P$10,IF(C45&lt;='SOLLECITAZ NASCOSTO'!$P$9,IF(C45&lt;='SOLLECITAZ NASCOSTO'!$P$8,IF(C45&lt;='SOLLECITAZ NASCOSTO'!$P$7,IF(C45&lt;='SOLLECITAZ NASCOSTO'!$P$6,IF(C45&lt;='SOLLECITAZ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paramento'!$C$111)+IF(C45&lt;='SOLLECITAZ NASCOSTO'!$P$12,IF(C45&lt;='SOLLECITAZ NASCOSTO'!$P$11,IF(C45&lt;='SOLLECITAZ NASCOSTO'!$P$10,IF(C45&lt;='SOLLECITAZ NASCOSTO'!$P$9,IF(C45&lt;='SOLLECITAZ NASCOSTO'!$P$8,IF(C45&lt;='SOLLECITAZ NASCOSTO'!$P$7,IF(C45&lt;='SOLLECITAZ NASCOSTO'!$P$6,IF(C45&lt;='SOLLECITAZ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16.827944257532412</v>
      </c>
      <c r="O46" s="41">
        <f>IF(C46&lt;='SOLLECITAZ NASCOSTO'!$P$12,IF(C46&lt;='SOLLECITAZ NASCOSTO'!$P$11,IF(C46&lt;='SOLLECITAZ NASCOSTO'!$P$10,IF(C46&lt;='SOLLECITAZ NASCOSTO'!$P$9,IF(C46&lt;='SOLLECITAZ NASCOSTO'!$P$8,IF(C46&lt;='SOLLECITAZ NASCOSTO'!$P$7,IF(C46&lt;='SOLLECITAZ NASCOSTO'!$P$6,IF(C46&lt;='SOLLECITAZ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paramento'!$G$110),55555)*(C46-C45)/IF(C46&lt;='SOLLECITAZ NASCOSTO'!$P$12,IF(C46&lt;='SOLLECITAZ NASCOSTO'!$P$11,IF(C46&lt;='SOLLECITAZ NASCOSTO'!$P$10,IF(C46&lt;='SOLLECITAZ NASCOSTO'!$P$9,IF(C46&lt;='SOLLECITAZ NASCOSTO'!$P$8,IF(C46&lt;='SOLLECITAZ NASCOSTO'!$P$7,IF(C46&lt;='SOLLECITAZ NASCOSTO'!$P$6,IF(C46&lt;='SOLLECITAZ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0.25812292944940607</v>
      </c>
      <c r="P46" s="41">
        <f t="shared" si="21"/>
        <v>1.3000000000000003E-5</v>
      </c>
      <c r="Q46" s="41">
        <f t="shared" si="19"/>
        <v>1</v>
      </c>
      <c r="R46" s="434">
        <f t="shared" si="10"/>
        <v>0.15252130358570273</v>
      </c>
      <c r="S46" s="45">
        <f t="shared" si="20"/>
        <v>0.15252130358570273</v>
      </c>
      <c r="T46" s="205">
        <f t="shared" si="14"/>
        <v>4.5320615922608809</v>
      </c>
      <c r="U46" s="45">
        <f t="shared" si="17"/>
        <v>2.3304045207164816</v>
      </c>
      <c r="V46" s="45">
        <f t="shared" si="18"/>
        <v>-0.17074848619533076</v>
      </c>
      <c r="W46" s="488"/>
      <c r="AN46" s="421"/>
    </row>
    <row r="47" spans="1:44" x14ac:dyDescent="0.25">
      <c r="A47" s="581">
        <f t="shared" si="11"/>
        <v>0.11010205800822606</v>
      </c>
      <c r="B47" s="31">
        <f t="shared" si="12"/>
        <v>15</v>
      </c>
      <c r="C47" s="434">
        <f>'SOLLECITAZ NASCOSTO'!$D$6/'SOLLECITAZ NASCOSTO'!$B$448*'SOLLECITAZ NASCOSTO'!B47</f>
        <v>0.16341568241325291</v>
      </c>
      <c r="D47" s="128">
        <f t="shared" si="15"/>
        <v>0.23010205800822606</v>
      </c>
      <c r="E47" s="128">
        <f t="shared" si="4"/>
        <v>0.11010205800822606</v>
      </c>
      <c r="F47" s="128">
        <f t="shared" si="5"/>
        <v>0.33523265856263235</v>
      </c>
      <c r="G47" s="128">
        <f t="shared" si="6"/>
        <v>2.4167513135939366E-2</v>
      </c>
      <c r="H47" s="128">
        <f t="shared" si="7"/>
        <v>0</v>
      </c>
      <c r="I47" s="128">
        <v>0</v>
      </c>
      <c r="J47" s="127">
        <f t="shared" si="8"/>
        <v>7.2091762298941084E-2</v>
      </c>
      <c r="K47" s="126">
        <f t="shared" si="9"/>
        <v>8.1294312566290261E-4</v>
      </c>
      <c r="L47" s="41">
        <f t="shared" si="16"/>
        <v>2.5179526538131856</v>
      </c>
      <c r="M47" s="41">
        <f t="shared" si="13"/>
        <v>-0.19715840607062926</v>
      </c>
      <c r="N47" s="41">
        <f>(IF(C46&lt;='SOLLECITAZ NASCOSTO'!$P$12,IF(C46&lt;='SOLLECITAZ NASCOSTO'!$P$11,IF(C46&lt;='SOLLECITAZ NASCOSTO'!$P$10,IF(C46&lt;='SOLLECITAZ NASCOSTO'!$P$9,IF(C46&lt;='SOLLECITAZ NASCOSTO'!$P$8,IF(C46&lt;='SOLLECITAZ NASCOSTO'!$P$7,IF(C46&lt;='SOLLECITAZ NASCOSTO'!$P$6,IF(C46&lt;='SOLLECITAZ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paramento'!$G$111),55555)-IF(C46&lt;='SOLLECITAZ NASCOSTO'!$P$12,IF(C46&lt;='SOLLECITAZ NASCOSTO'!$P$11,IF(C46&lt;='SOLLECITAZ NASCOSTO'!$P$10,IF(C46&lt;='SOLLECITAZ NASCOSTO'!$P$9,IF(C46&lt;='SOLLECITAZ NASCOSTO'!$P$8,IF(C46&lt;='SOLLECITAZ NASCOSTO'!$P$7,IF(C46&lt;='SOLLECITAZ NASCOSTO'!$P$6,IF(C46&lt;='SOLLECITAZ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paramento'!$G$111))*(C46-IF(C46&lt;='SOLLECITAZ NASCOSTO'!$P$12,IF(C46&lt;='SOLLECITAZ NASCOSTO'!$P$11,IF(C46&lt;='SOLLECITAZ NASCOSTO'!$P$10,IF(C46&lt;='SOLLECITAZ NASCOSTO'!$P$9,IF(C46&lt;='SOLLECITAZ NASCOSTO'!$P$8,IF(C46&lt;='SOLLECITAZ NASCOSTO'!$P$7,IF(C46&lt;='SOLLECITAZ NASCOSTO'!$P$6,IF(C46&lt;='SOLLECITAZ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NASCOSTO'!$P$12))/IF(C46&lt;='SOLLECITAZ NASCOSTO'!$P$12,IF(C46&lt;='SOLLECITAZ NASCOSTO'!$P$11,IF(C46&lt;='SOLLECITAZ NASCOSTO'!$P$10,IF(C46&lt;='SOLLECITAZ NASCOSTO'!$P$9,IF(C46&lt;='SOLLECITAZ NASCOSTO'!$P$8,IF(C46&lt;='SOLLECITAZ NASCOSTO'!$P$7,IF(C46&lt;='SOLLECITAZ NASCOSTO'!$P$6,IF(C46&lt;='SOLLECITAZ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paramento'!$C$111)+IF(C46&lt;='SOLLECITAZ NASCOSTO'!$P$12,IF(C46&lt;='SOLLECITAZ NASCOSTO'!$P$11,IF(C46&lt;='SOLLECITAZ NASCOSTO'!$P$10,IF(C46&lt;='SOLLECITAZ NASCOSTO'!$P$9,IF(C46&lt;='SOLLECITAZ NASCOSTO'!$P$8,IF(C46&lt;='SOLLECITAZ NASCOSTO'!$P$7,IF(C46&lt;='SOLLECITAZ NASCOSTO'!$P$6,IF(C46&lt;='SOLLECITAZ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17.086067186981818</v>
      </c>
      <c r="O47" s="41">
        <f>IF(C47&lt;='SOLLECITAZ NASCOSTO'!$P$12,IF(C47&lt;='SOLLECITAZ NASCOSTO'!$P$11,IF(C47&lt;='SOLLECITAZ NASCOSTO'!$P$10,IF(C47&lt;='SOLLECITAZ NASCOSTO'!$P$9,IF(C47&lt;='SOLLECITAZ NASCOSTO'!$P$8,IF(C47&lt;='SOLLECITAZ NASCOSTO'!$P$7,IF(C47&lt;='SOLLECITAZ NASCOSTO'!$P$6,IF(C47&lt;='SOLLECITAZ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paramento'!$G$110),55555)*(C47-C46)/IF(C47&lt;='SOLLECITAZ NASCOSTO'!$P$12,IF(C47&lt;='SOLLECITAZ NASCOSTO'!$P$11,IF(C47&lt;='SOLLECITAZ NASCOSTO'!$P$10,IF(C47&lt;='SOLLECITAZ NASCOSTO'!$P$9,IF(C47&lt;='SOLLECITAZ NASCOSTO'!$P$8,IF(C47&lt;='SOLLECITAZ NASCOSTO'!$P$7,IF(C47&lt;='SOLLECITAZ NASCOSTO'!$P$6,IF(C47&lt;='SOLLECITAZ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7" s="41">
        <f t="shared" si="21"/>
        <v>1.4000000000000003E-5</v>
      </c>
      <c r="Q47" s="41">
        <f t="shared" si="19"/>
        <v>1</v>
      </c>
      <c r="R47" s="434">
        <f t="shared" si="10"/>
        <v>0.16341568241325291</v>
      </c>
      <c r="S47" s="45">
        <f t="shared" si="20"/>
        <v>0.16341568241325291</v>
      </c>
      <c r="T47" s="205">
        <f t="shared" si="14"/>
        <v>4.5320615922608809</v>
      </c>
      <c r="U47" s="45">
        <f t="shared" si="17"/>
        <v>2.5179526538131856</v>
      </c>
      <c r="V47" s="45">
        <f t="shared" si="18"/>
        <v>-0.19715840607062926</v>
      </c>
      <c r="W47" s="488"/>
      <c r="AN47" s="421"/>
    </row>
    <row r="48" spans="1:44" x14ac:dyDescent="0.25">
      <c r="A48" s="581">
        <f t="shared" si="11"/>
        <v>0.11167290075633524</v>
      </c>
      <c r="B48" s="31">
        <f t="shared" si="12"/>
        <v>16</v>
      </c>
      <c r="C48" s="434">
        <f>'SOLLECITAZ NASCOSTO'!$D$6/'SOLLECITAZ NASCOSTO'!$B$448*'SOLLECITAZ NASCOSTO'!B48</f>
        <v>0.17431006124080312</v>
      </c>
      <c r="D48" s="128">
        <f t="shared" si="15"/>
        <v>0.23167290075633523</v>
      </c>
      <c r="E48" s="128">
        <f t="shared" si="4"/>
        <v>0.11167290075633524</v>
      </c>
      <c r="F48" s="128">
        <f t="shared" si="5"/>
        <v>0.33573532824202729</v>
      </c>
      <c r="G48" s="128">
        <f t="shared" si="6"/>
        <v>2.4283573271176761E-2</v>
      </c>
      <c r="H48" s="128">
        <f t="shared" si="7"/>
        <v>0</v>
      </c>
      <c r="I48" s="128">
        <v>0</v>
      </c>
      <c r="J48" s="127">
        <f t="shared" si="8"/>
        <v>7.2329514437250539E-2</v>
      </c>
      <c r="K48" s="126">
        <f t="shared" si="9"/>
        <v>8.2559960995511636E-4</v>
      </c>
      <c r="L48" s="41">
        <f t="shared" si="16"/>
        <v>2.7083128758873887</v>
      </c>
      <c r="M48" s="41">
        <f t="shared" si="13"/>
        <v>-0.22562686433759196</v>
      </c>
      <c r="N48" s="41">
        <f>(IF(C47&lt;='SOLLECITAZ NASCOSTO'!$P$12,IF(C47&lt;='SOLLECITAZ NASCOSTO'!$P$11,IF(C47&lt;='SOLLECITAZ NASCOSTO'!$P$10,IF(C47&lt;='SOLLECITAZ NASCOSTO'!$P$9,IF(C47&lt;='SOLLECITAZ NASCOSTO'!$P$8,IF(C47&lt;='SOLLECITAZ NASCOSTO'!$P$7,IF(C47&lt;='SOLLECITAZ NASCOSTO'!$P$6,IF(C47&lt;='SOLLECITAZ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paramento'!$G$111),55555)-IF(C47&lt;='SOLLECITAZ NASCOSTO'!$P$12,IF(C47&lt;='SOLLECITAZ NASCOSTO'!$P$11,IF(C47&lt;='SOLLECITAZ NASCOSTO'!$P$10,IF(C47&lt;='SOLLECITAZ NASCOSTO'!$P$9,IF(C47&lt;='SOLLECITAZ NASCOSTO'!$P$8,IF(C47&lt;='SOLLECITAZ NASCOSTO'!$P$7,IF(C47&lt;='SOLLECITAZ NASCOSTO'!$P$6,IF(C47&lt;='SOLLECITAZ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paramento'!$G$111))*(C47-IF(C47&lt;='SOLLECITAZ NASCOSTO'!$P$12,IF(C47&lt;='SOLLECITAZ NASCOSTO'!$P$11,IF(C47&lt;='SOLLECITAZ NASCOSTO'!$P$10,IF(C47&lt;='SOLLECITAZ NASCOSTO'!$P$9,IF(C47&lt;='SOLLECITAZ NASCOSTO'!$P$8,IF(C47&lt;='SOLLECITAZ NASCOSTO'!$P$7,IF(C47&lt;='SOLLECITAZ NASCOSTO'!$P$6,IF(C47&lt;='SOLLECITAZ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NASCOSTO'!$P$12))/IF(C47&lt;='SOLLECITAZ NASCOSTO'!$P$12,IF(C47&lt;='SOLLECITAZ NASCOSTO'!$P$11,IF(C47&lt;='SOLLECITAZ NASCOSTO'!$P$10,IF(C47&lt;='SOLLECITAZ NASCOSTO'!$P$9,IF(C47&lt;='SOLLECITAZ NASCOSTO'!$P$8,IF(C47&lt;='SOLLECITAZ NASCOSTO'!$P$7,IF(C47&lt;='SOLLECITAZ NASCOSTO'!$P$6,IF(C47&lt;='SOLLECITAZ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paramento'!$C$111)+IF(C47&lt;='SOLLECITAZ NASCOSTO'!$P$12,IF(C47&lt;='SOLLECITAZ NASCOSTO'!$P$11,IF(C47&lt;='SOLLECITAZ NASCOSTO'!$P$10,IF(C47&lt;='SOLLECITAZ NASCOSTO'!$P$9,IF(C47&lt;='SOLLECITAZ NASCOSTO'!$P$8,IF(C47&lt;='SOLLECITAZ NASCOSTO'!$P$7,IF(C47&lt;='SOLLECITAZ NASCOSTO'!$P$6,IF(C47&lt;='SOLLECITAZ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17.344190116431225</v>
      </c>
      <c r="O48" s="41">
        <f>IF(C48&lt;='SOLLECITAZ NASCOSTO'!$P$12,IF(C48&lt;='SOLLECITAZ NASCOSTO'!$P$11,IF(C48&lt;='SOLLECITAZ NASCOSTO'!$P$10,IF(C48&lt;='SOLLECITAZ NASCOSTO'!$P$9,IF(C48&lt;='SOLLECITAZ NASCOSTO'!$P$8,IF(C48&lt;='SOLLECITAZ NASCOSTO'!$P$7,IF(C48&lt;='SOLLECITAZ NASCOSTO'!$P$6,IF(C48&lt;='SOLLECITAZ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paramento'!$G$110),55555)*(C48-C47)/IF(C48&lt;='SOLLECITAZ NASCOSTO'!$P$12,IF(C48&lt;='SOLLECITAZ NASCOSTO'!$P$11,IF(C48&lt;='SOLLECITAZ NASCOSTO'!$P$10,IF(C48&lt;='SOLLECITAZ NASCOSTO'!$P$9,IF(C48&lt;='SOLLECITAZ NASCOSTO'!$P$8,IF(C48&lt;='SOLLECITAZ NASCOSTO'!$P$7,IF(C48&lt;='SOLLECITAZ NASCOSTO'!$P$6,IF(C48&lt;='SOLLECITAZ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0.25812292944940607</v>
      </c>
      <c r="P48" s="41">
        <f t="shared" si="21"/>
        <v>1.5000000000000004E-5</v>
      </c>
      <c r="Q48" s="41">
        <f t="shared" si="19"/>
        <v>1</v>
      </c>
      <c r="R48" s="434">
        <f t="shared" si="10"/>
        <v>0.17431006124080312</v>
      </c>
      <c r="S48" s="45">
        <f t="shared" si="20"/>
        <v>0.17431006124080312</v>
      </c>
      <c r="T48" s="205">
        <f t="shared" si="14"/>
        <v>4.5320615922608809</v>
      </c>
      <c r="U48" s="45">
        <f t="shared" si="17"/>
        <v>2.7083128758873887</v>
      </c>
      <c r="V48" s="45">
        <f t="shared" si="18"/>
        <v>-0.22562686433759196</v>
      </c>
      <c r="W48" s="488"/>
      <c r="AN48" s="421"/>
    </row>
    <row r="49" spans="1:40" x14ac:dyDescent="0.25">
      <c r="A49" s="581">
        <f t="shared" si="11"/>
        <v>0.11324374350444438</v>
      </c>
      <c r="B49" s="31">
        <f t="shared" si="12"/>
        <v>17</v>
      </c>
      <c r="C49" s="434">
        <f>'SOLLECITAZ NASCOSTO'!$D$6/'SOLLECITAZ NASCOSTO'!$B$448*'SOLLECITAZ NASCOSTO'!B49</f>
        <v>0.18520444006835332</v>
      </c>
      <c r="D49" s="128">
        <f t="shared" si="15"/>
        <v>0.23324374350444438</v>
      </c>
      <c r="E49" s="128">
        <f t="shared" si="4"/>
        <v>0.11324374350444438</v>
      </c>
      <c r="F49" s="128">
        <f t="shared" si="5"/>
        <v>0.33623799792142217</v>
      </c>
      <c r="G49" s="128">
        <f t="shared" si="6"/>
        <v>2.4400423021434726E-2</v>
      </c>
      <c r="H49" s="128">
        <f t="shared" si="7"/>
        <v>0</v>
      </c>
      <c r="I49" s="128">
        <v>0</v>
      </c>
      <c r="J49" s="127">
        <f t="shared" si="8"/>
        <v>7.2568904086613775E-2</v>
      </c>
      <c r="K49" s="126">
        <f t="shared" si="9"/>
        <v>8.3846951579516905E-4</v>
      </c>
      <c r="L49" s="41">
        <f t="shared" si="16"/>
        <v>2.9014851869390905</v>
      </c>
      <c r="M49" s="41">
        <f t="shared" si="13"/>
        <v>-0.25618449695883644</v>
      </c>
      <c r="N49" s="41">
        <f>(IF(C48&lt;='SOLLECITAZ NASCOSTO'!$P$12,IF(C48&lt;='SOLLECITAZ NASCOSTO'!$P$11,IF(C48&lt;='SOLLECITAZ NASCOSTO'!$P$10,IF(C48&lt;='SOLLECITAZ NASCOSTO'!$P$9,IF(C48&lt;='SOLLECITAZ NASCOSTO'!$P$8,IF(C48&lt;='SOLLECITAZ NASCOSTO'!$P$7,IF(C48&lt;='SOLLECITAZ NASCOSTO'!$P$6,IF(C48&lt;='SOLLECITAZ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paramento'!$G$111),55555)-IF(C48&lt;='SOLLECITAZ NASCOSTO'!$P$12,IF(C48&lt;='SOLLECITAZ NASCOSTO'!$P$11,IF(C48&lt;='SOLLECITAZ NASCOSTO'!$P$10,IF(C48&lt;='SOLLECITAZ NASCOSTO'!$P$9,IF(C48&lt;='SOLLECITAZ NASCOSTO'!$P$8,IF(C48&lt;='SOLLECITAZ NASCOSTO'!$P$7,IF(C48&lt;='SOLLECITAZ NASCOSTO'!$P$6,IF(C48&lt;='SOLLECITAZ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paramento'!$G$111))*(C48-IF(C48&lt;='SOLLECITAZ NASCOSTO'!$P$12,IF(C48&lt;='SOLLECITAZ NASCOSTO'!$P$11,IF(C48&lt;='SOLLECITAZ NASCOSTO'!$P$10,IF(C48&lt;='SOLLECITAZ NASCOSTO'!$P$9,IF(C48&lt;='SOLLECITAZ NASCOSTO'!$P$8,IF(C48&lt;='SOLLECITAZ NASCOSTO'!$P$7,IF(C48&lt;='SOLLECITAZ NASCOSTO'!$P$6,IF(C48&lt;='SOLLECITAZ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NASCOSTO'!$P$12))/IF(C48&lt;='SOLLECITAZ NASCOSTO'!$P$12,IF(C48&lt;='SOLLECITAZ NASCOSTO'!$P$11,IF(C48&lt;='SOLLECITAZ NASCOSTO'!$P$10,IF(C48&lt;='SOLLECITAZ NASCOSTO'!$P$9,IF(C48&lt;='SOLLECITAZ NASCOSTO'!$P$8,IF(C48&lt;='SOLLECITAZ NASCOSTO'!$P$7,IF(C48&lt;='SOLLECITAZ NASCOSTO'!$P$6,IF(C48&lt;='SOLLECITAZ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paramento'!$C$111)+IF(C48&lt;='SOLLECITAZ NASCOSTO'!$P$12,IF(C48&lt;='SOLLECITAZ NASCOSTO'!$P$11,IF(C48&lt;='SOLLECITAZ NASCOSTO'!$P$10,IF(C48&lt;='SOLLECITAZ NASCOSTO'!$P$9,IF(C48&lt;='SOLLECITAZ NASCOSTO'!$P$8,IF(C48&lt;='SOLLECITAZ NASCOSTO'!$P$7,IF(C48&lt;='SOLLECITAZ NASCOSTO'!$P$6,IF(C48&lt;='SOLLECITAZ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17.602313045880631</v>
      </c>
      <c r="O49" s="41">
        <f>IF(C49&lt;='SOLLECITAZ NASCOSTO'!$P$12,IF(C49&lt;='SOLLECITAZ NASCOSTO'!$P$11,IF(C49&lt;='SOLLECITAZ NASCOSTO'!$P$10,IF(C49&lt;='SOLLECITAZ NASCOSTO'!$P$9,IF(C49&lt;='SOLLECITAZ NASCOSTO'!$P$8,IF(C49&lt;='SOLLECITAZ NASCOSTO'!$P$7,IF(C49&lt;='SOLLECITAZ NASCOSTO'!$P$6,IF(C49&lt;='SOLLECITAZ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paramento'!$G$110),55555)*(C49-C48)/IF(C49&lt;='SOLLECITAZ NASCOSTO'!$P$12,IF(C49&lt;='SOLLECITAZ NASCOSTO'!$P$11,IF(C49&lt;='SOLLECITAZ NASCOSTO'!$P$10,IF(C49&lt;='SOLLECITAZ NASCOSTO'!$P$9,IF(C49&lt;='SOLLECITAZ NASCOSTO'!$P$8,IF(C49&lt;='SOLLECITAZ NASCOSTO'!$P$7,IF(C49&lt;='SOLLECITAZ NASCOSTO'!$P$6,IF(C49&lt;='SOLLECITAZ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0.25812292944940607</v>
      </c>
      <c r="P49" s="41">
        <f t="shared" si="21"/>
        <v>1.6000000000000003E-5</v>
      </c>
      <c r="Q49" s="41">
        <f t="shared" si="19"/>
        <v>1</v>
      </c>
      <c r="R49" s="434">
        <f t="shared" si="10"/>
        <v>0.18520444006835332</v>
      </c>
      <c r="S49" s="45">
        <f t="shared" si="20"/>
        <v>0.18520444006835332</v>
      </c>
      <c r="T49" s="205">
        <f t="shared" si="14"/>
        <v>4.5320615922608809</v>
      </c>
      <c r="U49" s="45">
        <f t="shared" si="17"/>
        <v>2.9014851869390905</v>
      </c>
      <c r="V49" s="45">
        <f t="shared" si="18"/>
        <v>-0.25618449695883644</v>
      </c>
      <c r="W49" s="488"/>
      <c r="X49" s="427"/>
      <c r="AN49" s="421"/>
    </row>
    <row r="50" spans="1:40" x14ac:dyDescent="0.25">
      <c r="A50" s="581">
        <f t="shared" si="11"/>
        <v>0.11481458625255356</v>
      </c>
      <c r="B50" s="31">
        <f t="shared" si="12"/>
        <v>18</v>
      </c>
      <c r="C50" s="434">
        <f>'SOLLECITAZ NASCOSTO'!$D$6/'SOLLECITAZ NASCOSTO'!$B$448*'SOLLECITAZ NASCOSTO'!B50</f>
        <v>0.1960988188959035</v>
      </c>
      <c r="D50" s="128">
        <f t="shared" si="15"/>
        <v>0.23481458625255355</v>
      </c>
      <c r="E50" s="128">
        <f t="shared" si="4"/>
        <v>0.11481458625255356</v>
      </c>
      <c r="F50" s="128">
        <f t="shared" si="5"/>
        <v>0.33674066760081711</v>
      </c>
      <c r="G50" s="128">
        <f t="shared" si="6"/>
        <v>2.4518062386713266E-2</v>
      </c>
      <c r="H50" s="128">
        <f t="shared" si="7"/>
        <v>0</v>
      </c>
      <c r="I50" s="128">
        <v>0</v>
      </c>
      <c r="J50" s="127">
        <f t="shared" si="8"/>
        <v>7.2809923913846192E-2</v>
      </c>
      <c r="K50" s="126">
        <f t="shared" si="9"/>
        <v>8.5155436259533356E-4</v>
      </c>
      <c r="L50" s="41">
        <f t="shared" si="16"/>
        <v>3.0974695869682911</v>
      </c>
      <c r="M50" s="41">
        <f t="shared" si="13"/>
        <v>-0.28886193989698028</v>
      </c>
      <c r="N50" s="41">
        <f>(IF(C49&lt;='SOLLECITAZ NASCOSTO'!$P$12,IF(C49&lt;='SOLLECITAZ NASCOSTO'!$P$11,IF(C49&lt;='SOLLECITAZ NASCOSTO'!$P$10,IF(C49&lt;='SOLLECITAZ NASCOSTO'!$P$9,IF(C49&lt;='SOLLECITAZ NASCOSTO'!$P$8,IF(C49&lt;='SOLLECITAZ NASCOSTO'!$P$7,IF(C49&lt;='SOLLECITAZ NASCOSTO'!$P$6,IF(C49&lt;='SOLLECITAZ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paramento'!$G$111),55555)-IF(C49&lt;='SOLLECITAZ NASCOSTO'!$P$12,IF(C49&lt;='SOLLECITAZ NASCOSTO'!$P$11,IF(C49&lt;='SOLLECITAZ NASCOSTO'!$P$10,IF(C49&lt;='SOLLECITAZ NASCOSTO'!$P$9,IF(C49&lt;='SOLLECITAZ NASCOSTO'!$P$8,IF(C49&lt;='SOLLECITAZ NASCOSTO'!$P$7,IF(C49&lt;='SOLLECITAZ NASCOSTO'!$P$6,IF(C49&lt;='SOLLECITAZ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paramento'!$G$111))*(C49-IF(C49&lt;='SOLLECITAZ NASCOSTO'!$P$12,IF(C49&lt;='SOLLECITAZ NASCOSTO'!$P$11,IF(C49&lt;='SOLLECITAZ NASCOSTO'!$P$10,IF(C49&lt;='SOLLECITAZ NASCOSTO'!$P$9,IF(C49&lt;='SOLLECITAZ NASCOSTO'!$P$8,IF(C49&lt;='SOLLECITAZ NASCOSTO'!$P$7,IF(C49&lt;='SOLLECITAZ NASCOSTO'!$P$6,IF(C49&lt;='SOLLECITAZ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NASCOSTO'!$P$12))/IF(C49&lt;='SOLLECITAZ NASCOSTO'!$P$12,IF(C49&lt;='SOLLECITAZ NASCOSTO'!$P$11,IF(C49&lt;='SOLLECITAZ NASCOSTO'!$P$10,IF(C49&lt;='SOLLECITAZ NASCOSTO'!$P$9,IF(C49&lt;='SOLLECITAZ NASCOSTO'!$P$8,IF(C49&lt;='SOLLECITAZ NASCOSTO'!$P$7,IF(C49&lt;='SOLLECITAZ NASCOSTO'!$P$6,IF(C49&lt;='SOLLECITAZ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paramento'!$C$111)+IF(C49&lt;='SOLLECITAZ NASCOSTO'!$P$12,IF(C49&lt;='SOLLECITAZ NASCOSTO'!$P$11,IF(C49&lt;='SOLLECITAZ NASCOSTO'!$P$10,IF(C49&lt;='SOLLECITAZ NASCOSTO'!$P$9,IF(C49&lt;='SOLLECITAZ NASCOSTO'!$P$8,IF(C49&lt;='SOLLECITAZ NASCOSTO'!$P$7,IF(C49&lt;='SOLLECITAZ NASCOSTO'!$P$6,IF(C49&lt;='SOLLECITAZ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17.860435975330038</v>
      </c>
      <c r="O50" s="41">
        <f>IF(C50&lt;='SOLLECITAZ NASCOSTO'!$P$12,IF(C50&lt;='SOLLECITAZ NASCOSTO'!$P$11,IF(C50&lt;='SOLLECITAZ NASCOSTO'!$P$10,IF(C50&lt;='SOLLECITAZ NASCOSTO'!$P$9,IF(C50&lt;='SOLLECITAZ NASCOSTO'!$P$8,IF(C50&lt;='SOLLECITAZ NASCOSTO'!$P$7,IF(C50&lt;='SOLLECITAZ NASCOSTO'!$P$6,IF(C50&lt;='SOLLECITAZ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paramento'!$G$110),55555)*(C50-C49)/IF(C50&lt;='SOLLECITAZ NASCOSTO'!$P$12,IF(C50&lt;='SOLLECITAZ NASCOSTO'!$P$11,IF(C50&lt;='SOLLECITAZ NASCOSTO'!$P$10,IF(C50&lt;='SOLLECITAZ NASCOSTO'!$P$9,IF(C50&lt;='SOLLECITAZ NASCOSTO'!$P$8,IF(C50&lt;='SOLLECITAZ NASCOSTO'!$P$7,IF(C50&lt;='SOLLECITAZ NASCOSTO'!$P$6,IF(C50&lt;='SOLLECITAZ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50" s="41">
        <f t="shared" si="21"/>
        <v>1.7000000000000003E-5</v>
      </c>
      <c r="Q50" s="41">
        <f t="shared" si="19"/>
        <v>1</v>
      </c>
      <c r="R50" s="434">
        <f t="shared" si="10"/>
        <v>0.1960988188959035</v>
      </c>
      <c r="S50" s="45">
        <f t="shared" si="20"/>
        <v>0.1960988188959035</v>
      </c>
      <c r="T50" s="205">
        <f t="shared" si="14"/>
        <v>4.5320615922608809</v>
      </c>
      <c r="U50" s="45">
        <f t="shared" si="17"/>
        <v>3.0974695869682911</v>
      </c>
      <c r="V50" s="45">
        <f t="shared" si="18"/>
        <v>-0.28886193989698028</v>
      </c>
      <c r="W50" s="488"/>
    </row>
    <row r="51" spans="1:40" x14ac:dyDescent="0.25">
      <c r="A51" s="581">
        <f t="shared" si="11"/>
        <v>0.1163854290006627</v>
      </c>
      <c r="B51" s="31">
        <f t="shared" si="12"/>
        <v>19</v>
      </c>
      <c r="C51" s="434">
        <f>'SOLLECITAZ NASCOSTO'!$D$6/'SOLLECITAZ NASCOSTO'!$B$448*'SOLLECITAZ NASCOSTO'!B51</f>
        <v>0.2069931977234537</v>
      </c>
      <c r="D51" s="128">
        <f t="shared" si="15"/>
        <v>0.2363854290006627</v>
      </c>
      <c r="E51" s="128">
        <f t="shared" si="4"/>
        <v>0.1163854290006627</v>
      </c>
      <c r="F51" s="128">
        <f t="shared" si="5"/>
        <v>0.33724333728021205</v>
      </c>
      <c r="G51" s="128">
        <f t="shared" si="6"/>
        <v>2.4636491367012375E-2</v>
      </c>
      <c r="H51" s="128">
        <f t="shared" si="7"/>
        <v>0</v>
      </c>
      <c r="I51" s="128">
        <v>0</v>
      </c>
      <c r="J51" s="127">
        <f t="shared" si="8"/>
        <v>7.3052566629484408E-2</v>
      </c>
      <c r="K51" s="126">
        <f t="shared" si="9"/>
        <v>8.6485566440657195E-4</v>
      </c>
      <c r="L51" s="41">
        <f t="shared" si="16"/>
        <v>3.2962660759749909</v>
      </c>
      <c r="M51" s="41">
        <f t="shared" si="13"/>
        <v>-0.32368982911464128</v>
      </c>
      <c r="N51" s="41">
        <f>(IF(C50&lt;='SOLLECITAZ NASCOSTO'!$P$12,IF(C50&lt;='SOLLECITAZ NASCOSTO'!$P$11,IF(C50&lt;='SOLLECITAZ NASCOSTO'!$P$10,IF(C50&lt;='SOLLECITAZ NASCOSTO'!$P$9,IF(C50&lt;='SOLLECITAZ NASCOSTO'!$P$8,IF(C50&lt;='SOLLECITAZ NASCOSTO'!$P$7,IF(C50&lt;='SOLLECITAZ NASCOSTO'!$P$6,IF(C50&lt;='SOLLECITAZ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paramento'!$G$111),55555)-IF(C50&lt;='SOLLECITAZ NASCOSTO'!$P$12,IF(C50&lt;='SOLLECITAZ NASCOSTO'!$P$11,IF(C50&lt;='SOLLECITAZ NASCOSTO'!$P$10,IF(C50&lt;='SOLLECITAZ NASCOSTO'!$P$9,IF(C50&lt;='SOLLECITAZ NASCOSTO'!$P$8,IF(C50&lt;='SOLLECITAZ NASCOSTO'!$P$7,IF(C50&lt;='SOLLECITAZ NASCOSTO'!$P$6,IF(C50&lt;='SOLLECITAZ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paramento'!$G$111))*(C50-IF(C50&lt;='SOLLECITAZ NASCOSTO'!$P$12,IF(C50&lt;='SOLLECITAZ NASCOSTO'!$P$11,IF(C50&lt;='SOLLECITAZ NASCOSTO'!$P$10,IF(C50&lt;='SOLLECITAZ NASCOSTO'!$P$9,IF(C50&lt;='SOLLECITAZ NASCOSTO'!$P$8,IF(C50&lt;='SOLLECITAZ NASCOSTO'!$P$7,IF(C50&lt;='SOLLECITAZ NASCOSTO'!$P$6,IF(C50&lt;='SOLLECITAZ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NASCOSTO'!$P$12))/IF(C50&lt;='SOLLECITAZ NASCOSTO'!$P$12,IF(C50&lt;='SOLLECITAZ NASCOSTO'!$P$11,IF(C50&lt;='SOLLECITAZ NASCOSTO'!$P$10,IF(C50&lt;='SOLLECITAZ NASCOSTO'!$P$9,IF(C50&lt;='SOLLECITAZ NASCOSTO'!$P$8,IF(C50&lt;='SOLLECITAZ NASCOSTO'!$P$7,IF(C50&lt;='SOLLECITAZ NASCOSTO'!$P$6,IF(C50&lt;='SOLLECITAZ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paramento'!$C$111)+IF(C50&lt;='SOLLECITAZ NASCOSTO'!$P$12,IF(C50&lt;='SOLLECITAZ NASCOSTO'!$P$11,IF(C50&lt;='SOLLECITAZ NASCOSTO'!$P$10,IF(C50&lt;='SOLLECITAZ NASCOSTO'!$P$9,IF(C50&lt;='SOLLECITAZ NASCOSTO'!$P$8,IF(C50&lt;='SOLLECITAZ NASCOSTO'!$P$7,IF(C50&lt;='SOLLECITAZ NASCOSTO'!$P$6,IF(C50&lt;='SOLLECITAZ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18.118558904779441</v>
      </c>
      <c r="O51" s="41">
        <f>IF(C51&lt;='SOLLECITAZ NASCOSTO'!$P$12,IF(C51&lt;='SOLLECITAZ NASCOSTO'!$P$11,IF(C51&lt;='SOLLECITAZ NASCOSTO'!$P$10,IF(C51&lt;='SOLLECITAZ NASCOSTO'!$P$9,IF(C51&lt;='SOLLECITAZ NASCOSTO'!$P$8,IF(C51&lt;='SOLLECITAZ NASCOSTO'!$P$7,IF(C51&lt;='SOLLECITAZ NASCOSTO'!$P$6,IF(C51&lt;='SOLLECITAZ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paramento'!$G$110),55555)*(C51-C50)/IF(C51&lt;='SOLLECITAZ NASCOSTO'!$P$12,IF(C51&lt;='SOLLECITAZ NASCOSTO'!$P$11,IF(C51&lt;='SOLLECITAZ NASCOSTO'!$P$10,IF(C51&lt;='SOLLECITAZ NASCOSTO'!$P$9,IF(C51&lt;='SOLLECITAZ NASCOSTO'!$P$8,IF(C51&lt;='SOLLECITAZ NASCOSTO'!$P$7,IF(C51&lt;='SOLLECITAZ NASCOSTO'!$P$6,IF(C51&lt;='SOLLECITAZ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0.25812292944940607</v>
      </c>
      <c r="P51" s="41">
        <f t="shared" si="21"/>
        <v>1.8000000000000004E-5</v>
      </c>
      <c r="Q51" s="41">
        <f t="shared" si="19"/>
        <v>1</v>
      </c>
      <c r="R51" s="434">
        <f t="shared" si="10"/>
        <v>0.2069931977234537</v>
      </c>
      <c r="S51" s="45">
        <f t="shared" si="20"/>
        <v>0.2069931977234537</v>
      </c>
      <c r="T51" s="205">
        <f t="shared" si="14"/>
        <v>4.5320615922608809</v>
      </c>
      <c r="U51" s="45">
        <f t="shared" si="17"/>
        <v>3.2962660759749909</v>
      </c>
      <c r="V51" s="45">
        <f t="shared" si="18"/>
        <v>-0.32368982911464128</v>
      </c>
      <c r="W51" s="488"/>
      <c r="Y51" s="41"/>
      <c r="Z51" s="487"/>
    </row>
    <row r="52" spans="1:40" x14ac:dyDescent="0.25">
      <c r="A52" s="581">
        <f t="shared" si="11"/>
        <v>0.11795627174877188</v>
      </c>
      <c r="B52" s="31">
        <f t="shared" si="12"/>
        <v>20</v>
      </c>
      <c r="C52" s="434">
        <f>'SOLLECITAZ NASCOSTO'!$D$6/'SOLLECITAZ NASCOSTO'!$B$448*'SOLLECITAZ NASCOSTO'!B52</f>
        <v>0.21788757655100388</v>
      </c>
      <c r="D52" s="128">
        <f t="shared" si="15"/>
        <v>0.23795627174877187</v>
      </c>
      <c r="E52" s="128">
        <f t="shared" si="4"/>
        <v>0.11795627174877188</v>
      </c>
      <c r="F52" s="128">
        <f t="shared" si="5"/>
        <v>0.33774600695960699</v>
      </c>
      <c r="G52" s="128">
        <f t="shared" si="6"/>
        <v>2.4755709962332059E-2</v>
      </c>
      <c r="H52" s="128">
        <f t="shared" si="7"/>
        <v>0</v>
      </c>
      <c r="I52" s="128">
        <v>0</v>
      </c>
      <c r="J52" s="127">
        <f t="shared" si="8"/>
        <v>7.3296824987460887E-2</v>
      </c>
      <c r="K52" s="126">
        <f t="shared" si="9"/>
        <v>8.7837492995843417E-4</v>
      </c>
      <c r="L52" s="41">
        <f t="shared" si="16"/>
        <v>3.497874653959189</v>
      </c>
      <c r="M52" s="41">
        <f t="shared" si="13"/>
        <v>-0.36069880057443687</v>
      </c>
      <c r="N52" s="41">
        <f>(IF(C51&lt;='SOLLECITAZ NASCOSTO'!$P$12,IF(C51&lt;='SOLLECITAZ NASCOSTO'!$P$11,IF(C51&lt;='SOLLECITAZ NASCOSTO'!$P$10,IF(C51&lt;='SOLLECITAZ NASCOSTO'!$P$9,IF(C51&lt;='SOLLECITAZ NASCOSTO'!$P$8,IF(C51&lt;='SOLLECITAZ NASCOSTO'!$P$7,IF(C51&lt;='SOLLECITAZ NASCOSTO'!$P$6,IF(C51&lt;='SOLLECITAZ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paramento'!$G$111),55555)-IF(C51&lt;='SOLLECITAZ NASCOSTO'!$P$12,IF(C51&lt;='SOLLECITAZ NASCOSTO'!$P$11,IF(C51&lt;='SOLLECITAZ NASCOSTO'!$P$10,IF(C51&lt;='SOLLECITAZ NASCOSTO'!$P$9,IF(C51&lt;='SOLLECITAZ NASCOSTO'!$P$8,IF(C51&lt;='SOLLECITAZ NASCOSTO'!$P$7,IF(C51&lt;='SOLLECITAZ NASCOSTO'!$P$6,IF(C51&lt;='SOLLECITAZ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paramento'!$G$111))*(C51-IF(C51&lt;='SOLLECITAZ NASCOSTO'!$P$12,IF(C51&lt;='SOLLECITAZ NASCOSTO'!$P$11,IF(C51&lt;='SOLLECITAZ NASCOSTO'!$P$10,IF(C51&lt;='SOLLECITAZ NASCOSTO'!$P$9,IF(C51&lt;='SOLLECITAZ NASCOSTO'!$P$8,IF(C51&lt;='SOLLECITAZ NASCOSTO'!$P$7,IF(C51&lt;='SOLLECITAZ NASCOSTO'!$P$6,IF(C51&lt;='SOLLECITAZ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NASCOSTO'!$P$12))/IF(C51&lt;='SOLLECITAZ NASCOSTO'!$P$12,IF(C51&lt;='SOLLECITAZ NASCOSTO'!$P$11,IF(C51&lt;='SOLLECITAZ NASCOSTO'!$P$10,IF(C51&lt;='SOLLECITAZ NASCOSTO'!$P$9,IF(C51&lt;='SOLLECITAZ NASCOSTO'!$P$8,IF(C51&lt;='SOLLECITAZ NASCOSTO'!$P$7,IF(C51&lt;='SOLLECITAZ NASCOSTO'!$P$6,IF(C51&lt;='SOLLECITAZ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paramento'!$C$111)+IF(C51&lt;='SOLLECITAZ NASCOSTO'!$P$12,IF(C51&lt;='SOLLECITAZ NASCOSTO'!$P$11,IF(C51&lt;='SOLLECITAZ NASCOSTO'!$P$10,IF(C51&lt;='SOLLECITAZ NASCOSTO'!$P$9,IF(C51&lt;='SOLLECITAZ NASCOSTO'!$P$8,IF(C51&lt;='SOLLECITAZ NASCOSTO'!$P$7,IF(C51&lt;='SOLLECITAZ NASCOSTO'!$P$6,IF(C51&lt;='SOLLECITAZ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18.376681834228847</v>
      </c>
      <c r="O52" s="41">
        <f>IF(C52&lt;='SOLLECITAZ NASCOSTO'!$P$12,IF(C52&lt;='SOLLECITAZ NASCOSTO'!$P$11,IF(C52&lt;='SOLLECITAZ NASCOSTO'!$P$10,IF(C52&lt;='SOLLECITAZ NASCOSTO'!$P$9,IF(C52&lt;='SOLLECITAZ NASCOSTO'!$P$8,IF(C52&lt;='SOLLECITAZ NASCOSTO'!$P$7,IF(C52&lt;='SOLLECITAZ NASCOSTO'!$P$6,IF(C52&lt;='SOLLECITAZ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paramento'!$G$110),55555)*(C52-C51)/IF(C52&lt;='SOLLECITAZ NASCOSTO'!$P$12,IF(C52&lt;='SOLLECITAZ NASCOSTO'!$P$11,IF(C52&lt;='SOLLECITAZ NASCOSTO'!$P$10,IF(C52&lt;='SOLLECITAZ NASCOSTO'!$P$9,IF(C52&lt;='SOLLECITAZ NASCOSTO'!$P$8,IF(C52&lt;='SOLLECITAZ NASCOSTO'!$P$7,IF(C52&lt;='SOLLECITAZ NASCOSTO'!$P$6,IF(C52&lt;='SOLLECITAZ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52" s="41">
        <f t="shared" si="21"/>
        <v>1.9000000000000004E-5</v>
      </c>
      <c r="Q52" s="41">
        <f t="shared" si="19"/>
        <v>1</v>
      </c>
      <c r="R52" s="434">
        <f t="shared" si="10"/>
        <v>0.21788757655100388</v>
      </c>
      <c r="S52" s="45">
        <f t="shared" si="20"/>
        <v>0.21788757655100388</v>
      </c>
      <c r="T52" s="205">
        <f t="shared" si="14"/>
        <v>4.5320615922608809</v>
      </c>
      <c r="U52" s="45">
        <f t="shared" si="17"/>
        <v>3.497874653959189</v>
      </c>
      <c r="V52" s="45">
        <f t="shared" si="18"/>
        <v>-0.36069880057443687</v>
      </c>
      <c r="W52" s="488"/>
    </row>
    <row r="53" spans="1:40" x14ac:dyDescent="0.25">
      <c r="A53" s="581">
        <f t="shared" si="11"/>
        <v>0.11952711449688103</v>
      </c>
      <c r="B53" s="31">
        <f t="shared" si="12"/>
        <v>21</v>
      </c>
      <c r="C53" s="434">
        <f>'SOLLECITAZ NASCOSTO'!$D$6/'SOLLECITAZ NASCOSTO'!$B$448*'SOLLECITAZ NASCOSTO'!B53</f>
        <v>0.22878195537855409</v>
      </c>
      <c r="D53" s="128">
        <f t="shared" si="15"/>
        <v>0.23952711449688102</v>
      </c>
      <c r="E53" s="128">
        <f t="shared" si="4"/>
        <v>0.11952711449688103</v>
      </c>
      <c r="F53" s="128">
        <f t="shared" si="5"/>
        <v>0.33824867663900193</v>
      </c>
      <c r="G53" s="128">
        <f t="shared" si="6"/>
        <v>2.4875718172672312E-2</v>
      </c>
      <c r="H53" s="128">
        <f t="shared" si="7"/>
        <v>0</v>
      </c>
      <c r="I53" s="128">
        <v>0</v>
      </c>
      <c r="J53" s="127">
        <f t="shared" si="8"/>
        <v>7.3542691784781414E-2</v>
      </c>
      <c r="K53" s="126">
        <f t="shared" si="9"/>
        <v>8.9211366269859461E-4</v>
      </c>
      <c r="L53" s="41">
        <f t="shared" si="16"/>
        <v>3.7022953209208862</v>
      </c>
      <c r="M53" s="41">
        <f t="shared" si="13"/>
        <v>-0.39991949023898499</v>
      </c>
      <c r="N53" s="41">
        <f>(IF(C52&lt;='SOLLECITAZ NASCOSTO'!$P$12,IF(C52&lt;='SOLLECITAZ NASCOSTO'!$P$11,IF(C52&lt;='SOLLECITAZ NASCOSTO'!$P$10,IF(C52&lt;='SOLLECITAZ NASCOSTO'!$P$9,IF(C52&lt;='SOLLECITAZ NASCOSTO'!$P$8,IF(C52&lt;='SOLLECITAZ NASCOSTO'!$P$7,IF(C52&lt;='SOLLECITAZ NASCOSTO'!$P$6,IF(C52&lt;='SOLLECITAZ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paramento'!$G$111),55555)-IF(C52&lt;='SOLLECITAZ NASCOSTO'!$P$12,IF(C52&lt;='SOLLECITAZ NASCOSTO'!$P$11,IF(C52&lt;='SOLLECITAZ NASCOSTO'!$P$10,IF(C52&lt;='SOLLECITAZ NASCOSTO'!$P$9,IF(C52&lt;='SOLLECITAZ NASCOSTO'!$P$8,IF(C52&lt;='SOLLECITAZ NASCOSTO'!$P$7,IF(C52&lt;='SOLLECITAZ NASCOSTO'!$P$6,IF(C52&lt;='SOLLECITAZ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paramento'!$G$111))*(C52-IF(C52&lt;='SOLLECITAZ NASCOSTO'!$P$12,IF(C52&lt;='SOLLECITAZ NASCOSTO'!$P$11,IF(C52&lt;='SOLLECITAZ NASCOSTO'!$P$10,IF(C52&lt;='SOLLECITAZ NASCOSTO'!$P$9,IF(C52&lt;='SOLLECITAZ NASCOSTO'!$P$8,IF(C52&lt;='SOLLECITAZ NASCOSTO'!$P$7,IF(C52&lt;='SOLLECITAZ NASCOSTO'!$P$6,IF(C52&lt;='SOLLECITAZ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NASCOSTO'!$P$12))/IF(C52&lt;='SOLLECITAZ NASCOSTO'!$P$12,IF(C52&lt;='SOLLECITAZ NASCOSTO'!$P$11,IF(C52&lt;='SOLLECITAZ NASCOSTO'!$P$10,IF(C52&lt;='SOLLECITAZ NASCOSTO'!$P$9,IF(C52&lt;='SOLLECITAZ NASCOSTO'!$P$8,IF(C52&lt;='SOLLECITAZ NASCOSTO'!$P$7,IF(C52&lt;='SOLLECITAZ NASCOSTO'!$P$6,IF(C52&lt;='SOLLECITAZ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paramento'!$C$111)+IF(C52&lt;='SOLLECITAZ NASCOSTO'!$P$12,IF(C52&lt;='SOLLECITAZ NASCOSTO'!$P$11,IF(C52&lt;='SOLLECITAZ NASCOSTO'!$P$10,IF(C52&lt;='SOLLECITAZ NASCOSTO'!$P$9,IF(C52&lt;='SOLLECITAZ NASCOSTO'!$P$8,IF(C52&lt;='SOLLECITAZ NASCOSTO'!$P$7,IF(C52&lt;='SOLLECITAZ NASCOSTO'!$P$6,IF(C52&lt;='SOLLECITAZ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18.634804763678254</v>
      </c>
      <c r="O53" s="41">
        <f>IF(C53&lt;='SOLLECITAZ NASCOSTO'!$P$12,IF(C53&lt;='SOLLECITAZ NASCOSTO'!$P$11,IF(C53&lt;='SOLLECITAZ NASCOSTO'!$P$10,IF(C53&lt;='SOLLECITAZ NASCOSTO'!$P$9,IF(C53&lt;='SOLLECITAZ NASCOSTO'!$P$8,IF(C53&lt;='SOLLECITAZ NASCOSTO'!$P$7,IF(C53&lt;='SOLLECITAZ NASCOSTO'!$P$6,IF(C53&lt;='SOLLECITAZ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paramento'!$G$110),55555)*(C53-C52)/IF(C53&lt;='SOLLECITAZ NASCOSTO'!$P$12,IF(C53&lt;='SOLLECITAZ NASCOSTO'!$P$11,IF(C53&lt;='SOLLECITAZ NASCOSTO'!$P$10,IF(C53&lt;='SOLLECITAZ NASCOSTO'!$P$9,IF(C53&lt;='SOLLECITAZ NASCOSTO'!$P$8,IF(C53&lt;='SOLLECITAZ NASCOSTO'!$P$7,IF(C53&lt;='SOLLECITAZ NASCOSTO'!$P$6,IF(C53&lt;='SOLLECITAZ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0.25812292944940607</v>
      </c>
      <c r="P53" s="41">
        <f t="shared" si="21"/>
        <v>2.0000000000000005E-5</v>
      </c>
      <c r="Q53" s="41">
        <f t="shared" si="19"/>
        <v>1</v>
      </c>
      <c r="R53" s="434">
        <f t="shared" si="10"/>
        <v>0.22878195537855409</v>
      </c>
      <c r="S53" s="45">
        <f t="shared" si="20"/>
        <v>0.22878195537855409</v>
      </c>
      <c r="T53" s="205">
        <f t="shared" si="14"/>
        <v>4.5320615922608809</v>
      </c>
      <c r="U53" s="45">
        <f t="shared" si="17"/>
        <v>3.7022953209208862</v>
      </c>
      <c r="V53" s="45">
        <f t="shared" si="18"/>
        <v>-0.39991949023898499</v>
      </c>
      <c r="W53" s="488"/>
    </row>
    <row r="54" spans="1:40" s="421" customFormat="1" ht="28.5" customHeight="1" x14ac:dyDescent="0.25">
      <c r="A54" s="581">
        <f t="shared" si="11"/>
        <v>0.1210979572449902</v>
      </c>
      <c r="B54" s="31">
        <f t="shared" si="12"/>
        <v>22</v>
      </c>
      <c r="C54" s="434">
        <f>'SOLLECITAZ NASCOSTO'!$D$6/'SOLLECITAZ NASCOSTO'!$B$448*'SOLLECITAZ NASCOSTO'!B54</f>
        <v>0.23967633420610429</v>
      </c>
      <c r="D54" s="128">
        <f t="shared" si="15"/>
        <v>0.2410979572449902</v>
      </c>
      <c r="E54" s="128">
        <f t="shared" si="4"/>
        <v>0.1210979572449902</v>
      </c>
      <c r="F54" s="128">
        <f t="shared" si="5"/>
        <v>0.33875134631839687</v>
      </c>
      <c r="G54" s="128">
        <f t="shared" si="6"/>
        <v>2.4996515998033139E-2</v>
      </c>
      <c r="H54" s="128">
        <f t="shared" si="7"/>
        <v>0</v>
      </c>
      <c r="I54" s="128">
        <v>0</v>
      </c>
      <c r="J54" s="127">
        <f t="shared" si="8"/>
        <v>7.3790159861205643E-2</v>
      </c>
      <c r="K54" s="126">
        <f t="shared" si="9"/>
        <v>9.0607336083204444E-4</v>
      </c>
      <c r="L54" s="41">
        <f t="shared" si="16"/>
        <v>3.9095280768600826</v>
      </c>
      <c r="M54" s="41">
        <f t="shared" si="13"/>
        <v>-0.44138253407090311</v>
      </c>
      <c r="N54" s="41">
        <f>(IF(C53&lt;='SOLLECITAZ NASCOSTO'!$P$12,IF(C53&lt;='SOLLECITAZ NASCOSTO'!$P$11,IF(C53&lt;='SOLLECITAZ NASCOSTO'!$P$10,IF(C53&lt;='SOLLECITAZ NASCOSTO'!$P$9,IF(C53&lt;='SOLLECITAZ NASCOSTO'!$P$8,IF(C53&lt;='SOLLECITAZ NASCOSTO'!$P$7,IF(C53&lt;='SOLLECITAZ NASCOSTO'!$P$6,IF(C53&lt;='SOLLECITAZ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paramento'!$G$111),55555)-IF(C53&lt;='SOLLECITAZ NASCOSTO'!$P$12,IF(C53&lt;='SOLLECITAZ NASCOSTO'!$P$11,IF(C53&lt;='SOLLECITAZ NASCOSTO'!$P$10,IF(C53&lt;='SOLLECITAZ NASCOSTO'!$P$9,IF(C53&lt;='SOLLECITAZ NASCOSTO'!$P$8,IF(C53&lt;='SOLLECITAZ NASCOSTO'!$P$7,IF(C53&lt;='SOLLECITAZ NASCOSTO'!$P$6,IF(C53&lt;='SOLLECITAZ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paramento'!$G$111))*(C53-IF(C53&lt;='SOLLECITAZ NASCOSTO'!$P$12,IF(C53&lt;='SOLLECITAZ NASCOSTO'!$P$11,IF(C53&lt;='SOLLECITAZ NASCOSTO'!$P$10,IF(C53&lt;='SOLLECITAZ NASCOSTO'!$P$9,IF(C53&lt;='SOLLECITAZ NASCOSTO'!$P$8,IF(C53&lt;='SOLLECITAZ NASCOSTO'!$P$7,IF(C53&lt;='SOLLECITAZ NASCOSTO'!$P$6,IF(C53&lt;='SOLLECITAZ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NASCOSTO'!$P$12))/IF(C53&lt;='SOLLECITAZ NASCOSTO'!$P$12,IF(C53&lt;='SOLLECITAZ NASCOSTO'!$P$11,IF(C53&lt;='SOLLECITAZ NASCOSTO'!$P$10,IF(C53&lt;='SOLLECITAZ NASCOSTO'!$P$9,IF(C53&lt;='SOLLECITAZ NASCOSTO'!$P$8,IF(C53&lt;='SOLLECITAZ NASCOSTO'!$P$7,IF(C53&lt;='SOLLECITAZ NASCOSTO'!$P$6,IF(C53&lt;='SOLLECITAZ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paramento'!$C$111)+IF(C53&lt;='SOLLECITAZ NASCOSTO'!$P$12,IF(C53&lt;='SOLLECITAZ NASCOSTO'!$P$11,IF(C53&lt;='SOLLECITAZ NASCOSTO'!$P$10,IF(C53&lt;='SOLLECITAZ NASCOSTO'!$P$9,IF(C53&lt;='SOLLECITAZ NASCOSTO'!$P$8,IF(C53&lt;='SOLLECITAZ NASCOSTO'!$P$7,IF(C53&lt;='SOLLECITAZ NASCOSTO'!$P$6,IF(C53&lt;='SOLLECITAZ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18.89292769312766</v>
      </c>
      <c r="O54" s="41">
        <f>IF(C54&lt;='SOLLECITAZ NASCOSTO'!$P$12,IF(C54&lt;='SOLLECITAZ NASCOSTO'!$P$11,IF(C54&lt;='SOLLECITAZ NASCOSTO'!$P$10,IF(C54&lt;='SOLLECITAZ NASCOSTO'!$P$9,IF(C54&lt;='SOLLECITAZ NASCOSTO'!$P$8,IF(C54&lt;='SOLLECITAZ NASCOSTO'!$P$7,IF(C54&lt;='SOLLECITAZ NASCOSTO'!$P$6,IF(C54&lt;='SOLLECITAZ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paramento'!$G$110),55555)*(C54-C53)/IF(C54&lt;='SOLLECITAZ NASCOSTO'!$P$12,IF(C54&lt;='SOLLECITAZ NASCOSTO'!$P$11,IF(C54&lt;='SOLLECITAZ NASCOSTO'!$P$10,IF(C54&lt;='SOLLECITAZ NASCOSTO'!$P$9,IF(C54&lt;='SOLLECITAZ NASCOSTO'!$P$8,IF(C54&lt;='SOLLECITAZ NASCOSTO'!$P$7,IF(C54&lt;='SOLLECITAZ NASCOSTO'!$P$6,IF(C54&lt;='SOLLECITAZ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0.25812292944940607</v>
      </c>
      <c r="P54" s="41">
        <f t="shared" si="21"/>
        <v>2.1000000000000006E-5</v>
      </c>
      <c r="Q54" s="41">
        <f t="shared" si="19"/>
        <v>1</v>
      </c>
      <c r="R54" s="434">
        <f t="shared" si="10"/>
        <v>0.23967633420610429</v>
      </c>
      <c r="S54" s="45">
        <f t="shared" si="20"/>
        <v>0.23967633420610429</v>
      </c>
      <c r="T54" s="205">
        <f t="shared" si="14"/>
        <v>4.5320615922608809</v>
      </c>
      <c r="U54" s="45">
        <f t="shared" si="17"/>
        <v>3.9095280768600826</v>
      </c>
      <c r="V54" s="45">
        <f t="shared" si="18"/>
        <v>-0.44138253407090311</v>
      </c>
      <c r="W54" s="488"/>
    </row>
    <row r="55" spans="1:40" s="421" customFormat="1" x14ac:dyDescent="0.25">
      <c r="A55" s="581">
        <f t="shared" si="11"/>
        <v>0.12266879999309938</v>
      </c>
      <c r="B55" s="31">
        <f t="shared" si="12"/>
        <v>23</v>
      </c>
      <c r="C55" s="434">
        <f>'SOLLECITAZ NASCOSTO'!$D$6/'SOLLECITAZ NASCOSTO'!$B$448*'SOLLECITAZ NASCOSTO'!B55</f>
        <v>0.25057071303365447</v>
      </c>
      <c r="D55" s="128">
        <f t="shared" si="15"/>
        <v>0.24266879999309937</v>
      </c>
      <c r="E55" s="128">
        <f t="shared" si="4"/>
        <v>0.12266879999309938</v>
      </c>
      <c r="F55" s="128">
        <f t="shared" si="5"/>
        <v>0.33925401599779181</v>
      </c>
      <c r="G55" s="128">
        <f t="shared" si="6"/>
        <v>2.5118103438414537E-2</v>
      </c>
      <c r="H55" s="128">
        <f t="shared" si="7"/>
        <v>0</v>
      </c>
      <c r="I55" s="128">
        <v>0</v>
      </c>
      <c r="J55" s="127">
        <f t="shared" si="8"/>
        <v>7.4039222098930227E-2</v>
      </c>
      <c r="K55" s="126">
        <f t="shared" si="9"/>
        <v>9.2025551735993064E-4</v>
      </c>
      <c r="L55" s="41">
        <f t="shared" si="16"/>
        <v>4.1195729217767774</v>
      </c>
      <c r="M55" s="41">
        <f t="shared" si="13"/>
        <v>-0.48511856803280878</v>
      </c>
      <c r="N55" s="41">
        <f>(IF(C54&lt;='SOLLECITAZ NASCOSTO'!$P$12,IF(C54&lt;='SOLLECITAZ NASCOSTO'!$P$11,IF(C54&lt;='SOLLECITAZ NASCOSTO'!$P$10,IF(C54&lt;='SOLLECITAZ NASCOSTO'!$P$9,IF(C54&lt;='SOLLECITAZ NASCOSTO'!$P$8,IF(C54&lt;='SOLLECITAZ NASCOSTO'!$P$7,IF(C54&lt;='SOLLECITAZ NASCOSTO'!$P$6,IF(C54&lt;='SOLLECITAZ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paramento'!$G$111),55555)-IF(C54&lt;='SOLLECITAZ NASCOSTO'!$P$12,IF(C54&lt;='SOLLECITAZ NASCOSTO'!$P$11,IF(C54&lt;='SOLLECITAZ NASCOSTO'!$P$10,IF(C54&lt;='SOLLECITAZ NASCOSTO'!$P$9,IF(C54&lt;='SOLLECITAZ NASCOSTO'!$P$8,IF(C54&lt;='SOLLECITAZ NASCOSTO'!$P$7,IF(C54&lt;='SOLLECITAZ NASCOSTO'!$P$6,IF(C54&lt;='SOLLECITAZ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paramento'!$G$111))*(C54-IF(C54&lt;='SOLLECITAZ NASCOSTO'!$P$12,IF(C54&lt;='SOLLECITAZ NASCOSTO'!$P$11,IF(C54&lt;='SOLLECITAZ NASCOSTO'!$P$10,IF(C54&lt;='SOLLECITAZ NASCOSTO'!$P$9,IF(C54&lt;='SOLLECITAZ NASCOSTO'!$P$8,IF(C54&lt;='SOLLECITAZ NASCOSTO'!$P$7,IF(C54&lt;='SOLLECITAZ NASCOSTO'!$P$6,IF(C54&lt;='SOLLECITAZ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NASCOSTO'!$P$12))/IF(C54&lt;='SOLLECITAZ NASCOSTO'!$P$12,IF(C54&lt;='SOLLECITAZ NASCOSTO'!$P$11,IF(C54&lt;='SOLLECITAZ NASCOSTO'!$P$10,IF(C54&lt;='SOLLECITAZ NASCOSTO'!$P$9,IF(C54&lt;='SOLLECITAZ NASCOSTO'!$P$8,IF(C54&lt;='SOLLECITAZ NASCOSTO'!$P$7,IF(C54&lt;='SOLLECITAZ NASCOSTO'!$P$6,IF(C54&lt;='SOLLECITAZ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paramento'!$C$111)+IF(C54&lt;='SOLLECITAZ NASCOSTO'!$P$12,IF(C54&lt;='SOLLECITAZ NASCOSTO'!$P$11,IF(C54&lt;='SOLLECITAZ NASCOSTO'!$P$10,IF(C54&lt;='SOLLECITAZ NASCOSTO'!$P$9,IF(C54&lt;='SOLLECITAZ NASCOSTO'!$P$8,IF(C54&lt;='SOLLECITAZ NASCOSTO'!$P$7,IF(C54&lt;='SOLLECITAZ NASCOSTO'!$P$6,IF(C54&lt;='SOLLECITAZ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19.151050622577067</v>
      </c>
      <c r="O55" s="41">
        <f>IF(C55&lt;='SOLLECITAZ NASCOSTO'!$P$12,IF(C55&lt;='SOLLECITAZ NASCOSTO'!$P$11,IF(C55&lt;='SOLLECITAZ NASCOSTO'!$P$10,IF(C55&lt;='SOLLECITAZ NASCOSTO'!$P$9,IF(C55&lt;='SOLLECITAZ NASCOSTO'!$P$8,IF(C55&lt;='SOLLECITAZ NASCOSTO'!$P$7,IF(C55&lt;='SOLLECITAZ NASCOSTO'!$P$6,IF(C55&lt;='SOLLECITAZ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paramento'!$G$110),55555)*(C55-C54)/IF(C55&lt;='SOLLECITAZ NASCOSTO'!$P$12,IF(C55&lt;='SOLLECITAZ NASCOSTO'!$P$11,IF(C55&lt;='SOLLECITAZ NASCOSTO'!$P$10,IF(C55&lt;='SOLLECITAZ NASCOSTO'!$P$9,IF(C55&lt;='SOLLECITAZ NASCOSTO'!$P$8,IF(C55&lt;='SOLLECITAZ NASCOSTO'!$P$7,IF(C55&lt;='SOLLECITAZ NASCOSTO'!$P$6,IF(C55&lt;='SOLLECITAZ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55" s="41">
        <f t="shared" si="21"/>
        <v>2.2000000000000006E-5</v>
      </c>
      <c r="Q55" s="41">
        <f t="shared" si="19"/>
        <v>1</v>
      </c>
      <c r="R55" s="434">
        <f t="shared" si="10"/>
        <v>0.25057071303365447</v>
      </c>
      <c r="S55" s="45">
        <f t="shared" si="20"/>
        <v>0.25057071303365447</v>
      </c>
      <c r="T55" s="205">
        <f t="shared" si="14"/>
        <v>4.5320615922608809</v>
      </c>
      <c r="U55" s="45">
        <f t="shared" si="17"/>
        <v>4.1195729217767774</v>
      </c>
      <c r="V55" s="45">
        <f t="shared" si="18"/>
        <v>-0.48511856803280878</v>
      </c>
      <c r="W55" s="488"/>
    </row>
    <row r="56" spans="1:40" s="421" customFormat="1" x14ac:dyDescent="0.25">
      <c r="A56" s="581">
        <f t="shared" si="11"/>
        <v>0.12423964274120852</v>
      </c>
      <c r="B56" s="31">
        <f t="shared" si="12"/>
        <v>24</v>
      </c>
      <c r="C56" s="434">
        <f>'SOLLECITAZ NASCOSTO'!$D$6/'SOLLECITAZ NASCOSTO'!$B$448*'SOLLECITAZ NASCOSTO'!B56</f>
        <v>0.2614650918612047</v>
      </c>
      <c r="D56" s="128">
        <f t="shared" si="15"/>
        <v>0.24423964274120852</v>
      </c>
      <c r="E56" s="128">
        <f t="shared" si="4"/>
        <v>0.12423964274120852</v>
      </c>
      <c r="F56" s="128">
        <f t="shared" si="5"/>
        <v>0.3397566856771867</v>
      </c>
      <c r="G56" s="128">
        <f t="shared" si="6"/>
        <v>2.5240480493816508E-2</v>
      </c>
      <c r="H56" s="128">
        <f t="shared" si="7"/>
        <v>0</v>
      </c>
      <c r="I56" s="128">
        <v>0</v>
      </c>
      <c r="J56" s="127">
        <f t="shared" si="8"/>
        <v>7.4289871422275014E-2</v>
      </c>
      <c r="K56" s="126">
        <f t="shared" si="9"/>
        <v>9.3466162011804951E-4</v>
      </c>
      <c r="L56" s="41">
        <f t="shared" si="16"/>
        <v>4.3324298556709726</v>
      </c>
      <c r="M56" s="41">
        <f t="shared" si="13"/>
        <v>-0.53115822808732005</v>
      </c>
      <c r="N56" s="41">
        <f>(IF(C55&lt;='SOLLECITAZ NASCOSTO'!$P$12,IF(C55&lt;='SOLLECITAZ NASCOSTO'!$P$11,IF(C55&lt;='SOLLECITAZ NASCOSTO'!$P$10,IF(C55&lt;='SOLLECITAZ NASCOSTO'!$P$9,IF(C55&lt;='SOLLECITAZ NASCOSTO'!$P$8,IF(C55&lt;='SOLLECITAZ NASCOSTO'!$P$7,IF(C55&lt;='SOLLECITAZ NASCOSTO'!$P$6,IF(C55&lt;='SOLLECITAZ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paramento'!$G$111),55555)-IF(C55&lt;='SOLLECITAZ NASCOSTO'!$P$12,IF(C55&lt;='SOLLECITAZ NASCOSTO'!$P$11,IF(C55&lt;='SOLLECITAZ NASCOSTO'!$P$10,IF(C55&lt;='SOLLECITAZ NASCOSTO'!$P$9,IF(C55&lt;='SOLLECITAZ NASCOSTO'!$P$8,IF(C55&lt;='SOLLECITAZ NASCOSTO'!$P$7,IF(C55&lt;='SOLLECITAZ NASCOSTO'!$P$6,IF(C55&lt;='SOLLECITAZ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paramento'!$G$111))*(C55-IF(C55&lt;='SOLLECITAZ NASCOSTO'!$P$12,IF(C55&lt;='SOLLECITAZ NASCOSTO'!$P$11,IF(C55&lt;='SOLLECITAZ NASCOSTO'!$P$10,IF(C55&lt;='SOLLECITAZ NASCOSTO'!$P$9,IF(C55&lt;='SOLLECITAZ NASCOSTO'!$P$8,IF(C55&lt;='SOLLECITAZ NASCOSTO'!$P$7,IF(C55&lt;='SOLLECITAZ NASCOSTO'!$P$6,IF(C55&lt;='SOLLECITAZ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NASCOSTO'!$P$12))/IF(C55&lt;='SOLLECITAZ NASCOSTO'!$P$12,IF(C55&lt;='SOLLECITAZ NASCOSTO'!$P$11,IF(C55&lt;='SOLLECITAZ NASCOSTO'!$P$10,IF(C55&lt;='SOLLECITAZ NASCOSTO'!$P$9,IF(C55&lt;='SOLLECITAZ NASCOSTO'!$P$8,IF(C55&lt;='SOLLECITAZ NASCOSTO'!$P$7,IF(C55&lt;='SOLLECITAZ NASCOSTO'!$P$6,IF(C55&lt;='SOLLECITAZ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paramento'!$C$111)+IF(C55&lt;='SOLLECITAZ NASCOSTO'!$P$12,IF(C55&lt;='SOLLECITAZ NASCOSTO'!$P$11,IF(C55&lt;='SOLLECITAZ NASCOSTO'!$P$10,IF(C55&lt;='SOLLECITAZ NASCOSTO'!$P$9,IF(C55&lt;='SOLLECITAZ NASCOSTO'!$P$8,IF(C55&lt;='SOLLECITAZ NASCOSTO'!$P$7,IF(C55&lt;='SOLLECITAZ NASCOSTO'!$P$6,IF(C55&lt;='SOLLECITAZ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19.409173552026473</v>
      </c>
      <c r="O56" s="41">
        <f>IF(C56&lt;='SOLLECITAZ NASCOSTO'!$P$12,IF(C56&lt;='SOLLECITAZ NASCOSTO'!$P$11,IF(C56&lt;='SOLLECITAZ NASCOSTO'!$P$10,IF(C56&lt;='SOLLECITAZ NASCOSTO'!$P$9,IF(C56&lt;='SOLLECITAZ NASCOSTO'!$P$8,IF(C56&lt;='SOLLECITAZ NASCOSTO'!$P$7,IF(C56&lt;='SOLLECITAZ NASCOSTO'!$P$6,IF(C56&lt;='SOLLECITAZ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paramento'!$G$110),55555)*(C56-C55)/IF(C56&lt;='SOLLECITAZ NASCOSTO'!$P$12,IF(C56&lt;='SOLLECITAZ NASCOSTO'!$P$11,IF(C56&lt;='SOLLECITAZ NASCOSTO'!$P$10,IF(C56&lt;='SOLLECITAZ NASCOSTO'!$P$9,IF(C56&lt;='SOLLECITAZ NASCOSTO'!$P$8,IF(C56&lt;='SOLLECITAZ NASCOSTO'!$P$7,IF(C56&lt;='SOLLECITAZ NASCOSTO'!$P$6,IF(C56&lt;='SOLLECITAZ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0.25812292944940674</v>
      </c>
      <c r="P56" s="41">
        <f t="shared" si="21"/>
        <v>2.3000000000000007E-5</v>
      </c>
      <c r="Q56" s="41">
        <f t="shared" si="19"/>
        <v>1</v>
      </c>
      <c r="R56" s="434">
        <f t="shared" si="10"/>
        <v>0.2614650918612047</v>
      </c>
      <c r="S56" s="45">
        <f t="shared" si="20"/>
        <v>0.2614650918612047</v>
      </c>
      <c r="T56" s="205">
        <f t="shared" si="14"/>
        <v>4.5320615922608809</v>
      </c>
      <c r="U56" s="45">
        <f t="shared" si="17"/>
        <v>4.3324298556709726</v>
      </c>
      <c r="V56" s="45">
        <f t="shared" si="18"/>
        <v>-0.53115822808732005</v>
      </c>
      <c r="W56" s="488"/>
    </row>
    <row r="57" spans="1:40" s="421" customFormat="1" ht="18.75" customHeight="1" x14ac:dyDescent="0.25">
      <c r="A57" s="581">
        <f t="shared" si="11"/>
        <v>0.1258104854893177</v>
      </c>
      <c r="B57" s="31">
        <f t="shared" si="12"/>
        <v>25</v>
      </c>
      <c r="C57" s="434">
        <f>'SOLLECITAZ NASCOSTO'!$D$6/'SOLLECITAZ NASCOSTO'!$B$448*'SOLLECITAZ NASCOSTO'!B57</f>
        <v>0.27235947068875488</v>
      </c>
      <c r="D57" s="128">
        <f t="shared" si="15"/>
        <v>0.24581048548931769</v>
      </c>
      <c r="E57" s="128">
        <f t="shared" si="4"/>
        <v>0.1258104854893177</v>
      </c>
      <c r="F57" s="128">
        <f t="shared" si="5"/>
        <v>0.34025935535658164</v>
      </c>
      <c r="G57" s="128">
        <f t="shared" si="6"/>
        <v>2.5363647164239049E-2</v>
      </c>
      <c r="H57" s="128">
        <f t="shared" si="7"/>
        <v>0</v>
      </c>
      <c r="I57" s="128">
        <v>0</v>
      </c>
      <c r="J57" s="127">
        <f t="shared" si="8"/>
        <v>7.4542100797371766E-2</v>
      </c>
      <c r="K57" s="126">
        <f t="shared" si="9"/>
        <v>9.492931518150045E-4</v>
      </c>
      <c r="L57" s="41">
        <f t="shared" si="16"/>
        <v>4.5480988785426657</v>
      </c>
      <c r="M57" s="41">
        <f t="shared" si="13"/>
        <v>-0.57953215019705406</v>
      </c>
      <c r="N57" s="41">
        <f>(IF(C56&lt;='SOLLECITAZ NASCOSTO'!$P$12,IF(C56&lt;='SOLLECITAZ NASCOSTO'!$P$11,IF(C56&lt;='SOLLECITAZ NASCOSTO'!$P$10,IF(C56&lt;='SOLLECITAZ NASCOSTO'!$P$9,IF(C56&lt;='SOLLECITAZ NASCOSTO'!$P$8,IF(C56&lt;='SOLLECITAZ NASCOSTO'!$P$7,IF(C56&lt;='SOLLECITAZ NASCOSTO'!$P$6,IF(C56&lt;='SOLLECITAZ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paramento'!$G$111),55555)-IF(C56&lt;='SOLLECITAZ NASCOSTO'!$P$12,IF(C56&lt;='SOLLECITAZ NASCOSTO'!$P$11,IF(C56&lt;='SOLLECITAZ NASCOSTO'!$P$10,IF(C56&lt;='SOLLECITAZ NASCOSTO'!$P$9,IF(C56&lt;='SOLLECITAZ NASCOSTO'!$P$8,IF(C56&lt;='SOLLECITAZ NASCOSTO'!$P$7,IF(C56&lt;='SOLLECITAZ NASCOSTO'!$P$6,IF(C56&lt;='SOLLECITAZ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paramento'!$G$111))*(C56-IF(C56&lt;='SOLLECITAZ NASCOSTO'!$P$12,IF(C56&lt;='SOLLECITAZ NASCOSTO'!$P$11,IF(C56&lt;='SOLLECITAZ NASCOSTO'!$P$10,IF(C56&lt;='SOLLECITAZ NASCOSTO'!$P$9,IF(C56&lt;='SOLLECITAZ NASCOSTO'!$P$8,IF(C56&lt;='SOLLECITAZ NASCOSTO'!$P$7,IF(C56&lt;='SOLLECITAZ NASCOSTO'!$P$6,IF(C56&lt;='SOLLECITAZ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NASCOSTO'!$P$12))/IF(C56&lt;='SOLLECITAZ NASCOSTO'!$P$12,IF(C56&lt;='SOLLECITAZ NASCOSTO'!$P$11,IF(C56&lt;='SOLLECITAZ NASCOSTO'!$P$10,IF(C56&lt;='SOLLECITAZ NASCOSTO'!$P$9,IF(C56&lt;='SOLLECITAZ NASCOSTO'!$P$8,IF(C56&lt;='SOLLECITAZ NASCOSTO'!$P$7,IF(C56&lt;='SOLLECITAZ NASCOSTO'!$P$6,IF(C56&lt;='SOLLECITAZ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paramento'!$C$111)+IF(C56&lt;='SOLLECITAZ NASCOSTO'!$P$12,IF(C56&lt;='SOLLECITAZ NASCOSTO'!$P$11,IF(C56&lt;='SOLLECITAZ NASCOSTO'!$P$10,IF(C56&lt;='SOLLECITAZ NASCOSTO'!$P$9,IF(C56&lt;='SOLLECITAZ NASCOSTO'!$P$8,IF(C56&lt;='SOLLECITAZ NASCOSTO'!$P$7,IF(C56&lt;='SOLLECITAZ NASCOSTO'!$P$6,IF(C56&lt;='SOLLECITAZ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19.66729648147588</v>
      </c>
      <c r="O57" s="41">
        <f>IF(C57&lt;='SOLLECITAZ NASCOSTO'!$P$12,IF(C57&lt;='SOLLECITAZ NASCOSTO'!$P$11,IF(C57&lt;='SOLLECITAZ NASCOSTO'!$P$10,IF(C57&lt;='SOLLECITAZ NASCOSTO'!$P$9,IF(C57&lt;='SOLLECITAZ NASCOSTO'!$P$8,IF(C57&lt;='SOLLECITAZ NASCOSTO'!$P$7,IF(C57&lt;='SOLLECITAZ NASCOSTO'!$P$6,IF(C57&lt;='SOLLECITAZ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paramento'!$G$110),55555)*(C57-C56)/IF(C57&lt;='SOLLECITAZ NASCOSTO'!$P$12,IF(C57&lt;='SOLLECITAZ NASCOSTO'!$P$11,IF(C57&lt;='SOLLECITAZ NASCOSTO'!$P$10,IF(C57&lt;='SOLLECITAZ NASCOSTO'!$P$9,IF(C57&lt;='SOLLECITAZ NASCOSTO'!$P$8,IF(C57&lt;='SOLLECITAZ NASCOSTO'!$P$7,IF(C57&lt;='SOLLECITAZ NASCOSTO'!$P$6,IF(C57&lt;='SOLLECITAZ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57" s="41">
        <f t="shared" si="21"/>
        <v>2.4000000000000007E-5</v>
      </c>
      <c r="Q57" s="41">
        <f t="shared" si="19"/>
        <v>1</v>
      </c>
      <c r="R57" s="434">
        <f t="shared" si="10"/>
        <v>0.27235947068875488</v>
      </c>
      <c r="S57" s="45">
        <f t="shared" si="20"/>
        <v>0.27235947068875488</v>
      </c>
      <c r="T57" s="205">
        <f t="shared" si="14"/>
        <v>4.5320615922608809</v>
      </c>
      <c r="U57" s="45">
        <f t="shared" si="17"/>
        <v>4.5480988785426657</v>
      </c>
      <c r="V57" s="45">
        <f t="shared" si="18"/>
        <v>-0.57953215019705406</v>
      </c>
      <c r="W57" s="488"/>
    </row>
    <row r="58" spans="1:40" s="421" customFormat="1" x14ac:dyDescent="0.25">
      <c r="A58" s="581">
        <f t="shared" si="11"/>
        <v>0.12738132823742684</v>
      </c>
      <c r="B58" s="31">
        <f>B57+1</f>
        <v>26</v>
      </c>
      <c r="C58" s="434">
        <f>'SOLLECITAZ NASCOSTO'!$D$6/'SOLLECITAZ NASCOSTO'!$B$448*'SOLLECITAZ NASCOSTO'!B58</f>
        <v>0.28325384951630506</v>
      </c>
      <c r="D58" s="128">
        <f t="shared" si="15"/>
        <v>0.24738132823742684</v>
      </c>
      <c r="E58" s="128">
        <f t="shared" si="4"/>
        <v>0.12738132823742684</v>
      </c>
      <c r="F58" s="128">
        <f t="shared" si="5"/>
        <v>0.34076202503597658</v>
      </c>
      <c r="G58" s="128">
        <f t="shared" si="6"/>
        <v>2.5487603449682164E-2</v>
      </c>
      <c r="H58" s="128">
        <f t="shared" si="7"/>
        <v>0</v>
      </c>
      <c r="I58" s="128">
        <v>0</v>
      </c>
      <c r="J58" s="127">
        <f t="shared" si="8"/>
        <v>7.4795903231855906E-2</v>
      </c>
      <c r="K58" s="126">
        <f t="shared" si="9"/>
        <v>9.6415159007001922E-4</v>
      </c>
      <c r="L58" s="41">
        <f t="shared" si="16"/>
        <v>4.7665799903918575</v>
      </c>
      <c r="M58" s="41">
        <f t="shared" si="13"/>
        <v>-0.63027097032462875</v>
      </c>
      <c r="N58" s="41">
        <f>(IF(C57&lt;='SOLLECITAZ NASCOSTO'!$P$12,IF(C57&lt;='SOLLECITAZ NASCOSTO'!$P$11,IF(C57&lt;='SOLLECITAZ NASCOSTO'!$P$10,IF(C57&lt;='SOLLECITAZ NASCOSTO'!$P$9,IF(C57&lt;='SOLLECITAZ NASCOSTO'!$P$8,IF(C57&lt;='SOLLECITAZ NASCOSTO'!$P$7,IF(C57&lt;='SOLLECITAZ NASCOSTO'!$P$6,IF(C57&lt;='SOLLECITAZ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paramento'!$G$111),55555)-IF(C57&lt;='SOLLECITAZ NASCOSTO'!$P$12,IF(C57&lt;='SOLLECITAZ NASCOSTO'!$P$11,IF(C57&lt;='SOLLECITAZ NASCOSTO'!$P$10,IF(C57&lt;='SOLLECITAZ NASCOSTO'!$P$9,IF(C57&lt;='SOLLECITAZ NASCOSTO'!$P$8,IF(C57&lt;='SOLLECITAZ NASCOSTO'!$P$7,IF(C57&lt;='SOLLECITAZ NASCOSTO'!$P$6,IF(C57&lt;='SOLLECITAZ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paramento'!$G$111))*(C57-IF(C57&lt;='SOLLECITAZ NASCOSTO'!$P$12,IF(C57&lt;='SOLLECITAZ NASCOSTO'!$P$11,IF(C57&lt;='SOLLECITAZ NASCOSTO'!$P$10,IF(C57&lt;='SOLLECITAZ NASCOSTO'!$P$9,IF(C57&lt;='SOLLECITAZ NASCOSTO'!$P$8,IF(C57&lt;='SOLLECITAZ NASCOSTO'!$P$7,IF(C57&lt;='SOLLECITAZ NASCOSTO'!$P$6,IF(C57&lt;='SOLLECITAZ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NASCOSTO'!$P$12))/IF(C57&lt;='SOLLECITAZ NASCOSTO'!$P$12,IF(C57&lt;='SOLLECITAZ NASCOSTO'!$P$11,IF(C57&lt;='SOLLECITAZ NASCOSTO'!$P$10,IF(C57&lt;='SOLLECITAZ NASCOSTO'!$P$9,IF(C57&lt;='SOLLECITAZ NASCOSTO'!$P$8,IF(C57&lt;='SOLLECITAZ NASCOSTO'!$P$7,IF(C57&lt;='SOLLECITAZ NASCOSTO'!$P$6,IF(C57&lt;='SOLLECITAZ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paramento'!$C$111)+IF(C57&lt;='SOLLECITAZ NASCOSTO'!$P$12,IF(C57&lt;='SOLLECITAZ NASCOSTO'!$P$11,IF(C57&lt;='SOLLECITAZ NASCOSTO'!$P$10,IF(C57&lt;='SOLLECITAZ NASCOSTO'!$P$9,IF(C57&lt;='SOLLECITAZ NASCOSTO'!$P$8,IF(C57&lt;='SOLLECITAZ NASCOSTO'!$P$7,IF(C57&lt;='SOLLECITAZ NASCOSTO'!$P$6,IF(C57&lt;='SOLLECITAZ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19.925419410925283</v>
      </c>
      <c r="O58" s="41">
        <f>IF(C58&lt;='SOLLECITAZ NASCOSTO'!$P$12,IF(C58&lt;='SOLLECITAZ NASCOSTO'!$P$11,IF(C58&lt;='SOLLECITAZ NASCOSTO'!$P$10,IF(C58&lt;='SOLLECITAZ NASCOSTO'!$P$9,IF(C58&lt;='SOLLECITAZ NASCOSTO'!$P$8,IF(C58&lt;='SOLLECITAZ NASCOSTO'!$P$7,IF(C58&lt;='SOLLECITAZ NASCOSTO'!$P$6,IF(C58&lt;='SOLLECITAZ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paramento'!$G$110),55555)*(C58-C57)/IF(C58&lt;='SOLLECITAZ NASCOSTO'!$P$12,IF(C58&lt;='SOLLECITAZ NASCOSTO'!$P$11,IF(C58&lt;='SOLLECITAZ NASCOSTO'!$P$10,IF(C58&lt;='SOLLECITAZ NASCOSTO'!$P$9,IF(C58&lt;='SOLLECITAZ NASCOSTO'!$P$8,IF(C58&lt;='SOLLECITAZ NASCOSTO'!$P$7,IF(C58&lt;='SOLLECITAZ NASCOSTO'!$P$6,IF(C58&lt;='SOLLECITAZ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58" s="41">
        <f t="shared" si="21"/>
        <v>2.5000000000000008E-5</v>
      </c>
      <c r="Q58" s="41">
        <f t="shared" si="19"/>
        <v>1</v>
      </c>
      <c r="R58" s="434">
        <f t="shared" si="10"/>
        <v>0.28325384951630506</v>
      </c>
      <c r="S58" s="45">
        <f t="shared" si="20"/>
        <v>0.28325384951630506</v>
      </c>
      <c r="T58" s="205">
        <f t="shared" si="14"/>
        <v>4.5320615922608809</v>
      </c>
      <c r="U58" s="45">
        <f t="shared" si="17"/>
        <v>4.7665799903918575</v>
      </c>
      <c r="V58" s="45">
        <f t="shared" si="18"/>
        <v>-0.63027097032462875</v>
      </c>
      <c r="W58" s="488"/>
    </row>
    <row r="59" spans="1:40" s="421" customFormat="1" x14ac:dyDescent="0.25">
      <c r="A59" s="581">
        <f t="shared" si="11"/>
        <v>0.12895217098553602</v>
      </c>
      <c r="B59" s="31">
        <f t="shared" si="12"/>
        <v>27</v>
      </c>
      <c r="C59" s="434">
        <f>'SOLLECITAZ NASCOSTO'!$D$6/'SOLLECITAZ NASCOSTO'!$B$448*'SOLLECITAZ NASCOSTO'!B59</f>
        <v>0.29414822834385523</v>
      </c>
      <c r="D59" s="128">
        <f t="shared" si="15"/>
        <v>0.24895217098553601</v>
      </c>
      <c r="E59" s="128">
        <f t="shared" si="4"/>
        <v>0.12895217098553602</v>
      </c>
      <c r="F59" s="128">
        <f t="shared" si="5"/>
        <v>0.34126469471537152</v>
      </c>
      <c r="G59" s="128">
        <f t="shared" si="6"/>
        <v>2.5612349350145849E-2</v>
      </c>
      <c r="H59" s="128">
        <f t="shared" si="7"/>
        <v>0</v>
      </c>
      <c r="I59" s="128">
        <v>0</v>
      </c>
      <c r="J59" s="127">
        <f t="shared" si="8"/>
        <v>7.5051271774560738E-2</v>
      </c>
      <c r="K59" s="126">
        <f t="shared" si="9"/>
        <v>9.7923840745042226E-4</v>
      </c>
      <c r="L59" s="41">
        <f t="shared" si="16"/>
        <v>4.9878731912185481</v>
      </c>
      <c r="M59" s="41">
        <f t="shared" si="13"/>
        <v>-0.68340532443266166</v>
      </c>
      <c r="N59" s="41">
        <f>(IF(C58&lt;='SOLLECITAZ NASCOSTO'!$P$12,IF(C58&lt;='SOLLECITAZ NASCOSTO'!$P$11,IF(C58&lt;='SOLLECITAZ NASCOSTO'!$P$10,IF(C58&lt;='SOLLECITAZ NASCOSTO'!$P$9,IF(C58&lt;='SOLLECITAZ NASCOSTO'!$P$8,IF(C58&lt;='SOLLECITAZ NASCOSTO'!$P$7,IF(C58&lt;='SOLLECITAZ NASCOSTO'!$P$6,IF(C58&lt;='SOLLECITAZ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paramento'!$G$111),55555)-IF(C58&lt;='SOLLECITAZ NASCOSTO'!$P$12,IF(C58&lt;='SOLLECITAZ NASCOSTO'!$P$11,IF(C58&lt;='SOLLECITAZ NASCOSTO'!$P$10,IF(C58&lt;='SOLLECITAZ NASCOSTO'!$P$9,IF(C58&lt;='SOLLECITAZ NASCOSTO'!$P$8,IF(C58&lt;='SOLLECITAZ NASCOSTO'!$P$7,IF(C58&lt;='SOLLECITAZ NASCOSTO'!$P$6,IF(C58&lt;='SOLLECITAZ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paramento'!$G$111))*(C58-IF(C58&lt;='SOLLECITAZ NASCOSTO'!$P$12,IF(C58&lt;='SOLLECITAZ NASCOSTO'!$P$11,IF(C58&lt;='SOLLECITAZ NASCOSTO'!$P$10,IF(C58&lt;='SOLLECITAZ NASCOSTO'!$P$9,IF(C58&lt;='SOLLECITAZ NASCOSTO'!$P$8,IF(C58&lt;='SOLLECITAZ NASCOSTO'!$P$7,IF(C58&lt;='SOLLECITAZ NASCOSTO'!$P$6,IF(C58&lt;='SOLLECITAZ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NASCOSTO'!$P$12))/IF(C58&lt;='SOLLECITAZ NASCOSTO'!$P$12,IF(C58&lt;='SOLLECITAZ NASCOSTO'!$P$11,IF(C58&lt;='SOLLECITAZ NASCOSTO'!$P$10,IF(C58&lt;='SOLLECITAZ NASCOSTO'!$P$9,IF(C58&lt;='SOLLECITAZ NASCOSTO'!$P$8,IF(C58&lt;='SOLLECITAZ NASCOSTO'!$P$7,IF(C58&lt;='SOLLECITAZ NASCOSTO'!$P$6,IF(C58&lt;='SOLLECITAZ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paramento'!$C$111)+IF(C58&lt;='SOLLECITAZ NASCOSTO'!$P$12,IF(C58&lt;='SOLLECITAZ NASCOSTO'!$P$11,IF(C58&lt;='SOLLECITAZ NASCOSTO'!$P$10,IF(C58&lt;='SOLLECITAZ NASCOSTO'!$P$9,IF(C58&lt;='SOLLECITAZ NASCOSTO'!$P$8,IF(C58&lt;='SOLLECITAZ NASCOSTO'!$P$7,IF(C58&lt;='SOLLECITAZ NASCOSTO'!$P$6,IF(C58&lt;='SOLLECITAZ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20.183542340374689</v>
      </c>
      <c r="O59" s="41">
        <f>IF(C59&lt;='SOLLECITAZ NASCOSTO'!$P$12,IF(C59&lt;='SOLLECITAZ NASCOSTO'!$P$11,IF(C59&lt;='SOLLECITAZ NASCOSTO'!$P$10,IF(C59&lt;='SOLLECITAZ NASCOSTO'!$P$9,IF(C59&lt;='SOLLECITAZ NASCOSTO'!$P$8,IF(C59&lt;='SOLLECITAZ NASCOSTO'!$P$7,IF(C59&lt;='SOLLECITAZ NASCOSTO'!$P$6,IF(C59&lt;='SOLLECITAZ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paramento'!$G$110),55555)*(C59-C58)/IF(C59&lt;='SOLLECITAZ NASCOSTO'!$P$12,IF(C59&lt;='SOLLECITAZ NASCOSTO'!$P$11,IF(C59&lt;='SOLLECITAZ NASCOSTO'!$P$10,IF(C59&lt;='SOLLECITAZ NASCOSTO'!$P$9,IF(C59&lt;='SOLLECITAZ NASCOSTO'!$P$8,IF(C59&lt;='SOLLECITAZ NASCOSTO'!$P$7,IF(C59&lt;='SOLLECITAZ NASCOSTO'!$P$6,IF(C59&lt;='SOLLECITAZ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59" s="41">
        <f t="shared" si="21"/>
        <v>2.6000000000000009E-5</v>
      </c>
      <c r="Q59" s="41">
        <f t="shared" si="19"/>
        <v>1</v>
      </c>
      <c r="R59" s="434">
        <f t="shared" si="10"/>
        <v>0.29414822834385523</v>
      </c>
      <c r="S59" s="45">
        <f t="shared" si="20"/>
        <v>0.29414822834385523</v>
      </c>
      <c r="T59" s="205">
        <f t="shared" si="14"/>
        <v>4.5320615922608809</v>
      </c>
      <c r="U59" s="45">
        <f t="shared" si="17"/>
        <v>4.9878731912185481</v>
      </c>
      <c r="V59" s="45">
        <f t="shared" si="18"/>
        <v>-0.68340532443266166</v>
      </c>
      <c r="W59" s="488"/>
    </row>
    <row r="60" spans="1:40" s="421" customFormat="1" x14ac:dyDescent="0.25">
      <c r="A60" s="581">
        <f t="shared" si="11"/>
        <v>0.13052301373364517</v>
      </c>
      <c r="B60" s="31">
        <f t="shared" si="12"/>
        <v>28</v>
      </c>
      <c r="C60" s="434">
        <f>'SOLLECITAZ NASCOSTO'!$D$6/'SOLLECITAZ NASCOSTO'!$B$448*'SOLLECITAZ NASCOSTO'!B60</f>
        <v>0.30504260717140547</v>
      </c>
      <c r="D60" s="128">
        <f t="shared" si="15"/>
        <v>0.25052301373364516</v>
      </c>
      <c r="E60" s="128">
        <f t="shared" si="4"/>
        <v>0.13052301373364517</v>
      </c>
      <c r="F60" s="128">
        <f t="shared" si="5"/>
        <v>0.34176736439476646</v>
      </c>
      <c r="G60" s="128">
        <f t="shared" si="6"/>
        <v>2.5737884865630105E-2</v>
      </c>
      <c r="H60" s="128">
        <f t="shared" si="7"/>
        <v>0</v>
      </c>
      <c r="I60" s="128">
        <v>0</v>
      </c>
      <c r="J60" s="127">
        <f t="shared" si="8"/>
        <v>7.5308199515214544E-2</v>
      </c>
      <c r="K60" s="126">
        <f t="shared" si="9"/>
        <v>9.9455507150879655E-4</v>
      </c>
      <c r="L60" s="41">
        <f t="shared" si="16"/>
        <v>5.2119784810227383</v>
      </c>
      <c r="M60" s="41">
        <f t="shared" si="13"/>
        <v>-0.73896584848377078</v>
      </c>
      <c r="N60" s="41">
        <f>(IF(C59&lt;='SOLLECITAZ NASCOSTO'!$P$12,IF(C59&lt;='SOLLECITAZ NASCOSTO'!$P$11,IF(C59&lt;='SOLLECITAZ NASCOSTO'!$P$10,IF(C59&lt;='SOLLECITAZ NASCOSTO'!$P$9,IF(C59&lt;='SOLLECITAZ NASCOSTO'!$P$8,IF(C59&lt;='SOLLECITAZ NASCOSTO'!$P$7,IF(C59&lt;='SOLLECITAZ NASCOSTO'!$P$6,IF(C59&lt;='SOLLECITAZ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paramento'!$G$111),55555)-IF(C59&lt;='SOLLECITAZ NASCOSTO'!$P$12,IF(C59&lt;='SOLLECITAZ NASCOSTO'!$P$11,IF(C59&lt;='SOLLECITAZ NASCOSTO'!$P$10,IF(C59&lt;='SOLLECITAZ NASCOSTO'!$P$9,IF(C59&lt;='SOLLECITAZ NASCOSTO'!$P$8,IF(C59&lt;='SOLLECITAZ NASCOSTO'!$P$7,IF(C59&lt;='SOLLECITAZ NASCOSTO'!$P$6,IF(C59&lt;='SOLLECITAZ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paramento'!$G$111))*(C59-IF(C59&lt;='SOLLECITAZ NASCOSTO'!$P$12,IF(C59&lt;='SOLLECITAZ NASCOSTO'!$P$11,IF(C59&lt;='SOLLECITAZ NASCOSTO'!$P$10,IF(C59&lt;='SOLLECITAZ NASCOSTO'!$P$9,IF(C59&lt;='SOLLECITAZ NASCOSTO'!$P$8,IF(C59&lt;='SOLLECITAZ NASCOSTO'!$P$7,IF(C59&lt;='SOLLECITAZ NASCOSTO'!$P$6,IF(C59&lt;='SOLLECITAZ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NASCOSTO'!$P$12))/IF(C59&lt;='SOLLECITAZ NASCOSTO'!$P$12,IF(C59&lt;='SOLLECITAZ NASCOSTO'!$P$11,IF(C59&lt;='SOLLECITAZ NASCOSTO'!$P$10,IF(C59&lt;='SOLLECITAZ NASCOSTO'!$P$9,IF(C59&lt;='SOLLECITAZ NASCOSTO'!$P$8,IF(C59&lt;='SOLLECITAZ NASCOSTO'!$P$7,IF(C59&lt;='SOLLECITAZ NASCOSTO'!$P$6,IF(C59&lt;='SOLLECITAZ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paramento'!$C$111)+IF(C59&lt;='SOLLECITAZ NASCOSTO'!$P$12,IF(C59&lt;='SOLLECITAZ NASCOSTO'!$P$11,IF(C59&lt;='SOLLECITAZ NASCOSTO'!$P$10,IF(C59&lt;='SOLLECITAZ NASCOSTO'!$P$9,IF(C59&lt;='SOLLECITAZ NASCOSTO'!$P$8,IF(C59&lt;='SOLLECITAZ NASCOSTO'!$P$7,IF(C59&lt;='SOLLECITAZ NASCOSTO'!$P$6,IF(C59&lt;='SOLLECITAZ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20.441665269824092</v>
      </c>
      <c r="O60" s="41">
        <f>IF(C60&lt;='SOLLECITAZ NASCOSTO'!$P$12,IF(C60&lt;='SOLLECITAZ NASCOSTO'!$P$11,IF(C60&lt;='SOLLECITAZ NASCOSTO'!$P$10,IF(C60&lt;='SOLLECITAZ NASCOSTO'!$P$9,IF(C60&lt;='SOLLECITAZ NASCOSTO'!$P$8,IF(C60&lt;='SOLLECITAZ NASCOSTO'!$P$7,IF(C60&lt;='SOLLECITAZ NASCOSTO'!$P$6,IF(C60&lt;='SOLLECITAZ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paramento'!$G$110),55555)*(C60-C59)/IF(C60&lt;='SOLLECITAZ NASCOSTO'!$P$12,IF(C60&lt;='SOLLECITAZ NASCOSTO'!$P$11,IF(C60&lt;='SOLLECITAZ NASCOSTO'!$P$10,IF(C60&lt;='SOLLECITAZ NASCOSTO'!$P$9,IF(C60&lt;='SOLLECITAZ NASCOSTO'!$P$8,IF(C60&lt;='SOLLECITAZ NASCOSTO'!$P$7,IF(C60&lt;='SOLLECITAZ NASCOSTO'!$P$6,IF(C60&lt;='SOLLECITAZ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0.25812292944940674</v>
      </c>
      <c r="P60" s="41">
        <f t="shared" si="21"/>
        <v>2.7000000000000009E-5</v>
      </c>
      <c r="Q60" s="41">
        <f t="shared" si="19"/>
        <v>1</v>
      </c>
      <c r="R60" s="434">
        <f t="shared" si="10"/>
        <v>0.30504260717140547</v>
      </c>
      <c r="S60" s="45">
        <f t="shared" si="20"/>
        <v>0.30504260717140547</v>
      </c>
      <c r="T60" s="205">
        <f t="shared" si="14"/>
        <v>4.5320615922608809</v>
      </c>
      <c r="U60" s="45">
        <f t="shared" si="17"/>
        <v>5.2119784810227383</v>
      </c>
      <c r="V60" s="45">
        <f t="shared" si="18"/>
        <v>-0.73896584848377078</v>
      </c>
      <c r="W60" s="488"/>
    </row>
    <row r="61" spans="1:40" s="421" customFormat="1" x14ac:dyDescent="0.25">
      <c r="A61" s="581">
        <f t="shared" si="11"/>
        <v>0.13209385648175431</v>
      </c>
      <c r="B61" s="31">
        <f t="shared" si="12"/>
        <v>29</v>
      </c>
      <c r="C61" s="434">
        <f>'SOLLECITAZ NASCOSTO'!$D$6/'SOLLECITAZ NASCOSTO'!$B$448*'SOLLECITAZ NASCOSTO'!B61</f>
        <v>0.31593698599895564</v>
      </c>
      <c r="D61" s="128">
        <f t="shared" si="15"/>
        <v>0.25209385648175431</v>
      </c>
      <c r="E61" s="128">
        <f t="shared" si="4"/>
        <v>0.13209385648175431</v>
      </c>
      <c r="F61" s="128">
        <f t="shared" si="5"/>
        <v>0.34227003407416134</v>
      </c>
      <c r="G61" s="128">
        <f t="shared" si="6"/>
        <v>2.5864209996134934E-2</v>
      </c>
      <c r="H61" s="128">
        <f t="shared" si="7"/>
        <v>0</v>
      </c>
      <c r="I61" s="128">
        <v>0</v>
      </c>
      <c r="J61" s="127">
        <f t="shared" si="8"/>
        <v>7.5566679584140303E-2</v>
      </c>
      <c r="K61" s="126">
        <f t="shared" si="9"/>
        <v>1.0101030448198059E-3</v>
      </c>
      <c r="L61" s="41">
        <f t="shared" si="16"/>
        <v>5.4388958598044264</v>
      </c>
      <c r="M61" s="41">
        <f t="shared" si="13"/>
        <v>-0.7969831784405732</v>
      </c>
      <c r="N61" s="41">
        <f>(IF(C60&lt;='SOLLECITAZ NASCOSTO'!$P$12,IF(C60&lt;='SOLLECITAZ NASCOSTO'!$P$11,IF(C60&lt;='SOLLECITAZ NASCOSTO'!$P$10,IF(C60&lt;='SOLLECITAZ NASCOSTO'!$P$9,IF(C60&lt;='SOLLECITAZ NASCOSTO'!$P$8,IF(C60&lt;='SOLLECITAZ NASCOSTO'!$P$7,IF(C60&lt;='SOLLECITAZ NASCOSTO'!$P$6,IF(C60&lt;='SOLLECITAZ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paramento'!$G$111),55555)-IF(C60&lt;='SOLLECITAZ NASCOSTO'!$P$12,IF(C60&lt;='SOLLECITAZ NASCOSTO'!$P$11,IF(C60&lt;='SOLLECITAZ NASCOSTO'!$P$10,IF(C60&lt;='SOLLECITAZ NASCOSTO'!$P$9,IF(C60&lt;='SOLLECITAZ NASCOSTO'!$P$8,IF(C60&lt;='SOLLECITAZ NASCOSTO'!$P$7,IF(C60&lt;='SOLLECITAZ NASCOSTO'!$P$6,IF(C60&lt;='SOLLECITAZ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paramento'!$G$111))*(C60-IF(C60&lt;='SOLLECITAZ NASCOSTO'!$P$12,IF(C60&lt;='SOLLECITAZ NASCOSTO'!$P$11,IF(C60&lt;='SOLLECITAZ NASCOSTO'!$P$10,IF(C60&lt;='SOLLECITAZ NASCOSTO'!$P$9,IF(C60&lt;='SOLLECITAZ NASCOSTO'!$P$8,IF(C60&lt;='SOLLECITAZ NASCOSTO'!$P$7,IF(C60&lt;='SOLLECITAZ NASCOSTO'!$P$6,IF(C60&lt;='SOLLECITAZ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NASCOSTO'!$P$12))/IF(C60&lt;='SOLLECITAZ NASCOSTO'!$P$12,IF(C60&lt;='SOLLECITAZ NASCOSTO'!$P$11,IF(C60&lt;='SOLLECITAZ NASCOSTO'!$P$10,IF(C60&lt;='SOLLECITAZ NASCOSTO'!$P$9,IF(C60&lt;='SOLLECITAZ NASCOSTO'!$P$8,IF(C60&lt;='SOLLECITAZ NASCOSTO'!$P$7,IF(C60&lt;='SOLLECITAZ NASCOSTO'!$P$6,IF(C60&lt;='SOLLECITAZ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paramento'!$C$111)+IF(C60&lt;='SOLLECITAZ NASCOSTO'!$P$12,IF(C60&lt;='SOLLECITAZ NASCOSTO'!$P$11,IF(C60&lt;='SOLLECITAZ NASCOSTO'!$P$10,IF(C60&lt;='SOLLECITAZ NASCOSTO'!$P$9,IF(C60&lt;='SOLLECITAZ NASCOSTO'!$P$8,IF(C60&lt;='SOLLECITAZ NASCOSTO'!$P$7,IF(C60&lt;='SOLLECITAZ NASCOSTO'!$P$6,IF(C60&lt;='SOLLECITAZ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20.699788199273499</v>
      </c>
      <c r="O61" s="41">
        <f>IF(C61&lt;='SOLLECITAZ NASCOSTO'!$P$12,IF(C61&lt;='SOLLECITAZ NASCOSTO'!$P$11,IF(C61&lt;='SOLLECITAZ NASCOSTO'!$P$10,IF(C61&lt;='SOLLECITAZ NASCOSTO'!$P$9,IF(C61&lt;='SOLLECITAZ NASCOSTO'!$P$8,IF(C61&lt;='SOLLECITAZ NASCOSTO'!$P$7,IF(C61&lt;='SOLLECITAZ NASCOSTO'!$P$6,IF(C61&lt;='SOLLECITAZ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paramento'!$G$110),55555)*(C61-C60)/IF(C61&lt;='SOLLECITAZ NASCOSTO'!$P$12,IF(C61&lt;='SOLLECITAZ NASCOSTO'!$P$11,IF(C61&lt;='SOLLECITAZ NASCOSTO'!$P$10,IF(C61&lt;='SOLLECITAZ NASCOSTO'!$P$9,IF(C61&lt;='SOLLECITAZ NASCOSTO'!$P$8,IF(C61&lt;='SOLLECITAZ NASCOSTO'!$P$7,IF(C61&lt;='SOLLECITAZ NASCOSTO'!$P$6,IF(C61&lt;='SOLLECITAZ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61" s="41">
        <f t="shared" si="21"/>
        <v>2.800000000000001E-5</v>
      </c>
      <c r="Q61" s="41">
        <f t="shared" si="19"/>
        <v>1</v>
      </c>
      <c r="R61" s="434">
        <f t="shared" si="10"/>
        <v>0.31593698599895564</v>
      </c>
      <c r="S61" s="45">
        <f t="shared" si="20"/>
        <v>0.31593698599895564</v>
      </c>
      <c r="T61" s="205">
        <f t="shared" si="14"/>
        <v>4.5320615922608809</v>
      </c>
      <c r="U61" s="45">
        <f t="shared" si="17"/>
        <v>5.4388958598044264</v>
      </c>
      <c r="V61" s="45">
        <f t="shared" si="18"/>
        <v>-0.7969831784405732</v>
      </c>
      <c r="W61" s="488"/>
    </row>
    <row r="62" spans="1:40" s="421" customFormat="1" x14ac:dyDescent="0.25">
      <c r="A62" s="581">
        <f t="shared" si="11"/>
        <v>0.13366469922986352</v>
      </c>
      <c r="B62" s="31">
        <f>B61+1</f>
        <v>30</v>
      </c>
      <c r="C62" s="434">
        <f>'SOLLECITAZ NASCOSTO'!$D$6/'SOLLECITAZ NASCOSTO'!$B$448*'SOLLECITAZ NASCOSTO'!B62</f>
        <v>0.32683136482650582</v>
      </c>
      <c r="D62" s="128">
        <f t="shared" si="15"/>
        <v>0.25366469922986351</v>
      </c>
      <c r="E62" s="128">
        <f t="shared" si="4"/>
        <v>0.13366469922986352</v>
      </c>
      <c r="F62" s="128">
        <f t="shared" si="5"/>
        <v>0.34277270375355628</v>
      </c>
      <c r="G62" s="128">
        <f t="shared" si="6"/>
        <v>2.5991324741660337E-2</v>
      </c>
      <c r="H62" s="128">
        <f t="shared" si="7"/>
        <v>0</v>
      </c>
      <c r="I62" s="128">
        <v>0</v>
      </c>
      <c r="J62" s="127">
        <f t="shared" si="8"/>
        <v>7.582670515195794E-2</v>
      </c>
      <c r="K62" s="126">
        <f t="shared" si="9"/>
        <v>1.0258837850166938E-3</v>
      </c>
      <c r="L62" s="41">
        <f t="shared" si="16"/>
        <v>5.6686253275636131</v>
      </c>
      <c r="M62" s="41">
        <f t="shared" si="13"/>
        <v>-0.85748795026568692</v>
      </c>
      <c r="N62" s="41">
        <f>(IF(C61&lt;='SOLLECITAZ NASCOSTO'!$P$12,IF(C61&lt;='SOLLECITAZ NASCOSTO'!$P$11,IF(C61&lt;='SOLLECITAZ NASCOSTO'!$P$10,IF(C61&lt;='SOLLECITAZ NASCOSTO'!$P$9,IF(C61&lt;='SOLLECITAZ NASCOSTO'!$P$8,IF(C61&lt;='SOLLECITAZ NASCOSTO'!$P$7,IF(C61&lt;='SOLLECITAZ NASCOSTO'!$P$6,IF(C61&lt;='SOLLECITAZ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paramento'!$G$111),55555)-IF(C61&lt;='SOLLECITAZ NASCOSTO'!$P$12,IF(C61&lt;='SOLLECITAZ NASCOSTO'!$P$11,IF(C61&lt;='SOLLECITAZ NASCOSTO'!$P$10,IF(C61&lt;='SOLLECITAZ NASCOSTO'!$P$9,IF(C61&lt;='SOLLECITAZ NASCOSTO'!$P$8,IF(C61&lt;='SOLLECITAZ NASCOSTO'!$P$7,IF(C61&lt;='SOLLECITAZ NASCOSTO'!$P$6,IF(C61&lt;='SOLLECITAZ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paramento'!$G$111))*(C61-IF(C61&lt;='SOLLECITAZ NASCOSTO'!$P$12,IF(C61&lt;='SOLLECITAZ NASCOSTO'!$P$11,IF(C61&lt;='SOLLECITAZ NASCOSTO'!$P$10,IF(C61&lt;='SOLLECITAZ NASCOSTO'!$P$9,IF(C61&lt;='SOLLECITAZ NASCOSTO'!$P$8,IF(C61&lt;='SOLLECITAZ NASCOSTO'!$P$7,IF(C61&lt;='SOLLECITAZ NASCOSTO'!$P$6,IF(C61&lt;='SOLLECITAZ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NASCOSTO'!$P$12))/IF(C61&lt;='SOLLECITAZ NASCOSTO'!$P$12,IF(C61&lt;='SOLLECITAZ NASCOSTO'!$P$11,IF(C61&lt;='SOLLECITAZ NASCOSTO'!$P$10,IF(C61&lt;='SOLLECITAZ NASCOSTO'!$P$9,IF(C61&lt;='SOLLECITAZ NASCOSTO'!$P$8,IF(C61&lt;='SOLLECITAZ NASCOSTO'!$P$7,IF(C61&lt;='SOLLECITAZ NASCOSTO'!$P$6,IF(C61&lt;='SOLLECITAZ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paramento'!$C$111)+IF(C61&lt;='SOLLECITAZ NASCOSTO'!$P$12,IF(C61&lt;='SOLLECITAZ NASCOSTO'!$P$11,IF(C61&lt;='SOLLECITAZ NASCOSTO'!$P$10,IF(C61&lt;='SOLLECITAZ NASCOSTO'!$P$9,IF(C61&lt;='SOLLECITAZ NASCOSTO'!$P$8,IF(C61&lt;='SOLLECITAZ NASCOSTO'!$P$7,IF(C61&lt;='SOLLECITAZ NASCOSTO'!$P$6,IF(C61&lt;='SOLLECITAZ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20.957911128722905</v>
      </c>
      <c r="O62" s="41">
        <f>IF(C62&lt;='SOLLECITAZ NASCOSTO'!$P$12,IF(C62&lt;='SOLLECITAZ NASCOSTO'!$P$11,IF(C62&lt;='SOLLECITAZ NASCOSTO'!$P$10,IF(C62&lt;='SOLLECITAZ NASCOSTO'!$P$9,IF(C62&lt;='SOLLECITAZ NASCOSTO'!$P$8,IF(C62&lt;='SOLLECITAZ NASCOSTO'!$P$7,IF(C62&lt;='SOLLECITAZ NASCOSTO'!$P$6,IF(C62&lt;='SOLLECITAZ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paramento'!$G$110),55555)*(C62-C61)/IF(C62&lt;='SOLLECITAZ NASCOSTO'!$P$12,IF(C62&lt;='SOLLECITAZ NASCOSTO'!$P$11,IF(C62&lt;='SOLLECITAZ NASCOSTO'!$P$10,IF(C62&lt;='SOLLECITAZ NASCOSTO'!$P$9,IF(C62&lt;='SOLLECITAZ NASCOSTO'!$P$8,IF(C62&lt;='SOLLECITAZ NASCOSTO'!$P$7,IF(C62&lt;='SOLLECITAZ NASCOSTO'!$P$6,IF(C62&lt;='SOLLECITAZ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62" s="41">
        <f t="shared" si="21"/>
        <v>2.900000000000001E-5</v>
      </c>
      <c r="Q62" s="41">
        <f t="shared" si="19"/>
        <v>1</v>
      </c>
      <c r="R62" s="434">
        <f t="shared" si="10"/>
        <v>0.32683136482650582</v>
      </c>
      <c r="S62" s="45">
        <f t="shared" si="20"/>
        <v>0.32683136482650582</v>
      </c>
      <c r="T62" s="205">
        <f t="shared" si="14"/>
        <v>4.5320615922608809</v>
      </c>
      <c r="U62" s="45">
        <f t="shared" si="17"/>
        <v>5.6686253275636131</v>
      </c>
      <c r="V62" s="45">
        <f t="shared" si="18"/>
        <v>-0.85748795026568692</v>
      </c>
      <c r="W62" s="488"/>
    </row>
    <row r="63" spans="1:40" s="421" customFormat="1" x14ac:dyDescent="0.25">
      <c r="A63" s="581">
        <f t="shared" si="11"/>
        <v>0.13523554197797266</v>
      </c>
      <c r="B63" s="31">
        <f t="shared" ref="B63:B126" si="22">B62+1</f>
        <v>31</v>
      </c>
      <c r="C63" s="434">
        <f>'SOLLECITAZ NASCOSTO'!$D$6/'SOLLECITAZ NASCOSTO'!$B$448*'SOLLECITAZ NASCOSTO'!B63</f>
        <v>0.33772574365405605</v>
      </c>
      <c r="D63" s="434">
        <f t="shared" si="15"/>
        <v>0.25523554197797266</v>
      </c>
      <c r="E63" s="434">
        <f t="shared" si="4"/>
        <v>0.13523554197797266</v>
      </c>
      <c r="F63" s="434">
        <f t="shared" si="5"/>
        <v>0.34327537343295123</v>
      </c>
      <c r="G63" s="434">
        <f t="shared" si="6"/>
        <v>2.611922910220631E-2</v>
      </c>
      <c r="H63" s="434">
        <f t="shared" ref="H63:H126" si="23">I63*F63</f>
        <v>0</v>
      </c>
      <c r="I63" s="434">
        <v>0</v>
      </c>
      <c r="J63" s="127">
        <f t="shared" ref="J63:J126" si="24">G63/F63</f>
        <v>7.6088269429289354E-2</v>
      </c>
      <c r="K63" s="126">
        <f t="shared" si="9"/>
        <v>1.0418987448274609E-3</v>
      </c>
      <c r="L63" s="41">
        <f t="shared" ref="L63:L126" si="25">L62+N63*(C63-C62)+O63*(C63-C62)/2</f>
        <v>5.9011668843003005</v>
      </c>
      <c r="M63" s="41">
        <f t="shared" ref="M63:M126" si="26">M62-(L63+L62)*(C63-C62)/2</f>
        <v>-0.92051079992172979</v>
      </c>
      <c r="N63" s="41">
        <f>(IF(C62&lt;='SOLLECITAZ NASCOSTO'!$P$12,IF(C62&lt;='SOLLECITAZ NASCOSTO'!$P$11,IF(C62&lt;='SOLLECITAZ NASCOSTO'!$P$10,IF(C62&lt;='SOLLECITAZ NASCOSTO'!$P$9,IF(C62&lt;='SOLLECITAZ NASCOSTO'!$P$8,IF(C62&lt;='SOLLECITAZ NASCOSTO'!$P$7,IF(C62&lt;='SOLLECITAZ NASCOSTO'!$P$6,IF(C62&lt;='SOLLECITAZ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paramento'!$G$111),55555)-IF(C62&lt;='SOLLECITAZ NASCOSTO'!$P$12,IF(C62&lt;='SOLLECITAZ NASCOSTO'!$P$11,IF(C62&lt;='SOLLECITAZ NASCOSTO'!$P$10,IF(C62&lt;='SOLLECITAZ NASCOSTO'!$P$9,IF(C62&lt;='SOLLECITAZ NASCOSTO'!$P$8,IF(C62&lt;='SOLLECITAZ NASCOSTO'!$P$7,IF(C62&lt;='SOLLECITAZ NASCOSTO'!$P$6,IF(C62&lt;='SOLLECITAZ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paramento'!$G$111))*(C62-IF(C62&lt;='SOLLECITAZ NASCOSTO'!$P$12,IF(C62&lt;='SOLLECITAZ NASCOSTO'!$P$11,IF(C62&lt;='SOLLECITAZ NASCOSTO'!$P$10,IF(C62&lt;='SOLLECITAZ NASCOSTO'!$P$9,IF(C62&lt;='SOLLECITAZ NASCOSTO'!$P$8,IF(C62&lt;='SOLLECITAZ NASCOSTO'!$P$7,IF(C62&lt;='SOLLECITAZ NASCOSTO'!$P$6,IF(C62&lt;='SOLLECITAZ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NASCOSTO'!$P$12))/IF(C62&lt;='SOLLECITAZ NASCOSTO'!$P$12,IF(C62&lt;='SOLLECITAZ NASCOSTO'!$P$11,IF(C62&lt;='SOLLECITAZ NASCOSTO'!$P$10,IF(C62&lt;='SOLLECITAZ NASCOSTO'!$P$9,IF(C62&lt;='SOLLECITAZ NASCOSTO'!$P$8,IF(C62&lt;='SOLLECITAZ NASCOSTO'!$P$7,IF(C62&lt;='SOLLECITAZ NASCOSTO'!$P$6,IF(C62&lt;='SOLLECITAZ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paramento'!$C$111)+IF(C62&lt;='SOLLECITAZ NASCOSTO'!$P$12,IF(C62&lt;='SOLLECITAZ NASCOSTO'!$P$11,IF(C62&lt;='SOLLECITAZ NASCOSTO'!$P$10,IF(C62&lt;='SOLLECITAZ NASCOSTO'!$P$9,IF(C62&lt;='SOLLECITAZ NASCOSTO'!$P$8,IF(C62&lt;='SOLLECITAZ NASCOSTO'!$P$7,IF(C62&lt;='SOLLECITAZ NASCOSTO'!$P$6,IF(C62&lt;='SOLLECITAZ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21.216034058172312</v>
      </c>
      <c r="O63" s="41">
        <f>IF(C63&lt;='SOLLECITAZ NASCOSTO'!$P$12,IF(C63&lt;='SOLLECITAZ NASCOSTO'!$P$11,IF(C63&lt;='SOLLECITAZ NASCOSTO'!$P$10,IF(C63&lt;='SOLLECITAZ NASCOSTO'!$P$9,IF(C63&lt;='SOLLECITAZ NASCOSTO'!$P$8,IF(C63&lt;='SOLLECITAZ NASCOSTO'!$P$7,IF(C63&lt;='SOLLECITAZ NASCOSTO'!$P$6,IF(C63&lt;='SOLLECITAZ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paramento'!$G$110),55555)*(C63-C62)/IF(C63&lt;='SOLLECITAZ NASCOSTO'!$P$12,IF(C63&lt;='SOLLECITAZ NASCOSTO'!$P$11,IF(C63&lt;='SOLLECITAZ NASCOSTO'!$P$10,IF(C63&lt;='SOLLECITAZ NASCOSTO'!$P$9,IF(C63&lt;='SOLLECITAZ NASCOSTO'!$P$8,IF(C63&lt;='SOLLECITAZ NASCOSTO'!$P$7,IF(C63&lt;='SOLLECITAZ NASCOSTO'!$P$6,IF(C63&lt;='SOLLECITAZ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0.25812292944940674</v>
      </c>
      <c r="P63" s="41">
        <f t="shared" si="21"/>
        <v>3.0000000000000011E-5</v>
      </c>
      <c r="Q63" s="41">
        <f t="shared" si="19"/>
        <v>1</v>
      </c>
      <c r="R63" s="434">
        <f t="shared" si="10"/>
        <v>0.33772574365405605</v>
      </c>
      <c r="S63" s="45">
        <f t="shared" si="20"/>
        <v>0.33772574365405605</v>
      </c>
      <c r="T63" s="205">
        <f t="shared" si="14"/>
        <v>4.5320615922608809</v>
      </c>
      <c r="U63" s="45">
        <f t="shared" si="17"/>
        <v>5.9011668843003005</v>
      </c>
      <c r="V63" s="45">
        <f t="shared" si="18"/>
        <v>-0.92051079992172979</v>
      </c>
      <c r="W63" s="488"/>
    </row>
    <row r="64" spans="1:40" s="421" customFormat="1" x14ac:dyDescent="0.25">
      <c r="A64" s="581">
        <f t="shared" si="11"/>
        <v>0.13680638472608181</v>
      </c>
      <c r="B64" s="31">
        <f t="shared" si="22"/>
        <v>32</v>
      </c>
      <c r="C64" s="434">
        <f>'SOLLECITAZ NASCOSTO'!$D$6/'SOLLECITAZ NASCOSTO'!$B$448*'SOLLECITAZ NASCOSTO'!B64</f>
        <v>0.34862012248160623</v>
      </c>
      <c r="D64" s="434">
        <f t="shared" si="15"/>
        <v>0.2568063847260818</v>
      </c>
      <c r="E64" s="434">
        <f t="shared" si="4"/>
        <v>0.13680638472608181</v>
      </c>
      <c r="F64" s="434">
        <f t="shared" si="5"/>
        <v>0.34377804311234617</v>
      </c>
      <c r="G64" s="434">
        <f t="shared" si="6"/>
        <v>2.6247923077772854E-2</v>
      </c>
      <c r="H64" s="434">
        <f t="shared" si="23"/>
        <v>0</v>
      </c>
      <c r="I64" s="434">
        <v>0</v>
      </c>
      <c r="J64" s="127">
        <f t="shared" si="24"/>
        <v>7.6351365666465998E-2</v>
      </c>
      <c r="K64" s="126">
        <f t="shared" si="9"/>
        <v>1.0581493721107313E-3</v>
      </c>
      <c r="L64" s="41">
        <f t="shared" si="25"/>
        <v>6.1365205300144847</v>
      </c>
      <c r="M64" s="41">
        <f t="shared" si="26"/>
        <v>-0.98608236337131894</v>
      </c>
      <c r="N64" s="41">
        <f>(IF(C63&lt;='SOLLECITAZ NASCOSTO'!$P$12,IF(C63&lt;='SOLLECITAZ NASCOSTO'!$P$11,IF(C63&lt;='SOLLECITAZ NASCOSTO'!$P$10,IF(C63&lt;='SOLLECITAZ NASCOSTO'!$P$9,IF(C63&lt;='SOLLECITAZ NASCOSTO'!$P$8,IF(C63&lt;='SOLLECITAZ NASCOSTO'!$P$7,IF(C63&lt;='SOLLECITAZ NASCOSTO'!$P$6,IF(C63&lt;='SOLLECITAZ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paramento'!$G$111),55555)-IF(C63&lt;='SOLLECITAZ NASCOSTO'!$P$12,IF(C63&lt;='SOLLECITAZ NASCOSTO'!$P$11,IF(C63&lt;='SOLLECITAZ NASCOSTO'!$P$10,IF(C63&lt;='SOLLECITAZ NASCOSTO'!$P$9,IF(C63&lt;='SOLLECITAZ NASCOSTO'!$P$8,IF(C63&lt;='SOLLECITAZ NASCOSTO'!$P$7,IF(C63&lt;='SOLLECITAZ NASCOSTO'!$P$6,IF(C63&lt;='SOLLECITAZ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paramento'!$G$111))*(C63-IF(C63&lt;='SOLLECITAZ NASCOSTO'!$P$12,IF(C63&lt;='SOLLECITAZ NASCOSTO'!$P$11,IF(C63&lt;='SOLLECITAZ NASCOSTO'!$P$10,IF(C63&lt;='SOLLECITAZ NASCOSTO'!$P$9,IF(C63&lt;='SOLLECITAZ NASCOSTO'!$P$8,IF(C63&lt;='SOLLECITAZ NASCOSTO'!$P$7,IF(C63&lt;='SOLLECITAZ NASCOSTO'!$P$6,IF(C63&lt;='SOLLECITAZ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NASCOSTO'!$P$12))/IF(C63&lt;='SOLLECITAZ NASCOSTO'!$P$12,IF(C63&lt;='SOLLECITAZ NASCOSTO'!$P$11,IF(C63&lt;='SOLLECITAZ NASCOSTO'!$P$10,IF(C63&lt;='SOLLECITAZ NASCOSTO'!$P$9,IF(C63&lt;='SOLLECITAZ NASCOSTO'!$P$8,IF(C63&lt;='SOLLECITAZ NASCOSTO'!$P$7,IF(C63&lt;='SOLLECITAZ NASCOSTO'!$P$6,IF(C63&lt;='SOLLECITAZ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paramento'!$C$111)+IF(C63&lt;='SOLLECITAZ NASCOSTO'!$P$12,IF(C63&lt;='SOLLECITAZ NASCOSTO'!$P$11,IF(C63&lt;='SOLLECITAZ NASCOSTO'!$P$10,IF(C63&lt;='SOLLECITAZ NASCOSTO'!$P$9,IF(C63&lt;='SOLLECITAZ NASCOSTO'!$P$8,IF(C63&lt;='SOLLECITAZ NASCOSTO'!$P$7,IF(C63&lt;='SOLLECITAZ NASCOSTO'!$P$6,IF(C63&lt;='SOLLECITAZ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21.474156987621718</v>
      </c>
      <c r="O64" s="41">
        <f>IF(C64&lt;='SOLLECITAZ NASCOSTO'!$P$12,IF(C64&lt;='SOLLECITAZ NASCOSTO'!$P$11,IF(C64&lt;='SOLLECITAZ NASCOSTO'!$P$10,IF(C64&lt;='SOLLECITAZ NASCOSTO'!$P$9,IF(C64&lt;='SOLLECITAZ NASCOSTO'!$P$8,IF(C64&lt;='SOLLECITAZ NASCOSTO'!$P$7,IF(C64&lt;='SOLLECITAZ NASCOSTO'!$P$6,IF(C64&lt;='SOLLECITAZ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paramento'!$G$110),55555)*(C64-C63)/IF(C64&lt;='SOLLECITAZ NASCOSTO'!$P$12,IF(C64&lt;='SOLLECITAZ NASCOSTO'!$P$11,IF(C64&lt;='SOLLECITAZ NASCOSTO'!$P$10,IF(C64&lt;='SOLLECITAZ NASCOSTO'!$P$9,IF(C64&lt;='SOLLECITAZ NASCOSTO'!$P$8,IF(C64&lt;='SOLLECITAZ NASCOSTO'!$P$7,IF(C64&lt;='SOLLECITAZ NASCOSTO'!$P$6,IF(C64&lt;='SOLLECITAZ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64" s="41">
        <f t="shared" si="21"/>
        <v>3.1000000000000008E-5</v>
      </c>
      <c r="Q64" s="41">
        <f t="shared" si="19"/>
        <v>1</v>
      </c>
      <c r="R64" s="434">
        <f t="shared" si="10"/>
        <v>0.34862012248160623</v>
      </c>
      <c r="S64" s="45">
        <f t="shared" si="20"/>
        <v>0.34862012248160623</v>
      </c>
      <c r="T64" s="205">
        <f t="shared" si="14"/>
        <v>4.5320615922608809</v>
      </c>
      <c r="U64" s="45">
        <f t="shared" si="17"/>
        <v>6.1365205300144847</v>
      </c>
      <c r="V64" s="45">
        <f t="shared" si="18"/>
        <v>-0.98608236337131894</v>
      </c>
      <c r="W64" s="488"/>
    </row>
    <row r="65" spans="1:27" s="421" customFormat="1" x14ac:dyDescent="0.25">
      <c r="A65" s="581">
        <f t="shared" si="11"/>
        <v>0.13837722747419096</v>
      </c>
      <c r="B65" s="31">
        <f t="shared" si="22"/>
        <v>33</v>
      </c>
      <c r="C65" s="434">
        <f>'SOLLECITAZ NASCOSTO'!$D$6/'SOLLECITAZ NASCOSTO'!$B$448*'SOLLECITAZ NASCOSTO'!B65</f>
        <v>0.35951450130915641</v>
      </c>
      <c r="D65" s="434">
        <f t="shared" si="15"/>
        <v>0.25837722747419095</v>
      </c>
      <c r="E65" s="434">
        <f t="shared" si="4"/>
        <v>0.13837722747419096</v>
      </c>
      <c r="F65" s="434">
        <f t="shared" si="5"/>
        <v>0.34428071279174111</v>
      </c>
      <c r="G65" s="434">
        <f t="shared" si="6"/>
        <v>2.6377406668359971E-2</v>
      </c>
      <c r="H65" s="434">
        <f t="shared" si="23"/>
        <v>0</v>
      </c>
      <c r="I65" s="434">
        <v>0</v>
      </c>
      <c r="J65" s="127">
        <f t="shared" si="24"/>
        <v>7.6615987153238904E-2</v>
      </c>
      <c r="K65" s="126">
        <f t="shared" si="9"/>
        <v>1.0746371098912968E-3</v>
      </c>
      <c r="L65" s="41">
        <f t="shared" si="25"/>
        <v>6.3746862647061677</v>
      </c>
      <c r="M65" s="41">
        <f t="shared" si="26"/>
        <v>-1.0542332765770723</v>
      </c>
      <c r="N65" s="41">
        <f>(IF(C64&lt;='SOLLECITAZ NASCOSTO'!$P$12,IF(C64&lt;='SOLLECITAZ NASCOSTO'!$P$11,IF(C64&lt;='SOLLECITAZ NASCOSTO'!$P$10,IF(C64&lt;='SOLLECITAZ NASCOSTO'!$P$9,IF(C64&lt;='SOLLECITAZ NASCOSTO'!$P$8,IF(C64&lt;='SOLLECITAZ NASCOSTO'!$P$7,IF(C64&lt;='SOLLECITAZ NASCOSTO'!$P$6,IF(C64&lt;='SOLLECITAZ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paramento'!$G$111),55555)-IF(C64&lt;='SOLLECITAZ NASCOSTO'!$P$12,IF(C64&lt;='SOLLECITAZ NASCOSTO'!$P$11,IF(C64&lt;='SOLLECITAZ NASCOSTO'!$P$10,IF(C64&lt;='SOLLECITAZ NASCOSTO'!$P$9,IF(C64&lt;='SOLLECITAZ NASCOSTO'!$P$8,IF(C64&lt;='SOLLECITAZ NASCOSTO'!$P$7,IF(C64&lt;='SOLLECITAZ NASCOSTO'!$P$6,IF(C64&lt;='SOLLECITAZ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paramento'!$G$111))*(C64-IF(C64&lt;='SOLLECITAZ NASCOSTO'!$P$12,IF(C64&lt;='SOLLECITAZ NASCOSTO'!$P$11,IF(C64&lt;='SOLLECITAZ NASCOSTO'!$P$10,IF(C64&lt;='SOLLECITAZ NASCOSTO'!$P$9,IF(C64&lt;='SOLLECITAZ NASCOSTO'!$P$8,IF(C64&lt;='SOLLECITAZ NASCOSTO'!$P$7,IF(C64&lt;='SOLLECITAZ NASCOSTO'!$P$6,IF(C64&lt;='SOLLECITAZ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NASCOSTO'!$P$12))/IF(C64&lt;='SOLLECITAZ NASCOSTO'!$P$12,IF(C64&lt;='SOLLECITAZ NASCOSTO'!$P$11,IF(C64&lt;='SOLLECITAZ NASCOSTO'!$P$10,IF(C64&lt;='SOLLECITAZ NASCOSTO'!$P$9,IF(C64&lt;='SOLLECITAZ NASCOSTO'!$P$8,IF(C64&lt;='SOLLECITAZ NASCOSTO'!$P$7,IF(C64&lt;='SOLLECITAZ NASCOSTO'!$P$6,IF(C64&lt;='SOLLECITAZ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paramento'!$C$111)+IF(C64&lt;='SOLLECITAZ NASCOSTO'!$P$12,IF(C64&lt;='SOLLECITAZ NASCOSTO'!$P$11,IF(C64&lt;='SOLLECITAZ NASCOSTO'!$P$10,IF(C64&lt;='SOLLECITAZ NASCOSTO'!$P$9,IF(C64&lt;='SOLLECITAZ NASCOSTO'!$P$8,IF(C64&lt;='SOLLECITAZ NASCOSTO'!$P$7,IF(C64&lt;='SOLLECITAZ NASCOSTO'!$P$6,IF(C64&lt;='SOLLECITAZ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21.732279917071125</v>
      </c>
      <c r="O65" s="41">
        <f>IF(C65&lt;='SOLLECITAZ NASCOSTO'!$P$12,IF(C65&lt;='SOLLECITAZ NASCOSTO'!$P$11,IF(C65&lt;='SOLLECITAZ NASCOSTO'!$P$10,IF(C65&lt;='SOLLECITAZ NASCOSTO'!$P$9,IF(C65&lt;='SOLLECITAZ NASCOSTO'!$P$8,IF(C65&lt;='SOLLECITAZ NASCOSTO'!$P$7,IF(C65&lt;='SOLLECITAZ NASCOSTO'!$P$6,IF(C65&lt;='SOLLECITAZ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paramento'!$G$110),55555)*(C65-C64)/IF(C65&lt;='SOLLECITAZ NASCOSTO'!$P$12,IF(C65&lt;='SOLLECITAZ NASCOSTO'!$P$11,IF(C65&lt;='SOLLECITAZ NASCOSTO'!$P$10,IF(C65&lt;='SOLLECITAZ NASCOSTO'!$P$9,IF(C65&lt;='SOLLECITAZ NASCOSTO'!$P$8,IF(C65&lt;='SOLLECITAZ NASCOSTO'!$P$7,IF(C65&lt;='SOLLECITAZ NASCOSTO'!$P$6,IF(C65&lt;='SOLLECITAZ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65" s="41">
        <f t="shared" si="21"/>
        <v>3.2000000000000005E-5</v>
      </c>
      <c r="Q65" s="41">
        <f t="shared" si="19"/>
        <v>1</v>
      </c>
      <c r="R65" s="434">
        <f t="shared" si="10"/>
        <v>0.35951450130915641</v>
      </c>
      <c r="S65" s="45">
        <f t="shared" si="20"/>
        <v>0.35951450130915641</v>
      </c>
      <c r="T65" s="205">
        <f t="shared" si="14"/>
        <v>4.5320615922608809</v>
      </c>
      <c r="U65" s="45">
        <f t="shared" si="17"/>
        <v>6.3746862647061677</v>
      </c>
      <c r="V65" s="45">
        <f t="shared" si="18"/>
        <v>-1.0542332765770723</v>
      </c>
      <c r="W65" s="488"/>
    </row>
    <row r="66" spans="1:27" s="421" customFormat="1" x14ac:dyDescent="0.25">
      <c r="A66" s="581">
        <f t="shared" si="11"/>
        <v>0.13994807022230016</v>
      </c>
      <c r="B66" s="31">
        <f t="shared" si="22"/>
        <v>34</v>
      </c>
      <c r="C66" s="434">
        <f>'SOLLECITAZ NASCOSTO'!$D$6/'SOLLECITAZ NASCOSTO'!$B$448*'SOLLECITAZ NASCOSTO'!B66</f>
        <v>0.37040888013670664</v>
      </c>
      <c r="D66" s="434">
        <f t="shared" si="15"/>
        <v>0.25994807022230015</v>
      </c>
      <c r="E66" s="434">
        <f t="shared" si="4"/>
        <v>0.13994807022230016</v>
      </c>
      <c r="F66" s="434">
        <f t="shared" si="5"/>
        <v>0.34478338247113605</v>
      </c>
      <c r="G66" s="434">
        <f t="shared" si="6"/>
        <v>2.6507679873967661E-2</v>
      </c>
      <c r="H66" s="434">
        <f t="shared" si="23"/>
        <v>0</v>
      </c>
      <c r="I66" s="434">
        <v>0</v>
      </c>
      <c r="J66" s="127">
        <f t="shared" si="24"/>
        <v>7.68821272184914E-2</v>
      </c>
      <c r="K66" s="126">
        <f t="shared" si="9"/>
        <v>1.0913633963953572E-3</v>
      </c>
      <c r="L66" s="41">
        <f t="shared" si="25"/>
        <v>6.6156640883753512</v>
      </c>
      <c r="M66" s="41">
        <f t="shared" si="26"/>
        <v>-1.1249941755016077</v>
      </c>
      <c r="N66" s="41">
        <f>(IF(C65&lt;='SOLLECITAZ NASCOSTO'!$P$12,IF(C65&lt;='SOLLECITAZ NASCOSTO'!$P$11,IF(C65&lt;='SOLLECITAZ NASCOSTO'!$P$10,IF(C65&lt;='SOLLECITAZ NASCOSTO'!$P$9,IF(C65&lt;='SOLLECITAZ NASCOSTO'!$P$8,IF(C65&lt;='SOLLECITAZ NASCOSTO'!$P$7,IF(C65&lt;='SOLLECITAZ NASCOSTO'!$P$6,IF(C65&lt;='SOLLECITAZ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paramento'!$G$111),55555)-IF(C65&lt;='SOLLECITAZ NASCOSTO'!$P$12,IF(C65&lt;='SOLLECITAZ NASCOSTO'!$P$11,IF(C65&lt;='SOLLECITAZ NASCOSTO'!$P$10,IF(C65&lt;='SOLLECITAZ NASCOSTO'!$P$9,IF(C65&lt;='SOLLECITAZ NASCOSTO'!$P$8,IF(C65&lt;='SOLLECITAZ NASCOSTO'!$P$7,IF(C65&lt;='SOLLECITAZ NASCOSTO'!$P$6,IF(C65&lt;='SOLLECITAZ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paramento'!$G$111))*(C65-IF(C65&lt;='SOLLECITAZ NASCOSTO'!$P$12,IF(C65&lt;='SOLLECITAZ NASCOSTO'!$P$11,IF(C65&lt;='SOLLECITAZ NASCOSTO'!$P$10,IF(C65&lt;='SOLLECITAZ NASCOSTO'!$P$9,IF(C65&lt;='SOLLECITAZ NASCOSTO'!$P$8,IF(C65&lt;='SOLLECITAZ NASCOSTO'!$P$7,IF(C65&lt;='SOLLECITAZ NASCOSTO'!$P$6,IF(C65&lt;='SOLLECITAZ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NASCOSTO'!$P$12))/IF(C65&lt;='SOLLECITAZ NASCOSTO'!$P$12,IF(C65&lt;='SOLLECITAZ NASCOSTO'!$P$11,IF(C65&lt;='SOLLECITAZ NASCOSTO'!$P$10,IF(C65&lt;='SOLLECITAZ NASCOSTO'!$P$9,IF(C65&lt;='SOLLECITAZ NASCOSTO'!$P$8,IF(C65&lt;='SOLLECITAZ NASCOSTO'!$P$7,IF(C65&lt;='SOLLECITAZ NASCOSTO'!$P$6,IF(C65&lt;='SOLLECITAZ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paramento'!$C$111)+IF(C65&lt;='SOLLECITAZ NASCOSTO'!$P$12,IF(C65&lt;='SOLLECITAZ NASCOSTO'!$P$11,IF(C65&lt;='SOLLECITAZ NASCOSTO'!$P$10,IF(C65&lt;='SOLLECITAZ NASCOSTO'!$P$9,IF(C65&lt;='SOLLECITAZ NASCOSTO'!$P$8,IF(C65&lt;='SOLLECITAZ NASCOSTO'!$P$7,IF(C65&lt;='SOLLECITAZ NASCOSTO'!$P$6,IF(C65&lt;='SOLLECITAZ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21.990402846520531</v>
      </c>
      <c r="O66" s="41">
        <f>IF(C66&lt;='SOLLECITAZ NASCOSTO'!$P$12,IF(C66&lt;='SOLLECITAZ NASCOSTO'!$P$11,IF(C66&lt;='SOLLECITAZ NASCOSTO'!$P$10,IF(C66&lt;='SOLLECITAZ NASCOSTO'!$P$9,IF(C66&lt;='SOLLECITAZ NASCOSTO'!$P$8,IF(C66&lt;='SOLLECITAZ NASCOSTO'!$P$7,IF(C66&lt;='SOLLECITAZ NASCOSTO'!$P$6,IF(C66&lt;='SOLLECITAZ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paramento'!$G$110),55555)*(C66-C65)/IF(C66&lt;='SOLLECITAZ NASCOSTO'!$P$12,IF(C66&lt;='SOLLECITAZ NASCOSTO'!$P$11,IF(C66&lt;='SOLLECITAZ NASCOSTO'!$P$10,IF(C66&lt;='SOLLECITAZ NASCOSTO'!$P$9,IF(C66&lt;='SOLLECITAZ NASCOSTO'!$P$8,IF(C66&lt;='SOLLECITAZ NASCOSTO'!$P$7,IF(C66&lt;='SOLLECITAZ NASCOSTO'!$P$6,IF(C66&lt;='SOLLECITAZ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0.25812292944940674</v>
      </c>
      <c r="P66" s="41">
        <f t="shared" si="21"/>
        <v>3.3000000000000003E-5</v>
      </c>
      <c r="Q66" s="41">
        <f t="shared" si="19"/>
        <v>1</v>
      </c>
      <c r="R66" s="434">
        <f t="shared" si="10"/>
        <v>0.37040888013670664</v>
      </c>
      <c r="S66" s="45">
        <f t="shared" si="20"/>
        <v>0.37040888013670664</v>
      </c>
      <c r="T66" s="205">
        <f t="shared" si="14"/>
        <v>4.5320615922608809</v>
      </c>
      <c r="U66" s="45">
        <f t="shared" si="17"/>
        <v>6.6156640883753512</v>
      </c>
      <c r="V66" s="45">
        <f t="shared" si="18"/>
        <v>-1.1249941755016077</v>
      </c>
      <c r="W66" s="488"/>
    </row>
    <row r="67" spans="1:27" s="421" customFormat="1" x14ac:dyDescent="0.25">
      <c r="A67" s="581">
        <f t="shared" si="11"/>
        <v>0.14151891297040931</v>
      </c>
      <c r="B67" s="31">
        <f t="shared" si="22"/>
        <v>35</v>
      </c>
      <c r="C67" s="434">
        <f>'SOLLECITAZ NASCOSTO'!$D$6/'SOLLECITAZ NASCOSTO'!$B$448*'SOLLECITAZ NASCOSTO'!B67</f>
        <v>0.38130325896425682</v>
      </c>
      <c r="D67" s="434">
        <f t="shared" si="15"/>
        <v>0.2615189129704093</v>
      </c>
      <c r="E67" s="434">
        <f t="shared" si="4"/>
        <v>0.14151891297040931</v>
      </c>
      <c r="F67" s="434">
        <f t="shared" si="5"/>
        <v>0.34528605215053099</v>
      </c>
      <c r="G67" s="434">
        <f t="shared" si="6"/>
        <v>2.6638742694595922E-2</v>
      </c>
      <c r="H67" s="434">
        <f t="shared" si="23"/>
        <v>0</v>
      </c>
      <c r="I67" s="434">
        <v>0</v>
      </c>
      <c r="J67" s="127">
        <f t="shared" si="24"/>
        <v>7.714977922995421E-2</v>
      </c>
      <c r="K67" s="126">
        <f t="shared" si="9"/>
        <v>1.1083296650854445E-3</v>
      </c>
      <c r="L67" s="41">
        <f t="shared" si="25"/>
        <v>6.8594540010220326</v>
      </c>
      <c r="M67" s="41">
        <f t="shared" si="26"/>
        <v>-1.1983956961075424</v>
      </c>
      <c r="N67" s="41">
        <f>(IF(C66&lt;='SOLLECITAZ NASCOSTO'!$P$12,IF(C66&lt;='SOLLECITAZ NASCOSTO'!$P$11,IF(C66&lt;='SOLLECITAZ NASCOSTO'!$P$10,IF(C66&lt;='SOLLECITAZ NASCOSTO'!$P$9,IF(C66&lt;='SOLLECITAZ NASCOSTO'!$P$8,IF(C66&lt;='SOLLECITAZ NASCOSTO'!$P$7,IF(C66&lt;='SOLLECITAZ NASCOSTO'!$P$6,IF(C66&lt;='SOLLECITAZ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paramento'!$G$111),55555)-IF(C66&lt;='SOLLECITAZ NASCOSTO'!$P$12,IF(C66&lt;='SOLLECITAZ NASCOSTO'!$P$11,IF(C66&lt;='SOLLECITAZ NASCOSTO'!$P$10,IF(C66&lt;='SOLLECITAZ NASCOSTO'!$P$9,IF(C66&lt;='SOLLECITAZ NASCOSTO'!$P$8,IF(C66&lt;='SOLLECITAZ NASCOSTO'!$P$7,IF(C66&lt;='SOLLECITAZ NASCOSTO'!$P$6,IF(C66&lt;='SOLLECITAZ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paramento'!$G$111))*(C66-IF(C66&lt;='SOLLECITAZ NASCOSTO'!$P$12,IF(C66&lt;='SOLLECITAZ NASCOSTO'!$P$11,IF(C66&lt;='SOLLECITAZ NASCOSTO'!$P$10,IF(C66&lt;='SOLLECITAZ NASCOSTO'!$P$9,IF(C66&lt;='SOLLECITAZ NASCOSTO'!$P$8,IF(C66&lt;='SOLLECITAZ NASCOSTO'!$P$7,IF(C66&lt;='SOLLECITAZ NASCOSTO'!$P$6,IF(C66&lt;='SOLLECITAZ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NASCOSTO'!$P$12))/IF(C66&lt;='SOLLECITAZ NASCOSTO'!$P$12,IF(C66&lt;='SOLLECITAZ NASCOSTO'!$P$11,IF(C66&lt;='SOLLECITAZ NASCOSTO'!$P$10,IF(C66&lt;='SOLLECITAZ NASCOSTO'!$P$9,IF(C66&lt;='SOLLECITAZ NASCOSTO'!$P$8,IF(C66&lt;='SOLLECITAZ NASCOSTO'!$P$7,IF(C66&lt;='SOLLECITAZ NASCOSTO'!$P$6,IF(C66&lt;='SOLLECITAZ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paramento'!$C$111)+IF(C66&lt;='SOLLECITAZ NASCOSTO'!$P$12,IF(C66&lt;='SOLLECITAZ NASCOSTO'!$P$11,IF(C66&lt;='SOLLECITAZ NASCOSTO'!$P$10,IF(C66&lt;='SOLLECITAZ NASCOSTO'!$P$9,IF(C66&lt;='SOLLECITAZ NASCOSTO'!$P$8,IF(C66&lt;='SOLLECITAZ NASCOSTO'!$P$7,IF(C66&lt;='SOLLECITAZ NASCOSTO'!$P$6,IF(C66&lt;='SOLLECITAZ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22.248525775969938</v>
      </c>
      <c r="O67" s="41">
        <f>IF(C67&lt;='SOLLECITAZ NASCOSTO'!$P$12,IF(C67&lt;='SOLLECITAZ NASCOSTO'!$P$11,IF(C67&lt;='SOLLECITAZ NASCOSTO'!$P$10,IF(C67&lt;='SOLLECITAZ NASCOSTO'!$P$9,IF(C67&lt;='SOLLECITAZ NASCOSTO'!$P$8,IF(C67&lt;='SOLLECITAZ NASCOSTO'!$P$7,IF(C67&lt;='SOLLECITAZ NASCOSTO'!$P$6,IF(C67&lt;='SOLLECITAZ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paramento'!$G$110),55555)*(C67-C66)/IF(C67&lt;='SOLLECITAZ NASCOSTO'!$P$12,IF(C67&lt;='SOLLECITAZ NASCOSTO'!$P$11,IF(C67&lt;='SOLLECITAZ NASCOSTO'!$P$10,IF(C67&lt;='SOLLECITAZ NASCOSTO'!$P$9,IF(C67&lt;='SOLLECITAZ NASCOSTO'!$P$8,IF(C67&lt;='SOLLECITAZ NASCOSTO'!$P$7,IF(C67&lt;='SOLLECITAZ NASCOSTO'!$P$6,IF(C67&lt;='SOLLECITAZ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67" s="41">
        <f t="shared" si="21"/>
        <v>3.4E-5</v>
      </c>
      <c r="Q67" s="41">
        <f t="shared" si="19"/>
        <v>1</v>
      </c>
      <c r="R67" s="434">
        <f t="shared" si="10"/>
        <v>0.38130325896425682</v>
      </c>
      <c r="S67" s="45">
        <f t="shared" si="20"/>
        <v>0.38130325896425682</v>
      </c>
      <c r="T67" s="205">
        <f t="shared" si="14"/>
        <v>4.5320615922608809</v>
      </c>
      <c r="U67" s="45">
        <f t="shared" si="17"/>
        <v>6.8594540010220326</v>
      </c>
      <c r="V67" s="45">
        <f t="shared" si="18"/>
        <v>-1.1983956961075424</v>
      </c>
      <c r="W67" s="488"/>
    </row>
    <row r="68" spans="1:27" s="421" customFormat="1" x14ac:dyDescent="0.25">
      <c r="A68" s="581">
        <f t="shared" si="11"/>
        <v>0.14308975571851845</v>
      </c>
      <c r="B68" s="31">
        <f t="shared" si="22"/>
        <v>36</v>
      </c>
      <c r="C68" s="434">
        <f>'SOLLECITAZ NASCOSTO'!$D$6/'SOLLECITAZ NASCOSTO'!$B$448*'SOLLECITAZ NASCOSTO'!B68</f>
        <v>0.392197637791807</v>
      </c>
      <c r="D68" s="434">
        <f t="shared" si="15"/>
        <v>0.26308975571851845</v>
      </c>
      <c r="E68" s="434">
        <f t="shared" si="4"/>
        <v>0.14308975571851845</v>
      </c>
      <c r="F68" s="434">
        <f t="shared" si="5"/>
        <v>0.34578872182992587</v>
      </c>
      <c r="G68" s="434">
        <f t="shared" si="6"/>
        <v>2.6770595130244754E-2</v>
      </c>
      <c r="H68" s="434">
        <f t="shared" si="23"/>
        <v>0</v>
      </c>
      <c r="I68" s="434">
        <v>0</v>
      </c>
      <c r="J68" s="127">
        <f t="shared" si="24"/>
        <v>7.7418936593923127E-2</v>
      </c>
      <c r="K68" s="126">
        <f t="shared" si="9"/>
        <v>1.1255373446950518E-3</v>
      </c>
      <c r="L68" s="41">
        <f t="shared" si="25"/>
        <v>7.1060560026462127</v>
      </c>
      <c r="M68" s="41">
        <f t="shared" si="26"/>
        <v>-1.2744684743574941</v>
      </c>
      <c r="N68" s="41">
        <f>(IF(C67&lt;='SOLLECITAZ NASCOSTO'!$P$12,IF(C67&lt;='SOLLECITAZ NASCOSTO'!$P$11,IF(C67&lt;='SOLLECITAZ NASCOSTO'!$P$10,IF(C67&lt;='SOLLECITAZ NASCOSTO'!$P$9,IF(C67&lt;='SOLLECITAZ NASCOSTO'!$P$8,IF(C67&lt;='SOLLECITAZ NASCOSTO'!$P$7,IF(C67&lt;='SOLLECITAZ NASCOSTO'!$P$6,IF(C67&lt;='SOLLECITAZ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paramento'!$G$111),55555)-IF(C67&lt;='SOLLECITAZ NASCOSTO'!$P$12,IF(C67&lt;='SOLLECITAZ NASCOSTO'!$P$11,IF(C67&lt;='SOLLECITAZ NASCOSTO'!$P$10,IF(C67&lt;='SOLLECITAZ NASCOSTO'!$P$9,IF(C67&lt;='SOLLECITAZ NASCOSTO'!$P$8,IF(C67&lt;='SOLLECITAZ NASCOSTO'!$P$7,IF(C67&lt;='SOLLECITAZ NASCOSTO'!$P$6,IF(C67&lt;='SOLLECITAZ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paramento'!$G$111))*(C67-IF(C67&lt;='SOLLECITAZ NASCOSTO'!$P$12,IF(C67&lt;='SOLLECITAZ NASCOSTO'!$P$11,IF(C67&lt;='SOLLECITAZ NASCOSTO'!$P$10,IF(C67&lt;='SOLLECITAZ NASCOSTO'!$P$9,IF(C67&lt;='SOLLECITAZ NASCOSTO'!$P$8,IF(C67&lt;='SOLLECITAZ NASCOSTO'!$P$7,IF(C67&lt;='SOLLECITAZ NASCOSTO'!$P$6,IF(C67&lt;='SOLLECITAZ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NASCOSTO'!$P$12))/IF(C67&lt;='SOLLECITAZ NASCOSTO'!$P$12,IF(C67&lt;='SOLLECITAZ NASCOSTO'!$P$11,IF(C67&lt;='SOLLECITAZ NASCOSTO'!$P$10,IF(C67&lt;='SOLLECITAZ NASCOSTO'!$P$9,IF(C67&lt;='SOLLECITAZ NASCOSTO'!$P$8,IF(C67&lt;='SOLLECITAZ NASCOSTO'!$P$7,IF(C67&lt;='SOLLECITAZ NASCOSTO'!$P$6,IF(C67&lt;='SOLLECITAZ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paramento'!$C$111)+IF(C67&lt;='SOLLECITAZ NASCOSTO'!$P$12,IF(C67&lt;='SOLLECITAZ NASCOSTO'!$P$11,IF(C67&lt;='SOLLECITAZ NASCOSTO'!$P$10,IF(C67&lt;='SOLLECITAZ NASCOSTO'!$P$9,IF(C67&lt;='SOLLECITAZ NASCOSTO'!$P$8,IF(C67&lt;='SOLLECITAZ NASCOSTO'!$P$7,IF(C67&lt;='SOLLECITAZ NASCOSTO'!$P$6,IF(C67&lt;='SOLLECITAZ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22.506648705419341</v>
      </c>
      <c r="O68" s="41">
        <f>IF(C68&lt;='SOLLECITAZ NASCOSTO'!$P$12,IF(C68&lt;='SOLLECITAZ NASCOSTO'!$P$11,IF(C68&lt;='SOLLECITAZ NASCOSTO'!$P$10,IF(C68&lt;='SOLLECITAZ NASCOSTO'!$P$9,IF(C68&lt;='SOLLECITAZ NASCOSTO'!$P$8,IF(C68&lt;='SOLLECITAZ NASCOSTO'!$P$7,IF(C68&lt;='SOLLECITAZ NASCOSTO'!$P$6,IF(C68&lt;='SOLLECITAZ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paramento'!$G$110),55555)*(C68-C67)/IF(C68&lt;='SOLLECITAZ NASCOSTO'!$P$12,IF(C68&lt;='SOLLECITAZ NASCOSTO'!$P$11,IF(C68&lt;='SOLLECITAZ NASCOSTO'!$P$10,IF(C68&lt;='SOLLECITAZ NASCOSTO'!$P$9,IF(C68&lt;='SOLLECITAZ NASCOSTO'!$P$8,IF(C68&lt;='SOLLECITAZ NASCOSTO'!$P$7,IF(C68&lt;='SOLLECITAZ NASCOSTO'!$P$6,IF(C68&lt;='SOLLECITAZ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68" s="41">
        <f t="shared" si="21"/>
        <v>3.4999999999999997E-5</v>
      </c>
      <c r="Q68" s="41">
        <f t="shared" si="19"/>
        <v>1</v>
      </c>
      <c r="R68" s="434">
        <f t="shared" si="10"/>
        <v>0.392197637791807</v>
      </c>
      <c r="S68" s="45">
        <f t="shared" si="20"/>
        <v>0.392197637791807</v>
      </c>
      <c r="T68" s="205">
        <f t="shared" si="14"/>
        <v>4.5320615922608809</v>
      </c>
      <c r="U68" s="45">
        <f t="shared" si="17"/>
        <v>7.1060560026462127</v>
      </c>
      <c r="V68" s="45">
        <f t="shared" si="18"/>
        <v>-1.2744684743574941</v>
      </c>
      <c r="W68" s="488"/>
    </row>
    <row r="69" spans="1:27" s="421" customFormat="1" x14ac:dyDescent="0.25">
      <c r="A69" s="581">
        <f t="shared" si="11"/>
        <v>0.14466059846662765</v>
      </c>
      <c r="B69" s="31">
        <f t="shared" si="22"/>
        <v>37</v>
      </c>
      <c r="C69" s="434">
        <f>'SOLLECITAZ NASCOSTO'!$D$6/'SOLLECITAZ NASCOSTO'!$B$448*'SOLLECITAZ NASCOSTO'!B69</f>
        <v>0.40309201661935723</v>
      </c>
      <c r="D69" s="434">
        <f t="shared" si="15"/>
        <v>0.26466059846662765</v>
      </c>
      <c r="E69" s="434">
        <f t="shared" si="4"/>
        <v>0.14466059846662765</v>
      </c>
      <c r="F69" s="434">
        <f t="shared" si="5"/>
        <v>0.34629139150932087</v>
      </c>
      <c r="G69" s="434">
        <f t="shared" si="6"/>
        <v>2.6903237180914162E-2</v>
      </c>
      <c r="H69" s="434">
        <f t="shared" si="23"/>
        <v>0</v>
      </c>
      <c r="I69" s="434">
        <v>0</v>
      </c>
      <c r="J69" s="127">
        <f t="shared" si="24"/>
        <v>7.7689592754979095E-2</v>
      </c>
      <c r="K69" s="126">
        <f t="shared" si="9"/>
        <v>1.1429878592629557E-3</v>
      </c>
      <c r="L69" s="41">
        <f t="shared" si="25"/>
        <v>7.3554700932478925</v>
      </c>
      <c r="M69" s="41">
        <f t="shared" si="26"/>
        <v>-1.353243146214081</v>
      </c>
      <c r="N69" s="41">
        <f>(IF(C68&lt;='SOLLECITAZ NASCOSTO'!$P$12,IF(C68&lt;='SOLLECITAZ NASCOSTO'!$P$11,IF(C68&lt;='SOLLECITAZ NASCOSTO'!$P$10,IF(C68&lt;='SOLLECITAZ NASCOSTO'!$P$9,IF(C68&lt;='SOLLECITAZ NASCOSTO'!$P$8,IF(C68&lt;='SOLLECITAZ NASCOSTO'!$P$7,IF(C68&lt;='SOLLECITAZ NASCOSTO'!$P$6,IF(C68&lt;='SOLLECITAZ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paramento'!$G$111),55555)-IF(C68&lt;='SOLLECITAZ NASCOSTO'!$P$12,IF(C68&lt;='SOLLECITAZ NASCOSTO'!$P$11,IF(C68&lt;='SOLLECITAZ NASCOSTO'!$P$10,IF(C68&lt;='SOLLECITAZ NASCOSTO'!$P$9,IF(C68&lt;='SOLLECITAZ NASCOSTO'!$P$8,IF(C68&lt;='SOLLECITAZ NASCOSTO'!$P$7,IF(C68&lt;='SOLLECITAZ NASCOSTO'!$P$6,IF(C68&lt;='SOLLECITAZ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paramento'!$G$111))*(C68-IF(C68&lt;='SOLLECITAZ NASCOSTO'!$P$12,IF(C68&lt;='SOLLECITAZ NASCOSTO'!$P$11,IF(C68&lt;='SOLLECITAZ NASCOSTO'!$P$10,IF(C68&lt;='SOLLECITAZ NASCOSTO'!$P$9,IF(C68&lt;='SOLLECITAZ NASCOSTO'!$P$8,IF(C68&lt;='SOLLECITAZ NASCOSTO'!$P$7,IF(C68&lt;='SOLLECITAZ NASCOSTO'!$P$6,IF(C68&lt;='SOLLECITAZ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NASCOSTO'!$P$12))/IF(C68&lt;='SOLLECITAZ NASCOSTO'!$P$12,IF(C68&lt;='SOLLECITAZ NASCOSTO'!$P$11,IF(C68&lt;='SOLLECITAZ NASCOSTO'!$P$10,IF(C68&lt;='SOLLECITAZ NASCOSTO'!$P$9,IF(C68&lt;='SOLLECITAZ NASCOSTO'!$P$8,IF(C68&lt;='SOLLECITAZ NASCOSTO'!$P$7,IF(C68&lt;='SOLLECITAZ NASCOSTO'!$P$6,IF(C68&lt;='SOLLECITAZ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paramento'!$C$111)+IF(C68&lt;='SOLLECITAZ NASCOSTO'!$P$12,IF(C68&lt;='SOLLECITAZ NASCOSTO'!$P$11,IF(C68&lt;='SOLLECITAZ NASCOSTO'!$P$10,IF(C68&lt;='SOLLECITAZ NASCOSTO'!$P$9,IF(C68&lt;='SOLLECITAZ NASCOSTO'!$P$8,IF(C68&lt;='SOLLECITAZ NASCOSTO'!$P$7,IF(C68&lt;='SOLLECITAZ NASCOSTO'!$P$6,IF(C68&lt;='SOLLECITAZ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22.764771634868744</v>
      </c>
      <c r="O69" s="41">
        <f>IF(C69&lt;='SOLLECITAZ NASCOSTO'!$P$12,IF(C69&lt;='SOLLECITAZ NASCOSTO'!$P$11,IF(C69&lt;='SOLLECITAZ NASCOSTO'!$P$10,IF(C69&lt;='SOLLECITAZ NASCOSTO'!$P$9,IF(C69&lt;='SOLLECITAZ NASCOSTO'!$P$8,IF(C69&lt;='SOLLECITAZ NASCOSTO'!$P$7,IF(C69&lt;='SOLLECITAZ NASCOSTO'!$P$6,IF(C69&lt;='SOLLECITAZ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paramento'!$G$110),55555)*(C69-C68)/IF(C69&lt;='SOLLECITAZ NASCOSTO'!$P$12,IF(C69&lt;='SOLLECITAZ NASCOSTO'!$P$11,IF(C69&lt;='SOLLECITAZ NASCOSTO'!$P$10,IF(C69&lt;='SOLLECITAZ NASCOSTO'!$P$9,IF(C69&lt;='SOLLECITAZ NASCOSTO'!$P$8,IF(C69&lt;='SOLLECITAZ NASCOSTO'!$P$7,IF(C69&lt;='SOLLECITAZ NASCOSTO'!$P$6,IF(C69&lt;='SOLLECITAZ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0.25812292944940674</v>
      </c>
      <c r="P69" s="41">
        <f t="shared" si="21"/>
        <v>3.5999999999999994E-5</v>
      </c>
      <c r="Q69" s="41">
        <f t="shared" si="19"/>
        <v>1</v>
      </c>
      <c r="R69" s="434">
        <f t="shared" si="10"/>
        <v>0.40309201661935723</v>
      </c>
      <c r="S69" s="45">
        <f t="shared" si="20"/>
        <v>0.40309201661935723</v>
      </c>
      <c r="T69" s="205">
        <f t="shared" si="14"/>
        <v>4.5320615922608809</v>
      </c>
      <c r="U69" s="45">
        <f t="shared" si="17"/>
        <v>7.3554700932478925</v>
      </c>
      <c r="V69" s="45">
        <f t="shared" si="18"/>
        <v>-1.353243146214081</v>
      </c>
      <c r="W69" s="488"/>
    </row>
    <row r="70" spans="1:27" s="421" customFormat="1" x14ac:dyDescent="0.25">
      <c r="A70" s="581">
        <f t="shared" si="11"/>
        <v>0.1462314412147368</v>
      </c>
      <c r="B70" s="31">
        <f t="shared" si="22"/>
        <v>38</v>
      </c>
      <c r="C70" s="434">
        <f>'SOLLECITAZ NASCOSTO'!$D$6/'SOLLECITAZ NASCOSTO'!$B$448*'SOLLECITAZ NASCOSTO'!B70</f>
        <v>0.41398639544690741</v>
      </c>
      <c r="D70" s="434">
        <f t="shared" si="15"/>
        <v>0.2662314412147368</v>
      </c>
      <c r="E70" s="434">
        <f t="shared" si="4"/>
        <v>0.1462314412147368</v>
      </c>
      <c r="F70" s="434">
        <f t="shared" si="5"/>
        <v>0.34679406118871575</v>
      </c>
      <c r="G70" s="434">
        <f t="shared" si="6"/>
        <v>2.7036668846604134E-2</v>
      </c>
      <c r="H70" s="434">
        <f t="shared" si="23"/>
        <v>0</v>
      </c>
      <c r="I70" s="434">
        <v>0</v>
      </c>
      <c r="J70" s="127">
        <f t="shared" si="24"/>
        <v>7.796174119571074E-2</v>
      </c>
      <c r="K70" s="126">
        <f t="shared" si="9"/>
        <v>1.1606826281672369E-3</v>
      </c>
      <c r="L70" s="41">
        <f t="shared" si="25"/>
        <v>7.6076962728270701</v>
      </c>
      <c r="M70" s="41">
        <f t="shared" si="26"/>
        <v>-1.4347503476399199</v>
      </c>
      <c r="N70" s="41">
        <f>(IF(C69&lt;='SOLLECITAZ NASCOSTO'!$P$12,IF(C69&lt;='SOLLECITAZ NASCOSTO'!$P$11,IF(C69&lt;='SOLLECITAZ NASCOSTO'!$P$10,IF(C69&lt;='SOLLECITAZ NASCOSTO'!$P$9,IF(C69&lt;='SOLLECITAZ NASCOSTO'!$P$8,IF(C69&lt;='SOLLECITAZ NASCOSTO'!$P$7,IF(C69&lt;='SOLLECITAZ NASCOSTO'!$P$6,IF(C69&lt;='SOLLECITAZ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paramento'!$G$111),55555)-IF(C69&lt;='SOLLECITAZ NASCOSTO'!$P$12,IF(C69&lt;='SOLLECITAZ NASCOSTO'!$P$11,IF(C69&lt;='SOLLECITAZ NASCOSTO'!$P$10,IF(C69&lt;='SOLLECITAZ NASCOSTO'!$P$9,IF(C69&lt;='SOLLECITAZ NASCOSTO'!$P$8,IF(C69&lt;='SOLLECITAZ NASCOSTO'!$P$7,IF(C69&lt;='SOLLECITAZ NASCOSTO'!$P$6,IF(C69&lt;='SOLLECITAZ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paramento'!$G$111))*(C69-IF(C69&lt;='SOLLECITAZ NASCOSTO'!$P$12,IF(C69&lt;='SOLLECITAZ NASCOSTO'!$P$11,IF(C69&lt;='SOLLECITAZ NASCOSTO'!$P$10,IF(C69&lt;='SOLLECITAZ NASCOSTO'!$P$9,IF(C69&lt;='SOLLECITAZ NASCOSTO'!$P$8,IF(C69&lt;='SOLLECITAZ NASCOSTO'!$P$7,IF(C69&lt;='SOLLECITAZ NASCOSTO'!$P$6,IF(C69&lt;='SOLLECITAZ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NASCOSTO'!$P$12))/IF(C69&lt;='SOLLECITAZ NASCOSTO'!$P$12,IF(C69&lt;='SOLLECITAZ NASCOSTO'!$P$11,IF(C69&lt;='SOLLECITAZ NASCOSTO'!$P$10,IF(C69&lt;='SOLLECITAZ NASCOSTO'!$P$9,IF(C69&lt;='SOLLECITAZ NASCOSTO'!$P$8,IF(C69&lt;='SOLLECITAZ NASCOSTO'!$P$7,IF(C69&lt;='SOLLECITAZ NASCOSTO'!$P$6,IF(C69&lt;='SOLLECITAZ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paramento'!$C$111)+IF(C69&lt;='SOLLECITAZ NASCOSTO'!$P$12,IF(C69&lt;='SOLLECITAZ NASCOSTO'!$P$11,IF(C69&lt;='SOLLECITAZ NASCOSTO'!$P$10,IF(C69&lt;='SOLLECITAZ NASCOSTO'!$P$9,IF(C69&lt;='SOLLECITAZ NASCOSTO'!$P$8,IF(C69&lt;='SOLLECITAZ NASCOSTO'!$P$7,IF(C69&lt;='SOLLECITAZ NASCOSTO'!$P$6,IF(C69&lt;='SOLLECITAZ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23.022894564318154</v>
      </c>
      <c r="O70" s="41">
        <f>IF(C70&lt;='SOLLECITAZ NASCOSTO'!$P$12,IF(C70&lt;='SOLLECITAZ NASCOSTO'!$P$11,IF(C70&lt;='SOLLECITAZ NASCOSTO'!$P$10,IF(C70&lt;='SOLLECITAZ NASCOSTO'!$P$9,IF(C70&lt;='SOLLECITAZ NASCOSTO'!$P$8,IF(C70&lt;='SOLLECITAZ NASCOSTO'!$P$7,IF(C70&lt;='SOLLECITAZ NASCOSTO'!$P$6,IF(C70&lt;='SOLLECITAZ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paramento'!$G$110),55555)*(C70-C69)/IF(C70&lt;='SOLLECITAZ NASCOSTO'!$P$12,IF(C70&lt;='SOLLECITAZ NASCOSTO'!$P$11,IF(C70&lt;='SOLLECITAZ NASCOSTO'!$P$10,IF(C70&lt;='SOLLECITAZ NASCOSTO'!$P$9,IF(C70&lt;='SOLLECITAZ NASCOSTO'!$P$8,IF(C70&lt;='SOLLECITAZ NASCOSTO'!$P$7,IF(C70&lt;='SOLLECITAZ NASCOSTO'!$P$6,IF(C70&lt;='SOLLECITAZ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70" s="41">
        <f t="shared" si="21"/>
        <v>3.6999999999999991E-5</v>
      </c>
      <c r="Q70" s="41">
        <f t="shared" si="19"/>
        <v>1</v>
      </c>
      <c r="R70" s="434">
        <f t="shared" si="10"/>
        <v>0.41398639544690741</v>
      </c>
      <c r="S70" s="45">
        <f t="shared" si="20"/>
        <v>0.41398639544690741</v>
      </c>
      <c r="T70" s="205">
        <f t="shared" si="14"/>
        <v>4.5320615922608809</v>
      </c>
      <c r="U70" s="45">
        <f t="shared" si="17"/>
        <v>7.6076962728270701</v>
      </c>
      <c r="V70" s="45">
        <f t="shared" si="18"/>
        <v>-1.4347503476399199</v>
      </c>
      <c r="W70" s="488"/>
    </row>
    <row r="71" spans="1:27" s="421" customFormat="1" x14ac:dyDescent="0.25">
      <c r="A71" s="581">
        <f t="shared" si="11"/>
        <v>0.14780228396284595</v>
      </c>
      <c r="B71" s="31">
        <f t="shared" si="22"/>
        <v>39</v>
      </c>
      <c r="C71" s="434">
        <f>'SOLLECITAZ NASCOSTO'!$D$6/'SOLLECITAZ NASCOSTO'!$B$448*'SOLLECITAZ NASCOSTO'!B71</f>
        <v>0.42488077427445758</v>
      </c>
      <c r="D71" s="434">
        <f t="shared" si="15"/>
        <v>0.26780228396284594</v>
      </c>
      <c r="E71" s="434">
        <f t="shared" si="4"/>
        <v>0.14780228396284595</v>
      </c>
      <c r="F71" s="434">
        <f t="shared" si="5"/>
        <v>0.34729673086811069</v>
      </c>
      <c r="G71" s="434">
        <f t="shared" si="6"/>
        <v>2.7170890127314683E-2</v>
      </c>
      <c r="H71" s="434">
        <f t="shared" si="23"/>
        <v>0</v>
      </c>
      <c r="I71" s="434">
        <v>0</v>
      </c>
      <c r="J71" s="127">
        <f t="shared" si="24"/>
        <v>7.8235375436439367E-2</v>
      </c>
      <c r="K71" s="126">
        <f t="shared" si="9"/>
        <v>1.1786230661590146E-3</v>
      </c>
      <c r="L71" s="41">
        <f t="shared" si="25"/>
        <v>7.8627345413837464</v>
      </c>
      <c r="M71" s="41">
        <f t="shared" si="26"/>
        <v>-1.5190207145976291</v>
      </c>
      <c r="N71" s="41">
        <f>(IF(C70&lt;='SOLLECITAZ NASCOSTO'!$P$12,IF(C70&lt;='SOLLECITAZ NASCOSTO'!$P$11,IF(C70&lt;='SOLLECITAZ NASCOSTO'!$P$10,IF(C70&lt;='SOLLECITAZ NASCOSTO'!$P$9,IF(C70&lt;='SOLLECITAZ NASCOSTO'!$P$8,IF(C70&lt;='SOLLECITAZ NASCOSTO'!$P$7,IF(C70&lt;='SOLLECITAZ NASCOSTO'!$P$6,IF(C70&lt;='SOLLECITAZ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paramento'!$G$111),55555)-IF(C70&lt;='SOLLECITAZ NASCOSTO'!$P$12,IF(C70&lt;='SOLLECITAZ NASCOSTO'!$P$11,IF(C70&lt;='SOLLECITAZ NASCOSTO'!$P$10,IF(C70&lt;='SOLLECITAZ NASCOSTO'!$P$9,IF(C70&lt;='SOLLECITAZ NASCOSTO'!$P$8,IF(C70&lt;='SOLLECITAZ NASCOSTO'!$P$7,IF(C70&lt;='SOLLECITAZ NASCOSTO'!$P$6,IF(C70&lt;='SOLLECITAZ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paramento'!$G$111))*(C70-IF(C70&lt;='SOLLECITAZ NASCOSTO'!$P$12,IF(C70&lt;='SOLLECITAZ NASCOSTO'!$P$11,IF(C70&lt;='SOLLECITAZ NASCOSTO'!$P$10,IF(C70&lt;='SOLLECITAZ NASCOSTO'!$P$9,IF(C70&lt;='SOLLECITAZ NASCOSTO'!$P$8,IF(C70&lt;='SOLLECITAZ NASCOSTO'!$P$7,IF(C70&lt;='SOLLECITAZ NASCOSTO'!$P$6,IF(C70&lt;='SOLLECITAZ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NASCOSTO'!$P$12))/IF(C70&lt;='SOLLECITAZ NASCOSTO'!$P$12,IF(C70&lt;='SOLLECITAZ NASCOSTO'!$P$11,IF(C70&lt;='SOLLECITAZ NASCOSTO'!$P$10,IF(C70&lt;='SOLLECITAZ NASCOSTO'!$P$9,IF(C70&lt;='SOLLECITAZ NASCOSTO'!$P$8,IF(C70&lt;='SOLLECITAZ NASCOSTO'!$P$7,IF(C70&lt;='SOLLECITAZ NASCOSTO'!$P$6,IF(C70&lt;='SOLLECITAZ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paramento'!$C$111)+IF(C70&lt;='SOLLECITAZ NASCOSTO'!$P$12,IF(C70&lt;='SOLLECITAZ NASCOSTO'!$P$11,IF(C70&lt;='SOLLECITAZ NASCOSTO'!$P$10,IF(C70&lt;='SOLLECITAZ NASCOSTO'!$P$9,IF(C70&lt;='SOLLECITAZ NASCOSTO'!$P$8,IF(C70&lt;='SOLLECITAZ NASCOSTO'!$P$7,IF(C70&lt;='SOLLECITAZ NASCOSTO'!$P$6,IF(C70&lt;='SOLLECITAZ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23.281017493767557</v>
      </c>
      <c r="O71" s="41">
        <f>IF(C71&lt;='SOLLECITAZ NASCOSTO'!$P$12,IF(C71&lt;='SOLLECITAZ NASCOSTO'!$P$11,IF(C71&lt;='SOLLECITAZ NASCOSTO'!$P$10,IF(C71&lt;='SOLLECITAZ NASCOSTO'!$P$9,IF(C71&lt;='SOLLECITAZ NASCOSTO'!$P$8,IF(C71&lt;='SOLLECITAZ NASCOSTO'!$P$7,IF(C71&lt;='SOLLECITAZ NASCOSTO'!$P$6,IF(C71&lt;='SOLLECITAZ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paramento'!$G$110),55555)*(C71-C70)/IF(C71&lt;='SOLLECITAZ NASCOSTO'!$P$12,IF(C71&lt;='SOLLECITAZ NASCOSTO'!$P$11,IF(C71&lt;='SOLLECITAZ NASCOSTO'!$P$10,IF(C71&lt;='SOLLECITAZ NASCOSTO'!$P$9,IF(C71&lt;='SOLLECITAZ NASCOSTO'!$P$8,IF(C71&lt;='SOLLECITAZ NASCOSTO'!$P$7,IF(C71&lt;='SOLLECITAZ NASCOSTO'!$P$6,IF(C71&lt;='SOLLECITAZ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71" s="41">
        <f t="shared" si="21"/>
        <v>3.7999999999999989E-5</v>
      </c>
      <c r="Q71" s="41">
        <f t="shared" si="19"/>
        <v>1</v>
      </c>
      <c r="R71" s="434">
        <f t="shared" si="10"/>
        <v>0.42488077427445758</v>
      </c>
      <c r="S71" s="45">
        <f t="shared" si="20"/>
        <v>0.42488077427445758</v>
      </c>
      <c r="T71" s="205">
        <f t="shared" si="14"/>
        <v>4.5320615922608809</v>
      </c>
      <c r="U71" s="45">
        <f t="shared" si="17"/>
        <v>7.8627345413837464</v>
      </c>
      <c r="V71" s="45">
        <f t="shared" si="18"/>
        <v>-1.5190207145976291</v>
      </c>
      <c r="W71" s="488"/>
    </row>
    <row r="72" spans="1:27" s="421" customFormat="1" x14ac:dyDescent="0.25">
      <c r="A72" s="582">
        <f t="shared" si="11"/>
        <v>0.1493731267109551</v>
      </c>
      <c r="B72" s="31">
        <f t="shared" si="22"/>
        <v>40</v>
      </c>
      <c r="C72" s="434">
        <f>'SOLLECITAZ NASCOSTO'!$D$6/'SOLLECITAZ NASCOSTO'!$B$448*'SOLLECITAZ NASCOSTO'!B72</f>
        <v>0.43577515310200776</v>
      </c>
      <c r="D72" s="434">
        <f t="shared" si="15"/>
        <v>0.26937312671095509</v>
      </c>
      <c r="E72" s="434">
        <f t="shared" si="4"/>
        <v>0.1493731267109551</v>
      </c>
      <c r="F72" s="434">
        <f t="shared" si="5"/>
        <v>0.34779940054750563</v>
      </c>
      <c r="G72" s="434">
        <f t="shared" si="6"/>
        <v>2.7305901023045802E-2</v>
      </c>
      <c r="H72" s="434">
        <f t="shared" si="23"/>
        <v>0</v>
      </c>
      <c r="I72" s="434">
        <v>0</v>
      </c>
      <c r="J72" s="127">
        <f t="shared" si="24"/>
        <v>7.8510489034946201E-2</v>
      </c>
      <c r="K72" s="126">
        <f t="shared" si="9"/>
        <v>1.1968105833958791E-3</v>
      </c>
      <c r="L72" s="41">
        <f t="shared" si="25"/>
        <v>8.1205848989179223</v>
      </c>
      <c r="M72" s="41">
        <f t="shared" si="26"/>
        <v>-1.606084883049826</v>
      </c>
      <c r="N72" s="41">
        <f>(IF(C71&lt;='SOLLECITAZ NASCOSTO'!$P$12,IF(C71&lt;='SOLLECITAZ NASCOSTO'!$P$11,IF(C71&lt;='SOLLECITAZ NASCOSTO'!$P$10,IF(C71&lt;='SOLLECITAZ NASCOSTO'!$P$9,IF(C71&lt;='SOLLECITAZ NASCOSTO'!$P$8,IF(C71&lt;='SOLLECITAZ NASCOSTO'!$P$7,IF(C71&lt;='SOLLECITAZ NASCOSTO'!$P$6,IF(C71&lt;='SOLLECITAZ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paramento'!$G$111),55555)-IF(C71&lt;='SOLLECITAZ NASCOSTO'!$P$12,IF(C71&lt;='SOLLECITAZ NASCOSTO'!$P$11,IF(C71&lt;='SOLLECITAZ NASCOSTO'!$P$10,IF(C71&lt;='SOLLECITAZ NASCOSTO'!$P$9,IF(C71&lt;='SOLLECITAZ NASCOSTO'!$P$8,IF(C71&lt;='SOLLECITAZ NASCOSTO'!$P$7,IF(C71&lt;='SOLLECITAZ NASCOSTO'!$P$6,IF(C71&lt;='SOLLECITAZ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paramento'!$G$111))*(C71-IF(C71&lt;='SOLLECITAZ NASCOSTO'!$P$12,IF(C71&lt;='SOLLECITAZ NASCOSTO'!$P$11,IF(C71&lt;='SOLLECITAZ NASCOSTO'!$P$10,IF(C71&lt;='SOLLECITAZ NASCOSTO'!$P$9,IF(C71&lt;='SOLLECITAZ NASCOSTO'!$P$8,IF(C71&lt;='SOLLECITAZ NASCOSTO'!$P$7,IF(C71&lt;='SOLLECITAZ NASCOSTO'!$P$6,IF(C71&lt;='SOLLECITAZ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NASCOSTO'!$P$12))/IF(C71&lt;='SOLLECITAZ NASCOSTO'!$P$12,IF(C71&lt;='SOLLECITAZ NASCOSTO'!$P$11,IF(C71&lt;='SOLLECITAZ NASCOSTO'!$P$10,IF(C71&lt;='SOLLECITAZ NASCOSTO'!$P$9,IF(C71&lt;='SOLLECITAZ NASCOSTO'!$P$8,IF(C71&lt;='SOLLECITAZ NASCOSTO'!$P$7,IF(C71&lt;='SOLLECITAZ NASCOSTO'!$P$6,IF(C71&lt;='SOLLECITAZ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paramento'!$C$111)+IF(C71&lt;='SOLLECITAZ NASCOSTO'!$P$12,IF(C71&lt;='SOLLECITAZ NASCOSTO'!$P$11,IF(C71&lt;='SOLLECITAZ NASCOSTO'!$P$10,IF(C71&lt;='SOLLECITAZ NASCOSTO'!$P$9,IF(C71&lt;='SOLLECITAZ NASCOSTO'!$P$8,IF(C71&lt;='SOLLECITAZ NASCOSTO'!$P$7,IF(C71&lt;='SOLLECITAZ NASCOSTO'!$P$6,IF(C71&lt;='SOLLECITAZ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23.539140423216963</v>
      </c>
      <c r="O72" s="41">
        <f>IF(C72&lt;='SOLLECITAZ NASCOSTO'!$P$12,IF(C72&lt;='SOLLECITAZ NASCOSTO'!$P$11,IF(C72&lt;='SOLLECITAZ NASCOSTO'!$P$10,IF(C72&lt;='SOLLECITAZ NASCOSTO'!$P$9,IF(C72&lt;='SOLLECITAZ NASCOSTO'!$P$8,IF(C72&lt;='SOLLECITAZ NASCOSTO'!$P$7,IF(C72&lt;='SOLLECITAZ NASCOSTO'!$P$6,IF(C72&lt;='SOLLECITAZ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paramento'!$G$110),55555)*(C72-C71)/IF(C72&lt;='SOLLECITAZ NASCOSTO'!$P$12,IF(C72&lt;='SOLLECITAZ NASCOSTO'!$P$11,IF(C72&lt;='SOLLECITAZ NASCOSTO'!$P$10,IF(C72&lt;='SOLLECITAZ NASCOSTO'!$P$9,IF(C72&lt;='SOLLECITAZ NASCOSTO'!$P$8,IF(C72&lt;='SOLLECITAZ NASCOSTO'!$P$7,IF(C72&lt;='SOLLECITAZ NASCOSTO'!$P$6,IF(C72&lt;='SOLLECITAZ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72" s="41">
        <f t="shared" si="21"/>
        <v>3.8999999999999986E-5</v>
      </c>
      <c r="Q72" s="41">
        <f t="shared" si="19"/>
        <v>1</v>
      </c>
      <c r="R72" s="434">
        <f t="shared" si="10"/>
        <v>0.43577515310200776</v>
      </c>
      <c r="S72" s="45">
        <f t="shared" si="20"/>
        <v>0.43577515310200776</v>
      </c>
      <c r="T72" s="205">
        <f t="shared" si="14"/>
        <v>4.5320615922608809</v>
      </c>
      <c r="U72" s="45">
        <f t="shared" si="17"/>
        <v>8.1205848989179223</v>
      </c>
      <c r="V72" s="45">
        <f t="shared" si="18"/>
        <v>-1.606084883049826</v>
      </c>
      <c r="W72" s="488"/>
    </row>
    <row r="73" spans="1:27" s="421" customFormat="1" x14ac:dyDescent="0.25">
      <c r="A73" s="582">
        <f t="shared" si="11"/>
        <v>0.1509439694590643</v>
      </c>
      <c r="B73" s="31">
        <f t="shared" si="22"/>
        <v>41</v>
      </c>
      <c r="C73" s="434">
        <f>'SOLLECITAZ NASCOSTO'!$D$6/'SOLLECITAZ NASCOSTO'!$B$448*'SOLLECITAZ NASCOSTO'!B73</f>
        <v>0.44666953192955799</v>
      </c>
      <c r="D73" s="434">
        <f t="shared" si="15"/>
        <v>0.27094396945906429</v>
      </c>
      <c r="E73" s="434">
        <f t="shared" si="4"/>
        <v>0.1509439694590643</v>
      </c>
      <c r="F73" s="434">
        <f t="shared" si="5"/>
        <v>0.34830207022690057</v>
      </c>
      <c r="G73" s="434">
        <f t="shared" si="6"/>
        <v>2.7441701533797498E-2</v>
      </c>
      <c r="H73" s="434">
        <f t="shared" si="23"/>
        <v>0</v>
      </c>
      <c r="I73" s="434">
        <v>0</v>
      </c>
      <c r="J73" s="127">
        <f t="shared" si="24"/>
        <v>7.8787075586202127E-2</v>
      </c>
      <c r="K73" s="126">
        <f t="shared" si="9"/>
        <v>1.2152465854750401E-3</v>
      </c>
      <c r="L73" s="41">
        <f t="shared" si="25"/>
        <v>8.3812473454295979</v>
      </c>
      <c r="M73" s="41">
        <f t="shared" si="26"/>
        <v>-1.6959734889591287</v>
      </c>
      <c r="N73" s="41">
        <f>(IF(C72&lt;='SOLLECITAZ NASCOSTO'!$P$12,IF(C72&lt;='SOLLECITAZ NASCOSTO'!$P$11,IF(C72&lt;='SOLLECITAZ NASCOSTO'!$P$10,IF(C72&lt;='SOLLECITAZ NASCOSTO'!$P$9,IF(C72&lt;='SOLLECITAZ NASCOSTO'!$P$8,IF(C72&lt;='SOLLECITAZ NASCOSTO'!$P$7,IF(C72&lt;='SOLLECITAZ NASCOSTO'!$P$6,IF(C72&lt;='SOLLECITAZ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paramento'!$G$111),55555)-IF(C72&lt;='SOLLECITAZ NASCOSTO'!$P$12,IF(C72&lt;='SOLLECITAZ NASCOSTO'!$P$11,IF(C72&lt;='SOLLECITAZ NASCOSTO'!$P$10,IF(C72&lt;='SOLLECITAZ NASCOSTO'!$P$9,IF(C72&lt;='SOLLECITAZ NASCOSTO'!$P$8,IF(C72&lt;='SOLLECITAZ NASCOSTO'!$P$7,IF(C72&lt;='SOLLECITAZ NASCOSTO'!$P$6,IF(C72&lt;='SOLLECITAZ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paramento'!$G$111))*(C72-IF(C72&lt;='SOLLECITAZ NASCOSTO'!$P$12,IF(C72&lt;='SOLLECITAZ NASCOSTO'!$P$11,IF(C72&lt;='SOLLECITAZ NASCOSTO'!$P$10,IF(C72&lt;='SOLLECITAZ NASCOSTO'!$P$9,IF(C72&lt;='SOLLECITAZ NASCOSTO'!$P$8,IF(C72&lt;='SOLLECITAZ NASCOSTO'!$P$7,IF(C72&lt;='SOLLECITAZ NASCOSTO'!$P$6,IF(C72&lt;='SOLLECITAZ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NASCOSTO'!$P$12))/IF(C72&lt;='SOLLECITAZ NASCOSTO'!$P$12,IF(C72&lt;='SOLLECITAZ NASCOSTO'!$P$11,IF(C72&lt;='SOLLECITAZ NASCOSTO'!$P$10,IF(C72&lt;='SOLLECITAZ NASCOSTO'!$P$9,IF(C72&lt;='SOLLECITAZ NASCOSTO'!$P$8,IF(C72&lt;='SOLLECITAZ NASCOSTO'!$P$7,IF(C72&lt;='SOLLECITAZ NASCOSTO'!$P$6,IF(C72&lt;='SOLLECITAZ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paramento'!$C$111)+IF(C72&lt;='SOLLECITAZ NASCOSTO'!$P$12,IF(C72&lt;='SOLLECITAZ NASCOSTO'!$P$11,IF(C72&lt;='SOLLECITAZ NASCOSTO'!$P$10,IF(C72&lt;='SOLLECITAZ NASCOSTO'!$P$9,IF(C72&lt;='SOLLECITAZ NASCOSTO'!$P$8,IF(C72&lt;='SOLLECITAZ NASCOSTO'!$P$7,IF(C72&lt;='SOLLECITAZ NASCOSTO'!$P$6,IF(C72&lt;='SOLLECITAZ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23.79726335266637</v>
      </c>
      <c r="O73" s="41">
        <f>IF(C73&lt;='SOLLECITAZ NASCOSTO'!$P$12,IF(C73&lt;='SOLLECITAZ NASCOSTO'!$P$11,IF(C73&lt;='SOLLECITAZ NASCOSTO'!$P$10,IF(C73&lt;='SOLLECITAZ NASCOSTO'!$P$9,IF(C73&lt;='SOLLECITAZ NASCOSTO'!$P$8,IF(C73&lt;='SOLLECITAZ NASCOSTO'!$P$7,IF(C73&lt;='SOLLECITAZ NASCOSTO'!$P$6,IF(C73&lt;='SOLLECITAZ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paramento'!$G$110),55555)*(C73-C72)/IF(C73&lt;='SOLLECITAZ NASCOSTO'!$P$12,IF(C73&lt;='SOLLECITAZ NASCOSTO'!$P$11,IF(C73&lt;='SOLLECITAZ NASCOSTO'!$P$10,IF(C73&lt;='SOLLECITAZ NASCOSTO'!$P$9,IF(C73&lt;='SOLLECITAZ NASCOSTO'!$P$8,IF(C73&lt;='SOLLECITAZ NASCOSTO'!$P$7,IF(C73&lt;='SOLLECITAZ NASCOSTO'!$P$6,IF(C73&lt;='SOLLECITAZ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0.25812292944940674</v>
      </c>
      <c r="P73" s="41">
        <f t="shared" si="21"/>
        <v>3.9999999999999983E-5</v>
      </c>
      <c r="Q73" s="41">
        <f t="shared" si="19"/>
        <v>1</v>
      </c>
      <c r="R73" s="434">
        <f t="shared" si="10"/>
        <v>0.44666953192955799</v>
      </c>
      <c r="S73" s="45">
        <f t="shared" si="20"/>
        <v>0.44666953192955799</v>
      </c>
      <c r="T73" s="205">
        <f t="shared" si="14"/>
        <v>4.5320615922608809</v>
      </c>
      <c r="U73" s="45">
        <f t="shared" si="17"/>
        <v>8.3812473454295979</v>
      </c>
      <c r="V73" s="45">
        <f t="shared" si="18"/>
        <v>-1.6959734889591287</v>
      </c>
      <c r="W73" s="488"/>
    </row>
    <row r="74" spans="1:27" s="421" customFormat="1" x14ac:dyDescent="0.25">
      <c r="A74" s="582">
        <f t="shared" si="11"/>
        <v>0.15251481220717344</v>
      </c>
      <c r="B74" s="31">
        <f t="shared" si="22"/>
        <v>42</v>
      </c>
      <c r="C74" s="434">
        <f>'SOLLECITAZ NASCOSTO'!$D$6/'SOLLECITAZ NASCOSTO'!$B$448*'SOLLECITAZ NASCOSTO'!B74</f>
        <v>0.45756391075710817</v>
      </c>
      <c r="D74" s="434">
        <f t="shared" si="15"/>
        <v>0.27251481220717344</v>
      </c>
      <c r="E74" s="434">
        <f t="shared" si="4"/>
        <v>0.15251481220717344</v>
      </c>
      <c r="F74" s="434">
        <f t="shared" si="5"/>
        <v>0.34880473990629551</v>
      </c>
      <c r="G74" s="434">
        <f t="shared" si="6"/>
        <v>2.7578291659569758E-2</v>
      </c>
      <c r="H74" s="434">
        <f t="shared" si="23"/>
        <v>0</v>
      </c>
      <c r="I74" s="434">
        <v>0</v>
      </c>
      <c r="J74" s="127">
        <f t="shared" si="24"/>
        <v>7.9065128722099698E-2</v>
      </c>
      <c r="K74" s="126">
        <f t="shared" si="9"/>
        <v>1.2339324734661858E-3</v>
      </c>
      <c r="L74" s="41">
        <f t="shared" si="25"/>
        <v>8.6447218809187714</v>
      </c>
      <c r="M74" s="41">
        <f t="shared" si="26"/>
        <v>-1.788717168288154</v>
      </c>
      <c r="N74" s="41">
        <f>(IF(C73&lt;='SOLLECITAZ NASCOSTO'!$P$12,IF(C73&lt;='SOLLECITAZ NASCOSTO'!$P$11,IF(C73&lt;='SOLLECITAZ NASCOSTO'!$P$10,IF(C73&lt;='SOLLECITAZ NASCOSTO'!$P$9,IF(C73&lt;='SOLLECITAZ NASCOSTO'!$P$8,IF(C73&lt;='SOLLECITAZ NASCOSTO'!$P$7,IF(C73&lt;='SOLLECITAZ NASCOSTO'!$P$6,IF(C73&lt;='SOLLECITAZ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paramento'!$G$111),55555)-IF(C73&lt;='SOLLECITAZ NASCOSTO'!$P$12,IF(C73&lt;='SOLLECITAZ NASCOSTO'!$P$11,IF(C73&lt;='SOLLECITAZ NASCOSTO'!$P$10,IF(C73&lt;='SOLLECITAZ NASCOSTO'!$P$9,IF(C73&lt;='SOLLECITAZ NASCOSTO'!$P$8,IF(C73&lt;='SOLLECITAZ NASCOSTO'!$P$7,IF(C73&lt;='SOLLECITAZ NASCOSTO'!$P$6,IF(C73&lt;='SOLLECITAZ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paramento'!$G$111))*(C73-IF(C73&lt;='SOLLECITAZ NASCOSTO'!$P$12,IF(C73&lt;='SOLLECITAZ NASCOSTO'!$P$11,IF(C73&lt;='SOLLECITAZ NASCOSTO'!$P$10,IF(C73&lt;='SOLLECITAZ NASCOSTO'!$P$9,IF(C73&lt;='SOLLECITAZ NASCOSTO'!$P$8,IF(C73&lt;='SOLLECITAZ NASCOSTO'!$P$7,IF(C73&lt;='SOLLECITAZ NASCOSTO'!$P$6,IF(C73&lt;='SOLLECITAZ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NASCOSTO'!$P$12))/IF(C73&lt;='SOLLECITAZ NASCOSTO'!$P$12,IF(C73&lt;='SOLLECITAZ NASCOSTO'!$P$11,IF(C73&lt;='SOLLECITAZ NASCOSTO'!$P$10,IF(C73&lt;='SOLLECITAZ NASCOSTO'!$P$9,IF(C73&lt;='SOLLECITAZ NASCOSTO'!$P$8,IF(C73&lt;='SOLLECITAZ NASCOSTO'!$P$7,IF(C73&lt;='SOLLECITAZ NASCOSTO'!$P$6,IF(C73&lt;='SOLLECITAZ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paramento'!$C$111)+IF(C73&lt;='SOLLECITAZ NASCOSTO'!$P$12,IF(C73&lt;='SOLLECITAZ NASCOSTO'!$P$11,IF(C73&lt;='SOLLECITAZ NASCOSTO'!$P$10,IF(C73&lt;='SOLLECITAZ NASCOSTO'!$P$9,IF(C73&lt;='SOLLECITAZ NASCOSTO'!$P$8,IF(C73&lt;='SOLLECITAZ NASCOSTO'!$P$7,IF(C73&lt;='SOLLECITAZ NASCOSTO'!$P$6,IF(C73&lt;='SOLLECITAZ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24.055386282115776</v>
      </c>
      <c r="O74" s="41">
        <f>IF(C74&lt;='SOLLECITAZ NASCOSTO'!$P$12,IF(C74&lt;='SOLLECITAZ NASCOSTO'!$P$11,IF(C74&lt;='SOLLECITAZ NASCOSTO'!$P$10,IF(C74&lt;='SOLLECITAZ NASCOSTO'!$P$9,IF(C74&lt;='SOLLECITAZ NASCOSTO'!$P$8,IF(C74&lt;='SOLLECITAZ NASCOSTO'!$P$7,IF(C74&lt;='SOLLECITAZ NASCOSTO'!$P$6,IF(C74&lt;='SOLLECITAZ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paramento'!$G$110),55555)*(C74-C73)/IF(C74&lt;='SOLLECITAZ NASCOSTO'!$P$12,IF(C74&lt;='SOLLECITAZ NASCOSTO'!$P$11,IF(C74&lt;='SOLLECITAZ NASCOSTO'!$P$10,IF(C74&lt;='SOLLECITAZ NASCOSTO'!$P$9,IF(C74&lt;='SOLLECITAZ NASCOSTO'!$P$8,IF(C74&lt;='SOLLECITAZ NASCOSTO'!$P$7,IF(C74&lt;='SOLLECITAZ NASCOSTO'!$P$6,IF(C74&lt;='SOLLECITAZ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74" s="41">
        <f t="shared" si="21"/>
        <v>4.099999999999998E-5</v>
      </c>
      <c r="Q74" s="41">
        <f t="shared" si="19"/>
        <v>1</v>
      </c>
      <c r="R74" s="434">
        <f t="shared" si="10"/>
        <v>0.45756391075710817</v>
      </c>
      <c r="S74" s="45">
        <f t="shared" si="20"/>
        <v>0.45756391075710817</v>
      </c>
      <c r="T74" s="205">
        <f t="shared" si="14"/>
        <v>4.5320615922608809</v>
      </c>
      <c r="U74" s="45">
        <f t="shared" si="17"/>
        <v>8.6447218809187714</v>
      </c>
      <c r="V74" s="45">
        <f t="shared" si="18"/>
        <v>-1.788717168288154</v>
      </c>
      <c r="W74" s="488"/>
    </row>
    <row r="75" spans="1:27" s="421" customFormat="1" x14ac:dyDescent="0.25">
      <c r="A75" s="581">
        <f t="shared" si="11"/>
        <v>0.15408565495528259</v>
      </c>
      <c r="B75" s="31">
        <f t="shared" si="22"/>
        <v>43</v>
      </c>
      <c r="C75" s="434">
        <f>'SOLLECITAZ NASCOSTO'!$D$6/'SOLLECITAZ NASCOSTO'!$B$448*'SOLLECITAZ NASCOSTO'!B75</f>
        <v>0.46845828958465835</v>
      </c>
      <c r="D75" s="434">
        <f t="shared" si="15"/>
        <v>0.27408565495528259</v>
      </c>
      <c r="E75" s="434">
        <f t="shared" si="4"/>
        <v>0.15408565495528259</v>
      </c>
      <c r="F75" s="434">
        <f t="shared" si="5"/>
        <v>0.3493074095856904</v>
      </c>
      <c r="G75" s="434">
        <f t="shared" si="6"/>
        <v>2.7715671400362595E-2</v>
      </c>
      <c r="H75" s="434">
        <f t="shared" si="23"/>
        <v>0</v>
      </c>
      <c r="I75" s="434">
        <v>0</v>
      </c>
      <c r="J75" s="127">
        <f t="shared" si="24"/>
        <v>7.9344642111187511E-2</v>
      </c>
      <c r="K75" s="126">
        <f t="shared" si="9"/>
        <v>1.2528696439440617E-3</v>
      </c>
      <c r="L75" s="41">
        <f t="shared" si="25"/>
        <v>8.9110085053854426</v>
      </c>
      <c r="M75" s="41">
        <f t="shared" si="26"/>
        <v>-1.8843465569995199</v>
      </c>
      <c r="N75" s="41">
        <f>(IF(C74&lt;='SOLLECITAZ NASCOSTO'!$P$12,IF(C74&lt;='SOLLECITAZ NASCOSTO'!$P$11,IF(C74&lt;='SOLLECITAZ NASCOSTO'!$P$10,IF(C74&lt;='SOLLECITAZ NASCOSTO'!$P$9,IF(C74&lt;='SOLLECITAZ NASCOSTO'!$P$8,IF(C74&lt;='SOLLECITAZ NASCOSTO'!$P$7,IF(C74&lt;='SOLLECITAZ NASCOSTO'!$P$6,IF(C74&lt;='SOLLECITAZ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paramento'!$G$111),55555)-IF(C74&lt;='SOLLECITAZ NASCOSTO'!$P$12,IF(C74&lt;='SOLLECITAZ NASCOSTO'!$P$11,IF(C74&lt;='SOLLECITAZ NASCOSTO'!$P$10,IF(C74&lt;='SOLLECITAZ NASCOSTO'!$P$9,IF(C74&lt;='SOLLECITAZ NASCOSTO'!$P$8,IF(C74&lt;='SOLLECITAZ NASCOSTO'!$P$7,IF(C74&lt;='SOLLECITAZ NASCOSTO'!$P$6,IF(C74&lt;='SOLLECITAZ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paramento'!$G$111))*(C74-IF(C74&lt;='SOLLECITAZ NASCOSTO'!$P$12,IF(C74&lt;='SOLLECITAZ NASCOSTO'!$P$11,IF(C74&lt;='SOLLECITAZ NASCOSTO'!$P$10,IF(C74&lt;='SOLLECITAZ NASCOSTO'!$P$9,IF(C74&lt;='SOLLECITAZ NASCOSTO'!$P$8,IF(C74&lt;='SOLLECITAZ NASCOSTO'!$P$7,IF(C74&lt;='SOLLECITAZ NASCOSTO'!$P$6,IF(C74&lt;='SOLLECITAZ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NASCOSTO'!$P$12))/IF(C74&lt;='SOLLECITAZ NASCOSTO'!$P$12,IF(C74&lt;='SOLLECITAZ NASCOSTO'!$P$11,IF(C74&lt;='SOLLECITAZ NASCOSTO'!$P$10,IF(C74&lt;='SOLLECITAZ NASCOSTO'!$P$9,IF(C74&lt;='SOLLECITAZ NASCOSTO'!$P$8,IF(C74&lt;='SOLLECITAZ NASCOSTO'!$P$7,IF(C74&lt;='SOLLECITAZ NASCOSTO'!$P$6,IF(C74&lt;='SOLLECITAZ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paramento'!$C$111)+IF(C74&lt;='SOLLECITAZ NASCOSTO'!$P$12,IF(C74&lt;='SOLLECITAZ NASCOSTO'!$P$11,IF(C74&lt;='SOLLECITAZ NASCOSTO'!$P$10,IF(C74&lt;='SOLLECITAZ NASCOSTO'!$P$9,IF(C74&lt;='SOLLECITAZ NASCOSTO'!$P$8,IF(C74&lt;='SOLLECITAZ NASCOSTO'!$P$7,IF(C74&lt;='SOLLECITAZ NASCOSTO'!$P$6,IF(C74&lt;='SOLLECITAZ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24.313509211565183</v>
      </c>
      <c r="O75" s="41">
        <f>IF(C75&lt;='SOLLECITAZ NASCOSTO'!$P$12,IF(C75&lt;='SOLLECITAZ NASCOSTO'!$P$11,IF(C75&lt;='SOLLECITAZ NASCOSTO'!$P$10,IF(C75&lt;='SOLLECITAZ NASCOSTO'!$P$9,IF(C75&lt;='SOLLECITAZ NASCOSTO'!$P$8,IF(C75&lt;='SOLLECITAZ NASCOSTO'!$P$7,IF(C75&lt;='SOLLECITAZ NASCOSTO'!$P$6,IF(C75&lt;='SOLLECITAZ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paramento'!$G$110),55555)*(C75-C74)/IF(C75&lt;='SOLLECITAZ NASCOSTO'!$P$12,IF(C75&lt;='SOLLECITAZ NASCOSTO'!$P$11,IF(C75&lt;='SOLLECITAZ NASCOSTO'!$P$10,IF(C75&lt;='SOLLECITAZ NASCOSTO'!$P$9,IF(C75&lt;='SOLLECITAZ NASCOSTO'!$P$8,IF(C75&lt;='SOLLECITAZ NASCOSTO'!$P$7,IF(C75&lt;='SOLLECITAZ NASCOSTO'!$P$6,IF(C75&lt;='SOLLECITAZ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75" s="41">
        <f t="shared" si="21"/>
        <v>4.1999999999999977E-5</v>
      </c>
      <c r="Q75" s="41">
        <f t="shared" si="19"/>
        <v>1</v>
      </c>
      <c r="R75" s="434">
        <f t="shared" si="10"/>
        <v>0.46845828958465835</v>
      </c>
      <c r="S75" s="45">
        <f t="shared" si="20"/>
        <v>0.46845828958465835</v>
      </c>
      <c r="T75" s="205">
        <f t="shared" si="14"/>
        <v>4.5320615922608809</v>
      </c>
      <c r="U75" s="45">
        <f t="shared" si="17"/>
        <v>8.9110085053854426</v>
      </c>
      <c r="V75" s="45">
        <f t="shared" si="18"/>
        <v>-1.8843465569995199</v>
      </c>
      <c r="W75" s="488"/>
    </row>
    <row r="76" spans="1:27" s="421" customFormat="1" x14ac:dyDescent="0.25">
      <c r="A76" s="581">
        <f t="shared" si="11"/>
        <v>0.15565649770339174</v>
      </c>
      <c r="B76" s="31">
        <f t="shared" si="22"/>
        <v>44</v>
      </c>
      <c r="C76" s="434">
        <f>'SOLLECITAZ NASCOSTO'!$D$6/'SOLLECITAZ NASCOSTO'!$B$448*'SOLLECITAZ NASCOSTO'!B76</f>
        <v>0.47935266841220858</v>
      </c>
      <c r="D76" s="434">
        <f t="shared" si="15"/>
        <v>0.27565649770339173</v>
      </c>
      <c r="E76" s="434">
        <f t="shared" si="4"/>
        <v>0.15565649770339174</v>
      </c>
      <c r="F76" s="434">
        <f t="shared" si="5"/>
        <v>0.34981007926508534</v>
      </c>
      <c r="G76" s="434">
        <f t="shared" si="6"/>
        <v>2.7853840756176002E-2</v>
      </c>
      <c r="H76" s="434">
        <f t="shared" si="23"/>
        <v>0</v>
      </c>
      <c r="I76" s="434">
        <v>0</v>
      </c>
      <c r="J76" s="127">
        <f t="shared" si="24"/>
        <v>7.9625609458406771E-2</v>
      </c>
      <c r="K76" s="126">
        <f t="shared" si="9"/>
        <v>1.2720594890207647E-3</v>
      </c>
      <c r="L76" s="41">
        <f t="shared" si="25"/>
        <v>9.1801072188296153</v>
      </c>
      <c r="M76" s="41">
        <f t="shared" si="26"/>
        <v>-1.9828922910558446</v>
      </c>
      <c r="N76" s="41">
        <f>(IF(C75&lt;='SOLLECITAZ NASCOSTO'!$P$12,IF(C75&lt;='SOLLECITAZ NASCOSTO'!$P$11,IF(C75&lt;='SOLLECITAZ NASCOSTO'!$P$10,IF(C75&lt;='SOLLECITAZ NASCOSTO'!$P$9,IF(C75&lt;='SOLLECITAZ NASCOSTO'!$P$8,IF(C75&lt;='SOLLECITAZ NASCOSTO'!$P$7,IF(C75&lt;='SOLLECITAZ NASCOSTO'!$P$6,IF(C75&lt;='SOLLECITAZ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paramento'!$G$111),55555)-IF(C75&lt;='SOLLECITAZ NASCOSTO'!$P$12,IF(C75&lt;='SOLLECITAZ NASCOSTO'!$P$11,IF(C75&lt;='SOLLECITAZ NASCOSTO'!$P$10,IF(C75&lt;='SOLLECITAZ NASCOSTO'!$P$9,IF(C75&lt;='SOLLECITAZ NASCOSTO'!$P$8,IF(C75&lt;='SOLLECITAZ NASCOSTO'!$P$7,IF(C75&lt;='SOLLECITAZ NASCOSTO'!$P$6,IF(C75&lt;='SOLLECITAZ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paramento'!$G$111))*(C75-IF(C75&lt;='SOLLECITAZ NASCOSTO'!$P$12,IF(C75&lt;='SOLLECITAZ NASCOSTO'!$P$11,IF(C75&lt;='SOLLECITAZ NASCOSTO'!$P$10,IF(C75&lt;='SOLLECITAZ NASCOSTO'!$P$9,IF(C75&lt;='SOLLECITAZ NASCOSTO'!$P$8,IF(C75&lt;='SOLLECITAZ NASCOSTO'!$P$7,IF(C75&lt;='SOLLECITAZ NASCOSTO'!$P$6,IF(C75&lt;='SOLLECITAZ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NASCOSTO'!$P$12))/IF(C75&lt;='SOLLECITAZ NASCOSTO'!$P$12,IF(C75&lt;='SOLLECITAZ NASCOSTO'!$P$11,IF(C75&lt;='SOLLECITAZ NASCOSTO'!$P$10,IF(C75&lt;='SOLLECITAZ NASCOSTO'!$P$9,IF(C75&lt;='SOLLECITAZ NASCOSTO'!$P$8,IF(C75&lt;='SOLLECITAZ NASCOSTO'!$P$7,IF(C75&lt;='SOLLECITAZ NASCOSTO'!$P$6,IF(C75&lt;='SOLLECITAZ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paramento'!$C$111)+IF(C75&lt;='SOLLECITAZ NASCOSTO'!$P$12,IF(C75&lt;='SOLLECITAZ NASCOSTO'!$P$11,IF(C75&lt;='SOLLECITAZ NASCOSTO'!$P$10,IF(C75&lt;='SOLLECITAZ NASCOSTO'!$P$9,IF(C75&lt;='SOLLECITAZ NASCOSTO'!$P$8,IF(C75&lt;='SOLLECITAZ NASCOSTO'!$P$7,IF(C75&lt;='SOLLECITAZ NASCOSTO'!$P$6,IF(C75&lt;='SOLLECITAZ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24.571632141014589</v>
      </c>
      <c r="O76" s="41">
        <f>IF(C76&lt;='SOLLECITAZ NASCOSTO'!$P$12,IF(C76&lt;='SOLLECITAZ NASCOSTO'!$P$11,IF(C76&lt;='SOLLECITAZ NASCOSTO'!$P$10,IF(C76&lt;='SOLLECITAZ NASCOSTO'!$P$9,IF(C76&lt;='SOLLECITAZ NASCOSTO'!$P$8,IF(C76&lt;='SOLLECITAZ NASCOSTO'!$P$7,IF(C76&lt;='SOLLECITAZ NASCOSTO'!$P$6,IF(C76&lt;='SOLLECITAZ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paramento'!$G$110),55555)*(C76-C75)/IF(C76&lt;='SOLLECITAZ NASCOSTO'!$P$12,IF(C76&lt;='SOLLECITAZ NASCOSTO'!$P$11,IF(C76&lt;='SOLLECITAZ NASCOSTO'!$P$10,IF(C76&lt;='SOLLECITAZ NASCOSTO'!$P$9,IF(C76&lt;='SOLLECITAZ NASCOSTO'!$P$8,IF(C76&lt;='SOLLECITAZ NASCOSTO'!$P$7,IF(C76&lt;='SOLLECITAZ NASCOSTO'!$P$6,IF(C76&lt;='SOLLECITAZ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0.25812292944940674</v>
      </c>
      <c r="P76" s="41">
        <f t="shared" si="21"/>
        <v>4.2999999999999975E-5</v>
      </c>
      <c r="Q76" s="41">
        <f t="shared" si="19"/>
        <v>1</v>
      </c>
      <c r="R76" s="434">
        <f t="shared" si="10"/>
        <v>0.47935266841220858</v>
      </c>
      <c r="S76" s="45">
        <f t="shared" si="20"/>
        <v>0.47935266841220858</v>
      </c>
      <c r="T76" s="205">
        <f t="shared" si="14"/>
        <v>4.5320615922608809</v>
      </c>
      <c r="U76" s="45">
        <f t="shared" si="17"/>
        <v>9.1801072188296153</v>
      </c>
      <c r="V76" s="45">
        <f t="shared" si="18"/>
        <v>-1.9828922910558446</v>
      </c>
      <c r="W76" s="488"/>
    </row>
    <row r="77" spans="1:27" s="421" customFormat="1" x14ac:dyDescent="0.25">
      <c r="A77" s="581">
        <f t="shared" si="11"/>
        <v>0.15722734045150094</v>
      </c>
      <c r="B77" s="31">
        <f t="shared" si="22"/>
        <v>45</v>
      </c>
      <c r="C77" s="434">
        <f>'SOLLECITAZ NASCOSTO'!$D$6/'SOLLECITAZ NASCOSTO'!$B$448*'SOLLECITAZ NASCOSTO'!B77</f>
        <v>0.49024704723975876</v>
      </c>
      <c r="D77" s="434">
        <f t="shared" si="15"/>
        <v>0.27722734045150094</v>
      </c>
      <c r="E77" s="434">
        <f t="shared" si="4"/>
        <v>0.15722734045150094</v>
      </c>
      <c r="F77" s="434">
        <f t="shared" si="5"/>
        <v>0.35031274894448028</v>
      </c>
      <c r="G77" s="434">
        <f t="shared" si="6"/>
        <v>2.7992799727009986E-2</v>
      </c>
      <c r="H77" s="434">
        <f t="shared" si="23"/>
        <v>0</v>
      </c>
      <c r="I77" s="434">
        <v>0</v>
      </c>
      <c r="J77" s="127">
        <f t="shared" si="24"/>
        <v>7.9908024504830269E-2</v>
      </c>
      <c r="K77" s="126">
        <f t="shared" si="9"/>
        <v>1.2915033963777607E-3</v>
      </c>
      <c r="L77" s="41">
        <f t="shared" si="25"/>
        <v>9.4520180212512841</v>
      </c>
      <c r="M77" s="41">
        <f t="shared" si="26"/>
        <v>-2.0843850064197449</v>
      </c>
      <c r="N77" s="41">
        <f>(IF(C76&lt;='SOLLECITAZ NASCOSTO'!$P$12,IF(C76&lt;='SOLLECITAZ NASCOSTO'!$P$11,IF(C76&lt;='SOLLECITAZ NASCOSTO'!$P$10,IF(C76&lt;='SOLLECITAZ NASCOSTO'!$P$9,IF(C76&lt;='SOLLECITAZ NASCOSTO'!$P$8,IF(C76&lt;='SOLLECITAZ NASCOSTO'!$P$7,IF(C76&lt;='SOLLECITAZ NASCOSTO'!$P$6,IF(C76&lt;='SOLLECITAZ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paramento'!$G$111),55555)-IF(C76&lt;='SOLLECITAZ NASCOSTO'!$P$12,IF(C76&lt;='SOLLECITAZ NASCOSTO'!$P$11,IF(C76&lt;='SOLLECITAZ NASCOSTO'!$P$10,IF(C76&lt;='SOLLECITAZ NASCOSTO'!$P$9,IF(C76&lt;='SOLLECITAZ NASCOSTO'!$P$8,IF(C76&lt;='SOLLECITAZ NASCOSTO'!$P$7,IF(C76&lt;='SOLLECITAZ NASCOSTO'!$P$6,IF(C76&lt;='SOLLECITAZ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paramento'!$G$111))*(C76-IF(C76&lt;='SOLLECITAZ NASCOSTO'!$P$12,IF(C76&lt;='SOLLECITAZ NASCOSTO'!$P$11,IF(C76&lt;='SOLLECITAZ NASCOSTO'!$P$10,IF(C76&lt;='SOLLECITAZ NASCOSTO'!$P$9,IF(C76&lt;='SOLLECITAZ NASCOSTO'!$P$8,IF(C76&lt;='SOLLECITAZ NASCOSTO'!$P$7,IF(C76&lt;='SOLLECITAZ NASCOSTO'!$P$6,IF(C76&lt;='SOLLECITAZ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NASCOSTO'!$P$12))/IF(C76&lt;='SOLLECITAZ NASCOSTO'!$P$12,IF(C76&lt;='SOLLECITAZ NASCOSTO'!$P$11,IF(C76&lt;='SOLLECITAZ NASCOSTO'!$P$10,IF(C76&lt;='SOLLECITAZ NASCOSTO'!$P$9,IF(C76&lt;='SOLLECITAZ NASCOSTO'!$P$8,IF(C76&lt;='SOLLECITAZ NASCOSTO'!$P$7,IF(C76&lt;='SOLLECITAZ NASCOSTO'!$P$6,IF(C76&lt;='SOLLECITAZ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paramento'!$C$111)+IF(C76&lt;='SOLLECITAZ NASCOSTO'!$P$12,IF(C76&lt;='SOLLECITAZ NASCOSTO'!$P$11,IF(C76&lt;='SOLLECITAZ NASCOSTO'!$P$10,IF(C76&lt;='SOLLECITAZ NASCOSTO'!$P$9,IF(C76&lt;='SOLLECITAZ NASCOSTO'!$P$8,IF(C76&lt;='SOLLECITAZ NASCOSTO'!$P$7,IF(C76&lt;='SOLLECITAZ NASCOSTO'!$P$6,IF(C76&lt;='SOLLECITAZ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24.829755070463996</v>
      </c>
      <c r="O77" s="41">
        <f>IF(C77&lt;='SOLLECITAZ NASCOSTO'!$P$12,IF(C77&lt;='SOLLECITAZ NASCOSTO'!$P$11,IF(C77&lt;='SOLLECITAZ NASCOSTO'!$P$10,IF(C77&lt;='SOLLECITAZ NASCOSTO'!$P$9,IF(C77&lt;='SOLLECITAZ NASCOSTO'!$P$8,IF(C77&lt;='SOLLECITAZ NASCOSTO'!$P$7,IF(C77&lt;='SOLLECITAZ NASCOSTO'!$P$6,IF(C77&lt;='SOLLECITAZ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paramento'!$G$110),55555)*(C77-C76)/IF(C77&lt;='SOLLECITAZ NASCOSTO'!$P$12,IF(C77&lt;='SOLLECITAZ NASCOSTO'!$P$11,IF(C77&lt;='SOLLECITAZ NASCOSTO'!$P$10,IF(C77&lt;='SOLLECITAZ NASCOSTO'!$P$9,IF(C77&lt;='SOLLECITAZ NASCOSTO'!$P$8,IF(C77&lt;='SOLLECITAZ NASCOSTO'!$P$7,IF(C77&lt;='SOLLECITAZ NASCOSTO'!$P$6,IF(C77&lt;='SOLLECITAZ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77" s="41">
        <f t="shared" si="21"/>
        <v>4.3999999999999972E-5</v>
      </c>
      <c r="Q77" s="41">
        <f t="shared" si="19"/>
        <v>1</v>
      </c>
      <c r="R77" s="434">
        <f t="shared" si="10"/>
        <v>0.49024704723975876</v>
      </c>
      <c r="S77" s="45">
        <f t="shared" si="20"/>
        <v>0.49024704723975876</v>
      </c>
      <c r="T77" s="205">
        <f t="shared" si="14"/>
        <v>4.5320615922608809</v>
      </c>
      <c r="U77" s="45">
        <f t="shared" si="17"/>
        <v>9.4520180212512841</v>
      </c>
      <c r="V77" s="45">
        <f t="shared" si="18"/>
        <v>-2.0843850064197449</v>
      </c>
      <c r="W77" s="488"/>
    </row>
    <row r="78" spans="1:27" s="421" customFormat="1" x14ac:dyDescent="0.25">
      <c r="A78" s="581">
        <f t="shared" si="11"/>
        <v>0.15879818319961009</v>
      </c>
      <c r="B78" s="31">
        <f t="shared" si="22"/>
        <v>46</v>
      </c>
      <c r="C78" s="434">
        <f>'SOLLECITAZ NASCOSTO'!$D$6/'SOLLECITAZ NASCOSTO'!$B$448*'SOLLECITAZ NASCOSTO'!B78</f>
        <v>0.50114142606730894</v>
      </c>
      <c r="D78" s="434">
        <f t="shared" si="15"/>
        <v>0.27879818319961008</v>
      </c>
      <c r="E78" s="434">
        <f t="shared" si="4"/>
        <v>0.15879818319961009</v>
      </c>
      <c r="F78" s="434">
        <f t="shared" si="5"/>
        <v>0.35081541862387522</v>
      </c>
      <c r="G78" s="434">
        <f t="shared" si="6"/>
        <v>2.8132548312864533E-2</v>
      </c>
      <c r="H78" s="434">
        <f t="shared" si="23"/>
        <v>0</v>
      </c>
      <c r="I78" s="434">
        <v>0</v>
      </c>
      <c r="J78" s="127">
        <f t="shared" si="24"/>
        <v>8.0191881027403433E-2</v>
      </c>
      <c r="K78" s="126">
        <f t="shared" si="9"/>
        <v>1.3112027492976266E-3</v>
      </c>
      <c r="L78" s="41">
        <f t="shared" si="25"/>
        <v>9.7267409126504525</v>
      </c>
      <c r="M78" s="41">
        <f t="shared" si="26"/>
        <v>-2.188855339053839</v>
      </c>
      <c r="N78" s="41">
        <f>(IF(C77&lt;='SOLLECITAZ NASCOSTO'!$P$12,IF(C77&lt;='SOLLECITAZ NASCOSTO'!$P$11,IF(C77&lt;='SOLLECITAZ NASCOSTO'!$P$10,IF(C77&lt;='SOLLECITAZ NASCOSTO'!$P$9,IF(C77&lt;='SOLLECITAZ NASCOSTO'!$P$8,IF(C77&lt;='SOLLECITAZ NASCOSTO'!$P$7,IF(C77&lt;='SOLLECITAZ NASCOSTO'!$P$6,IF(C77&lt;='SOLLECITAZ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paramento'!$G$111),55555)-IF(C77&lt;='SOLLECITAZ NASCOSTO'!$P$12,IF(C77&lt;='SOLLECITAZ NASCOSTO'!$P$11,IF(C77&lt;='SOLLECITAZ NASCOSTO'!$P$10,IF(C77&lt;='SOLLECITAZ NASCOSTO'!$P$9,IF(C77&lt;='SOLLECITAZ NASCOSTO'!$P$8,IF(C77&lt;='SOLLECITAZ NASCOSTO'!$P$7,IF(C77&lt;='SOLLECITAZ NASCOSTO'!$P$6,IF(C77&lt;='SOLLECITAZ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paramento'!$G$111))*(C77-IF(C77&lt;='SOLLECITAZ NASCOSTO'!$P$12,IF(C77&lt;='SOLLECITAZ NASCOSTO'!$P$11,IF(C77&lt;='SOLLECITAZ NASCOSTO'!$P$10,IF(C77&lt;='SOLLECITAZ NASCOSTO'!$P$9,IF(C77&lt;='SOLLECITAZ NASCOSTO'!$P$8,IF(C77&lt;='SOLLECITAZ NASCOSTO'!$P$7,IF(C77&lt;='SOLLECITAZ NASCOSTO'!$P$6,IF(C77&lt;='SOLLECITAZ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NASCOSTO'!$P$12))/IF(C77&lt;='SOLLECITAZ NASCOSTO'!$P$12,IF(C77&lt;='SOLLECITAZ NASCOSTO'!$P$11,IF(C77&lt;='SOLLECITAZ NASCOSTO'!$P$10,IF(C77&lt;='SOLLECITAZ NASCOSTO'!$P$9,IF(C77&lt;='SOLLECITAZ NASCOSTO'!$P$8,IF(C77&lt;='SOLLECITAZ NASCOSTO'!$P$7,IF(C77&lt;='SOLLECITAZ NASCOSTO'!$P$6,IF(C77&lt;='SOLLECITAZ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paramento'!$C$111)+IF(C77&lt;='SOLLECITAZ NASCOSTO'!$P$12,IF(C77&lt;='SOLLECITAZ NASCOSTO'!$P$11,IF(C77&lt;='SOLLECITAZ NASCOSTO'!$P$10,IF(C77&lt;='SOLLECITAZ NASCOSTO'!$P$9,IF(C77&lt;='SOLLECITAZ NASCOSTO'!$P$8,IF(C77&lt;='SOLLECITAZ NASCOSTO'!$P$7,IF(C77&lt;='SOLLECITAZ NASCOSTO'!$P$6,IF(C77&lt;='SOLLECITAZ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25.087877999913399</v>
      </c>
      <c r="O78" s="41">
        <f>IF(C78&lt;='SOLLECITAZ NASCOSTO'!$P$12,IF(C78&lt;='SOLLECITAZ NASCOSTO'!$P$11,IF(C78&lt;='SOLLECITAZ NASCOSTO'!$P$10,IF(C78&lt;='SOLLECITAZ NASCOSTO'!$P$9,IF(C78&lt;='SOLLECITAZ NASCOSTO'!$P$8,IF(C78&lt;='SOLLECITAZ NASCOSTO'!$P$7,IF(C78&lt;='SOLLECITAZ NASCOSTO'!$P$6,IF(C78&lt;='SOLLECITAZ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paramento'!$G$110),55555)*(C78-C77)/IF(C78&lt;='SOLLECITAZ NASCOSTO'!$P$12,IF(C78&lt;='SOLLECITAZ NASCOSTO'!$P$11,IF(C78&lt;='SOLLECITAZ NASCOSTO'!$P$10,IF(C78&lt;='SOLLECITAZ NASCOSTO'!$P$9,IF(C78&lt;='SOLLECITAZ NASCOSTO'!$P$8,IF(C78&lt;='SOLLECITAZ NASCOSTO'!$P$7,IF(C78&lt;='SOLLECITAZ NASCOSTO'!$P$6,IF(C78&lt;='SOLLECITAZ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78" s="41">
        <f t="shared" si="21"/>
        <v>4.4999999999999969E-5</v>
      </c>
      <c r="Q78" s="41">
        <f t="shared" si="19"/>
        <v>1</v>
      </c>
      <c r="R78" s="434">
        <f t="shared" si="10"/>
        <v>0.50114142606730894</v>
      </c>
      <c r="S78" s="45">
        <f t="shared" si="20"/>
        <v>0.50114142606730894</v>
      </c>
      <c r="T78" s="205">
        <f t="shared" si="14"/>
        <v>4.5309201661935719</v>
      </c>
      <c r="U78" s="45">
        <f t="shared" si="17"/>
        <v>9.7267409126504525</v>
      </c>
      <c r="V78" s="45">
        <f t="shared" si="18"/>
        <v>-2.188855339053839</v>
      </c>
      <c r="W78" s="488"/>
    </row>
    <row r="79" spans="1:27" s="421" customFormat="1" x14ac:dyDescent="0.25">
      <c r="A79" s="581">
        <f t="shared" si="11"/>
        <v>0.16036902594771923</v>
      </c>
      <c r="B79" s="31">
        <f t="shared" si="22"/>
        <v>47</v>
      </c>
      <c r="C79" s="434">
        <f>'SOLLECITAZ NASCOSTO'!$D$6/'SOLLECITAZ NASCOSTO'!$B$448*'SOLLECITAZ NASCOSTO'!B79</f>
        <v>0.51203580489485911</v>
      </c>
      <c r="D79" s="434">
        <f t="shared" si="15"/>
        <v>0.28036902594771923</v>
      </c>
      <c r="E79" s="434">
        <f t="shared" si="4"/>
        <v>0.16036902594771923</v>
      </c>
      <c r="F79" s="434">
        <f t="shared" si="5"/>
        <v>0.35131808830327016</v>
      </c>
      <c r="G79" s="434">
        <f t="shared" si="6"/>
        <v>2.8273086513739658E-2</v>
      </c>
      <c r="H79" s="434">
        <f t="shared" si="23"/>
        <v>0</v>
      </c>
      <c r="I79" s="434">
        <v>0</v>
      </c>
      <c r="J79" s="127">
        <f t="shared" si="24"/>
        <v>8.0477172838687813E-2</v>
      </c>
      <c r="K79" s="126">
        <f t="shared" si="9"/>
        <v>1.3311589266955227E-3</v>
      </c>
      <c r="L79" s="41">
        <f t="shared" si="25"/>
        <v>10.004275893027119</v>
      </c>
      <c r="M79" s="41">
        <f t="shared" si="26"/>
        <v>-2.2963339249207442</v>
      </c>
      <c r="N79" s="41">
        <f>(IF(C78&lt;='SOLLECITAZ NASCOSTO'!$P$12,IF(C78&lt;='SOLLECITAZ NASCOSTO'!$P$11,IF(C78&lt;='SOLLECITAZ NASCOSTO'!$P$10,IF(C78&lt;='SOLLECITAZ NASCOSTO'!$P$9,IF(C78&lt;='SOLLECITAZ NASCOSTO'!$P$8,IF(C78&lt;='SOLLECITAZ NASCOSTO'!$P$7,IF(C78&lt;='SOLLECITAZ NASCOSTO'!$P$6,IF(C78&lt;='SOLLECITAZ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paramento'!$G$111),55555)-IF(C78&lt;='SOLLECITAZ NASCOSTO'!$P$12,IF(C78&lt;='SOLLECITAZ NASCOSTO'!$P$11,IF(C78&lt;='SOLLECITAZ NASCOSTO'!$P$10,IF(C78&lt;='SOLLECITAZ NASCOSTO'!$P$9,IF(C78&lt;='SOLLECITAZ NASCOSTO'!$P$8,IF(C78&lt;='SOLLECITAZ NASCOSTO'!$P$7,IF(C78&lt;='SOLLECITAZ NASCOSTO'!$P$6,IF(C78&lt;='SOLLECITAZ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paramento'!$G$111))*(C78-IF(C78&lt;='SOLLECITAZ NASCOSTO'!$P$12,IF(C78&lt;='SOLLECITAZ NASCOSTO'!$P$11,IF(C78&lt;='SOLLECITAZ NASCOSTO'!$P$10,IF(C78&lt;='SOLLECITAZ NASCOSTO'!$P$9,IF(C78&lt;='SOLLECITAZ NASCOSTO'!$P$8,IF(C78&lt;='SOLLECITAZ NASCOSTO'!$P$7,IF(C78&lt;='SOLLECITAZ NASCOSTO'!$P$6,IF(C78&lt;='SOLLECITAZ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NASCOSTO'!$P$12))/IF(C78&lt;='SOLLECITAZ NASCOSTO'!$P$12,IF(C78&lt;='SOLLECITAZ NASCOSTO'!$P$11,IF(C78&lt;='SOLLECITAZ NASCOSTO'!$P$10,IF(C78&lt;='SOLLECITAZ NASCOSTO'!$P$9,IF(C78&lt;='SOLLECITAZ NASCOSTO'!$P$8,IF(C78&lt;='SOLLECITAZ NASCOSTO'!$P$7,IF(C78&lt;='SOLLECITAZ NASCOSTO'!$P$6,IF(C78&lt;='SOLLECITAZ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paramento'!$C$111)+IF(C78&lt;='SOLLECITAZ NASCOSTO'!$P$12,IF(C78&lt;='SOLLECITAZ NASCOSTO'!$P$11,IF(C78&lt;='SOLLECITAZ NASCOSTO'!$P$10,IF(C78&lt;='SOLLECITAZ NASCOSTO'!$P$9,IF(C78&lt;='SOLLECITAZ NASCOSTO'!$P$8,IF(C78&lt;='SOLLECITAZ NASCOSTO'!$P$7,IF(C78&lt;='SOLLECITAZ NASCOSTO'!$P$6,IF(C78&lt;='SOLLECITAZ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25.346000929362805</v>
      </c>
      <c r="O79" s="41">
        <f>IF(C79&lt;='SOLLECITAZ NASCOSTO'!$P$12,IF(C79&lt;='SOLLECITAZ NASCOSTO'!$P$11,IF(C79&lt;='SOLLECITAZ NASCOSTO'!$P$10,IF(C79&lt;='SOLLECITAZ NASCOSTO'!$P$9,IF(C79&lt;='SOLLECITAZ NASCOSTO'!$P$8,IF(C79&lt;='SOLLECITAZ NASCOSTO'!$P$7,IF(C79&lt;='SOLLECITAZ NASCOSTO'!$P$6,IF(C79&lt;='SOLLECITAZ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paramento'!$G$110),55555)*(C79-C78)/IF(C79&lt;='SOLLECITAZ NASCOSTO'!$P$12,IF(C79&lt;='SOLLECITAZ NASCOSTO'!$P$11,IF(C79&lt;='SOLLECITAZ NASCOSTO'!$P$10,IF(C79&lt;='SOLLECITAZ NASCOSTO'!$P$9,IF(C79&lt;='SOLLECITAZ NASCOSTO'!$P$8,IF(C79&lt;='SOLLECITAZ NASCOSTO'!$P$7,IF(C79&lt;='SOLLECITAZ NASCOSTO'!$P$6,IF(C79&lt;='SOLLECITAZ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79" s="41">
        <f t="shared" si="21"/>
        <v>4.5999999999999966E-5</v>
      </c>
      <c r="Q79" s="41">
        <f t="shared" si="19"/>
        <v>1</v>
      </c>
      <c r="R79" s="434">
        <f t="shared" si="10"/>
        <v>0.51203580489485911</v>
      </c>
      <c r="S79" s="45">
        <f t="shared" si="20"/>
        <v>0.51203580489485911</v>
      </c>
      <c r="T79" s="205">
        <f t="shared" si="14"/>
        <v>4.5200257873660217</v>
      </c>
      <c r="U79" s="45">
        <f t="shared" si="17"/>
        <v>10.004275893027119</v>
      </c>
      <c r="V79" s="45">
        <f t="shared" si="18"/>
        <v>-2.2963339249207442</v>
      </c>
      <c r="W79" s="488"/>
    </row>
    <row r="80" spans="1:27" s="421" customFormat="1" x14ac:dyDescent="0.25">
      <c r="A80" s="581">
        <f t="shared" si="11"/>
        <v>0.16193986869582844</v>
      </c>
      <c r="B80" s="31">
        <f t="shared" si="22"/>
        <v>48</v>
      </c>
      <c r="C80" s="434">
        <f>'SOLLECITAZ NASCOSTO'!$D$6/'SOLLECITAZ NASCOSTO'!$B$448*'SOLLECITAZ NASCOSTO'!B80</f>
        <v>0.5229301837224094</v>
      </c>
      <c r="D80" s="434">
        <f t="shared" si="15"/>
        <v>0.28193986869582843</v>
      </c>
      <c r="E80" s="434">
        <f t="shared" si="4"/>
        <v>0.16193986869582844</v>
      </c>
      <c r="F80" s="434">
        <f t="shared" si="5"/>
        <v>0.3518207579826651</v>
      </c>
      <c r="G80" s="434">
        <f t="shared" si="6"/>
        <v>2.8414414329635356E-2</v>
      </c>
      <c r="H80" s="434">
        <f t="shared" si="23"/>
        <v>0</v>
      </c>
      <c r="I80" s="434">
        <v>0</v>
      </c>
      <c r="J80" s="127">
        <f t="shared" si="24"/>
        <v>8.0763893786606505E-2</v>
      </c>
      <c r="K80" s="126">
        <f t="shared" si="9"/>
        <v>1.3513733031503903E-3</v>
      </c>
      <c r="L80" s="41">
        <f t="shared" si="25"/>
        <v>10.284622962381288</v>
      </c>
      <c r="M80" s="41">
        <f t="shared" si="26"/>
        <v>-2.4068513999830796</v>
      </c>
      <c r="N80" s="41">
        <f>(IF(C79&lt;='SOLLECITAZ NASCOSTO'!$P$12,IF(C79&lt;='SOLLECITAZ NASCOSTO'!$P$11,IF(C79&lt;='SOLLECITAZ NASCOSTO'!$P$10,IF(C79&lt;='SOLLECITAZ NASCOSTO'!$P$9,IF(C79&lt;='SOLLECITAZ NASCOSTO'!$P$8,IF(C79&lt;='SOLLECITAZ NASCOSTO'!$P$7,IF(C79&lt;='SOLLECITAZ NASCOSTO'!$P$6,IF(C79&lt;='SOLLECITAZ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paramento'!$G$111),55555)-IF(C79&lt;='SOLLECITAZ NASCOSTO'!$P$12,IF(C79&lt;='SOLLECITAZ NASCOSTO'!$P$11,IF(C79&lt;='SOLLECITAZ NASCOSTO'!$P$10,IF(C79&lt;='SOLLECITAZ NASCOSTO'!$P$9,IF(C79&lt;='SOLLECITAZ NASCOSTO'!$P$8,IF(C79&lt;='SOLLECITAZ NASCOSTO'!$P$7,IF(C79&lt;='SOLLECITAZ NASCOSTO'!$P$6,IF(C79&lt;='SOLLECITAZ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paramento'!$G$111))*(C79-IF(C79&lt;='SOLLECITAZ NASCOSTO'!$P$12,IF(C79&lt;='SOLLECITAZ NASCOSTO'!$P$11,IF(C79&lt;='SOLLECITAZ NASCOSTO'!$P$10,IF(C79&lt;='SOLLECITAZ NASCOSTO'!$P$9,IF(C79&lt;='SOLLECITAZ NASCOSTO'!$P$8,IF(C79&lt;='SOLLECITAZ NASCOSTO'!$P$7,IF(C79&lt;='SOLLECITAZ NASCOSTO'!$P$6,IF(C79&lt;='SOLLECITAZ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NASCOSTO'!$P$12))/IF(C79&lt;='SOLLECITAZ NASCOSTO'!$P$12,IF(C79&lt;='SOLLECITAZ NASCOSTO'!$P$11,IF(C79&lt;='SOLLECITAZ NASCOSTO'!$P$10,IF(C79&lt;='SOLLECITAZ NASCOSTO'!$P$9,IF(C79&lt;='SOLLECITAZ NASCOSTO'!$P$8,IF(C79&lt;='SOLLECITAZ NASCOSTO'!$P$7,IF(C79&lt;='SOLLECITAZ NASCOSTO'!$P$6,IF(C79&lt;='SOLLECITAZ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paramento'!$C$111)+IF(C79&lt;='SOLLECITAZ NASCOSTO'!$P$12,IF(C79&lt;='SOLLECITAZ NASCOSTO'!$P$11,IF(C79&lt;='SOLLECITAZ NASCOSTO'!$P$10,IF(C79&lt;='SOLLECITAZ NASCOSTO'!$P$9,IF(C79&lt;='SOLLECITAZ NASCOSTO'!$P$8,IF(C79&lt;='SOLLECITAZ NASCOSTO'!$P$7,IF(C79&lt;='SOLLECITAZ NASCOSTO'!$P$6,IF(C79&lt;='SOLLECITAZ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25.604123858812208</v>
      </c>
      <c r="O80" s="41">
        <f>IF(C80&lt;='SOLLECITAZ NASCOSTO'!$P$12,IF(C80&lt;='SOLLECITAZ NASCOSTO'!$P$11,IF(C80&lt;='SOLLECITAZ NASCOSTO'!$P$10,IF(C80&lt;='SOLLECITAZ NASCOSTO'!$P$9,IF(C80&lt;='SOLLECITAZ NASCOSTO'!$P$8,IF(C80&lt;='SOLLECITAZ NASCOSTO'!$P$7,IF(C80&lt;='SOLLECITAZ NASCOSTO'!$P$6,IF(C80&lt;='SOLLECITAZ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paramento'!$G$110),55555)*(C80-C79)/IF(C80&lt;='SOLLECITAZ NASCOSTO'!$P$12,IF(C80&lt;='SOLLECITAZ NASCOSTO'!$P$11,IF(C80&lt;='SOLLECITAZ NASCOSTO'!$P$10,IF(C80&lt;='SOLLECITAZ NASCOSTO'!$P$9,IF(C80&lt;='SOLLECITAZ NASCOSTO'!$P$8,IF(C80&lt;='SOLLECITAZ NASCOSTO'!$P$7,IF(C80&lt;='SOLLECITAZ NASCOSTO'!$P$6,IF(C80&lt;='SOLLECITAZ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0.25812292944940807</v>
      </c>
      <c r="P80" s="41">
        <f t="shared" si="21"/>
        <v>4.6999999999999963E-5</v>
      </c>
      <c r="Q80" s="41">
        <f t="shared" si="19"/>
        <v>1</v>
      </c>
      <c r="R80" s="434">
        <f t="shared" si="10"/>
        <v>0.5229301837224094</v>
      </c>
      <c r="S80" s="45">
        <f t="shared" si="20"/>
        <v>0.5229301837224094</v>
      </c>
      <c r="T80" s="205">
        <f t="shared" si="14"/>
        <v>4.5091314085384715</v>
      </c>
      <c r="U80" s="45">
        <f t="shared" si="17"/>
        <v>10.284622962381288</v>
      </c>
      <c r="V80" s="45">
        <f t="shared" si="18"/>
        <v>-2.4068513999830796</v>
      </c>
      <c r="W80" s="488"/>
      <c r="X80" s="489"/>
      <c r="Y80" s="489"/>
      <c r="Z80" s="490"/>
      <c r="AA80" s="46"/>
    </row>
    <row r="81" spans="1:28" s="421" customFormat="1" x14ac:dyDescent="0.25">
      <c r="A81" s="581">
        <f t="shared" si="11"/>
        <v>0.16351071144393758</v>
      </c>
      <c r="B81" s="31">
        <f t="shared" si="22"/>
        <v>49</v>
      </c>
      <c r="C81" s="434">
        <f>'SOLLECITAZ NASCOSTO'!$D$6/'SOLLECITAZ NASCOSTO'!$B$448*'SOLLECITAZ NASCOSTO'!B81</f>
        <v>0.53382456254995958</v>
      </c>
      <c r="D81" s="434">
        <f t="shared" si="15"/>
        <v>0.28351071144393758</v>
      </c>
      <c r="E81" s="434">
        <f t="shared" si="4"/>
        <v>0.16351071144393758</v>
      </c>
      <c r="F81" s="434">
        <f t="shared" si="5"/>
        <v>0.35232342766206004</v>
      </c>
      <c r="G81" s="434">
        <f t="shared" si="6"/>
        <v>2.8556531760551621E-2</v>
      </c>
      <c r="H81" s="434">
        <f t="shared" si="23"/>
        <v>0</v>
      </c>
      <c r="I81" s="434">
        <v>0</v>
      </c>
      <c r="J81" s="127">
        <f t="shared" si="24"/>
        <v>8.1052037754191994E-2</v>
      </c>
      <c r="K81" s="126">
        <f t="shared" si="9"/>
        <v>1.3718472489358839E-3</v>
      </c>
      <c r="L81" s="41">
        <f t="shared" si="25"/>
        <v>10.567782120712954</v>
      </c>
      <c r="M81" s="41">
        <f t="shared" si="26"/>
        <v>-2.5204384002034605</v>
      </c>
      <c r="N81" s="41">
        <f>(IF(C80&lt;='SOLLECITAZ NASCOSTO'!$P$12,IF(C80&lt;='SOLLECITAZ NASCOSTO'!$P$11,IF(C80&lt;='SOLLECITAZ NASCOSTO'!$P$10,IF(C80&lt;='SOLLECITAZ NASCOSTO'!$P$9,IF(C80&lt;='SOLLECITAZ NASCOSTO'!$P$8,IF(C80&lt;='SOLLECITAZ NASCOSTO'!$P$7,IF(C80&lt;='SOLLECITAZ NASCOSTO'!$P$6,IF(C80&lt;='SOLLECITAZ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paramento'!$G$111),55555)-IF(C80&lt;='SOLLECITAZ NASCOSTO'!$P$12,IF(C80&lt;='SOLLECITAZ NASCOSTO'!$P$11,IF(C80&lt;='SOLLECITAZ NASCOSTO'!$P$10,IF(C80&lt;='SOLLECITAZ NASCOSTO'!$P$9,IF(C80&lt;='SOLLECITAZ NASCOSTO'!$P$8,IF(C80&lt;='SOLLECITAZ NASCOSTO'!$P$7,IF(C80&lt;='SOLLECITAZ NASCOSTO'!$P$6,IF(C80&lt;='SOLLECITAZ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paramento'!$G$111))*(C80-IF(C80&lt;='SOLLECITAZ NASCOSTO'!$P$12,IF(C80&lt;='SOLLECITAZ NASCOSTO'!$P$11,IF(C80&lt;='SOLLECITAZ NASCOSTO'!$P$10,IF(C80&lt;='SOLLECITAZ NASCOSTO'!$P$9,IF(C80&lt;='SOLLECITAZ NASCOSTO'!$P$8,IF(C80&lt;='SOLLECITAZ NASCOSTO'!$P$7,IF(C80&lt;='SOLLECITAZ NASCOSTO'!$P$6,IF(C80&lt;='SOLLECITAZ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NASCOSTO'!$P$12))/IF(C80&lt;='SOLLECITAZ NASCOSTO'!$P$12,IF(C80&lt;='SOLLECITAZ NASCOSTO'!$P$11,IF(C80&lt;='SOLLECITAZ NASCOSTO'!$P$10,IF(C80&lt;='SOLLECITAZ NASCOSTO'!$P$9,IF(C80&lt;='SOLLECITAZ NASCOSTO'!$P$8,IF(C80&lt;='SOLLECITAZ NASCOSTO'!$P$7,IF(C80&lt;='SOLLECITAZ NASCOSTO'!$P$6,IF(C80&lt;='SOLLECITAZ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paramento'!$C$111)+IF(C80&lt;='SOLLECITAZ NASCOSTO'!$P$12,IF(C80&lt;='SOLLECITAZ NASCOSTO'!$P$11,IF(C80&lt;='SOLLECITAZ NASCOSTO'!$P$10,IF(C80&lt;='SOLLECITAZ NASCOSTO'!$P$9,IF(C80&lt;='SOLLECITAZ NASCOSTO'!$P$8,IF(C80&lt;='SOLLECITAZ NASCOSTO'!$P$7,IF(C80&lt;='SOLLECITAZ NASCOSTO'!$P$6,IF(C80&lt;='SOLLECITAZ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25.862246788261618</v>
      </c>
      <c r="O81" s="41">
        <f>IF(C81&lt;='SOLLECITAZ NASCOSTO'!$P$12,IF(C81&lt;='SOLLECITAZ NASCOSTO'!$P$11,IF(C81&lt;='SOLLECITAZ NASCOSTO'!$P$10,IF(C81&lt;='SOLLECITAZ NASCOSTO'!$P$9,IF(C81&lt;='SOLLECITAZ NASCOSTO'!$P$8,IF(C81&lt;='SOLLECITAZ NASCOSTO'!$P$7,IF(C81&lt;='SOLLECITAZ NASCOSTO'!$P$6,IF(C81&lt;='SOLLECITAZ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paramento'!$G$110),55555)*(C81-C80)/IF(C81&lt;='SOLLECITAZ NASCOSTO'!$P$12,IF(C81&lt;='SOLLECITAZ NASCOSTO'!$P$11,IF(C81&lt;='SOLLECITAZ NASCOSTO'!$P$10,IF(C81&lt;='SOLLECITAZ NASCOSTO'!$P$9,IF(C81&lt;='SOLLECITAZ NASCOSTO'!$P$8,IF(C81&lt;='SOLLECITAZ NASCOSTO'!$P$7,IF(C81&lt;='SOLLECITAZ NASCOSTO'!$P$6,IF(C81&lt;='SOLLECITAZ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81" s="41">
        <f t="shared" si="21"/>
        <v>4.7999999999999961E-5</v>
      </c>
      <c r="Q81" s="41">
        <f t="shared" si="19"/>
        <v>1</v>
      </c>
      <c r="R81" s="434">
        <f t="shared" si="10"/>
        <v>0.53382456254995958</v>
      </c>
      <c r="S81" s="45">
        <f t="shared" si="20"/>
        <v>0.53382456254995958</v>
      </c>
      <c r="T81" s="205">
        <f t="shared" si="14"/>
        <v>4.4982370297109213</v>
      </c>
      <c r="U81" s="45">
        <f t="shared" si="17"/>
        <v>10.567782120712954</v>
      </c>
      <c r="V81" s="45">
        <f t="shared" si="18"/>
        <v>-2.5204384002034605</v>
      </c>
      <c r="W81" s="488"/>
      <c r="X81" s="989" t="s">
        <v>849</v>
      </c>
      <c r="Y81" s="989"/>
      <c r="Z81" s="989"/>
      <c r="AA81" s="46"/>
    </row>
    <row r="82" spans="1:28" s="421" customFormat="1" x14ac:dyDescent="0.25">
      <c r="A82" s="581">
        <f t="shared" si="11"/>
        <v>0.16508155419204673</v>
      </c>
      <c r="B82" s="31">
        <f t="shared" si="22"/>
        <v>50</v>
      </c>
      <c r="C82" s="434">
        <f>'SOLLECITAZ NASCOSTO'!$D$6/'SOLLECITAZ NASCOSTO'!$B$448*'SOLLECITAZ NASCOSTO'!B82</f>
        <v>0.54471894137750976</v>
      </c>
      <c r="D82" s="434">
        <f t="shared" si="15"/>
        <v>0.28508155419204673</v>
      </c>
      <c r="E82" s="434">
        <f t="shared" si="4"/>
        <v>0.16508155419204673</v>
      </c>
      <c r="F82" s="434">
        <f t="shared" si="5"/>
        <v>0.35282609734145493</v>
      </c>
      <c r="G82" s="434">
        <f t="shared" si="6"/>
        <v>2.869943880648846E-2</v>
      </c>
      <c r="H82" s="434">
        <f t="shared" si="23"/>
        <v>0</v>
      </c>
      <c r="I82" s="434">
        <v>0</v>
      </c>
      <c r="J82" s="127">
        <f t="shared" si="24"/>
        <v>8.1341598659336045E-2</v>
      </c>
      <c r="K82" s="126">
        <f t="shared" si="9"/>
        <v>1.392582130051044E-3</v>
      </c>
      <c r="L82" s="41">
        <f t="shared" si="25"/>
        <v>10.853753368022117</v>
      </c>
      <c r="M82" s="41">
        <f t="shared" si="26"/>
        <v>-2.6371255615445057</v>
      </c>
      <c r="N82" s="41">
        <f>(IF(C81&lt;='SOLLECITAZ NASCOSTO'!$P$12,IF(C81&lt;='SOLLECITAZ NASCOSTO'!$P$11,IF(C81&lt;='SOLLECITAZ NASCOSTO'!$P$10,IF(C81&lt;='SOLLECITAZ NASCOSTO'!$P$9,IF(C81&lt;='SOLLECITAZ NASCOSTO'!$P$8,IF(C81&lt;='SOLLECITAZ NASCOSTO'!$P$7,IF(C81&lt;='SOLLECITAZ NASCOSTO'!$P$6,IF(C81&lt;='SOLLECITAZ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paramento'!$G$111),55555)-IF(C81&lt;='SOLLECITAZ NASCOSTO'!$P$12,IF(C81&lt;='SOLLECITAZ NASCOSTO'!$P$11,IF(C81&lt;='SOLLECITAZ NASCOSTO'!$P$10,IF(C81&lt;='SOLLECITAZ NASCOSTO'!$P$9,IF(C81&lt;='SOLLECITAZ NASCOSTO'!$P$8,IF(C81&lt;='SOLLECITAZ NASCOSTO'!$P$7,IF(C81&lt;='SOLLECITAZ NASCOSTO'!$P$6,IF(C81&lt;='SOLLECITAZ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paramento'!$G$111))*(C81-IF(C81&lt;='SOLLECITAZ NASCOSTO'!$P$12,IF(C81&lt;='SOLLECITAZ NASCOSTO'!$P$11,IF(C81&lt;='SOLLECITAZ NASCOSTO'!$P$10,IF(C81&lt;='SOLLECITAZ NASCOSTO'!$P$9,IF(C81&lt;='SOLLECITAZ NASCOSTO'!$P$8,IF(C81&lt;='SOLLECITAZ NASCOSTO'!$P$7,IF(C81&lt;='SOLLECITAZ NASCOSTO'!$P$6,IF(C81&lt;='SOLLECITAZ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NASCOSTO'!$P$12))/IF(C81&lt;='SOLLECITAZ NASCOSTO'!$P$12,IF(C81&lt;='SOLLECITAZ NASCOSTO'!$P$11,IF(C81&lt;='SOLLECITAZ NASCOSTO'!$P$10,IF(C81&lt;='SOLLECITAZ NASCOSTO'!$P$9,IF(C81&lt;='SOLLECITAZ NASCOSTO'!$P$8,IF(C81&lt;='SOLLECITAZ NASCOSTO'!$P$7,IF(C81&lt;='SOLLECITAZ NASCOSTO'!$P$6,IF(C81&lt;='SOLLECITAZ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paramento'!$C$111)+IF(C81&lt;='SOLLECITAZ NASCOSTO'!$P$12,IF(C81&lt;='SOLLECITAZ NASCOSTO'!$P$11,IF(C81&lt;='SOLLECITAZ NASCOSTO'!$P$10,IF(C81&lt;='SOLLECITAZ NASCOSTO'!$P$9,IF(C81&lt;='SOLLECITAZ NASCOSTO'!$P$8,IF(C81&lt;='SOLLECITAZ NASCOSTO'!$P$7,IF(C81&lt;='SOLLECITAZ NASCOSTO'!$P$6,IF(C81&lt;='SOLLECITAZ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26.120369717711021</v>
      </c>
      <c r="O82" s="41">
        <f>IF(C82&lt;='SOLLECITAZ NASCOSTO'!$P$12,IF(C82&lt;='SOLLECITAZ NASCOSTO'!$P$11,IF(C82&lt;='SOLLECITAZ NASCOSTO'!$P$10,IF(C82&lt;='SOLLECITAZ NASCOSTO'!$P$9,IF(C82&lt;='SOLLECITAZ NASCOSTO'!$P$8,IF(C82&lt;='SOLLECITAZ NASCOSTO'!$P$7,IF(C82&lt;='SOLLECITAZ NASCOSTO'!$P$6,IF(C82&lt;='SOLLECITAZ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paramento'!$G$110),55555)*(C82-C81)/IF(C82&lt;='SOLLECITAZ NASCOSTO'!$P$12,IF(C82&lt;='SOLLECITAZ NASCOSTO'!$P$11,IF(C82&lt;='SOLLECITAZ NASCOSTO'!$P$10,IF(C82&lt;='SOLLECITAZ NASCOSTO'!$P$9,IF(C82&lt;='SOLLECITAZ NASCOSTO'!$P$8,IF(C82&lt;='SOLLECITAZ NASCOSTO'!$P$7,IF(C82&lt;='SOLLECITAZ NASCOSTO'!$P$6,IF(C82&lt;='SOLLECITAZ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82" s="41">
        <f t="shared" si="21"/>
        <v>4.8999999999999958E-5</v>
      </c>
      <c r="Q82" s="41">
        <f t="shared" si="19"/>
        <v>1</v>
      </c>
      <c r="R82" s="434">
        <f t="shared" si="10"/>
        <v>0.54471894137750976</v>
      </c>
      <c r="S82" s="45">
        <f t="shared" si="20"/>
        <v>0.54471894137750976</v>
      </c>
      <c r="T82" s="205">
        <f t="shared" si="14"/>
        <v>4.4873426508833711</v>
      </c>
      <c r="U82" s="45">
        <f t="shared" si="17"/>
        <v>10.853753368022117</v>
      </c>
      <c r="V82" s="45">
        <f t="shared" si="18"/>
        <v>-2.6371255615445057</v>
      </c>
      <c r="W82" s="488"/>
      <c r="X82" s="489"/>
      <c r="Y82" s="489"/>
      <c r="Z82" s="490"/>
      <c r="AA82" s="46"/>
    </row>
    <row r="83" spans="1:28" s="421" customFormat="1" x14ac:dyDescent="0.25">
      <c r="A83" s="581">
        <f t="shared" si="11"/>
        <v>0.16665239694015588</v>
      </c>
      <c r="B83" s="31">
        <f t="shared" si="22"/>
        <v>51</v>
      </c>
      <c r="C83" s="434">
        <f>'SOLLECITAZ NASCOSTO'!$D$6/'SOLLECITAZ NASCOSTO'!$B$448*'SOLLECITAZ NASCOSTO'!B83</f>
        <v>0.55561332020505994</v>
      </c>
      <c r="D83" s="434">
        <f t="shared" si="15"/>
        <v>0.28665239694015587</v>
      </c>
      <c r="E83" s="434">
        <f t="shared" si="4"/>
        <v>0.16665239694015588</v>
      </c>
      <c r="F83" s="434">
        <f t="shared" si="5"/>
        <v>0.35332876702084987</v>
      </c>
      <c r="G83" s="434">
        <f t="shared" si="6"/>
        <v>2.8843135467445869E-2</v>
      </c>
      <c r="H83" s="434">
        <f t="shared" si="23"/>
        <v>0</v>
      </c>
      <c r="I83" s="434">
        <v>0</v>
      </c>
      <c r="J83" s="127">
        <f t="shared" si="24"/>
        <v>8.1632570454541684E-2</v>
      </c>
      <c r="K83" s="126">
        <f t="shared" si="9"/>
        <v>1.4135793082506987E-3</v>
      </c>
      <c r="L83" s="41">
        <f t="shared" si="25"/>
        <v>11.14253670430878</v>
      </c>
      <c r="M83" s="41">
        <f t="shared" si="26"/>
        <v>-2.7569435199688326</v>
      </c>
      <c r="N83" s="41">
        <f>(IF(C82&lt;='SOLLECITAZ NASCOSTO'!$P$12,IF(C82&lt;='SOLLECITAZ NASCOSTO'!$P$11,IF(C82&lt;='SOLLECITAZ NASCOSTO'!$P$10,IF(C82&lt;='SOLLECITAZ NASCOSTO'!$P$9,IF(C82&lt;='SOLLECITAZ NASCOSTO'!$P$8,IF(C82&lt;='SOLLECITAZ NASCOSTO'!$P$7,IF(C82&lt;='SOLLECITAZ NASCOSTO'!$P$6,IF(C82&lt;='SOLLECITAZ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paramento'!$G$111),55555)-IF(C82&lt;='SOLLECITAZ NASCOSTO'!$P$12,IF(C82&lt;='SOLLECITAZ NASCOSTO'!$P$11,IF(C82&lt;='SOLLECITAZ NASCOSTO'!$P$10,IF(C82&lt;='SOLLECITAZ NASCOSTO'!$P$9,IF(C82&lt;='SOLLECITAZ NASCOSTO'!$P$8,IF(C82&lt;='SOLLECITAZ NASCOSTO'!$P$7,IF(C82&lt;='SOLLECITAZ NASCOSTO'!$P$6,IF(C82&lt;='SOLLECITAZ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paramento'!$G$111))*(C82-IF(C82&lt;='SOLLECITAZ NASCOSTO'!$P$12,IF(C82&lt;='SOLLECITAZ NASCOSTO'!$P$11,IF(C82&lt;='SOLLECITAZ NASCOSTO'!$P$10,IF(C82&lt;='SOLLECITAZ NASCOSTO'!$P$9,IF(C82&lt;='SOLLECITAZ NASCOSTO'!$P$8,IF(C82&lt;='SOLLECITAZ NASCOSTO'!$P$7,IF(C82&lt;='SOLLECITAZ NASCOSTO'!$P$6,IF(C82&lt;='SOLLECITAZ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NASCOSTO'!$P$12))/IF(C82&lt;='SOLLECITAZ NASCOSTO'!$P$12,IF(C82&lt;='SOLLECITAZ NASCOSTO'!$P$11,IF(C82&lt;='SOLLECITAZ NASCOSTO'!$P$10,IF(C82&lt;='SOLLECITAZ NASCOSTO'!$P$9,IF(C82&lt;='SOLLECITAZ NASCOSTO'!$P$8,IF(C82&lt;='SOLLECITAZ NASCOSTO'!$P$7,IF(C82&lt;='SOLLECITAZ NASCOSTO'!$P$6,IF(C82&lt;='SOLLECITAZ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paramento'!$C$111)+IF(C82&lt;='SOLLECITAZ NASCOSTO'!$P$12,IF(C82&lt;='SOLLECITAZ NASCOSTO'!$P$11,IF(C82&lt;='SOLLECITAZ NASCOSTO'!$P$10,IF(C82&lt;='SOLLECITAZ NASCOSTO'!$P$9,IF(C82&lt;='SOLLECITAZ NASCOSTO'!$P$8,IF(C82&lt;='SOLLECITAZ NASCOSTO'!$P$7,IF(C82&lt;='SOLLECITAZ NASCOSTO'!$P$6,IF(C82&lt;='SOLLECITAZ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26.378492647160428</v>
      </c>
      <c r="O83" s="41">
        <f>IF(C83&lt;='SOLLECITAZ NASCOSTO'!$P$12,IF(C83&lt;='SOLLECITAZ NASCOSTO'!$P$11,IF(C83&lt;='SOLLECITAZ NASCOSTO'!$P$10,IF(C83&lt;='SOLLECITAZ NASCOSTO'!$P$9,IF(C83&lt;='SOLLECITAZ NASCOSTO'!$P$8,IF(C83&lt;='SOLLECITAZ NASCOSTO'!$P$7,IF(C83&lt;='SOLLECITAZ NASCOSTO'!$P$6,IF(C83&lt;='SOLLECITAZ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paramento'!$G$110),55555)*(C83-C82)/IF(C83&lt;='SOLLECITAZ NASCOSTO'!$P$12,IF(C83&lt;='SOLLECITAZ NASCOSTO'!$P$11,IF(C83&lt;='SOLLECITAZ NASCOSTO'!$P$10,IF(C83&lt;='SOLLECITAZ NASCOSTO'!$P$9,IF(C83&lt;='SOLLECITAZ NASCOSTO'!$P$8,IF(C83&lt;='SOLLECITAZ NASCOSTO'!$P$7,IF(C83&lt;='SOLLECITAZ NASCOSTO'!$P$6,IF(C83&lt;='SOLLECITAZ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83" s="41">
        <f t="shared" si="21"/>
        <v>4.9999999999999955E-5</v>
      </c>
      <c r="Q83" s="41">
        <f t="shared" si="19"/>
        <v>1</v>
      </c>
      <c r="R83" s="434">
        <f t="shared" si="10"/>
        <v>0.55561332020505994</v>
      </c>
      <c r="S83" s="45">
        <f t="shared" si="20"/>
        <v>0.55561332020505994</v>
      </c>
      <c r="T83" s="205">
        <f t="shared" si="14"/>
        <v>4.476448272055821</v>
      </c>
      <c r="U83" s="45">
        <f t="shared" si="17"/>
        <v>11.14253670430878</v>
      </c>
      <c r="V83" s="45">
        <f t="shared" si="18"/>
        <v>-2.7569435199688326</v>
      </c>
      <c r="W83" s="488"/>
      <c r="X83" s="500" t="s">
        <v>25</v>
      </c>
      <c r="Y83" s="41">
        <f>IF(SPINTE!G82="",0,('ANALISI DELLE SPINTE'!D59))</f>
        <v>88.109045467674491</v>
      </c>
      <c r="Z83" s="490"/>
      <c r="AA83" s="46"/>
    </row>
    <row r="84" spans="1:28" s="421" customFormat="1" x14ac:dyDescent="0.25">
      <c r="A84" s="581">
        <f t="shared" si="11"/>
        <v>0.16822323968826502</v>
      </c>
      <c r="B84" s="31">
        <f t="shared" si="22"/>
        <v>52</v>
      </c>
      <c r="C84" s="434">
        <f>'SOLLECITAZ NASCOSTO'!$D$6/'SOLLECITAZ NASCOSTO'!$B$448*'SOLLECITAZ NASCOSTO'!B84</f>
        <v>0.56650769903261011</v>
      </c>
      <c r="D84" s="434">
        <f t="shared" si="15"/>
        <v>0.28822323968826502</v>
      </c>
      <c r="E84" s="434">
        <f t="shared" si="4"/>
        <v>0.16822323968826502</v>
      </c>
      <c r="F84" s="434">
        <f t="shared" si="5"/>
        <v>0.35383143670024481</v>
      </c>
      <c r="G84" s="434">
        <f t="shared" si="6"/>
        <v>2.8987621743423848E-2</v>
      </c>
      <c r="H84" s="434">
        <f t="shared" si="23"/>
        <v>0</v>
      </c>
      <c r="I84" s="434">
        <v>0</v>
      </c>
      <c r="J84" s="127">
        <f t="shared" si="24"/>
        <v>8.1924947126677375E-2</v>
      </c>
      <c r="K84" s="126">
        <f t="shared" si="9"/>
        <v>1.4348401410756162E-3</v>
      </c>
      <c r="L84" s="41">
        <f t="shared" si="25"/>
        <v>11.434132129572941</v>
      </c>
      <c r="M84" s="41">
        <f t="shared" si="26"/>
        <v>-2.879922911439059</v>
      </c>
      <c r="N84" s="41">
        <f>(IF(C83&lt;='SOLLECITAZ NASCOSTO'!$P$12,IF(C83&lt;='SOLLECITAZ NASCOSTO'!$P$11,IF(C83&lt;='SOLLECITAZ NASCOSTO'!$P$10,IF(C83&lt;='SOLLECITAZ NASCOSTO'!$P$9,IF(C83&lt;='SOLLECITAZ NASCOSTO'!$P$8,IF(C83&lt;='SOLLECITAZ NASCOSTO'!$P$7,IF(C83&lt;='SOLLECITAZ NASCOSTO'!$P$6,IF(C83&lt;='SOLLECITAZ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paramento'!$G$111),55555)-IF(C83&lt;='SOLLECITAZ NASCOSTO'!$P$12,IF(C83&lt;='SOLLECITAZ NASCOSTO'!$P$11,IF(C83&lt;='SOLLECITAZ NASCOSTO'!$P$10,IF(C83&lt;='SOLLECITAZ NASCOSTO'!$P$9,IF(C83&lt;='SOLLECITAZ NASCOSTO'!$P$8,IF(C83&lt;='SOLLECITAZ NASCOSTO'!$P$7,IF(C83&lt;='SOLLECITAZ NASCOSTO'!$P$6,IF(C83&lt;='SOLLECITAZ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paramento'!$G$111))*(C83-IF(C83&lt;='SOLLECITAZ NASCOSTO'!$P$12,IF(C83&lt;='SOLLECITAZ NASCOSTO'!$P$11,IF(C83&lt;='SOLLECITAZ NASCOSTO'!$P$10,IF(C83&lt;='SOLLECITAZ NASCOSTO'!$P$9,IF(C83&lt;='SOLLECITAZ NASCOSTO'!$P$8,IF(C83&lt;='SOLLECITAZ NASCOSTO'!$P$7,IF(C83&lt;='SOLLECITAZ NASCOSTO'!$P$6,IF(C83&lt;='SOLLECITAZ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NASCOSTO'!$P$12))/IF(C83&lt;='SOLLECITAZ NASCOSTO'!$P$12,IF(C83&lt;='SOLLECITAZ NASCOSTO'!$P$11,IF(C83&lt;='SOLLECITAZ NASCOSTO'!$P$10,IF(C83&lt;='SOLLECITAZ NASCOSTO'!$P$9,IF(C83&lt;='SOLLECITAZ NASCOSTO'!$P$8,IF(C83&lt;='SOLLECITAZ NASCOSTO'!$P$7,IF(C83&lt;='SOLLECITAZ NASCOSTO'!$P$6,IF(C83&lt;='SOLLECITAZ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paramento'!$C$111)+IF(C83&lt;='SOLLECITAZ NASCOSTO'!$P$12,IF(C83&lt;='SOLLECITAZ NASCOSTO'!$P$11,IF(C83&lt;='SOLLECITAZ NASCOSTO'!$P$10,IF(C83&lt;='SOLLECITAZ NASCOSTO'!$P$9,IF(C83&lt;='SOLLECITAZ NASCOSTO'!$P$8,IF(C83&lt;='SOLLECITAZ NASCOSTO'!$P$7,IF(C83&lt;='SOLLECITAZ NASCOSTO'!$P$6,IF(C83&lt;='SOLLECITAZ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26.636615576609834</v>
      </c>
      <c r="O84" s="41">
        <f>IF(C84&lt;='SOLLECITAZ NASCOSTO'!$P$12,IF(C84&lt;='SOLLECITAZ NASCOSTO'!$P$11,IF(C84&lt;='SOLLECITAZ NASCOSTO'!$P$10,IF(C84&lt;='SOLLECITAZ NASCOSTO'!$P$9,IF(C84&lt;='SOLLECITAZ NASCOSTO'!$P$8,IF(C84&lt;='SOLLECITAZ NASCOSTO'!$P$7,IF(C84&lt;='SOLLECITAZ NASCOSTO'!$P$6,IF(C84&lt;='SOLLECITAZ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paramento'!$G$110),55555)*(C84-C83)/IF(C84&lt;='SOLLECITAZ NASCOSTO'!$P$12,IF(C84&lt;='SOLLECITAZ NASCOSTO'!$P$11,IF(C84&lt;='SOLLECITAZ NASCOSTO'!$P$10,IF(C84&lt;='SOLLECITAZ NASCOSTO'!$P$9,IF(C84&lt;='SOLLECITAZ NASCOSTO'!$P$8,IF(C84&lt;='SOLLECITAZ NASCOSTO'!$P$7,IF(C84&lt;='SOLLECITAZ NASCOSTO'!$P$6,IF(C84&lt;='SOLLECITAZ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84" s="41">
        <f t="shared" si="21"/>
        <v>5.0999999999999952E-5</v>
      </c>
      <c r="Q84" s="41">
        <f t="shared" si="19"/>
        <v>1</v>
      </c>
      <c r="R84" s="434">
        <f t="shared" si="10"/>
        <v>0.56650769903261011</v>
      </c>
      <c r="S84" s="45">
        <f t="shared" si="20"/>
        <v>0.56650769903261011</v>
      </c>
      <c r="T84" s="205">
        <f t="shared" si="14"/>
        <v>4.4655538932282708</v>
      </c>
      <c r="U84" s="45">
        <f t="shared" si="17"/>
        <v>11.434132129572941</v>
      </c>
      <c r="V84" s="45">
        <f t="shared" si="18"/>
        <v>-2.879922911439059</v>
      </c>
      <c r="W84" s="488"/>
      <c r="X84" s="499" t="s">
        <v>850</v>
      </c>
      <c r="Y84" s="41">
        <f>IF(SPINTE!G82="",0,('ANALISI DELLE SPINTE'!D59)/D7)</f>
        <v>17.509532395863925</v>
      </c>
    </row>
    <row r="85" spans="1:28" s="421" customFormat="1" x14ac:dyDescent="0.25">
      <c r="A85" s="581">
        <f t="shared" si="11"/>
        <v>0.16979408243637423</v>
      </c>
      <c r="B85" s="31">
        <f t="shared" si="22"/>
        <v>53</v>
      </c>
      <c r="C85" s="434">
        <f>'SOLLECITAZ NASCOSTO'!$D$6/'SOLLECITAZ NASCOSTO'!$B$448*'SOLLECITAZ NASCOSTO'!B85</f>
        <v>0.57740207786016029</v>
      </c>
      <c r="D85" s="434">
        <f t="shared" si="15"/>
        <v>0.28979408243637422</v>
      </c>
      <c r="E85" s="434">
        <f t="shared" si="4"/>
        <v>0.16979408243637423</v>
      </c>
      <c r="F85" s="434">
        <f t="shared" si="5"/>
        <v>0.35433410637963975</v>
      </c>
      <c r="G85" s="434">
        <f t="shared" si="6"/>
        <v>2.9132897634422408E-2</v>
      </c>
      <c r="H85" s="434">
        <f t="shared" si="23"/>
        <v>0</v>
      </c>
      <c r="I85" s="434">
        <v>0</v>
      </c>
      <c r="J85" s="127">
        <f t="shared" si="24"/>
        <v>8.2218722696733332E-2</v>
      </c>
      <c r="K85" s="126">
        <f t="shared" si="9"/>
        <v>1.4563659818823921E-3</v>
      </c>
      <c r="L85" s="41">
        <f t="shared" si="25"/>
        <v>11.728539643814601</v>
      </c>
      <c r="M85" s="41">
        <f t="shared" si="26"/>
        <v>-3.0060943719178028</v>
      </c>
      <c r="N85" s="41">
        <f>(IF(C84&lt;='SOLLECITAZ NASCOSTO'!$P$12,IF(C84&lt;='SOLLECITAZ NASCOSTO'!$P$11,IF(C84&lt;='SOLLECITAZ NASCOSTO'!$P$10,IF(C84&lt;='SOLLECITAZ NASCOSTO'!$P$9,IF(C84&lt;='SOLLECITAZ NASCOSTO'!$P$8,IF(C84&lt;='SOLLECITAZ NASCOSTO'!$P$7,IF(C84&lt;='SOLLECITAZ NASCOSTO'!$P$6,IF(C84&lt;='SOLLECITAZ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paramento'!$G$111),55555)-IF(C84&lt;='SOLLECITAZ NASCOSTO'!$P$12,IF(C84&lt;='SOLLECITAZ NASCOSTO'!$P$11,IF(C84&lt;='SOLLECITAZ NASCOSTO'!$P$10,IF(C84&lt;='SOLLECITAZ NASCOSTO'!$P$9,IF(C84&lt;='SOLLECITAZ NASCOSTO'!$P$8,IF(C84&lt;='SOLLECITAZ NASCOSTO'!$P$7,IF(C84&lt;='SOLLECITAZ NASCOSTO'!$P$6,IF(C84&lt;='SOLLECITAZ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paramento'!$G$111))*(C84-IF(C84&lt;='SOLLECITAZ NASCOSTO'!$P$12,IF(C84&lt;='SOLLECITAZ NASCOSTO'!$P$11,IF(C84&lt;='SOLLECITAZ NASCOSTO'!$P$10,IF(C84&lt;='SOLLECITAZ NASCOSTO'!$P$9,IF(C84&lt;='SOLLECITAZ NASCOSTO'!$P$8,IF(C84&lt;='SOLLECITAZ NASCOSTO'!$P$7,IF(C84&lt;='SOLLECITAZ NASCOSTO'!$P$6,IF(C84&lt;='SOLLECITAZ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NASCOSTO'!$P$12))/IF(C84&lt;='SOLLECITAZ NASCOSTO'!$P$12,IF(C84&lt;='SOLLECITAZ NASCOSTO'!$P$11,IF(C84&lt;='SOLLECITAZ NASCOSTO'!$P$10,IF(C84&lt;='SOLLECITAZ NASCOSTO'!$P$9,IF(C84&lt;='SOLLECITAZ NASCOSTO'!$P$8,IF(C84&lt;='SOLLECITAZ NASCOSTO'!$P$7,IF(C84&lt;='SOLLECITAZ NASCOSTO'!$P$6,IF(C84&lt;='SOLLECITAZ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paramento'!$C$111)+IF(C84&lt;='SOLLECITAZ NASCOSTO'!$P$12,IF(C84&lt;='SOLLECITAZ NASCOSTO'!$P$11,IF(C84&lt;='SOLLECITAZ NASCOSTO'!$P$10,IF(C84&lt;='SOLLECITAZ NASCOSTO'!$P$9,IF(C84&lt;='SOLLECITAZ NASCOSTO'!$P$8,IF(C84&lt;='SOLLECITAZ NASCOSTO'!$P$7,IF(C84&lt;='SOLLECITAZ NASCOSTO'!$P$6,IF(C84&lt;='SOLLECITAZ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26.894738506059241</v>
      </c>
      <c r="O85" s="41">
        <f>IF(C85&lt;='SOLLECITAZ NASCOSTO'!$P$12,IF(C85&lt;='SOLLECITAZ NASCOSTO'!$P$11,IF(C85&lt;='SOLLECITAZ NASCOSTO'!$P$10,IF(C85&lt;='SOLLECITAZ NASCOSTO'!$P$9,IF(C85&lt;='SOLLECITAZ NASCOSTO'!$P$8,IF(C85&lt;='SOLLECITAZ NASCOSTO'!$P$7,IF(C85&lt;='SOLLECITAZ NASCOSTO'!$P$6,IF(C85&lt;='SOLLECITAZ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paramento'!$G$110),55555)*(C85-C84)/IF(C85&lt;='SOLLECITAZ NASCOSTO'!$P$12,IF(C85&lt;='SOLLECITAZ NASCOSTO'!$P$11,IF(C85&lt;='SOLLECITAZ NASCOSTO'!$P$10,IF(C85&lt;='SOLLECITAZ NASCOSTO'!$P$9,IF(C85&lt;='SOLLECITAZ NASCOSTO'!$P$8,IF(C85&lt;='SOLLECITAZ NASCOSTO'!$P$7,IF(C85&lt;='SOLLECITAZ NASCOSTO'!$P$6,IF(C85&lt;='SOLLECITAZ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85" s="41">
        <f t="shared" si="21"/>
        <v>5.1999999999999949E-5</v>
      </c>
      <c r="Q85" s="41">
        <f t="shared" si="19"/>
        <v>1</v>
      </c>
      <c r="R85" s="434">
        <f t="shared" si="10"/>
        <v>0.57740207786016029</v>
      </c>
      <c r="S85" s="45">
        <f t="shared" si="20"/>
        <v>0.57740207786016029</v>
      </c>
      <c r="T85" s="205">
        <f t="shared" si="14"/>
        <v>4.4546595144007206</v>
      </c>
      <c r="U85" s="45">
        <f t="shared" si="17"/>
        <v>11.728539643814601</v>
      </c>
      <c r="V85" s="45">
        <f t="shared" si="18"/>
        <v>-3.0060943719178028</v>
      </c>
      <c r="W85" s="488"/>
      <c r="X85" s="499" t="s">
        <v>75</v>
      </c>
      <c r="Y85" s="41">
        <f>'VER. EQU COND. NON DRENATE'!C81</f>
        <v>2.2165813430007493</v>
      </c>
    </row>
    <row r="86" spans="1:28" s="421" customFormat="1" x14ac:dyDescent="0.25">
      <c r="A86" s="581">
        <f t="shared" si="11"/>
        <v>0.17136492518448337</v>
      </c>
      <c r="B86" s="31">
        <f t="shared" si="22"/>
        <v>54</v>
      </c>
      <c r="C86" s="434">
        <f>'SOLLECITAZ NASCOSTO'!$D$6/'SOLLECITAZ NASCOSTO'!$B$448*'SOLLECITAZ NASCOSTO'!B86</f>
        <v>0.58829645668771047</v>
      </c>
      <c r="D86" s="434">
        <f t="shared" si="15"/>
        <v>0.29136492518448337</v>
      </c>
      <c r="E86" s="434">
        <f t="shared" si="4"/>
        <v>0.17136492518448337</v>
      </c>
      <c r="F86" s="434">
        <f t="shared" si="5"/>
        <v>0.35483677605903469</v>
      </c>
      <c r="G86" s="434">
        <f t="shared" si="6"/>
        <v>2.9278963140441535E-2</v>
      </c>
      <c r="H86" s="434">
        <f t="shared" si="23"/>
        <v>0</v>
      </c>
      <c r="I86" s="434">
        <v>0</v>
      </c>
      <c r="J86" s="127">
        <f t="shared" si="24"/>
        <v>8.2513891219579652E-2</v>
      </c>
      <c r="K86" s="126">
        <f t="shared" si="9"/>
        <v>1.4781581798730872E-3</v>
      </c>
      <c r="L86" s="41">
        <f t="shared" si="25"/>
        <v>12.02575924703376</v>
      </c>
      <c r="M86" s="41">
        <f t="shared" si="26"/>
        <v>-3.1354885373676815</v>
      </c>
      <c r="N86" s="41">
        <f>(IF(C85&lt;='SOLLECITAZ NASCOSTO'!$P$12,IF(C85&lt;='SOLLECITAZ NASCOSTO'!$P$11,IF(C85&lt;='SOLLECITAZ NASCOSTO'!$P$10,IF(C85&lt;='SOLLECITAZ NASCOSTO'!$P$9,IF(C85&lt;='SOLLECITAZ NASCOSTO'!$P$8,IF(C85&lt;='SOLLECITAZ NASCOSTO'!$P$7,IF(C85&lt;='SOLLECITAZ NASCOSTO'!$P$6,IF(C85&lt;='SOLLECITAZ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paramento'!$G$111),55555)-IF(C85&lt;='SOLLECITAZ NASCOSTO'!$P$12,IF(C85&lt;='SOLLECITAZ NASCOSTO'!$P$11,IF(C85&lt;='SOLLECITAZ NASCOSTO'!$P$10,IF(C85&lt;='SOLLECITAZ NASCOSTO'!$P$9,IF(C85&lt;='SOLLECITAZ NASCOSTO'!$P$8,IF(C85&lt;='SOLLECITAZ NASCOSTO'!$P$7,IF(C85&lt;='SOLLECITAZ NASCOSTO'!$P$6,IF(C85&lt;='SOLLECITAZ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paramento'!$G$111))*(C85-IF(C85&lt;='SOLLECITAZ NASCOSTO'!$P$12,IF(C85&lt;='SOLLECITAZ NASCOSTO'!$P$11,IF(C85&lt;='SOLLECITAZ NASCOSTO'!$P$10,IF(C85&lt;='SOLLECITAZ NASCOSTO'!$P$9,IF(C85&lt;='SOLLECITAZ NASCOSTO'!$P$8,IF(C85&lt;='SOLLECITAZ NASCOSTO'!$P$7,IF(C85&lt;='SOLLECITAZ NASCOSTO'!$P$6,IF(C85&lt;='SOLLECITAZ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NASCOSTO'!$P$12))/IF(C85&lt;='SOLLECITAZ NASCOSTO'!$P$12,IF(C85&lt;='SOLLECITAZ NASCOSTO'!$P$11,IF(C85&lt;='SOLLECITAZ NASCOSTO'!$P$10,IF(C85&lt;='SOLLECITAZ NASCOSTO'!$P$9,IF(C85&lt;='SOLLECITAZ NASCOSTO'!$P$8,IF(C85&lt;='SOLLECITAZ NASCOSTO'!$P$7,IF(C85&lt;='SOLLECITAZ NASCOSTO'!$P$6,IF(C85&lt;='SOLLECITAZ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paramento'!$C$111)+IF(C85&lt;='SOLLECITAZ NASCOSTO'!$P$12,IF(C85&lt;='SOLLECITAZ NASCOSTO'!$P$11,IF(C85&lt;='SOLLECITAZ NASCOSTO'!$P$10,IF(C85&lt;='SOLLECITAZ NASCOSTO'!$P$9,IF(C85&lt;='SOLLECITAZ NASCOSTO'!$P$8,IF(C85&lt;='SOLLECITAZ NASCOSTO'!$P$7,IF(C85&lt;='SOLLECITAZ NASCOSTO'!$P$6,IF(C85&lt;='SOLLECITAZ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27.152861435508644</v>
      </c>
      <c r="O86" s="41">
        <f>IF(C86&lt;='SOLLECITAZ NASCOSTO'!$P$12,IF(C86&lt;='SOLLECITAZ NASCOSTO'!$P$11,IF(C86&lt;='SOLLECITAZ NASCOSTO'!$P$10,IF(C86&lt;='SOLLECITAZ NASCOSTO'!$P$9,IF(C86&lt;='SOLLECITAZ NASCOSTO'!$P$8,IF(C86&lt;='SOLLECITAZ NASCOSTO'!$P$7,IF(C86&lt;='SOLLECITAZ NASCOSTO'!$P$6,IF(C86&lt;='SOLLECITAZ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paramento'!$G$110),55555)*(C86-C85)/IF(C86&lt;='SOLLECITAZ NASCOSTO'!$P$12,IF(C86&lt;='SOLLECITAZ NASCOSTO'!$P$11,IF(C86&lt;='SOLLECITAZ NASCOSTO'!$P$10,IF(C86&lt;='SOLLECITAZ NASCOSTO'!$P$9,IF(C86&lt;='SOLLECITAZ NASCOSTO'!$P$8,IF(C86&lt;='SOLLECITAZ NASCOSTO'!$P$7,IF(C86&lt;='SOLLECITAZ NASCOSTO'!$P$6,IF(C86&lt;='SOLLECITAZ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86" s="41">
        <f t="shared" si="21"/>
        <v>5.2999999999999947E-5</v>
      </c>
      <c r="Q86" s="41">
        <f t="shared" si="19"/>
        <v>1</v>
      </c>
      <c r="R86" s="434">
        <f t="shared" si="10"/>
        <v>0.58829645668771047</v>
      </c>
      <c r="S86" s="45">
        <f t="shared" si="20"/>
        <v>0.58829645668771047</v>
      </c>
      <c r="T86" s="205">
        <f t="shared" si="14"/>
        <v>4.4437651355731704</v>
      </c>
      <c r="U86" s="45">
        <f t="shared" si="17"/>
        <v>12.02575924703376</v>
      </c>
      <c r="V86" s="45">
        <f t="shared" si="18"/>
        <v>-3.1354885373676815</v>
      </c>
      <c r="W86" s="488"/>
      <c r="X86" s="499" t="s">
        <v>848</v>
      </c>
      <c r="Y86" s="41">
        <f>D7</f>
        <v>5.0320615922608809</v>
      </c>
    </row>
    <row r="87" spans="1:28" s="421" customFormat="1" x14ac:dyDescent="0.25">
      <c r="A87" s="581">
        <f t="shared" si="11"/>
        <v>0.17293576793259258</v>
      </c>
      <c r="B87" s="31">
        <f t="shared" si="22"/>
        <v>55</v>
      </c>
      <c r="C87" s="434">
        <f>'SOLLECITAZ NASCOSTO'!$D$6/'SOLLECITAZ NASCOSTO'!$B$448*'SOLLECITAZ NASCOSTO'!B87</f>
        <v>0.59919083551526076</v>
      </c>
      <c r="D87" s="434">
        <f t="shared" si="15"/>
        <v>0.29293576793259257</v>
      </c>
      <c r="E87" s="434">
        <f t="shared" si="4"/>
        <v>0.17293576793259258</v>
      </c>
      <c r="F87" s="434">
        <f t="shared" si="5"/>
        <v>0.35533944573842963</v>
      </c>
      <c r="G87" s="434">
        <f t="shared" si="6"/>
        <v>2.9425818261481235E-2</v>
      </c>
      <c r="H87" s="434">
        <f t="shared" si="23"/>
        <v>0</v>
      </c>
      <c r="I87" s="434">
        <v>0</v>
      </c>
      <c r="J87" s="127">
        <f t="shared" si="24"/>
        <v>8.2810446783726885E-2</v>
      </c>
      <c r="K87" s="126">
        <f t="shared" si="9"/>
        <v>1.5002180801246151E-3</v>
      </c>
      <c r="L87" s="41">
        <f t="shared" si="25"/>
        <v>12.325790939230421</v>
      </c>
      <c r="M87" s="41">
        <f t="shared" si="26"/>
        <v>-3.2681360437513138</v>
      </c>
      <c r="N87" s="41">
        <f>(IF(C86&lt;='SOLLECITAZ NASCOSTO'!$P$12,IF(C86&lt;='SOLLECITAZ NASCOSTO'!$P$11,IF(C86&lt;='SOLLECITAZ NASCOSTO'!$P$10,IF(C86&lt;='SOLLECITAZ NASCOSTO'!$P$9,IF(C86&lt;='SOLLECITAZ NASCOSTO'!$P$8,IF(C86&lt;='SOLLECITAZ NASCOSTO'!$P$7,IF(C86&lt;='SOLLECITAZ NASCOSTO'!$P$6,IF(C86&lt;='SOLLECITAZ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paramento'!$G$111),55555)-IF(C86&lt;='SOLLECITAZ NASCOSTO'!$P$12,IF(C86&lt;='SOLLECITAZ NASCOSTO'!$P$11,IF(C86&lt;='SOLLECITAZ NASCOSTO'!$P$10,IF(C86&lt;='SOLLECITAZ NASCOSTO'!$P$9,IF(C86&lt;='SOLLECITAZ NASCOSTO'!$P$8,IF(C86&lt;='SOLLECITAZ NASCOSTO'!$P$7,IF(C86&lt;='SOLLECITAZ NASCOSTO'!$P$6,IF(C86&lt;='SOLLECITAZ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paramento'!$G$111))*(C86-IF(C86&lt;='SOLLECITAZ NASCOSTO'!$P$12,IF(C86&lt;='SOLLECITAZ NASCOSTO'!$P$11,IF(C86&lt;='SOLLECITAZ NASCOSTO'!$P$10,IF(C86&lt;='SOLLECITAZ NASCOSTO'!$P$9,IF(C86&lt;='SOLLECITAZ NASCOSTO'!$P$8,IF(C86&lt;='SOLLECITAZ NASCOSTO'!$P$7,IF(C86&lt;='SOLLECITAZ NASCOSTO'!$P$6,IF(C86&lt;='SOLLECITAZ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NASCOSTO'!$P$12))/IF(C86&lt;='SOLLECITAZ NASCOSTO'!$P$12,IF(C86&lt;='SOLLECITAZ NASCOSTO'!$P$11,IF(C86&lt;='SOLLECITAZ NASCOSTO'!$P$10,IF(C86&lt;='SOLLECITAZ NASCOSTO'!$P$9,IF(C86&lt;='SOLLECITAZ NASCOSTO'!$P$8,IF(C86&lt;='SOLLECITAZ NASCOSTO'!$P$7,IF(C86&lt;='SOLLECITAZ NASCOSTO'!$P$6,IF(C86&lt;='SOLLECITAZ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paramento'!$C$111)+IF(C86&lt;='SOLLECITAZ NASCOSTO'!$P$12,IF(C86&lt;='SOLLECITAZ NASCOSTO'!$P$11,IF(C86&lt;='SOLLECITAZ NASCOSTO'!$P$10,IF(C86&lt;='SOLLECITAZ NASCOSTO'!$P$9,IF(C86&lt;='SOLLECITAZ NASCOSTO'!$P$8,IF(C86&lt;='SOLLECITAZ NASCOSTO'!$P$7,IF(C86&lt;='SOLLECITAZ NASCOSTO'!$P$6,IF(C86&lt;='SOLLECITAZ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27.410984364958047</v>
      </c>
      <c r="O87" s="41">
        <f>IF(C87&lt;='SOLLECITAZ NASCOSTO'!$P$12,IF(C87&lt;='SOLLECITAZ NASCOSTO'!$P$11,IF(C87&lt;='SOLLECITAZ NASCOSTO'!$P$10,IF(C87&lt;='SOLLECITAZ NASCOSTO'!$P$9,IF(C87&lt;='SOLLECITAZ NASCOSTO'!$P$8,IF(C87&lt;='SOLLECITAZ NASCOSTO'!$P$7,IF(C87&lt;='SOLLECITAZ NASCOSTO'!$P$6,IF(C87&lt;='SOLLECITAZ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paramento'!$G$110),55555)*(C87-C86)/IF(C87&lt;='SOLLECITAZ NASCOSTO'!$P$12,IF(C87&lt;='SOLLECITAZ NASCOSTO'!$P$11,IF(C87&lt;='SOLLECITAZ NASCOSTO'!$P$10,IF(C87&lt;='SOLLECITAZ NASCOSTO'!$P$9,IF(C87&lt;='SOLLECITAZ NASCOSTO'!$P$8,IF(C87&lt;='SOLLECITAZ NASCOSTO'!$P$7,IF(C87&lt;='SOLLECITAZ NASCOSTO'!$P$6,IF(C87&lt;='SOLLECITAZ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0.25812292944940807</v>
      </c>
      <c r="P87" s="41">
        <f t="shared" si="21"/>
        <v>5.3999999999999944E-5</v>
      </c>
      <c r="Q87" s="41">
        <f t="shared" si="19"/>
        <v>1</v>
      </c>
      <c r="R87" s="434">
        <f t="shared" si="10"/>
        <v>0.59919083551526076</v>
      </c>
      <c r="S87" s="45">
        <f t="shared" si="20"/>
        <v>0.59919083551526076</v>
      </c>
      <c r="T87" s="205">
        <f t="shared" si="14"/>
        <v>4.4328707567456203</v>
      </c>
      <c r="U87" s="45">
        <f t="shared" si="17"/>
        <v>12.325790939230421</v>
      </c>
      <c r="V87" s="45">
        <f t="shared" si="18"/>
        <v>-3.2681360437513138</v>
      </c>
      <c r="W87" s="488"/>
    </row>
    <row r="88" spans="1:28" s="421" customFormat="1" x14ac:dyDescent="0.25">
      <c r="A88" s="581">
        <f t="shared" si="11"/>
        <v>0.17450661068070172</v>
      </c>
      <c r="B88" s="31">
        <f t="shared" si="22"/>
        <v>56</v>
      </c>
      <c r="C88" s="434">
        <f>'SOLLECITAZ NASCOSTO'!$D$6/'SOLLECITAZ NASCOSTO'!$B$448*'SOLLECITAZ NASCOSTO'!B88</f>
        <v>0.61008521434281093</v>
      </c>
      <c r="D88" s="434">
        <f t="shared" si="15"/>
        <v>0.29450661068070172</v>
      </c>
      <c r="E88" s="434">
        <f t="shared" si="4"/>
        <v>0.17450661068070172</v>
      </c>
      <c r="F88" s="434">
        <f t="shared" si="5"/>
        <v>0.35584211541782451</v>
      </c>
      <c r="G88" s="434">
        <f t="shared" si="6"/>
        <v>2.9573462997541503E-2</v>
      </c>
      <c r="H88" s="434">
        <f t="shared" si="23"/>
        <v>0</v>
      </c>
      <c r="I88" s="434">
        <v>0</v>
      </c>
      <c r="J88" s="127">
        <f t="shared" si="24"/>
        <v>8.3108383511088291E-2</v>
      </c>
      <c r="K88" s="126">
        <f t="shared" si="9"/>
        <v>1.5225470236178754E-3</v>
      </c>
      <c r="L88" s="41">
        <f t="shared" si="25"/>
        <v>12.628634720404577</v>
      </c>
      <c r="M88" s="41">
        <f t="shared" si="26"/>
        <v>-3.404067527031315</v>
      </c>
      <c r="N88" s="41">
        <f>(IF(C87&lt;='SOLLECITAZ NASCOSTO'!$P$12,IF(C87&lt;='SOLLECITAZ NASCOSTO'!$P$11,IF(C87&lt;='SOLLECITAZ NASCOSTO'!$P$10,IF(C87&lt;='SOLLECITAZ NASCOSTO'!$P$9,IF(C87&lt;='SOLLECITAZ NASCOSTO'!$P$8,IF(C87&lt;='SOLLECITAZ NASCOSTO'!$P$7,IF(C87&lt;='SOLLECITAZ NASCOSTO'!$P$6,IF(C87&lt;='SOLLECITAZ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paramento'!$G$111),55555)-IF(C87&lt;='SOLLECITAZ NASCOSTO'!$P$12,IF(C87&lt;='SOLLECITAZ NASCOSTO'!$P$11,IF(C87&lt;='SOLLECITAZ NASCOSTO'!$P$10,IF(C87&lt;='SOLLECITAZ NASCOSTO'!$P$9,IF(C87&lt;='SOLLECITAZ NASCOSTO'!$P$8,IF(C87&lt;='SOLLECITAZ NASCOSTO'!$P$7,IF(C87&lt;='SOLLECITAZ NASCOSTO'!$P$6,IF(C87&lt;='SOLLECITAZ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paramento'!$G$111))*(C87-IF(C87&lt;='SOLLECITAZ NASCOSTO'!$P$12,IF(C87&lt;='SOLLECITAZ NASCOSTO'!$P$11,IF(C87&lt;='SOLLECITAZ NASCOSTO'!$P$10,IF(C87&lt;='SOLLECITAZ NASCOSTO'!$P$9,IF(C87&lt;='SOLLECITAZ NASCOSTO'!$P$8,IF(C87&lt;='SOLLECITAZ NASCOSTO'!$P$7,IF(C87&lt;='SOLLECITAZ NASCOSTO'!$P$6,IF(C87&lt;='SOLLECITAZ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NASCOSTO'!$P$12))/IF(C87&lt;='SOLLECITAZ NASCOSTO'!$P$12,IF(C87&lt;='SOLLECITAZ NASCOSTO'!$P$11,IF(C87&lt;='SOLLECITAZ NASCOSTO'!$P$10,IF(C87&lt;='SOLLECITAZ NASCOSTO'!$P$9,IF(C87&lt;='SOLLECITAZ NASCOSTO'!$P$8,IF(C87&lt;='SOLLECITAZ NASCOSTO'!$P$7,IF(C87&lt;='SOLLECITAZ NASCOSTO'!$P$6,IF(C87&lt;='SOLLECITAZ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paramento'!$C$111)+IF(C87&lt;='SOLLECITAZ NASCOSTO'!$P$12,IF(C87&lt;='SOLLECITAZ NASCOSTO'!$P$11,IF(C87&lt;='SOLLECITAZ NASCOSTO'!$P$10,IF(C87&lt;='SOLLECITAZ NASCOSTO'!$P$9,IF(C87&lt;='SOLLECITAZ NASCOSTO'!$P$8,IF(C87&lt;='SOLLECITAZ NASCOSTO'!$P$7,IF(C87&lt;='SOLLECITAZ NASCOSTO'!$P$6,IF(C87&lt;='SOLLECITAZ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27.669107294407457</v>
      </c>
      <c r="O88" s="41">
        <f>IF(C88&lt;='SOLLECITAZ NASCOSTO'!$P$12,IF(C88&lt;='SOLLECITAZ NASCOSTO'!$P$11,IF(C88&lt;='SOLLECITAZ NASCOSTO'!$P$10,IF(C88&lt;='SOLLECITAZ NASCOSTO'!$P$9,IF(C88&lt;='SOLLECITAZ NASCOSTO'!$P$8,IF(C88&lt;='SOLLECITAZ NASCOSTO'!$P$7,IF(C88&lt;='SOLLECITAZ NASCOSTO'!$P$6,IF(C88&lt;='SOLLECITAZ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paramento'!$G$110),55555)*(C88-C87)/IF(C88&lt;='SOLLECITAZ NASCOSTO'!$P$12,IF(C88&lt;='SOLLECITAZ NASCOSTO'!$P$11,IF(C88&lt;='SOLLECITAZ NASCOSTO'!$P$10,IF(C88&lt;='SOLLECITAZ NASCOSTO'!$P$9,IF(C88&lt;='SOLLECITAZ NASCOSTO'!$P$8,IF(C88&lt;='SOLLECITAZ NASCOSTO'!$P$7,IF(C88&lt;='SOLLECITAZ NASCOSTO'!$P$6,IF(C88&lt;='SOLLECITAZ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88" s="41">
        <f t="shared" si="21"/>
        <v>5.4999999999999941E-5</v>
      </c>
      <c r="Q88" s="41">
        <f t="shared" si="19"/>
        <v>1</v>
      </c>
      <c r="R88" s="434">
        <f t="shared" si="10"/>
        <v>0.61008521434281093</v>
      </c>
      <c r="S88" s="45">
        <f t="shared" si="20"/>
        <v>0.61008521434281093</v>
      </c>
      <c r="T88" s="205">
        <f t="shared" si="14"/>
        <v>4.4219763779180701</v>
      </c>
      <c r="U88" s="45">
        <f t="shared" si="17"/>
        <v>12.628634720404577</v>
      </c>
      <c r="V88" s="45">
        <f t="shared" si="18"/>
        <v>-3.404067527031315</v>
      </c>
      <c r="W88" s="488"/>
      <c r="X88" s="499" t="s">
        <v>296</v>
      </c>
      <c r="Y88" s="503">
        <f>6*Y84*(Y85-Y86/3)/Y86</f>
        <v>11.257756890696893</v>
      </c>
    </row>
    <row r="89" spans="1:28" s="421" customFormat="1" x14ac:dyDescent="0.25">
      <c r="A89" s="581">
        <f t="shared" si="11"/>
        <v>0.17607745342881087</v>
      </c>
      <c r="B89" s="31">
        <f t="shared" si="22"/>
        <v>57</v>
      </c>
      <c r="C89" s="434">
        <f>'SOLLECITAZ NASCOSTO'!$D$6/'SOLLECITAZ NASCOSTO'!$B$448*'SOLLECITAZ NASCOSTO'!B89</f>
        <v>0.62097959317036111</v>
      </c>
      <c r="D89" s="434">
        <f t="shared" si="15"/>
        <v>0.29607745342881087</v>
      </c>
      <c r="E89" s="434">
        <f t="shared" si="4"/>
        <v>0.17607745342881087</v>
      </c>
      <c r="F89" s="434">
        <f t="shared" si="5"/>
        <v>0.35634478509721945</v>
      </c>
      <c r="G89" s="434">
        <f t="shared" si="6"/>
        <v>2.9721897348622343E-2</v>
      </c>
      <c r="H89" s="434">
        <f t="shared" si="23"/>
        <v>0</v>
      </c>
      <c r="I89" s="434">
        <v>0</v>
      </c>
      <c r="J89" s="127">
        <f t="shared" si="24"/>
        <v>8.3407695556744266E-2</v>
      </c>
      <c r="K89" s="126">
        <f t="shared" si="9"/>
        <v>1.5451463472666456E-3</v>
      </c>
      <c r="L89" s="41">
        <f t="shared" si="25"/>
        <v>12.934290590556232</v>
      </c>
      <c r="M89" s="41">
        <f t="shared" si="26"/>
        <v>-3.5433136231703042</v>
      </c>
      <c r="N89" s="41">
        <f>(IF(C88&lt;='SOLLECITAZ NASCOSTO'!$P$12,IF(C88&lt;='SOLLECITAZ NASCOSTO'!$P$11,IF(C88&lt;='SOLLECITAZ NASCOSTO'!$P$10,IF(C88&lt;='SOLLECITAZ NASCOSTO'!$P$9,IF(C88&lt;='SOLLECITAZ NASCOSTO'!$P$8,IF(C88&lt;='SOLLECITAZ NASCOSTO'!$P$7,IF(C88&lt;='SOLLECITAZ NASCOSTO'!$P$6,IF(C88&lt;='SOLLECITAZ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paramento'!$G$111),55555)-IF(C88&lt;='SOLLECITAZ NASCOSTO'!$P$12,IF(C88&lt;='SOLLECITAZ NASCOSTO'!$P$11,IF(C88&lt;='SOLLECITAZ NASCOSTO'!$P$10,IF(C88&lt;='SOLLECITAZ NASCOSTO'!$P$9,IF(C88&lt;='SOLLECITAZ NASCOSTO'!$P$8,IF(C88&lt;='SOLLECITAZ NASCOSTO'!$P$7,IF(C88&lt;='SOLLECITAZ NASCOSTO'!$P$6,IF(C88&lt;='SOLLECITAZ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paramento'!$G$111))*(C88-IF(C88&lt;='SOLLECITAZ NASCOSTO'!$P$12,IF(C88&lt;='SOLLECITAZ NASCOSTO'!$P$11,IF(C88&lt;='SOLLECITAZ NASCOSTO'!$P$10,IF(C88&lt;='SOLLECITAZ NASCOSTO'!$P$9,IF(C88&lt;='SOLLECITAZ NASCOSTO'!$P$8,IF(C88&lt;='SOLLECITAZ NASCOSTO'!$P$7,IF(C88&lt;='SOLLECITAZ NASCOSTO'!$P$6,IF(C88&lt;='SOLLECITAZ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NASCOSTO'!$P$12))/IF(C88&lt;='SOLLECITAZ NASCOSTO'!$P$12,IF(C88&lt;='SOLLECITAZ NASCOSTO'!$P$11,IF(C88&lt;='SOLLECITAZ NASCOSTO'!$P$10,IF(C88&lt;='SOLLECITAZ NASCOSTO'!$P$9,IF(C88&lt;='SOLLECITAZ NASCOSTO'!$P$8,IF(C88&lt;='SOLLECITAZ NASCOSTO'!$P$7,IF(C88&lt;='SOLLECITAZ NASCOSTO'!$P$6,IF(C88&lt;='SOLLECITAZ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paramento'!$C$111)+IF(C88&lt;='SOLLECITAZ NASCOSTO'!$P$12,IF(C88&lt;='SOLLECITAZ NASCOSTO'!$P$11,IF(C88&lt;='SOLLECITAZ NASCOSTO'!$P$10,IF(C88&lt;='SOLLECITAZ NASCOSTO'!$P$9,IF(C88&lt;='SOLLECITAZ NASCOSTO'!$P$8,IF(C88&lt;='SOLLECITAZ NASCOSTO'!$P$7,IF(C88&lt;='SOLLECITAZ NASCOSTO'!$P$6,IF(C88&lt;='SOLLECITAZ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27.927230223856863</v>
      </c>
      <c r="O89" s="41">
        <f>IF(C89&lt;='SOLLECITAZ NASCOSTO'!$P$12,IF(C89&lt;='SOLLECITAZ NASCOSTO'!$P$11,IF(C89&lt;='SOLLECITAZ NASCOSTO'!$P$10,IF(C89&lt;='SOLLECITAZ NASCOSTO'!$P$9,IF(C89&lt;='SOLLECITAZ NASCOSTO'!$P$8,IF(C89&lt;='SOLLECITAZ NASCOSTO'!$P$7,IF(C89&lt;='SOLLECITAZ NASCOSTO'!$P$6,IF(C89&lt;='SOLLECITAZ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paramento'!$G$110),55555)*(C89-C88)/IF(C89&lt;='SOLLECITAZ NASCOSTO'!$P$12,IF(C89&lt;='SOLLECITAZ NASCOSTO'!$P$11,IF(C89&lt;='SOLLECITAZ NASCOSTO'!$P$10,IF(C89&lt;='SOLLECITAZ NASCOSTO'!$P$9,IF(C89&lt;='SOLLECITAZ NASCOSTO'!$P$8,IF(C89&lt;='SOLLECITAZ NASCOSTO'!$P$7,IF(C89&lt;='SOLLECITAZ NASCOSTO'!$P$6,IF(C89&lt;='SOLLECITAZ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89" s="41">
        <f t="shared" si="21"/>
        <v>5.5999999999999938E-5</v>
      </c>
      <c r="Q89" s="41">
        <f t="shared" si="19"/>
        <v>1</v>
      </c>
      <c r="R89" s="434">
        <f t="shared" si="10"/>
        <v>0.62097959317036111</v>
      </c>
      <c r="S89" s="45">
        <f t="shared" si="20"/>
        <v>0.62097959317036111</v>
      </c>
      <c r="T89" s="205">
        <f t="shared" si="14"/>
        <v>4.4110819990905199</v>
      </c>
      <c r="U89" s="45">
        <f t="shared" si="17"/>
        <v>12.934290590556232</v>
      </c>
      <c r="V89" s="45">
        <f t="shared" si="18"/>
        <v>-3.5433136231703042</v>
      </c>
      <c r="W89" s="488"/>
      <c r="X89" s="499" t="s">
        <v>213</v>
      </c>
      <c r="Y89" s="503">
        <f>Y84-Y88</f>
        <v>6.2517755051670321</v>
      </c>
    </row>
    <row r="90" spans="1:28" s="421" customFormat="1" x14ac:dyDescent="0.25">
      <c r="A90" s="581">
        <f t="shared" si="11"/>
        <v>0.17764829617692002</v>
      </c>
      <c r="B90" s="31">
        <f t="shared" si="22"/>
        <v>58</v>
      </c>
      <c r="C90" s="434">
        <f>'SOLLECITAZ NASCOSTO'!$D$6/'SOLLECITAZ NASCOSTO'!$B$448*'SOLLECITAZ NASCOSTO'!B90</f>
        <v>0.63187397199791129</v>
      </c>
      <c r="D90" s="434">
        <f t="shared" si="15"/>
        <v>0.29764829617692001</v>
      </c>
      <c r="E90" s="434">
        <f t="shared" si="4"/>
        <v>0.17764829617692002</v>
      </c>
      <c r="F90" s="434">
        <f t="shared" si="5"/>
        <v>0.35684745477661439</v>
      </c>
      <c r="G90" s="434">
        <f t="shared" si="6"/>
        <v>2.9871121314723758E-2</v>
      </c>
      <c r="H90" s="434">
        <f t="shared" si="23"/>
        <v>0</v>
      </c>
      <c r="I90" s="434">
        <v>0</v>
      </c>
      <c r="J90" s="127">
        <f t="shared" si="24"/>
        <v>8.3708377108708834E-2</v>
      </c>
      <c r="K90" s="126">
        <f t="shared" si="9"/>
        <v>1.5680173839462263E-3</v>
      </c>
      <c r="L90" s="41">
        <f t="shared" si="25"/>
        <v>13.242758549685387</v>
      </c>
      <c r="M90" s="41">
        <f t="shared" si="26"/>
        <v>-3.6859049681308989</v>
      </c>
      <c r="N90" s="41">
        <f>(IF(C89&lt;='SOLLECITAZ NASCOSTO'!$P$12,IF(C89&lt;='SOLLECITAZ NASCOSTO'!$P$11,IF(C89&lt;='SOLLECITAZ NASCOSTO'!$P$10,IF(C89&lt;='SOLLECITAZ NASCOSTO'!$P$9,IF(C89&lt;='SOLLECITAZ NASCOSTO'!$P$8,IF(C89&lt;='SOLLECITAZ NASCOSTO'!$P$7,IF(C89&lt;='SOLLECITAZ NASCOSTO'!$P$6,IF(C89&lt;='SOLLECITAZ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paramento'!$G$111),55555)-IF(C89&lt;='SOLLECITAZ NASCOSTO'!$P$12,IF(C89&lt;='SOLLECITAZ NASCOSTO'!$P$11,IF(C89&lt;='SOLLECITAZ NASCOSTO'!$P$10,IF(C89&lt;='SOLLECITAZ NASCOSTO'!$P$9,IF(C89&lt;='SOLLECITAZ NASCOSTO'!$P$8,IF(C89&lt;='SOLLECITAZ NASCOSTO'!$P$7,IF(C89&lt;='SOLLECITAZ NASCOSTO'!$P$6,IF(C89&lt;='SOLLECITAZ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paramento'!$G$111))*(C89-IF(C89&lt;='SOLLECITAZ NASCOSTO'!$P$12,IF(C89&lt;='SOLLECITAZ NASCOSTO'!$P$11,IF(C89&lt;='SOLLECITAZ NASCOSTO'!$P$10,IF(C89&lt;='SOLLECITAZ NASCOSTO'!$P$9,IF(C89&lt;='SOLLECITAZ NASCOSTO'!$P$8,IF(C89&lt;='SOLLECITAZ NASCOSTO'!$P$7,IF(C89&lt;='SOLLECITAZ NASCOSTO'!$P$6,IF(C89&lt;='SOLLECITAZ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NASCOSTO'!$P$12))/IF(C89&lt;='SOLLECITAZ NASCOSTO'!$P$12,IF(C89&lt;='SOLLECITAZ NASCOSTO'!$P$11,IF(C89&lt;='SOLLECITAZ NASCOSTO'!$P$10,IF(C89&lt;='SOLLECITAZ NASCOSTO'!$P$9,IF(C89&lt;='SOLLECITAZ NASCOSTO'!$P$8,IF(C89&lt;='SOLLECITAZ NASCOSTO'!$P$7,IF(C89&lt;='SOLLECITAZ NASCOSTO'!$P$6,IF(C89&lt;='SOLLECITAZ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paramento'!$C$111)+IF(C89&lt;='SOLLECITAZ NASCOSTO'!$P$12,IF(C89&lt;='SOLLECITAZ NASCOSTO'!$P$11,IF(C89&lt;='SOLLECITAZ NASCOSTO'!$P$10,IF(C89&lt;='SOLLECITAZ NASCOSTO'!$P$9,IF(C89&lt;='SOLLECITAZ NASCOSTO'!$P$8,IF(C89&lt;='SOLLECITAZ NASCOSTO'!$P$7,IF(C89&lt;='SOLLECITAZ NASCOSTO'!$P$6,IF(C89&lt;='SOLLECITAZ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28.185353153306266</v>
      </c>
      <c r="O90" s="41">
        <f>IF(C90&lt;='SOLLECITAZ NASCOSTO'!$P$12,IF(C90&lt;='SOLLECITAZ NASCOSTO'!$P$11,IF(C90&lt;='SOLLECITAZ NASCOSTO'!$P$10,IF(C90&lt;='SOLLECITAZ NASCOSTO'!$P$9,IF(C90&lt;='SOLLECITAZ NASCOSTO'!$P$8,IF(C90&lt;='SOLLECITAZ NASCOSTO'!$P$7,IF(C90&lt;='SOLLECITAZ NASCOSTO'!$P$6,IF(C90&lt;='SOLLECITAZ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paramento'!$G$110),55555)*(C90-C89)/IF(C90&lt;='SOLLECITAZ NASCOSTO'!$P$12,IF(C90&lt;='SOLLECITAZ NASCOSTO'!$P$11,IF(C90&lt;='SOLLECITAZ NASCOSTO'!$P$10,IF(C90&lt;='SOLLECITAZ NASCOSTO'!$P$9,IF(C90&lt;='SOLLECITAZ NASCOSTO'!$P$8,IF(C90&lt;='SOLLECITAZ NASCOSTO'!$P$7,IF(C90&lt;='SOLLECITAZ NASCOSTO'!$P$6,IF(C90&lt;='SOLLECITAZ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90" s="41">
        <f t="shared" si="21"/>
        <v>5.6999999999999935E-5</v>
      </c>
      <c r="Q90" s="41">
        <f t="shared" si="19"/>
        <v>1</v>
      </c>
      <c r="R90" s="434">
        <f t="shared" si="10"/>
        <v>0.63187397199791129</v>
      </c>
      <c r="S90" s="45">
        <f t="shared" si="20"/>
        <v>0.63187397199791129</v>
      </c>
      <c r="T90" s="205">
        <f t="shared" si="14"/>
        <v>4.4001876202629697</v>
      </c>
      <c r="U90" s="45">
        <f t="shared" si="17"/>
        <v>13.242758549685387</v>
      </c>
      <c r="V90" s="45">
        <f t="shared" si="18"/>
        <v>-3.6859049681308989</v>
      </c>
      <c r="W90" s="488"/>
      <c r="X90" s="489" t="s">
        <v>25</v>
      </c>
      <c r="Y90" s="504">
        <f>Y89</f>
        <v>6.2517755051670321</v>
      </c>
      <c r="Z90" s="490"/>
      <c r="AA90" s="46"/>
    </row>
    <row r="91" spans="1:28" s="421" customFormat="1" x14ac:dyDescent="0.25">
      <c r="A91" s="581">
        <f t="shared" si="11"/>
        <v>0.17921913892502916</v>
      </c>
      <c r="B91" s="31">
        <f t="shared" si="22"/>
        <v>59</v>
      </c>
      <c r="C91" s="434">
        <f>'SOLLECITAZ NASCOSTO'!$D$6/'SOLLECITAZ NASCOSTO'!$B$448*'SOLLECITAZ NASCOSTO'!B91</f>
        <v>0.64276835082546147</v>
      </c>
      <c r="D91" s="434">
        <f t="shared" si="15"/>
        <v>0.29921913892502916</v>
      </c>
      <c r="E91" s="434">
        <f t="shared" si="4"/>
        <v>0.17921913892502916</v>
      </c>
      <c r="F91" s="434">
        <f t="shared" si="5"/>
        <v>0.35735012445600933</v>
      </c>
      <c r="G91" s="434">
        <f t="shared" si="6"/>
        <v>3.0021134895845743E-2</v>
      </c>
      <c r="H91" s="434">
        <f t="shared" si="23"/>
        <v>0</v>
      </c>
      <c r="I91" s="434">
        <v>0</v>
      </c>
      <c r="J91" s="127">
        <f t="shared" si="24"/>
        <v>8.4010422387697861E-2</v>
      </c>
      <c r="K91" s="126">
        <f t="shared" si="9"/>
        <v>1.591161462521844E-3</v>
      </c>
      <c r="L91" s="41">
        <f t="shared" si="25"/>
        <v>13.55403859779204</v>
      </c>
      <c r="M91" s="41">
        <f t="shared" si="26"/>
        <v>-3.8318721978757164</v>
      </c>
      <c r="N91" s="41">
        <f>(IF(C90&lt;='SOLLECITAZ NASCOSTO'!$P$12,IF(C90&lt;='SOLLECITAZ NASCOSTO'!$P$11,IF(C90&lt;='SOLLECITAZ NASCOSTO'!$P$10,IF(C90&lt;='SOLLECITAZ NASCOSTO'!$P$9,IF(C90&lt;='SOLLECITAZ NASCOSTO'!$P$8,IF(C90&lt;='SOLLECITAZ NASCOSTO'!$P$7,IF(C90&lt;='SOLLECITAZ NASCOSTO'!$P$6,IF(C90&lt;='SOLLECITAZ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paramento'!$G$111),55555)-IF(C90&lt;='SOLLECITAZ NASCOSTO'!$P$12,IF(C90&lt;='SOLLECITAZ NASCOSTO'!$P$11,IF(C90&lt;='SOLLECITAZ NASCOSTO'!$P$10,IF(C90&lt;='SOLLECITAZ NASCOSTO'!$P$9,IF(C90&lt;='SOLLECITAZ NASCOSTO'!$P$8,IF(C90&lt;='SOLLECITAZ NASCOSTO'!$P$7,IF(C90&lt;='SOLLECITAZ NASCOSTO'!$P$6,IF(C90&lt;='SOLLECITAZ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paramento'!$G$111))*(C90-IF(C90&lt;='SOLLECITAZ NASCOSTO'!$P$12,IF(C90&lt;='SOLLECITAZ NASCOSTO'!$P$11,IF(C90&lt;='SOLLECITAZ NASCOSTO'!$P$10,IF(C90&lt;='SOLLECITAZ NASCOSTO'!$P$9,IF(C90&lt;='SOLLECITAZ NASCOSTO'!$P$8,IF(C90&lt;='SOLLECITAZ NASCOSTO'!$P$7,IF(C90&lt;='SOLLECITAZ NASCOSTO'!$P$6,IF(C90&lt;='SOLLECITAZ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NASCOSTO'!$P$12))/IF(C90&lt;='SOLLECITAZ NASCOSTO'!$P$12,IF(C90&lt;='SOLLECITAZ NASCOSTO'!$P$11,IF(C90&lt;='SOLLECITAZ NASCOSTO'!$P$10,IF(C90&lt;='SOLLECITAZ NASCOSTO'!$P$9,IF(C90&lt;='SOLLECITAZ NASCOSTO'!$P$8,IF(C90&lt;='SOLLECITAZ NASCOSTO'!$P$7,IF(C90&lt;='SOLLECITAZ NASCOSTO'!$P$6,IF(C90&lt;='SOLLECITAZ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paramento'!$C$111)+IF(C90&lt;='SOLLECITAZ NASCOSTO'!$P$12,IF(C90&lt;='SOLLECITAZ NASCOSTO'!$P$11,IF(C90&lt;='SOLLECITAZ NASCOSTO'!$P$10,IF(C90&lt;='SOLLECITAZ NASCOSTO'!$P$9,IF(C90&lt;='SOLLECITAZ NASCOSTO'!$P$8,IF(C90&lt;='SOLLECITAZ NASCOSTO'!$P$7,IF(C90&lt;='SOLLECITAZ NASCOSTO'!$P$6,IF(C90&lt;='SOLLECITAZ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28.443476082755673</v>
      </c>
      <c r="O91" s="41">
        <f>IF(C91&lt;='SOLLECITAZ NASCOSTO'!$P$12,IF(C91&lt;='SOLLECITAZ NASCOSTO'!$P$11,IF(C91&lt;='SOLLECITAZ NASCOSTO'!$P$10,IF(C91&lt;='SOLLECITAZ NASCOSTO'!$P$9,IF(C91&lt;='SOLLECITAZ NASCOSTO'!$P$8,IF(C91&lt;='SOLLECITAZ NASCOSTO'!$P$7,IF(C91&lt;='SOLLECITAZ NASCOSTO'!$P$6,IF(C91&lt;='SOLLECITAZ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paramento'!$G$110),55555)*(C91-C90)/IF(C91&lt;='SOLLECITAZ NASCOSTO'!$P$12,IF(C91&lt;='SOLLECITAZ NASCOSTO'!$P$11,IF(C91&lt;='SOLLECITAZ NASCOSTO'!$P$10,IF(C91&lt;='SOLLECITAZ NASCOSTO'!$P$9,IF(C91&lt;='SOLLECITAZ NASCOSTO'!$P$8,IF(C91&lt;='SOLLECITAZ NASCOSTO'!$P$7,IF(C91&lt;='SOLLECITAZ NASCOSTO'!$P$6,IF(C91&lt;='SOLLECITAZ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91" s="41">
        <f t="shared" si="21"/>
        <v>5.7999999999999933E-5</v>
      </c>
      <c r="Q91" s="41">
        <f t="shared" si="19"/>
        <v>1</v>
      </c>
      <c r="R91" s="434">
        <f t="shared" si="10"/>
        <v>0.64276835082546147</v>
      </c>
      <c r="S91" s="45">
        <f t="shared" si="20"/>
        <v>0.64276835082546147</v>
      </c>
      <c r="T91" s="205">
        <f t="shared" si="14"/>
        <v>4.3892932414354195</v>
      </c>
      <c r="U91" s="45">
        <f t="shared" si="17"/>
        <v>13.55403859779204</v>
      </c>
      <c r="V91" s="45">
        <f t="shared" si="18"/>
        <v>-3.8318721978757164</v>
      </c>
      <c r="W91" s="488"/>
      <c r="X91" s="489"/>
      <c r="Y91" s="489"/>
      <c r="Z91" s="490"/>
      <c r="AA91" s="46"/>
    </row>
    <row r="92" spans="1:28" s="421" customFormat="1" x14ac:dyDescent="0.25">
      <c r="A92" s="581">
        <f t="shared" si="11"/>
        <v>0.18078998167313837</v>
      </c>
      <c r="B92" s="31">
        <f t="shared" si="22"/>
        <v>60</v>
      </c>
      <c r="C92" s="434">
        <f>'SOLLECITAZ NASCOSTO'!$D$6/'SOLLECITAZ NASCOSTO'!$B$448*'SOLLECITAZ NASCOSTO'!B92</f>
        <v>0.65366272965301164</v>
      </c>
      <c r="D92" s="434">
        <f t="shared" si="15"/>
        <v>0.30078998167313836</v>
      </c>
      <c r="E92" s="434">
        <f t="shared" si="4"/>
        <v>0.18078998167313837</v>
      </c>
      <c r="F92" s="434">
        <f t="shared" si="5"/>
        <v>0.35785279413540427</v>
      </c>
      <c r="G92" s="434">
        <f t="shared" si="6"/>
        <v>3.0171938091988305E-2</v>
      </c>
      <c r="H92" s="434">
        <f t="shared" si="23"/>
        <v>0</v>
      </c>
      <c r="I92" s="434">
        <v>0</v>
      </c>
      <c r="J92" s="127">
        <f t="shared" si="24"/>
        <v>8.4313825646899529E-2</v>
      </c>
      <c r="K92" s="126">
        <f t="shared" si="9"/>
        <v>1.6145799078768168E-3</v>
      </c>
      <c r="L92" s="41">
        <f t="shared" si="25"/>
        <v>13.868130734876193</v>
      </c>
      <c r="M92" s="41">
        <f t="shared" si="26"/>
        <v>-3.9812459483673748</v>
      </c>
      <c r="N92" s="41">
        <f>(IF(C91&lt;='SOLLECITAZ NASCOSTO'!$P$12,IF(C91&lt;='SOLLECITAZ NASCOSTO'!$P$11,IF(C91&lt;='SOLLECITAZ NASCOSTO'!$P$10,IF(C91&lt;='SOLLECITAZ NASCOSTO'!$P$9,IF(C91&lt;='SOLLECITAZ NASCOSTO'!$P$8,IF(C91&lt;='SOLLECITAZ NASCOSTO'!$P$7,IF(C91&lt;='SOLLECITAZ NASCOSTO'!$P$6,IF(C91&lt;='SOLLECITAZ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paramento'!$G$111),55555)-IF(C91&lt;='SOLLECITAZ NASCOSTO'!$P$12,IF(C91&lt;='SOLLECITAZ NASCOSTO'!$P$11,IF(C91&lt;='SOLLECITAZ NASCOSTO'!$P$10,IF(C91&lt;='SOLLECITAZ NASCOSTO'!$P$9,IF(C91&lt;='SOLLECITAZ NASCOSTO'!$P$8,IF(C91&lt;='SOLLECITAZ NASCOSTO'!$P$7,IF(C91&lt;='SOLLECITAZ NASCOSTO'!$P$6,IF(C91&lt;='SOLLECITAZ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paramento'!$G$111))*(C91-IF(C91&lt;='SOLLECITAZ NASCOSTO'!$P$12,IF(C91&lt;='SOLLECITAZ NASCOSTO'!$P$11,IF(C91&lt;='SOLLECITAZ NASCOSTO'!$P$10,IF(C91&lt;='SOLLECITAZ NASCOSTO'!$P$9,IF(C91&lt;='SOLLECITAZ NASCOSTO'!$P$8,IF(C91&lt;='SOLLECITAZ NASCOSTO'!$P$7,IF(C91&lt;='SOLLECITAZ NASCOSTO'!$P$6,IF(C91&lt;='SOLLECITAZ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NASCOSTO'!$P$12))/IF(C91&lt;='SOLLECITAZ NASCOSTO'!$P$12,IF(C91&lt;='SOLLECITAZ NASCOSTO'!$P$11,IF(C91&lt;='SOLLECITAZ NASCOSTO'!$P$10,IF(C91&lt;='SOLLECITAZ NASCOSTO'!$P$9,IF(C91&lt;='SOLLECITAZ NASCOSTO'!$P$8,IF(C91&lt;='SOLLECITAZ NASCOSTO'!$P$7,IF(C91&lt;='SOLLECITAZ NASCOSTO'!$P$6,IF(C91&lt;='SOLLECITAZ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paramento'!$C$111)+IF(C91&lt;='SOLLECITAZ NASCOSTO'!$P$12,IF(C91&lt;='SOLLECITAZ NASCOSTO'!$P$11,IF(C91&lt;='SOLLECITAZ NASCOSTO'!$P$10,IF(C91&lt;='SOLLECITAZ NASCOSTO'!$P$9,IF(C91&lt;='SOLLECITAZ NASCOSTO'!$P$8,IF(C91&lt;='SOLLECITAZ NASCOSTO'!$P$7,IF(C91&lt;='SOLLECITAZ NASCOSTO'!$P$6,IF(C91&lt;='SOLLECITAZ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28.701599012205079</v>
      </c>
      <c r="O92" s="41">
        <f>IF(C92&lt;='SOLLECITAZ NASCOSTO'!$P$12,IF(C92&lt;='SOLLECITAZ NASCOSTO'!$P$11,IF(C92&lt;='SOLLECITAZ NASCOSTO'!$P$10,IF(C92&lt;='SOLLECITAZ NASCOSTO'!$P$9,IF(C92&lt;='SOLLECITAZ NASCOSTO'!$P$8,IF(C92&lt;='SOLLECITAZ NASCOSTO'!$P$7,IF(C92&lt;='SOLLECITAZ NASCOSTO'!$P$6,IF(C92&lt;='SOLLECITAZ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paramento'!$G$110),55555)*(C92-C91)/IF(C92&lt;='SOLLECITAZ NASCOSTO'!$P$12,IF(C92&lt;='SOLLECITAZ NASCOSTO'!$P$11,IF(C92&lt;='SOLLECITAZ NASCOSTO'!$P$10,IF(C92&lt;='SOLLECITAZ NASCOSTO'!$P$9,IF(C92&lt;='SOLLECITAZ NASCOSTO'!$P$8,IF(C92&lt;='SOLLECITAZ NASCOSTO'!$P$7,IF(C92&lt;='SOLLECITAZ NASCOSTO'!$P$6,IF(C92&lt;='SOLLECITAZ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92" s="41">
        <f t="shared" si="21"/>
        <v>5.899999999999993E-5</v>
      </c>
      <c r="Q92" s="41">
        <f t="shared" si="19"/>
        <v>1</v>
      </c>
      <c r="R92" s="434">
        <f t="shared" si="10"/>
        <v>0.65366272965301164</v>
      </c>
      <c r="S92" s="45">
        <f t="shared" si="20"/>
        <v>0.65366272965301164</v>
      </c>
      <c r="T92" s="205">
        <f t="shared" si="14"/>
        <v>4.3783988626078694</v>
      </c>
      <c r="U92" s="45">
        <f t="shared" si="17"/>
        <v>13.868130734876193</v>
      </c>
      <c r="V92" s="45">
        <f t="shared" si="18"/>
        <v>-3.9812459483673748</v>
      </c>
      <c r="W92" s="488"/>
      <c r="X92" s="489"/>
      <c r="Y92" s="489"/>
      <c r="Z92" s="490"/>
      <c r="AA92" s="46"/>
      <c r="AB92" s="284" t="s">
        <v>852</v>
      </c>
    </row>
    <row r="93" spans="1:28" s="421" customFormat="1" x14ac:dyDescent="0.25">
      <c r="A93" s="581">
        <f t="shared" si="11"/>
        <v>0.18236082442124751</v>
      </c>
      <c r="B93" s="31">
        <f t="shared" si="22"/>
        <v>61</v>
      </c>
      <c r="C93" s="434">
        <f>'SOLLECITAZ NASCOSTO'!$D$6/'SOLLECITAZ NASCOSTO'!$B$448*'SOLLECITAZ NASCOSTO'!B93</f>
        <v>0.66455710848056193</v>
      </c>
      <c r="D93" s="434">
        <f t="shared" si="15"/>
        <v>0.30236082442124751</v>
      </c>
      <c r="E93" s="434">
        <f t="shared" si="4"/>
        <v>0.18236082442124751</v>
      </c>
      <c r="F93" s="434">
        <f t="shared" si="5"/>
        <v>0.35835546381479921</v>
      </c>
      <c r="G93" s="434">
        <f t="shared" si="6"/>
        <v>3.0323530903151433E-2</v>
      </c>
      <c r="H93" s="434">
        <f t="shared" si="23"/>
        <v>0</v>
      </c>
      <c r="I93" s="434">
        <v>0</v>
      </c>
      <c r="J93" s="127">
        <f t="shared" si="24"/>
        <v>8.4618581171746449E-2</v>
      </c>
      <c r="K93" s="126">
        <f t="shared" si="9"/>
        <v>1.6382740409404803E-3</v>
      </c>
      <c r="L93" s="41">
        <f t="shared" si="25"/>
        <v>14.185034960937847</v>
      </c>
      <c r="M93" s="41">
        <f t="shared" si="26"/>
        <v>-4.1340568555684927</v>
      </c>
      <c r="N93" s="41">
        <f>(IF(C92&lt;='SOLLECITAZ NASCOSTO'!$P$12,IF(C92&lt;='SOLLECITAZ NASCOSTO'!$P$11,IF(C92&lt;='SOLLECITAZ NASCOSTO'!$P$10,IF(C92&lt;='SOLLECITAZ NASCOSTO'!$P$9,IF(C92&lt;='SOLLECITAZ NASCOSTO'!$P$8,IF(C92&lt;='SOLLECITAZ NASCOSTO'!$P$7,IF(C92&lt;='SOLLECITAZ NASCOSTO'!$P$6,IF(C92&lt;='SOLLECITAZ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paramento'!$G$111),55555)-IF(C92&lt;='SOLLECITAZ NASCOSTO'!$P$12,IF(C92&lt;='SOLLECITAZ NASCOSTO'!$P$11,IF(C92&lt;='SOLLECITAZ NASCOSTO'!$P$10,IF(C92&lt;='SOLLECITAZ NASCOSTO'!$P$9,IF(C92&lt;='SOLLECITAZ NASCOSTO'!$P$8,IF(C92&lt;='SOLLECITAZ NASCOSTO'!$P$7,IF(C92&lt;='SOLLECITAZ NASCOSTO'!$P$6,IF(C92&lt;='SOLLECITAZ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paramento'!$G$111))*(C92-IF(C92&lt;='SOLLECITAZ NASCOSTO'!$P$12,IF(C92&lt;='SOLLECITAZ NASCOSTO'!$P$11,IF(C92&lt;='SOLLECITAZ NASCOSTO'!$P$10,IF(C92&lt;='SOLLECITAZ NASCOSTO'!$P$9,IF(C92&lt;='SOLLECITAZ NASCOSTO'!$P$8,IF(C92&lt;='SOLLECITAZ NASCOSTO'!$P$7,IF(C92&lt;='SOLLECITAZ NASCOSTO'!$P$6,IF(C92&lt;='SOLLECITAZ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NASCOSTO'!$P$12))/IF(C92&lt;='SOLLECITAZ NASCOSTO'!$P$12,IF(C92&lt;='SOLLECITAZ NASCOSTO'!$P$11,IF(C92&lt;='SOLLECITAZ NASCOSTO'!$P$10,IF(C92&lt;='SOLLECITAZ NASCOSTO'!$P$9,IF(C92&lt;='SOLLECITAZ NASCOSTO'!$P$8,IF(C92&lt;='SOLLECITAZ NASCOSTO'!$P$7,IF(C92&lt;='SOLLECITAZ NASCOSTO'!$P$6,IF(C92&lt;='SOLLECITAZ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paramento'!$C$111)+IF(C92&lt;='SOLLECITAZ NASCOSTO'!$P$12,IF(C92&lt;='SOLLECITAZ NASCOSTO'!$P$11,IF(C92&lt;='SOLLECITAZ NASCOSTO'!$P$10,IF(C92&lt;='SOLLECITAZ NASCOSTO'!$P$9,IF(C92&lt;='SOLLECITAZ NASCOSTO'!$P$8,IF(C92&lt;='SOLLECITAZ NASCOSTO'!$P$7,IF(C92&lt;='SOLLECITAZ NASCOSTO'!$P$6,IF(C92&lt;='SOLLECITAZ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28.959721941654486</v>
      </c>
      <c r="O93" s="41">
        <f>IF(C93&lt;='SOLLECITAZ NASCOSTO'!$P$12,IF(C93&lt;='SOLLECITAZ NASCOSTO'!$P$11,IF(C93&lt;='SOLLECITAZ NASCOSTO'!$P$10,IF(C93&lt;='SOLLECITAZ NASCOSTO'!$P$9,IF(C93&lt;='SOLLECITAZ NASCOSTO'!$P$8,IF(C93&lt;='SOLLECITAZ NASCOSTO'!$P$7,IF(C93&lt;='SOLLECITAZ NASCOSTO'!$P$6,IF(C93&lt;='SOLLECITAZ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paramento'!$G$110),55555)*(C93-C92)/IF(C93&lt;='SOLLECITAZ NASCOSTO'!$P$12,IF(C93&lt;='SOLLECITAZ NASCOSTO'!$P$11,IF(C93&lt;='SOLLECITAZ NASCOSTO'!$P$10,IF(C93&lt;='SOLLECITAZ NASCOSTO'!$P$9,IF(C93&lt;='SOLLECITAZ NASCOSTO'!$P$8,IF(C93&lt;='SOLLECITAZ NASCOSTO'!$P$7,IF(C93&lt;='SOLLECITAZ NASCOSTO'!$P$6,IF(C93&lt;='SOLLECITAZ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0.25812292944940807</v>
      </c>
      <c r="P93" s="41">
        <f t="shared" si="21"/>
        <v>5.9999999999999927E-5</v>
      </c>
      <c r="Q93" s="41">
        <f t="shared" si="19"/>
        <v>1</v>
      </c>
      <c r="R93" s="434">
        <f t="shared" si="10"/>
        <v>0.66455710848056193</v>
      </c>
      <c r="S93" s="45">
        <f t="shared" si="20"/>
        <v>0.66455710848056193</v>
      </c>
      <c r="T93" s="205">
        <f t="shared" si="14"/>
        <v>4.3675044837803192</v>
      </c>
      <c r="U93" s="45">
        <f t="shared" si="17"/>
        <v>14.185034960937847</v>
      </c>
      <c r="V93" s="45">
        <f t="shared" si="18"/>
        <v>-4.1340568555684927</v>
      </c>
      <c r="W93" s="488"/>
      <c r="X93" s="506"/>
      <c r="Y93" s="505"/>
      <c r="Z93" s="508"/>
      <c r="AA93" s="990" t="s">
        <v>848</v>
      </c>
    </row>
    <row r="94" spans="1:28" s="421" customFormat="1" x14ac:dyDescent="0.25">
      <c r="A94" s="581">
        <f t="shared" si="11"/>
        <v>0.18393166716935672</v>
      </c>
      <c r="B94" s="31">
        <f t="shared" si="22"/>
        <v>62</v>
      </c>
      <c r="C94" s="434">
        <f>'SOLLECITAZ NASCOSTO'!$D$6/'SOLLECITAZ NASCOSTO'!$B$448*'SOLLECITAZ NASCOSTO'!B94</f>
        <v>0.67545148730811211</v>
      </c>
      <c r="D94" s="434">
        <f t="shared" si="15"/>
        <v>0.30393166716935671</v>
      </c>
      <c r="E94" s="434">
        <f t="shared" si="4"/>
        <v>0.18393166716935672</v>
      </c>
      <c r="F94" s="434">
        <f t="shared" si="5"/>
        <v>0.35885813349419415</v>
      </c>
      <c r="G94" s="434">
        <f t="shared" si="6"/>
        <v>3.0475913329335139E-2</v>
      </c>
      <c r="H94" s="434">
        <f t="shared" si="23"/>
        <v>0</v>
      </c>
      <c r="I94" s="434">
        <v>0</v>
      </c>
      <c r="J94" s="127">
        <f t="shared" si="24"/>
        <v>8.4924683279689966E-2</v>
      </c>
      <c r="K94" s="126">
        <f t="shared" si="9"/>
        <v>1.6622451787158829E-3</v>
      </c>
      <c r="L94" s="41">
        <f t="shared" si="25"/>
        <v>14.504751275976997</v>
      </c>
      <c r="M94" s="41">
        <f t="shared" si="26"/>
        <v>-4.2903355554416853</v>
      </c>
      <c r="N94" s="41">
        <f>(IF(C93&lt;='SOLLECITAZ NASCOSTO'!$P$12,IF(C93&lt;='SOLLECITAZ NASCOSTO'!$P$11,IF(C93&lt;='SOLLECITAZ NASCOSTO'!$P$10,IF(C93&lt;='SOLLECITAZ NASCOSTO'!$P$9,IF(C93&lt;='SOLLECITAZ NASCOSTO'!$P$8,IF(C93&lt;='SOLLECITAZ NASCOSTO'!$P$7,IF(C93&lt;='SOLLECITAZ NASCOSTO'!$P$6,IF(C93&lt;='SOLLECITAZ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paramento'!$G$111),55555)-IF(C93&lt;='SOLLECITAZ NASCOSTO'!$P$12,IF(C93&lt;='SOLLECITAZ NASCOSTO'!$P$11,IF(C93&lt;='SOLLECITAZ NASCOSTO'!$P$10,IF(C93&lt;='SOLLECITAZ NASCOSTO'!$P$9,IF(C93&lt;='SOLLECITAZ NASCOSTO'!$P$8,IF(C93&lt;='SOLLECITAZ NASCOSTO'!$P$7,IF(C93&lt;='SOLLECITAZ NASCOSTO'!$P$6,IF(C93&lt;='SOLLECITAZ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paramento'!$G$111))*(C93-IF(C93&lt;='SOLLECITAZ NASCOSTO'!$P$12,IF(C93&lt;='SOLLECITAZ NASCOSTO'!$P$11,IF(C93&lt;='SOLLECITAZ NASCOSTO'!$P$10,IF(C93&lt;='SOLLECITAZ NASCOSTO'!$P$9,IF(C93&lt;='SOLLECITAZ NASCOSTO'!$P$8,IF(C93&lt;='SOLLECITAZ NASCOSTO'!$P$7,IF(C93&lt;='SOLLECITAZ NASCOSTO'!$P$6,IF(C93&lt;='SOLLECITAZ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NASCOSTO'!$P$12))/IF(C93&lt;='SOLLECITAZ NASCOSTO'!$P$12,IF(C93&lt;='SOLLECITAZ NASCOSTO'!$P$11,IF(C93&lt;='SOLLECITAZ NASCOSTO'!$P$10,IF(C93&lt;='SOLLECITAZ NASCOSTO'!$P$9,IF(C93&lt;='SOLLECITAZ NASCOSTO'!$P$8,IF(C93&lt;='SOLLECITAZ NASCOSTO'!$P$7,IF(C93&lt;='SOLLECITAZ NASCOSTO'!$P$6,IF(C93&lt;='SOLLECITAZ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paramento'!$C$111)+IF(C93&lt;='SOLLECITAZ NASCOSTO'!$P$12,IF(C93&lt;='SOLLECITAZ NASCOSTO'!$P$11,IF(C93&lt;='SOLLECITAZ NASCOSTO'!$P$10,IF(C93&lt;='SOLLECITAZ NASCOSTO'!$P$9,IF(C93&lt;='SOLLECITAZ NASCOSTO'!$P$8,IF(C93&lt;='SOLLECITAZ NASCOSTO'!$P$7,IF(C93&lt;='SOLLECITAZ NASCOSTO'!$P$6,IF(C93&lt;='SOLLECITAZ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29.217844871103893</v>
      </c>
      <c r="O94" s="41">
        <f>IF(C94&lt;='SOLLECITAZ NASCOSTO'!$P$12,IF(C94&lt;='SOLLECITAZ NASCOSTO'!$P$11,IF(C94&lt;='SOLLECITAZ NASCOSTO'!$P$10,IF(C94&lt;='SOLLECITAZ NASCOSTO'!$P$9,IF(C94&lt;='SOLLECITAZ NASCOSTO'!$P$8,IF(C94&lt;='SOLLECITAZ NASCOSTO'!$P$7,IF(C94&lt;='SOLLECITAZ NASCOSTO'!$P$6,IF(C94&lt;='SOLLECITAZ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paramento'!$G$110),55555)*(C94-C93)/IF(C94&lt;='SOLLECITAZ NASCOSTO'!$P$12,IF(C94&lt;='SOLLECITAZ NASCOSTO'!$P$11,IF(C94&lt;='SOLLECITAZ NASCOSTO'!$P$10,IF(C94&lt;='SOLLECITAZ NASCOSTO'!$P$9,IF(C94&lt;='SOLLECITAZ NASCOSTO'!$P$8,IF(C94&lt;='SOLLECITAZ NASCOSTO'!$P$7,IF(C94&lt;='SOLLECITAZ NASCOSTO'!$P$6,IF(C94&lt;='SOLLECITAZ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94" s="41">
        <f t="shared" si="21"/>
        <v>6.0999999999999924E-5</v>
      </c>
      <c r="Q94" s="41">
        <f t="shared" si="19"/>
        <v>1</v>
      </c>
      <c r="R94" s="434">
        <f t="shared" si="10"/>
        <v>0.67545148730811211</v>
      </c>
      <c r="S94" s="45">
        <f t="shared" si="20"/>
        <v>0.67545148730811211</v>
      </c>
      <c r="T94" s="205">
        <f t="shared" si="14"/>
        <v>4.356610104952769</v>
      </c>
      <c r="U94" s="45">
        <f t="shared" si="17"/>
        <v>14.504751275976997</v>
      </c>
      <c r="V94" s="45">
        <f t="shared" si="18"/>
        <v>-4.2903355554416853</v>
      </c>
      <c r="W94" s="488"/>
      <c r="X94" s="507"/>
      <c r="Y94" s="510"/>
      <c r="Z94" s="509"/>
      <c r="AA94" s="990"/>
    </row>
    <row r="95" spans="1:28" s="421" customFormat="1" x14ac:dyDescent="0.25">
      <c r="A95" s="581">
        <f t="shared" si="11"/>
        <v>0.18550250991746586</v>
      </c>
      <c r="B95" s="31">
        <f t="shared" si="22"/>
        <v>63</v>
      </c>
      <c r="C95" s="434">
        <f>'SOLLECITAZ NASCOSTO'!$D$6/'SOLLECITAZ NASCOSTO'!$B$448*'SOLLECITAZ NASCOSTO'!B95</f>
        <v>0.68634586613566229</v>
      </c>
      <c r="D95" s="434">
        <f t="shared" si="15"/>
        <v>0.30550250991746586</v>
      </c>
      <c r="E95" s="434">
        <f t="shared" si="4"/>
        <v>0.18550250991746586</v>
      </c>
      <c r="F95" s="434">
        <f t="shared" si="5"/>
        <v>0.35936080317358909</v>
      </c>
      <c r="G95" s="434">
        <f t="shared" si="6"/>
        <v>3.0629085370539412E-2</v>
      </c>
      <c r="H95" s="434">
        <f t="shared" si="23"/>
        <v>0</v>
      </c>
      <c r="I95" s="434">
        <v>0</v>
      </c>
      <c r="J95" s="127">
        <f t="shared" si="24"/>
        <v>8.5232126319976093E-2</v>
      </c>
      <c r="K95" s="126">
        <f t="shared" si="9"/>
        <v>1.6864946343072402E-3</v>
      </c>
      <c r="L95" s="41">
        <f t="shared" si="25"/>
        <v>14.827279679993644</v>
      </c>
      <c r="M95" s="41">
        <f t="shared" si="26"/>
        <v>-4.4501126839495715</v>
      </c>
      <c r="N95" s="41">
        <f>(IF(C94&lt;='SOLLECITAZ NASCOSTO'!$P$12,IF(C94&lt;='SOLLECITAZ NASCOSTO'!$P$11,IF(C94&lt;='SOLLECITAZ NASCOSTO'!$P$10,IF(C94&lt;='SOLLECITAZ NASCOSTO'!$P$9,IF(C94&lt;='SOLLECITAZ NASCOSTO'!$P$8,IF(C94&lt;='SOLLECITAZ NASCOSTO'!$P$7,IF(C94&lt;='SOLLECITAZ NASCOSTO'!$P$6,IF(C94&lt;='SOLLECITAZ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paramento'!$G$111),55555)-IF(C94&lt;='SOLLECITAZ NASCOSTO'!$P$12,IF(C94&lt;='SOLLECITAZ NASCOSTO'!$P$11,IF(C94&lt;='SOLLECITAZ NASCOSTO'!$P$10,IF(C94&lt;='SOLLECITAZ NASCOSTO'!$P$9,IF(C94&lt;='SOLLECITAZ NASCOSTO'!$P$8,IF(C94&lt;='SOLLECITAZ NASCOSTO'!$P$7,IF(C94&lt;='SOLLECITAZ NASCOSTO'!$P$6,IF(C94&lt;='SOLLECITAZ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paramento'!$G$111))*(C94-IF(C94&lt;='SOLLECITAZ NASCOSTO'!$P$12,IF(C94&lt;='SOLLECITAZ NASCOSTO'!$P$11,IF(C94&lt;='SOLLECITAZ NASCOSTO'!$P$10,IF(C94&lt;='SOLLECITAZ NASCOSTO'!$P$9,IF(C94&lt;='SOLLECITAZ NASCOSTO'!$P$8,IF(C94&lt;='SOLLECITAZ NASCOSTO'!$P$7,IF(C94&lt;='SOLLECITAZ NASCOSTO'!$P$6,IF(C94&lt;='SOLLECITAZ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NASCOSTO'!$P$12))/IF(C94&lt;='SOLLECITAZ NASCOSTO'!$P$12,IF(C94&lt;='SOLLECITAZ NASCOSTO'!$P$11,IF(C94&lt;='SOLLECITAZ NASCOSTO'!$P$10,IF(C94&lt;='SOLLECITAZ NASCOSTO'!$P$9,IF(C94&lt;='SOLLECITAZ NASCOSTO'!$P$8,IF(C94&lt;='SOLLECITAZ NASCOSTO'!$P$7,IF(C94&lt;='SOLLECITAZ NASCOSTO'!$P$6,IF(C94&lt;='SOLLECITAZ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paramento'!$C$111)+IF(C94&lt;='SOLLECITAZ NASCOSTO'!$P$12,IF(C94&lt;='SOLLECITAZ NASCOSTO'!$P$11,IF(C94&lt;='SOLLECITAZ NASCOSTO'!$P$10,IF(C94&lt;='SOLLECITAZ NASCOSTO'!$P$9,IF(C94&lt;='SOLLECITAZ NASCOSTO'!$P$8,IF(C94&lt;='SOLLECITAZ NASCOSTO'!$P$7,IF(C94&lt;='SOLLECITAZ NASCOSTO'!$P$6,IF(C94&lt;='SOLLECITAZ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29.475967800553299</v>
      </c>
      <c r="O95" s="41">
        <f>IF(C95&lt;='SOLLECITAZ NASCOSTO'!$P$12,IF(C95&lt;='SOLLECITAZ NASCOSTO'!$P$11,IF(C95&lt;='SOLLECITAZ NASCOSTO'!$P$10,IF(C95&lt;='SOLLECITAZ NASCOSTO'!$P$9,IF(C95&lt;='SOLLECITAZ NASCOSTO'!$P$8,IF(C95&lt;='SOLLECITAZ NASCOSTO'!$P$7,IF(C95&lt;='SOLLECITAZ NASCOSTO'!$P$6,IF(C95&lt;='SOLLECITAZ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paramento'!$G$110),55555)*(C95-C94)/IF(C95&lt;='SOLLECITAZ NASCOSTO'!$P$12,IF(C95&lt;='SOLLECITAZ NASCOSTO'!$P$11,IF(C95&lt;='SOLLECITAZ NASCOSTO'!$P$10,IF(C95&lt;='SOLLECITAZ NASCOSTO'!$P$9,IF(C95&lt;='SOLLECITAZ NASCOSTO'!$P$8,IF(C95&lt;='SOLLECITAZ NASCOSTO'!$P$7,IF(C95&lt;='SOLLECITAZ NASCOSTO'!$P$6,IF(C95&lt;='SOLLECITAZ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95" s="41">
        <f t="shared" si="21"/>
        <v>6.1999999999999921E-5</v>
      </c>
      <c r="Q95" s="41">
        <f t="shared" si="19"/>
        <v>1</v>
      </c>
      <c r="R95" s="434">
        <f t="shared" si="10"/>
        <v>0.68634586613566229</v>
      </c>
      <c r="S95" s="45">
        <f t="shared" si="20"/>
        <v>0.68634586613566229</v>
      </c>
      <c r="T95" s="205">
        <f t="shared" si="14"/>
        <v>4.3457157261252188</v>
      </c>
      <c r="U95" s="45">
        <f t="shared" si="17"/>
        <v>14.827279679993644</v>
      </c>
      <c r="V95" s="45">
        <f t="shared" si="18"/>
        <v>-4.4501126839495715</v>
      </c>
      <c r="W95" s="488"/>
      <c r="X95" s="489" t="s">
        <v>25</v>
      </c>
      <c r="Y95" s="489" t="s">
        <v>213</v>
      </c>
      <c r="Z95" s="490" t="s">
        <v>296</v>
      </c>
      <c r="AA95" s="46"/>
      <c r="AB95" s="284" t="s">
        <v>853</v>
      </c>
    </row>
    <row r="96" spans="1:28" s="421" customFormat="1" x14ac:dyDescent="0.25">
      <c r="A96" s="581">
        <f t="shared" si="11"/>
        <v>0.18707335266557501</v>
      </c>
      <c r="B96" s="31">
        <f t="shared" si="22"/>
        <v>64</v>
      </c>
      <c r="C96" s="434">
        <f>'SOLLECITAZ NASCOSTO'!$D$6/'SOLLECITAZ NASCOSTO'!$B$448*'SOLLECITAZ NASCOSTO'!B96</f>
        <v>0.69724024496321246</v>
      </c>
      <c r="D96" s="434">
        <f t="shared" si="15"/>
        <v>0.30707335266557501</v>
      </c>
      <c r="E96" s="434">
        <f t="shared" ref="E96:E159" si="27">D96-$D$9</f>
        <v>0.18707335266557501</v>
      </c>
      <c r="F96" s="434">
        <f t="shared" ref="F96:F159" si="28">E96*$D$12*$D$11+$D$8*$D$9</f>
        <v>0.35986347285298398</v>
      </c>
      <c r="G96" s="434">
        <f t="shared" ref="G96:G159" si="29">$D$12*E96*$D$11*($D$9+E96/2)+$D$9*$D$8*$D$9/2</f>
        <v>3.0783047026764255E-2</v>
      </c>
      <c r="H96" s="434">
        <f t="shared" si="23"/>
        <v>0</v>
      </c>
      <c r="I96" s="434">
        <v>0</v>
      </c>
      <c r="J96" s="127">
        <f t="shared" si="24"/>
        <v>8.5540904673423568E-2</v>
      </c>
      <c r="K96" s="126">
        <f t="shared" ref="K96:K159" si="30">$D$8*$D$9^3/12+$D$8*$D$9*(J96-$D$9/2)^2+$D$11*$D$12*(J96-$D$9)^3/3+$D$11*$D$12*(E96-(J96-$D$9))^3/3</f>
        <v>1.7110237169471743E-3</v>
      </c>
      <c r="L96" s="41">
        <f t="shared" si="25"/>
        <v>15.152620172987792</v>
      </c>
      <c r="M96" s="41">
        <f t="shared" si="26"/>
        <v>-4.6134188770547695</v>
      </c>
      <c r="N96" s="41">
        <f>(IF(C95&lt;='SOLLECITAZ NASCOSTO'!$P$12,IF(C95&lt;='SOLLECITAZ NASCOSTO'!$P$11,IF(C95&lt;='SOLLECITAZ NASCOSTO'!$P$10,IF(C95&lt;='SOLLECITAZ NASCOSTO'!$P$9,IF(C95&lt;='SOLLECITAZ NASCOSTO'!$P$8,IF(C95&lt;='SOLLECITAZ NASCOSTO'!$P$7,IF(C95&lt;='SOLLECITAZ NASCOSTO'!$P$6,IF(C95&lt;='SOLLECITAZ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paramento'!$G$111),55555)-IF(C95&lt;='SOLLECITAZ NASCOSTO'!$P$12,IF(C95&lt;='SOLLECITAZ NASCOSTO'!$P$11,IF(C95&lt;='SOLLECITAZ NASCOSTO'!$P$10,IF(C95&lt;='SOLLECITAZ NASCOSTO'!$P$9,IF(C95&lt;='SOLLECITAZ NASCOSTO'!$P$8,IF(C95&lt;='SOLLECITAZ NASCOSTO'!$P$7,IF(C95&lt;='SOLLECITAZ NASCOSTO'!$P$6,IF(C95&lt;='SOLLECITAZ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paramento'!$G$111))*(C95-IF(C95&lt;='SOLLECITAZ NASCOSTO'!$P$12,IF(C95&lt;='SOLLECITAZ NASCOSTO'!$P$11,IF(C95&lt;='SOLLECITAZ NASCOSTO'!$P$10,IF(C95&lt;='SOLLECITAZ NASCOSTO'!$P$9,IF(C95&lt;='SOLLECITAZ NASCOSTO'!$P$8,IF(C95&lt;='SOLLECITAZ NASCOSTO'!$P$7,IF(C95&lt;='SOLLECITAZ NASCOSTO'!$P$6,IF(C95&lt;='SOLLECITAZ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NASCOSTO'!$P$12))/IF(C95&lt;='SOLLECITAZ NASCOSTO'!$P$12,IF(C95&lt;='SOLLECITAZ NASCOSTO'!$P$11,IF(C95&lt;='SOLLECITAZ NASCOSTO'!$P$10,IF(C95&lt;='SOLLECITAZ NASCOSTO'!$P$9,IF(C95&lt;='SOLLECITAZ NASCOSTO'!$P$8,IF(C95&lt;='SOLLECITAZ NASCOSTO'!$P$7,IF(C95&lt;='SOLLECITAZ NASCOSTO'!$P$6,IF(C95&lt;='SOLLECITAZ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paramento'!$C$111)+IF(C95&lt;='SOLLECITAZ NASCOSTO'!$P$12,IF(C95&lt;='SOLLECITAZ NASCOSTO'!$P$11,IF(C95&lt;='SOLLECITAZ NASCOSTO'!$P$10,IF(C95&lt;='SOLLECITAZ NASCOSTO'!$P$9,IF(C95&lt;='SOLLECITAZ NASCOSTO'!$P$8,IF(C95&lt;='SOLLECITAZ NASCOSTO'!$P$7,IF(C95&lt;='SOLLECITAZ NASCOSTO'!$P$6,IF(C95&lt;='SOLLECITAZ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29.734090730002702</v>
      </c>
      <c r="O96" s="41">
        <f>IF(C96&lt;='SOLLECITAZ NASCOSTO'!$P$12,IF(C96&lt;='SOLLECITAZ NASCOSTO'!$P$11,IF(C96&lt;='SOLLECITAZ NASCOSTO'!$P$10,IF(C96&lt;='SOLLECITAZ NASCOSTO'!$P$9,IF(C96&lt;='SOLLECITAZ NASCOSTO'!$P$8,IF(C96&lt;='SOLLECITAZ NASCOSTO'!$P$7,IF(C96&lt;='SOLLECITAZ NASCOSTO'!$P$6,IF(C96&lt;='SOLLECITAZ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paramento'!$G$110),55555)*(C96-C95)/IF(C96&lt;='SOLLECITAZ NASCOSTO'!$P$12,IF(C96&lt;='SOLLECITAZ NASCOSTO'!$P$11,IF(C96&lt;='SOLLECITAZ NASCOSTO'!$P$10,IF(C96&lt;='SOLLECITAZ NASCOSTO'!$P$9,IF(C96&lt;='SOLLECITAZ NASCOSTO'!$P$8,IF(C96&lt;='SOLLECITAZ NASCOSTO'!$P$7,IF(C96&lt;='SOLLECITAZ NASCOSTO'!$P$6,IF(C96&lt;='SOLLECITAZ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96" s="41">
        <f t="shared" si="21"/>
        <v>6.2999999999999919E-5</v>
      </c>
      <c r="Q96" s="41">
        <f t="shared" si="19"/>
        <v>1</v>
      </c>
      <c r="R96" s="434">
        <f t="shared" ref="R96:R159" si="31">C96</f>
        <v>0.69724024496321246</v>
      </c>
      <c r="S96" s="45">
        <f t="shared" si="20"/>
        <v>0.69724024496321246</v>
      </c>
      <c r="T96" s="205">
        <f t="shared" si="14"/>
        <v>4.3348213472976687</v>
      </c>
      <c r="U96" s="45">
        <f t="shared" si="17"/>
        <v>15.152620172987792</v>
      </c>
      <c r="V96" s="45">
        <f t="shared" si="18"/>
        <v>-4.6134188770547695</v>
      </c>
      <c r="W96" s="488"/>
      <c r="X96" s="489"/>
      <c r="Y96" s="991" t="s">
        <v>850</v>
      </c>
      <c r="Z96" s="992"/>
      <c r="AA96" s="46"/>
    </row>
    <row r="97" spans="1:27" s="421" customFormat="1" x14ac:dyDescent="0.25">
      <c r="A97" s="581">
        <f t="shared" ref="A97:A160" si="32">E97</f>
        <v>0.18864419541368416</v>
      </c>
      <c r="B97" s="31">
        <f t="shared" si="22"/>
        <v>65</v>
      </c>
      <c r="C97" s="434">
        <f>'SOLLECITAZ NASCOSTO'!$D$6/'SOLLECITAZ NASCOSTO'!$B$448*'SOLLECITAZ NASCOSTO'!B97</f>
        <v>0.70813462379076264</v>
      </c>
      <c r="D97" s="434">
        <f t="shared" ref="D97:D160" si="33">$D$9+$D$14+$D$16*C97</f>
        <v>0.30864419541368415</v>
      </c>
      <c r="E97" s="434">
        <f t="shared" si="27"/>
        <v>0.18864419541368416</v>
      </c>
      <c r="F97" s="434">
        <f t="shared" si="28"/>
        <v>0.36036614253237892</v>
      </c>
      <c r="G97" s="434">
        <f t="shared" si="29"/>
        <v>3.0937798298009671E-2</v>
      </c>
      <c r="H97" s="434">
        <f t="shared" si="23"/>
        <v>0</v>
      </c>
      <c r="I97" s="434">
        <v>0</v>
      </c>
      <c r="J97" s="127">
        <f t="shared" si="24"/>
        <v>8.5851012752203568E-2</v>
      </c>
      <c r="K97" s="126">
        <f t="shared" si="30"/>
        <v>1.7358337320237068E-3</v>
      </c>
      <c r="L97" s="41">
        <f t="shared" si="25"/>
        <v>15.480772754959437</v>
      </c>
      <c r="M97" s="41">
        <f t="shared" si="26"/>
        <v>-4.7802847707198959</v>
      </c>
      <c r="N97" s="41">
        <f>(IF(C96&lt;='SOLLECITAZ NASCOSTO'!$P$12,IF(C96&lt;='SOLLECITAZ NASCOSTO'!$P$11,IF(C96&lt;='SOLLECITAZ NASCOSTO'!$P$10,IF(C96&lt;='SOLLECITAZ NASCOSTO'!$P$9,IF(C96&lt;='SOLLECITAZ NASCOSTO'!$P$8,IF(C96&lt;='SOLLECITAZ NASCOSTO'!$P$7,IF(C96&lt;='SOLLECITAZ NASCOSTO'!$P$6,IF(C96&lt;='SOLLECITAZ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paramento'!$G$111),55555)-IF(C96&lt;='SOLLECITAZ NASCOSTO'!$P$12,IF(C96&lt;='SOLLECITAZ NASCOSTO'!$P$11,IF(C96&lt;='SOLLECITAZ NASCOSTO'!$P$10,IF(C96&lt;='SOLLECITAZ NASCOSTO'!$P$9,IF(C96&lt;='SOLLECITAZ NASCOSTO'!$P$8,IF(C96&lt;='SOLLECITAZ NASCOSTO'!$P$7,IF(C96&lt;='SOLLECITAZ NASCOSTO'!$P$6,IF(C96&lt;='SOLLECITAZ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paramento'!$G$111))*(C96-IF(C96&lt;='SOLLECITAZ NASCOSTO'!$P$12,IF(C96&lt;='SOLLECITAZ NASCOSTO'!$P$11,IF(C96&lt;='SOLLECITAZ NASCOSTO'!$P$10,IF(C96&lt;='SOLLECITAZ NASCOSTO'!$P$9,IF(C96&lt;='SOLLECITAZ NASCOSTO'!$P$8,IF(C96&lt;='SOLLECITAZ NASCOSTO'!$P$7,IF(C96&lt;='SOLLECITAZ NASCOSTO'!$P$6,IF(C96&lt;='SOLLECITAZ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NASCOSTO'!$P$12))/IF(C96&lt;='SOLLECITAZ NASCOSTO'!$P$12,IF(C96&lt;='SOLLECITAZ NASCOSTO'!$P$11,IF(C96&lt;='SOLLECITAZ NASCOSTO'!$P$10,IF(C96&lt;='SOLLECITAZ NASCOSTO'!$P$9,IF(C96&lt;='SOLLECITAZ NASCOSTO'!$P$8,IF(C96&lt;='SOLLECITAZ NASCOSTO'!$P$7,IF(C96&lt;='SOLLECITAZ NASCOSTO'!$P$6,IF(C96&lt;='SOLLECITAZ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paramento'!$C$111)+IF(C96&lt;='SOLLECITAZ NASCOSTO'!$P$12,IF(C96&lt;='SOLLECITAZ NASCOSTO'!$P$11,IF(C96&lt;='SOLLECITAZ NASCOSTO'!$P$10,IF(C96&lt;='SOLLECITAZ NASCOSTO'!$P$9,IF(C96&lt;='SOLLECITAZ NASCOSTO'!$P$8,IF(C96&lt;='SOLLECITAZ NASCOSTO'!$P$7,IF(C96&lt;='SOLLECITAZ NASCOSTO'!$P$6,IF(C96&lt;='SOLLECITAZ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29.992213659452108</v>
      </c>
      <c r="O97" s="41">
        <f>IF(C97&lt;='SOLLECITAZ NASCOSTO'!$P$12,IF(C97&lt;='SOLLECITAZ NASCOSTO'!$P$11,IF(C97&lt;='SOLLECITAZ NASCOSTO'!$P$10,IF(C97&lt;='SOLLECITAZ NASCOSTO'!$P$9,IF(C97&lt;='SOLLECITAZ NASCOSTO'!$P$8,IF(C97&lt;='SOLLECITAZ NASCOSTO'!$P$7,IF(C97&lt;='SOLLECITAZ NASCOSTO'!$P$6,IF(C97&lt;='SOLLECITAZ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paramento'!$G$110),55555)*(C97-C96)/IF(C97&lt;='SOLLECITAZ NASCOSTO'!$P$12,IF(C97&lt;='SOLLECITAZ NASCOSTO'!$P$11,IF(C97&lt;='SOLLECITAZ NASCOSTO'!$P$10,IF(C97&lt;='SOLLECITAZ NASCOSTO'!$P$9,IF(C97&lt;='SOLLECITAZ NASCOSTO'!$P$8,IF(C97&lt;='SOLLECITAZ NASCOSTO'!$P$7,IF(C97&lt;='SOLLECITAZ NASCOSTO'!$P$6,IF(C97&lt;='SOLLECITAZ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97" s="41">
        <f t="shared" si="21"/>
        <v>6.3999999999999916E-5</v>
      </c>
      <c r="Q97" s="41">
        <f t="shared" si="19"/>
        <v>1</v>
      </c>
      <c r="R97" s="434">
        <f t="shared" si="31"/>
        <v>0.70813462379076264</v>
      </c>
      <c r="S97" s="45">
        <f t="shared" si="20"/>
        <v>0.70813462379076264</v>
      </c>
      <c r="T97" s="205">
        <f t="shared" ref="T97:T160" si="34">IF(($R$468-S97)&lt;=$D$6,$R$468-S97,$D$6)</f>
        <v>4.3239269684701185</v>
      </c>
      <c r="U97" s="45">
        <f t="shared" si="17"/>
        <v>15.480772754959437</v>
      </c>
      <c r="V97" s="45">
        <f t="shared" si="18"/>
        <v>-4.7802847707198959</v>
      </c>
      <c r="W97" s="488"/>
      <c r="X97" s="489"/>
      <c r="Y97" s="489"/>
      <c r="Z97" s="490"/>
      <c r="AA97" s="46"/>
    </row>
    <row r="98" spans="1:27" s="421" customFormat="1" x14ac:dyDescent="0.25">
      <c r="A98" s="581">
        <f t="shared" si="32"/>
        <v>0.1902150381617933</v>
      </c>
      <c r="B98" s="31">
        <f t="shared" si="22"/>
        <v>66</v>
      </c>
      <c r="C98" s="434">
        <f>'SOLLECITAZ NASCOSTO'!$D$6/'SOLLECITAZ NASCOSTO'!$B$448*'SOLLECITAZ NASCOSTO'!B98</f>
        <v>0.71902900261831282</v>
      </c>
      <c r="D98" s="434">
        <f t="shared" si="33"/>
        <v>0.3102150381617933</v>
      </c>
      <c r="E98" s="434">
        <f t="shared" si="27"/>
        <v>0.1902150381617933</v>
      </c>
      <c r="F98" s="434">
        <f t="shared" si="28"/>
        <v>0.36086881221177386</v>
      </c>
      <c r="G98" s="434">
        <f t="shared" si="29"/>
        <v>3.1093339184275658E-2</v>
      </c>
      <c r="H98" s="434">
        <f t="shared" si="23"/>
        <v>0</v>
      </c>
      <c r="I98" s="434">
        <v>0</v>
      </c>
      <c r="J98" s="127">
        <f t="shared" si="24"/>
        <v>8.6162444999621376E-2</v>
      </c>
      <c r="K98" s="126">
        <f t="shared" si="30"/>
        <v>1.7609259811070424E-3</v>
      </c>
      <c r="L98" s="41">
        <f t="shared" si="25"/>
        <v>15.811737425908582</v>
      </c>
      <c r="M98" s="41">
        <f t="shared" si="26"/>
        <v>-4.950741000907569</v>
      </c>
      <c r="N98" s="41">
        <f>(IF(C97&lt;='SOLLECITAZ NASCOSTO'!$P$12,IF(C97&lt;='SOLLECITAZ NASCOSTO'!$P$11,IF(C97&lt;='SOLLECITAZ NASCOSTO'!$P$10,IF(C97&lt;='SOLLECITAZ NASCOSTO'!$P$9,IF(C97&lt;='SOLLECITAZ NASCOSTO'!$P$8,IF(C97&lt;='SOLLECITAZ NASCOSTO'!$P$7,IF(C97&lt;='SOLLECITAZ NASCOSTO'!$P$6,IF(C97&lt;='SOLLECITAZ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paramento'!$G$111),55555)-IF(C97&lt;='SOLLECITAZ NASCOSTO'!$P$12,IF(C97&lt;='SOLLECITAZ NASCOSTO'!$P$11,IF(C97&lt;='SOLLECITAZ NASCOSTO'!$P$10,IF(C97&lt;='SOLLECITAZ NASCOSTO'!$P$9,IF(C97&lt;='SOLLECITAZ NASCOSTO'!$P$8,IF(C97&lt;='SOLLECITAZ NASCOSTO'!$P$7,IF(C97&lt;='SOLLECITAZ NASCOSTO'!$P$6,IF(C97&lt;='SOLLECITAZ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paramento'!$G$111))*(C97-IF(C97&lt;='SOLLECITAZ NASCOSTO'!$P$12,IF(C97&lt;='SOLLECITAZ NASCOSTO'!$P$11,IF(C97&lt;='SOLLECITAZ NASCOSTO'!$P$10,IF(C97&lt;='SOLLECITAZ NASCOSTO'!$P$9,IF(C97&lt;='SOLLECITAZ NASCOSTO'!$P$8,IF(C97&lt;='SOLLECITAZ NASCOSTO'!$P$7,IF(C97&lt;='SOLLECITAZ NASCOSTO'!$P$6,IF(C97&lt;='SOLLECITAZ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NASCOSTO'!$P$12))/IF(C97&lt;='SOLLECITAZ NASCOSTO'!$P$12,IF(C97&lt;='SOLLECITAZ NASCOSTO'!$P$11,IF(C97&lt;='SOLLECITAZ NASCOSTO'!$P$10,IF(C97&lt;='SOLLECITAZ NASCOSTO'!$P$9,IF(C97&lt;='SOLLECITAZ NASCOSTO'!$P$8,IF(C97&lt;='SOLLECITAZ NASCOSTO'!$P$7,IF(C97&lt;='SOLLECITAZ NASCOSTO'!$P$6,IF(C97&lt;='SOLLECITAZ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paramento'!$C$111)+IF(C97&lt;='SOLLECITAZ NASCOSTO'!$P$12,IF(C97&lt;='SOLLECITAZ NASCOSTO'!$P$11,IF(C97&lt;='SOLLECITAZ NASCOSTO'!$P$10,IF(C97&lt;='SOLLECITAZ NASCOSTO'!$P$9,IF(C97&lt;='SOLLECITAZ NASCOSTO'!$P$8,IF(C97&lt;='SOLLECITAZ NASCOSTO'!$P$7,IF(C97&lt;='SOLLECITAZ NASCOSTO'!$P$6,IF(C97&lt;='SOLLECITAZ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30.250336588901515</v>
      </c>
      <c r="O98" s="41">
        <f>IF(C98&lt;='SOLLECITAZ NASCOSTO'!$P$12,IF(C98&lt;='SOLLECITAZ NASCOSTO'!$P$11,IF(C98&lt;='SOLLECITAZ NASCOSTO'!$P$10,IF(C98&lt;='SOLLECITAZ NASCOSTO'!$P$9,IF(C98&lt;='SOLLECITAZ NASCOSTO'!$P$8,IF(C98&lt;='SOLLECITAZ NASCOSTO'!$P$7,IF(C98&lt;='SOLLECITAZ NASCOSTO'!$P$6,IF(C98&lt;='SOLLECITAZ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paramento'!$G$110),55555)*(C98-C97)/IF(C98&lt;='SOLLECITAZ NASCOSTO'!$P$12,IF(C98&lt;='SOLLECITAZ NASCOSTO'!$P$11,IF(C98&lt;='SOLLECITAZ NASCOSTO'!$P$10,IF(C98&lt;='SOLLECITAZ NASCOSTO'!$P$9,IF(C98&lt;='SOLLECITAZ NASCOSTO'!$P$8,IF(C98&lt;='SOLLECITAZ NASCOSTO'!$P$7,IF(C98&lt;='SOLLECITAZ NASCOSTO'!$P$6,IF(C98&lt;='SOLLECITAZ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98" s="41">
        <f t="shared" si="21"/>
        <v>6.4999999999999913E-5</v>
      </c>
      <c r="Q98" s="41">
        <f t="shared" si="19"/>
        <v>1</v>
      </c>
      <c r="R98" s="434">
        <f t="shared" si="31"/>
        <v>0.71902900261831282</v>
      </c>
      <c r="S98" s="45">
        <f t="shared" si="20"/>
        <v>0.71902900261831282</v>
      </c>
      <c r="T98" s="205">
        <f t="shared" si="34"/>
        <v>4.3130325896425683</v>
      </c>
      <c r="U98" s="45">
        <f t="shared" ref="U98:U161" si="35">IF(Q98=1,L98,0)</f>
        <v>15.811737425908582</v>
      </c>
      <c r="V98" s="45">
        <f t="shared" ref="V98:V161" si="36">IF(Q98=1,M98,0)</f>
        <v>-4.950741000907569</v>
      </c>
      <c r="W98" s="488"/>
      <c r="Y98" s="506"/>
      <c r="Z98" s="501"/>
      <c r="AA98" s="46"/>
    </row>
    <row r="99" spans="1:27" s="421" customFormat="1" x14ac:dyDescent="0.25">
      <c r="A99" s="581">
        <f t="shared" si="32"/>
        <v>0.19178588090990245</v>
      </c>
      <c r="B99" s="31">
        <f t="shared" si="22"/>
        <v>67</v>
      </c>
      <c r="C99" s="434">
        <f>'SOLLECITAZ NASCOSTO'!$D$6/'SOLLECITAZ NASCOSTO'!$B$448*'SOLLECITAZ NASCOSTO'!B99</f>
        <v>0.729923381445863</v>
      </c>
      <c r="D99" s="434">
        <f t="shared" si="33"/>
        <v>0.31178588090990245</v>
      </c>
      <c r="E99" s="434">
        <f t="shared" si="27"/>
        <v>0.19178588090990245</v>
      </c>
      <c r="F99" s="434">
        <f t="shared" si="28"/>
        <v>0.36137148189116874</v>
      </c>
      <c r="G99" s="434">
        <f t="shared" si="29"/>
        <v>3.1249669685562219E-2</v>
      </c>
      <c r="H99" s="434">
        <f t="shared" si="23"/>
        <v>0</v>
      </c>
      <c r="I99" s="434">
        <v>0</v>
      </c>
      <c r="J99" s="127">
        <f t="shared" si="24"/>
        <v>8.6475195889899867E-2</v>
      </c>
      <c r="K99" s="126">
        <f t="shared" si="30"/>
        <v>1.7863017619761164E-3</v>
      </c>
      <c r="L99" s="41">
        <f t="shared" si="25"/>
        <v>16.145514185835225</v>
      </c>
      <c r="M99" s="41">
        <f t="shared" si="26"/>
        <v>-5.1248182035804071</v>
      </c>
      <c r="N99" s="41">
        <f>(IF(C98&lt;='SOLLECITAZ NASCOSTO'!$P$12,IF(C98&lt;='SOLLECITAZ NASCOSTO'!$P$11,IF(C98&lt;='SOLLECITAZ NASCOSTO'!$P$10,IF(C98&lt;='SOLLECITAZ NASCOSTO'!$P$9,IF(C98&lt;='SOLLECITAZ NASCOSTO'!$P$8,IF(C98&lt;='SOLLECITAZ NASCOSTO'!$P$7,IF(C98&lt;='SOLLECITAZ NASCOSTO'!$P$6,IF(C98&lt;='SOLLECITAZ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paramento'!$G$111),55555)-IF(C98&lt;='SOLLECITAZ NASCOSTO'!$P$12,IF(C98&lt;='SOLLECITAZ NASCOSTO'!$P$11,IF(C98&lt;='SOLLECITAZ NASCOSTO'!$P$10,IF(C98&lt;='SOLLECITAZ NASCOSTO'!$P$9,IF(C98&lt;='SOLLECITAZ NASCOSTO'!$P$8,IF(C98&lt;='SOLLECITAZ NASCOSTO'!$P$7,IF(C98&lt;='SOLLECITAZ NASCOSTO'!$P$6,IF(C98&lt;='SOLLECITAZ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paramento'!$G$111))*(C98-IF(C98&lt;='SOLLECITAZ NASCOSTO'!$P$12,IF(C98&lt;='SOLLECITAZ NASCOSTO'!$P$11,IF(C98&lt;='SOLLECITAZ NASCOSTO'!$P$10,IF(C98&lt;='SOLLECITAZ NASCOSTO'!$P$9,IF(C98&lt;='SOLLECITAZ NASCOSTO'!$P$8,IF(C98&lt;='SOLLECITAZ NASCOSTO'!$P$7,IF(C98&lt;='SOLLECITAZ NASCOSTO'!$P$6,IF(C98&lt;='SOLLECITAZ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NASCOSTO'!$P$12))/IF(C98&lt;='SOLLECITAZ NASCOSTO'!$P$12,IF(C98&lt;='SOLLECITAZ NASCOSTO'!$P$11,IF(C98&lt;='SOLLECITAZ NASCOSTO'!$P$10,IF(C98&lt;='SOLLECITAZ NASCOSTO'!$P$9,IF(C98&lt;='SOLLECITAZ NASCOSTO'!$P$8,IF(C98&lt;='SOLLECITAZ NASCOSTO'!$P$7,IF(C98&lt;='SOLLECITAZ NASCOSTO'!$P$6,IF(C98&lt;='SOLLECITAZ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paramento'!$C$111)+IF(C98&lt;='SOLLECITAZ NASCOSTO'!$P$12,IF(C98&lt;='SOLLECITAZ NASCOSTO'!$P$11,IF(C98&lt;='SOLLECITAZ NASCOSTO'!$P$10,IF(C98&lt;='SOLLECITAZ NASCOSTO'!$P$9,IF(C98&lt;='SOLLECITAZ NASCOSTO'!$P$8,IF(C98&lt;='SOLLECITAZ NASCOSTO'!$P$7,IF(C98&lt;='SOLLECITAZ NASCOSTO'!$P$6,IF(C98&lt;='SOLLECITAZ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30.508459518350922</v>
      </c>
      <c r="O99" s="41">
        <f>IF(C99&lt;='SOLLECITAZ NASCOSTO'!$P$12,IF(C99&lt;='SOLLECITAZ NASCOSTO'!$P$11,IF(C99&lt;='SOLLECITAZ NASCOSTO'!$P$10,IF(C99&lt;='SOLLECITAZ NASCOSTO'!$P$9,IF(C99&lt;='SOLLECITAZ NASCOSTO'!$P$8,IF(C99&lt;='SOLLECITAZ NASCOSTO'!$P$7,IF(C99&lt;='SOLLECITAZ NASCOSTO'!$P$6,IF(C99&lt;='SOLLECITAZ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paramento'!$G$110),55555)*(C99-C98)/IF(C99&lt;='SOLLECITAZ NASCOSTO'!$P$12,IF(C99&lt;='SOLLECITAZ NASCOSTO'!$P$11,IF(C99&lt;='SOLLECITAZ NASCOSTO'!$P$10,IF(C99&lt;='SOLLECITAZ NASCOSTO'!$P$9,IF(C99&lt;='SOLLECITAZ NASCOSTO'!$P$8,IF(C99&lt;='SOLLECITAZ NASCOSTO'!$P$7,IF(C99&lt;='SOLLECITAZ NASCOSTO'!$P$6,IF(C99&lt;='SOLLECITAZ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99" s="41">
        <f t="shared" si="21"/>
        <v>6.599999999999991E-5</v>
      </c>
      <c r="Q99" s="41">
        <f t="shared" ref="Q99:Q162" si="37">IF(C99&lt;=$D$6,1,0+P99)</f>
        <v>1</v>
      </c>
      <c r="R99" s="434">
        <f t="shared" si="31"/>
        <v>0.729923381445863</v>
      </c>
      <c r="S99" s="45">
        <f t="shared" ref="S99:S162" si="38">IF(Q99&lt;1,VLOOKUP(0,$Q$34:$R$468,2,TRUE),C99)</f>
        <v>0.729923381445863</v>
      </c>
      <c r="T99" s="205">
        <f t="shared" si="34"/>
        <v>4.3021382108150181</v>
      </c>
      <c r="U99" s="45">
        <f t="shared" si="35"/>
        <v>16.145514185835225</v>
      </c>
      <c r="V99" s="45">
        <f t="shared" si="36"/>
        <v>-5.1248182035804071</v>
      </c>
      <c r="W99" s="488"/>
      <c r="X99" s="502" t="s">
        <v>851</v>
      </c>
      <c r="Y99" s="303">
        <f>Y89+Y90</f>
        <v>12.503551010334064</v>
      </c>
      <c r="Z99" s="501"/>
      <c r="AA99" s="46"/>
    </row>
    <row r="100" spans="1:27" s="421" customFormat="1" x14ac:dyDescent="0.25">
      <c r="A100" s="581">
        <f t="shared" si="32"/>
        <v>0.19335672365801165</v>
      </c>
      <c r="B100" s="31">
        <f t="shared" si="22"/>
        <v>68</v>
      </c>
      <c r="C100" s="434">
        <f>'SOLLECITAZ NASCOSTO'!$D$6/'SOLLECITAZ NASCOSTO'!$B$448*'SOLLECITAZ NASCOSTO'!B100</f>
        <v>0.74081776027341328</v>
      </c>
      <c r="D100" s="434">
        <f t="shared" si="33"/>
        <v>0.31335672365801165</v>
      </c>
      <c r="E100" s="434">
        <f t="shared" si="27"/>
        <v>0.19335672365801165</v>
      </c>
      <c r="F100" s="434">
        <f t="shared" si="28"/>
        <v>0.36187415157056374</v>
      </c>
      <c r="G100" s="434">
        <f t="shared" si="29"/>
        <v>3.1406789801869353E-2</v>
      </c>
      <c r="H100" s="434">
        <f t="shared" si="23"/>
        <v>0</v>
      </c>
      <c r="I100" s="434">
        <v>0</v>
      </c>
      <c r="J100" s="127">
        <f t="shared" si="24"/>
        <v>8.6789259927964699E-2</v>
      </c>
      <c r="K100" s="126">
        <f t="shared" si="30"/>
        <v>1.8119623686449308E-3</v>
      </c>
      <c r="L100" s="41">
        <f t="shared" si="25"/>
        <v>16.482103034739371</v>
      </c>
      <c r="M100" s="41">
        <f t="shared" si="26"/>
        <v>-5.3025470147010285</v>
      </c>
      <c r="N100" s="41">
        <f>(IF(C99&lt;='SOLLECITAZ NASCOSTO'!$P$12,IF(C99&lt;='SOLLECITAZ NASCOSTO'!$P$11,IF(C99&lt;='SOLLECITAZ NASCOSTO'!$P$10,IF(C99&lt;='SOLLECITAZ NASCOSTO'!$P$9,IF(C99&lt;='SOLLECITAZ NASCOSTO'!$P$8,IF(C99&lt;='SOLLECITAZ NASCOSTO'!$P$7,IF(C99&lt;='SOLLECITAZ NASCOSTO'!$P$6,IF(C99&lt;='SOLLECITAZ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paramento'!$G$111),55555)-IF(C99&lt;='SOLLECITAZ NASCOSTO'!$P$12,IF(C99&lt;='SOLLECITAZ NASCOSTO'!$P$11,IF(C99&lt;='SOLLECITAZ NASCOSTO'!$P$10,IF(C99&lt;='SOLLECITAZ NASCOSTO'!$P$9,IF(C99&lt;='SOLLECITAZ NASCOSTO'!$P$8,IF(C99&lt;='SOLLECITAZ NASCOSTO'!$P$7,IF(C99&lt;='SOLLECITAZ NASCOSTO'!$P$6,IF(C99&lt;='SOLLECITAZ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paramento'!$G$111))*(C99-IF(C99&lt;='SOLLECITAZ NASCOSTO'!$P$12,IF(C99&lt;='SOLLECITAZ NASCOSTO'!$P$11,IF(C99&lt;='SOLLECITAZ NASCOSTO'!$P$10,IF(C99&lt;='SOLLECITAZ NASCOSTO'!$P$9,IF(C99&lt;='SOLLECITAZ NASCOSTO'!$P$8,IF(C99&lt;='SOLLECITAZ NASCOSTO'!$P$7,IF(C99&lt;='SOLLECITAZ NASCOSTO'!$P$6,IF(C99&lt;='SOLLECITAZ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NASCOSTO'!$P$12))/IF(C99&lt;='SOLLECITAZ NASCOSTO'!$P$12,IF(C99&lt;='SOLLECITAZ NASCOSTO'!$P$11,IF(C99&lt;='SOLLECITAZ NASCOSTO'!$P$10,IF(C99&lt;='SOLLECITAZ NASCOSTO'!$P$9,IF(C99&lt;='SOLLECITAZ NASCOSTO'!$P$8,IF(C99&lt;='SOLLECITAZ NASCOSTO'!$P$7,IF(C99&lt;='SOLLECITAZ NASCOSTO'!$P$6,IF(C99&lt;='SOLLECITAZ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paramento'!$C$111)+IF(C99&lt;='SOLLECITAZ NASCOSTO'!$P$12,IF(C99&lt;='SOLLECITAZ NASCOSTO'!$P$11,IF(C99&lt;='SOLLECITAZ NASCOSTO'!$P$10,IF(C99&lt;='SOLLECITAZ NASCOSTO'!$P$9,IF(C99&lt;='SOLLECITAZ NASCOSTO'!$P$8,IF(C99&lt;='SOLLECITAZ NASCOSTO'!$P$7,IF(C99&lt;='SOLLECITAZ NASCOSTO'!$P$6,IF(C99&lt;='SOLLECITAZ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30.766582447800324</v>
      </c>
      <c r="O100" s="41">
        <f>IF(C100&lt;='SOLLECITAZ NASCOSTO'!$P$12,IF(C100&lt;='SOLLECITAZ NASCOSTO'!$P$11,IF(C100&lt;='SOLLECITAZ NASCOSTO'!$P$10,IF(C100&lt;='SOLLECITAZ NASCOSTO'!$P$9,IF(C100&lt;='SOLLECITAZ NASCOSTO'!$P$8,IF(C100&lt;='SOLLECITAZ NASCOSTO'!$P$7,IF(C100&lt;='SOLLECITAZ NASCOSTO'!$P$6,IF(C100&lt;='SOLLECITAZ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paramento'!$G$110),55555)*(C100-C99)/IF(C100&lt;='SOLLECITAZ NASCOSTO'!$P$12,IF(C100&lt;='SOLLECITAZ NASCOSTO'!$P$11,IF(C100&lt;='SOLLECITAZ NASCOSTO'!$P$10,IF(C100&lt;='SOLLECITAZ NASCOSTO'!$P$9,IF(C100&lt;='SOLLECITAZ NASCOSTO'!$P$8,IF(C100&lt;='SOLLECITAZ NASCOSTO'!$P$7,IF(C100&lt;='SOLLECITAZ NASCOSTO'!$P$6,IF(C100&lt;='SOLLECITAZ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0.25812292944940807</v>
      </c>
      <c r="P100" s="41">
        <f t="shared" ref="P100:P163" si="39">P99+0.000001</f>
        <v>6.6999999999999907E-5</v>
      </c>
      <c r="Q100" s="41">
        <f t="shared" si="37"/>
        <v>1</v>
      </c>
      <c r="R100" s="434">
        <f t="shared" si="31"/>
        <v>0.74081776027341328</v>
      </c>
      <c r="S100" s="45">
        <f t="shared" si="38"/>
        <v>0.74081776027341328</v>
      </c>
      <c r="T100" s="205">
        <f t="shared" si="34"/>
        <v>4.2912438319874679</v>
      </c>
      <c r="U100" s="45">
        <f t="shared" si="35"/>
        <v>16.482103034739371</v>
      </c>
      <c r="V100" s="45">
        <f t="shared" si="36"/>
        <v>-5.3025470147010285</v>
      </c>
      <c r="W100" s="488"/>
      <c r="X100" s="31" t="s">
        <v>236</v>
      </c>
      <c r="Y100" s="303">
        <f>Y99/Y86</f>
        <v>2.4847770205285342</v>
      </c>
      <c r="Z100" s="501"/>
      <c r="AA100" s="46"/>
    </row>
    <row r="101" spans="1:27" s="421" customFormat="1" x14ac:dyDescent="0.25">
      <c r="A101" s="581">
        <f t="shared" si="32"/>
        <v>0.1949275664061208</v>
      </c>
      <c r="B101" s="31">
        <f t="shared" si="22"/>
        <v>69</v>
      </c>
      <c r="C101" s="434">
        <f>'SOLLECITAZ NASCOSTO'!$D$6/'SOLLECITAZ NASCOSTO'!$B$448*'SOLLECITAZ NASCOSTO'!B101</f>
        <v>0.75171213910096346</v>
      </c>
      <c r="D101" s="434">
        <f t="shared" si="33"/>
        <v>0.3149275664061208</v>
      </c>
      <c r="E101" s="434">
        <f t="shared" si="27"/>
        <v>0.1949275664061208</v>
      </c>
      <c r="F101" s="434">
        <f t="shared" si="28"/>
        <v>0.36237682124995862</v>
      </c>
      <c r="G101" s="434">
        <f t="shared" si="29"/>
        <v>3.1564699533197058E-2</v>
      </c>
      <c r="H101" s="434">
        <f t="shared" si="23"/>
        <v>0</v>
      </c>
      <c r="I101" s="434">
        <v>0</v>
      </c>
      <c r="J101" s="127">
        <f t="shared" si="24"/>
        <v>8.7104631649231518E-2</v>
      </c>
      <c r="K101" s="126">
        <f t="shared" si="30"/>
        <v>1.8379090913886635E-3</v>
      </c>
      <c r="L101" s="41">
        <f t="shared" si="25"/>
        <v>16.821503972621013</v>
      </c>
      <c r="M101" s="41">
        <f t="shared" si="26"/>
        <v>-5.4839580702320481</v>
      </c>
      <c r="N101" s="41">
        <f>(IF(C100&lt;='SOLLECITAZ NASCOSTO'!$P$12,IF(C100&lt;='SOLLECITAZ NASCOSTO'!$P$11,IF(C100&lt;='SOLLECITAZ NASCOSTO'!$P$10,IF(C100&lt;='SOLLECITAZ NASCOSTO'!$P$9,IF(C100&lt;='SOLLECITAZ NASCOSTO'!$P$8,IF(C100&lt;='SOLLECITAZ NASCOSTO'!$P$7,IF(C100&lt;='SOLLECITAZ NASCOSTO'!$P$6,IF(C100&lt;='SOLLECITAZ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paramento'!$G$111),55555)-IF(C100&lt;='SOLLECITAZ NASCOSTO'!$P$12,IF(C100&lt;='SOLLECITAZ NASCOSTO'!$P$11,IF(C100&lt;='SOLLECITAZ NASCOSTO'!$P$10,IF(C100&lt;='SOLLECITAZ NASCOSTO'!$P$9,IF(C100&lt;='SOLLECITAZ NASCOSTO'!$P$8,IF(C100&lt;='SOLLECITAZ NASCOSTO'!$P$7,IF(C100&lt;='SOLLECITAZ NASCOSTO'!$P$6,IF(C100&lt;='SOLLECITAZ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paramento'!$G$111))*(C100-IF(C100&lt;='SOLLECITAZ NASCOSTO'!$P$12,IF(C100&lt;='SOLLECITAZ NASCOSTO'!$P$11,IF(C100&lt;='SOLLECITAZ NASCOSTO'!$P$10,IF(C100&lt;='SOLLECITAZ NASCOSTO'!$P$9,IF(C100&lt;='SOLLECITAZ NASCOSTO'!$P$8,IF(C100&lt;='SOLLECITAZ NASCOSTO'!$P$7,IF(C100&lt;='SOLLECITAZ NASCOSTO'!$P$6,IF(C100&lt;='SOLLECITAZ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NASCOSTO'!$P$12))/IF(C100&lt;='SOLLECITAZ NASCOSTO'!$P$12,IF(C100&lt;='SOLLECITAZ NASCOSTO'!$P$11,IF(C100&lt;='SOLLECITAZ NASCOSTO'!$P$10,IF(C100&lt;='SOLLECITAZ NASCOSTO'!$P$9,IF(C100&lt;='SOLLECITAZ NASCOSTO'!$P$8,IF(C100&lt;='SOLLECITAZ NASCOSTO'!$P$7,IF(C100&lt;='SOLLECITAZ NASCOSTO'!$P$6,IF(C100&lt;='SOLLECITAZ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paramento'!$C$111)+IF(C100&lt;='SOLLECITAZ NASCOSTO'!$P$12,IF(C100&lt;='SOLLECITAZ NASCOSTO'!$P$11,IF(C100&lt;='SOLLECITAZ NASCOSTO'!$P$10,IF(C100&lt;='SOLLECITAZ NASCOSTO'!$P$9,IF(C100&lt;='SOLLECITAZ NASCOSTO'!$P$8,IF(C100&lt;='SOLLECITAZ NASCOSTO'!$P$7,IF(C100&lt;='SOLLECITAZ NASCOSTO'!$P$6,IF(C100&lt;='SOLLECITAZ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31.024705377249735</v>
      </c>
      <c r="O101" s="41">
        <f>IF(C101&lt;='SOLLECITAZ NASCOSTO'!$P$12,IF(C101&lt;='SOLLECITAZ NASCOSTO'!$P$11,IF(C101&lt;='SOLLECITAZ NASCOSTO'!$P$10,IF(C101&lt;='SOLLECITAZ NASCOSTO'!$P$9,IF(C101&lt;='SOLLECITAZ NASCOSTO'!$P$8,IF(C101&lt;='SOLLECITAZ NASCOSTO'!$P$7,IF(C101&lt;='SOLLECITAZ NASCOSTO'!$P$6,IF(C101&lt;='SOLLECITAZ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paramento'!$G$110),55555)*(C101-C100)/IF(C101&lt;='SOLLECITAZ NASCOSTO'!$P$12,IF(C101&lt;='SOLLECITAZ NASCOSTO'!$P$11,IF(C101&lt;='SOLLECITAZ NASCOSTO'!$P$10,IF(C101&lt;='SOLLECITAZ NASCOSTO'!$P$9,IF(C101&lt;='SOLLECITAZ NASCOSTO'!$P$8,IF(C101&lt;='SOLLECITAZ NASCOSTO'!$P$7,IF(C101&lt;='SOLLECITAZ NASCOSTO'!$P$6,IF(C101&lt;='SOLLECITAZ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01" s="41">
        <f t="shared" si="39"/>
        <v>6.7999999999999905E-5</v>
      </c>
      <c r="Q101" s="41">
        <f t="shared" si="37"/>
        <v>1</v>
      </c>
      <c r="R101" s="434">
        <f t="shared" si="31"/>
        <v>0.75171213910096346</v>
      </c>
      <c r="S101" s="45">
        <f t="shared" si="38"/>
        <v>0.75171213910096346</v>
      </c>
      <c r="T101" s="205">
        <f t="shared" si="34"/>
        <v>4.2803494531599178</v>
      </c>
      <c r="U101" s="45">
        <f t="shared" si="35"/>
        <v>16.821503972621013</v>
      </c>
      <c r="V101" s="45">
        <f t="shared" si="36"/>
        <v>-5.4839580702320481</v>
      </c>
      <c r="W101" s="488"/>
      <c r="X101" s="31" t="s">
        <v>800</v>
      </c>
      <c r="Y101" s="306">
        <f>Y88</f>
        <v>11.257756890696893</v>
      </c>
      <c r="Z101" s="32"/>
      <c r="AA101" s="32"/>
    </row>
    <row r="102" spans="1:27" s="421" customFormat="1" x14ac:dyDescent="0.25">
      <c r="A102" s="581">
        <f t="shared" si="32"/>
        <v>0.19649840915423</v>
      </c>
      <c r="B102" s="31">
        <f t="shared" si="22"/>
        <v>70</v>
      </c>
      <c r="C102" s="434">
        <f>'SOLLECITAZ NASCOSTO'!$D$6/'SOLLECITAZ NASCOSTO'!$B$448*'SOLLECITAZ NASCOSTO'!B102</f>
        <v>0.76260651792851364</v>
      </c>
      <c r="D102" s="434">
        <f t="shared" si="33"/>
        <v>0.31649840915423</v>
      </c>
      <c r="E102" s="434">
        <f t="shared" si="27"/>
        <v>0.19649840915423</v>
      </c>
      <c r="F102" s="434">
        <f t="shared" si="28"/>
        <v>0.36287949092935357</v>
      </c>
      <c r="G102" s="434">
        <f t="shared" si="29"/>
        <v>3.1723398879545339E-2</v>
      </c>
      <c r="H102" s="434">
        <f t="shared" si="23"/>
        <v>0</v>
      </c>
      <c r="I102" s="434">
        <v>0</v>
      </c>
      <c r="J102" s="127">
        <f t="shared" si="24"/>
        <v>8.7421305619394568E-2</v>
      </c>
      <c r="K102" s="126">
        <f t="shared" si="30"/>
        <v>1.8641432167695667E-3</v>
      </c>
      <c r="L102" s="41">
        <f t="shared" si="25"/>
        <v>17.163716999480155</v>
      </c>
      <c r="M102" s="41">
        <f t="shared" si="26"/>
        <v>-5.6690820061360849</v>
      </c>
      <c r="N102" s="41">
        <f>(IF(C101&lt;='SOLLECITAZ NASCOSTO'!$P$12,IF(C101&lt;='SOLLECITAZ NASCOSTO'!$P$11,IF(C101&lt;='SOLLECITAZ NASCOSTO'!$P$10,IF(C101&lt;='SOLLECITAZ NASCOSTO'!$P$9,IF(C101&lt;='SOLLECITAZ NASCOSTO'!$P$8,IF(C101&lt;='SOLLECITAZ NASCOSTO'!$P$7,IF(C101&lt;='SOLLECITAZ NASCOSTO'!$P$6,IF(C101&lt;='SOLLECITAZ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paramento'!$G$111),55555)-IF(C101&lt;='SOLLECITAZ NASCOSTO'!$P$12,IF(C101&lt;='SOLLECITAZ NASCOSTO'!$P$11,IF(C101&lt;='SOLLECITAZ NASCOSTO'!$P$10,IF(C101&lt;='SOLLECITAZ NASCOSTO'!$P$9,IF(C101&lt;='SOLLECITAZ NASCOSTO'!$P$8,IF(C101&lt;='SOLLECITAZ NASCOSTO'!$P$7,IF(C101&lt;='SOLLECITAZ NASCOSTO'!$P$6,IF(C101&lt;='SOLLECITAZ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paramento'!$G$111))*(C101-IF(C101&lt;='SOLLECITAZ NASCOSTO'!$P$12,IF(C101&lt;='SOLLECITAZ NASCOSTO'!$P$11,IF(C101&lt;='SOLLECITAZ NASCOSTO'!$P$10,IF(C101&lt;='SOLLECITAZ NASCOSTO'!$P$9,IF(C101&lt;='SOLLECITAZ NASCOSTO'!$P$8,IF(C101&lt;='SOLLECITAZ NASCOSTO'!$P$7,IF(C101&lt;='SOLLECITAZ NASCOSTO'!$P$6,IF(C101&lt;='SOLLECITAZ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NASCOSTO'!$P$12))/IF(C101&lt;='SOLLECITAZ NASCOSTO'!$P$12,IF(C101&lt;='SOLLECITAZ NASCOSTO'!$P$11,IF(C101&lt;='SOLLECITAZ NASCOSTO'!$P$10,IF(C101&lt;='SOLLECITAZ NASCOSTO'!$P$9,IF(C101&lt;='SOLLECITAZ NASCOSTO'!$P$8,IF(C101&lt;='SOLLECITAZ NASCOSTO'!$P$7,IF(C101&lt;='SOLLECITAZ NASCOSTO'!$P$6,IF(C101&lt;='SOLLECITAZ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paramento'!$C$111)+IF(C101&lt;='SOLLECITAZ NASCOSTO'!$P$12,IF(C101&lt;='SOLLECITAZ NASCOSTO'!$P$11,IF(C101&lt;='SOLLECITAZ NASCOSTO'!$P$10,IF(C101&lt;='SOLLECITAZ NASCOSTO'!$P$9,IF(C101&lt;='SOLLECITAZ NASCOSTO'!$P$8,IF(C101&lt;='SOLLECITAZ NASCOSTO'!$P$7,IF(C101&lt;='SOLLECITAZ NASCOSTO'!$P$6,IF(C101&lt;='SOLLECITAZ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31.282828306699137</v>
      </c>
      <c r="O102" s="41">
        <f>IF(C102&lt;='SOLLECITAZ NASCOSTO'!$P$12,IF(C102&lt;='SOLLECITAZ NASCOSTO'!$P$11,IF(C102&lt;='SOLLECITAZ NASCOSTO'!$P$10,IF(C102&lt;='SOLLECITAZ NASCOSTO'!$P$9,IF(C102&lt;='SOLLECITAZ NASCOSTO'!$P$8,IF(C102&lt;='SOLLECITAZ NASCOSTO'!$P$7,IF(C102&lt;='SOLLECITAZ NASCOSTO'!$P$6,IF(C102&lt;='SOLLECITAZ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paramento'!$G$110),55555)*(C102-C101)/IF(C102&lt;='SOLLECITAZ NASCOSTO'!$P$12,IF(C102&lt;='SOLLECITAZ NASCOSTO'!$P$11,IF(C102&lt;='SOLLECITAZ NASCOSTO'!$P$10,IF(C102&lt;='SOLLECITAZ NASCOSTO'!$P$9,IF(C102&lt;='SOLLECITAZ NASCOSTO'!$P$8,IF(C102&lt;='SOLLECITAZ NASCOSTO'!$P$7,IF(C102&lt;='SOLLECITAZ NASCOSTO'!$P$6,IF(C102&lt;='SOLLECITAZ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02" s="41">
        <f t="shared" si="39"/>
        <v>6.8999999999999902E-5</v>
      </c>
      <c r="Q102" s="41">
        <f t="shared" si="37"/>
        <v>1</v>
      </c>
      <c r="R102" s="434">
        <f t="shared" si="31"/>
        <v>0.76260651792851364</v>
      </c>
      <c r="S102" s="45">
        <f t="shared" si="38"/>
        <v>0.76260651792851364</v>
      </c>
      <c r="T102" s="205">
        <f t="shared" si="34"/>
        <v>4.2694550743323676</v>
      </c>
      <c r="U102" s="45">
        <f t="shared" si="35"/>
        <v>17.163716999480155</v>
      </c>
      <c r="V102" s="45">
        <f t="shared" si="36"/>
        <v>-5.6690820061360849</v>
      </c>
      <c r="W102" s="488"/>
      <c r="X102" s="31" t="s">
        <v>854</v>
      </c>
      <c r="Y102" s="32" t="s">
        <v>855</v>
      </c>
      <c r="Z102" s="32"/>
      <c r="AA102" s="32"/>
    </row>
    <row r="103" spans="1:27" s="421" customFormat="1" x14ac:dyDescent="0.25">
      <c r="A103" s="581">
        <f t="shared" si="32"/>
        <v>0.19806925190233915</v>
      </c>
      <c r="B103" s="31">
        <f t="shared" si="22"/>
        <v>71</v>
      </c>
      <c r="C103" s="434">
        <f>'SOLLECITAZ NASCOSTO'!$D$6/'SOLLECITAZ NASCOSTO'!$B$448*'SOLLECITAZ NASCOSTO'!B103</f>
        <v>0.77350089675606382</v>
      </c>
      <c r="D103" s="434">
        <f t="shared" si="33"/>
        <v>0.31806925190233915</v>
      </c>
      <c r="E103" s="434">
        <f t="shared" si="27"/>
        <v>0.19806925190233915</v>
      </c>
      <c r="F103" s="434">
        <f t="shared" si="28"/>
        <v>0.36338216060874851</v>
      </c>
      <c r="G103" s="434">
        <f t="shared" si="29"/>
        <v>3.1882887840914184E-2</v>
      </c>
      <c r="H103" s="434">
        <f t="shared" si="23"/>
        <v>0</v>
      </c>
      <c r="I103" s="434">
        <v>0</v>
      </c>
      <c r="J103" s="127">
        <f t="shared" si="24"/>
        <v>8.7739276434217445E-2</v>
      </c>
      <c r="K103" s="126">
        <f t="shared" si="30"/>
        <v>1.8906660276626437E-3</v>
      </c>
      <c r="L103" s="41">
        <f t="shared" si="25"/>
        <v>17.508742115316792</v>
      </c>
      <c r="M103" s="41">
        <f t="shared" si="26"/>
        <v>-5.8579494583757565</v>
      </c>
      <c r="N103" s="41">
        <f>(IF(C102&lt;='SOLLECITAZ NASCOSTO'!$P$12,IF(C102&lt;='SOLLECITAZ NASCOSTO'!$P$11,IF(C102&lt;='SOLLECITAZ NASCOSTO'!$P$10,IF(C102&lt;='SOLLECITAZ NASCOSTO'!$P$9,IF(C102&lt;='SOLLECITAZ NASCOSTO'!$P$8,IF(C102&lt;='SOLLECITAZ NASCOSTO'!$P$7,IF(C102&lt;='SOLLECITAZ NASCOSTO'!$P$6,IF(C102&lt;='SOLLECITAZ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paramento'!$G$111),55555)-IF(C102&lt;='SOLLECITAZ NASCOSTO'!$P$12,IF(C102&lt;='SOLLECITAZ NASCOSTO'!$P$11,IF(C102&lt;='SOLLECITAZ NASCOSTO'!$P$10,IF(C102&lt;='SOLLECITAZ NASCOSTO'!$P$9,IF(C102&lt;='SOLLECITAZ NASCOSTO'!$P$8,IF(C102&lt;='SOLLECITAZ NASCOSTO'!$P$7,IF(C102&lt;='SOLLECITAZ NASCOSTO'!$P$6,IF(C102&lt;='SOLLECITAZ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paramento'!$G$111))*(C102-IF(C102&lt;='SOLLECITAZ NASCOSTO'!$P$12,IF(C102&lt;='SOLLECITAZ NASCOSTO'!$P$11,IF(C102&lt;='SOLLECITAZ NASCOSTO'!$P$10,IF(C102&lt;='SOLLECITAZ NASCOSTO'!$P$9,IF(C102&lt;='SOLLECITAZ NASCOSTO'!$P$8,IF(C102&lt;='SOLLECITAZ NASCOSTO'!$P$7,IF(C102&lt;='SOLLECITAZ NASCOSTO'!$P$6,IF(C102&lt;='SOLLECITAZ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NASCOSTO'!$P$12))/IF(C102&lt;='SOLLECITAZ NASCOSTO'!$P$12,IF(C102&lt;='SOLLECITAZ NASCOSTO'!$P$11,IF(C102&lt;='SOLLECITAZ NASCOSTO'!$P$10,IF(C102&lt;='SOLLECITAZ NASCOSTO'!$P$9,IF(C102&lt;='SOLLECITAZ NASCOSTO'!$P$8,IF(C102&lt;='SOLLECITAZ NASCOSTO'!$P$7,IF(C102&lt;='SOLLECITAZ NASCOSTO'!$P$6,IF(C102&lt;='SOLLECITAZ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paramento'!$C$111)+IF(C102&lt;='SOLLECITAZ NASCOSTO'!$P$12,IF(C102&lt;='SOLLECITAZ NASCOSTO'!$P$11,IF(C102&lt;='SOLLECITAZ NASCOSTO'!$P$10,IF(C102&lt;='SOLLECITAZ NASCOSTO'!$P$9,IF(C102&lt;='SOLLECITAZ NASCOSTO'!$P$8,IF(C102&lt;='SOLLECITAZ NASCOSTO'!$P$7,IF(C102&lt;='SOLLECITAZ NASCOSTO'!$P$6,IF(C102&lt;='SOLLECITAZ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31.540951236148544</v>
      </c>
      <c r="O103" s="41">
        <f>IF(C103&lt;='SOLLECITAZ NASCOSTO'!$P$12,IF(C103&lt;='SOLLECITAZ NASCOSTO'!$P$11,IF(C103&lt;='SOLLECITAZ NASCOSTO'!$P$10,IF(C103&lt;='SOLLECITAZ NASCOSTO'!$P$9,IF(C103&lt;='SOLLECITAZ NASCOSTO'!$P$8,IF(C103&lt;='SOLLECITAZ NASCOSTO'!$P$7,IF(C103&lt;='SOLLECITAZ NASCOSTO'!$P$6,IF(C103&lt;='SOLLECITAZ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paramento'!$G$110),55555)*(C103-C102)/IF(C103&lt;='SOLLECITAZ NASCOSTO'!$P$12,IF(C103&lt;='SOLLECITAZ NASCOSTO'!$P$11,IF(C103&lt;='SOLLECITAZ NASCOSTO'!$P$10,IF(C103&lt;='SOLLECITAZ NASCOSTO'!$P$9,IF(C103&lt;='SOLLECITAZ NASCOSTO'!$P$8,IF(C103&lt;='SOLLECITAZ NASCOSTO'!$P$7,IF(C103&lt;='SOLLECITAZ NASCOSTO'!$P$6,IF(C103&lt;='SOLLECITAZ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03" s="41">
        <f t="shared" si="39"/>
        <v>6.9999999999999899E-5</v>
      </c>
      <c r="Q103" s="41">
        <f t="shared" si="37"/>
        <v>1</v>
      </c>
      <c r="R103" s="434">
        <f t="shared" si="31"/>
        <v>0.77350089675606382</v>
      </c>
      <c r="S103" s="45">
        <f t="shared" si="38"/>
        <v>0.77350089675606382</v>
      </c>
      <c r="T103" s="205">
        <f t="shared" si="34"/>
        <v>4.2585606955048174</v>
      </c>
      <c r="U103" s="45">
        <f t="shared" si="35"/>
        <v>17.508742115316792</v>
      </c>
      <c r="V103" s="45">
        <f t="shared" si="36"/>
        <v>-5.8579494583757565</v>
      </c>
      <c r="W103" s="488"/>
      <c r="X103" s="31"/>
      <c r="Y103" s="32"/>
      <c r="Z103" s="32"/>
      <c r="AA103" s="32"/>
    </row>
    <row r="104" spans="1:27" s="421" customFormat="1" x14ac:dyDescent="0.25">
      <c r="A104" s="581">
        <f t="shared" si="32"/>
        <v>0.1996400946504483</v>
      </c>
      <c r="B104" s="31">
        <f t="shared" si="22"/>
        <v>72</v>
      </c>
      <c r="C104" s="434">
        <f>'SOLLECITAZ NASCOSTO'!$D$6/'SOLLECITAZ NASCOSTO'!$B$448*'SOLLECITAZ NASCOSTO'!B104</f>
        <v>0.78439527558361399</v>
      </c>
      <c r="D104" s="434">
        <f t="shared" si="33"/>
        <v>0.31964009465044829</v>
      </c>
      <c r="E104" s="434">
        <f t="shared" si="27"/>
        <v>0.1996400946504483</v>
      </c>
      <c r="F104" s="434">
        <f t="shared" si="28"/>
        <v>0.36388483028814345</v>
      </c>
      <c r="G104" s="434">
        <f t="shared" si="29"/>
        <v>3.2043166417303606E-2</v>
      </c>
      <c r="H104" s="434">
        <f t="shared" si="23"/>
        <v>0</v>
      </c>
      <c r="I104" s="434">
        <v>0</v>
      </c>
      <c r="J104" s="127">
        <f t="shared" si="24"/>
        <v>8.8058538719325327E-2</v>
      </c>
      <c r="K104" s="126">
        <f t="shared" si="30"/>
        <v>1.9174788032811211E-3</v>
      </c>
      <c r="L104" s="41">
        <f t="shared" si="25"/>
        <v>17.85657932013093</v>
      </c>
      <c r="M104" s="41">
        <f t="shared" si="26"/>
        <v>-6.0505910629136803</v>
      </c>
      <c r="N104" s="41">
        <f>(IF(C103&lt;='SOLLECITAZ NASCOSTO'!$P$12,IF(C103&lt;='SOLLECITAZ NASCOSTO'!$P$11,IF(C103&lt;='SOLLECITAZ NASCOSTO'!$P$10,IF(C103&lt;='SOLLECITAZ NASCOSTO'!$P$9,IF(C103&lt;='SOLLECITAZ NASCOSTO'!$P$8,IF(C103&lt;='SOLLECITAZ NASCOSTO'!$P$7,IF(C103&lt;='SOLLECITAZ NASCOSTO'!$P$6,IF(C103&lt;='SOLLECITAZ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paramento'!$G$111),55555)-IF(C103&lt;='SOLLECITAZ NASCOSTO'!$P$12,IF(C103&lt;='SOLLECITAZ NASCOSTO'!$P$11,IF(C103&lt;='SOLLECITAZ NASCOSTO'!$P$10,IF(C103&lt;='SOLLECITAZ NASCOSTO'!$P$9,IF(C103&lt;='SOLLECITAZ NASCOSTO'!$P$8,IF(C103&lt;='SOLLECITAZ NASCOSTO'!$P$7,IF(C103&lt;='SOLLECITAZ NASCOSTO'!$P$6,IF(C103&lt;='SOLLECITAZ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paramento'!$G$111))*(C103-IF(C103&lt;='SOLLECITAZ NASCOSTO'!$P$12,IF(C103&lt;='SOLLECITAZ NASCOSTO'!$P$11,IF(C103&lt;='SOLLECITAZ NASCOSTO'!$P$10,IF(C103&lt;='SOLLECITAZ NASCOSTO'!$P$9,IF(C103&lt;='SOLLECITAZ NASCOSTO'!$P$8,IF(C103&lt;='SOLLECITAZ NASCOSTO'!$P$7,IF(C103&lt;='SOLLECITAZ NASCOSTO'!$P$6,IF(C103&lt;='SOLLECITAZ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NASCOSTO'!$P$12))/IF(C103&lt;='SOLLECITAZ NASCOSTO'!$P$12,IF(C103&lt;='SOLLECITAZ NASCOSTO'!$P$11,IF(C103&lt;='SOLLECITAZ NASCOSTO'!$P$10,IF(C103&lt;='SOLLECITAZ NASCOSTO'!$P$9,IF(C103&lt;='SOLLECITAZ NASCOSTO'!$P$8,IF(C103&lt;='SOLLECITAZ NASCOSTO'!$P$7,IF(C103&lt;='SOLLECITAZ NASCOSTO'!$P$6,IF(C103&lt;='SOLLECITAZ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paramento'!$C$111)+IF(C103&lt;='SOLLECITAZ NASCOSTO'!$P$12,IF(C103&lt;='SOLLECITAZ NASCOSTO'!$P$11,IF(C103&lt;='SOLLECITAZ NASCOSTO'!$P$10,IF(C103&lt;='SOLLECITAZ NASCOSTO'!$P$9,IF(C103&lt;='SOLLECITAZ NASCOSTO'!$P$8,IF(C103&lt;='SOLLECITAZ NASCOSTO'!$P$7,IF(C103&lt;='SOLLECITAZ NASCOSTO'!$P$6,IF(C103&lt;='SOLLECITAZ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31.799074165597951</v>
      </c>
      <c r="O104" s="41">
        <f>IF(C104&lt;='SOLLECITAZ NASCOSTO'!$P$12,IF(C104&lt;='SOLLECITAZ NASCOSTO'!$P$11,IF(C104&lt;='SOLLECITAZ NASCOSTO'!$P$10,IF(C104&lt;='SOLLECITAZ NASCOSTO'!$P$9,IF(C104&lt;='SOLLECITAZ NASCOSTO'!$P$8,IF(C104&lt;='SOLLECITAZ NASCOSTO'!$P$7,IF(C104&lt;='SOLLECITAZ NASCOSTO'!$P$6,IF(C104&lt;='SOLLECITAZ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paramento'!$G$110),55555)*(C104-C103)/IF(C104&lt;='SOLLECITAZ NASCOSTO'!$P$12,IF(C104&lt;='SOLLECITAZ NASCOSTO'!$P$11,IF(C104&lt;='SOLLECITAZ NASCOSTO'!$P$10,IF(C104&lt;='SOLLECITAZ NASCOSTO'!$P$9,IF(C104&lt;='SOLLECITAZ NASCOSTO'!$P$8,IF(C104&lt;='SOLLECITAZ NASCOSTO'!$P$7,IF(C104&lt;='SOLLECITAZ NASCOSTO'!$P$6,IF(C104&lt;='SOLLECITAZ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04" s="41">
        <f t="shared" si="39"/>
        <v>7.0999999999999896E-5</v>
      </c>
      <c r="Q104" s="41">
        <f t="shared" si="37"/>
        <v>1</v>
      </c>
      <c r="R104" s="434">
        <f t="shared" si="31"/>
        <v>0.78439527558361399</v>
      </c>
      <c r="S104" s="45">
        <f t="shared" si="38"/>
        <v>0.78439527558361399</v>
      </c>
      <c r="T104" s="205">
        <f t="shared" si="34"/>
        <v>4.2476663166772672</v>
      </c>
      <c r="U104" s="45">
        <f t="shared" si="35"/>
        <v>17.85657932013093</v>
      </c>
      <c r="V104" s="45">
        <f t="shared" si="36"/>
        <v>-6.0505910629136803</v>
      </c>
      <c r="W104" s="488"/>
      <c r="X104" s="31" t="s">
        <v>25</v>
      </c>
      <c r="Y104" s="32">
        <f>Y99*Y86/2+Y88*Y86</f>
        <v>88.109045467674491</v>
      </c>
      <c r="Z104" s="32"/>
      <c r="AA104" s="32"/>
    </row>
    <row r="105" spans="1:27" s="421" customFormat="1" x14ac:dyDescent="0.25">
      <c r="A105" s="581">
        <f t="shared" si="32"/>
        <v>0.20121093739855744</v>
      </c>
      <c r="B105" s="31">
        <f t="shared" si="22"/>
        <v>73</v>
      </c>
      <c r="C105" s="434">
        <f>'SOLLECITAZ NASCOSTO'!$D$6/'SOLLECITAZ NASCOSTO'!$B$448*'SOLLECITAZ NASCOSTO'!B105</f>
        <v>0.79528965441116417</v>
      </c>
      <c r="D105" s="434">
        <f t="shared" si="33"/>
        <v>0.32121093739855744</v>
      </c>
      <c r="E105" s="434">
        <f t="shared" si="27"/>
        <v>0.20121093739855744</v>
      </c>
      <c r="F105" s="434">
        <f t="shared" si="28"/>
        <v>0.36438749996753839</v>
      </c>
      <c r="G105" s="434">
        <f t="shared" si="29"/>
        <v>3.2204234608713599E-2</v>
      </c>
      <c r="H105" s="434">
        <f t="shared" si="23"/>
        <v>0</v>
      </c>
      <c r="I105" s="434">
        <v>0</v>
      </c>
      <c r="J105" s="127">
        <f t="shared" si="24"/>
        <v>8.8379087129999048E-2</v>
      </c>
      <c r="K105" s="126">
        <f t="shared" si="30"/>
        <v>1.9445828192017059E-3</v>
      </c>
      <c r="L105" s="41">
        <f t="shared" si="25"/>
        <v>18.207228613922567</v>
      </c>
      <c r="M105" s="41">
        <f t="shared" si="26"/>
        <v>-6.2470374557124746</v>
      </c>
      <c r="N105" s="41">
        <f>(IF(C104&lt;='SOLLECITAZ NASCOSTO'!$P$12,IF(C104&lt;='SOLLECITAZ NASCOSTO'!$P$11,IF(C104&lt;='SOLLECITAZ NASCOSTO'!$P$10,IF(C104&lt;='SOLLECITAZ NASCOSTO'!$P$9,IF(C104&lt;='SOLLECITAZ NASCOSTO'!$P$8,IF(C104&lt;='SOLLECITAZ NASCOSTO'!$P$7,IF(C104&lt;='SOLLECITAZ NASCOSTO'!$P$6,IF(C104&lt;='SOLLECITAZ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paramento'!$G$111),55555)-IF(C104&lt;='SOLLECITAZ NASCOSTO'!$P$12,IF(C104&lt;='SOLLECITAZ NASCOSTO'!$P$11,IF(C104&lt;='SOLLECITAZ NASCOSTO'!$P$10,IF(C104&lt;='SOLLECITAZ NASCOSTO'!$P$9,IF(C104&lt;='SOLLECITAZ NASCOSTO'!$P$8,IF(C104&lt;='SOLLECITAZ NASCOSTO'!$P$7,IF(C104&lt;='SOLLECITAZ NASCOSTO'!$P$6,IF(C104&lt;='SOLLECITAZ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paramento'!$G$111))*(C104-IF(C104&lt;='SOLLECITAZ NASCOSTO'!$P$12,IF(C104&lt;='SOLLECITAZ NASCOSTO'!$P$11,IF(C104&lt;='SOLLECITAZ NASCOSTO'!$P$10,IF(C104&lt;='SOLLECITAZ NASCOSTO'!$P$9,IF(C104&lt;='SOLLECITAZ NASCOSTO'!$P$8,IF(C104&lt;='SOLLECITAZ NASCOSTO'!$P$7,IF(C104&lt;='SOLLECITAZ NASCOSTO'!$P$6,IF(C104&lt;='SOLLECITAZ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NASCOSTO'!$P$12))/IF(C104&lt;='SOLLECITAZ NASCOSTO'!$P$12,IF(C104&lt;='SOLLECITAZ NASCOSTO'!$P$11,IF(C104&lt;='SOLLECITAZ NASCOSTO'!$P$10,IF(C104&lt;='SOLLECITAZ NASCOSTO'!$P$9,IF(C104&lt;='SOLLECITAZ NASCOSTO'!$P$8,IF(C104&lt;='SOLLECITAZ NASCOSTO'!$P$7,IF(C104&lt;='SOLLECITAZ NASCOSTO'!$P$6,IF(C104&lt;='SOLLECITAZ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paramento'!$C$111)+IF(C104&lt;='SOLLECITAZ NASCOSTO'!$P$12,IF(C104&lt;='SOLLECITAZ NASCOSTO'!$P$11,IF(C104&lt;='SOLLECITAZ NASCOSTO'!$P$10,IF(C104&lt;='SOLLECITAZ NASCOSTO'!$P$9,IF(C104&lt;='SOLLECITAZ NASCOSTO'!$P$8,IF(C104&lt;='SOLLECITAZ NASCOSTO'!$P$7,IF(C104&lt;='SOLLECITAZ NASCOSTO'!$P$6,IF(C104&lt;='SOLLECITAZ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32.057197095047357</v>
      </c>
      <c r="O105" s="41">
        <f>IF(C105&lt;='SOLLECITAZ NASCOSTO'!$P$12,IF(C105&lt;='SOLLECITAZ NASCOSTO'!$P$11,IF(C105&lt;='SOLLECITAZ NASCOSTO'!$P$10,IF(C105&lt;='SOLLECITAZ NASCOSTO'!$P$9,IF(C105&lt;='SOLLECITAZ NASCOSTO'!$P$8,IF(C105&lt;='SOLLECITAZ NASCOSTO'!$P$7,IF(C105&lt;='SOLLECITAZ NASCOSTO'!$P$6,IF(C105&lt;='SOLLECITAZ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paramento'!$G$110),55555)*(C105-C104)/IF(C105&lt;='SOLLECITAZ NASCOSTO'!$P$12,IF(C105&lt;='SOLLECITAZ NASCOSTO'!$P$11,IF(C105&lt;='SOLLECITAZ NASCOSTO'!$P$10,IF(C105&lt;='SOLLECITAZ NASCOSTO'!$P$9,IF(C105&lt;='SOLLECITAZ NASCOSTO'!$P$8,IF(C105&lt;='SOLLECITAZ NASCOSTO'!$P$7,IF(C105&lt;='SOLLECITAZ NASCOSTO'!$P$6,IF(C105&lt;='SOLLECITAZ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05" s="41">
        <f t="shared" si="39"/>
        <v>7.1999999999999893E-5</v>
      </c>
      <c r="Q105" s="41">
        <f t="shared" si="37"/>
        <v>1</v>
      </c>
      <c r="R105" s="434">
        <f t="shared" si="31"/>
        <v>0.79528965441116417</v>
      </c>
      <c r="S105" s="45">
        <f t="shared" si="38"/>
        <v>0.79528965441116417</v>
      </c>
      <c r="T105" s="205">
        <f t="shared" si="34"/>
        <v>4.2367719378497171</v>
      </c>
      <c r="U105" s="45">
        <f t="shared" si="35"/>
        <v>18.207228613922567</v>
      </c>
      <c r="V105" s="45">
        <f t="shared" si="36"/>
        <v>-6.2470374557124746</v>
      </c>
      <c r="W105" s="488"/>
      <c r="X105" s="31" t="s">
        <v>380</v>
      </c>
      <c r="Y105" s="32">
        <f>Y99*Y86/2*Y86/3+Y88*Y86*Y86/2</f>
        <v>195.300866333252</v>
      </c>
      <c r="Z105" s="32"/>
      <c r="AA105" s="32"/>
    </row>
    <row r="106" spans="1:27" s="421" customFormat="1" x14ac:dyDescent="0.25">
      <c r="A106" s="581">
        <f t="shared" si="32"/>
        <v>0.20278178014666665</v>
      </c>
      <c r="B106" s="31">
        <f t="shared" si="22"/>
        <v>74</v>
      </c>
      <c r="C106" s="434">
        <f>'SOLLECITAZ NASCOSTO'!$D$6/'SOLLECITAZ NASCOSTO'!$B$448*'SOLLECITAZ NASCOSTO'!B106</f>
        <v>0.80618403323871446</v>
      </c>
      <c r="D106" s="434">
        <f t="shared" si="33"/>
        <v>0.32278178014666664</v>
      </c>
      <c r="E106" s="434">
        <f t="shared" si="27"/>
        <v>0.20278178014666665</v>
      </c>
      <c r="F106" s="434">
        <f t="shared" si="28"/>
        <v>0.36489016964693333</v>
      </c>
      <c r="G106" s="434">
        <f t="shared" si="29"/>
        <v>3.2366092415144168E-2</v>
      </c>
      <c r="H106" s="434">
        <f t="shared" si="23"/>
        <v>0</v>
      </c>
      <c r="I106" s="434">
        <v>0</v>
      </c>
      <c r="J106" s="127">
        <f t="shared" si="24"/>
        <v>8.8700916350970771E-2</v>
      </c>
      <c r="K106" s="126">
        <f t="shared" si="30"/>
        <v>1.9719793473896275E-3</v>
      </c>
      <c r="L106" s="41">
        <f t="shared" si="25"/>
        <v>18.560689996691707</v>
      </c>
      <c r="M106" s="41">
        <f t="shared" si="26"/>
        <v>-6.4473192727347586</v>
      </c>
      <c r="N106" s="41">
        <f>(IF(C105&lt;='SOLLECITAZ NASCOSTO'!$P$12,IF(C105&lt;='SOLLECITAZ NASCOSTO'!$P$11,IF(C105&lt;='SOLLECITAZ NASCOSTO'!$P$10,IF(C105&lt;='SOLLECITAZ NASCOSTO'!$P$9,IF(C105&lt;='SOLLECITAZ NASCOSTO'!$P$8,IF(C105&lt;='SOLLECITAZ NASCOSTO'!$P$7,IF(C105&lt;='SOLLECITAZ NASCOSTO'!$P$6,IF(C105&lt;='SOLLECITAZ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paramento'!$G$111),55555)-IF(C105&lt;='SOLLECITAZ NASCOSTO'!$P$12,IF(C105&lt;='SOLLECITAZ NASCOSTO'!$P$11,IF(C105&lt;='SOLLECITAZ NASCOSTO'!$P$10,IF(C105&lt;='SOLLECITAZ NASCOSTO'!$P$9,IF(C105&lt;='SOLLECITAZ NASCOSTO'!$P$8,IF(C105&lt;='SOLLECITAZ NASCOSTO'!$P$7,IF(C105&lt;='SOLLECITAZ NASCOSTO'!$P$6,IF(C105&lt;='SOLLECITAZ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paramento'!$G$111))*(C105-IF(C105&lt;='SOLLECITAZ NASCOSTO'!$P$12,IF(C105&lt;='SOLLECITAZ NASCOSTO'!$P$11,IF(C105&lt;='SOLLECITAZ NASCOSTO'!$P$10,IF(C105&lt;='SOLLECITAZ NASCOSTO'!$P$9,IF(C105&lt;='SOLLECITAZ NASCOSTO'!$P$8,IF(C105&lt;='SOLLECITAZ NASCOSTO'!$P$7,IF(C105&lt;='SOLLECITAZ NASCOSTO'!$P$6,IF(C105&lt;='SOLLECITAZ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NASCOSTO'!$P$12))/IF(C105&lt;='SOLLECITAZ NASCOSTO'!$P$12,IF(C105&lt;='SOLLECITAZ NASCOSTO'!$P$11,IF(C105&lt;='SOLLECITAZ NASCOSTO'!$P$10,IF(C105&lt;='SOLLECITAZ NASCOSTO'!$P$9,IF(C105&lt;='SOLLECITAZ NASCOSTO'!$P$8,IF(C105&lt;='SOLLECITAZ NASCOSTO'!$P$7,IF(C105&lt;='SOLLECITAZ NASCOSTO'!$P$6,IF(C105&lt;='SOLLECITAZ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paramento'!$C$111)+IF(C105&lt;='SOLLECITAZ NASCOSTO'!$P$12,IF(C105&lt;='SOLLECITAZ NASCOSTO'!$P$11,IF(C105&lt;='SOLLECITAZ NASCOSTO'!$P$10,IF(C105&lt;='SOLLECITAZ NASCOSTO'!$P$9,IF(C105&lt;='SOLLECITAZ NASCOSTO'!$P$8,IF(C105&lt;='SOLLECITAZ NASCOSTO'!$P$7,IF(C105&lt;='SOLLECITAZ NASCOSTO'!$P$6,IF(C105&lt;='SOLLECITAZ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32.315320024496756</v>
      </c>
      <c r="O106" s="41">
        <f>IF(C106&lt;='SOLLECITAZ NASCOSTO'!$P$12,IF(C106&lt;='SOLLECITAZ NASCOSTO'!$P$11,IF(C106&lt;='SOLLECITAZ NASCOSTO'!$P$10,IF(C106&lt;='SOLLECITAZ NASCOSTO'!$P$9,IF(C106&lt;='SOLLECITAZ NASCOSTO'!$P$8,IF(C106&lt;='SOLLECITAZ NASCOSTO'!$P$7,IF(C106&lt;='SOLLECITAZ NASCOSTO'!$P$6,IF(C106&lt;='SOLLECITAZ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paramento'!$G$110),55555)*(C106-C105)/IF(C106&lt;='SOLLECITAZ NASCOSTO'!$P$12,IF(C106&lt;='SOLLECITAZ NASCOSTO'!$P$11,IF(C106&lt;='SOLLECITAZ NASCOSTO'!$P$10,IF(C106&lt;='SOLLECITAZ NASCOSTO'!$P$9,IF(C106&lt;='SOLLECITAZ NASCOSTO'!$P$8,IF(C106&lt;='SOLLECITAZ NASCOSTO'!$P$7,IF(C106&lt;='SOLLECITAZ NASCOSTO'!$P$6,IF(C106&lt;='SOLLECITAZ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0.25812292944940807</v>
      </c>
      <c r="P106" s="41">
        <f t="shared" si="39"/>
        <v>7.2999999999999891E-5</v>
      </c>
      <c r="Q106" s="41">
        <f t="shared" si="37"/>
        <v>1</v>
      </c>
      <c r="R106" s="434">
        <f t="shared" si="31"/>
        <v>0.80618403323871446</v>
      </c>
      <c r="S106" s="45">
        <f t="shared" si="38"/>
        <v>0.80618403323871446</v>
      </c>
      <c r="T106" s="205">
        <f t="shared" si="34"/>
        <v>4.225877559022166</v>
      </c>
      <c r="U106" s="45">
        <f t="shared" si="35"/>
        <v>18.560689996691707</v>
      </c>
      <c r="V106" s="45">
        <f t="shared" si="36"/>
        <v>-6.4473192727347586</v>
      </c>
      <c r="W106" s="488"/>
      <c r="X106" s="31" t="s">
        <v>856</v>
      </c>
      <c r="Y106" s="421">
        <f>Y105/Y104</f>
        <v>2.2165813430007493</v>
      </c>
    </row>
    <row r="107" spans="1:27" s="421" customFormat="1" x14ac:dyDescent="0.25">
      <c r="A107" s="581">
        <f t="shared" si="32"/>
        <v>0.20435262289477579</v>
      </c>
      <c r="B107" s="31">
        <f t="shared" si="22"/>
        <v>75</v>
      </c>
      <c r="C107" s="434">
        <f>'SOLLECITAZ NASCOSTO'!$D$6/'SOLLECITAZ NASCOSTO'!$B$448*'SOLLECITAZ NASCOSTO'!B107</f>
        <v>0.81707841206626464</v>
      </c>
      <c r="D107" s="434">
        <f t="shared" si="33"/>
        <v>0.32435262289477579</v>
      </c>
      <c r="E107" s="434">
        <f t="shared" si="27"/>
        <v>0.20435262289477579</v>
      </c>
      <c r="F107" s="434">
        <f t="shared" si="28"/>
        <v>0.36539283932632827</v>
      </c>
      <c r="G107" s="434">
        <f t="shared" si="29"/>
        <v>3.2528739836595301E-2</v>
      </c>
      <c r="H107" s="434">
        <f t="shared" si="23"/>
        <v>0</v>
      </c>
      <c r="I107" s="434">
        <v>0</v>
      </c>
      <c r="J107" s="127">
        <f t="shared" si="24"/>
        <v>8.9024021096221442E-2</v>
      </c>
      <c r="K107" s="126">
        <f t="shared" si="30"/>
        <v>1.9996696562234848E-3</v>
      </c>
      <c r="L107" s="41">
        <f t="shared" si="25"/>
        <v>18.916963468438343</v>
      </c>
      <c r="M107" s="41">
        <f t="shared" si="26"/>
        <v>-6.6514671499431461</v>
      </c>
      <c r="N107" s="41">
        <f>(IF(C106&lt;='SOLLECITAZ NASCOSTO'!$P$12,IF(C106&lt;='SOLLECITAZ NASCOSTO'!$P$11,IF(C106&lt;='SOLLECITAZ NASCOSTO'!$P$10,IF(C106&lt;='SOLLECITAZ NASCOSTO'!$P$9,IF(C106&lt;='SOLLECITAZ NASCOSTO'!$P$8,IF(C106&lt;='SOLLECITAZ NASCOSTO'!$P$7,IF(C106&lt;='SOLLECITAZ NASCOSTO'!$P$6,IF(C106&lt;='SOLLECITAZ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paramento'!$G$111),55555)-IF(C106&lt;='SOLLECITAZ NASCOSTO'!$P$12,IF(C106&lt;='SOLLECITAZ NASCOSTO'!$P$11,IF(C106&lt;='SOLLECITAZ NASCOSTO'!$P$10,IF(C106&lt;='SOLLECITAZ NASCOSTO'!$P$9,IF(C106&lt;='SOLLECITAZ NASCOSTO'!$P$8,IF(C106&lt;='SOLLECITAZ NASCOSTO'!$P$7,IF(C106&lt;='SOLLECITAZ NASCOSTO'!$P$6,IF(C106&lt;='SOLLECITAZ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paramento'!$G$111))*(C106-IF(C106&lt;='SOLLECITAZ NASCOSTO'!$P$12,IF(C106&lt;='SOLLECITAZ NASCOSTO'!$P$11,IF(C106&lt;='SOLLECITAZ NASCOSTO'!$P$10,IF(C106&lt;='SOLLECITAZ NASCOSTO'!$P$9,IF(C106&lt;='SOLLECITAZ NASCOSTO'!$P$8,IF(C106&lt;='SOLLECITAZ NASCOSTO'!$P$7,IF(C106&lt;='SOLLECITAZ NASCOSTO'!$P$6,IF(C106&lt;='SOLLECITAZ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NASCOSTO'!$P$12))/IF(C106&lt;='SOLLECITAZ NASCOSTO'!$P$12,IF(C106&lt;='SOLLECITAZ NASCOSTO'!$P$11,IF(C106&lt;='SOLLECITAZ NASCOSTO'!$P$10,IF(C106&lt;='SOLLECITAZ NASCOSTO'!$P$9,IF(C106&lt;='SOLLECITAZ NASCOSTO'!$P$8,IF(C106&lt;='SOLLECITAZ NASCOSTO'!$P$7,IF(C106&lt;='SOLLECITAZ NASCOSTO'!$P$6,IF(C106&lt;='SOLLECITAZ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paramento'!$C$111)+IF(C106&lt;='SOLLECITAZ NASCOSTO'!$P$12,IF(C106&lt;='SOLLECITAZ NASCOSTO'!$P$11,IF(C106&lt;='SOLLECITAZ NASCOSTO'!$P$10,IF(C106&lt;='SOLLECITAZ NASCOSTO'!$P$9,IF(C106&lt;='SOLLECITAZ NASCOSTO'!$P$8,IF(C106&lt;='SOLLECITAZ NASCOSTO'!$P$7,IF(C106&lt;='SOLLECITAZ NASCOSTO'!$P$6,IF(C106&lt;='SOLLECITAZ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32.57344295394617</v>
      </c>
      <c r="O107" s="41">
        <f>IF(C107&lt;='SOLLECITAZ NASCOSTO'!$P$12,IF(C107&lt;='SOLLECITAZ NASCOSTO'!$P$11,IF(C107&lt;='SOLLECITAZ NASCOSTO'!$P$10,IF(C107&lt;='SOLLECITAZ NASCOSTO'!$P$9,IF(C107&lt;='SOLLECITAZ NASCOSTO'!$P$8,IF(C107&lt;='SOLLECITAZ NASCOSTO'!$P$7,IF(C107&lt;='SOLLECITAZ NASCOSTO'!$P$6,IF(C107&lt;='SOLLECITAZ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paramento'!$G$110),55555)*(C107-C106)/IF(C107&lt;='SOLLECITAZ NASCOSTO'!$P$12,IF(C107&lt;='SOLLECITAZ NASCOSTO'!$P$11,IF(C107&lt;='SOLLECITAZ NASCOSTO'!$P$10,IF(C107&lt;='SOLLECITAZ NASCOSTO'!$P$9,IF(C107&lt;='SOLLECITAZ NASCOSTO'!$P$8,IF(C107&lt;='SOLLECITAZ NASCOSTO'!$P$7,IF(C107&lt;='SOLLECITAZ NASCOSTO'!$P$6,IF(C107&lt;='SOLLECITAZ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07" s="41">
        <f t="shared" si="39"/>
        <v>7.3999999999999888E-5</v>
      </c>
      <c r="Q107" s="41">
        <f t="shared" si="37"/>
        <v>1</v>
      </c>
      <c r="R107" s="434">
        <f t="shared" si="31"/>
        <v>0.81707841206626464</v>
      </c>
      <c r="S107" s="45">
        <f t="shared" si="38"/>
        <v>0.81707841206626464</v>
      </c>
      <c r="T107" s="205">
        <f t="shared" si="34"/>
        <v>4.2149831801946167</v>
      </c>
      <c r="U107" s="45">
        <f t="shared" si="35"/>
        <v>18.916963468438343</v>
      </c>
      <c r="V107" s="45">
        <f t="shared" si="36"/>
        <v>-6.6514671499431461</v>
      </c>
      <c r="W107" s="488"/>
      <c r="X107" s="489"/>
      <c r="Y107" s="489"/>
      <c r="Z107" s="490"/>
      <c r="AA107" s="46"/>
    </row>
    <row r="108" spans="1:27" s="421" customFormat="1" x14ac:dyDescent="0.25">
      <c r="A108" s="581">
        <f t="shared" si="32"/>
        <v>0.20592346564288494</v>
      </c>
      <c r="B108" s="31">
        <f t="shared" si="22"/>
        <v>76</v>
      </c>
      <c r="C108" s="434">
        <f>'SOLLECITAZ NASCOSTO'!$D$6/'SOLLECITAZ NASCOSTO'!$B$448*'SOLLECITAZ NASCOSTO'!B108</f>
        <v>0.82797279089381481</v>
      </c>
      <c r="D108" s="434">
        <f t="shared" si="33"/>
        <v>0.32592346564288494</v>
      </c>
      <c r="E108" s="434">
        <f t="shared" si="27"/>
        <v>0.20592346564288494</v>
      </c>
      <c r="F108" s="434">
        <f t="shared" si="28"/>
        <v>0.36589550900572315</v>
      </c>
      <c r="G108" s="434">
        <f t="shared" si="29"/>
        <v>3.2692176873067004E-2</v>
      </c>
      <c r="H108" s="434">
        <f t="shared" si="23"/>
        <v>0</v>
      </c>
      <c r="I108" s="434">
        <v>0</v>
      </c>
      <c r="J108" s="127">
        <f t="shared" si="24"/>
        <v>8.9348396108779926E-2</v>
      </c>
      <c r="K108" s="126">
        <f t="shared" si="30"/>
        <v>2.0276550105198816E-3</v>
      </c>
      <c r="L108" s="41">
        <f t="shared" si="25"/>
        <v>19.276049029162476</v>
      </c>
      <c r="M108" s="41">
        <f t="shared" si="26"/>
        <v>-6.8595117233002574</v>
      </c>
      <c r="N108" s="41">
        <f>(IF(C107&lt;='SOLLECITAZ NASCOSTO'!$P$12,IF(C107&lt;='SOLLECITAZ NASCOSTO'!$P$11,IF(C107&lt;='SOLLECITAZ NASCOSTO'!$P$10,IF(C107&lt;='SOLLECITAZ NASCOSTO'!$P$9,IF(C107&lt;='SOLLECITAZ NASCOSTO'!$P$8,IF(C107&lt;='SOLLECITAZ NASCOSTO'!$P$7,IF(C107&lt;='SOLLECITAZ NASCOSTO'!$P$6,IF(C107&lt;='SOLLECITAZ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paramento'!$G$111),55555)-IF(C107&lt;='SOLLECITAZ NASCOSTO'!$P$12,IF(C107&lt;='SOLLECITAZ NASCOSTO'!$P$11,IF(C107&lt;='SOLLECITAZ NASCOSTO'!$P$10,IF(C107&lt;='SOLLECITAZ NASCOSTO'!$P$9,IF(C107&lt;='SOLLECITAZ NASCOSTO'!$P$8,IF(C107&lt;='SOLLECITAZ NASCOSTO'!$P$7,IF(C107&lt;='SOLLECITAZ NASCOSTO'!$P$6,IF(C107&lt;='SOLLECITAZ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paramento'!$G$111))*(C107-IF(C107&lt;='SOLLECITAZ NASCOSTO'!$P$12,IF(C107&lt;='SOLLECITAZ NASCOSTO'!$P$11,IF(C107&lt;='SOLLECITAZ NASCOSTO'!$P$10,IF(C107&lt;='SOLLECITAZ NASCOSTO'!$P$9,IF(C107&lt;='SOLLECITAZ NASCOSTO'!$P$8,IF(C107&lt;='SOLLECITAZ NASCOSTO'!$P$7,IF(C107&lt;='SOLLECITAZ NASCOSTO'!$P$6,IF(C107&lt;='SOLLECITAZ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NASCOSTO'!$P$12))/IF(C107&lt;='SOLLECITAZ NASCOSTO'!$P$12,IF(C107&lt;='SOLLECITAZ NASCOSTO'!$P$11,IF(C107&lt;='SOLLECITAZ NASCOSTO'!$P$10,IF(C107&lt;='SOLLECITAZ NASCOSTO'!$P$9,IF(C107&lt;='SOLLECITAZ NASCOSTO'!$P$8,IF(C107&lt;='SOLLECITAZ NASCOSTO'!$P$7,IF(C107&lt;='SOLLECITAZ NASCOSTO'!$P$6,IF(C107&lt;='SOLLECITAZ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paramento'!$C$111)+IF(C107&lt;='SOLLECITAZ NASCOSTO'!$P$12,IF(C107&lt;='SOLLECITAZ NASCOSTO'!$P$11,IF(C107&lt;='SOLLECITAZ NASCOSTO'!$P$10,IF(C107&lt;='SOLLECITAZ NASCOSTO'!$P$9,IF(C107&lt;='SOLLECITAZ NASCOSTO'!$P$8,IF(C107&lt;='SOLLECITAZ NASCOSTO'!$P$7,IF(C107&lt;='SOLLECITAZ NASCOSTO'!$P$6,IF(C107&lt;='SOLLECITAZ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32.831565883395569</v>
      </c>
      <c r="O108" s="41">
        <f>IF(C108&lt;='SOLLECITAZ NASCOSTO'!$P$12,IF(C108&lt;='SOLLECITAZ NASCOSTO'!$P$11,IF(C108&lt;='SOLLECITAZ NASCOSTO'!$P$10,IF(C108&lt;='SOLLECITAZ NASCOSTO'!$P$9,IF(C108&lt;='SOLLECITAZ NASCOSTO'!$P$8,IF(C108&lt;='SOLLECITAZ NASCOSTO'!$P$7,IF(C108&lt;='SOLLECITAZ NASCOSTO'!$P$6,IF(C108&lt;='SOLLECITAZ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paramento'!$G$110),55555)*(C108-C107)/IF(C108&lt;='SOLLECITAZ NASCOSTO'!$P$12,IF(C108&lt;='SOLLECITAZ NASCOSTO'!$P$11,IF(C108&lt;='SOLLECITAZ NASCOSTO'!$P$10,IF(C108&lt;='SOLLECITAZ NASCOSTO'!$P$9,IF(C108&lt;='SOLLECITAZ NASCOSTO'!$P$8,IF(C108&lt;='SOLLECITAZ NASCOSTO'!$P$7,IF(C108&lt;='SOLLECITAZ NASCOSTO'!$P$6,IF(C108&lt;='SOLLECITAZ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08" s="41">
        <f t="shared" si="39"/>
        <v>7.4999999999999885E-5</v>
      </c>
      <c r="Q108" s="41">
        <f t="shared" si="37"/>
        <v>1</v>
      </c>
      <c r="R108" s="434">
        <f t="shared" si="31"/>
        <v>0.82797279089381481</v>
      </c>
      <c r="S108" s="45">
        <f t="shared" si="38"/>
        <v>0.82797279089381481</v>
      </c>
      <c r="T108" s="205">
        <f t="shared" si="34"/>
        <v>4.2040888013670656</v>
      </c>
      <c r="U108" s="45">
        <f t="shared" si="35"/>
        <v>19.276049029162476</v>
      </c>
      <c r="V108" s="45">
        <f t="shared" si="36"/>
        <v>-6.8595117233002574</v>
      </c>
      <c r="W108" s="488"/>
      <c r="X108" s="489"/>
      <c r="Y108" s="489"/>
      <c r="Z108" s="490"/>
      <c r="AA108" s="46"/>
    </row>
    <row r="109" spans="1:27" s="421" customFormat="1" x14ac:dyDescent="0.25">
      <c r="A109" s="581">
        <f t="shared" si="32"/>
        <v>0.20749430839099414</v>
      </c>
      <c r="B109" s="31">
        <f t="shared" si="22"/>
        <v>77</v>
      </c>
      <c r="C109" s="434">
        <f>'SOLLECITAZ NASCOSTO'!$D$6/'SOLLECITAZ NASCOSTO'!$B$448*'SOLLECITAZ NASCOSTO'!B109</f>
        <v>0.83886716972136499</v>
      </c>
      <c r="D109" s="434">
        <f t="shared" si="33"/>
        <v>0.32749430839099414</v>
      </c>
      <c r="E109" s="434">
        <f t="shared" si="27"/>
        <v>0.20749430839099414</v>
      </c>
      <c r="F109" s="434">
        <f t="shared" si="28"/>
        <v>0.36639817868511815</v>
      </c>
      <c r="G109" s="434">
        <f t="shared" si="29"/>
        <v>3.2856403524559291E-2</v>
      </c>
      <c r="H109" s="434">
        <f t="shared" si="23"/>
        <v>0</v>
      </c>
      <c r="I109" s="434">
        <v>0</v>
      </c>
      <c r="J109" s="127">
        <f t="shared" si="24"/>
        <v>8.9674036160523649E-2</v>
      </c>
      <c r="K109" s="126">
        <f t="shared" si="30"/>
        <v>2.0559366715578618E-3</v>
      </c>
      <c r="L109" s="41">
        <f t="shared" si="25"/>
        <v>19.637946678864107</v>
      </c>
      <c r="M109" s="41">
        <f t="shared" si="26"/>
        <v>-7.0714836287687088</v>
      </c>
      <c r="N109" s="41">
        <f>(IF(C108&lt;='SOLLECITAZ NASCOSTO'!$P$12,IF(C108&lt;='SOLLECITAZ NASCOSTO'!$P$11,IF(C108&lt;='SOLLECITAZ NASCOSTO'!$P$10,IF(C108&lt;='SOLLECITAZ NASCOSTO'!$P$9,IF(C108&lt;='SOLLECITAZ NASCOSTO'!$P$8,IF(C108&lt;='SOLLECITAZ NASCOSTO'!$P$7,IF(C108&lt;='SOLLECITAZ NASCOSTO'!$P$6,IF(C108&lt;='SOLLECITAZ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paramento'!$G$111),55555)-IF(C108&lt;='SOLLECITAZ NASCOSTO'!$P$12,IF(C108&lt;='SOLLECITAZ NASCOSTO'!$P$11,IF(C108&lt;='SOLLECITAZ NASCOSTO'!$P$10,IF(C108&lt;='SOLLECITAZ NASCOSTO'!$P$9,IF(C108&lt;='SOLLECITAZ NASCOSTO'!$P$8,IF(C108&lt;='SOLLECITAZ NASCOSTO'!$P$7,IF(C108&lt;='SOLLECITAZ NASCOSTO'!$P$6,IF(C108&lt;='SOLLECITAZ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paramento'!$G$111))*(C108-IF(C108&lt;='SOLLECITAZ NASCOSTO'!$P$12,IF(C108&lt;='SOLLECITAZ NASCOSTO'!$P$11,IF(C108&lt;='SOLLECITAZ NASCOSTO'!$P$10,IF(C108&lt;='SOLLECITAZ NASCOSTO'!$P$9,IF(C108&lt;='SOLLECITAZ NASCOSTO'!$P$8,IF(C108&lt;='SOLLECITAZ NASCOSTO'!$P$7,IF(C108&lt;='SOLLECITAZ NASCOSTO'!$P$6,IF(C108&lt;='SOLLECITAZ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NASCOSTO'!$P$12))/IF(C108&lt;='SOLLECITAZ NASCOSTO'!$P$12,IF(C108&lt;='SOLLECITAZ NASCOSTO'!$P$11,IF(C108&lt;='SOLLECITAZ NASCOSTO'!$P$10,IF(C108&lt;='SOLLECITAZ NASCOSTO'!$P$9,IF(C108&lt;='SOLLECITAZ NASCOSTO'!$P$8,IF(C108&lt;='SOLLECITAZ NASCOSTO'!$P$7,IF(C108&lt;='SOLLECITAZ NASCOSTO'!$P$6,IF(C108&lt;='SOLLECITAZ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paramento'!$C$111)+IF(C108&lt;='SOLLECITAZ NASCOSTO'!$P$12,IF(C108&lt;='SOLLECITAZ NASCOSTO'!$P$11,IF(C108&lt;='SOLLECITAZ NASCOSTO'!$P$10,IF(C108&lt;='SOLLECITAZ NASCOSTO'!$P$9,IF(C108&lt;='SOLLECITAZ NASCOSTO'!$P$8,IF(C108&lt;='SOLLECITAZ NASCOSTO'!$P$7,IF(C108&lt;='SOLLECITAZ NASCOSTO'!$P$6,IF(C108&lt;='SOLLECITAZ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33.089688812844983</v>
      </c>
      <c r="O109" s="41">
        <f>IF(C109&lt;='SOLLECITAZ NASCOSTO'!$P$12,IF(C109&lt;='SOLLECITAZ NASCOSTO'!$P$11,IF(C109&lt;='SOLLECITAZ NASCOSTO'!$P$10,IF(C109&lt;='SOLLECITAZ NASCOSTO'!$P$9,IF(C109&lt;='SOLLECITAZ NASCOSTO'!$P$8,IF(C109&lt;='SOLLECITAZ NASCOSTO'!$P$7,IF(C109&lt;='SOLLECITAZ NASCOSTO'!$P$6,IF(C109&lt;='SOLLECITAZ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paramento'!$G$110),55555)*(C109-C108)/IF(C109&lt;='SOLLECITAZ NASCOSTO'!$P$12,IF(C109&lt;='SOLLECITAZ NASCOSTO'!$P$11,IF(C109&lt;='SOLLECITAZ NASCOSTO'!$P$10,IF(C109&lt;='SOLLECITAZ NASCOSTO'!$P$9,IF(C109&lt;='SOLLECITAZ NASCOSTO'!$P$8,IF(C109&lt;='SOLLECITAZ NASCOSTO'!$P$7,IF(C109&lt;='SOLLECITAZ NASCOSTO'!$P$6,IF(C109&lt;='SOLLECITAZ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09" s="41">
        <f t="shared" si="39"/>
        <v>7.5999999999999882E-5</v>
      </c>
      <c r="Q109" s="41">
        <f t="shared" si="37"/>
        <v>1</v>
      </c>
      <c r="R109" s="434">
        <f t="shared" si="31"/>
        <v>0.83886716972136499</v>
      </c>
      <c r="S109" s="45">
        <f t="shared" si="38"/>
        <v>0.83886716972136499</v>
      </c>
      <c r="T109" s="205">
        <f t="shared" si="34"/>
        <v>4.1931944225395164</v>
      </c>
      <c r="U109" s="45">
        <f t="shared" si="35"/>
        <v>19.637946678864107</v>
      </c>
      <c r="V109" s="45">
        <f t="shared" si="36"/>
        <v>-7.0714836287687088</v>
      </c>
      <c r="W109" s="488"/>
      <c r="X109" s="489"/>
      <c r="Y109" s="489"/>
      <c r="Z109" s="490"/>
      <c r="AA109" s="46"/>
    </row>
    <row r="110" spans="1:27" s="421" customFormat="1" x14ac:dyDescent="0.25">
      <c r="A110" s="581">
        <f t="shared" si="32"/>
        <v>0.20906515113910329</v>
      </c>
      <c r="B110" s="31">
        <f t="shared" si="22"/>
        <v>78</v>
      </c>
      <c r="C110" s="434">
        <f>'SOLLECITAZ NASCOSTO'!$D$6/'SOLLECITAZ NASCOSTO'!$B$448*'SOLLECITAZ NASCOSTO'!B110</f>
        <v>0.84976154854891517</v>
      </c>
      <c r="D110" s="434">
        <f t="shared" si="33"/>
        <v>0.32906515113910328</v>
      </c>
      <c r="E110" s="434">
        <f t="shared" si="27"/>
        <v>0.20906515113910329</v>
      </c>
      <c r="F110" s="434">
        <f t="shared" si="28"/>
        <v>0.36690084836451303</v>
      </c>
      <c r="G110" s="434">
        <f t="shared" si="29"/>
        <v>3.3021419791072142E-2</v>
      </c>
      <c r="H110" s="434">
        <f t="shared" si="23"/>
        <v>0</v>
      </c>
      <c r="I110" s="434">
        <v>0</v>
      </c>
      <c r="J110" s="127">
        <f t="shared" si="24"/>
        <v>9.0000936051981076E-2</v>
      </c>
      <c r="K110" s="126">
        <f t="shared" si="30"/>
        <v>2.0845158971031382E-3</v>
      </c>
      <c r="L110" s="41">
        <f t="shared" si="25"/>
        <v>20.002656417543239</v>
      </c>
      <c r="M110" s="41">
        <f t="shared" si="26"/>
        <v>-7.2874135023111188</v>
      </c>
      <c r="N110" s="41">
        <f>(IF(C109&lt;='SOLLECITAZ NASCOSTO'!$P$12,IF(C109&lt;='SOLLECITAZ NASCOSTO'!$P$11,IF(C109&lt;='SOLLECITAZ NASCOSTO'!$P$10,IF(C109&lt;='SOLLECITAZ NASCOSTO'!$P$9,IF(C109&lt;='SOLLECITAZ NASCOSTO'!$P$8,IF(C109&lt;='SOLLECITAZ NASCOSTO'!$P$7,IF(C109&lt;='SOLLECITAZ NASCOSTO'!$P$6,IF(C109&lt;='SOLLECITAZ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paramento'!$G$111),55555)-IF(C109&lt;='SOLLECITAZ NASCOSTO'!$P$12,IF(C109&lt;='SOLLECITAZ NASCOSTO'!$P$11,IF(C109&lt;='SOLLECITAZ NASCOSTO'!$P$10,IF(C109&lt;='SOLLECITAZ NASCOSTO'!$P$9,IF(C109&lt;='SOLLECITAZ NASCOSTO'!$P$8,IF(C109&lt;='SOLLECITAZ NASCOSTO'!$P$7,IF(C109&lt;='SOLLECITAZ NASCOSTO'!$P$6,IF(C109&lt;='SOLLECITAZ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paramento'!$G$111))*(C109-IF(C109&lt;='SOLLECITAZ NASCOSTO'!$P$12,IF(C109&lt;='SOLLECITAZ NASCOSTO'!$P$11,IF(C109&lt;='SOLLECITAZ NASCOSTO'!$P$10,IF(C109&lt;='SOLLECITAZ NASCOSTO'!$P$9,IF(C109&lt;='SOLLECITAZ NASCOSTO'!$P$8,IF(C109&lt;='SOLLECITAZ NASCOSTO'!$P$7,IF(C109&lt;='SOLLECITAZ NASCOSTO'!$P$6,IF(C109&lt;='SOLLECITAZ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NASCOSTO'!$P$12))/IF(C109&lt;='SOLLECITAZ NASCOSTO'!$P$12,IF(C109&lt;='SOLLECITAZ NASCOSTO'!$P$11,IF(C109&lt;='SOLLECITAZ NASCOSTO'!$P$10,IF(C109&lt;='SOLLECITAZ NASCOSTO'!$P$9,IF(C109&lt;='SOLLECITAZ NASCOSTO'!$P$8,IF(C109&lt;='SOLLECITAZ NASCOSTO'!$P$7,IF(C109&lt;='SOLLECITAZ NASCOSTO'!$P$6,IF(C109&lt;='SOLLECITAZ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paramento'!$C$111)+IF(C109&lt;='SOLLECITAZ NASCOSTO'!$P$12,IF(C109&lt;='SOLLECITAZ NASCOSTO'!$P$11,IF(C109&lt;='SOLLECITAZ NASCOSTO'!$P$10,IF(C109&lt;='SOLLECITAZ NASCOSTO'!$P$9,IF(C109&lt;='SOLLECITAZ NASCOSTO'!$P$8,IF(C109&lt;='SOLLECITAZ NASCOSTO'!$P$7,IF(C109&lt;='SOLLECITAZ NASCOSTO'!$P$6,IF(C109&lt;='SOLLECITAZ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33.347811742294382</v>
      </c>
      <c r="O110" s="41">
        <f>IF(C110&lt;='SOLLECITAZ NASCOSTO'!$P$12,IF(C110&lt;='SOLLECITAZ NASCOSTO'!$P$11,IF(C110&lt;='SOLLECITAZ NASCOSTO'!$P$10,IF(C110&lt;='SOLLECITAZ NASCOSTO'!$P$9,IF(C110&lt;='SOLLECITAZ NASCOSTO'!$P$8,IF(C110&lt;='SOLLECITAZ NASCOSTO'!$P$7,IF(C110&lt;='SOLLECITAZ NASCOSTO'!$P$6,IF(C110&lt;='SOLLECITAZ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paramento'!$G$110),55555)*(C110-C109)/IF(C110&lt;='SOLLECITAZ NASCOSTO'!$P$12,IF(C110&lt;='SOLLECITAZ NASCOSTO'!$P$11,IF(C110&lt;='SOLLECITAZ NASCOSTO'!$P$10,IF(C110&lt;='SOLLECITAZ NASCOSTO'!$P$9,IF(C110&lt;='SOLLECITAZ NASCOSTO'!$P$8,IF(C110&lt;='SOLLECITAZ NASCOSTO'!$P$7,IF(C110&lt;='SOLLECITAZ NASCOSTO'!$P$6,IF(C110&lt;='SOLLECITAZ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10" s="41">
        <f t="shared" si="39"/>
        <v>7.6999999999999879E-5</v>
      </c>
      <c r="Q110" s="41">
        <f t="shared" si="37"/>
        <v>1</v>
      </c>
      <c r="R110" s="434">
        <f t="shared" si="31"/>
        <v>0.84976154854891517</v>
      </c>
      <c r="S110" s="45">
        <f t="shared" si="38"/>
        <v>0.84976154854891517</v>
      </c>
      <c r="T110" s="205">
        <f t="shared" si="34"/>
        <v>4.1823000437119653</v>
      </c>
      <c r="U110" s="45">
        <f t="shared" si="35"/>
        <v>20.002656417543239</v>
      </c>
      <c r="V110" s="45">
        <f t="shared" si="36"/>
        <v>-7.2874135023111188</v>
      </c>
      <c r="W110" s="488"/>
      <c r="X110" s="489"/>
      <c r="Y110" s="489"/>
      <c r="Z110" s="490"/>
      <c r="AA110" s="46"/>
    </row>
    <row r="111" spans="1:27" s="421" customFormat="1" x14ac:dyDescent="0.25">
      <c r="A111" s="581">
        <f t="shared" si="32"/>
        <v>0.21063599388721244</v>
      </c>
      <c r="B111" s="31">
        <f t="shared" si="22"/>
        <v>79</v>
      </c>
      <c r="C111" s="434">
        <f>'SOLLECITAZ NASCOSTO'!$D$6/'SOLLECITAZ NASCOSTO'!$B$448*'SOLLECITAZ NASCOSTO'!B111</f>
        <v>0.86065592737646535</v>
      </c>
      <c r="D111" s="434">
        <f t="shared" si="33"/>
        <v>0.33063599388721243</v>
      </c>
      <c r="E111" s="434">
        <f t="shared" si="27"/>
        <v>0.21063599388721244</v>
      </c>
      <c r="F111" s="434">
        <f t="shared" si="28"/>
        <v>0.36740351804390797</v>
      </c>
      <c r="G111" s="434">
        <f t="shared" si="29"/>
        <v>3.3187225672605562E-2</v>
      </c>
      <c r="H111" s="434">
        <f t="shared" si="23"/>
        <v>0</v>
      </c>
      <c r="I111" s="434">
        <v>0</v>
      </c>
      <c r="J111" s="127">
        <f t="shared" si="24"/>
        <v>9.0329090612135607E-2</v>
      </c>
      <c r="K111" s="126">
        <f t="shared" si="30"/>
        <v>2.1133939414321296E-3</v>
      </c>
      <c r="L111" s="41">
        <f t="shared" si="25"/>
        <v>20.37017824519987</v>
      </c>
      <c r="M111" s="41">
        <f t="shared" si="26"/>
        <v>-7.5073319798901048</v>
      </c>
      <c r="N111" s="41">
        <f>(IF(C110&lt;='SOLLECITAZ NASCOSTO'!$P$12,IF(C110&lt;='SOLLECITAZ NASCOSTO'!$P$11,IF(C110&lt;='SOLLECITAZ NASCOSTO'!$P$10,IF(C110&lt;='SOLLECITAZ NASCOSTO'!$P$9,IF(C110&lt;='SOLLECITAZ NASCOSTO'!$P$8,IF(C110&lt;='SOLLECITAZ NASCOSTO'!$P$7,IF(C110&lt;='SOLLECITAZ NASCOSTO'!$P$6,IF(C110&lt;='SOLLECITAZ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paramento'!$G$111),55555)-IF(C110&lt;='SOLLECITAZ NASCOSTO'!$P$12,IF(C110&lt;='SOLLECITAZ NASCOSTO'!$P$11,IF(C110&lt;='SOLLECITAZ NASCOSTO'!$P$10,IF(C110&lt;='SOLLECITAZ NASCOSTO'!$P$9,IF(C110&lt;='SOLLECITAZ NASCOSTO'!$P$8,IF(C110&lt;='SOLLECITAZ NASCOSTO'!$P$7,IF(C110&lt;='SOLLECITAZ NASCOSTO'!$P$6,IF(C110&lt;='SOLLECITAZ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paramento'!$G$111))*(C110-IF(C110&lt;='SOLLECITAZ NASCOSTO'!$P$12,IF(C110&lt;='SOLLECITAZ NASCOSTO'!$P$11,IF(C110&lt;='SOLLECITAZ NASCOSTO'!$P$10,IF(C110&lt;='SOLLECITAZ NASCOSTO'!$P$9,IF(C110&lt;='SOLLECITAZ NASCOSTO'!$P$8,IF(C110&lt;='SOLLECITAZ NASCOSTO'!$P$7,IF(C110&lt;='SOLLECITAZ NASCOSTO'!$P$6,IF(C110&lt;='SOLLECITAZ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NASCOSTO'!$P$12))/IF(C110&lt;='SOLLECITAZ NASCOSTO'!$P$12,IF(C110&lt;='SOLLECITAZ NASCOSTO'!$P$11,IF(C110&lt;='SOLLECITAZ NASCOSTO'!$P$10,IF(C110&lt;='SOLLECITAZ NASCOSTO'!$P$9,IF(C110&lt;='SOLLECITAZ NASCOSTO'!$P$8,IF(C110&lt;='SOLLECITAZ NASCOSTO'!$P$7,IF(C110&lt;='SOLLECITAZ NASCOSTO'!$P$6,IF(C110&lt;='SOLLECITAZ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paramento'!$C$111)+IF(C110&lt;='SOLLECITAZ NASCOSTO'!$P$12,IF(C110&lt;='SOLLECITAZ NASCOSTO'!$P$11,IF(C110&lt;='SOLLECITAZ NASCOSTO'!$P$10,IF(C110&lt;='SOLLECITAZ NASCOSTO'!$P$9,IF(C110&lt;='SOLLECITAZ NASCOSTO'!$P$8,IF(C110&lt;='SOLLECITAZ NASCOSTO'!$P$7,IF(C110&lt;='SOLLECITAZ NASCOSTO'!$P$6,IF(C110&lt;='SOLLECITAZ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33.605934671743789</v>
      </c>
      <c r="O111" s="41">
        <f>IF(C111&lt;='SOLLECITAZ NASCOSTO'!$P$12,IF(C111&lt;='SOLLECITAZ NASCOSTO'!$P$11,IF(C111&lt;='SOLLECITAZ NASCOSTO'!$P$10,IF(C111&lt;='SOLLECITAZ NASCOSTO'!$P$9,IF(C111&lt;='SOLLECITAZ NASCOSTO'!$P$8,IF(C111&lt;='SOLLECITAZ NASCOSTO'!$P$7,IF(C111&lt;='SOLLECITAZ NASCOSTO'!$P$6,IF(C111&lt;='SOLLECITAZ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paramento'!$G$110),55555)*(C111-C110)/IF(C111&lt;='SOLLECITAZ NASCOSTO'!$P$12,IF(C111&lt;='SOLLECITAZ NASCOSTO'!$P$11,IF(C111&lt;='SOLLECITAZ NASCOSTO'!$P$10,IF(C111&lt;='SOLLECITAZ NASCOSTO'!$P$9,IF(C111&lt;='SOLLECITAZ NASCOSTO'!$P$8,IF(C111&lt;='SOLLECITAZ NASCOSTO'!$P$7,IF(C111&lt;='SOLLECITAZ NASCOSTO'!$P$6,IF(C111&lt;='SOLLECITAZ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11" s="41">
        <f t="shared" si="39"/>
        <v>7.7999999999999877E-5</v>
      </c>
      <c r="Q111" s="41">
        <f t="shared" si="37"/>
        <v>1</v>
      </c>
      <c r="R111" s="434">
        <f t="shared" si="31"/>
        <v>0.86065592737646535</v>
      </c>
      <c r="S111" s="45">
        <f t="shared" si="38"/>
        <v>0.86065592737646535</v>
      </c>
      <c r="T111" s="205">
        <f t="shared" si="34"/>
        <v>4.171405664884416</v>
      </c>
      <c r="U111" s="45">
        <f t="shared" si="35"/>
        <v>20.37017824519987</v>
      </c>
      <c r="V111" s="45">
        <f t="shared" si="36"/>
        <v>-7.5073319798901048</v>
      </c>
      <c r="W111" s="488"/>
      <c r="X111" s="489"/>
      <c r="Y111" s="489"/>
      <c r="Z111" s="490"/>
      <c r="AA111" s="46"/>
    </row>
    <row r="112" spans="1:27" s="421" customFormat="1" x14ac:dyDescent="0.25">
      <c r="A112" s="581">
        <f t="shared" si="32"/>
        <v>0.21220683663532158</v>
      </c>
      <c r="B112" s="31">
        <f t="shared" si="22"/>
        <v>80</v>
      </c>
      <c r="C112" s="434">
        <f>'SOLLECITAZ NASCOSTO'!$D$6/'SOLLECITAZ NASCOSTO'!$B$448*'SOLLECITAZ NASCOSTO'!B112</f>
        <v>0.87155030620401552</v>
      </c>
      <c r="D112" s="434">
        <f t="shared" si="33"/>
        <v>0.33220683663532158</v>
      </c>
      <c r="E112" s="434">
        <f t="shared" si="27"/>
        <v>0.21220683663532158</v>
      </c>
      <c r="F112" s="434">
        <f t="shared" si="28"/>
        <v>0.36790618772330291</v>
      </c>
      <c r="G112" s="434">
        <f t="shared" si="29"/>
        <v>3.335382116915956E-2</v>
      </c>
      <c r="H112" s="434">
        <f t="shared" si="23"/>
        <v>0</v>
      </c>
      <c r="I112" s="434">
        <v>0</v>
      </c>
      <c r="J112" s="127">
        <f t="shared" si="24"/>
        <v>9.065849469823134E-2</v>
      </c>
      <c r="K112" s="126">
        <f t="shared" si="30"/>
        <v>2.1425720553558004E-3</v>
      </c>
      <c r="L112" s="41">
        <f t="shared" si="25"/>
        <v>20.740512161833998</v>
      </c>
      <c r="M112" s="41">
        <f t="shared" si="26"/>
        <v>-7.7312696974682851</v>
      </c>
      <c r="N112" s="41">
        <f>(IF(C111&lt;='SOLLECITAZ NASCOSTO'!$P$12,IF(C111&lt;='SOLLECITAZ NASCOSTO'!$P$11,IF(C111&lt;='SOLLECITAZ NASCOSTO'!$P$10,IF(C111&lt;='SOLLECITAZ NASCOSTO'!$P$9,IF(C111&lt;='SOLLECITAZ NASCOSTO'!$P$8,IF(C111&lt;='SOLLECITAZ NASCOSTO'!$P$7,IF(C111&lt;='SOLLECITAZ NASCOSTO'!$P$6,IF(C111&lt;='SOLLECITAZ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paramento'!$G$111),55555)-IF(C111&lt;='SOLLECITAZ NASCOSTO'!$P$12,IF(C111&lt;='SOLLECITAZ NASCOSTO'!$P$11,IF(C111&lt;='SOLLECITAZ NASCOSTO'!$P$10,IF(C111&lt;='SOLLECITAZ NASCOSTO'!$P$9,IF(C111&lt;='SOLLECITAZ NASCOSTO'!$P$8,IF(C111&lt;='SOLLECITAZ NASCOSTO'!$P$7,IF(C111&lt;='SOLLECITAZ NASCOSTO'!$P$6,IF(C111&lt;='SOLLECITAZ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paramento'!$G$111))*(C111-IF(C111&lt;='SOLLECITAZ NASCOSTO'!$P$12,IF(C111&lt;='SOLLECITAZ NASCOSTO'!$P$11,IF(C111&lt;='SOLLECITAZ NASCOSTO'!$P$10,IF(C111&lt;='SOLLECITAZ NASCOSTO'!$P$9,IF(C111&lt;='SOLLECITAZ NASCOSTO'!$P$8,IF(C111&lt;='SOLLECITAZ NASCOSTO'!$P$7,IF(C111&lt;='SOLLECITAZ NASCOSTO'!$P$6,IF(C111&lt;='SOLLECITAZ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NASCOSTO'!$P$12))/IF(C111&lt;='SOLLECITAZ NASCOSTO'!$P$12,IF(C111&lt;='SOLLECITAZ NASCOSTO'!$P$11,IF(C111&lt;='SOLLECITAZ NASCOSTO'!$P$10,IF(C111&lt;='SOLLECITAZ NASCOSTO'!$P$9,IF(C111&lt;='SOLLECITAZ NASCOSTO'!$P$8,IF(C111&lt;='SOLLECITAZ NASCOSTO'!$P$7,IF(C111&lt;='SOLLECITAZ NASCOSTO'!$P$6,IF(C111&lt;='SOLLECITAZ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paramento'!$C$111)+IF(C111&lt;='SOLLECITAZ NASCOSTO'!$P$12,IF(C111&lt;='SOLLECITAZ NASCOSTO'!$P$11,IF(C111&lt;='SOLLECITAZ NASCOSTO'!$P$10,IF(C111&lt;='SOLLECITAZ NASCOSTO'!$P$9,IF(C111&lt;='SOLLECITAZ NASCOSTO'!$P$8,IF(C111&lt;='SOLLECITAZ NASCOSTO'!$P$7,IF(C111&lt;='SOLLECITAZ NASCOSTO'!$P$6,IF(C111&lt;='SOLLECITAZ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33.864057601193196</v>
      </c>
      <c r="O112" s="41">
        <f>IF(C112&lt;='SOLLECITAZ NASCOSTO'!$P$12,IF(C112&lt;='SOLLECITAZ NASCOSTO'!$P$11,IF(C112&lt;='SOLLECITAZ NASCOSTO'!$P$10,IF(C112&lt;='SOLLECITAZ NASCOSTO'!$P$9,IF(C112&lt;='SOLLECITAZ NASCOSTO'!$P$8,IF(C112&lt;='SOLLECITAZ NASCOSTO'!$P$7,IF(C112&lt;='SOLLECITAZ NASCOSTO'!$P$6,IF(C112&lt;='SOLLECITAZ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paramento'!$G$110),55555)*(C112-C111)/IF(C112&lt;='SOLLECITAZ NASCOSTO'!$P$12,IF(C112&lt;='SOLLECITAZ NASCOSTO'!$P$11,IF(C112&lt;='SOLLECITAZ NASCOSTO'!$P$10,IF(C112&lt;='SOLLECITAZ NASCOSTO'!$P$9,IF(C112&lt;='SOLLECITAZ NASCOSTO'!$P$8,IF(C112&lt;='SOLLECITAZ NASCOSTO'!$P$7,IF(C112&lt;='SOLLECITAZ NASCOSTO'!$P$6,IF(C112&lt;='SOLLECITAZ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12" s="41">
        <f t="shared" si="39"/>
        <v>7.8999999999999874E-5</v>
      </c>
      <c r="Q112" s="41">
        <f t="shared" si="37"/>
        <v>1</v>
      </c>
      <c r="R112" s="434">
        <f t="shared" si="31"/>
        <v>0.87155030620401552</v>
      </c>
      <c r="S112" s="45">
        <f t="shared" si="38"/>
        <v>0.87155030620401552</v>
      </c>
      <c r="T112" s="205">
        <f t="shared" si="34"/>
        <v>4.1605112860568649</v>
      </c>
      <c r="U112" s="45">
        <f t="shared" si="35"/>
        <v>20.740512161833998</v>
      </c>
      <c r="V112" s="45">
        <f t="shared" si="36"/>
        <v>-7.7312696974682851</v>
      </c>
      <c r="W112" s="488"/>
      <c r="X112" s="489"/>
      <c r="Y112" s="489"/>
      <c r="Z112" s="490"/>
      <c r="AA112" s="46"/>
    </row>
    <row r="113" spans="1:27" s="421" customFormat="1" x14ac:dyDescent="0.25">
      <c r="A113" s="581">
        <f t="shared" si="32"/>
        <v>0.21377767938343073</v>
      </c>
      <c r="B113" s="31">
        <f t="shared" si="22"/>
        <v>81</v>
      </c>
      <c r="C113" s="434">
        <f>'SOLLECITAZ NASCOSTO'!$D$6/'SOLLECITAZ NASCOSTO'!$B$448*'SOLLECITAZ NASCOSTO'!B113</f>
        <v>0.88244468503156581</v>
      </c>
      <c r="D113" s="434">
        <f t="shared" si="33"/>
        <v>0.33377767938343073</v>
      </c>
      <c r="E113" s="434">
        <f t="shared" si="27"/>
        <v>0.21377767938343073</v>
      </c>
      <c r="F113" s="434">
        <f t="shared" si="28"/>
        <v>0.3684088574026978</v>
      </c>
      <c r="G113" s="434">
        <f t="shared" si="29"/>
        <v>3.3521206280734121E-2</v>
      </c>
      <c r="H113" s="434">
        <f t="shared" si="23"/>
        <v>0</v>
      </c>
      <c r="I113" s="434">
        <v>0</v>
      </c>
      <c r="J113" s="127">
        <f t="shared" si="24"/>
        <v>9.0989143195580102E-2</v>
      </c>
      <c r="K113" s="126">
        <f t="shared" si="30"/>
        <v>2.1720514862432969E-3</v>
      </c>
      <c r="L113" s="41">
        <f t="shared" si="25"/>
        <v>21.113658167445628</v>
      </c>
      <c r="M113" s="41">
        <f t="shared" si="26"/>
        <v>-7.9592572910082788</v>
      </c>
      <c r="N113" s="41">
        <f>(IF(C112&lt;='SOLLECITAZ NASCOSTO'!$P$12,IF(C112&lt;='SOLLECITAZ NASCOSTO'!$P$11,IF(C112&lt;='SOLLECITAZ NASCOSTO'!$P$10,IF(C112&lt;='SOLLECITAZ NASCOSTO'!$P$9,IF(C112&lt;='SOLLECITAZ NASCOSTO'!$P$8,IF(C112&lt;='SOLLECITAZ NASCOSTO'!$P$7,IF(C112&lt;='SOLLECITAZ NASCOSTO'!$P$6,IF(C112&lt;='SOLLECITAZ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paramento'!$G$111),55555)-IF(C112&lt;='SOLLECITAZ NASCOSTO'!$P$12,IF(C112&lt;='SOLLECITAZ NASCOSTO'!$P$11,IF(C112&lt;='SOLLECITAZ NASCOSTO'!$P$10,IF(C112&lt;='SOLLECITAZ NASCOSTO'!$P$9,IF(C112&lt;='SOLLECITAZ NASCOSTO'!$P$8,IF(C112&lt;='SOLLECITAZ NASCOSTO'!$P$7,IF(C112&lt;='SOLLECITAZ NASCOSTO'!$P$6,IF(C112&lt;='SOLLECITAZ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paramento'!$G$111))*(C112-IF(C112&lt;='SOLLECITAZ NASCOSTO'!$P$12,IF(C112&lt;='SOLLECITAZ NASCOSTO'!$P$11,IF(C112&lt;='SOLLECITAZ NASCOSTO'!$P$10,IF(C112&lt;='SOLLECITAZ NASCOSTO'!$P$9,IF(C112&lt;='SOLLECITAZ NASCOSTO'!$P$8,IF(C112&lt;='SOLLECITAZ NASCOSTO'!$P$7,IF(C112&lt;='SOLLECITAZ NASCOSTO'!$P$6,IF(C112&lt;='SOLLECITAZ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NASCOSTO'!$P$12))/IF(C112&lt;='SOLLECITAZ NASCOSTO'!$P$12,IF(C112&lt;='SOLLECITAZ NASCOSTO'!$P$11,IF(C112&lt;='SOLLECITAZ NASCOSTO'!$P$10,IF(C112&lt;='SOLLECITAZ NASCOSTO'!$P$9,IF(C112&lt;='SOLLECITAZ NASCOSTO'!$P$8,IF(C112&lt;='SOLLECITAZ NASCOSTO'!$P$7,IF(C112&lt;='SOLLECITAZ NASCOSTO'!$P$6,IF(C112&lt;='SOLLECITAZ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paramento'!$C$111)+IF(C112&lt;='SOLLECITAZ NASCOSTO'!$P$12,IF(C112&lt;='SOLLECITAZ NASCOSTO'!$P$11,IF(C112&lt;='SOLLECITAZ NASCOSTO'!$P$10,IF(C112&lt;='SOLLECITAZ NASCOSTO'!$P$9,IF(C112&lt;='SOLLECITAZ NASCOSTO'!$P$8,IF(C112&lt;='SOLLECITAZ NASCOSTO'!$P$7,IF(C112&lt;='SOLLECITAZ NASCOSTO'!$P$6,IF(C112&lt;='SOLLECITAZ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34.122180530642602</v>
      </c>
      <c r="O113" s="41">
        <f>IF(C113&lt;='SOLLECITAZ NASCOSTO'!$P$12,IF(C113&lt;='SOLLECITAZ NASCOSTO'!$P$11,IF(C113&lt;='SOLLECITAZ NASCOSTO'!$P$10,IF(C113&lt;='SOLLECITAZ NASCOSTO'!$P$9,IF(C113&lt;='SOLLECITAZ NASCOSTO'!$P$8,IF(C113&lt;='SOLLECITAZ NASCOSTO'!$P$7,IF(C113&lt;='SOLLECITAZ NASCOSTO'!$P$6,IF(C113&lt;='SOLLECITAZ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paramento'!$G$110),55555)*(C113-C112)/IF(C113&lt;='SOLLECITAZ NASCOSTO'!$P$12,IF(C113&lt;='SOLLECITAZ NASCOSTO'!$P$11,IF(C113&lt;='SOLLECITAZ NASCOSTO'!$P$10,IF(C113&lt;='SOLLECITAZ NASCOSTO'!$P$9,IF(C113&lt;='SOLLECITAZ NASCOSTO'!$P$8,IF(C113&lt;='SOLLECITAZ NASCOSTO'!$P$7,IF(C113&lt;='SOLLECITAZ NASCOSTO'!$P$6,IF(C113&lt;='SOLLECITAZ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0.25812292944940807</v>
      </c>
      <c r="P113" s="41">
        <f t="shared" si="39"/>
        <v>7.9999999999999871E-5</v>
      </c>
      <c r="Q113" s="41">
        <f t="shared" si="37"/>
        <v>1</v>
      </c>
      <c r="R113" s="434">
        <f t="shared" si="31"/>
        <v>0.88244468503156581</v>
      </c>
      <c r="S113" s="45">
        <f t="shared" si="38"/>
        <v>0.88244468503156581</v>
      </c>
      <c r="T113" s="205">
        <f t="shared" si="34"/>
        <v>4.1496169072293148</v>
      </c>
      <c r="U113" s="45">
        <f t="shared" si="35"/>
        <v>21.113658167445628</v>
      </c>
      <c r="V113" s="45">
        <f t="shared" si="36"/>
        <v>-7.9592572910082788</v>
      </c>
      <c r="W113" s="488"/>
      <c r="X113" s="489"/>
      <c r="Y113" s="489"/>
      <c r="Z113" s="490"/>
      <c r="AA113" s="46"/>
    </row>
    <row r="114" spans="1:27" s="421" customFormat="1" x14ac:dyDescent="0.25">
      <c r="A114" s="581">
        <f t="shared" si="32"/>
        <v>0.21534852213153993</v>
      </c>
      <c r="B114" s="31">
        <f t="shared" si="22"/>
        <v>82</v>
      </c>
      <c r="C114" s="434">
        <f>'SOLLECITAZ NASCOSTO'!$D$6/'SOLLECITAZ NASCOSTO'!$B$448*'SOLLECITAZ NASCOSTO'!B114</f>
        <v>0.89333906385911599</v>
      </c>
      <c r="D114" s="434">
        <f t="shared" si="33"/>
        <v>0.33534852213153993</v>
      </c>
      <c r="E114" s="434">
        <f t="shared" si="27"/>
        <v>0.21534852213153993</v>
      </c>
      <c r="F114" s="434">
        <f t="shared" si="28"/>
        <v>0.36891152708209274</v>
      </c>
      <c r="G114" s="434">
        <f t="shared" si="29"/>
        <v>3.3689381007329267E-2</v>
      </c>
      <c r="H114" s="434">
        <f t="shared" si="23"/>
        <v>0</v>
      </c>
      <c r="I114" s="434">
        <v>0</v>
      </c>
      <c r="J114" s="127">
        <f t="shared" si="24"/>
        <v>9.1321031017370394E-2</v>
      </c>
      <c r="K114" s="126">
        <f t="shared" si="30"/>
        <v>2.2018334780454021E-3</v>
      </c>
      <c r="L114" s="41">
        <f t="shared" si="25"/>
        <v>21.489616262034755</v>
      </c>
      <c r="M114" s="41">
        <f t="shared" si="26"/>
        <v>-8.1913253964726991</v>
      </c>
      <c r="N114" s="41">
        <f>(IF(C113&lt;='SOLLECITAZ NASCOSTO'!$P$12,IF(C113&lt;='SOLLECITAZ NASCOSTO'!$P$11,IF(C113&lt;='SOLLECITAZ NASCOSTO'!$P$10,IF(C113&lt;='SOLLECITAZ NASCOSTO'!$P$9,IF(C113&lt;='SOLLECITAZ NASCOSTO'!$P$8,IF(C113&lt;='SOLLECITAZ NASCOSTO'!$P$7,IF(C113&lt;='SOLLECITAZ NASCOSTO'!$P$6,IF(C113&lt;='SOLLECITAZ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paramento'!$G$111),55555)-IF(C113&lt;='SOLLECITAZ NASCOSTO'!$P$12,IF(C113&lt;='SOLLECITAZ NASCOSTO'!$P$11,IF(C113&lt;='SOLLECITAZ NASCOSTO'!$P$10,IF(C113&lt;='SOLLECITAZ NASCOSTO'!$P$9,IF(C113&lt;='SOLLECITAZ NASCOSTO'!$P$8,IF(C113&lt;='SOLLECITAZ NASCOSTO'!$P$7,IF(C113&lt;='SOLLECITAZ NASCOSTO'!$P$6,IF(C113&lt;='SOLLECITAZ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paramento'!$G$111))*(C113-IF(C113&lt;='SOLLECITAZ NASCOSTO'!$P$12,IF(C113&lt;='SOLLECITAZ NASCOSTO'!$P$11,IF(C113&lt;='SOLLECITAZ NASCOSTO'!$P$10,IF(C113&lt;='SOLLECITAZ NASCOSTO'!$P$9,IF(C113&lt;='SOLLECITAZ NASCOSTO'!$P$8,IF(C113&lt;='SOLLECITAZ NASCOSTO'!$P$7,IF(C113&lt;='SOLLECITAZ NASCOSTO'!$P$6,IF(C113&lt;='SOLLECITAZ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NASCOSTO'!$P$12))/IF(C113&lt;='SOLLECITAZ NASCOSTO'!$P$12,IF(C113&lt;='SOLLECITAZ NASCOSTO'!$P$11,IF(C113&lt;='SOLLECITAZ NASCOSTO'!$P$10,IF(C113&lt;='SOLLECITAZ NASCOSTO'!$P$9,IF(C113&lt;='SOLLECITAZ NASCOSTO'!$P$8,IF(C113&lt;='SOLLECITAZ NASCOSTO'!$P$7,IF(C113&lt;='SOLLECITAZ NASCOSTO'!$P$6,IF(C113&lt;='SOLLECITAZ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paramento'!$C$111)+IF(C113&lt;='SOLLECITAZ NASCOSTO'!$P$12,IF(C113&lt;='SOLLECITAZ NASCOSTO'!$P$11,IF(C113&lt;='SOLLECITAZ NASCOSTO'!$P$10,IF(C113&lt;='SOLLECITAZ NASCOSTO'!$P$9,IF(C113&lt;='SOLLECITAZ NASCOSTO'!$P$8,IF(C113&lt;='SOLLECITAZ NASCOSTO'!$P$7,IF(C113&lt;='SOLLECITAZ NASCOSTO'!$P$6,IF(C113&lt;='SOLLECITAZ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34.380303460092009</v>
      </c>
      <c r="O114" s="41">
        <f>IF(C114&lt;='SOLLECITAZ NASCOSTO'!$P$12,IF(C114&lt;='SOLLECITAZ NASCOSTO'!$P$11,IF(C114&lt;='SOLLECITAZ NASCOSTO'!$P$10,IF(C114&lt;='SOLLECITAZ NASCOSTO'!$P$9,IF(C114&lt;='SOLLECITAZ NASCOSTO'!$P$8,IF(C114&lt;='SOLLECITAZ NASCOSTO'!$P$7,IF(C114&lt;='SOLLECITAZ NASCOSTO'!$P$6,IF(C114&lt;='SOLLECITAZ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paramento'!$G$110),55555)*(C114-C113)/IF(C114&lt;='SOLLECITAZ NASCOSTO'!$P$12,IF(C114&lt;='SOLLECITAZ NASCOSTO'!$P$11,IF(C114&lt;='SOLLECITAZ NASCOSTO'!$P$10,IF(C114&lt;='SOLLECITAZ NASCOSTO'!$P$9,IF(C114&lt;='SOLLECITAZ NASCOSTO'!$P$8,IF(C114&lt;='SOLLECITAZ NASCOSTO'!$P$7,IF(C114&lt;='SOLLECITAZ NASCOSTO'!$P$6,IF(C114&lt;='SOLLECITAZ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14" s="41">
        <f t="shared" si="39"/>
        <v>8.0999999999999868E-5</v>
      </c>
      <c r="Q114" s="41">
        <f t="shared" si="37"/>
        <v>1</v>
      </c>
      <c r="R114" s="434">
        <f t="shared" si="31"/>
        <v>0.89333906385911599</v>
      </c>
      <c r="S114" s="45">
        <f t="shared" si="38"/>
        <v>0.89333906385911599</v>
      </c>
      <c r="T114" s="205">
        <f t="shared" si="34"/>
        <v>4.1387225284017646</v>
      </c>
      <c r="U114" s="45">
        <f t="shared" si="35"/>
        <v>21.489616262034755</v>
      </c>
      <c r="V114" s="45">
        <f t="shared" si="36"/>
        <v>-8.1913253964726991</v>
      </c>
      <c r="W114" s="488"/>
      <c r="X114" s="489"/>
      <c r="Y114" s="489"/>
      <c r="Z114" s="490"/>
      <c r="AA114" s="46"/>
    </row>
    <row r="115" spans="1:27" s="421" customFormat="1" x14ac:dyDescent="0.25">
      <c r="A115" s="581">
        <f t="shared" si="32"/>
        <v>0.21691936487964908</v>
      </c>
      <c r="B115" s="31">
        <f t="shared" si="22"/>
        <v>83</v>
      </c>
      <c r="C115" s="434">
        <f>'SOLLECITAZ NASCOSTO'!$D$6/'SOLLECITAZ NASCOSTO'!$B$448*'SOLLECITAZ NASCOSTO'!B115</f>
        <v>0.90423344268666617</v>
      </c>
      <c r="D115" s="434">
        <f t="shared" si="33"/>
        <v>0.33691936487964907</v>
      </c>
      <c r="E115" s="434">
        <f t="shared" si="27"/>
        <v>0.21691936487964908</v>
      </c>
      <c r="F115" s="434">
        <f t="shared" si="28"/>
        <v>0.36941419676148768</v>
      </c>
      <c r="G115" s="434">
        <f t="shared" si="29"/>
        <v>3.3858345348944975E-2</v>
      </c>
      <c r="H115" s="434">
        <f t="shared" si="23"/>
        <v>0</v>
      </c>
      <c r="I115" s="434">
        <v>0</v>
      </c>
      <c r="J115" s="127">
        <f t="shared" si="24"/>
        <v>9.1654153104477526E-2</v>
      </c>
      <c r="K115" s="126">
        <f t="shared" si="30"/>
        <v>2.2319192713177831E-3</v>
      </c>
      <c r="L115" s="41">
        <f t="shared" si="25"/>
        <v>21.868386445601381</v>
      </c>
      <c r="M115" s="41">
        <f t="shared" si="26"/>
        <v>-8.4275046498241668</v>
      </c>
      <c r="N115" s="41">
        <f>(IF(C114&lt;='SOLLECITAZ NASCOSTO'!$P$12,IF(C114&lt;='SOLLECITAZ NASCOSTO'!$P$11,IF(C114&lt;='SOLLECITAZ NASCOSTO'!$P$10,IF(C114&lt;='SOLLECITAZ NASCOSTO'!$P$9,IF(C114&lt;='SOLLECITAZ NASCOSTO'!$P$8,IF(C114&lt;='SOLLECITAZ NASCOSTO'!$P$7,IF(C114&lt;='SOLLECITAZ NASCOSTO'!$P$6,IF(C114&lt;='SOLLECITAZ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paramento'!$G$111),55555)-IF(C114&lt;='SOLLECITAZ NASCOSTO'!$P$12,IF(C114&lt;='SOLLECITAZ NASCOSTO'!$P$11,IF(C114&lt;='SOLLECITAZ NASCOSTO'!$P$10,IF(C114&lt;='SOLLECITAZ NASCOSTO'!$P$9,IF(C114&lt;='SOLLECITAZ NASCOSTO'!$P$8,IF(C114&lt;='SOLLECITAZ NASCOSTO'!$P$7,IF(C114&lt;='SOLLECITAZ NASCOSTO'!$P$6,IF(C114&lt;='SOLLECITAZ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paramento'!$G$111))*(C114-IF(C114&lt;='SOLLECITAZ NASCOSTO'!$P$12,IF(C114&lt;='SOLLECITAZ NASCOSTO'!$P$11,IF(C114&lt;='SOLLECITAZ NASCOSTO'!$P$10,IF(C114&lt;='SOLLECITAZ NASCOSTO'!$P$9,IF(C114&lt;='SOLLECITAZ NASCOSTO'!$P$8,IF(C114&lt;='SOLLECITAZ NASCOSTO'!$P$7,IF(C114&lt;='SOLLECITAZ NASCOSTO'!$P$6,IF(C114&lt;='SOLLECITAZ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NASCOSTO'!$P$12))/IF(C114&lt;='SOLLECITAZ NASCOSTO'!$P$12,IF(C114&lt;='SOLLECITAZ NASCOSTO'!$P$11,IF(C114&lt;='SOLLECITAZ NASCOSTO'!$P$10,IF(C114&lt;='SOLLECITAZ NASCOSTO'!$P$9,IF(C114&lt;='SOLLECITAZ NASCOSTO'!$P$8,IF(C114&lt;='SOLLECITAZ NASCOSTO'!$P$7,IF(C114&lt;='SOLLECITAZ NASCOSTO'!$P$6,IF(C114&lt;='SOLLECITAZ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paramento'!$C$111)+IF(C114&lt;='SOLLECITAZ NASCOSTO'!$P$12,IF(C114&lt;='SOLLECITAZ NASCOSTO'!$P$11,IF(C114&lt;='SOLLECITAZ NASCOSTO'!$P$10,IF(C114&lt;='SOLLECITAZ NASCOSTO'!$P$9,IF(C114&lt;='SOLLECITAZ NASCOSTO'!$P$8,IF(C114&lt;='SOLLECITAZ NASCOSTO'!$P$7,IF(C114&lt;='SOLLECITAZ NASCOSTO'!$P$6,IF(C114&lt;='SOLLECITAZ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34.638426389541415</v>
      </c>
      <c r="O115" s="41">
        <f>IF(C115&lt;='SOLLECITAZ NASCOSTO'!$P$12,IF(C115&lt;='SOLLECITAZ NASCOSTO'!$P$11,IF(C115&lt;='SOLLECITAZ NASCOSTO'!$P$10,IF(C115&lt;='SOLLECITAZ NASCOSTO'!$P$9,IF(C115&lt;='SOLLECITAZ NASCOSTO'!$P$8,IF(C115&lt;='SOLLECITAZ NASCOSTO'!$P$7,IF(C115&lt;='SOLLECITAZ NASCOSTO'!$P$6,IF(C115&lt;='SOLLECITAZ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paramento'!$G$110),55555)*(C115-C114)/IF(C115&lt;='SOLLECITAZ NASCOSTO'!$P$12,IF(C115&lt;='SOLLECITAZ NASCOSTO'!$P$11,IF(C115&lt;='SOLLECITAZ NASCOSTO'!$P$10,IF(C115&lt;='SOLLECITAZ NASCOSTO'!$P$9,IF(C115&lt;='SOLLECITAZ NASCOSTO'!$P$8,IF(C115&lt;='SOLLECITAZ NASCOSTO'!$P$7,IF(C115&lt;='SOLLECITAZ NASCOSTO'!$P$6,IF(C115&lt;='SOLLECITAZ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15" s="41">
        <f t="shared" si="39"/>
        <v>8.1999999999999865E-5</v>
      </c>
      <c r="Q115" s="41">
        <f t="shared" si="37"/>
        <v>1</v>
      </c>
      <c r="R115" s="434">
        <f t="shared" si="31"/>
        <v>0.90423344268666617</v>
      </c>
      <c r="S115" s="45">
        <f t="shared" si="38"/>
        <v>0.90423344268666617</v>
      </c>
      <c r="T115" s="205">
        <f t="shared" si="34"/>
        <v>4.1278281495742144</v>
      </c>
      <c r="U115" s="45">
        <f t="shared" si="35"/>
        <v>21.868386445601381</v>
      </c>
      <c r="V115" s="45">
        <f t="shared" si="36"/>
        <v>-8.4275046498241668</v>
      </c>
      <c r="W115" s="488"/>
      <c r="X115" s="489"/>
      <c r="Y115" s="489"/>
      <c r="Z115" s="490"/>
      <c r="AA115" s="46"/>
    </row>
    <row r="116" spans="1:27" s="421" customFormat="1" x14ac:dyDescent="0.25">
      <c r="A116" s="581">
        <f t="shared" si="32"/>
        <v>0.21849020762775828</v>
      </c>
      <c r="B116" s="31">
        <f t="shared" si="22"/>
        <v>84</v>
      </c>
      <c r="C116" s="434">
        <f>'SOLLECITAZ NASCOSTO'!$D$6/'SOLLECITAZ NASCOSTO'!$B$448*'SOLLECITAZ NASCOSTO'!B116</f>
        <v>0.91512782151421634</v>
      </c>
      <c r="D116" s="434">
        <f t="shared" si="33"/>
        <v>0.33849020762775828</v>
      </c>
      <c r="E116" s="434">
        <f t="shared" si="27"/>
        <v>0.21849020762775828</v>
      </c>
      <c r="F116" s="434">
        <f t="shared" si="28"/>
        <v>0.36991686644088262</v>
      </c>
      <c r="G116" s="434">
        <f t="shared" si="29"/>
        <v>3.4028099305581261E-2</v>
      </c>
      <c r="H116" s="434">
        <f t="shared" si="23"/>
        <v>0</v>
      </c>
      <c r="I116" s="434">
        <v>0</v>
      </c>
      <c r="J116" s="127">
        <f t="shared" si="24"/>
        <v>9.198850442527573E-2</v>
      </c>
      <c r="K116" s="126">
        <f t="shared" si="30"/>
        <v>2.262310103244073E-3</v>
      </c>
      <c r="L116" s="41">
        <f t="shared" si="25"/>
        <v>22.249968718145503</v>
      </c>
      <c r="M116" s="41">
        <f t="shared" si="26"/>
        <v>-8.6678256870252977</v>
      </c>
      <c r="N116" s="41">
        <f>(IF(C115&lt;='SOLLECITAZ NASCOSTO'!$P$12,IF(C115&lt;='SOLLECITAZ NASCOSTO'!$P$11,IF(C115&lt;='SOLLECITAZ NASCOSTO'!$P$10,IF(C115&lt;='SOLLECITAZ NASCOSTO'!$P$9,IF(C115&lt;='SOLLECITAZ NASCOSTO'!$P$8,IF(C115&lt;='SOLLECITAZ NASCOSTO'!$P$7,IF(C115&lt;='SOLLECITAZ NASCOSTO'!$P$6,IF(C115&lt;='SOLLECITAZ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paramento'!$G$111),55555)-IF(C115&lt;='SOLLECITAZ NASCOSTO'!$P$12,IF(C115&lt;='SOLLECITAZ NASCOSTO'!$P$11,IF(C115&lt;='SOLLECITAZ NASCOSTO'!$P$10,IF(C115&lt;='SOLLECITAZ NASCOSTO'!$P$9,IF(C115&lt;='SOLLECITAZ NASCOSTO'!$P$8,IF(C115&lt;='SOLLECITAZ NASCOSTO'!$P$7,IF(C115&lt;='SOLLECITAZ NASCOSTO'!$P$6,IF(C115&lt;='SOLLECITAZ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paramento'!$G$111))*(C115-IF(C115&lt;='SOLLECITAZ NASCOSTO'!$P$12,IF(C115&lt;='SOLLECITAZ NASCOSTO'!$P$11,IF(C115&lt;='SOLLECITAZ NASCOSTO'!$P$10,IF(C115&lt;='SOLLECITAZ NASCOSTO'!$P$9,IF(C115&lt;='SOLLECITAZ NASCOSTO'!$P$8,IF(C115&lt;='SOLLECITAZ NASCOSTO'!$P$7,IF(C115&lt;='SOLLECITAZ NASCOSTO'!$P$6,IF(C115&lt;='SOLLECITAZ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NASCOSTO'!$P$12))/IF(C115&lt;='SOLLECITAZ NASCOSTO'!$P$12,IF(C115&lt;='SOLLECITAZ NASCOSTO'!$P$11,IF(C115&lt;='SOLLECITAZ NASCOSTO'!$P$10,IF(C115&lt;='SOLLECITAZ NASCOSTO'!$P$9,IF(C115&lt;='SOLLECITAZ NASCOSTO'!$P$8,IF(C115&lt;='SOLLECITAZ NASCOSTO'!$P$7,IF(C115&lt;='SOLLECITAZ NASCOSTO'!$P$6,IF(C115&lt;='SOLLECITAZ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paramento'!$C$111)+IF(C115&lt;='SOLLECITAZ NASCOSTO'!$P$12,IF(C115&lt;='SOLLECITAZ NASCOSTO'!$P$11,IF(C115&lt;='SOLLECITAZ NASCOSTO'!$P$10,IF(C115&lt;='SOLLECITAZ NASCOSTO'!$P$9,IF(C115&lt;='SOLLECITAZ NASCOSTO'!$P$8,IF(C115&lt;='SOLLECITAZ NASCOSTO'!$P$7,IF(C115&lt;='SOLLECITAZ NASCOSTO'!$P$6,IF(C115&lt;='SOLLECITAZ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34.896549318990822</v>
      </c>
      <c r="O116" s="41">
        <f>IF(C116&lt;='SOLLECITAZ NASCOSTO'!$P$12,IF(C116&lt;='SOLLECITAZ NASCOSTO'!$P$11,IF(C116&lt;='SOLLECITAZ NASCOSTO'!$P$10,IF(C116&lt;='SOLLECITAZ NASCOSTO'!$P$9,IF(C116&lt;='SOLLECITAZ NASCOSTO'!$P$8,IF(C116&lt;='SOLLECITAZ NASCOSTO'!$P$7,IF(C116&lt;='SOLLECITAZ NASCOSTO'!$P$6,IF(C116&lt;='SOLLECITAZ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paramento'!$G$110),55555)*(C116-C115)/IF(C116&lt;='SOLLECITAZ NASCOSTO'!$P$12,IF(C116&lt;='SOLLECITAZ NASCOSTO'!$P$11,IF(C116&lt;='SOLLECITAZ NASCOSTO'!$P$10,IF(C116&lt;='SOLLECITAZ NASCOSTO'!$P$9,IF(C116&lt;='SOLLECITAZ NASCOSTO'!$P$8,IF(C116&lt;='SOLLECITAZ NASCOSTO'!$P$7,IF(C116&lt;='SOLLECITAZ NASCOSTO'!$P$6,IF(C116&lt;='SOLLECITAZ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16" s="41">
        <f t="shared" si="39"/>
        <v>8.2999999999999863E-5</v>
      </c>
      <c r="Q116" s="41">
        <f t="shared" si="37"/>
        <v>1</v>
      </c>
      <c r="R116" s="434">
        <f t="shared" si="31"/>
        <v>0.91512782151421634</v>
      </c>
      <c r="S116" s="45">
        <f t="shared" si="38"/>
        <v>0.91512782151421634</v>
      </c>
      <c r="T116" s="205">
        <f t="shared" si="34"/>
        <v>4.1169337707466642</v>
      </c>
      <c r="U116" s="45">
        <f t="shared" si="35"/>
        <v>22.249968718145503</v>
      </c>
      <c r="V116" s="45">
        <f t="shared" si="36"/>
        <v>-8.6678256870252977</v>
      </c>
      <c r="W116" s="488"/>
      <c r="X116" s="489"/>
      <c r="Y116" s="489"/>
      <c r="Z116" s="490"/>
      <c r="AA116" s="46"/>
    </row>
    <row r="117" spans="1:27" s="421" customFormat="1" x14ac:dyDescent="0.25">
      <c r="A117" s="581">
        <f t="shared" si="32"/>
        <v>0.22006105037586743</v>
      </c>
      <c r="B117" s="31">
        <f t="shared" si="22"/>
        <v>85</v>
      </c>
      <c r="C117" s="434">
        <f>'SOLLECITAZ NASCOSTO'!$D$6/'SOLLECITAZ NASCOSTO'!$B$448*'SOLLECITAZ NASCOSTO'!B117</f>
        <v>0.92602220034176652</v>
      </c>
      <c r="D117" s="434">
        <f t="shared" si="33"/>
        <v>0.34006105037586742</v>
      </c>
      <c r="E117" s="434">
        <f t="shared" si="27"/>
        <v>0.22006105037586743</v>
      </c>
      <c r="F117" s="434">
        <f t="shared" si="28"/>
        <v>0.37041953612027756</v>
      </c>
      <c r="G117" s="434">
        <f t="shared" si="29"/>
        <v>3.4198642877238117E-2</v>
      </c>
      <c r="H117" s="434">
        <f t="shared" si="23"/>
        <v>0</v>
      </c>
      <c r="I117" s="434">
        <v>0</v>
      </c>
      <c r="J117" s="127">
        <f t="shared" si="24"/>
        <v>9.2324079975451404E-2</v>
      </c>
      <c r="K117" s="126">
        <f t="shared" si="30"/>
        <v>2.2930072076587375E-3</v>
      </c>
      <c r="L117" s="41">
        <f t="shared" si="25"/>
        <v>22.634363079667125</v>
      </c>
      <c r="M117" s="41">
        <f t="shared" si="26"/>
        <v>-8.9123191440387117</v>
      </c>
      <c r="N117" s="41">
        <f>(IF(C116&lt;='SOLLECITAZ NASCOSTO'!$P$12,IF(C116&lt;='SOLLECITAZ NASCOSTO'!$P$11,IF(C116&lt;='SOLLECITAZ NASCOSTO'!$P$10,IF(C116&lt;='SOLLECITAZ NASCOSTO'!$P$9,IF(C116&lt;='SOLLECITAZ NASCOSTO'!$P$8,IF(C116&lt;='SOLLECITAZ NASCOSTO'!$P$7,IF(C116&lt;='SOLLECITAZ NASCOSTO'!$P$6,IF(C116&lt;='SOLLECITAZ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paramento'!$G$111),55555)-IF(C116&lt;='SOLLECITAZ NASCOSTO'!$P$12,IF(C116&lt;='SOLLECITAZ NASCOSTO'!$P$11,IF(C116&lt;='SOLLECITAZ NASCOSTO'!$P$10,IF(C116&lt;='SOLLECITAZ NASCOSTO'!$P$9,IF(C116&lt;='SOLLECITAZ NASCOSTO'!$P$8,IF(C116&lt;='SOLLECITAZ NASCOSTO'!$P$7,IF(C116&lt;='SOLLECITAZ NASCOSTO'!$P$6,IF(C116&lt;='SOLLECITAZ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paramento'!$G$111))*(C116-IF(C116&lt;='SOLLECITAZ NASCOSTO'!$P$12,IF(C116&lt;='SOLLECITAZ NASCOSTO'!$P$11,IF(C116&lt;='SOLLECITAZ NASCOSTO'!$P$10,IF(C116&lt;='SOLLECITAZ NASCOSTO'!$P$9,IF(C116&lt;='SOLLECITAZ NASCOSTO'!$P$8,IF(C116&lt;='SOLLECITAZ NASCOSTO'!$P$7,IF(C116&lt;='SOLLECITAZ NASCOSTO'!$P$6,IF(C116&lt;='SOLLECITAZ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NASCOSTO'!$P$12))/IF(C116&lt;='SOLLECITAZ NASCOSTO'!$P$12,IF(C116&lt;='SOLLECITAZ NASCOSTO'!$P$11,IF(C116&lt;='SOLLECITAZ NASCOSTO'!$P$10,IF(C116&lt;='SOLLECITAZ NASCOSTO'!$P$9,IF(C116&lt;='SOLLECITAZ NASCOSTO'!$P$8,IF(C116&lt;='SOLLECITAZ NASCOSTO'!$P$7,IF(C116&lt;='SOLLECITAZ NASCOSTO'!$P$6,IF(C116&lt;='SOLLECITAZ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paramento'!$C$111)+IF(C116&lt;='SOLLECITAZ NASCOSTO'!$P$12,IF(C116&lt;='SOLLECITAZ NASCOSTO'!$P$11,IF(C116&lt;='SOLLECITAZ NASCOSTO'!$P$10,IF(C116&lt;='SOLLECITAZ NASCOSTO'!$P$9,IF(C116&lt;='SOLLECITAZ NASCOSTO'!$P$8,IF(C116&lt;='SOLLECITAZ NASCOSTO'!$P$7,IF(C116&lt;='SOLLECITAZ NASCOSTO'!$P$6,IF(C116&lt;='SOLLECITAZ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35.154672248440221</v>
      </c>
      <c r="O117" s="41">
        <f>IF(C117&lt;='SOLLECITAZ NASCOSTO'!$P$12,IF(C117&lt;='SOLLECITAZ NASCOSTO'!$P$11,IF(C117&lt;='SOLLECITAZ NASCOSTO'!$P$10,IF(C117&lt;='SOLLECITAZ NASCOSTO'!$P$9,IF(C117&lt;='SOLLECITAZ NASCOSTO'!$P$8,IF(C117&lt;='SOLLECITAZ NASCOSTO'!$P$7,IF(C117&lt;='SOLLECITAZ NASCOSTO'!$P$6,IF(C117&lt;='SOLLECITAZ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paramento'!$G$110),55555)*(C117-C116)/IF(C117&lt;='SOLLECITAZ NASCOSTO'!$P$12,IF(C117&lt;='SOLLECITAZ NASCOSTO'!$P$11,IF(C117&lt;='SOLLECITAZ NASCOSTO'!$P$10,IF(C117&lt;='SOLLECITAZ NASCOSTO'!$P$9,IF(C117&lt;='SOLLECITAZ NASCOSTO'!$P$8,IF(C117&lt;='SOLLECITAZ NASCOSTO'!$P$7,IF(C117&lt;='SOLLECITAZ NASCOSTO'!$P$6,IF(C117&lt;='SOLLECITAZ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17" s="41">
        <f t="shared" si="39"/>
        <v>8.399999999999986E-5</v>
      </c>
      <c r="Q117" s="41">
        <f t="shared" si="37"/>
        <v>1</v>
      </c>
      <c r="R117" s="434">
        <f t="shared" si="31"/>
        <v>0.92602220034176652</v>
      </c>
      <c r="S117" s="45">
        <f t="shared" si="38"/>
        <v>0.92602220034176652</v>
      </c>
      <c r="T117" s="205">
        <f t="shared" si="34"/>
        <v>4.106039391919114</v>
      </c>
      <c r="U117" s="45">
        <f t="shared" si="35"/>
        <v>22.634363079667125</v>
      </c>
      <c r="V117" s="45">
        <f t="shared" si="36"/>
        <v>-8.9123191440387117</v>
      </c>
      <c r="W117" s="488"/>
      <c r="X117" s="489"/>
      <c r="Y117" s="489"/>
      <c r="Z117" s="490"/>
      <c r="AA117" s="46"/>
    </row>
    <row r="118" spans="1:27" s="421" customFormat="1" x14ac:dyDescent="0.25">
      <c r="A118" s="581">
        <f t="shared" si="32"/>
        <v>0.22163189312397658</v>
      </c>
      <c r="B118" s="31">
        <f t="shared" si="22"/>
        <v>86</v>
      </c>
      <c r="C118" s="434">
        <f>'SOLLECITAZ NASCOSTO'!$D$6/'SOLLECITAZ NASCOSTO'!$B$448*'SOLLECITAZ NASCOSTO'!B118</f>
        <v>0.9369165791693167</v>
      </c>
      <c r="D118" s="434">
        <f t="shared" si="33"/>
        <v>0.34163189312397657</v>
      </c>
      <c r="E118" s="434">
        <f t="shared" si="27"/>
        <v>0.22163189312397658</v>
      </c>
      <c r="F118" s="434">
        <f t="shared" si="28"/>
        <v>0.3709222057996725</v>
      </c>
      <c r="G118" s="434">
        <f t="shared" si="29"/>
        <v>3.4369976063915543E-2</v>
      </c>
      <c r="H118" s="434">
        <f t="shared" si="23"/>
        <v>0</v>
      </c>
      <c r="I118" s="434">
        <v>0</v>
      </c>
      <c r="J118" s="127">
        <f t="shared" si="24"/>
        <v>9.2660874777818134E-2</v>
      </c>
      <c r="K118" s="126">
        <f t="shared" si="30"/>
        <v>2.324011815069776E-3</v>
      </c>
      <c r="L118" s="41">
        <f t="shared" si="25"/>
        <v>23.021569530166246</v>
      </c>
      <c r="M118" s="41">
        <f t="shared" si="26"/>
        <v>-9.1610156568270256</v>
      </c>
      <c r="N118" s="41">
        <f>(IF(C117&lt;='SOLLECITAZ NASCOSTO'!$P$12,IF(C117&lt;='SOLLECITAZ NASCOSTO'!$P$11,IF(C117&lt;='SOLLECITAZ NASCOSTO'!$P$10,IF(C117&lt;='SOLLECITAZ NASCOSTO'!$P$9,IF(C117&lt;='SOLLECITAZ NASCOSTO'!$P$8,IF(C117&lt;='SOLLECITAZ NASCOSTO'!$P$7,IF(C117&lt;='SOLLECITAZ NASCOSTO'!$P$6,IF(C117&lt;='SOLLECITAZ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paramento'!$G$111),55555)-IF(C117&lt;='SOLLECITAZ NASCOSTO'!$P$12,IF(C117&lt;='SOLLECITAZ NASCOSTO'!$P$11,IF(C117&lt;='SOLLECITAZ NASCOSTO'!$P$10,IF(C117&lt;='SOLLECITAZ NASCOSTO'!$P$9,IF(C117&lt;='SOLLECITAZ NASCOSTO'!$P$8,IF(C117&lt;='SOLLECITAZ NASCOSTO'!$P$7,IF(C117&lt;='SOLLECITAZ NASCOSTO'!$P$6,IF(C117&lt;='SOLLECITAZ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paramento'!$G$111))*(C117-IF(C117&lt;='SOLLECITAZ NASCOSTO'!$P$12,IF(C117&lt;='SOLLECITAZ NASCOSTO'!$P$11,IF(C117&lt;='SOLLECITAZ NASCOSTO'!$P$10,IF(C117&lt;='SOLLECITAZ NASCOSTO'!$P$9,IF(C117&lt;='SOLLECITAZ NASCOSTO'!$P$8,IF(C117&lt;='SOLLECITAZ NASCOSTO'!$P$7,IF(C117&lt;='SOLLECITAZ NASCOSTO'!$P$6,IF(C117&lt;='SOLLECITAZ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NASCOSTO'!$P$12))/IF(C117&lt;='SOLLECITAZ NASCOSTO'!$P$12,IF(C117&lt;='SOLLECITAZ NASCOSTO'!$P$11,IF(C117&lt;='SOLLECITAZ NASCOSTO'!$P$10,IF(C117&lt;='SOLLECITAZ NASCOSTO'!$P$9,IF(C117&lt;='SOLLECITAZ NASCOSTO'!$P$8,IF(C117&lt;='SOLLECITAZ NASCOSTO'!$P$7,IF(C117&lt;='SOLLECITAZ NASCOSTO'!$P$6,IF(C117&lt;='SOLLECITAZ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paramento'!$C$111)+IF(C117&lt;='SOLLECITAZ NASCOSTO'!$P$12,IF(C117&lt;='SOLLECITAZ NASCOSTO'!$P$11,IF(C117&lt;='SOLLECITAZ NASCOSTO'!$P$10,IF(C117&lt;='SOLLECITAZ NASCOSTO'!$P$9,IF(C117&lt;='SOLLECITAZ NASCOSTO'!$P$8,IF(C117&lt;='SOLLECITAZ NASCOSTO'!$P$7,IF(C117&lt;='SOLLECITAZ NASCOSTO'!$P$6,IF(C117&lt;='SOLLECITAZ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35.412795177889635</v>
      </c>
      <c r="O118" s="41">
        <f>IF(C118&lt;='SOLLECITAZ NASCOSTO'!$P$12,IF(C118&lt;='SOLLECITAZ NASCOSTO'!$P$11,IF(C118&lt;='SOLLECITAZ NASCOSTO'!$P$10,IF(C118&lt;='SOLLECITAZ NASCOSTO'!$P$9,IF(C118&lt;='SOLLECITAZ NASCOSTO'!$P$8,IF(C118&lt;='SOLLECITAZ NASCOSTO'!$P$7,IF(C118&lt;='SOLLECITAZ NASCOSTO'!$P$6,IF(C118&lt;='SOLLECITAZ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paramento'!$G$110),55555)*(C118-C117)/IF(C118&lt;='SOLLECITAZ NASCOSTO'!$P$12,IF(C118&lt;='SOLLECITAZ NASCOSTO'!$P$11,IF(C118&lt;='SOLLECITAZ NASCOSTO'!$P$10,IF(C118&lt;='SOLLECITAZ NASCOSTO'!$P$9,IF(C118&lt;='SOLLECITAZ NASCOSTO'!$P$8,IF(C118&lt;='SOLLECITAZ NASCOSTO'!$P$7,IF(C118&lt;='SOLLECITAZ NASCOSTO'!$P$6,IF(C118&lt;='SOLLECITAZ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18" s="41">
        <f t="shared" si="39"/>
        <v>8.4999999999999857E-5</v>
      </c>
      <c r="Q118" s="41">
        <f t="shared" si="37"/>
        <v>1</v>
      </c>
      <c r="R118" s="434">
        <f t="shared" si="31"/>
        <v>0.9369165791693167</v>
      </c>
      <c r="S118" s="45">
        <f t="shared" si="38"/>
        <v>0.9369165791693167</v>
      </c>
      <c r="T118" s="205">
        <f t="shared" si="34"/>
        <v>4.0951450130915639</v>
      </c>
      <c r="U118" s="45">
        <f t="shared" si="35"/>
        <v>23.021569530166246</v>
      </c>
      <c r="V118" s="45">
        <f t="shared" si="36"/>
        <v>-9.1610156568270256</v>
      </c>
      <c r="W118" s="488"/>
      <c r="X118" s="489"/>
      <c r="Y118" s="489"/>
      <c r="Z118" s="490"/>
      <c r="AA118" s="46"/>
    </row>
    <row r="119" spans="1:27" s="421" customFormat="1" x14ac:dyDescent="0.25">
      <c r="A119" s="581">
        <f t="shared" si="32"/>
        <v>0.22320273587208572</v>
      </c>
      <c r="B119" s="31">
        <f t="shared" si="22"/>
        <v>87</v>
      </c>
      <c r="C119" s="434">
        <f>'SOLLECITAZ NASCOSTO'!$D$6/'SOLLECITAZ NASCOSTO'!$B$448*'SOLLECITAZ NASCOSTO'!B119</f>
        <v>0.94781095799686699</v>
      </c>
      <c r="D119" s="434">
        <f t="shared" si="33"/>
        <v>0.34320273587208572</v>
      </c>
      <c r="E119" s="434">
        <f t="shared" si="27"/>
        <v>0.22320273587208572</v>
      </c>
      <c r="F119" s="434">
        <f t="shared" si="28"/>
        <v>0.37142487547906744</v>
      </c>
      <c r="G119" s="434">
        <f t="shared" si="29"/>
        <v>3.4542098865613546E-2</v>
      </c>
      <c r="H119" s="434">
        <f t="shared" si="23"/>
        <v>0</v>
      </c>
      <c r="I119" s="434">
        <v>0</v>
      </c>
      <c r="J119" s="127">
        <f t="shared" si="24"/>
        <v>9.2998883882133121E-2</v>
      </c>
      <c r="K119" s="126">
        <f t="shared" si="30"/>
        <v>2.3553251526812306E-3</v>
      </c>
      <c r="L119" s="41">
        <f t="shared" si="25"/>
        <v>23.411588069642871</v>
      </c>
      <c r="M119" s="41">
        <f t="shared" si="26"/>
        <v>-9.4139458613528593</v>
      </c>
      <c r="N119" s="41">
        <f>(IF(C118&lt;='SOLLECITAZ NASCOSTO'!$P$12,IF(C118&lt;='SOLLECITAZ NASCOSTO'!$P$11,IF(C118&lt;='SOLLECITAZ NASCOSTO'!$P$10,IF(C118&lt;='SOLLECITAZ NASCOSTO'!$P$9,IF(C118&lt;='SOLLECITAZ NASCOSTO'!$P$8,IF(C118&lt;='SOLLECITAZ NASCOSTO'!$P$7,IF(C118&lt;='SOLLECITAZ NASCOSTO'!$P$6,IF(C118&lt;='SOLLECITAZ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paramento'!$G$111),55555)-IF(C118&lt;='SOLLECITAZ NASCOSTO'!$P$12,IF(C118&lt;='SOLLECITAZ NASCOSTO'!$P$11,IF(C118&lt;='SOLLECITAZ NASCOSTO'!$P$10,IF(C118&lt;='SOLLECITAZ NASCOSTO'!$P$9,IF(C118&lt;='SOLLECITAZ NASCOSTO'!$P$8,IF(C118&lt;='SOLLECITAZ NASCOSTO'!$P$7,IF(C118&lt;='SOLLECITAZ NASCOSTO'!$P$6,IF(C118&lt;='SOLLECITAZ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paramento'!$G$111))*(C118-IF(C118&lt;='SOLLECITAZ NASCOSTO'!$P$12,IF(C118&lt;='SOLLECITAZ NASCOSTO'!$P$11,IF(C118&lt;='SOLLECITAZ NASCOSTO'!$P$10,IF(C118&lt;='SOLLECITAZ NASCOSTO'!$P$9,IF(C118&lt;='SOLLECITAZ NASCOSTO'!$P$8,IF(C118&lt;='SOLLECITAZ NASCOSTO'!$P$7,IF(C118&lt;='SOLLECITAZ NASCOSTO'!$P$6,IF(C118&lt;='SOLLECITAZ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NASCOSTO'!$P$12))/IF(C118&lt;='SOLLECITAZ NASCOSTO'!$P$12,IF(C118&lt;='SOLLECITAZ NASCOSTO'!$P$11,IF(C118&lt;='SOLLECITAZ NASCOSTO'!$P$10,IF(C118&lt;='SOLLECITAZ NASCOSTO'!$P$9,IF(C118&lt;='SOLLECITAZ NASCOSTO'!$P$8,IF(C118&lt;='SOLLECITAZ NASCOSTO'!$P$7,IF(C118&lt;='SOLLECITAZ NASCOSTO'!$P$6,IF(C118&lt;='SOLLECITAZ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paramento'!$C$111)+IF(C118&lt;='SOLLECITAZ NASCOSTO'!$P$12,IF(C118&lt;='SOLLECITAZ NASCOSTO'!$P$11,IF(C118&lt;='SOLLECITAZ NASCOSTO'!$P$10,IF(C118&lt;='SOLLECITAZ NASCOSTO'!$P$9,IF(C118&lt;='SOLLECITAZ NASCOSTO'!$P$8,IF(C118&lt;='SOLLECITAZ NASCOSTO'!$P$7,IF(C118&lt;='SOLLECITAZ NASCOSTO'!$P$6,IF(C118&lt;='SOLLECITAZ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35.670918107339034</v>
      </c>
      <c r="O119" s="41">
        <f>IF(C119&lt;='SOLLECITAZ NASCOSTO'!$P$12,IF(C119&lt;='SOLLECITAZ NASCOSTO'!$P$11,IF(C119&lt;='SOLLECITAZ NASCOSTO'!$P$10,IF(C119&lt;='SOLLECITAZ NASCOSTO'!$P$9,IF(C119&lt;='SOLLECITAZ NASCOSTO'!$P$8,IF(C119&lt;='SOLLECITAZ NASCOSTO'!$P$7,IF(C119&lt;='SOLLECITAZ NASCOSTO'!$P$6,IF(C119&lt;='SOLLECITAZ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paramento'!$G$110),55555)*(C119-C118)/IF(C119&lt;='SOLLECITAZ NASCOSTO'!$P$12,IF(C119&lt;='SOLLECITAZ NASCOSTO'!$P$11,IF(C119&lt;='SOLLECITAZ NASCOSTO'!$P$10,IF(C119&lt;='SOLLECITAZ NASCOSTO'!$P$9,IF(C119&lt;='SOLLECITAZ NASCOSTO'!$P$8,IF(C119&lt;='SOLLECITAZ NASCOSTO'!$P$7,IF(C119&lt;='SOLLECITAZ NASCOSTO'!$P$6,IF(C119&lt;='SOLLECITAZ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0.25812292944940807</v>
      </c>
      <c r="P119" s="41">
        <f t="shared" si="39"/>
        <v>8.5999999999999854E-5</v>
      </c>
      <c r="Q119" s="41">
        <f t="shared" si="37"/>
        <v>1</v>
      </c>
      <c r="R119" s="434">
        <f t="shared" si="31"/>
        <v>0.94781095799686699</v>
      </c>
      <c r="S119" s="45">
        <f t="shared" si="38"/>
        <v>0.94781095799686699</v>
      </c>
      <c r="T119" s="205">
        <f t="shared" si="34"/>
        <v>4.0842506342640137</v>
      </c>
      <c r="U119" s="45">
        <f t="shared" si="35"/>
        <v>23.411588069642871</v>
      </c>
      <c r="V119" s="45">
        <f t="shared" si="36"/>
        <v>-9.4139458613528593</v>
      </c>
      <c r="W119" s="488"/>
      <c r="X119" s="489"/>
      <c r="Y119" s="489"/>
      <c r="Z119" s="490"/>
      <c r="AA119" s="46"/>
    </row>
    <row r="120" spans="1:27" s="421" customFormat="1" x14ac:dyDescent="0.25">
      <c r="A120" s="581">
        <f t="shared" si="32"/>
        <v>0.22477357862019487</v>
      </c>
      <c r="B120" s="31">
        <f t="shared" si="22"/>
        <v>88</v>
      </c>
      <c r="C120" s="434">
        <f>'SOLLECITAZ NASCOSTO'!$D$6/'SOLLECITAZ NASCOSTO'!$B$448*'SOLLECITAZ NASCOSTO'!B120</f>
        <v>0.95870533682441716</v>
      </c>
      <c r="D120" s="434">
        <f t="shared" si="33"/>
        <v>0.34477357862019486</v>
      </c>
      <c r="E120" s="434">
        <f t="shared" si="27"/>
        <v>0.22477357862019487</v>
      </c>
      <c r="F120" s="434">
        <f t="shared" si="28"/>
        <v>0.37192754515846238</v>
      </c>
      <c r="G120" s="434">
        <f t="shared" si="29"/>
        <v>3.4715011282332106E-2</v>
      </c>
      <c r="H120" s="434">
        <f t="shared" si="23"/>
        <v>0</v>
      </c>
      <c r="I120" s="434">
        <v>0</v>
      </c>
      <c r="J120" s="127">
        <f t="shared" si="24"/>
        <v>9.3338102364914993E-2</v>
      </c>
      <c r="K120" s="126">
        <f t="shared" si="30"/>
        <v>2.3869484444155073E-3</v>
      </c>
      <c r="L120" s="41">
        <f t="shared" si="25"/>
        <v>23.804418698096992</v>
      </c>
      <c r="M120" s="41">
        <f t="shared" si="26"/>
        <v>-9.671140393578824</v>
      </c>
      <c r="N120" s="41">
        <f>(IF(C119&lt;='SOLLECITAZ NASCOSTO'!$P$12,IF(C119&lt;='SOLLECITAZ NASCOSTO'!$P$11,IF(C119&lt;='SOLLECITAZ NASCOSTO'!$P$10,IF(C119&lt;='SOLLECITAZ NASCOSTO'!$P$9,IF(C119&lt;='SOLLECITAZ NASCOSTO'!$P$8,IF(C119&lt;='SOLLECITAZ NASCOSTO'!$P$7,IF(C119&lt;='SOLLECITAZ NASCOSTO'!$P$6,IF(C119&lt;='SOLLECITAZ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paramento'!$G$111),55555)-IF(C119&lt;='SOLLECITAZ NASCOSTO'!$P$12,IF(C119&lt;='SOLLECITAZ NASCOSTO'!$P$11,IF(C119&lt;='SOLLECITAZ NASCOSTO'!$P$10,IF(C119&lt;='SOLLECITAZ NASCOSTO'!$P$9,IF(C119&lt;='SOLLECITAZ NASCOSTO'!$P$8,IF(C119&lt;='SOLLECITAZ NASCOSTO'!$P$7,IF(C119&lt;='SOLLECITAZ NASCOSTO'!$P$6,IF(C119&lt;='SOLLECITAZ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paramento'!$G$111))*(C119-IF(C119&lt;='SOLLECITAZ NASCOSTO'!$P$12,IF(C119&lt;='SOLLECITAZ NASCOSTO'!$P$11,IF(C119&lt;='SOLLECITAZ NASCOSTO'!$P$10,IF(C119&lt;='SOLLECITAZ NASCOSTO'!$P$9,IF(C119&lt;='SOLLECITAZ NASCOSTO'!$P$8,IF(C119&lt;='SOLLECITAZ NASCOSTO'!$P$7,IF(C119&lt;='SOLLECITAZ NASCOSTO'!$P$6,IF(C119&lt;='SOLLECITAZ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NASCOSTO'!$P$12))/IF(C119&lt;='SOLLECITAZ NASCOSTO'!$P$12,IF(C119&lt;='SOLLECITAZ NASCOSTO'!$P$11,IF(C119&lt;='SOLLECITAZ NASCOSTO'!$P$10,IF(C119&lt;='SOLLECITAZ NASCOSTO'!$P$9,IF(C119&lt;='SOLLECITAZ NASCOSTO'!$P$8,IF(C119&lt;='SOLLECITAZ NASCOSTO'!$P$7,IF(C119&lt;='SOLLECITAZ NASCOSTO'!$P$6,IF(C119&lt;='SOLLECITAZ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paramento'!$C$111)+IF(C119&lt;='SOLLECITAZ NASCOSTO'!$P$12,IF(C119&lt;='SOLLECITAZ NASCOSTO'!$P$11,IF(C119&lt;='SOLLECITAZ NASCOSTO'!$P$10,IF(C119&lt;='SOLLECITAZ NASCOSTO'!$P$9,IF(C119&lt;='SOLLECITAZ NASCOSTO'!$P$8,IF(C119&lt;='SOLLECITAZ NASCOSTO'!$P$7,IF(C119&lt;='SOLLECITAZ NASCOSTO'!$P$6,IF(C119&lt;='SOLLECITAZ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35.929041036788448</v>
      </c>
      <c r="O120" s="41">
        <f>IF(C120&lt;='SOLLECITAZ NASCOSTO'!$P$12,IF(C120&lt;='SOLLECITAZ NASCOSTO'!$P$11,IF(C120&lt;='SOLLECITAZ NASCOSTO'!$P$10,IF(C120&lt;='SOLLECITAZ NASCOSTO'!$P$9,IF(C120&lt;='SOLLECITAZ NASCOSTO'!$P$8,IF(C120&lt;='SOLLECITAZ NASCOSTO'!$P$7,IF(C120&lt;='SOLLECITAZ NASCOSTO'!$P$6,IF(C120&lt;='SOLLECITAZ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paramento'!$G$110),55555)*(C120-C119)/IF(C120&lt;='SOLLECITAZ NASCOSTO'!$P$12,IF(C120&lt;='SOLLECITAZ NASCOSTO'!$P$11,IF(C120&lt;='SOLLECITAZ NASCOSTO'!$P$10,IF(C120&lt;='SOLLECITAZ NASCOSTO'!$P$9,IF(C120&lt;='SOLLECITAZ NASCOSTO'!$P$8,IF(C120&lt;='SOLLECITAZ NASCOSTO'!$P$7,IF(C120&lt;='SOLLECITAZ NASCOSTO'!$P$6,IF(C120&lt;='SOLLECITAZ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20" s="41">
        <f t="shared" si="39"/>
        <v>8.6999999999999851E-5</v>
      </c>
      <c r="Q120" s="41">
        <f t="shared" si="37"/>
        <v>1</v>
      </c>
      <c r="R120" s="434">
        <f t="shared" si="31"/>
        <v>0.95870533682441716</v>
      </c>
      <c r="S120" s="45">
        <f t="shared" si="38"/>
        <v>0.95870533682441716</v>
      </c>
      <c r="T120" s="205">
        <f t="shared" si="34"/>
        <v>4.0733562554364635</v>
      </c>
      <c r="U120" s="45">
        <f t="shared" si="35"/>
        <v>23.804418698096992</v>
      </c>
      <c r="V120" s="45">
        <f t="shared" si="36"/>
        <v>-9.671140393578824</v>
      </c>
      <c r="W120" s="488"/>
      <c r="X120" s="489"/>
      <c r="Y120" s="489"/>
      <c r="Z120" s="490"/>
      <c r="AA120" s="46"/>
    </row>
    <row r="121" spans="1:27" s="421" customFormat="1" x14ac:dyDescent="0.25">
      <c r="A121" s="581">
        <f t="shared" si="32"/>
        <v>0.22634442136830402</v>
      </c>
      <c r="B121" s="31">
        <f t="shared" si="22"/>
        <v>89</v>
      </c>
      <c r="C121" s="434">
        <f>'SOLLECITAZ NASCOSTO'!$D$6/'SOLLECITAZ NASCOSTO'!$B$448*'SOLLECITAZ NASCOSTO'!B121</f>
        <v>0.96959971565196734</v>
      </c>
      <c r="D121" s="434">
        <f t="shared" si="33"/>
        <v>0.34634442136830401</v>
      </c>
      <c r="E121" s="434">
        <f t="shared" si="27"/>
        <v>0.22634442136830402</v>
      </c>
      <c r="F121" s="434">
        <f t="shared" si="28"/>
        <v>0.37243021483785727</v>
      </c>
      <c r="G121" s="434">
        <f t="shared" si="29"/>
        <v>3.488871331407125E-2</v>
      </c>
      <c r="H121" s="434">
        <f t="shared" si="23"/>
        <v>0</v>
      </c>
      <c r="I121" s="434">
        <v>0</v>
      </c>
      <c r="J121" s="127">
        <f t="shared" si="24"/>
        <v>9.3678525329263476E-2</v>
      </c>
      <c r="K121" s="126">
        <f t="shared" si="30"/>
        <v>2.4188829109355325E-3</v>
      </c>
      <c r="L121" s="41">
        <f t="shared" si="25"/>
        <v>24.200061415528609</v>
      </c>
      <c r="M121" s="41">
        <f t="shared" si="26"/>
        <v>-9.9326298894675418</v>
      </c>
      <c r="N121" s="41">
        <f>(IF(C120&lt;='SOLLECITAZ NASCOSTO'!$P$12,IF(C120&lt;='SOLLECITAZ NASCOSTO'!$P$11,IF(C120&lt;='SOLLECITAZ NASCOSTO'!$P$10,IF(C120&lt;='SOLLECITAZ NASCOSTO'!$P$9,IF(C120&lt;='SOLLECITAZ NASCOSTO'!$P$8,IF(C120&lt;='SOLLECITAZ NASCOSTO'!$P$7,IF(C120&lt;='SOLLECITAZ NASCOSTO'!$P$6,IF(C120&lt;='SOLLECITAZ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paramento'!$G$111),55555)-IF(C120&lt;='SOLLECITAZ NASCOSTO'!$P$12,IF(C120&lt;='SOLLECITAZ NASCOSTO'!$P$11,IF(C120&lt;='SOLLECITAZ NASCOSTO'!$P$10,IF(C120&lt;='SOLLECITAZ NASCOSTO'!$P$9,IF(C120&lt;='SOLLECITAZ NASCOSTO'!$P$8,IF(C120&lt;='SOLLECITAZ NASCOSTO'!$P$7,IF(C120&lt;='SOLLECITAZ NASCOSTO'!$P$6,IF(C120&lt;='SOLLECITAZ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paramento'!$G$111))*(C120-IF(C120&lt;='SOLLECITAZ NASCOSTO'!$P$12,IF(C120&lt;='SOLLECITAZ NASCOSTO'!$P$11,IF(C120&lt;='SOLLECITAZ NASCOSTO'!$P$10,IF(C120&lt;='SOLLECITAZ NASCOSTO'!$P$9,IF(C120&lt;='SOLLECITAZ NASCOSTO'!$P$8,IF(C120&lt;='SOLLECITAZ NASCOSTO'!$P$7,IF(C120&lt;='SOLLECITAZ NASCOSTO'!$P$6,IF(C120&lt;='SOLLECITAZ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NASCOSTO'!$P$12))/IF(C120&lt;='SOLLECITAZ NASCOSTO'!$P$12,IF(C120&lt;='SOLLECITAZ NASCOSTO'!$P$11,IF(C120&lt;='SOLLECITAZ NASCOSTO'!$P$10,IF(C120&lt;='SOLLECITAZ NASCOSTO'!$P$9,IF(C120&lt;='SOLLECITAZ NASCOSTO'!$P$8,IF(C120&lt;='SOLLECITAZ NASCOSTO'!$P$7,IF(C120&lt;='SOLLECITAZ NASCOSTO'!$P$6,IF(C120&lt;='SOLLECITAZ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paramento'!$C$111)+IF(C120&lt;='SOLLECITAZ NASCOSTO'!$P$12,IF(C120&lt;='SOLLECITAZ NASCOSTO'!$P$11,IF(C120&lt;='SOLLECITAZ NASCOSTO'!$P$10,IF(C120&lt;='SOLLECITAZ NASCOSTO'!$P$9,IF(C120&lt;='SOLLECITAZ NASCOSTO'!$P$8,IF(C120&lt;='SOLLECITAZ NASCOSTO'!$P$7,IF(C120&lt;='SOLLECITAZ NASCOSTO'!$P$6,IF(C120&lt;='SOLLECITAZ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36.187163966237847</v>
      </c>
      <c r="O121" s="41">
        <f>IF(C121&lt;='SOLLECITAZ NASCOSTO'!$P$12,IF(C121&lt;='SOLLECITAZ NASCOSTO'!$P$11,IF(C121&lt;='SOLLECITAZ NASCOSTO'!$P$10,IF(C121&lt;='SOLLECITAZ NASCOSTO'!$P$9,IF(C121&lt;='SOLLECITAZ NASCOSTO'!$P$8,IF(C121&lt;='SOLLECITAZ NASCOSTO'!$P$7,IF(C121&lt;='SOLLECITAZ NASCOSTO'!$P$6,IF(C121&lt;='SOLLECITAZ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paramento'!$G$110),55555)*(C121-C120)/IF(C121&lt;='SOLLECITAZ NASCOSTO'!$P$12,IF(C121&lt;='SOLLECITAZ NASCOSTO'!$P$11,IF(C121&lt;='SOLLECITAZ NASCOSTO'!$P$10,IF(C121&lt;='SOLLECITAZ NASCOSTO'!$P$9,IF(C121&lt;='SOLLECITAZ NASCOSTO'!$P$8,IF(C121&lt;='SOLLECITAZ NASCOSTO'!$P$7,IF(C121&lt;='SOLLECITAZ NASCOSTO'!$P$6,IF(C121&lt;='SOLLECITAZ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21" s="41">
        <f t="shared" si="39"/>
        <v>8.7999999999999849E-5</v>
      </c>
      <c r="Q121" s="41">
        <f t="shared" si="37"/>
        <v>1</v>
      </c>
      <c r="R121" s="434">
        <f t="shared" si="31"/>
        <v>0.96959971565196734</v>
      </c>
      <c r="S121" s="45">
        <f t="shared" si="38"/>
        <v>0.96959971565196734</v>
      </c>
      <c r="T121" s="205">
        <f t="shared" si="34"/>
        <v>4.0624618766089133</v>
      </c>
      <c r="U121" s="45">
        <f t="shared" si="35"/>
        <v>24.200061415528609</v>
      </c>
      <c r="V121" s="45">
        <f t="shared" si="36"/>
        <v>-9.9326298894675418</v>
      </c>
      <c r="W121" s="488"/>
      <c r="X121" s="489"/>
      <c r="Y121" s="489"/>
      <c r="Z121" s="490"/>
      <c r="AA121" s="46"/>
    </row>
    <row r="122" spans="1:27" s="421" customFormat="1" x14ac:dyDescent="0.25">
      <c r="A122" s="581">
        <f t="shared" si="32"/>
        <v>0.22791526411641322</v>
      </c>
      <c r="B122" s="31">
        <f t="shared" si="22"/>
        <v>90</v>
      </c>
      <c r="C122" s="434">
        <f>'SOLLECITAZ NASCOSTO'!$D$6/'SOLLECITAZ NASCOSTO'!$B$448*'SOLLECITAZ NASCOSTO'!B122</f>
        <v>0.98049409447951752</v>
      </c>
      <c r="D122" s="434">
        <f t="shared" si="33"/>
        <v>0.34791526411641321</v>
      </c>
      <c r="E122" s="434">
        <f t="shared" si="27"/>
        <v>0.22791526411641322</v>
      </c>
      <c r="F122" s="434">
        <f t="shared" si="28"/>
        <v>0.37293288451725221</v>
      </c>
      <c r="G122" s="434">
        <f t="shared" si="29"/>
        <v>3.5063204960830971E-2</v>
      </c>
      <c r="H122" s="434">
        <f t="shared" si="23"/>
        <v>0</v>
      </c>
      <c r="I122" s="434">
        <v>0</v>
      </c>
      <c r="J122" s="127">
        <f t="shared" si="24"/>
        <v>9.4020147904679927E-2</v>
      </c>
      <c r="K122" s="126">
        <f t="shared" si="30"/>
        <v>2.4511297696667086E-3</v>
      </c>
      <c r="L122" s="41">
        <f t="shared" si="25"/>
        <v>24.598516221937725</v>
      </c>
      <c r="M122" s="41">
        <f t="shared" si="26"/>
        <v>-10.198444984981631</v>
      </c>
      <c r="N122" s="41">
        <f>(IF(C121&lt;='SOLLECITAZ NASCOSTO'!$P$12,IF(C121&lt;='SOLLECITAZ NASCOSTO'!$P$11,IF(C121&lt;='SOLLECITAZ NASCOSTO'!$P$10,IF(C121&lt;='SOLLECITAZ NASCOSTO'!$P$9,IF(C121&lt;='SOLLECITAZ NASCOSTO'!$P$8,IF(C121&lt;='SOLLECITAZ NASCOSTO'!$P$7,IF(C121&lt;='SOLLECITAZ NASCOSTO'!$P$6,IF(C121&lt;='SOLLECITAZ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paramento'!$G$111),55555)-IF(C121&lt;='SOLLECITAZ NASCOSTO'!$P$12,IF(C121&lt;='SOLLECITAZ NASCOSTO'!$P$11,IF(C121&lt;='SOLLECITAZ NASCOSTO'!$P$10,IF(C121&lt;='SOLLECITAZ NASCOSTO'!$P$9,IF(C121&lt;='SOLLECITAZ NASCOSTO'!$P$8,IF(C121&lt;='SOLLECITAZ NASCOSTO'!$P$7,IF(C121&lt;='SOLLECITAZ NASCOSTO'!$P$6,IF(C121&lt;='SOLLECITAZ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paramento'!$G$111))*(C121-IF(C121&lt;='SOLLECITAZ NASCOSTO'!$P$12,IF(C121&lt;='SOLLECITAZ NASCOSTO'!$P$11,IF(C121&lt;='SOLLECITAZ NASCOSTO'!$P$10,IF(C121&lt;='SOLLECITAZ NASCOSTO'!$P$9,IF(C121&lt;='SOLLECITAZ NASCOSTO'!$P$8,IF(C121&lt;='SOLLECITAZ NASCOSTO'!$P$7,IF(C121&lt;='SOLLECITAZ NASCOSTO'!$P$6,IF(C121&lt;='SOLLECITAZ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NASCOSTO'!$P$12))/IF(C121&lt;='SOLLECITAZ NASCOSTO'!$P$12,IF(C121&lt;='SOLLECITAZ NASCOSTO'!$P$11,IF(C121&lt;='SOLLECITAZ NASCOSTO'!$P$10,IF(C121&lt;='SOLLECITAZ NASCOSTO'!$P$9,IF(C121&lt;='SOLLECITAZ NASCOSTO'!$P$8,IF(C121&lt;='SOLLECITAZ NASCOSTO'!$P$7,IF(C121&lt;='SOLLECITAZ NASCOSTO'!$P$6,IF(C121&lt;='SOLLECITAZ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paramento'!$C$111)+IF(C121&lt;='SOLLECITAZ NASCOSTO'!$P$12,IF(C121&lt;='SOLLECITAZ NASCOSTO'!$P$11,IF(C121&lt;='SOLLECITAZ NASCOSTO'!$P$10,IF(C121&lt;='SOLLECITAZ NASCOSTO'!$P$9,IF(C121&lt;='SOLLECITAZ NASCOSTO'!$P$8,IF(C121&lt;='SOLLECITAZ NASCOSTO'!$P$7,IF(C121&lt;='SOLLECITAZ NASCOSTO'!$P$6,IF(C121&lt;='SOLLECITAZ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36.445286895687261</v>
      </c>
      <c r="O122" s="41">
        <f>IF(C122&lt;='SOLLECITAZ NASCOSTO'!$P$12,IF(C122&lt;='SOLLECITAZ NASCOSTO'!$P$11,IF(C122&lt;='SOLLECITAZ NASCOSTO'!$P$10,IF(C122&lt;='SOLLECITAZ NASCOSTO'!$P$9,IF(C122&lt;='SOLLECITAZ NASCOSTO'!$P$8,IF(C122&lt;='SOLLECITAZ NASCOSTO'!$P$7,IF(C122&lt;='SOLLECITAZ NASCOSTO'!$P$6,IF(C122&lt;='SOLLECITAZ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paramento'!$G$110),55555)*(C122-C121)/IF(C122&lt;='SOLLECITAZ NASCOSTO'!$P$12,IF(C122&lt;='SOLLECITAZ NASCOSTO'!$P$11,IF(C122&lt;='SOLLECITAZ NASCOSTO'!$P$10,IF(C122&lt;='SOLLECITAZ NASCOSTO'!$P$9,IF(C122&lt;='SOLLECITAZ NASCOSTO'!$P$8,IF(C122&lt;='SOLLECITAZ NASCOSTO'!$P$7,IF(C122&lt;='SOLLECITAZ NASCOSTO'!$P$6,IF(C122&lt;='SOLLECITAZ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22" s="41">
        <f t="shared" si="39"/>
        <v>8.8999999999999846E-5</v>
      </c>
      <c r="Q122" s="41">
        <f t="shared" si="37"/>
        <v>1</v>
      </c>
      <c r="R122" s="434">
        <f t="shared" si="31"/>
        <v>0.98049409447951752</v>
      </c>
      <c r="S122" s="45">
        <f t="shared" si="38"/>
        <v>0.98049409447951752</v>
      </c>
      <c r="T122" s="205">
        <f t="shared" si="34"/>
        <v>4.0515674977813632</v>
      </c>
      <c r="U122" s="45">
        <f t="shared" si="35"/>
        <v>24.598516221937725</v>
      </c>
      <c r="V122" s="45">
        <f t="shared" si="36"/>
        <v>-10.198444984981631</v>
      </c>
      <c r="W122" s="488"/>
      <c r="X122" s="489"/>
      <c r="Y122" s="489"/>
      <c r="Z122" s="490"/>
      <c r="AA122" s="46"/>
    </row>
    <row r="123" spans="1:27" s="421" customFormat="1" x14ac:dyDescent="0.25">
      <c r="A123" s="581">
        <f t="shared" si="32"/>
        <v>0.22948610686452237</v>
      </c>
      <c r="B123" s="31">
        <f t="shared" si="22"/>
        <v>91</v>
      </c>
      <c r="C123" s="434">
        <f>'SOLLECITAZ NASCOSTO'!$D$6/'SOLLECITAZ NASCOSTO'!$B$448*'SOLLECITAZ NASCOSTO'!B123</f>
        <v>0.9913884733070677</v>
      </c>
      <c r="D123" s="434">
        <f t="shared" si="33"/>
        <v>0.34948610686452236</v>
      </c>
      <c r="E123" s="434">
        <f t="shared" si="27"/>
        <v>0.22948610686452237</v>
      </c>
      <c r="F123" s="434">
        <f t="shared" si="28"/>
        <v>0.37343555419664715</v>
      </c>
      <c r="G123" s="434">
        <f t="shared" si="29"/>
        <v>3.5238486222611255E-2</v>
      </c>
      <c r="H123" s="434">
        <f t="shared" si="23"/>
        <v>0</v>
      </c>
      <c r="I123" s="434">
        <v>0</v>
      </c>
      <c r="J123" s="127">
        <f t="shared" si="24"/>
        <v>9.4362965246889821E-2</v>
      </c>
      <c r="K123" s="126">
        <f t="shared" si="30"/>
        <v>2.4836902348187107E-3</v>
      </c>
      <c r="L123" s="41">
        <f t="shared" si="25"/>
        <v>24.999783117324341</v>
      </c>
      <c r="M123" s="41">
        <f t="shared" si="26"/>
        <v>-10.468616316083708</v>
      </c>
      <c r="N123" s="41">
        <f>(IF(C122&lt;='SOLLECITAZ NASCOSTO'!$P$12,IF(C122&lt;='SOLLECITAZ NASCOSTO'!$P$11,IF(C122&lt;='SOLLECITAZ NASCOSTO'!$P$10,IF(C122&lt;='SOLLECITAZ NASCOSTO'!$P$9,IF(C122&lt;='SOLLECITAZ NASCOSTO'!$P$8,IF(C122&lt;='SOLLECITAZ NASCOSTO'!$P$7,IF(C122&lt;='SOLLECITAZ NASCOSTO'!$P$6,IF(C122&lt;='SOLLECITAZ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paramento'!$G$111),55555)-IF(C122&lt;='SOLLECITAZ NASCOSTO'!$P$12,IF(C122&lt;='SOLLECITAZ NASCOSTO'!$P$11,IF(C122&lt;='SOLLECITAZ NASCOSTO'!$P$10,IF(C122&lt;='SOLLECITAZ NASCOSTO'!$P$9,IF(C122&lt;='SOLLECITAZ NASCOSTO'!$P$8,IF(C122&lt;='SOLLECITAZ NASCOSTO'!$P$7,IF(C122&lt;='SOLLECITAZ NASCOSTO'!$P$6,IF(C122&lt;='SOLLECITAZ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paramento'!$G$111))*(C122-IF(C122&lt;='SOLLECITAZ NASCOSTO'!$P$12,IF(C122&lt;='SOLLECITAZ NASCOSTO'!$P$11,IF(C122&lt;='SOLLECITAZ NASCOSTO'!$P$10,IF(C122&lt;='SOLLECITAZ NASCOSTO'!$P$9,IF(C122&lt;='SOLLECITAZ NASCOSTO'!$P$8,IF(C122&lt;='SOLLECITAZ NASCOSTO'!$P$7,IF(C122&lt;='SOLLECITAZ NASCOSTO'!$P$6,IF(C122&lt;='SOLLECITAZ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NASCOSTO'!$P$12))/IF(C122&lt;='SOLLECITAZ NASCOSTO'!$P$12,IF(C122&lt;='SOLLECITAZ NASCOSTO'!$P$11,IF(C122&lt;='SOLLECITAZ NASCOSTO'!$P$10,IF(C122&lt;='SOLLECITAZ NASCOSTO'!$P$9,IF(C122&lt;='SOLLECITAZ NASCOSTO'!$P$8,IF(C122&lt;='SOLLECITAZ NASCOSTO'!$P$7,IF(C122&lt;='SOLLECITAZ NASCOSTO'!$P$6,IF(C122&lt;='SOLLECITAZ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paramento'!$C$111)+IF(C122&lt;='SOLLECITAZ NASCOSTO'!$P$12,IF(C122&lt;='SOLLECITAZ NASCOSTO'!$P$11,IF(C122&lt;='SOLLECITAZ NASCOSTO'!$P$10,IF(C122&lt;='SOLLECITAZ NASCOSTO'!$P$9,IF(C122&lt;='SOLLECITAZ NASCOSTO'!$P$8,IF(C122&lt;='SOLLECITAZ NASCOSTO'!$P$7,IF(C122&lt;='SOLLECITAZ NASCOSTO'!$P$6,IF(C122&lt;='SOLLECITAZ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36.70340982513666</v>
      </c>
      <c r="O123" s="41">
        <f>IF(C123&lt;='SOLLECITAZ NASCOSTO'!$P$12,IF(C123&lt;='SOLLECITAZ NASCOSTO'!$P$11,IF(C123&lt;='SOLLECITAZ NASCOSTO'!$P$10,IF(C123&lt;='SOLLECITAZ NASCOSTO'!$P$9,IF(C123&lt;='SOLLECITAZ NASCOSTO'!$P$8,IF(C123&lt;='SOLLECITAZ NASCOSTO'!$P$7,IF(C123&lt;='SOLLECITAZ NASCOSTO'!$P$6,IF(C123&lt;='SOLLECITAZ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paramento'!$G$110),55555)*(C123-C122)/IF(C123&lt;='SOLLECITAZ NASCOSTO'!$P$12,IF(C123&lt;='SOLLECITAZ NASCOSTO'!$P$11,IF(C123&lt;='SOLLECITAZ NASCOSTO'!$P$10,IF(C123&lt;='SOLLECITAZ NASCOSTO'!$P$9,IF(C123&lt;='SOLLECITAZ NASCOSTO'!$P$8,IF(C123&lt;='SOLLECITAZ NASCOSTO'!$P$7,IF(C123&lt;='SOLLECITAZ NASCOSTO'!$P$6,IF(C123&lt;='SOLLECITAZ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23" s="41">
        <f t="shared" si="39"/>
        <v>8.9999999999999843E-5</v>
      </c>
      <c r="Q123" s="41">
        <f t="shared" si="37"/>
        <v>1</v>
      </c>
      <c r="R123" s="434">
        <f t="shared" si="31"/>
        <v>0.9913884733070677</v>
      </c>
      <c r="S123" s="45">
        <f t="shared" si="38"/>
        <v>0.9913884733070677</v>
      </c>
      <c r="T123" s="205">
        <f t="shared" si="34"/>
        <v>4.040673118953813</v>
      </c>
      <c r="U123" s="45">
        <f t="shared" si="35"/>
        <v>24.999783117324341</v>
      </c>
      <c r="V123" s="45">
        <f t="shared" si="36"/>
        <v>-10.468616316083708</v>
      </c>
      <c r="W123" s="488"/>
      <c r="X123" s="489"/>
      <c r="Y123" s="489"/>
      <c r="Z123" s="490"/>
      <c r="AA123" s="46"/>
    </row>
    <row r="124" spans="1:27" s="421" customFormat="1" x14ac:dyDescent="0.25">
      <c r="A124" s="581">
        <f t="shared" si="32"/>
        <v>0.23105694961263157</v>
      </c>
      <c r="B124" s="31">
        <f t="shared" si="22"/>
        <v>92</v>
      </c>
      <c r="C124" s="434">
        <f>'SOLLECITAZ NASCOSTO'!$D$6/'SOLLECITAZ NASCOSTO'!$B$448*'SOLLECITAZ NASCOSTO'!B124</f>
        <v>1.0022828521346179</v>
      </c>
      <c r="D124" s="434">
        <f t="shared" si="33"/>
        <v>0.35105694961263156</v>
      </c>
      <c r="E124" s="434">
        <f t="shared" si="27"/>
        <v>0.23105694961263157</v>
      </c>
      <c r="F124" s="434">
        <f t="shared" si="28"/>
        <v>0.37393822387604209</v>
      </c>
      <c r="G124" s="434">
        <f t="shared" si="29"/>
        <v>3.5414557099412117E-2</v>
      </c>
      <c r="H124" s="434">
        <f t="shared" si="23"/>
        <v>0</v>
      </c>
      <c r="I124" s="434">
        <v>0</v>
      </c>
      <c r="J124" s="127">
        <f t="shared" si="24"/>
        <v>9.4706972537666537E-2</v>
      </c>
      <c r="K124" s="126">
        <f t="shared" si="30"/>
        <v>2.5165655174070991E-3</v>
      </c>
      <c r="L124" s="41">
        <f t="shared" si="25"/>
        <v>25.403862101688457</v>
      </c>
      <c r="M124" s="41">
        <f t="shared" si="26"/>
        <v>-10.743174518736389</v>
      </c>
      <c r="N124" s="41">
        <f>(IF(C123&lt;='SOLLECITAZ NASCOSTO'!$P$12,IF(C123&lt;='SOLLECITAZ NASCOSTO'!$P$11,IF(C123&lt;='SOLLECITAZ NASCOSTO'!$P$10,IF(C123&lt;='SOLLECITAZ NASCOSTO'!$P$9,IF(C123&lt;='SOLLECITAZ NASCOSTO'!$P$8,IF(C123&lt;='SOLLECITAZ NASCOSTO'!$P$7,IF(C123&lt;='SOLLECITAZ NASCOSTO'!$P$6,IF(C123&lt;='SOLLECITAZ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paramento'!$G$111),55555)-IF(C123&lt;='SOLLECITAZ NASCOSTO'!$P$12,IF(C123&lt;='SOLLECITAZ NASCOSTO'!$P$11,IF(C123&lt;='SOLLECITAZ NASCOSTO'!$P$10,IF(C123&lt;='SOLLECITAZ NASCOSTO'!$P$9,IF(C123&lt;='SOLLECITAZ NASCOSTO'!$P$8,IF(C123&lt;='SOLLECITAZ NASCOSTO'!$P$7,IF(C123&lt;='SOLLECITAZ NASCOSTO'!$P$6,IF(C123&lt;='SOLLECITAZ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paramento'!$G$111))*(C123-IF(C123&lt;='SOLLECITAZ NASCOSTO'!$P$12,IF(C123&lt;='SOLLECITAZ NASCOSTO'!$P$11,IF(C123&lt;='SOLLECITAZ NASCOSTO'!$P$10,IF(C123&lt;='SOLLECITAZ NASCOSTO'!$P$9,IF(C123&lt;='SOLLECITAZ NASCOSTO'!$P$8,IF(C123&lt;='SOLLECITAZ NASCOSTO'!$P$7,IF(C123&lt;='SOLLECITAZ NASCOSTO'!$P$6,IF(C123&lt;='SOLLECITAZ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NASCOSTO'!$P$12))/IF(C123&lt;='SOLLECITAZ NASCOSTO'!$P$12,IF(C123&lt;='SOLLECITAZ NASCOSTO'!$P$11,IF(C123&lt;='SOLLECITAZ NASCOSTO'!$P$10,IF(C123&lt;='SOLLECITAZ NASCOSTO'!$P$9,IF(C123&lt;='SOLLECITAZ NASCOSTO'!$P$8,IF(C123&lt;='SOLLECITAZ NASCOSTO'!$P$7,IF(C123&lt;='SOLLECITAZ NASCOSTO'!$P$6,IF(C123&lt;='SOLLECITAZ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paramento'!$C$111)+IF(C123&lt;='SOLLECITAZ NASCOSTO'!$P$12,IF(C123&lt;='SOLLECITAZ NASCOSTO'!$P$11,IF(C123&lt;='SOLLECITAZ NASCOSTO'!$P$10,IF(C123&lt;='SOLLECITAZ NASCOSTO'!$P$9,IF(C123&lt;='SOLLECITAZ NASCOSTO'!$P$8,IF(C123&lt;='SOLLECITAZ NASCOSTO'!$P$7,IF(C123&lt;='SOLLECITAZ NASCOSTO'!$P$6,IF(C123&lt;='SOLLECITAZ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36.961532754586067</v>
      </c>
      <c r="O124" s="41">
        <f>IF(C124&lt;='SOLLECITAZ NASCOSTO'!$P$12,IF(C124&lt;='SOLLECITAZ NASCOSTO'!$P$11,IF(C124&lt;='SOLLECITAZ NASCOSTO'!$P$10,IF(C124&lt;='SOLLECITAZ NASCOSTO'!$P$9,IF(C124&lt;='SOLLECITAZ NASCOSTO'!$P$8,IF(C124&lt;='SOLLECITAZ NASCOSTO'!$P$7,IF(C124&lt;='SOLLECITAZ NASCOSTO'!$P$6,IF(C124&lt;='SOLLECITAZ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paramento'!$G$110),55555)*(C124-C123)/IF(C124&lt;='SOLLECITAZ NASCOSTO'!$P$12,IF(C124&lt;='SOLLECITAZ NASCOSTO'!$P$11,IF(C124&lt;='SOLLECITAZ NASCOSTO'!$P$10,IF(C124&lt;='SOLLECITAZ NASCOSTO'!$P$9,IF(C124&lt;='SOLLECITAZ NASCOSTO'!$P$8,IF(C124&lt;='SOLLECITAZ NASCOSTO'!$P$7,IF(C124&lt;='SOLLECITAZ NASCOSTO'!$P$6,IF(C124&lt;='SOLLECITAZ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24" s="41">
        <f t="shared" si="39"/>
        <v>9.099999999999984E-5</v>
      </c>
      <c r="Q124" s="41">
        <f t="shared" si="37"/>
        <v>1</v>
      </c>
      <c r="R124" s="434">
        <f t="shared" si="31"/>
        <v>1.0022828521346179</v>
      </c>
      <c r="S124" s="45">
        <f t="shared" si="38"/>
        <v>1.0022828521346179</v>
      </c>
      <c r="T124" s="205">
        <f t="shared" si="34"/>
        <v>4.0297787401262628</v>
      </c>
      <c r="U124" s="45">
        <f t="shared" si="35"/>
        <v>25.403862101688457</v>
      </c>
      <c r="V124" s="45">
        <f t="shared" si="36"/>
        <v>-10.743174518736389</v>
      </c>
      <c r="W124" s="488"/>
      <c r="X124" s="489"/>
      <c r="Y124" s="489"/>
      <c r="Z124" s="490"/>
      <c r="AA124" s="46"/>
    </row>
    <row r="125" spans="1:27" s="421" customFormat="1" x14ac:dyDescent="0.25">
      <c r="A125" s="581">
        <f t="shared" si="32"/>
        <v>0.23262779236074071</v>
      </c>
      <c r="B125" s="31">
        <f t="shared" si="22"/>
        <v>93</v>
      </c>
      <c r="C125" s="434">
        <f>'SOLLECITAZ NASCOSTO'!$D$6/'SOLLECITAZ NASCOSTO'!$B$448*'SOLLECITAZ NASCOSTO'!B125</f>
        <v>1.0131772309621681</v>
      </c>
      <c r="D125" s="434">
        <f t="shared" si="33"/>
        <v>0.35262779236074071</v>
      </c>
      <c r="E125" s="434">
        <f t="shared" si="27"/>
        <v>0.23262779236074071</v>
      </c>
      <c r="F125" s="434">
        <f t="shared" si="28"/>
        <v>0.37444089355543703</v>
      </c>
      <c r="G125" s="434">
        <f t="shared" si="29"/>
        <v>3.5591417591233548E-2</v>
      </c>
      <c r="H125" s="434">
        <f t="shared" si="23"/>
        <v>0</v>
      </c>
      <c r="I125" s="434">
        <v>0</v>
      </c>
      <c r="J125" s="127">
        <f t="shared" si="24"/>
        <v>9.5052164984656351E-2</v>
      </c>
      <c r="K125" s="126">
        <f t="shared" si="30"/>
        <v>2.5497568252747559E-3</v>
      </c>
      <c r="L125" s="41">
        <f t="shared" si="25"/>
        <v>25.810753175030069</v>
      </c>
      <c r="M125" s="41">
        <f t="shared" si="26"/>
        <v>-11.022150228902294</v>
      </c>
      <c r="N125" s="41">
        <f>(IF(C124&lt;='SOLLECITAZ NASCOSTO'!$P$12,IF(C124&lt;='SOLLECITAZ NASCOSTO'!$P$11,IF(C124&lt;='SOLLECITAZ NASCOSTO'!$P$10,IF(C124&lt;='SOLLECITAZ NASCOSTO'!$P$9,IF(C124&lt;='SOLLECITAZ NASCOSTO'!$P$8,IF(C124&lt;='SOLLECITAZ NASCOSTO'!$P$7,IF(C124&lt;='SOLLECITAZ NASCOSTO'!$P$6,IF(C124&lt;='SOLLECITAZ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paramento'!$G$111),55555)-IF(C124&lt;='SOLLECITAZ NASCOSTO'!$P$12,IF(C124&lt;='SOLLECITAZ NASCOSTO'!$P$11,IF(C124&lt;='SOLLECITAZ NASCOSTO'!$P$10,IF(C124&lt;='SOLLECITAZ NASCOSTO'!$P$9,IF(C124&lt;='SOLLECITAZ NASCOSTO'!$P$8,IF(C124&lt;='SOLLECITAZ NASCOSTO'!$P$7,IF(C124&lt;='SOLLECITAZ NASCOSTO'!$P$6,IF(C124&lt;='SOLLECITAZ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paramento'!$G$111))*(C124-IF(C124&lt;='SOLLECITAZ NASCOSTO'!$P$12,IF(C124&lt;='SOLLECITAZ NASCOSTO'!$P$11,IF(C124&lt;='SOLLECITAZ NASCOSTO'!$P$10,IF(C124&lt;='SOLLECITAZ NASCOSTO'!$P$9,IF(C124&lt;='SOLLECITAZ NASCOSTO'!$P$8,IF(C124&lt;='SOLLECITAZ NASCOSTO'!$P$7,IF(C124&lt;='SOLLECITAZ NASCOSTO'!$P$6,IF(C124&lt;='SOLLECITAZ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NASCOSTO'!$P$12))/IF(C124&lt;='SOLLECITAZ NASCOSTO'!$P$12,IF(C124&lt;='SOLLECITAZ NASCOSTO'!$P$11,IF(C124&lt;='SOLLECITAZ NASCOSTO'!$P$10,IF(C124&lt;='SOLLECITAZ NASCOSTO'!$P$9,IF(C124&lt;='SOLLECITAZ NASCOSTO'!$P$8,IF(C124&lt;='SOLLECITAZ NASCOSTO'!$P$7,IF(C124&lt;='SOLLECITAZ NASCOSTO'!$P$6,IF(C124&lt;='SOLLECITAZ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paramento'!$C$111)+IF(C124&lt;='SOLLECITAZ NASCOSTO'!$P$12,IF(C124&lt;='SOLLECITAZ NASCOSTO'!$P$11,IF(C124&lt;='SOLLECITAZ NASCOSTO'!$P$10,IF(C124&lt;='SOLLECITAZ NASCOSTO'!$P$9,IF(C124&lt;='SOLLECITAZ NASCOSTO'!$P$8,IF(C124&lt;='SOLLECITAZ NASCOSTO'!$P$7,IF(C124&lt;='SOLLECITAZ NASCOSTO'!$P$6,IF(C124&lt;='SOLLECITAZ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37.219655684035473</v>
      </c>
      <c r="O125" s="41">
        <f>IF(C125&lt;='SOLLECITAZ NASCOSTO'!$P$12,IF(C125&lt;='SOLLECITAZ NASCOSTO'!$P$11,IF(C125&lt;='SOLLECITAZ NASCOSTO'!$P$10,IF(C125&lt;='SOLLECITAZ NASCOSTO'!$P$9,IF(C125&lt;='SOLLECITAZ NASCOSTO'!$P$8,IF(C125&lt;='SOLLECITAZ NASCOSTO'!$P$7,IF(C125&lt;='SOLLECITAZ NASCOSTO'!$P$6,IF(C125&lt;='SOLLECITAZ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paramento'!$G$110),55555)*(C125-C124)/IF(C125&lt;='SOLLECITAZ NASCOSTO'!$P$12,IF(C125&lt;='SOLLECITAZ NASCOSTO'!$P$11,IF(C125&lt;='SOLLECITAZ NASCOSTO'!$P$10,IF(C125&lt;='SOLLECITAZ NASCOSTO'!$P$9,IF(C125&lt;='SOLLECITAZ NASCOSTO'!$P$8,IF(C125&lt;='SOLLECITAZ NASCOSTO'!$P$7,IF(C125&lt;='SOLLECITAZ NASCOSTO'!$P$6,IF(C125&lt;='SOLLECITAZ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25" s="41">
        <f t="shared" si="39"/>
        <v>9.1999999999999837E-5</v>
      </c>
      <c r="Q125" s="41">
        <f t="shared" si="37"/>
        <v>1</v>
      </c>
      <c r="R125" s="434">
        <f t="shared" si="31"/>
        <v>1.0131772309621681</v>
      </c>
      <c r="S125" s="45">
        <f t="shared" si="38"/>
        <v>1.0131772309621681</v>
      </c>
      <c r="T125" s="205">
        <f t="shared" si="34"/>
        <v>4.0188843612987126</v>
      </c>
      <c r="U125" s="45">
        <f t="shared" si="35"/>
        <v>25.810753175030069</v>
      </c>
      <c r="V125" s="45">
        <f t="shared" si="36"/>
        <v>-11.022150228902294</v>
      </c>
      <c r="W125" s="488"/>
      <c r="X125" s="489"/>
      <c r="Y125" s="489"/>
      <c r="Z125" s="490"/>
      <c r="AA125" s="46"/>
    </row>
    <row r="126" spans="1:27" s="421" customFormat="1" x14ac:dyDescent="0.25">
      <c r="A126" s="581">
        <f t="shared" si="32"/>
        <v>0.23419863510884986</v>
      </c>
      <c r="B126" s="31">
        <f t="shared" si="22"/>
        <v>94</v>
      </c>
      <c r="C126" s="434">
        <f>'SOLLECITAZ NASCOSTO'!$D$6/'SOLLECITAZ NASCOSTO'!$B$448*'SOLLECITAZ NASCOSTO'!B126</f>
        <v>1.0240716097897182</v>
      </c>
      <c r="D126" s="434">
        <f t="shared" si="33"/>
        <v>0.35419863510884986</v>
      </c>
      <c r="E126" s="434">
        <f t="shared" si="27"/>
        <v>0.23419863510884986</v>
      </c>
      <c r="F126" s="434">
        <f t="shared" si="28"/>
        <v>0.37494356323483197</v>
      </c>
      <c r="G126" s="434">
        <f t="shared" si="29"/>
        <v>3.5769067698075543E-2</v>
      </c>
      <c r="H126" s="434">
        <f t="shared" si="23"/>
        <v>0</v>
      </c>
      <c r="I126" s="434">
        <v>0</v>
      </c>
      <c r="J126" s="127">
        <f t="shared" si="24"/>
        <v>9.5398537821205151E-2</v>
      </c>
      <c r="K126" s="126">
        <f t="shared" si="30"/>
        <v>2.5832653631131597E-3</v>
      </c>
      <c r="L126" s="41">
        <f t="shared" si="25"/>
        <v>26.22045633734918</v>
      </c>
      <c r="M126" s="41">
        <f t="shared" si="26"/>
        <v>-11.305574082544041</v>
      </c>
      <c r="N126" s="41">
        <f>(IF(C125&lt;='SOLLECITAZ NASCOSTO'!$P$12,IF(C125&lt;='SOLLECITAZ NASCOSTO'!$P$11,IF(C125&lt;='SOLLECITAZ NASCOSTO'!$P$10,IF(C125&lt;='SOLLECITAZ NASCOSTO'!$P$9,IF(C125&lt;='SOLLECITAZ NASCOSTO'!$P$8,IF(C125&lt;='SOLLECITAZ NASCOSTO'!$P$7,IF(C125&lt;='SOLLECITAZ NASCOSTO'!$P$6,IF(C125&lt;='SOLLECITAZ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paramento'!$G$111),55555)-IF(C125&lt;='SOLLECITAZ NASCOSTO'!$P$12,IF(C125&lt;='SOLLECITAZ NASCOSTO'!$P$11,IF(C125&lt;='SOLLECITAZ NASCOSTO'!$P$10,IF(C125&lt;='SOLLECITAZ NASCOSTO'!$P$9,IF(C125&lt;='SOLLECITAZ NASCOSTO'!$P$8,IF(C125&lt;='SOLLECITAZ NASCOSTO'!$P$7,IF(C125&lt;='SOLLECITAZ NASCOSTO'!$P$6,IF(C125&lt;='SOLLECITAZ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paramento'!$G$111))*(C125-IF(C125&lt;='SOLLECITAZ NASCOSTO'!$P$12,IF(C125&lt;='SOLLECITAZ NASCOSTO'!$P$11,IF(C125&lt;='SOLLECITAZ NASCOSTO'!$P$10,IF(C125&lt;='SOLLECITAZ NASCOSTO'!$P$9,IF(C125&lt;='SOLLECITAZ NASCOSTO'!$P$8,IF(C125&lt;='SOLLECITAZ NASCOSTO'!$P$7,IF(C125&lt;='SOLLECITAZ NASCOSTO'!$P$6,IF(C125&lt;='SOLLECITAZ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NASCOSTO'!$P$12))/IF(C125&lt;='SOLLECITAZ NASCOSTO'!$P$12,IF(C125&lt;='SOLLECITAZ NASCOSTO'!$P$11,IF(C125&lt;='SOLLECITAZ NASCOSTO'!$P$10,IF(C125&lt;='SOLLECITAZ NASCOSTO'!$P$9,IF(C125&lt;='SOLLECITAZ NASCOSTO'!$P$8,IF(C125&lt;='SOLLECITAZ NASCOSTO'!$P$7,IF(C125&lt;='SOLLECITAZ NASCOSTO'!$P$6,IF(C125&lt;='SOLLECITAZ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paramento'!$C$111)+IF(C125&lt;='SOLLECITAZ NASCOSTO'!$P$12,IF(C125&lt;='SOLLECITAZ NASCOSTO'!$P$11,IF(C125&lt;='SOLLECITAZ NASCOSTO'!$P$10,IF(C125&lt;='SOLLECITAZ NASCOSTO'!$P$9,IF(C125&lt;='SOLLECITAZ NASCOSTO'!$P$8,IF(C125&lt;='SOLLECITAZ NASCOSTO'!$P$7,IF(C125&lt;='SOLLECITAZ NASCOSTO'!$P$6,IF(C125&lt;='SOLLECITAZ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37.477778613484872</v>
      </c>
      <c r="O126" s="41">
        <f>IF(C126&lt;='SOLLECITAZ NASCOSTO'!$P$12,IF(C126&lt;='SOLLECITAZ NASCOSTO'!$P$11,IF(C126&lt;='SOLLECITAZ NASCOSTO'!$P$10,IF(C126&lt;='SOLLECITAZ NASCOSTO'!$P$9,IF(C126&lt;='SOLLECITAZ NASCOSTO'!$P$8,IF(C126&lt;='SOLLECITAZ NASCOSTO'!$P$7,IF(C126&lt;='SOLLECITAZ NASCOSTO'!$P$6,IF(C126&lt;='SOLLECITAZ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paramento'!$G$110),55555)*(C126-C125)/IF(C126&lt;='SOLLECITAZ NASCOSTO'!$P$12,IF(C126&lt;='SOLLECITAZ NASCOSTO'!$P$11,IF(C126&lt;='SOLLECITAZ NASCOSTO'!$P$10,IF(C126&lt;='SOLLECITAZ NASCOSTO'!$P$9,IF(C126&lt;='SOLLECITAZ NASCOSTO'!$P$8,IF(C126&lt;='SOLLECITAZ NASCOSTO'!$P$7,IF(C126&lt;='SOLLECITAZ NASCOSTO'!$P$6,IF(C126&lt;='SOLLECITAZ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26" s="41">
        <f t="shared" si="39"/>
        <v>9.2999999999999835E-5</v>
      </c>
      <c r="Q126" s="41">
        <f t="shared" si="37"/>
        <v>1</v>
      </c>
      <c r="R126" s="434">
        <f t="shared" si="31"/>
        <v>1.0240716097897182</v>
      </c>
      <c r="S126" s="45">
        <f t="shared" si="38"/>
        <v>1.0240716097897182</v>
      </c>
      <c r="T126" s="205">
        <f t="shared" si="34"/>
        <v>4.0079899824711624</v>
      </c>
      <c r="U126" s="45">
        <f t="shared" si="35"/>
        <v>26.22045633734918</v>
      </c>
      <c r="V126" s="45">
        <f t="shared" si="36"/>
        <v>-11.305574082544041</v>
      </c>
      <c r="W126" s="488"/>
      <c r="X126" s="489"/>
      <c r="Y126" s="489"/>
      <c r="Z126" s="490"/>
      <c r="AA126" s="46"/>
    </row>
    <row r="127" spans="1:27" s="421" customFormat="1" x14ac:dyDescent="0.25">
      <c r="A127" s="581">
        <f t="shared" si="32"/>
        <v>0.23576947785695901</v>
      </c>
      <c r="B127" s="31">
        <f t="shared" ref="B127:B190" si="40">B126+1</f>
        <v>95</v>
      </c>
      <c r="C127" s="434">
        <f>'SOLLECITAZ NASCOSTO'!$D$6/'SOLLECITAZ NASCOSTO'!$B$448*'SOLLECITAZ NASCOSTO'!B127</f>
        <v>1.0349659886172684</v>
      </c>
      <c r="D127" s="434">
        <f t="shared" si="33"/>
        <v>0.355769477856959</v>
      </c>
      <c r="E127" s="434">
        <f t="shared" si="27"/>
        <v>0.23576947785695901</v>
      </c>
      <c r="F127" s="434">
        <f t="shared" si="28"/>
        <v>0.37544623291422685</v>
      </c>
      <c r="G127" s="434">
        <f t="shared" si="29"/>
        <v>3.5947507419938116E-2</v>
      </c>
      <c r="H127" s="434">
        <f t="shared" ref="H127:H190" si="41">I127*F127</f>
        <v>0</v>
      </c>
      <c r="I127" s="434">
        <v>0</v>
      </c>
      <c r="J127" s="127">
        <f t="shared" ref="J127:J190" si="42">G127/F127</f>
        <v>9.5746086306186376E-2</v>
      </c>
      <c r="K127" s="126">
        <f t="shared" si="30"/>
        <v>2.617092332483474E-3</v>
      </c>
      <c r="L127" s="41">
        <f t="shared" ref="L127:L190" si="43">L126+N127*(C127-C126)+O127*(C127-C126)/2</f>
        <v>26.632971588645791</v>
      </c>
      <c r="M127" s="41">
        <f t="shared" ref="M127:M190" si="44">M126-(L127+L126)*(C127-C126)/2</f>
        <v>-11.593476715624245</v>
      </c>
      <c r="N127" s="41">
        <f>(IF(C126&lt;='SOLLECITAZ NASCOSTO'!$P$12,IF(C126&lt;='SOLLECITAZ NASCOSTO'!$P$11,IF(C126&lt;='SOLLECITAZ NASCOSTO'!$P$10,IF(C126&lt;='SOLLECITAZ NASCOSTO'!$P$9,IF(C126&lt;='SOLLECITAZ NASCOSTO'!$P$8,IF(C126&lt;='SOLLECITAZ NASCOSTO'!$P$7,IF(C126&lt;='SOLLECITAZ NASCOSTO'!$P$6,IF(C126&lt;='SOLLECITAZ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paramento'!$G$111),55555)-IF(C126&lt;='SOLLECITAZ NASCOSTO'!$P$12,IF(C126&lt;='SOLLECITAZ NASCOSTO'!$P$11,IF(C126&lt;='SOLLECITAZ NASCOSTO'!$P$10,IF(C126&lt;='SOLLECITAZ NASCOSTO'!$P$9,IF(C126&lt;='SOLLECITAZ NASCOSTO'!$P$8,IF(C126&lt;='SOLLECITAZ NASCOSTO'!$P$7,IF(C126&lt;='SOLLECITAZ NASCOSTO'!$P$6,IF(C126&lt;='SOLLECITAZ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paramento'!$G$111))*(C126-IF(C126&lt;='SOLLECITAZ NASCOSTO'!$P$12,IF(C126&lt;='SOLLECITAZ NASCOSTO'!$P$11,IF(C126&lt;='SOLLECITAZ NASCOSTO'!$P$10,IF(C126&lt;='SOLLECITAZ NASCOSTO'!$P$9,IF(C126&lt;='SOLLECITAZ NASCOSTO'!$P$8,IF(C126&lt;='SOLLECITAZ NASCOSTO'!$P$7,IF(C126&lt;='SOLLECITAZ NASCOSTO'!$P$6,IF(C126&lt;='SOLLECITAZ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NASCOSTO'!$P$12))/IF(C126&lt;='SOLLECITAZ NASCOSTO'!$P$12,IF(C126&lt;='SOLLECITAZ NASCOSTO'!$P$11,IF(C126&lt;='SOLLECITAZ NASCOSTO'!$P$10,IF(C126&lt;='SOLLECITAZ NASCOSTO'!$P$9,IF(C126&lt;='SOLLECITAZ NASCOSTO'!$P$8,IF(C126&lt;='SOLLECITAZ NASCOSTO'!$P$7,IF(C126&lt;='SOLLECITAZ NASCOSTO'!$P$6,IF(C126&lt;='SOLLECITAZ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paramento'!$C$111)+IF(C126&lt;='SOLLECITAZ NASCOSTO'!$P$12,IF(C126&lt;='SOLLECITAZ NASCOSTO'!$P$11,IF(C126&lt;='SOLLECITAZ NASCOSTO'!$P$10,IF(C126&lt;='SOLLECITAZ NASCOSTO'!$P$9,IF(C126&lt;='SOLLECITAZ NASCOSTO'!$P$8,IF(C126&lt;='SOLLECITAZ NASCOSTO'!$P$7,IF(C126&lt;='SOLLECITAZ NASCOSTO'!$P$6,IF(C126&lt;='SOLLECITAZ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37.735901542934286</v>
      </c>
      <c r="O127" s="41">
        <f>IF(C127&lt;='SOLLECITAZ NASCOSTO'!$P$12,IF(C127&lt;='SOLLECITAZ NASCOSTO'!$P$11,IF(C127&lt;='SOLLECITAZ NASCOSTO'!$P$10,IF(C127&lt;='SOLLECITAZ NASCOSTO'!$P$9,IF(C127&lt;='SOLLECITAZ NASCOSTO'!$P$8,IF(C127&lt;='SOLLECITAZ NASCOSTO'!$P$7,IF(C127&lt;='SOLLECITAZ NASCOSTO'!$P$6,IF(C127&lt;='SOLLECITAZ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paramento'!$G$110),55555)*(C127-C126)/IF(C127&lt;='SOLLECITAZ NASCOSTO'!$P$12,IF(C127&lt;='SOLLECITAZ NASCOSTO'!$P$11,IF(C127&lt;='SOLLECITAZ NASCOSTO'!$P$10,IF(C127&lt;='SOLLECITAZ NASCOSTO'!$P$9,IF(C127&lt;='SOLLECITAZ NASCOSTO'!$P$8,IF(C127&lt;='SOLLECITAZ NASCOSTO'!$P$7,IF(C127&lt;='SOLLECITAZ NASCOSTO'!$P$6,IF(C127&lt;='SOLLECITAZ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27" s="41">
        <f t="shared" si="39"/>
        <v>9.3999999999999832E-5</v>
      </c>
      <c r="Q127" s="41">
        <f t="shared" si="37"/>
        <v>1</v>
      </c>
      <c r="R127" s="434">
        <f t="shared" si="31"/>
        <v>1.0349659886172684</v>
      </c>
      <c r="S127" s="45">
        <f t="shared" si="38"/>
        <v>1.0349659886172684</v>
      </c>
      <c r="T127" s="205">
        <f t="shared" si="34"/>
        <v>3.9970956036436123</v>
      </c>
      <c r="U127" s="45">
        <f t="shared" si="35"/>
        <v>26.632971588645791</v>
      </c>
      <c r="V127" s="45">
        <f t="shared" si="36"/>
        <v>-11.593476715624245</v>
      </c>
      <c r="W127" s="488"/>
      <c r="X127" s="489"/>
      <c r="Y127" s="489"/>
      <c r="Z127" s="490"/>
      <c r="AA127" s="46"/>
    </row>
    <row r="128" spans="1:27" s="421" customFormat="1" x14ac:dyDescent="0.25">
      <c r="A128" s="581">
        <f t="shared" si="32"/>
        <v>0.23734032060506821</v>
      </c>
      <c r="B128" s="31">
        <f t="shared" si="40"/>
        <v>96</v>
      </c>
      <c r="C128" s="434">
        <f>'SOLLECITAZ NASCOSTO'!$D$6/'SOLLECITAZ NASCOSTO'!$B$448*'SOLLECITAZ NASCOSTO'!B128</f>
        <v>1.0458603674448188</v>
      </c>
      <c r="D128" s="434">
        <f t="shared" si="33"/>
        <v>0.35734032060506821</v>
      </c>
      <c r="E128" s="434">
        <f t="shared" si="27"/>
        <v>0.23734032060506821</v>
      </c>
      <c r="F128" s="434">
        <f t="shared" si="28"/>
        <v>0.37594890259362179</v>
      </c>
      <c r="G128" s="434">
        <f t="shared" si="29"/>
        <v>3.6126736756821265E-2</v>
      </c>
      <c r="H128" s="434">
        <f t="shared" si="41"/>
        <v>0</v>
      </c>
      <c r="I128" s="434">
        <v>0</v>
      </c>
      <c r="J128" s="127">
        <f t="shared" si="42"/>
        <v>9.6094805723830237E-2</v>
      </c>
      <c r="K128" s="126">
        <f t="shared" si="30"/>
        <v>2.6512389318374793E-3</v>
      </c>
      <c r="L128" s="41">
        <f t="shared" si="43"/>
        <v>27.048298928919909</v>
      </c>
      <c r="M128" s="41">
        <f t="shared" si="44"/>
        <v>-11.885888764105532</v>
      </c>
      <c r="N128" s="41">
        <f>(IF(C127&lt;='SOLLECITAZ NASCOSTO'!$P$12,IF(C127&lt;='SOLLECITAZ NASCOSTO'!$P$11,IF(C127&lt;='SOLLECITAZ NASCOSTO'!$P$10,IF(C127&lt;='SOLLECITAZ NASCOSTO'!$P$9,IF(C127&lt;='SOLLECITAZ NASCOSTO'!$P$8,IF(C127&lt;='SOLLECITAZ NASCOSTO'!$P$7,IF(C127&lt;='SOLLECITAZ NASCOSTO'!$P$6,IF(C127&lt;='SOLLECITAZ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paramento'!$G$111),55555)-IF(C127&lt;='SOLLECITAZ NASCOSTO'!$P$12,IF(C127&lt;='SOLLECITAZ NASCOSTO'!$P$11,IF(C127&lt;='SOLLECITAZ NASCOSTO'!$P$10,IF(C127&lt;='SOLLECITAZ NASCOSTO'!$P$9,IF(C127&lt;='SOLLECITAZ NASCOSTO'!$P$8,IF(C127&lt;='SOLLECITAZ NASCOSTO'!$P$7,IF(C127&lt;='SOLLECITAZ NASCOSTO'!$P$6,IF(C127&lt;='SOLLECITAZ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paramento'!$G$111))*(C127-IF(C127&lt;='SOLLECITAZ NASCOSTO'!$P$12,IF(C127&lt;='SOLLECITAZ NASCOSTO'!$P$11,IF(C127&lt;='SOLLECITAZ NASCOSTO'!$P$10,IF(C127&lt;='SOLLECITAZ NASCOSTO'!$P$9,IF(C127&lt;='SOLLECITAZ NASCOSTO'!$P$8,IF(C127&lt;='SOLLECITAZ NASCOSTO'!$P$7,IF(C127&lt;='SOLLECITAZ NASCOSTO'!$P$6,IF(C127&lt;='SOLLECITAZ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NASCOSTO'!$P$12))/IF(C127&lt;='SOLLECITAZ NASCOSTO'!$P$12,IF(C127&lt;='SOLLECITAZ NASCOSTO'!$P$11,IF(C127&lt;='SOLLECITAZ NASCOSTO'!$P$10,IF(C127&lt;='SOLLECITAZ NASCOSTO'!$P$9,IF(C127&lt;='SOLLECITAZ NASCOSTO'!$P$8,IF(C127&lt;='SOLLECITAZ NASCOSTO'!$P$7,IF(C127&lt;='SOLLECITAZ NASCOSTO'!$P$6,IF(C127&lt;='SOLLECITAZ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paramento'!$C$111)+IF(C127&lt;='SOLLECITAZ NASCOSTO'!$P$12,IF(C127&lt;='SOLLECITAZ NASCOSTO'!$P$11,IF(C127&lt;='SOLLECITAZ NASCOSTO'!$P$10,IF(C127&lt;='SOLLECITAZ NASCOSTO'!$P$9,IF(C127&lt;='SOLLECITAZ NASCOSTO'!$P$8,IF(C127&lt;='SOLLECITAZ NASCOSTO'!$P$7,IF(C127&lt;='SOLLECITAZ NASCOSTO'!$P$6,IF(C127&lt;='SOLLECITAZ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37.994024472383686</v>
      </c>
      <c r="O128" s="41">
        <f>IF(C128&lt;='SOLLECITAZ NASCOSTO'!$P$12,IF(C128&lt;='SOLLECITAZ NASCOSTO'!$P$11,IF(C128&lt;='SOLLECITAZ NASCOSTO'!$P$10,IF(C128&lt;='SOLLECITAZ NASCOSTO'!$P$9,IF(C128&lt;='SOLLECITAZ NASCOSTO'!$P$8,IF(C128&lt;='SOLLECITAZ NASCOSTO'!$P$7,IF(C128&lt;='SOLLECITAZ NASCOSTO'!$P$6,IF(C128&lt;='SOLLECITAZ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paramento'!$G$110),55555)*(C128-C127)/IF(C128&lt;='SOLLECITAZ NASCOSTO'!$P$12,IF(C128&lt;='SOLLECITAZ NASCOSTO'!$P$11,IF(C128&lt;='SOLLECITAZ NASCOSTO'!$P$10,IF(C128&lt;='SOLLECITAZ NASCOSTO'!$P$9,IF(C128&lt;='SOLLECITAZ NASCOSTO'!$P$8,IF(C128&lt;='SOLLECITAZ NASCOSTO'!$P$7,IF(C128&lt;='SOLLECITAZ NASCOSTO'!$P$6,IF(C128&lt;='SOLLECITAZ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0.25812292944941068</v>
      </c>
      <c r="P128" s="41">
        <f t="shared" si="39"/>
        <v>9.4999999999999829E-5</v>
      </c>
      <c r="Q128" s="41">
        <f t="shared" si="37"/>
        <v>1</v>
      </c>
      <c r="R128" s="434">
        <f t="shared" si="31"/>
        <v>1.0458603674448188</v>
      </c>
      <c r="S128" s="45">
        <f t="shared" si="38"/>
        <v>1.0458603674448188</v>
      </c>
      <c r="T128" s="205">
        <f t="shared" si="34"/>
        <v>3.9862012248160621</v>
      </c>
      <c r="U128" s="45">
        <f t="shared" si="35"/>
        <v>27.048298928919909</v>
      </c>
      <c r="V128" s="45">
        <f t="shared" si="36"/>
        <v>-11.885888764105532</v>
      </c>
      <c r="W128" s="488"/>
      <c r="X128" s="489"/>
      <c r="Y128" s="489"/>
      <c r="Z128" s="490"/>
      <c r="AA128" s="46"/>
    </row>
    <row r="129" spans="1:27" s="421" customFormat="1" x14ac:dyDescent="0.25">
      <c r="A129" s="581">
        <f t="shared" si="32"/>
        <v>0.23891116335317736</v>
      </c>
      <c r="B129" s="31">
        <f t="shared" si="40"/>
        <v>97</v>
      </c>
      <c r="C129" s="434">
        <f>'SOLLECITAZ NASCOSTO'!$D$6/'SOLLECITAZ NASCOSTO'!$B$448*'SOLLECITAZ NASCOSTO'!B129</f>
        <v>1.056754746272369</v>
      </c>
      <c r="D129" s="434">
        <f t="shared" si="33"/>
        <v>0.35891116335317735</v>
      </c>
      <c r="E129" s="434">
        <f t="shared" si="27"/>
        <v>0.23891116335317736</v>
      </c>
      <c r="F129" s="434">
        <f t="shared" si="28"/>
        <v>0.37645157227301673</v>
      </c>
      <c r="G129" s="434">
        <f t="shared" si="29"/>
        <v>3.6306755708724985E-2</v>
      </c>
      <c r="H129" s="434">
        <f t="shared" si="41"/>
        <v>0</v>
      </c>
      <c r="I129" s="434">
        <v>0</v>
      </c>
      <c r="J129" s="127">
        <f t="shared" si="42"/>
        <v>9.6444691383554562E-2</v>
      </c>
      <c r="K129" s="126">
        <f t="shared" si="30"/>
        <v>2.6857063565383288E-3</v>
      </c>
      <c r="L129" s="41">
        <f t="shared" si="43"/>
        <v>27.466438358171519</v>
      </c>
      <c r="M129" s="41">
        <f t="shared" si="44"/>
        <v>-12.182840863950506</v>
      </c>
      <c r="N129" s="41">
        <f>(IF(C128&lt;='SOLLECITAZ NASCOSTO'!$P$12,IF(C128&lt;='SOLLECITAZ NASCOSTO'!$P$11,IF(C128&lt;='SOLLECITAZ NASCOSTO'!$P$10,IF(C128&lt;='SOLLECITAZ NASCOSTO'!$P$9,IF(C128&lt;='SOLLECITAZ NASCOSTO'!$P$8,IF(C128&lt;='SOLLECITAZ NASCOSTO'!$P$7,IF(C128&lt;='SOLLECITAZ NASCOSTO'!$P$6,IF(C128&lt;='SOLLECITAZ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paramento'!$G$111),55555)-IF(C128&lt;='SOLLECITAZ NASCOSTO'!$P$12,IF(C128&lt;='SOLLECITAZ NASCOSTO'!$P$11,IF(C128&lt;='SOLLECITAZ NASCOSTO'!$P$10,IF(C128&lt;='SOLLECITAZ NASCOSTO'!$P$9,IF(C128&lt;='SOLLECITAZ NASCOSTO'!$P$8,IF(C128&lt;='SOLLECITAZ NASCOSTO'!$P$7,IF(C128&lt;='SOLLECITAZ NASCOSTO'!$P$6,IF(C128&lt;='SOLLECITAZ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paramento'!$G$111))*(C128-IF(C128&lt;='SOLLECITAZ NASCOSTO'!$P$12,IF(C128&lt;='SOLLECITAZ NASCOSTO'!$P$11,IF(C128&lt;='SOLLECITAZ NASCOSTO'!$P$10,IF(C128&lt;='SOLLECITAZ NASCOSTO'!$P$9,IF(C128&lt;='SOLLECITAZ NASCOSTO'!$P$8,IF(C128&lt;='SOLLECITAZ NASCOSTO'!$P$7,IF(C128&lt;='SOLLECITAZ NASCOSTO'!$P$6,IF(C128&lt;='SOLLECITAZ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NASCOSTO'!$P$12))/IF(C128&lt;='SOLLECITAZ NASCOSTO'!$P$12,IF(C128&lt;='SOLLECITAZ NASCOSTO'!$P$11,IF(C128&lt;='SOLLECITAZ NASCOSTO'!$P$10,IF(C128&lt;='SOLLECITAZ NASCOSTO'!$P$9,IF(C128&lt;='SOLLECITAZ NASCOSTO'!$P$8,IF(C128&lt;='SOLLECITAZ NASCOSTO'!$P$7,IF(C128&lt;='SOLLECITAZ NASCOSTO'!$P$6,IF(C128&lt;='SOLLECITAZ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paramento'!$C$111)+IF(C128&lt;='SOLLECITAZ NASCOSTO'!$P$12,IF(C128&lt;='SOLLECITAZ NASCOSTO'!$P$11,IF(C128&lt;='SOLLECITAZ NASCOSTO'!$P$10,IF(C128&lt;='SOLLECITAZ NASCOSTO'!$P$9,IF(C128&lt;='SOLLECITAZ NASCOSTO'!$P$8,IF(C128&lt;='SOLLECITAZ NASCOSTO'!$P$7,IF(C128&lt;='SOLLECITAZ NASCOSTO'!$P$6,IF(C128&lt;='SOLLECITAZ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38.252147401833099</v>
      </c>
      <c r="O129" s="41">
        <f>IF(C129&lt;='SOLLECITAZ NASCOSTO'!$P$12,IF(C129&lt;='SOLLECITAZ NASCOSTO'!$P$11,IF(C129&lt;='SOLLECITAZ NASCOSTO'!$P$10,IF(C129&lt;='SOLLECITAZ NASCOSTO'!$P$9,IF(C129&lt;='SOLLECITAZ NASCOSTO'!$P$8,IF(C129&lt;='SOLLECITAZ NASCOSTO'!$P$7,IF(C129&lt;='SOLLECITAZ NASCOSTO'!$P$6,IF(C129&lt;='SOLLECITAZ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paramento'!$G$110),55555)*(C129-C128)/IF(C129&lt;='SOLLECITAZ NASCOSTO'!$P$12,IF(C129&lt;='SOLLECITAZ NASCOSTO'!$P$11,IF(C129&lt;='SOLLECITAZ NASCOSTO'!$P$10,IF(C129&lt;='SOLLECITAZ NASCOSTO'!$P$9,IF(C129&lt;='SOLLECITAZ NASCOSTO'!$P$8,IF(C129&lt;='SOLLECITAZ NASCOSTO'!$P$7,IF(C129&lt;='SOLLECITAZ NASCOSTO'!$P$6,IF(C129&lt;='SOLLECITAZ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29" s="41">
        <f t="shared" si="39"/>
        <v>9.5999999999999826E-5</v>
      </c>
      <c r="Q129" s="41">
        <f t="shared" si="37"/>
        <v>1</v>
      </c>
      <c r="R129" s="434">
        <f t="shared" si="31"/>
        <v>1.056754746272369</v>
      </c>
      <c r="S129" s="45">
        <f t="shared" si="38"/>
        <v>1.056754746272369</v>
      </c>
      <c r="T129" s="205">
        <f t="shared" si="34"/>
        <v>3.9753068459885119</v>
      </c>
      <c r="U129" s="45">
        <f t="shared" si="35"/>
        <v>27.466438358171519</v>
      </c>
      <c r="V129" s="45">
        <f t="shared" si="36"/>
        <v>-12.182840863950506</v>
      </c>
      <c r="W129" s="488"/>
      <c r="X129" s="489"/>
      <c r="Y129" s="489"/>
      <c r="Z129" s="490"/>
      <c r="AA129" s="46"/>
    </row>
    <row r="130" spans="1:27" s="421" customFormat="1" x14ac:dyDescent="0.25">
      <c r="A130" s="581">
        <f t="shared" si="32"/>
        <v>0.24048200610128656</v>
      </c>
      <c r="B130" s="31">
        <f t="shared" si="40"/>
        <v>98</v>
      </c>
      <c r="C130" s="434">
        <f>'SOLLECITAZ NASCOSTO'!$D$6/'SOLLECITAZ NASCOSTO'!$B$448*'SOLLECITAZ NASCOSTO'!B130</f>
        <v>1.0676491250999192</v>
      </c>
      <c r="D130" s="434">
        <f t="shared" si="33"/>
        <v>0.36048200610128656</v>
      </c>
      <c r="E130" s="434">
        <f t="shared" si="27"/>
        <v>0.24048200610128656</v>
      </c>
      <c r="F130" s="434">
        <f t="shared" si="28"/>
        <v>0.37695424195241167</v>
      </c>
      <c r="G130" s="434">
        <f t="shared" si="29"/>
        <v>3.6487564275649281E-2</v>
      </c>
      <c r="H130" s="434">
        <f t="shared" si="41"/>
        <v>0</v>
      </c>
      <c r="I130" s="434">
        <v>0</v>
      </c>
      <c r="J130" s="127">
        <f t="shared" si="42"/>
        <v>9.6795738619796803E-2</v>
      </c>
      <c r="K130" s="126">
        <f t="shared" si="30"/>
        <v>2.7204957988811482E-3</v>
      </c>
      <c r="L130" s="41">
        <f t="shared" si="43"/>
        <v>27.887389876400626</v>
      </c>
      <c r="M130" s="41">
        <f t="shared" si="44"/>
        <v>-12.484363651121793</v>
      </c>
      <c r="N130" s="41">
        <f>(IF(C129&lt;='SOLLECITAZ NASCOSTO'!$P$12,IF(C129&lt;='SOLLECITAZ NASCOSTO'!$P$11,IF(C129&lt;='SOLLECITAZ NASCOSTO'!$P$10,IF(C129&lt;='SOLLECITAZ NASCOSTO'!$P$9,IF(C129&lt;='SOLLECITAZ NASCOSTO'!$P$8,IF(C129&lt;='SOLLECITAZ NASCOSTO'!$P$7,IF(C129&lt;='SOLLECITAZ NASCOSTO'!$P$6,IF(C129&lt;='SOLLECITAZ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paramento'!$G$111),55555)-IF(C129&lt;='SOLLECITAZ NASCOSTO'!$P$12,IF(C129&lt;='SOLLECITAZ NASCOSTO'!$P$11,IF(C129&lt;='SOLLECITAZ NASCOSTO'!$P$10,IF(C129&lt;='SOLLECITAZ NASCOSTO'!$P$9,IF(C129&lt;='SOLLECITAZ NASCOSTO'!$P$8,IF(C129&lt;='SOLLECITAZ NASCOSTO'!$P$7,IF(C129&lt;='SOLLECITAZ NASCOSTO'!$P$6,IF(C129&lt;='SOLLECITAZ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paramento'!$G$111))*(C129-IF(C129&lt;='SOLLECITAZ NASCOSTO'!$P$12,IF(C129&lt;='SOLLECITAZ NASCOSTO'!$P$11,IF(C129&lt;='SOLLECITAZ NASCOSTO'!$P$10,IF(C129&lt;='SOLLECITAZ NASCOSTO'!$P$9,IF(C129&lt;='SOLLECITAZ NASCOSTO'!$P$8,IF(C129&lt;='SOLLECITAZ NASCOSTO'!$P$7,IF(C129&lt;='SOLLECITAZ NASCOSTO'!$P$6,IF(C129&lt;='SOLLECITAZ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NASCOSTO'!$P$12))/IF(C129&lt;='SOLLECITAZ NASCOSTO'!$P$12,IF(C129&lt;='SOLLECITAZ NASCOSTO'!$P$11,IF(C129&lt;='SOLLECITAZ NASCOSTO'!$P$10,IF(C129&lt;='SOLLECITAZ NASCOSTO'!$P$9,IF(C129&lt;='SOLLECITAZ NASCOSTO'!$P$8,IF(C129&lt;='SOLLECITAZ NASCOSTO'!$P$7,IF(C129&lt;='SOLLECITAZ NASCOSTO'!$P$6,IF(C129&lt;='SOLLECITAZ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paramento'!$C$111)+IF(C129&lt;='SOLLECITAZ NASCOSTO'!$P$12,IF(C129&lt;='SOLLECITAZ NASCOSTO'!$P$11,IF(C129&lt;='SOLLECITAZ NASCOSTO'!$P$10,IF(C129&lt;='SOLLECITAZ NASCOSTO'!$P$9,IF(C129&lt;='SOLLECITAZ NASCOSTO'!$P$8,IF(C129&lt;='SOLLECITAZ NASCOSTO'!$P$7,IF(C129&lt;='SOLLECITAZ NASCOSTO'!$P$6,IF(C129&lt;='SOLLECITAZ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38.510270331282506</v>
      </c>
      <c r="O130" s="41">
        <f>IF(C130&lt;='SOLLECITAZ NASCOSTO'!$P$12,IF(C130&lt;='SOLLECITAZ NASCOSTO'!$P$11,IF(C130&lt;='SOLLECITAZ NASCOSTO'!$P$10,IF(C130&lt;='SOLLECITAZ NASCOSTO'!$P$9,IF(C130&lt;='SOLLECITAZ NASCOSTO'!$P$8,IF(C130&lt;='SOLLECITAZ NASCOSTO'!$P$7,IF(C130&lt;='SOLLECITAZ NASCOSTO'!$P$6,IF(C130&lt;='SOLLECITAZ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paramento'!$G$110),55555)*(C130-C129)/IF(C130&lt;='SOLLECITAZ NASCOSTO'!$P$12,IF(C130&lt;='SOLLECITAZ NASCOSTO'!$P$11,IF(C130&lt;='SOLLECITAZ NASCOSTO'!$P$10,IF(C130&lt;='SOLLECITAZ NASCOSTO'!$P$9,IF(C130&lt;='SOLLECITAZ NASCOSTO'!$P$8,IF(C130&lt;='SOLLECITAZ NASCOSTO'!$P$7,IF(C130&lt;='SOLLECITAZ NASCOSTO'!$P$6,IF(C130&lt;='SOLLECITAZ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30" s="41">
        <f t="shared" si="39"/>
        <v>9.6999999999999823E-5</v>
      </c>
      <c r="Q130" s="41">
        <f t="shared" si="37"/>
        <v>1</v>
      </c>
      <c r="R130" s="434">
        <f t="shared" si="31"/>
        <v>1.0676491250999192</v>
      </c>
      <c r="S130" s="45">
        <f t="shared" si="38"/>
        <v>1.0676491250999192</v>
      </c>
      <c r="T130" s="205">
        <f t="shared" si="34"/>
        <v>3.9644124671609617</v>
      </c>
      <c r="U130" s="45">
        <f t="shared" si="35"/>
        <v>27.887389876400626</v>
      </c>
      <c r="V130" s="45">
        <f t="shared" si="36"/>
        <v>-12.484363651121793</v>
      </c>
      <c r="W130" s="488"/>
      <c r="X130" s="489"/>
      <c r="Y130" s="489"/>
      <c r="Z130" s="490"/>
      <c r="AA130" s="46"/>
    </row>
    <row r="131" spans="1:27" s="421" customFormat="1" x14ac:dyDescent="0.25">
      <c r="A131" s="581">
        <f t="shared" si="32"/>
        <v>0.24205284884939571</v>
      </c>
      <c r="B131" s="31">
        <f t="shared" si="40"/>
        <v>99</v>
      </c>
      <c r="C131" s="434">
        <f>'SOLLECITAZ NASCOSTO'!$D$6/'SOLLECITAZ NASCOSTO'!$B$448*'SOLLECITAZ NASCOSTO'!B131</f>
        <v>1.0785435039274693</v>
      </c>
      <c r="D131" s="434">
        <f t="shared" si="33"/>
        <v>0.3620528488493957</v>
      </c>
      <c r="E131" s="434">
        <f t="shared" si="27"/>
        <v>0.24205284884939571</v>
      </c>
      <c r="F131" s="434">
        <f t="shared" si="28"/>
        <v>0.37745691163180661</v>
      </c>
      <c r="G131" s="434">
        <f t="shared" si="29"/>
        <v>3.6669162457594134E-2</v>
      </c>
      <c r="H131" s="434">
        <f t="shared" si="41"/>
        <v>0</v>
      </c>
      <c r="I131" s="434">
        <v>0</v>
      </c>
      <c r="J131" s="127">
        <f t="shared" si="42"/>
        <v>9.7147942791847366E-2</v>
      </c>
      <c r="K131" s="126">
        <f t="shared" si="30"/>
        <v>2.7556084481134553E-3</v>
      </c>
      <c r="L131" s="41">
        <f t="shared" si="43"/>
        <v>28.311153483607232</v>
      </c>
      <c r="M131" s="41">
        <f t="shared" si="44"/>
        <v>-12.790487761582009</v>
      </c>
      <c r="N131" s="41">
        <f>(IF(C130&lt;='SOLLECITAZ NASCOSTO'!$P$12,IF(C130&lt;='SOLLECITAZ NASCOSTO'!$P$11,IF(C130&lt;='SOLLECITAZ NASCOSTO'!$P$10,IF(C130&lt;='SOLLECITAZ NASCOSTO'!$P$9,IF(C130&lt;='SOLLECITAZ NASCOSTO'!$P$8,IF(C130&lt;='SOLLECITAZ NASCOSTO'!$P$7,IF(C130&lt;='SOLLECITAZ NASCOSTO'!$P$6,IF(C130&lt;='SOLLECITAZ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paramento'!$G$111),55555)-IF(C130&lt;='SOLLECITAZ NASCOSTO'!$P$12,IF(C130&lt;='SOLLECITAZ NASCOSTO'!$P$11,IF(C130&lt;='SOLLECITAZ NASCOSTO'!$P$10,IF(C130&lt;='SOLLECITAZ NASCOSTO'!$P$9,IF(C130&lt;='SOLLECITAZ NASCOSTO'!$P$8,IF(C130&lt;='SOLLECITAZ NASCOSTO'!$P$7,IF(C130&lt;='SOLLECITAZ NASCOSTO'!$P$6,IF(C130&lt;='SOLLECITAZ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paramento'!$G$111))*(C130-IF(C130&lt;='SOLLECITAZ NASCOSTO'!$P$12,IF(C130&lt;='SOLLECITAZ NASCOSTO'!$P$11,IF(C130&lt;='SOLLECITAZ NASCOSTO'!$P$10,IF(C130&lt;='SOLLECITAZ NASCOSTO'!$P$9,IF(C130&lt;='SOLLECITAZ NASCOSTO'!$P$8,IF(C130&lt;='SOLLECITAZ NASCOSTO'!$P$7,IF(C130&lt;='SOLLECITAZ NASCOSTO'!$P$6,IF(C130&lt;='SOLLECITAZ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NASCOSTO'!$P$12))/IF(C130&lt;='SOLLECITAZ NASCOSTO'!$P$12,IF(C130&lt;='SOLLECITAZ NASCOSTO'!$P$11,IF(C130&lt;='SOLLECITAZ NASCOSTO'!$P$10,IF(C130&lt;='SOLLECITAZ NASCOSTO'!$P$9,IF(C130&lt;='SOLLECITAZ NASCOSTO'!$P$8,IF(C130&lt;='SOLLECITAZ NASCOSTO'!$P$7,IF(C130&lt;='SOLLECITAZ NASCOSTO'!$P$6,IF(C130&lt;='SOLLECITAZ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paramento'!$C$111)+IF(C130&lt;='SOLLECITAZ NASCOSTO'!$P$12,IF(C130&lt;='SOLLECITAZ NASCOSTO'!$P$11,IF(C130&lt;='SOLLECITAZ NASCOSTO'!$P$10,IF(C130&lt;='SOLLECITAZ NASCOSTO'!$P$9,IF(C130&lt;='SOLLECITAZ NASCOSTO'!$P$8,IF(C130&lt;='SOLLECITAZ NASCOSTO'!$P$7,IF(C130&lt;='SOLLECITAZ NASCOSTO'!$P$6,IF(C130&lt;='SOLLECITAZ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38.768393260731912</v>
      </c>
      <c r="O131" s="41">
        <f>IF(C131&lt;='SOLLECITAZ NASCOSTO'!$P$12,IF(C131&lt;='SOLLECITAZ NASCOSTO'!$P$11,IF(C131&lt;='SOLLECITAZ NASCOSTO'!$P$10,IF(C131&lt;='SOLLECITAZ NASCOSTO'!$P$9,IF(C131&lt;='SOLLECITAZ NASCOSTO'!$P$8,IF(C131&lt;='SOLLECITAZ NASCOSTO'!$P$7,IF(C131&lt;='SOLLECITAZ NASCOSTO'!$P$6,IF(C131&lt;='SOLLECITAZ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paramento'!$G$110),55555)*(C131-C130)/IF(C131&lt;='SOLLECITAZ NASCOSTO'!$P$12,IF(C131&lt;='SOLLECITAZ NASCOSTO'!$P$11,IF(C131&lt;='SOLLECITAZ NASCOSTO'!$P$10,IF(C131&lt;='SOLLECITAZ NASCOSTO'!$P$9,IF(C131&lt;='SOLLECITAZ NASCOSTO'!$P$8,IF(C131&lt;='SOLLECITAZ NASCOSTO'!$P$7,IF(C131&lt;='SOLLECITAZ NASCOSTO'!$P$6,IF(C131&lt;='SOLLECITAZ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31" s="41">
        <f t="shared" si="39"/>
        <v>9.7999999999999821E-5</v>
      </c>
      <c r="Q131" s="41">
        <f t="shared" si="37"/>
        <v>1</v>
      </c>
      <c r="R131" s="434">
        <f t="shared" si="31"/>
        <v>1.0785435039274693</v>
      </c>
      <c r="S131" s="45">
        <f t="shared" si="38"/>
        <v>1.0785435039274693</v>
      </c>
      <c r="T131" s="205">
        <f t="shared" si="34"/>
        <v>3.9535180883334116</v>
      </c>
      <c r="U131" s="45">
        <f t="shared" si="35"/>
        <v>28.311153483607232</v>
      </c>
      <c r="V131" s="45">
        <f t="shared" si="36"/>
        <v>-12.790487761582009</v>
      </c>
      <c r="W131" s="488"/>
      <c r="X131" s="489"/>
      <c r="Y131" s="489"/>
      <c r="Z131" s="490"/>
      <c r="AA131" s="46"/>
    </row>
    <row r="132" spans="1:27" s="421" customFormat="1" x14ac:dyDescent="0.25">
      <c r="A132" s="581">
        <f t="shared" si="32"/>
        <v>0.24362369159750485</v>
      </c>
      <c r="B132" s="31">
        <f t="shared" si="40"/>
        <v>100</v>
      </c>
      <c r="C132" s="434">
        <f>'SOLLECITAZ NASCOSTO'!$D$6/'SOLLECITAZ NASCOSTO'!$B$448*'SOLLECITAZ NASCOSTO'!B132</f>
        <v>1.0894378827550195</v>
      </c>
      <c r="D132" s="434">
        <f t="shared" si="33"/>
        <v>0.36362369159750485</v>
      </c>
      <c r="E132" s="434">
        <f t="shared" si="27"/>
        <v>0.24362369159750485</v>
      </c>
      <c r="F132" s="434">
        <f t="shared" si="28"/>
        <v>0.37795958131120155</v>
      </c>
      <c r="G132" s="434">
        <f t="shared" si="29"/>
        <v>3.6851550254559565E-2</v>
      </c>
      <c r="H132" s="434">
        <f t="shared" si="41"/>
        <v>0</v>
      </c>
      <c r="I132" s="434">
        <v>0</v>
      </c>
      <c r="J132" s="127">
        <f t="shared" si="42"/>
        <v>9.7501299283684534E-2</v>
      </c>
      <c r="K132" s="126">
        <f t="shared" si="30"/>
        <v>2.7910454904554348E-3</v>
      </c>
      <c r="L132" s="41">
        <f t="shared" si="43"/>
        <v>28.737729179791337</v>
      </c>
      <c r="M132" s="41">
        <f t="shared" si="44"/>
        <v>-13.10124383129377</v>
      </c>
      <c r="N132" s="41">
        <f>(IF(C131&lt;='SOLLECITAZ NASCOSTO'!$P$12,IF(C131&lt;='SOLLECITAZ NASCOSTO'!$P$11,IF(C131&lt;='SOLLECITAZ NASCOSTO'!$P$10,IF(C131&lt;='SOLLECITAZ NASCOSTO'!$P$9,IF(C131&lt;='SOLLECITAZ NASCOSTO'!$P$8,IF(C131&lt;='SOLLECITAZ NASCOSTO'!$P$7,IF(C131&lt;='SOLLECITAZ NASCOSTO'!$P$6,IF(C131&lt;='SOLLECITAZ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paramento'!$G$111),55555)-IF(C131&lt;='SOLLECITAZ NASCOSTO'!$P$12,IF(C131&lt;='SOLLECITAZ NASCOSTO'!$P$11,IF(C131&lt;='SOLLECITAZ NASCOSTO'!$P$10,IF(C131&lt;='SOLLECITAZ NASCOSTO'!$P$9,IF(C131&lt;='SOLLECITAZ NASCOSTO'!$P$8,IF(C131&lt;='SOLLECITAZ NASCOSTO'!$P$7,IF(C131&lt;='SOLLECITAZ NASCOSTO'!$P$6,IF(C131&lt;='SOLLECITAZ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paramento'!$G$111))*(C131-IF(C131&lt;='SOLLECITAZ NASCOSTO'!$P$12,IF(C131&lt;='SOLLECITAZ NASCOSTO'!$P$11,IF(C131&lt;='SOLLECITAZ NASCOSTO'!$P$10,IF(C131&lt;='SOLLECITAZ NASCOSTO'!$P$9,IF(C131&lt;='SOLLECITAZ NASCOSTO'!$P$8,IF(C131&lt;='SOLLECITAZ NASCOSTO'!$P$7,IF(C131&lt;='SOLLECITAZ NASCOSTO'!$P$6,IF(C131&lt;='SOLLECITAZ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NASCOSTO'!$P$12))/IF(C131&lt;='SOLLECITAZ NASCOSTO'!$P$12,IF(C131&lt;='SOLLECITAZ NASCOSTO'!$P$11,IF(C131&lt;='SOLLECITAZ NASCOSTO'!$P$10,IF(C131&lt;='SOLLECITAZ NASCOSTO'!$P$9,IF(C131&lt;='SOLLECITAZ NASCOSTO'!$P$8,IF(C131&lt;='SOLLECITAZ NASCOSTO'!$P$7,IF(C131&lt;='SOLLECITAZ NASCOSTO'!$P$6,IF(C131&lt;='SOLLECITAZ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paramento'!$C$111)+IF(C131&lt;='SOLLECITAZ NASCOSTO'!$P$12,IF(C131&lt;='SOLLECITAZ NASCOSTO'!$P$11,IF(C131&lt;='SOLLECITAZ NASCOSTO'!$P$10,IF(C131&lt;='SOLLECITAZ NASCOSTO'!$P$9,IF(C131&lt;='SOLLECITAZ NASCOSTO'!$P$8,IF(C131&lt;='SOLLECITAZ NASCOSTO'!$P$7,IF(C131&lt;='SOLLECITAZ NASCOSTO'!$P$6,IF(C131&lt;='SOLLECITAZ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39.026516190181312</v>
      </c>
      <c r="O132" s="41">
        <f>IF(C132&lt;='SOLLECITAZ NASCOSTO'!$P$12,IF(C132&lt;='SOLLECITAZ NASCOSTO'!$P$11,IF(C132&lt;='SOLLECITAZ NASCOSTO'!$P$10,IF(C132&lt;='SOLLECITAZ NASCOSTO'!$P$9,IF(C132&lt;='SOLLECITAZ NASCOSTO'!$P$8,IF(C132&lt;='SOLLECITAZ NASCOSTO'!$P$7,IF(C132&lt;='SOLLECITAZ NASCOSTO'!$P$6,IF(C132&lt;='SOLLECITAZ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paramento'!$G$110),55555)*(C132-C131)/IF(C132&lt;='SOLLECITAZ NASCOSTO'!$P$12,IF(C132&lt;='SOLLECITAZ NASCOSTO'!$P$11,IF(C132&lt;='SOLLECITAZ NASCOSTO'!$P$10,IF(C132&lt;='SOLLECITAZ NASCOSTO'!$P$9,IF(C132&lt;='SOLLECITAZ NASCOSTO'!$P$8,IF(C132&lt;='SOLLECITAZ NASCOSTO'!$P$7,IF(C132&lt;='SOLLECITAZ NASCOSTO'!$P$6,IF(C132&lt;='SOLLECITAZ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32" s="41">
        <f t="shared" si="39"/>
        <v>9.8999999999999818E-5</v>
      </c>
      <c r="Q132" s="41">
        <f t="shared" si="37"/>
        <v>1</v>
      </c>
      <c r="R132" s="434">
        <f t="shared" si="31"/>
        <v>1.0894378827550195</v>
      </c>
      <c r="S132" s="45">
        <f t="shared" si="38"/>
        <v>1.0894378827550195</v>
      </c>
      <c r="T132" s="205">
        <f t="shared" si="34"/>
        <v>3.9426237095058614</v>
      </c>
      <c r="U132" s="45">
        <f t="shared" si="35"/>
        <v>28.737729179791337</v>
      </c>
      <c r="V132" s="45">
        <f t="shared" si="36"/>
        <v>-13.10124383129377</v>
      </c>
      <c r="W132" s="488"/>
      <c r="X132" s="489"/>
      <c r="Y132" s="489"/>
      <c r="Z132" s="490"/>
      <c r="AA132" s="46"/>
    </row>
    <row r="133" spans="1:27" s="421" customFormat="1" x14ac:dyDescent="0.25">
      <c r="A133" s="581">
        <f t="shared" si="32"/>
        <v>0.245194534345614</v>
      </c>
      <c r="B133" s="31">
        <f t="shared" si="40"/>
        <v>101</v>
      </c>
      <c r="C133" s="434">
        <f>'SOLLECITAZ NASCOSTO'!$D$6/'SOLLECITAZ NASCOSTO'!$B$448*'SOLLECITAZ NASCOSTO'!B133</f>
        <v>1.1003322615825697</v>
      </c>
      <c r="D133" s="434">
        <f t="shared" si="33"/>
        <v>0.365194534345614</v>
      </c>
      <c r="E133" s="434">
        <f t="shared" si="27"/>
        <v>0.245194534345614</v>
      </c>
      <c r="F133" s="434">
        <f t="shared" si="28"/>
        <v>0.37846225099059649</v>
      </c>
      <c r="G133" s="434">
        <f t="shared" si="29"/>
        <v>3.7034727666545572E-2</v>
      </c>
      <c r="H133" s="434">
        <f t="shared" si="41"/>
        <v>0</v>
      </c>
      <c r="I133" s="434">
        <v>0</v>
      </c>
      <c r="J133" s="127">
        <f t="shared" si="42"/>
        <v>9.7855803503810374E-2</v>
      </c>
      <c r="K133" s="126">
        <f t="shared" si="30"/>
        <v>2.8268081091200399E-3</v>
      </c>
      <c r="L133" s="41">
        <f t="shared" si="43"/>
        <v>29.167116964952942</v>
      </c>
      <c r="M133" s="41">
        <f t="shared" si="44"/>
        <v>-13.416662496219697</v>
      </c>
      <c r="N133" s="41">
        <f>(IF(C132&lt;='SOLLECITAZ NASCOSTO'!$P$12,IF(C132&lt;='SOLLECITAZ NASCOSTO'!$P$11,IF(C132&lt;='SOLLECITAZ NASCOSTO'!$P$10,IF(C132&lt;='SOLLECITAZ NASCOSTO'!$P$9,IF(C132&lt;='SOLLECITAZ NASCOSTO'!$P$8,IF(C132&lt;='SOLLECITAZ NASCOSTO'!$P$7,IF(C132&lt;='SOLLECITAZ NASCOSTO'!$P$6,IF(C132&lt;='SOLLECITAZ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paramento'!$G$111),55555)-IF(C132&lt;='SOLLECITAZ NASCOSTO'!$P$12,IF(C132&lt;='SOLLECITAZ NASCOSTO'!$P$11,IF(C132&lt;='SOLLECITAZ NASCOSTO'!$P$10,IF(C132&lt;='SOLLECITAZ NASCOSTO'!$P$9,IF(C132&lt;='SOLLECITAZ NASCOSTO'!$P$8,IF(C132&lt;='SOLLECITAZ NASCOSTO'!$P$7,IF(C132&lt;='SOLLECITAZ NASCOSTO'!$P$6,IF(C132&lt;='SOLLECITAZ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paramento'!$G$111))*(C132-IF(C132&lt;='SOLLECITAZ NASCOSTO'!$P$12,IF(C132&lt;='SOLLECITAZ NASCOSTO'!$P$11,IF(C132&lt;='SOLLECITAZ NASCOSTO'!$P$10,IF(C132&lt;='SOLLECITAZ NASCOSTO'!$P$9,IF(C132&lt;='SOLLECITAZ NASCOSTO'!$P$8,IF(C132&lt;='SOLLECITAZ NASCOSTO'!$P$7,IF(C132&lt;='SOLLECITAZ NASCOSTO'!$P$6,IF(C132&lt;='SOLLECITAZ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NASCOSTO'!$P$12))/IF(C132&lt;='SOLLECITAZ NASCOSTO'!$P$12,IF(C132&lt;='SOLLECITAZ NASCOSTO'!$P$11,IF(C132&lt;='SOLLECITAZ NASCOSTO'!$P$10,IF(C132&lt;='SOLLECITAZ NASCOSTO'!$P$9,IF(C132&lt;='SOLLECITAZ NASCOSTO'!$P$8,IF(C132&lt;='SOLLECITAZ NASCOSTO'!$P$7,IF(C132&lt;='SOLLECITAZ NASCOSTO'!$P$6,IF(C132&lt;='SOLLECITAZ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paramento'!$C$111)+IF(C132&lt;='SOLLECITAZ NASCOSTO'!$P$12,IF(C132&lt;='SOLLECITAZ NASCOSTO'!$P$11,IF(C132&lt;='SOLLECITAZ NASCOSTO'!$P$10,IF(C132&lt;='SOLLECITAZ NASCOSTO'!$P$9,IF(C132&lt;='SOLLECITAZ NASCOSTO'!$P$8,IF(C132&lt;='SOLLECITAZ NASCOSTO'!$P$7,IF(C132&lt;='SOLLECITAZ NASCOSTO'!$P$6,IF(C132&lt;='SOLLECITAZ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39.284639119630718</v>
      </c>
      <c r="O133" s="41">
        <f>IF(C133&lt;='SOLLECITAZ NASCOSTO'!$P$12,IF(C133&lt;='SOLLECITAZ NASCOSTO'!$P$11,IF(C133&lt;='SOLLECITAZ NASCOSTO'!$P$10,IF(C133&lt;='SOLLECITAZ NASCOSTO'!$P$9,IF(C133&lt;='SOLLECITAZ NASCOSTO'!$P$8,IF(C133&lt;='SOLLECITAZ NASCOSTO'!$P$7,IF(C133&lt;='SOLLECITAZ NASCOSTO'!$P$6,IF(C133&lt;='SOLLECITAZ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paramento'!$G$110),55555)*(C133-C132)/IF(C133&lt;='SOLLECITAZ NASCOSTO'!$P$12,IF(C133&lt;='SOLLECITAZ NASCOSTO'!$P$11,IF(C133&lt;='SOLLECITAZ NASCOSTO'!$P$10,IF(C133&lt;='SOLLECITAZ NASCOSTO'!$P$9,IF(C133&lt;='SOLLECITAZ NASCOSTO'!$P$8,IF(C133&lt;='SOLLECITAZ NASCOSTO'!$P$7,IF(C133&lt;='SOLLECITAZ NASCOSTO'!$P$6,IF(C133&lt;='SOLLECITAZ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33" s="41">
        <f t="shared" si="39"/>
        <v>9.9999999999999815E-5</v>
      </c>
      <c r="Q133" s="41">
        <f t="shared" si="37"/>
        <v>1</v>
      </c>
      <c r="R133" s="434">
        <f t="shared" si="31"/>
        <v>1.1003322615825697</v>
      </c>
      <c r="S133" s="45">
        <f t="shared" si="38"/>
        <v>1.1003322615825697</v>
      </c>
      <c r="T133" s="205">
        <f t="shared" si="34"/>
        <v>3.9317293306783112</v>
      </c>
      <c r="U133" s="45">
        <f t="shared" si="35"/>
        <v>29.167116964952942</v>
      </c>
      <c r="V133" s="45">
        <f t="shared" si="36"/>
        <v>-13.416662496219697</v>
      </c>
      <c r="W133" s="488"/>
      <c r="X133" s="489"/>
      <c r="Y133" s="489"/>
      <c r="Z133" s="490"/>
      <c r="AA133" s="46"/>
    </row>
    <row r="134" spans="1:27" s="421" customFormat="1" x14ac:dyDescent="0.25">
      <c r="A134" s="581">
        <f t="shared" si="32"/>
        <v>0.24676537709372315</v>
      </c>
      <c r="B134" s="31">
        <f t="shared" si="40"/>
        <v>102</v>
      </c>
      <c r="C134" s="434">
        <f>'SOLLECITAZ NASCOSTO'!$D$6/'SOLLECITAZ NASCOSTO'!$B$448*'SOLLECITAZ NASCOSTO'!B134</f>
        <v>1.1112266404101199</v>
      </c>
      <c r="D134" s="434">
        <f t="shared" si="33"/>
        <v>0.36676537709372314</v>
      </c>
      <c r="E134" s="434">
        <f t="shared" si="27"/>
        <v>0.24676537709372315</v>
      </c>
      <c r="F134" s="434">
        <f t="shared" si="28"/>
        <v>0.37896492066999138</v>
      </c>
      <c r="G134" s="434">
        <f t="shared" si="29"/>
        <v>3.7218694693552143E-2</v>
      </c>
      <c r="H134" s="434">
        <f t="shared" si="41"/>
        <v>0</v>
      </c>
      <c r="I134" s="434">
        <v>0</v>
      </c>
      <c r="J134" s="127">
        <f t="shared" si="42"/>
        <v>9.8211450885088036E-2</v>
      </c>
      <c r="K134" s="126">
        <f t="shared" si="30"/>
        <v>2.862897484332935E-3</v>
      </c>
      <c r="L134" s="41">
        <f t="shared" si="43"/>
        <v>29.599316839092044</v>
      </c>
      <c r="M134" s="41">
        <f t="shared" si="44"/>
        <v>-13.736774392322406</v>
      </c>
      <c r="N134" s="41">
        <f>(IF(C133&lt;='SOLLECITAZ NASCOSTO'!$P$12,IF(C133&lt;='SOLLECITAZ NASCOSTO'!$P$11,IF(C133&lt;='SOLLECITAZ NASCOSTO'!$P$10,IF(C133&lt;='SOLLECITAZ NASCOSTO'!$P$9,IF(C133&lt;='SOLLECITAZ NASCOSTO'!$P$8,IF(C133&lt;='SOLLECITAZ NASCOSTO'!$P$7,IF(C133&lt;='SOLLECITAZ NASCOSTO'!$P$6,IF(C133&lt;='SOLLECITAZ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paramento'!$G$111),55555)-IF(C133&lt;='SOLLECITAZ NASCOSTO'!$P$12,IF(C133&lt;='SOLLECITAZ NASCOSTO'!$P$11,IF(C133&lt;='SOLLECITAZ NASCOSTO'!$P$10,IF(C133&lt;='SOLLECITAZ NASCOSTO'!$P$9,IF(C133&lt;='SOLLECITAZ NASCOSTO'!$P$8,IF(C133&lt;='SOLLECITAZ NASCOSTO'!$P$7,IF(C133&lt;='SOLLECITAZ NASCOSTO'!$P$6,IF(C133&lt;='SOLLECITAZ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paramento'!$G$111))*(C133-IF(C133&lt;='SOLLECITAZ NASCOSTO'!$P$12,IF(C133&lt;='SOLLECITAZ NASCOSTO'!$P$11,IF(C133&lt;='SOLLECITAZ NASCOSTO'!$P$10,IF(C133&lt;='SOLLECITAZ NASCOSTO'!$P$9,IF(C133&lt;='SOLLECITAZ NASCOSTO'!$P$8,IF(C133&lt;='SOLLECITAZ NASCOSTO'!$P$7,IF(C133&lt;='SOLLECITAZ NASCOSTO'!$P$6,IF(C133&lt;='SOLLECITAZ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NASCOSTO'!$P$12))/IF(C133&lt;='SOLLECITAZ NASCOSTO'!$P$12,IF(C133&lt;='SOLLECITAZ NASCOSTO'!$P$11,IF(C133&lt;='SOLLECITAZ NASCOSTO'!$P$10,IF(C133&lt;='SOLLECITAZ NASCOSTO'!$P$9,IF(C133&lt;='SOLLECITAZ NASCOSTO'!$P$8,IF(C133&lt;='SOLLECITAZ NASCOSTO'!$P$7,IF(C133&lt;='SOLLECITAZ NASCOSTO'!$P$6,IF(C133&lt;='SOLLECITAZ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paramento'!$C$111)+IF(C133&lt;='SOLLECITAZ NASCOSTO'!$P$12,IF(C133&lt;='SOLLECITAZ NASCOSTO'!$P$11,IF(C133&lt;='SOLLECITAZ NASCOSTO'!$P$10,IF(C133&lt;='SOLLECITAZ NASCOSTO'!$P$9,IF(C133&lt;='SOLLECITAZ NASCOSTO'!$P$8,IF(C133&lt;='SOLLECITAZ NASCOSTO'!$P$7,IF(C133&lt;='SOLLECITAZ NASCOSTO'!$P$6,IF(C133&lt;='SOLLECITAZ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39.542762049080125</v>
      </c>
      <c r="O134" s="41">
        <f>IF(C134&lt;='SOLLECITAZ NASCOSTO'!$P$12,IF(C134&lt;='SOLLECITAZ NASCOSTO'!$P$11,IF(C134&lt;='SOLLECITAZ NASCOSTO'!$P$10,IF(C134&lt;='SOLLECITAZ NASCOSTO'!$P$9,IF(C134&lt;='SOLLECITAZ NASCOSTO'!$P$8,IF(C134&lt;='SOLLECITAZ NASCOSTO'!$P$7,IF(C134&lt;='SOLLECITAZ NASCOSTO'!$P$6,IF(C134&lt;='SOLLECITAZ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paramento'!$G$110),55555)*(C134-C133)/IF(C134&lt;='SOLLECITAZ NASCOSTO'!$P$12,IF(C134&lt;='SOLLECITAZ NASCOSTO'!$P$11,IF(C134&lt;='SOLLECITAZ NASCOSTO'!$P$10,IF(C134&lt;='SOLLECITAZ NASCOSTO'!$P$9,IF(C134&lt;='SOLLECITAZ NASCOSTO'!$P$8,IF(C134&lt;='SOLLECITAZ NASCOSTO'!$P$7,IF(C134&lt;='SOLLECITAZ NASCOSTO'!$P$6,IF(C134&lt;='SOLLECITAZ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34" s="41">
        <f t="shared" si="39"/>
        <v>1.0099999999999981E-4</v>
      </c>
      <c r="Q134" s="41">
        <f t="shared" si="37"/>
        <v>1</v>
      </c>
      <c r="R134" s="434">
        <f t="shared" si="31"/>
        <v>1.1112266404101199</v>
      </c>
      <c r="S134" s="45">
        <f t="shared" si="38"/>
        <v>1.1112266404101199</v>
      </c>
      <c r="T134" s="205">
        <f t="shared" si="34"/>
        <v>3.920834951850761</v>
      </c>
      <c r="U134" s="45">
        <f t="shared" si="35"/>
        <v>29.599316839092044</v>
      </c>
      <c r="V134" s="45">
        <f t="shared" si="36"/>
        <v>-13.736774392322406</v>
      </c>
      <c r="W134" s="488"/>
      <c r="X134" s="489"/>
      <c r="Y134" s="489"/>
      <c r="Z134" s="490"/>
      <c r="AA134" s="46"/>
    </row>
    <row r="135" spans="1:27" s="421" customFormat="1" x14ac:dyDescent="0.25">
      <c r="A135" s="581">
        <f t="shared" si="32"/>
        <v>0.2483362198418323</v>
      </c>
      <c r="B135" s="31">
        <f t="shared" si="40"/>
        <v>103</v>
      </c>
      <c r="C135" s="434">
        <f>'SOLLECITAZ NASCOSTO'!$D$6/'SOLLECITAZ NASCOSTO'!$B$448*'SOLLECITAZ NASCOSTO'!B135</f>
        <v>1.12212101923767</v>
      </c>
      <c r="D135" s="434">
        <f t="shared" si="33"/>
        <v>0.36833621984183229</v>
      </c>
      <c r="E135" s="434">
        <f t="shared" si="27"/>
        <v>0.2483362198418323</v>
      </c>
      <c r="F135" s="434">
        <f t="shared" si="28"/>
        <v>0.37946759034938632</v>
      </c>
      <c r="G135" s="434">
        <f t="shared" si="29"/>
        <v>3.7403451335579291E-2</v>
      </c>
      <c r="H135" s="434">
        <f t="shared" si="41"/>
        <v>0</v>
      </c>
      <c r="I135" s="434">
        <v>0</v>
      </c>
      <c r="J135" s="127">
        <f t="shared" si="42"/>
        <v>9.8568236884580565E-2</v>
      </c>
      <c r="K135" s="126">
        <f t="shared" si="30"/>
        <v>2.8993147933522798E-3</v>
      </c>
      <c r="L135" s="41">
        <f t="shared" si="43"/>
        <v>30.034328802208645</v>
      </c>
      <c r="M135" s="41">
        <f t="shared" si="44"/>
        <v>-14.061610155564514</v>
      </c>
      <c r="N135" s="41">
        <f>(IF(C134&lt;='SOLLECITAZ NASCOSTO'!$P$12,IF(C134&lt;='SOLLECITAZ NASCOSTO'!$P$11,IF(C134&lt;='SOLLECITAZ NASCOSTO'!$P$10,IF(C134&lt;='SOLLECITAZ NASCOSTO'!$P$9,IF(C134&lt;='SOLLECITAZ NASCOSTO'!$P$8,IF(C134&lt;='SOLLECITAZ NASCOSTO'!$P$7,IF(C134&lt;='SOLLECITAZ NASCOSTO'!$P$6,IF(C134&lt;='SOLLECITAZ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paramento'!$G$111),55555)-IF(C134&lt;='SOLLECITAZ NASCOSTO'!$P$12,IF(C134&lt;='SOLLECITAZ NASCOSTO'!$P$11,IF(C134&lt;='SOLLECITAZ NASCOSTO'!$P$10,IF(C134&lt;='SOLLECITAZ NASCOSTO'!$P$9,IF(C134&lt;='SOLLECITAZ NASCOSTO'!$P$8,IF(C134&lt;='SOLLECITAZ NASCOSTO'!$P$7,IF(C134&lt;='SOLLECITAZ NASCOSTO'!$P$6,IF(C134&lt;='SOLLECITAZ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paramento'!$G$111))*(C134-IF(C134&lt;='SOLLECITAZ NASCOSTO'!$P$12,IF(C134&lt;='SOLLECITAZ NASCOSTO'!$P$11,IF(C134&lt;='SOLLECITAZ NASCOSTO'!$P$10,IF(C134&lt;='SOLLECITAZ NASCOSTO'!$P$9,IF(C134&lt;='SOLLECITAZ NASCOSTO'!$P$8,IF(C134&lt;='SOLLECITAZ NASCOSTO'!$P$7,IF(C134&lt;='SOLLECITAZ NASCOSTO'!$P$6,IF(C134&lt;='SOLLECITAZ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NASCOSTO'!$P$12))/IF(C134&lt;='SOLLECITAZ NASCOSTO'!$P$12,IF(C134&lt;='SOLLECITAZ NASCOSTO'!$P$11,IF(C134&lt;='SOLLECITAZ NASCOSTO'!$P$10,IF(C134&lt;='SOLLECITAZ NASCOSTO'!$P$9,IF(C134&lt;='SOLLECITAZ NASCOSTO'!$P$8,IF(C134&lt;='SOLLECITAZ NASCOSTO'!$P$7,IF(C134&lt;='SOLLECITAZ NASCOSTO'!$P$6,IF(C134&lt;='SOLLECITAZ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paramento'!$C$111)+IF(C134&lt;='SOLLECITAZ NASCOSTO'!$P$12,IF(C134&lt;='SOLLECITAZ NASCOSTO'!$P$11,IF(C134&lt;='SOLLECITAZ NASCOSTO'!$P$10,IF(C134&lt;='SOLLECITAZ NASCOSTO'!$P$9,IF(C134&lt;='SOLLECITAZ NASCOSTO'!$P$8,IF(C134&lt;='SOLLECITAZ NASCOSTO'!$P$7,IF(C134&lt;='SOLLECITAZ NASCOSTO'!$P$6,IF(C134&lt;='SOLLECITAZ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39.800884978529524</v>
      </c>
      <c r="O135" s="41">
        <f>IF(C135&lt;='SOLLECITAZ NASCOSTO'!$P$12,IF(C135&lt;='SOLLECITAZ NASCOSTO'!$P$11,IF(C135&lt;='SOLLECITAZ NASCOSTO'!$P$10,IF(C135&lt;='SOLLECITAZ NASCOSTO'!$P$9,IF(C135&lt;='SOLLECITAZ NASCOSTO'!$P$8,IF(C135&lt;='SOLLECITAZ NASCOSTO'!$P$7,IF(C135&lt;='SOLLECITAZ NASCOSTO'!$P$6,IF(C135&lt;='SOLLECITAZ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paramento'!$G$110),55555)*(C135-C134)/IF(C135&lt;='SOLLECITAZ NASCOSTO'!$P$12,IF(C135&lt;='SOLLECITAZ NASCOSTO'!$P$11,IF(C135&lt;='SOLLECITAZ NASCOSTO'!$P$10,IF(C135&lt;='SOLLECITAZ NASCOSTO'!$P$9,IF(C135&lt;='SOLLECITAZ NASCOSTO'!$P$8,IF(C135&lt;='SOLLECITAZ NASCOSTO'!$P$7,IF(C135&lt;='SOLLECITAZ NASCOSTO'!$P$6,IF(C135&lt;='SOLLECITAZ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35" s="41">
        <f t="shared" si="39"/>
        <v>1.0199999999999981E-4</v>
      </c>
      <c r="Q135" s="41">
        <f t="shared" si="37"/>
        <v>1</v>
      </c>
      <c r="R135" s="434">
        <f t="shared" si="31"/>
        <v>1.12212101923767</v>
      </c>
      <c r="S135" s="45">
        <f t="shared" si="38"/>
        <v>1.12212101923767</v>
      </c>
      <c r="T135" s="205">
        <f t="shared" si="34"/>
        <v>3.9099405730232109</v>
      </c>
      <c r="U135" s="45">
        <f t="shared" si="35"/>
        <v>30.034328802208645</v>
      </c>
      <c r="V135" s="45">
        <f t="shared" si="36"/>
        <v>-14.061610155564514</v>
      </c>
      <c r="W135" s="488"/>
      <c r="X135" s="489"/>
      <c r="Y135" s="489"/>
      <c r="Z135" s="490"/>
      <c r="AA135" s="46"/>
    </row>
    <row r="136" spans="1:27" s="421" customFormat="1" x14ac:dyDescent="0.25">
      <c r="A136" s="581">
        <f t="shared" si="32"/>
        <v>0.24990706258994144</v>
      </c>
      <c r="B136" s="31">
        <f t="shared" si="40"/>
        <v>104</v>
      </c>
      <c r="C136" s="434">
        <f>'SOLLECITAZ NASCOSTO'!$D$6/'SOLLECITAZ NASCOSTO'!$B$448*'SOLLECITAZ NASCOSTO'!B136</f>
        <v>1.1330153980652202</v>
      </c>
      <c r="D136" s="434">
        <f t="shared" si="33"/>
        <v>0.36990706258994144</v>
      </c>
      <c r="E136" s="434">
        <f t="shared" si="27"/>
        <v>0.24990706258994144</v>
      </c>
      <c r="F136" s="434">
        <f t="shared" si="28"/>
        <v>0.37997026002878126</v>
      </c>
      <c r="G136" s="434">
        <f t="shared" si="29"/>
        <v>3.7588997592627016E-2</v>
      </c>
      <c r="H136" s="434">
        <f t="shared" si="41"/>
        <v>0</v>
      </c>
      <c r="I136" s="434">
        <v>0</v>
      </c>
      <c r="J136" s="127">
        <f t="shared" si="42"/>
        <v>9.8926156983390745E-2</v>
      </c>
      <c r="K136" s="126">
        <f t="shared" si="30"/>
        <v>2.9360612104883626E-3</v>
      </c>
      <c r="L136" s="41">
        <f t="shared" si="43"/>
        <v>30.472152854302745</v>
      </c>
      <c r="M136" s="41">
        <f t="shared" si="44"/>
        <v>-14.391200421908639</v>
      </c>
      <c r="N136" s="41">
        <f>(IF(C135&lt;='SOLLECITAZ NASCOSTO'!$P$12,IF(C135&lt;='SOLLECITAZ NASCOSTO'!$P$11,IF(C135&lt;='SOLLECITAZ NASCOSTO'!$P$10,IF(C135&lt;='SOLLECITAZ NASCOSTO'!$P$9,IF(C135&lt;='SOLLECITAZ NASCOSTO'!$P$8,IF(C135&lt;='SOLLECITAZ NASCOSTO'!$P$7,IF(C135&lt;='SOLLECITAZ NASCOSTO'!$P$6,IF(C135&lt;='SOLLECITAZ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paramento'!$G$111),55555)-IF(C135&lt;='SOLLECITAZ NASCOSTO'!$P$12,IF(C135&lt;='SOLLECITAZ NASCOSTO'!$P$11,IF(C135&lt;='SOLLECITAZ NASCOSTO'!$P$10,IF(C135&lt;='SOLLECITAZ NASCOSTO'!$P$9,IF(C135&lt;='SOLLECITAZ NASCOSTO'!$P$8,IF(C135&lt;='SOLLECITAZ NASCOSTO'!$P$7,IF(C135&lt;='SOLLECITAZ NASCOSTO'!$P$6,IF(C135&lt;='SOLLECITAZ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paramento'!$G$111))*(C135-IF(C135&lt;='SOLLECITAZ NASCOSTO'!$P$12,IF(C135&lt;='SOLLECITAZ NASCOSTO'!$P$11,IF(C135&lt;='SOLLECITAZ NASCOSTO'!$P$10,IF(C135&lt;='SOLLECITAZ NASCOSTO'!$P$9,IF(C135&lt;='SOLLECITAZ NASCOSTO'!$P$8,IF(C135&lt;='SOLLECITAZ NASCOSTO'!$P$7,IF(C135&lt;='SOLLECITAZ NASCOSTO'!$P$6,IF(C135&lt;='SOLLECITAZ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NASCOSTO'!$P$12))/IF(C135&lt;='SOLLECITAZ NASCOSTO'!$P$12,IF(C135&lt;='SOLLECITAZ NASCOSTO'!$P$11,IF(C135&lt;='SOLLECITAZ NASCOSTO'!$P$10,IF(C135&lt;='SOLLECITAZ NASCOSTO'!$P$9,IF(C135&lt;='SOLLECITAZ NASCOSTO'!$P$8,IF(C135&lt;='SOLLECITAZ NASCOSTO'!$P$7,IF(C135&lt;='SOLLECITAZ NASCOSTO'!$P$6,IF(C135&lt;='SOLLECITAZ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paramento'!$C$111)+IF(C135&lt;='SOLLECITAZ NASCOSTO'!$P$12,IF(C135&lt;='SOLLECITAZ NASCOSTO'!$P$11,IF(C135&lt;='SOLLECITAZ NASCOSTO'!$P$10,IF(C135&lt;='SOLLECITAZ NASCOSTO'!$P$9,IF(C135&lt;='SOLLECITAZ NASCOSTO'!$P$8,IF(C135&lt;='SOLLECITAZ NASCOSTO'!$P$7,IF(C135&lt;='SOLLECITAZ NASCOSTO'!$P$6,IF(C135&lt;='SOLLECITAZ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40.059007907978938</v>
      </c>
      <c r="O136" s="41">
        <f>IF(C136&lt;='SOLLECITAZ NASCOSTO'!$P$12,IF(C136&lt;='SOLLECITAZ NASCOSTO'!$P$11,IF(C136&lt;='SOLLECITAZ NASCOSTO'!$P$10,IF(C136&lt;='SOLLECITAZ NASCOSTO'!$P$9,IF(C136&lt;='SOLLECITAZ NASCOSTO'!$P$8,IF(C136&lt;='SOLLECITAZ NASCOSTO'!$P$7,IF(C136&lt;='SOLLECITAZ NASCOSTO'!$P$6,IF(C136&lt;='SOLLECITAZ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paramento'!$G$110),55555)*(C136-C135)/IF(C136&lt;='SOLLECITAZ NASCOSTO'!$P$12,IF(C136&lt;='SOLLECITAZ NASCOSTO'!$P$11,IF(C136&lt;='SOLLECITAZ NASCOSTO'!$P$10,IF(C136&lt;='SOLLECITAZ NASCOSTO'!$P$9,IF(C136&lt;='SOLLECITAZ NASCOSTO'!$P$8,IF(C136&lt;='SOLLECITAZ NASCOSTO'!$P$7,IF(C136&lt;='SOLLECITAZ NASCOSTO'!$P$6,IF(C136&lt;='SOLLECITAZ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36" s="41">
        <f t="shared" si="39"/>
        <v>1.0299999999999981E-4</v>
      </c>
      <c r="Q136" s="41">
        <f t="shared" si="37"/>
        <v>1</v>
      </c>
      <c r="R136" s="434">
        <f t="shared" si="31"/>
        <v>1.1330153980652202</v>
      </c>
      <c r="S136" s="45">
        <f t="shared" si="38"/>
        <v>1.1330153980652202</v>
      </c>
      <c r="T136" s="205">
        <f t="shared" si="34"/>
        <v>3.8990461941956607</v>
      </c>
      <c r="U136" s="45">
        <f t="shared" si="35"/>
        <v>30.472152854302745</v>
      </c>
      <c r="V136" s="45">
        <f t="shared" si="36"/>
        <v>-14.391200421908639</v>
      </c>
      <c r="W136" s="488"/>
      <c r="X136" s="489"/>
      <c r="Y136" s="489"/>
      <c r="Z136" s="490"/>
      <c r="AA136" s="46"/>
    </row>
    <row r="137" spans="1:27" s="421" customFormat="1" x14ac:dyDescent="0.25">
      <c r="A137" s="581">
        <f t="shared" si="32"/>
        <v>0.25147790533805064</v>
      </c>
      <c r="B137" s="31">
        <f t="shared" si="40"/>
        <v>105</v>
      </c>
      <c r="C137" s="434">
        <f>'SOLLECITAZ NASCOSTO'!$D$6/'SOLLECITAZ NASCOSTO'!$B$448*'SOLLECITAZ NASCOSTO'!B137</f>
        <v>1.1439097768927704</v>
      </c>
      <c r="D137" s="434">
        <f t="shared" si="33"/>
        <v>0.37147790533805064</v>
      </c>
      <c r="E137" s="434">
        <f t="shared" si="27"/>
        <v>0.25147790533805064</v>
      </c>
      <c r="F137" s="434">
        <f t="shared" si="28"/>
        <v>0.3804729297081762</v>
      </c>
      <c r="G137" s="434">
        <f t="shared" si="29"/>
        <v>3.7775333464695318E-2</v>
      </c>
      <c r="H137" s="434">
        <f t="shared" si="41"/>
        <v>0</v>
      </c>
      <c r="I137" s="434">
        <v>0</v>
      </c>
      <c r="J137" s="127">
        <f t="shared" si="42"/>
        <v>9.9285206686502259E-2</v>
      </c>
      <c r="K137" s="126">
        <f t="shared" si="30"/>
        <v>2.9731379071230735E-3</v>
      </c>
      <c r="L137" s="41">
        <f t="shared" si="43"/>
        <v>30.912788995374346</v>
      </c>
      <c r="M137" s="41">
        <f t="shared" si="44"/>
        <v>-14.7255758273174</v>
      </c>
      <c r="N137" s="41">
        <f>(IF(C136&lt;='SOLLECITAZ NASCOSTO'!$P$12,IF(C136&lt;='SOLLECITAZ NASCOSTO'!$P$11,IF(C136&lt;='SOLLECITAZ NASCOSTO'!$P$10,IF(C136&lt;='SOLLECITAZ NASCOSTO'!$P$9,IF(C136&lt;='SOLLECITAZ NASCOSTO'!$P$8,IF(C136&lt;='SOLLECITAZ NASCOSTO'!$P$7,IF(C136&lt;='SOLLECITAZ NASCOSTO'!$P$6,IF(C136&lt;='SOLLECITAZ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paramento'!$G$111),55555)-IF(C136&lt;='SOLLECITAZ NASCOSTO'!$P$12,IF(C136&lt;='SOLLECITAZ NASCOSTO'!$P$11,IF(C136&lt;='SOLLECITAZ NASCOSTO'!$P$10,IF(C136&lt;='SOLLECITAZ NASCOSTO'!$P$9,IF(C136&lt;='SOLLECITAZ NASCOSTO'!$P$8,IF(C136&lt;='SOLLECITAZ NASCOSTO'!$P$7,IF(C136&lt;='SOLLECITAZ NASCOSTO'!$P$6,IF(C136&lt;='SOLLECITAZ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paramento'!$G$111))*(C136-IF(C136&lt;='SOLLECITAZ NASCOSTO'!$P$12,IF(C136&lt;='SOLLECITAZ NASCOSTO'!$P$11,IF(C136&lt;='SOLLECITAZ NASCOSTO'!$P$10,IF(C136&lt;='SOLLECITAZ NASCOSTO'!$P$9,IF(C136&lt;='SOLLECITAZ NASCOSTO'!$P$8,IF(C136&lt;='SOLLECITAZ NASCOSTO'!$P$7,IF(C136&lt;='SOLLECITAZ NASCOSTO'!$P$6,IF(C136&lt;='SOLLECITAZ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NASCOSTO'!$P$12))/IF(C136&lt;='SOLLECITAZ NASCOSTO'!$P$12,IF(C136&lt;='SOLLECITAZ NASCOSTO'!$P$11,IF(C136&lt;='SOLLECITAZ NASCOSTO'!$P$10,IF(C136&lt;='SOLLECITAZ NASCOSTO'!$P$9,IF(C136&lt;='SOLLECITAZ NASCOSTO'!$P$8,IF(C136&lt;='SOLLECITAZ NASCOSTO'!$P$7,IF(C136&lt;='SOLLECITAZ NASCOSTO'!$P$6,IF(C136&lt;='SOLLECITAZ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paramento'!$C$111)+IF(C136&lt;='SOLLECITAZ NASCOSTO'!$P$12,IF(C136&lt;='SOLLECITAZ NASCOSTO'!$P$11,IF(C136&lt;='SOLLECITAZ NASCOSTO'!$P$10,IF(C136&lt;='SOLLECITAZ NASCOSTO'!$P$9,IF(C136&lt;='SOLLECITAZ NASCOSTO'!$P$8,IF(C136&lt;='SOLLECITAZ NASCOSTO'!$P$7,IF(C136&lt;='SOLLECITAZ NASCOSTO'!$P$6,IF(C136&lt;='SOLLECITAZ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40.317130837428337</v>
      </c>
      <c r="O137" s="41">
        <f>IF(C137&lt;='SOLLECITAZ NASCOSTO'!$P$12,IF(C137&lt;='SOLLECITAZ NASCOSTO'!$P$11,IF(C137&lt;='SOLLECITAZ NASCOSTO'!$P$10,IF(C137&lt;='SOLLECITAZ NASCOSTO'!$P$9,IF(C137&lt;='SOLLECITAZ NASCOSTO'!$P$8,IF(C137&lt;='SOLLECITAZ NASCOSTO'!$P$7,IF(C137&lt;='SOLLECITAZ NASCOSTO'!$P$6,IF(C137&lt;='SOLLECITAZ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paramento'!$G$110),55555)*(C137-C136)/IF(C137&lt;='SOLLECITAZ NASCOSTO'!$P$12,IF(C137&lt;='SOLLECITAZ NASCOSTO'!$P$11,IF(C137&lt;='SOLLECITAZ NASCOSTO'!$P$10,IF(C137&lt;='SOLLECITAZ NASCOSTO'!$P$9,IF(C137&lt;='SOLLECITAZ NASCOSTO'!$P$8,IF(C137&lt;='SOLLECITAZ NASCOSTO'!$P$7,IF(C137&lt;='SOLLECITAZ NASCOSTO'!$P$6,IF(C137&lt;='SOLLECITAZ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37" s="41">
        <f t="shared" si="39"/>
        <v>1.039999999999998E-4</v>
      </c>
      <c r="Q137" s="41">
        <f t="shared" si="37"/>
        <v>1</v>
      </c>
      <c r="R137" s="434">
        <f t="shared" si="31"/>
        <v>1.1439097768927704</v>
      </c>
      <c r="S137" s="45">
        <f t="shared" si="38"/>
        <v>1.1439097768927704</v>
      </c>
      <c r="T137" s="205">
        <f t="shared" si="34"/>
        <v>3.8881518153681105</v>
      </c>
      <c r="U137" s="45">
        <f t="shared" si="35"/>
        <v>30.912788995374346</v>
      </c>
      <c r="V137" s="45">
        <f t="shared" si="36"/>
        <v>-14.7255758273174</v>
      </c>
      <c r="W137" s="488"/>
      <c r="X137" s="489"/>
      <c r="Y137" s="489"/>
      <c r="Z137" s="490"/>
      <c r="AA137" s="46"/>
    </row>
    <row r="138" spans="1:27" s="421" customFormat="1" x14ac:dyDescent="0.25">
      <c r="A138" s="581">
        <f t="shared" si="32"/>
        <v>0.25304874808615979</v>
      </c>
      <c r="B138" s="31">
        <f t="shared" si="40"/>
        <v>106</v>
      </c>
      <c r="C138" s="434">
        <f>'SOLLECITAZ NASCOSTO'!$D$6/'SOLLECITAZ NASCOSTO'!$B$448*'SOLLECITAZ NASCOSTO'!B138</f>
        <v>1.1548041557203206</v>
      </c>
      <c r="D138" s="434">
        <f t="shared" si="33"/>
        <v>0.37304874808615979</v>
      </c>
      <c r="E138" s="434">
        <f t="shared" si="27"/>
        <v>0.25304874808615979</v>
      </c>
      <c r="F138" s="434">
        <f t="shared" si="28"/>
        <v>0.38097559938757114</v>
      </c>
      <c r="G138" s="434">
        <f t="shared" si="29"/>
        <v>3.7962458951784177E-2</v>
      </c>
      <c r="H138" s="434">
        <f t="shared" si="41"/>
        <v>0</v>
      </c>
      <c r="I138" s="434">
        <v>0</v>
      </c>
      <c r="J138" s="127">
        <f t="shared" si="42"/>
        <v>9.9645381522622145E-2</v>
      </c>
      <c r="K138" s="126">
        <f t="shared" si="30"/>
        <v>3.0105460517292188E-3</v>
      </c>
      <c r="L138" s="41">
        <f t="shared" si="43"/>
        <v>31.356237225423445</v>
      </c>
      <c r="M138" s="41">
        <f t="shared" si="44"/>
        <v>-15.064767007753412</v>
      </c>
      <c r="N138" s="41">
        <f>(IF(C137&lt;='SOLLECITAZ NASCOSTO'!$P$12,IF(C137&lt;='SOLLECITAZ NASCOSTO'!$P$11,IF(C137&lt;='SOLLECITAZ NASCOSTO'!$P$10,IF(C137&lt;='SOLLECITAZ NASCOSTO'!$P$9,IF(C137&lt;='SOLLECITAZ NASCOSTO'!$P$8,IF(C137&lt;='SOLLECITAZ NASCOSTO'!$P$7,IF(C137&lt;='SOLLECITAZ NASCOSTO'!$P$6,IF(C137&lt;='SOLLECITAZ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paramento'!$G$111),55555)-IF(C137&lt;='SOLLECITAZ NASCOSTO'!$P$12,IF(C137&lt;='SOLLECITAZ NASCOSTO'!$P$11,IF(C137&lt;='SOLLECITAZ NASCOSTO'!$P$10,IF(C137&lt;='SOLLECITAZ NASCOSTO'!$P$9,IF(C137&lt;='SOLLECITAZ NASCOSTO'!$P$8,IF(C137&lt;='SOLLECITAZ NASCOSTO'!$P$7,IF(C137&lt;='SOLLECITAZ NASCOSTO'!$P$6,IF(C137&lt;='SOLLECITAZ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paramento'!$G$111))*(C137-IF(C137&lt;='SOLLECITAZ NASCOSTO'!$P$12,IF(C137&lt;='SOLLECITAZ NASCOSTO'!$P$11,IF(C137&lt;='SOLLECITAZ NASCOSTO'!$P$10,IF(C137&lt;='SOLLECITAZ NASCOSTO'!$P$9,IF(C137&lt;='SOLLECITAZ NASCOSTO'!$P$8,IF(C137&lt;='SOLLECITAZ NASCOSTO'!$P$7,IF(C137&lt;='SOLLECITAZ NASCOSTO'!$P$6,IF(C137&lt;='SOLLECITAZ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NASCOSTO'!$P$12))/IF(C137&lt;='SOLLECITAZ NASCOSTO'!$P$12,IF(C137&lt;='SOLLECITAZ NASCOSTO'!$P$11,IF(C137&lt;='SOLLECITAZ NASCOSTO'!$P$10,IF(C137&lt;='SOLLECITAZ NASCOSTO'!$P$9,IF(C137&lt;='SOLLECITAZ NASCOSTO'!$P$8,IF(C137&lt;='SOLLECITAZ NASCOSTO'!$P$7,IF(C137&lt;='SOLLECITAZ NASCOSTO'!$P$6,IF(C137&lt;='SOLLECITAZ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paramento'!$C$111)+IF(C137&lt;='SOLLECITAZ NASCOSTO'!$P$12,IF(C137&lt;='SOLLECITAZ NASCOSTO'!$P$11,IF(C137&lt;='SOLLECITAZ NASCOSTO'!$P$10,IF(C137&lt;='SOLLECITAZ NASCOSTO'!$P$9,IF(C137&lt;='SOLLECITAZ NASCOSTO'!$P$8,IF(C137&lt;='SOLLECITAZ NASCOSTO'!$P$7,IF(C137&lt;='SOLLECITAZ NASCOSTO'!$P$6,IF(C137&lt;='SOLLECITAZ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40.575253766877744</v>
      </c>
      <c r="O138" s="41">
        <f>IF(C138&lt;='SOLLECITAZ NASCOSTO'!$P$12,IF(C138&lt;='SOLLECITAZ NASCOSTO'!$P$11,IF(C138&lt;='SOLLECITAZ NASCOSTO'!$P$10,IF(C138&lt;='SOLLECITAZ NASCOSTO'!$P$9,IF(C138&lt;='SOLLECITAZ NASCOSTO'!$P$8,IF(C138&lt;='SOLLECITAZ NASCOSTO'!$P$7,IF(C138&lt;='SOLLECITAZ NASCOSTO'!$P$6,IF(C138&lt;='SOLLECITAZ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paramento'!$G$110),55555)*(C138-C137)/IF(C138&lt;='SOLLECITAZ NASCOSTO'!$P$12,IF(C138&lt;='SOLLECITAZ NASCOSTO'!$P$11,IF(C138&lt;='SOLLECITAZ NASCOSTO'!$P$10,IF(C138&lt;='SOLLECITAZ NASCOSTO'!$P$9,IF(C138&lt;='SOLLECITAZ NASCOSTO'!$P$8,IF(C138&lt;='SOLLECITAZ NASCOSTO'!$P$7,IF(C138&lt;='SOLLECITAZ NASCOSTO'!$P$6,IF(C138&lt;='SOLLECITAZ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38" s="41">
        <f t="shared" si="39"/>
        <v>1.049999999999998E-4</v>
      </c>
      <c r="Q138" s="41">
        <f t="shared" si="37"/>
        <v>1</v>
      </c>
      <c r="R138" s="434">
        <f t="shared" si="31"/>
        <v>1.1548041557203206</v>
      </c>
      <c r="S138" s="45">
        <f t="shared" si="38"/>
        <v>1.1548041557203206</v>
      </c>
      <c r="T138" s="205">
        <f t="shared" si="34"/>
        <v>3.8772574365405603</v>
      </c>
      <c r="U138" s="45">
        <f t="shared" si="35"/>
        <v>31.356237225423445</v>
      </c>
      <c r="V138" s="45">
        <f t="shared" si="36"/>
        <v>-15.064767007753412</v>
      </c>
      <c r="W138" s="488"/>
      <c r="X138" s="489"/>
      <c r="Y138" s="489"/>
      <c r="Z138" s="490"/>
      <c r="AA138" s="46"/>
    </row>
    <row r="139" spans="1:27" s="421" customFormat="1" x14ac:dyDescent="0.25">
      <c r="A139" s="581">
        <f t="shared" si="32"/>
        <v>0.25461959083426899</v>
      </c>
      <c r="B139" s="31">
        <f t="shared" si="40"/>
        <v>107</v>
      </c>
      <c r="C139" s="434">
        <f>'SOLLECITAZ NASCOSTO'!$D$6/'SOLLECITAZ NASCOSTO'!$B$448*'SOLLECITAZ NASCOSTO'!B139</f>
        <v>1.1656985345478708</v>
      </c>
      <c r="D139" s="434">
        <f t="shared" si="33"/>
        <v>0.37461959083426899</v>
      </c>
      <c r="E139" s="434">
        <f t="shared" si="27"/>
        <v>0.25461959083426899</v>
      </c>
      <c r="F139" s="434">
        <f t="shared" si="28"/>
        <v>0.38147826906696608</v>
      </c>
      <c r="G139" s="434">
        <f t="shared" si="29"/>
        <v>3.8150374053893613E-2</v>
      </c>
      <c r="H139" s="434">
        <f t="shared" si="41"/>
        <v>0</v>
      </c>
      <c r="I139" s="434">
        <v>0</v>
      </c>
      <c r="J139" s="127">
        <f t="shared" si="42"/>
        <v>0.10000667704402465</v>
      </c>
      <c r="K139" s="126">
        <f t="shared" si="30"/>
        <v>3.0482868098896925E-3</v>
      </c>
      <c r="L139" s="41">
        <f t="shared" si="43"/>
        <v>31.802497544450041</v>
      </c>
      <c r="M139" s="41">
        <f t="shared" si="44"/>
        <v>-15.408804599179295</v>
      </c>
      <c r="N139" s="41">
        <f>(IF(C138&lt;='SOLLECITAZ NASCOSTO'!$P$12,IF(C138&lt;='SOLLECITAZ NASCOSTO'!$P$11,IF(C138&lt;='SOLLECITAZ NASCOSTO'!$P$10,IF(C138&lt;='SOLLECITAZ NASCOSTO'!$P$9,IF(C138&lt;='SOLLECITAZ NASCOSTO'!$P$8,IF(C138&lt;='SOLLECITAZ NASCOSTO'!$P$7,IF(C138&lt;='SOLLECITAZ NASCOSTO'!$P$6,IF(C138&lt;='SOLLECITAZ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paramento'!$G$111),55555)-IF(C138&lt;='SOLLECITAZ NASCOSTO'!$P$12,IF(C138&lt;='SOLLECITAZ NASCOSTO'!$P$11,IF(C138&lt;='SOLLECITAZ NASCOSTO'!$P$10,IF(C138&lt;='SOLLECITAZ NASCOSTO'!$P$9,IF(C138&lt;='SOLLECITAZ NASCOSTO'!$P$8,IF(C138&lt;='SOLLECITAZ NASCOSTO'!$P$7,IF(C138&lt;='SOLLECITAZ NASCOSTO'!$P$6,IF(C138&lt;='SOLLECITAZ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paramento'!$G$111))*(C138-IF(C138&lt;='SOLLECITAZ NASCOSTO'!$P$12,IF(C138&lt;='SOLLECITAZ NASCOSTO'!$P$11,IF(C138&lt;='SOLLECITAZ NASCOSTO'!$P$10,IF(C138&lt;='SOLLECITAZ NASCOSTO'!$P$9,IF(C138&lt;='SOLLECITAZ NASCOSTO'!$P$8,IF(C138&lt;='SOLLECITAZ NASCOSTO'!$P$7,IF(C138&lt;='SOLLECITAZ NASCOSTO'!$P$6,IF(C138&lt;='SOLLECITAZ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NASCOSTO'!$P$12))/IF(C138&lt;='SOLLECITAZ NASCOSTO'!$P$12,IF(C138&lt;='SOLLECITAZ NASCOSTO'!$P$11,IF(C138&lt;='SOLLECITAZ NASCOSTO'!$P$10,IF(C138&lt;='SOLLECITAZ NASCOSTO'!$P$9,IF(C138&lt;='SOLLECITAZ NASCOSTO'!$P$8,IF(C138&lt;='SOLLECITAZ NASCOSTO'!$P$7,IF(C138&lt;='SOLLECITAZ NASCOSTO'!$P$6,IF(C138&lt;='SOLLECITAZ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paramento'!$C$111)+IF(C138&lt;='SOLLECITAZ NASCOSTO'!$P$12,IF(C138&lt;='SOLLECITAZ NASCOSTO'!$P$11,IF(C138&lt;='SOLLECITAZ NASCOSTO'!$P$10,IF(C138&lt;='SOLLECITAZ NASCOSTO'!$P$9,IF(C138&lt;='SOLLECITAZ NASCOSTO'!$P$8,IF(C138&lt;='SOLLECITAZ NASCOSTO'!$P$7,IF(C138&lt;='SOLLECITAZ NASCOSTO'!$P$6,IF(C138&lt;='SOLLECITAZ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40.83337669632715</v>
      </c>
      <c r="O139" s="41">
        <f>IF(C139&lt;='SOLLECITAZ NASCOSTO'!$P$12,IF(C139&lt;='SOLLECITAZ NASCOSTO'!$P$11,IF(C139&lt;='SOLLECITAZ NASCOSTO'!$P$10,IF(C139&lt;='SOLLECITAZ NASCOSTO'!$P$9,IF(C139&lt;='SOLLECITAZ NASCOSTO'!$P$8,IF(C139&lt;='SOLLECITAZ NASCOSTO'!$P$7,IF(C139&lt;='SOLLECITAZ NASCOSTO'!$P$6,IF(C139&lt;='SOLLECITAZ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paramento'!$G$110),55555)*(C139-C138)/IF(C139&lt;='SOLLECITAZ NASCOSTO'!$P$12,IF(C139&lt;='SOLLECITAZ NASCOSTO'!$P$11,IF(C139&lt;='SOLLECITAZ NASCOSTO'!$P$10,IF(C139&lt;='SOLLECITAZ NASCOSTO'!$P$9,IF(C139&lt;='SOLLECITAZ NASCOSTO'!$P$8,IF(C139&lt;='SOLLECITAZ NASCOSTO'!$P$7,IF(C139&lt;='SOLLECITAZ NASCOSTO'!$P$6,IF(C139&lt;='SOLLECITAZ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39" s="41">
        <f t="shared" si="39"/>
        <v>1.059999999999998E-4</v>
      </c>
      <c r="Q139" s="41">
        <f t="shared" si="37"/>
        <v>1</v>
      </c>
      <c r="R139" s="434">
        <f t="shared" si="31"/>
        <v>1.1656985345478708</v>
      </c>
      <c r="S139" s="45">
        <f t="shared" si="38"/>
        <v>1.1656985345478708</v>
      </c>
      <c r="T139" s="205">
        <f t="shared" si="34"/>
        <v>3.8663630577130101</v>
      </c>
      <c r="U139" s="45">
        <f t="shared" si="35"/>
        <v>31.802497544450041</v>
      </c>
      <c r="V139" s="45">
        <f t="shared" si="36"/>
        <v>-15.408804599179295</v>
      </c>
      <c r="W139" s="488"/>
      <c r="X139" s="489"/>
      <c r="Y139" s="489"/>
      <c r="Z139" s="490"/>
      <c r="AA139" s="46"/>
    </row>
    <row r="140" spans="1:27" s="421" customFormat="1" x14ac:dyDescent="0.25">
      <c r="A140" s="581">
        <f t="shared" si="32"/>
        <v>0.25619043358237814</v>
      </c>
      <c r="B140" s="31">
        <f t="shared" si="40"/>
        <v>108</v>
      </c>
      <c r="C140" s="434">
        <f>'SOLLECITAZ NASCOSTO'!$D$6/'SOLLECITAZ NASCOSTO'!$B$448*'SOLLECITAZ NASCOSTO'!B140</f>
        <v>1.1765929133754209</v>
      </c>
      <c r="D140" s="434">
        <f t="shared" si="33"/>
        <v>0.37619043358237814</v>
      </c>
      <c r="E140" s="434">
        <f t="shared" si="27"/>
        <v>0.25619043358237814</v>
      </c>
      <c r="F140" s="434">
        <f t="shared" si="28"/>
        <v>0.38198093874636097</v>
      </c>
      <c r="G140" s="434">
        <f t="shared" si="29"/>
        <v>3.8339078771023619E-2</v>
      </c>
      <c r="H140" s="434">
        <f t="shared" si="41"/>
        <v>0</v>
      </c>
      <c r="I140" s="434">
        <v>0</v>
      </c>
      <c r="J140" s="127">
        <f t="shared" si="42"/>
        <v>0.10036908882639596</v>
      </c>
      <c r="K140" s="126">
        <f t="shared" si="30"/>
        <v>3.0863613443164843E-3</v>
      </c>
      <c r="L140" s="41">
        <f t="shared" si="43"/>
        <v>32.251569952454133</v>
      </c>
      <c r="M140" s="41">
        <f t="shared" si="44"/>
        <v>-15.757719237557666</v>
      </c>
      <c r="N140" s="41">
        <f>(IF(C139&lt;='SOLLECITAZ NASCOSTO'!$P$12,IF(C139&lt;='SOLLECITAZ NASCOSTO'!$P$11,IF(C139&lt;='SOLLECITAZ NASCOSTO'!$P$10,IF(C139&lt;='SOLLECITAZ NASCOSTO'!$P$9,IF(C139&lt;='SOLLECITAZ NASCOSTO'!$P$8,IF(C139&lt;='SOLLECITAZ NASCOSTO'!$P$7,IF(C139&lt;='SOLLECITAZ NASCOSTO'!$P$6,IF(C139&lt;='SOLLECITAZ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paramento'!$G$111),55555)-IF(C139&lt;='SOLLECITAZ NASCOSTO'!$P$12,IF(C139&lt;='SOLLECITAZ NASCOSTO'!$P$11,IF(C139&lt;='SOLLECITAZ NASCOSTO'!$P$10,IF(C139&lt;='SOLLECITAZ NASCOSTO'!$P$9,IF(C139&lt;='SOLLECITAZ NASCOSTO'!$P$8,IF(C139&lt;='SOLLECITAZ NASCOSTO'!$P$7,IF(C139&lt;='SOLLECITAZ NASCOSTO'!$P$6,IF(C139&lt;='SOLLECITAZ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paramento'!$G$111))*(C139-IF(C139&lt;='SOLLECITAZ NASCOSTO'!$P$12,IF(C139&lt;='SOLLECITAZ NASCOSTO'!$P$11,IF(C139&lt;='SOLLECITAZ NASCOSTO'!$P$10,IF(C139&lt;='SOLLECITAZ NASCOSTO'!$P$9,IF(C139&lt;='SOLLECITAZ NASCOSTO'!$P$8,IF(C139&lt;='SOLLECITAZ NASCOSTO'!$P$7,IF(C139&lt;='SOLLECITAZ NASCOSTO'!$P$6,IF(C139&lt;='SOLLECITAZ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NASCOSTO'!$P$12))/IF(C139&lt;='SOLLECITAZ NASCOSTO'!$P$12,IF(C139&lt;='SOLLECITAZ NASCOSTO'!$P$11,IF(C139&lt;='SOLLECITAZ NASCOSTO'!$P$10,IF(C139&lt;='SOLLECITAZ NASCOSTO'!$P$9,IF(C139&lt;='SOLLECITAZ NASCOSTO'!$P$8,IF(C139&lt;='SOLLECITAZ NASCOSTO'!$P$7,IF(C139&lt;='SOLLECITAZ NASCOSTO'!$P$6,IF(C139&lt;='SOLLECITAZ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paramento'!$C$111)+IF(C139&lt;='SOLLECITAZ NASCOSTO'!$P$12,IF(C139&lt;='SOLLECITAZ NASCOSTO'!$P$11,IF(C139&lt;='SOLLECITAZ NASCOSTO'!$P$10,IF(C139&lt;='SOLLECITAZ NASCOSTO'!$P$9,IF(C139&lt;='SOLLECITAZ NASCOSTO'!$P$8,IF(C139&lt;='SOLLECITAZ NASCOSTO'!$P$7,IF(C139&lt;='SOLLECITAZ NASCOSTO'!$P$6,IF(C139&lt;='SOLLECITAZ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41.091499625776557</v>
      </c>
      <c r="O140" s="41">
        <f>IF(C140&lt;='SOLLECITAZ NASCOSTO'!$P$12,IF(C140&lt;='SOLLECITAZ NASCOSTO'!$P$11,IF(C140&lt;='SOLLECITAZ NASCOSTO'!$P$10,IF(C140&lt;='SOLLECITAZ NASCOSTO'!$P$9,IF(C140&lt;='SOLLECITAZ NASCOSTO'!$P$8,IF(C140&lt;='SOLLECITAZ NASCOSTO'!$P$7,IF(C140&lt;='SOLLECITAZ NASCOSTO'!$P$6,IF(C140&lt;='SOLLECITAZ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paramento'!$G$110),55555)*(C140-C139)/IF(C140&lt;='SOLLECITAZ NASCOSTO'!$P$12,IF(C140&lt;='SOLLECITAZ NASCOSTO'!$P$11,IF(C140&lt;='SOLLECITAZ NASCOSTO'!$P$10,IF(C140&lt;='SOLLECITAZ NASCOSTO'!$P$9,IF(C140&lt;='SOLLECITAZ NASCOSTO'!$P$8,IF(C140&lt;='SOLLECITAZ NASCOSTO'!$P$7,IF(C140&lt;='SOLLECITAZ NASCOSTO'!$P$6,IF(C140&lt;='SOLLECITAZ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40" s="41">
        <f t="shared" si="39"/>
        <v>1.069999999999998E-4</v>
      </c>
      <c r="Q140" s="41">
        <f t="shared" si="37"/>
        <v>1</v>
      </c>
      <c r="R140" s="434">
        <f t="shared" si="31"/>
        <v>1.1765929133754209</v>
      </c>
      <c r="S140" s="45">
        <f t="shared" si="38"/>
        <v>1.1765929133754209</v>
      </c>
      <c r="T140" s="205">
        <f t="shared" si="34"/>
        <v>3.85546867888546</v>
      </c>
      <c r="U140" s="45">
        <f t="shared" si="35"/>
        <v>32.251569952454133</v>
      </c>
      <c r="V140" s="45">
        <f t="shared" si="36"/>
        <v>-15.757719237557666</v>
      </c>
      <c r="W140" s="488"/>
      <c r="X140" s="489"/>
      <c r="Y140" s="489"/>
      <c r="Z140" s="490"/>
      <c r="AA140" s="46"/>
    </row>
    <row r="141" spans="1:27" s="421" customFormat="1" x14ac:dyDescent="0.25">
      <c r="A141" s="581">
        <f t="shared" si="32"/>
        <v>0.25776127633048729</v>
      </c>
      <c r="B141" s="31">
        <f t="shared" si="40"/>
        <v>109</v>
      </c>
      <c r="C141" s="434">
        <f>'SOLLECITAZ NASCOSTO'!$D$6/'SOLLECITAZ NASCOSTO'!$B$448*'SOLLECITAZ NASCOSTO'!B141</f>
        <v>1.1874872922029713</v>
      </c>
      <c r="D141" s="434">
        <f t="shared" si="33"/>
        <v>0.37776127633048728</v>
      </c>
      <c r="E141" s="434">
        <f t="shared" si="27"/>
        <v>0.25776127633048729</v>
      </c>
      <c r="F141" s="434">
        <f t="shared" si="28"/>
        <v>0.38248360842575591</v>
      </c>
      <c r="G141" s="434">
        <f t="shared" si="29"/>
        <v>3.8528573103174202E-2</v>
      </c>
      <c r="H141" s="434">
        <f t="shared" si="41"/>
        <v>0</v>
      </c>
      <c r="I141" s="434">
        <v>0</v>
      </c>
      <c r="J141" s="127">
        <f t="shared" si="42"/>
        <v>0.10073261246868048</v>
      </c>
      <c r="K141" s="126">
        <f t="shared" si="30"/>
        <v>3.1247708148695549E-3</v>
      </c>
      <c r="L141" s="41">
        <f t="shared" si="43"/>
        <v>32.703454449435732</v>
      </c>
      <c r="M141" s="41">
        <f t="shared" si="44"/>
        <v>-16.111541558851151</v>
      </c>
      <c r="N141" s="41">
        <f>(IF(C140&lt;='SOLLECITAZ NASCOSTO'!$P$12,IF(C140&lt;='SOLLECITAZ NASCOSTO'!$P$11,IF(C140&lt;='SOLLECITAZ NASCOSTO'!$P$10,IF(C140&lt;='SOLLECITAZ NASCOSTO'!$P$9,IF(C140&lt;='SOLLECITAZ NASCOSTO'!$P$8,IF(C140&lt;='SOLLECITAZ NASCOSTO'!$P$7,IF(C140&lt;='SOLLECITAZ NASCOSTO'!$P$6,IF(C140&lt;='SOLLECITAZ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paramento'!$G$111),55555)-IF(C140&lt;='SOLLECITAZ NASCOSTO'!$P$12,IF(C140&lt;='SOLLECITAZ NASCOSTO'!$P$11,IF(C140&lt;='SOLLECITAZ NASCOSTO'!$P$10,IF(C140&lt;='SOLLECITAZ NASCOSTO'!$P$9,IF(C140&lt;='SOLLECITAZ NASCOSTO'!$P$8,IF(C140&lt;='SOLLECITAZ NASCOSTO'!$P$7,IF(C140&lt;='SOLLECITAZ NASCOSTO'!$P$6,IF(C140&lt;='SOLLECITAZ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paramento'!$G$111))*(C140-IF(C140&lt;='SOLLECITAZ NASCOSTO'!$P$12,IF(C140&lt;='SOLLECITAZ NASCOSTO'!$P$11,IF(C140&lt;='SOLLECITAZ NASCOSTO'!$P$10,IF(C140&lt;='SOLLECITAZ NASCOSTO'!$P$9,IF(C140&lt;='SOLLECITAZ NASCOSTO'!$P$8,IF(C140&lt;='SOLLECITAZ NASCOSTO'!$P$7,IF(C140&lt;='SOLLECITAZ NASCOSTO'!$P$6,IF(C140&lt;='SOLLECITAZ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NASCOSTO'!$P$12))/IF(C140&lt;='SOLLECITAZ NASCOSTO'!$P$12,IF(C140&lt;='SOLLECITAZ NASCOSTO'!$P$11,IF(C140&lt;='SOLLECITAZ NASCOSTO'!$P$10,IF(C140&lt;='SOLLECITAZ NASCOSTO'!$P$9,IF(C140&lt;='SOLLECITAZ NASCOSTO'!$P$8,IF(C140&lt;='SOLLECITAZ NASCOSTO'!$P$7,IF(C140&lt;='SOLLECITAZ NASCOSTO'!$P$6,IF(C140&lt;='SOLLECITAZ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paramento'!$C$111)+IF(C140&lt;='SOLLECITAZ NASCOSTO'!$P$12,IF(C140&lt;='SOLLECITAZ NASCOSTO'!$P$11,IF(C140&lt;='SOLLECITAZ NASCOSTO'!$P$10,IF(C140&lt;='SOLLECITAZ NASCOSTO'!$P$9,IF(C140&lt;='SOLLECITAZ NASCOSTO'!$P$8,IF(C140&lt;='SOLLECITAZ NASCOSTO'!$P$7,IF(C140&lt;='SOLLECITAZ NASCOSTO'!$P$6,IF(C140&lt;='SOLLECITAZ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41.349622555225963</v>
      </c>
      <c r="O141" s="41">
        <f>IF(C141&lt;='SOLLECITAZ NASCOSTO'!$P$12,IF(C141&lt;='SOLLECITAZ NASCOSTO'!$P$11,IF(C141&lt;='SOLLECITAZ NASCOSTO'!$P$10,IF(C141&lt;='SOLLECITAZ NASCOSTO'!$P$9,IF(C141&lt;='SOLLECITAZ NASCOSTO'!$P$8,IF(C141&lt;='SOLLECITAZ NASCOSTO'!$P$7,IF(C141&lt;='SOLLECITAZ NASCOSTO'!$P$6,IF(C141&lt;='SOLLECITAZ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paramento'!$G$110),55555)*(C141-C140)/IF(C141&lt;='SOLLECITAZ NASCOSTO'!$P$12,IF(C141&lt;='SOLLECITAZ NASCOSTO'!$P$11,IF(C141&lt;='SOLLECITAZ NASCOSTO'!$P$10,IF(C141&lt;='SOLLECITAZ NASCOSTO'!$P$9,IF(C141&lt;='SOLLECITAZ NASCOSTO'!$P$8,IF(C141&lt;='SOLLECITAZ NASCOSTO'!$P$7,IF(C141&lt;='SOLLECITAZ NASCOSTO'!$P$6,IF(C141&lt;='SOLLECITAZ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0.25812292944941068</v>
      </c>
      <c r="P141" s="41">
        <f t="shared" si="39"/>
        <v>1.0799999999999979E-4</v>
      </c>
      <c r="Q141" s="41">
        <f t="shared" si="37"/>
        <v>1</v>
      </c>
      <c r="R141" s="434">
        <f t="shared" si="31"/>
        <v>1.1874872922029713</v>
      </c>
      <c r="S141" s="45">
        <f t="shared" si="38"/>
        <v>1.1874872922029713</v>
      </c>
      <c r="T141" s="205">
        <f t="shared" si="34"/>
        <v>3.8445743000579098</v>
      </c>
      <c r="U141" s="45">
        <f t="shared" si="35"/>
        <v>32.703454449435732</v>
      </c>
      <c r="V141" s="45">
        <f t="shared" si="36"/>
        <v>-16.111541558851151</v>
      </c>
      <c r="W141" s="488"/>
      <c r="X141" s="489"/>
      <c r="Y141" s="489"/>
      <c r="Z141" s="490"/>
      <c r="AA141" s="46"/>
    </row>
    <row r="142" spans="1:27" s="421" customFormat="1" x14ac:dyDescent="0.25">
      <c r="A142" s="581">
        <f t="shared" si="32"/>
        <v>0.25933211907859643</v>
      </c>
      <c r="B142" s="31">
        <f t="shared" si="40"/>
        <v>110</v>
      </c>
      <c r="C142" s="434">
        <f>'SOLLECITAZ NASCOSTO'!$D$6/'SOLLECITAZ NASCOSTO'!$B$448*'SOLLECITAZ NASCOSTO'!B142</f>
        <v>1.1983816710305215</v>
      </c>
      <c r="D142" s="434">
        <f t="shared" si="33"/>
        <v>0.37933211907859643</v>
      </c>
      <c r="E142" s="434">
        <f t="shared" si="27"/>
        <v>0.25933211907859643</v>
      </c>
      <c r="F142" s="434">
        <f t="shared" si="28"/>
        <v>0.38298627810515085</v>
      </c>
      <c r="G142" s="434">
        <f t="shared" si="29"/>
        <v>3.8718857050345348E-2</v>
      </c>
      <c r="H142" s="434">
        <f t="shared" si="41"/>
        <v>0</v>
      </c>
      <c r="I142" s="434">
        <v>0</v>
      </c>
      <c r="J142" s="127">
        <f t="shared" si="42"/>
        <v>0.10109724359292811</v>
      </c>
      <c r="K142" s="126">
        <f t="shared" si="30"/>
        <v>3.1635163785755449E-3</v>
      </c>
      <c r="L142" s="41">
        <f t="shared" si="43"/>
        <v>33.158151035394823</v>
      </c>
      <c r="M142" s="41">
        <f t="shared" si="44"/>
        <v>-16.470302199022353</v>
      </c>
      <c r="N142" s="41">
        <f>(IF(C141&lt;='SOLLECITAZ NASCOSTO'!$P$12,IF(C141&lt;='SOLLECITAZ NASCOSTO'!$P$11,IF(C141&lt;='SOLLECITAZ NASCOSTO'!$P$10,IF(C141&lt;='SOLLECITAZ NASCOSTO'!$P$9,IF(C141&lt;='SOLLECITAZ NASCOSTO'!$P$8,IF(C141&lt;='SOLLECITAZ NASCOSTO'!$P$7,IF(C141&lt;='SOLLECITAZ NASCOSTO'!$P$6,IF(C141&lt;='SOLLECITAZ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paramento'!$G$111),55555)-IF(C141&lt;='SOLLECITAZ NASCOSTO'!$P$12,IF(C141&lt;='SOLLECITAZ NASCOSTO'!$P$11,IF(C141&lt;='SOLLECITAZ NASCOSTO'!$P$10,IF(C141&lt;='SOLLECITAZ NASCOSTO'!$P$9,IF(C141&lt;='SOLLECITAZ NASCOSTO'!$P$8,IF(C141&lt;='SOLLECITAZ NASCOSTO'!$P$7,IF(C141&lt;='SOLLECITAZ NASCOSTO'!$P$6,IF(C141&lt;='SOLLECITAZ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paramento'!$G$111))*(C141-IF(C141&lt;='SOLLECITAZ NASCOSTO'!$P$12,IF(C141&lt;='SOLLECITAZ NASCOSTO'!$P$11,IF(C141&lt;='SOLLECITAZ NASCOSTO'!$P$10,IF(C141&lt;='SOLLECITAZ NASCOSTO'!$P$9,IF(C141&lt;='SOLLECITAZ NASCOSTO'!$P$8,IF(C141&lt;='SOLLECITAZ NASCOSTO'!$P$7,IF(C141&lt;='SOLLECITAZ NASCOSTO'!$P$6,IF(C141&lt;='SOLLECITAZ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NASCOSTO'!$P$12))/IF(C141&lt;='SOLLECITAZ NASCOSTO'!$P$12,IF(C141&lt;='SOLLECITAZ NASCOSTO'!$P$11,IF(C141&lt;='SOLLECITAZ NASCOSTO'!$P$10,IF(C141&lt;='SOLLECITAZ NASCOSTO'!$P$9,IF(C141&lt;='SOLLECITAZ NASCOSTO'!$P$8,IF(C141&lt;='SOLLECITAZ NASCOSTO'!$P$7,IF(C141&lt;='SOLLECITAZ NASCOSTO'!$P$6,IF(C141&lt;='SOLLECITAZ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paramento'!$C$111)+IF(C141&lt;='SOLLECITAZ NASCOSTO'!$P$12,IF(C141&lt;='SOLLECITAZ NASCOSTO'!$P$11,IF(C141&lt;='SOLLECITAZ NASCOSTO'!$P$10,IF(C141&lt;='SOLLECITAZ NASCOSTO'!$P$9,IF(C141&lt;='SOLLECITAZ NASCOSTO'!$P$8,IF(C141&lt;='SOLLECITAZ NASCOSTO'!$P$7,IF(C141&lt;='SOLLECITAZ NASCOSTO'!$P$6,IF(C141&lt;='SOLLECITAZ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41.607745484675377</v>
      </c>
      <c r="O142" s="41">
        <f>IF(C142&lt;='SOLLECITAZ NASCOSTO'!$P$12,IF(C142&lt;='SOLLECITAZ NASCOSTO'!$P$11,IF(C142&lt;='SOLLECITAZ NASCOSTO'!$P$10,IF(C142&lt;='SOLLECITAZ NASCOSTO'!$P$9,IF(C142&lt;='SOLLECITAZ NASCOSTO'!$P$8,IF(C142&lt;='SOLLECITAZ NASCOSTO'!$P$7,IF(C142&lt;='SOLLECITAZ NASCOSTO'!$P$6,IF(C142&lt;='SOLLECITAZ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paramento'!$G$110),55555)*(C142-C141)/IF(C142&lt;='SOLLECITAZ NASCOSTO'!$P$12,IF(C142&lt;='SOLLECITAZ NASCOSTO'!$P$11,IF(C142&lt;='SOLLECITAZ NASCOSTO'!$P$10,IF(C142&lt;='SOLLECITAZ NASCOSTO'!$P$9,IF(C142&lt;='SOLLECITAZ NASCOSTO'!$P$8,IF(C142&lt;='SOLLECITAZ NASCOSTO'!$P$7,IF(C142&lt;='SOLLECITAZ NASCOSTO'!$P$6,IF(C142&lt;='SOLLECITAZ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42" s="41">
        <f t="shared" si="39"/>
        <v>1.0899999999999979E-4</v>
      </c>
      <c r="Q142" s="41">
        <f t="shared" si="37"/>
        <v>1</v>
      </c>
      <c r="R142" s="434">
        <f t="shared" si="31"/>
        <v>1.1983816710305215</v>
      </c>
      <c r="S142" s="45">
        <f t="shared" si="38"/>
        <v>1.1983816710305215</v>
      </c>
      <c r="T142" s="205">
        <f t="shared" si="34"/>
        <v>3.8336799212303596</v>
      </c>
      <c r="U142" s="45">
        <f t="shared" si="35"/>
        <v>33.158151035394823</v>
      </c>
      <c r="V142" s="45">
        <f t="shared" si="36"/>
        <v>-16.470302199022353</v>
      </c>
      <c r="W142" s="488"/>
      <c r="X142" s="489"/>
      <c r="Y142" s="489"/>
      <c r="Z142" s="490"/>
      <c r="AA142" s="46"/>
    </row>
    <row r="143" spans="1:27" s="421" customFormat="1" x14ac:dyDescent="0.25">
      <c r="A143" s="581">
        <f t="shared" si="32"/>
        <v>0.26090296182670564</v>
      </c>
      <c r="B143" s="31">
        <f t="shared" si="40"/>
        <v>111</v>
      </c>
      <c r="C143" s="434">
        <f>'SOLLECITAZ NASCOSTO'!$D$6/'SOLLECITAZ NASCOSTO'!$B$448*'SOLLECITAZ NASCOSTO'!B143</f>
        <v>1.2092760498580717</v>
      </c>
      <c r="D143" s="434">
        <f t="shared" si="33"/>
        <v>0.38090296182670563</v>
      </c>
      <c r="E143" s="434">
        <f t="shared" si="27"/>
        <v>0.26090296182670564</v>
      </c>
      <c r="F143" s="434">
        <f t="shared" si="28"/>
        <v>0.38348894778454579</v>
      </c>
      <c r="G143" s="434">
        <f t="shared" si="29"/>
        <v>3.8909930612537086E-2</v>
      </c>
      <c r="H143" s="434">
        <f t="shared" si="41"/>
        <v>0</v>
      </c>
      <c r="I143" s="434">
        <v>0</v>
      </c>
      <c r="J143" s="127">
        <f t="shared" si="42"/>
        <v>0.10146297784414302</v>
      </c>
      <c r="K143" s="126">
        <f t="shared" si="30"/>
        <v>3.2025991896463464E-3</v>
      </c>
      <c r="L143" s="41">
        <f t="shared" si="43"/>
        <v>33.615659710331414</v>
      </c>
      <c r="M143" s="41">
        <f t="shared" si="44"/>
        <v>-16.834031794033894</v>
      </c>
      <c r="N143" s="41">
        <f>(IF(C142&lt;='SOLLECITAZ NASCOSTO'!$P$12,IF(C142&lt;='SOLLECITAZ NASCOSTO'!$P$11,IF(C142&lt;='SOLLECITAZ NASCOSTO'!$P$10,IF(C142&lt;='SOLLECITAZ NASCOSTO'!$P$9,IF(C142&lt;='SOLLECITAZ NASCOSTO'!$P$8,IF(C142&lt;='SOLLECITAZ NASCOSTO'!$P$7,IF(C142&lt;='SOLLECITAZ NASCOSTO'!$P$6,IF(C142&lt;='SOLLECITAZ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paramento'!$G$111),55555)-IF(C142&lt;='SOLLECITAZ NASCOSTO'!$P$12,IF(C142&lt;='SOLLECITAZ NASCOSTO'!$P$11,IF(C142&lt;='SOLLECITAZ NASCOSTO'!$P$10,IF(C142&lt;='SOLLECITAZ NASCOSTO'!$P$9,IF(C142&lt;='SOLLECITAZ NASCOSTO'!$P$8,IF(C142&lt;='SOLLECITAZ NASCOSTO'!$P$7,IF(C142&lt;='SOLLECITAZ NASCOSTO'!$P$6,IF(C142&lt;='SOLLECITAZ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paramento'!$G$111))*(C142-IF(C142&lt;='SOLLECITAZ NASCOSTO'!$P$12,IF(C142&lt;='SOLLECITAZ NASCOSTO'!$P$11,IF(C142&lt;='SOLLECITAZ NASCOSTO'!$P$10,IF(C142&lt;='SOLLECITAZ NASCOSTO'!$P$9,IF(C142&lt;='SOLLECITAZ NASCOSTO'!$P$8,IF(C142&lt;='SOLLECITAZ NASCOSTO'!$P$7,IF(C142&lt;='SOLLECITAZ NASCOSTO'!$P$6,IF(C142&lt;='SOLLECITAZ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NASCOSTO'!$P$12))/IF(C142&lt;='SOLLECITAZ NASCOSTO'!$P$12,IF(C142&lt;='SOLLECITAZ NASCOSTO'!$P$11,IF(C142&lt;='SOLLECITAZ NASCOSTO'!$P$10,IF(C142&lt;='SOLLECITAZ NASCOSTO'!$P$9,IF(C142&lt;='SOLLECITAZ NASCOSTO'!$P$8,IF(C142&lt;='SOLLECITAZ NASCOSTO'!$P$7,IF(C142&lt;='SOLLECITAZ NASCOSTO'!$P$6,IF(C142&lt;='SOLLECITAZ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paramento'!$C$111)+IF(C142&lt;='SOLLECITAZ NASCOSTO'!$P$12,IF(C142&lt;='SOLLECITAZ NASCOSTO'!$P$11,IF(C142&lt;='SOLLECITAZ NASCOSTO'!$P$10,IF(C142&lt;='SOLLECITAZ NASCOSTO'!$P$9,IF(C142&lt;='SOLLECITAZ NASCOSTO'!$P$8,IF(C142&lt;='SOLLECITAZ NASCOSTO'!$P$7,IF(C142&lt;='SOLLECITAZ NASCOSTO'!$P$6,IF(C142&lt;='SOLLECITAZ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41.865868414124776</v>
      </c>
      <c r="O143" s="41">
        <f>IF(C143&lt;='SOLLECITAZ NASCOSTO'!$P$12,IF(C143&lt;='SOLLECITAZ NASCOSTO'!$P$11,IF(C143&lt;='SOLLECITAZ NASCOSTO'!$P$10,IF(C143&lt;='SOLLECITAZ NASCOSTO'!$P$9,IF(C143&lt;='SOLLECITAZ NASCOSTO'!$P$8,IF(C143&lt;='SOLLECITAZ NASCOSTO'!$P$7,IF(C143&lt;='SOLLECITAZ NASCOSTO'!$P$6,IF(C143&lt;='SOLLECITAZ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paramento'!$G$110),55555)*(C143-C142)/IF(C143&lt;='SOLLECITAZ NASCOSTO'!$P$12,IF(C143&lt;='SOLLECITAZ NASCOSTO'!$P$11,IF(C143&lt;='SOLLECITAZ NASCOSTO'!$P$10,IF(C143&lt;='SOLLECITAZ NASCOSTO'!$P$9,IF(C143&lt;='SOLLECITAZ NASCOSTO'!$P$8,IF(C143&lt;='SOLLECITAZ NASCOSTO'!$P$7,IF(C143&lt;='SOLLECITAZ NASCOSTO'!$P$6,IF(C143&lt;='SOLLECITAZ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43" s="41">
        <f t="shared" si="39"/>
        <v>1.0999999999999979E-4</v>
      </c>
      <c r="Q143" s="41">
        <f t="shared" si="37"/>
        <v>1</v>
      </c>
      <c r="R143" s="434">
        <f t="shared" si="31"/>
        <v>1.2092760498580717</v>
      </c>
      <c r="S143" s="45">
        <f t="shared" si="38"/>
        <v>1.2092760498580717</v>
      </c>
      <c r="T143" s="205">
        <f t="shared" si="34"/>
        <v>3.8227855424028094</v>
      </c>
      <c r="U143" s="45">
        <f t="shared" si="35"/>
        <v>33.615659710331414</v>
      </c>
      <c r="V143" s="45">
        <f t="shared" si="36"/>
        <v>-16.834031794033894</v>
      </c>
      <c r="W143" s="488"/>
      <c r="X143" s="489"/>
      <c r="Y143" s="489"/>
      <c r="Z143" s="490"/>
      <c r="AA143" s="46"/>
    </row>
    <row r="144" spans="1:27" s="421" customFormat="1" x14ac:dyDescent="0.25">
      <c r="A144" s="581">
        <f t="shared" si="32"/>
        <v>0.26247380457481478</v>
      </c>
      <c r="B144" s="31">
        <f t="shared" si="40"/>
        <v>112</v>
      </c>
      <c r="C144" s="434">
        <f>'SOLLECITAZ NASCOSTO'!$D$6/'SOLLECITAZ NASCOSTO'!$B$448*'SOLLECITAZ NASCOSTO'!B144</f>
        <v>1.2201704286856219</v>
      </c>
      <c r="D144" s="434">
        <f t="shared" si="33"/>
        <v>0.38247380457481478</v>
      </c>
      <c r="E144" s="434">
        <f t="shared" si="27"/>
        <v>0.26247380457481478</v>
      </c>
      <c r="F144" s="434">
        <f t="shared" si="28"/>
        <v>0.38399161746394073</v>
      </c>
      <c r="G144" s="434">
        <f t="shared" si="29"/>
        <v>3.9101793789749373E-2</v>
      </c>
      <c r="H144" s="434">
        <f t="shared" si="41"/>
        <v>0</v>
      </c>
      <c r="I144" s="434">
        <v>0</v>
      </c>
      <c r="J144" s="127">
        <f t="shared" si="42"/>
        <v>0.10182981089013299</v>
      </c>
      <c r="K144" s="126">
        <f t="shared" si="30"/>
        <v>3.2420203994975214E-3</v>
      </c>
      <c r="L144" s="41">
        <f t="shared" si="43"/>
        <v>34.075980474245505</v>
      </c>
      <c r="M144" s="41">
        <f t="shared" si="44"/>
        <v>-17.202760979848392</v>
      </c>
      <c r="N144" s="41">
        <f>(IF(C143&lt;='SOLLECITAZ NASCOSTO'!$P$12,IF(C143&lt;='SOLLECITAZ NASCOSTO'!$P$11,IF(C143&lt;='SOLLECITAZ NASCOSTO'!$P$10,IF(C143&lt;='SOLLECITAZ NASCOSTO'!$P$9,IF(C143&lt;='SOLLECITAZ NASCOSTO'!$P$8,IF(C143&lt;='SOLLECITAZ NASCOSTO'!$P$7,IF(C143&lt;='SOLLECITAZ NASCOSTO'!$P$6,IF(C143&lt;='SOLLECITAZ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paramento'!$G$111),55555)-IF(C143&lt;='SOLLECITAZ NASCOSTO'!$P$12,IF(C143&lt;='SOLLECITAZ NASCOSTO'!$P$11,IF(C143&lt;='SOLLECITAZ NASCOSTO'!$P$10,IF(C143&lt;='SOLLECITAZ NASCOSTO'!$P$9,IF(C143&lt;='SOLLECITAZ NASCOSTO'!$P$8,IF(C143&lt;='SOLLECITAZ NASCOSTO'!$P$7,IF(C143&lt;='SOLLECITAZ NASCOSTO'!$P$6,IF(C143&lt;='SOLLECITAZ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paramento'!$G$111))*(C143-IF(C143&lt;='SOLLECITAZ NASCOSTO'!$P$12,IF(C143&lt;='SOLLECITAZ NASCOSTO'!$P$11,IF(C143&lt;='SOLLECITAZ NASCOSTO'!$P$10,IF(C143&lt;='SOLLECITAZ NASCOSTO'!$P$9,IF(C143&lt;='SOLLECITAZ NASCOSTO'!$P$8,IF(C143&lt;='SOLLECITAZ NASCOSTO'!$P$7,IF(C143&lt;='SOLLECITAZ NASCOSTO'!$P$6,IF(C143&lt;='SOLLECITAZ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NASCOSTO'!$P$12))/IF(C143&lt;='SOLLECITAZ NASCOSTO'!$P$12,IF(C143&lt;='SOLLECITAZ NASCOSTO'!$P$11,IF(C143&lt;='SOLLECITAZ NASCOSTO'!$P$10,IF(C143&lt;='SOLLECITAZ NASCOSTO'!$P$9,IF(C143&lt;='SOLLECITAZ NASCOSTO'!$P$8,IF(C143&lt;='SOLLECITAZ NASCOSTO'!$P$7,IF(C143&lt;='SOLLECITAZ NASCOSTO'!$P$6,IF(C143&lt;='SOLLECITAZ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paramento'!$C$111)+IF(C143&lt;='SOLLECITAZ NASCOSTO'!$P$12,IF(C143&lt;='SOLLECITAZ NASCOSTO'!$P$11,IF(C143&lt;='SOLLECITAZ NASCOSTO'!$P$10,IF(C143&lt;='SOLLECITAZ NASCOSTO'!$P$9,IF(C143&lt;='SOLLECITAZ NASCOSTO'!$P$8,IF(C143&lt;='SOLLECITAZ NASCOSTO'!$P$7,IF(C143&lt;='SOLLECITAZ NASCOSTO'!$P$6,IF(C143&lt;='SOLLECITAZ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42.123991343574183</v>
      </c>
      <c r="O144" s="41">
        <f>IF(C144&lt;='SOLLECITAZ NASCOSTO'!$P$12,IF(C144&lt;='SOLLECITAZ NASCOSTO'!$P$11,IF(C144&lt;='SOLLECITAZ NASCOSTO'!$P$10,IF(C144&lt;='SOLLECITAZ NASCOSTO'!$P$9,IF(C144&lt;='SOLLECITAZ NASCOSTO'!$P$8,IF(C144&lt;='SOLLECITAZ NASCOSTO'!$P$7,IF(C144&lt;='SOLLECITAZ NASCOSTO'!$P$6,IF(C144&lt;='SOLLECITAZ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paramento'!$G$110),55555)*(C144-C143)/IF(C144&lt;='SOLLECITAZ NASCOSTO'!$P$12,IF(C144&lt;='SOLLECITAZ NASCOSTO'!$P$11,IF(C144&lt;='SOLLECITAZ NASCOSTO'!$P$10,IF(C144&lt;='SOLLECITAZ NASCOSTO'!$P$9,IF(C144&lt;='SOLLECITAZ NASCOSTO'!$P$8,IF(C144&lt;='SOLLECITAZ NASCOSTO'!$P$7,IF(C144&lt;='SOLLECITAZ NASCOSTO'!$P$6,IF(C144&lt;='SOLLECITAZ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44" s="41">
        <f t="shared" si="39"/>
        <v>1.1099999999999978E-4</v>
      </c>
      <c r="Q144" s="41">
        <f t="shared" si="37"/>
        <v>1</v>
      </c>
      <c r="R144" s="434">
        <f t="shared" si="31"/>
        <v>1.2201704286856219</v>
      </c>
      <c r="S144" s="45">
        <f t="shared" si="38"/>
        <v>1.2201704286856219</v>
      </c>
      <c r="T144" s="205">
        <f t="shared" si="34"/>
        <v>3.8118911635752593</v>
      </c>
      <c r="U144" s="45">
        <f t="shared" si="35"/>
        <v>34.075980474245505</v>
      </c>
      <c r="V144" s="45">
        <f t="shared" si="36"/>
        <v>-17.202760979848392</v>
      </c>
      <c r="W144" s="488"/>
      <c r="X144" s="489"/>
      <c r="Y144" s="489"/>
      <c r="Z144" s="490"/>
      <c r="AA144" s="46"/>
    </row>
    <row r="145" spans="1:27" s="421" customFormat="1" x14ac:dyDescent="0.25">
      <c r="A145" s="581">
        <f t="shared" si="32"/>
        <v>0.26404464732292399</v>
      </c>
      <c r="B145" s="31">
        <f t="shared" si="40"/>
        <v>113</v>
      </c>
      <c r="C145" s="434">
        <f>'SOLLECITAZ NASCOSTO'!$D$6/'SOLLECITAZ NASCOSTO'!$B$448*'SOLLECITAZ NASCOSTO'!B145</f>
        <v>1.231064807513172</v>
      </c>
      <c r="D145" s="434">
        <f t="shared" si="33"/>
        <v>0.38404464732292398</v>
      </c>
      <c r="E145" s="434">
        <f t="shared" si="27"/>
        <v>0.26404464732292399</v>
      </c>
      <c r="F145" s="434">
        <f t="shared" si="28"/>
        <v>0.38449428714333567</v>
      </c>
      <c r="G145" s="434">
        <f t="shared" si="29"/>
        <v>3.9294446581982251E-2</v>
      </c>
      <c r="H145" s="434">
        <f t="shared" si="41"/>
        <v>0</v>
      </c>
      <c r="I145" s="434">
        <v>0</v>
      </c>
      <c r="J145" s="127">
        <f t="shared" si="42"/>
        <v>0.10219773842136091</v>
      </c>
      <c r="K145" s="126">
        <f t="shared" si="30"/>
        <v>3.2817811567665946E-3</v>
      </c>
      <c r="L145" s="41">
        <f t="shared" si="43"/>
        <v>34.539113327137095</v>
      </c>
      <c r="M145" s="41">
        <f t="shared" si="44"/>
        <v>-17.576520392428467</v>
      </c>
      <c r="N145" s="41">
        <f>(IF(C144&lt;='SOLLECITAZ NASCOSTO'!$P$12,IF(C144&lt;='SOLLECITAZ NASCOSTO'!$P$11,IF(C144&lt;='SOLLECITAZ NASCOSTO'!$P$10,IF(C144&lt;='SOLLECITAZ NASCOSTO'!$P$9,IF(C144&lt;='SOLLECITAZ NASCOSTO'!$P$8,IF(C144&lt;='SOLLECITAZ NASCOSTO'!$P$7,IF(C144&lt;='SOLLECITAZ NASCOSTO'!$P$6,IF(C144&lt;='SOLLECITAZ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paramento'!$G$111),55555)-IF(C144&lt;='SOLLECITAZ NASCOSTO'!$P$12,IF(C144&lt;='SOLLECITAZ NASCOSTO'!$P$11,IF(C144&lt;='SOLLECITAZ NASCOSTO'!$P$10,IF(C144&lt;='SOLLECITAZ NASCOSTO'!$P$9,IF(C144&lt;='SOLLECITAZ NASCOSTO'!$P$8,IF(C144&lt;='SOLLECITAZ NASCOSTO'!$P$7,IF(C144&lt;='SOLLECITAZ NASCOSTO'!$P$6,IF(C144&lt;='SOLLECITAZ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paramento'!$G$111))*(C144-IF(C144&lt;='SOLLECITAZ NASCOSTO'!$P$12,IF(C144&lt;='SOLLECITAZ NASCOSTO'!$P$11,IF(C144&lt;='SOLLECITAZ NASCOSTO'!$P$10,IF(C144&lt;='SOLLECITAZ NASCOSTO'!$P$9,IF(C144&lt;='SOLLECITAZ NASCOSTO'!$P$8,IF(C144&lt;='SOLLECITAZ NASCOSTO'!$P$7,IF(C144&lt;='SOLLECITAZ NASCOSTO'!$P$6,IF(C144&lt;='SOLLECITAZ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NASCOSTO'!$P$12))/IF(C144&lt;='SOLLECITAZ NASCOSTO'!$P$12,IF(C144&lt;='SOLLECITAZ NASCOSTO'!$P$11,IF(C144&lt;='SOLLECITAZ NASCOSTO'!$P$10,IF(C144&lt;='SOLLECITAZ NASCOSTO'!$P$9,IF(C144&lt;='SOLLECITAZ NASCOSTO'!$P$8,IF(C144&lt;='SOLLECITAZ NASCOSTO'!$P$7,IF(C144&lt;='SOLLECITAZ NASCOSTO'!$P$6,IF(C144&lt;='SOLLECITAZ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paramento'!$C$111)+IF(C144&lt;='SOLLECITAZ NASCOSTO'!$P$12,IF(C144&lt;='SOLLECITAZ NASCOSTO'!$P$11,IF(C144&lt;='SOLLECITAZ NASCOSTO'!$P$10,IF(C144&lt;='SOLLECITAZ NASCOSTO'!$P$9,IF(C144&lt;='SOLLECITAZ NASCOSTO'!$P$8,IF(C144&lt;='SOLLECITAZ NASCOSTO'!$P$7,IF(C144&lt;='SOLLECITAZ NASCOSTO'!$P$6,IF(C144&lt;='SOLLECITAZ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42.382114273023589</v>
      </c>
      <c r="O145" s="41">
        <f>IF(C145&lt;='SOLLECITAZ NASCOSTO'!$P$12,IF(C145&lt;='SOLLECITAZ NASCOSTO'!$P$11,IF(C145&lt;='SOLLECITAZ NASCOSTO'!$P$10,IF(C145&lt;='SOLLECITAZ NASCOSTO'!$P$9,IF(C145&lt;='SOLLECITAZ NASCOSTO'!$P$8,IF(C145&lt;='SOLLECITAZ NASCOSTO'!$P$7,IF(C145&lt;='SOLLECITAZ NASCOSTO'!$P$6,IF(C145&lt;='SOLLECITAZ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paramento'!$G$110),55555)*(C145-C144)/IF(C145&lt;='SOLLECITAZ NASCOSTO'!$P$12,IF(C145&lt;='SOLLECITAZ NASCOSTO'!$P$11,IF(C145&lt;='SOLLECITAZ NASCOSTO'!$P$10,IF(C145&lt;='SOLLECITAZ NASCOSTO'!$P$9,IF(C145&lt;='SOLLECITAZ NASCOSTO'!$P$8,IF(C145&lt;='SOLLECITAZ NASCOSTO'!$P$7,IF(C145&lt;='SOLLECITAZ NASCOSTO'!$P$6,IF(C145&lt;='SOLLECITAZ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45" s="41">
        <f t="shared" si="39"/>
        <v>1.1199999999999978E-4</v>
      </c>
      <c r="Q145" s="41">
        <f t="shared" si="37"/>
        <v>1</v>
      </c>
      <c r="R145" s="434">
        <f t="shared" si="31"/>
        <v>1.231064807513172</v>
      </c>
      <c r="S145" s="45">
        <f t="shared" si="38"/>
        <v>1.231064807513172</v>
      </c>
      <c r="T145" s="205">
        <f t="shared" si="34"/>
        <v>3.8009967847477091</v>
      </c>
      <c r="U145" s="45">
        <f t="shared" si="35"/>
        <v>34.539113327137095</v>
      </c>
      <c r="V145" s="45">
        <f t="shared" si="36"/>
        <v>-17.576520392428467</v>
      </c>
      <c r="W145" s="488"/>
      <c r="X145" s="489"/>
      <c r="Y145" s="489"/>
      <c r="Z145" s="490"/>
      <c r="AA145" s="46"/>
    </row>
    <row r="146" spans="1:27" s="421" customFormat="1" x14ac:dyDescent="0.25">
      <c r="A146" s="581">
        <f t="shared" si="32"/>
        <v>0.26561549007103313</v>
      </c>
      <c r="B146" s="31">
        <f t="shared" si="40"/>
        <v>114</v>
      </c>
      <c r="C146" s="434">
        <f>'SOLLECITAZ NASCOSTO'!$D$6/'SOLLECITAZ NASCOSTO'!$B$448*'SOLLECITAZ NASCOSTO'!B146</f>
        <v>1.2419591863407222</v>
      </c>
      <c r="D146" s="434">
        <f t="shared" si="33"/>
        <v>0.38561549007103313</v>
      </c>
      <c r="E146" s="434">
        <f t="shared" si="27"/>
        <v>0.26561549007103313</v>
      </c>
      <c r="F146" s="434">
        <f t="shared" si="28"/>
        <v>0.38499695682273061</v>
      </c>
      <c r="G146" s="434">
        <f t="shared" si="29"/>
        <v>3.9487888989235692E-2</v>
      </c>
      <c r="H146" s="434">
        <f t="shared" si="41"/>
        <v>0</v>
      </c>
      <c r="I146" s="434">
        <v>0</v>
      </c>
      <c r="J146" s="127">
        <f t="shared" si="42"/>
        <v>0.10256675615079638</v>
      </c>
      <c r="K146" s="126">
        <f t="shared" si="30"/>
        <v>3.3218826073311714E-3</v>
      </c>
      <c r="L146" s="41">
        <f t="shared" si="43"/>
        <v>35.005058269006177</v>
      </c>
      <c r="M146" s="41">
        <f t="shared" si="44"/>
        <v>-17.955340667736738</v>
      </c>
      <c r="N146" s="41">
        <f>(IF(C145&lt;='SOLLECITAZ NASCOSTO'!$P$12,IF(C145&lt;='SOLLECITAZ NASCOSTO'!$P$11,IF(C145&lt;='SOLLECITAZ NASCOSTO'!$P$10,IF(C145&lt;='SOLLECITAZ NASCOSTO'!$P$9,IF(C145&lt;='SOLLECITAZ NASCOSTO'!$P$8,IF(C145&lt;='SOLLECITAZ NASCOSTO'!$P$7,IF(C145&lt;='SOLLECITAZ NASCOSTO'!$P$6,IF(C145&lt;='SOLLECITAZ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paramento'!$G$111),55555)-IF(C145&lt;='SOLLECITAZ NASCOSTO'!$P$12,IF(C145&lt;='SOLLECITAZ NASCOSTO'!$P$11,IF(C145&lt;='SOLLECITAZ NASCOSTO'!$P$10,IF(C145&lt;='SOLLECITAZ NASCOSTO'!$P$9,IF(C145&lt;='SOLLECITAZ NASCOSTO'!$P$8,IF(C145&lt;='SOLLECITAZ NASCOSTO'!$P$7,IF(C145&lt;='SOLLECITAZ NASCOSTO'!$P$6,IF(C145&lt;='SOLLECITAZ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paramento'!$G$111))*(C145-IF(C145&lt;='SOLLECITAZ NASCOSTO'!$P$12,IF(C145&lt;='SOLLECITAZ NASCOSTO'!$P$11,IF(C145&lt;='SOLLECITAZ NASCOSTO'!$P$10,IF(C145&lt;='SOLLECITAZ NASCOSTO'!$P$9,IF(C145&lt;='SOLLECITAZ NASCOSTO'!$P$8,IF(C145&lt;='SOLLECITAZ NASCOSTO'!$P$7,IF(C145&lt;='SOLLECITAZ NASCOSTO'!$P$6,IF(C145&lt;='SOLLECITAZ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NASCOSTO'!$P$12))/IF(C145&lt;='SOLLECITAZ NASCOSTO'!$P$12,IF(C145&lt;='SOLLECITAZ NASCOSTO'!$P$11,IF(C145&lt;='SOLLECITAZ NASCOSTO'!$P$10,IF(C145&lt;='SOLLECITAZ NASCOSTO'!$P$9,IF(C145&lt;='SOLLECITAZ NASCOSTO'!$P$8,IF(C145&lt;='SOLLECITAZ NASCOSTO'!$P$7,IF(C145&lt;='SOLLECITAZ NASCOSTO'!$P$6,IF(C145&lt;='SOLLECITAZ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paramento'!$C$111)+IF(C145&lt;='SOLLECITAZ NASCOSTO'!$P$12,IF(C145&lt;='SOLLECITAZ NASCOSTO'!$P$11,IF(C145&lt;='SOLLECITAZ NASCOSTO'!$P$10,IF(C145&lt;='SOLLECITAZ NASCOSTO'!$P$9,IF(C145&lt;='SOLLECITAZ NASCOSTO'!$P$8,IF(C145&lt;='SOLLECITAZ NASCOSTO'!$P$7,IF(C145&lt;='SOLLECITAZ NASCOSTO'!$P$6,IF(C145&lt;='SOLLECITAZ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42.640237202472989</v>
      </c>
      <c r="O146" s="41">
        <f>IF(C146&lt;='SOLLECITAZ NASCOSTO'!$P$12,IF(C146&lt;='SOLLECITAZ NASCOSTO'!$P$11,IF(C146&lt;='SOLLECITAZ NASCOSTO'!$P$10,IF(C146&lt;='SOLLECITAZ NASCOSTO'!$P$9,IF(C146&lt;='SOLLECITAZ NASCOSTO'!$P$8,IF(C146&lt;='SOLLECITAZ NASCOSTO'!$P$7,IF(C146&lt;='SOLLECITAZ NASCOSTO'!$P$6,IF(C146&lt;='SOLLECITAZ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paramento'!$G$110),55555)*(C146-C145)/IF(C146&lt;='SOLLECITAZ NASCOSTO'!$P$12,IF(C146&lt;='SOLLECITAZ NASCOSTO'!$P$11,IF(C146&lt;='SOLLECITAZ NASCOSTO'!$P$10,IF(C146&lt;='SOLLECITAZ NASCOSTO'!$P$9,IF(C146&lt;='SOLLECITAZ NASCOSTO'!$P$8,IF(C146&lt;='SOLLECITAZ NASCOSTO'!$P$7,IF(C146&lt;='SOLLECITAZ NASCOSTO'!$P$6,IF(C146&lt;='SOLLECITAZ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46" s="41">
        <f t="shared" si="39"/>
        <v>1.1299999999999978E-4</v>
      </c>
      <c r="Q146" s="41">
        <f t="shared" si="37"/>
        <v>1</v>
      </c>
      <c r="R146" s="434">
        <f t="shared" si="31"/>
        <v>1.2419591863407222</v>
      </c>
      <c r="S146" s="45">
        <f t="shared" si="38"/>
        <v>1.2419591863407222</v>
      </c>
      <c r="T146" s="205">
        <f t="shared" si="34"/>
        <v>3.7901024059201589</v>
      </c>
      <c r="U146" s="45">
        <f t="shared" si="35"/>
        <v>35.005058269006177</v>
      </c>
      <c r="V146" s="45">
        <f t="shared" si="36"/>
        <v>-17.955340667736738</v>
      </c>
      <c r="W146" s="488"/>
      <c r="X146" s="489"/>
      <c r="Y146" s="489"/>
      <c r="Z146" s="490"/>
      <c r="AA146" s="46"/>
    </row>
    <row r="147" spans="1:27" s="421" customFormat="1" x14ac:dyDescent="0.25">
      <c r="A147" s="581">
        <f t="shared" si="32"/>
        <v>0.26718633281914228</v>
      </c>
      <c r="B147" s="31">
        <f t="shared" si="40"/>
        <v>115</v>
      </c>
      <c r="C147" s="434">
        <f>'SOLLECITAZ NASCOSTO'!$D$6/'SOLLECITAZ NASCOSTO'!$B$448*'SOLLECITAZ NASCOSTO'!B147</f>
        <v>1.2528535651682724</v>
      </c>
      <c r="D147" s="434">
        <f t="shared" si="33"/>
        <v>0.38718633281914228</v>
      </c>
      <c r="E147" s="434">
        <f t="shared" si="27"/>
        <v>0.26718633281914228</v>
      </c>
      <c r="F147" s="434">
        <f t="shared" si="28"/>
        <v>0.38549962650212555</v>
      </c>
      <c r="G147" s="434">
        <f t="shared" si="29"/>
        <v>3.9682121011509697E-2</v>
      </c>
      <c r="H147" s="434">
        <f t="shared" si="41"/>
        <v>0</v>
      </c>
      <c r="I147" s="434">
        <v>0</v>
      </c>
      <c r="J147" s="127">
        <f t="shared" si="42"/>
        <v>0.10293685981376924</v>
      </c>
      <c r="K147" s="126">
        <f t="shared" si="30"/>
        <v>3.3623258943269439E-3</v>
      </c>
      <c r="L147" s="41">
        <f t="shared" si="43"/>
        <v>35.47381529985276</v>
      </c>
      <c r="M147" s="41">
        <f t="shared" si="44"/>
        <v>-18.33925244173582</v>
      </c>
      <c r="N147" s="41">
        <f>(IF(C146&lt;='SOLLECITAZ NASCOSTO'!$P$12,IF(C146&lt;='SOLLECITAZ NASCOSTO'!$P$11,IF(C146&lt;='SOLLECITAZ NASCOSTO'!$P$10,IF(C146&lt;='SOLLECITAZ NASCOSTO'!$P$9,IF(C146&lt;='SOLLECITAZ NASCOSTO'!$P$8,IF(C146&lt;='SOLLECITAZ NASCOSTO'!$P$7,IF(C146&lt;='SOLLECITAZ NASCOSTO'!$P$6,IF(C146&lt;='SOLLECITAZ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paramento'!$G$111),55555)-IF(C146&lt;='SOLLECITAZ NASCOSTO'!$P$12,IF(C146&lt;='SOLLECITAZ NASCOSTO'!$P$11,IF(C146&lt;='SOLLECITAZ NASCOSTO'!$P$10,IF(C146&lt;='SOLLECITAZ NASCOSTO'!$P$9,IF(C146&lt;='SOLLECITAZ NASCOSTO'!$P$8,IF(C146&lt;='SOLLECITAZ NASCOSTO'!$P$7,IF(C146&lt;='SOLLECITAZ NASCOSTO'!$P$6,IF(C146&lt;='SOLLECITAZ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paramento'!$G$111))*(C146-IF(C146&lt;='SOLLECITAZ NASCOSTO'!$P$12,IF(C146&lt;='SOLLECITAZ NASCOSTO'!$P$11,IF(C146&lt;='SOLLECITAZ NASCOSTO'!$P$10,IF(C146&lt;='SOLLECITAZ NASCOSTO'!$P$9,IF(C146&lt;='SOLLECITAZ NASCOSTO'!$P$8,IF(C146&lt;='SOLLECITAZ NASCOSTO'!$P$7,IF(C146&lt;='SOLLECITAZ NASCOSTO'!$P$6,IF(C146&lt;='SOLLECITAZ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NASCOSTO'!$P$12))/IF(C146&lt;='SOLLECITAZ NASCOSTO'!$P$12,IF(C146&lt;='SOLLECITAZ NASCOSTO'!$P$11,IF(C146&lt;='SOLLECITAZ NASCOSTO'!$P$10,IF(C146&lt;='SOLLECITAZ NASCOSTO'!$P$9,IF(C146&lt;='SOLLECITAZ NASCOSTO'!$P$8,IF(C146&lt;='SOLLECITAZ NASCOSTO'!$P$7,IF(C146&lt;='SOLLECITAZ NASCOSTO'!$P$6,IF(C146&lt;='SOLLECITAZ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paramento'!$C$111)+IF(C146&lt;='SOLLECITAZ NASCOSTO'!$P$12,IF(C146&lt;='SOLLECITAZ NASCOSTO'!$P$11,IF(C146&lt;='SOLLECITAZ NASCOSTO'!$P$10,IF(C146&lt;='SOLLECITAZ NASCOSTO'!$P$9,IF(C146&lt;='SOLLECITAZ NASCOSTO'!$P$8,IF(C146&lt;='SOLLECITAZ NASCOSTO'!$P$7,IF(C146&lt;='SOLLECITAZ NASCOSTO'!$P$6,IF(C146&lt;='SOLLECITAZ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42.898360131922402</v>
      </c>
      <c r="O147" s="41">
        <f>IF(C147&lt;='SOLLECITAZ NASCOSTO'!$P$12,IF(C147&lt;='SOLLECITAZ NASCOSTO'!$P$11,IF(C147&lt;='SOLLECITAZ NASCOSTO'!$P$10,IF(C147&lt;='SOLLECITAZ NASCOSTO'!$P$9,IF(C147&lt;='SOLLECITAZ NASCOSTO'!$P$8,IF(C147&lt;='SOLLECITAZ NASCOSTO'!$P$7,IF(C147&lt;='SOLLECITAZ NASCOSTO'!$P$6,IF(C147&lt;='SOLLECITAZ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paramento'!$G$110),55555)*(C147-C146)/IF(C147&lt;='SOLLECITAZ NASCOSTO'!$P$12,IF(C147&lt;='SOLLECITAZ NASCOSTO'!$P$11,IF(C147&lt;='SOLLECITAZ NASCOSTO'!$P$10,IF(C147&lt;='SOLLECITAZ NASCOSTO'!$P$9,IF(C147&lt;='SOLLECITAZ NASCOSTO'!$P$8,IF(C147&lt;='SOLLECITAZ NASCOSTO'!$P$7,IF(C147&lt;='SOLLECITAZ NASCOSTO'!$P$6,IF(C147&lt;='SOLLECITAZ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47" s="41">
        <f t="shared" si="39"/>
        <v>1.1399999999999978E-4</v>
      </c>
      <c r="Q147" s="41">
        <f t="shared" si="37"/>
        <v>1</v>
      </c>
      <c r="R147" s="434">
        <f t="shared" si="31"/>
        <v>1.2528535651682724</v>
      </c>
      <c r="S147" s="45">
        <f t="shared" si="38"/>
        <v>1.2528535651682724</v>
      </c>
      <c r="T147" s="205">
        <f t="shared" si="34"/>
        <v>3.7792080270926087</v>
      </c>
      <c r="U147" s="45">
        <f t="shared" si="35"/>
        <v>35.47381529985276</v>
      </c>
      <c r="V147" s="45">
        <f t="shared" si="36"/>
        <v>-18.33925244173582</v>
      </c>
      <c r="W147" s="488"/>
      <c r="X147" s="489"/>
      <c r="Y147" s="489"/>
      <c r="Z147" s="490"/>
      <c r="AA147" s="46"/>
    </row>
    <row r="148" spans="1:27" s="421" customFormat="1" x14ac:dyDescent="0.25">
      <c r="A148" s="581">
        <f t="shared" si="32"/>
        <v>0.26875717556725143</v>
      </c>
      <c r="B148" s="31">
        <f t="shared" si="40"/>
        <v>116</v>
      </c>
      <c r="C148" s="434">
        <f>'SOLLECITAZ NASCOSTO'!$D$6/'SOLLECITAZ NASCOSTO'!$B$448*'SOLLECITAZ NASCOSTO'!B148</f>
        <v>1.2637479439958226</v>
      </c>
      <c r="D148" s="434">
        <f t="shared" si="33"/>
        <v>0.38875717556725142</v>
      </c>
      <c r="E148" s="434">
        <f t="shared" si="27"/>
        <v>0.26875717556725143</v>
      </c>
      <c r="F148" s="434">
        <f t="shared" si="28"/>
        <v>0.38600229618152043</v>
      </c>
      <c r="G148" s="434">
        <f t="shared" si="29"/>
        <v>3.9877142648804279E-2</v>
      </c>
      <c r="H148" s="434">
        <f t="shared" si="41"/>
        <v>0</v>
      </c>
      <c r="I148" s="434">
        <v>0</v>
      </c>
      <c r="J148" s="127">
        <f t="shared" si="42"/>
        <v>0.10330804516782396</v>
      </c>
      <c r="K148" s="126">
        <f t="shared" si="30"/>
        <v>3.4031121581655386E-3</v>
      </c>
      <c r="L148" s="41">
        <f t="shared" si="43"/>
        <v>35.945384419676842</v>
      </c>
      <c r="M148" s="41">
        <f t="shared" si="44"/>
        <v>-18.728286350388331</v>
      </c>
      <c r="N148" s="41">
        <f>(IF(C147&lt;='SOLLECITAZ NASCOSTO'!$P$12,IF(C147&lt;='SOLLECITAZ NASCOSTO'!$P$11,IF(C147&lt;='SOLLECITAZ NASCOSTO'!$P$10,IF(C147&lt;='SOLLECITAZ NASCOSTO'!$P$9,IF(C147&lt;='SOLLECITAZ NASCOSTO'!$P$8,IF(C147&lt;='SOLLECITAZ NASCOSTO'!$P$7,IF(C147&lt;='SOLLECITAZ NASCOSTO'!$P$6,IF(C147&lt;='SOLLECITAZ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paramento'!$G$111),55555)-IF(C147&lt;='SOLLECITAZ NASCOSTO'!$P$12,IF(C147&lt;='SOLLECITAZ NASCOSTO'!$P$11,IF(C147&lt;='SOLLECITAZ NASCOSTO'!$P$10,IF(C147&lt;='SOLLECITAZ NASCOSTO'!$P$9,IF(C147&lt;='SOLLECITAZ NASCOSTO'!$P$8,IF(C147&lt;='SOLLECITAZ NASCOSTO'!$P$7,IF(C147&lt;='SOLLECITAZ NASCOSTO'!$P$6,IF(C147&lt;='SOLLECITAZ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paramento'!$G$111))*(C147-IF(C147&lt;='SOLLECITAZ NASCOSTO'!$P$12,IF(C147&lt;='SOLLECITAZ NASCOSTO'!$P$11,IF(C147&lt;='SOLLECITAZ NASCOSTO'!$P$10,IF(C147&lt;='SOLLECITAZ NASCOSTO'!$P$9,IF(C147&lt;='SOLLECITAZ NASCOSTO'!$P$8,IF(C147&lt;='SOLLECITAZ NASCOSTO'!$P$7,IF(C147&lt;='SOLLECITAZ NASCOSTO'!$P$6,IF(C147&lt;='SOLLECITAZ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NASCOSTO'!$P$12))/IF(C147&lt;='SOLLECITAZ NASCOSTO'!$P$12,IF(C147&lt;='SOLLECITAZ NASCOSTO'!$P$11,IF(C147&lt;='SOLLECITAZ NASCOSTO'!$P$10,IF(C147&lt;='SOLLECITAZ NASCOSTO'!$P$9,IF(C147&lt;='SOLLECITAZ NASCOSTO'!$P$8,IF(C147&lt;='SOLLECITAZ NASCOSTO'!$P$7,IF(C147&lt;='SOLLECITAZ NASCOSTO'!$P$6,IF(C147&lt;='SOLLECITAZ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paramento'!$C$111)+IF(C147&lt;='SOLLECITAZ NASCOSTO'!$P$12,IF(C147&lt;='SOLLECITAZ NASCOSTO'!$P$11,IF(C147&lt;='SOLLECITAZ NASCOSTO'!$P$10,IF(C147&lt;='SOLLECITAZ NASCOSTO'!$P$9,IF(C147&lt;='SOLLECITAZ NASCOSTO'!$P$8,IF(C147&lt;='SOLLECITAZ NASCOSTO'!$P$7,IF(C147&lt;='SOLLECITAZ NASCOSTO'!$P$6,IF(C147&lt;='SOLLECITAZ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43.156483061371802</v>
      </c>
      <c r="O148" s="41">
        <f>IF(C148&lt;='SOLLECITAZ NASCOSTO'!$P$12,IF(C148&lt;='SOLLECITAZ NASCOSTO'!$P$11,IF(C148&lt;='SOLLECITAZ NASCOSTO'!$P$10,IF(C148&lt;='SOLLECITAZ NASCOSTO'!$P$9,IF(C148&lt;='SOLLECITAZ NASCOSTO'!$P$8,IF(C148&lt;='SOLLECITAZ NASCOSTO'!$P$7,IF(C148&lt;='SOLLECITAZ NASCOSTO'!$P$6,IF(C148&lt;='SOLLECITAZ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paramento'!$G$110),55555)*(C148-C147)/IF(C148&lt;='SOLLECITAZ NASCOSTO'!$P$12,IF(C148&lt;='SOLLECITAZ NASCOSTO'!$P$11,IF(C148&lt;='SOLLECITAZ NASCOSTO'!$P$10,IF(C148&lt;='SOLLECITAZ NASCOSTO'!$P$9,IF(C148&lt;='SOLLECITAZ NASCOSTO'!$P$8,IF(C148&lt;='SOLLECITAZ NASCOSTO'!$P$7,IF(C148&lt;='SOLLECITAZ NASCOSTO'!$P$6,IF(C148&lt;='SOLLECITAZ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48" s="41">
        <f t="shared" si="39"/>
        <v>1.1499999999999977E-4</v>
      </c>
      <c r="Q148" s="41">
        <f t="shared" si="37"/>
        <v>1</v>
      </c>
      <c r="R148" s="434">
        <f t="shared" si="31"/>
        <v>1.2637479439958226</v>
      </c>
      <c r="S148" s="45">
        <f t="shared" si="38"/>
        <v>1.2637479439958226</v>
      </c>
      <c r="T148" s="205">
        <f t="shared" si="34"/>
        <v>3.7683136482650585</v>
      </c>
      <c r="U148" s="45">
        <f t="shared" si="35"/>
        <v>35.945384419676842</v>
      </c>
      <c r="V148" s="45">
        <f t="shared" si="36"/>
        <v>-18.728286350388331</v>
      </c>
      <c r="W148" s="488"/>
      <c r="X148" s="489"/>
      <c r="Y148" s="489"/>
      <c r="Z148" s="490"/>
      <c r="AA148" s="46"/>
    </row>
    <row r="149" spans="1:27" s="421" customFormat="1" x14ac:dyDescent="0.25">
      <c r="A149" s="581">
        <f t="shared" si="32"/>
        <v>0.27032801831536057</v>
      </c>
      <c r="B149" s="31">
        <f t="shared" si="40"/>
        <v>117</v>
      </c>
      <c r="C149" s="434">
        <f>'SOLLECITAZ NASCOSTO'!$D$6/'SOLLECITAZ NASCOSTO'!$B$448*'SOLLECITAZ NASCOSTO'!B149</f>
        <v>1.2746423228233728</v>
      </c>
      <c r="D149" s="434">
        <f t="shared" si="33"/>
        <v>0.39032801831536057</v>
      </c>
      <c r="E149" s="434">
        <f t="shared" si="27"/>
        <v>0.27032801831536057</v>
      </c>
      <c r="F149" s="434">
        <f t="shared" si="28"/>
        <v>0.38650496586091537</v>
      </c>
      <c r="G149" s="434">
        <f t="shared" si="29"/>
        <v>4.0072953901119431E-2</v>
      </c>
      <c r="H149" s="434">
        <f t="shared" si="41"/>
        <v>0</v>
      </c>
      <c r="I149" s="434">
        <v>0</v>
      </c>
      <c r="J149" s="127">
        <f t="shared" si="42"/>
        <v>0.1036803079925751</v>
      </c>
      <c r="K149" s="126">
        <f t="shared" si="30"/>
        <v>3.4442425365522377E-3</v>
      </c>
      <c r="L149" s="41">
        <f t="shared" si="43"/>
        <v>36.419765628478423</v>
      </c>
      <c r="M149" s="41">
        <f t="shared" si="44"/>
        <v>-19.122473029656888</v>
      </c>
      <c r="N149" s="41">
        <f>(IF(C148&lt;='SOLLECITAZ NASCOSTO'!$P$12,IF(C148&lt;='SOLLECITAZ NASCOSTO'!$P$11,IF(C148&lt;='SOLLECITAZ NASCOSTO'!$P$10,IF(C148&lt;='SOLLECITAZ NASCOSTO'!$P$9,IF(C148&lt;='SOLLECITAZ NASCOSTO'!$P$8,IF(C148&lt;='SOLLECITAZ NASCOSTO'!$P$7,IF(C148&lt;='SOLLECITAZ NASCOSTO'!$P$6,IF(C148&lt;='SOLLECITAZ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paramento'!$G$111),55555)-IF(C148&lt;='SOLLECITAZ NASCOSTO'!$P$12,IF(C148&lt;='SOLLECITAZ NASCOSTO'!$P$11,IF(C148&lt;='SOLLECITAZ NASCOSTO'!$P$10,IF(C148&lt;='SOLLECITAZ NASCOSTO'!$P$9,IF(C148&lt;='SOLLECITAZ NASCOSTO'!$P$8,IF(C148&lt;='SOLLECITAZ NASCOSTO'!$P$7,IF(C148&lt;='SOLLECITAZ NASCOSTO'!$P$6,IF(C148&lt;='SOLLECITAZ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paramento'!$G$111))*(C148-IF(C148&lt;='SOLLECITAZ NASCOSTO'!$P$12,IF(C148&lt;='SOLLECITAZ NASCOSTO'!$P$11,IF(C148&lt;='SOLLECITAZ NASCOSTO'!$P$10,IF(C148&lt;='SOLLECITAZ NASCOSTO'!$P$9,IF(C148&lt;='SOLLECITAZ NASCOSTO'!$P$8,IF(C148&lt;='SOLLECITAZ NASCOSTO'!$P$7,IF(C148&lt;='SOLLECITAZ NASCOSTO'!$P$6,IF(C148&lt;='SOLLECITAZ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NASCOSTO'!$P$12))/IF(C148&lt;='SOLLECITAZ NASCOSTO'!$P$12,IF(C148&lt;='SOLLECITAZ NASCOSTO'!$P$11,IF(C148&lt;='SOLLECITAZ NASCOSTO'!$P$10,IF(C148&lt;='SOLLECITAZ NASCOSTO'!$P$9,IF(C148&lt;='SOLLECITAZ NASCOSTO'!$P$8,IF(C148&lt;='SOLLECITAZ NASCOSTO'!$P$7,IF(C148&lt;='SOLLECITAZ NASCOSTO'!$P$6,IF(C148&lt;='SOLLECITAZ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paramento'!$C$111)+IF(C148&lt;='SOLLECITAZ NASCOSTO'!$P$12,IF(C148&lt;='SOLLECITAZ NASCOSTO'!$P$11,IF(C148&lt;='SOLLECITAZ NASCOSTO'!$P$10,IF(C148&lt;='SOLLECITAZ NASCOSTO'!$P$9,IF(C148&lt;='SOLLECITAZ NASCOSTO'!$P$8,IF(C148&lt;='SOLLECITAZ NASCOSTO'!$P$7,IF(C148&lt;='SOLLECITAZ NASCOSTO'!$P$6,IF(C148&lt;='SOLLECITAZ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43.414605990821215</v>
      </c>
      <c r="O149" s="41">
        <f>IF(C149&lt;='SOLLECITAZ NASCOSTO'!$P$12,IF(C149&lt;='SOLLECITAZ NASCOSTO'!$P$11,IF(C149&lt;='SOLLECITAZ NASCOSTO'!$P$10,IF(C149&lt;='SOLLECITAZ NASCOSTO'!$P$9,IF(C149&lt;='SOLLECITAZ NASCOSTO'!$P$8,IF(C149&lt;='SOLLECITAZ NASCOSTO'!$P$7,IF(C149&lt;='SOLLECITAZ NASCOSTO'!$P$6,IF(C149&lt;='SOLLECITAZ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paramento'!$G$110),55555)*(C149-C148)/IF(C149&lt;='SOLLECITAZ NASCOSTO'!$P$12,IF(C149&lt;='SOLLECITAZ NASCOSTO'!$P$11,IF(C149&lt;='SOLLECITAZ NASCOSTO'!$P$10,IF(C149&lt;='SOLLECITAZ NASCOSTO'!$P$9,IF(C149&lt;='SOLLECITAZ NASCOSTO'!$P$8,IF(C149&lt;='SOLLECITAZ NASCOSTO'!$P$7,IF(C149&lt;='SOLLECITAZ NASCOSTO'!$P$6,IF(C149&lt;='SOLLECITAZ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49" s="41">
        <f t="shared" si="39"/>
        <v>1.1599999999999977E-4</v>
      </c>
      <c r="Q149" s="41">
        <f t="shared" si="37"/>
        <v>1</v>
      </c>
      <c r="R149" s="434">
        <f t="shared" si="31"/>
        <v>1.2746423228233728</v>
      </c>
      <c r="S149" s="45">
        <f t="shared" si="38"/>
        <v>1.2746423228233728</v>
      </c>
      <c r="T149" s="205">
        <f t="shared" si="34"/>
        <v>3.7574192694375084</v>
      </c>
      <c r="U149" s="45">
        <f t="shared" si="35"/>
        <v>36.419765628478423</v>
      </c>
      <c r="V149" s="45">
        <f t="shared" si="36"/>
        <v>-19.122473029656888</v>
      </c>
      <c r="W149" s="488"/>
      <c r="X149" s="489"/>
      <c r="Y149" s="489"/>
      <c r="Z149" s="490"/>
      <c r="AA149" s="46"/>
    </row>
    <row r="150" spans="1:27" s="421" customFormat="1" x14ac:dyDescent="0.25">
      <c r="A150" s="581">
        <f t="shared" si="32"/>
        <v>0.27189886106346972</v>
      </c>
      <c r="B150" s="31">
        <f t="shared" si="40"/>
        <v>118</v>
      </c>
      <c r="C150" s="434">
        <f>'SOLLECITAZ NASCOSTO'!$D$6/'SOLLECITAZ NASCOSTO'!$B$448*'SOLLECITAZ NASCOSTO'!B150</f>
        <v>1.2855367016509229</v>
      </c>
      <c r="D150" s="434">
        <f t="shared" si="33"/>
        <v>0.39189886106346972</v>
      </c>
      <c r="E150" s="434">
        <f t="shared" si="27"/>
        <v>0.27189886106346972</v>
      </c>
      <c r="F150" s="434">
        <f t="shared" si="28"/>
        <v>0.38700763554031031</v>
      </c>
      <c r="G150" s="434">
        <f t="shared" si="29"/>
        <v>4.026955476845516E-2</v>
      </c>
      <c r="H150" s="434">
        <f t="shared" si="41"/>
        <v>0</v>
      </c>
      <c r="I150" s="434">
        <v>0</v>
      </c>
      <c r="J150" s="127">
        <f t="shared" si="42"/>
        <v>0.10405364408956402</v>
      </c>
      <c r="K150" s="126">
        <f t="shared" si="30"/>
        <v>3.4857181645035424E-3</v>
      </c>
      <c r="L150" s="41">
        <f t="shared" si="43"/>
        <v>36.896958926257504</v>
      </c>
      <c r="M150" s="41">
        <f t="shared" si="44"/>
        <v>-19.521843115504108</v>
      </c>
      <c r="N150" s="41">
        <f>(IF(C149&lt;='SOLLECITAZ NASCOSTO'!$P$12,IF(C149&lt;='SOLLECITAZ NASCOSTO'!$P$11,IF(C149&lt;='SOLLECITAZ NASCOSTO'!$P$10,IF(C149&lt;='SOLLECITAZ NASCOSTO'!$P$9,IF(C149&lt;='SOLLECITAZ NASCOSTO'!$P$8,IF(C149&lt;='SOLLECITAZ NASCOSTO'!$P$7,IF(C149&lt;='SOLLECITAZ NASCOSTO'!$P$6,IF(C149&lt;='SOLLECITAZ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paramento'!$G$111),55555)-IF(C149&lt;='SOLLECITAZ NASCOSTO'!$P$12,IF(C149&lt;='SOLLECITAZ NASCOSTO'!$P$11,IF(C149&lt;='SOLLECITAZ NASCOSTO'!$P$10,IF(C149&lt;='SOLLECITAZ NASCOSTO'!$P$9,IF(C149&lt;='SOLLECITAZ NASCOSTO'!$P$8,IF(C149&lt;='SOLLECITAZ NASCOSTO'!$P$7,IF(C149&lt;='SOLLECITAZ NASCOSTO'!$P$6,IF(C149&lt;='SOLLECITAZ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paramento'!$G$111))*(C149-IF(C149&lt;='SOLLECITAZ NASCOSTO'!$P$12,IF(C149&lt;='SOLLECITAZ NASCOSTO'!$P$11,IF(C149&lt;='SOLLECITAZ NASCOSTO'!$P$10,IF(C149&lt;='SOLLECITAZ NASCOSTO'!$P$9,IF(C149&lt;='SOLLECITAZ NASCOSTO'!$P$8,IF(C149&lt;='SOLLECITAZ NASCOSTO'!$P$7,IF(C149&lt;='SOLLECITAZ NASCOSTO'!$P$6,IF(C149&lt;='SOLLECITAZ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NASCOSTO'!$P$12))/IF(C149&lt;='SOLLECITAZ NASCOSTO'!$P$12,IF(C149&lt;='SOLLECITAZ NASCOSTO'!$P$11,IF(C149&lt;='SOLLECITAZ NASCOSTO'!$P$10,IF(C149&lt;='SOLLECITAZ NASCOSTO'!$P$9,IF(C149&lt;='SOLLECITAZ NASCOSTO'!$P$8,IF(C149&lt;='SOLLECITAZ NASCOSTO'!$P$7,IF(C149&lt;='SOLLECITAZ NASCOSTO'!$P$6,IF(C149&lt;='SOLLECITAZ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paramento'!$C$111)+IF(C149&lt;='SOLLECITAZ NASCOSTO'!$P$12,IF(C149&lt;='SOLLECITAZ NASCOSTO'!$P$11,IF(C149&lt;='SOLLECITAZ NASCOSTO'!$P$10,IF(C149&lt;='SOLLECITAZ NASCOSTO'!$P$9,IF(C149&lt;='SOLLECITAZ NASCOSTO'!$P$8,IF(C149&lt;='SOLLECITAZ NASCOSTO'!$P$7,IF(C149&lt;='SOLLECITAZ NASCOSTO'!$P$6,IF(C149&lt;='SOLLECITAZ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43.672728920270615</v>
      </c>
      <c r="O150" s="41">
        <f>IF(C150&lt;='SOLLECITAZ NASCOSTO'!$P$12,IF(C150&lt;='SOLLECITAZ NASCOSTO'!$P$11,IF(C150&lt;='SOLLECITAZ NASCOSTO'!$P$10,IF(C150&lt;='SOLLECITAZ NASCOSTO'!$P$9,IF(C150&lt;='SOLLECITAZ NASCOSTO'!$P$8,IF(C150&lt;='SOLLECITAZ NASCOSTO'!$P$7,IF(C150&lt;='SOLLECITAZ NASCOSTO'!$P$6,IF(C150&lt;='SOLLECITAZ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paramento'!$G$110),55555)*(C150-C149)/IF(C150&lt;='SOLLECITAZ NASCOSTO'!$P$12,IF(C150&lt;='SOLLECITAZ NASCOSTO'!$P$11,IF(C150&lt;='SOLLECITAZ NASCOSTO'!$P$10,IF(C150&lt;='SOLLECITAZ NASCOSTO'!$P$9,IF(C150&lt;='SOLLECITAZ NASCOSTO'!$P$8,IF(C150&lt;='SOLLECITAZ NASCOSTO'!$P$7,IF(C150&lt;='SOLLECITAZ NASCOSTO'!$P$6,IF(C150&lt;='SOLLECITAZ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50" s="41">
        <f t="shared" si="39"/>
        <v>1.1699999999999977E-4</v>
      </c>
      <c r="Q150" s="41">
        <f t="shared" si="37"/>
        <v>1</v>
      </c>
      <c r="R150" s="434">
        <f t="shared" si="31"/>
        <v>1.2855367016509229</v>
      </c>
      <c r="S150" s="45">
        <f t="shared" si="38"/>
        <v>1.2855367016509229</v>
      </c>
      <c r="T150" s="205">
        <f t="shared" si="34"/>
        <v>3.7465248906099582</v>
      </c>
      <c r="U150" s="45">
        <f t="shared" si="35"/>
        <v>36.896958926257504</v>
      </c>
      <c r="V150" s="45">
        <f t="shared" si="36"/>
        <v>-19.521843115504108</v>
      </c>
      <c r="W150" s="488"/>
      <c r="X150" s="489"/>
      <c r="Y150" s="489"/>
      <c r="Z150" s="490"/>
      <c r="AA150" s="46"/>
    </row>
    <row r="151" spans="1:27" s="421" customFormat="1" x14ac:dyDescent="0.25">
      <c r="A151" s="581">
        <f t="shared" si="32"/>
        <v>0.27346970381157887</v>
      </c>
      <c r="B151" s="31">
        <f t="shared" si="40"/>
        <v>119</v>
      </c>
      <c r="C151" s="434">
        <f>'SOLLECITAZ NASCOSTO'!$D$6/'SOLLECITAZ NASCOSTO'!$B$448*'SOLLECITAZ NASCOSTO'!B151</f>
        <v>1.2964310804784731</v>
      </c>
      <c r="D151" s="434">
        <f t="shared" si="33"/>
        <v>0.39346970381157886</v>
      </c>
      <c r="E151" s="434">
        <f t="shared" si="27"/>
        <v>0.27346970381157887</v>
      </c>
      <c r="F151" s="434">
        <f t="shared" si="28"/>
        <v>0.3875103052197052</v>
      </c>
      <c r="G151" s="434">
        <f t="shared" si="29"/>
        <v>4.0466945250811459E-2</v>
      </c>
      <c r="H151" s="434">
        <f t="shared" si="41"/>
        <v>0</v>
      </c>
      <c r="I151" s="434">
        <v>0</v>
      </c>
      <c r="J151" s="127">
        <f t="shared" si="42"/>
        <v>0.1044280492821167</v>
      </c>
      <c r="K151" s="126">
        <f t="shared" si="30"/>
        <v>3.5275401743646243E-3</v>
      </c>
      <c r="L151" s="41">
        <f t="shared" si="43"/>
        <v>37.376964313014085</v>
      </c>
      <c r="M151" s="41">
        <f t="shared" si="44"/>
        <v>-19.926427243892611</v>
      </c>
      <c r="N151" s="41">
        <f>(IF(C150&lt;='SOLLECITAZ NASCOSTO'!$P$12,IF(C150&lt;='SOLLECITAZ NASCOSTO'!$P$11,IF(C150&lt;='SOLLECITAZ NASCOSTO'!$P$10,IF(C150&lt;='SOLLECITAZ NASCOSTO'!$P$9,IF(C150&lt;='SOLLECITAZ NASCOSTO'!$P$8,IF(C150&lt;='SOLLECITAZ NASCOSTO'!$P$7,IF(C150&lt;='SOLLECITAZ NASCOSTO'!$P$6,IF(C150&lt;='SOLLECITAZ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paramento'!$G$111),55555)-IF(C150&lt;='SOLLECITAZ NASCOSTO'!$P$12,IF(C150&lt;='SOLLECITAZ NASCOSTO'!$P$11,IF(C150&lt;='SOLLECITAZ NASCOSTO'!$P$10,IF(C150&lt;='SOLLECITAZ NASCOSTO'!$P$9,IF(C150&lt;='SOLLECITAZ NASCOSTO'!$P$8,IF(C150&lt;='SOLLECITAZ NASCOSTO'!$P$7,IF(C150&lt;='SOLLECITAZ NASCOSTO'!$P$6,IF(C150&lt;='SOLLECITAZ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paramento'!$G$111))*(C150-IF(C150&lt;='SOLLECITAZ NASCOSTO'!$P$12,IF(C150&lt;='SOLLECITAZ NASCOSTO'!$P$11,IF(C150&lt;='SOLLECITAZ NASCOSTO'!$P$10,IF(C150&lt;='SOLLECITAZ NASCOSTO'!$P$9,IF(C150&lt;='SOLLECITAZ NASCOSTO'!$P$8,IF(C150&lt;='SOLLECITAZ NASCOSTO'!$P$7,IF(C150&lt;='SOLLECITAZ NASCOSTO'!$P$6,IF(C150&lt;='SOLLECITAZ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NASCOSTO'!$P$12))/IF(C150&lt;='SOLLECITAZ NASCOSTO'!$P$12,IF(C150&lt;='SOLLECITAZ NASCOSTO'!$P$11,IF(C150&lt;='SOLLECITAZ NASCOSTO'!$P$10,IF(C150&lt;='SOLLECITAZ NASCOSTO'!$P$9,IF(C150&lt;='SOLLECITAZ NASCOSTO'!$P$8,IF(C150&lt;='SOLLECITAZ NASCOSTO'!$P$7,IF(C150&lt;='SOLLECITAZ NASCOSTO'!$P$6,IF(C150&lt;='SOLLECITAZ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paramento'!$C$111)+IF(C150&lt;='SOLLECITAZ NASCOSTO'!$P$12,IF(C150&lt;='SOLLECITAZ NASCOSTO'!$P$11,IF(C150&lt;='SOLLECITAZ NASCOSTO'!$P$10,IF(C150&lt;='SOLLECITAZ NASCOSTO'!$P$9,IF(C150&lt;='SOLLECITAZ NASCOSTO'!$P$8,IF(C150&lt;='SOLLECITAZ NASCOSTO'!$P$7,IF(C150&lt;='SOLLECITAZ NASCOSTO'!$P$6,IF(C150&lt;='SOLLECITAZ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43.930851849720021</v>
      </c>
      <c r="O151" s="41">
        <f>IF(C151&lt;='SOLLECITAZ NASCOSTO'!$P$12,IF(C151&lt;='SOLLECITAZ NASCOSTO'!$P$11,IF(C151&lt;='SOLLECITAZ NASCOSTO'!$P$10,IF(C151&lt;='SOLLECITAZ NASCOSTO'!$P$9,IF(C151&lt;='SOLLECITAZ NASCOSTO'!$P$8,IF(C151&lt;='SOLLECITAZ NASCOSTO'!$P$7,IF(C151&lt;='SOLLECITAZ NASCOSTO'!$P$6,IF(C151&lt;='SOLLECITAZ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paramento'!$G$110),55555)*(C151-C150)/IF(C151&lt;='SOLLECITAZ NASCOSTO'!$P$12,IF(C151&lt;='SOLLECITAZ NASCOSTO'!$P$11,IF(C151&lt;='SOLLECITAZ NASCOSTO'!$P$10,IF(C151&lt;='SOLLECITAZ NASCOSTO'!$P$9,IF(C151&lt;='SOLLECITAZ NASCOSTO'!$P$8,IF(C151&lt;='SOLLECITAZ NASCOSTO'!$P$7,IF(C151&lt;='SOLLECITAZ NASCOSTO'!$P$6,IF(C151&lt;='SOLLECITAZ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51" s="41">
        <f t="shared" si="39"/>
        <v>1.1799999999999976E-4</v>
      </c>
      <c r="Q151" s="41">
        <f t="shared" si="37"/>
        <v>1</v>
      </c>
      <c r="R151" s="434">
        <f t="shared" si="31"/>
        <v>1.2964310804784731</v>
      </c>
      <c r="S151" s="45">
        <f t="shared" si="38"/>
        <v>1.2964310804784731</v>
      </c>
      <c r="T151" s="205">
        <f t="shared" si="34"/>
        <v>3.735630511782408</v>
      </c>
      <c r="U151" s="45">
        <f t="shared" si="35"/>
        <v>37.376964313014085</v>
      </c>
      <c r="V151" s="45">
        <f t="shared" si="36"/>
        <v>-19.926427243892611</v>
      </c>
      <c r="W151" s="488"/>
      <c r="X151" s="489"/>
      <c r="Y151" s="489"/>
      <c r="Z151" s="490"/>
      <c r="AA151" s="46"/>
    </row>
    <row r="152" spans="1:27" s="421" customFormat="1" x14ac:dyDescent="0.25">
      <c r="A152" s="581">
        <f t="shared" si="32"/>
        <v>0.27504054655968807</v>
      </c>
      <c r="B152" s="31">
        <f t="shared" si="40"/>
        <v>120</v>
      </c>
      <c r="C152" s="434">
        <f>'SOLLECITAZ NASCOSTO'!$D$6/'SOLLECITAZ NASCOSTO'!$B$448*'SOLLECITAZ NASCOSTO'!B152</f>
        <v>1.3073254593060233</v>
      </c>
      <c r="D152" s="434">
        <f t="shared" si="33"/>
        <v>0.39504054655968807</v>
      </c>
      <c r="E152" s="434">
        <f t="shared" si="27"/>
        <v>0.27504054655968807</v>
      </c>
      <c r="F152" s="434">
        <f t="shared" si="28"/>
        <v>0.38801297489910019</v>
      </c>
      <c r="G152" s="434">
        <f t="shared" si="29"/>
        <v>4.0665125348188336E-2</v>
      </c>
      <c r="H152" s="434">
        <f t="shared" si="41"/>
        <v>0</v>
      </c>
      <c r="I152" s="434">
        <v>0</v>
      </c>
      <c r="J152" s="127">
        <f t="shared" si="42"/>
        <v>0.10480351941520252</v>
      </c>
      <c r="K152" s="126">
        <f t="shared" si="30"/>
        <v>3.5697096958266198E-3</v>
      </c>
      <c r="L152" s="41">
        <f t="shared" si="43"/>
        <v>37.859781788748165</v>
      </c>
      <c r="M152" s="41">
        <f t="shared" si="44"/>
        <v>-20.336256050785014</v>
      </c>
      <c r="N152" s="41">
        <f>(IF(C151&lt;='SOLLECITAZ NASCOSTO'!$P$12,IF(C151&lt;='SOLLECITAZ NASCOSTO'!$P$11,IF(C151&lt;='SOLLECITAZ NASCOSTO'!$P$10,IF(C151&lt;='SOLLECITAZ NASCOSTO'!$P$9,IF(C151&lt;='SOLLECITAZ NASCOSTO'!$P$8,IF(C151&lt;='SOLLECITAZ NASCOSTO'!$P$7,IF(C151&lt;='SOLLECITAZ NASCOSTO'!$P$6,IF(C151&lt;='SOLLECITAZ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paramento'!$G$111),55555)-IF(C151&lt;='SOLLECITAZ NASCOSTO'!$P$12,IF(C151&lt;='SOLLECITAZ NASCOSTO'!$P$11,IF(C151&lt;='SOLLECITAZ NASCOSTO'!$P$10,IF(C151&lt;='SOLLECITAZ NASCOSTO'!$P$9,IF(C151&lt;='SOLLECITAZ NASCOSTO'!$P$8,IF(C151&lt;='SOLLECITAZ NASCOSTO'!$P$7,IF(C151&lt;='SOLLECITAZ NASCOSTO'!$P$6,IF(C151&lt;='SOLLECITAZ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paramento'!$G$111))*(C151-IF(C151&lt;='SOLLECITAZ NASCOSTO'!$P$12,IF(C151&lt;='SOLLECITAZ NASCOSTO'!$P$11,IF(C151&lt;='SOLLECITAZ NASCOSTO'!$P$10,IF(C151&lt;='SOLLECITAZ NASCOSTO'!$P$9,IF(C151&lt;='SOLLECITAZ NASCOSTO'!$P$8,IF(C151&lt;='SOLLECITAZ NASCOSTO'!$P$7,IF(C151&lt;='SOLLECITAZ NASCOSTO'!$P$6,IF(C151&lt;='SOLLECITAZ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NASCOSTO'!$P$12))/IF(C151&lt;='SOLLECITAZ NASCOSTO'!$P$12,IF(C151&lt;='SOLLECITAZ NASCOSTO'!$P$11,IF(C151&lt;='SOLLECITAZ NASCOSTO'!$P$10,IF(C151&lt;='SOLLECITAZ NASCOSTO'!$P$9,IF(C151&lt;='SOLLECITAZ NASCOSTO'!$P$8,IF(C151&lt;='SOLLECITAZ NASCOSTO'!$P$7,IF(C151&lt;='SOLLECITAZ NASCOSTO'!$P$6,IF(C151&lt;='SOLLECITAZ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paramento'!$C$111)+IF(C151&lt;='SOLLECITAZ NASCOSTO'!$P$12,IF(C151&lt;='SOLLECITAZ NASCOSTO'!$P$11,IF(C151&lt;='SOLLECITAZ NASCOSTO'!$P$10,IF(C151&lt;='SOLLECITAZ NASCOSTO'!$P$9,IF(C151&lt;='SOLLECITAZ NASCOSTO'!$P$8,IF(C151&lt;='SOLLECITAZ NASCOSTO'!$P$7,IF(C151&lt;='SOLLECITAZ NASCOSTO'!$P$6,IF(C151&lt;='SOLLECITAZ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44.188974779169428</v>
      </c>
      <c r="O152" s="41">
        <f>IF(C152&lt;='SOLLECITAZ NASCOSTO'!$P$12,IF(C152&lt;='SOLLECITAZ NASCOSTO'!$P$11,IF(C152&lt;='SOLLECITAZ NASCOSTO'!$P$10,IF(C152&lt;='SOLLECITAZ NASCOSTO'!$P$9,IF(C152&lt;='SOLLECITAZ NASCOSTO'!$P$8,IF(C152&lt;='SOLLECITAZ NASCOSTO'!$P$7,IF(C152&lt;='SOLLECITAZ NASCOSTO'!$P$6,IF(C152&lt;='SOLLECITAZ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paramento'!$G$110),55555)*(C152-C151)/IF(C152&lt;='SOLLECITAZ NASCOSTO'!$P$12,IF(C152&lt;='SOLLECITAZ NASCOSTO'!$P$11,IF(C152&lt;='SOLLECITAZ NASCOSTO'!$P$10,IF(C152&lt;='SOLLECITAZ NASCOSTO'!$P$9,IF(C152&lt;='SOLLECITAZ NASCOSTO'!$P$8,IF(C152&lt;='SOLLECITAZ NASCOSTO'!$P$7,IF(C152&lt;='SOLLECITAZ NASCOSTO'!$P$6,IF(C152&lt;='SOLLECITAZ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52" s="41">
        <f t="shared" si="39"/>
        <v>1.1899999999999976E-4</v>
      </c>
      <c r="Q152" s="41">
        <f t="shared" si="37"/>
        <v>1</v>
      </c>
      <c r="R152" s="434">
        <f t="shared" si="31"/>
        <v>1.3073254593060233</v>
      </c>
      <c r="S152" s="45">
        <f t="shared" si="38"/>
        <v>1.3073254593060233</v>
      </c>
      <c r="T152" s="205">
        <f t="shared" si="34"/>
        <v>3.7247361329548578</v>
      </c>
      <c r="U152" s="45">
        <f t="shared" si="35"/>
        <v>37.859781788748165</v>
      </c>
      <c r="V152" s="45">
        <f t="shared" si="36"/>
        <v>-20.336256050785014</v>
      </c>
      <c r="W152" s="488"/>
      <c r="X152" s="489"/>
      <c r="Y152" s="489"/>
      <c r="Z152" s="490"/>
      <c r="AA152" s="46"/>
    </row>
    <row r="153" spans="1:27" s="421" customFormat="1" x14ac:dyDescent="0.25">
      <c r="A153" s="581">
        <f t="shared" si="32"/>
        <v>0.27661138930779722</v>
      </c>
      <c r="B153" s="31">
        <f t="shared" si="40"/>
        <v>121</v>
      </c>
      <c r="C153" s="434">
        <f>'SOLLECITAZ NASCOSTO'!$D$6/'SOLLECITAZ NASCOSTO'!$B$448*'SOLLECITAZ NASCOSTO'!B153</f>
        <v>1.3182198381335735</v>
      </c>
      <c r="D153" s="434">
        <f t="shared" si="33"/>
        <v>0.39661138930779721</v>
      </c>
      <c r="E153" s="434">
        <f t="shared" si="27"/>
        <v>0.27661138930779722</v>
      </c>
      <c r="F153" s="434">
        <f t="shared" si="28"/>
        <v>0.38851564457849508</v>
      </c>
      <c r="G153" s="434">
        <f t="shared" si="29"/>
        <v>4.0864095060585776E-2</v>
      </c>
      <c r="H153" s="434">
        <f t="shared" si="41"/>
        <v>0</v>
      </c>
      <c r="I153" s="434">
        <v>0</v>
      </c>
      <c r="J153" s="127">
        <f t="shared" si="42"/>
        <v>0.1051800503552944</v>
      </c>
      <c r="K153" s="126">
        <f t="shared" si="30"/>
        <v>3.6122278559438071E-3</v>
      </c>
      <c r="L153" s="41">
        <f t="shared" si="43"/>
        <v>38.345411353459745</v>
      </c>
      <c r="M153" s="41">
        <f t="shared" si="44"/>
        <v>-20.751360172143936</v>
      </c>
      <c r="N153" s="41">
        <f>(IF(C152&lt;='SOLLECITAZ NASCOSTO'!$P$12,IF(C152&lt;='SOLLECITAZ NASCOSTO'!$P$11,IF(C152&lt;='SOLLECITAZ NASCOSTO'!$P$10,IF(C152&lt;='SOLLECITAZ NASCOSTO'!$P$9,IF(C152&lt;='SOLLECITAZ NASCOSTO'!$P$8,IF(C152&lt;='SOLLECITAZ NASCOSTO'!$P$7,IF(C152&lt;='SOLLECITAZ NASCOSTO'!$P$6,IF(C152&lt;='SOLLECITAZ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paramento'!$G$111),55555)-IF(C152&lt;='SOLLECITAZ NASCOSTO'!$P$12,IF(C152&lt;='SOLLECITAZ NASCOSTO'!$P$11,IF(C152&lt;='SOLLECITAZ NASCOSTO'!$P$10,IF(C152&lt;='SOLLECITAZ NASCOSTO'!$P$9,IF(C152&lt;='SOLLECITAZ NASCOSTO'!$P$8,IF(C152&lt;='SOLLECITAZ NASCOSTO'!$P$7,IF(C152&lt;='SOLLECITAZ NASCOSTO'!$P$6,IF(C152&lt;='SOLLECITAZ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paramento'!$G$111))*(C152-IF(C152&lt;='SOLLECITAZ NASCOSTO'!$P$12,IF(C152&lt;='SOLLECITAZ NASCOSTO'!$P$11,IF(C152&lt;='SOLLECITAZ NASCOSTO'!$P$10,IF(C152&lt;='SOLLECITAZ NASCOSTO'!$P$9,IF(C152&lt;='SOLLECITAZ NASCOSTO'!$P$8,IF(C152&lt;='SOLLECITAZ NASCOSTO'!$P$7,IF(C152&lt;='SOLLECITAZ NASCOSTO'!$P$6,IF(C152&lt;='SOLLECITAZ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NASCOSTO'!$P$12))/IF(C152&lt;='SOLLECITAZ NASCOSTO'!$P$12,IF(C152&lt;='SOLLECITAZ NASCOSTO'!$P$11,IF(C152&lt;='SOLLECITAZ NASCOSTO'!$P$10,IF(C152&lt;='SOLLECITAZ NASCOSTO'!$P$9,IF(C152&lt;='SOLLECITAZ NASCOSTO'!$P$8,IF(C152&lt;='SOLLECITAZ NASCOSTO'!$P$7,IF(C152&lt;='SOLLECITAZ NASCOSTO'!$P$6,IF(C152&lt;='SOLLECITAZ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paramento'!$C$111)+IF(C152&lt;='SOLLECITAZ NASCOSTO'!$P$12,IF(C152&lt;='SOLLECITAZ NASCOSTO'!$P$11,IF(C152&lt;='SOLLECITAZ NASCOSTO'!$P$10,IF(C152&lt;='SOLLECITAZ NASCOSTO'!$P$9,IF(C152&lt;='SOLLECITAZ NASCOSTO'!$P$8,IF(C152&lt;='SOLLECITAZ NASCOSTO'!$P$7,IF(C152&lt;='SOLLECITAZ NASCOSTO'!$P$6,IF(C152&lt;='SOLLECITAZ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44.447097708618827</v>
      </c>
      <c r="O153" s="41">
        <f>IF(C153&lt;='SOLLECITAZ NASCOSTO'!$P$12,IF(C153&lt;='SOLLECITAZ NASCOSTO'!$P$11,IF(C153&lt;='SOLLECITAZ NASCOSTO'!$P$10,IF(C153&lt;='SOLLECITAZ NASCOSTO'!$P$9,IF(C153&lt;='SOLLECITAZ NASCOSTO'!$P$8,IF(C153&lt;='SOLLECITAZ NASCOSTO'!$P$7,IF(C153&lt;='SOLLECITAZ NASCOSTO'!$P$6,IF(C153&lt;='SOLLECITAZ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paramento'!$G$110),55555)*(C153-C152)/IF(C153&lt;='SOLLECITAZ NASCOSTO'!$P$12,IF(C153&lt;='SOLLECITAZ NASCOSTO'!$P$11,IF(C153&lt;='SOLLECITAZ NASCOSTO'!$P$10,IF(C153&lt;='SOLLECITAZ NASCOSTO'!$P$9,IF(C153&lt;='SOLLECITAZ NASCOSTO'!$P$8,IF(C153&lt;='SOLLECITAZ NASCOSTO'!$P$7,IF(C153&lt;='SOLLECITAZ NASCOSTO'!$P$6,IF(C153&lt;='SOLLECITAZ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53" s="41">
        <f t="shared" si="39"/>
        <v>1.1999999999999976E-4</v>
      </c>
      <c r="Q153" s="41">
        <f t="shared" si="37"/>
        <v>1</v>
      </c>
      <c r="R153" s="434">
        <f t="shared" si="31"/>
        <v>1.3182198381335735</v>
      </c>
      <c r="S153" s="45">
        <f t="shared" si="38"/>
        <v>1.3182198381335735</v>
      </c>
      <c r="T153" s="205">
        <f t="shared" si="34"/>
        <v>3.7138417541273077</v>
      </c>
      <c r="U153" s="45">
        <f t="shared" si="35"/>
        <v>38.345411353459745</v>
      </c>
      <c r="V153" s="45">
        <f t="shared" si="36"/>
        <v>-20.751360172143936</v>
      </c>
      <c r="W153" s="488"/>
      <c r="X153" s="489"/>
      <c r="Y153" s="489"/>
      <c r="Z153" s="490"/>
      <c r="AA153" s="46"/>
    </row>
    <row r="154" spans="1:27" s="421" customFormat="1" x14ac:dyDescent="0.25">
      <c r="A154" s="581">
        <f t="shared" si="32"/>
        <v>0.27818223205590642</v>
      </c>
      <c r="B154" s="31">
        <f t="shared" si="40"/>
        <v>122</v>
      </c>
      <c r="C154" s="434">
        <f>'SOLLECITAZ NASCOSTO'!$D$6/'SOLLECITAZ NASCOSTO'!$B$448*'SOLLECITAZ NASCOSTO'!B154</f>
        <v>1.3291142169611239</v>
      </c>
      <c r="D154" s="434">
        <f t="shared" si="33"/>
        <v>0.39818223205590642</v>
      </c>
      <c r="E154" s="434">
        <f t="shared" si="27"/>
        <v>0.27818223205590642</v>
      </c>
      <c r="F154" s="434">
        <f t="shared" si="28"/>
        <v>0.38901831425789002</v>
      </c>
      <c r="G154" s="434">
        <f t="shared" si="29"/>
        <v>4.1063854388003793E-2</v>
      </c>
      <c r="H154" s="434">
        <f t="shared" si="41"/>
        <v>0</v>
      </c>
      <c r="I154" s="434">
        <v>0</v>
      </c>
      <c r="J154" s="127">
        <f t="shared" si="42"/>
        <v>0.10555763799022977</v>
      </c>
      <c r="K154" s="126">
        <f t="shared" si="30"/>
        <v>3.6550957791506352E-3</v>
      </c>
      <c r="L154" s="41">
        <f t="shared" si="43"/>
        <v>38.833853007148832</v>
      </c>
      <c r="M154" s="41">
        <f t="shared" si="44"/>
        <v>-21.171770243932002</v>
      </c>
      <c r="N154" s="41">
        <f>(IF(C153&lt;='SOLLECITAZ NASCOSTO'!$P$12,IF(C153&lt;='SOLLECITAZ NASCOSTO'!$P$11,IF(C153&lt;='SOLLECITAZ NASCOSTO'!$P$10,IF(C153&lt;='SOLLECITAZ NASCOSTO'!$P$9,IF(C153&lt;='SOLLECITAZ NASCOSTO'!$P$8,IF(C153&lt;='SOLLECITAZ NASCOSTO'!$P$7,IF(C153&lt;='SOLLECITAZ NASCOSTO'!$P$6,IF(C153&lt;='SOLLECITAZ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paramento'!$G$111),55555)-IF(C153&lt;='SOLLECITAZ NASCOSTO'!$P$12,IF(C153&lt;='SOLLECITAZ NASCOSTO'!$P$11,IF(C153&lt;='SOLLECITAZ NASCOSTO'!$P$10,IF(C153&lt;='SOLLECITAZ NASCOSTO'!$P$9,IF(C153&lt;='SOLLECITAZ NASCOSTO'!$P$8,IF(C153&lt;='SOLLECITAZ NASCOSTO'!$P$7,IF(C153&lt;='SOLLECITAZ NASCOSTO'!$P$6,IF(C153&lt;='SOLLECITAZ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paramento'!$G$111))*(C153-IF(C153&lt;='SOLLECITAZ NASCOSTO'!$P$12,IF(C153&lt;='SOLLECITAZ NASCOSTO'!$P$11,IF(C153&lt;='SOLLECITAZ NASCOSTO'!$P$10,IF(C153&lt;='SOLLECITAZ NASCOSTO'!$P$9,IF(C153&lt;='SOLLECITAZ NASCOSTO'!$P$8,IF(C153&lt;='SOLLECITAZ NASCOSTO'!$P$7,IF(C153&lt;='SOLLECITAZ NASCOSTO'!$P$6,IF(C153&lt;='SOLLECITAZ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NASCOSTO'!$P$12))/IF(C153&lt;='SOLLECITAZ NASCOSTO'!$P$12,IF(C153&lt;='SOLLECITAZ NASCOSTO'!$P$11,IF(C153&lt;='SOLLECITAZ NASCOSTO'!$P$10,IF(C153&lt;='SOLLECITAZ NASCOSTO'!$P$9,IF(C153&lt;='SOLLECITAZ NASCOSTO'!$P$8,IF(C153&lt;='SOLLECITAZ NASCOSTO'!$P$7,IF(C153&lt;='SOLLECITAZ NASCOSTO'!$P$6,IF(C153&lt;='SOLLECITAZ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paramento'!$C$111)+IF(C153&lt;='SOLLECITAZ NASCOSTO'!$P$12,IF(C153&lt;='SOLLECITAZ NASCOSTO'!$P$11,IF(C153&lt;='SOLLECITAZ NASCOSTO'!$P$10,IF(C153&lt;='SOLLECITAZ NASCOSTO'!$P$9,IF(C153&lt;='SOLLECITAZ NASCOSTO'!$P$8,IF(C153&lt;='SOLLECITAZ NASCOSTO'!$P$7,IF(C153&lt;='SOLLECITAZ NASCOSTO'!$P$6,IF(C153&lt;='SOLLECITAZ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44.705220638068241</v>
      </c>
      <c r="O154" s="41">
        <f>IF(C154&lt;='SOLLECITAZ NASCOSTO'!$P$12,IF(C154&lt;='SOLLECITAZ NASCOSTO'!$P$11,IF(C154&lt;='SOLLECITAZ NASCOSTO'!$P$10,IF(C154&lt;='SOLLECITAZ NASCOSTO'!$P$9,IF(C154&lt;='SOLLECITAZ NASCOSTO'!$P$8,IF(C154&lt;='SOLLECITAZ NASCOSTO'!$P$7,IF(C154&lt;='SOLLECITAZ NASCOSTO'!$P$6,IF(C154&lt;='SOLLECITAZ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paramento'!$G$110),55555)*(C154-C153)/IF(C154&lt;='SOLLECITAZ NASCOSTO'!$P$12,IF(C154&lt;='SOLLECITAZ NASCOSTO'!$P$11,IF(C154&lt;='SOLLECITAZ NASCOSTO'!$P$10,IF(C154&lt;='SOLLECITAZ NASCOSTO'!$P$9,IF(C154&lt;='SOLLECITAZ NASCOSTO'!$P$8,IF(C154&lt;='SOLLECITAZ NASCOSTO'!$P$7,IF(C154&lt;='SOLLECITAZ NASCOSTO'!$P$6,IF(C154&lt;='SOLLECITAZ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0.25812292944941068</v>
      </c>
      <c r="P154" s="41">
        <f t="shared" si="39"/>
        <v>1.2099999999999976E-4</v>
      </c>
      <c r="Q154" s="41">
        <f t="shared" si="37"/>
        <v>1</v>
      </c>
      <c r="R154" s="434">
        <f t="shared" si="31"/>
        <v>1.3291142169611239</v>
      </c>
      <c r="S154" s="45">
        <f t="shared" si="38"/>
        <v>1.3291142169611239</v>
      </c>
      <c r="T154" s="205">
        <f t="shared" si="34"/>
        <v>3.702947375299757</v>
      </c>
      <c r="U154" s="45">
        <f t="shared" si="35"/>
        <v>38.833853007148832</v>
      </c>
      <c r="V154" s="45">
        <f t="shared" si="36"/>
        <v>-21.171770243932002</v>
      </c>
      <c r="W154" s="488"/>
      <c r="X154" s="489"/>
      <c r="Y154" s="489"/>
      <c r="Z154" s="490"/>
      <c r="AA154" s="46"/>
    </row>
    <row r="155" spans="1:27" s="421" customFormat="1" x14ac:dyDescent="0.25">
      <c r="A155" s="581">
        <f t="shared" si="32"/>
        <v>0.27975307480401557</v>
      </c>
      <c r="B155" s="31">
        <f t="shared" si="40"/>
        <v>123</v>
      </c>
      <c r="C155" s="434">
        <f>'SOLLECITAZ NASCOSTO'!$D$6/'SOLLECITAZ NASCOSTO'!$B$448*'SOLLECITAZ NASCOSTO'!B155</f>
        <v>1.340008595788674</v>
      </c>
      <c r="D155" s="434">
        <f t="shared" si="33"/>
        <v>0.39975307480401556</v>
      </c>
      <c r="E155" s="434">
        <f t="shared" si="27"/>
        <v>0.27975307480401557</v>
      </c>
      <c r="F155" s="434">
        <f t="shared" si="28"/>
        <v>0.38952098393728496</v>
      </c>
      <c r="G155" s="434">
        <f t="shared" si="29"/>
        <v>4.1264403330442373E-2</v>
      </c>
      <c r="H155" s="434">
        <f t="shared" si="41"/>
        <v>0</v>
      </c>
      <c r="I155" s="434">
        <v>0</v>
      </c>
      <c r="J155" s="127">
        <f t="shared" si="42"/>
        <v>0.10593627822907269</v>
      </c>
      <c r="K155" s="126">
        <f t="shared" si="30"/>
        <v>3.6983145872786301E-3</v>
      </c>
      <c r="L155" s="41">
        <f t="shared" si="43"/>
        <v>39.325106749815404</v>
      </c>
      <c r="M155" s="41">
        <f t="shared" si="44"/>
        <v>-21.59751690211181</v>
      </c>
      <c r="N155" s="41">
        <f>(IF(C154&lt;='SOLLECITAZ NASCOSTO'!$P$12,IF(C154&lt;='SOLLECITAZ NASCOSTO'!$P$11,IF(C154&lt;='SOLLECITAZ NASCOSTO'!$P$10,IF(C154&lt;='SOLLECITAZ NASCOSTO'!$P$9,IF(C154&lt;='SOLLECITAZ NASCOSTO'!$P$8,IF(C154&lt;='SOLLECITAZ NASCOSTO'!$P$7,IF(C154&lt;='SOLLECITAZ NASCOSTO'!$P$6,IF(C154&lt;='SOLLECITAZ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paramento'!$G$111),55555)-IF(C154&lt;='SOLLECITAZ NASCOSTO'!$P$12,IF(C154&lt;='SOLLECITAZ NASCOSTO'!$P$11,IF(C154&lt;='SOLLECITAZ NASCOSTO'!$P$10,IF(C154&lt;='SOLLECITAZ NASCOSTO'!$P$9,IF(C154&lt;='SOLLECITAZ NASCOSTO'!$P$8,IF(C154&lt;='SOLLECITAZ NASCOSTO'!$P$7,IF(C154&lt;='SOLLECITAZ NASCOSTO'!$P$6,IF(C154&lt;='SOLLECITAZ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paramento'!$G$111))*(C154-IF(C154&lt;='SOLLECITAZ NASCOSTO'!$P$12,IF(C154&lt;='SOLLECITAZ NASCOSTO'!$P$11,IF(C154&lt;='SOLLECITAZ NASCOSTO'!$P$10,IF(C154&lt;='SOLLECITAZ NASCOSTO'!$P$9,IF(C154&lt;='SOLLECITAZ NASCOSTO'!$P$8,IF(C154&lt;='SOLLECITAZ NASCOSTO'!$P$7,IF(C154&lt;='SOLLECITAZ NASCOSTO'!$P$6,IF(C154&lt;='SOLLECITAZ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NASCOSTO'!$P$12))/IF(C154&lt;='SOLLECITAZ NASCOSTO'!$P$12,IF(C154&lt;='SOLLECITAZ NASCOSTO'!$P$11,IF(C154&lt;='SOLLECITAZ NASCOSTO'!$P$10,IF(C154&lt;='SOLLECITAZ NASCOSTO'!$P$9,IF(C154&lt;='SOLLECITAZ NASCOSTO'!$P$8,IF(C154&lt;='SOLLECITAZ NASCOSTO'!$P$7,IF(C154&lt;='SOLLECITAZ NASCOSTO'!$P$6,IF(C154&lt;='SOLLECITAZ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paramento'!$C$111)+IF(C154&lt;='SOLLECITAZ NASCOSTO'!$P$12,IF(C154&lt;='SOLLECITAZ NASCOSTO'!$P$11,IF(C154&lt;='SOLLECITAZ NASCOSTO'!$P$10,IF(C154&lt;='SOLLECITAZ NASCOSTO'!$P$9,IF(C154&lt;='SOLLECITAZ NASCOSTO'!$P$8,IF(C154&lt;='SOLLECITAZ NASCOSTO'!$P$7,IF(C154&lt;='SOLLECITAZ NASCOSTO'!$P$6,IF(C154&lt;='SOLLECITAZ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44.963343567517647</v>
      </c>
      <c r="O155" s="41">
        <f>IF(C155&lt;='SOLLECITAZ NASCOSTO'!$P$12,IF(C155&lt;='SOLLECITAZ NASCOSTO'!$P$11,IF(C155&lt;='SOLLECITAZ NASCOSTO'!$P$10,IF(C155&lt;='SOLLECITAZ NASCOSTO'!$P$9,IF(C155&lt;='SOLLECITAZ NASCOSTO'!$P$8,IF(C155&lt;='SOLLECITAZ NASCOSTO'!$P$7,IF(C155&lt;='SOLLECITAZ NASCOSTO'!$P$6,IF(C155&lt;='SOLLECITAZ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paramento'!$G$110),55555)*(C155-C154)/IF(C155&lt;='SOLLECITAZ NASCOSTO'!$P$12,IF(C155&lt;='SOLLECITAZ NASCOSTO'!$P$11,IF(C155&lt;='SOLLECITAZ NASCOSTO'!$P$10,IF(C155&lt;='SOLLECITAZ NASCOSTO'!$P$9,IF(C155&lt;='SOLLECITAZ NASCOSTO'!$P$8,IF(C155&lt;='SOLLECITAZ NASCOSTO'!$P$7,IF(C155&lt;='SOLLECITAZ NASCOSTO'!$P$6,IF(C155&lt;='SOLLECITAZ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55" s="41">
        <f t="shared" si="39"/>
        <v>1.2199999999999975E-4</v>
      </c>
      <c r="Q155" s="41">
        <f t="shared" si="37"/>
        <v>1</v>
      </c>
      <c r="R155" s="434">
        <f t="shared" si="31"/>
        <v>1.340008595788674</v>
      </c>
      <c r="S155" s="45">
        <f t="shared" si="38"/>
        <v>1.340008595788674</v>
      </c>
      <c r="T155" s="205">
        <f t="shared" si="34"/>
        <v>3.6920529964722069</v>
      </c>
      <c r="U155" s="45">
        <f t="shared" si="35"/>
        <v>39.325106749815404</v>
      </c>
      <c r="V155" s="45">
        <f t="shared" si="36"/>
        <v>-21.59751690211181</v>
      </c>
      <c r="W155" s="488"/>
      <c r="X155" s="489"/>
      <c r="Y155" s="489"/>
      <c r="Z155" s="490"/>
      <c r="AA155" s="46"/>
    </row>
    <row r="156" spans="1:27" s="421" customFormat="1" x14ac:dyDescent="0.25">
      <c r="A156" s="581">
        <f t="shared" si="32"/>
        <v>0.28132391755212471</v>
      </c>
      <c r="B156" s="31">
        <f t="shared" si="40"/>
        <v>124</v>
      </c>
      <c r="C156" s="434">
        <f>'SOLLECITAZ NASCOSTO'!$D$6/'SOLLECITAZ NASCOSTO'!$B$448*'SOLLECITAZ NASCOSTO'!B156</f>
        <v>1.3509029746162242</v>
      </c>
      <c r="D156" s="434">
        <f t="shared" si="33"/>
        <v>0.40132391755212471</v>
      </c>
      <c r="E156" s="434">
        <f t="shared" si="27"/>
        <v>0.28132391755212471</v>
      </c>
      <c r="F156" s="434">
        <f t="shared" si="28"/>
        <v>0.3900236536166799</v>
      </c>
      <c r="G156" s="434">
        <f t="shared" si="29"/>
        <v>4.146574188790153E-2</v>
      </c>
      <c r="H156" s="434">
        <f t="shared" si="41"/>
        <v>0</v>
      </c>
      <c r="I156" s="434">
        <v>0</v>
      </c>
      <c r="J156" s="127">
        <f t="shared" si="42"/>
        <v>0.10631596700197721</v>
      </c>
      <c r="K156" s="126">
        <f t="shared" si="30"/>
        <v>3.7418853995731761E-3</v>
      </c>
      <c r="L156" s="41">
        <f t="shared" si="43"/>
        <v>39.819172581459476</v>
      </c>
      <c r="M156" s="41">
        <f t="shared" si="44"/>
        <v>-22.02863078264599</v>
      </c>
      <c r="N156" s="41">
        <f>(IF(C155&lt;='SOLLECITAZ NASCOSTO'!$P$12,IF(C155&lt;='SOLLECITAZ NASCOSTO'!$P$11,IF(C155&lt;='SOLLECITAZ NASCOSTO'!$P$10,IF(C155&lt;='SOLLECITAZ NASCOSTO'!$P$9,IF(C155&lt;='SOLLECITAZ NASCOSTO'!$P$8,IF(C155&lt;='SOLLECITAZ NASCOSTO'!$P$7,IF(C155&lt;='SOLLECITAZ NASCOSTO'!$P$6,IF(C155&lt;='SOLLECITAZ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paramento'!$G$111),55555)-IF(C155&lt;='SOLLECITAZ NASCOSTO'!$P$12,IF(C155&lt;='SOLLECITAZ NASCOSTO'!$P$11,IF(C155&lt;='SOLLECITAZ NASCOSTO'!$P$10,IF(C155&lt;='SOLLECITAZ NASCOSTO'!$P$9,IF(C155&lt;='SOLLECITAZ NASCOSTO'!$P$8,IF(C155&lt;='SOLLECITAZ NASCOSTO'!$P$7,IF(C155&lt;='SOLLECITAZ NASCOSTO'!$P$6,IF(C155&lt;='SOLLECITAZ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paramento'!$G$111))*(C155-IF(C155&lt;='SOLLECITAZ NASCOSTO'!$P$12,IF(C155&lt;='SOLLECITAZ NASCOSTO'!$P$11,IF(C155&lt;='SOLLECITAZ NASCOSTO'!$P$10,IF(C155&lt;='SOLLECITAZ NASCOSTO'!$P$9,IF(C155&lt;='SOLLECITAZ NASCOSTO'!$P$8,IF(C155&lt;='SOLLECITAZ NASCOSTO'!$P$7,IF(C155&lt;='SOLLECITAZ NASCOSTO'!$P$6,IF(C155&lt;='SOLLECITAZ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NASCOSTO'!$P$12))/IF(C155&lt;='SOLLECITAZ NASCOSTO'!$P$12,IF(C155&lt;='SOLLECITAZ NASCOSTO'!$P$11,IF(C155&lt;='SOLLECITAZ NASCOSTO'!$P$10,IF(C155&lt;='SOLLECITAZ NASCOSTO'!$P$9,IF(C155&lt;='SOLLECITAZ NASCOSTO'!$P$8,IF(C155&lt;='SOLLECITAZ NASCOSTO'!$P$7,IF(C155&lt;='SOLLECITAZ NASCOSTO'!$P$6,IF(C155&lt;='SOLLECITAZ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paramento'!$C$111)+IF(C155&lt;='SOLLECITAZ NASCOSTO'!$P$12,IF(C155&lt;='SOLLECITAZ NASCOSTO'!$P$11,IF(C155&lt;='SOLLECITAZ NASCOSTO'!$P$10,IF(C155&lt;='SOLLECITAZ NASCOSTO'!$P$9,IF(C155&lt;='SOLLECITAZ NASCOSTO'!$P$8,IF(C155&lt;='SOLLECITAZ NASCOSTO'!$P$7,IF(C155&lt;='SOLLECITAZ NASCOSTO'!$P$6,IF(C155&lt;='SOLLECITAZ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45.221466496967054</v>
      </c>
      <c r="O156" s="41">
        <f>IF(C156&lt;='SOLLECITAZ NASCOSTO'!$P$12,IF(C156&lt;='SOLLECITAZ NASCOSTO'!$P$11,IF(C156&lt;='SOLLECITAZ NASCOSTO'!$P$10,IF(C156&lt;='SOLLECITAZ NASCOSTO'!$P$9,IF(C156&lt;='SOLLECITAZ NASCOSTO'!$P$8,IF(C156&lt;='SOLLECITAZ NASCOSTO'!$P$7,IF(C156&lt;='SOLLECITAZ NASCOSTO'!$P$6,IF(C156&lt;='SOLLECITAZ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paramento'!$G$110),55555)*(C156-C155)/IF(C156&lt;='SOLLECITAZ NASCOSTO'!$P$12,IF(C156&lt;='SOLLECITAZ NASCOSTO'!$P$11,IF(C156&lt;='SOLLECITAZ NASCOSTO'!$P$10,IF(C156&lt;='SOLLECITAZ NASCOSTO'!$P$9,IF(C156&lt;='SOLLECITAZ NASCOSTO'!$P$8,IF(C156&lt;='SOLLECITAZ NASCOSTO'!$P$7,IF(C156&lt;='SOLLECITAZ NASCOSTO'!$P$6,IF(C156&lt;='SOLLECITAZ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56" s="41">
        <f t="shared" si="39"/>
        <v>1.2299999999999976E-4</v>
      </c>
      <c r="Q156" s="41">
        <f t="shared" si="37"/>
        <v>1</v>
      </c>
      <c r="R156" s="434">
        <f t="shared" si="31"/>
        <v>1.3509029746162242</v>
      </c>
      <c r="S156" s="45">
        <f t="shared" si="38"/>
        <v>1.3509029746162242</v>
      </c>
      <c r="T156" s="205">
        <f t="shared" si="34"/>
        <v>3.6811586176446567</v>
      </c>
      <c r="U156" s="45">
        <f t="shared" si="35"/>
        <v>39.819172581459476</v>
      </c>
      <c r="V156" s="45">
        <f t="shared" si="36"/>
        <v>-22.02863078264599</v>
      </c>
      <c r="W156" s="488"/>
      <c r="X156" s="489"/>
      <c r="Y156" s="489"/>
      <c r="Z156" s="490"/>
      <c r="AA156" s="46"/>
    </row>
    <row r="157" spans="1:27" s="421" customFormat="1" x14ac:dyDescent="0.25">
      <c r="A157" s="581">
        <f t="shared" si="32"/>
        <v>0.28289476030023386</v>
      </c>
      <c r="B157" s="31">
        <f t="shared" si="40"/>
        <v>125</v>
      </c>
      <c r="C157" s="434">
        <f>'SOLLECITAZ NASCOSTO'!$D$6/'SOLLECITAZ NASCOSTO'!$B$448*'SOLLECITAZ NASCOSTO'!B157</f>
        <v>1.3617973534437744</v>
      </c>
      <c r="D157" s="434">
        <f t="shared" si="33"/>
        <v>0.40289476030023386</v>
      </c>
      <c r="E157" s="434">
        <f t="shared" si="27"/>
        <v>0.28289476030023386</v>
      </c>
      <c r="F157" s="434">
        <f t="shared" si="28"/>
        <v>0.39052632329607484</v>
      </c>
      <c r="G157" s="434">
        <f t="shared" si="29"/>
        <v>4.1667870060381265E-2</v>
      </c>
      <c r="H157" s="434">
        <f t="shared" si="41"/>
        <v>0</v>
      </c>
      <c r="I157" s="434">
        <v>0</v>
      </c>
      <c r="J157" s="127">
        <f t="shared" si="42"/>
        <v>0.1066967002600515</v>
      </c>
      <c r="K157" s="126">
        <f t="shared" si="30"/>
        <v>3.7858093327101461E-3</v>
      </c>
      <c r="L157" s="41">
        <f t="shared" si="43"/>
        <v>40.316050502081048</v>
      </c>
      <c r="M157" s="41">
        <f t="shared" si="44"/>
        <v>-22.465142521497157</v>
      </c>
      <c r="N157" s="41">
        <f>(IF(C156&lt;='SOLLECITAZ NASCOSTO'!$P$12,IF(C156&lt;='SOLLECITAZ NASCOSTO'!$P$11,IF(C156&lt;='SOLLECITAZ NASCOSTO'!$P$10,IF(C156&lt;='SOLLECITAZ NASCOSTO'!$P$9,IF(C156&lt;='SOLLECITAZ NASCOSTO'!$P$8,IF(C156&lt;='SOLLECITAZ NASCOSTO'!$P$7,IF(C156&lt;='SOLLECITAZ NASCOSTO'!$P$6,IF(C156&lt;='SOLLECITAZ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paramento'!$G$111),55555)-IF(C156&lt;='SOLLECITAZ NASCOSTO'!$P$12,IF(C156&lt;='SOLLECITAZ NASCOSTO'!$P$11,IF(C156&lt;='SOLLECITAZ NASCOSTO'!$P$10,IF(C156&lt;='SOLLECITAZ NASCOSTO'!$P$9,IF(C156&lt;='SOLLECITAZ NASCOSTO'!$P$8,IF(C156&lt;='SOLLECITAZ NASCOSTO'!$P$7,IF(C156&lt;='SOLLECITAZ NASCOSTO'!$P$6,IF(C156&lt;='SOLLECITAZ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paramento'!$G$111))*(C156-IF(C156&lt;='SOLLECITAZ NASCOSTO'!$P$12,IF(C156&lt;='SOLLECITAZ NASCOSTO'!$P$11,IF(C156&lt;='SOLLECITAZ NASCOSTO'!$P$10,IF(C156&lt;='SOLLECITAZ NASCOSTO'!$P$9,IF(C156&lt;='SOLLECITAZ NASCOSTO'!$P$8,IF(C156&lt;='SOLLECITAZ NASCOSTO'!$P$7,IF(C156&lt;='SOLLECITAZ NASCOSTO'!$P$6,IF(C156&lt;='SOLLECITAZ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NASCOSTO'!$P$12))/IF(C156&lt;='SOLLECITAZ NASCOSTO'!$P$12,IF(C156&lt;='SOLLECITAZ NASCOSTO'!$P$11,IF(C156&lt;='SOLLECITAZ NASCOSTO'!$P$10,IF(C156&lt;='SOLLECITAZ NASCOSTO'!$P$9,IF(C156&lt;='SOLLECITAZ NASCOSTO'!$P$8,IF(C156&lt;='SOLLECITAZ NASCOSTO'!$P$7,IF(C156&lt;='SOLLECITAZ NASCOSTO'!$P$6,IF(C156&lt;='SOLLECITAZ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paramento'!$C$111)+IF(C156&lt;='SOLLECITAZ NASCOSTO'!$P$12,IF(C156&lt;='SOLLECITAZ NASCOSTO'!$P$11,IF(C156&lt;='SOLLECITAZ NASCOSTO'!$P$10,IF(C156&lt;='SOLLECITAZ NASCOSTO'!$P$9,IF(C156&lt;='SOLLECITAZ NASCOSTO'!$P$8,IF(C156&lt;='SOLLECITAZ NASCOSTO'!$P$7,IF(C156&lt;='SOLLECITAZ NASCOSTO'!$P$6,IF(C156&lt;='SOLLECITAZ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45.47958942641646</v>
      </c>
      <c r="O157" s="41">
        <f>IF(C157&lt;='SOLLECITAZ NASCOSTO'!$P$12,IF(C157&lt;='SOLLECITAZ NASCOSTO'!$P$11,IF(C157&lt;='SOLLECITAZ NASCOSTO'!$P$10,IF(C157&lt;='SOLLECITAZ NASCOSTO'!$P$9,IF(C157&lt;='SOLLECITAZ NASCOSTO'!$P$8,IF(C157&lt;='SOLLECITAZ NASCOSTO'!$P$7,IF(C157&lt;='SOLLECITAZ NASCOSTO'!$P$6,IF(C157&lt;='SOLLECITAZ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paramento'!$G$110),55555)*(C157-C156)/IF(C157&lt;='SOLLECITAZ NASCOSTO'!$P$12,IF(C157&lt;='SOLLECITAZ NASCOSTO'!$P$11,IF(C157&lt;='SOLLECITAZ NASCOSTO'!$P$10,IF(C157&lt;='SOLLECITAZ NASCOSTO'!$P$9,IF(C157&lt;='SOLLECITAZ NASCOSTO'!$P$8,IF(C157&lt;='SOLLECITAZ NASCOSTO'!$P$7,IF(C157&lt;='SOLLECITAZ NASCOSTO'!$P$6,IF(C157&lt;='SOLLECITAZ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57" s="41">
        <f t="shared" si="39"/>
        <v>1.2399999999999976E-4</v>
      </c>
      <c r="Q157" s="41">
        <f t="shared" si="37"/>
        <v>1</v>
      </c>
      <c r="R157" s="434">
        <f t="shared" si="31"/>
        <v>1.3617973534437744</v>
      </c>
      <c r="S157" s="45">
        <f t="shared" si="38"/>
        <v>1.3617973534437744</v>
      </c>
      <c r="T157" s="205">
        <f t="shared" si="34"/>
        <v>3.6702642388171065</v>
      </c>
      <c r="U157" s="45">
        <f t="shared" si="35"/>
        <v>40.316050502081048</v>
      </c>
      <c r="V157" s="45">
        <f t="shared" si="36"/>
        <v>-22.465142521497157</v>
      </c>
      <c r="W157" s="488"/>
      <c r="X157" s="489"/>
      <c r="Y157" s="489"/>
      <c r="Z157" s="490"/>
      <c r="AA157" s="46"/>
    </row>
    <row r="158" spans="1:27" s="421" customFormat="1" x14ac:dyDescent="0.25">
      <c r="A158" s="581">
        <f t="shared" si="32"/>
        <v>0.28446560304834306</v>
      </c>
      <c r="B158" s="31">
        <f t="shared" si="40"/>
        <v>126</v>
      </c>
      <c r="C158" s="434">
        <f>'SOLLECITAZ NASCOSTO'!$D$6/'SOLLECITAZ NASCOSTO'!$B$448*'SOLLECITAZ NASCOSTO'!B158</f>
        <v>1.3726917322713246</v>
      </c>
      <c r="D158" s="434">
        <f t="shared" si="33"/>
        <v>0.40446560304834306</v>
      </c>
      <c r="E158" s="434">
        <f t="shared" si="27"/>
        <v>0.28446560304834306</v>
      </c>
      <c r="F158" s="434">
        <f t="shared" si="28"/>
        <v>0.39102899297546978</v>
      </c>
      <c r="G158" s="434">
        <f t="shared" si="29"/>
        <v>4.1870787847881563E-2</v>
      </c>
      <c r="H158" s="434">
        <f t="shared" si="41"/>
        <v>0</v>
      </c>
      <c r="I158" s="434">
        <v>0</v>
      </c>
      <c r="J158" s="127">
        <f t="shared" si="42"/>
        <v>0.10707847397522316</v>
      </c>
      <c r="K158" s="126">
        <f t="shared" si="30"/>
        <v>3.8300875008124304E-3</v>
      </c>
      <c r="L158" s="41">
        <f t="shared" si="43"/>
        <v>40.815740511680119</v>
      </c>
      <c r="M158" s="41">
        <f t="shared" si="44"/>
        <v>-22.907082754627929</v>
      </c>
      <c r="N158" s="41">
        <f>(IF(C157&lt;='SOLLECITAZ NASCOSTO'!$P$12,IF(C157&lt;='SOLLECITAZ NASCOSTO'!$P$11,IF(C157&lt;='SOLLECITAZ NASCOSTO'!$P$10,IF(C157&lt;='SOLLECITAZ NASCOSTO'!$P$9,IF(C157&lt;='SOLLECITAZ NASCOSTO'!$P$8,IF(C157&lt;='SOLLECITAZ NASCOSTO'!$P$7,IF(C157&lt;='SOLLECITAZ NASCOSTO'!$P$6,IF(C157&lt;='SOLLECITAZ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paramento'!$G$111),55555)-IF(C157&lt;='SOLLECITAZ NASCOSTO'!$P$12,IF(C157&lt;='SOLLECITAZ NASCOSTO'!$P$11,IF(C157&lt;='SOLLECITAZ NASCOSTO'!$P$10,IF(C157&lt;='SOLLECITAZ NASCOSTO'!$P$9,IF(C157&lt;='SOLLECITAZ NASCOSTO'!$P$8,IF(C157&lt;='SOLLECITAZ NASCOSTO'!$P$7,IF(C157&lt;='SOLLECITAZ NASCOSTO'!$P$6,IF(C157&lt;='SOLLECITAZ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paramento'!$G$111))*(C157-IF(C157&lt;='SOLLECITAZ NASCOSTO'!$P$12,IF(C157&lt;='SOLLECITAZ NASCOSTO'!$P$11,IF(C157&lt;='SOLLECITAZ NASCOSTO'!$P$10,IF(C157&lt;='SOLLECITAZ NASCOSTO'!$P$9,IF(C157&lt;='SOLLECITAZ NASCOSTO'!$P$8,IF(C157&lt;='SOLLECITAZ NASCOSTO'!$P$7,IF(C157&lt;='SOLLECITAZ NASCOSTO'!$P$6,IF(C157&lt;='SOLLECITAZ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NASCOSTO'!$P$12))/IF(C157&lt;='SOLLECITAZ NASCOSTO'!$P$12,IF(C157&lt;='SOLLECITAZ NASCOSTO'!$P$11,IF(C157&lt;='SOLLECITAZ NASCOSTO'!$P$10,IF(C157&lt;='SOLLECITAZ NASCOSTO'!$P$9,IF(C157&lt;='SOLLECITAZ NASCOSTO'!$P$8,IF(C157&lt;='SOLLECITAZ NASCOSTO'!$P$7,IF(C157&lt;='SOLLECITAZ NASCOSTO'!$P$6,IF(C157&lt;='SOLLECITAZ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paramento'!$C$111)+IF(C157&lt;='SOLLECITAZ NASCOSTO'!$P$12,IF(C157&lt;='SOLLECITAZ NASCOSTO'!$P$11,IF(C157&lt;='SOLLECITAZ NASCOSTO'!$P$10,IF(C157&lt;='SOLLECITAZ NASCOSTO'!$P$9,IF(C157&lt;='SOLLECITAZ NASCOSTO'!$P$8,IF(C157&lt;='SOLLECITAZ NASCOSTO'!$P$7,IF(C157&lt;='SOLLECITAZ NASCOSTO'!$P$6,IF(C157&lt;='SOLLECITAZ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45.737712355865867</v>
      </c>
      <c r="O158" s="41">
        <f>IF(C158&lt;='SOLLECITAZ NASCOSTO'!$P$12,IF(C158&lt;='SOLLECITAZ NASCOSTO'!$P$11,IF(C158&lt;='SOLLECITAZ NASCOSTO'!$P$10,IF(C158&lt;='SOLLECITAZ NASCOSTO'!$P$9,IF(C158&lt;='SOLLECITAZ NASCOSTO'!$P$8,IF(C158&lt;='SOLLECITAZ NASCOSTO'!$P$7,IF(C158&lt;='SOLLECITAZ NASCOSTO'!$P$6,IF(C158&lt;='SOLLECITAZ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paramento'!$G$110),55555)*(C158-C157)/IF(C158&lt;='SOLLECITAZ NASCOSTO'!$P$12,IF(C158&lt;='SOLLECITAZ NASCOSTO'!$P$11,IF(C158&lt;='SOLLECITAZ NASCOSTO'!$P$10,IF(C158&lt;='SOLLECITAZ NASCOSTO'!$P$9,IF(C158&lt;='SOLLECITAZ NASCOSTO'!$P$8,IF(C158&lt;='SOLLECITAZ NASCOSTO'!$P$7,IF(C158&lt;='SOLLECITAZ NASCOSTO'!$P$6,IF(C158&lt;='SOLLECITAZ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58" s="41">
        <f t="shared" si="39"/>
        <v>1.2499999999999976E-4</v>
      </c>
      <c r="Q158" s="41">
        <f t="shared" si="37"/>
        <v>1</v>
      </c>
      <c r="R158" s="434">
        <f t="shared" si="31"/>
        <v>1.3726917322713246</v>
      </c>
      <c r="S158" s="45">
        <f t="shared" si="38"/>
        <v>1.3726917322713246</v>
      </c>
      <c r="T158" s="205">
        <f t="shared" si="34"/>
        <v>3.6593698599895563</v>
      </c>
      <c r="U158" s="45">
        <f t="shared" si="35"/>
        <v>40.815740511680119</v>
      </c>
      <c r="V158" s="45">
        <f t="shared" si="36"/>
        <v>-22.907082754627929</v>
      </c>
      <c r="W158" s="488"/>
      <c r="X158" s="489"/>
      <c r="Y158" s="489"/>
      <c r="Z158" s="490"/>
      <c r="AA158" s="46"/>
    </row>
    <row r="159" spans="1:27" s="421" customFormat="1" x14ac:dyDescent="0.25">
      <c r="A159" s="581">
        <f t="shared" si="32"/>
        <v>0.28603644579645221</v>
      </c>
      <c r="B159" s="31">
        <f t="shared" si="40"/>
        <v>127</v>
      </c>
      <c r="C159" s="434">
        <f>'SOLLECITAZ NASCOSTO'!$D$6/'SOLLECITAZ NASCOSTO'!$B$448*'SOLLECITAZ NASCOSTO'!B159</f>
        <v>1.3835861110988747</v>
      </c>
      <c r="D159" s="434">
        <f t="shared" si="33"/>
        <v>0.40603644579645221</v>
      </c>
      <c r="E159" s="434">
        <f t="shared" si="27"/>
        <v>0.28603644579645221</v>
      </c>
      <c r="F159" s="434">
        <f t="shared" si="28"/>
        <v>0.39153166265486472</v>
      </c>
      <c r="G159" s="434">
        <f t="shared" si="29"/>
        <v>4.2074495250402438E-2</v>
      </c>
      <c r="H159" s="434">
        <f t="shared" si="41"/>
        <v>0</v>
      </c>
      <c r="I159" s="434">
        <v>0</v>
      </c>
      <c r="J159" s="127">
        <f t="shared" si="42"/>
        <v>0.10746128414010572</v>
      </c>
      <c r="K159" s="126">
        <f t="shared" si="30"/>
        <v>3.8747210154663082E-3</v>
      </c>
      <c r="L159" s="41">
        <f t="shared" si="43"/>
        <v>41.318242610256689</v>
      </c>
      <c r="M159" s="41">
        <f t="shared" si="44"/>
        <v>-23.354482118000924</v>
      </c>
      <c r="N159" s="41">
        <f>(IF(C158&lt;='SOLLECITAZ NASCOSTO'!$P$12,IF(C158&lt;='SOLLECITAZ NASCOSTO'!$P$11,IF(C158&lt;='SOLLECITAZ NASCOSTO'!$P$10,IF(C158&lt;='SOLLECITAZ NASCOSTO'!$P$9,IF(C158&lt;='SOLLECITAZ NASCOSTO'!$P$8,IF(C158&lt;='SOLLECITAZ NASCOSTO'!$P$7,IF(C158&lt;='SOLLECITAZ NASCOSTO'!$P$6,IF(C158&lt;='SOLLECITAZ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paramento'!$G$111),55555)-IF(C158&lt;='SOLLECITAZ NASCOSTO'!$P$12,IF(C158&lt;='SOLLECITAZ NASCOSTO'!$P$11,IF(C158&lt;='SOLLECITAZ NASCOSTO'!$P$10,IF(C158&lt;='SOLLECITAZ NASCOSTO'!$P$9,IF(C158&lt;='SOLLECITAZ NASCOSTO'!$P$8,IF(C158&lt;='SOLLECITAZ NASCOSTO'!$P$7,IF(C158&lt;='SOLLECITAZ NASCOSTO'!$P$6,IF(C158&lt;='SOLLECITAZ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paramento'!$G$111))*(C158-IF(C158&lt;='SOLLECITAZ NASCOSTO'!$P$12,IF(C158&lt;='SOLLECITAZ NASCOSTO'!$P$11,IF(C158&lt;='SOLLECITAZ NASCOSTO'!$P$10,IF(C158&lt;='SOLLECITAZ NASCOSTO'!$P$9,IF(C158&lt;='SOLLECITAZ NASCOSTO'!$P$8,IF(C158&lt;='SOLLECITAZ NASCOSTO'!$P$7,IF(C158&lt;='SOLLECITAZ NASCOSTO'!$P$6,IF(C158&lt;='SOLLECITAZ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NASCOSTO'!$P$12))/IF(C158&lt;='SOLLECITAZ NASCOSTO'!$P$12,IF(C158&lt;='SOLLECITAZ NASCOSTO'!$P$11,IF(C158&lt;='SOLLECITAZ NASCOSTO'!$P$10,IF(C158&lt;='SOLLECITAZ NASCOSTO'!$P$9,IF(C158&lt;='SOLLECITAZ NASCOSTO'!$P$8,IF(C158&lt;='SOLLECITAZ NASCOSTO'!$P$7,IF(C158&lt;='SOLLECITAZ NASCOSTO'!$P$6,IF(C158&lt;='SOLLECITAZ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paramento'!$C$111)+IF(C158&lt;='SOLLECITAZ NASCOSTO'!$P$12,IF(C158&lt;='SOLLECITAZ NASCOSTO'!$P$11,IF(C158&lt;='SOLLECITAZ NASCOSTO'!$P$10,IF(C158&lt;='SOLLECITAZ NASCOSTO'!$P$9,IF(C158&lt;='SOLLECITAZ NASCOSTO'!$P$8,IF(C158&lt;='SOLLECITAZ NASCOSTO'!$P$7,IF(C158&lt;='SOLLECITAZ NASCOSTO'!$P$6,IF(C158&lt;='SOLLECITAZ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45.995835285315266</v>
      </c>
      <c r="O159" s="41">
        <f>IF(C159&lt;='SOLLECITAZ NASCOSTO'!$P$12,IF(C159&lt;='SOLLECITAZ NASCOSTO'!$P$11,IF(C159&lt;='SOLLECITAZ NASCOSTO'!$P$10,IF(C159&lt;='SOLLECITAZ NASCOSTO'!$P$9,IF(C159&lt;='SOLLECITAZ NASCOSTO'!$P$8,IF(C159&lt;='SOLLECITAZ NASCOSTO'!$P$7,IF(C159&lt;='SOLLECITAZ NASCOSTO'!$P$6,IF(C159&lt;='SOLLECITAZ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paramento'!$G$110),55555)*(C159-C158)/IF(C159&lt;='SOLLECITAZ NASCOSTO'!$P$12,IF(C159&lt;='SOLLECITAZ NASCOSTO'!$P$11,IF(C159&lt;='SOLLECITAZ NASCOSTO'!$P$10,IF(C159&lt;='SOLLECITAZ NASCOSTO'!$P$9,IF(C159&lt;='SOLLECITAZ NASCOSTO'!$P$8,IF(C159&lt;='SOLLECITAZ NASCOSTO'!$P$7,IF(C159&lt;='SOLLECITAZ NASCOSTO'!$P$6,IF(C159&lt;='SOLLECITAZ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59" s="41">
        <f t="shared" si="39"/>
        <v>1.2599999999999976E-4</v>
      </c>
      <c r="Q159" s="41">
        <f t="shared" si="37"/>
        <v>1</v>
      </c>
      <c r="R159" s="434">
        <f t="shared" si="31"/>
        <v>1.3835861110988747</v>
      </c>
      <c r="S159" s="45">
        <f t="shared" si="38"/>
        <v>1.3835861110988747</v>
      </c>
      <c r="T159" s="205">
        <f t="shared" si="34"/>
        <v>3.6484754811620062</v>
      </c>
      <c r="U159" s="45">
        <f t="shared" si="35"/>
        <v>41.318242610256689</v>
      </c>
      <c r="V159" s="45">
        <f t="shared" si="36"/>
        <v>-23.354482118000924</v>
      </c>
      <c r="W159" s="488"/>
      <c r="X159" s="489"/>
      <c r="Y159" s="489"/>
      <c r="Z159" s="490"/>
      <c r="AA159" s="46"/>
    </row>
    <row r="160" spans="1:27" s="421" customFormat="1" x14ac:dyDescent="0.25">
      <c r="A160" s="581">
        <f t="shared" si="32"/>
        <v>0.28760728854456141</v>
      </c>
      <c r="B160" s="31">
        <f t="shared" si="40"/>
        <v>128</v>
      </c>
      <c r="C160" s="434">
        <f>'SOLLECITAZ NASCOSTO'!$D$6/'SOLLECITAZ NASCOSTO'!$B$448*'SOLLECITAZ NASCOSTO'!B160</f>
        <v>1.3944804899264249</v>
      </c>
      <c r="D160" s="434">
        <f t="shared" si="33"/>
        <v>0.40760728854456141</v>
      </c>
      <c r="E160" s="434">
        <f t="shared" ref="E160:E223" si="45">D160-$D$9</f>
        <v>0.28760728854456141</v>
      </c>
      <c r="F160" s="434">
        <f t="shared" ref="F160:F223" si="46">E160*$D$12*$D$11+$D$8*$D$9</f>
        <v>0.39203433233425966</v>
      </c>
      <c r="G160" s="434">
        <f t="shared" ref="G160:G223" si="47">$D$12*E160*$D$11*($D$9+E160/2)+$D$9*$D$8*$D$9/2</f>
        <v>4.2278992267943891E-2</v>
      </c>
      <c r="H160" s="434">
        <f t="shared" si="41"/>
        <v>0</v>
      </c>
      <c r="I160" s="434">
        <v>0</v>
      </c>
      <c r="J160" s="127">
        <f t="shared" si="42"/>
        <v>0.10784512676786587</v>
      </c>
      <c r="K160" s="126">
        <f t="shared" ref="K160:K223" si="48">$D$8*$D$9^3/12+$D$8*$D$9*(J160-$D$9/2)^2+$D$11*$D$12*(J160-$D$9)^3/3+$D$11*$D$12*(E160-(J160-$D$9))^3/3</f>
        <v>3.9197109857377378E-3</v>
      </c>
      <c r="L160" s="41">
        <f t="shared" si="43"/>
        <v>41.82355679781076</v>
      </c>
      <c r="M160" s="41">
        <f t="shared" si="44"/>
        <v>-23.807371247578761</v>
      </c>
      <c r="N160" s="41">
        <f>(IF(C159&lt;='SOLLECITAZ NASCOSTO'!$P$12,IF(C159&lt;='SOLLECITAZ NASCOSTO'!$P$11,IF(C159&lt;='SOLLECITAZ NASCOSTO'!$P$10,IF(C159&lt;='SOLLECITAZ NASCOSTO'!$P$9,IF(C159&lt;='SOLLECITAZ NASCOSTO'!$P$8,IF(C159&lt;='SOLLECITAZ NASCOSTO'!$P$7,IF(C159&lt;='SOLLECITAZ NASCOSTO'!$P$6,IF(C159&lt;='SOLLECITAZ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paramento'!$G$111),55555)-IF(C159&lt;='SOLLECITAZ NASCOSTO'!$P$12,IF(C159&lt;='SOLLECITAZ NASCOSTO'!$P$11,IF(C159&lt;='SOLLECITAZ NASCOSTO'!$P$10,IF(C159&lt;='SOLLECITAZ NASCOSTO'!$P$9,IF(C159&lt;='SOLLECITAZ NASCOSTO'!$P$8,IF(C159&lt;='SOLLECITAZ NASCOSTO'!$P$7,IF(C159&lt;='SOLLECITAZ NASCOSTO'!$P$6,IF(C159&lt;='SOLLECITAZ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paramento'!$G$111))*(C159-IF(C159&lt;='SOLLECITAZ NASCOSTO'!$P$12,IF(C159&lt;='SOLLECITAZ NASCOSTO'!$P$11,IF(C159&lt;='SOLLECITAZ NASCOSTO'!$P$10,IF(C159&lt;='SOLLECITAZ NASCOSTO'!$P$9,IF(C159&lt;='SOLLECITAZ NASCOSTO'!$P$8,IF(C159&lt;='SOLLECITAZ NASCOSTO'!$P$7,IF(C159&lt;='SOLLECITAZ NASCOSTO'!$P$6,IF(C159&lt;='SOLLECITAZ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NASCOSTO'!$P$12))/IF(C159&lt;='SOLLECITAZ NASCOSTO'!$P$12,IF(C159&lt;='SOLLECITAZ NASCOSTO'!$P$11,IF(C159&lt;='SOLLECITAZ NASCOSTO'!$P$10,IF(C159&lt;='SOLLECITAZ NASCOSTO'!$P$9,IF(C159&lt;='SOLLECITAZ NASCOSTO'!$P$8,IF(C159&lt;='SOLLECITAZ NASCOSTO'!$P$7,IF(C159&lt;='SOLLECITAZ NASCOSTO'!$P$6,IF(C159&lt;='SOLLECITAZ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paramento'!$C$111)+IF(C159&lt;='SOLLECITAZ NASCOSTO'!$P$12,IF(C159&lt;='SOLLECITAZ NASCOSTO'!$P$11,IF(C159&lt;='SOLLECITAZ NASCOSTO'!$P$10,IF(C159&lt;='SOLLECITAZ NASCOSTO'!$P$9,IF(C159&lt;='SOLLECITAZ NASCOSTO'!$P$8,IF(C159&lt;='SOLLECITAZ NASCOSTO'!$P$7,IF(C159&lt;='SOLLECITAZ NASCOSTO'!$P$6,IF(C159&lt;='SOLLECITAZ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46.253958214764673</v>
      </c>
      <c r="O160" s="41">
        <f>IF(C160&lt;='SOLLECITAZ NASCOSTO'!$P$12,IF(C160&lt;='SOLLECITAZ NASCOSTO'!$P$11,IF(C160&lt;='SOLLECITAZ NASCOSTO'!$P$10,IF(C160&lt;='SOLLECITAZ NASCOSTO'!$P$9,IF(C160&lt;='SOLLECITAZ NASCOSTO'!$P$8,IF(C160&lt;='SOLLECITAZ NASCOSTO'!$P$7,IF(C160&lt;='SOLLECITAZ NASCOSTO'!$P$6,IF(C160&lt;='SOLLECITAZ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paramento'!$G$110),55555)*(C160-C159)/IF(C160&lt;='SOLLECITAZ NASCOSTO'!$P$12,IF(C160&lt;='SOLLECITAZ NASCOSTO'!$P$11,IF(C160&lt;='SOLLECITAZ NASCOSTO'!$P$10,IF(C160&lt;='SOLLECITAZ NASCOSTO'!$P$9,IF(C160&lt;='SOLLECITAZ NASCOSTO'!$P$8,IF(C160&lt;='SOLLECITAZ NASCOSTO'!$P$7,IF(C160&lt;='SOLLECITAZ NASCOSTO'!$P$6,IF(C160&lt;='SOLLECITAZ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60" s="41">
        <f t="shared" si="39"/>
        <v>1.2699999999999975E-4</v>
      </c>
      <c r="Q160" s="41">
        <f t="shared" si="37"/>
        <v>1</v>
      </c>
      <c r="R160" s="434">
        <f t="shared" ref="R160:R223" si="49">C160</f>
        <v>1.3944804899264249</v>
      </c>
      <c r="S160" s="45">
        <f t="shared" si="38"/>
        <v>1.3944804899264249</v>
      </c>
      <c r="T160" s="205">
        <f t="shared" si="34"/>
        <v>3.637581102334456</v>
      </c>
      <c r="U160" s="45">
        <f t="shared" si="35"/>
        <v>41.82355679781076</v>
      </c>
      <c r="V160" s="45">
        <f t="shared" si="36"/>
        <v>-23.807371247578761</v>
      </c>
      <c r="W160" s="488"/>
      <c r="X160" s="489"/>
      <c r="Y160" s="489"/>
      <c r="Z160" s="490"/>
      <c r="AA160" s="46"/>
    </row>
    <row r="161" spans="1:27" s="421" customFormat="1" x14ac:dyDescent="0.25">
      <c r="A161" s="581">
        <f t="shared" ref="A161:A224" si="50">E161</f>
        <v>0.28917813129267056</v>
      </c>
      <c r="B161" s="31">
        <f t="shared" si="40"/>
        <v>129</v>
      </c>
      <c r="C161" s="434">
        <f>'SOLLECITAZ NASCOSTO'!$D$6/'SOLLECITAZ NASCOSTO'!$B$448*'SOLLECITAZ NASCOSTO'!B161</f>
        <v>1.4053748687539751</v>
      </c>
      <c r="D161" s="434">
        <f t="shared" ref="D161:D224" si="51">$D$9+$D$14+$D$16*C161</f>
        <v>0.40917813129267055</v>
      </c>
      <c r="E161" s="434">
        <f t="shared" si="45"/>
        <v>0.28917813129267056</v>
      </c>
      <c r="F161" s="434">
        <f t="shared" si="46"/>
        <v>0.3925370020136546</v>
      </c>
      <c r="G161" s="434">
        <f t="shared" si="47"/>
        <v>4.2484278900505906E-2</v>
      </c>
      <c r="H161" s="434">
        <f t="shared" si="41"/>
        <v>0</v>
      </c>
      <c r="I161" s="434">
        <v>0</v>
      </c>
      <c r="J161" s="127">
        <f t="shared" si="42"/>
        <v>0.10822999789209188</v>
      </c>
      <c r="K161" s="126">
        <f t="shared" si="48"/>
        <v>3.965058518188457E-3</v>
      </c>
      <c r="L161" s="41">
        <f t="shared" si="43"/>
        <v>42.33168307434233</v>
      </c>
      <c r="M161" s="41">
        <f t="shared" si="44"/>
        <v>-24.265780779324057</v>
      </c>
      <c r="N161" s="41">
        <f>(IF(C160&lt;='SOLLECITAZ NASCOSTO'!$P$12,IF(C160&lt;='SOLLECITAZ NASCOSTO'!$P$11,IF(C160&lt;='SOLLECITAZ NASCOSTO'!$P$10,IF(C160&lt;='SOLLECITAZ NASCOSTO'!$P$9,IF(C160&lt;='SOLLECITAZ NASCOSTO'!$P$8,IF(C160&lt;='SOLLECITAZ NASCOSTO'!$P$7,IF(C160&lt;='SOLLECITAZ NASCOSTO'!$P$6,IF(C160&lt;='SOLLECITAZ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paramento'!$G$111),55555)-IF(C160&lt;='SOLLECITAZ NASCOSTO'!$P$12,IF(C160&lt;='SOLLECITAZ NASCOSTO'!$P$11,IF(C160&lt;='SOLLECITAZ NASCOSTO'!$P$10,IF(C160&lt;='SOLLECITAZ NASCOSTO'!$P$9,IF(C160&lt;='SOLLECITAZ NASCOSTO'!$P$8,IF(C160&lt;='SOLLECITAZ NASCOSTO'!$P$7,IF(C160&lt;='SOLLECITAZ NASCOSTO'!$P$6,IF(C160&lt;='SOLLECITAZ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paramento'!$G$111))*(C160-IF(C160&lt;='SOLLECITAZ NASCOSTO'!$P$12,IF(C160&lt;='SOLLECITAZ NASCOSTO'!$P$11,IF(C160&lt;='SOLLECITAZ NASCOSTO'!$P$10,IF(C160&lt;='SOLLECITAZ NASCOSTO'!$P$9,IF(C160&lt;='SOLLECITAZ NASCOSTO'!$P$8,IF(C160&lt;='SOLLECITAZ NASCOSTO'!$P$7,IF(C160&lt;='SOLLECITAZ NASCOSTO'!$P$6,IF(C160&lt;='SOLLECITAZ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NASCOSTO'!$P$12))/IF(C160&lt;='SOLLECITAZ NASCOSTO'!$P$12,IF(C160&lt;='SOLLECITAZ NASCOSTO'!$P$11,IF(C160&lt;='SOLLECITAZ NASCOSTO'!$P$10,IF(C160&lt;='SOLLECITAZ NASCOSTO'!$P$9,IF(C160&lt;='SOLLECITAZ NASCOSTO'!$P$8,IF(C160&lt;='SOLLECITAZ NASCOSTO'!$P$7,IF(C160&lt;='SOLLECITAZ NASCOSTO'!$P$6,IF(C160&lt;='SOLLECITAZ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paramento'!$C$111)+IF(C160&lt;='SOLLECITAZ NASCOSTO'!$P$12,IF(C160&lt;='SOLLECITAZ NASCOSTO'!$P$11,IF(C160&lt;='SOLLECITAZ NASCOSTO'!$P$10,IF(C160&lt;='SOLLECITAZ NASCOSTO'!$P$9,IF(C160&lt;='SOLLECITAZ NASCOSTO'!$P$8,IF(C160&lt;='SOLLECITAZ NASCOSTO'!$P$7,IF(C160&lt;='SOLLECITAZ NASCOSTO'!$P$6,IF(C160&lt;='SOLLECITAZ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46.512081144214079</v>
      </c>
      <c r="O161" s="41">
        <f>IF(C161&lt;='SOLLECITAZ NASCOSTO'!$P$12,IF(C161&lt;='SOLLECITAZ NASCOSTO'!$P$11,IF(C161&lt;='SOLLECITAZ NASCOSTO'!$P$10,IF(C161&lt;='SOLLECITAZ NASCOSTO'!$P$9,IF(C161&lt;='SOLLECITAZ NASCOSTO'!$P$8,IF(C161&lt;='SOLLECITAZ NASCOSTO'!$P$7,IF(C161&lt;='SOLLECITAZ NASCOSTO'!$P$6,IF(C161&lt;='SOLLECITAZ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paramento'!$G$110),55555)*(C161-C160)/IF(C161&lt;='SOLLECITAZ NASCOSTO'!$P$12,IF(C161&lt;='SOLLECITAZ NASCOSTO'!$P$11,IF(C161&lt;='SOLLECITAZ NASCOSTO'!$P$10,IF(C161&lt;='SOLLECITAZ NASCOSTO'!$P$9,IF(C161&lt;='SOLLECITAZ NASCOSTO'!$P$8,IF(C161&lt;='SOLLECITAZ NASCOSTO'!$P$7,IF(C161&lt;='SOLLECITAZ NASCOSTO'!$P$6,IF(C161&lt;='SOLLECITAZ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61" s="41">
        <f t="shared" si="39"/>
        <v>1.2799999999999975E-4</v>
      </c>
      <c r="Q161" s="41">
        <f t="shared" si="37"/>
        <v>1</v>
      </c>
      <c r="R161" s="434">
        <f t="shared" si="49"/>
        <v>1.4053748687539751</v>
      </c>
      <c r="S161" s="45">
        <f t="shared" si="38"/>
        <v>1.4053748687539751</v>
      </c>
      <c r="T161" s="205">
        <f t="shared" ref="T161:T224" si="52">IF(($R$468-S161)&lt;=$D$6,$R$468-S161,$D$6)</f>
        <v>3.6266867235069058</v>
      </c>
      <c r="U161" s="45">
        <f t="shared" si="35"/>
        <v>42.33168307434233</v>
      </c>
      <c r="V161" s="45">
        <f t="shared" si="36"/>
        <v>-24.265780779324057</v>
      </c>
      <c r="W161" s="488"/>
      <c r="X161" s="489"/>
      <c r="Y161" s="489"/>
      <c r="Z161" s="490"/>
      <c r="AA161" s="46"/>
    </row>
    <row r="162" spans="1:27" s="421" customFormat="1" x14ac:dyDescent="0.25">
      <c r="A162" s="581">
        <f t="shared" si="50"/>
        <v>0.29074897404077971</v>
      </c>
      <c r="B162" s="31">
        <f t="shared" si="40"/>
        <v>130</v>
      </c>
      <c r="C162" s="434">
        <f>'SOLLECITAZ NASCOSTO'!$D$6/'SOLLECITAZ NASCOSTO'!$B$448*'SOLLECITAZ NASCOSTO'!B162</f>
        <v>1.4162692475815253</v>
      </c>
      <c r="D162" s="434">
        <f t="shared" si="51"/>
        <v>0.4107489740407797</v>
      </c>
      <c r="E162" s="434">
        <f t="shared" si="45"/>
        <v>0.29074897404077971</v>
      </c>
      <c r="F162" s="434">
        <f t="shared" si="46"/>
        <v>0.39303967169304949</v>
      </c>
      <c r="G162" s="434">
        <f t="shared" si="47"/>
        <v>4.2690355148088499E-2</v>
      </c>
      <c r="H162" s="434">
        <f t="shared" si="41"/>
        <v>0</v>
      </c>
      <c r="I162" s="434">
        <v>0</v>
      </c>
      <c r="J162" s="127">
        <f t="shared" si="42"/>
        <v>0.10861589356666317</v>
      </c>
      <c r="K162" s="126">
        <f t="shared" si="48"/>
        <v>4.0107647168920284E-3</v>
      </c>
      <c r="L162" s="41">
        <f t="shared" si="43"/>
        <v>42.842621439851399</v>
      </c>
      <c r="M162" s="41">
        <f t="shared" si="44"/>
        <v>-24.729741349199429</v>
      </c>
      <c r="N162" s="41">
        <f>(IF(C161&lt;='SOLLECITAZ NASCOSTO'!$P$12,IF(C161&lt;='SOLLECITAZ NASCOSTO'!$P$11,IF(C161&lt;='SOLLECITAZ NASCOSTO'!$P$10,IF(C161&lt;='SOLLECITAZ NASCOSTO'!$P$9,IF(C161&lt;='SOLLECITAZ NASCOSTO'!$P$8,IF(C161&lt;='SOLLECITAZ NASCOSTO'!$P$7,IF(C161&lt;='SOLLECITAZ NASCOSTO'!$P$6,IF(C161&lt;='SOLLECITAZ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paramento'!$G$111),55555)-IF(C161&lt;='SOLLECITAZ NASCOSTO'!$P$12,IF(C161&lt;='SOLLECITAZ NASCOSTO'!$P$11,IF(C161&lt;='SOLLECITAZ NASCOSTO'!$P$10,IF(C161&lt;='SOLLECITAZ NASCOSTO'!$P$9,IF(C161&lt;='SOLLECITAZ NASCOSTO'!$P$8,IF(C161&lt;='SOLLECITAZ NASCOSTO'!$P$7,IF(C161&lt;='SOLLECITAZ NASCOSTO'!$P$6,IF(C161&lt;='SOLLECITAZ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paramento'!$G$111))*(C161-IF(C161&lt;='SOLLECITAZ NASCOSTO'!$P$12,IF(C161&lt;='SOLLECITAZ NASCOSTO'!$P$11,IF(C161&lt;='SOLLECITAZ NASCOSTO'!$P$10,IF(C161&lt;='SOLLECITAZ NASCOSTO'!$P$9,IF(C161&lt;='SOLLECITAZ NASCOSTO'!$P$8,IF(C161&lt;='SOLLECITAZ NASCOSTO'!$P$7,IF(C161&lt;='SOLLECITAZ NASCOSTO'!$P$6,IF(C161&lt;='SOLLECITAZ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NASCOSTO'!$P$12))/IF(C161&lt;='SOLLECITAZ NASCOSTO'!$P$12,IF(C161&lt;='SOLLECITAZ NASCOSTO'!$P$11,IF(C161&lt;='SOLLECITAZ NASCOSTO'!$P$10,IF(C161&lt;='SOLLECITAZ NASCOSTO'!$P$9,IF(C161&lt;='SOLLECITAZ NASCOSTO'!$P$8,IF(C161&lt;='SOLLECITAZ NASCOSTO'!$P$7,IF(C161&lt;='SOLLECITAZ NASCOSTO'!$P$6,IF(C161&lt;='SOLLECITAZ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paramento'!$C$111)+IF(C161&lt;='SOLLECITAZ NASCOSTO'!$P$12,IF(C161&lt;='SOLLECITAZ NASCOSTO'!$P$11,IF(C161&lt;='SOLLECITAZ NASCOSTO'!$P$10,IF(C161&lt;='SOLLECITAZ NASCOSTO'!$P$9,IF(C161&lt;='SOLLECITAZ NASCOSTO'!$P$8,IF(C161&lt;='SOLLECITAZ NASCOSTO'!$P$7,IF(C161&lt;='SOLLECITAZ NASCOSTO'!$P$6,IF(C161&lt;='SOLLECITAZ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46.770204073663486</v>
      </c>
      <c r="O162" s="41">
        <f>IF(C162&lt;='SOLLECITAZ NASCOSTO'!$P$12,IF(C162&lt;='SOLLECITAZ NASCOSTO'!$P$11,IF(C162&lt;='SOLLECITAZ NASCOSTO'!$P$10,IF(C162&lt;='SOLLECITAZ NASCOSTO'!$P$9,IF(C162&lt;='SOLLECITAZ NASCOSTO'!$P$8,IF(C162&lt;='SOLLECITAZ NASCOSTO'!$P$7,IF(C162&lt;='SOLLECITAZ NASCOSTO'!$P$6,IF(C162&lt;='SOLLECITAZ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paramento'!$G$110),55555)*(C162-C161)/IF(C162&lt;='SOLLECITAZ NASCOSTO'!$P$12,IF(C162&lt;='SOLLECITAZ NASCOSTO'!$P$11,IF(C162&lt;='SOLLECITAZ NASCOSTO'!$P$10,IF(C162&lt;='SOLLECITAZ NASCOSTO'!$P$9,IF(C162&lt;='SOLLECITAZ NASCOSTO'!$P$8,IF(C162&lt;='SOLLECITAZ NASCOSTO'!$P$7,IF(C162&lt;='SOLLECITAZ NASCOSTO'!$P$6,IF(C162&lt;='SOLLECITAZ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62" s="41">
        <f t="shared" si="39"/>
        <v>1.2899999999999975E-4</v>
      </c>
      <c r="Q162" s="41">
        <f t="shared" si="37"/>
        <v>1</v>
      </c>
      <c r="R162" s="434">
        <f t="shared" si="49"/>
        <v>1.4162692475815253</v>
      </c>
      <c r="S162" s="45">
        <f t="shared" si="38"/>
        <v>1.4162692475815253</v>
      </c>
      <c r="T162" s="205">
        <f t="shared" si="52"/>
        <v>3.6157923446793556</v>
      </c>
      <c r="U162" s="45">
        <f t="shared" ref="U162:U225" si="53">IF(Q162=1,L162,0)</f>
        <v>42.842621439851399</v>
      </c>
      <c r="V162" s="45">
        <f t="shared" ref="V162:V225" si="54">IF(Q162=1,M162,0)</f>
        <v>-24.729741349199429</v>
      </c>
      <c r="W162" s="488"/>
      <c r="X162" s="489"/>
      <c r="Y162" s="489"/>
      <c r="Z162" s="490"/>
      <c r="AA162" s="46"/>
    </row>
    <row r="163" spans="1:27" s="421" customFormat="1" x14ac:dyDescent="0.25">
      <c r="A163" s="581">
        <f t="shared" si="50"/>
        <v>0.29231981678888885</v>
      </c>
      <c r="B163" s="31">
        <f t="shared" si="40"/>
        <v>131</v>
      </c>
      <c r="C163" s="434">
        <f>'SOLLECITAZ NASCOSTO'!$D$6/'SOLLECITAZ NASCOSTO'!$B$448*'SOLLECITAZ NASCOSTO'!B163</f>
        <v>1.4271636264090755</v>
      </c>
      <c r="D163" s="434">
        <f t="shared" si="51"/>
        <v>0.41231981678888885</v>
      </c>
      <c r="E163" s="434">
        <f t="shared" si="45"/>
        <v>0.29231981678888885</v>
      </c>
      <c r="F163" s="434">
        <f t="shared" si="46"/>
        <v>0.39354234137244443</v>
      </c>
      <c r="G163" s="434">
        <f t="shared" si="47"/>
        <v>4.2897221010691655E-2</v>
      </c>
      <c r="H163" s="434">
        <f t="shared" si="41"/>
        <v>0</v>
      </c>
      <c r="I163" s="434">
        <v>0</v>
      </c>
      <c r="J163" s="127">
        <f t="shared" si="42"/>
        <v>0.10900280986562044</v>
      </c>
      <c r="K163" s="126">
        <f t="shared" si="48"/>
        <v>4.0568306834497178E-3</v>
      </c>
      <c r="L163" s="41">
        <f t="shared" si="43"/>
        <v>43.356371894337968</v>
      </c>
      <c r="M163" s="41">
        <f t="shared" si="44"/>
        <v>-25.199283593167493</v>
      </c>
      <c r="N163" s="41">
        <f>(IF(C162&lt;='SOLLECITAZ NASCOSTO'!$P$12,IF(C162&lt;='SOLLECITAZ NASCOSTO'!$P$11,IF(C162&lt;='SOLLECITAZ NASCOSTO'!$P$10,IF(C162&lt;='SOLLECITAZ NASCOSTO'!$P$9,IF(C162&lt;='SOLLECITAZ NASCOSTO'!$P$8,IF(C162&lt;='SOLLECITAZ NASCOSTO'!$P$7,IF(C162&lt;='SOLLECITAZ NASCOSTO'!$P$6,IF(C162&lt;='SOLLECITAZ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paramento'!$G$111),55555)-IF(C162&lt;='SOLLECITAZ NASCOSTO'!$P$12,IF(C162&lt;='SOLLECITAZ NASCOSTO'!$P$11,IF(C162&lt;='SOLLECITAZ NASCOSTO'!$P$10,IF(C162&lt;='SOLLECITAZ NASCOSTO'!$P$9,IF(C162&lt;='SOLLECITAZ NASCOSTO'!$P$8,IF(C162&lt;='SOLLECITAZ NASCOSTO'!$P$7,IF(C162&lt;='SOLLECITAZ NASCOSTO'!$P$6,IF(C162&lt;='SOLLECITAZ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paramento'!$G$111))*(C162-IF(C162&lt;='SOLLECITAZ NASCOSTO'!$P$12,IF(C162&lt;='SOLLECITAZ NASCOSTO'!$P$11,IF(C162&lt;='SOLLECITAZ NASCOSTO'!$P$10,IF(C162&lt;='SOLLECITAZ NASCOSTO'!$P$9,IF(C162&lt;='SOLLECITAZ NASCOSTO'!$P$8,IF(C162&lt;='SOLLECITAZ NASCOSTO'!$P$7,IF(C162&lt;='SOLLECITAZ NASCOSTO'!$P$6,IF(C162&lt;='SOLLECITAZ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NASCOSTO'!$P$12))/IF(C162&lt;='SOLLECITAZ NASCOSTO'!$P$12,IF(C162&lt;='SOLLECITAZ NASCOSTO'!$P$11,IF(C162&lt;='SOLLECITAZ NASCOSTO'!$P$10,IF(C162&lt;='SOLLECITAZ NASCOSTO'!$P$9,IF(C162&lt;='SOLLECITAZ NASCOSTO'!$P$8,IF(C162&lt;='SOLLECITAZ NASCOSTO'!$P$7,IF(C162&lt;='SOLLECITAZ NASCOSTO'!$P$6,IF(C162&lt;='SOLLECITAZ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paramento'!$C$111)+IF(C162&lt;='SOLLECITAZ NASCOSTO'!$P$12,IF(C162&lt;='SOLLECITAZ NASCOSTO'!$P$11,IF(C162&lt;='SOLLECITAZ NASCOSTO'!$P$10,IF(C162&lt;='SOLLECITAZ NASCOSTO'!$P$9,IF(C162&lt;='SOLLECITAZ NASCOSTO'!$P$8,IF(C162&lt;='SOLLECITAZ NASCOSTO'!$P$7,IF(C162&lt;='SOLLECITAZ NASCOSTO'!$P$6,IF(C162&lt;='SOLLECITAZ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47.028327003112892</v>
      </c>
      <c r="O163" s="41">
        <f>IF(C163&lt;='SOLLECITAZ NASCOSTO'!$P$12,IF(C163&lt;='SOLLECITAZ NASCOSTO'!$P$11,IF(C163&lt;='SOLLECITAZ NASCOSTO'!$P$10,IF(C163&lt;='SOLLECITAZ NASCOSTO'!$P$9,IF(C163&lt;='SOLLECITAZ NASCOSTO'!$P$8,IF(C163&lt;='SOLLECITAZ NASCOSTO'!$P$7,IF(C163&lt;='SOLLECITAZ NASCOSTO'!$P$6,IF(C163&lt;='SOLLECITAZ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paramento'!$G$110),55555)*(C163-C162)/IF(C163&lt;='SOLLECITAZ NASCOSTO'!$P$12,IF(C163&lt;='SOLLECITAZ NASCOSTO'!$P$11,IF(C163&lt;='SOLLECITAZ NASCOSTO'!$P$10,IF(C163&lt;='SOLLECITAZ NASCOSTO'!$P$9,IF(C163&lt;='SOLLECITAZ NASCOSTO'!$P$8,IF(C163&lt;='SOLLECITAZ NASCOSTO'!$P$7,IF(C163&lt;='SOLLECITAZ NASCOSTO'!$P$6,IF(C163&lt;='SOLLECITAZ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63" s="41">
        <f t="shared" si="39"/>
        <v>1.2999999999999974E-4</v>
      </c>
      <c r="Q163" s="41">
        <f t="shared" ref="Q163:Q226" si="55">IF(C163&lt;=$D$6,1,0+P163)</f>
        <v>1</v>
      </c>
      <c r="R163" s="434">
        <f t="shared" si="49"/>
        <v>1.4271636264090755</v>
      </c>
      <c r="S163" s="45">
        <f t="shared" ref="S163:S226" si="56">IF(Q163&lt;1,VLOOKUP(0,$Q$34:$R$468,2,TRUE),C163)</f>
        <v>1.4271636264090755</v>
      </c>
      <c r="T163" s="205">
        <f t="shared" si="52"/>
        <v>3.6048979658518054</v>
      </c>
      <c r="U163" s="45">
        <f t="shared" si="53"/>
        <v>43.356371894337968</v>
      </c>
      <c r="V163" s="45">
        <f t="shared" si="54"/>
        <v>-25.199283593167493</v>
      </c>
      <c r="W163" s="488"/>
      <c r="X163" s="489"/>
      <c r="Y163" s="489"/>
      <c r="Z163" s="490"/>
      <c r="AA163" s="46"/>
    </row>
    <row r="164" spans="1:27" s="421" customFormat="1" x14ac:dyDescent="0.25">
      <c r="A164" s="581">
        <f t="shared" si="50"/>
        <v>0.293890659536998</v>
      </c>
      <c r="B164" s="31">
        <f t="shared" si="40"/>
        <v>132</v>
      </c>
      <c r="C164" s="434">
        <f>'SOLLECITAZ NASCOSTO'!$D$6/'SOLLECITAZ NASCOSTO'!$B$448*'SOLLECITAZ NASCOSTO'!B164</f>
        <v>1.4380580052366256</v>
      </c>
      <c r="D164" s="434">
        <f t="shared" si="51"/>
        <v>0.413890659536998</v>
      </c>
      <c r="E164" s="434">
        <f t="shared" si="45"/>
        <v>0.293890659536998</v>
      </c>
      <c r="F164" s="434">
        <f t="shared" si="46"/>
        <v>0.39404501105183937</v>
      </c>
      <c r="G164" s="434">
        <f t="shared" si="47"/>
        <v>4.3104876488315388E-2</v>
      </c>
      <c r="H164" s="434">
        <f t="shared" si="41"/>
        <v>0</v>
      </c>
      <c r="I164" s="434">
        <v>0</v>
      </c>
      <c r="J164" s="127">
        <f t="shared" si="42"/>
        <v>0.10939074288303739</v>
      </c>
      <c r="K164" s="126">
        <f t="shared" si="48"/>
        <v>4.1032575170062563E-3</v>
      </c>
      <c r="L164" s="41">
        <f t="shared" si="43"/>
        <v>43.87293443780203</v>
      </c>
      <c r="M164" s="41">
        <f t="shared" si="44"/>
        <v>-25.67443814719087</v>
      </c>
      <c r="N164" s="41">
        <f>(IF(C163&lt;='SOLLECITAZ NASCOSTO'!$P$12,IF(C163&lt;='SOLLECITAZ NASCOSTO'!$P$11,IF(C163&lt;='SOLLECITAZ NASCOSTO'!$P$10,IF(C163&lt;='SOLLECITAZ NASCOSTO'!$P$9,IF(C163&lt;='SOLLECITAZ NASCOSTO'!$P$8,IF(C163&lt;='SOLLECITAZ NASCOSTO'!$P$7,IF(C163&lt;='SOLLECITAZ NASCOSTO'!$P$6,IF(C163&lt;='SOLLECITAZ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paramento'!$G$111),55555)-IF(C163&lt;='SOLLECITAZ NASCOSTO'!$P$12,IF(C163&lt;='SOLLECITAZ NASCOSTO'!$P$11,IF(C163&lt;='SOLLECITAZ NASCOSTO'!$P$10,IF(C163&lt;='SOLLECITAZ NASCOSTO'!$P$9,IF(C163&lt;='SOLLECITAZ NASCOSTO'!$P$8,IF(C163&lt;='SOLLECITAZ NASCOSTO'!$P$7,IF(C163&lt;='SOLLECITAZ NASCOSTO'!$P$6,IF(C163&lt;='SOLLECITAZ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paramento'!$G$111))*(C163-IF(C163&lt;='SOLLECITAZ NASCOSTO'!$P$12,IF(C163&lt;='SOLLECITAZ NASCOSTO'!$P$11,IF(C163&lt;='SOLLECITAZ NASCOSTO'!$P$10,IF(C163&lt;='SOLLECITAZ NASCOSTO'!$P$9,IF(C163&lt;='SOLLECITAZ NASCOSTO'!$P$8,IF(C163&lt;='SOLLECITAZ NASCOSTO'!$P$7,IF(C163&lt;='SOLLECITAZ NASCOSTO'!$P$6,IF(C163&lt;='SOLLECITAZ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NASCOSTO'!$P$12))/IF(C163&lt;='SOLLECITAZ NASCOSTO'!$P$12,IF(C163&lt;='SOLLECITAZ NASCOSTO'!$P$11,IF(C163&lt;='SOLLECITAZ NASCOSTO'!$P$10,IF(C163&lt;='SOLLECITAZ NASCOSTO'!$P$9,IF(C163&lt;='SOLLECITAZ NASCOSTO'!$P$8,IF(C163&lt;='SOLLECITAZ NASCOSTO'!$P$7,IF(C163&lt;='SOLLECITAZ NASCOSTO'!$P$6,IF(C163&lt;='SOLLECITAZ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paramento'!$C$111)+IF(C163&lt;='SOLLECITAZ NASCOSTO'!$P$12,IF(C163&lt;='SOLLECITAZ NASCOSTO'!$P$11,IF(C163&lt;='SOLLECITAZ NASCOSTO'!$P$10,IF(C163&lt;='SOLLECITAZ NASCOSTO'!$P$9,IF(C163&lt;='SOLLECITAZ NASCOSTO'!$P$8,IF(C163&lt;='SOLLECITAZ NASCOSTO'!$P$7,IF(C163&lt;='SOLLECITAZ NASCOSTO'!$P$6,IF(C163&lt;='SOLLECITAZ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47.286449932562299</v>
      </c>
      <c r="O164" s="41">
        <f>IF(C164&lt;='SOLLECITAZ NASCOSTO'!$P$12,IF(C164&lt;='SOLLECITAZ NASCOSTO'!$P$11,IF(C164&lt;='SOLLECITAZ NASCOSTO'!$P$10,IF(C164&lt;='SOLLECITAZ NASCOSTO'!$P$9,IF(C164&lt;='SOLLECITAZ NASCOSTO'!$P$8,IF(C164&lt;='SOLLECITAZ NASCOSTO'!$P$7,IF(C164&lt;='SOLLECITAZ NASCOSTO'!$P$6,IF(C164&lt;='SOLLECITAZ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paramento'!$G$110),55555)*(C164-C163)/IF(C164&lt;='SOLLECITAZ NASCOSTO'!$P$12,IF(C164&lt;='SOLLECITAZ NASCOSTO'!$P$11,IF(C164&lt;='SOLLECITAZ NASCOSTO'!$P$10,IF(C164&lt;='SOLLECITAZ NASCOSTO'!$P$9,IF(C164&lt;='SOLLECITAZ NASCOSTO'!$P$8,IF(C164&lt;='SOLLECITAZ NASCOSTO'!$P$7,IF(C164&lt;='SOLLECITAZ NASCOSTO'!$P$6,IF(C164&lt;='SOLLECITAZ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64" s="41">
        <f t="shared" ref="P164:P227" si="57">P163+0.000001</f>
        <v>1.3099999999999974E-4</v>
      </c>
      <c r="Q164" s="41">
        <f t="shared" si="55"/>
        <v>1</v>
      </c>
      <c r="R164" s="434">
        <f t="shared" si="49"/>
        <v>1.4380580052366256</v>
      </c>
      <c r="S164" s="45">
        <f t="shared" si="56"/>
        <v>1.4380580052366256</v>
      </c>
      <c r="T164" s="205">
        <f t="shared" si="52"/>
        <v>3.5940035870242553</v>
      </c>
      <c r="U164" s="45">
        <f t="shared" si="53"/>
        <v>43.87293443780203</v>
      </c>
      <c r="V164" s="45">
        <f t="shared" si="54"/>
        <v>-25.67443814719087</v>
      </c>
      <c r="W164" s="488"/>
      <c r="X164" s="489"/>
      <c r="Y164" s="489"/>
      <c r="Z164" s="490"/>
      <c r="AA164" s="46"/>
    </row>
    <row r="165" spans="1:27" s="421" customFormat="1" x14ac:dyDescent="0.25">
      <c r="A165" s="581">
        <f t="shared" si="50"/>
        <v>0.29546150228510715</v>
      </c>
      <c r="B165" s="31">
        <f t="shared" si="40"/>
        <v>133</v>
      </c>
      <c r="C165" s="434">
        <f>'SOLLECITAZ NASCOSTO'!$D$6/'SOLLECITAZ NASCOSTO'!$B$448*'SOLLECITAZ NASCOSTO'!B165</f>
        <v>1.4489523840641758</v>
      </c>
      <c r="D165" s="434">
        <f t="shared" si="51"/>
        <v>0.41546150228510714</v>
      </c>
      <c r="E165" s="434">
        <f t="shared" si="45"/>
        <v>0.29546150228510715</v>
      </c>
      <c r="F165" s="434">
        <f t="shared" si="46"/>
        <v>0.39454768073123425</v>
      </c>
      <c r="G165" s="434">
        <f t="shared" si="47"/>
        <v>4.3313321580959699E-2</v>
      </c>
      <c r="H165" s="434">
        <f t="shared" si="41"/>
        <v>0</v>
      </c>
      <c r="I165" s="434">
        <v>0</v>
      </c>
      <c r="J165" s="127">
        <f t="shared" si="42"/>
        <v>0.10977968873289289</v>
      </c>
      <c r="K165" s="126">
        <f t="shared" si="48"/>
        <v>4.1500463142655026E-3</v>
      </c>
      <c r="L165" s="41">
        <f t="shared" si="43"/>
        <v>44.392309070243591</v>
      </c>
      <c r="M165" s="41">
        <f t="shared" si="44"/>
        <v>-26.155235647232175</v>
      </c>
      <c r="N165" s="41">
        <f>(IF(C164&lt;='SOLLECITAZ NASCOSTO'!$P$12,IF(C164&lt;='SOLLECITAZ NASCOSTO'!$P$11,IF(C164&lt;='SOLLECITAZ NASCOSTO'!$P$10,IF(C164&lt;='SOLLECITAZ NASCOSTO'!$P$9,IF(C164&lt;='SOLLECITAZ NASCOSTO'!$P$8,IF(C164&lt;='SOLLECITAZ NASCOSTO'!$P$7,IF(C164&lt;='SOLLECITAZ NASCOSTO'!$P$6,IF(C164&lt;='SOLLECITAZ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paramento'!$G$111),55555)-IF(C164&lt;='SOLLECITAZ NASCOSTO'!$P$12,IF(C164&lt;='SOLLECITAZ NASCOSTO'!$P$11,IF(C164&lt;='SOLLECITAZ NASCOSTO'!$P$10,IF(C164&lt;='SOLLECITAZ NASCOSTO'!$P$9,IF(C164&lt;='SOLLECITAZ NASCOSTO'!$P$8,IF(C164&lt;='SOLLECITAZ NASCOSTO'!$P$7,IF(C164&lt;='SOLLECITAZ NASCOSTO'!$P$6,IF(C164&lt;='SOLLECITAZ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paramento'!$G$111))*(C164-IF(C164&lt;='SOLLECITAZ NASCOSTO'!$P$12,IF(C164&lt;='SOLLECITAZ NASCOSTO'!$P$11,IF(C164&lt;='SOLLECITAZ NASCOSTO'!$P$10,IF(C164&lt;='SOLLECITAZ NASCOSTO'!$P$9,IF(C164&lt;='SOLLECITAZ NASCOSTO'!$P$8,IF(C164&lt;='SOLLECITAZ NASCOSTO'!$P$7,IF(C164&lt;='SOLLECITAZ NASCOSTO'!$P$6,IF(C164&lt;='SOLLECITAZ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NASCOSTO'!$P$12))/IF(C164&lt;='SOLLECITAZ NASCOSTO'!$P$12,IF(C164&lt;='SOLLECITAZ NASCOSTO'!$P$11,IF(C164&lt;='SOLLECITAZ NASCOSTO'!$P$10,IF(C164&lt;='SOLLECITAZ NASCOSTO'!$P$9,IF(C164&lt;='SOLLECITAZ NASCOSTO'!$P$8,IF(C164&lt;='SOLLECITAZ NASCOSTO'!$P$7,IF(C164&lt;='SOLLECITAZ NASCOSTO'!$P$6,IF(C164&lt;='SOLLECITAZ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paramento'!$C$111)+IF(C164&lt;='SOLLECITAZ NASCOSTO'!$P$12,IF(C164&lt;='SOLLECITAZ NASCOSTO'!$P$11,IF(C164&lt;='SOLLECITAZ NASCOSTO'!$P$10,IF(C164&lt;='SOLLECITAZ NASCOSTO'!$P$9,IF(C164&lt;='SOLLECITAZ NASCOSTO'!$P$8,IF(C164&lt;='SOLLECITAZ NASCOSTO'!$P$7,IF(C164&lt;='SOLLECITAZ NASCOSTO'!$P$6,IF(C164&lt;='SOLLECITAZ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47.544572862011705</v>
      </c>
      <c r="O165" s="41">
        <f>IF(C165&lt;='SOLLECITAZ NASCOSTO'!$P$12,IF(C165&lt;='SOLLECITAZ NASCOSTO'!$P$11,IF(C165&lt;='SOLLECITAZ NASCOSTO'!$P$10,IF(C165&lt;='SOLLECITAZ NASCOSTO'!$P$9,IF(C165&lt;='SOLLECITAZ NASCOSTO'!$P$8,IF(C165&lt;='SOLLECITAZ NASCOSTO'!$P$7,IF(C165&lt;='SOLLECITAZ NASCOSTO'!$P$6,IF(C165&lt;='SOLLECITAZ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paramento'!$G$110),55555)*(C165-C164)/IF(C165&lt;='SOLLECITAZ NASCOSTO'!$P$12,IF(C165&lt;='SOLLECITAZ NASCOSTO'!$P$11,IF(C165&lt;='SOLLECITAZ NASCOSTO'!$P$10,IF(C165&lt;='SOLLECITAZ NASCOSTO'!$P$9,IF(C165&lt;='SOLLECITAZ NASCOSTO'!$P$8,IF(C165&lt;='SOLLECITAZ NASCOSTO'!$P$7,IF(C165&lt;='SOLLECITAZ NASCOSTO'!$P$6,IF(C165&lt;='SOLLECITAZ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65" s="41">
        <f t="shared" si="57"/>
        <v>1.3199999999999974E-4</v>
      </c>
      <c r="Q165" s="41">
        <f t="shared" si="55"/>
        <v>1</v>
      </c>
      <c r="R165" s="434">
        <f t="shared" si="49"/>
        <v>1.4489523840641758</v>
      </c>
      <c r="S165" s="45">
        <f t="shared" si="56"/>
        <v>1.4489523840641758</v>
      </c>
      <c r="T165" s="205">
        <f t="shared" si="52"/>
        <v>3.5831092081967051</v>
      </c>
      <c r="U165" s="45">
        <f t="shared" si="53"/>
        <v>44.392309070243591</v>
      </c>
      <c r="V165" s="45">
        <f t="shared" si="54"/>
        <v>-26.155235647232175</v>
      </c>
      <c r="W165" s="488"/>
      <c r="X165" s="489"/>
      <c r="Y165" s="489"/>
      <c r="Z165" s="490"/>
      <c r="AA165" s="46"/>
    </row>
    <row r="166" spans="1:27" s="421" customFormat="1" x14ac:dyDescent="0.25">
      <c r="A166" s="581">
        <f t="shared" si="50"/>
        <v>0.29703234503321629</v>
      </c>
      <c r="B166" s="31">
        <f t="shared" si="40"/>
        <v>134</v>
      </c>
      <c r="C166" s="434">
        <f>'SOLLECITAZ NASCOSTO'!$D$6/'SOLLECITAZ NASCOSTO'!$B$448*'SOLLECITAZ NASCOSTO'!B166</f>
        <v>1.459846762891726</v>
      </c>
      <c r="D166" s="434">
        <f t="shared" si="51"/>
        <v>0.41703234503321629</v>
      </c>
      <c r="E166" s="434">
        <f t="shared" si="45"/>
        <v>0.29703234503321629</v>
      </c>
      <c r="F166" s="434">
        <f t="shared" si="46"/>
        <v>0.39505035041062919</v>
      </c>
      <c r="G166" s="434">
        <f t="shared" si="47"/>
        <v>4.3522556288624573E-2</v>
      </c>
      <c r="H166" s="434">
        <f t="shared" si="41"/>
        <v>0</v>
      </c>
      <c r="I166" s="434">
        <v>0</v>
      </c>
      <c r="J166" s="127">
        <f t="shared" si="42"/>
        <v>0.11016964354894433</v>
      </c>
      <c r="K166" s="126">
        <f t="shared" si="48"/>
        <v>4.197198169505964E-3</v>
      </c>
      <c r="L166" s="41">
        <f t="shared" si="43"/>
        <v>44.914495791662652</v>
      </c>
      <c r="M166" s="41">
        <f t="shared" si="44"/>
        <v>-26.641706729254029</v>
      </c>
      <c r="N166" s="41">
        <f>(IF(C165&lt;='SOLLECITAZ NASCOSTO'!$P$12,IF(C165&lt;='SOLLECITAZ NASCOSTO'!$P$11,IF(C165&lt;='SOLLECITAZ NASCOSTO'!$P$10,IF(C165&lt;='SOLLECITAZ NASCOSTO'!$P$9,IF(C165&lt;='SOLLECITAZ NASCOSTO'!$P$8,IF(C165&lt;='SOLLECITAZ NASCOSTO'!$P$7,IF(C165&lt;='SOLLECITAZ NASCOSTO'!$P$6,IF(C165&lt;='SOLLECITAZ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paramento'!$G$111),55555)-IF(C165&lt;='SOLLECITAZ NASCOSTO'!$P$12,IF(C165&lt;='SOLLECITAZ NASCOSTO'!$P$11,IF(C165&lt;='SOLLECITAZ NASCOSTO'!$P$10,IF(C165&lt;='SOLLECITAZ NASCOSTO'!$P$9,IF(C165&lt;='SOLLECITAZ NASCOSTO'!$P$8,IF(C165&lt;='SOLLECITAZ NASCOSTO'!$P$7,IF(C165&lt;='SOLLECITAZ NASCOSTO'!$P$6,IF(C165&lt;='SOLLECITAZ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paramento'!$G$111))*(C165-IF(C165&lt;='SOLLECITAZ NASCOSTO'!$P$12,IF(C165&lt;='SOLLECITAZ NASCOSTO'!$P$11,IF(C165&lt;='SOLLECITAZ NASCOSTO'!$P$10,IF(C165&lt;='SOLLECITAZ NASCOSTO'!$P$9,IF(C165&lt;='SOLLECITAZ NASCOSTO'!$P$8,IF(C165&lt;='SOLLECITAZ NASCOSTO'!$P$7,IF(C165&lt;='SOLLECITAZ NASCOSTO'!$P$6,IF(C165&lt;='SOLLECITAZ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NASCOSTO'!$P$12))/IF(C165&lt;='SOLLECITAZ NASCOSTO'!$P$12,IF(C165&lt;='SOLLECITAZ NASCOSTO'!$P$11,IF(C165&lt;='SOLLECITAZ NASCOSTO'!$P$10,IF(C165&lt;='SOLLECITAZ NASCOSTO'!$P$9,IF(C165&lt;='SOLLECITAZ NASCOSTO'!$P$8,IF(C165&lt;='SOLLECITAZ NASCOSTO'!$P$7,IF(C165&lt;='SOLLECITAZ NASCOSTO'!$P$6,IF(C165&lt;='SOLLECITAZ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paramento'!$C$111)+IF(C165&lt;='SOLLECITAZ NASCOSTO'!$P$12,IF(C165&lt;='SOLLECITAZ NASCOSTO'!$P$11,IF(C165&lt;='SOLLECITAZ NASCOSTO'!$P$10,IF(C165&lt;='SOLLECITAZ NASCOSTO'!$P$9,IF(C165&lt;='SOLLECITAZ NASCOSTO'!$P$8,IF(C165&lt;='SOLLECITAZ NASCOSTO'!$P$7,IF(C165&lt;='SOLLECITAZ NASCOSTO'!$P$6,IF(C165&lt;='SOLLECITAZ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47.802695791461105</v>
      </c>
      <c r="O166" s="41">
        <f>IF(C166&lt;='SOLLECITAZ NASCOSTO'!$P$12,IF(C166&lt;='SOLLECITAZ NASCOSTO'!$P$11,IF(C166&lt;='SOLLECITAZ NASCOSTO'!$P$10,IF(C166&lt;='SOLLECITAZ NASCOSTO'!$P$9,IF(C166&lt;='SOLLECITAZ NASCOSTO'!$P$8,IF(C166&lt;='SOLLECITAZ NASCOSTO'!$P$7,IF(C166&lt;='SOLLECITAZ NASCOSTO'!$P$6,IF(C166&lt;='SOLLECITAZ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paramento'!$G$110),55555)*(C166-C165)/IF(C166&lt;='SOLLECITAZ NASCOSTO'!$P$12,IF(C166&lt;='SOLLECITAZ NASCOSTO'!$P$11,IF(C166&lt;='SOLLECITAZ NASCOSTO'!$P$10,IF(C166&lt;='SOLLECITAZ NASCOSTO'!$P$9,IF(C166&lt;='SOLLECITAZ NASCOSTO'!$P$8,IF(C166&lt;='SOLLECITAZ NASCOSTO'!$P$7,IF(C166&lt;='SOLLECITAZ NASCOSTO'!$P$6,IF(C166&lt;='SOLLECITAZ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66" s="41">
        <f t="shared" si="57"/>
        <v>1.3299999999999974E-4</v>
      </c>
      <c r="Q166" s="41">
        <f t="shared" si="55"/>
        <v>1</v>
      </c>
      <c r="R166" s="434">
        <f t="shared" si="49"/>
        <v>1.459846762891726</v>
      </c>
      <c r="S166" s="45">
        <f t="shared" si="56"/>
        <v>1.459846762891726</v>
      </c>
      <c r="T166" s="205">
        <f t="shared" si="52"/>
        <v>3.5722148293691549</v>
      </c>
      <c r="U166" s="45">
        <f t="shared" si="53"/>
        <v>44.914495791662652</v>
      </c>
      <c r="V166" s="45">
        <f t="shared" si="54"/>
        <v>-26.641706729254029</v>
      </c>
      <c r="W166" s="488"/>
      <c r="X166" s="489"/>
      <c r="Y166" s="489"/>
      <c r="Z166" s="490"/>
      <c r="AA166" s="46"/>
    </row>
    <row r="167" spans="1:27" s="421" customFormat="1" x14ac:dyDescent="0.25">
      <c r="A167" s="581">
        <f t="shared" si="50"/>
        <v>0.29860318778132555</v>
      </c>
      <c r="B167" s="31">
        <f t="shared" si="40"/>
        <v>135</v>
      </c>
      <c r="C167" s="434">
        <f>'SOLLECITAZ NASCOSTO'!$D$6/'SOLLECITAZ NASCOSTO'!$B$448*'SOLLECITAZ NASCOSTO'!B167</f>
        <v>1.4707411417192764</v>
      </c>
      <c r="D167" s="434">
        <f t="shared" si="51"/>
        <v>0.41860318778132555</v>
      </c>
      <c r="E167" s="434">
        <f t="shared" si="45"/>
        <v>0.29860318778132555</v>
      </c>
      <c r="F167" s="434">
        <f t="shared" si="46"/>
        <v>0.39555302009002419</v>
      </c>
      <c r="G167" s="434">
        <f t="shared" si="47"/>
        <v>4.3732580611310037E-2</v>
      </c>
      <c r="H167" s="434">
        <f t="shared" si="41"/>
        <v>0</v>
      </c>
      <c r="I167" s="434">
        <v>0</v>
      </c>
      <c r="J167" s="127">
        <f t="shared" si="42"/>
        <v>0.11056060348460216</v>
      </c>
      <c r="K167" s="126">
        <f t="shared" si="48"/>
        <v>4.2447141745962074E-3</v>
      </c>
      <c r="L167" s="41">
        <f t="shared" si="43"/>
        <v>45.439494602059227</v>
      </c>
      <c r="M167" s="41">
        <f t="shared" si="44"/>
        <v>-27.133882029219055</v>
      </c>
      <c r="N167" s="41">
        <f>(IF(C166&lt;='SOLLECITAZ NASCOSTO'!$P$12,IF(C166&lt;='SOLLECITAZ NASCOSTO'!$P$11,IF(C166&lt;='SOLLECITAZ NASCOSTO'!$P$10,IF(C166&lt;='SOLLECITAZ NASCOSTO'!$P$9,IF(C166&lt;='SOLLECITAZ NASCOSTO'!$P$8,IF(C166&lt;='SOLLECITAZ NASCOSTO'!$P$7,IF(C166&lt;='SOLLECITAZ NASCOSTO'!$P$6,IF(C166&lt;='SOLLECITAZ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paramento'!$G$111),55555)-IF(C166&lt;='SOLLECITAZ NASCOSTO'!$P$12,IF(C166&lt;='SOLLECITAZ NASCOSTO'!$P$11,IF(C166&lt;='SOLLECITAZ NASCOSTO'!$P$10,IF(C166&lt;='SOLLECITAZ NASCOSTO'!$P$9,IF(C166&lt;='SOLLECITAZ NASCOSTO'!$P$8,IF(C166&lt;='SOLLECITAZ NASCOSTO'!$P$7,IF(C166&lt;='SOLLECITAZ NASCOSTO'!$P$6,IF(C166&lt;='SOLLECITAZ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paramento'!$G$111))*(C166-IF(C166&lt;='SOLLECITAZ NASCOSTO'!$P$12,IF(C166&lt;='SOLLECITAZ NASCOSTO'!$P$11,IF(C166&lt;='SOLLECITAZ NASCOSTO'!$P$10,IF(C166&lt;='SOLLECITAZ NASCOSTO'!$P$9,IF(C166&lt;='SOLLECITAZ NASCOSTO'!$P$8,IF(C166&lt;='SOLLECITAZ NASCOSTO'!$P$7,IF(C166&lt;='SOLLECITAZ NASCOSTO'!$P$6,IF(C166&lt;='SOLLECITAZ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NASCOSTO'!$P$12))/IF(C166&lt;='SOLLECITAZ NASCOSTO'!$P$12,IF(C166&lt;='SOLLECITAZ NASCOSTO'!$P$11,IF(C166&lt;='SOLLECITAZ NASCOSTO'!$P$10,IF(C166&lt;='SOLLECITAZ NASCOSTO'!$P$9,IF(C166&lt;='SOLLECITAZ NASCOSTO'!$P$8,IF(C166&lt;='SOLLECITAZ NASCOSTO'!$P$7,IF(C166&lt;='SOLLECITAZ NASCOSTO'!$P$6,IF(C166&lt;='SOLLECITAZ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paramento'!$C$111)+IF(C166&lt;='SOLLECITAZ NASCOSTO'!$P$12,IF(C166&lt;='SOLLECITAZ NASCOSTO'!$P$11,IF(C166&lt;='SOLLECITAZ NASCOSTO'!$P$10,IF(C166&lt;='SOLLECITAZ NASCOSTO'!$P$9,IF(C166&lt;='SOLLECITAZ NASCOSTO'!$P$8,IF(C166&lt;='SOLLECITAZ NASCOSTO'!$P$7,IF(C166&lt;='SOLLECITAZ NASCOSTO'!$P$6,IF(C166&lt;='SOLLECITAZ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48.060818720910511</v>
      </c>
      <c r="O167" s="41">
        <f>IF(C167&lt;='SOLLECITAZ NASCOSTO'!$P$12,IF(C167&lt;='SOLLECITAZ NASCOSTO'!$P$11,IF(C167&lt;='SOLLECITAZ NASCOSTO'!$P$10,IF(C167&lt;='SOLLECITAZ NASCOSTO'!$P$9,IF(C167&lt;='SOLLECITAZ NASCOSTO'!$P$8,IF(C167&lt;='SOLLECITAZ NASCOSTO'!$P$7,IF(C167&lt;='SOLLECITAZ NASCOSTO'!$P$6,IF(C167&lt;='SOLLECITAZ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paramento'!$G$110),55555)*(C167-C166)/IF(C167&lt;='SOLLECITAZ NASCOSTO'!$P$12,IF(C167&lt;='SOLLECITAZ NASCOSTO'!$P$11,IF(C167&lt;='SOLLECITAZ NASCOSTO'!$P$10,IF(C167&lt;='SOLLECITAZ NASCOSTO'!$P$9,IF(C167&lt;='SOLLECITAZ NASCOSTO'!$P$8,IF(C167&lt;='SOLLECITAZ NASCOSTO'!$P$7,IF(C167&lt;='SOLLECITAZ NASCOSTO'!$P$6,IF(C167&lt;='SOLLECITAZ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0.25812292944941068</v>
      </c>
      <c r="P167" s="41">
        <f t="shared" si="57"/>
        <v>1.3399999999999973E-4</v>
      </c>
      <c r="Q167" s="41">
        <f t="shared" si="55"/>
        <v>1</v>
      </c>
      <c r="R167" s="434">
        <f t="shared" si="49"/>
        <v>1.4707411417192764</v>
      </c>
      <c r="S167" s="45">
        <f t="shared" si="56"/>
        <v>1.4707411417192764</v>
      </c>
      <c r="T167" s="205">
        <f t="shared" si="52"/>
        <v>3.5613204505416043</v>
      </c>
      <c r="U167" s="45">
        <f t="shared" si="53"/>
        <v>45.439494602059227</v>
      </c>
      <c r="V167" s="45">
        <f t="shared" si="54"/>
        <v>-27.133882029219055</v>
      </c>
      <c r="W167" s="488"/>
      <c r="X167" s="489"/>
      <c r="Y167" s="489"/>
      <c r="Z167" s="490"/>
      <c r="AA167" s="46"/>
    </row>
    <row r="168" spans="1:27" s="421" customFormat="1" x14ac:dyDescent="0.25">
      <c r="A168" s="581">
        <f t="shared" si="50"/>
        <v>0.3001740305294347</v>
      </c>
      <c r="B168" s="31">
        <f t="shared" si="40"/>
        <v>136</v>
      </c>
      <c r="C168" s="434">
        <f>'SOLLECITAZ NASCOSTO'!$D$6/'SOLLECITAZ NASCOSTO'!$B$448*'SOLLECITAZ NASCOSTO'!B168</f>
        <v>1.4816355205468266</v>
      </c>
      <c r="D168" s="434">
        <f t="shared" si="51"/>
        <v>0.42017403052943469</v>
      </c>
      <c r="E168" s="434">
        <f t="shared" si="45"/>
        <v>0.3001740305294347</v>
      </c>
      <c r="F168" s="434">
        <f t="shared" si="46"/>
        <v>0.39605568976941907</v>
      </c>
      <c r="G168" s="434">
        <f t="shared" si="47"/>
        <v>4.3943394549016052E-2</v>
      </c>
      <c r="H168" s="434">
        <f t="shared" si="41"/>
        <v>0</v>
      </c>
      <c r="I168" s="434">
        <v>0</v>
      </c>
      <c r="J168" s="127">
        <f t="shared" si="42"/>
        <v>0.1109525647128049</v>
      </c>
      <c r="K168" s="126">
        <f t="shared" si="48"/>
        <v>4.292595419010151E-3</v>
      </c>
      <c r="L168" s="41">
        <f t="shared" si="43"/>
        <v>45.967305501433287</v>
      </c>
      <c r="M168" s="41">
        <f t="shared" si="44"/>
        <v>-27.631792183089857</v>
      </c>
      <c r="N168" s="41">
        <f>(IF(C167&lt;='SOLLECITAZ NASCOSTO'!$P$12,IF(C167&lt;='SOLLECITAZ NASCOSTO'!$P$11,IF(C167&lt;='SOLLECITAZ NASCOSTO'!$P$10,IF(C167&lt;='SOLLECITAZ NASCOSTO'!$P$9,IF(C167&lt;='SOLLECITAZ NASCOSTO'!$P$8,IF(C167&lt;='SOLLECITAZ NASCOSTO'!$P$7,IF(C167&lt;='SOLLECITAZ NASCOSTO'!$P$6,IF(C167&lt;='SOLLECITAZ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paramento'!$G$111),55555)-IF(C167&lt;='SOLLECITAZ NASCOSTO'!$P$12,IF(C167&lt;='SOLLECITAZ NASCOSTO'!$P$11,IF(C167&lt;='SOLLECITAZ NASCOSTO'!$P$10,IF(C167&lt;='SOLLECITAZ NASCOSTO'!$P$9,IF(C167&lt;='SOLLECITAZ NASCOSTO'!$P$8,IF(C167&lt;='SOLLECITAZ NASCOSTO'!$P$7,IF(C167&lt;='SOLLECITAZ NASCOSTO'!$P$6,IF(C167&lt;='SOLLECITAZ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paramento'!$G$111))*(C167-IF(C167&lt;='SOLLECITAZ NASCOSTO'!$P$12,IF(C167&lt;='SOLLECITAZ NASCOSTO'!$P$11,IF(C167&lt;='SOLLECITAZ NASCOSTO'!$P$10,IF(C167&lt;='SOLLECITAZ NASCOSTO'!$P$9,IF(C167&lt;='SOLLECITAZ NASCOSTO'!$P$8,IF(C167&lt;='SOLLECITAZ NASCOSTO'!$P$7,IF(C167&lt;='SOLLECITAZ NASCOSTO'!$P$6,IF(C167&lt;='SOLLECITAZ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NASCOSTO'!$P$12))/IF(C167&lt;='SOLLECITAZ NASCOSTO'!$P$12,IF(C167&lt;='SOLLECITAZ NASCOSTO'!$P$11,IF(C167&lt;='SOLLECITAZ NASCOSTO'!$P$10,IF(C167&lt;='SOLLECITAZ NASCOSTO'!$P$9,IF(C167&lt;='SOLLECITAZ NASCOSTO'!$P$8,IF(C167&lt;='SOLLECITAZ NASCOSTO'!$P$7,IF(C167&lt;='SOLLECITAZ NASCOSTO'!$P$6,IF(C167&lt;='SOLLECITAZ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paramento'!$C$111)+IF(C167&lt;='SOLLECITAZ NASCOSTO'!$P$12,IF(C167&lt;='SOLLECITAZ NASCOSTO'!$P$11,IF(C167&lt;='SOLLECITAZ NASCOSTO'!$P$10,IF(C167&lt;='SOLLECITAZ NASCOSTO'!$P$9,IF(C167&lt;='SOLLECITAZ NASCOSTO'!$P$8,IF(C167&lt;='SOLLECITAZ NASCOSTO'!$P$7,IF(C167&lt;='SOLLECITAZ NASCOSTO'!$P$6,IF(C167&lt;='SOLLECITAZ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48.318941650359925</v>
      </c>
      <c r="O168" s="41">
        <f>IF(C168&lt;='SOLLECITAZ NASCOSTO'!$P$12,IF(C168&lt;='SOLLECITAZ NASCOSTO'!$P$11,IF(C168&lt;='SOLLECITAZ NASCOSTO'!$P$10,IF(C168&lt;='SOLLECITAZ NASCOSTO'!$P$9,IF(C168&lt;='SOLLECITAZ NASCOSTO'!$P$8,IF(C168&lt;='SOLLECITAZ NASCOSTO'!$P$7,IF(C168&lt;='SOLLECITAZ NASCOSTO'!$P$6,IF(C168&lt;='SOLLECITAZ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paramento'!$G$110),55555)*(C168-C167)/IF(C168&lt;='SOLLECITAZ NASCOSTO'!$P$12,IF(C168&lt;='SOLLECITAZ NASCOSTO'!$P$11,IF(C168&lt;='SOLLECITAZ NASCOSTO'!$P$10,IF(C168&lt;='SOLLECITAZ NASCOSTO'!$P$9,IF(C168&lt;='SOLLECITAZ NASCOSTO'!$P$8,IF(C168&lt;='SOLLECITAZ NASCOSTO'!$P$7,IF(C168&lt;='SOLLECITAZ NASCOSTO'!$P$6,IF(C168&lt;='SOLLECITAZ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68" s="41">
        <f t="shared" si="57"/>
        <v>1.3499999999999973E-4</v>
      </c>
      <c r="Q168" s="41">
        <f t="shared" si="55"/>
        <v>1</v>
      </c>
      <c r="R168" s="434">
        <f t="shared" si="49"/>
        <v>1.4816355205468266</v>
      </c>
      <c r="S168" s="45">
        <f t="shared" si="56"/>
        <v>1.4816355205468266</v>
      </c>
      <c r="T168" s="205">
        <f t="shared" si="52"/>
        <v>3.5504260717140541</v>
      </c>
      <c r="U168" s="45">
        <f t="shared" si="53"/>
        <v>45.967305501433287</v>
      </c>
      <c r="V168" s="45">
        <f t="shared" si="54"/>
        <v>-27.631792183089857</v>
      </c>
      <c r="W168" s="488"/>
      <c r="X168" s="489"/>
      <c r="Y168" s="489"/>
      <c r="Z168" s="490"/>
      <c r="AA168" s="46"/>
    </row>
    <row r="169" spans="1:27" s="421" customFormat="1" x14ac:dyDescent="0.25">
      <c r="A169" s="581">
        <f t="shared" si="50"/>
        <v>0.30174487327754385</v>
      </c>
      <c r="B169" s="31">
        <f t="shared" si="40"/>
        <v>137</v>
      </c>
      <c r="C169" s="434">
        <f>'SOLLECITAZ NASCOSTO'!$D$6/'SOLLECITAZ NASCOSTO'!$B$448*'SOLLECITAZ NASCOSTO'!B169</f>
        <v>1.4925298993743767</v>
      </c>
      <c r="D169" s="434">
        <f t="shared" si="51"/>
        <v>0.42174487327754384</v>
      </c>
      <c r="E169" s="434">
        <f t="shared" si="45"/>
        <v>0.30174487327754385</v>
      </c>
      <c r="F169" s="434">
        <f t="shared" si="46"/>
        <v>0.39655835944881401</v>
      </c>
      <c r="G169" s="434">
        <f t="shared" si="47"/>
        <v>4.4154998101742643E-2</v>
      </c>
      <c r="H169" s="434">
        <f t="shared" si="41"/>
        <v>0</v>
      </c>
      <c r="I169" s="434">
        <v>0</v>
      </c>
      <c r="J169" s="127">
        <f t="shared" si="42"/>
        <v>0.11134552342589558</v>
      </c>
      <c r="K169" s="126">
        <f t="shared" si="48"/>
        <v>4.3408429898422474E-3</v>
      </c>
      <c r="L169" s="41">
        <f t="shared" si="43"/>
        <v>46.497928489784847</v>
      </c>
      <c r="M169" s="41">
        <f t="shared" si="44"/>
        <v>-28.135467826829057</v>
      </c>
      <c r="N169" s="41">
        <f>(IF(C168&lt;='SOLLECITAZ NASCOSTO'!$P$12,IF(C168&lt;='SOLLECITAZ NASCOSTO'!$P$11,IF(C168&lt;='SOLLECITAZ NASCOSTO'!$P$10,IF(C168&lt;='SOLLECITAZ NASCOSTO'!$P$9,IF(C168&lt;='SOLLECITAZ NASCOSTO'!$P$8,IF(C168&lt;='SOLLECITAZ NASCOSTO'!$P$7,IF(C168&lt;='SOLLECITAZ NASCOSTO'!$P$6,IF(C168&lt;='SOLLECITAZ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paramento'!$G$111),55555)-IF(C168&lt;='SOLLECITAZ NASCOSTO'!$P$12,IF(C168&lt;='SOLLECITAZ NASCOSTO'!$P$11,IF(C168&lt;='SOLLECITAZ NASCOSTO'!$P$10,IF(C168&lt;='SOLLECITAZ NASCOSTO'!$P$9,IF(C168&lt;='SOLLECITAZ NASCOSTO'!$P$8,IF(C168&lt;='SOLLECITAZ NASCOSTO'!$P$7,IF(C168&lt;='SOLLECITAZ NASCOSTO'!$P$6,IF(C168&lt;='SOLLECITAZ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paramento'!$G$111))*(C168-IF(C168&lt;='SOLLECITAZ NASCOSTO'!$P$12,IF(C168&lt;='SOLLECITAZ NASCOSTO'!$P$11,IF(C168&lt;='SOLLECITAZ NASCOSTO'!$P$10,IF(C168&lt;='SOLLECITAZ NASCOSTO'!$P$9,IF(C168&lt;='SOLLECITAZ NASCOSTO'!$P$8,IF(C168&lt;='SOLLECITAZ NASCOSTO'!$P$7,IF(C168&lt;='SOLLECITAZ NASCOSTO'!$P$6,IF(C168&lt;='SOLLECITAZ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NASCOSTO'!$P$12))/IF(C168&lt;='SOLLECITAZ NASCOSTO'!$P$12,IF(C168&lt;='SOLLECITAZ NASCOSTO'!$P$11,IF(C168&lt;='SOLLECITAZ NASCOSTO'!$P$10,IF(C168&lt;='SOLLECITAZ NASCOSTO'!$P$9,IF(C168&lt;='SOLLECITAZ NASCOSTO'!$P$8,IF(C168&lt;='SOLLECITAZ NASCOSTO'!$P$7,IF(C168&lt;='SOLLECITAZ NASCOSTO'!$P$6,IF(C168&lt;='SOLLECITAZ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paramento'!$C$111)+IF(C168&lt;='SOLLECITAZ NASCOSTO'!$P$12,IF(C168&lt;='SOLLECITAZ NASCOSTO'!$P$11,IF(C168&lt;='SOLLECITAZ NASCOSTO'!$P$10,IF(C168&lt;='SOLLECITAZ NASCOSTO'!$P$9,IF(C168&lt;='SOLLECITAZ NASCOSTO'!$P$8,IF(C168&lt;='SOLLECITAZ NASCOSTO'!$P$7,IF(C168&lt;='SOLLECITAZ NASCOSTO'!$P$6,IF(C168&lt;='SOLLECITAZ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48.577064579809331</v>
      </c>
      <c r="O169" s="41">
        <f>IF(C169&lt;='SOLLECITAZ NASCOSTO'!$P$12,IF(C169&lt;='SOLLECITAZ NASCOSTO'!$P$11,IF(C169&lt;='SOLLECITAZ NASCOSTO'!$P$10,IF(C169&lt;='SOLLECITAZ NASCOSTO'!$P$9,IF(C169&lt;='SOLLECITAZ NASCOSTO'!$P$8,IF(C169&lt;='SOLLECITAZ NASCOSTO'!$P$7,IF(C169&lt;='SOLLECITAZ NASCOSTO'!$P$6,IF(C169&lt;='SOLLECITAZ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paramento'!$G$110),55555)*(C169-C168)/IF(C169&lt;='SOLLECITAZ NASCOSTO'!$P$12,IF(C169&lt;='SOLLECITAZ NASCOSTO'!$P$11,IF(C169&lt;='SOLLECITAZ NASCOSTO'!$P$10,IF(C169&lt;='SOLLECITAZ NASCOSTO'!$P$9,IF(C169&lt;='SOLLECITAZ NASCOSTO'!$P$8,IF(C169&lt;='SOLLECITAZ NASCOSTO'!$P$7,IF(C169&lt;='SOLLECITAZ NASCOSTO'!$P$6,IF(C169&lt;='SOLLECITAZ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69" s="41">
        <f t="shared" si="57"/>
        <v>1.3599999999999973E-4</v>
      </c>
      <c r="Q169" s="41">
        <f t="shared" si="55"/>
        <v>1</v>
      </c>
      <c r="R169" s="434">
        <f t="shared" si="49"/>
        <v>1.4925298993743767</v>
      </c>
      <c r="S169" s="45">
        <f t="shared" si="56"/>
        <v>1.4925298993743767</v>
      </c>
      <c r="T169" s="205">
        <f t="shared" si="52"/>
        <v>3.5395316928865039</v>
      </c>
      <c r="U169" s="45">
        <f t="shared" si="53"/>
        <v>46.497928489784847</v>
      </c>
      <c r="V169" s="45">
        <f t="shared" si="54"/>
        <v>-28.135467826829057</v>
      </c>
      <c r="W169" s="488"/>
      <c r="X169" s="489"/>
      <c r="Y169" s="489"/>
      <c r="Z169" s="490"/>
      <c r="AA169" s="46"/>
    </row>
    <row r="170" spans="1:27" s="421" customFormat="1" x14ac:dyDescent="0.25">
      <c r="A170" s="581">
        <f t="shared" si="50"/>
        <v>0.30331571602565299</v>
      </c>
      <c r="B170" s="31">
        <f t="shared" si="40"/>
        <v>138</v>
      </c>
      <c r="C170" s="434">
        <f>'SOLLECITAZ NASCOSTO'!$D$6/'SOLLECITAZ NASCOSTO'!$B$448*'SOLLECITAZ NASCOSTO'!B170</f>
        <v>1.5034242782019269</v>
      </c>
      <c r="D170" s="434">
        <f t="shared" si="51"/>
        <v>0.42331571602565299</v>
      </c>
      <c r="E170" s="434">
        <f t="shared" si="45"/>
        <v>0.30331571602565299</v>
      </c>
      <c r="F170" s="434">
        <f t="shared" si="46"/>
        <v>0.39706102912820895</v>
      </c>
      <c r="G170" s="434">
        <f t="shared" si="47"/>
        <v>4.4367391269489805E-2</v>
      </c>
      <c r="H170" s="434">
        <f t="shared" si="41"/>
        <v>0</v>
      </c>
      <c r="I170" s="434">
        <v>0</v>
      </c>
      <c r="J170" s="127">
        <f t="shared" si="42"/>
        <v>0.11173947583549884</v>
      </c>
      <c r="K170" s="126">
        <f t="shared" si="48"/>
        <v>4.3894579718225446E-3</v>
      </c>
      <c r="L170" s="41">
        <f t="shared" si="43"/>
        <v>47.031363567113907</v>
      </c>
      <c r="M170" s="41">
        <f t="shared" si="44"/>
        <v>-28.644939596399276</v>
      </c>
      <c r="N170" s="41">
        <f>(IF(C169&lt;='SOLLECITAZ NASCOSTO'!$P$12,IF(C169&lt;='SOLLECITAZ NASCOSTO'!$P$11,IF(C169&lt;='SOLLECITAZ NASCOSTO'!$P$10,IF(C169&lt;='SOLLECITAZ NASCOSTO'!$P$9,IF(C169&lt;='SOLLECITAZ NASCOSTO'!$P$8,IF(C169&lt;='SOLLECITAZ NASCOSTO'!$P$7,IF(C169&lt;='SOLLECITAZ NASCOSTO'!$P$6,IF(C169&lt;='SOLLECITAZ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paramento'!$G$111),55555)-IF(C169&lt;='SOLLECITAZ NASCOSTO'!$P$12,IF(C169&lt;='SOLLECITAZ NASCOSTO'!$P$11,IF(C169&lt;='SOLLECITAZ NASCOSTO'!$P$10,IF(C169&lt;='SOLLECITAZ NASCOSTO'!$P$9,IF(C169&lt;='SOLLECITAZ NASCOSTO'!$P$8,IF(C169&lt;='SOLLECITAZ NASCOSTO'!$P$7,IF(C169&lt;='SOLLECITAZ NASCOSTO'!$P$6,IF(C169&lt;='SOLLECITAZ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paramento'!$G$111))*(C169-IF(C169&lt;='SOLLECITAZ NASCOSTO'!$P$12,IF(C169&lt;='SOLLECITAZ NASCOSTO'!$P$11,IF(C169&lt;='SOLLECITAZ NASCOSTO'!$P$10,IF(C169&lt;='SOLLECITAZ NASCOSTO'!$P$9,IF(C169&lt;='SOLLECITAZ NASCOSTO'!$P$8,IF(C169&lt;='SOLLECITAZ NASCOSTO'!$P$7,IF(C169&lt;='SOLLECITAZ NASCOSTO'!$P$6,IF(C169&lt;='SOLLECITAZ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NASCOSTO'!$P$12))/IF(C169&lt;='SOLLECITAZ NASCOSTO'!$P$12,IF(C169&lt;='SOLLECITAZ NASCOSTO'!$P$11,IF(C169&lt;='SOLLECITAZ NASCOSTO'!$P$10,IF(C169&lt;='SOLLECITAZ NASCOSTO'!$P$9,IF(C169&lt;='SOLLECITAZ NASCOSTO'!$P$8,IF(C169&lt;='SOLLECITAZ NASCOSTO'!$P$7,IF(C169&lt;='SOLLECITAZ NASCOSTO'!$P$6,IF(C169&lt;='SOLLECITAZ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paramento'!$C$111)+IF(C169&lt;='SOLLECITAZ NASCOSTO'!$P$12,IF(C169&lt;='SOLLECITAZ NASCOSTO'!$P$11,IF(C169&lt;='SOLLECITAZ NASCOSTO'!$P$10,IF(C169&lt;='SOLLECITAZ NASCOSTO'!$P$9,IF(C169&lt;='SOLLECITAZ NASCOSTO'!$P$8,IF(C169&lt;='SOLLECITAZ NASCOSTO'!$P$7,IF(C169&lt;='SOLLECITAZ NASCOSTO'!$P$6,IF(C169&lt;='SOLLECITAZ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48.835187509258738</v>
      </c>
      <c r="O170" s="41">
        <f>IF(C170&lt;='SOLLECITAZ NASCOSTO'!$P$12,IF(C170&lt;='SOLLECITAZ NASCOSTO'!$P$11,IF(C170&lt;='SOLLECITAZ NASCOSTO'!$P$10,IF(C170&lt;='SOLLECITAZ NASCOSTO'!$P$9,IF(C170&lt;='SOLLECITAZ NASCOSTO'!$P$8,IF(C170&lt;='SOLLECITAZ NASCOSTO'!$P$7,IF(C170&lt;='SOLLECITAZ NASCOSTO'!$P$6,IF(C170&lt;='SOLLECITAZ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paramento'!$G$110),55555)*(C170-C169)/IF(C170&lt;='SOLLECITAZ NASCOSTO'!$P$12,IF(C170&lt;='SOLLECITAZ NASCOSTO'!$P$11,IF(C170&lt;='SOLLECITAZ NASCOSTO'!$P$10,IF(C170&lt;='SOLLECITAZ NASCOSTO'!$P$9,IF(C170&lt;='SOLLECITAZ NASCOSTO'!$P$8,IF(C170&lt;='SOLLECITAZ NASCOSTO'!$P$7,IF(C170&lt;='SOLLECITAZ NASCOSTO'!$P$6,IF(C170&lt;='SOLLECITAZ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70" s="41">
        <f t="shared" si="57"/>
        <v>1.3699999999999973E-4</v>
      </c>
      <c r="Q170" s="41">
        <f t="shared" si="55"/>
        <v>1</v>
      </c>
      <c r="R170" s="434">
        <f t="shared" si="49"/>
        <v>1.5034242782019269</v>
      </c>
      <c r="S170" s="45">
        <f t="shared" si="56"/>
        <v>1.5034242782019269</v>
      </c>
      <c r="T170" s="205">
        <f t="shared" si="52"/>
        <v>3.5286373140589538</v>
      </c>
      <c r="U170" s="45">
        <f t="shared" si="53"/>
        <v>47.031363567113907</v>
      </c>
      <c r="V170" s="45">
        <f t="shared" si="54"/>
        <v>-28.644939596399276</v>
      </c>
      <c r="W170" s="488"/>
      <c r="X170" s="489"/>
      <c r="Y170" s="489"/>
      <c r="Z170" s="490"/>
      <c r="AA170" s="46"/>
    </row>
    <row r="171" spans="1:27" s="421" customFormat="1" x14ac:dyDescent="0.25">
      <c r="A171" s="581">
        <f t="shared" si="50"/>
        <v>0.30488655877376214</v>
      </c>
      <c r="B171" s="31">
        <f t="shared" si="40"/>
        <v>139</v>
      </c>
      <c r="C171" s="434">
        <f>'SOLLECITAZ NASCOSTO'!$D$6/'SOLLECITAZ NASCOSTO'!$B$448*'SOLLECITAZ NASCOSTO'!B171</f>
        <v>1.5143186570294771</v>
      </c>
      <c r="D171" s="434">
        <f t="shared" si="51"/>
        <v>0.42488655877376214</v>
      </c>
      <c r="E171" s="434">
        <f t="shared" si="45"/>
        <v>0.30488655877376214</v>
      </c>
      <c r="F171" s="434">
        <f t="shared" si="46"/>
        <v>0.39756369880760389</v>
      </c>
      <c r="G171" s="434">
        <f t="shared" si="47"/>
        <v>4.4580574052257543E-2</v>
      </c>
      <c r="H171" s="434">
        <f t="shared" si="41"/>
        <v>0</v>
      </c>
      <c r="I171" s="434">
        <v>0</v>
      </c>
      <c r="J171" s="127">
        <f t="shared" si="42"/>
        <v>0.11213441817239901</v>
      </c>
      <c r="K171" s="126">
        <f t="shared" si="48"/>
        <v>4.4384414473316253E-3</v>
      </c>
      <c r="L171" s="41">
        <f t="shared" si="43"/>
        <v>47.567610733420466</v>
      </c>
      <c r="M171" s="41">
        <f t="shared" si="44"/>
        <v>-29.16023812776313</v>
      </c>
      <c r="N171" s="41">
        <f>(IF(C170&lt;='SOLLECITAZ NASCOSTO'!$P$12,IF(C170&lt;='SOLLECITAZ NASCOSTO'!$P$11,IF(C170&lt;='SOLLECITAZ NASCOSTO'!$P$10,IF(C170&lt;='SOLLECITAZ NASCOSTO'!$P$9,IF(C170&lt;='SOLLECITAZ NASCOSTO'!$P$8,IF(C170&lt;='SOLLECITAZ NASCOSTO'!$P$7,IF(C170&lt;='SOLLECITAZ NASCOSTO'!$P$6,IF(C170&lt;='SOLLECITAZ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paramento'!$G$111),55555)-IF(C170&lt;='SOLLECITAZ NASCOSTO'!$P$12,IF(C170&lt;='SOLLECITAZ NASCOSTO'!$P$11,IF(C170&lt;='SOLLECITAZ NASCOSTO'!$P$10,IF(C170&lt;='SOLLECITAZ NASCOSTO'!$P$9,IF(C170&lt;='SOLLECITAZ NASCOSTO'!$P$8,IF(C170&lt;='SOLLECITAZ NASCOSTO'!$P$7,IF(C170&lt;='SOLLECITAZ NASCOSTO'!$P$6,IF(C170&lt;='SOLLECITAZ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paramento'!$G$111))*(C170-IF(C170&lt;='SOLLECITAZ NASCOSTO'!$P$12,IF(C170&lt;='SOLLECITAZ NASCOSTO'!$P$11,IF(C170&lt;='SOLLECITAZ NASCOSTO'!$P$10,IF(C170&lt;='SOLLECITAZ NASCOSTO'!$P$9,IF(C170&lt;='SOLLECITAZ NASCOSTO'!$P$8,IF(C170&lt;='SOLLECITAZ NASCOSTO'!$P$7,IF(C170&lt;='SOLLECITAZ NASCOSTO'!$P$6,IF(C170&lt;='SOLLECITAZ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NASCOSTO'!$P$12))/IF(C170&lt;='SOLLECITAZ NASCOSTO'!$P$12,IF(C170&lt;='SOLLECITAZ NASCOSTO'!$P$11,IF(C170&lt;='SOLLECITAZ NASCOSTO'!$P$10,IF(C170&lt;='SOLLECITAZ NASCOSTO'!$P$9,IF(C170&lt;='SOLLECITAZ NASCOSTO'!$P$8,IF(C170&lt;='SOLLECITAZ NASCOSTO'!$P$7,IF(C170&lt;='SOLLECITAZ NASCOSTO'!$P$6,IF(C170&lt;='SOLLECITAZ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paramento'!$C$111)+IF(C170&lt;='SOLLECITAZ NASCOSTO'!$P$12,IF(C170&lt;='SOLLECITAZ NASCOSTO'!$P$11,IF(C170&lt;='SOLLECITAZ NASCOSTO'!$P$10,IF(C170&lt;='SOLLECITAZ NASCOSTO'!$P$9,IF(C170&lt;='SOLLECITAZ NASCOSTO'!$P$8,IF(C170&lt;='SOLLECITAZ NASCOSTO'!$P$7,IF(C170&lt;='SOLLECITAZ NASCOSTO'!$P$6,IF(C170&lt;='SOLLECITAZ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49.093310438708137</v>
      </c>
      <c r="O171" s="41">
        <f>IF(C171&lt;='SOLLECITAZ NASCOSTO'!$P$12,IF(C171&lt;='SOLLECITAZ NASCOSTO'!$P$11,IF(C171&lt;='SOLLECITAZ NASCOSTO'!$P$10,IF(C171&lt;='SOLLECITAZ NASCOSTO'!$P$9,IF(C171&lt;='SOLLECITAZ NASCOSTO'!$P$8,IF(C171&lt;='SOLLECITAZ NASCOSTO'!$P$7,IF(C171&lt;='SOLLECITAZ NASCOSTO'!$P$6,IF(C171&lt;='SOLLECITAZ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paramento'!$G$110),55555)*(C171-C170)/IF(C171&lt;='SOLLECITAZ NASCOSTO'!$P$12,IF(C171&lt;='SOLLECITAZ NASCOSTO'!$P$11,IF(C171&lt;='SOLLECITAZ NASCOSTO'!$P$10,IF(C171&lt;='SOLLECITAZ NASCOSTO'!$P$9,IF(C171&lt;='SOLLECITAZ NASCOSTO'!$P$8,IF(C171&lt;='SOLLECITAZ NASCOSTO'!$P$7,IF(C171&lt;='SOLLECITAZ NASCOSTO'!$P$6,IF(C171&lt;='SOLLECITAZ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71" s="41">
        <f t="shared" si="57"/>
        <v>1.3799999999999972E-4</v>
      </c>
      <c r="Q171" s="41">
        <f t="shared" si="55"/>
        <v>1</v>
      </c>
      <c r="R171" s="434">
        <f t="shared" si="49"/>
        <v>1.5143186570294771</v>
      </c>
      <c r="S171" s="45">
        <f t="shared" si="56"/>
        <v>1.5143186570294771</v>
      </c>
      <c r="T171" s="205">
        <f t="shared" si="52"/>
        <v>3.5177429352314036</v>
      </c>
      <c r="U171" s="45">
        <f t="shared" si="53"/>
        <v>47.567610733420466</v>
      </c>
      <c r="V171" s="45">
        <f t="shared" si="54"/>
        <v>-29.16023812776313</v>
      </c>
      <c r="W171" s="488"/>
      <c r="X171" s="489"/>
      <c r="Y171" s="489"/>
      <c r="Z171" s="490"/>
      <c r="AA171" s="46"/>
    </row>
    <row r="172" spans="1:27" s="421" customFormat="1" x14ac:dyDescent="0.25">
      <c r="A172" s="581">
        <f t="shared" si="50"/>
        <v>0.30645740152187129</v>
      </c>
      <c r="B172" s="31">
        <f t="shared" si="40"/>
        <v>140</v>
      </c>
      <c r="C172" s="434">
        <f>'SOLLECITAZ NASCOSTO'!$D$6/'SOLLECITAZ NASCOSTO'!$B$448*'SOLLECITAZ NASCOSTO'!B172</f>
        <v>1.5252130358570273</v>
      </c>
      <c r="D172" s="434">
        <f t="shared" si="51"/>
        <v>0.42645740152187128</v>
      </c>
      <c r="E172" s="434">
        <f t="shared" si="45"/>
        <v>0.30645740152187129</v>
      </c>
      <c r="F172" s="434">
        <f t="shared" si="46"/>
        <v>0.39806636848699883</v>
      </c>
      <c r="G172" s="434">
        <f t="shared" si="47"/>
        <v>4.4794546450045852E-2</v>
      </c>
      <c r="H172" s="434">
        <f t="shared" si="41"/>
        <v>0</v>
      </c>
      <c r="I172" s="434">
        <v>0</v>
      </c>
      <c r="J172" s="127">
        <f t="shared" si="42"/>
        <v>0.11253034668641915</v>
      </c>
      <c r="K172" s="126">
        <f t="shared" si="48"/>
        <v>4.4877944964154511E-3</v>
      </c>
      <c r="L172" s="41">
        <f t="shared" si="43"/>
        <v>48.106669988704525</v>
      </c>
      <c r="M172" s="41">
        <f t="shared" si="44"/>
        <v>-29.681394056883235</v>
      </c>
      <c r="N172" s="41">
        <f>(IF(C171&lt;='SOLLECITAZ NASCOSTO'!$P$12,IF(C171&lt;='SOLLECITAZ NASCOSTO'!$P$11,IF(C171&lt;='SOLLECITAZ NASCOSTO'!$P$10,IF(C171&lt;='SOLLECITAZ NASCOSTO'!$P$9,IF(C171&lt;='SOLLECITAZ NASCOSTO'!$P$8,IF(C171&lt;='SOLLECITAZ NASCOSTO'!$P$7,IF(C171&lt;='SOLLECITAZ NASCOSTO'!$P$6,IF(C171&lt;='SOLLECITAZ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paramento'!$G$111),55555)-IF(C171&lt;='SOLLECITAZ NASCOSTO'!$P$12,IF(C171&lt;='SOLLECITAZ NASCOSTO'!$P$11,IF(C171&lt;='SOLLECITAZ NASCOSTO'!$P$10,IF(C171&lt;='SOLLECITAZ NASCOSTO'!$P$9,IF(C171&lt;='SOLLECITAZ NASCOSTO'!$P$8,IF(C171&lt;='SOLLECITAZ NASCOSTO'!$P$7,IF(C171&lt;='SOLLECITAZ NASCOSTO'!$P$6,IF(C171&lt;='SOLLECITAZ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paramento'!$G$111))*(C171-IF(C171&lt;='SOLLECITAZ NASCOSTO'!$P$12,IF(C171&lt;='SOLLECITAZ NASCOSTO'!$P$11,IF(C171&lt;='SOLLECITAZ NASCOSTO'!$P$10,IF(C171&lt;='SOLLECITAZ NASCOSTO'!$P$9,IF(C171&lt;='SOLLECITAZ NASCOSTO'!$P$8,IF(C171&lt;='SOLLECITAZ NASCOSTO'!$P$7,IF(C171&lt;='SOLLECITAZ NASCOSTO'!$P$6,IF(C171&lt;='SOLLECITAZ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NASCOSTO'!$P$12))/IF(C171&lt;='SOLLECITAZ NASCOSTO'!$P$12,IF(C171&lt;='SOLLECITAZ NASCOSTO'!$P$11,IF(C171&lt;='SOLLECITAZ NASCOSTO'!$P$10,IF(C171&lt;='SOLLECITAZ NASCOSTO'!$P$9,IF(C171&lt;='SOLLECITAZ NASCOSTO'!$P$8,IF(C171&lt;='SOLLECITAZ NASCOSTO'!$P$7,IF(C171&lt;='SOLLECITAZ NASCOSTO'!$P$6,IF(C171&lt;='SOLLECITAZ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paramento'!$C$111)+IF(C171&lt;='SOLLECITAZ NASCOSTO'!$P$12,IF(C171&lt;='SOLLECITAZ NASCOSTO'!$P$11,IF(C171&lt;='SOLLECITAZ NASCOSTO'!$P$10,IF(C171&lt;='SOLLECITAZ NASCOSTO'!$P$9,IF(C171&lt;='SOLLECITAZ NASCOSTO'!$P$8,IF(C171&lt;='SOLLECITAZ NASCOSTO'!$P$7,IF(C171&lt;='SOLLECITAZ NASCOSTO'!$P$6,IF(C171&lt;='SOLLECITAZ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49.351433368157544</v>
      </c>
      <c r="O172" s="41">
        <f>IF(C172&lt;='SOLLECITAZ NASCOSTO'!$P$12,IF(C172&lt;='SOLLECITAZ NASCOSTO'!$P$11,IF(C172&lt;='SOLLECITAZ NASCOSTO'!$P$10,IF(C172&lt;='SOLLECITAZ NASCOSTO'!$P$9,IF(C172&lt;='SOLLECITAZ NASCOSTO'!$P$8,IF(C172&lt;='SOLLECITAZ NASCOSTO'!$P$7,IF(C172&lt;='SOLLECITAZ NASCOSTO'!$P$6,IF(C172&lt;='SOLLECITAZ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paramento'!$G$110),55555)*(C172-C171)/IF(C172&lt;='SOLLECITAZ NASCOSTO'!$P$12,IF(C172&lt;='SOLLECITAZ NASCOSTO'!$P$11,IF(C172&lt;='SOLLECITAZ NASCOSTO'!$P$10,IF(C172&lt;='SOLLECITAZ NASCOSTO'!$P$9,IF(C172&lt;='SOLLECITAZ NASCOSTO'!$P$8,IF(C172&lt;='SOLLECITAZ NASCOSTO'!$P$7,IF(C172&lt;='SOLLECITAZ NASCOSTO'!$P$6,IF(C172&lt;='SOLLECITAZ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72" s="41">
        <f t="shared" si="57"/>
        <v>1.3899999999999972E-4</v>
      </c>
      <c r="Q172" s="41">
        <f t="shared" si="55"/>
        <v>1</v>
      </c>
      <c r="R172" s="434">
        <f t="shared" si="49"/>
        <v>1.5252130358570273</v>
      </c>
      <c r="S172" s="45">
        <f t="shared" si="56"/>
        <v>1.5252130358570273</v>
      </c>
      <c r="T172" s="205">
        <f t="shared" si="52"/>
        <v>3.5068485564038534</v>
      </c>
      <c r="U172" s="45">
        <f t="shared" si="53"/>
        <v>48.106669988704525</v>
      </c>
      <c r="V172" s="45">
        <f t="shared" si="54"/>
        <v>-29.681394056883235</v>
      </c>
      <c r="W172" s="488"/>
      <c r="X172" s="489"/>
      <c r="Y172" s="489"/>
      <c r="Z172" s="490"/>
      <c r="AA172" s="46"/>
    </row>
    <row r="173" spans="1:27" s="421" customFormat="1" x14ac:dyDescent="0.25">
      <c r="A173" s="581">
        <f t="shared" si="50"/>
        <v>0.30802824426998049</v>
      </c>
      <c r="B173" s="31">
        <f t="shared" si="40"/>
        <v>141</v>
      </c>
      <c r="C173" s="434">
        <f>'SOLLECITAZ NASCOSTO'!$D$6/'SOLLECITAZ NASCOSTO'!$B$448*'SOLLECITAZ NASCOSTO'!B173</f>
        <v>1.5361074146845775</v>
      </c>
      <c r="D173" s="434">
        <f t="shared" si="51"/>
        <v>0.42802824426998048</v>
      </c>
      <c r="E173" s="434">
        <f t="shared" si="45"/>
        <v>0.30802824426998049</v>
      </c>
      <c r="F173" s="434">
        <f t="shared" si="46"/>
        <v>0.39856903816639377</v>
      </c>
      <c r="G173" s="434">
        <f t="shared" si="47"/>
        <v>4.5009308462854725E-2</v>
      </c>
      <c r="H173" s="434">
        <f t="shared" si="41"/>
        <v>0</v>
      </c>
      <c r="I173" s="434">
        <v>0</v>
      </c>
      <c r="J173" s="127">
        <f t="shared" si="42"/>
        <v>0.112927257646301</v>
      </c>
      <c r="K173" s="126">
        <f t="shared" si="48"/>
        <v>4.5375181968000814E-3</v>
      </c>
      <c r="L173" s="41">
        <f t="shared" si="43"/>
        <v>48.648541332966076</v>
      </c>
      <c r="M173" s="41">
        <f t="shared" si="44"/>
        <v>-30.208438019722212</v>
      </c>
      <c r="N173" s="41">
        <f>(IF(C172&lt;='SOLLECITAZ NASCOSTO'!$P$12,IF(C172&lt;='SOLLECITAZ NASCOSTO'!$P$11,IF(C172&lt;='SOLLECITAZ NASCOSTO'!$P$10,IF(C172&lt;='SOLLECITAZ NASCOSTO'!$P$9,IF(C172&lt;='SOLLECITAZ NASCOSTO'!$P$8,IF(C172&lt;='SOLLECITAZ NASCOSTO'!$P$7,IF(C172&lt;='SOLLECITAZ NASCOSTO'!$P$6,IF(C172&lt;='SOLLECITAZ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paramento'!$G$111),55555)-IF(C172&lt;='SOLLECITAZ NASCOSTO'!$P$12,IF(C172&lt;='SOLLECITAZ NASCOSTO'!$P$11,IF(C172&lt;='SOLLECITAZ NASCOSTO'!$P$10,IF(C172&lt;='SOLLECITAZ NASCOSTO'!$P$9,IF(C172&lt;='SOLLECITAZ NASCOSTO'!$P$8,IF(C172&lt;='SOLLECITAZ NASCOSTO'!$P$7,IF(C172&lt;='SOLLECITAZ NASCOSTO'!$P$6,IF(C172&lt;='SOLLECITAZ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paramento'!$G$111))*(C172-IF(C172&lt;='SOLLECITAZ NASCOSTO'!$P$12,IF(C172&lt;='SOLLECITAZ NASCOSTO'!$P$11,IF(C172&lt;='SOLLECITAZ NASCOSTO'!$P$10,IF(C172&lt;='SOLLECITAZ NASCOSTO'!$P$9,IF(C172&lt;='SOLLECITAZ NASCOSTO'!$P$8,IF(C172&lt;='SOLLECITAZ NASCOSTO'!$P$7,IF(C172&lt;='SOLLECITAZ NASCOSTO'!$P$6,IF(C172&lt;='SOLLECITAZ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NASCOSTO'!$P$12))/IF(C172&lt;='SOLLECITAZ NASCOSTO'!$P$12,IF(C172&lt;='SOLLECITAZ NASCOSTO'!$P$11,IF(C172&lt;='SOLLECITAZ NASCOSTO'!$P$10,IF(C172&lt;='SOLLECITAZ NASCOSTO'!$P$9,IF(C172&lt;='SOLLECITAZ NASCOSTO'!$P$8,IF(C172&lt;='SOLLECITAZ NASCOSTO'!$P$7,IF(C172&lt;='SOLLECITAZ NASCOSTO'!$P$6,IF(C172&lt;='SOLLECITAZ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paramento'!$C$111)+IF(C172&lt;='SOLLECITAZ NASCOSTO'!$P$12,IF(C172&lt;='SOLLECITAZ NASCOSTO'!$P$11,IF(C172&lt;='SOLLECITAZ NASCOSTO'!$P$10,IF(C172&lt;='SOLLECITAZ NASCOSTO'!$P$9,IF(C172&lt;='SOLLECITAZ NASCOSTO'!$P$8,IF(C172&lt;='SOLLECITAZ NASCOSTO'!$P$7,IF(C172&lt;='SOLLECITAZ NASCOSTO'!$P$6,IF(C172&lt;='SOLLECITAZ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49.60955629760695</v>
      </c>
      <c r="O173" s="41">
        <f>IF(C173&lt;='SOLLECITAZ NASCOSTO'!$P$12,IF(C173&lt;='SOLLECITAZ NASCOSTO'!$P$11,IF(C173&lt;='SOLLECITAZ NASCOSTO'!$P$10,IF(C173&lt;='SOLLECITAZ NASCOSTO'!$P$9,IF(C173&lt;='SOLLECITAZ NASCOSTO'!$P$8,IF(C173&lt;='SOLLECITAZ NASCOSTO'!$P$7,IF(C173&lt;='SOLLECITAZ NASCOSTO'!$P$6,IF(C173&lt;='SOLLECITAZ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paramento'!$G$110),55555)*(C173-C172)/IF(C173&lt;='SOLLECITAZ NASCOSTO'!$P$12,IF(C173&lt;='SOLLECITAZ NASCOSTO'!$P$11,IF(C173&lt;='SOLLECITAZ NASCOSTO'!$P$10,IF(C173&lt;='SOLLECITAZ NASCOSTO'!$P$9,IF(C173&lt;='SOLLECITAZ NASCOSTO'!$P$8,IF(C173&lt;='SOLLECITAZ NASCOSTO'!$P$7,IF(C173&lt;='SOLLECITAZ NASCOSTO'!$P$6,IF(C173&lt;='SOLLECITAZ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73" s="41">
        <f t="shared" si="57"/>
        <v>1.3999999999999972E-4</v>
      </c>
      <c r="Q173" s="41">
        <f t="shared" si="55"/>
        <v>1</v>
      </c>
      <c r="R173" s="434">
        <f t="shared" si="49"/>
        <v>1.5361074146845775</v>
      </c>
      <c r="S173" s="45">
        <f t="shared" si="56"/>
        <v>1.5361074146845775</v>
      </c>
      <c r="T173" s="205">
        <f t="shared" si="52"/>
        <v>3.4959541775763032</v>
      </c>
      <c r="U173" s="45">
        <f t="shared" si="53"/>
        <v>48.648541332966076</v>
      </c>
      <c r="V173" s="45">
        <f t="shared" si="54"/>
        <v>-30.208438019722212</v>
      </c>
      <c r="W173" s="488"/>
      <c r="X173" s="489"/>
      <c r="Y173" s="489"/>
      <c r="Z173" s="490"/>
      <c r="AA173" s="46"/>
    </row>
    <row r="174" spans="1:27" s="421" customFormat="1" x14ac:dyDescent="0.25">
      <c r="A174" s="581">
        <f t="shared" si="50"/>
        <v>0.30959908701808964</v>
      </c>
      <c r="B174" s="31">
        <f t="shared" si="40"/>
        <v>142</v>
      </c>
      <c r="C174" s="434">
        <f>'SOLLECITAZ NASCOSTO'!$D$6/'SOLLECITAZ NASCOSTO'!$B$448*'SOLLECITAZ NASCOSTO'!B174</f>
        <v>1.5470017935121276</v>
      </c>
      <c r="D174" s="434">
        <f t="shared" si="51"/>
        <v>0.42959908701808963</v>
      </c>
      <c r="E174" s="434">
        <f t="shared" si="45"/>
        <v>0.30959908701808964</v>
      </c>
      <c r="F174" s="434">
        <f t="shared" si="46"/>
        <v>0.39907170784578866</v>
      </c>
      <c r="G174" s="434">
        <f t="shared" si="47"/>
        <v>4.5224860090684181E-2</v>
      </c>
      <c r="H174" s="434">
        <f t="shared" si="41"/>
        <v>0</v>
      </c>
      <c r="I174" s="434">
        <v>0</v>
      </c>
      <c r="J174" s="127">
        <f t="shared" si="42"/>
        <v>0.1133251473395859</v>
      </c>
      <c r="K174" s="126">
        <f t="shared" si="48"/>
        <v>4.5876136239062747E-3</v>
      </c>
      <c r="L174" s="41">
        <f t="shared" si="43"/>
        <v>49.193224766205127</v>
      </c>
      <c r="M174" s="41">
        <f t="shared" si="44"/>
        <v>-30.741400652242675</v>
      </c>
      <c r="N174" s="41">
        <f>(IF(C173&lt;='SOLLECITAZ NASCOSTO'!$P$12,IF(C173&lt;='SOLLECITAZ NASCOSTO'!$P$11,IF(C173&lt;='SOLLECITAZ NASCOSTO'!$P$10,IF(C173&lt;='SOLLECITAZ NASCOSTO'!$P$9,IF(C173&lt;='SOLLECITAZ NASCOSTO'!$P$8,IF(C173&lt;='SOLLECITAZ NASCOSTO'!$P$7,IF(C173&lt;='SOLLECITAZ NASCOSTO'!$P$6,IF(C173&lt;='SOLLECITAZ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paramento'!$G$111),55555)-IF(C173&lt;='SOLLECITAZ NASCOSTO'!$P$12,IF(C173&lt;='SOLLECITAZ NASCOSTO'!$P$11,IF(C173&lt;='SOLLECITAZ NASCOSTO'!$P$10,IF(C173&lt;='SOLLECITAZ NASCOSTO'!$P$9,IF(C173&lt;='SOLLECITAZ NASCOSTO'!$P$8,IF(C173&lt;='SOLLECITAZ NASCOSTO'!$P$7,IF(C173&lt;='SOLLECITAZ NASCOSTO'!$P$6,IF(C173&lt;='SOLLECITAZ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paramento'!$G$111))*(C173-IF(C173&lt;='SOLLECITAZ NASCOSTO'!$P$12,IF(C173&lt;='SOLLECITAZ NASCOSTO'!$P$11,IF(C173&lt;='SOLLECITAZ NASCOSTO'!$P$10,IF(C173&lt;='SOLLECITAZ NASCOSTO'!$P$9,IF(C173&lt;='SOLLECITAZ NASCOSTO'!$P$8,IF(C173&lt;='SOLLECITAZ NASCOSTO'!$P$7,IF(C173&lt;='SOLLECITAZ NASCOSTO'!$P$6,IF(C173&lt;='SOLLECITAZ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NASCOSTO'!$P$12))/IF(C173&lt;='SOLLECITAZ NASCOSTO'!$P$12,IF(C173&lt;='SOLLECITAZ NASCOSTO'!$P$11,IF(C173&lt;='SOLLECITAZ NASCOSTO'!$P$10,IF(C173&lt;='SOLLECITAZ NASCOSTO'!$P$9,IF(C173&lt;='SOLLECITAZ NASCOSTO'!$P$8,IF(C173&lt;='SOLLECITAZ NASCOSTO'!$P$7,IF(C173&lt;='SOLLECITAZ NASCOSTO'!$P$6,IF(C173&lt;='SOLLECITAZ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paramento'!$C$111)+IF(C173&lt;='SOLLECITAZ NASCOSTO'!$P$12,IF(C173&lt;='SOLLECITAZ NASCOSTO'!$P$11,IF(C173&lt;='SOLLECITAZ NASCOSTO'!$P$10,IF(C173&lt;='SOLLECITAZ NASCOSTO'!$P$9,IF(C173&lt;='SOLLECITAZ NASCOSTO'!$P$8,IF(C173&lt;='SOLLECITAZ NASCOSTO'!$P$7,IF(C173&lt;='SOLLECITAZ NASCOSTO'!$P$6,IF(C173&lt;='SOLLECITAZ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49.867679227056357</v>
      </c>
      <c r="O174" s="41">
        <f>IF(C174&lt;='SOLLECITAZ NASCOSTO'!$P$12,IF(C174&lt;='SOLLECITAZ NASCOSTO'!$P$11,IF(C174&lt;='SOLLECITAZ NASCOSTO'!$P$10,IF(C174&lt;='SOLLECITAZ NASCOSTO'!$P$9,IF(C174&lt;='SOLLECITAZ NASCOSTO'!$P$8,IF(C174&lt;='SOLLECITAZ NASCOSTO'!$P$7,IF(C174&lt;='SOLLECITAZ NASCOSTO'!$P$6,IF(C174&lt;='SOLLECITAZ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paramento'!$G$110),55555)*(C174-C173)/IF(C174&lt;='SOLLECITAZ NASCOSTO'!$P$12,IF(C174&lt;='SOLLECITAZ NASCOSTO'!$P$11,IF(C174&lt;='SOLLECITAZ NASCOSTO'!$P$10,IF(C174&lt;='SOLLECITAZ NASCOSTO'!$P$9,IF(C174&lt;='SOLLECITAZ NASCOSTO'!$P$8,IF(C174&lt;='SOLLECITAZ NASCOSTO'!$P$7,IF(C174&lt;='SOLLECITAZ NASCOSTO'!$P$6,IF(C174&lt;='SOLLECITAZ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74" s="41">
        <f t="shared" si="57"/>
        <v>1.4099999999999971E-4</v>
      </c>
      <c r="Q174" s="41">
        <f t="shared" si="55"/>
        <v>1</v>
      </c>
      <c r="R174" s="434">
        <f t="shared" si="49"/>
        <v>1.5470017935121276</v>
      </c>
      <c r="S174" s="45">
        <f t="shared" si="56"/>
        <v>1.5470017935121276</v>
      </c>
      <c r="T174" s="205">
        <f t="shared" si="52"/>
        <v>3.485059798748753</v>
      </c>
      <c r="U174" s="45">
        <f t="shared" si="53"/>
        <v>49.193224766205127</v>
      </c>
      <c r="V174" s="45">
        <f t="shared" si="54"/>
        <v>-30.741400652242675</v>
      </c>
      <c r="W174" s="488"/>
      <c r="X174" s="489"/>
      <c r="Y174" s="489"/>
      <c r="Z174" s="490"/>
      <c r="AA174" s="46"/>
    </row>
    <row r="175" spans="1:27" s="421" customFormat="1" x14ac:dyDescent="0.25">
      <c r="A175" s="581">
        <f t="shared" si="50"/>
        <v>0.31116992976619884</v>
      </c>
      <c r="B175" s="31">
        <f t="shared" si="40"/>
        <v>143</v>
      </c>
      <c r="C175" s="434">
        <f>'SOLLECITAZ NASCOSTO'!$D$6/'SOLLECITAZ NASCOSTO'!$B$448*'SOLLECITAZ NASCOSTO'!B175</f>
        <v>1.5578961723396778</v>
      </c>
      <c r="D175" s="434">
        <f t="shared" si="51"/>
        <v>0.43116992976619883</v>
      </c>
      <c r="E175" s="434">
        <f t="shared" si="45"/>
        <v>0.31116992976619884</v>
      </c>
      <c r="F175" s="434">
        <f t="shared" si="46"/>
        <v>0.3995743775251836</v>
      </c>
      <c r="G175" s="434">
        <f t="shared" si="47"/>
        <v>4.5441201333534215E-2</v>
      </c>
      <c r="H175" s="434">
        <f t="shared" si="41"/>
        <v>0</v>
      </c>
      <c r="I175" s="434">
        <v>0</v>
      </c>
      <c r="J175" s="127">
        <f t="shared" si="42"/>
        <v>0.1137240120724964</v>
      </c>
      <c r="K175" s="126">
        <f t="shared" si="48"/>
        <v>4.63808185086401E-3</v>
      </c>
      <c r="L175" s="41">
        <f t="shared" si="43"/>
        <v>49.740720288421677</v>
      </c>
      <c r="M175" s="41">
        <f t="shared" si="44"/>
        <v>-31.280312590407245</v>
      </c>
      <c r="N175" s="41">
        <f>(IF(C174&lt;='SOLLECITAZ NASCOSTO'!$P$12,IF(C174&lt;='SOLLECITAZ NASCOSTO'!$P$11,IF(C174&lt;='SOLLECITAZ NASCOSTO'!$P$10,IF(C174&lt;='SOLLECITAZ NASCOSTO'!$P$9,IF(C174&lt;='SOLLECITAZ NASCOSTO'!$P$8,IF(C174&lt;='SOLLECITAZ NASCOSTO'!$P$7,IF(C174&lt;='SOLLECITAZ NASCOSTO'!$P$6,IF(C174&lt;='SOLLECITAZ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paramento'!$G$111),55555)-IF(C174&lt;='SOLLECITAZ NASCOSTO'!$P$12,IF(C174&lt;='SOLLECITAZ NASCOSTO'!$P$11,IF(C174&lt;='SOLLECITAZ NASCOSTO'!$P$10,IF(C174&lt;='SOLLECITAZ NASCOSTO'!$P$9,IF(C174&lt;='SOLLECITAZ NASCOSTO'!$P$8,IF(C174&lt;='SOLLECITAZ NASCOSTO'!$P$7,IF(C174&lt;='SOLLECITAZ NASCOSTO'!$P$6,IF(C174&lt;='SOLLECITAZ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paramento'!$G$111))*(C174-IF(C174&lt;='SOLLECITAZ NASCOSTO'!$P$12,IF(C174&lt;='SOLLECITAZ NASCOSTO'!$P$11,IF(C174&lt;='SOLLECITAZ NASCOSTO'!$P$10,IF(C174&lt;='SOLLECITAZ NASCOSTO'!$P$9,IF(C174&lt;='SOLLECITAZ NASCOSTO'!$P$8,IF(C174&lt;='SOLLECITAZ NASCOSTO'!$P$7,IF(C174&lt;='SOLLECITAZ NASCOSTO'!$P$6,IF(C174&lt;='SOLLECITAZ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NASCOSTO'!$P$12))/IF(C174&lt;='SOLLECITAZ NASCOSTO'!$P$12,IF(C174&lt;='SOLLECITAZ NASCOSTO'!$P$11,IF(C174&lt;='SOLLECITAZ NASCOSTO'!$P$10,IF(C174&lt;='SOLLECITAZ NASCOSTO'!$P$9,IF(C174&lt;='SOLLECITAZ NASCOSTO'!$P$8,IF(C174&lt;='SOLLECITAZ NASCOSTO'!$P$7,IF(C174&lt;='SOLLECITAZ NASCOSTO'!$P$6,IF(C174&lt;='SOLLECITAZ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paramento'!$C$111)+IF(C174&lt;='SOLLECITAZ NASCOSTO'!$P$12,IF(C174&lt;='SOLLECITAZ NASCOSTO'!$P$11,IF(C174&lt;='SOLLECITAZ NASCOSTO'!$P$10,IF(C174&lt;='SOLLECITAZ NASCOSTO'!$P$9,IF(C174&lt;='SOLLECITAZ NASCOSTO'!$P$8,IF(C174&lt;='SOLLECITAZ NASCOSTO'!$P$7,IF(C174&lt;='SOLLECITAZ NASCOSTO'!$P$6,IF(C174&lt;='SOLLECITAZ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50.125802156505763</v>
      </c>
      <c r="O175" s="41">
        <f>IF(C175&lt;='SOLLECITAZ NASCOSTO'!$P$12,IF(C175&lt;='SOLLECITAZ NASCOSTO'!$P$11,IF(C175&lt;='SOLLECITAZ NASCOSTO'!$P$10,IF(C175&lt;='SOLLECITAZ NASCOSTO'!$P$9,IF(C175&lt;='SOLLECITAZ NASCOSTO'!$P$8,IF(C175&lt;='SOLLECITAZ NASCOSTO'!$P$7,IF(C175&lt;='SOLLECITAZ NASCOSTO'!$P$6,IF(C175&lt;='SOLLECITAZ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paramento'!$G$110),55555)*(C175-C174)/IF(C175&lt;='SOLLECITAZ NASCOSTO'!$P$12,IF(C175&lt;='SOLLECITAZ NASCOSTO'!$P$11,IF(C175&lt;='SOLLECITAZ NASCOSTO'!$P$10,IF(C175&lt;='SOLLECITAZ NASCOSTO'!$P$9,IF(C175&lt;='SOLLECITAZ NASCOSTO'!$P$8,IF(C175&lt;='SOLLECITAZ NASCOSTO'!$P$7,IF(C175&lt;='SOLLECITAZ NASCOSTO'!$P$6,IF(C175&lt;='SOLLECITAZ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75" s="41">
        <f t="shared" si="57"/>
        <v>1.4199999999999971E-4</v>
      </c>
      <c r="Q175" s="41">
        <f t="shared" si="55"/>
        <v>1</v>
      </c>
      <c r="R175" s="434">
        <f t="shared" si="49"/>
        <v>1.5578961723396778</v>
      </c>
      <c r="S175" s="45">
        <f t="shared" si="56"/>
        <v>1.5578961723396778</v>
      </c>
      <c r="T175" s="205">
        <f t="shared" si="52"/>
        <v>3.4741654199212029</v>
      </c>
      <c r="U175" s="45">
        <f t="shared" si="53"/>
        <v>49.740720288421677</v>
      </c>
      <c r="V175" s="45">
        <f t="shared" si="54"/>
        <v>-31.280312590407245</v>
      </c>
      <c r="W175" s="488"/>
      <c r="X175" s="489"/>
      <c r="Y175" s="489"/>
      <c r="Z175" s="490"/>
      <c r="AA175" s="46"/>
    </row>
    <row r="176" spans="1:27" s="421" customFormat="1" x14ac:dyDescent="0.25">
      <c r="A176" s="581">
        <f t="shared" si="50"/>
        <v>0.31274077251430799</v>
      </c>
      <c r="B176" s="31">
        <f t="shared" si="40"/>
        <v>144</v>
      </c>
      <c r="C176" s="434">
        <f>'SOLLECITAZ NASCOSTO'!$D$6/'SOLLECITAZ NASCOSTO'!$B$448*'SOLLECITAZ NASCOSTO'!B176</f>
        <v>1.568790551167228</v>
      </c>
      <c r="D176" s="434">
        <f t="shared" si="51"/>
        <v>0.43274077251430798</v>
      </c>
      <c r="E176" s="434">
        <f t="shared" si="45"/>
        <v>0.31274077251430799</v>
      </c>
      <c r="F176" s="434">
        <f t="shared" si="46"/>
        <v>0.40007704720457854</v>
      </c>
      <c r="G176" s="434">
        <f t="shared" si="47"/>
        <v>4.5658332191404805E-2</v>
      </c>
      <c r="H176" s="434">
        <f t="shared" si="41"/>
        <v>0</v>
      </c>
      <c r="I176" s="434">
        <v>0</v>
      </c>
      <c r="J176" s="127">
        <f t="shared" si="42"/>
        <v>0.11412384816981894</v>
      </c>
      <c r="K176" s="126">
        <f t="shared" si="48"/>
        <v>4.6889239485268519E-3</v>
      </c>
      <c r="L176" s="41">
        <f t="shared" si="43"/>
        <v>50.291027899615727</v>
      </c>
      <c r="M176" s="41">
        <f t="shared" si="44"/>
        <v>-31.825204470178537</v>
      </c>
      <c r="N176" s="41">
        <f>(IF(C175&lt;='SOLLECITAZ NASCOSTO'!$P$12,IF(C175&lt;='SOLLECITAZ NASCOSTO'!$P$11,IF(C175&lt;='SOLLECITAZ NASCOSTO'!$P$10,IF(C175&lt;='SOLLECITAZ NASCOSTO'!$P$9,IF(C175&lt;='SOLLECITAZ NASCOSTO'!$P$8,IF(C175&lt;='SOLLECITAZ NASCOSTO'!$P$7,IF(C175&lt;='SOLLECITAZ NASCOSTO'!$P$6,IF(C175&lt;='SOLLECITAZ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paramento'!$G$111),55555)-IF(C175&lt;='SOLLECITAZ NASCOSTO'!$P$12,IF(C175&lt;='SOLLECITAZ NASCOSTO'!$P$11,IF(C175&lt;='SOLLECITAZ NASCOSTO'!$P$10,IF(C175&lt;='SOLLECITAZ NASCOSTO'!$P$9,IF(C175&lt;='SOLLECITAZ NASCOSTO'!$P$8,IF(C175&lt;='SOLLECITAZ NASCOSTO'!$P$7,IF(C175&lt;='SOLLECITAZ NASCOSTO'!$P$6,IF(C175&lt;='SOLLECITAZ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paramento'!$G$111))*(C175-IF(C175&lt;='SOLLECITAZ NASCOSTO'!$P$12,IF(C175&lt;='SOLLECITAZ NASCOSTO'!$P$11,IF(C175&lt;='SOLLECITAZ NASCOSTO'!$P$10,IF(C175&lt;='SOLLECITAZ NASCOSTO'!$P$9,IF(C175&lt;='SOLLECITAZ NASCOSTO'!$P$8,IF(C175&lt;='SOLLECITAZ NASCOSTO'!$P$7,IF(C175&lt;='SOLLECITAZ NASCOSTO'!$P$6,IF(C175&lt;='SOLLECITAZ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NASCOSTO'!$P$12))/IF(C175&lt;='SOLLECITAZ NASCOSTO'!$P$12,IF(C175&lt;='SOLLECITAZ NASCOSTO'!$P$11,IF(C175&lt;='SOLLECITAZ NASCOSTO'!$P$10,IF(C175&lt;='SOLLECITAZ NASCOSTO'!$P$9,IF(C175&lt;='SOLLECITAZ NASCOSTO'!$P$8,IF(C175&lt;='SOLLECITAZ NASCOSTO'!$P$7,IF(C175&lt;='SOLLECITAZ NASCOSTO'!$P$6,IF(C175&lt;='SOLLECITAZ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paramento'!$C$111)+IF(C175&lt;='SOLLECITAZ NASCOSTO'!$P$12,IF(C175&lt;='SOLLECITAZ NASCOSTO'!$P$11,IF(C175&lt;='SOLLECITAZ NASCOSTO'!$P$10,IF(C175&lt;='SOLLECITAZ NASCOSTO'!$P$9,IF(C175&lt;='SOLLECITAZ NASCOSTO'!$P$8,IF(C175&lt;='SOLLECITAZ NASCOSTO'!$P$7,IF(C175&lt;='SOLLECITAZ NASCOSTO'!$P$6,IF(C175&lt;='SOLLECITAZ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50.38392508595517</v>
      </c>
      <c r="O176" s="41">
        <f>IF(C176&lt;='SOLLECITAZ NASCOSTO'!$P$12,IF(C176&lt;='SOLLECITAZ NASCOSTO'!$P$11,IF(C176&lt;='SOLLECITAZ NASCOSTO'!$P$10,IF(C176&lt;='SOLLECITAZ NASCOSTO'!$P$9,IF(C176&lt;='SOLLECITAZ NASCOSTO'!$P$8,IF(C176&lt;='SOLLECITAZ NASCOSTO'!$P$7,IF(C176&lt;='SOLLECITAZ NASCOSTO'!$P$6,IF(C176&lt;='SOLLECITAZ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paramento'!$G$110),55555)*(C176-C175)/IF(C176&lt;='SOLLECITAZ NASCOSTO'!$P$12,IF(C176&lt;='SOLLECITAZ NASCOSTO'!$P$11,IF(C176&lt;='SOLLECITAZ NASCOSTO'!$P$10,IF(C176&lt;='SOLLECITAZ NASCOSTO'!$P$9,IF(C176&lt;='SOLLECITAZ NASCOSTO'!$P$8,IF(C176&lt;='SOLLECITAZ NASCOSTO'!$P$7,IF(C176&lt;='SOLLECITAZ NASCOSTO'!$P$6,IF(C176&lt;='SOLLECITAZ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76" s="41">
        <f t="shared" si="57"/>
        <v>1.4299999999999971E-4</v>
      </c>
      <c r="Q176" s="41">
        <f t="shared" si="55"/>
        <v>1</v>
      </c>
      <c r="R176" s="434">
        <f t="shared" si="49"/>
        <v>1.568790551167228</v>
      </c>
      <c r="S176" s="45">
        <f t="shared" si="56"/>
        <v>1.568790551167228</v>
      </c>
      <c r="T176" s="205">
        <f t="shared" si="52"/>
        <v>3.4632710410936527</v>
      </c>
      <c r="U176" s="45">
        <f t="shared" si="53"/>
        <v>50.291027899615727</v>
      </c>
      <c r="V176" s="45">
        <f t="shared" si="54"/>
        <v>-31.825204470178537</v>
      </c>
      <c r="W176" s="488"/>
      <c r="X176" s="489"/>
      <c r="Y176" s="489"/>
      <c r="Z176" s="490"/>
      <c r="AA176" s="46"/>
    </row>
    <row r="177" spans="1:27" s="421" customFormat="1" x14ac:dyDescent="0.25">
      <c r="A177" s="581">
        <f t="shared" si="50"/>
        <v>0.31431161526241713</v>
      </c>
      <c r="B177" s="31">
        <f t="shared" si="40"/>
        <v>145</v>
      </c>
      <c r="C177" s="434">
        <f>'SOLLECITAZ NASCOSTO'!$D$6/'SOLLECITAZ NASCOSTO'!$B$448*'SOLLECITAZ NASCOSTO'!B177</f>
        <v>1.5796849299947782</v>
      </c>
      <c r="D177" s="434">
        <f t="shared" si="51"/>
        <v>0.43431161526241713</v>
      </c>
      <c r="E177" s="434">
        <f t="shared" si="45"/>
        <v>0.31431161526241713</v>
      </c>
      <c r="F177" s="434">
        <f t="shared" si="46"/>
        <v>0.40057971688397348</v>
      </c>
      <c r="G177" s="434">
        <f t="shared" si="47"/>
        <v>4.5876252664295972E-2</v>
      </c>
      <c r="H177" s="434">
        <f t="shared" si="41"/>
        <v>0</v>
      </c>
      <c r="I177" s="434">
        <v>0</v>
      </c>
      <c r="J177" s="127">
        <f t="shared" si="42"/>
        <v>0.11452465197478751</v>
      </c>
      <c r="K177" s="126">
        <f t="shared" si="48"/>
        <v>4.7401409854862537E-3</v>
      </c>
      <c r="L177" s="41">
        <f t="shared" si="43"/>
        <v>50.844147599787277</v>
      </c>
      <c r="M177" s="41">
        <f t="shared" si="44"/>
        <v>-32.376106927519174</v>
      </c>
      <c r="N177" s="41">
        <f>(IF(C176&lt;='SOLLECITAZ NASCOSTO'!$P$12,IF(C176&lt;='SOLLECITAZ NASCOSTO'!$P$11,IF(C176&lt;='SOLLECITAZ NASCOSTO'!$P$10,IF(C176&lt;='SOLLECITAZ NASCOSTO'!$P$9,IF(C176&lt;='SOLLECITAZ NASCOSTO'!$P$8,IF(C176&lt;='SOLLECITAZ NASCOSTO'!$P$7,IF(C176&lt;='SOLLECITAZ NASCOSTO'!$P$6,IF(C176&lt;='SOLLECITAZ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paramento'!$G$111),55555)-IF(C176&lt;='SOLLECITAZ NASCOSTO'!$P$12,IF(C176&lt;='SOLLECITAZ NASCOSTO'!$P$11,IF(C176&lt;='SOLLECITAZ NASCOSTO'!$P$10,IF(C176&lt;='SOLLECITAZ NASCOSTO'!$P$9,IF(C176&lt;='SOLLECITAZ NASCOSTO'!$P$8,IF(C176&lt;='SOLLECITAZ NASCOSTO'!$P$7,IF(C176&lt;='SOLLECITAZ NASCOSTO'!$P$6,IF(C176&lt;='SOLLECITAZ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paramento'!$G$111))*(C176-IF(C176&lt;='SOLLECITAZ NASCOSTO'!$P$12,IF(C176&lt;='SOLLECITAZ NASCOSTO'!$P$11,IF(C176&lt;='SOLLECITAZ NASCOSTO'!$P$10,IF(C176&lt;='SOLLECITAZ NASCOSTO'!$P$9,IF(C176&lt;='SOLLECITAZ NASCOSTO'!$P$8,IF(C176&lt;='SOLLECITAZ NASCOSTO'!$P$7,IF(C176&lt;='SOLLECITAZ NASCOSTO'!$P$6,IF(C176&lt;='SOLLECITAZ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NASCOSTO'!$P$12))/IF(C176&lt;='SOLLECITAZ NASCOSTO'!$P$12,IF(C176&lt;='SOLLECITAZ NASCOSTO'!$P$11,IF(C176&lt;='SOLLECITAZ NASCOSTO'!$P$10,IF(C176&lt;='SOLLECITAZ NASCOSTO'!$P$9,IF(C176&lt;='SOLLECITAZ NASCOSTO'!$P$8,IF(C176&lt;='SOLLECITAZ NASCOSTO'!$P$7,IF(C176&lt;='SOLLECITAZ NASCOSTO'!$P$6,IF(C176&lt;='SOLLECITAZ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paramento'!$C$111)+IF(C176&lt;='SOLLECITAZ NASCOSTO'!$P$12,IF(C176&lt;='SOLLECITAZ NASCOSTO'!$P$11,IF(C176&lt;='SOLLECITAZ NASCOSTO'!$P$10,IF(C176&lt;='SOLLECITAZ NASCOSTO'!$P$9,IF(C176&lt;='SOLLECITAZ NASCOSTO'!$P$8,IF(C176&lt;='SOLLECITAZ NASCOSTO'!$P$7,IF(C176&lt;='SOLLECITAZ NASCOSTO'!$P$6,IF(C176&lt;='SOLLECITAZ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50.642048015404569</v>
      </c>
      <c r="O177" s="41">
        <f>IF(C177&lt;='SOLLECITAZ NASCOSTO'!$P$12,IF(C177&lt;='SOLLECITAZ NASCOSTO'!$P$11,IF(C177&lt;='SOLLECITAZ NASCOSTO'!$P$10,IF(C177&lt;='SOLLECITAZ NASCOSTO'!$P$9,IF(C177&lt;='SOLLECITAZ NASCOSTO'!$P$8,IF(C177&lt;='SOLLECITAZ NASCOSTO'!$P$7,IF(C177&lt;='SOLLECITAZ NASCOSTO'!$P$6,IF(C177&lt;='SOLLECITAZ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paramento'!$G$110),55555)*(C177-C176)/IF(C177&lt;='SOLLECITAZ NASCOSTO'!$P$12,IF(C177&lt;='SOLLECITAZ NASCOSTO'!$P$11,IF(C177&lt;='SOLLECITAZ NASCOSTO'!$P$10,IF(C177&lt;='SOLLECITAZ NASCOSTO'!$P$9,IF(C177&lt;='SOLLECITAZ NASCOSTO'!$P$8,IF(C177&lt;='SOLLECITAZ NASCOSTO'!$P$7,IF(C177&lt;='SOLLECITAZ NASCOSTO'!$P$6,IF(C177&lt;='SOLLECITAZ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77" s="41">
        <f t="shared" si="57"/>
        <v>1.4399999999999971E-4</v>
      </c>
      <c r="Q177" s="41">
        <f t="shared" si="55"/>
        <v>1</v>
      </c>
      <c r="R177" s="434">
        <f t="shared" si="49"/>
        <v>1.5796849299947782</v>
      </c>
      <c r="S177" s="45">
        <f t="shared" si="56"/>
        <v>1.5796849299947782</v>
      </c>
      <c r="T177" s="205">
        <f t="shared" si="52"/>
        <v>3.4523766622661025</v>
      </c>
      <c r="U177" s="45">
        <f t="shared" si="53"/>
        <v>50.844147599787277</v>
      </c>
      <c r="V177" s="45">
        <f t="shared" si="54"/>
        <v>-32.376106927519174</v>
      </c>
      <c r="W177" s="488"/>
      <c r="X177" s="489"/>
      <c r="Y177" s="489"/>
      <c r="Z177" s="490"/>
      <c r="AA177" s="46"/>
    </row>
    <row r="178" spans="1:27" s="421" customFormat="1" x14ac:dyDescent="0.25">
      <c r="A178" s="581">
        <f t="shared" si="50"/>
        <v>0.31588245801052628</v>
      </c>
      <c r="B178" s="31">
        <f t="shared" si="40"/>
        <v>146</v>
      </c>
      <c r="C178" s="434">
        <f>'SOLLECITAZ NASCOSTO'!$D$6/'SOLLECITAZ NASCOSTO'!$B$448*'SOLLECITAZ NASCOSTO'!B178</f>
        <v>1.5905793088223283</v>
      </c>
      <c r="D178" s="434">
        <f t="shared" si="51"/>
        <v>0.43588245801052627</v>
      </c>
      <c r="E178" s="434">
        <f t="shared" si="45"/>
        <v>0.31588245801052628</v>
      </c>
      <c r="F178" s="434">
        <f t="shared" si="46"/>
        <v>0.40108238656336842</v>
      </c>
      <c r="G178" s="434">
        <f t="shared" si="47"/>
        <v>4.6094962752207716E-2</v>
      </c>
      <c r="H178" s="434">
        <f t="shared" si="41"/>
        <v>0</v>
      </c>
      <c r="I178" s="434">
        <v>0</v>
      </c>
      <c r="J178" s="127">
        <f t="shared" si="42"/>
        <v>0.11492641984896788</v>
      </c>
      <c r="K178" s="126">
        <f t="shared" si="48"/>
        <v>4.7917340280857271E-3</v>
      </c>
      <c r="L178" s="41">
        <f t="shared" si="43"/>
        <v>51.400079388936327</v>
      </c>
      <c r="M178" s="41">
        <f t="shared" si="44"/>
        <v>-32.933050598391766</v>
      </c>
      <c r="N178" s="41">
        <f>(IF(C177&lt;='SOLLECITAZ NASCOSTO'!$P$12,IF(C177&lt;='SOLLECITAZ NASCOSTO'!$P$11,IF(C177&lt;='SOLLECITAZ NASCOSTO'!$P$10,IF(C177&lt;='SOLLECITAZ NASCOSTO'!$P$9,IF(C177&lt;='SOLLECITAZ NASCOSTO'!$P$8,IF(C177&lt;='SOLLECITAZ NASCOSTO'!$P$7,IF(C177&lt;='SOLLECITAZ NASCOSTO'!$P$6,IF(C177&lt;='SOLLECITAZ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paramento'!$G$111),55555)-IF(C177&lt;='SOLLECITAZ NASCOSTO'!$P$12,IF(C177&lt;='SOLLECITAZ NASCOSTO'!$P$11,IF(C177&lt;='SOLLECITAZ NASCOSTO'!$P$10,IF(C177&lt;='SOLLECITAZ NASCOSTO'!$P$9,IF(C177&lt;='SOLLECITAZ NASCOSTO'!$P$8,IF(C177&lt;='SOLLECITAZ NASCOSTO'!$P$7,IF(C177&lt;='SOLLECITAZ NASCOSTO'!$P$6,IF(C177&lt;='SOLLECITAZ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paramento'!$G$111))*(C177-IF(C177&lt;='SOLLECITAZ NASCOSTO'!$P$12,IF(C177&lt;='SOLLECITAZ NASCOSTO'!$P$11,IF(C177&lt;='SOLLECITAZ NASCOSTO'!$P$10,IF(C177&lt;='SOLLECITAZ NASCOSTO'!$P$9,IF(C177&lt;='SOLLECITAZ NASCOSTO'!$P$8,IF(C177&lt;='SOLLECITAZ NASCOSTO'!$P$7,IF(C177&lt;='SOLLECITAZ NASCOSTO'!$P$6,IF(C177&lt;='SOLLECITAZ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NASCOSTO'!$P$12))/IF(C177&lt;='SOLLECITAZ NASCOSTO'!$P$12,IF(C177&lt;='SOLLECITAZ NASCOSTO'!$P$11,IF(C177&lt;='SOLLECITAZ NASCOSTO'!$P$10,IF(C177&lt;='SOLLECITAZ NASCOSTO'!$P$9,IF(C177&lt;='SOLLECITAZ NASCOSTO'!$P$8,IF(C177&lt;='SOLLECITAZ NASCOSTO'!$P$7,IF(C177&lt;='SOLLECITAZ NASCOSTO'!$P$6,IF(C177&lt;='SOLLECITAZ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paramento'!$C$111)+IF(C177&lt;='SOLLECITAZ NASCOSTO'!$P$12,IF(C177&lt;='SOLLECITAZ NASCOSTO'!$P$11,IF(C177&lt;='SOLLECITAZ NASCOSTO'!$P$10,IF(C177&lt;='SOLLECITAZ NASCOSTO'!$P$9,IF(C177&lt;='SOLLECITAZ NASCOSTO'!$P$8,IF(C177&lt;='SOLLECITAZ NASCOSTO'!$P$7,IF(C177&lt;='SOLLECITAZ NASCOSTO'!$P$6,IF(C177&lt;='SOLLECITAZ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50.900170944853976</v>
      </c>
      <c r="O178" s="41">
        <f>IF(C178&lt;='SOLLECITAZ NASCOSTO'!$P$12,IF(C178&lt;='SOLLECITAZ NASCOSTO'!$P$11,IF(C178&lt;='SOLLECITAZ NASCOSTO'!$P$10,IF(C178&lt;='SOLLECITAZ NASCOSTO'!$P$9,IF(C178&lt;='SOLLECITAZ NASCOSTO'!$P$8,IF(C178&lt;='SOLLECITAZ NASCOSTO'!$P$7,IF(C178&lt;='SOLLECITAZ NASCOSTO'!$P$6,IF(C178&lt;='SOLLECITAZ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paramento'!$G$110),55555)*(C178-C177)/IF(C178&lt;='SOLLECITAZ NASCOSTO'!$P$12,IF(C178&lt;='SOLLECITAZ NASCOSTO'!$P$11,IF(C178&lt;='SOLLECITAZ NASCOSTO'!$P$10,IF(C178&lt;='SOLLECITAZ NASCOSTO'!$P$9,IF(C178&lt;='SOLLECITAZ NASCOSTO'!$P$8,IF(C178&lt;='SOLLECITAZ NASCOSTO'!$P$7,IF(C178&lt;='SOLLECITAZ NASCOSTO'!$P$6,IF(C178&lt;='SOLLECITAZ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78" s="41">
        <f t="shared" si="57"/>
        <v>1.449999999999997E-4</v>
      </c>
      <c r="Q178" s="41">
        <f t="shared" si="55"/>
        <v>1</v>
      </c>
      <c r="R178" s="434">
        <f t="shared" si="49"/>
        <v>1.5905793088223283</v>
      </c>
      <c r="S178" s="45">
        <f t="shared" si="56"/>
        <v>1.5905793088223283</v>
      </c>
      <c r="T178" s="205">
        <f t="shared" si="52"/>
        <v>3.4414822834385523</v>
      </c>
      <c r="U178" s="45">
        <f t="shared" si="53"/>
        <v>51.400079388936327</v>
      </c>
      <c r="V178" s="45">
        <f t="shared" si="54"/>
        <v>-32.933050598391766</v>
      </c>
      <c r="W178" s="488"/>
      <c r="X178" s="489"/>
      <c r="Y178" s="489"/>
      <c r="Z178" s="490"/>
      <c r="AA178" s="46"/>
    </row>
    <row r="179" spans="1:27" s="421" customFormat="1" x14ac:dyDescent="0.25">
      <c r="A179" s="581">
        <f t="shared" si="50"/>
        <v>0.31745330075863543</v>
      </c>
      <c r="B179" s="31">
        <f t="shared" si="40"/>
        <v>147</v>
      </c>
      <c r="C179" s="434">
        <f>'SOLLECITAZ NASCOSTO'!$D$6/'SOLLECITAZ NASCOSTO'!$B$448*'SOLLECITAZ NASCOSTO'!B179</f>
        <v>1.6014736876498785</v>
      </c>
      <c r="D179" s="434">
        <f t="shared" si="51"/>
        <v>0.43745330075863542</v>
      </c>
      <c r="E179" s="434">
        <f t="shared" si="45"/>
        <v>0.31745330075863543</v>
      </c>
      <c r="F179" s="434">
        <f t="shared" si="46"/>
        <v>0.40158505624276331</v>
      </c>
      <c r="G179" s="434">
        <f t="shared" si="47"/>
        <v>4.6314462455140024E-2</v>
      </c>
      <c r="H179" s="434">
        <f t="shared" si="41"/>
        <v>0</v>
      </c>
      <c r="I179" s="434">
        <v>0</v>
      </c>
      <c r="J179" s="127">
        <f t="shared" si="42"/>
        <v>0.11532914817214299</v>
      </c>
      <c r="K179" s="126">
        <f t="shared" si="48"/>
        <v>4.8437041404349058E-3</v>
      </c>
      <c r="L179" s="41">
        <f t="shared" si="43"/>
        <v>51.958823267062876</v>
      </c>
      <c r="M179" s="41">
        <f t="shared" si="44"/>
        <v>-33.496066118758932</v>
      </c>
      <c r="N179" s="41">
        <f>(IF(C178&lt;='SOLLECITAZ NASCOSTO'!$P$12,IF(C178&lt;='SOLLECITAZ NASCOSTO'!$P$11,IF(C178&lt;='SOLLECITAZ NASCOSTO'!$P$10,IF(C178&lt;='SOLLECITAZ NASCOSTO'!$P$9,IF(C178&lt;='SOLLECITAZ NASCOSTO'!$P$8,IF(C178&lt;='SOLLECITAZ NASCOSTO'!$P$7,IF(C178&lt;='SOLLECITAZ NASCOSTO'!$P$6,IF(C178&lt;='SOLLECITAZ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paramento'!$G$111),55555)-IF(C178&lt;='SOLLECITAZ NASCOSTO'!$P$12,IF(C178&lt;='SOLLECITAZ NASCOSTO'!$P$11,IF(C178&lt;='SOLLECITAZ NASCOSTO'!$P$10,IF(C178&lt;='SOLLECITAZ NASCOSTO'!$P$9,IF(C178&lt;='SOLLECITAZ NASCOSTO'!$P$8,IF(C178&lt;='SOLLECITAZ NASCOSTO'!$P$7,IF(C178&lt;='SOLLECITAZ NASCOSTO'!$P$6,IF(C178&lt;='SOLLECITAZ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paramento'!$G$111))*(C178-IF(C178&lt;='SOLLECITAZ NASCOSTO'!$P$12,IF(C178&lt;='SOLLECITAZ NASCOSTO'!$P$11,IF(C178&lt;='SOLLECITAZ NASCOSTO'!$P$10,IF(C178&lt;='SOLLECITAZ NASCOSTO'!$P$9,IF(C178&lt;='SOLLECITAZ NASCOSTO'!$P$8,IF(C178&lt;='SOLLECITAZ NASCOSTO'!$P$7,IF(C178&lt;='SOLLECITAZ NASCOSTO'!$P$6,IF(C178&lt;='SOLLECITAZ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NASCOSTO'!$P$12))/IF(C178&lt;='SOLLECITAZ NASCOSTO'!$P$12,IF(C178&lt;='SOLLECITAZ NASCOSTO'!$P$11,IF(C178&lt;='SOLLECITAZ NASCOSTO'!$P$10,IF(C178&lt;='SOLLECITAZ NASCOSTO'!$P$9,IF(C178&lt;='SOLLECITAZ NASCOSTO'!$P$8,IF(C178&lt;='SOLLECITAZ NASCOSTO'!$P$7,IF(C178&lt;='SOLLECITAZ NASCOSTO'!$P$6,IF(C178&lt;='SOLLECITAZ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paramento'!$C$111)+IF(C178&lt;='SOLLECITAZ NASCOSTO'!$P$12,IF(C178&lt;='SOLLECITAZ NASCOSTO'!$P$11,IF(C178&lt;='SOLLECITAZ NASCOSTO'!$P$10,IF(C178&lt;='SOLLECITAZ NASCOSTO'!$P$9,IF(C178&lt;='SOLLECITAZ NASCOSTO'!$P$8,IF(C178&lt;='SOLLECITAZ NASCOSTO'!$P$7,IF(C178&lt;='SOLLECITAZ NASCOSTO'!$P$6,IF(C178&lt;='SOLLECITAZ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51.158293874303382</v>
      </c>
      <c r="O179" s="41">
        <f>IF(C179&lt;='SOLLECITAZ NASCOSTO'!$P$12,IF(C179&lt;='SOLLECITAZ NASCOSTO'!$P$11,IF(C179&lt;='SOLLECITAZ NASCOSTO'!$P$10,IF(C179&lt;='SOLLECITAZ NASCOSTO'!$P$9,IF(C179&lt;='SOLLECITAZ NASCOSTO'!$P$8,IF(C179&lt;='SOLLECITAZ NASCOSTO'!$P$7,IF(C179&lt;='SOLLECITAZ NASCOSTO'!$P$6,IF(C179&lt;='SOLLECITAZ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paramento'!$G$110),55555)*(C179-C178)/IF(C179&lt;='SOLLECITAZ NASCOSTO'!$P$12,IF(C179&lt;='SOLLECITAZ NASCOSTO'!$P$11,IF(C179&lt;='SOLLECITAZ NASCOSTO'!$P$10,IF(C179&lt;='SOLLECITAZ NASCOSTO'!$P$9,IF(C179&lt;='SOLLECITAZ NASCOSTO'!$P$8,IF(C179&lt;='SOLLECITAZ NASCOSTO'!$P$7,IF(C179&lt;='SOLLECITAZ NASCOSTO'!$P$6,IF(C179&lt;='SOLLECITAZ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79" s="41">
        <f t="shared" si="57"/>
        <v>1.459999999999997E-4</v>
      </c>
      <c r="Q179" s="41">
        <f t="shared" si="55"/>
        <v>1</v>
      </c>
      <c r="R179" s="434">
        <f t="shared" si="49"/>
        <v>1.6014736876498785</v>
      </c>
      <c r="S179" s="45">
        <f t="shared" si="56"/>
        <v>1.6014736876498785</v>
      </c>
      <c r="T179" s="205">
        <f t="shared" si="52"/>
        <v>3.4305879046110022</v>
      </c>
      <c r="U179" s="45">
        <f t="shared" si="53"/>
        <v>51.958823267062876</v>
      </c>
      <c r="V179" s="45">
        <f t="shared" si="54"/>
        <v>-33.496066118758932</v>
      </c>
      <c r="W179" s="488"/>
      <c r="X179" s="489"/>
      <c r="Y179" s="489"/>
      <c r="Z179" s="490"/>
      <c r="AA179" s="46"/>
    </row>
    <row r="180" spans="1:27" s="421" customFormat="1" x14ac:dyDescent="0.25">
      <c r="A180" s="581">
        <f t="shared" si="50"/>
        <v>0.31902414350674463</v>
      </c>
      <c r="B180" s="31">
        <f t="shared" si="40"/>
        <v>148</v>
      </c>
      <c r="C180" s="434">
        <f>'SOLLECITAZ NASCOSTO'!$D$6/'SOLLECITAZ NASCOSTO'!$B$448*'SOLLECITAZ NASCOSTO'!B180</f>
        <v>1.6123680664774289</v>
      </c>
      <c r="D180" s="434">
        <f t="shared" si="51"/>
        <v>0.43902414350674462</v>
      </c>
      <c r="E180" s="434">
        <f t="shared" si="45"/>
        <v>0.31902414350674463</v>
      </c>
      <c r="F180" s="434">
        <f t="shared" si="46"/>
        <v>0.40208772592215825</v>
      </c>
      <c r="G180" s="434">
        <f t="shared" si="47"/>
        <v>4.6534751773092915E-2</v>
      </c>
      <c r="H180" s="434">
        <f t="shared" si="41"/>
        <v>0</v>
      </c>
      <c r="I180" s="434">
        <v>0</v>
      </c>
      <c r="J180" s="127">
        <f t="shared" si="42"/>
        <v>0.11573283334219897</v>
      </c>
      <c r="K180" s="126">
        <f t="shared" si="48"/>
        <v>4.8960523844235205E-3</v>
      </c>
      <c r="L180" s="41">
        <f t="shared" si="43"/>
        <v>52.520379234166931</v>
      </c>
      <c r="M180" s="41">
        <f t="shared" si="44"/>
        <v>-34.065184124583304</v>
      </c>
      <c r="N180" s="41">
        <f>(IF(C179&lt;='SOLLECITAZ NASCOSTO'!$P$12,IF(C179&lt;='SOLLECITAZ NASCOSTO'!$P$11,IF(C179&lt;='SOLLECITAZ NASCOSTO'!$P$10,IF(C179&lt;='SOLLECITAZ NASCOSTO'!$P$9,IF(C179&lt;='SOLLECITAZ NASCOSTO'!$P$8,IF(C179&lt;='SOLLECITAZ NASCOSTO'!$P$7,IF(C179&lt;='SOLLECITAZ NASCOSTO'!$P$6,IF(C179&lt;='SOLLECITAZ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paramento'!$G$111),55555)-IF(C179&lt;='SOLLECITAZ NASCOSTO'!$P$12,IF(C179&lt;='SOLLECITAZ NASCOSTO'!$P$11,IF(C179&lt;='SOLLECITAZ NASCOSTO'!$P$10,IF(C179&lt;='SOLLECITAZ NASCOSTO'!$P$9,IF(C179&lt;='SOLLECITAZ NASCOSTO'!$P$8,IF(C179&lt;='SOLLECITAZ NASCOSTO'!$P$7,IF(C179&lt;='SOLLECITAZ NASCOSTO'!$P$6,IF(C179&lt;='SOLLECITAZ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paramento'!$G$111))*(C179-IF(C179&lt;='SOLLECITAZ NASCOSTO'!$P$12,IF(C179&lt;='SOLLECITAZ NASCOSTO'!$P$11,IF(C179&lt;='SOLLECITAZ NASCOSTO'!$P$10,IF(C179&lt;='SOLLECITAZ NASCOSTO'!$P$9,IF(C179&lt;='SOLLECITAZ NASCOSTO'!$P$8,IF(C179&lt;='SOLLECITAZ NASCOSTO'!$P$7,IF(C179&lt;='SOLLECITAZ NASCOSTO'!$P$6,IF(C179&lt;='SOLLECITAZ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NASCOSTO'!$P$12))/IF(C179&lt;='SOLLECITAZ NASCOSTO'!$P$12,IF(C179&lt;='SOLLECITAZ NASCOSTO'!$P$11,IF(C179&lt;='SOLLECITAZ NASCOSTO'!$P$10,IF(C179&lt;='SOLLECITAZ NASCOSTO'!$P$9,IF(C179&lt;='SOLLECITAZ NASCOSTO'!$P$8,IF(C179&lt;='SOLLECITAZ NASCOSTO'!$P$7,IF(C179&lt;='SOLLECITAZ NASCOSTO'!$P$6,IF(C179&lt;='SOLLECITAZ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paramento'!$C$111)+IF(C179&lt;='SOLLECITAZ NASCOSTO'!$P$12,IF(C179&lt;='SOLLECITAZ NASCOSTO'!$P$11,IF(C179&lt;='SOLLECITAZ NASCOSTO'!$P$10,IF(C179&lt;='SOLLECITAZ NASCOSTO'!$P$9,IF(C179&lt;='SOLLECITAZ NASCOSTO'!$P$8,IF(C179&lt;='SOLLECITAZ NASCOSTO'!$P$7,IF(C179&lt;='SOLLECITAZ NASCOSTO'!$P$6,IF(C179&lt;='SOLLECITAZ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51.416416803752789</v>
      </c>
      <c r="O180" s="41">
        <f>IF(C180&lt;='SOLLECITAZ NASCOSTO'!$P$12,IF(C180&lt;='SOLLECITAZ NASCOSTO'!$P$11,IF(C180&lt;='SOLLECITAZ NASCOSTO'!$P$10,IF(C180&lt;='SOLLECITAZ NASCOSTO'!$P$9,IF(C180&lt;='SOLLECITAZ NASCOSTO'!$P$8,IF(C180&lt;='SOLLECITAZ NASCOSTO'!$P$7,IF(C180&lt;='SOLLECITAZ NASCOSTO'!$P$6,IF(C180&lt;='SOLLECITAZ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paramento'!$G$110),55555)*(C180-C179)/IF(C180&lt;='SOLLECITAZ NASCOSTO'!$P$12,IF(C180&lt;='SOLLECITAZ NASCOSTO'!$P$11,IF(C180&lt;='SOLLECITAZ NASCOSTO'!$P$10,IF(C180&lt;='SOLLECITAZ NASCOSTO'!$P$9,IF(C180&lt;='SOLLECITAZ NASCOSTO'!$P$8,IF(C180&lt;='SOLLECITAZ NASCOSTO'!$P$7,IF(C180&lt;='SOLLECITAZ NASCOSTO'!$P$6,IF(C180&lt;='SOLLECITAZ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0.25812292944941068</v>
      </c>
      <c r="P180" s="41">
        <f t="shared" si="57"/>
        <v>1.469999999999997E-4</v>
      </c>
      <c r="Q180" s="41">
        <f t="shared" si="55"/>
        <v>1</v>
      </c>
      <c r="R180" s="434">
        <f t="shared" si="49"/>
        <v>1.6123680664774289</v>
      </c>
      <c r="S180" s="45">
        <f t="shared" si="56"/>
        <v>1.6123680664774289</v>
      </c>
      <c r="T180" s="205">
        <f t="shared" si="52"/>
        <v>3.419693525783452</v>
      </c>
      <c r="U180" s="45">
        <f t="shared" si="53"/>
        <v>52.520379234166931</v>
      </c>
      <c r="V180" s="45">
        <f t="shared" si="54"/>
        <v>-34.065184124583304</v>
      </c>
      <c r="W180" s="488"/>
      <c r="X180" s="489"/>
      <c r="Y180" s="489"/>
      <c r="Z180" s="490"/>
      <c r="AA180" s="46"/>
    </row>
    <row r="181" spans="1:27" s="421" customFormat="1" x14ac:dyDescent="0.25">
      <c r="A181" s="581">
        <f t="shared" si="50"/>
        <v>0.32059498625485378</v>
      </c>
      <c r="B181" s="31">
        <f t="shared" si="40"/>
        <v>149</v>
      </c>
      <c r="C181" s="434">
        <f>'SOLLECITAZ NASCOSTO'!$D$6/'SOLLECITAZ NASCOSTO'!$B$448*'SOLLECITAZ NASCOSTO'!B181</f>
        <v>1.6232624453049791</v>
      </c>
      <c r="D181" s="434">
        <f t="shared" si="51"/>
        <v>0.44059498625485377</v>
      </c>
      <c r="E181" s="434">
        <f t="shared" si="45"/>
        <v>0.32059498625485378</v>
      </c>
      <c r="F181" s="434">
        <f t="shared" si="46"/>
        <v>0.40259039560155319</v>
      </c>
      <c r="G181" s="434">
        <f t="shared" si="47"/>
        <v>4.675583070606637E-2</v>
      </c>
      <c r="H181" s="434">
        <f t="shared" si="41"/>
        <v>0</v>
      </c>
      <c r="I181" s="434">
        <v>0</v>
      </c>
      <c r="J181" s="127">
        <f t="shared" si="42"/>
        <v>0.11613747177501219</v>
      </c>
      <c r="K181" s="126">
        <f t="shared" si="48"/>
        <v>4.9487798197352358E-3</v>
      </c>
      <c r="L181" s="41">
        <f t="shared" si="43"/>
        <v>53.084747290248472</v>
      </c>
      <c r="M181" s="41">
        <f t="shared" si="44"/>
        <v>-34.640435251827476</v>
      </c>
      <c r="N181" s="41">
        <f>(IF(C180&lt;='SOLLECITAZ NASCOSTO'!$P$12,IF(C180&lt;='SOLLECITAZ NASCOSTO'!$P$11,IF(C180&lt;='SOLLECITAZ NASCOSTO'!$P$10,IF(C180&lt;='SOLLECITAZ NASCOSTO'!$P$9,IF(C180&lt;='SOLLECITAZ NASCOSTO'!$P$8,IF(C180&lt;='SOLLECITAZ NASCOSTO'!$P$7,IF(C180&lt;='SOLLECITAZ NASCOSTO'!$P$6,IF(C180&lt;='SOLLECITAZ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paramento'!$G$111),55555)-IF(C180&lt;='SOLLECITAZ NASCOSTO'!$P$12,IF(C180&lt;='SOLLECITAZ NASCOSTO'!$P$11,IF(C180&lt;='SOLLECITAZ NASCOSTO'!$P$10,IF(C180&lt;='SOLLECITAZ NASCOSTO'!$P$9,IF(C180&lt;='SOLLECITAZ NASCOSTO'!$P$8,IF(C180&lt;='SOLLECITAZ NASCOSTO'!$P$7,IF(C180&lt;='SOLLECITAZ NASCOSTO'!$P$6,IF(C180&lt;='SOLLECITAZ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paramento'!$G$111))*(C180-IF(C180&lt;='SOLLECITAZ NASCOSTO'!$P$12,IF(C180&lt;='SOLLECITAZ NASCOSTO'!$P$11,IF(C180&lt;='SOLLECITAZ NASCOSTO'!$P$10,IF(C180&lt;='SOLLECITAZ NASCOSTO'!$P$9,IF(C180&lt;='SOLLECITAZ NASCOSTO'!$P$8,IF(C180&lt;='SOLLECITAZ NASCOSTO'!$P$7,IF(C180&lt;='SOLLECITAZ NASCOSTO'!$P$6,IF(C180&lt;='SOLLECITAZ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NASCOSTO'!$P$12))/IF(C180&lt;='SOLLECITAZ NASCOSTO'!$P$12,IF(C180&lt;='SOLLECITAZ NASCOSTO'!$P$11,IF(C180&lt;='SOLLECITAZ NASCOSTO'!$P$10,IF(C180&lt;='SOLLECITAZ NASCOSTO'!$P$9,IF(C180&lt;='SOLLECITAZ NASCOSTO'!$P$8,IF(C180&lt;='SOLLECITAZ NASCOSTO'!$P$7,IF(C180&lt;='SOLLECITAZ NASCOSTO'!$P$6,IF(C180&lt;='SOLLECITAZ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paramento'!$C$111)+IF(C180&lt;='SOLLECITAZ NASCOSTO'!$P$12,IF(C180&lt;='SOLLECITAZ NASCOSTO'!$P$11,IF(C180&lt;='SOLLECITAZ NASCOSTO'!$P$10,IF(C180&lt;='SOLLECITAZ NASCOSTO'!$P$9,IF(C180&lt;='SOLLECITAZ NASCOSTO'!$P$8,IF(C180&lt;='SOLLECITAZ NASCOSTO'!$P$7,IF(C180&lt;='SOLLECITAZ NASCOSTO'!$P$6,IF(C180&lt;='SOLLECITAZ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51.674539733202202</v>
      </c>
      <c r="O181" s="41">
        <f>IF(C181&lt;='SOLLECITAZ NASCOSTO'!$P$12,IF(C181&lt;='SOLLECITAZ NASCOSTO'!$P$11,IF(C181&lt;='SOLLECITAZ NASCOSTO'!$P$10,IF(C181&lt;='SOLLECITAZ NASCOSTO'!$P$9,IF(C181&lt;='SOLLECITAZ NASCOSTO'!$P$8,IF(C181&lt;='SOLLECITAZ NASCOSTO'!$P$7,IF(C181&lt;='SOLLECITAZ NASCOSTO'!$P$6,IF(C181&lt;='SOLLECITAZ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paramento'!$G$110),55555)*(C181-C180)/IF(C181&lt;='SOLLECITAZ NASCOSTO'!$P$12,IF(C181&lt;='SOLLECITAZ NASCOSTO'!$P$11,IF(C181&lt;='SOLLECITAZ NASCOSTO'!$P$10,IF(C181&lt;='SOLLECITAZ NASCOSTO'!$P$9,IF(C181&lt;='SOLLECITAZ NASCOSTO'!$P$8,IF(C181&lt;='SOLLECITAZ NASCOSTO'!$P$7,IF(C181&lt;='SOLLECITAZ NASCOSTO'!$P$6,IF(C181&lt;='SOLLECITAZ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81" s="41">
        <f t="shared" si="57"/>
        <v>1.4799999999999969E-4</v>
      </c>
      <c r="Q181" s="41">
        <f t="shared" si="55"/>
        <v>1</v>
      </c>
      <c r="R181" s="434">
        <f t="shared" si="49"/>
        <v>1.6232624453049791</v>
      </c>
      <c r="S181" s="45">
        <f t="shared" si="56"/>
        <v>1.6232624453049791</v>
      </c>
      <c r="T181" s="205">
        <f t="shared" si="52"/>
        <v>3.4087991469559018</v>
      </c>
      <c r="U181" s="45">
        <f t="shared" si="53"/>
        <v>53.084747290248472</v>
      </c>
      <c r="V181" s="45">
        <f t="shared" si="54"/>
        <v>-34.640435251827476</v>
      </c>
      <c r="W181" s="488"/>
      <c r="X181" s="489"/>
      <c r="Y181" s="489"/>
      <c r="Z181" s="490"/>
      <c r="AA181" s="46"/>
    </row>
    <row r="182" spans="1:27" s="421" customFormat="1" x14ac:dyDescent="0.25">
      <c r="A182" s="581">
        <f t="shared" si="50"/>
        <v>0.32216582900296298</v>
      </c>
      <c r="B182" s="31">
        <f t="shared" si="40"/>
        <v>150</v>
      </c>
      <c r="C182" s="434">
        <f>'SOLLECITAZ NASCOSTO'!$D$6/'SOLLECITAZ NASCOSTO'!$B$448*'SOLLECITAZ NASCOSTO'!B182</f>
        <v>1.6341568241325293</v>
      </c>
      <c r="D182" s="434">
        <f t="shared" si="51"/>
        <v>0.44216582900296297</v>
      </c>
      <c r="E182" s="434">
        <f t="shared" si="45"/>
        <v>0.32216582900296298</v>
      </c>
      <c r="F182" s="434">
        <f t="shared" si="46"/>
        <v>0.40309306528094813</v>
      </c>
      <c r="G182" s="434">
        <f t="shared" si="47"/>
        <v>4.6977699254060395E-2</v>
      </c>
      <c r="H182" s="434">
        <f t="shared" si="41"/>
        <v>0</v>
      </c>
      <c r="I182" s="434">
        <v>0</v>
      </c>
      <c r="J182" s="127">
        <f t="shared" si="42"/>
        <v>0.11654305990433708</v>
      </c>
      <c r="K182" s="126">
        <f t="shared" si="48"/>
        <v>5.00188750386143E-3</v>
      </c>
      <c r="L182" s="41">
        <f t="shared" si="43"/>
        <v>53.651927435307513</v>
      </c>
      <c r="M182" s="41">
        <f t="shared" si="44"/>
        <v>-35.22185013645408</v>
      </c>
      <c r="N182" s="41">
        <f>(IF(C181&lt;='SOLLECITAZ NASCOSTO'!$P$12,IF(C181&lt;='SOLLECITAZ NASCOSTO'!$P$11,IF(C181&lt;='SOLLECITAZ NASCOSTO'!$P$10,IF(C181&lt;='SOLLECITAZ NASCOSTO'!$P$9,IF(C181&lt;='SOLLECITAZ NASCOSTO'!$P$8,IF(C181&lt;='SOLLECITAZ NASCOSTO'!$P$7,IF(C181&lt;='SOLLECITAZ NASCOSTO'!$P$6,IF(C181&lt;='SOLLECITAZ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paramento'!$G$111),55555)-IF(C181&lt;='SOLLECITAZ NASCOSTO'!$P$12,IF(C181&lt;='SOLLECITAZ NASCOSTO'!$P$11,IF(C181&lt;='SOLLECITAZ NASCOSTO'!$P$10,IF(C181&lt;='SOLLECITAZ NASCOSTO'!$P$9,IF(C181&lt;='SOLLECITAZ NASCOSTO'!$P$8,IF(C181&lt;='SOLLECITAZ NASCOSTO'!$P$7,IF(C181&lt;='SOLLECITAZ NASCOSTO'!$P$6,IF(C181&lt;='SOLLECITAZ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paramento'!$G$111))*(C181-IF(C181&lt;='SOLLECITAZ NASCOSTO'!$P$12,IF(C181&lt;='SOLLECITAZ NASCOSTO'!$P$11,IF(C181&lt;='SOLLECITAZ NASCOSTO'!$P$10,IF(C181&lt;='SOLLECITAZ NASCOSTO'!$P$9,IF(C181&lt;='SOLLECITAZ NASCOSTO'!$P$8,IF(C181&lt;='SOLLECITAZ NASCOSTO'!$P$7,IF(C181&lt;='SOLLECITAZ NASCOSTO'!$P$6,IF(C181&lt;='SOLLECITAZ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NASCOSTO'!$P$12))/IF(C181&lt;='SOLLECITAZ NASCOSTO'!$P$12,IF(C181&lt;='SOLLECITAZ NASCOSTO'!$P$11,IF(C181&lt;='SOLLECITAZ NASCOSTO'!$P$10,IF(C181&lt;='SOLLECITAZ NASCOSTO'!$P$9,IF(C181&lt;='SOLLECITAZ NASCOSTO'!$P$8,IF(C181&lt;='SOLLECITAZ NASCOSTO'!$P$7,IF(C181&lt;='SOLLECITAZ NASCOSTO'!$P$6,IF(C181&lt;='SOLLECITAZ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paramento'!$C$111)+IF(C181&lt;='SOLLECITAZ NASCOSTO'!$P$12,IF(C181&lt;='SOLLECITAZ NASCOSTO'!$P$11,IF(C181&lt;='SOLLECITAZ NASCOSTO'!$P$10,IF(C181&lt;='SOLLECITAZ NASCOSTO'!$P$9,IF(C181&lt;='SOLLECITAZ NASCOSTO'!$P$8,IF(C181&lt;='SOLLECITAZ NASCOSTO'!$P$7,IF(C181&lt;='SOLLECITAZ NASCOSTO'!$P$6,IF(C181&lt;='SOLLECITAZ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51.932662662651602</v>
      </c>
      <c r="O182" s="41">
        <f>IF(C182&lt;='SOLLECITAZ NASCOSTO'!$P$12,IF(C182&lt;='SOLLECITAZ NASCOSTO'!$P$11,IF(C182&lt;='SOLLECITAZ NASCOSTO'!$P$10,IF(C182&lt;='SOLLECITAZ NASCOSTO'!$P$9,IF(C182&lt;='SOLLECITAZ NASCOSTO'!$P$8,IF(C182&lt;='SOLLECITAZ NASCOSTO'!$P$7,IF(C182&lt;='SOLLECITAZ NASCOSTO'!$P$6,IF(C182&lt;='SOLLECITAZ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paramento'!$G$110),55555)*(C182-C181)/IF(C182&lt;='SOLLECITAZ NASCOSTO'!$P$12,IF(C182&lt;='SOLLECITAZ NASCOSTO'!$P$11,IF(C182&lt;='SOLLECITAZ NASCOSTO'!$P$10,IF(C182&lt;='SOLLECITAZ NASCOSTO'!$P$9,IF(C182&lt;='SOLLECITAZ NASCOSTO'!$P$8,IF(C182&lt;='SOLLECITAZ NASCOSTO'!$P$7,IF(C182&lt;='SOLLECITAZ NASCOSTO'!$P$6,IF(C182&lt;='SOLLECITAZ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82" s="41">
        <f t="shared" si="57"/>
        <v>1.4899999999999969E-4</v>
      </c>
      <c r="Q182" s="41">
        <f t="shared" si="55"/>
        <v>1</v>
      </c>
      <c r="R182" s="434">
        <f t="shared" si="49"/>
        <v>1.6341568241325293</v>
      </c>
      <c r="S182" s="45">
        <f t="shared" si="56"/>
        <v>1.6341568241325293</v>
      </c>
      <c r="T182" s="205">
        <f t="shared" si="52"/>
        <v>3.3979047681283516</v>
      </c>
      <c r="U182" s="45">
        <f t="shared" si="53"/>
        <v>53.651927435307513</v>
      </c>
      <c r="V182" s="45">
        <f t="shared" si="54"/>
        <v>-35.22185013645408</v>
      </c>
      <c r="W182" s="488"/>
      <c r="X182" s="489"/>
      <c r="Y182" s="489"/>
      <c r="Z182" s="490"/>
      <c r="AA182" s="46"/>
    </row>
    <row r="183" spans="1:27" s="421" customFormat="1" x14ac:dyDescent="0.25">
      <c r="A183" s="581">
        <f t="shared" si="50"/>
        <v>0.32373667175107212</v>
      </c>
      <c r="B183" s="31">
        <f t="shared" si="40"/>
        <v>151</v>
      </c>
      <c r="C183" s="434">
        <f>'SOLLECITAZ NASCOSTO'!$D$6/'SOLLECITAZ NASCOSTO'!$B$448*'SOLLECITAZ NASCOSTO'!B183</f>
        <v>1.6450512029600795</v>
      </c>
      <c r="D183" s="434">
        <f t="shared" si="51"/>
        <v>0.44373667175107212</v>
      </c>
      <c r="E183" s="434">
        <f t="shared" si="45"/>
        <v>0.32373667175107212</v>
      </c>
      <c r="F183" s="434">
        <f t="shared" si="46"/>
        <v>0.40359573496034307</v>
      </c>
      <c r="G183" s="434">
        <f t="shared" si="47"/>
        <v>4.7200357417074998E-2</v>
      </c>
      <c r="H183" s="434">
        <f t="shared" si="41"/>
        <v>0</v>
      </c>
      <c r="I183" s="434">
        <v>0</v>
      </c>
      <c r="J183" s="127">
        <f t="shared" si="42"/>
        <v>0.11694959418169486</v>
      </c>
      <c r="K183" s="126">
        <f t="shared" si="48"/>
        <v>5.0553764921148362E-3</v>
      </c>
      <c r="L183" s="41">
        <f t="shared" si="43"/>
        <v>54.221919669344054</v>
      </c>
      <c r="M183" s="41">
        <f t="shared" si="44"/>
        <v>-35.809459414425731</v>
      </c>
      <c r="N183" s="41">
        <f>(IF(C182&lt;='SOLLECITAZ NASCOSTO'!$P$12,IF(C182&lt;='SOLLECITAZ NASCOSTO'!$P$11,IF(C182&lt;='SOLLECITAZ NASCOSTO'!$P$10,IF(C182&lt;='SOLLECITAZ NASCOSTO'!$P$9,IF(C182&lt;='SOLLECITAZ NASCOSTO'!$P$8,IF(C182&lt;='SOLLECITAZ NASCOSTO'!$P$7,IF(C182&lt;='SOLLECITAZ NASCOSTO'!$P$6,IF(C182&lt;='SOLLECITAZ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paramento'!$G$111),55555)-IF(C182&lt;='SOLLECITAZ NASCOSTO'!$P$12,IF(C182&lt;='SOLLECITAZ NASCOSTO'!$P$11,IF(C182&lt;='SOLLECITAZ NASCOSTO'!$P$10,IF(C182&lt;='SOLLECITAZ NASCOSTO'!$P$9,IF(C182&lt;='SOLLECITAZ NASCOSTO'!$P$8,IF(C182&lt;='SOLLECITAZ NASCOSTO'!$P$7,IF(C182&lt;='SOLLECITAZ NASCOSTO'!$P$6,IF(C182&lt;='SOLLECITAZ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paramento'!$G$111))*(C182-IF(C182&lt;='SOLLECITAZ NASCOSTO'!$P$12,IF(C182&lt;='SOLLECITAZ NASCOSTO'!$P$11,IF(C182&lt;='SOLLECITAZ NASCOSTO'!$P$10,IF(C182&lt;='SOLLECITAZ NASCOSTO'!$P$9,IF(C182&lt;='SOLLECITAZ NASCOSTO'!$P$8,IF(C182&lt;='SOLLECITAZ NASCOSTO'!$P$7,IF(C182&lt;='SOLLECITAZ NASCOSTO'!$P$6,IF(C182&lt;='SOLLECITAZ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NASCOSTO'!$P$12))/IF(C182&lt;='SOLLECITAZ NASCOSTO'!$P$12,IF(C182&lt;='SOLLECITAZ NASCOSTO'!$P$11,IF(C182&lt;='SOLLECITAZ NASCOSTO'!$P$10,IF(C182&lt;='SOLLECITAZ NASCOSTO'!$P$9,IF(C182&lt;='SOLLECITAZ NASCOSTO'!$P$8,IF(C182&lt;='SOLLECITAZ NASCOSTO'!$P$7,IF(C182&lt;='SOLLECITAZ NASCOSTO'!$P$6,IF(C182&lt;='SOLLECITAZ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paramento'!$C$111)+IF(C182&lt;='SOLLECITAZ NASCOSTO'!$P$12,IF(C182&lt;='SOLLECITAZ NASCOSTO'!$P$11,IF(C182&lt;='SOLLECITAZ NASCOSTO'!$P$10,IF(C182&lt;='SOLLECITAZ NASCOSTO'!$P$9,IF(C182&lt;='SOLLECITAZ NASCOSTO'!$P$8,IF(C182&lt;='SOLLECITAZ NASCOSTO'!$P$7,IF(C182&lt;='SOLLECITAZ NASCOSTO'!$P$6,IF(C182&lt;='SOLLECITAZ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52.190785592101008</v>
      </c>
      <c r="O183" s="41">
        <f>IF(C183&lt;='SOLLECITAZ NASCOSTO'!$P$12,IF(C183&lt;='SOLLECITAZ NASCOSTO'!$P$11,IF(C183&lt;='SOLLECITAZ NASCOSTO'!$P$10,IF(C183&lt;='SOLLECITAZ NASCOSTO'!$P$9,IF(C183&lt;='SOLLECITAZ NASCOSTO'!$P$8,IF(C183&lt;='SOLLECITAZ NASCOSTO'!$P$7,IF(C183&lt;='SOLLECITAZ NASCOSTO'!$P$6,IF(C183&lt;='SOLLECITAZ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paramento'!$G$110),55555)*(C183-C182)/IF(C183&lt;='SOLLECITAZ NASCOSTO'!$P$12,IF(C183&lt;='SOLLECITAZ NASCOSTO'!$P$11,IF(C183&lt;='SOLLECITAZ NASCOSTO'!$P$10,IF(C183&lt;='SOLLECITAZ NASCOSTO'!$P$9,IF(C183&lt;='SOLLECITAZ NASCOSTO'!$P$8,IF(C183&lt;='SOLLECITAZ NASCOSTO'!$P$7,IF(C183&lt;='SOLLECITAZ NASCOSTO'!$P$6,IF(C183&lt;='SOLLECITAZ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83" s="41">
        <f t="shared" si="57"/>
        <v>1.4999999999999969E-4</v>
      </c>
      <c r="Q183" s="41">
        <f t="shared" si="55"/>
        <v>1</v>
      </c>
      <c r="R183" s="434">
        <f t="shared" si="49"/>
        <v>1.6450512029600795</v>
      </c>
      <c r="S183" s="45">
        <f t="shared" si="56"/>
        <v>1.6450512029600795</v>
      </c>
      <c r="T183" s="205">
        <f t="shared" si="52"/>
        <v>3.3870103893008014</v>
      </c>
      <c r="U183" s="45">
        <f t="shared" si="53"/>
        <v>54.221919669344054</v>
      </c>
      <c r="V183" s="45">
        <f t="shared" si="54"/>
        <v>-35.809459414425731</v>
      </c>
      <c r="W183" s="488"/>
      <c r="X183" s="489"/>
      <c r="Y183" s="489"/>
      <c r="Z183" s="490"/>
      <c r="AA183" s="46"/>
    </row>
    <row r="184" spans="1:27" s="421" customFormat="1" x14ac:dyDescent="0.25">
      <c r="A184" s="581">
        <f t="shared" si="50"/>
        <v>0.32530751449918127</v>
      </c>
      <c r="B184" s="31">
        <f t="shared" si="40"/>
        <v>152</v>
      </c>
      <c r="C184" s="434">
        <f>'SOLLECITAZ NASCOSTO'!$D$6/'SOLLECITAZ NASCOSTO'!$B$448*'SOLLECITAZ NASCOSTO'!B184</f>
        <v>1.6559455817876296</v>
      </c>
      <c r="D184" s="434">
        <f t="shared" si="51"/>
        <v>0.44530751449918127</v>
      </c>
      <c r="E184" s="434">
        <f t="shared" si="45"/>
        <v>0.32530751449918127</v>
      </c>
      <c r="F184" s="434">
        <f t="shared" si="46"/>
        <v>0.40409840463973801</v>
      </c>
      <c r="G184" s="434">
        <f t="shared" si="47"/>
        <v>4.7423805195110164E-2</v>
      </c>
      <c r="H184" s="434">
        <f t="shared" si="41"/>
        <v>0</v>
      </c>
      <c r="I184" s="434">
        <v>0</v>
      </c>
      <c r="J184" s="127">
        <f t="shared" si="42"/>
        <v>0.11735707107626286</v>
      </c>
      <c r="K184" s="126">
        <f t="shared" si="48"/>
        <v>5.1092478376430911E-3</v>
      </c>
      <c r="L184" s="41">
        <f t="shared" si="43"/>
        <v>54.794723992358094</v>
      </c>
      <c r="M184" s="41">
        <f t="shared" si="44"/>
        <v>-36.403293721705047</v>
      </c>
      <c r="N184" s="41">
        <f>(IF(C183&lt;='SOLLECITAZ NASCOSTO'!$P$12,IF(C183&lt;='SOLLECITAZ NASCOSTO'!$P$11,IF(C183&lt;='SOLLECITAZ NASCOSTO'!$P$10,IF(C183&lt;='SOLLECITAZ NASCOSTO'!$P$9,IF(C183&lt;='SOLLECITAZ NASCOSTO'!$P$8,IF(C183&lt;='SOLLECITAZ NASCOSTO'!$P$7,IF(C183&lt;='SOLLECITAZ NASCOSTO'!$P$6,IF(C183&lt;='SOLLECITAZ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paramento'!$G$111),55555)-IF(C183&lt;='SOLLECITAZ NASCOSTO'!$P$12,IF(C183&lt;='SOLLECITAZ NASCOSTO'!$P$11,IF(C183&lt;='SOLLECITAZ NASCOSTO'!$P$10,IF(C183&lt;='SOLLECITAZ NASCOSTO'!$P$9,IF(C183&lt;='SOLLECITAZ NASCOSTO'!$P$8,IF(C183&lt;='SOLLECITAZ NASCOSTO'!$P$7,IF(C183&lt;='SOLLECITAZ NASCOSTO'!$P$6,IF(C183&lt;='SOLLECITAZ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paramento'!$G$111))*(C183-IF(C183&lt;='SOLLECITAZ NASCOSTO'!$P$12,IF(C183&lt;='SOLLECITAZ NASCOSTO'!$P$11,IF(C183&lt;='SOLLECITAZ NASCOSTO'!$P$10,IF(C183&lt;='SOLLECITAZ NASCOSTO'!$P$9,IF(C183&lt;='SOLLECITAZ NASCOSTO'!$P$8,IF(C183&lt;='SOLLECITAZ NASCOSTO'!$P$7,IF(C183&lt;='SOLLECITAZ NASCOSTO'!$P$6,IF(C183&lt;='SOLLECITAZ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NASCOSTO'!$P$12))/IF(C183&lt;='SOLLECITAZ NASCOSTO'!$P$12,IF(C183&lt;='SOLLECITAZ NASCOSTO'!$P$11,IF(C183&lt;='SOLLECITAZ NASCOSTO'!$P$10,IF(C183&lt;='SOLLECITAZ NASCOSTO'!$P$9,IF(C183&lt;='SOLLECITAZ NASCOSTO'!$P$8,IF(C183&lt;='SOLLECITAZ NASCOSTO'!$P$7,IF(C183&lt;='SOLLECITAZ NASCOSTO'!$P$6,IF(C183&lt;='SOLLECITAZ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paramento'!$C$111)+IF(C183&lt;='SOLLECITAZ NASCOSTO'!$P$12,IF(C183&lt;='SOLLECITAZ NASCOSTO'!$P$11,IF(C183&lt;='SOLLECITAZ NASCOSTO'!$P$10,IF(C183&lt;='SOLLECITAZ NASCOSTO'!$P$9,IF(C183&lt;='SOLLECITAZ NASCOSTO'!$P$8,IF(C183&lt;='SOLLECITAZ NASCOSTO'!$P$7,IF(C183&lt;='SOLLECITAZ NASCOSTO'!$P$6,IF(C183&lt;='SOLLECITAZ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52.448908521550415</v>
      </c>
      <c r="O184" s="41">
        <f>IF(C184&lt;='SOLLECITAZ NASCOSTO'!$P$12,IF(C184&lt;='SOLLECITAZ NASCOSTO'!$P$11,IF(C184&lt;='SOLLECITAZ NASCOSTO'!$P$10,IF(C184&lt;='SOLLECITAZ NASCOSTO'!$P$9,IF(C184&lt;='SOLLECITAZ NASCOSTO'!$P$8,IF(C184&lt;='SOLLECITAZ NASCOSTO'!$P$7,IF(C184&lt;='SOLLECITAZ NASCOSTO'!$P$6,IF(C184&lt;='SOLLECITAZ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paramento'!$G$110),55555)*(C184-C183)/IF(C184&lt;='SOLLECITAZ NASCOSTO'!$P$12,IF(C184&lt;='SOLLECITAZ NASCOSTO'!$P$11,IF(C184&lt;='SOLLECITAZ NASCOSTO'!$P$10,IF(C184&lt;='SOLLECITAZ NASCOSTO'!$P$9,IF(C184&lt;='SOLLECITAZ NASCOSTO'!$P$8,IF(C184&lt;='SOLLECITAZ NASCOSTO'!$P$7,IF(C184&lt;='SOLLECITAZ NASCOSTO'!$P$6,IF(C184&lt;='SOLLECITAZ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84" s="41">
        <f t="shared" si="57"/>
        <v>1.5099999999999969E-4</v>
      </c>
      <c r="Q184" s="41">
        <f t="shared" si="55"/>
        <v>1</v>
      </c>
      <c r="R184" s="434">
        <f t="shared" si="49"/>
        <v>1.6559455817876296</v>
      </c>
      <c r="S184" s="45">
        <f t="shared" si="56"/>
        <v>1.6559455817876296</v>
      </c>
      <c r="T184" s="205">
        <f t="shared" si="52"/>
        <v>3.3761160104732513</v>
      </c>
      <c r="U184" s="45">
        <f t="shared" si="53"/>
        <v>54.794723992358094</v>
      </c>
      <c r="V184" s="45">
        <f t="shared" si="54"/>
        <v>-36.403293721705047</v>
      </c>
      <c r="W184" s="488"/>
      <c r="X184" s="489"/>
      <c r="Y184" s="489"/>
      <c r="Z184" s="490"/>
      <c r="AA184" s="46"/>
    </row>
    <row r="185" spans="1:27" s="421" customFormat="1" x14ac:dyDescent="0.25">
      <c r="A185" s="581">
        <f t="shared" si="50"/>
        <v>0.32687835724729042</v>
      </c>
      <c r="B185" s="31">
        <f t="shared" si="40"/>
        <v>153</v>
      </c>
      <c r="C185" s="434">
        <f>'SOLLECITAZ NASCOSTO'!$D$6/'SOLLECITAZ NASCOSTO'!$B$448*'SOLLECITAZ NASCOSTO'!B185</f>
        <v>1.6668399606151798</v>
      </c>
      <c r="D185" s="434">
        <f t="shared" si="51"/>
        <v>0.44687835724729041</v>
      </c>
      <c r="E185" s="434">
        <f t="shared" si="45"/>
        <v>0.32687835724729042</v>
      </c>
      <c r="F185" s="434">
        <f t="shared" si="46"/>
        <v>0.40460107431913295</v>
      </c>
      <c r="G185" s="434">
        <f t="shared" si="47"/>
        <v>4.7648042588165906E-2</v>
      </c>
      <c r="H185" s="434">
        <f t="shared" si="41"/>
        <v>0</v>
      </c>
      <c r="I185" s="434">
        <v>0</v>
      </c>
      <c r="J185" s="127">
        <f t="shared" si="42"/>
        <v>0.11776548707476506</v>
      </c>
      <c r="K185" s="126">
        <f t="shared" si="48"/>
        <v>5.1635025914421873E-3</v>
      </c>
      <c r="L185" s="41">
        <f t="shared" si="43"/>
        <v>55.370340404349633</v>
      </c>
      <c r="M185" s="41">
        <f t="shared" si="44"/>
        <v>-37.003383694254644</v>
      </c>
      <c r="N185" s="41">
        <f>(IF(C184&lt;='SOLLECITAZ NASCOSTO'!$P$12,IF(C184&lt;='SOLLECITAZ NASCOSTO'!$P$11,IF(C184&lt;='SOLLECITAZ NASCOSTO'!$P$10,IF(C184&lt;='SOLLECITAZ NASCOSTO'!$P$9,IF(C184&lt;='SOLLECITAZ NASCOSTO'!$P$8,IF(C184&lt;='SOLLECITAZ NASCOSTO'!$P$7,IF(C184&lt;='SOLLECITAZ NASCOSTO'!$P$6,IF(C184&lt;='SOLLECITAZ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paramento'!$G$111),55555)-IF(C184&lt;='SOLLECITAZ NASCOSTO'!$P$12,IF(C184&lt;='SOLLECITAZ NASCOSTO'!$P$11,IF(C184&lt;='SOLLECITAZ NASCOSTO'!$P$10,IF(C184&lt;='SOLLECITAZ NASCOSTO'!$P$9,IF(C184&lt;='SOLLECITAZ NASCOSTO'!$P$8,IF(C184&lt;='SOLLECITAZ NASCOSTO'!$P$7,IF(C184&lt;='SOLLECITAZ NASCOSTO'!$P$6,IF(C184&lt;='SOLLECITAZ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paramento'!$G$111))*(C184-IF(C184&lt;='SOLLECITAZ NASCOSTO'!$P$12,IF(C184&lt;='SOLLECITAZ NASCOSTO'!$P$11,IF(C184&lt;='SOLLECITAZ NASCOSTO'!$P$10,IF(C184&lt;='SOLLECITAZ NASCOSTO'!$P$9,IF(C184&lt;='SOLLECITAZ NASCOSTO'!$P$8,IF(C184&lt;='SOLLECITAZ NASCOSTO'!$P$7,IF(C184&lt;='SOLLECITAZ NASCOSTO'!$P$6,IF(C184&lt;='SOLLECITAZ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NASCOSTO'!$P$12))/IF(C184&lt;='SOLLECITAZ NASCOSTO'!$P$12,IF(C184&lt;='SOLLECITAZ NASCOSTO'!$P$11,IF(C184&lt;='SOLLECITAZ NASCOSTO'!$P$10,IF(C184&lt;='SOLLECITAZ NASCOSTO'!$P$9,IF(C184&lt;='SOLLECITAZ NASCOSTO'!$P$8,IF(C184&lt;='SOLLECITAZ NASCOSTO'!$P$7,IF(C184&lt;='SOLLECITAZ NASCOSTO'!$P$6,IF(C184&lt;='SOLLECITAZ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paramento'!$C$111)+IF(C184&lt;='SOLLECITAZ NASCOSTO'!$P$12,IF(C184&lt;='SOLLECITAZ NASCOSTO'!$P$11,IF(C184&lt;='SOLLECITAZ NASCOSTO'!$P$10,IF(C184&lt;='SOLLECITAZ NASCOSTO'!$P$9,IF(C184&lt;='SOLLECITAZ NASCOSTO'!$P$8,IF(C184&lt;='SOLLECITAZ NASCOSTO'!$P$7,IF(C184&lt;='SOLLECITAZ NASCOSTO'!$P$6,IF(C184&lt;='SOLLECITAZ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52.707031450999821</v>
      </c>
      <c r="O185" s="41">
        <f>IF(C185&lt;='SOLLECITAZ NASCOSTO'!$P$12,IF(C185&lt;='SOLLECITAZ NASCOSTO'!$P$11,IF(C185&lt;='SOLLECITAZ NASCOSTO'!$P$10,IF(C185&lt;='SOLLECITAZ NASCOSTO'!$P$9,IF(C185&lt;='SOLLECITAZ NASCOSTO'!$P$8,IF(C185&lt;='SOLLECITAZ NASCOSTO'!$P$7,IF(C185&lt;='SOLLECITAZ NASCOSTO'!$P$6,IF(C185&lt;='SOLLECITAZ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paramento'!$G$110),55555)*(C185-C184)/IF(C185&lt;='SOLLECITAZ NASCOSTO'!$P$12,IF(C185&lt;='SOLLECITAZ NASCOSTO'!$P$11,IF(C185&lt;='SOLLECITAZ NASCOSTO'!$P$10,IF(C185&lt;='SOLLECITAZ NASCOSTO'!$P$9,IF(C185&lt;='SOLLECITAZ NASCOSTO'!$P$8,IF(C185&lt;='SOLLECITAZ NASCOSTO'!$P$7,IF(C185&lt;='SOLLECITAZ NASCOSTO'!$P$6,IF(C185&lt;='SOLLECITAZ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85" s="41">
        <f t="shared" si="57"/>
        <v>1.5199999999999968E-4</v>
      </c>
      <c r="Q185" s="41">
        <f t="shared" si="55"/>
        <v>1</v>
      </c>
      <c r="R185" s="434">
        <f t="shared" si="49"/>
        <v>1.6668399606151798</v>
      </c>
      <c r="S185" s="45">
        <f t="shared" si="56"/>
        <v>1.6668399606151798</v>
      </c>
      <c r="T185" s="205">
        <f t="shared" si="52"/>
        <v>3.3652216316457011</v>
      </c>
      <c r="U185" s="45">
        <f t="shared" si="53"/>
        <v>55.370340404349633</v>
      </c>
      <c r="V185" s="45">
        <f t="shared" si="54"/>
        <v>-37.003383694254644</v>
      </c>
      <c r="W185" s="488"/>
      <c r="X185" s="489"/>
      <c r="Y185" s="489"/>
      <c r="Z185" s="490"/>
      <c r="AA185" s="46"/>
    </row>
    <row r="186" spans="1:27" s="421" customFormat="1" x14ac:dyDescent="0.25">
      <c r="A186" s="581">
        <f t="shared" si="50"/>
        <v>0.32844919999539957</v>
      </c>
      <c r="B186" s="31">
        <f t="shared" si="40"/>
        <v>154</v>
      </c>
      <c r="C186" s="434">
        <f>'SOLLECITAZ NASCOSTO'!$D$6/'SOLLECITAZ NASCOSTO'!$B$448*'SOLLECITAZ NASCOSTO'!B186</f>
        <v>1.67773433944273</v>
      </c>
      <c r="D186" s="434">
        <f t="shared" si="51"/>
        <v>0.44844919999539956</v>
      </c>
      <c r="E186" s="434">
        <f t="shared" si="45"/>
        <v>0.32844919999539957</v>
      </c>
      <c r="F186" s="434">
        <f t="shared" si="46"/>
        <v>0.40510374399852783</v>
      </c>
      <c r="G186" s="434">
        <f t="shared" si="47"/>
        <v>4.7873069596242213E-2</v>
      </c>
      <c r="H186" s="434">
        <f t="shared" si="41"/>
        <v>0</v>
      </c>
      <c r="I186" s="434">
        <v>0</v>
      </c>
      <c r="J186" s="127">
        <f t="shared" si="42"/>
        <v>0.11817483868136303</v>
      </c>
      <c r="K186" s="126">
        <f t="shared" si="48"/>
        <v>5.2181418023698224E-3</v>
      </c>
      <c r="L186" s="41">
        <f t="shared" si="43"/>
        <v>55.948768905318673</v>
      </c>
      <c r="M186" s="41">
        <f t="shared" si="44"/>
        <v>-37.609759968037139</v>
      </c>
      <c r="N186" s="41">
        <f>(IF(C185&lt;='SOLLECITAZ NASCOSTO'!$P$12,IF(C185&lt;='SOLLECITAZ NASCOSTO'!$P$11,IF(C185&lt;='SOLLECITAZ NASCOSTO'!$P$10,IF(C185&lt;='SOLLECITAZ NASCOSTO'!$P$9,IF(C185&lt;='SOLLECITAZ NASCOSTO'!$P$8,IF(C185&lt;='SOLLECITAZ NASCOSTO'!$P$7,IF(C185&lt;='SOLLECITAZ NASCOSTO'!$P$6,IF(C185&lt;='SOLLECITAZ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paramento'!$G$111),55555)-IF(C185&lt;='SOLLECITAZ NASCOSTO'!$P$12,IF(C185&lt;='SOLLECITAZ NASCOSTO'!$P$11,IF(C185&lt;='SOLLECITAZ NASCOSTO'!$P$10,IF(C185&lt;='SOLLECITAZ NASCOSTO'!$P$9,IF(C185&lt;='SOLLECITAZ NASCOSTO'!$P$8,IF(C185&lt;='SOLLECITAZ NASCOSTO'!$P$7,IF(C185&lt;='SOLLECITAZ NASCOSTO'!$P$6,IF(C185&lt;='SOLLECITAZ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paramento'!$G$111))*(C185-IF(C185&lt;='SOLLECITAZ NASCOSTO'!$P$12,IF(C185&lt;='SOLLECITAZ NASCOSTO'!$P$11,IF(C185&lt;='SOLLECITAZ NASCOSTO'!$P$10,IF(C185&lt;='SOLLECITAZ NASCOSTO'!$P$9,IF(C185&lt;='SOLLECITAZ NASCOSTO'!$P$8,IF(C185&lt;='SOLLECITAZ NASCOSTO'!$P$7,IF(C185&lt;='SOLLECITAZ NASCOSTO'!$P$6,IF(C185&lt;='SOLLECITAZ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NASCOSTO'!$P$12))/IF(C185&lt;='SOLLECITAZ NASCOSTO'!$P$12,IF(C185&lt;='SOLLECITAZ NASCOSTO'!$P$11,IF(C185&lt;='SOLLECITAZ NASCOSTO'!$P$10,IF(C185&lt;='SOLLECITAZ NASCOSTO'!$P$9,IF(C185&lt;='SOLLECITAZ NASCOSTO'!$P$8,IF(C185&lt;='SOLLECITAZ NASCOSTO'!$P$7,IF(C185&lt;='SOLLECITAZ NASCOSTO'!$P$6,IF(C185&lt;='SOLLECITAZ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paramento'!$C$111)+IF(C185&lt;='SOLLECITAZ NASCOSTO'!$P$12,IF(C185&lt;='SOLLECITAZ NASCOSTO'!$P$11,IF(C185&lt;='SOLLECITAZ NASCOSTO'!$P$10,IF(C185&lt;='SOLLECITAZ NASCOSTO'!$P$9,IF(C185&lt;='SOLLECITAZ NASCOSTO'!$P$8,IF(C185&lt;='SOLLECITAZ NASCOSTO'!$P$7,IF(C185&lt;='SOLLECITAZ NASCOSTO'!$P$6,IF(C185&lt;='SOLLECITAZ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52.965154380449228</v>
      </c>
      <c r="O186" s="41">
        <f>IF(C186&lt;='SOLLECITAZ NASCOSTO'!$P$12,IF(C186&lt;='SOLLECITAZ NASCOSTO'!$P$11,IF(C186&lt;='SOLLECITAZ NASCOSTO'!$P$10,IF(C186&lt;='SOLLECITAZ NASCOSTO'!$P$9,IF(C186&lt;='SOLLECITAZ NASCOSTO'!$P$8,IF(C186&lt;='SOLLECITAZ NASCOSTO'!$P$7,IF(C186&lt;='SOLLECITAZ NASCOSTO'!$P$6,IF(C186&lt;='SOLLECITAZ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paramento'!$G$110),55555)*(C186-C185)/IF(C186&lt;='SOLLECITAZ NASCOSTO'!$P$12,IF(C186&lt;='SOLLECITAZ NASCOSTO'!$P$11,IF(C186&lt;='SOLLECITAZ NASCOSTO'!$P$10,IF(C186&lt;='SOLLECITAZ NASCOSTO'!$P$9,IF(C186&lt;='SOLLECITAZ NASCOSTO'!$P$8,IF(C186&lt;='SOLLECITAZ NASCOSTO'!$P$7,IF(C186&lt;='SOLLECITAZ NASCOSTO'!$P$6,IF(C186&lt;='SOLLECITAZ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86" s="41">
        <f t="shared" si="57"/>
        <v>1.5299999999999968E-4</v>
      </c>
      <c r="Q186" s="41">
        <f t="shared" si="55"/>
        <v>1</v>
      </c>
      <c r="R186" s="434">
        <f t="shared" si="49"/>
        <v>1.67773433944273</v>
      </c>
      <c r="S186" s="45">
        <f t="shared" si="56"/>
        <v>1.67773433944273</v>
      </c>
      <c r="T186" s="205">
        <f t="shared" si="52"/>
        <v>3.3543272528181509</v>
      </c>
      <c r="U186" s="45">
        <f t="shared" si="53"/>
        <v>55.948768905318673</v>
      </c>
      <c r="V186" s="45">
        <f t="shared" si="54"/>
        <v>-37.609759968037139</v>
      </c>
      <c r="W186" s="488"/>
      <c r="X186" s="489"/>
      <c r="Y186" s="489"/>
      <c r="Z186" s="490"/>
      <c r="AA186" s="46"/>
    </row>
    <row r="187" spans="1:27" s="421" customFormat="1" x14ac:dyDescent="0.25">
      <c r="A187" s="581">
        <f t="shared" si="50"/>
        <v>0.33002004274350871</v>
      </c>
      <c r="B187" s="31">
        <f t="shared" si="40"/>
        <v>155</v>
      </c>
      <c r="C187" s="434">
        <f>'SOLLECITAZ NASCOSTO'!$D$6/'SOLLECITAZ NASCOSTO'!$B$448*'SOLLECITAZ NASCOSTO'!B187</f>
        <v>1.6886287182702802</v>
      </c>
      <c r="D187" s="434">
        <f t="shared" si="51"/>
        <v>0.45002004274350871</v>
      </c>
      <c r="E187" s="434">
        <f t="shared" si="45"/>
        <v>0.33002004274350871</v>
      </c>
      <c r="F187" s="434">
        <f t="shared" si="46"/>
        <v>0.40560641367792277</v>
      </c>
      <c r="G187" s="434">
        <f t="shared" si="47"/>
        <v>4.8098886219339103E-2</v>
      </c>
      <c r="H187" s="434">
        <f t="shared" si="41"/>
        <v>0</v>
      </c>
      <c r="I187" s="434">
        <v>0</v>
      </c>
      <c r="J187" s="127">
        <f t="shared" si="42"/>
        <v>0.11858512241754804</v>
      </c>
      <c r="K187" s="126">
        <f t="shared" si="48"/>
        <v>5.2731665171586468E-3</v>
      </c>
      <c r="L187" s="41">
        <f t="shared" si="43"/>
        <v>56.530009495265212</v>
      </c>
      <c r="M187" s="41">
        <f t="shared" si="44"/>
        <v>-38.222453179015154</v>
      </c>
      <c r="N187" s="41">
        <f>(IF(C186&lt;='SOLLECITAZ NASCOSTO'!$P$12,IF(C186&lt;='SOLLECITAZ NASCOSTO'!$P$11,IF(C186&lt;='SOLLECITAZ NASCOSTO'!$P$10,IF(C186&lt;='SOLLECITAZ NASCOSTO'!$P$9,IF(C186&lt;='SOLLECITAZ NASCOSTO'!$P$8,IF(C186&lt;='SOLLECITAZ NASCOSTO'!$P$7,IF(C186&lt;='SOLLECITAZ NASCOSTO'!$P$6,IF(C186&lt;='SOLLECITAZ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paramento'!$G$111),55555)-IF(C186&lt;='SOLLECITAZ NASCOSTO'!$P$12,IF(C186&lt;='SOLLECITAZ NASCOSTO'!$P$11,IF(C186&lt;='SOLLECITAZ NASCOSTO'!$P$10,IF(C186&lt;='SOLLECITAZ NASCOSTO'!$P$9,IF(C186&lt;='SOLLECITAZ NASCOSTO'!$P$8,IF(C186&lt;='SOLLECITAZ NASCOSTO'!$P$7,IF(C186&lt;='SOLLECITAZ NASCOSTO'!$P$6,IF(C186&lt;='SOLLECITAZ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paramento'!$G$111))*(C186-IF(C186&lt;='SOLLECITAZ NASCOSTO'!$P$12,IF(C186&lt;='SOLLECITAZ NASCOSTO'!$P$11,IF(C186&lt;='SOLLECITAZ NASCOSTO'!$P$10,IF(C186&lt;='SOLLECITAZ NASCOSTO'!$P$9,IF(C186&lt;='SOLLECITAZ NASCOSTO'!$P$8,IF(C186&lt;='SOLLECITAZ NASCOSTO'!$P$7,IF(C186&lt;='SOLLECITAZ NASCOSTO'!$P$6,IF(C186&lt;='SOLLECITAZ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NASCOSTO'!$P$12))/IF(C186&lt;='SOLLECITAZ NASCOSTO'!$P$12,IF(C186&lt;='SOLLECITAZ NASCOSTO'!$P$11,IF(C186&lt;='SOLLECITAZ NASCOSTO'!$P$10,IF(C186&lt;='SOLLECITAZ NASCOSTO'!$P$9,IF(C186&lt;='SOLLECITAZ NASCOSTO'!$P$8,IF(C186&lt;='SOLLECITAZ NASCOSTO'!$P$7,IF(C186&lt;='SOLLECITAZ NASCOSTO'!$P$6,IF(C186&lt;='SOLLECITAZ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paramento'!$C$111)+IF(C186&lt;='SOLLECITAZ NASCOSTO'!$P$12,IF(C186&lt;='SOLLECITAZ NASCOSTO'!$P$11,IF(C186&lt;='SOLLECITAZ NASCOSTO'!$P$10,IF(C186&lt;='SOLLECITAZ NASCOSTO'!$P$9,IF(C186&lt;='SOLLECITAZ NASCOSTO'!$P$8,IF(C186&lt;='SOLLECITAZ NASCOSTO'!$P$7,IF(C186&lt;='SOLLECITAZ NASCOSTO'!$P$6,IF(C186&lt;='SOLLECITAZ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53.223277309898634</v>
      </c>
      <c r="O187" s="41">
        <f>IF(C187&lt;='SOLLECITAZ NASCOSTO'!$P$12,IF(C187&lt;='SOLLECITAZ NASCOSTO'!$P$11,IF(C187&lt;='SOLLECITAZ NASCOSTO'!$P$10,IF(C187&lt;='SOLLECITAZ NASCOSTO'!$P$9,IF(C187&lt;='SOLLECITAZ NASCOSTO'!$P$8,IF(C187&lt;='SOLLECITAZ NASCOSTO'!$P$7,IF(C187&lt;='SOLLECITAZ NASCOSTO'!$P$6,IF(C187&lt;='SOLLECITAZ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paramento'!$G$110),55555)*(C187-C186)/IF(C187&lt;='SOLLECITAZ NASCOSTO'!$P$12,IF(C187&lt;='SOLLECITAZ NASCOSTO'!$P$11,IF(C187&lt;='SOLLECITAZ NASCOSTO'!$P$10,IF(C187&lt;='SOLLECITAZ NASCOSTO'!$P$9,IF(C187&lt;='SOLLECITAZ NASCOSTO'!$P$8,IF(C187&lt;='SOLLECITAZ NASCOSTO'!$P$7,IF(C187&lt;='SOLLECITAZ NASCOSTO'!$P$6,IF(C187&lt;='SOLLECITAZ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87" s="41">
        <f t="shared" si="57"/>
        <v>1.5399999999999968E-4</v>
      </c>
      <c r="Q187" s="41">
        <f t="shared" si="55"/>
        <v>1</v>
      </c>
      <c r="R187" s="434">
        <f t="shared" si="49"/>
        <v>1.6886287182702802</v>
      </c>
      <c r="S187" s="45">
        <f t="shared" si="56"/>
        <v>1.6886287182702802</v>
      </c>
      <c r="T187" s="205">
        <f t="shared" si="52"/>
        <v>3.3434328739906007</v>
      </c>
      <c r="U187" s="45">
        <f t="shared" si="53"/>
        <v>56.530009495265212</v>
      </c>
      <c r="V187" s="45">
        <f t="shared" si="54"/>
        <v>-38.222453179015154</v>
      </c>
      <c r="W187" s="488"/>
      <c r="X187" s="489"/>
      <c r="Y187" s="489"/>
      <c r="Z187" s="490"/>
      <c r="AA187" s="46"/>
    </row>
    <row r="188" spans="1:27" s="421" customFormat="1" x14ac:dyDescent="0.25">
      <c r="A188" s="581">
        <f t="shared" si="50"/>
        <v>0.33159088549161791</v>
      </c>
      <c r="B188" s="31">
        <f t="shared" si="40"/>
        <v>156</v>
      </c>
      <c r="C188" s="434">
        <f>'SOLLECITAZ NASCOSTO'!$D$6/'SOLLECITAZ NASCOSTO'!$B$448*'SOLLECITAZ NASCOSTO'!B188</f>
        <v>1.6995230970978303</v>
      </c>
      <c r="D188" s="434">
        <f t="shared" si="51"/>
        <v>0.45159088549161791</v>
      </c>
      <c r="E188" s="434">
        <f t="shared" si="45"/>
        <v>0.33159088549161791</v>
      </c>
      <c r="F188" s="434">
        <f t="shared" si="46"/>
        <v>0.40610908335731771</v>
      </c>
      <c r="G188" s="434">
        <f t="shared" si="47"/>
        <v>4.832549245745657E-2</v>
      </c>
      <c r="H188" s="434">
        <f t="shared" si="41"/>
        <v>0</v>
      </c>
      <c r="I188" s="434">
        <v>0</v>
      </c>
      <c r="J188" s="127">
        <f t="shared" si="42"/>
        <v>0.1189963348220337</v>
      </c>
      <c r="K188" s="126">
        <f t="shared" si="48"/>
        <v>5.3285777804294217E-3</v>
      </c>
      <c r="L188" s="41">
        <f t="shared" si="43"/>
        <v>57.11406217418925</v>
      </c>
      <c r="M188" s="41">
        <f t="shared" si="44"/>
        <v>-38.841493963151308</v>
      </c>
      <c r="N188" s="41">
        <f>(IF(C187&lt;='SOLLECITAZ NASCOSTO'!$P$12,IF(C187&lt;='SOLLECITAZ NASCOSTO'!$P$11,IF(C187&lt;='SOLLECITAZ NASCOSTO'!$P$10,IF(C187&lt;='SOLLECITAZ NASCOSTO'!$P$9,IF(C187&lt;='SOLLECITAZ NASCOSTO'!$P$8,IF(C187&lt;='SOLLECITAZ NASCOSTO'!$P$7,IF(C187&lt;='SOLLECITAZ NASCOSTO'!$P$6,IF(C187&lt;='SOLLECITAZ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paramento'!$G$111),55555)-IF(C187&lt;='SOLLECITAZ NASCOSTO'!$P$12,IF(C187&lt;='SOLLECITAZ NASCOSTO'!$P$11,IF(C187&lt;='SOLLECITAZ NASCOSTO'!$P$10,IF(C187&lt;='SOLLECITAZ NASCOSTO'!$P$9,IF(C187&lt;='SOLLECITAZ NASCOSTO'!$P$8,IF(C187&lt;='SOLLECITAZ NASCOSTO'!$P$7,IF(C187&lt;='SOLLECITAZ NASCOSTO'!$P$6,IF(C187&lt;='SOLLECITAZ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paramento'!$G$111))*(C187-IF(C187&lt;='SOLLECITAZ NASCOSTO'!$P$12,IF(C187&lt;='SOLLECITAZ NASCOSTO'!$P$11,IF(C187&lt;='SOLLECITAZ NASCOSTO'!$P$10,IF(C187&lt;='SOLLECITAZ NASCOSTO'!$P$9,IF(C187&lt;='SOLLECITAZ NASCOSTO'!$P$8,IF(C187&lt;='SOLLECITAZ NASCOSTO'!$P$7,IF(C187&lt;='SOLLECITAZ NASCOSTO'!$P$6,IF(C187&lt;='SOLLECITAZ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NASCOSTO'!$P$12))/IF(C187&lt;='SOLLECITAZ NASCOSTO'!$P$12,IF(C187&lt;='SOLLECITAZ NASCOSTO'!$P$11,IF(C187&lt;='SOLLECITAZ NASCOSTO'!$P$10,IF(C187&lt;='SOLLECITAZ NASCOSTO'!$P$9,IF(C187&lt;='SOLLECITAZ NASCOSTO'!$P$8,IF(C187&lt;='SOLLECITAZ NASCOSTO'!$P$7,IF(C187&lt;='SOLLECITAZ NASCOSTO'!$P$6,IF(C187&lt;='SOLLECITAZ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paramento'!$C$111)+IF(C187&lt;='SOLLECITAZ NASCOSTO'!$P$12,IF(C187&lt;='SOLLECITAZ NASCOSTO'!$P$11,IF(C187&lt;='SOLLECITAZ NASCOSTO'!$P$10,IF(C187&lt;='SOLLECITAZ NASCOSTO'!$P$9,IF(C187&lt;='SOLLECITAZ NASCOSTO'!$P$8,IF(C187&lt;='SOLLECITAZ NASCOSTO'!$P$7,IF(C187&lt;='SOLLECITAZ NASCOSTO'!$P$6,IF(C187&lt;='SOLLECITAZ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53.481400239348041</v>
      </c>
      <c r="O188" s="41">
        <f>IF(C188&lt;='SOLLECITAZ NASCOSTO'!$P$12,IF(C188&lt;='SOLLECITAZ NASCOSTO'!$P$11,IF(C188&lt;='SOLLECITAZ NASCOSTO'!$P$10,IF(C188&lt;='SOLLECITAZ NASCOSTO'!$P$9,IF(C188&lt;='SOLLECITAZ NASCOSTO'!$P$8,IF(C188&lt;='SOLLECITAZ NASCOSTO'!$P$7,IF(C188&lt;='SOLLECITAZ NASCOSTO'!$P$6,IF(C188&lt;='SOLLECITAZ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paramento'!$G$110),55555)*(C188-C187)/IF(C188&lt;='SOLLECITAZ NASCOSTO'!$P$12,IF(C188&lt;='SOLLECITAZ NASCOSTO'!$P$11,IF(C188&lt;='SOLLECITAZ NASCOSTO'!$P$10,IF(C188&lt;='SOLLECITAZ NASCOSTO'!$P$9,IF(C188&lt;='SOLLECITAZ NASCOSTO'!$P$8,IF(C188&lt;='SOLLECITAZ NASCOSTO'!$P$7,IF(C188&lt;='SOLLECITAZ NASCOSTO'!$P$6,IF(C188&lt;='SOLLECITAZ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88" s="41">
        <f t="shared" si="57"/>
        <v>1.5499999999999967E-4</v>
      </c>
      <c r="Q188" s="41">
        <f t="shared" si="55"/>
        <v>1</v>
      </c>
      <c r="R188" s="434">
        <f t="shared" si="49"/>
        <v>1.6995230970978303</v>
      </c>
      <c r="S188" s="45">
        <f t="shared" si="56"/>
        <v>1.6995230970978303</v>
      </c>
      <c r="T188" s="205">
        <f t="shared" si="52"/>
        <v>3.3325384951630506</v>
      </c>
      <c r="U188" s="45">
        <f t="shared" si="53"/>
        <v>57.11406217418925</v>
      </c>
      <c r="V188" s="45">
        <f t="shared" si="54"/>
        <v>-38.841493963151308</v>
      </c>
      <c r="W188" s="488"/>
      <c r="X188" s="489"/>
      <c r="Y188" s="489"/>
      <c r="Z188" s="490"/>
      <c r="AA188" s="46"/>
    </row>
    <row r="189" spans="1:27" s="421" customFormat="1" x14ac:dyDescent="0.25">
      <c r="A189" s="581">
        <f t="shared" si="50"/>
        <v>0.33316172823972706</v>
      </c>
      <c r="B189" s="31">
        <f t="shared" si="40"/>
        <v>157</v>
      </c>
      <c r="C189" s="434">
        <f>'SOLLECITAZ NASCOSTO'!$D$6/'SOLLECITAZ NASCOSTO'!$B$448*'SOLLECITAZ NASCOSTO'!B189</f>
        <v>1.7104174759253805</v>
      </c>
      <c r="D189" s="434">
        <f t="shared" si="51"/>
        <v>0.45316172823972706</v>
      </c>
      <c r="E189" s="434">
        <f t="shared" si="45"/>
        <v>0.33316172823972706</v>
      </c>
      <c r="F189" s="434">
        <f t="shared" si="46"/>
        <v>0.40661175303671265</v>
      </c>
      <c r="G189" s="434">
        <f t="shared" si="47"/>
        <v>4.8552888310594594E-2</v>
      </c>
      <c r="H189" s="434">
        <f t="shared" si="41"/>
        <v>0</v>
      </c>
      <c r="I189" s="434">
        <v>0</v>
      </c>
      <c r="J189" s="127">
        <f t="shared" si="42"/>
        <v>0.11940847245064948</v>
      </c>
      <c r="K189" s="126">
        <f t="shared" si="48"/>
        <v>5.3843766347040582E-3</v>
      </c>
      <c r="L189" s="41">
        <f t="shared" si="43"/>
        <v>57.700926942090788</v>
      </c>
      <c r="M189" s="41">
        <f t="shared" si="44"/>
        <v>-39.466912956408208</v>
      </c>
      <c r="N189" s="41">
        <f>(IF(C188&lt;='SOLLECITAZ NASCOSTO'!$P$12,IF(C188&lt;='SOLLECITAZ NASCOSTO'!$P$11,IF(C188&lt;='SOLLECITAZ NASCOSTO'!$P$10,IF(C188&lt;='SOLLECITAZ NASCOSTO'!$P$9,IF(C188&lt;='SOLLECITAZ NASCOSTO'!$P$8,IF(C188&lt;='SOLLECITAZ NASCOSTO'!$P$7,IF(C188&lt;='SOLLECITAZ NASCOSTO'!$P$6,IF(C188&lt;='SOLLECITAZ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paramento'!$G$111),55555)-IF(C188&lt;='SOLLECITAZ NASCOSTO'!$P$12,IF(C188&lt;='SOLLECITAZ NASCOSTO'!$P$11,IF(C188&lt;='SOLLECITAZ NASCOSTO'!$P$10,IF(C188&lt;='SOLLECITAZ NASCOSTO'!$P$9,IF(C188&lt;='SOLLECITAZ NASCOSTO'!$P$8,IF(C188&lt;='SOLLECITAZ NASCOSTO'!$P$7,IF(C188&lt;='SOLLECITAZ NASCOSTO'!$P$6,IF(C188&lt;='SOLLECITAZ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paramento'!$G$111))*(C188-IF(C188&lt;='SOLLECITAZ NASCOSTO'!$P$12,IF(C188&lt;='SOLLECITAZ NASCOSTO'!$P$11,IF(C188&lt;='SOLLECITAZ NASCOSTO'!$P$10,IF(C188&lt;='SOLLECITAZ NASCOSTO'!$P$9,IF(C188&lt;='SOLLECITAZ NASCOSTO'!$P$8,IF(C188&lt;='SOLLECITAZ NASCOSTO'!$P$7,IF(C188&lt;='SOLLECITAZ NASCOSTO'!$P$6,IF(C188&lt;='SOLLECITAZ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NASCOSTO'!$P$12))/IF(C188&lt;='SOLLECITAZ NASCOSTO'!$P$12,IF(C188&lt;='SOLLECITAZ NASCOSTO'!$P$11,IF(C188&lt;='SOLLECITAZ NASCOSTO'!$P$10,IF(C188&lt;='SOLLECITAZ NASCOSTO'!$P$9,IF(C188&lt;='SOLLECITAZ NASCOSTO'!$P$8,IF(C188&lt;='SOLLECITAZ NASCOSTO'!$P$7,IF(C188&lt;='SOLLECITAZ NASCOSTO'!$P$6,IF(C188&lt;='SOLLECITAZ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paramento'!$C$111)+IF(C188&lt;='SOLLECITAZ NASCOSTO'!$P$12,IF(C188&lt;='SOLLECITAZ NASCOSTO'!$P$11,IF(C188&lt;='SOLLECITAZ NASCOSTO'!$P$10,IF(C188&lt;='SOLLECITAZ NASCOSTO'!$P$9,IF(C188&lt;='SOLLECITAZ NASCOSTO'!$P$8,IF(C188&lt;='SOLLECITAZ NASCOSTO'!$P$7,IF(C188&lt;='SOLLECITAZ NASCOSTO'!$P$6,IF(C188&lt;='SOLLECITAZ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53.73952316879744</v>
      </c>
      <c r="O189" s="41">
        <f>IF(C189&lt;='SOLLECITAZ NASCOSTO'!$P$12,IF(C189&lt;='SOLLECITAZ NASCOSTO'!$P$11,IF(C189&lt;='SOLLECITAZ NASCOSTO'!$P$10,IF(C189&lt;='SOLLECITAZ NASCOSTO'!$P$9,IF(C189&lt;='SOLLECITAZ NASCOSTO'!$P$8,IF(C189&lt;='SOLLECITAZ NASCOSTO'!$P$7,IF(C189&lt;='SOLLECITAZ NASCOSTO'!$P$6,IF(C189&lt;='SOLLECITAZ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paramento'!$G$110),55555)*(C189-C188)/IF(C189&lt;='SOLLECITAZ NASCOSTO'!$P$12,IF(C189&lt;='SOLLECITAZ NASCOSTO'!$P$11,IF(C189&lt;='SOLLECITAZ NASCOSTO'!$P$10,IF(C189&lt;='SOLLECITAZ NASCOSTO'!$P$9,IF(C189&lt;='SOLLECITAZ NASCOSTO'!$P$8,IF(C189&lt;='SOLLECITAZ NASCOSTO'!$P$7,IF(C189&lt;='SOLLECITAZ NASCOSTO'!$P$6,IF(C189&lt;='SOLLECITAZ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89" s="41">
        <f t="shared" si="57"/>
        <v>1.5599999999999967E-4</v>
      </c>
      <c r="Q189" s="41">
        <f t="shared" si="55"/>
        <v>1</v>
      </c>
      <c r="R189" s="434">
        <f t="shared" si="49"/>
        <v>1.7104174759253805</v>
      </c>
      <c r="S189" s="45">
        <f t="shared" si="56"/>
        <v>1.7104174759253805</v>
      </c>
      <c r="T189" s="205">
        <f t="shared" si="52"/>
        <v>3.3216441163355004</v>
      </c>
      <c r="U189" s="45">
        <f t="shared" si="53"/>
        <v>57.700926942090788</v>
      </c>
      <c r="V189" s="45">
        <f t="shared" si="54"/>
        <v>-39.466912956408208</v>
      </c>
      <c r="W189" s="488"/>
      <c r="X189" s="489"/>
      <c r="Y189" s="489"/>
      <c r="Z189" s="490"/>
      <c r="AA189" s="46"/>
    </row>
    <row r="190" spans="1:27" s="421" customFormat="1" x14ac:dyDescent="0.25">
      <c r="A190" s="581">
        <f t="shared" si="50"/>
        <v>0.33473257098783626</v>
      </c>
      <c r="B190" s="31">
        <f t="shared" si="40"/>
        <v>158</v>
      </c>
      <c r="C190" s="434">
        <f>'SOLLECITAZ NASCOSTO'!$D$6/'SOLLECITAZ NASCOSTO'!$B$448*'SOLLECITAZ NASCOSTO'!B190</f>
        <v>1.7213118547529307</v>
      </c>
      <c r="D190" s="434">
        <f t="shared" si="51"/>
        <v>0.45473257098783626</v>
      </c>
      <c r="E190" s="434">
        <f t="shared" si="45"/>
        <v>0.33473257098783626</v>
      </c>
      <c r="F190" s="434">
        <f t="shared" si="46"/>
        <v>0.40711442271610759</v>
      </c>
      <c r="G190" s="434">
        <f t="shared" si="47"/>
        <v>4.8781073778753209E-2</v>
      </c>
      <c r="H190" s="434">
        <f t="shared" si="41"/>
        <v>0</v>
      </c>
      <c r="I190" s="434">
        <v>0</v>
      </c>
      <c r="J190" s="127">
        <f t="shared" si="42"/>
        <v>0.11982153187623527</v>
      </c>
      <c r="K190" s="126">
        <f t="shared" si="48"/>
        <v>5.4405641204185997E-3</v>
      </c>
      <c r="L190" s="41">
        <f t="shared" si="43"/>
        <v>58.290603798969819</v>
      </c>
      <c r="M190" s="41">
        <f t="shared" si="44"/>
        <v>-40.09874079474848</v>
      </c>
      <c r="N190" s="41">
        <f>(IF(C189&lt;='SOLLECITAZ NASCOSTO'!$P$12,IF(C189&lt;='SOLLECITAZ NASCOSTO'!$P$11,IF(C189&lt;='SOLLECITAZ NASCOSTO'!$P$10,IF(C189&lt;='SOLLECITAZ NASCOSTO'!$P$9,IF(C189&lt;='SOLLECITAZ NASCOSTO'!$P$8,IF(C189&lt;='SOLLECITAZ NASCOSTO'!$P$7,IF(C189&lt;='SOLLECITAZ NASCOSTO'!$P$6,IF(C189&lt;='SOLLECITAZ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paramento'!$G$111),55555)-IF(C189&lt;='SOLLECITAZ NASCOSTO'!$P$12,IF(C189&lt;='SOLLECITAZ NASCOSTO'!$P$11,IF(C189&lt;='SOLLECITAZ NASCOSTO'!$P$10,IF(C189&lt;='SOLLECITAZ NASCOSTO'!$P$9,IF(C189&lt;='SOLLECITAZ NASCOSTO'!$P$8,IF(C189&lt;='SOLLECITAZ NASCOSTO'!$P$7,IF(C189&lt;='SOLLECITAZ NASCOSTO'!$P$6,IF(C189&lt;='SOLLECITAZ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paramento'!$G$111))*(C189-IF(C189&lt;='SOLLECITAZ NASCOSTO'!$P$12,IF(C189&lt;='SOLLECITAZ NASCOSTO'!$P$11,IF(C189&lt;='SOLLECITAZ NASCOSTO'!$P$10,IF(C189&lt;='SOLLECITAZ NASCOSTO'!$P$9,IF(C189&lt;='SOLLECITAZ NASCOSTO'!$P$8,IF(C189&lt;='SOLLECITAZ NASCOSTO'!$P$7,IF(C189&lt;='SOLLECITAZ NASCOSTO'!$P$6,IF(C189&lt;='SOLLECITAZ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NASCOSTO'!$P$12))/IF(C189&lt;='SOLLECITAZ NASCOSTO'!$P$12,IF(C189&lt;='SOLLECITAZ NASCOSTO'!$P$11,IF(C189&lt;='SOLLECITAZ NASCOSTO'!$P$10,IF(C189&lt;='SOLLECITAZ NASCOSTO'!$P$9,IF(C189&lt;='SOLLECITAZ NASCOSTO'!$P$8,IF(C189&lt;='SOLLECITAZ NASCOSTO'!$P$7,IF(C189&lt;='SOLLECITAZ NASCOSTO'!$P$6,IF(C189&lt;='SOLLECITAZ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paramento'!$C$111)+IF(C189&lt;='SOLLECITAZ NASCOSTO'!$P$12,IF(C189&lt;='SOLLECITAZ NASCOSTO'!$P$11,IF(C189&lt;='SOLLECITAZ NASCOSTO'!$P$10,IF(C189&lt;='SOLLECITAZ NASCOSTO'!$P$9,IF(C189&lt;='SOLLECITAZ NASCOSTO'!$P$8,IF(C189&lt;='SOLLECITAZ NASCOSTO'!$P$7,IF(C189&lt;='SOLLECITAZ NASCOSTO'!$P$6,IF(C189&lt;='SOLLECITAZ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53.997646098246847</v>
      </c>
      <c r="O190" s="41">
        <f>IF(C190&lt;='SOLLECITAZ NASCOSTO'!$P$12,IF(C190&lt;='SOLLECITAZ NASCOSTO'!$P$11,IF(C190&lt;='SOLLECITAZ NASCOSTO'!$P$10,IF(C190&lt;='SOLLECITAZ NASCOSTO'!$P$9,IF(C190&lt;='SOLLECITAZ NASCOSTO'!$P$8,IF(C190&lt;='SOLLECITAZ NASCOSTO'!$P$7,IF(C190&lt;='SOLLECITAZ NASCOSTO'!$P$6,IF(C190&lt;='SOLLECITAZ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paramento'!$G$110),55555)*(C190-C189)/IF(C190&lt;='SOLLECITAZ NASCOSTO'!$P$12,IF(C190&lt;='SOLLECITAZ NASCOSTO'!$P$11,IF(C190&lt;='SOLLECITAZ NASCOSTO'!$P$10,IF(C190&lt;='SOLLECITAZ NASCOSTO'!$P$9,IF(C190&lt;='SOLLECITAZ NASCOSTO'!$P$8,IF(C190&lt;='SOLLECITAZ NASCOSTO'!$P$7,IF(C190&lt;='SOLLECITAZ NASCOSTO'!$P$6,IF(C190&lt;='SOLLECITAZ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90" s="41">
        <f t="shared" si="57"/>
        <v>1.5699999999999967E-4</v>
      </c>
      <c r="Q190" s="41">
        <f t="shared" si="55"/>
        <v>1</v>
      </c>
      <c r="R190" s="434">
        <f t="shared" si="49"/>
        <v>1.7213118547529307</v>
      </c>
      <c r="S190" s="45">
        <f t="shared" si="56"/>
        <v>1.7213118547529307</v>
      </c>
      <c r="T190" s="205">
        <f t="shared" si="52"/>
        <v>3.3107497375079502</v>
      </c>
      <c r="U190" s="45">
        <f t="shared" si="53"/>
        <v>58.290603798969819</v>
      </c>
      <c r="V190" s="45">
        <f t="shared" si="54"/>
        <v>-40.09874079474848</v>
      </c>
      <c r="W190" s="488"/>
      <c r="X190" s="489"/>
      <c r="Y190" s="489"/>
      <c r="Z190" s="490"/>
      <c r="AA190" s="46"/>
    </row>
    <row r="191" spans="1:27" s="421" customFormat="1" x14ac:dyDescent="0.25">
      <c r="A191" s="581">
        <f t="shared" si="50"/>
        <v>0.33630341373594541</v>
      </c>
      <c r="B191" s="31">
        <f t="shared" ref="B191:B254" si="58">B190+1</f>
        <v>159</v>
      </c>
      <c r="C191" s="434">
        <f>'SOLLECITAZ NASCOSTO'!$D$6/'SOLLECITAZ NASCOSTO'!$B$448*'SOLLECITAZ NASCOSTO'!B191</f>
        <v>1.7322062335804809</v>
      </c>
      <c r="D191" s="434">
        <f t="shared" si="51"/>
        <v>0.45630341373594541</v>
      </c>
      <c r="E191" s="434">
        <f t="shared" si="45"/>
        <v>0.33630341373594541</v>
      </c>
      <c r="F191" s="434">
        <f t="shared" si="46"/>
        <v>0.40761709239550253</v>
      </c>
      <c r="G191" s="434">
        <f t="shared" si="47"/>
        <v>4.9010048861932373E-2</v>
      </c>
      <c r="H191" s="434">
        <f t="shared" ref="H191:H254" si="59">I191*F191</f>
        <v>0</v>
      </c>
      <c r="I191" s="434">
        <v>0</v>
      </c>
      <c r="J191" s="127">
        <f t="shared" ref="J191:J254" si="60">G191/F191</f>
        <v>0.12023550968853614</v>
      </c>
      <c r="K191" s="126">
        <f t="shared" si="48"/>
        <v>5.4971412759360549E-3</v>
      </c>
      <c r="L191" s="41">
        <f t="shared" ref="L191:L254" si="61">L190+N191*(C191-C190)+O191*(C191-C190)/2</f>
        <v>58.883092744826349</v>
      </c>
      <c r="M191" s="41">
        <f t="shared" ref="M191:M254" si="62">M190-(L191+L190)*(C191-C190)/2</f>
        <v>-40.737008114134738</v>
      </c>
      <c r="N191" s="41">
        <f>(IF(C190&lt;='SOLLECITAZ NASCOSTO'!$P$12,IF(C190&lt;='SOLLECITAZ NASCOSTO'!$P$11,IF(C190&lt;='SOLLECITAZ NASCOSTO'!$P$10,IF(C190&lt;='SOLLECITAZ NASCOSTO'!$P$9,IF(C190&lt;='SOLLECITAZ NASCOSTO'!$P$8,IF(C190&lt;='SOLLECITAZ NASCOSTO'!$P$7,IF(C190&lt;='SOLLECITAZ NASCOSTO'!$P$6,IF(C190&lt;='SOLLECITAZ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paramento'!$G$111),55555)-IF(C190&lt;='SOLLECITAZ NASCOSTO'!$P$12,IF(C190&lt;='SOLLECITAZ NASCOSTO'!$P$11,IF(C190&lt;='SOLLECITAZ NASCOSTO'!$P$10,IF(C190&lt;='SOLLECITAZ NASCOSTO'!$P$9,IF(C190&lt;='SOLLECITAZ NASCOSTO'!$P$8,IF(C190&lt;='SOLLECITAZ NASCOSTO'!$P$7,IF(C190&lt;='SOLLECITAZ NASCOSTO'!$P$6,IF(C190&lt;='SOLLECITAZ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paramento'!$G$111))*(C190-IF(C190&lt;='SOLLECITAZ NASCOSTO'!$P$12,IF(C190&lt;='SOLLECITAZ NASCOSTO'!$P$11,IF(C190&lt;='SOLLECITAZ NASCOSTO'!$P$10,IF(C190&lt;='SOLLECITAZ NASCOSTO'!$P$9,IF(C190&lt;='SOLLECITAZ NASCOSTO'!$P$8,IF(C190&lt;='SOLLECITAZ NASCOSTO'!$P$7,IF(C190&lt;='SOLLECITAZ NASCOSTO'!$P$6,IF(C190&lt;='SOLLECITAZ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NASCOSTO'!$P$12))/IF(C190&lt;='SOLLECITAZ NASCOSTO'!$P$12,IF(C190&lt;='SOLLECITAZ NASCOSTO'!$P$11,IF(C190&lt;='SOLLECITAZ NASCOSTO'!$P$10,IF(C190&lt;='SOLLECITAZ NASCOSTO'!$P$9,IF(C190&lt;='SOLLECITAZ NASCOSTO'!$P$8,IF(C190&lt;='SOLLECITAZ NASCOSTO'!$P$7,IF(C190&lt;='SOLLECITAZ NASCOSTO'!$P$6,IF(C190&lt;='SOLLECITAZ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paramento'!$C$111)+IF(C190&lt;='SOLLECITAZ NASCOSTO'!$P$12,IF(C190&lt;='SOLLECITAZ NASCOSTO'!$P$11,IF(C190&lt;='SOLLECITAZ NASCOSTO'!$P$10,IF(C190&lt;='SOLLECITAZ NASCOSTO'!$P$9,IF(C190&lt;='SOLLECITAZ NASCOSTO'!$P$8,IF(C190&lt;='SOLLECITAZ NASCOSTO'!$P$7,IF(C190&lt;='SOLLECITAZ NASCOSTO'!$P$6,IF(C190&lt;='SOLLECITAZ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54.255769027696253</v>
      </c>
      <c r="O191" s="41">
        <f>IF(C191&lt;='SOLLECITAZ NASCOSTO'!$P$12,IF(C191&lt;='SOLLECITAZ NASCOSTO'!$P$11,IF(C191&lt;='SOLLECITAZ NASCOSTO'!$P$10,IF(C191&lt;='SOLLECITAZ NASCOSTO'!$P$9,IF(C191&lt;='SOLLECITAZ NASCOSTO'!$P$8,IF(C191&lt;='SOLLECITAZ NASCOSTO'!$P$7,IF(C191&lt;='SOLLECITAZ NASCOSTO'!$P$6,IF(C191&lt;='SOLLECITAZ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paramento'!$G$110),55555)*(C191-C190)/IF(C191&lt;='SOLLECITAZ NASCOSTO'!$P$12,IF(C191&lt;='SOLLECITAZ NASCOSTO'!$P$11,IF(C191&lt;='SOLLECITAZ NASCOSTO'!$P$10,IF(C191&lt;='SOLLECITAZ NASCOSTO'!$P$9,IF(C191&lt;='SOLLECITAZ NASCOSTO'!$P$8,IF(C191&lt;='SOLLECITAZ NASCOSTO'!$P$7,IF(C191&lt;='SOLLECITAZ NASCOSTO'!$P$6,IF(C191&lt;='SOLLECITAZ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91" s="41">
        <f t="shared" si="57"/>
        <v>1.5799999999999967E-4</v>
      </c>
      <c r="Q191" s="41">
        <f t="shared" si="55"/>
        <v>1</v>
      </c>
      <c r="R191" s="434">
        <f t="shared" si="49"/>
        <v>1.7322062335804809</v>
      </c>
      <c r="S191" s="45">
        <f t="shared" si="56"/>
        <v>1.7322062335804809</v>
      </c>
      <c r="T191" s="205">
        <f t="shared" si="52"/>
        <v>3.2998553586804</v>
      </c>
      <c r="U191" s="45">
        <f t="shared" si="53"/>
        <v>58.883092744826349</v>
      </c>
      <c r="V191" s="45">
        <f t="shared" si="54"/>
        <v>-40.737008114134738</v>
      </c>
      <c r="W191" s="488"/>
      <c r="X191" s="489"/>
      <c r="Y191" s="489"/>
      <c r="Z191" s="490"/>
      <c r="AA191" s="46"/>
    </row>
    <row r="192" spans="1:27" s="421" customFormat="1" x14ac:dyDescent="0.25">
      <c r="A192" s="581">
        <f t="shared" si="50"/>
        <v>0.33787425648405456</v>
      </c>
      <c r="B192" s="31">
        <f t="shared" si="58"/>
        <v>160</v>
      </c>
      <c r="C192" s="434">
        <f>'SOLLECITAZ NASCOSTO'!$D$6/'SOLLECITAZ NASCOSTO'!$B$448*'SOLLECITAZ NASCOSTO'!B192</f>
        <v>1.743100612408031</v>
      </c>
      <c r="D192" s="434">
        <f t="shared" si="51"/>
        <v>0.45787425648405455</v>
      </c>
      <c r="E192" s="434">
        <f t="shared" si="45"/>
        <v>0.33787425648405456</v>
      </c>
      <c r="F192" s="434">
        <f t="shared" si="46"/>
        <v>0.40811976207489742</v>
      </c>
      <c r="G192" s="434">
        <f t="shared" si="47"/>
        <v>4.9239813560132122E-2</v>
      </c>
      <c r="H192" s="434">
        <f t="shared" si="59"/>
        <v>0</v>
      </c>
      <c r="I192" s="434">
        <v>0</v>
      </c>
      <c r="J192" s="127">
        <f t="shared" si="60"/>
        <v>0.12065040249409857</v>
      </c>
      <c r="K192" s="126">
        <f t="shared" si="48"/>
        <v>5.5541091375591826E-3</v>
      </c>
      <c r="L192" s="41">
        <f t="shared" si="61"/>
        <v>59.478393779660379</v>
      </c>
      <c r="M192" s="41">
        <f t="shared" si="62"/>
        <v>-41.381745550529608</v>
      </c>
      <c r="N192" s="41">
        <f>(IF(C191&lt;='SOLLECITAZ NASCOSTO'!$P$12,IF(C191&lt;='SOLLECITAZ NASCOSTO'!$P$11,IF(C191&lt;='SOLLECITAZ NASCOSTO'!$P$10,IF(C191&lt;='SOLLECITAZ NASCOSTO'!$P$9,IF(C191&lt;='SOLLECITAZ NASCOSTO'!$P$8,IF(C191&lt;='SOLLECITAZ NASCOSTO'!$P$7,IF(C191&lt;='SOLLECITAZ NASCOSTO'!$P$6,IF(C191&lt;='SOLLECITAZ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paramento'!$G$111),55555)-IF(C191&lt;='SOLLECITAZ NASCOSTO'!$P$12,IF(C191&lt;='SOLLECITAZ NASCOSTO'!$P$11,IF(C191&lt;='SOLLECITAZ NASCOSTO'!$P$10,IF(C191&lt;='SOLLECITAZ NASCOSTO'!$P$9,IF(C191&lt;='SOLLECITAZ NASCOSTO'!$P$8,IF(C191&lt;='SOLLECITAZ NASCOSTO'!$P$7,IF(C191&lt;='SOLLECITAZ NASCOSTO'!$P$6,IF(C191&lt;='SOLLECITAZ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paramento'!$G$111))*(C191-IF(C191&lt;='SOLLECITAZ NASCOSTO'!$P$12,IF(C191&lt;='SOLLECITAZ NASCOSTO'!$P$11,IF(C191&lt;='SOLLECITAZ NASCOSTO'!$P$10,IF(C191&lt;='SOLLECITAZ NASCOSTO'!$P$9,IF(C191&lt;='SOLLECITAZ NASCOSTO'!$P$8,IF(C191&lt;='SOLLECITAZ NASCOSTO'!$P$7,IF(C191&lt;='SOLLECITAZ NASCOSTO'!$P$6,IF(C191&lt;='SOLLECITAZ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NASCOSTO'!$P$12))/IF(C191&lt;='SOLLECITAZ NASCOSTO'!$P$12,IF(C191&lt;='SOLLECITAZ NASCOSTO'!$P$11,IF(C191&lt;='SOLLECITAZ NASCOSTO'!$P$10,IF(C191&lt;='SOLLECITAZ NASCOSTO'!$P$9,IF(C191&lt;='SOLLECITAZ NASCOSTO'!$P$8,IF(C191&lt;='SOLLECITAZ NASCOSTO'!$P$7,IF(C191&lt;='SOLLECITAZ NASCOSTO'!$P$6,IF(C191&lt;='SOLLECITAZ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paramento'!$C$111)+IF(C191&lt;='SOLLECITAZ NASCOSTO'!$P$12,IF(C191&lt;='SOLLECITAZ NASCOSTO'!$P$11,IF(C191&lt;='SOLLECITAZ NASCOSTO'!$P$10,IF(C191&lt;='SOLLECITAZ NASCOSTO'!$P$9,IF(C191&lt;='SOLLECITAZ NASCOSTO'!$P$8,IF(C191&lt;='SOLLECITAZ NASCOSTO'!$P$7,IF(C191&lt;='SOLLECITAZ NASCOSTO'!$P$6,IF(C191&lt;='SOLLECITAZ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54.51389195714566</v>
      </c>
      <c r="O192" s="41">
        <f>IF(C192&lt;='SOLLECITAZ NASCOSTO'!$P$12,IF(C192&lt;='SOLLECITAZ NASCOSTO'!$P$11,IF(C192&lt;='SOLLECITAZ NASCOSTO'!$P$10,IF(C192&lt;='SOLLECITAZ NASCOSTO'!$P$9,IF(C192&lt;='SOLLECITAZ NASCOSTO'!$P$8,IF(C192&lt;='SOLLECITAZ NASCOSTO'!$P$7,IF(C192&lt;='SOLLECITAZ NASCOSTO'!$P$6,IF(C192&lt;='SOLLECITAZ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paramento'!$G$110),55555)*(C192-C191)/IF(C192&lt;='SOLLECITAZ NASCOSTO'!$P$12,IF(C192&lt;='SOLLECITAZ NASCOSTO'!$P$11,IF(C192&lt;='SOLLECITAZ NASCOSTO'!$P$10,IF(C192&lt;='SOLLECITAZ NASCOSTO'!$P$9,IF(C192&lt;='SOLLECITAZ NASCOSTO'!$P$8,IF(C192&lt;='SOLLECITAZ NASCOSTO'!$P$7,IF(C192&lt;='SOLLECITAZ NASCOSTO'!$P$6,IF(C192&lt;='SOLLECITAZ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92" s="41">
        <f t="shared" si="57"/>
        <v>1.5899999999999966E-4</v>
      </c>
      <c r="Q192" s="41">
        <f t="shared" si="55"/>
        <v>1</v>
      </c>
      <c r="R192" s="434">
        <f t="shared" si="49"/>
        <v>1.743100612408031</v>
      </c>
      <c r="S192" s="45">
        <f t="shared" si="56"/>
        <v>1.743100612408031</v>
      </c>
      <c r="T192" s="205">
        <f t="shared" si="52"/>
        <v>3.2889609798528499</v>
      </c>
      <c r="U192" s="45">
        <f t="shared" si="53"/>
        <v>59.478393779660379</v>
      </c>
      <c r="V192" s="45">
        <f t="shared" si="54"/>
        <v>-41.381745550529608</v>
      </c>
      <c r="W192" s="488"/>
      <c r="X192" s="489"/>
      <c r="Y192" s="489"/>
      <c r="Z192" s="490"/>
      <c r="AA192" s="46"/>
    </row>
    <row r="193" spans="1:27" s="421" customFormat="1" x14ac:dyDescent="0.25">
      <c r="A193" s="581">
        <f t="shared" si="50"/>
        <v>0.33944509923216371</v>
      </c>
      <c r="B193" s="31">
        <f t="shared" si="58"/>
        <v>161</v>
      </c>
      <c r="C193" s="434">
        <f>'SOLLECITAZ NASCOSTO'!$D$6/'SOLLECITAZ NASCOSTO'!$B$448*'SOLLECITAZ NASCOSTO'!B193</f>
        <v>1.7539949912355814</v>
      </c>
      <c r="D193" s="434">
        <f t="shared" si="51"/>
        <v>0.4594450992321637</v>
      </c>
      <c r="E193" s="434">
        <f t="shared" si="45"/>
        <v>0.33944509923216371</v>
      </c>
      <c r="F193" s="434">
        <f t="shared" si="46"/>
        <v>0.40862243175429236</v>
      </c>
      <c r="G193" s="434">
        <f t="shared" si="47"/>
        <v>4.9470367873352433E-2</v>
      </c>
      <c r="H193" s="434">
        <f t="shared" si="59"/>
        <v>0</v>
      </c>
      <c r="I193" s="434">
        <v>0</v>
      </c>
      <c r="J193" s="127">
        <f t="shared" si="60"/>
        <v>0.12106620691616686</v>
      </c>
      <c r="K193" s="126">
        <f t="shared" si="48"/>
        <v>5.6114687395431607E-3</v>
      </c>
      <c r="L193" s="41">
        <f t="shared" si="61"/>
        <v>60.076506903471923</v>
      </c>
      <c r="M193" s="41">
        <f t="shared" si="62"/>
        <v>-42.032983739895712</v>
      </c>
      <c r="N193" s="41">
        <f>(IF(C192&lt;='SOLLECITAZ NASCOSTO'!$P$12,IF(C192&lt;='SOLLECITAZ NASCOSTO'!$P$11,IF(C192&lt;='SOLLECITAZ NASCOSTO'!$P$10,IF(C192&lt;='SOLLECITAZ NASCOSTO'!$P$9,IF(C192&lt;='SOLLECITAZ NASCOSTO'!$P$8,IF(C192&lt;='SOLLECITAZ NASCOSTO'!$P$7,IF(C192&lt;='SOLLECITAZ NASCOSTO'!$P$6,IF(C192&lt;='SOLLECITAZ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paramento'!$G$111),55555)-IF(C192&lt;='SOLLECITAZ NASCOSTO'!$P$12,IF(C192&lt;='SOLLECITAZ NASCOSTO'!$P$11,IF(C192&lt;='SOLLECITAZ NASCOSTO'!$P$10,IF(C192&lt;='SOLLECITAZ NASCOSTO'!$P$9,IF(C192&lt;='SOLLECITAZ NASCOSTO'!$P$8,IF(C192&lt;='SOLLECITAZ NASCOSTO'!$P$7,IF(C192&lt;='SOLLECITAZ NASCOSTO'!$P$6,IF(C192&lt;='SOLLECITAZ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paramento'!$G$111))*(C192-IF(C192&lt;='SOLLECITAZ NASCOSTO'!$P$12,IF(C192&lt;='SOLLECITAZ NASCOSTO'!$P$11,IF(C192&lt;='SOLLECITAZ NASCOSTO'!$P$10,IF(C192&lt;='SOLLECITAZ NASCOSTO'!$P$9,IF(C192&lt;='SOLLECITAZ NASCOSTO'!$P$8,IF(C192&lt;='SOLLECITAZ NASCOSTO'!$P$7,IF(C192&lt;='SOLLECITAZ NASCOSTO'!$P$6,IF(C192&lt;='SOLLECITAZ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NASCOSTO'!$P$12))/IF(C192&lt;='SOLLECITAZ NASCOSTO'!$P$12,IF(C192&lt;='SOLLECITAZ NASCOSTO'!$P$11,IF(C192&lt;='SOLLECITAZ NASCOSTO'!$P$10,IF(C192&lt;='SOLLECITAZ NASCOSTO'!$P$9,IF(C192&lt;='SOLLECITAZ NASCOSTO'!$P$8,IF(C192&lt;='SOLLECITAZ NASCOSTO'!$P$7,IF(C192&lt;='SOLLECITAZ NASCOSTO'!$P$6,IF(C192&lt;='SOLLECITAZ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paramento'!$C$111)+IF(C192&lt;='SOLLECITAZ NASCOSTO'!$P$12,IF(C192&lt;='SOLLECITAZ NASCOSTO'!$P$11,IF(C192&lt;='SOLLECITAZ NASCOSTO'!$P$10,IF(C192&lt;='SOLLECITAZ NASCOSTO'!$P$9,IF(C192&lt;='SOLLECITAZ NASCOSTO'!$P$8,IF(C192&lt;='SOLLECITAZ NASCOSTO'!$P$7,IF(C192&lt;='SOLLECITAZ NASCOSTO'!$P$6,IF(C192&lt;='SOLLECITAZ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54.772014886595066</v>
      </c>
      <c r="O193" s="41">
        <f>IF(C193&lt;='SOLLECITAZ NASCOSTO'!$P$12,IF(C193&lt;='SOLLECITAZ NASCOSTO'!$P$11,IF(C193&lt;='SOLLECITAZ NASCOSTO'!$P$10,IF(C193&lt;='SOLLECITAZ NASCOSTO'!$P$9,IF(C193&lt;='SOLLECITAZ NASCOSTO'!$P$8,IF(C193&lt;='SOLLECITAZ NASCOSTO'!$P$7,IF(C193&lt;='SOLLECITAZ NASCOSTO'!$P$6,IF(C193&lt;='SOLLECITAZ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paramento'!$G$110),55555)*(C193-C192)/IF(C193&lt;='SOLLECITAZ NASCOSTO'!$P$12,IF(C193&lt;='SOLLECITAZ NASCOSTO'!$P$11,IF(C193&lt;='SOLLECITAZ NASCOSTO'!$P$10,IF(C193&lt;='SOLLECITAZ NASCOSTO'!$P$9,IF(C193&lt;='SOLLECITAZ NASCOSTO'!$P$8,IF(C193&lt;='SOLLECITAZ NASCOSTO'!$P$7,IF(C193&lt;='SOLLECITAZ NASCOSTO'!$P$6,IF(C193&lt;='SOLLECITAZ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0.25812292944941068</v>
      </c>
      <c r="P193" s="41">
        <f t="shared" si="57"/>
        <v>1.5999999999999966E-4</v>
      </c>
      <c r="Q193" s="41">
        <f t="shared" si="55"/>
        <v>1</v>
      </c>
      <c r="R193" s="434">
        <f t="shared" si="49"/>
        <v>1.7539949912355814</v>
      </c>
      <c r="S193" s="45">
        <f t="shared" si="56"/>
        <v>1.7539949912355814</v>
      </c>
      <c r="T193" s="205">
        <f t="shared" si="52"/>
        <v>3.2780666010252997</v>
      </c>
      <c r="U193" s="45">
        <f t="shared" si="53"/>
        <v>60.076506903471923</v>
      </c>
      <c r="V193" s="45">
        <f t="shared" si="54"/>
        <v>-42.032983739895712</v>
      </c>
      <c r="W193" s="488"/>
      <c r="X193" s="489"/>
      <c r="Y193" s="489"/>
      <c r="Z193" s="490"/>
      <c r="AA193" s="46"/>
    </row>
    <row r="194" spans="1:27" s="421" customFormat="1" x14ac:dyDescent="0.25">
      <c r="A194" s="581">
        <f t="shared" si="50"/>
        <v>0.34101594198027285</v>
      </c>
      <c r="B194" s="31">
        <f t="shared" si="58"/>
        <v>162</v>
      </c>
      <c r="C194" s="434">
        <f>'SOLLECITAZ NASCOSTO'!$D$6/'SOLLECITAZ NASCOSTO'!$B$448*'SOLLECITAZ NASCOSTO'!B194</f>
        <v>1.7648893700631316</v>
      </c>
      <c r="D194" s="434">
        <f t="shared" si="51"/>
        <v>0.46101594198027285</v>
      </c>
      <c r="E194" s="434">
        <f t="shared" si="45"/>
        <v>0.34101594198027285</v>
      </c>
      <c r="F194" s="434">
        <f t="shared" si="46"/>
        <v>0.4091251014336873</v>
      </c>
      <c r="G194" s="434">
        <f t="shared" si="47"/>
        <v>4.9701711801593329E-2</v>
      </c>
      <c r="H194" s="434">
        <f t="shared" si="59"/>
        <v>0</v>
      </c>
      <c r="I194" s="434">
        <v>0</v>
      </c>
      <c r="J194" s="127">
        <f t="shared" si="60"/>
        <v>0.12148291959458075</v>
      </c>
      <c r="K194" s="126">
        <f t="shared" si="48"/>
        <v>5.6692211141081668E-3</v>
      </c>
      <c r="L194" s="41">
        <f t="shared" si="61"/>
        <v>60.677432116260952</v>
      </c>
      <c r="M194" s="41">
        <f t="shared" si="62"/>
        <v>-42.690753318195647</v>
      </c>
      <c r="N194" s="41">
        <f>(IF(C193&lt;='SOLLECITAZ NASCOSTO'!$P$12,IF(C193&lt;='SOLLECITAZ NASCOSTO'!$P$11,IF(C193&lt;='SOLLECITAZ NASCOSTO'!$P$10,IF(C193&lt;='SOLLECITAZ NASCOSTO'!$P$9,IF(C193&lt;='SOLLECITAZ NASCOSTO'!$P$8,IF(C193&lt;='SOLLECITAZ NASCOSTO'!$P$7,IF(C193&lt;='SOLLECITAZ NASCOSTO'!$P$6,IF(C193&lt;='SOLLECITAZ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paramento'!$G$111),55555)-IF(C193&lt;='SOLLECITAZ NASCOSTO'!$P$12,IF(C193&lt;='SOLLECITAZ NASCOSTO'!$P$11,IF(C193&lt;='SOLLECITAZ NASCOSTO'!$P$10,IF(C193&lt;='SOLLECITAZ NASCOSTO'!$P$9,IF(C193&lt;='SOLLECITAZ NASCOSTO'!$P$8,IF(C193&lt;='SOLLECITAZ NASCOSTO'!$P$7,IF(C193&lt;='SOLLECITAZ NASCOSTO'!$P$6,IF(C193&lt;='SOLLECITAZ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paramento'!$G$111))*(C193-IF(C193&lt;='SOLLECITAZ NASCOSTO'!$P$12,IF(C193&lt;='SOLLECITAZ NASCOSTO'!$P$11,IF(C193&lt;='SOLLECITAZ NASCOSTO'!$P$10,IF(C193&lt;='SOLLECITAZ NASCOSTO'!$P$9,IF(C193&lt;='SOLLECITAZ NASCOSTO'!$P$8,IF(C193&lt;='SOLLECITAZ NASCOSTO'!$P$7,IF(C193&lt;='SOLLECITAZ NASCOSTO'!$P$6,IF(C193&lt;='SOLLECITAZ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NASCOSTO'!$P$12))/IF(C193&lt;='SOLLECITAZ NASCOSTO'!$P$12,IF(C193&lt;='SOLLECITAZ NASCOSTO'!$P$11,IF(C193&lt;='SOLLECITAZ NASCOSTO'!$P$10,IF(C193&lt;='SOLLECITAZ NASCOSTO'!$P$9,IF(C193&lt;='SOLLECITAZ NASCOSTO'!$P$8,IF(C193&lt;='SOLLECITAZ NASCOSTO'!$P$7,IF(C193&lt;='SOLLECITAZ NASCOSTO'!$P$6,IF(C193&lt;='SOLLECITAZ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paramento'!$C$111)+IF(C193&lt;='SOLLECITAZ NASCOSTO'!$P$12,IF(C193&lt;='SOLLECITAZ NASCOSTO'!$P$11,IF(C193&lt;='SOLLECITAZ NASCOSTO'!$P$10,IF(C193&lt;='SOLLECITAZ NASCOSTO'!$P$9,IF(C193&lt;='SOLLECITAZ NASCOSTO'!$P$8,IF(C193&lt;='SOLLECITAZ NASCOSTO'!$P$7,IF(C193&lt;='SOLLECITAZ NASCOSTO'!$P$6,IF(C193&lt;='SOLLECITAZ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55.030137816044473</v>
      </c>
      <c r="O194" s="41">
        <f>IF(C194&lt;='SOLLECITAZ NASCOSTO'!$P$12,IF(C194&lt;='SOLLECITAZ NASCOSTO'!$P$11,IF(C194&lt;='SOLLECITAZ NASCOSTO'!$P$10,IF(C194&lt;='SOLLECITAZ NASCOSTO'!$P$9,IF(C194&lt;='SOLLECITAZ NASCOSTO'!$P$8,IF(C194&lt;='SOLLECITAZ NASCOSTO'!$P$7,IF(C194&lt;='SOLLECITAZ NASCOSTO'!$P$6,IF(C194&lt;='SOLLECITAZ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paramento'!$G$110),55555)*(C194-C193)/IF(C194&lt;='SOLLECITAZ NASCOSTO'!$P$12,IF(C194&lt;='SOLLECITAZ NASCOSTO'!$P$11,IF(C194&lt;='SOLLECITAZ NASCOSTO'!$P$10,IF(C194&lt;='SOLLECITAZ NASCOSTO'!$P$9,IF(C194&lt;='SOLLECITAZ NASCOSTO'!$P$8,IF(C194&lt;='SOLLECITAZ NASCOSTO'!$P$7,IF(C194&lt;='SOLLECITAZ NASCOSTO'!$P$6,IF(C194&lt;='SOLLECITAZ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94" s="41">
        <f t="shared" si="57"/>
        <v>1.6099999999999966E-4</v>
      </c>
      <c r="Q194" s="41">
        <f t="shared" si="55"/>
        <v>1</v>
      </c>
      <c r="R194" s="434">
        <f t="shared" si="49"/>
        <v>1.7648893700631316</v>
      </c>
      <c r="S194" s="45">
        <f t="shared" si="56"/>
        <v>1.7648893700631316</v>
      </c>
      <c r="T194" s="205">
        <f t="shared" si="52"/>
        <v>3.2671722221977495</v>
      </c>
      <c r="U194" s="45">
        <f t="shared" si="53"/>
        <v>60.677432116260952</v>
      </c>
      <c r="V194" s="45">
        <f t="shared" si="54"/>
        <v>-42.690753318195647</v>
      </c>
      <c r="W194" s="488"/>
      <c r="X194" s="489"/>
      <c r="Y194" s="489"/>
      <c r="Z194" s="490"/>
      <c r="AA194" s="46"/>
    </row>
    <row r="195" spans="1:27" s="421" customFormat="1" x14ac:dyDescent="0.25">
      <c r="A195" s="581">
        <f t="shared" si="50"/>
        <v>0.342586784728382</v>
      </c>
      <c r="B195" s="31">
        <f t="shared" si="58"/>
        <v>163</v>
      </c>
      <c r="C195" s="434">
        <f>'SOLLECITAZ NASCOSTO'!$D$6/'SOLLECITAZ NASCOSTO'!$B$448*'SOLLECITAZ NASCOSTO'!B195</f>
        <v>1.7757837488906818</v>
      </c>
      <c r="D195" s="434">
        <f t="shared" si="51"/>
        <v>0.46258678472838199</v>
      </c>
      <c r="E195" s="434">
        <f t="shared" si="45"/>
        <v>0.342586784728382</v>
      </c>
      <c r="F195" s="434">
        <f t="shared" si="46"/>
        <v>0.40962777111308224</v>
      </c>
      <c r="G195" s="434">
        <f t="shared" si="47"/>
        <v>4.9933845344854788E-2</v>
      </c>
      <c r="H195" s="434">
        <f t="shared" si="59"/>
        <v>0</v>
      </c>
      <c r="I195" s="434">
        <v>0</v>
      </c>
      <c r="J195" s="127">
        <f t="shared" si="60"/>
        <v>0.12190053718567338</v>
      </c>
      <c r="K195" s="126">
        <f t="shared" si="48"/>
        <v>5.7273672914518493E-3</v>
      </c>
      <c r="L195" s="41">
        <f t="shared" si="61"/>
        <v>61.281169418027481</v>
      </c>
      <c r="M195" s="41">
        <f t="shared" si="62"/>
        <v>-43.355084921392034</v>
      </c>
      <c r="N195" s="41">
        <f>(IF(C194&lt;='SOLLECITAZ NASCOSTO'!$P$12,IF(C194&lt;='SOLLECITAZ NASCOSTO'!$P$11,IF(C194&lt;='SOLLECITAZ NASCOSTO'!$P$10,IF(C194&lt;='SOLLECITAZ NASCOSTO'!$P$9,IF(C194&lt;='SOLLECITAZ NASCOSTO'!$P$8,IF(C194&lt;='SOLLECITAZ NASCOSTO'!$P$7,IF(C194&lt;='SOLLECITAZ NASCOSTO'!$P$6,IF(C194&lt;='SOLLECITAZ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paramento'!$G$111),55555)-IF(C194&lt;='SOLLECITAZ NASCOSTO'!$P$12,IF(C194&lt;='SOLLECITAZ NASCOSTO'!$P$11,IF(C194&lt;='SOLLECITAZ NASCOSTO'!$P$10,IF(C194&lt;='SOLLECITAZ NASCOSTO'!$P$9,IF(C194&lt;='SOLLECITAZ NASCOSTO'!$P$8,IF(C194&lt;='SOLLECITAZ NASCOSTO'!$P$7,IF(C194&lt;='SOLLECITAZ NASCOSTO'!$P$6,IF(C194&lt;='SOLLECITAZ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paramento'!$G$111))*(C194-IF(C194&lt;='SOLLECITAZ NASCOSTO'!$P$12,IF(C194&lt;='SOLLECITAZ NASCOSTO'!$P$11,IF(C194&lt;='SOLLECITAZ NASCOSTO'!$P$10,IF(C194&lt;='SOLLECITAZ NASCOSTO'!$P$9,IF(C194&lt;='SOLLECITAZ NASCOSTO'!$P$8,IF(C194&lt;='SOLLECITAZ NASCOSTO'!$P$7,IF(C194&lt;='SOLLECITAZ NASCOSTO'!$P$6,IF(C194&lt;='SOLLECITAZ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NASCOSTO'!$P$12))/IF(C194&lt;='SOLLECITAZ NASCOSTO'!$P$12,IF(C194&lt;='SOLLECITAZ NASCOSTO'!$P$11,IF(C194&lt;='SOLLECITAZ NASCOSTO'!$P$10,IF(C194&lt;='SOLLECITAZ NASCOSTO'!$P$9,IF(C194&lt;='SOLLECITAZ NASCOSTO'!$P$8,IF(C194&lt;='SOLLECITAZ NASCOSTO'!$P$7,IF(C194&lt;='SOLLECITAZ NASCOSTO'!$P$6,IF(C194&lt;='SOLLECITAZ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paramento'!$C$111)+IF(C194&lt;='SOLLECITAZ NASCOSTO'!$P$12,IF(C194&lt;='SOLLECITAZ NASCOSTO'!$P$11,IF(C194&lt;='SOLLECITAZ NASCOSTO'!$P$10,IF(C194&lt;='SOLLECITAZ NASCOSTO'!$P$9,IF(C194&lt;='SOLLECITAZ NASCOSTO'!$P$8,IF(C194&lt;='SOLLECITAZ NASCOSTO'!$P$7,IF(C194&lt;='SOLLECITAZ NASCOSTO'!$P$6,IF(C194&lt;='SOLLECITAZ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55.288260745493879</v>
      </c>
      <c r="O195" s="41">
        <f>IF(C195&lt;='SOLLECITAZ NASCOSTO'!$P$12,IF(C195&lt;='SOLLECITAZ NASCOSTO'!$P$11,IF(C195&lt;='SOLLECITAZ NASCOSTO'!$P$10,IF(C195&lt;='SOLLECITAZ NASCOSTO'!$P$9,IF(C195&lt;='SOLLECITAZ NASCOSTO'!$P$8,IF(C195&lt;='SOLLECITAZ NASCOSTO'!$P$7,IF(C195&lt;='SOLLECITAZ NASCOSTO'!$P$6,IF(C195&lt;='SOLLECITAZ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paramento'!$G$110),55555)*(C195-C194)/IF(C195&lt;='SOLLECITAZ NASCOSTO'!$P$12,IF(C195&lt;='SOLLECITAZ NASCOSTO'!$P$11,IF(C195&lt;='SOLLECITAZ NASCOSTO'!$P$10,IF(C195&lt;='SOLLECITAZ NASCOSTO'!$P$9,IF(C195&lt;='SOLLECITAZ NASCOSTO'!$P$8,IF(C195&lt;='SOLLECITAZ NASCOSTO'!$P$7,IF(C195&lt;='SOLLECITAZ NASCOSTO'!$P$6,IF(C195&lt;='SOLLECITAZ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95" s="41">
        <f t="shared" si="57"/>
        <v>1.6199999999999966E-4</v>
      </c>
      <c r="Q195" s="41">
        <f t="shared" si="55"/>
        <v>1</v>
      </c>
      <c r="R195" s="434">
        <f t="shared" si="49"/>
        <v>1.7757837488906818</v>
      </c>
      <c r="S195" s="45">
        <f t="shared" si="56"/>
        <v>1.7757837488906818</v>
      </c>
      <c r="T195" s="205">
        <f t="shared" si="52"/>
        <v>3.2562778433701993</v>
      </c>
      <c r="U195" s="45">
        <f t="shared" si="53"/>
        <v>61.281169418027481</v>
      </c>
      <c r="V195" s="45">
        <f t="shared" si="54"/>
        <v>-43.355084921392034</v>
      </c>
      <c r="W195" s="488"/>
      <c r="X195" s="489"/>
      <c r="Y195" s="489"/>
      <c r="Z195" s="490"/>
      <c r="AA195" s="46"/>
    </row>
    <row r="196" spans="1:27" s="421" customFormat="1" x14ac:dyDescent="0.25">
      <c r="A196" s="581">
        <f t="shared" si="50"/>
        <v>0.34415762747649126</v>
      </c>
      <c r="B196" s="31">
        <f t="shared" si="58"/>
        <v>164</v>
      </c>
      <c r="C196" s="434">
        <f>'SOLLECITAZ NASCOSTO'!$D$6/'SOLLECITAZ NASCOSTO'!$B$448*'SOLLECITAZ NASCOSTO'!B196</f>
        <v>1.786678127718232</v>
      </c>
      <c r="D196" s="434">
        <f t="shared" si="51"/>
        <v>0.46415762747649125</v>
      </c>
      <c r="E196" s="434">
        <f t="shared" si="45"/>
        <v>0.34415762747649126</v>
      </c>
      <c r="F196" s="434">
        <f t="shared" si="46"/>
        <v>0.41013044079247718</v>
      </c>
      <c r="G196" s="434">
        <f t="shared" si="47"/>
        <v>5.0166768503136838E-2</v>
      </c>
      <c r="H196" s="434">
        <f t="shared" si="59"/>
        <v>0</v>
      </c>
      <c r="I196" s="434">
        <v>0</v>
      </c>
      <c r="J196" s="127">
        <f t="shared" si="60"/>
        <v>0.12231905636217048</v>
      </c>
      <c r="K196" s="126">
        <f t="shared" si="48"/>
        <v>5.7859082997617512E-3</v>
      </c>
      <c r="L196" s="41">
        <f t="shared" si="61"/>
        <v>61.88771880877151</v>
      </c>
      <c r="M196" s="41">
        <f t="shared" si="62"/>
        <v>-44.026009185447499</v>
      </c>
      <c r="N196" s="41">
        <f>(IF(C195&lt;='SOLLECITAZ NASCOSTO'!$P$12,IF(C195&lt;='SOLLECITAZ NASCOSTO'!$P$11,IF(C195&lt;='SOLLECITAZ NASCOSTO'!$P$10,IF(C195&lt;='SOLLECITAZ NASCOSTO'!$P$9,IF(C195&lt;='SOLLECITAZ NASCOSTO'!$P$8,IF(C195&lt;='SOLLECITAZ NASCOSTO'!$P$7,IF(C195&lt;='SOLLECITAZ NASCOSTO'!$P$6,IF(C195&lt;='SOLLECITAZ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paramento'!$G$111),55555)-IF(C195&lt;='SOLLECITAZ NASCOSTO'!$P$12,IF(C195&lt;='SOLLECITAZ NASCOSTO'!$P$11,IF(C195&lt;='SOLLECITAZ NASCOSTO'!$P$10,IF(C195&lt;='SOLLECITAZ NASCOSTO'!$P$9,IF(C195&lt;='SOLLECITAZ NASCOSTO'!$P$8,IF(C195&lt;='SOLLECITAZ NASCOSTO'!$P$7,IF(C195&lt;='SOLLECITAZ NASCOSTO'!$P$6,IF(C195&lt;='SOLLECITAZ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paramento'!$G$111))*(C195-IF(C195&lt;='SOLLECITAZ NASCOSTO'!$P$12,IF(C195&lt;='SOLLECITAZ NASCOSTO'!$P$11,IF(C195&lt;='SOLLECITAZ NASCOSTO'!$P$10,IF(C195&lt;='SOLLECITAZ NASCOSTO'!$P$9,IF(C195&lt;='SOLLECITAZ NASCOSTO'!$P$8,IF(C195&lt;='SOLLECITAZ NASCOSTO'!$P$7,IF(C195&lt;='SOLLECITAZ NASCOSTO'!$P$6,IF(C195&lt;='SOLLECITAZ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NASCOSTO'!$P$12))/IF(C195&lt;='SOLLECITAZ NASCOSTO'!$P$12,IF(C195&lt;='SOLLECITAZ NASCOSTO'!$P$11,IF(C195&lt;='SOLLECITAZ NASCOSTO'!$P$10,IF(C195&lt;='SOLLECITAZ NASCOSTO'!$P$9,IF(C195&lt;='SOLLECITAZ NASCOSTO'!$P$8,IF(C195&lt;='SOLLECITAZ NASCOSTO'!$P$7,IF(C195&lt;='SOLLECITAZ NASCOSTO'!$P$6,IF(C195&lt;='SOLLECITAZ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paramento'!$C$111)+IF(C195&lt;='SOLLECITAZ NASCOSTO'!$P$12,IF(C195&lt;='SOLLECITAZ NASCOSTO'!$P$11,IF(C195&lt;='SOLLECITAZ NASCOSTO'!$P$10,IF(C195&lt;='SOLLECITAZ NASCOSTO'!$P$9,IF(C195&lt;='SOLLECITAZ NASCOSTO'!$P$8,IF(C195&lt;='SOLLECITAZ NASCOSTO'!$P$7,IF(C195&lt;='SOLLECITAZ NASCOSTO'!$P$6,IF(C195&lt;='SOLLECITAZ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55.546383674943286</v>
      </c>
      <c r="O196" s="41">
        <f>IF(C196&lt;='SOLLECITAZ NASCOSTO'!$P$12,IF(C196&lt;='SOLLECITAZ NASCOSTO'!$P$11,IF(C196&lt;='SOLLECITAZ NASCOSTO'!$P$10,IF(C196&lt;='SOLLECITAZ NASCOSTO'!$P$9,IF(C196&lt;='SOLLECITAZ NASCOSTO'!$P$8,IF(C196&lt;='SOLLECITAZ NASCOSTO'!$P$7,IF(C196&lt;='SOLLECITAZ NASCOSTO'!$P$6,IF(C196&lt;='SOLLECITAZ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paramento'!$G$110),55555)*(C196-C195)/IF(C196&lt;='SOLLECITAZ NASCOSTO'!$P$12,IF(C196&lt;='SOLLECITAZ NASCOSTO'!$P$11,IF(C196&lt;='SOLLECITAZ NASCOSTO'!$P$10,IF(C196&lt;='SOLLECITAZ NASCOSTO'!$P$9,IF(C196&lt;='SOLLECITAZ NASCOSTO'!$P$8,IF(C196&lt;='SOLLECITAZ NASCOSTO'!$P$7,IF(C196&lt;='SOLLECITAZ NASCOSTO'!$P$6,IF(C196&lt;='SOLLECITAZ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96" s="41">
        <f t="shared" si="57"/>
        <v>1.6299999999999965E-4</v>
      </c>
      <c r="Q196" s="41">
        <f t="shared" si="55"/>
        <v>1</v>
      </c>
      <c r="R196" s="434">
        <f t="shared" si="49"/>
        <v>1.786678127718232</v>
      </c>
      <c r="S196" s="45">
        <f t="shared" si="56"/>
        <v>1.786678127718232</v>
      </c>
      <c r="T196" s="205">
        <f t="shared" si="52"/>
        <v>3.2453834645426491</v>
      </c>
      <c r="U196" s="45">
        <f t="shared" si="53"/>
        <v>61.88771880877151</v>
      </c>
      <c r="V196" s="45">
        <f t="shared" si="54"/>
        <v>-44.026009185447499</v>
      </c>
      <c r="W196" s="488"/>
      <c r="X196" s="489"/>
      <c r="Y196" s="489"/>
      <c r="Z196" s="490"/>
      <c r="AA196" s="46"/>
    </row>
    <row r="197" spans="1:27" s="421" customFormat="1" x14ac:dyDescent="0.25">
      <c r="A197" s="581">
        <f t="shared" si="50"/>
        <v>0.3457284702246004</v>
      </c>
      <c r="B197" s="31">
        <f t="shared" si="58"/>
        <v>165</v>
      </c>
      <c r="C197" s="434">
        <f>'SOLLECITAZ NASCOSTO'!$D$6/'SOLLECITAZ NASCOSTO'!$B$448*'SOLLECITAZ NASCOSTO'!B197</f>
        <v>1.7975725065457822</v>
      </c>
      <c r="D197" s="434">
        <f t="shared" si="51"/>
        <v>0.4657284702246004</v>
      </c>
      <c r="E197" s="434">
        <f t="shared" si="45"/>
        <v>0.3457284702246004</v>
      </c>
      <c r="F197" s="434">
        <f t="shared" si="46"/>
        <v>0.41063311047187212</v>
      </c>
      <c r="G197" s="434">
        <f t="shared" si="47"/>
        <v>5.0400481276439438E-2</v>
      </c>
      <c r="H197" s="434">
        <f t="shared" si="59"/>
        <v>0</v>
      </c>
      <c r="I197" s="434">
        <v>0</v>
      </c>
      <c r="J197" s="127">
        <f t="shared" si="60"/>
        <v>0.12273847381308968</v>
      </c>
      <c r="K197" s="126">
        <f t="shared" si="48"/>
        <v>5.8448451652275725E-3</v>
      </c>
      <c r="L197" s="41">
        <f t="shared" si="61"/>
        <v>62.497080288493038</v>
      </c>
      <c r="M197" s="41">
        <f t="shared" si="62"/>
        <v>-44.703556746324658</v>
      </c>
      <c r="N197" s="41">
        <f>(IF(C196&lt;='SOLLECITAZ NASCOSTO'!$P$12,IF(C196&lt;='SOLLECITAZ NASCOSTO'!$P$11,IF(C196&lt;='SOLLECITAZ NASCOSTO'!$P$10,IF(C196&lt;='SOLLECITAZ NASCOSTO'!$P$9,IF(C196&lt;='SOLLECITAZ NASCOSTO'!$P$8,IF(C196&lt;='SOLLECITAZ NASCOSTO'!$P$7,IF(C196&lt;='SOLLECITAZ NASCOSTO'!$P$6,IF(C196&lt;='SOLLECITAZ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paramento'!$G$111),55555)-IF(C196&lt;='SOLLECITAZ NASCOSTO'!$P$12,IF(C196&lt;='SOLLECITAZ NASCOSTO'!$P$11,IF(C196&lt;='SOLLECITAZ NASCOSTO'!$P$10,IF(C196&lt;='SOLLECITAZ NASCOSTO'!$P$9,IF(C196&lt;='SOLLECITAZ NASCOSTO'!$P$8,IF(C196&lt;='SOLLECITAZ NASCOSTO'!$P$7,IF(C196&lt;='SOLLECITAZ NASCOSTO'!$P$6,IF(C196&lt;='SOLLECITAZ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paramento'!$G$111))*(C196-IF(C196&lt;='SOLLECITAZ NASCOSTO'!$P$12,IF(C196&lt;='SOLLECITAZ NASCOSTO'!$P$11,IF(C196&lt;='SOLLECITAZ NASCOSTO'!$P$10,IF(C196&lt;='SOLLECITAZ NASCOSTO'!$P$9,IF(C196&lt;='SOLLECITAZ NASCOSTO'!$P$8,IF(C196&lt;='SOLLECITAZ NASCOSTO'!$P$7,IF(C196&lt;='SOLLECITAZ NASCOSTO'!$P$6,IF(C196&lt;='SOLLECITAZ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NASCOSTO'!$P$12))/IF(C196&lt;='SOLLECITAZ NASCOSTO'!$P$12,IF(C196&lt;='SOLLECITAZ NASCOSTO'!$P$11,IF(C196&lt;='SOLLECITAZ NASCOSTO'!$P$10,IF(C196&lt;='SOLLECITAZ NASCOSTO'!$P$9,IF(C196&lt;='SOLLECITAZ NASCOSTO'!$P$8,IF(C196&lt;='SOLLECITAZ NASCOSTO'!$P$7,IF(C196&lt;='SOLLECITAZ NASCOSTO'!$P$6,IF(C196&lt;='SOLLECITAZ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paramento'!$C$111)+IF(C196&lt;='SOLLECITAZ NASCOSTO'!$P$12,IF(C196&lt;='SOLLECITAZ NASCOSTO'!$P$11,IF(C196&lt;='SOLLECITAZ NASCOSTO'!$P$10,IF(C196&lt;='SOLLECITAZ NASCOSTO'!$P$9,IF(C196&lt;='SOLLECITAZ NASCOSTO'!$P$8,IF(C196&lt;='SOLLECITAZ NASCOSTO'!$P$7,IF(C196&lt;='SOLLECITAZ NASCOSTO'!$P$6,IF(C196&lt;='SOLLECITAZ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55.804506604392692</v>
      </c>
      <c r="O197" s="41">
        <f>IF(C197&lt;='SOLLECITAZ NASCOSTO'!$P$12,IF(C197&lt;='SOLLECITAZ NASCOSTO'!$P$11,IF(C197&lt;='SOLLECITAZ NASCOSTO'!$P$10,IF(C197&lt;='SOLLECITAZ NASCOSTO'!$P$9,IF(C197&lt;='SOLLECITAZ NASCOSTO'!$P$8,IF(C197&lt;='SOLLECITAZ NASCOSTO'!$P$7,IF(C197&lt;='SOLLECITAZ NASCOSTO'!$P$6,IF(C197&lt;='SOLLECITAZ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paramento'!$G$110),55555)*(C197-C196)/IF(C197&lt;='SOLLECITAZ NASCOSTO'!$P$12,IF(C197&lt;='SOLLECITAZ NASCOSTO'!$P$11,IF(C197&lt;='SOLLECITAZ NASCOSTO'!$P$10,IF(C197&lt;='SOLLECITAZ NASCOSTO'!$P$9,IF(C197&lt;='SOLLECITAZ NASCOSTO'!$P$8,IF(C197&lt;='SOLLECITAZ NASCOSTO'!$P$7,IF(C197&lt;='SOLLECITAZ NASCOSTO'!$P$6,IF(C197&lt;='SOLLECITAZ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97" s="41">
        <f t="shared" si="57"/>
        <v>1.6399999999999965E-4</v>
      </c>
      <c r="Q197" s="41">
        <f t="shared" si="55"/>
        <v>1</v>
      </c>
      <c r="R197" s="434">
        <f t="shared" si="49"/>
        <v>1.7975725065457822</v>
      </c>
      <c r="S197" s="45">
        <f t="shared" si="56"/>
        <v>1.7975725065457822</v>
      </c>
      <c r="T197" s="205">
        <f t="shared" si="52"/>
        <v>3.234489085715099</v>
      </c>
      <c r="U197" s="45">
        <f t="shared" si="53"/>
        <v>62.497080288493038</v>
      </c>
      <c r="V197" s="45">
        <f t="shared" si="54"/>
        <v>-44.703556746324658</v>
      </c>
      <c r="W197" s="488"/>
      <c r="X197" s="489"/>
      <c r="Y197" s="489"/>
      <c r="Z197" s="490"/>
      <c r="AA197" s="46"/>
    </row>
    <row r="198" spans="1:27" s="421" customFormat="1" x14ac:dyDescent="0.25">
      <c r="A198" s="581">
        <f t="shared" si="50"/>
        <v>0.34729931297270955</v>
      </c>
      <c r="B198" s="31">
        <f t="shared" si="58"/>
        <v>166</v>
      </c>
      <c r="C198" s="434">
        <f>'SOLLECITAZ NASCOSTO'!$D$6/'SOLLECITAZ NASCOSTO'!$B$448*'SOLLECITAZ NASCOSTO'!B198</f>
        <v>1.8084668853733323</v>
      </c>
      <c r="D198" s="434">
        <f t="shared" si="51"/>
        <v>0.46729931297270955</v>
      </c>
      <c r="E198" s="434">
        <f t="shared" si="45"/>
        <v>0.34729931297270955</v>
      </c>
      <c r="F198" s="434">
        <f t="shared" si="46"/>
        <v>0.41113578015126706</v>
      </c>
      <c r="G198" s="434">
        <f t="shared" si="47"/>
        <v>5.0634983664762614E-2</v>
      </c>
      <c r="H198" s="434">
        <f t="shared" si="59"/>
        <v>0</v>
      </c>
      <c r="I198" s="434">
        <v>0</v>
      </c>
      <c r="J198" s="127">
        <f t="shared" si="60"/>
        <v>0.12315878624364132</v>
      </c>
      <c r="K198" s="126">
        <f t="shared" si="48"/>
        <v>5.9041789120534262E-3</v>
      </c>
      <c r="L198" s="41">
        <f t="shared" si="61"/>
        <v>63.109253857192066</v>
      </c>
      <c r="M198" s="41">
        <f t="shared" si="62"/>
        <v>-45.387758239986127</v>
      </c>
      <c r="N198" s="41">
        <f>(IF(C197&lt;='SOLLECITAZ NASCOSTO'!$P$12,IF(C197&lt;='SOLLECITAZ NASCOSTO'!$P$11,IF(C197&lt;='SOLLECITAZ NASCOSTO'!$P$10,IF(C197&lt;='SOLLECITAZ NASCOSTO'!$P$9,IF(C197&lt;='SOLLECITAZ NASCOSTO'!$P$8,IF(C197&lt;='SOLLECITAZ NASCOSTO'!$P$7,IF(C197&lt;='SOLLECITAZ NASCOSTO'!$P$6,IF(C197&lt;='SOLLECITAZ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paramento'!$G$111),55555)-IF(C197&lt;='SOLLECITAZ NASCOSTO'!$P$12,IF(C197&lt;='SOLLECITAZ NASCOSTO'!$P$11,IF(C197&lt;='SOLLECITAZ NASCOSTO'!$P$10,IF(C197&lt;='SOLLECITAZ NASCOSTO'!$P$9,IF(C197&lt;='SOLLECITAZ NASCOSTO'!$P$8,IF(C197&lt;='SOLLECITAZ NASCOSTO'!$P$7,IF(C197&lt;='SOLLECITAZ NASCOSTO'!$P$6,IF(C197&lt;='SOLLECITAZ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paramento'!$G$111))*(C197-IF(C197&lt;='SOLLECITAZ NASCOSTO'!$P$12,IF(C197&lt;='SOLLECITAZ NASCOSTO'!$P$11,IF(C197&lt;='SOLLECITAZ NASCOSTO'!$P$10,IF(C197&lt;='SOLLECITAZ NASCOSTO'!$P$9,IF(C197&lt;='SOLLECITAZ NASCOSTO'!$P$8,IF(C197&lt;='SOLLECITAZ NASCOSTO'!$P$7,IF(C197&lt;='SOLLECITAZ NASCOSTO'!$P$6,IF(C197&lt;='SOLLECITAZ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NASCOSTO'!$P$12))/IF(C197&lt;='SOLLECITAZ NASCOSTO'!$P$12,IF(C197&lt;='SOLLECITAZ NASCOSTO'!$P$11,IF(C197&lt;='SOLLECITAZ NASCOSTO'!$P$10,IF(C197&lt;='SOLLECITAZ NASCOSTO'!$P$9,IF(C197&lt;='SOLLECITAZ NASCOSTO'!$P$8,IF(C197&lt;='SOLLECITAZ NASCOSTO'!$P$7,IF(C197&lt;='SOLLECITAZ NASCOSTO'!$P$6,IF(C197&lt;='SOLLECITAZ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paramento'!$C$111)+IF(C197&lt;='SOLLECITAZ NASCOSTO'!$P$12,IF(C197&lt;='SOLLECITAZ NASCOSTO'!$P$11,IF(C197&lt;='SOLLECITAZ NASCOSTO'!$P$10,IF(C197&lt;='SOLLECITAZ NASCOSTO'!$P$9,IF(C197&lt;='SOLLECITAZ NASCOSTO'!$P$8,IF(C197&lt;='SOLLECITAZ NASCOSTO'!$P$7,IF(C197&lt;='SOLLECITAZ NASCOSTO'!$P$6,IF(C197&lt;='SOLLECITAZ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56.062629533842099</v>
      </c>
      <c r="O198" s="41">
        <f>IF(C198&lt;='SOLLECITAZ NASCOSTO'!$P$12,IF(C198&lt;='SOLLECITAZ NASCOSTO'!$P$11,IF(C198&lt;='SOLLECITAZ NASCOSTO'!$P$10,IF(C198&lt;='SOLLECITAZ NASCOSTO'!$P$9,IF(C198&lt;='SOLLECITAZ NASCOSTO'!$P$8,IF(C198&lt;='SOLLECITAZ NASCOSTO'!$P$7,IF(C198&lt;='SOLLECITAZ NASCOSTO'!$P$6,IF(C198&lt;='SOLLECITAZ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paramento'!$G$110),55555)*(C198-C197)/IF(C198&lt;='SOLLECITAZ NASCOSTO'!$P$12,IF(C198&lt;='SOLLECITAZ NASCOSTO'!$P$11,IF(C198&lt;='SOLLECITAZ NASCOSTO'!$P$10,IF(C198&lt;='SOLLECITAZ NASCOSTO'!$P$9,IF(C198&lt;='SOLLECITAZ NASCOSTO'!$P$8,IF(C198&lt;='SOLLECITAZ NASCOSTO'!$P$7,IF(C198&lt;='SOLLECITAZ NASCOSTO'!$P$6,IF(C198&lt;='SOLLECITAZ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98" s="41">
        <f t="shared" si="57"/>
        <v>1.6499999999999965E-4</v>
      </c>
      <c r="Q198" s="41">
        <f t="shared" si="55"/>
        <v>1</v>
      </c>
      <c r="R198" s="434">
        <f t="shared" si="49"/>
        <v>1.8084668853733323</v>
      </c>
      <c r="S198" s="45">
        <f t="shared" si="56"/>
        <v>1.8084668853733323</v>
      </c>
      <c r="T198" s="205">
        <f t="shared" si="52"/>
        <v>3.2235947068875488</v>
      </c>
      <c r="U198" s="45">
        <f t="shared" si="53"/>
        <v>63.109253857192066</v>
      </c>
      <c r="V198" s="45">
        <f t="shared" si="54"/>
        <v>-45.387758239986127</v>
      </c>
      <c r="W198" s="488"/>
      <c r="X198" s="489"/>
      <c r="Y198" s="489"/>
      <c r="Z198" s="490"/>
      <c r="AA198" s="46"/>
    </row>
    <row r="199" spans="1:27" s="421" customFormat="1" x14ac:dyDescent="0.25">
      <c r="A199" s="581">
        <f t="shared" si="50"/>
        <v>0.3488701557208187</v>
      </c>
      <c r="B199" s="31">
        <f t="shared" si="58"/>
        <v>167</v>
      </c>
      <c r="C199" s="434">
        <f>'SOLLECITAZ NASCOSTO'!$D$6/'SOLLECITAZ NASCOSTO'!$B$448*'SOLLECITAZ NASCOSTO'!B199</f>
        <v>1.8193612642008825</v>
      </c>
      <c r="D199" s="434">
        <f t="shared" si="51"/>
        <v>0.46887015572081869</v>
      </c>
      <c r="E199" s="434">
        <f t="shared" si="45"/>
        <v>0.3488701557208187</v>
      </c>
      <c r="F199" s="434">
        <f t="shared" si="46"/>
        <v>0.411638449830662</v>
      </c>
      <c r="G199" s="434">
        <f t="shared" si="47"/>
        <v>5.0870275668106368E-2</v>
      </c>
      <c r="H199" s="434">
        <f t="shared" si="59"/>
        <v>0</v>
      </c>
      <c r="I199" s="434">
        <v>0</v>
      </c>
      <c r="J199" s="127">
        <f t="shared" si="60"/>
        <v>0.12357999037512933</v>
      </c>
      <c r="K199" s="126">
        <f t="shared" si="48"/>
        <v>5.9639105624699302E-3</v>
      </c>
      <c r="L199" s="41">
        <f t="shared" si="61"/>
        <v>63.724239514868586</v>
      </c>
      <c r="M199" s="41">
        <f t="shared" si="62"/>
        <v>-46.07864430239453</v>
      </c>
      <c r="N199" s="41">
        <f>(IF(C198&lt;='SOLLECITAZ NASCOSTO'!$P$12,IF(C198&lt;='SOLLECITAZ NASCOSTO'!$P$11,IF(C198&lt;='SOLLECITAZ NASCOSTO'!$P$10,IF(C198&lt;='SOLLECITAZ NASCOSTO'!$P$9,IF(C198&lt;='SOLLECITAZ NASCOSTO'!$P$8,IF(C198&lt;='SOLLECITAZ NASCOSTO'!$P$7,IF(C198&lt;='SOLLECITAZ NASCOSTO'!$P$6,IF(C198&lt;='SOLLECITAZ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paramento'!$G$111),55555)-IF(C198&lt;='SOLLECITAZ NASCOSTO'!$P$12,IF(C198&lt;='SOLLECITAZ NASCOSTO'!$P$11,IF(C198&lt;='SOLLECITAZ NASCOSTO'!$P$10,IF(C198&lt;='SOLLECITAZ NASCOSTO'!$P$9,IF(C198&lt;='SOLLECITAZ NASCOSTO'!$P$8,IF(C198&lt;='SOLLECITAZ NASCOSTO'!$P$7,IF(C198&lt;='SOLLECITAZ NASCOSTO'!$P$6,IF(C198&lt;='SOLLECITAZ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paramento'!$G$111))*(C198-IF(C198&lt;='SOLLECITAZ NASCOSTO'!$P$12,IF(C198&lt;='SOLLECITAZ NASCOSTO'!$P$11,IF(C198&lt;='SOLLECITAZ NASCOSTO'!$P$10,IF(C198&lt;='SOLLECITAZ NASCOSTO'!$P$9,IF(C198&lt;='SOLLECITAZ NASCOSTO'!$P$8,IF(C198&lt;='SOLLECITAZ NASCOSTO'!$P$7,IF(C198&lt;='SOLLECITAZ NASCOSTO'!$P$6,IF(C198&lt;='SOLLECITAZ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NASCOSTO'!$P$12))/IF(C198&lt;='SOLLECITAZ NASCOSTO'!$P$12,IF(C198&lt;='SOLLECITAZ NASCOSTO'!$P$11,IF(C198&lt;='SOLLECITAZ NASCOSTO'!$P$10,IF(C198&lt;='SOLLECITAZ NASCOSTO'!$P$9,IF(C198&lt;='SOLLECITAZ NASCOSTO'!$P$8,IF(C198&lt;='SOLLECITAZ NASCOSTO'!$P$7,IF(C198&lt;='SOLLECITAZ NASCOSTO'!$P$6,IF(C198&lt;='SOLLECITAZ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paramento'!$C$111)+IF(C198&lt;='SOLLECITAZ NASCOSTO'!$P$12,IF(C198&lt;='SOLLECITAZ NASCOSTO'!$P$11,IF(C198&lt;='SOLLECITAZ NASCOSTO'!$P$10,IF(C198&lt;='SOLLECITAZ NASCOSTO'!$P$9,IF(C198&lt;='SOLLECITAZ NASCOSTO'!$P$8,IF(C198&lt;='SOLLECITAZ NASCOSTO'!$P$7,IF(C198&lt;='SOLLECITAZ NASCOSTO'!$P$6,IF(C198&lt;='SOLLECITAZ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56.320752463291505</v>
      </c>
      <c r="O199" s="41">
        <f>IF(C199&lt;='SOLLECITAZ NASCOSTO'!$P$12,IF(C199&lt;='SOLLECITAZ NASCOSTO'!$P$11,IF(C199&lt;='SOLLECITAZ NASCOSTO'!$P$10,IF(C199&lt;='SOLLECITAZ NASCOSTO'!$P$9,IF(C199&lt;='SOLLECITAZ NASCOSTO'!$P$8,IF(C199&lt;='SOLLECITAZ NASCOSTO'!$P$7,IF(C199&lt;='SOLLECITAZ NASCOSTO'!$P$6,IF(C199&lt;='SOLLECITAZ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paramento'!$G$110),55555)*(C199-C198)/IF(C199&lt;='SOLLECITAZ NASCOSTO'!$P$12,IF(C199&lt;='SOLLECITAZ NASCOSTO'!$P$11,IF(C199&lt;='SOLLECITAZ NASCOSTO'!$P$10,IF(C199&lt;='SOLLECITAZ NASCOSTO'!$P$9,IF(C199&lt;='SOLLECITAZ NASCOSTO'!$P$8,IF(C199&lt;='SOLLECITAZ NASCOSTO'!$P$7,IF(C199&lt;='SOLLECITAZ NASCOSTO'!$P$6,IF(C199&lt;='SOLLECITAZ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199" s="41">
        <f t="shared" si="57"/>
        <v>1.6599999999999964E-4</v>
      </c>
      <c r="Q199" s="41">
        <f t="shared" si="55"/>
        <v>1</v>
      </c>
      <c r="R199" s="434">
        <f t="shared" si="49"/>
        <v>1.8193612642008825</v>
      </c>
      <c r="S199" s="45">
        <f t="shared" si="56"/>
        <v>1.8193612642008825</v>
      </c>
      <c r="T199" s="205">
        <f t="shared" si="52"/>
        <v>3.2127003280599986</v>
      </c>
      <c r="U199" s="45">
        <f t="shared" si="53"/>
        <v>63.724239514868586</v>
      </c>
      <c r="V199" s="45">
        <f t="shared" si="54"/>
        <v>-46.07864430239453</v>
      </c>
      <c r="W199" s="488"/>
      <c r="X199" s="489"/>
      <c r="Y199" s="489"/>
      <c r="Z199" s="490"/>
      <c r="AA199" s="46"/>
    </row>
    <row r="200" spans="1:27" s="421" customFormat="1" x14ac:dyDescent="0.25">
      <c r="A200" s="581">
        <f t="shared" si="50"/>
        <v>0.35044099846892784</v>
      </c>
      <c r="B200" s="31">
        <f t="shared" si="58"/>
        <v>168</v>
      </c>
      <c r="C200" s="434">
        <f>'SOLLECITAZ NASCOSTO'!$D$6/'SOLLECITAZ NASCOSTO'!$B$448*'SOLLECITAZ NASCOSTO'!B200</f>
        <v>1.8302556430284327</v>
      </c>
      <c r="D200" s="434">
        <f t="shared" si="51"/>
        <v>0.47044099846892784</v>
      </c>
      <c r="E200" s="434">
        <f t="shared" si="45"/>
        <v>0.35044099846892784</v>
      </c>
      <c r="F200" s="434">
        <f t="shared" si="46"/>
        <v>0.41214111951005689</v>
      </c>
      <c r="G200" s="434">
        <f t="shared" si="47"/>
        <v>5.1106357286470686E-2</v>
      </c>
      <c r="H200" s="434">
        <f t="shared" si="59"/>
        <v>0</v>
      </c>
      <c r="I200" s="434">
        <v>0</v>
      </c>
      <c r="J200" s="127">
        <f t="shared" si="60"/>
        <v>0.1240020829448531</v>
      </c>
      <c r="K200" s="126">
        <f t="shared" si="48"/>
        <v>6.0240411367462601E-3</v>
      </c>
      <c r="L200" s="41">
        <f t="shared" si="61"/>
        <v>64.342037261522606</v>
      </c>
      <c r="M200" s="41">
        <f t="shared" si="62"/>
        <v>-46.776245569512476</v>
      </c>
      <c r="N200" s="41">
        <f>(IF(C199&lt;='SOLLECITAZ NASCOSTO'!$P$12,IF(C199&lt;='SOLLECITAZ NASCOSTO'!$P$11,IF(C199&lt;='SOLLECITAZ NASCOSTO'!$P$10,IF(C199&lt;='SOLLECITAZ NASCOSTO'!$P$9,IF(C199&lt;='SOLLECITAZ NASCOSTO'!$P$8,IF(C199&lt;='SOLLECITAZ NASCOSTO'!$P$7,IF(C199&lt;='SOLLECITAZ NASCOSTO'!$P$6,IF(C199&lt;='SOLLECITAZ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paramento'!$G$111),55555)-IF(C199&lt;='SOLLECITAZ NASCOSTO'!$P$12,IF(C199&lt;='SOLLECITAZ NASCOSTO'!$P$11,IF(C199&lt;='SOLLECITAZ NASCOSTO'!$P$10,IF(C199&lt;='SOLLECITAZ NASCOSTO'!$P$9,IF(C199&lt;='SOLLECITAZ NASCOSTO'!$P$8,IF(C199&lt;='SOLLECITAZ NASCOSTO'!$P$7,IF(C199&lt;='SOLLECITAZ NASCOSTO'!$P$6,IF(C199&lt;='SOLLECITAZ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paramento'!$G$111))*(C199-IF(C199&lt;='SOLLECITAZ NASCOSTO'!$P$12,IF(C199&lt;='SOLLECITAZ NASCOSTO'!$P$11,IF(C199&lt;='SOLLECITAZ NASCOSTO'!$P$10,IF(C199&lt;='SOLLECITAZ NASCOSTO'!$P$9,IF(C199&lt;='SOLLECITAZ NASCOSTO'!$P$8,IF(C199&lt;='SOLLECITAZ NASCOSTO'!$P$7,IF(C199&lt;='SOLLECITAZ NASCOSTO'!$P$6,IF(C199&lt;='SOLLECITAZ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NASCOSTO'!$P$12))/IF(C199&lt;='SOLLECITAZ NASCOSTO'!$P$12,IF(C199&lt;='SOLLECITAZ NASCOSTO'!$P$11,IF(C199&lt;='SOLLECITAZ NASCOSTO'!$P$10,IF(C199&lt;='SOLLECITAZ NASCOSTO'!$P$9,IF(C199&lt;='SOLLECITAZ NASCOSTO'!$P$8,IF(C199&lt;='SOLLECITAZ NASCOSTO'!$P$7,IF(C199&lt;='SOLLECITAZ NASCOSTO'!$P$6,IF(C199&lt;='SOLLECITAZ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paramento'!$C$111)+IF(C199&lt;='SOLLECITAZ NASCOSTO'!$P$12,IF(C199&lt;='SOLLECITAZ NASCOSTO'!$P$11,IF(C199&lt;='SOLLECITAZ NASCOSTO'!$P$10,IF(C199&lt;='SOLLECITAZ NASCOSTO'!$P$9,IF(C199&lt;='SOLLECITAZ NASCOSTO'!$P$8,IF(C199&lt;='SOLLECITAZ NASCOSTO'!$P$7,IF(C199&lt;='SOLLECITAZ NASCOSTO'!$P$6,IF(C199&lt;='SOLLECITAZ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56.578875392740905</v>
      </c>
      <c r="O200" s="41">
        <f>IF(C200&lt;='SOLLECITAZ NASCOSTO'!$P$12,IF(C200&lt;='SOLLECITAZ NASCOSTO'!$P$11,IF(C200&lt;='SOLLECITAZ NASCOSTO'!$P$10,IF(C200&lt;='SOLLECITAZ NASCOSTO'!$P$9,IF(C200&lt;='SOLLECITAZ NASCOSTO'!$P$8,IF(C200&lt;='SOLLECITAZ NASCOSTO'!$P$7,IF(C200&lt;='SOLLECITAZ NASCOSTO'!$P$6,IF(C200&lt;='SOLLECITAZ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paramento'!$G$110),55555)*(C200-C199)/IF(C200&lt;='SOLLECITAZ NASCOSTO'!$P$12,IF(C200&lt;='SOLLECITAZ NASCOSTO'!$P$11,IF(C200&lt;='SOLLECITAZ NASCOSTO'!$P$10,IF(C200&lt;='SOLLECITAZ NASCOSTO'!$P$9,IF(C200&lt;='SOLLECITAZ NASCOSTO'!$P$8,IF(C200&lt;='SOLLECITAZ NASCOSTO'!$P$7,IF(C200&lt;='SOLLECITAZ NASCOSTO'!$P$6,IF(C200&lt;='SOLLECITAZ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00" s="41">
        <f t="shared" si="57"/>
        <v>1.6699999999999964E-4</v>
      </c>
      <c r="Q200" s="41">
        <f t="shared" si="55"/>
        <v>1</v>
      </c>
      <c r="R200" s="434">
        <f t="shared" si="49"/>
        <v>1.8302556430284327</v>
      </c>
      <c r="S200" s="45">
        <f t="shared" si="56"/>
        <v>1.8302556430284327</v>
      </c>
      <c r="T200" s="205">
        <f t="shared" si="52"/>
        <v>3.2018059492324484</v>
      </c>
      <c r="U200" s="45">
        <f t="shared" si="53"/>
        <v>64.342037261522606</v>
      </c>
      <c r="V200" s="45">
        <f t="shared" si="54"/>
        <v>-46.776245569512476</v>
      </c>
      <c r="W200" s="488"/>
      <c r="X200" s="489"/>
      <c r="Y200" s="489"/>
      <c r="Z200" s="490"/>
      <c r="AA200" s="46"/>
    </row>
    <row r="201" spans="1:27" s="421" customFormat="1" x14ac:dyDescent="0.25">
      <c r="A201" s="581">
        <f t="shared" si="50"/>
        <v>0.35201184121703699</v>
      </c>
      <c r="B201" s="31">
        <f t="shared" si="58"/>
        <v>169</v>
      </c>
      <c r="C201" s="434">
        <f>'SOLLECITAZ NASCOSTO'!$D$6/'SOLLECITAZ NASCOSTO'!$B$448*'SOLLECITAZ NASCOSTO'!B201</f>
        <v>1.8411500218559829</v>
      </c>
      <c r="D201" s="434">
        <f t="shared" si="51"/>
        <v>0.47201184121703699</v>
      </c>
      <c r="E201" s="434">
        <f t="shared" si="45"/>
        <v>0.35201184121703699</v>
      </c>
      <c r="F201" s="434">
        <f t="shared" si="46"/>
        <v>0.41264378918945183</v>
      </c>
      <c r="G201" s="434">
        <f t="shared" si="47"/>
        <v>5.1343228519855566E-2</v>
      </c>
      <c r="H201" s="434">
        <f t="shared" si="59"/>
        <v>0</v>
      </c>
      <c r="I201" s="434">
        <v>0</v>
      </c>
      <c r="J201" s="127">
        <f t="shared" si="60"/>
        <v>0.12442506070601007</v>
      </c>
      <c r="K201" s="126">
        <f t="shared" si="48"/>
        <v>6.0845716532020901E-3</v>
      </c>
      <c r="L201" s="41">
        <f t="shared" si="61"/>
        <v>64.962647097154132</v>
      </c>
      <c r="M201" s="41">
        <f t="shared" si="62"/>
        <v>-47.480592677302589</v>
      </c>
      <c r="N201" s="41">
        <f>(IF(C200&lt;='SOLLECITAZ NASCOSTO'!$P$12,IF(C200&lt;='SOLLECITAZ NASCOSTO'!$P$11,IF(C200&lt;='SOLLECITAZ NASCOSTO'!$P$10,IF(C200&lt;='SOLLECITAZ NASCOSTO'!$P$9,IF(C200&lt;='SOLLECITAZ NASCOSTO'!$P$8,IF(C200&lt;='SOLLECITAZ NASCOSTO'!$P$7,IF(C200&lt;='SOLLECITAZ NASCOSTO'!$P$6,IF(C200&lt;='SOLLECITAZ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paramento'!$G$111),55555)-IF(C200&lt;='SOLLECITAZ NASCOSTO'!$P$12,IF(C200&lt;='SOLLECITAZ NASCOSTO'!$P$11,IF(C200&lt;='SOLLECITAZ NASCOSTO'!$P$10,IF(C200&lt;='SOLLECITAZ NASCOSTO'!$P$9,IF(C200&lt;='SOLLECITAZ NASCOSTO'!$P$8,IF(C200&lt;='SOLLECITAZ NASCOSTO'!$P$7,IF(C200&lt;='SOLLECITAZ NASCOSTO'!$P$6,IF(C200&lt;='SOLLECITAZ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paramento'!$G$111))*(C200-IF(C200&lt;='SOLLECITAZ NASCOSTO'!$P$12,IF(C200&lt;='SOLLECITAZ NASCOSTO'!$P$11,IF(C200&lt;='SOLLECITAZ NASCOSTO'!$P$10,IF(C200&lt;='SOLLECITAZ NASCOSTO'!$P$9,IF(C200&lt;='SOLLECITAZ NASCOSTO'!$P$8,IF(C200&lt;='SOLLECITAZ NASCOSTO'!$P$7,IF(C200&lt;='SOLLECITAZ NASCOSTO'!$P$6,IF(C200&lt;='SOLLECITAZ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NASCOSTO'!$P$12))/IF(C200&lt;='SOLLECITAZ NASCOSTO'!$P$12,IF(C200&lt;='SOLLECITAZ NASCOSTO'!$P$11,IF(C200&lt;='SOLLECITAZ NASCOSTO'!$P$10,IF(C200&lt;='SOLLECITAZ NASCOSTO'!$P$9,IF(C200&lt;='SOLLECITAZ NASCOSTO'!$P$8,IF(C200&lt;='SOLLECITAZ NASCOSTO'!$P$7,IF(C200&lt;='SOLLECITAZ NASCOSTO'!$P$6,IF(C200&lt;='SOLLECITAZ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paramento'!$C$111)+IF(C200&lt;='SOLLECITAZ NASCOSTO'!$P$12,IF(C200&lt;='SOLLECITAZ NASCOSTO'!$P$11,IF(C200&lt;='SOLLECITAZ NASCOSTO'!$P$10,IF(C200&lt;='SOLLECITAZ NASCOSTO'!$P$9,IF(C200&lt;='SOLLECITAZ NASCOSTO'!$P$8,IF(C200&lt;='SOLLECITAZ NASCOSTO'!$P$7,IF(C200&lt;='SOLLECITAZ NASCOSTO'!$P$6,IF(C200&lt;='SOLLECITAZ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56.836998322190311</v>
      </c>
      <c r="O201" s="41">
        <f>IF(C201&lt;='SOLLECITAZ NASCOSTO'!$P$12,IF(C201&lt;='SOLLECITAZ NASCOSTO'!$P$11,IF(C201&lt;='SOLLECITAZ NASCOSTO'!$P$10,IF(C201&lt;='SOLLECITAZ NASCOSTO'!$P$9,IF(C201&lt;='SOLLECITAZ NASCOSTO'!$P$8,IF(C201&lt;='SOLLECITAZ NASCOSTO'!$P$7,IF(C201&lt;='SOLLECITAZ NASCOSTO'!$P$6,IF(C201&lt;='SOLLECITAZ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paramento'!$G$110),55555)*(C201-C200)/IF(C201&lt;='SOLLECITAZ NASCOSTO'!$P$12,IF(C201&lt;='SOLLECITAZ NASCOSTO'!$P$11,IF(C201&lt;='SOLLECITAZ NASCOSTO'!$P$10,IF(C201&lt;='SOLLECITAZ NASCOSTO'!$P$9,IF(C201&lt;='SOLLECITAZ NASCOSTO'!$P$8,IF(C201&lt;='SOLLECITAZ NASCOSTO'!$P$7,IF(C201&lt;='SOLLECITAZ NASCOSTO'!$P$6,IF(C201&lt;='SOLLECITAZ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01" s="41">
        <f t="shared" si="57"/>
        <v>1.6799999999999964E-4</v>
      </c>
      <c r="Q201" s="41">
        <f t="shared" si="55"/>
        <v>1</v>
      </c>
      <c r="R201" s="434">
        <f t="shared" si="49"/>
        <v>1.8411500218559829</v>
      </c>
      <c r="S201" s="45">
        <f t="shared" si="56"/>
        <v>1.8411500218559829</v>
      </c>
      <c r="T201" s="205">
        <f t="shared" si="52"/>
        <v>3.1909115704048983</v>
      </c>
      <c r="U201" s="45">
        <f t="shared" si="53"/>
        <v>64.962647097154132</v>
      </c>
      <c r="V201" s="45">
        <f t="shared" si="54"/>
        <v>-47.480592677302589</v>
      </c>
      <c r="W201" s="488"/>
      <c r="X201" s="489"/>
      <c r="Y201" s="489"/>
      <c r="Z201" s="490"/>
      <c r="AA201" s="46"/>
    </row>
    <row r="202" spans="1:27" s="421" customFormat="1" x14ac:dyDescent="0.25">
      <c r="A202" s="581">
        <f t="shared" si="50"/>
        <v>0.35358268396514614</v>
      </c>
      <c r="B202" s="31">
        <f t="shared" si="58"/>
        <v>170</v>
      </c>
      <c r="C202" s="434">
        <f>'SOLLECITAZ NASCOSTO'!$D$6/'SOLLECITAZ NASCOSTO'!$B$448*'SOLLECITAZ NASCOSTO'!B202</f>
        <v>1.852044400683533</v>
      </c>
      <c r="D202" s="434">
        <f t="shared" si="51"/>
        <v>0.47358268396514613</v>
      </c>
      <c r="E202" s="434">
        <f t="shared" si="45"/>
        <v>0.35358268396514614</v>
      </c>
      <c r="F202" s="434">
        <f t="shared" si="46"/>
        <v>0.41314645886884677</v>
      </c>
      <c r="G202" s="434">
        <f t="shared" si="47"/>
        <v>5.1580889368261038E-2</v>
      </c>
      <c r="H202" s="434">
        <f t="shared" si="59"/>
        <v>0</v>
      </c>
      <c r="I202" s="434">
        <v>0</v>
      </c>
      <c r="J202" s="127">
        <f t="shared" si="60"/>
        <v>0.12484892042759921</v>
      </c>
      <c r="K202" s="126">
        <f t="shared" si="48"/>
        <v>6.1455031282194464E-3</v>
      </c>
      <c r="L202" s="41">
        <f t="shared" si="61"/>
        <v>65.586069021763151</v>
      </c>
      <c r="M202" s="41">
        <f t="shared" si="62"/>
        <v>-48.191716261727485</v>
      </c>
      <c r="N202" s="41">
        <f>(IF(C201&lt;='SOLLECITAZ NASCOSTO'!$P$12,IF(C201&lt;='SOLLECITAZ NASCOSTO'!$P$11,IF(C201&lt;='SOLLECITAZ NASCOSTO'!$P$10,IF(C201&lt;='SOLLECITAZ NASCOSTO'!$P$9,IF(C201&lt;='SOLLECITAZ NASCOSTO'!$P$8,IF(C201&lt;='SOLLECITAZ NASCOSTO'!$P$7,IF(C201&lt;='SOLLECITAZ NASCOSTO'!$P$6,IF(C201&lt;='SOLLECITAZ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paramento'!$G$111),55555)-IF(C201&lt;='SOLLECITAZ NASCOSTO'!$P$12,IF(C201&lt;='SOLLECITAZ NASCOSTO'!$P$11,IF(C201&lt;='SOLLECITAZ NASCOSTO'!$P$10,IF(C201&lt;='SOLLECITAZ NASCOSTO'!$P$9,IF(C201&lt;='SOLLECITAZ NASCOSTO'!$P$8,IF(C201&lt;='SOLLECITAZ NASCOSTO'!$P$7,IF(C201&lt;='SOLLECITAZ NASCOSTO'!$P$6,IF(C201&lt;='SOLLECITAZ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paramento'!$G$111))*(C201-IF(C201&lt;='SOLLECITAZ NASCOSTO'!$P$12,IF(C201&lt;='SOLLECITAZ NASCOSTO'!$P$11,IF(C201&lt;='SOLLECITAZ NASCOSTO'!$P$10,IF(C201&lt;='SOLLECITAZ NASCOSTO'!$P$9,IF(C201&lt;='SOLLECITAZ NASCOSTO'!$P$8,IF(C201&lt;='SOLLECITAZ NASCOSTO'!$P$7,IF(C201&lt;='SOLLECITAZ NASCOSTO'!$P$6,IF(C201&lt;='SOLLECITAZ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NASCOSTO'!$P$12))/IF(C201&lt;='SOLLECITAZ NASCOSTO'!$P$12,IF(C201&lt;='SOLLECITAZ NASCOSTO'!$P$11,IF(C201&lt;='SOLLECITAZ NASCOSTO'!$P$10,IF(C201&lt;='SOLLECITAZ NASCOSTO'!$P$9,IF(C201&lt;='SOLLECITAZ NASCOSTO'!$P$8,IF(C201&lt;='SOLLECITAZ NASCOSTO'!$P$7,IF(C201&lt;='SOLLECITAZ NASCOSTO'!$P$6,IF(C201&lt;='SOLLECITAZ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paramento'!$C$111)+IF(C201&lt;='SOLLECITAZ NASCOSTO'!$P$12,IF(C201&lt;='SOLLECITAZ NASCOSTO'!$P$11,IF(C201&lt;='SOLLECITAZ NASCOSTO'!$P$10,IF(C201&lt;='SOLLECITAZ NASCOSTO'!$P$9,IF(C201&lt;='SOLLECITAZ NASCOSTO'!$P$8,IF(C201&lt;='SOLLECITAZ NASCOSTO'!$P$7,IF(C201&lt;='SOLLECITAZ NASCOSTO'!$P$6,IF(C201&lt;='SOLLECITAZ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57.095121251639718</v>
      </c>
      <c r="O202" s="41">
        <f>IF(C202&lt;='SOLLECITAZ NASCOSTO'!$P$12,IF(C202&lt;='SOLLECITAZ NASCOSTO'!$P$11,IF(C202&lt;='SOLLECITAZ NASCOSTO'!$P$10,IF(C202&lt;='SOLLECITAZ NASCOSTO'!$P$9,IF(C202&lt;='SOLLECITAZ NASCOSTO'!$P$8,IF(C202&lt;='SOLLECITAZ NASCOSTO'!$P$7,IF(C202&lt;='SOLLECITAZ NASCOSTO'!$P$6,IF(C202&lt;='SOLLECITAZ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paramento'!$G$110),55555)*(C202-C201)/IF(C202&lt;='SOLLECITAZ NASCOSTO'!$P$12,IF(C202&lt;='SOLLECITAZ NASCOSTO'!$P$11,IF(C202&lt;='SOLLECITAZ NASCOSTO'!$P$10,IF(C202&lt;='SOLLECITAZ NASCOSTO'!$P$9,IF(C202&lt;='SOLLECITAZ NASCOSTO'!$P$8,IF(C202&lt;='SOLLECITAZ NASCOSTO'!$P$7,IF(C202&lt;='SOLLECITAZ NASCOSTO'!$P$6,IF(C202&lt;='SOLLECITAZ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02" s="41">
        <f t="shared" si="57"/>
        <v>1.6899999999999964E-4</v>
      </c>
      <c r="Q202" s="41">
        <f t="shared" si="55"/>
        <v>1</v>
      </c>
      <c r="R202" s="434">
        <f t="shared" si="49"/>
        <v>1.852044400683533</v>
      </c>
      <c r="S202" s="45">
        <f t="shared" si="56"/>
        <v>1.852044400683533</v>
      </c>
      <c r="T202" s="205">
        <f t="shared" si="52"/>
        <v>3.1800171915773481</v>
      </c>
      <c r="U202" s="45">
        <f t="shared" si="53"/>
        <v>65.586069021763151</v>
      </c>
      <c r="V202" s="45">
        <f t="shared" si="54"/>
        <v>-48.191716261727485</v>
      </c>
      <c r="W202" s="488"/>
      <c r="X202" s="489"/>
      <c r="Y202" s="489"/>
      <c r="Z202" s="490"/>
      <c r="AA202" s="46"/>
    </row>
    <row r="203" spans="1:27" s="421" customFormat="1" x14ac:dyDescent="0.25">
      <c r="A203" s="581">
        <f t="shared" si="50"/>
        <v>0.35515352671325529</v>
      </c>
      <c r="B203" s="31">
        <f t="shared" si="58"/>
        <v>171</v>
      </c>
      <c r="C203" s="434">
        <f>'SOLLECITAZ NASCOSTO'!$D$6/'SOLLECITAZ NASCOSTO'!$B$448*'SOLLECITAZ NASCOSTO'!B203</f>
        <v>1.8629387795110832</v>
      </c>
      <c r="D203" s="434">
        <f t="shared" si="51"/>
        <v>0.47515352671325528</v>
      </c>
      <c r="E203" s="434">
        <f t="shared" si="45"/>
        <v>0.35515352671325529</v>
      </c>
      <c r="F203" s="434">
        <f t="shared" si="46"/>
        <v>0.41364912854824165</v>
      </c>
      <c r="G203" s="434">
        <f t="shared" si="47"/>
        <v>5.1819339831687072E-2</v>
      </c>
      <c r="H203" s="434">
        <f t="shared" si="59"/>
        <v>0</v>
      </c>
      <c r="I203" s="434">
        <v>0</v>
      </c>
      <c r="J203" s="127">
        <f t="shared" si="60"/>
        <v>0.12527365889432465</v>
      </c>
      <c r="K203" s="126">
        <f t="shared" si="48"/>
        <v>6.2068365762544923E-3</v>
      </c>
      <c r="L203" s="41">
        <f t="shared" si="61"/>
        <v>66.212303035349677</v>
      </c>
      <c r="M203" s="41">
        <f t="shared" si="62"/>
        <v>-48.909646958749782</v>
      </c>
      <c r="N203" s="41">
        <f>(IF(C202&lt;='SOLLECITAZ NASCOSTO'!$P$12,IF(C202&lt;='SOLLECITAZ NASCOSTO'!$P$11,IF(C202&lt;='SOLLECITAZ NASCOSTO'!$P$10,IF(C202&lt;='SOLLECITAZ NASCOSTO'!$P$9,IF(C202&lt;='SOLLECITAZ NASCOSTO'!$P$8,IF(C202&lt;='SOLLECITAZ NASCOSTO'!$P$7,IF(C202&lt;='SOLLECITAZ NASCOSTO'!$P$6,IF(C202&lt;='SOLLECITAZ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paramento'!$G$111),55555)-IF(C202&lt;='SOLLECITAZ NASCOSTO'!$P$12,IF(C202&lt;='SOLLECITAZ NASCOSTO'!$P$11,IF(C202&lt;='SOLLECITAZ NASCOSTO'!$P$10,IF(C202&lt;='SOLLECITAZ NASCOSTO'!$P$9,IF(C202&lt;='SOLLECITAZ NASCOSTO'!$P$8,IF(C202&lt;='SOLLECITAZ NASCOSTO'!$P$7,IF(C202&lt;='SOLLECITAZ NASCOSTO'!$P$6,IF(C202&lt;='SOLLECITAZ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paramento'!$G$111))*(C202-IF(C202&lt;='SOLLECITAZ NASCOSTO'!$P$12,IF(C202&lt;='SOLLECITAZ NASCOSTO'!$P$11,IF(C202&lt;='SOLLECITAZ NASCOSTO'!$P$10,IF(C202&lt;='SOLLECITAZ NASCOSTO'!$P$9,IF(C202&lt;='SOLLECITAZ NASCOSTO'!$P$8,IF(C202&lt;='SOLLECITAZ NASCOSTO'!$P$7,IF(C202&lt;='SOLLECITAZ NASCOSTO'!$P$6,IF(C202&lt;='SOLLECITAZ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NASCOSTO'!$P$12))/IF(C202&lt;='SOLLECITAZ NASCOSTO'!$P$12,IF(C202&lt;='SOLLECITAZ NASCOSTO'!$P$11,IF(C202&lt;='SOLLECITAZ NASCOSTO'!$P$10,IF(C202&lt;='SOLLECITAZ NASCOSTO'!$P$9,IF(C202&lt;='SOLLECITAZ NASCOSTO'!$P$8,IF(C202&lt;='SOLLECITAZ NASCOSTO'!$P$7,IF(C202&lt;='SOLLECITAZ NASCOSTO'!$P$6,IF(C202&lt;='SOLLECITAZ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paramento'!$C$111)+IF(C202&lt;='SOLLECITAZ NASCOSTO'!$P$12,IF(C202&lt;='SOLLECITAZ NASCOSTO'!$P$11,IF(C202&lt;='SOLLECITAZ NASCOSTO'!$P$10,IF(C202&lt;='SOLLECITAZ NASCOSTO'!$P$9,IF(C202&lt;='SOLLECITAZ NASCOSTO'!$P$8,IF(C202&lt;='SOLLECITAZ NASCOSTO'!$P$7,IF(C202&lt;='SOLLECITAZ NASCOSTO'!$P$6,IF(C202&lt;='SOLLECITAZ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57.353244181089124</v>
      </c>
      <c r="O203" s="41">
        <f>IF(C203&lt;='SOLLECITAZ NASCOSTO'!$P$12,IF(C203&lt;='SOLLECITAZ NASCOSTO'!$P$11,IF(C203&lt;='SOLLECITAZ NASCOSTO'!$P$10,IF(C203&lt;='SOLLECITAZ NASCOSTO'!$P$9,IF(C203&lt;='SOLLECITAZ NASCOSTO'!$P$8,IF(C203&lt;='SOLLECITAZ NASCOSTO'!$P$7,IF(C203&lt;='SOLLECITAZ NASCOSTO'!$P$6,IF(C203&lt;='SOLLECITAZ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paramento'!$G$110),55555)*(C203-C202)/IF(C203&lt;='SOLLECITAZ NASCOSTO'!$P$12,IF(C203&lt;='SOLLECITAZ NASCOSTO'!$P$11,IF(C203&lt;='SOLLECITAZ NASCOSTO'!$P$10,IF(C203&lt;='SOLLECITAZ NASCOSTO'!$P$9,IF(C203&lt;='SOLLECITAZ NASCOSTO'!$P$8,IF(C203&lt;='SOLLECITAZ NASCOSTO'!$P$7,IF(C203&lt;='SOLLECITAZ NASCOSTO'!$P$6,IF(C203&lt;='SOLLECITAZ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03" s="41">
        <f t="shared" si="57"/>
        <v>1.6999999999999963E-4</v>
      </c>
      <c r="Q203" s="41">
        <f t="shared" si="55"/>
        <v>1</v>
      </c>
      <c r="R203" s="434">
        <f t="shared" si="49"/>
        <v>1.8629387795110832</v>
      </c>
      <c r="S203" s="45">
        <f t="shared" si="56"/>
        <v>1.8629387795110832</v>
      </c>
      <c r="T203" s="205">
        <f t="shared" si="52"/>
        <v>3.1691228127497979</v>
      </c>
      <c r="U203" s="45">
        <f t="shared" si="53"/>
        <v>66.212303035349677</v>
      </c>
      <c r="V203" s="45">
        <f t="shared" si="54"/>
        <v>-48.909646958749782</v>
      </c>
      <c r="W203" s="488"/>
      <c r="X203" s="489"/>
      <c r="Y203" s="489"/>
      <c r="Z203" s="490"/>
      <c r="AA203" s="46"/>
    </row>
    <row r="204" spans="1:27" s="421" customFormat="1" x14ac:dyDescent="0.25">
      <c r="A204" s="581">
        <f t="shared" si="50"/>
        <v>0.35672436946136454</v>
      </c>
      <c r="B204" s="31">
        <f t="shared" si="58"/>
        <v>172</v>
      </c>
      <c r="C204" s="434">
        <f>'SOLLECITAZ NASCOSTO'!$D$6/'SOLLECITAZ NASCOSTO'!$B$448*'SOLLECITAZ NASCOSTO'!B204</f>
        <v>1.8738331583386334</v>
      </c>
      <c r="D204" s="434">
        <f t="shared" si="51"/>
        <v>0.47672436946136454</v>
      </c>
      <c r="E204" s="434">
        <f t="shared" si="45"/>
        <v>0.35672436946136454</v>
      </c>
      <c r="F204" s="434">
        <f t="shared" si="46"/>
        <v>0.41415179822763665</v>
      </c>
      <c r="G204" s="434">
        <f t="shared" si="47"/>
        <v>5.2058579910133698E-2</v>
      </c>
      <c r="H204" s="434">
        <f t="shared" si="59"/>
        <v>0</v>
      </c>
      <c r="I204" s="434">
        <v>0</v>
      </c>
      <c r="J204" s="127">
        <f t="shared" si="60"/>
        <v>0.12569927290650068</v>
      </c>
      <c r="K204" s="126">
        <f t="shared" si="48"/>
        <v>6.2685730098492104E-3</v>
      </c>
      <c r="L204" s="41">
        <f t="shared" si="61"/>
        <v>66.841349137913696</v>
      </c>
      <c r="M204" s="41">
        <f t="shared" si="62"/>
        <v>-49.634415404332096</v>
      </c>
      <c r="N204" s="41">
        <f>(IF(C203&lt;='SOLLECITAZ NASCOSTO'!$P$12,IF(C203&lt;='SOLLECITAZ NASCOSTO'!$P$11,IF(C203&lt;='SOLLECITAZ NASCOSTO'!$P$10,IF(C203&lt;='SOLLECITAZ NASCOSTO'!$P$9,IF(C203&lt;='SOLLECITAZ NASCOSTO'!$P$8,IF(C203&lt;='SOLLECITAZ NASCOSTO'!$P$7,IF(C203&lt;='SOLLECITAZ NASCOSTO'!$P$6,IF(C203&lt;='SOLLECITAZ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paramento'!$G$111),55555)-IF(C203&lt;='SOLLECITAZ NASCOSTO'!$P$12,IF(C203&lt;='SOLLECITAZ NASCOSTO'!$P$11,IF(C203&lt;='SOLLECITAZ NASCOSTO'!$P$10,IF(C203&lt;='SOLLECITAZ NASCOSTO'!$P$9,IF(C203&lt;='SOLLECITAZ NASCOSTO'!$P$8,IF(C203&lt;='SOLLECITAZ NASCOSTO'!$P$7,IF(C203&lt;='SOLLECITAZ NASCOSTO'!$P$6,IF(C203&lt;='SOLLECITAZ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paramento'!$G$111))*(C203-IF(C203&lt;='SOLLECITAZ NASCOSTO'!$P$12,IF(C203&lt;='SOLLECITAZ NASCOSTO'!$P$11,IF(C203&lt;='SOLLECITAZ NASCOSTO'!$P$10,IF(C203&lt;='SOLLECITAZ NASCOSTO'!$P$9,IF(C203&lt;='SOLLECITAZ NASCOSTO'!$P$8,IF(C203&lt;='SOLLECITAZ NASCOSTO'!$P$7,IF(C203&lt;='SOLLECITAZ NASCOSTO'!$P$6,IF(C203&lt;='SOLLECITAZ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NASCOSTO'!$P$12))/IF(C203&lt;='SOLLECITAZ NASCOSTO'!$P$12,IF(C203&lt;='SOLLECITAZ NASCOSTO'!$P$11,IF(C203&lt;='SOLLECITAZ NASCOSTO'!$P$10,IF(C203&lt;='SOLLECITAZ NASCOSTO'!$P$9,IF(C203&lt;='SOLLECITAZ NASCOSTO'!$P$8,IF(C203&lt;='SOLLECITAZ NASCOSTO'!$P$7,IF(C203&lt;='SOLLECITAZ NASCOSTO'!$P$6,IF(C203&lt;='SOLLECITAZ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paramento'!$C$111)+IF(C203&lt;='SOLLECITAZ NASCOSTO'!$P$12,IF(C203&lt;='SOLLECITAZ NASCOSTO'!$P$11,IF(C203&lt;='SOLLECITAZ NASCOSTO'!$P$10,IF(C203&lt;='SOLLECITAZ NASCOSTO'!$P$9,IF(C203&lt;='SOLLECITAZ NASCOSTO'!$P$8,IF(C203&lt;='SOLLECITAZ NASCOSTO'!$P$7,IF(C203&lt;='SOLLECITAZ NASCOSTO'!$P$6,IF(C203&lt;='SOLLECITAZ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57.611367110538531</v>
      </c>
      <c r="O204" s="41">
        <f>IF(C204&lt;='SOLLECITAZ NASCOSTO'!$P$12,IF(C204&lt;='SOLLECITAZ NASCOSTO'!$P$11,IF(C204&lt;='SOLLECITAZ NASCOSTO'!$P$10,IF(C204&lt;='SOLLECITAZ NASCOSTO'!$P$9,IF(C204&lt;='SOLLECITAZ NASCOSTO'!$P$8,IF(C204&lt;='SOLLECITAZ NASCOSTO'!$P$7,IF(C204&lt;='SOLLECITAZ NASCOSTO'!$P$6,IF(C204&lt;='SOLLECITAZ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paramento'!$G$110),55555)*(C204-C203)/IF(C204&lt;='SOLLECITAZ NASCOSTO'!$P$12,IF(C204&lt;='SOLLECITAZ NASCOSTO'!$P$11,IF(C204&lt;='SOLLECITAZ NASCOSTO'!$P$10,IF(C204&lt;='SOLLECITAZ NASCOSTO'!$P$9,IF(C204&lt;='SOLLECITAZ NASCOSTO'!$P$8,IF(C204&lt;='SOLLECITAZ NASCOSTO'!$P$7,IF(C204&lt;='SOLLECITAZ NASCOSTO'!$P$6,IF(C204&lt;='SOLLECITAZ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04" s="41">
        <f t="shared" si="57"/>
        <v>1.7099999999999963E-4</v>
      </c>
      <c r="Q204" s="41">
        <f t="shared" si="55"/>
        <v>1</v>
      </c>
      <c r="R204" s="434">
        <f t="shared" si="49"/>
        <v>1.8738331583386334</v>
      </c>
      <c r="S204" s="45">
        <f t="shared" si="56"/>
        <v>1.8738331583386334</v>
      </c>
      <c r="T204" s="205">
        <f t="shared" si="52"/>
        <v>3.1582284339222477</v>
      </c>
      <c r="U204" s="45">
        <f t="shared" si="53"/>
        <v>66.841349137913696</v>
      </c>
      <c r="V204" s="45">
        <f t="shared" si="54"/>
        <v>-49.634415404332096</v>
      </c>
      <c r="W204" s="488"/>
      <c r="X204" s="489"/>
      <c r="Y204" s="489"/>
      <c r="Z204" s="490"/>
      <c r="AA204" s="46"/>
    </row>
    <row r="205" spans="1:27" s="421" customFormat="1" x14ac:dyDescent="0.25">
      <c r="A205" s="581">
        <f t="shared" si="50"/>
        <v>0.35829521220947369</v>
      </c>
      <c r="B205" s="31">
        <f t="shared" si="58"/>
        <v>173</v>
      </c>
      <c r="C205" s="434">
        <f>'SOLLECITAZ NASCOSTO'!$D$6/'SOLLECITAZ NASCOSTO'!$B$448*'SOLLECITAZ NASCOSTO'!B205</f>
        <v>1.8847275371661838</v>
      </c>
      <c r="D205" s="434">
        <f t="shared" si="51"/>
        <v>0.47829521220947369</v>
      </c>
      <c r="E205" s="434">
        <f t="shared" si="45"/>
        <v>0.35829521220947369</v>
      </c>
      <c r="F205" s="434">
        <f t="shared" si="46"/>
        <v>0.41465446790703159</v>
      </c>
      <c r="G205" s="434">
        <f t="shared" si="47"/>
        <v>5.2298609603600874E-2</v>
      </c>
      <c r="H205" s="434">
        <f t="shared" si="59"/>
        <v>0</v>
      </c>
      <c r="I205" s="434">
        <v>0</v>
      </c>
      <c r="J205" s="127">
        <f t="shared" si="60"/>
        <v>0.12612575927995689</v>
      </c>
      <c r="K205" s="126">
        <f t="shared" si="48"/>
        <v>6.3307134396429947E-3</v>
      </c>
      <c r="L205" s="41">
        <f t="shared" si="61"/>
        <v>67.473207329455221</v>
      </c>
      <c r="M205" s="41">
        <f t="shared" si="62"/>
        <v>-50.366052234437056</v>
      </c>
      <c r="N205" s="41">
        <f>(IF(C204&lt;='SOLLECITAZ NASCOSTO'!$P$12,IF(C204&lt;='SOLLECITAZ NASCOSTO'!$P$11,IF(C204&lt;='SOLLECITAZ NASCOSTO'!$P$10,IF(C204&lt;='SOLLECITAZ NASCOSTO'!$P$9,IF(C204&lt;='SOLLECITAZ NASCOSTO'!$P$8,IF(C204&lt;='SOLLECITAZ NASCOSTO'!$P$7,IF(C204&lt;='SOLLECITAZ NASCOSTO'!$P$6,IF(C204&lt;='SOLLECITAZ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paramento'!$G$111),55555)-IF(C204&lt;='SOLLECITAZ NASCOSTO'!$P$12,IF(C204&lt;='SOLLECITAZ NASCOSTO'!$P$11,IF(C204&lt;='SOLLECITAZ NASCOSTO'!$P$10,IF(C204&lt;='SOLLECITAZ NASCOSTO'!$P$9,IF(C204&lt;='SOLLECITAZ NASCOSTO'!$P$8,IF(C204&lt;='SOLLECITAZ NASCOSTO'!$P$7,IF(C204&lt;='SOLLECITAZ NASCOSTO'!$P$6,IF(C204&lt;='SOLLECITAZ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paramento'!$G$111))*(C204-IF(C204&lt;='SOLLECITAZ NASCOSTO'!$P$12,IF(C204&lt;='SOLLECITAZ NASCOSTO'!$P$11,IF(C204&lt;='SOLLECITAZ NASCOSTO'!$P$10,IF(C204&lt;='SOLLECITAZ NASCOSTO'!$P$9,IF(C204&lt;='SOLLECITAZ NASCOSTO'!$P$8,IF(C204&lt;='SOLLECITAZ NASCOSTO'!$P$7,IF(C204&lt;='SOLLECITAZ NASCOSTO'!$P$6,IF(C204&lt;='SOLLECITAZ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NASCOSTO'!$P$12))/IF(C204&lt;='SOLLECITAZ NASCOSTO'!$P$12,IF(C204&lt;='SOLLECITAZ NASCOSTO'!$P$11,IF(C204&lt;='SOLLECITAZ NASCOSTO'!$P$10,IF(C204&lt;='SOLLECITAZ NASCOSTO'!$P$9,IF(C204&lt;='SOLLECITAZ NASCOSTO'!$P$8,IF(C204&lt;='SOLLECITAZ NASCOSTO'!$P$7,IF(C204&lt;='SOLLECITAZ NASCOSTO'!$P$6,IF(C204&lt;='SOLLECITAZ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paramento'!$C$111)+IF(C204&lt;='SOLLECITAZ NASCOSTO'!$P$12,IF(C204&lt;='SOLLECITAZ NASCOSTO'!$P$11,IF(C204&lt;='SOLLECITAZ NASCOSTO'!$P$10,IF(C204&lt;='SOLLECITAZ NASCOSTO'!$P$9,IF(C204&lt;='SOLLECITAZ NASCOSTO'!$P$8,IF(C204&lt;='SOLLECITAZ NASCOSTO'!$P$7,IF(C204&lt;='SOLLECITAZ NASCOSTO'!$P$6,IF(C204&lt;='SOLLECITAZ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57.869490039987937</v>
      </c>
      <c r="O205" s="41">
        <f>IF(C205&lt;='SOLLECITAZ NASCOSTO'!$P$12,IF(C205&lt;='SOLLECITAZ NASCOSTO'!$P$11,IF(C205&lt;='SOLLECITAZ NASCOSTO'!$P$10,IF(C205&lt;='SOLLECITAZ NASCOSTO'!$P$9,IF(C205&lt;='SOLLECITAZ NASCOSTO'!$P$8,IF(C205&lt;='SOLLECITAZ NASCOSTO'!$P$7,IF(C205&lt;='SOLLECITAZ NASCOSTO'!$P$6,IF(C205&lt;='SOLLECITAZ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paramento'!$G$110),55555)*(C205-C204)/IF(C205&lt;='SOLLECITAZ NASCOSTO'!$P$12,IF(C205&lt;='SOLLECITAZ NASCOSTO'!$P$11,IF(C205&lt;='SOLLECITAZ NASCOSTO'!$P$10,IF(C205&lt;='SOLLECITAZ NASCOSTO'!$P$9,IF(C205&lt;='SOLLECITAZ NASCOSTO'!$P$8,IF(C205&lt;='SOLLECITAZ NASCOSTO'!$P$7,IF(C205&lt;='SOLLECITAZ NASCOSTO'!$P$6,IF(C205&lt;='SOLLECITAZ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0.25812292944941068</v>
      </c>
      <c r="P205" s="41">
        <f t="shared" si="57"/>
        <v>1.7199999999999963E-4</v>
      </c>
      <c r="Q205" s="41">
        <f t="shared" si="55"/>
        <v>1</v>
      </c>
      <c r="R205" s="434">
        <f t="shared" si="49"/>
        <v>1.8847275371661838</v>
      </c>
      <c r="S205" s="45">
        <f t="shared" si="56"/>
        <v>1.8847275371661838</v>
      </c>
      <c r="T205" s="205">
        <f t="shared" si="52"/>
        <v>3.1473340550946971</v>
      </c>
      <c r="U205" s="45">
        <f t="shared" si="53"/>
        <v>67.473207329455221</v>
      </c>
      <c r="V205" s="45">
        <f t="shared" si="54"/>
        <v>-50.366052234437056</v>
      </c>
      <c r="W205" s="488"/>
      <c r="X205" s="489"/>
      <c r="Y205" s="489"/>
      <c r="Z205" s="490"/>
      <c r="AA205" s="46"/>
    </row>
    <row r="206" spans="1:27" s="421" customFormat="1" x14ac:dyDescent="0.25">
      <c r="A206" s="581">
        <f t="shared" si="50"/>
        <v>0.35986605495758284</v>
      </c>
      <c r="B206" s="31">
        <f t="shared" si="58"/>
        <v>174</v>
      </c>
      <c r="C206" s="434">
        <f>'SOLLECITAZ NASCOSTO'!$D$6/'SOLLECITAZ NASCOSTO'!$B$448*'SOLLECITAZ NASCOSTO'!B206</f>
        <v>1.895621915993734</v>
      </c>
      <c r="D206" s="434">
        <f t="shared" si="51"/>
        <v>0.47986605495758283</v>
      </c>
      <c r="E206" s="434">
        <f t="shared" si="45"/>
        <v>0.35986605495758284</v>
      </c>
      <c r="F206" s="434">
        <f t="shared" si="46"/>
        <v>0.41515713758642647</v>
      </c>
      <c r="G206" s="434">
        <f t="shared" si="47"/>
        <v>5.2539428912088626E-2</v>
      </c>
      <c r="H206" s="434">
        <f t="shared" si="59"/>
        <v>0</v>
      </c>
      <c r="I206" s="434">
        <v>0</v>
      </c>
      <c r="J206" s="127">
        <f t="shared" si="60"/>
        <v>0.12655311484594453</v>
      </c>
      <c r="K206" s="126">
        <f t="shared" si="48"/>
        <v>6.3932588743841872E-3</v>
      </c>
      <c r="L206" s="41">
        <f t="shared" si="61"/>
        <v>68.107877609974238</v>
      </c>
      <c r="M206" s="41">
        <f t="shared" si="62"/>
        <v>-51.10458808502726</v>
      </c>
      <c r="N206" s="41">
        <f>(IF(C205&lt;='SOLLECITAZ NASCOSTO'!$P$12,IF(C205&lt;='SOLLECITAZ NASCOSTO'!$P$11,IF(C205&lt;='SOLLECITAZ NASCOSTO'!$P$10,IF(C205&lt;='SOLLECITAZ NASCOSTO'!$P$9,IF(C205&lt;='SOLLECITAZ NASCOSTO'!$P$8,IF(C205&lt;='SOLLECITAZ NASCOSTO'!$P$7,IF(C205&lt;='SOLLECITAZ NASCOSTO'!$P$6,IF(C205&lt;='SOLLECITAZ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paramento'!$G$111),55555)-IF(C205&lt;='SOLLECITAZ NASCOSTO'!$P$12,IF(C205&lt;='SOLLECITAZ NASCOSTO'!$P$11,IF(C205&lt;='SOLLECITAZ NASCOSTO'!$P$10,IF(C205&lt;='SOLLECITAZ NASCOSTO'!$P$9,IF(C205&lt;='SOLLECITAZ NASCOSTO'!$P$8,IF(C205&lt;='SOLLECITAZ NASCOSTO'!$P$7,IF(C205&lt;='SOLLECITAZ NASCOSTO'!$P$6,IF(C205&lt;='SOLLECITAZ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paramento'!$G$111))*(C205-IF(C205&lt;='SOLLECITAZ NASCOSTO'!$P$12,IF(C205&lt;='SOLLECITAZ NASCOSTO'!$P$11,IF(C205&lt;='SOLLECITAZ NASCOSTO'!$P$10,IF(C205&lt;='SOLLECITAZ NASCOSTO'!$P$9,IF(C205&lt;='SOLLECITAZ NASCOSTO'!$P$8,IF(C205&lt;='SOLLECITAZ NASCOSTO'!$P$7,IF(C205&lt;='SOLLECITAZ NASCOSTO'!$P$6,IF(C205&lt;='SOLLECITAZ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NASCOSTO'!$P$12))/IF(C205&lt;='SOLLECITAZ NASCOSTO'!$P$12,IF(C205&lt;='SOLLECITAZ NASCOSTO'!$P$11,IF(C205&lt;='SOLLECITAZ NASCOSTO'!$P$10,IF(C205&lt;='SOLLECITAZ NASCOSTO'!$P$9,IF(C205&lt;='SOLLECITAZ NASCOSTO'!$P$8,IF(C205&lt;='SOLLECITAZ NASCOSTO'!$P$7,IF(C205&lt;='SOLLECITAZ NASCOSTO'!$P$6,IF(C205&lt;='SOLLECITAZ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paramento'!$C$111)+IF(C205&lt;='SOLLECITAZ NASCOSTO'!$P$12,IF(C205&lt;='SOLLECITAZ NASCOSTO'!$P$11,IF(C205&lt;='SOLLECITAZ NASCOSTO'!$P$10,IF(C205&lt;='SOLLECITAZ NASCOSTO'!$P$9,IF(C205&lt;='SOLLECITAZ NASCOSTO'!$P$8,IF(C205&lt;='SOLLECITAZ NASCOSTO'!$P$7,IF(C205&lt;='SOLLECITAZ NASCOSTO'!$P$6,IF(C205&lt;='SOLLECITAZ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58.127612969437344</v>
      </c>
      <c r="O206" s="41">
        <f>IF(C206&lt;='SOLLECITAZ NASCOSTO'!$P$12,IF(C206&lt;='SOLLECITAZ NASCOSTO'!$P$11,IF(C206&lt;='SOLLECITAZ NASCOSTO'!$P$10,IF(C206&lt;='SOLLECITAZ NASCOSTO'!$P$9,IF(C206&lt;='SOLLECITAZ NASCOSTO'!$P$8,IF(C206&lt;='SOLLECITAZ NASCOSTO'!$P$7,IF(C206&lt;='SOLLECITAZ NASCOSTO'!$P$6,IF(C206&lt;='SOLLECITAZ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paramento'!$G$110),55555)*(C206-C205)/IF(C206&lt;='SOLLECITAZ NASCOSTO'!$P$12,IF(C206&lt;='SOLLECITAZ NASCOSTO'!$P$11,IF(C206&lt;='SOLLECITAZ NASCOSTO'!$P$10,IF(C206&lt;='SOLLECITAZ NASCOSTO'!$P$9,IF(C206&lt;='SOLLECITAZ NASCOSTO'!$P$8,IF(C206&lt;='SOLLECITAZ NASCOSTO'!$P$7,IF(C206&lt;='SOLLECITAZ NASCOSTO'!$P$6,IF(C206&lt;='SOLLECITAZ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06" s="41">
        <f t="shared" si="57"/>
        <v>1.7299999999999962E-4</v>
      </c>
      <c r="Q206" s="41">
        <f t="shared" si="55"/>
        <v>1</v>
      </c>
      <c r="R206" s="434">
        <f t="shared" si="49"/>
        <v>1.895621915993734</v>
      </c>
      <c r="S206" s="45">
        <f t="shared" si="56"/>
        <v>1.895621915993734</v>
      </c>
      <c r="T206" s="205">
        <f t="shared" si="52"/>
        <v>3.1364396762671469</v>
      </c>
      <c r="U206" s="45">
        <f t="shared" si="53"/>
        <v>68.107877609974238</v>
      </c>
      <c r="V206" s="45">
        <f t="shared" si="54"/>
        <v>-51.10458808502726</v>
      </c>
      <c r="W206" s="488"/>
      <c r="X206" s="489"/>
      <c r="Y206" s="489"/>
      <c r="Z206" s="490"/>
      <c r="AA206" s="46"/>
    </row>
    <row r="207" spans="1:27" s="421" customFormat="1" x14ac:dyDescent="0.25">
      <c r="A207" s="581">
        <f t="shared" si="50"/>
        <v>0.36143689770569198</v>
      </c>
      <c r="B207" s="31">
        <f t="shared" si="58"/>
        <v>175</v>
      </c>
      <c r="C207" s="434">
        <f>'SOLLECITAZ NASCOSTO'!$D$6/'SOLLECITAZ NASCOSTO'!$B$448*'SOLLECITAZ NASCOSTO'!B207</f>
        <v>1.9065162948212842</v>
      </c>
      <c r="D207" s="434">
        <f t="shared" si="51"/>
        <v>0.48143689770569198</v>
      </c>
      <c r="E207" s="434">
        <f t="shared" si="45"/>
        <v>0.36143689770569198</v>
      </c>
      <c r="F207" s="434">
        <f t="shared" si="46"/>
        <v>0.41565980726582141</v>
      </c>
      <c r="G207" s="434">
        <f t="shared" si="47"/>
        <v>5.2781037835596942E-2</v>
      </c>
      <c r="H207" s="434">
        <f t="shared" si="59"/>
        <v>0</v>
      </c>
      <c r="I207" s="434">
        <v>0</v>
      </c>
      <c r="J207" s="127">
        <f t="shared" si="60"/>
        <v>0.12698133645104295</v>
      </c>
      <c r="K207" s="126">
        <f t="shared" si="48"/>
        <v>6.4562103209415056E-3</v>
      </c>
      <c r="L207" s="41">
        <f t="shared" si="61"/>
        <v>68.745359979470749</v>
      </c>
      <c r="M207" s="41">
        <f t="shared" si="62"/>
        <v>-51.850053592065329</v>
      </c>
      <c r="N207" s="41">
        <f>(IF(C206&lt;='SOLLECITAZ NASCOSTO'!$P$12,IF(C206&lt;='SOLLECITAZ NASCOSTO'!$P$11,IF(C206&lt;='SOLLECITAZ NASCOSTO'!$P$10,IF(C206&lt;='SOLLECITAZ NASCOSTO'!$P$9,IF(C206&lt;='SOLLECITAZ NASCOSTO'!$P$8,IF(C206&lt;='SOLLECITAZ NASCOSTO'!$P$7,IF(C206&lt;='SOLLECITAZ NASCOSTO'!$P$6,IF(C206&lt;='SOLLECITAZ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paramento'!$G$111),55555)-IF(C206&lt;='SOLLECITAZ NASCOSTO'!$P$12,IF(C206&lt;='SOLLECITAZ NASCOSTO'!$P$11,IF(C206&lt;='SOLLECITAZ NASCOSTO'!$P$10,IF(C206&lt;='SOLLECITAZ NASCOSTO'!$P$9,IF(C206&lt;='SOLLECITAZ NASCOSTO'!$P$8,IF(C206&lt;='SOLLECITAZ NASCOSTO'!$P$7,IF(C206&lt;='SOLLECITAZ NASCOSTO'!$P$6,IF(C206&lt;='SOLLECITAZ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paramento'!$G$111))*(C206-IF(C206&lt;='SOLLECITAZ NASCOSTO'!$P$12,IF(C206&lt;='SOLLECITAZ NASCOSTO'!$P$11,IF(C206&lt;='SOLLECITAZ NASCOSTO'!$P$10,IF(C206&lt;='SOLLECITAZ NASCOSTO'!$P$9,IF(C206&lt;='SOLLECITAZ NASCOSTO'!$P$8,IF(C206&lt;='SOLLECITAZ NASCOSTO'!$P$7,IF(C206&lt;='SOLLECITAZ NASCOSTO'!$P$6,IF(C206&lt;='SOLLECITAZ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NASCOSTO'!$P$12))/IF(C206&lt;='SOLLECITAZ NASCOSTO'!$P$12,IF(C206&lt;='SOLLECITAZ NASCOSTO'!$P$11,IF(C206&lt;='SOLLECITAZ NASCOSTO'!$P$10,IF(C206&lt;='SOLLECITAZ NASCOSTO'!$P$9,IF(C206&lt;='SOLLECITAZ NASCOSTO'!$P$8,IF(C206&lt;='SOLLECITAZ NASCOSTO'!$P$7,IF(C206&lt;='SOLLECITAZ NASCOSTO'!$P$6,IF(C206&lt;='SOLLECITAZ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paramento'!$C$111)+IF(C206&lt;='SOLLECITAZ NASCOSTO'!$P$12,IF(C206&lt;='SOLLECITAZ NASCOSTO'!$P$11,IF(C206&lt;='SOLLECITAZ NASCOSTO'!$P$10,IF(C206&lt;='SOLLECITAZ NASCOSTO'!$P$9,IF(C206&lt;='SOLLECITAZ NASCOSTO'!$P$8,IF(C206&lt;='SOLLECITAZ NASCOSTO'!$P$7,IF(C206&lt;='SOLLECITAZ NASCOSTO'!$P$6,IF(C206&lt;='SOLLECITAZ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58.38573589888675</v>
      </c>
      <c r="O207" s="41">
        <f>IF(C207&lt;='SOLLECITAZ NASCOSTO'!$P$12,IF(C207&lt;='SOLLECITAZ NASCOSTO'!$P$11,IF(C207&lt;='SOLLECITAZ NASCOSTO'!$P$10,IF(C207&lt;='SOLLECITAZ NASCOSTO'!$P$9,IF(C207&lt;='SOLLECITAZ NASCOSTO'!$P$8,IF(C207&lt;='SOLLECITAZ NASCOSTO'!$P$7,IF(C207&lt;='SOLLECITAZ NASCOSTO'!$P$6,IF(C207&lt;='SOLLECITAZ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paramento'!$G$110),55555)*(C207-C206)/IF(C207&lt;='SOLLECITAZ NASCOSTO'!$P$12,IF(C207&lt;='SOLLECITAZ NASCOSTO'!$P$11,IF(C207&lt;='SOLLECITAZ NASCOSTO'!$P$10,IF(C207&lt;='SOLLECITAZ NASCOSTO'!$P$9,IF(C207&lt;='SOLLECITAZ NASCOSTO'!$P$8,IF(C207&lt;='SOLLECITAZ NASCOSTO'!$P$7,IF(C207&lt;='SOLLECITAZ NASCOSTO'!$P$6,IF(C207&lt;='SOLLECITAZ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07" s="41">
        <f t="shared" si="57"/>
        <v>1.7399999999999962E-4</v>
      </c>
      <c r="Q207" s="41">
        <f t="shared" si="55"/>
        <v>1</v>
      </c>
      <c r="R207" s="434">
        <f t="shared" si="49"/>
        <v>1.9065162948212842</v>
      </c>
      <c r="S207" s="45">
        <f t="shared" si="56"/>
        <v>1.9065162948212842</v>
      </c>
      <c r="T207" s="205">
        <f t="shared" si="52"/>
        <v>3.1255452974395967</v>
      </c>
      <c r="U207" s="45">
        <f t="shared" si="53"/>
        <v>68.745359979470749</v>
      </c>
      <c r="V207" s="45">
        <f t="shared" si="54"/>
        <v>-51.850053592065329</v>
      </c>
      <c r="W207" s="488"/>
      <c r="X207" s="489"/>
      <c r="Y207" s="489"/>
      <c r="Z207" s="490"/>
      <c r="AA207" s="46"/>
    </row>
    <row r="208" spans="1:27" s="421" customFormat="1" x14ac:dyDescent="0.25">
      <c r="A208" s="581">
        <f t="shared" si="50"/>
        <v>0.36300774045380113</v>
      </c>
      <c r="B208" s="31">
        <f t="shared" si="58"/>
        <v>176</v>
      </c>
      <c r="C208" s="434">
        <f>'SOLLECITAZ NASCOSTO'!$D$6/'SOLLECITAZ NASCOSTO'!$B$448*'SOLLECITAZ NASCOSTO'!B208</f>
        <v>1.9174106736488343</v>
      </c>
      <c r="D208" s="434">
        <f t="shared" si="51"/>
        <v>0.48300774045380113</v>
      </c>
      <c r="E208" s="434">
        <f t="shared" si="45"/>
        <v>0.36300774045380113</v>
      </c>
      <c r="F208" s="434">
        <f t="shared" si="46"/>
        <v>0.41616247694521635</v>
      </c>
      <c r="G208" s="434">
        <f t="shared" si="47"/>
        <v>5.3023436374125849E-2</v>
      </c>
      <c r="H208" s="434">
        <f t="shared" si="59"/>
        <v>0</v>
      </c>
      <c r="I208" s="434">
        <v>0</v>
      </c>
      <c r="J208" s="127">
        <f t="shared" si="60"/>
        <v>0.12741042095706734</v>
      </c>
      <c r="K208" s="126">
        <f t="shared" si="48"/>
        <v>6.5195687843153842E-3</v>
      </c>
      <c r="L208" s="41">
        <f t="shared" si="61"/>
        <v>69.385654437944766</v>
      </c>
      <c r="M208" s="41">
        <f t="shared" si="62"/>
        <v>-52.602479391513889</v>
      </c>
      <c r="N208" s="41">
        <f>(IF(C207&lt;='SOLLECITAZ NASCOSTO'!$P$12,IF(C207&lt;='SOLLECITAZ NASCOSTO'!$P$11,IF(C207&lt;='SOLLECITAZ NASCOSTO'!$P$10,IF(C207&lt;='SOLLECITAZ NASCOSTO'!$P$9,IF(C207&lt;='SOLLECITAZ NASCOSTO'!$P$8,IF(C207&lt;='SOLLECITAZ NASCOSTO'!$P$7,IF(C207&lt;='SOLLECITAZ NASCOSTO'!$P$6,IF(C207&lt;='SOLLECITAZ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paramento'!$G$111),55555)-IF(C207&lt;='SOLLECITAZ NASCOSTO'!$P$12,IF(C207&lt;='SOLLECITAZ NASCOSTO'!$P$11,IF(C207&lt;='SOLLECITAZ NASCOSTO'!$P$10,IF(C207&lt;='SOLLECITAZ NASCOSTO'!$P$9,IF(C207&lt;='SOLLECITAZ NASCOSTO'!$P$8,IF(C207&lt;='SOLLECITAZ NASCOSTO'!$P$7,IF(C207&lt;='SOLLECITAZ NASCOSTO'!$P$6,IF(C207&lt;='SOLLECITAZ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paramento'!$G$111))*(C207-IF(C207&lt;='SOLLECITAZ NASCOSTO'!$P$12,IF(C207&lt;='SOLLECITAZ NASCOSTO'!$P$11,IF(C207&lt;='SOLLECITAZ NASCOSTO'!$P$10,IF(C207&lt;='SOLLECITAZ NASCOSTO'!$P$9,IF(C207&lt;='SOLLECITAZ NASCOSTO'!$P$8,IF(C207&lt;='SOLLECITAZ NASCOSTO'!$P$7,IF(C207&lt;='SOLLECITAZ NASCOSTO'!$P$6,IF(C207&lt;='SOLLECITAZ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NASCOSTO'!$P$12))/IF(C207&lt;='SOLLECITAZ NASCOSTO'!$P$12,IF(C207&lt;='SOLLECITAZ NASCOSTO'!$P$11,IF(C207&lt;='SOLLECITAZ NASCOSTO'!$P$10,IF(C207&lt;='SOLLECITAZ NASCOSTO'!$P$9,IF(C207&lt;='SOLLECITAZ NASCOSTO'!$P$8,IF(C207&lt;='SOLLECITAZ NASCOSTO'!$P$7,IF(C207&lt;='SOLLECITAZ NASCOSTO'!$P$6,IF(C207&lt;='SOLLECITAZ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paramento'!$C$111)+IF(C207&lt;='SOLLECITAZ NASCOSTO'!$P$12,IF(C207&lt;='SOLLECITAZ NASCOSTO'!$P$11,IF(C207&lt;='SOLLECITAZ NASCOSTO'!$P$10,IF(C207&lt;='SOLLECITAZ NASCOSTO'!$P$9,IF(C207&lt;='SOLLECITAZ NASCOSTO'!$P$8,IF(C207&lt;='SOLLECITAZ NASCOSTO'!$P$7,IF(C207&lt;='SOLLECITAZ NASCOSTO'!$P$6,IF(C207&lt;='SOLLECITAZ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58.643858828336157</v>
      </c>
      <c r="O208" s="41">
        <f>IF(C208&lt;='SOLLECITAZ NASCOSTO'!$P$12,IF(C208&lt;='SOLLECITAZ NASCOSTO'!$P$11,IF(C208&lt;='SOLLECITAZ NASCOSTO'!$P$10,IF(C208&lt;='SOLLECITAZ NASCOSTO'!$P$9,IF(C208&lt;='SOLLECITAZ NASCOSTO'!$P$8,IF(C208&lt;='SOLLECITAZ NASCOSTO'!$P$7,IF(C208&lt;='SOLLECITAZ NASCOSTO'!$P$6,IF(C208&lt;='SOLLECITAZ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paramento'!$G$110),55555)*(C208-C207)/IF(C208&lt;='SOLLECITAZ NASCOSTO'!$P$12,IF(C208&lt;='SOLLECITAZ NASCOSTO'!$P$11,IF(C208&lt;='SOLLECITAZ NASCOSTO'!$P$10,IF(C208&lt;='SOLLECITAZ NASCOSTO'!$P$9,IF(C208&lt;='SOLLECITAZ NASCOSTO'!$P$8,IF(C208&lt;='SOLLECITAZ NASCOSTO'!$P$7,IF(C208&lt;='SOLLECITAZ NASCOSTO'!$P$6,IF(C208&lt;='SOLLECITAZ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08" s="41">
        <f t="shared" si="57"/>
        <v>1.7499999999999962E-4</v>
      </c>
      <c r="Q208" s="41">
        <f t="shared" si="55"/>
        <v>1</v>
      </c>
      <c r="R208" s="434">
        <f t="shared" si="49"/>
        <v>1.9174106736488343</v>
      </c>
      <c r="S208" s="45">
        <f t="shared" si="56"/>
        <v>1.9174106736488343</v>
      </c>
      <c r="T208" s="205">
        <f t="shared" si="52"/>
        <v>3.1146509186120466</v>
      </c>
      <c r="U208" s="45">
        <f t="shared" si="53"/>
        <v>69.385654437944766</v>
      </c>
      <c r="V208" s="45">
        <f t="shared" si="54"/>
        <v>-52.602479391513889</v>
      </c>
      <c r="W208" s="488"/>
      <c r="X208" s="489"/>
      <c r="Y208" s="489"/>
      <c r="Z208" s="490"/>
      <c r="AA208" s="46"/>
    </row>
    <row r="209" spans="1:27" s="421" customFormat="1" x14ac:dyDescent="0.25">
      <c r="A209" s="581">
        <f t="shared" si="50"/>
        <v>0.36457858320191028</v>
      </c>
      <c r="B209" s="31">
        <f t="shared" si="58"/>
        <v>177</v>
      </c>
      <c r="C209" s="434">
        <f>'SOLLECITAZ NASCOSTO'!$D$6/'SOLLECITAZ NASCOSTO'!$B$448*'SOLLECITAZ NASCOSTO'!B209</f>
        <v>1.9283050524763845</v>
      </c>
      <c r="D209" s="434">
        <f t="shared" si="51"/>
        <v>0.48457858320191027</v>
      </c>
      <c r="E209" s="434">
        <f t="shared" si="45"/>
        <v>0.36457858320191028</v>
      </c>
      <c r="F209" s="434">
        <f t="shared" si="46"/>
        <v>0.41666514662461129</v>
      </c>
      <c r="G209" s="434">
        <f t="shared" si="47"/>
        <v>5.3266624527675305E-2</v>
      </c>
      <c r="H209" s="434">
        <f t="shared" si="59"/>
        <v>0</v>
      </c>
      <c r="I209" s="434">
        <v>0</v>
      </c>
      <c r="J209" s="127">
        <f t="shared" si="60"/>
        <v>0.12784036524097642</v>
      </c>
      <c r="K209" s="126">
        <f t="shared" si="48"/>
        <v>6.5833352676492622E-3</v>
      </c>
      <c r="L209" s="41">
        <f t="shared" si="61"/>
        <v>70.028760985396275</v>
      </c>
      <c r="M209" s="41">
        <f t="shared" si="62"/>
        <v>-53.361896119335555</v>
      </c>
      <c r="N209" s="41">
        <f>(IF(C208&lt;='SOLLECITAZ NASCOSTO'!$P$12,IF(C208&lt;='SOLLECITAZ NASCOSTO'!$P$11,IF(C208&lt;='SOLLECITAZ NASCOSTO'!$P$10,IF(C208&lt;='SOLLECITAZ NASCOSTO'!$P$9,IF(C208&lt;='SOLLECITAZ NASCOSTO'!$P$8,IF(C208&lt;='SOLLECITAZ NASCOSTO'!$P$7,IF(C208&lt;='SOLLECITAZ NASCOSTO'!$P$6,IF(C208&lt;='SOLLECITAZ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paramento'!$G$111),55555)-IF(C208&lt;='SOLLECITAZ NASCOSTO'!$P$12,IF(C208&lt;='SOLLECITAZ NASCOSTO'!$P$11,IF(C208&lt;='SOLLECITAZ NASCOSTO'!$P$10,IF(C208&lt;='SOLLECITAZ NASCOSTO'!$P$9,IF(C208&lt;='SOLLECITAZ NASCOSTO'!$P$8,IF(C208&lt;='SOLLECITAZ NASCOSTO'!$P$7,IF(C208&lt;='SOLLECITAZ NASCOSTO'!$P$6,IF(C208&lt;='SOLLECITAZ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paramento'!$G$111))*(C208-IF(C208&lt;='SOLLECITAZ NASCOSTO'!$P$12,IF(C208&lt;='SOLLECITAZ NASCOSTO'!$P$11,IF(C208&lt;='SOLLECITAZ NASCOSTO'!$P$10,IF(C208&lt;='SOLLECITAZ NASCOSTO'!$P$9,IF(C208&lt;='SOLLECITAZ NASCOSTO'!$P$8,IF(C208&lt;='SOLLECITAZ NASCOSTO'!$P$7,IF(C208&lt;='SOLLECITAZ NASCOSTO'!$P$6,IF(C208&lt;='SOLLECITAZ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NASCOSTO'!$P$12))/IF(C208&lt;='SOLLECITAZ NASCOSTO'!$P$12,IF(C208&lt;='SOLLECITAZ NASCOSTO'!$P$11,IF(C208&lt;='SOLLECITAZ NASCOSTO'!$P$10,IF(C208&lt;='SOLLECITAZ NASCOSTO'!$P$9,IF(C208&lt;='SOLLECITAZ NASCOSTO'!$P$8,IF(C208&lt;='SOLLECITAZ NASCOSTO'!$P$7,IF(C208&lt;='SOLLECITAZ NASCOSTO'!$P$6,IF(C208&lt;='SOLLECITAZ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paramento'!$C$111)+IF(C208&lt;='SOLLECITAZ NASCOSTO'!$P$12,IF(C208&lt;='SOLLECITAZ NASCOSTO'!$P$11,IF(C208&lt;='SOLLECITAZ NASCOSTO'!$P$10,IF(C208&lt;='SOLLECITAZ NASCOSTO'!$P$9,IF(C208&lt;='SOLLECITAZ NASCOSTO'!$P$8,IF(C208&lt;='SOLLECITAZ NASCOSTO'!$P$7,IF(C208&lt;='SOLLECITAZ NASCOSTO'!$P$6,IF(C208&lt;='SOLLECITAZ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58.901981757785563</v>
      </c>
      <c r="O209" s="41">
        <f>IF(C209&lt;='SOLLECITAZ NASCOSTO'!$P$12,IF(C209&lt;='SOLLECITAZ NASCOSTO'!$P$11,IF(C209&lt;='SOLLECITAZ NASCOSTO'!$P$10,IF(C209&lt;='SOLLECITAZ NASCOSTO'!$P$9,IF(C209&lt;='SOLLECITAZ NASCOSTO'!$P$8,IF(C209&lt;='SOLLECITAZ NASCOSTO'!$P$7,IF(C209&lt;='SOLLECITAZ NASCOSTO'!$P$6,IF(C209&lt;='SOLLECITAZ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paramento'!$G$110),55555)*(C209-C208)/IF(C209&lt;='SOLLECITAZ NASCOSTO'!$P$12,IF(C209&lt;='SOLLECITAZ NASCOSTO'!$P$11,IF(C209&lt;='SOLLECITAZ NASCOSTO'!$P$10,IF(C209&lt;='SOLLECITAZ NASCOSTO'!$P$9,IF(C209&lt;='SOLLECITAZ NASCOSTO'!$P$8,IF(C209&lt;='SOLLECITAZ NASCOSTO'!$P$7,IF(C209&lt;='SOLLECITAZ NASCOSTO'!$P$6,IF(C209&lt;='SOLLECITAZ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09" s="41">
        <f t="shared" si="57"/>
        <v>1.7599999999999962E-4</v>
      </c>
      <c r="Q209" s="41">
        <f t="shared" si="55"/>
        <v>1</v>
      </c>
      <c r="R209" s="434">
        <f t="shared" si="49"/>
        <v>1.9283050524763845</v>
      </c>
      <c r="S209" s="45">
        <f t="shared" si="56"/>
        <v>1.9283050524763845</v>
      </c>
      <c r="T209" s="205">
        <f t="shared" si="52"/>
        <v>3.1037565397844964</v>
      </c>
      <c r="U209" s="45">
        <f t="shared" si="53"/>
        <v>70.028760985396275</v>
      </c>
      <c r="V209" s="45">
        <f t="shared" si="54"/>
        <v>-53.361896119335555</v>
      </c>
      <c r="W209" s="488"/>
      <c r="X209" s="489"/>
      <c r="Y209" s="489"/>
      <c r="Z209" s="490"/>
      <c r="AA209" s="46"/>
    </row>
    <row r="210" spans="1:27" s="421" customFormat="1" x14ac:dyDescent="0.25">
      <c r="A210" s="581">
        <f t="shared" si="50"/>
        <v>0.36614942595001942</v>
      </c>
      <c r="B210" s="31">
        <f t="shared" si="58"/>
        <v>178</v>
      </c>
      <c r="C210" s="434">
        <f>'SOLLECITAZ NASCOSTO'!$D$6/'SOLLECITAZ NASCOSTO'!$B$448*'SOLLECITAZ NASCOSTO'!B210</f>
        <v>1.9391994313039347</v>
      </c>
      <c r="D210" s="434">
        <f t="shared" si="51"/>
        <v>0.48614942595001942</v>
      </c>
      <c r="E210" s="434">
        <f t="shared" si="45"/>
        <v>0.36614942595001942</v>
      </c>
      <c r="F210" s="434">
        <f t="shared" si="46"/>
        <v>0.41716781630400623</v>
      </c>
      <c r="G210" s="434">
        <f t="shared" si="47"/>
        <v>5.3510602296245352E-2</v>
      </c>
      <c r="H210" s="434">
        <f t="shared" si="59"/>
        <v>0</v>
      </c>
      <c r="I210" s="434">
        <v>0</v>
      </c>
      <c r="J210" s="127">
        <f t="shared" si="60"/>
        <v>0.12827116619478171</v>
      </c>
      <c r="K210" s="126">
        <f t="shared" si="48"/>
        <v>6.6475107722407528E-3</v>
      </c>
      <c r="L210" s="41">
        <f t="shared" si="61"/>
        <v>70.674679621825291</v>
      </c>
      <c r="M210" s="41">
        <f t="shared" si="62"/>
        <v>-54.128334411492943</v>
      </c>
      <c r="N210" s="41">
        <f>(IF(C209&lt;='SOLLECITAZ NASCOSTO'!$P$12,IF(C209&lt;='SOLLECITAZ NASCOSTO'!$P$11,IF(C209&lt;='SOLLECITAZ NASCOSTO'!$P$10,IF(C209&lt;='SOLLECITAZ NASCOSTO'!$P$9,IF(C209&lt;='SOLLECITAZ NASCOSTO'!$P$8,IF(C209&lt;='SOLLECITAZ NASCOSTO'!$P$7,IF(C209&lt;='SOLLECITAZ NASCOSTO'!$P$6,IF(C209&lt;='SOLLECITAZ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paramento'!$G$111),55555)-IF(C209&lt;='SOLLECITAZ NASCOSTO'!$P$12,IF(C209&lt;='SOLLECITAZ NASCOSTO'!$P$11,IF(C209&lt;='SOLLECITAZ NASCOSTO'!$P$10,IF(C209&lt;='SOLLECITAZ NASCOSTO'!$P$9,IF(C209&lt;='SOLLECITAZ NASCOSTO'!$P$8,IF(C209&lt;='SOLLECITAZ NASCOSTO'!$P$7,IF(C209&lt;='SOLLECITAZ NASCOSTO'!$P$6,IF(C209&lt;='SOLLECITAZ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paramento'!$G$111))*(C209-IF(C209&lt;='SOLLECITAZ NASCOSTO'!$P$12,IF(C209&lt;='SOLLECITAZ NASCOSTO'!$P$11,IF(C209&lt;='SOLLECITAZ NASCOSTO'!$P$10,IF(C209&lt;='SOLLECITAZ NASCOSTO'!$P$9,IF(C209&lt;='SOLLECITAZ NASCOSTO'!$P$8,IF(C209&lt;='SOLLECITAZ NASCOSTO'!$P$7,IF(C209&lt;='SOLLECITAZ NASCOSTO'!$P$6,IF(C209&lt;='SOLLECITAZ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NASCOSTO'!$P$12))/IF(C209&lt;='SOLLECITAZ NASCOSTO'!$P$12,IF(C209&lt;='SOLLECITAZ NASCOSTO'!$P$11,IF(C209&lt;='SOLLECITAZ NASCOSTO'!$P$10,IF(C209&lt;='SOLLECITAZ NASCOSTO'!$P$9,IF(C209&lt;='SOLLECITAZ NASCOSTO'!$P$8,IF(C209&lt;='SOLLECITAZ NASCOSTO'!$P$7,IF(C209&lt;='SOLLECITAZ NASCOSTO'!$P$6,IF(C209&lt;='SOLLECITAZ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paramento'!$C$111)+IF(C209&lt;='SOLLECITAZ NASCOSTO'!$P$12,IF(C209&lt;='SOLLECITAZ NASCOSTO'!$P$11,IF(C209&lt;='SOLLECITAZ NASCOSTO'!$P$10,IF(C209&lt;='SOLLECITAZ NASCOSTO'!$P$9,IF(C209&lt;='SOLLECITAZ NASCOSTO'!$P$8,IF(C209&lt;='SOLLECITAZ NASCOSTO'!$P$7,IF(C209&lt;='SOLLECITAZ NASCOSTO'!$P$6,IF(C209&lt;='SOLLECITAZ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59.16010468723497</v>
      </c>
      <c r="O210" s="41">
        <f>IF(C210&lt;='SOLLECITAZ NASCOSTO'!$P$12,IF(C210&lt;='SOLLECITAZ NASCOSTO'!$P$11,IF(C210&lt;='SOLLECITAZ NASCOSTO'!$P$10,IF(C210&lt;='SOLLECITAZ NASCOSTO'!$P$9,IF(C210&lt;='SOLLECITAZ NASCOSTO'!$P$8,IF(C210&lt;='SOLLECITAZ NASCOSTO'!$P$7,IF(C210&lt;='SOLLECITAZ NASCOSTO'!$P$6,IF(C210&lt;='SOLLECITAZ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paramento'!$G$110),55555)*(C210-C209)/IF(C210&lt;='SOLLECITAZ NASCOSTO'!$P$12,IF(C210&lt;='SOLLECITAZ NASCOSTO'!$P$11,IF(C210&lt;='SOLLECITAZ NASCOSTO'!$P$10,IF(C210&lt;='SOLLECITAZ NASCOSTO'!$P$9,IF(C210&lt;='SOLLECITAZ NASCOSTO'!$P$8,IF(C210&lt;='SOLLECITAZ NASCOSTO'!$P$7,IF(C210&lt;='SOLLECITAZ NASCOSTO'!$P$6,IF(C210&lt;='SOLLECITAZ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10" s="41">
        <f t="shared" si="57"/>
        <v>1.7699999999999961E-4</v>
      </c>
      <c r="Q210" s="41">
        <f t="shared" si="55"/>
        <v>1</v>
      </c>
      <c r="R210" s="434">
        <f t="shared" si="49"/>
        <v>1.9391994313039347</v>
      </c>
      <c r="S210" s="45">
        <f t="shared" si="56"/>
        <v>1.9391994313039347</v>
      </c>
      <c r="T210" s="205">
        <f t="shared" si="52"/>
        <v>3.0928621609569462</v>
      </c>
      <c r="U210" s="45">
        <f t="shared" si="53"/>
        <v>70.674679621825291</v>
      </c>
      <c r="V210" s="45">
        <f t="shared" si="54"/>
        <v>-54.128334411492943</v>
      </c>
      <c r="W210" s="488"/>
      <c r="X210" s="489"/>
      <c r="Y210" s="489"/>
      <c r="Z210" s="490"/>
      <c r="AA210" s="46"/>
    </row>
    <row r="211" spans="1:27" s="421" customFormat="1" x14ac:dyDescent="0.25">
      <c r="A211" s="581">
        <f t="shared" si="50"/>
        <v>0.36772026869812868</v>
      </c>
      <c r="B211" s="31">
        <f t="shared" si="58"/>
        <v>179</v>
      </c>
      <c r="C211" s="434">
        <f>'SOLLECITAZ NASCOSTO'!$D$6/'SOLLECITAZ NASCOSTO'!$B$448*'SOLLECITAZ NASCOSTO'!B211</f>
        <v>1.9500938101314849</v>
      </c>
      <c r="D211" s="434">
        <f t="shared" si="51"/>
        <v>0.48772026869812868</v>
      </c>
      <c r="E211" s="434">
        <f t="shared" si="45"/>
        <v>0.36772026869812868</v>
      </c>
      <c r="F211" s="434">
        <f t="shared" si="46"/>
        <v>0.41767048598340117</v>
      </c>
      <c r="G211" s="434">
        <f t="shared" si="47"/>
        <v>5.3755369679835976E-2</v>
      </c>
      <c r="H211" s="434">
        <f t="shared" si="59"/>
        <v>0</v>
      </c>
      <c r="I211" s="434">
        <v>0</v>
      </c>
      <c r="J211" s="127">
        <f t="shared" si="60"/>
        <v>0.1287028207254565</v>
      </c>
      <c r="K211" s="126">
        <f t="shared" si="48"/>
        <v>6.7120962975527739E-3</v>
      </c>
      <c r="L211" s="41">
        <f t="shared" si="61"/>
        <v>71.3234103472318</v>
      </c>
      <c r="M211" s="41">
        <f t="shared" si="62"/>
        <v>-54.901824903948672</v>
      </c>
      <c r="N211" s="41">
        <f>(IF(C210&lt;='SOLLECITAZ NASCOSTO'!$P$12,IF(C210&lt;='SOLLECITAZ NASCOSTO'!$P$11,IF(C210&lt;='SOLLECITAZ NASCOSTO'!$P$10,IF(C210&lt;='SOLLECITAZ NASCOSTO'!$P$9,IF(C210&lt;='SOLLECITAZ NASCOSTO'!$P$8,IF(C210&lt;='SOLLECITAZ NASCOSTO'!$P$7,IF(C210&lt;='SOLLECITAZ NASCOSTO'!$P$6,IF(C210&lt;='SOLLECITAZ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paramento'!$G$111),55555)-IF(C210&lt;='SOLLECITAZ NASCOSTO'!$P$12,IF(C210&lt;='SOLLECITAZ NASCOSTO'!$P$11,IF(C210&lt;='SOLLECITAZ NASCOSTO'!$P$10,IF(C210&lt;='SOLLECITAZ NASCOSTO'!$P$9,IF(C210&lt;='SOLLECITAZ NASCOSTO'!$P$8,IF(C210&lt;='SOLLECITAZ NASCOSTO'!$P$7,IF(C210&lt;='SOLLECITAZ NASCOSTO'!$P$6,IF(C210&lt;='SOLLECITAZ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paramento'!$G$111))*(C210-IF(C210&lt;='SOLLECITAZ NASCOSTO'!$P$12,IF(C210&lt;='SOLLECITAZ NASCOSTO'!$P$11,IF(C210&lt;='SOLLECITAZ NASCOSTO'!$P$10,IF(C210&lt;='SOLLECITAZ NASCOSTO'!$P$9,IF(C210&lt;='SOLLECITAZ NASCOSTO'!$P$8,IF(C210&lt;='SOLLECITAZ NASCOSTO'!$P$7,IF(C210&lt;='SOLLECITAZ NASCOSTO'!$P$6,IF(C210&lt;='SOLLECITAZ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NASCOSTO'!$P$12))/IF(C210&lt;='SOLLECITAZ NASCOSTO'!$P$12,IF(C210&lt;='SOLLECITAZ NASCOSTO'!$P$11,IF(C210&lt;='SOLLECITAZ NASCOSTO'!$P$10,IF(C210&lt;='SOLLECITAZ NASCOSTO'!$P$9,IF(C210&lt;='SOLLECITAZ NASCOSTO'!$P$8,IF(C210&lt;='SOLLECITAZ NASCOSTO'!$P$7,IF(C210&lt;='SOLLECITAZ NASCOSTO'!$P$6,IF(C210&lt;='SOLLECITAZ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paramento'!$C$111)+IF(C210&lt;='SOLLECITAZ NASCOSTO'!$P$12,IF(C210&lt;='SOLLECITAZ NASCOSTO'!$P$11,IF(C210&lt;='SOLLECITAZ NASCOSTO'!$P$10,IF(C210&lt;='SOLLECITAZ NASCOSTO'!$P$9,IF(C210&lt;='SOLLECITAZ NASCOSTO'!$P$8,IF(C210&lt;='SOLLECITAZ NASCOSTO'!$P$7,IF(C210&lt;='SOLLECITAZ NASCOSTO'!$P$6,IF(C210&lt;='SOLLECITAZ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59.418227616684376</v>
      </c>
      <c r="O211" s="41">
        <f>IF(C211&lt;='SOLLECITAZ NASCOSTO'!$P$12,IF(C211&lt;='SOLLECITAZ NASCOSTO'!$P$11,IF(C211&lt;='SOLLECITAZ NASCOSTO'!$P$10,IF(C211&lt;='SOLLECITAZ NASCOSTO'!$P$9,IF(C211&lt;='SOLLECITAZ NASCOSTO'!$P$8,IF(C211&lt;='SOLLECITAZ NASCOSTO'!$P$7,IF(C211&lt;='SOLLECITAZ NASCOSTO'!$P$6,IF(C211&lt;='SOLLECITAZ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paramento'!$G$110),55555)*(C211-C210)/IF(C211&lt;='SOLLECITAZ NASCOSTO'!$P$12,IF(C211&lt;='SOLLECITAZ NASCOSTO'!$P$11,IF(C211&lt;='SOLLECITAZ NASCOSTO'!$P$10,IF(C211&lt;='SOLLECITAZ NASCOSTO'!$P$9,IF(C211&lt;='SOLLECITAZ NASCOSTO'!$P$8,IF(C211&lt;='SOLLECITAZ NASCOSTO'!$P$7,IF(C211&lt;='SOLLECITAZ NASCOSTO'!$P$6,IF(C211&lt;='SOLLECITAZ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11" s="41">
        <f t="shared" si="57"/>
        <v>1.7799999999999961E-4</v>
      </c>
      <c r="Q211" s="41">
        <f t="shared" si="55"/>
        <v>1</v>
      </c>
      <c r="R211" s="434">
        <f t="shared" si="49"/>
        <v>1.9500938101314849</v>
      </c>
      <c r="S211" s="45">
        <f t="shared" si="56"/>
        <v>1.9500938101314849</v>
      </c>
      <c r="T211" s="205">
        <f t="shared" si="52"/>
        <v>3.081967782129396</v>
      </c>
      <c r="U211" s="45">
        <f t="shared" si="53"/>
        <v>71.3234103472318</v>
      </c>
      <c r="V211" s="45">
        <f t="shared" si="54"/>
        <v>-54.901824903948672</v>
      </c>
      <c r="W211" s="488"/>
      <c r="X211" s="489"/>
      <c r="Y211" s="489"/>
      <c r="Z211" s="490"/>
      <c r="AA211" s="46"/>
    </row>
    <row r="212" spans="1:27" s="421" customFormat="1" x14ac:dyDescent="0.25">
      <c r="A212" s="581">
        <f t="shared" si="50"/>
        <v>0.36929111144623783</v>
      </c>
      <c r="B212" s="31">
        <f t="shared" si="58"/>
        <v>180</v>
      </c>
      <c r="C212" s="434">
        <f>'SOLLECITAZ NASCOSTO'!$D$6/'SOLLECITAZ NASCOSTO'!$B$448*'SOLLECITAZ NASCOSTO'!B212</f>
        <v>1.960988188959035</v>
      </c>
      <c r="D212" s="434">
        <f t="shared" si="51"/>
        <v>0.48929111144623783</v>
      </c>
      <c r="E212" s="434">
        <f t="shared" si="45"/>
        <v>0.36929111144623783</v>
      </c>
      <c r="F212" s="434">
        <f t="shared" si="46"/>
        <v>0.41817315566279611</v>
      </c>
      <c r="G212" s="434">
        <f t="shared" si="47"/>
        <v>5.400092667844715E-2</v>
      </c>
      <c r="H212" s="434">
        <f t="shared" si="59"/>
        <v>0</v>
      </c>
      <c r="I212" s="434">
        <v>0</v>
      </c>
      <c r="J212" s="127">
        <f t="shared" si="60"/>
        <v>0.12913532575484613</v>
      </c>
      <c r="K212" s="126">
        <f t="shared" si="48"/>
        <v>6.7770928412245364E-3</v>
      </c>
      <c r="L212" s="41">
        <f t="shared" si="61"/>
        <v>71.974953161615815</v>
      </c>
      <c r="M212" s="41">
        <f t="shared" si="62"/>
        <v>-55.682398232665363</v>
      </c>
      <c r="N212" s="41">
        <f>(IF(C211&lt;='SOLLECITAZ NASCOSTO'!$P$12,IF(C211&lt;='SOLLECITAZ NASCOSTO'!$P$11,IF(C211&lt;='SOLLECITAZ NASCOSTO'!$P$10,IF(C211&lt;='SOLLECITAZ NASCOSTO'!$P$9,IF(C211&lt;='SOLLECITAZ NASCOSTO'!$P$8,IF(C211&lt;='SOLLECITAZ NASCOSTO'!$P$7,IF(C211&lt;='SOLLECITAZ NASCOSTO'!$P$6,IF(C211&lt;='SOLLECITAZ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paramento'!$G$111),55555)-IF(C211&lt;='SOLLECITAZ NASCOSTO'!$P$12,IF(C211&lt;='SOLLECITAZ NASCOSTO'!$P$11,IF(C211&lt;='SOLLECITAZ NASCOSTO'!$P$10,IF(C211&lt;='SOLLECITAZ NASCOSTO'!$P$9,IF(C211&lt;='SOLLECITAZ NASCOSTO'!$P$8,IF(C211&lt;='SOLLECITAZ NASCOSTO'!$P$7,IF(C211&lt;='SOLLECITAZ NASCOSTO'!$P$6,IF(C211&lt;='SOLLECITAZ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paramento'!$G$111))*(C211-IF(C211&lt;='SOLLECITAZ NASCOSTO'!$P$12,IF(C211&lt;='SOLLECITAZ NASCOSTO'!$P$11,IF(C211&lt;='SOLLECITAZ NASCOSTO'!$P$10,IF(C211&lt;='SOLLECITAZ NASCOSTO'!$P$9,IF(C211&lt;='SOLLECITAZ NASCOSTO'!$P$8,IF(C211&lt;='SOLLECITAZ NASCOSTO'!$P$7,IF(C211&lt;='SOLLECITAZ NASCOSTO'!$P$6,IF(C211&lt;='SOLLECITAZ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NASCOSTO'!$P$12))/IF(C211&lt;='SOLLECITAZ NASCOSTO'!$P$12,IF(C211&lt;='SOLLECITAZ NASCOSTO'!$P$11,IF(C211&lt;='SOLLECITAZ NASCOSTO'!$P$10,IF(C211&lt;='SOLLECITAZ NASCOSTO'!$P$9,IF(C211&lt;='SOLLECITAZ NASCOSTO'!$P$8,IF(C211&lt;='SOLLECITAZ NASCOSTO'!$P$7,IF(C211&lt;='SOLLECITAZ NASCOSTO'!$P$6,IF(C211&lt;='SOLLECITAZ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paramento'!$C$111)+IF(C211&lt;='SOLLECITAZ NASCOSTO'!$P$12,IF(C211&lt;='SOLLECITAZ NASCOSTO'!$P$11,IF(C211&lt;='SOLLECITAZ NASCOSTO'!$P$10,IF(C211&lt;='SOLLECITAZ NASCOSTO'!$P$9,IF(C211&lt;='SOLLECITAZ NASCOSTO'!$P$8,IF(C211&lt;='SOLLECITAZ NASCOSTO'!$P$7,IF(C211&lt;='SOLLECITAZ NASCOSTO'!$P$6,IF(C211&lt;='SOLLECITAZ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59.676350546133776</v>
      </c>
      <c r="O212" s="41">
        <f>IF(C212&lt;='SOLLECITAZ NASCOSTO'!$P$12,IF(C212&lt;='SOLLECITAZ NASCOSTO'!$P$11,IF(C212&lt;='SOLLECITAZ NASCOSTO'!$P$10,IF(C212&lt;='SOLLECITAZ NASCOSTO'!$P$9,IF(C212&lt;='SOLLECITAZ NASCOSTO'!$P$8,IF(C212&lt;='SOLLECITAZ NASCOSTO'!$P$7,IF(C212&lt;='SOLLECITAZ NASCOSTO'!$P$6,IF(C212&lt;='SOLLECITAZ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paramento'!$G$110),55555)*(C212-C211)/IF(C212&lt;='SOLLECITAZ NASCOSTO'!$P$12,IF(C212&lt;='SOLLECITAZ NASCOSTO'!$P$11,IF(C212&lt;='SOLLECITAZ NASCOSTO'!$P$10,IF(C212&lt;='SOLLECITAZ NASCOSTO'!$P$9,IF(C212&lt;='SOLLECITAZ NASCOSTO'!$P$8,IF(C212&lt;='SOLLECITAZ NASCOSTO'!$P$7,IF(C212&lt;='SOLLECITAZ NASCOSTO'!$P$6,IF(C212&lt;='SOLLECITAZ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12" s="41">
        <f t="shared" si="57"/>
        <v>1.7899999999999961E-4</v>
      </c>
      <c r="Q212" s="41">
        <f t="shared" si="55"/>
        <v>1</v>
      </c>
      <c r="R212" s="434">
        <f t="shared" si="49"/>
        <v>1.960988188959035</v>
      </c>
      <c r="S212" s="45">
        <f t="shared" si="56"/>
        <v>1.960988188959035</v>
      </c>
      <c r="T212" s="205">
        <f t="shared" si="52"/>
        <v>3.0710734033018459</v>
      </c>
      <c r="U212" s="45">
        <f t="shared" si="53"/>
        <v>71.974953161615815</v>
      </c>
      <c r="V212" s="45">
        <f t="shared" si="54"/>
        <v>-55.682398232665363</v>
      </c>
      <c r="W212" s="488"/>
      <c r="X212" s="489"/>
      <c r="Y212" s="489"/>
      <c r="Z212" s="490"/>
      <c r="AA212" s="46"/>
    </row>
    <row r="213" spans="1:27" s="421" customFormat="1" x14ac:dyDescent="0.25">
      <c r="A213" s="581">
        <f t="shared" si="50"/>
        <v>0.37086195419434698</v>
      </c>
      <c r="B213" s="31">
        <f t="shared" si="58"/>
        <v>181</v>
      </c>
      <c r="C213" s="434">
        <f>'SOLLECITAZ NASCOSTO'!$D$6/'SOLLECITAZ NASCOSTO'!$B$448*'SOLLECITAZ NASCOSTO'!B213</f>
        <v>1.9718825677865852</v>
      </c>
      <c r="D213" s="434">
        <f t="shared" si="51"/>
        <v>0.49086195419434697</v>
      </c>
      <c r="E213" s="434">
        <f t="shared" si="45"/>
        <v>0.37086195419434698</v>
      </c>
      <c r="F213" s="434">
        <f t="shared" si="46"/>
        <v>0.41867582534219105</v>
      </c>
      <c r="G213" s="434">
        <f t="shared" si="47"/>
        <v>5.4247273292078915E-2</v>
      </c>
      <c r="H213" s="434">
        <f t="shared" si="59"/>
        <v>0</v>
      </c>
      <c r="I213" s="434">
        <v>0</v>
      </c>
      <c r="J213" s="127">
        <f t="shared" si="60"/>
        <v>0.12956867821957876</v>
      </c>
      <c r="K213" s="126">
        <f t="shared" si="48"/>
        <v>6.8425013990825395E-3</v>
      </c>
      <c r="L213" s="41">
        <f t="shared" si="61"/>
        <v>72.629308064977323</v>
      </c>
      <c r="M213" s="41">
        <f t="shared" si="62"/>
        <v>-56.470085033605628</v>
      </c>
      <c r="N213" s="41">
        <f>(IF(C212&lt;='SOLLECITAZ NASCOSTO'!$P$12,IF(C212&lt;='SOLLECITAZ NASCOSTO'!$P$11,IF(C212&lt;='SOLLECITAZ NASCOSTO'!$P$10,IF(C212&lt;='SOLLECITAZ NASCOSTO'!$P$9,IF(C212&lt;='SOLLECITAZ NASCOSTO'!$P$8,IF(C212&lt;='SOLLECITAZ NASCOSTO'!$P$7,IF(C212&lt;='SOLLECITAZ NASCOSTO'!$P$6,IF(C212&lt;='SOLLECITAZ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paramento'!$G$111),55555)-IF(C212&lt;='SOLLECITAZ NASCOSTO'!$P$12,IF(C212&lt;='SOLLECITAZ NASCOSTO'!$P$11,IF(C212&lt;='SOLLECITAZ NASCOSTO'!$P$10,IF(C212&lt;='SOLLECITAZ NASCOSTO'!$P$9,IF(C212&lt;='SOLLECITAZ NASCOSTO'!$P$8,IF(C212&lt;='SOLLECITAZ NASCOSTO'!$P$7,IF(C212&lt;='SOLLECITAZ NASCOSTO'!$P$6,IF(C212&lt;='SOLLECITAZ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paramento'!$G$111))*(C212-IF(C212&lt;='SOLLECITAZ NASCOSTO'!$P$12,IF(C212&lt;='SOLLECITAZ NASCOSTO'!$P$11,IF(C212&lt;='SOLLECITAZ NASCOSTO'!$P$10,IF(C212&lt;='SOLLECITAZ NASCOSTO'!$P$9,IF(C212&lt;='SOLLECITAZ NASCOSTO'!$P$8,IF(C212&lt;='SOLLECITAZ NASCOSTO'!$P$7,IF(C212&lt;='SOLLECITAZ NASCOSTO'!$P$6,IF(C212&lt;='SOLLECITAZ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NASCOSTO'!$P$12))/IF(C212&lt;='SOLLECITAZ NASCOSTO'!$P$12,IF(C212&lt;='SOLLECITAZ NASCOSTO'!$P$11,IF(C212&lt;='SOLLECITAZ NASCOSTO'!$P$10,IF(C212&lt;='SOLLECITAZ NASCOSTO'!$P$9,IF(C212&lt;='SOLLECITAZ NASCOSTO'!$P$8,IF(C212&lt;='SOLLECITAZ NASCOSTO'!$P$7,IF(C212&lt;='SOLLECITAZ NASCOSTO'!$P$6,IF(C212&lt;='SOLLECITAZ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paramento'!$C$111)+IF(C212&lt;='SOLLECITAZ NASCOSTO'!$P$12,IF(C212&lt;='SOLLECITAZ NASCOSTO'!$P$11,IF(C212&lt;='SOLLECITAZ NASCOSTO'!$P$10,IF(C212&lt;='SOLLECITAZ NASCOSTO'!$P$9,IF(C212&lt;='SOLLECITAZ NASCOSTO'!$P$8,IF(C212&lt;='SOLLECITAZ NASCOSTO'!$P$7,IF(C212&lt;='SOLLECITAZ NASCOSTO'!$P$6,IF(C212&lt;='SOLLECITAZ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59.934473475583182</v>
      </c>
      <c r="O213" s="41">
        <f>IF(C213&lt;='SOLLECITAZ NASCOSTO'!$P$12,IF(C213&lt;='SOLLECITAZ NASCOSTO'!$P$11,IF(C213&lt;='SOLLECITAZ NASCOSTO'!$P$10,IF(C213&lt;='SOLLECITAZ NASCOSTO'!$P$9,IF(C213&lt;='SOLLECITAZ NASCOSTO'!$P$8,IF(C213&lt;='SOLLECITAZ NASCOSTO'!$P$7,IF(C213&lt;='SOLLECITAZ NASCOSTO'!$P$6,IF(C213&lt;='SOLLECITAZ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paramento'!$G$110),55555)*(C213-C212)/IF(C213&lt;='SOLLECITAZ NASCOSTO'!$P$12,IF(C213&lt;='SOLLECITAZ NASCOSTO'!$P$11,IF(C213&lt;='SOLLECITAZ NASCOSTO'!$P$10,IF(C213&lt;='SOLLECITAZ NASCOSTO'!$P$9,IF(C213&lt;='SOLLECITAZ NASCOSTO'!$P$8,IF(C213&lt;='SOLLECITAZ NASCOSTO'!$P$7,IF(C213&lt;='SOLLECITAZ NASCOSTO'!$P$6,IF(C213&lt;='SOLLECITAZ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13" s="41">
        <f t="shared" si="57"/>
        <v>1.799999999999996E-4</v>
      </c>
      <c r="Q213" s="41">
        <f t="shared" si="55"/>
        <v>1</v>
      </c>
      <c r="R213" s="434">
        <f t="shared" si="49"/>
        <v>1.9718825677865852</v>
      </c>
      <c r="S213" s="45">
        <f t="shared" si="56"/>
        <v>1.9718825677865852</v>
      </c>
      <c r="T213" s="205">
        <f t="shared" si="52"/>
        <v>3.0601790244742957</v>
      </c>
      <c r="U213" s="45">
        <f t="shared" si="53"/>
        <v>72.629308064977323</v>
      </c>
      <c r="V213" s="45">
        <f t="shared" si="54"/>
        <v>-56.470085033605628</v>
      </c>
      <c r="W213" s="488"/>
      <c r="X213" s="489"/>
      <c r="Y213" s="489"/>
      <c r="Z213" s="490"/>
      <c r="AA213" s="46"/>
    </row>
    <row r="214" spans="1:27" s="421" customFormat="1" x14ac:dyDescent="0.25">
      <c r="A214" s="581">
        <f t="shared" si="50"/>
        <v>0.37243279694245612</v>
      </c>
      <c r="B214" s="31">
        <f t="shared" si="58"/>
        <v>182</v>
      </c>
      <c r="C214" s="434">
        <f>'SOLLECITAZ NASCOSTO'!$D$6/'SOLLECITAZ NASCOSTO'!$B$448*'SOLLECITAZ NASCOSTO'!B214</f>
        <v>1.9827769466141354</v>
      </c>
      <c r="D214" s="434">
        <f t="shared" si="51"/>
        <v>0.49243279694245612</v>
      </c>
      <c r="E214" s="434">
        <f t="shared" si="45"/>
        <v>0.37243279694245612</v>
      </c>
      <c r="F214" s="434">
        <f t="shared" si="46"/>
        <v>0.41917849502158594</v>
      </c>
      <c r="G214" s="434">
        <f t="shared" si="47"/>
        <v>5.449440952073123E-2</v>
      </c>
      <c r="H214" s="434">
        <f t="shared" si="59"/>
        <v>0</v>
      </c>
      <c r="I214" s="434">
        <v>0</v>
      </c>
      <c r="J214" s="127">
        <f t="shared" si="60"/>
        <v>0.1300028750709766</v>
      </c>
      <c r="K214" s="126">
        <f t="shared" si="48"/>
        <v>6.9083229651514047E-3</v>
      </c>
      <c r="L214" s="41">
        <f t="shared" si="61"/>
        <v>73.286475057316324</v>
      </c>
      <c r="M214" s="41">
        <f t="shared" si="62"/>
        <v>-57.264915942732088</v>
      </c>
      <c r="N214" s="41">
        <f>(IF(C213&lt;='SOLLECITAZ NASCOSTO'!$P$12,IF(C213&lt;='SOLLECITAZ NASCOSTO'!$P$11,IF(C213&lt;='SOLLECITAZ NASCOSTO'!$P$10,IF(C213&lt;='SOLLECITAZ NASCOSTO'!$P$9,IF(C213&lt;='SOLLECITAZ NASCOSTO'!$P$8,IF(C213&lt;='SOLLECITAZ NASCOSTO'!$P$7,IF(C213&lt;='SOLLECITAZ NASCOSTO'!$P$6,IF(C213&lt;='SOLLECITAZ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paramento'!$G$111),55555)-IF(C213&lt;='SOLLECITAZ NASCOSTO'!$P$12,IF(C213&lt;='SOLLECITAZ NASCOSTO'!$P$11,IF(C213&lt;='SOLLECITAZ NASCOSTO'!$P$10,IF(C213&lt;='SOLLECITAZ NASCOSTO'!$P$9,IF(C213&lt;='SOLLECITAZ NASCOSTO'!$P$8,IF(C213&lt;='SOLLECITAZ NASCOSTO'!$P$7,IF(C213&lt;='SOLLECITAZ NASCOSTO'!$P$6,IF(C213&lt;='SOLLECITAZ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paramento'!$G$111))*(C213-IF(C213&lt;='SOLLECITAZ NASCOSTO'!$P$12,IF(C213&lt;='SOLLECITAZ NASCOSTO'!$P$11,IF(C213&lt;='SOLLECITAZ NASCOSTO'!$P$10,IF(C213&lt;='SOLLECITAZ NASCOSTO'!$P$9,IF(C213&lt;='SOLLECITAZ NASCOSTO'!$P$8,IF(C213&lt;='SOLLECITAZ NASCOSTO'!$P$7,IF(C213&lt;='SOLLECITAZ NASCOSTO'!$P$6,IF(C213&lt;='SOLLECITAZ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NASCOSTO'!$P$12))/IF(C213&lt;='SOLLECITAZ NASCOSTO'!$P$12,IF(C213&lt;='SOLLECITAZ NASCOSTO'!$P$11,IF(C213&lt;='SOLLECITAZ NASCOSTO'!$P$10,IF(C213&lt;='SOLLECITAZ NASCOSTO'!$P$9,IF(C213&lt;='SOLLECITAZ NASCOSTO'!$P$8,IF(C213&lt;='SOLLECITAZ NASCOSTO'!$P$7,IF(C213&lt;='SOLLECITAZ NASCOSTO'!$P$6,IF(C213&lt;='SOLLECITAZ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paramento'!$C$111)+IF(C213&lt;='SOLLECITAZ NASCOSTO'!$P$12,IF(C213&lt;='SOLLECITAZ NASCOSTO'!$P$11,IF(C213&lt;='SOLLECITAZ NASCOSTO'!$P$10,IF(C213&lt;='SOLLECITAZ NASCOSTO'!$P$9,IF(C213&lt;='SOLLECITAZ NASCOSTO'!$P$8,IF(C213&lt;='SOLLECITAZ NASCOSTO'!$P$7,IF(C213&lt;='SOLLECITAZ NASCOSTO'!$P$6,IF(C213&lt;='SOLLECITAZ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60.192596405032589</v>
      </c>
      <c r="O214" s="41">
        <f>IF(C214&lt;='SOLLECITAZ NASCOSTO'!$P$12,IF(C214&lt;='SOLLECITAZ NASCOSTO'!$P$11,IF(C214&lt;='SOLLECITAZ NASCOSTO'!$P$10,IF(C214&lt;='SOLLECITAZ NASCOSTO'!$P$9,IF(C214&lt;='SOLLECITAZ NASCOSTO'!$P$8,IF(C214&lt;='SOLLECITAZ NASCOSTO'!$P$7,IF(C214&lt;='SOLLECITAZ NASCOSTO'!$P$6,IF(C214&lt;='SOLLECITAZ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paramento'!$G$110),55555)*(C214-C213)/IF(C214&lt;='SOLLECITAZ NASCOSTO'!$P$12,IF(C214&lt;='SOLLECITAZ NASCOSTO'!$P$11,IF(C214&lt;='SOLLECITAZ NASCOSTO'!$P$10,IF(C214&lt;='SOLLECITAZ NASCOSTO'!$P$9,IF(C214&lt;='SOLLECITAZ NASCOSTO'!$P$8,IF(C214&lt;='SOLLECITAZ NASCOSTO'!$P$7,IF(C214&lt;='SOLLECITAZ NASCOSTO'!$P$6,IF(C214&lt;='SOLLECITAZ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14" s="41">
        <f t="shared" si="57"/>
        <v>1.809999999999996E-4</v>
      </c>
      <c r="Q214" s="41">
        <f t="shared" si="55"/>
        <v>1</v>
      </c>
      <c r="R214" s="434">
        <f t="shared" si="49"/>
        <v>1.9827769466141354</v>
      </c>
      <c r="S214" s="45">
        <f t="shared" si="56"/>
        <v>1.9827769466141354</v>
      </c>
      <c r="T214" s="205">
        <f t="shared" si="52"/>
        <v>3.0492846456467455</v>
      </c>
      <c r="U214" s="45">
        <f t="shared" si="53"/>
        <v>73.286475057316324</v>
      </c>
      <c r="V214" s="45">
        <f t="shared" si="54"/>
        <v>-57.264915942732088</v>
      </c>
      <c r="W214" s="488"/>
      <c r="X214" s="489"/>
      <c r="Y214" s="489"/>
      <c r="Z214" s="490"/>
      <c r="AA214" s="46"/>
    </row>
    <row r="215" spans="1:27" s="421" customFormat="1" x14ac:dyDescent="0.25">
      <c r="A215" s="581">
        <f t="shared" si="50"/>
        <v>0.37400363969056527</v>
      </c>
      <c r="B215" s="31">
        <f t="shared" si="58"/>
        <v>183</v>
      </c>
      <c r="C215" s="434">
        <f>'SOLLECITAZ NASCOSTO'!$D$6/'SOLLECITAZ NASCOSTO'!$B$448*'SOLLECITAZ NASCOSTO'!B215</f>
        <v>1.9936713254416856</v>
      </c>
      <c r="D215" s="434">
        <f t="shared" si="51"/>
        <v>0.49400363969056527</v>
      </c>
      <c r="E215" s="434">
        <f t="shared" si="45"/>
        <v>0.37400363969056527</v>
      </c>
      <c r="F215" s="434">
        <f t="shared" si="46"/>
        <v>0.41968116470098088</v>
      </c>
      <c r="G215" s="434">
        <f t="shared" si="47"/>
        <v>5.4742335364404135E-2</v>
      </c>
      <c r="H215" s="434">
        <f t="shared" si="59"/>
        <v>0</v>
      </c>
      <c r="I215" s="434">
        <v>0</v>
      </c>
      <c r="J215" s="127">
        <f t="shared" si="60"/>
        <v>0.13043791327496806</v>
      </c>
      <c r="K215" s="126">
        <f t="shared" si="48"/>
        <v>6.9745585316646876E-3</v>
      </c>
      <c r="L215" s="41">
        <f t="shared" si="61"/>
        <v>73.946454138632831</v>
      </c>
      <c r="M215" s="41">
        <f t="shared" si="62"/>
        <v>-58.066921596007361</v>
      </c>
      <c r="N215" s="41">
        <f>(IF(C214&lt;='SOLLECITAZ NASCOSTO'!$P$12,IF(C214&lt;='SOLLECITAZ NASCOSTO'!$P$11,IF(C214&lt;='SOLLECITAZ NASCOSTO'!$P$10,IF(C214&lt;='SOLLECITAZ NASCOSTO'!$P$9,IF(C214&lt;='SOLLECITAZ NASCOSTO'!$P$8,IF(C214&lt;='SOLLECITAZ NASCOSTO'!$P$7,IF(C214&lt;='SOLLECITAZ NASCOSTO'!$P$6,IF(C214&lt;='SOLLECITAZ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paramento'!$G$111),55555)-IF(C214&lt;='SOLLECITAZ NASCOSTO'!$P$12,IF(C214&lt;='SOLLECITAZ NASCOSTO'!$P$11,IF(C214&lt;='SOLLECITAZ NASCOSTO'!$P$10,IF(C214&lt;='SOLLECITAZ NASCOSTO'!$P$9,IF(C214&lt;='SOLLECITAZ NASCOSTO'!$P$8,IF(C214&lt;='SOLLECITAZ NASCOSTO'!$P$7,IF(C214&lt;='SOLLECITAZ NASCOSTO'!$P$6,IF(C214&lt;='SOLLECITAZ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paramento'!$G$111))*(C214-IF(C214&lt;='SOLLECITAZ NASCOSTO'!$P$12,IF(C214&lt;='SOLLECITAZ NASCOSTO'!$P$11,IF(C214&lt;='SOLLECITAZ NASCOSTO'!$P$10,IF(C214&lt;='SOLLECITAZ NASCOSTO'!$P$9,IF(C214&lt;='SOLLECITAZ NASCOSTO'!$P$8,IF(C214&lt;='SOLLECITAZ NASCOSTO'!$P$7,IF(C214&lt;='SOLLECITAZ NASCOSTO'!$P$6,IF(C214&lt;='SOLLECITAZ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NASCOSTO'!$P$12))/IF(C214&lt;='SOLLECITAZ NASCOSTO'!$P$12,IF(C214&lt;='SOLLECITAZ NASCOSTO'!$P$11,IF(C214&lt;='SOLLECITAZ NASCOSTO'!$P$10,IF(C214&lt;='SOLLECITAZ NASCOSTO'!$P$9,IF(C214&lt;='SOLLECITAZ NASCOSTO'!$P$8,IF(C214&lt;='SOLLECITAZ NASCOSTO'!$P$7,IF(C214&lt;='SOLLECITAZ NASCOSTO'!$P$6,IF(C214&lt;='SOLLECITAZ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paramento'!$C$111)+IF(C214&lt;='SOLLECITAZ NASCOSTO'!$P$12,IF(C214&lt;='SOLLECITAZ NASCOSTO'!$P$11,IF(C214&lt;='SOLLECITAZ NASCOSTO'!$P$10,IF(C214&lt;='SOLLECITAZ NASCOSTO'!$P$9,IF(C214&lt;='SOLLECITAZ NASCOSTO'!$P$8,IF(C214&lt;='SOLLECITAZ NASCOSTO'!$P$7,IF(C214&lt;='SOLLECITAZ NASCOSTO'!$P$6,IF(C214&lt;='SOLLECITAZ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60.450719334481995</v>
      </c>
      <c r="O215" s="41">
        <f>IF(C215&lt;='SOLLECITAZ NASCOSTO'!$P$12,IF(C215&lt;='SOLLECITAZ NASCOSTO'!$P$11,IF(C215&lt;='SOLLECITAZ NASCOSTO'!$P$10,IF(C215&lt;='SOLLECITAZ NASCOSTO'!$P$9,IF(C215&lt;='SOLLECITAZ NASCOSTO'!$P$8,IF(C215&lt;='SOLLECITAZ NASCOSTO'!$P$7,IF(C215&lt;='SOLLECITAZ NASCOSTO'!$P$6,IF(C215&lt;='SOLLECITAZ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paramento'!$G$110),55555)*(C215-C214)/IF(C215&lt;='SOLLECITAZ NASCOSTO'!$P$12,IF(C215&lt;='SOLLECITAZ NASCOSTO'!$P$11,IF(C215&lt;='SOLLECITAZ NASCOSTO'!$P$10,IF(C215&lt;='SOLLECITAZ NASCOSTO'!$P$9,IF(C215&lt;='SOLLECITAZ NASCOSTO'!$P$8,IF(C215&lt;='SOLLECITAZ NASCOSTO'!$P$7,IF(C215&lt;='SOLLECITAZ NASCOSTO'!$P$6,IF(C215&lt;='SOLLECITAZ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15" s="41">
        <f t="shared" si="57"/>
        <v>1.819999999999996E-4</v>
      </c>
      <c r="Q215" s="41">
        <f t="shared" si="55"/>
        <v>1</v>
      </c>
      <c r="R215" s="434">
        <f t="shared" si="49"/>
        <v>1.9936713254416856</v>
      </c>
      <c r="S215" s="45">
        <f t="shared" si="56"/>
        <v>1.9936713254416856</v>
      </c>
      <c r="T215" s="205">
        <f t="shared" si="52"/>
        <v>3.0383902668191953</v>
      </c>
      <c r="U215" s="45">
        <f t="shared" si="53"/>
        <v>73.946454138632831</v>
      </c>
      <c r="V215" s="45">
        <f t="shared" si="54"/>
        <v>-58.066921596007361</v>
      </c>
      <c r="W215" s="488"/>
      <c r="X215" s="489"/>
      <c r="Y215" s="489"/>
      <c r="Z215" s="490"/>
      <c r="AA215" s="46"/>
    </row>
    <row r="216" spans="1:27" s="421" customFormat="1" x14ac:dyDescent="0.25">
      <c r="A216" s="581">
        <f t="shared" si="50"/>
        <v>0.37557448243867442</v>
      </c>
      <c r="B216" s="31">
        <f t="shared" si="58"/>
        <v>184</v>
      </c>
      <c r="C216" s="434">
        <f>'SOLLECITAZ NASCOSTO'!$D$6/'SOLLECITAZ NASCOSTO'!$B$448*'SOLLECITAZ NASCOSTO'!B216</f>
        <v>2.0045657042692357</v>
      </c>
      <c r="D216" s="434">
        <f t="shared" si="51"/>
        <v>0.49557448243867441</v>
      </c>
      <c r="E216" s="434">
        <f t="shared" si="45"/>
        <v>0.37557448243867442</v>
      </c>
      <c r="F216" s="434">
        <f t="shared" si="46"/>
        <v>0.42018383438037582</v>
      </c>
      <c r="G216" s="434">
        <f t="shared" si="47"/>
        <v>5.4991050823097604E-2</v>
      </c>
      <c r="H216" s="434">
        <f t="shared" si="59"/>
        <v>0</v>
      </c>
      <c r="I216" s="434">
        <v>0</v>
      </c>
      <c r="J216" s="127">
        <f t="shared" si="60"/>
        <v>0.13087378981200018</v>
      </c>
      <c r="K216" s="126">
        <f t="shared" si="48"/>
        <v>7.041209089075573E-3</v>
      </c>
      <c r="L216" s="41">
        <f t="shared" si="61"/>
        <v>74.60924530892683</v>
      </c>
      <c r="M216" s="41">
        <f t="shared" si="62"/>
        <v>-58.876132629394064</v>
      </c>
      <c r="N216" s="41">
        <f>(IF(C215&lt;='SOLLECITAZ NASCOSTO'!$P$12,IF(C215&lt;='SOLLECITAZ NASCOSTO'!$P$11,IF(C215&lt;='SOLLECITAZ NASCOSTO'!$P$10,IF(C215&lt;='SOLLECITAZ NASCOSTO'!$P$9,IF(C215&lt;='SOLLECITAZ NASCOSTO'!$P$8,IF(C215&lt;='SOLLECITAZ NASCOSTO'!$P$7,IF(C215&lt;='SOLLECITAZ NASCOSTO'!$P$6,IF(C215&lt;='SOLLECITAZ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paramento'!$G$111),55555)-IF(C215&lt;='SOLLECITAZ NASCOSTO'!$P$12,IF(C215&lt;='SOLLECITAZ NASCOSTO'!$P$11,IF(C215&lt;='SOLLECITAZ NASCOSTO'!$P$10,IF(C215&lt;='SOLLECITAZ NASCOSTO'!$P$9,IF(C215&lt;='SOLLECITAZ NASCOSTO'!$P$8,IF(C215&lt;='SOLLECITAZ NASCOSTO'!$P$7,IF(C215&lt;='SOLLECITAZ NASCOSTO'!$P$6,IF(C215&lt;='SOLLECITAZ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paramento'!$G$111))*(C215-IF(C215&lt;='SOLLECITAZ NASCOSTO'!$P$12,IF(C215&lt;='SOLLECITAZ NASCOSTO'!$P$11,IF(C215&lt;='SOLLECITAZ NASCOSTO'!$P$10,IF(C215&lt;='SOLLECITAZ NASCOSTO'!$P$9,IF(C215&lt;='SOLLECITAZ NASCOSTO'!$P$8,IF(C215&lt;='SOLLECITAZ NASCOSTO'!$P$7,IF(C215&lt;='SOLLECITAZ NASCOSTO'!$P$6,IF(C215&lt;='SOLLECITAZ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NASCOSTO'!$P$12))/IF(C215&lt;='SOLLECITAZ NASCOSTO'!$P$12,IF(C215&lt;='SOLLECITAZ NASCOSTO'!$P$11,IF(C215&lt;='SOLLECITAZ NASCOSTO'!$P$10,IF(C215&lt;='SOLLECITAZ NASCOSTO'!$P$9,IF(C215&lt;='SOLLECITAZ NASCOSTO'!$P$8,IF(C215&lt;='SOLLECITAZ NASCOSTO'!$P$7,IF(C215&lt;='SOLLECITAZ NASCOSTO'!$P$6,IF(C215&lt;='SOLLECITAZ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paramento'!$C$111)+IF(C215&lt;='SOLLECITAZ NASCOSTO'!$P$12,IF(C215&lt;='SOLLECITAZ NASCOSTO'!$P$11,IF(C215&lt;='SOLLECITAZ NASCOSTO'!$P$10,IF(C215&lt;='SOLLECITAZ NASCOSTO'!$P$9,IF(C215&lt;='SOLLECITAZ NASCOSTO'!$P$8,IF(C215&lt;='SOLLECITAZ NASCOSTO'!$P$7,IF(C215&lt;='SOLLECITAZ NASCOSTO'!$P$6,IF(C215&lt;='SOLLECITAZ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60.708842263931402</v>
      </c>
      <c r="O216" s="41">
        <f>IF(C216&lt;='SOLLECITAZ NASCOSTO'!$P$12,IF(C216&lt;='SOLLECITAZ NASCOSTO'!$P$11,IF(C216&lt;='SOLLECITAZ NASCOSTO'!$P$10,IF(C216&lt;='SOLLECITAZ NASCOSTO'!$P$9,IF(C216&lt;='SOLLECITAZ NASCOSTO'!$P$8,IF(C216&lt;='SOLLECITAZ NASCOSTO'!$P$7,IF(C216&lt;='SOLLECITAZ NASCOSTO'!$P$6,IF(C216&lt;='SOLLECITAZ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paramento'!$G$110),55555)*(C216-C215)/IF(C216&lt;='SOLLECITAZ NASCOSTO'!$P$12,IF(C216&lt;='SOLLECITAZ NASCOSTO'!$P$11,IF(C216&lt;='SOLLECITAZ NASCOSTO'!$P$10,IF(C216&lt;='SOLLECITAZ NASCOSTO'!$P$9,IF(C216&lt;='SOLLECITAZ NASCOSTO'!$P$8,IF(C216&lt;='SOLLECITAZ NASCOSTO'!$P$7,IF(C216&lt;='SOLLECITAZ NASCOSTO'!$P$6,IF(C216&lt;='SOLLECITAZ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16" s="41">
        <f t="shared" si="57"/>
        <v>1.829999999999996E-4</v>
      </c>
      <c r="Q216" s="41">
        <f t="shared" si="55"/>
        <v>1</v>
      </c>
      <c r="R216" s="434">
        <f t="shared" si="49"/>
        <v>2.0045657042692357</v>
      </c>
      <c r="S216" s="45">
        <f t="shared" si="56"/>
        <v>2.0045657042692357</v>
      </c>
      <c r="T216" s="205">
        <f t="shared" si="52"/>
        <v>3.0274958879916452</v>
      </c>
      <c r="U216" s="45">
        <f t="shared" si="53"/>
        <v>74.60924530892683</v>
      </c>
      <c r="V216" s="45">
        <f t="shared" si="54"/>
        <v>-58.876132629394064</v>
      </c>
      <c r="W216" s="488"/>
      <c r="X216" s="489"/>
      <c r="Y216" s="489"/>
      <c r="Z216" s="490"/>
      <c r="AA216" s="46"/>
    </row>
    <row r="217" spans="1:27" s="421" customFormat="1" x14ac:dyDescent="0.25">
      <c r="A217" s="581">
        <f t="shared" si="50"/>
        <v>0.37714532518678356</v>
      </c>
      <c r="B217" s="31">
        <f t="shared" si="58"/>
        <v>185</v>
      </c>
      <c r="C217" s="434">
        <f>'SOLLECITAZ NASCOSTO'!$D$6/'SOLLECITAZ NASCOSTO'!$B$448*'SOLLECITAZ NASCOSTO'!B217</f>
        <v>2.0154600830967859</v>
      </c>
      <c r="D217" s="434">
        <f t="shared" si="51"/>
        <v>0.49714532518678356</v>
      </c>
      <c r="E217" s="434">
        <f t="shared" si="45"/>
        <v>0.37714532518678356</v>
      </c>
      <c r="F217" s="434">
        <f t="shared" si="46"/>
        <v>0.42068650405977071</v>
      </c>
      <c r="G217" s="434">
        <f t="shared" si="47"/>
        <v>5.5240555896811649E-2</v>
      </c>
      <c r="H217" s="434">
        <f t="shared" si="59"/>
        <v>0</v>
      </c>
      <c r="I217" s="434">
        <v>0</v>
      </c>
      <c r="J217" s="127">
        <f t="shared" si="60"/>
        <v>0.13131050167695213</v>
      </c>
      <c r="K217" s="126">
        <f t="shared" si="48"/>
        <v>7.1082756260675249E-3</v>
      </c>
      <c r="L217" s="41">
        <f t="shared" si="61"/>
        <v>75.274848568198337</v>
      </c>
      <c r="M217" s="41">
        <f t="shared" si="62"/>
        <v>-59.692579678854813</v>
      </c>
      <c r="N217" s="41">
        <f>(IF(C216&lt;='SOLLECITAZ NASCOSTO'!$P$12,IF(C216&lt;='SOLLECITAZ NASCOSTO'!$P$11,IF(C216&lt;='SOLLECITAZ NASCOSTO'!$P$10,IF(C216&lt;='SOLLECITAZ NASCOSTO'!$P$9,IF(C216&lt;='SOLLECITAZ NASCOSTO'!$P$8,IF(C216&lt;='SOLLECITAZ NASCOSTO'!$P$7,IF(C216&lt;='SOLLECITAZ NASCOSTO'!$P$6,IF(C216&lt;='SOLLECITAZ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paramento'!$G$111),55555)-IF(C216&lt;='SOLLECITAZ NASCOSTO'!$P$12,IF(C216&lt;='SOLLECITAZ NASCOSTO'!$P$11,IF(C216&lt;='SOLLECITAZ NASCOSTO'!$P$10,IF(C216&lt;='SOLLECITAZ NASCOSTO'!$P$9,IF(C216&lt;='SOLLECITAZ NASCOSTO'!$P$8,IF(C216&lt;='SOLLECITAZ NASCOSTO'!$P$7,IF(C216&lt;='SOLLECITAZ NASCOSTO'!$P$6,IF(C216&lt;='SOLLECITAZ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paramento'!$G$111))*(C216-IF(C216&lt;='SOLLECITAZ NASCOSTO'!$P$12,IF(C216&lt;='SOLLECITAZ NASCOSTO'!$P$11,IF(C216&lt;='SOLLECITAZ NASCOSTO'!$P$10,IF(C216&lt;='SOLLECITAZ NASCOSTO'!$P$9,IF(C216&lt;='SOLLECITAZ NASCOSTO'!$P$8,IF(C216&lt;='SOLLECITAZ NASCOSTO'!$P$7,IF(C216&lt;='SOLLECITAZ NASCOSTO'!$P$6,IF(C216&lt;='SOLLECITAZ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NASCOSTO'!$P$12))/IF(C216&lt;='SOLLECITAZ NASCOSTO'!$P$12,IF(C216&lt;='SOLLECITAZ NASCOSTO'!$P$11,IF(C216&lt;='SOLLECITAZ NASCOSTO'!$P$10,IF(C216&lt;='SOLLECITAZ NASCOSTO'!$P$9,IF(C216&lt;='SOLLECITAZ NASCOSTO'!$P$8,IF(C216&lt;='SOLLECITAZ NASCOSTO'!$P$7,IF(C216&lt;='SOLLECITAZ NASCOSTO'!$P$6,IF(C216&lt;='SOLLECITAZ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paramento'!$C$111)+IF(C216&lt;='SOLLECITAZ NASCOSTO'!$P$12,IF(C216&lt;='SOLLECITAZ NASCOSTO'!$P$11,IF(C216&lt;='SOLLECITAZ NASCOSTO'!$P$10,IF(C216&lt;='SOLLECITAZ NASCOSTO'!$P$9,IF(C216&lt;='SOLLECITAZ NASCOSTO'!$P$8,IF(C216&lt;='SOLLECITAZ NASCOSTO'!$P$7,IF(C216&lt;='SOLLECITAZ NASCOSTO'!$P$6,IF(C216&lt;='SOLLECITAZ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60.966965193380808</v>
      </c>
      <c r="O217" s="41">
        <f>IF(C217&lt;='SOLLECITAZ NASCOSTO'!$P$12,IF(C217&lt;='SOLLECITAZ NASCOSTO'!$P$11,IF(C217&lt;='SOLLECITAZ NASCOSTO'!$P$10,IF(C217&lt;='SOLLECITAZ NASCOSTO'!$P$9,IF(C217&lt;='SOLLECITAZ NASCOSTO'!$P$8,IF(C217&lt;='SOLLECITAZ NASCOSTO'!$P$7,IF(C217&lt;='SOLLECITAZ NASCOSTO'!$P$6,IF(C217&lt;='SOLLECITAZ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paramento'!$G$110),55555)*(C217-C216)/IF(C217&lt;='SOLLECITAZ NASCOSTO'!$P$12,IF(C217&lt;='SOLLECITAZ NASCOSTO'!$P$11,IF(C217&lt;='SOLLECITAZ NASCOSTO'!$P$10,IF(C217&lt;='SOLLECITAZ NASCOSTO'!$P$9,IF(C217&lt;='SOLLECITAZ NASCOSTO'!$P$8,IF(C217&lt;='SOLLECITAZ NASCOSTO'!$P$7,IF(C217&lt;='SOLLECITAZ NASCOSTO'!$P$6,IF(C217&lt;='SOLLECITAZ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17" s="41">
        <f t="shared" si="57"/>
        <v>1.8399999999999959E-4</v>
      </c>
      <c r="Q217" s="41">
        <f t="shared" si="55"/>
        <v>1</v>
      </c>
      <c r="R217" s="434">
        <f t="shared" si="49"/>
        <v>2.0154600830967859</v>
      </c>
      <c r="S217" s="45">
        <f t="shared" si="56"/>
        <v>2.0154600830967859</v>
      </c>
      <c r="T217" s="205">
        <f t="shared" si="52"/>
        <v>3.016601509164095</v>
      </c>
      <c r="U217" s="45">
        <f t="shared" si="53"/>
        <v>75.274848568198337</v>
      </c>
      <c r="V217" s="45">
        <f t="shared" si="54"/>
        <v>-59.692579678854813</v>
      </c>
      <c r="W217" s="488"/>
      <c r="X217" s="489"/>
      <c r="Y217" s="489"/>
      <c r="Z217" s="490"/>
      <c r="AA217" s="46"/>
    </row>
    <row r="218" spans="1:27" s="421" customFormat="1" x14ac:dyDescent="0.25">
      <c r="A218" s="581">
        <f t="shared" si="50"/>
        <v>0.37871616793489271</v>
      </c>
      <c r="B218" s="31">
        <f t="shared" si="58"/>
        <v>186</v>
      </c>
      <c r="C218" s="434">
        <f>'SOLLECITAZ NASCOSTO'!$D$6/'SOLLECITAZ NASCOSTO'!$B$448*'SOLLECITAZ NASCOSTO'!B218</f>
        <v>2.0263544619243361</v>
      </c>
      <c r="D218" s="434">
        <f t="shared" si="51"/>
        <v>0.49871616793489271</v>
      </c>
      <c r="E218" s="434">
        <f t="shared" si="45"/>
        <v>0.37871616793489271</v>
      </c>
      <c r="F218" s="434">
        <f t="shared" si="46"/>
        <v>0.42118917373916565</v>
      </c>
      <c r="G218" s="434">
        <f t="shared" si="47"/>
        <v>5.5490850585546259E-2</v>
      </c>
      <c r="H218" s="434">
        <f t="shared" si="59"/>
        <v>0</v>
      </c>
      <c r="I218" s="434">
        <v>0</v>
      </c>
      <c r="J218" s="127">
        <f t="shared" si="60"/>
        <v>0.13174804587904881</v>
      </c>
      <c r="K218" s="126">
        <f t="shared" si="48"/>
        <v>7.1757591295648435E-3</v>
      </c>
      <c r="L218" s="41">
        <f t="shared" si="61"/>
        <v>75.943263916447336</v>
      </c>
      <c r="M218" s="41">
        <f t="shared" si="62"/>
        <v>-60.516293380352224</v>
      </c>
      <c r="N218" s="41">
        <f>(IF(C217&lt;='SOLLECITAZ NASCOSTO'!$P$12,IF(C217&lt;='SOLLECITAZ NASCOSTO'!$P$11,IF(C217&lt;='SOLLECITAZ NASCOSTO'!$P$10,IF(C217&lt;='SOLLECITAZ NASCOSTO'!$P$9,IF(C217&lt;='SOLLECITAZ NASCOSTO'!$P$8,IF(C217&lt;='SOLLECITAZ NASCOSTO'!$P$7,IF(C217&lt;='SOLLECITAZ NASCOSTO'!$P$6,IF(C217&lt;='SOLLECITAZ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paramento'!$G$111),55555)-IF(C217&lt;='SOLLECITAZ NASCOSTO'!$P$12,IF(C217&lt;='SOLLECITAZ NASCOSTO'!$P$11,IF(C217&lt;='SOLLECITAZ NASCOSTO'!$P$10,IF(C217&lt;='SOLLECITAZ NASCOSTO'!$P$9,IF(C217&lt;='SOLLECITAZ NASCOSTO'!$P$8,IF(C217&lt;='SOLLECITAZ NASCOSTO'!$P$7,IF(C217&lt;='SOLLECITAZ NASCOSTO'!$P$6,IF(C217&lt;='SOLLECITAZ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paramento'!$G$111))*(C217-IF(C217&lt;='SOLLECITAZ NASCOSTO'!$P$12,IF(C217&lt;='SOLLECITAZ NASCOSTO'!$P$11,IF(C217&lt;='SOLLECITAZ NASCOSTO'!$P$10,IF(C217&lt;='SOLLECITAZ NASCOSTO'!$P$9,IF(C217&lt;='SOLLECITAZ NASCOSTO'!$P$8,IF(C217&lt;='SOLLECITAZ NASCOSTO'!$P$7,IF(C217&lt;='SOLLECITAZ NASCOSTO'!$P$6,IF(C217&lt;='SOLLECITAZ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NASCOSTO'!$P$12))/IF(C217&lt;='SOLLECITAZ NASCOSTO'!$P$12,IF(C217&lt;='SOLLECITAZ NASCOSTO'!$P$11,IF(C217&lt;='SOLLECITAZ NASCOSTO'!$P$10,IF(C217&lt;='SOLLECITAZ NASCOSTO'!$P$9,IF(C217&lt;='SOLLECITAZ NASCOSTO'!$P$8,IF(C217&lt;='SOLLECITAZ NASCOSTO'!$P$7,IF(C217&lt;='SOLLECITAZ NASCOSTO'!$P$6,IF(C217&lt;='SOLLECITAZ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paramento'!$C$111)+IF(C217&lt;='SOLLECITAZ NASCOSTO'!$P$12,IF(C217&lt;='SOLLECITAZ NASCOSTO'!$P$11,IF(C217&lt;='SOLLECITAZ NASCOSTO'!$P$10,IF(C217&lt;='SOLLECITAZ NASCOSTO'!$P$9,IF(C217&lt;='SOLLECITAZ NASCOSTO'!$P$8,IF(C217&lt;='SOLLECITAZ NASCOSTO'!$P$7,IF(C217&lt;='SOLLECITAZ NASCOSTO'!$P$6,IF(C217&lt;='SOLLECITAZ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61.225088122830208</v>
      </c>
      <c r="O218" s="41">
        <f>IF(C218&lt;='SOLLECITAZ NASCOSTO'!$P$12,IF(C218&lt;='SOLLECITAZ NASCOSTO'!$P$11,IF(C218&lt;='SOLLECITAZ NASCOSTO'!$P$10,IF(C218&lt;='SOLLECITAZ NASCOSTO'!$P$9,IF(C218&lt;='SOLLECITAZ NASCOSTO'!$P$8,IF(C218&lt;='SOLLECITAZ NASCOSTO'!$P$7,IF(C218&lt;='SOLLECITAZ NASCOSTO'!$P$6,IF(C218&lt;='SOLLECITAZ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paramento'!$G$110),55555)*(C218-C217)/IF(C218&lt;='SOLLECITAZ NASCOSTO'!$P$12,IF(C218&lt;='SOLLECITAZ NASCOSTO'!$P$11,IF(C218&lt;='SOLLECITAZ NASCOSTO'!$P$10,IF(C218&lt;='SOLLECITAZ NASCOSTO'!$P$9,IF(C218&lt;='SOLLECITAZ NASCOSTO'!$P$8,IF(C218&lt;='SOLLECITAZ NASCOSTO'!$P$7,IF(C218&lt;='SOLLECITAZ NASCOSTO'!$P$6,IF(C218&lt;='SOLLECITAZ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18" s="41">
        <f t="shared" si="57"/>
        <v>1.8499999999999959E-4</v>
      </c>
      <c r="Q218" s="41">
        <f t="shared" si="55"/>
        <v>1</v>
      </c>
      <c r="R218" s="434">
        <f t="shared" si="49"/>
        <v>2.0263544619243361</v>
      </c>
      <c r="S218" s="45">
        <f t="shared" si="56"/>
        <v>2.0263544619243361</v>
      </c>
      <c r="T218" s="205">
        <f t="shared" si="52"/>
        <v>3.0057071303365448</v>
      </c>
      <c r="U218" s="45">
        <f t="shared" si="53"/>
        <v>75.943263916447336</v>
      </c>
      <c r="V218" s="45">
        <f t="shared" si="54"/>
        <v>-60.516293380352224</v>
      </c>
      <c r="W218" s="488"/>
      <c r="X218" s="489"/>
      <c r="Y218" s="489"/>
      <c r="Z218" s="490"/>
      <c r="AA218" s="46"/>
    </row>
    <row r="219" spans="1:27" s="421" customFormat="1" x14ac:dyDescent="0.25">
      <c r="A219" s="581">
        <f t="shared" si="50"/>
        <v>0.38028701068300186</v>
      </c>
      <c r="B219" s="31">
        <f t="shared" si="58"/>
        <v>187</v>
      </c>
      <c r="C219" s="434">
        <f>'SOLLECITAZ NASCOSTO'!$D$6/'SOLLECITAZ NASCOSTO'!$B$448*'SOLLECITAZ NASCOSTO'!B219</f>
        <v>2.0372488407518863</v>
      </c>
      <c r="D219" s="434">
        <f t="shared" si="51"/>
        <v>0.50028701068300185</v>
      </c>
      <c r="E219" s="434">
        <f t="shared" si="45"/>
        <v>0.38028701068300186</v>
      </c>
      <c r="F219" s="434">
        <f t="shared" si="46"/>
        <v>0.42169184341856059</v>
      </c>
      <c r="G219" s="434">
        <f t="shared" si="47"/>
        <v>5.5741934889301445E-2</v>
      </c>
      <c r="H219" s="434">
        <f t="shared" si="59"/>
        <v>0</v>
      </c>
      <c r="I219" s="434">
        <v>0</v>
      </c>
      <c r="J219" s="127">
        <f t="shared" si="60"/>
        <v>0.13218641944177567</v>
      </c>
      <c r="K219" s="126">
        <f t="shared" si="48"/>
        <v>7.2436605847431496E-3</v>
      </c>
      <c r="L219" s="41">
        <f t="shared" si="61"/>
        <v>76.614491353673841</v>
      </c>
      <c r="M219" s="41">
        <f t="shared" si="62"/>
        <v>-61.347304369848921</v>
      </c>
      <c r="N219" s="41">
        <f>(IF(C218&lt;='SOLLECITAZ NASCOSTO'!$P$12,IF(C218&lt;='SOLLECITAZ NASCOSTO'!$P$11,IF(C218&lt;='SOLLECITAZ NASCOSTO'!$P$10,IF(C218&lt;='SOLLECITAZ NASCOSTO'!$P$9,IF(C218&lt;='SOLLECITAZ NASCOSTO'!$P$8,IF(C218&lt;='SOLLECITAZ NASCOSTO'!$P$7,IF(C218&lt;='SOLLECITAZ NASCOSTO'!$P$6,IF(C218&lt;='SOLLECITAZ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paramento'!$G$111),55555)-IF(C218&lt;='SOLLECITAZ NASCOSTO'!$P$12,IF(C218&lt;='SOLLECITAZ NASCOSTO'!$P$11,IF(C218&lt;='SOLLECITAZ NASCOSTO'!$P$10,IF(C218&lt;='SOLLECITAZ NASCOSTO'!$P$9,IF(C218&lt;='SOLLECITAZ NASCOSTO'!$P$8,IF(C218&lt;='SOLLECITAZ NASCOSTO'!$P$7,IF(C218&lt;='SOLLECITAZ NASCOSTO'!$P$6,IF(C218&lt;='SOLLECITAZ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paramento'!$G$111))*(C218-IF(C218&lt;='SOLLECITAZ NASCOSTO'!$P$12,IF(C218&lt;='SOLLECITAZ NASCOSTO'!$P$11,IF(C218&lt;='SOLLECITAZ NASCOSTO'!$P$10,IF(C218&lt;='SOLLECITAZ NASCOSTO'!$P$9,IF(C218&lt;='SOLLECITAZ NASCOSTO'!$P$8,IF(C218&lt;='SOLLECITAZ NASCOSTO'!$P$7,IF(C218&lt;='SOLLECITAZ NASCOSTO'!$P$6,IF(C218&lt;='SOLLECITAZ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NASCOSTO'!$P$12))/IF(C218&lt;='SOLLECITAZ NASCOSTO'!$P$12,IF(C218&lt;='SOLLECITAZ NASCOSTO'!$P$11,IF(C218&lt;='SOLLECITAZ NASCOSTO'!$P$10,IF(C218&lt;='SOLLECITAZ NASCOSTO'!$P$9,IF(C218&lt;='SOLLECITAZ NASCOSTO'!$P$8,IF(C218&lt;='SOLLECITAZ NASCOSTO'!$P$7,IF(C218&lt;='SOLLECITAZ NASCOSTO'!$P$6,IF(C218&lt;='SOLLECITAZ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paramento'!$C$111)+IF(C218&lt;='SOLLECITAZ NASCOSTO'!$P$12,IF(C218&lt;='SOLLECITAZ NASCOSTO'!$P$11,IF(C218&lt;='SOLLECITAZ NASCOSTO'!$P$10,IF(C218&lt;='SOLLECITAZ NASCOSTO'!$P$9,IF(C218&lt;='SOLLECITAZ NASCOSTO'!$P$8,IF(C218&lt;='SOLLECITAZ NASCOSTO'!$P$7,IF(C218&lt;='SOLLECITAZ NASCOSTO'!$P$6,IF(C218&lt;='SOLLECITAZ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61.483211052279614</v>
      </c>
      <c r="O219" s="41">
        <f>IF(C219&lt;='SOLLECITAZ NASCOSTO'!$P$12,IF(C219&lt;='SOLLECITAZ NASCOSTO'!$P$11,IF(C219&lt;='SOLLECITAZ NASCOSTO'!$P$10,IF(C219&lt;='SOLLECITAZ NASCOSTO'!$P$9,IF(C219&lt;='SOLLECITAZ NASCOSTO'!$P$8,IF(C219&lt;='SOLLECITAZ NASCOSTO'!$P$7,IF(C219&lt;='SOLLECITAZ NASCOSTO'!$P$6,IF(C219&lt;='SOLLECITAZ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paramento'!$G$110),55555)*(C219-C218)/IF(C219&lt;='SOLLECITAZ NASCOSTO'!$P$12,IF(C219&lt;='SOLLECITAZ NASCOSTO'!$P$11,IF(C219&lt;='SOLLECITAZ NASCOSTO'!$P$10,IF(C219&lt;='SOLLECITAZ NASCOSTO'!$P$9,IF(C219&lt;='SOLLECITAZ NASCOSTO'!$P$8,IF(C219&lt;='SOLLECITAZ NASCOSTO'!$P$7,IF(C219&lt;='SOLLECITAZ NASCOSTO'!$P$6,IF(C219&lt;='SOLLECITAZ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19" s="41">
        <f t="shared" si="57"/>
        <v>1.8599999999999959E-4</v>
      </c>
      <c r="Q219" s="41">
        <f t="shared" si="55"/>
        <v>1</v>
      </c>
      <c r="R219" s="434">
        <f t="shared" si="49"/>
        <v>2.0372488407518863</v>
      </c>
      <c r="S219" s="45">
        <f t="shared" si="56"/>
        <v>2.0372488407518863</v>
      </c>
      <c r="T219" s="205">
        <f t="shared" si="52"/>
        <v>2.9948127515089946</v>
      </c>
      <c r="U219" s="45">
        <f t="shared" si="53"/>
        <v>76.614491353673841</v>
      </c>
      <c r="V219" s="45">
        <f t="shared" si="54"/>
        <v>-61.347304369848921</v>
      </c>
      <c r="W219" s="488"/>
      <c r="X219" s="489"/>
      <c r="Y219" s="489"/>
      <c r="Z219" s="490"/>
      <c r="AA219" s="46"/>
    </row>
    <row r="220" spans="1:27" s="421" customFormat="1" x14ac:dyDescent="0.25">
      <c r="A220" s="581">
        <f t="shared" si="50"/>
        <v>0.38185785343111112</v>
      </c>
      <c r="B220" s="31">
        <f t="shared" si="58"/>
        <v>188</v>
      </c>
      <c r="C220" s="434">
        <f>'SOLLECITAZ NASCOSTO'!$D$6/'SOLLECITAZ NASCOSTO'!$B$448*'SOLLECITAZ NASCOSTO'!B220</f>
        <v>2.0481432195794365</v>
      </c>
      <c r="D220" s="434">
        <f t="shared" si="51"/>
        <v>0.50185785343111111</v>
      </c>
      <c r="E220" s="434">
        <f t="shared" si="45"/>
        <v>0.38185785343111112</v>
      </c>
      <c r="F220" s="434">
        <f t="shared" si="46"/>
        <v>0.42219451309795553</v>
      </c>
      <c r="G220" s="434">
        <f t="shared" si="47"/>
        <v>5.5993808808077222E-2</v>
      </c>
      <c r="H220" s="434">
        <f t="shared" si="59"/>
        <v>0</v>
      </c>
      <c r="I220" s="434">
        <v>0</v>
      </c>
      <c r="J220" s="127">
        <f t="shared" si="60"/>
        <v>0.13262561940279363</v>
      </c>
      <c r="K220" s="126">
        <f t="shared" si="48"/>
        <v>7.3119809750397946E-3</v>
      </c>
      <c r="L220" s="41">
        <f t="shared" si="61"/>
        <v>77.28853087987784</v>
      </c>
      <c r="M220" s="41">
        <f t="shared" si="62"/>
        <v>-62.185643283307513</v>
      </c>
      <c r="N220" s="41">
        <f>(IF(C219&lt;='SOLLECITAZ NASCOSTO'!$P$12,IF(C219&lt;='SOLLECITAZ NASCOSTO'!$P$11,IF(C219&lt;='SOLLECITAZ NASCOSTO'!$P$10,IF(C219&lt;='SOLLECITAZ NASCOSTO'!$P$9,IF(C219&lt;='SOLLECITAZ NASCOSTO'!$P$8,IF(C219&lt;='SOLLECITAZ NASCOSTO'!$P$7,IF(C219&lt;='SOLLECITAZ NASCOSTO'!$P$6,IF(C219&lt;='SOLLECITAZ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paramento'!$G$111),55555)-IF(C219&lt;='SOLLECITAZ NASCOSTO'!$P$12,IF(C219&lt;='SOLLECITAZ NASCOSTO'!$P$11,IF(C219&lt;='SOLLECITAZ NASCOSTO'!$P$10,IF(C219&lt;='SOLLECITAZ NASCOSTO'!$P$9,IF(C219&lt;='SOLLECITAZ NASCOSTO'!$P$8,IF(C219&lt;='SOLLECITAZ NASCOSTO'!$P$7,IF(C219&lt;='SOLLECITAZ NASCOSTO'!$P$6,IF(C219&lt;='SOLLECITAZ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paramento'!$G$111))*(C219-IF(C219&lt;='SOLLECITAZ NASCOSTO'!$P$12,IF(C219&lt;='SOLLECITAZ NASCOSTO'!$P$11,IF(C219&lt;='SOLLECITAZ NASCOSTO'!$P$10,IF(C219&lt;='SOLLECITAZ NASCOSTO'!$P$9,IF(C219&lt;='SOLLECITAZ NASCOSTO'!$P$8,IF(C219&lt;='SOLLECITAZ NASCOSTO'!$P$7,IF(C219&lt;='SOLLECITAZ NASCOSTO'!$P$6,IF(C219&lt;='SOLLECITAZ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NASCOSTO'!$P$12))/IF(C219&lt;='SOLLECITAZ NASCOSTO'!$P$12,IF(C219&lt;='SOLLECITAZ NASCOSTO'!$P$11,IF(C219&lt;='SOLLECITAZ NASCOSTO'!$P$10,IF(C219&lt;='SOLLECITAZ NASCOSTO'!$P$9,IF(C219&lt;='SOLLECITAZ NASCOSTO'!$P$8,IF(C219&lt;='SOLLECITAZ NASCOSTO'!$P$7,IF(C219&lt;='SOLLECITAZ NASCOSTO'!$P$6,IF(C219&lt;='SOLLECITAZ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paramento'!$C$111)+IF(C219&lt;='SOLLECITAZ NASCOSTO'!$P$12,IF(C219&lt;='SOLLECITAZ NASCOSTO'!$P$11,IF(C219&lt;='SOLLECITAZ NASCOSTO'!$P$10,IF(C219&lt;='SOLLECITAZ NASCOSTO'!$P$9,IF(C219&lt;='SOLLECITAZ NASCOSTO'!$P$8,IF(C219&lt;='SOLLECITAZ NASCOSTO'!$P$7,IF(C219&lt;='SOLLECITAZ NASCOSTO'!$P$6,IF(C219&lt;='SOLLECITAZ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61.741333981729021</v>
      </c>
      <c r="O220" s="41">
        <f>IF(C220&lt;='SOLLECITAZ NASCOSTO'!$P$12,IF(C220&lt;='SOLLECITAZ NASCOSTO'!$P$11,IF(C220&lt;='SOLLECITAZ NASCOSTO'!$P$10,IF(C220&lt;='SOLLECITAZ NASCOSTO'!$P$9,IF(C220&lt;='SOLLECITAZ NASCOSTO'!$P$8,IF(C220&lt;='SOLLECITAZ NASCOSTO'!$P$7,IF(C220&lt;='SOLLECITAZ NASCOSTO'!$P$6,IF(C220&lt;='SOLLECITAZ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paramento'!$G$110),55555)*(C220-C219)/IF(C220&lt;='SOLLECITAZ NASCOSTO'!$P$12,IF(C220&lt;='SOLLECITAZ NASCOSTO'!$P$11,IF(C220&lt;='SOLLECITAZ NASCOSTO'!$P$10,IF(C220&lt;='SOLLECITAZ NASCOSTO'!$P$9,IF(C220&lt;='SOLLECITAZ NASCOSTO'!$P$8,IF(C220&lt;='SOLLECITAZ NASCOSTO'!$P$7,IF(C220&lt;='SOLLECITAZ NASCOSTO'!$P$6,IF(C220&lt;='SOLLECITAZ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20" s="41">
        <f t="shared" si="57"/>
        <v>1.8699999999999959E-4</v>
      </c>
      <c r="Q220" s="41">
        <f t="shared" si="55"/>
        <v>1</v>
      </c>
      <c r="R220" s="434">
        <f t="shared" si="49"/>
        <v>2.0481432195794365</v>
      </c>
      <c r="S220" s="45">
        <f t="shared" si="56"/>
        <v>2.0481432195794365</v>
      </c>
      <c r="T220" s="205">
        <f t="shared" si="52"/>
        <v>2.9839183726814444</v>
      </c>
      <c r="U220" s="45">
        <f t="shared" si="53"/>
        <v>77.28853087987784</v>
      </c>
      <c r="V220" s="45">
        <f t="shared" si="54"/>
        <v>-62.185643283307513</v>
      </c>
      <c r="W220" s="488"/>
      <c r="X220" s="489"/>
      <c r="Y220" s="489"/>
      <c r="Z220" s="490"/>
      <c r="AA220" s="46"/>
    </row>
    <row r="221" spans="1:27" s="421" customFormat="1" x14ac:dyDescent="0.25">
      <c r="A221" s="581">
        <f t="shared" si="50"/>
        <v>0.38342869617922026</v>
      </c>
      <c r="B221" s="31">
        <f t="shared" si="58"/>
        <v>189</v>
      </c>
      <c r="C221" s="434">
        <f>'SOLLECITAZ NASCOSTO'!$D$6/'SOLLECITAZ NASCOSTO'!$B$448*'SOLLECITAZ NASCOSTO'!B221</f>
        <v>2.0590375984069866</v>
      </c>
      <c r="D221" s="434">
        <f t="shared" si="51"/>
        <v>0.50342869617922026</v>
      </c>
      <c r="E221" s="434">
        <f t="shared" si="45"/>
        <v>0.38342869617922026</v>
      </c>
      <c r="F221" s="434">
        <f t="shared" si="46"/>
        <v>0.42269718277735047</v>
      </c>
      <c r="G221" s="434">
        <f t="shared" si="47"/>
        <v>5.6246472341873549E-2</v>
      </c>
      <c r="H221" s="434">
        <f t="shared" si="59"/>
        <v>0</v>
      </c>
      <c r="I221" s="434">
        <v>0</v>
      </c>
      <c r="J221" s="127">
        <f t="shared" si="60"/>
        <v>0.13306564281385463</v>
      </c>
      <c r="K221" s="126">
        <f t="shared" si="48"/>
        <v>7.3807212821641877E-3</v>
      </c>
      <c r="L221" s="41">
        <f t="shared" si="61"/>
        <v>77.965382495059345</v>
      </c>
      <c r="M221" s="41">
        <f t="shared" si="62"/>
        <v>-63.031340756690625</v>
      </c>
      <c r="N221" s="41">
        <f>(IF(C220&lt;='SOLLECITAZ NASCOSTO'!$P$12,IF(C220&lt;='SOLLECITAZ NASCOSTO'!$P$11,IF(C220&lt;='SOLLECITAZ NASCOSTO'!$P$10,IF(C220&lt;='SOLLECITAZ NASCOSTO'!$P$9,IF(C220&lt;='SOLLECITAZ NASCOSTO'!$P$8,IF(C220&lt;='SOLLECITAZ NASCOSTO'!$P$7,IF(C220&lt;='SOLLECITAZ NASCOSTO'!$P$6,IF(C220&lt;='SOLLECITAZ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paramento'!$G$111),55555)-IF(C220&lt;='SOLLECITAZ NASCOSTO'!$P$12,IF(C220&lt;='SOLLECITAZ NASCOSTO'!$P$11,IF(C220&lt;='SOLLECITAZ NASCOSTO'!$P$10,IF(C220&lt;='SOLLECITAZ NASCOSTO'!$P$9,IF(C220&lt;='SOLLECITAZ NASCOSTO'!$P$8,IF(C220&lt;='SOLLECITAZ NASCOSTO'!$P$7,IF(C220&lt;='SOLLECITAZ NASCOSTO'!$P$6,IF(C220&lt;='SOLLECITAZ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paramento'!$G$111))*(C220-IF(C220&lt;='SOLLECITAZ NASCOSTO'!$P$12,IF(C220&lt;='SOLLECITAZ NASCOSTO'!$P$11,IF(C220&lt;='SOLLECITAZ NASCOSTO'!$P$10,IF(C220&lt;='SOLLECITAZ NASCOSTO'!$P$9,IF(C220&lt;='SOLLECITAZ NASCOSTO'!$P$8,IF(C220&lt;='SOLLECITAZ NASCOSTO'!$P$7,IF(C220&lt;='SOLLECITAZ NASCOSTO'!$P$6,IF(C220&lt;='SOLLECITAZ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NASCOSTO'!$P$12))/IF(C220&lt;='SOLLECITAZ NASCOSTO'!$P$12,IF(C220&lt;='SOLLECITAZ NASCOSTO'!$P$11,IF(C220&lt;='SOLLECITAZ NASCOSTO'!$P$10,IF(C220&lt;='SOLLECITAZ NASCOSTO'!$P$9,IF(C220&lt;='SOLLECITAZ NASCOSTO'!$P$8,IF(C220&lt;='SOLLECITAZ NASCOSTO'!$P$7,IF(C220&lt;='SOLLECITAZ NASCOSTO'!$P$6,IF(C220&lt;='SOLLECITAZ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paramento'!$C$111)+IF(C220&lt;='SOLLECITAZ NASCOSTO'!$P$12,IF(C220&lt;='SOLLECITAZ NASCOSTO'!$P$11,IF(C220&lt;='SOLLECITAZ NASCOSTO'!$P$10,IF(C220&lt;='SOLLECITAZ NASCOSTO'!$P$9,IF(C220&lt;='SOLLECITAZ NASCOSTO'!$P$8,IF(C220&lt;='SOLLECITAZ NASCOSTO'!$P$7,IF(C220&lt;='SOLLECITAZ NASCOSTO'!$P$6,IF(C220&lt;='SOLLECITAZ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61.999456911178427</v>
      </c>
      <c r="O221" s="41">
        <f>IF(C221&lt;='SOLLECITAZ NASCOSTO'!$P$12,IF(C221&lt;='SOLLECITAZ NASCOSTO'!$P$11,IF(C221&lt;='SOLLECITAZ NASCOSTO'!$P$10,IF(C221&lt;='SOLLECITAZ NASCOSTO'!$P$9,IF(C221&lt;='SOLLECITAZ NASCOSTO'!$P$8,IF(C221&lt;='SOLLECITAZ NASCOSTO'!$P$7,IF(C221&lt;='SOLLECITAZ NASCOSTO'!$P$6,IF(C221&lt;='SOLLECITAZ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paramento'!$G$110),55555)*(C221-C220)/IF(C221&lt;='SOLLECITAZ NASCOSTO'!$P$12,IF(C221&lt;='SOLLECITAZ NASCOSTO'!$P$11,IF(C221&lt;='SOLLECITAZ NASCOSTO'!$P$10,IF(C221&lt;='SOLLECITAZ NASCOSTO'!$P$9,IF(C221&lt;='SOLLECITAZ NASCOSTO'!$P$8,IF(C221&lt;='SOLLECITAZ NASCOSTO'!$P$7,IF(C221&lt;='SOLLECITAZ NASCOSTO'!$P$6,IF(C221&lt;='SOLLECITAZ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21" s="41">
        <f t="shared" si="57"/>
        <v>1.8799999999999958E-4</v>
      </c>
      <c r="Q221" s="41">
        <f t="shared" si="55"/>
        <v>1</v>
      </c>
      <c r="R221" s="434">
        <f t="shared" si="49"/>
        <v>2.0590375984069866</v>
      </c>
      <c r="S221" s="45">
        <f t="shared" si="56"/>
        <v>2.0590375984069866</v>
      </c>
      <c r="T221" s="205">
        <f t="shared" si="52"/>
        <v>2.9730239938538943</v>
      </c>
      <c r="U221" s="45">
        <f t="shared" si="53"/>
        <v>77.965382495059345</v>
      </c>
      <c r="V221" s="45">
        <f t="shared" si="54"/>
        <v>-63.031340756690625</v>
      </c>
      <c r="W221" s="488"/>
      <c r="X221" s="489"/>
      <c r="Y221" s="489"/>
      <c r="Z221" s="490"/>
      <c r="AA221" s="46"/>
    </row>
    <row r="222" spans="1:27" s="421" customFormat="1" x14ac:dyDescent="0.25">
      <c r="A222" s="581">
        <f t="shared" si="50"/>
        <v>0.38499953892732941</v>
      </c>
      <c r="B222" s="31">
        <f t="shared" si="58"/>
        <v>190</v>
      </c>
      <c r="C222" s="434">
        <f>'SOLLECITAZ NASCOSTO'!$D$6/'SOLLECITAZ NASCOSTO'!$B$448*'SOLLECITAZ NASCOSTO'!B222</f>
        <v>2.0699319772345368</v>
      </c>
      <c r="D222" s="434">
        <f t="shared" si="51"/>
        <v>0.50499953892732941</v>
      </c>
      <c r="E222" s="434">
        <f t="shared" si="45"/>
        <v>0.38499953892732941</v>
      </c>
      <c r="F222" s="434">
        <f t="shared" si="46"/>
        <v>0.42319985245674541</v>
      </c>
      <c r="G222" s="434">
        <f t="shared" si="47"/>
        <v>5.6499925490690453E-2</v>
      </c>
      <c r="H222" s="434">
        <f t="shared" si="59"/>
        <v>0</v>
      </c>
      <c r="I222" s="434">
        <v>0</v>
      </c>
      <c r="J222" s="127">
        <f t="shared" si="60"/>
        <v>0.13350648674071838</v>
      </c>
      <c r="K222" s="126">
        <f t="shared" si="48"/>
        <v>7.4498824861080788E-3</v>
      </c>
      <c r="L222" s="41">
        <f t="shared" si="61"/>
        <v>78.645046199218342</v>
      </c>
      <c r="M222" s="41">
        <f t="shared" si="62"/>
        <v>-63.884427425960872</v>
      </c>
      <c r="N222" s="41">
        <f>(IF(C221&lt;='SOLLECITAZ NASCOSTO'!$P$12,IF(C221&lt;='SOLLECITAZ NASCOSTO'!$P$11,IF(C221&lt;='SOLLECITAZ NASCOSTO'!$P$10,IF(C221&lt;='SOLLECITAZ NASCOSTO'!$P$9,IF(C221&lt;='SOLLECITAZ NASCOSTO'!$P$8,IF(C221&lt;='SOLLECITAZ NASCOSTO'!$P$7,IF(C221&lt;='SOLLECITAZ NASCOSTO'!$P$6,IF(C221&lt;='SOLLECITAZ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paramento'!$G$111),55555)-IF(C221&lt;='SOLLECITAZ NASCOSTO'!$P$12,IF(C221&lt;='SOLLECITAZ NASCOSTO'!$P$11,IF(C221&lt;='SOLLECITAZ NASCOSTO'!$P$10,IF(C221&lt;='SOLLECITAZ NASCOSTO'!$P$9,IF(C221&lt;='SOLLECITAZ NASCOSTO'!$P$8,IF(C221&lt;='SOLLECITAZ NASCOSTO'!$P$7,IF(C221&lt;='SOLLECITAZ NASCOSTO'!$P$6,IF(C221&lt;='SOLLECITAZ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paramento'!$G$111))*(C221-IF(C221&lt;='SOLLECITAZ NASCOSTO'!$P$12,IF(C221&lt;='SOLLECITAZ NASCOSTO'!$P$11,IF(C221&lt;='SOLLECITAZ NASCOSTO'!$P$10,IF(C221&lt;='SOLLECITAZ NASCOSTO'!$P$9,IF(C221&lt;='SOLLECITAZ NASCOSTO'!$P$8,IF(C221&lt;='SOLLECITAZ NASCOSTO'!$P$7,IF(C221&lt;='SOLLECITAZ NASCOSTO'!$P$6,IF(C221&lt;='SOLLECITAZ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NASCOSTO'!$P$12))/IF(C221&lt;='SOLLECITAZ NASCOSTO'!$P$12,IF(C221&lt;='SOLLECITAZ NASCOSTO'!$P$11,IF(C221&lt;='SOLLECITAZ NASCOSTO'!$P$10,IF(C221&lt;='SOLLECITAZ NASCOSTO'!$P$9,IF(C221&lt;='SOLLECITAZ NASCOSTO'!$P$8,IF(C221&lt;='SOLLECITAZ NASCOSTO'!$P$7,IF(C221&lt;='SOLLECITAZ NASCOSTO'!$P$6,IF(C221&lt;='SOLLECITAZ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paramento'!$C$111)+IF(C221&lt;='SOLLECITAZ NASCOSTO'!$P$12,IF(C221&lt;='SOLLECITAZ NASCOSTO'!$P$11,IF(C221&lt;='SOLLECITAZ NASCOSTO'!$P$10,IF(C221&lt;='SOLLECITAZ NASCOSTO'!$P$9,IF(C221&lt;='SOLLECITAZ NASCOSTO'!$P$8,IF(C221&lt;='SOLLECITAZ NASCOSTO'!$P$7,IF(C221&lt;='SOLLECITAZ NASCOSTO'!$P$6,IF(C221&lt;='SOLLECITAZ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62.257579840627834</v>
      </c>
      <c r="O222" s="41">
        <f>IF(C222&lt;='SOLLECITAZ NASCOSTO'!$P$12,IF(C222&lt;='SOLLECITAZ NASCOSTO'!$P$11,IF(C222&lt;='SOLLECITAZ NASCOSTO'!$P$10,IF(C222&lt;='SOLLECITAZ NASCOSTO'!$P$9,IF(C222&lt;='SOLLECITAZ NASCOSTO'!$P$8,IF(C222&lt;='SOLLECITAZ NASCOSTO'!$P$7,IF(C222&lt;='SOLLECITAZ NASCOSTO'!$P$6,IF(C222&lt;='SOLLECITAZ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paramento'!$G$110),55555)*(C222-C221)/IF(C222&lt;='SOLLECITAZ NASCOSTO'!$P$12,IF(C222&lt;='SOLLECITAZ NASCOSTO'!$P$11,IF(C222&lt;='SOLLECITAZ NASCOSTO'!$P$10,IF(C222&lt;='SOLLECITAZ NASCOSTO'!$P$9,IF(C222&lt;='SOLLECITAZ NASCOSTO'!$P$8,IF(C222&lt;='SOLLECITAZ NASCOSTO'!$P$7,IF(C222&lt;='SOLLECITAZ NASCOSTO'!$P$6,IF(C222&lt;='SOLLECITAZ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22" s="41">
        <f t="shared" si="57"/>
        <v>1.8899999999999958E-4</v>
      </c>
      <c r="Q222" s="41">
        <f t="shared" si="55"/>
        <v>1</v>
      </c>
      <c r="R222" s="434">
        <f t="shared" si="49"/>
        <v>2.0699319772345368</v>
      </c>
      <c r="S222" s="45">
        <f t="shared" si="56"/>
        <v>2.0699319772345368</v>
      </c>
      <c r="T222" s="205">
        <f t="shared" si="52"/>
        <v>2.9621296150263441</v>
      </c>
      <c r="U222" s="45">
        <f t="shared" si="53"/>
        <v>78.645046199218342</v>
      </c>
      <c r="V222" s="45">
        <f t="shared" si="54"/>
        <v>-63.884427425960872</v>
      </c>
      <c r="W222" s="488"/>
      <c r="X222" s="489"/>
      <c r="Y222" s="489"/>
      <c r="Z222" s="490"/>
      <c r="AA222" s="46"/>
    </row>
    <row r="223" spans="1:27" s="421" customFormat="1" x14ac:dyDescent="0.25">
      <c r="A223" s="581">
        <f t="shared" si="50"/>
        <v>0.38657038167543856</v>
      </c>
      <c r="B223" s="31">
        <f t="shared" si="58"/>
        <v>191</v>
      </c>
      <c r="C223" s="434">
        <f>'SOLLECITAZ NASCOSTO'!$D$6/'SOLLECITAZ NASCOSTO'!$B$448*'SOLLECITAZ NASCOSTO'!B223</f>
        <v>2.080826356062087</v>
      </c>
      <c r="D223" s="434">
        <f t="shared" si="51"/>
        <v>0.50657038167543855</v>
      </c>
      <c r="E223" s="434">
        <f t="shared" si="45"/>
        <v>0.38657038167543856</v>
      </c>
      <c r="F223" s="434">
        <f t="shared" si="46"/>
        <v>0.42370252213614035</v>
      </c>
      <c r="G223" s="434">
        <f t="shared" si="47"/>
        <v>5.675416825452792E-2</v>
      </c>
      <c r="H223" s="434">
        <f t="shared" si="59"/>
        <v>0</v>
      </c>
      <c r="I223" s="434">
        <v>0</v>
      </c>
      <c r="J223" s="127">
        <f t="shared" si="60"/>
        <v>0.13394814826306881</v>
      </c>
      <c r="K223" s="126">
        <f t="shared" si="48"/>
        <v>7.5194655651557325E-3</v>
      </c>
      <c r="L223" s="41">
        <f t="shared" si="61"/>
        <v>79.327521992354832</v>
      </c>
      <c r="M223" s="41">
        <f t="shared" si="62"/>
        <v>-64.744933927080879</v>
      </c>
      <c r="N223" s="41">
        <f>(IF(C222&lt;='SOLLECITAZ NASCOSTO'!$P$12,IF(C222&lt;='SOLLECITAZ NASCOSTO'!$P$11,IF(C222&lt;='SOLLECITAZ NASCOSTO'!$P$10,IF(C222&lt;='SOLLECITAZ NASCOSTO'!$P$9,IF(C222&lt;='SOLLECITAZ NASCOSTO'!$P$8,IF(C222&lt;='SOLLECITAZ NASCOSTO'!$P$7,IF(C222&lt;='SOLLECITAZ NASCOSTO'!$P$6,IF(C222&lt;='SOLLECITAZ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paramento'!$G$111),55555)-IF(C222&lt;='SOLLECITAZ NASCOSTO'!$P$12,IF(C222&lt;='SOLLECITAZ NASCOSTO'!$P$11,IF(C222&lt;='SOLLECITAZ NASCOSTO'!$P$10,IF(C222&lt;='SOLLECITAZ NASCOSTO'!$P$9,IF(C222&lt;='SOLLECITAZ NASCOSTO'!$P$8,IF(C222&lt;='SOLLECITAZ NASCOSTO'!$P$7,IF(C222&lt;='SOLLECITAZ NASCOSTO'!$P$6,IF(C222&lt;='SOLLECITAZ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paramento'!$G$111))*(C222-IF(C222&lt;='SOLLECITAZ NASCOSTO'!$P$12,IF(C222&lt;='SOLLECITAZ NASCOSTO'!$P$11,IF(C222&lt;='SOLLECITAZ NASCOSTO'!$P$10,IF(C222&lt;='SOLLECITAZ NASCOSTO'!$P$9,IF(C222&lt;='SOLLECITAZ NASCOSTO'!$P$8,IF(C222&lt;='SOLLECITAZ NASCOSTO'!$P$7,IF(C222&lt;='SOLLECITAZ NASCOSTO'!$P$6,IF(C222&lt;='SOLLECITAZ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NASCOSTO'!$P$12))/IF(C222&lt;='SOLLECITAZ NASCOSTO'!$P$12,IF(C222&lt;='SOLLECITAZ NASCOSTO'!$P$11,IF(C222&lt;='SOLLECITAZ NASCOSTO'!$P$10,IF(C222&lt;='SOLLECITAZ NASCOSTO'!$P$9,IF(C222&lt;='SOLLECITAZ NASCOSTO'!$P$8,IF(C222&lt;='SOLLECITAZ NASCOSTO'!$P$7,IF(C222&lt;='SOLLECITAZ NASCOSTO'!$P$6,IF(C222&lt;='SOLLECITAZ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paramento'!$C$111)+IF(C222&lt;='SOLLECITAZ NASCOSTO'!$P$12,IF(C222&lt;='SOLLECITAZ NASCOSTO'!$P$11,IF(C222&lt;='SOLLECITAZ NASCOSTO'!$P$10,IF(C222&lt;='SOLLECITAZ NASCOSTO'!$P$9,IF(C222&lt;='SOLLECITAZ NASCOSTO'!$P$8,IF(C222&lt;='SOLLECITAZ NASCOSTO'!$P$7,IF(C222&lt;='SOLLECITAZ NASCOSTO'!$P$6,IF(C222&lt;='SOLLECITAZ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62.51570277007724</v>
      </c>
      <c r="O223" s="41">
        <f>IF(C223&lt;='SOLLECITAZ NASCOSTO'!$P$12,IF(C223&lt;='SOLLECITAZ NASCOSTO'!$P$11,IF(C223&lt;='SOLLECITAZ NASCOSTO'!$P$10,IF(C223&lt;='SOLLECITAZ NASCOSTO'!$P$9,IF(C223&lt;='SOLLECITAZ NASCOSTO'!$P$8,IF(C223&lt;='SOLLECITAZ NASCOSTO'!$P$7,IF(C223&lt;='SOLLECITAZ NASCOSTO'!$P$6,IF(C223&lt;='SOLLECITAZ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paramento'!$G$110),55555)*(C223-C222)/IF(C223&lt;='SOLLECITAZ NASCOSTO'!$P$12,IF(C223&lt;='SOLLECITAZ NASCOSTO'!$P$11,IF(C223&lt;='SOLLECITAZ NASCOSTO'!$P$10,IF(C223&lt;='SOLLECITAZ NASCOSTO'!$P$9,IF(C223&lt;='SOLLECITAZ NASCOSTO'!$P$8,IF(C223&lt;='SOLLECITAZ NASCOSTO'!$P$7,IF(C223&lt;='SOLLECITAZ NASCOSTO'!$P$6,IF(C223&lt;='SOLLECITAZ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23" s="41">
        <f t="shared" si="57"/>
        <v>1.8999999999999958E-4</v>
      </c>
      <c r="Q223" s="41">
        <f t="shared" si="55"/>
        <v>1</v>
      </c>
      <c r="R223" s="434">
        <f t="shared" si="49"/>
        <v>2.080826356062087</v>
      </c>
      <c r="S223" s="45">
        <f t="shared" si="56"/>
        <v>2.080826356062087</v>
      </c>
      <c r="T223" s="205">
        <f t="shared" si="52"/>
        <v>2.9512352361987939</v>
      </c>
      <c r="U223" s="45">
        <f t="shared" si="53"/>
        <v>79.327521992354832</v>
      </c>
      <c r="V223" s="45">
        <f t="shared" si="54"/>
        <v>-64.744933927080879</v>
      </c>
      <c r="W223" s="488"/>
      <c r="X223" s="489"/>
      <c r="Y223" s="489"/>
      <c r="Z223" s="490"/>
      <c r="AA223" s="46"/>
    </row>
    <row r="224" spans="1:27" s="421" customFormat="1" x14ac:dyDescent="0.25">
      <c r="A224" s="581">
        <f t="shared" si="50"/>
        <v>0.38814122442354781</v>
      </c>
      <c r="B224" s="31">
        <f t="shared" si="58"/>
        <v>192</v>
      </c>
      <c r="C224" s="434">
        <f>'SOLLECITAZ NASCOSTO'!$D$6/'SOLLECITAZ NASCOSTO'!$B$448*'SOLLECITAZ NASCOSTO'!B224</f>
        <v>2.0917207348896376</v>
      </c>
      <c r="D224" s="434">
        <f t="shared" si="51"/>
        <v>0.50814122442354781</v>
      </c>
      <c r="E224" s="434">
        <f t="shared" ref="E224:E287" si="63">D224-$D$9</f>
        <v>0.38814122442354781</v>
      </c>
      <c r="F224" s="434">
        <f t="shared" ref="F224:F287" si="64">E224*$D$12*$D$11+$D$8*$D$9</f>
        <v>0.42420519181553529</v>
      </c>
      <c r="G224" s="434">
        <f t="shared" ref="G224:G287" si="65">$D$12*E224*$D$11*($D$9+E224/2)+$D$9*$D$8*$D$9/2</f>
        <v>5.7009200633385979E-2</v>
      </c>
      <c r="H224" s="434">
        <f t="shared" si="59"/>
        <v>0</v>
      </c>
      <c r="I224" s="434">
        <v>0</v>
      </c>
      <c r="J224" s="127">
        <f t="shared" si="60"/>
        <v>0.13439062447443195</v>
      </c>
      <c r="K224" s="126">
        <f t="shared" ref="K224:K287" si="66">$D$8*$D$9^3/12+$D$8*$D$9*(J224-$D$9/2)^2+$D$11*$D$12*(J224-$D$9)^3/3+$D$11*$D$12*(E224-(J224-$D$9))^3/3</f>
        <v>7.5894714958940381E-3</v>
      </c>
      <c r="L224" s="41">
        <f t="shared" si="61"/>
        <v>80.012809874468857</v>
      </c>
      <c r="M224" s="41">
        <f t="shared" si="62"/>
        <v>-65.612890896013283</v>
      </c>
      <c r="N224" s="41">
        <f>(IF(C223&lt;='SOLLECITAZ NASCOSTO'!$P$12,IF(C223&lt;='SOLLECITAZ NASCOSTO'!$P$11,IF(C223&lt;='SOLLECITAZ NASCOSTO'!$P$10,IF(C223&lt;='SOLLECITAZ NASCOSTO'!$P$9,IF(C223&lt;='SOLLECITAZ NASCOSTO'!$P$8,IF(C223&lt;='SOLLECITAZ NASCOSTO'!$P$7,IF(C223&lt;='SOLLECITAZ NASCOSTO'!$P$6,IF(C223&lt;='SOLLECITAZ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paramento'!$G$111),55555)-IF(C223&lt;='SOLLECITAZ NASCOSTO'!$P$12,IF(C223&lt;='SOLLECITAZ NASCOSTO'!$P$11,IF(C223&lt;='SOLLECITAZ NASCOSTO'!$P$10,IF(C223&lt;='SOLLECITAZ NASCOSTO'!$P$9,IF(C223&lt;='SOLLECITAZ NASCOSTO'!$P$8,IF(C223&lt;='SOLLECITAZ NASCOSTO'!$P$7,IF(C223&lt;='SOLLECITAZ NASCOSTO'!$P$6,IF(C223&lt;='SOLLECITAZ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paramento'!$G$111))*(C223-IF(C223&lt;='SOLLECITAZ NASCOSTO'!$P$12,IF(C223&lt;='SOLLECITAZ NASCOSTO'!$P$11,IF(C223&lt;='SOLLECITAZ NASCOSTO'!$P$10,IF(C223&lt;='SOLLECITAZ NASCOSTO'!$P$9,IF(C223&lt;='SOLLECITAZ NASCOSTO'!$P$8,IF(C223&lt;='SOLLECITAZ NASCOSTO'!$P$7,IF(C223&lt;='SOLLECITAZ NASCOSTO'!$P$6,IF(C223&lt;='SOLLECITAZ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NASCOSTO'!$P$12))/IF(C223&lt;='SOLLECITAZ NASCOSTO'!$P$12,IF(C223&lt;='SOLLECITAZ NASCOSTO'!$P$11,IF(C223&lt;='SOLLECITAZ NASCOSTO'!$P$10,IF(C223&lt;='SOLLECITAZ NASCOSTO'!$P$9,IF(C223&lt;='SOLLECITAZ NASCOSTO'!$P$8,IF(C223&lt;='SOLLECITAZ NASCOSTO'!$P$7,IF(C223&lt;='SOLLECITAZ NASCOSTO'!$P$6,IF(C223&lt;='SOLLECITAZ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paramento'!$C$111)+IF(C223&lt;='SOLLECITAZ NASCOSTO'!$P$12,IF(C223&lt;='SOLLECITAZ NASCOSTO'!$P$11,IF(C223&lt;='SOLLECITAZ NASCOSTO'!$P$10,IF(C223&lt;='SOLLECITAZ NASCOSTO'!$P$9,IF(C223&lt;='SOLLECITAZ NASCOSTO'!$P$8,IF(C223&lt;='SOLLECITAZ NASCOSTO'!$P$7,IF(C223&lt;='SOLLECITAZ NASCOSTO'!$P$6,IF(C223&lt;='SOLLECITAZ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62.773825699526647</v>
      </c>
      <c r="O224" s="41">
        <f>IF(C224&lt;='SOLLECITAZ NASCOSTO'!$P$12,IF(C224&lt;='SOLLECITAZ NASCOSTO'!$P$11,IF(C224&lt;='SOLLECITAZ NASCOSTO'!$P$10,IF(C224&lt;='SOLLECITAZ NASCOSTO'!$P$9,IF(C224&lt;='SOLLECITAZ NASCOSTO'!$P$8,IF(C224&lt;='SOLLECITAZ NASCOSTO'!$P$7,IF(C224&lt;='SOLLECITAZ NASCOSTO'!$P$6,IF(C224&lt;='SOLLECITAZ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paramento'!$G$110),55555)*(C224-C223)/IF(C224&lt;='SOLLECITAZ NASCOSTO'!$P$12,IF(C224&lt;='SOLLECITAZ NASCOSTO'!$P$11,IF(C224&lt;='SOLLECITAZ NASCOSTO'!$P$10,IF(C224&lt;='SOLLECITAZ NASCOSTO'!$P$9,IF(C224&lt;='SOLLECITAZ NASCOSTO'!$P$8,IF(C224&lt;='SOLLECITAZ NASCOSTO'!$P$7,IF(C224&lt;='SOLLECITAZ NASCOSTO'!$P$6,IF(C224&lt;='SOLLECITAZ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0.25812292944941589</v>
      </c>
      <c r="P224" s="41">
        <f t="shared" si="57"/>
        <v>1.9099999999999957E-4</v>
      </c>
      <c r="Q224" s="41">
        <f t="shared" si="55"/>
        <v>1</v>
      </c>
      <c r="R224" s="434">
        <f t="shared" ref="R224:R287" si="67">C224</f>
        <v>2.0917207348896376</v>
      </c>
      <c r="S224" s="45">
        <f t="shared" si="56"/>
        <v>2.0917207348896376</v>
      </c>
      <c r="T224" s="205">
        <f t="shared" si="52"/>
        <v>2.9403408573712433</v>
      </c>
      <c r="U224" s="45">
        <f t="shared" si="53"/>
        <v>80.012809874468857</v>
      </c>
      <c r="V224" s="45">
        <f t="shared" si="54"/>
        <v>-65.612890896013283</v>
      </c>
      <c r="W224" s="488"/>
      <c r="X224" s="489"/>
      <c r="Y224" s="489"/>
      <c r="Z224" s="490"/>
      <c r="AA224" s="46"/>
    </row>
    <row r="225" spans="1:27" s="421" customFormat="1" x14ac:dyDescent="0.25">
      <c r="A225" s="581">
        <f t="shared" ref="A225:A288" si="68">E225</f>
        <v>0.38971206717165696</v>
      </c>
      <c r="B225" s="31">
        <f t="shared" si="58"/>
        <v>193</v>
      </c>
      <c r="C225" s="434">
        <f>'SOLLECITAZ NASCOSTO'!$D$6/'SOLLECITAZ NASCOSTO'!$B$448*'SOLLECITAZ NASCOSTO'!B225</f>
        <v>2.1026151137171878</v>
      </c>
      <c r="D225" s="434">
        <f t="shared" ref="D225:D288" si="69">$D$9+$D$14+$D$16*C225</f>
        <v>0.50971206717165696</v>
      </c>
      <c r="E225" s="434">
        <f t="shared" si="63"/>
        <v>0.38971206717165696</v>
      </c>
      <c r="F225" s="434">
        <f t="shared" si="64"/>
        <v>0.42470786149493023</v>
      </c>
      <c r="G225" s="434">
        <f t="shared" si="65"/>
        <v>5.72650226272646E-2</v>
      </c>
      <c r="H225" s="434">
        <f t="shared" si="59"/>
        <v>0</v>
      </c>
      <c r="I225" s="434">
        <v>0</v>
      </c>
      <c r="J225" s="127">
        <f t="shared" si="60"/>
        <v>0.1348339124820937</v>
      </c>
      <c r="K225" s="126">
        <f t="shared" si="66"/>
        <v>7.659901253222569E-3</v>
      </c>
      <c r="L225" s="41">
        <f t="shared" si="61"/>
        <v>80.700909845560346</v>
      </c>
      <c r="M225" s="41">
        <f t="shared" si="62"/>
        <v>-66.488328968720637</v>
      </c>
      <c r="N225" s="41">
        <f>(IF(C224&lt;='SOLLECITAZ NASCOSTO'!$P$12,IF(C224&lt;='SOLLECITAZ NASCOSTO'!$P$11,IF(C224&lt;='SOLLECITAZ NASCOSTO'!$P$10,IF(C224&lt;='SOLLECITAZ NASCOSTO'!$P$9,IF(C224&lt;='SOLLECITAZ NASCOSTO'!$P$8,IF(C224&lt;='SOLLECITAZ NASCOSTO'!$P$7,IF(C224&lt;='SOLLECITAZ NASCOSTO'!$P$6,IF(C224&lt;='SOLLECITAZ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paramento'!$G$111),55555)-IF(C224&lt;='SOLLECITAZ NASCOSTO'!$P$12,IF(C224&lt;='SOLLECITAZ NASCOSTO'!$P$11,IF(C224&lt;='SOLLECITAZ NASCOSTO'!$P$10,IF(C224&lt;='SOLLECITAZ NASCOSTO'!$P$9,IF(C224&lt;='SOLLECITAZ NASCOSTO'!$P$8,IF(C224&lt;='SOLLECITAZ NASCOSTO'!$P$7,IF(C224&lt;='SOLLECITAZ NASCOSTO'!$P$6,IF(C224&lt;='SOLLECITAZ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paramento'!$G$111))*(C224-IF(C224&lt;='SOLLECITAZ NASCOSTO'!$P$12,IF(C224&lt;='SOLLECITAZ NASCOSTO'!$P$11,IF(C224&lt;='SOLLECITAZ NASCOSTO'!$P$10,IF(C224&lt;='SOLLECITAZ NASCOSTO'!$P$9,IF(C224&lt;='SOLLECITAZ NASCOSTO'!$P$8,IF(C224&lt;='SOLLECITAZ NASCOSTO'!$P$7,IF(C224&lt;='SOLLECITAZ NASCOSTO'!$P$6,IF(C224&lt;='SOLLECITAZ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NASCOSTO'!$P$12))/IF(C224&lt;='SOLLECITAZ NASCOSTO'!$P$12,IF(C224&lt;='SOLLECITAZ NASCOSTO'!$P$11,IF(C224&lt;='SOLLECITAZ NASCOSTO'!$P$10,IF(C224&lt;='SOLLECITAZ NASCOSTO'!$P$9,IF(C224&lt;='SOLLECITAZ NASCOSTO'!$P$8,IF(C224&lt;='SOLLECITAZ NASCOSTO'!$P$7,IF(C224&lt;='SOLLECITAZ NASCOSTO'!$P$6,IF(C224&lt;='SOLLECITAZ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paramento'!$C$111)+IF(C224&lt;='SOLLECITAZ NASCOSTO'!$P$12,IF(C224&lt;='SOLLECITAZ NASCOSTO'!$P$11,IF(C224&lt;='SOLLECITAZ NASCOSTO'!$P$10,IF(C224&lt;='SOLLECITAZ NASCOSTO'!$P$9,IF(C224&lt;='SOLLECITAZ NASCOSTO'!$P$8,IF(C224&lt;='SOLLECITAZ NASCOSTO'!$P$7,IF(C224&lt;='SOLLECITAZ NASCOSTO'!$P$6,IF(C224&lt;='SOLLECITAZ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63.03194862897606</v>
      </c>
      <c r="O225" s="41">
        <f>IF(C225&lt;='SOLLECITAZ NASCOSTO'!$P$12,IF(C225&lt;='SOLLECITAZ NASCOSTO'!$P$11,IF(C225&lt;='SOLLECITAZ NASCOSTO'!$P$10,IF(C225&lt;='SOLLECITAZ NASCOSTO'!$P$9,IF(C225&lt;='SOLLECITAZ NASCOSTO'!$P$8,IF(C225&lt;='SOLLECITAZ NASCOSTO'!$P$7,IF(C225&lt;='SOLLECITAZ NASCOSTO'!$P$6,IF(C225&lt;='SOLLECITAZ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paramento'!$G$110),55555)*(C225-C224)/IF(C225&lt;='SOLLECITAZ NASCOSTO'!$P$12,IF(C225&lt;='SOLLECITAZ NASCOSTO'!$P$11,IF(C225&lt;='SOLLECITAZ NASCOSTO'!$P$10,IF(C225&lt;='SOLLECITAZ NASCOSTO'!$P$9,IF(C225&lt;='SOLLECITAZ NASCOSTO'!$P$8,IF(C225&lt;='SOLLECITAZ NASCOSTO'!$P$7,IF(C225&lt;='SOLLECITAZ NASCOSTO'!$P$6,IF(C225&lt;='SOLLECITAZ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25" s="41">
        <f t="shared" si="57"/>
        <v>1.9199999999999957E-4</v>
      </c>
      <c r="Q225" s="41">
        <f t="shared" si="55"/>
        <v>1</v>
      </c>
      <c r="R225" s="434">
        <f t="shared" si="67"/>
        <v>2.1026151137171878</v>
      </c>
      <c r="S225" s="45">
        <f t="shared" si="56"/>
        <v>2.1026151137171878</v>
      </c>
      <c r="T225" s="205">
        <f t="shared" ref="T225:T288" si="70">IF(($R$468-S225)&lt;=$D$6,$R$468-S225,$D$6)</f>
        <v>2.9294464785436931</v>
      </c>
      <c r="U225" s="45">
        <f t="shared" si="53"/>
        <v>80.700909845560346</v>
      </c>
      <c r="V225" s="45">
        <f t="shared" si="54"/>
        <v>-66.488328968720637</v>
      </c>
      <c r="W225" s="488"/>
      <c r="X225" s="489"/>
      <c r="Y225" s="489"/>
      <c r="Z225" s="490"/>
      <c r="AA225" s="46"/>
    </row>
    <row r="226" spans="1:27" s="421" customFormat="1" x14ac:dyDescent="0.25">
      <c r="A226" s="581">
        <f t="shared" si="68"/>
        <v>0.39128290991976611</v>
      </c>
      <c r="B226" s="31">
        <f t="shared" si="58"/>
        <v>194</v>
      </c>
      <c r="C226" s="434">
        <f>'SOLLECITAZ NASCOSTO'!$D$6/'SOLLECITAZ NASCOSTO'!$B$448*'SOLLECITAZ NASCOSTO'!B226</f>
        <v>2.113509492544738</v>
      </c>
      <c r="D226" s="434">
        <f t="shared" si="69"/>
        <v>0.5112829099197661</v>
      </c>
      <c r="E226" s="434">
        <f t="shared" si="63"/>
        <v>0.39128290991976611</v>
      </c>
      <c r="F226" s="434">
        <f t="shared" si="64"/>
        <v>0.42521053117432517</v>
      </c>
      <c r="G226" s="434">
        <f t="shared" si="65"/>
        <v>5.7521634236163785E-2</v>
      </c>
      <c r="H226" s="434">
        <f t="shared" si="59"/>
        <v>0</v>
      </c>
      <c r="I226" s="434">
        <v>0</v>
      </c>
      <c r="J226" s="127">
        <f t="shared" si="60"/>
        <v>0.13527800940701873</v>
      </c>
      <c r="K226" s="126">
        <f t="shared" si="66"/>
        <v>7.7307558103635564E-3</v>
      </c>
      <c r="L226" s="41">
        <f t="shared" si="61"/>
        <v>81.391821905629342</v>
      </c>
      <c r="M226" s="41">
        <f t="shared" si="62"/>
        <v>-67.3712787811656</v>
      </c>
      <c r="N226" s="41">
        <f>(IF(C225&lt;='SOLLECITAZ NASCOSTO'!$P$12,IF(C225&lt;='SOLLECITAZ NASCOSTO'!$P$11,IF(C225&lt;='SOLLECITAZ NASCOSTO'!$P$10,IF(C225&lt;='SOLLECITAZ NASCOSTO'!$P$9,IF(C225&lt;='SOLLECITAZ NASCOSTO'!$P$8,IF(C225&lt;='SOLLECITAZ NASCOSTO'!$P$7,IF(C225&lt;='SOLLECITAZ NASCOSTO'!$P$6,IF(C225&lt;='SOLLECITAZ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paramento'!$G$111),55555)-IF(C225&lt;='SOLLECITAZ NASCOSTO'!$P$12,IF(C225&lt;='SOLLECITAZ NASCOSTO'!$P$11,IF(C225&lt;='SOLLECITAZ NASCOSTO'!$P$10,IF(C225&lt;='SOLLECITAZ NASCOSTO'!$P$9,IF(C225&lt;='SOLLECITAZ NASCOSTO'!$P$8,IF(C225&lt;='SOLLECITAZ NASCOSTO'!$P$7,IF(C225&lt;='SOLLECITAZ NASCOSTO'!$P$6,IF(C225&lt;='SOLLECITAZ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paramento'!$G$111))*(C225-IF(C225&lt;='SOLLECITAZ NASCOSTO'!$P$12,IF(C225&lt;='SOLLECITAZ NASCOSTO'!$P$11,IF(C225&lt;='SOLLECITAZ NASCOSTO'!$P$10,IF(C225&lt;='SOLLECITAZ NASCOSTO'!$P$9,IF(C225&lt;='SOLLECITAZ NASCOSTO'!$P$8,IF(C225&lt;='SOLLECITAZ NASCOSTO'!$P$7,IF(C225&lt;='SOLLECITAZ NASCOSTO'!$P$6,IF(C225&lt;='SOLLECITAZ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NASCOSTO'!$P$12))/IF(C225&lt;='SOLLECITAZ NASCOSTO'!$P$12,IF(C225&lt;='SOLLECITAZ NASCOSTO'!$P$11,IF(C225&lt;='SOLLECITAZ NASCOSTO'!$P$10,IF(C225&lt;='SOLLECITAZ NASCOSTO'!$P$9,IF(C225&lt;='SOLLECITAZ NASCOSTO'!$P$8,IF(C225&lt;='SOLLECITAZ NASCOSTO'!$P$7,IF(C225&lt;='SOLLECITAZ NASCOSTO'!$P$6,IF(C225&lt;='SOLLECITAZ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paramento'!$C$111)+IF(C225&lt;='SOLLECITAZ NASCOSTO'!$P$12,IF(C225&lt;='SOLLECITAZ NASCOSTO'!$P$11,IF(C225&lt;='SOLLECITAZ NASCOSTO'!$P$10,IF(C225&lt;='SOLLECITAZ NASCOSTO'!$P$9,IF(C225&lt;='SOLLECITAZ NASCOSTO'!$P$8,IF(C225&lt;='SOLLECITAZ NASCOSTO'!$P$7,IF(C225&lt;='SOLLECITAZ NASCOSTO'!$P$6,IF(C225&lt;='SOLLECITAZ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63.290071558425467</v>
      </c>
      <c r="O226" s="41">
        <f>IF(C226&lt;='SOLLECITAZ NASCOSTO'!$P$12,IF(C226&lt;='SOLLECITAZ NASCOSTO'!$P$11,IF(C226&lt;='SOLLECITAZ NASCOSTO'!$P$10,IF(C226&lt;='SOLLECITAZ NASCOSTO'!$P$9,IF(C226&lt;='SOLLECITAZ NASCOSTO'!$P$8,IF(C226&lt;='SOLLECITAZ NASCOSTO'!$P$7,IF(C226&lt;='SOLLECITAZ NASCOSTO'!$P$6,IF(C226&lt;='SOLLECITAZ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paramento'!$G$110),55555)*(C226-C225)/IF(C226&lt;='SOLLECITAZ NASCOSTO'!$P$12,IF(C226&lt;='SOLLECITAZ NASCOSTO'!$P$11,IF(C226&lt;='SOLLECITAZ NASCOSTO'!$P$10,IF(C226&lt;='SOLLECITAZ NASCOSTO'!$P$9,IF(C226&lt;='SOLLECITAZ NASCOSTO'!$P$8,IF(C226&lt;='SOLLECITAZ NASCOSTO'!$P$7,IF(C226&lt;='SOLLECITAZ NASCOSTO'!$P$6,IF(C226&lt;='SOLLECITAZ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26" s="41">
        <f t="shared" si="57"/>
        <v>1.9299999999999957E-4</v>
      </c>
      <c r="Q226" s="41">
        <f t="shared" si="55"/>
        <v>1</v>
      </c>
      <c r="R226" s="434">
        <f t="shared" si="67"/>
        <v>2.113509492544738</v>
      </c>
      <c r="S226" s="45">
        <f t="shared" si="56"/>
        <v>2.113509492544738</v>
      </c>
      <c r="T226" s="205">
        <f t="shared" si="70"/>
        <v>2.9185520997161429</v>
      </c>
      <c r="U226" s="45">
        <f t="shared" ref="U226:U289" si="71">IF(Q226=1,L226,0)</f>
        <v>81.391821905629342</v>
      </c>
      <c r="V226" s="45">
        <f t="shared" ref="V226:V289" si="72">IF(Q226=1,M226,0)</f>
        <v>-67.3712787811656</v>
      </c>
      <c r="W226" s="488"/>
      <c r="X226" s="489"/>
      <c r="Y226" s="489"/>
      <c r="Z226" s="490"/>
      <c r="AA226" s="46"/>
    </row>
    <row r="227" spans="1:27" s="421" customFormat="1" x14ac:dyDescent="0.25">
      <c r="A227" s="581">
        <f t="shared" si="68"/>
        <v>0.39285375266787526</v>
      </c>
      <c r="B227" s="31">
        <f t="shared" si="58"/>
        <v>195</v>
      </c>
      <c r="C227" s="434">
        <f>'SOLLECITAZ NASCOSTO'!$D$6/'SOLLECITAZ NASCOSTO'!$B$448*'SOLLECITAZ NASCOSTO'!B227</f>
        <v>2.1244038713722881</v>
      </c>
      <c r="D227" s="434">
        <f t="shared" si="69"/>
        <v>0.51285375266787525</v>
      </c>
      <c r="E227" s="434">
        <f t="shared" si="63"/>
        <v>0.39285375266787526</v>
      </c>
      <c r="F227" s="434">
        <f t="shared" si="64"/>
        <v>0.42571320085372011</v>
      </c>
      <c r="G227" s="434">
        <f t="shared" si="65"/>
        <v>5.7779035460083547E-2</v>
      </c>
      <c r="H227" s="434">
        <f t="shared" si="59"/>
        <v>0</v>
      </c>
      <c r="I227" s="434">
        <v>0</v>
      </c>
      <c r="J227" s="127">
        <f t="shared" si="60"/>
        <v>0.13572291238376957</v>
      </c>
      <c r="K227" s="126">
        <f t="shared" si="66"/>
        <v>7.8020361388717744E-3</v>
      </c>
      <c r="L227" s="41">
        <f t="shared" si="61"/>
        <v>82.085546054675831</v>
      </c>
      <c r="M227" s="41">
        <f t="shared" si="62"/>
        <v>-68.261770969310788</v>
      </c>
      <c r="N227" s="41">
        <f>(IF(C226&lt;='SOLLECITAZ NASCOSTO'!$P$12,IF(C226&lt;='SOLLECITAZ NASCOSTO'!$P$11,IF(C226&lt;='SOLLECITAZ NASCOSTO'!$P$10,IF(C226&lt;='SOLLECITAZ NASCOSTO'!$P$9,IF(C226&lt;='SOLLECITAZ NASCOSTO'!$P$8,IF(C226&lt;='SOLLECITAZ NASCOSTO'!$P$7,IF(C226&lt;='SOLLECITAZ NASCOSTO'!$P$6,IF(C226&lt;='SOLLECITAZ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paramento'!$G$111),55555)-IF(C226&lt;='SOLLECITAZ NASCOSTO'!$P$12,IF(C226&lt;='SOLLECITAZ NASCOSTO'!$P$11,IF(C226&lt;='SOLLECITAZ NASCOSTO'!$P$10,IF(C226&lt;='SOLLECITAZ NASCOSTO'!$P$9,IF(C226&lt;='SOLLECITAZ NASCOSTO'!$P$8,IF(C226&lt;='SOLLECITAZ NASCOSTO'!$P$7,IF(C226&lt;='SOLLECITAZ NASCOSTO'!$P$6,IF(C226&lt;='SOLLECITAZ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paramento'!$G$111))*(C226-IF(C226&lt;='SOLLECITAZ NASCOSTO'!$P$12,IF(C226&lt;='SOLLECITAZ NASCOSTO'!$P$11,IF(C226&lt;='SOLLECITAZ NASCOSTO'!$P$10,IF(C226&lt;='SOLLECITAZ NASCOSTO'!$P$9,IF(C226&lt;='SOLLECITAZ NASCOSTO'!$P$8,IF(C226&lt;='SOLLECITAZ NASCOSTO'!$P$7,IF(C226&lt;='SOLLECITAZ NASCOSTO'!$P$6,IF(C226&lt;='SOLLECITAZ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NASCOSTO'!$P$12))/IF(C226&lt;='SOLLECITAZ NASCOSTO'!$P$12,IF(C226&lt;='SOLLECITAZ NASCOSTO'!$P$11,IF(C226&lt;='SOLLECITAZ NASCOSTO'!$P$10,IF(C226&lt;='SOLLECITAZ NASCOSTO'!$P$9,IF(C226&lt;='SOLLECITAZ NASCOSTO'!$P$8,IF(C226&lt;='SOLLECITAZ NASCOSTO'!$P$7,IF(C226&lt;='SOLLECITAZ NASCOSTO'!$P$6,IF(C226&lt;='SOLLECITAZ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paramento'!$C$111)+IF(C226&lt;='SOLLECITAZ NASCOSTO'!$P$12,IF(C226&lt;='SOLLECITAZ NASCOSTO'!$P$11,IF(C226&lt;='SOLLECITAZ NASCOSTO'!$P$10,IF(C226&lt;='SOLLECITAZ NASCOSTO'!$P$9,IF(C226&lt;='SOLLECITAZ NASCOSTO'!$P$8,IF(C226&lt;='SOLLECITAZ NASCOSTO'!$P$7,IF(C226&lt;='SOLLECITAZ NASCOSTO'!$P$6,IF(C226&lt;='SOLLECITAZ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63.548194487874873</v>
      </c>
      <c r="O227" s="41">
        <f>IF(C227&lt;='SOLLECITAZ NASCOSTO'!$P$12,IF(C227&lt;='SOLLECITAZ NASCOSTO'!$P$11,IF(C227&lt;='SOLLECITAZ NASCOSTO'!$P$10,IF(C227&lt;='SOLLECITAZ NASCOSTO'!$P$9,IF(C227&lt;='SOLLECITAZ NASCOSTO'!$P$8,IF(C227&lt;='SOLLECITAZ NASCOSTO'!$P$7,IF(C227&lt;='SOLLECITAZ NASCOSTO'!$P$6,IF(C227&lt;='SOLLECITAZ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paramento'!$G$110),55555)*(C227-C226)/IF(C227&lt;='SOLLECITAZ NASCOSTO'!$P$12,IF(C227&lt;='SOLLECITAZ NASCOSTO'!$P$11,IF(C227&lt;='SOLLECITAZ NASCOSTO'!$P$10,IF(C227&lt;='SOLLECITAZ NASCOSTO'!$P$9,IF(C227&lt;='SOLLECITAZ NASCOSTO'!$P$8,IF(C227&lt;='SOLLECITAZ NASCOSTO'!$P$7,IF(C227&lt;='SOLLECITAZ NASCOSTO'!$P$6,IF(C227&lt;='SOLLECITAZ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27" s="41">
        <f t="shared" si="57"/>
        <v>1.9399999999999957E-4</v>
      </c>
      <c r="Q227" s="41">
        <f t="shared" ref="Q227:Q290" si="73">IF(C227&lt;=$D$6,1,0+P227)</f>
        <v>1</v>
      </c>
      <c r="R227" s="434">
        <f t="shared" si="67"/>
        <v>2.1244038713722881</v>
      </c>
      <c r="S227" s="45">
        <f t="shared" ref="S227:S290" si="74">IF(Q227&lt;1,VLOOKUP(0,$Q$34:$R$468,2,TRUE),C227)</f>
        <v>2.1244038713722881</v>
      </c>
      <c r="T227" s="205">
        <f t="shared" si="70"/>
        <v>2.9076577208885928</v>
      </c>
      <c r="U227" s="45">
        <f t="shared" si="71"/>
        <v>82.085546054675831</v>
      </c>
      <c r="V227" s="45">
        <f t="shared" si="72"/>
        <v>-68.261770969310788</v>
      </c>
      <c r="W227" s="488"/>
      <c r="X227" s="489"/>
      <c r="Y227" s="489"/>
      <c r="Z227" s="490"/>
      <c r="AA227" s="46"/>
    </row>
    <row r="228" spans="1:27" s="421" customFormat="1" x14ac:dyDescent="0.25">
      <c r="A228" s="581">
        <f t="shared" si="68"/>
        <v>0.3944245954159844</v>
      </c>
      <c r="B228" s="31">
        <f t="shared" si="58"/>
        <v>196</v>
      </c>
      <c r="C228" s="434">
        <f>'SOLLECITAZ NASCOSTO'!$D$6/'SOLLECITAZ NASCOSTO'!$B$448*'SOLLECITAZ NASCOSTO'!B228</f>
        <v>2.1352982501998383</v>
      </c>
      <c r="D228" s="434">
        <f t="shared" si="69"/>
        <v>0.5144245954159844</v>
      </c>
      <c r="E228" s="434">
        <f t="shared" si="63"/>
        <v>0.3944245954159844</v>
      </c>
      <c r="F228" s="434">
        <f t="shared" si="64"/>
        <v>0.42621587053311499</v>
      </c>
      <c r="G228" s="434">
        <f t="shared" si="65"/>
        <v>5.8037226299023872E-2</v>
      </c>
      <c r="H228" s="434">
        <f t="shared" si="59"/>
        <v>0</v>
      </c>
      <c r="I228" s="434">
        <v>0</v>
      </c>
      <c r="J228" s="127">
        <f t="shared" si="60"/>
        <v>0.13616861856042653</v>
      </c>
      <c r="K228" s="126">
        <f t="shared" si="66"/>
        <v>7.8737432086443942E-3</v>
      </c>
      <c r="L228" s="41">
        <f t="shared" si="61"/>
        <v>82.782082292699826</v>
      </c>
      <c r="M228" s="41">
        <f t="shared" si="62"/>
        <v>-69.159836169118819</v>
      </c>
      <c r="N228" s="41">
        <f>(IF(C227&lt;='SOLLECITAZ NASCOSTO'!$P$12,IF(C227&lt;='SOLLECITAZ NASCOSTO'!$P$11,IF(C227&lt;='SOLLECITAZ NASCOSTO'!$P$10,IF(C227&lt;='SOLLECITAZ NASCOSTO'!$P$9,IF(C227&lt;='SOLLECITAZ NASCOSTO'!$P$8,IF(C227&lt;='SOLLECITAZ NASCOSTO'!$P$7,IF(C227&lt;='SOLLECITAZ NASCOSTO'!$P$6,IF(C227&lt;='SOLLECITAZ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paramento'!$G$111),55555)-IF(C227&lt;='SOLLECITAZ NASCOSTO'!$P$12,IF(C227&lt;='SOLLECITAZ NASCOSTO'!$P$11,IF(C227&lt;='SOLLECITAZ NASCOSTO'!$P$10,IF(C227&lt;='SOLLECITAZ NASCOSTO'!$P$9,IF(C227&lt;='SOLLECITAZ NASCOSTO'!$P$8,IF(C227&lt;='SOLLECITAZ NASCOSTO'!$P$7,IF(C227&lt;='SOLLECITAZ NASCOSTO'!$P$6,IF(C227&lt;='SOLLECITAZ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paramento'!$G$111))*(C227-IF(C227&lt;='SOLLECITAZ NASCOSTO'!$P$12,IF(C227&lt;='SOLLECITAZ NASCOSTO'!$P$11,IF(C227&lt;='SOLLECITAZ NASCOSTO'!$P$10,IF(C227&lt;='SOLLECITAZ NASCOSTO'!$P$9,IF(C227&lt;='SOLLECITAZ NASCOSTO'!$P$8,IF(C227&lt;='SOLLECITAZ NASCOSTO'!$P$7,IF(C227&lt;='SOLLECITAZ NASCOSTO'!$P$6,IF(C227&lt;='SOLLECITAZ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NASCOSTO'!$P$12))/IF(C227&lt;='SOLLECITAZ NASCOSTO'!$P$12,IF(C227&lt;='SOLLECITAZ NASCOSTO'!$P$11,IF(C227&lt;='SOLLECITAZ NASCOSTO'!$P$10,IF(C227&lt;='SOLLECITAZ NASCOSTO'!$P$9,IF(C227&lt;='SOLLECITAZ NASCOSTO'!$P$8,IF(C227&lt;='SOLLECITAZ NASCOSTO'!$P$7,IF(C227&lt;='SOLLECITAZ NASCOSTO'!$P$6,IF(C227&lt;='SOLLECITAZ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paramento'!$C$111)+IF(C227&lt;='SOLLECITAZ NASCOSTO'!$P$12,IF(C227&lt;='SOLLECITAZ NASCOSTO'!$P$11,IF(C227&lt;='SOLLECITAZ NASCOSTO'!$P$10,IF(C227&lt;='SOLLECITAZ NASCOSTO'!$P$9,IF(C227&lt;='SOLLECITAZ NASCOSTO'!$P$8,IF(C227&lt;='SOLLECITAZ NASCOSTO'!$P$7,IF(C227&lt;='SOLLECITAZ NASCOSTO'!$P$6,IF(C227&lt;='SOLLECITAZ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63.806317417324273</v>
      </c>
      <c r="O228" s="41">
        <f>IF(C228&lt;='SOLLECITAZ NASCOSTO'!$P$12,IF(C228&lt;='SOLLECITAZ NASCOSTO'!$P$11,IF(C228&lt;='SOLLECITAZ NASCOSTO'!$P$10,IF(C228&lt;='SOLLECITAZ NASCOSTO'!$P$9,IF(C228&lt;='SOLLECITAZ NASCOSTO'!$P$8,IF(C228&lt;='SOLLECITAZ NASCOSTO'!$P$7,IF(C228&lt;='SOLLECITAZ NASCOSTO'!$P$6,IF(C228&lt;='SOLLECITAZ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paramento'!$G$110),55555)*(C228-C227)/IF(C228&lt;='SOLLECITAZ NASCOSTO'!$P$12,IF(C228&lt;='SOLLECITAZ NASCOSTO'!$P$11,IF(C228&lt;='SOLLECITAZ NASCOSTO'!$P$10,IF(C228&lt;='SOLLECITAZ NASCOSTO'!$P$9,IF(C228&lt;='SOLLECITAZ NASCOSTO'!$P$8,IF(C228&lt;='SOLLECITAZ NASCOSTO'!$P$7,IF(C228&lt;='SOLLECITAZ NASCOSTO'!$P$6,IF(C228&lt;='SOLLECITAZ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28" s="41">
        <f t="shared" ref="P228:P291" si="75">P227+0.000001</f>
        <v>1.9499999999999956E-4</v>
      </c>
      <c r="Q228" s="41">
        <f t="shared" si="73"/>
        <v>1</v>
      </c>
      <c r="R228" s="434">
        <f t="shared" si="67"/>
        <v>2.1352982501998383</v>
      </c>
      <c r="S228" s="45">
        <f t="shared" si="74"/>
        <v>2.1352982501998383</v>
      </c>
      <c r="T228" s="205">
        <f t="shared" si="70"/>
        <v>2.8967633420610426</v>
      </c>
      <c r="U228" s="45">
        <f t="shared" si="71"/>
        <v>82.782082292699826</v>
      </c>
      <c r="V228" s="45">
        <f t="shared" si="72"/>
        <v>-69.159836169118819</v>
      </c>
      <c r="W228" s="488"/>
      <c r="X228" s="489"/>
      <c r="Y228" s="489"/>
      <c r="Z228" s="490"/>
      <c r="AA228" s="46"/>
    </row>
    <row r="229" spans="1:27" s="421" customFormat="1" x14ac:dyDescent="0.25">
      <c r="A229" s="581">
        <f t="shared" si="68"/>
        <v>0.39599543816409355</v>
      </c>
      <c r="B229" s="31">
        <f t="shared" si="58"/>
        <v>197</v>
      </c>
      <c r="C229" s="434">
        <f>'SOLLECITAZ NASCOSTO'!$D$6/'SOLLECITAZ NASCOSTO'!$B$448*'SOLLECITAZ NASCOSTO'!B229</f>
        <v>2.1461926290273885</v>
      </c>
      <c r="D229" s="434">
        <f t="shared" si="69"/>
        <v>0.51599543816409355</v>
      </c>
      <c r="E229" s="434">
        <f t="shared" si="63"/>
        <v>0.39599543816409355</v>
      </c>
      <c r="F229" s="434">
        <f t="shared" si="64"/>
        <v>0.42671854021250993</v>
      </c>
      <c r="G229" s="434">
        <f t="shared" si="65"/>
        <v>5.8296206752984789E-2</v>
      </c>
      <c r="H229" s="434">
        <f t="shared" si="59"/>
        <v>0</v>
      </c>
      <c r="I229" s="434">
        <v>0</v>
      </c>
      <c r="J229" s="127">
        <f t="shared" si="60"/>
        <v>0.13661512509850807</v>
      </c>
      <c r="K229" s="126">
        <f t="shared" si="66"/>
        <v>7.9458779879307342E-3</v>
      </c>
      <c r="L229" s="41">
        <f t="shared" si="61"/>
        <v>83.481430619701314</v>
      </c>
      <c r="M229" s="41">
        <f t="shared" si="62"/>
        <v>-70.065505016552308</v>
      </c>
      <c r="N229" s="41">
        <f>(IF(C228&lt;='SOLLECITAZ NASCOSTO'!$P$12,IF(C228&lt;='SOLLECITAZ NASCOSTO'!$P$11,IF(C228&lt;='SOLLECITAZ NASCOSTO'!$P$10,IF(C228&lt;='SOLLECITAZ NASCOSTO'!$P$9,IF(C228&lt;='SOLLECITAZ NASCOSTO'!$P$8,IF(C228&lt;='SOLLECITAZ NASCOSTO'!$P$7,IF(C228&lt;='SOLLECITAZ NASCOSTO'!$P$6,IF(C228&lt;='SOLLECITAZ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paramento'!$G$111),55555)-IF(C228&lt;='SOLLECITAZ NASCOSTO'!$P$12,IF(C228&lt;='SOLLECITAZ NASCOSTO'!$P$11,IF(C228&lt;='SOLLECITAZ NASCOSTO'!$P$10,IF(C228&lt;='SOLLECITAZ NASCOSTO'!$P$9,IF(C228&lt;='SOLLECITAZ NASCOSTO'!$P$8,IF(C228&lt;='SOLLECITAZ NASCOSTO'!$P$7,IF(C228&lt;='SOLLECITAZ NASCOSTO'!$P$6,IF(C228&lt;='SOLLECITAZ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paramento'!$G$111))*(C228-IF(C228&lt;='SOLLECITAZ NASCOSTO'!$P$12,IF(C228&lt;='SOLLECITAZ NASCOSTO'!$P$11,IF(C228&lt;='SOLLECITAZ NASCOSTO'!$P$10,IF(C228&lt;='SOLLECITAZ NASCOSTO'!$P$9,IF(C228&lt;='SOLLECITAZ NASCOSTO'!$P$8,IF(C228&lt;='SOLLECITAZ NASCOSTO'!$P$7,IF(C228&lt;='SOLLECITAZ NASCOSTO'!$P$6,IF(C228&lt;='SOLLECITAZ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NASCOSTO'!$P$12))/IF(C228&lt;='SOLLECITAZ NASCOSTO'!$P$12,IF(C228&lt;='SOLLECITAZ NASCOSTO'!$P$11,IF(C228&lt;='SOLLECITAZ NASCOSTO'!$P$10,IF(C228&lt;='SOLLECITAZ NASCOSTO'!$P$9,IF(C228&lt;='SOLLECITAZ NASCOSTO'!$P$8,IF(C228&lt;='SOLLECITAZ NASCOSTO'!$P$7,IF(C228&lt;='SOLLECITAZ NASCOSTO'!$P$6,IF(C228&lt;='SOLLECITAZ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paramento'!$C$111)+IF(C228&lt;='SOLLECITAZ NASCOSTO'!$P$12,IF(C228&lt;='SOLLECITAZ NASCOSTO'!$P$11,IF(C228&lt;='SOLLECITAZ NASCOSTO'!$P$10,IF(C228&lt;='SOLLECITAZ NASCOSTO'!$P$9,IF(C228&lt;='SOLLECITAZ NASCOSTO'!$P$8,IF(C228&lt;='SOLLECITAZ NASCOSTO'!$P$7,IF(C228&lt;='SOLLECITAZ NASCOSTO'!$P$6,IF(C228&lt;='SOLLECITAZ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64.064440346773679</v>
      </c>
      <c r="O229" s="41">
        <f>IF(C229&lt;='SOLLECITAZ NASCOSTO'!$P$12,IF(C229&lt;='SOLLECITAZ NASCOSTO'!$P$11,IF(C229&lt;='SOLLECITAZ NASCOSTO'!$P$10,IF(C229&lt;='SOLLECITAZ NASCOSTO'!$P$9,IF(C229&lt;='SOLLECITAZ NASCOSTO'!$P$8,IF(C229&lt;='SOLLECITAZ NASCOSTO'!$P$7,IF(C229&lt;='SOLLECITAZ NASCOSTO'!$P$6,IF(C229&lt;='SOLLECITAZ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paramento'!$G$110),55555)*(C229-C228)/IF(C229&lt;='SOLLECITAZ NASCOSTO'!$P$12,IF(C229&lt;='SOLLECITAZ NASCOSTO'!$P$11,IF(C229&lt;='SOLLECITAZ NASCOSTO'!$P$10,IF(C229&lt;='SOLLECITAZ NASCOSTO'!$P$9,IF(C229&lt;='SOLLECITAZ NASCOSTO'!$P$8,IF(C229&lt;='SOLLECITAZ NASCOSTO'!$P$7,IF(C229&lt;='SOLLECITAZ NASCOSTO'!$P$6,IF(C229&lt;='SOLLECITAZ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29" s="41">
        <f t="shared" si="75"/>
        <v>1.9599999999999956E-4</v>
      </c>
      <c r="Q229" s="41">
        <f t="shared" si="73"/>
        <v>1</v>
      </c>
      <c r="R229" s="434">
        <f t="shared" si="67"/>
        <v>2.1461926290273885</v>
      </c>
      <c r="S229" s="45">
        <f t="shared" si="74"/>
        <v>2.1461926290273885</v>
      </c>
      <c r="T229" s="205">
        <f t="shared" si="70"/>
        <v>2.8858689632334924</v>
      </c>
      <c r="U229" s="45">
        <f t="shared" si="71"/>
        <v>83.481430619701314</v>
      </c>
      <c r="V229" s="45">
        <f t="shared" si="72"/>
        <v>-70.065505016552308</v>
      </c>
      <c r="W229" s="488"/>
      <c r="X229" s="489"/>
      <c r="Y229" s="489"/>
      <c r="Z229" s="490"/>
      <c r="AA229" s="46"/>
    </row>
    <row r="230" spans="1:27" s="421" customFormat="1" x14ac:dyDescent="0.25">
      <c r="A230" s="581">
        <f t="shared" si="68"/>
        <v>0.3975662809122027</v>
      </c>
      <c r="B230" s="31">
        <f t="shared" si="58"/>
        <v>198</v>
      </c>
      <c r="C230" s="434">
        <f>'SOLLECITAZ NASCOSTO'!$D$6/'SOLLECITAZ NASCOSTO'!$B$448*'SOLLECITAZ NASCOSTO'!B230</f>
        <v>2.1570870078549387</v>
      </c>
      <c r="D230" s="434">
        <f t="shared" si="69"/>
        <v>0.51756628091220269</v>
      </c>
      <c r="E230" s="434">
        <f t="shared" si="63"/>
        <v>0.3975662809122027</v>
      </c>
      <c r="F230" s="434">
        <f t="shared" si="64"/>
        <v>0.42722120989190482</v>
      </c>
      <c r="G230" s="434">
        <f t="shared" si="65"/>
        <v>5.8555976821966255E-2</v>
      </c>
      <c r="H230" s="434">
        <f t="shared" si="59"/>
        <v>0</v>
      </c>
      <c r="I230" s="434">
        <v>0</v>
      </c>
      <c r="J230" s="127">
        <f t="shared" si="60"/>
        <v>0.13706242917289158</v>
      </c>
      <c r="K230" s="126">
        <f t="shared" si="66"/>
        <v>8.018441443341958E-3</v>
      </c>
      <c r="L230" s="41">
        <f t="shared" si="61"/>
        <v>84.183591035680308</v>
      </c>
      <c r="M230" s="41">
        <f t="shared" si="62"/>
        <v>-70.978808147573872</v>
      </c>
      <c r="N230" s="41">
        <f>(IF(C229&lt;='SOLLECITAZ NASCOSTO'!$P$12,IF(C229&lt;='SOLLECITAZ NASCOSTO'!$P$11,IF(C229&lt;='SOLLECITAZ NASCOSTO'!$P$10,IF(C229&lt;='SOLLECITAZ NASCOSTO'!$P$9,IF(C229&lt;='SOLLECITAZ NASCOSTO'!$P$8,IF(C229&lt;='SOLLECITAZ NASCOSTO'!$P$7,IF(C229&lt;='SOLLECITAZ NASCOSTO'!$P$6,IF(C229&lt;='SOLLECITAZ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paramento'!$G$111),55555)-IF(C229&lt;='SOLLECITAZ NASCOSTO'!$P$12,IF(C229&lt;='SOLLECITAZ NASCOSTO'!$P$11,IF(C229&lt;='SOLLECITAZ NASCOSTO'!$P$10,IF(C229&lt;='SOLLECITAZ NASCOSTO'!$P$9,IF(C229&lt;='SOLLECITAZ NASCOSTO'!$P$8,IF(C229&lt;='SOLLECITAZ NASCOSTO'!$P$7,IF(C229&lt;='SOLLECITAZ NASCOSTO'!$P$6,IF(C229&lt;='SOLLECITAZ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paramento'!$G$111))*(C229-IF(C229&lt;='SOLLECITAZ NASCOSTO'!$P$12,IF(C229&lt;='SOLLECITAZ NASCOSTO'!$P$11,IF(C229&lt;='SOLLECITAZ NASCOSTO'!$P$10,IF(C229&lt;='SOLLECITAZ NASCOSTO'!$P$9,IF(C229&lt;='SOLLECITAZ NASCOSTO'!$P$8,IF(C229&lt;='SOLLECITAZ NASCOSTO'!$P$7,IF(C229&lt;='SOLLECITAZ NASCOSTO'!$P$6,IF(C229&lt;='SOLLECITAZ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NASCOSTO'!$P$12))/IF(C229&lt;='SOLLECITAZ NASCOSTO'!$P$12,IF(C229&lt;='SOLLECITAZ NASCOSTO'!$P$11,IF(C229&lt;='SOLLECITAZ NASCOSTO'!$P$10,IF(C229&lt;='SOLLECITAZ NASCOSTO'!$P$9,IF(C229&lt;='SOLLECITAZ NASCOSTO'!$P$8,IF(C229&lt;='SOLLECITAZ NASCOSTO'!$P$7,IF(C229&lt;='SOLLECITAZ NASCOSTO'!$P$6,IF(C229&lt;='SOLLECITAZ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paramento'!$C$111)+IF(C229&lt;='SOLLECITAZ NASCOSTO'!$P$12,IF(C229&lt;='SOLLECITAZ NASCOSTO'!$P$11,IF(C229&lt;='SOLLECITAZ NASCOSTO'!$P$10,IF(C229&lt;='SOLLECITAZ NASCOSTO'!$P$9,IF(C229&lt;='SOLLECITAZ NASCOSTO'!$P$8,IF(C229&lt;='SOLLECITAZ NASCOSTO'!$P$7,IF(C229&lt;='SOLLECITAZ NASCOSTO'!$P$6,IF(C229&lt;='SOLLECITAZ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64.322563276223093</v>
      </c>
      <c r="O230" s="41">
        <f>IF(C230&lt;='SOLLECITAZ NASCOSTO'!$P$12,IF(C230&lt;='SOLLECITAZ NASCOSTO'!$P$11,IF(C230&lt;='SOLLECITAZ NASCOSTO'!$P$10,IF(C230&lt;='SOLLECITAZ NASCOSTO'!$P$9,IF(C230&lt;='SOLLECITAZ NASCOSTO'!$P$8,IF(C230&lt;='SOLLECITAZ NASCOSTO'!$P$7,IF(C230&lt;='SOLLECITAZ NASCOSTO'!$P$6,IF(C230&lt;='SOLLECITAZ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paramento'!$G$110),55555)*(C230-C229)/IF(C230&lt;='SOLLECITAZ NASCOSTO'!$P$12,IF(C230&lt;='SOLLECITAZ NASCOSTO'!$P$11,IF(C230&lt;='SOLLECITAZ NASCOSTO'!$P$10,IF(C230&lt;='SOLLECITAZ NASCOSTO'!$P$9,IF(C230&lt;='SOLLECITAZ NASCOSTO'!$P$8,IF(C230&lt;='SOLLECITAZ NASCOSTO'!$P$7,IF(C230&lt;='SOLLECITAZ NASCOSTO'!$P$6,IF(C230&lt;='SOLLECITAZ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30" s="41">
        <f t="shared" si="75"/>
        <v>1.9699999999999956E-4</v>
      </c>
      <c r="Q230" s="41">
        <f t="shared" si="73"/>
        <v>1</v>
      </c>
      <c r="R230" s="434">
        <f t="shared" si="67"/>
        <v>2.1570870078549387</v>
      </c>
      <c r="S230" s="45">
        <f t="shared" si="74"/>
        <v>2.1570870078549387</v>
      </c>
      <c r="T230" s="205">
        <f t="shared" si="70"/>
        <v>2.8749745844059422</v>
      </c>
      <c r="U230" s="45">
        <f t="shared" si="71"/>
        <v>84.183591035680308</v>
      </c>
      <c r="V230" s="45">
        <f t="shared" si="72"/>
        <v>-70.978808147573872</v>
      </c>
      <c r="W230" s="488"/>
      <c r="X230" s="489"/>
      <c r="Y230" s="489"/>
      <c r="Z230" s="490"/>
      <c r="AA230" s="46"/>
    </row>
    <row r="231" spans="1:27" s="421" customFormat="1" x14ac:dyDescent="0.25">
      <c r="A231" s="581">
        <f t="shared" si="68"/>
        <v>0.39913712366031184</v>
      </c>
      <c r="B231" s="31">
        <f t="shared" si="58"/>
        <v>199</v>
      </c>
      <c r="C231" s="434">
        <f>'SOLLECITAZ NASCOSTO'!$D$6/'SOLLECITAZ NASCOSTO'!$B$448*'SOLLECITAZ NASCOSTO'!B231</f>
        <v>2.1679813866824889</v>
      </c>
      <c r="D231" s="434">
        <f t="shared" si="69"/>
        <v>0.51913712366031184</v>
      </c>
      <c r="E231" s="434">
        <f t="shared" si="63"/>
        <v>0.39913712366031184</v>
      </c>
      <c r="F231" s="434">
        <f t="shared" si="64"/>
        <v>0.42772387957129976</v>
      </c>
      <c r="G231" s="434">
        <f t="shared" si="65"/>
        <v>5.8816536505968312E-2</v>
      </c>
      <c r="H231" s="434">
        <f t="shared" si="59"/>
        <v>0</v>
      </c>
      <c r="I231" s="434">
        <v>0</v>
      </c>
      <c r="J231" s="127">
        <f t="shared" si="60"/>
        <v>0.13751052797173519</v>
      </c>
      <c r="K231" s="126">
        <f t="shared" si="66"/>
        <v>8.0914345398607011E-3</v>
      </c>
      <c r="L231" s="41">
        <f t="shared" si="61"/>
        <v>84.888563540636795</v>
      </c>
      <c r="M231" s="41">
        <f t="shared" si="62"/>
        <v>-71.899776198146128</v>
      </c>
      <c r="N231" s="41">
        <f>(IF(C230&lt;='SOLLECITAZ NASCOSTO'!$P$12,IF(C230&lt;='SOLLECITAZ NASCOSTO'!$P$11,IF(C230&lt;='SOLLECITAZ NASCOSTO'!$P$10,IF(C230&lt;='SOLLECITAZ NASCOSTO'!$P$9,IF(C230&lt;='SOLLECITAZ NASCOSTO'!$P$8,IF(C230&lt;='SOLLECITAZ NASCOSTO'!$P$7,IF(C230&lt;='SOLLECITAZ NASCOSTO'!$P$6,IF(C230&lt;='SOLLECITAZ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paramento'!$G$111),55555)-IF(C230&lt;='SOLLECITAZ NASCOSTO'!$P$12,IF(C230&lt;='SOLLECITAZ NASCOSTO'!$P$11,IF(C230&lt;='SOLLECITAZ NASCOSTO'!$P$10,IF(C230&lt;='SOLLECITAZ NASCOSTO'!$P$9,IF(C230&lt;='SOLLECITAZ NASCOSTO'!$P$8,IF(C230&lt;='SOLLECITAZ NASCOSTO'!$P$7,IF(C230&lt;='SOLLECITAZ NASCOSTO'!$P$6,IF(C230&lt;='SOLLECITAZ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paramento'!$G$111))*(C230-IF(C230&lt;='SOLLECITAZ NASCOSTO'!$P$12,IF(C230&lt;='SOLLECITAZ NASCOSTO'!$P$11,IF(C230&lt;='SOLLECITAZ NASCOSTO'!$P$10,IF(C230&lt;='SOLLECITAZ NASCOSTO'!$P$9,IF(C230&lt;='SOLLECITAZ NASCOSTO'!$P$8,IF(C230&lt;='SOLLECITAZ NASCOSTO'!$P$7,IF(C230&lt;='SOLLECITAZ NASCOSTO'!$P$6,IF(C230&lt;='SOLLECITAZ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NASCOSTO'!$P$12))/IF(C230&lt;='SOLLECITAZ NASCOSTO'!$P$12,IF(C230&lt;='SOLLECITAZ NASCOSTO'!$P$11,IF(C230&lt;='SOLLECITAZ NASCOSTO'!$P$10,IF(C230&lt;='SOLLECITAZ NASCOSTO'!$P$9,IF(C230&lt;='SOLLECITAZ NASCOSTO'!$P$8,IF(C230&lt;='SOLLECITAZ NASCOSTO'!$P$7,IF(C230&lt;='SOLLECITAZ NASCOSTO'!$P$6,IF(C230&lt;='SOLLECITAZ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paramento'!$C$111)+IF(C230&lt;='SOLLECITAZ NASCOSTO'!$P$12,IF(C230&lt;='SOLLECITAZ NASCOSTO'!$P$11,IF(C230&lt;='SOLLECITAZ NASCOSTO'!$P$10,IF(C230&lt;='SOLLECITAZ NASCOSTO'!$P$9,IF(C230&lt;='SOLLECITAZ NASCOSTO'!$P$8,IF(C230&lt;='SOLLECITAZ NASCOSTO'!$P$7,IF(C230&lt;='SOLLECITAZ NASCOSTO'!$P$6,IF(C230&lt;='SOLLECITAZ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64.580686205672492</v>
      </c>
      <c r="O231" s="41">
        <f>IF(C231&lt;='SOLLECITAZ NASCOSTO'!$P$12,IF(C231&lt;='SOLLECITAZ NASCOSTO'!$P$11,IF(C231&lt;='SOLLECITAZ NASCOSTO'!$P$10,IF(C231&lt;='SOLLECITAZ NASCOSTO'!$P$9,IF(C231&lt;='SOLLECITAZ NASCOSTO'!$P$8,IF(C231&lt;='SOLLECITAZ NASCOSTO'!$P$7,IF(C231&lt;='SOLLECITAZ NASCOSTO'!$P$6,IF(C231&lt;='SOLLECITAZ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paramento'!$G$110),55555)*(C231-C230)/IF(C231&lt;='SOLLECITAZ NASCOSTO'!$P$12,IF(C231&lt;='SOLLECITAZ NASCOSTO'!$P$11,IF(C231&lt;='SOLLECITAZ NASCOSTO'!$P$10,IF(C231&lt;='SOLLECITAZ NASCOSTO'!$P$9,IF(C231&lt;='SOLLECITAZ NASCOSTO'!$P$8,IF(C231&lt;='SOLLECITAZ NASCOSTO'!$P$7,IF(C231&lt;='SOLLECITAZ NASCOSTO'!$P$6,IF(C231&lt;='SOLLECITAZ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31" s="41">
        <f t="shared" si="75"/>
        <v>1.9799999999999955E-4</v>
      </c>
      <c r="Q231" s="41">
        <f t="shared" si="73"/>
        <v>1</v>
      </c>
      <c r="R231" s="434">
        <f t="shared" si="67"/>
        <v>2.1679813866824889</v>
      </c>
      <c r="S231" s="45">
        <f t="shared" si="74"/>
        <v>2.1679813866824889</v>
      </c>
      <c r="T231" s="205">
        <f t="shared" si="70"/>
        <v>2.864080205578392</v>
      </c>
      <c r="U231" s="45">
        <f t="shared" si="71"/>
        <v>84.888563540636795</v>
      </c>
      <c r="V231" s="45">
        <f t="shared" si="72"/>
        <v>-71.899776198146128</v>
      </c>
      <c r="W231" s="488"/>
      <c r="X231" s="489"/>
      <c r="Y231" s="489"/>
      <c r="Z231" s="490"/>
      <c r="AA231" s="46"/>
    </row>
    <row r="232" spans="1:27" s="421" customFormat="1" x14ac:dyDescent="0.25">
      <c r="A232" s="581">
        <f t="shared" si="68"/>
        <v>0.4007079664084211</v>
      </c>
      <c r="B232" s="31">
        <f t="shared" si="58"/>
        <v>200</v>
      </c>
      <c r="C232" s="434">
        <f>'SOLLECITAZ NASCOSTO'!$D$6/'SOLLECITAZ NASCOSTO'!$B$448*'SOLLECITAZ NASCOSTO'!B232</f>
        <v>2.178875765510039</v>
      </c>
      <c r="D232" s="434">
        <f t="shared" si="69"/>
        <v>0.5207079664084211</v>
      </c>
      <c r="E232" s="434">
        <f t="shared" si="63"/>
        <v>0.4007079664084211</v>
      </c>
      <c r="F232" s="434">
        <f t="shared" si="64"/>
        <v>0.42822654925069475</v>
      </c>
      <c r="G232" s="434">
        <f t="shared" si="65"/>
        <v>5.9077885804990946E-2</v>
      </c>
      <c r="H232" s="434">
        <f t="shared" si="59"/>
        <v>0</v>
      </c>
      <c r="I232" s="434">
        <v>0</v>
      </c>
      <c r="J232" s="127">
        <f t="shared" si="60"/>
        <v>0.13795941869639952</v>
      </c>
      <c r="K232" s="126">
        <f t="shared" si="66"/>
        <v>8.1648582408506334E-3</v>
      </c>
      <c r="L232" s="41">
        <f t="shared" si="61"/>
        <v>85.596348134570775</v>
      </c>
      <c r="M232" s="41">
        <f t="shared" si="62"/>
        <v>-72.828439804231706</v>
      </c>
      <c r="N232" s="41">
        <f>(IF(C231&lt;='SOLLECITAZ NASCOSTO'!$P$12,IF(C231&lt;='SOLLECITAZ NASCOSTO'!$P$11,IF(C231&lt;='SOLLECITAZ NASCOSTO'!$P$10,IF(C231&lt;='SOLLECITAZ NASCOSTO'!$P$9,IF(C231&lt;='SOLLECITAZ NASCOSTO'!$P$8,IF(C231&lt;='SOLLECITAZ NASCOSTO'!$P$7,IF(C231&lt;='SOLLECITAZ NASCOSTO'!$P$6,IF(C231&lt;='SOLLECITAZ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paramento'!$G$111),55555)-IF(C231&lt;='SOLLECITAZ NASCOSTO'!$P$12,IF(C231&lt;='SOLLECITAZ NASCOSTO'!$P$11,IF(C231&lt;='SOLLECITAZ NASCOSTO'!$P$10,IF(C231&lt;='SOLLECITAZ NASCOSTO'!$P$9,IF(C231&lt;='SOLLECITAZ NASCOSTO'!$P$8,IF(C231&lt;='SOLLECITAZ NASCOSTO'!$P$7,IF(C231&lt;='SOLLECITAZ NASCOSTO'!$P$6,IF(C231&lt;='SOLLECITAZ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paramento'!$G$111))*(C231-IF(C231&lt;='SOLLECITAZ NASCOSTO'!$P$12,IF(C231&lt;='SOLLECITAZ NASCOSTO'!$P$11,IF(C231&lt;='SOLLECITAZ NASCOSTO'!$P$10,IF(C231&lt;='SOLLECITAZ NASCOSTO'!$P$9,IF(C231&lt;='SOLLECITAZ NASCOSTO'!$P$8,IF(C231&lt;='SOLLECITAZ NASCOSTO'!$P$7,IF(C231&lt;='SOLLECITAZ NASCOSTO'!$P$6,IF(C231&lt;='SOLLECITAZ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NASCOSTO'!$P$12))/IF(C231&lt;='SOLLECITAZ NASCOSTO'!$P$12,IF(C231&lt;='SOLLECITAZ NASCOSTO'!$P$11,IF(C231&lt;='SOLLECITAZ NASCOSTO'!$P$10,IF(C231&lt;='SOLLECITAZ NASCOSTO'!$P$9,IF(C231&lt;='SOLLECITAZ NASCOSTO'!$P$8,IF(C231&lt;='SOLLECITAZ NASCOSTO'!$P$7,IF(C231&lt;='SOLLECITAZ NASCOSTO'!$P$6,IF(C231&lt;='SOLLECITAZ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paramento'!$C$111)+IF(C231&lt;='SOLLECITAZ NASCOSTO'!$P$12,IF(C231&lt;='SOLLECITAZ NASCOSTO'!$P$11,IF(C231&lt;='SOLLECITAZ NASCOSTO'!$P$10,IF(C231&lt;='SOLLECITAZ NASCOSTO'!$P$9,IF(C231&lt;='SOLLECITAZ NASCOSTO'!$P$8,IF(C231&lt;='SOLLECITAZ NASCOSTO'!$P$7,IF(C231&lt;='SOLLECITAZ NASCOSTO'!$P$6,IF(C231&lt;='SOLLECITAZ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64.838809135121892</v>
      </c>
      <c r="O232" s="41">
        <f>IF(C232&lt;='SOLLECITAZ NASCOSTO'!$P$12,IF(C232&lt;='SOLLECITAZ NASCOSTO'!$P$11,IF(C232&lt;='SOLLECITAZ NASCOSTO'!$P$10,IF(C232&lt;='SOLLECITAZ NASCOSTO'!$P$9,IF(C232&lt;='SOLLECITAZ NASCOSTO'!$P$8,IF(C232&lt;='SOLLECITAZ NASCOSTO'!$P$7,IF(C232&lt;='SOLLECITAZ NASCOSTO'!$P$6,IF(C232&lt;='SOLLECITAZ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paramento'!$G$110),55555)*(C232-C231)/IF(C232&lt;='SOLLECITAZ NASCOSTO'!$P$12,IF(C232&lt;='SOLLECITAZ NASCOSTO'!$P$11,IF(C232&lt;='SOLLECITAZ NASCOSTO'!$P$10,IF(C232&lt;='SOLLECITAZ NASCOSTO'!$P$9,IF(C232&lt;='SOLLECITAZ NASCOSTO'!$P$8,IF(C232&lt;='SOLLECITAZ NASCOSTO'!$P$7,IF(C232&lt;='SOLLECITAZ NASCOSTO'!$P$6,IF(C232&lt;='SOLLECITAZ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32" s="41">
        <f t="shared" si="75"/>
        <v>1.9899999999999955E-4</v>
      </c>
      <c r="Q232" s="41">
        <f t="shared" si="73"/>
        <v>1</v>
      </c>
      <c r="R232" s="434">
        <f t="shared" si="67"/>
        <v>2.178875765510039</v>
      </c>
      <c r="S232" s="45">
        <f t="shared" si="74"/>
        <v>2.178875765510039</v>
      </c>
      <c r="T232" s="205">
        <f t="shared" si="70"/>
        <v>2.8531858267508419</v>
      </c>
      <c r="U232" s="45">
        <f t="shared" si="71"/>
        <v>85.596348134570775</v>
      </c>
      <c r="V232" s="45">
        <f t="shared" si="72"/>
        <v>-72.828439804231706</v>
      </c>
      <c r="W232" s="488"/>
      <c r="X232" s="489"/>
      <c r="Y232" s="489"/>
      <c r="Z232" s="490"/>
      <c r="AA232" s="46"/>
    </row>
    <row r="233" spans="1:27" s="421" customFormat="1" x14ac:dyDescent="0.25">
      <c r="A233" s="581">
        <f t="shared" si="68"/>
        <v>0.40227880915653025</v>
      </c>
      <c r="B233" s="31">
        <f t="shared" si="58"/>
        <v>201</v>
      </c>
      <c r="C233" s="434">
        <f>'SOLLECITAZ NASCOSTO'!$D$6/'SOLLECITAZ NASCOSTO'!$B$448*'SOLLECITAZ NASCOSTO'!B233</f>
        <v>2.1897701443375892</v>
      </c>
      <c r="D233" s="434">
        <f t="shared" si="69"/>
        <v>0.52227880915653024</v>
      </c>
      <c r="E233" s="434">
        <f t="shared" si="63"/>
        <v>0.40227880915653025</v>
      </c>
      <c r="F233" s="434">
        <f t="shared" si="64"/>
        <v>0.42872921893008964</v>
      </c>
      <c r="G233" s="434">
        <f t="shared" si="65"/>
        <v>5.9340024719034129E-2</v>
      </c>
      <c r="H233" s="434">
        <f t="shared" si="59"/>
        <v>0</v>
      </c>
      <c r="I233" s="434">
        <v>0</v>
      </c>
      <c r="J233" s="127">
        <f t="shared" si="60"/>
        <v>0.1384090985613704</v>
      </c>
      <c r="K233" s="126">
        <f t="shared" si="66"/>
        <v>8.2387135080659261E-3</v>
      </c>
      <c r="L233" s="41">
        <f t="shared" si="61"/>
        <v>86.306944817482261</v>
      </c>
      <c r="M233" s="41">
        <f t="shared" si="62"/>
        <v>-73.76482960179321</v>
      </c>
      <c r="N233" s="41">
        <f>(IF(C232&lt;='SOLLECITAZ NASCOSTO'!$P$12,IF(C232&lt;='SOLLECITAZ NASCOSTO'!$P$11,IF(C232&lt;='SOLLECITAZ NASCOSTO'!$P$10,IF(C232&lt;='SOLLECITAZ NASCOSTO'!$P$9,IF(C232&lt;='SOLLECITAZ NASCOSTO'!$P$8,IF(C232&lt;='SOLLECITAZ NASCOSTO'!$P$7,IF(C232&lt;='SOLLECITAZ NASCOSTO'!$P$6,IF(C232&lt;='SOLLECITAZ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paramento'!$G$111),55555)-IF(C232&lt;='SOLLECITAZ NASCOSTO'!$P$12,IF(C232&lt;='SOLLECITAZ NASCOSTO'!$P$11,IF(C232&lt;='SOLLECITAZ NASCOSTO'!$P$10,IF(C232&lt;='SOLLECITAZ NASCOSTO'!$P$9,IF(C232&lt;='SOLLECITAZ NASCOSTO'!$P$8,IF(C232&lt;='SOLLECITAZ NASCOSTO'!$P$7,IF(C232&lt;='SOLLECITAZ NASCOSTO'!$P$6,IF(C232&lt;='SOLLECITAZ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paramento'!$G$111))*(C232-IF(C232&lt;='SOLLECITAZ NASCOSTO'!$P$12,IF(C232&lt;='SOLLECITAZ NASCOSTO'!$P$11,IF(C232&lt;='SOLLECITAZ NASCOSTO'!$P$10,IF(C232&lt;='SOLLECITAZ NASCOSTO'!$P$9,IF(C232&lt;='SOLLECITAZ NASCOSTO'!$P$8,IF(C232&lt;='SOLLECITAZ NASCOSTO'!$P$7,IF(C232&lt;='SOLLECITAZ NASCOSTO'!$P$6,IF(C232&lt;='SOLLECITAZ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NASCOSTO'!$P$12))/IF(C232&lt;='SOLLECITAZ NASCOSTO'!$P$12,IF(C232&lt;='SOLLECITAZ NASCOSTO'!$P$11,IF(C232&lt;='SOLLECITAZ NASCOSTO'!$P$10,IF(C232&lt;='SOLLECITAZ NASCOSTO'!$P$9,IF(C232&lt;='SOLLECITAZ NASCOSTO'!$P$8,IF(C232&lt;='SOLLECITAZ NASCOSTO'!$P$7,IF(C232&lt;='SOLLECITAZ NASCOSTO'!$P$6,IF(C232&lt;='SOLLECITAZ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paramento'!$C$111)+IF(C232&lt;='SOLLECITAZ NASCOSTO'!$P$12,IF(C232&lt;='SOLLECITAZ NASCOSTO'!$P$11,IF(C232&lt;='SOLLECITAZ NASCOSTO'!$P$10,IF(C232&lt;='SOLLECITAZ NASCOSTO'!$P$9,IF(C232&lt;='SOLLECITAZ NASCOSTO'!$P$8,IF(C232&lt;='SOLLECITAZ NASCOSTO'!$P$7,IF(C232&lt;='SOLLECITAZ NASCOSTO'!$P$6,IF(C232&lt;='SOLLECITAZ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65.096932064571291</v>
      </c>
      <c r="O233" s="41">
        <f>IF(C233&lt;='SOLLECITAZ NASCOSTO'!$P$12,IF(C233&lt;='SOLLECITAZ NASCOSTO'!$P$11,IF(C233&lt;='SOLLECITAZ NASCOSTO'!$P$10,IF(C233&lt;='SOLLECITAZ NASCOSTO'!$P$9,IF(C233&lt;='SOLLECITAZ NASCOSTO'!$P$8,IF(C233&lt;='SOLLECITAZ NASCOSTO'!$P$7,IF(C233&lt;='SOLLECITAZ NASCOSTO'!$P$6,IF(C233&lt;='SOLLECITAZ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paramento'!$G$110),55555)*(C233-C232)/IF(C233&lt;='SOLLECITAZ NASCOSTO'!$P$12,IF(C233&lt;='SOLLECITAZ NASCOSTO'!$P$11,IF(C233&lt;='SOLLECITAZ NASCOSTO'!$P$10,IF(C233&lt;='SOLLECITAZ NASCOSTO'!$P$9,IF(C233&lt;='SOLLECITAZ NASCOSTO'!$P$8,IF(C233&lt;='SOLLECITAZ NASCOSTO'!$P$7,IF(C233&lt;='SOLLECITAZ NASCOSTO'!$P$6,IF(C233&lt;='SOLLECITAZ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33" s="41">
        <f t="shared" si="75"/>
        <v>1.9999999999999955E-4</v>
      </c>
      <c r="Q233" s="41">
        <f t="shared" si="73"/>
        <v>1</v>
      </c>
      <c r="R233" s="434">
        <f t="shared" si="67"/>
        <v>2.1897701443375892</v>
      </c>
      <c r="S233" s="45">
        <f t="shared" si="74"/>
        <v>2.1897701443375892</v>
      </c>
      <c r="T233" s="205">
        <f t="shared" si="70"/>
        <v>2.8422914479232917</v>
      </c>
      <c r="U233" s="45">
        <f t="shared" si="71"/>
        <v>86.306944817482261</v>
      </c>
      <c r="V233" s="45">
        <f t="shared" si="72"/>
        <v>-73.76482960179321</v>
      </c>
      <c r="W233" s="488"/>
      <c r="X233" s="489"/>
      <c r="Y233" s="489"/>
      <c r="Z233" s="490"/>
      <c r="AA233" s="46"/>
    </row>
    <row r="234" spans="1:27" s="421" customFormat="1" x14ac:dyDescent="0.25">
      <c r="A234" s="581">
        <f t="shared" si="68"/>
        <v>0.4038496519046394</v>
      </c>
      <c r="B234" s="31">
        <f t="shared" si="58"/>
        <v>202</v>
      </c>
      <c r="C234" s="434">
        <f>'SOLLECITAZ NASCOSTO'!$D$6/'SOLLECITAZ NASCOSTO'!$B$448*'SOLLECITAZ NASCOSTO'!B234</f>
        <v>2.2006645231651394</v>
      </c>
      <c r="D234" s="434">
        <f t="shared" si="69"/>
        <v>0.52384965190463939</v>
      </c>
      <c r="E234" s="434">
        <f t="shared" si="63"/>
        <v>0.4038496519046394</v>
      </c>
      <c r="F234" s="434">
        <f t="shared" si="64"/>
        <v>0.42923188860948458</v>
      </c>
      <c r="G234" s="434">
        <f t="shared" si="65"/>
        <v>5.9602953248097904E-2</v>
      </c>
      <c r="H234" s="434">
        <f t="shared" si="59"/>
        <v>0</v>
      </c>
      <c r="I234" s="434">
        <v>0</v>
      </c>
      <c r="J234" s="127">
        <f t="shared" si="60"/>
        <v>0.13885956479418216</v>
      </c>
      <c r="K234" s="126">
        <f t="shared" si="66"/>
        <v>8.3130013016607142E-3</v>
      </c>
      <c r="L234" s="41">
        <f t="shared" si="61"/>
        <v>87.02035358937124</v>
      </c>
      <c r="M234" s="41">
        <f t="shared" si="62"/>
        <v>-74.708976226793254</v>
      </c>
      <c r="N234" s="41">
        <f>(IF(C233&lt;='SOLLECITAZ NASCOSTO'!$P$12,IF(C233&lt;='SOLLECITAZ NASCOSTO'!$P$11,IF(C233&lt;='SOLLECITAZ NASCOSTO'!$P$10,IF(C233&lt;='SOLLECITAZ NASCOSTO'!$P$9,IF(C233&lt;='SOLLECITAZ NASCOSTO'!$P$8,IF(C233&lt;='SOLLECITAZ NASCOSTO'!$P$7,IF(C233&lt;='SOLLECITAZ NASCOSTO'!$P$6,IF(C233&lt;='SOLLECITAZ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paramento'!$G$111),55555)-IF(C233&lt;='SOLLECITAZ NASCOSTO'!$P$12,IF(C233&lt;='SOLLECITAZ NASCOSTO'!$P$11,IF(C233&lt;='SOLLECITAZ NASCOSTO'!$P$10,IF(C233&lt;='SOLLECITAZ NASCOSTO'!$P$9,IF(C233&lt;='SOLLECITAZ NASCOSTO'!$P$8,IF(C233&lt;='SOLLECITAZ NASCOSTO'!$P$7,IF(C233&lt;='SOLLECITAZ NASCOSTO'!$P$6,IF(C233&lt;='SOLLECITAZ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paramento'!$G$111))*(C233-IF(C233&lt;='SOLLECITAZ NASCOSTO'!$P$12,IF(C233&lt;='SOLLECITAZ NASCOSTO'!$P$11,IF(C233&lt;='SOLLECITAZ NASCOSTO'!$P$10,IF(C233&lt;='SOLLECITAZ NASCOSTO'!$P$9,IF(C233&lt;='SOLLECITAZ NASCOSTO'!$P$8,IF(C233&lt;='SOLLECITAZ NASCOSTO'!$P$7,IF(C233&lt;='SOLLECITAZ NASCOSTO'!$P$6,IF(C233&lt;='SOLLECITAZ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NASCOSTO'!$P$12))/IF(C233&lt;='SOLLECITAZ NASCOSTO'!$P$12,IF(C233&lt;='SOLLECITAZ NASCOSTO'!$P$11,IF(C233&lt;='SOLLECITAZ NASCOSTO'!$P$10,IF(C233&lt;='SOLLECITAZ NASCOSTO'!$P$9,IF(C233&lt;='SOLLECITAZ NASCOSTO'!$P$8,IF(C233&lt;='SOLLECITAZ NASCOSTO'!$P$7,IF(C233&lt;='SOLLECITAZ NASCOSTO'!$P$6,IF(C233&lt;='SOLLECITAZ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paramento'!$C$111)+IF(C233&lt;='SOLLECITAZ NASCOSTO'!$P$12,IF(C233&lt;='SOLLECITAZ NASCOSTO'!$P$11,IF(C233&lt;='SOLLECITAZ NASCOSTO'!$P$10,IF(C233&lt;='SOLLECITAZ NASCOSTO'!$P$9,IF(C233&lt;='SOLLECITAZ NASCOSTO'!$P$8,IF(C233&lt;='SOLLECITAZ NASCOSTO'!$P$7,IF(C233&lt;='SOLLECITAZ NASCOSTO'!$P$6,IF(C233&lt;='SOLLECITAZ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65.355054994020705</v>
      </c>
      <c r="O234" s="41">
        <f>IF(C234&lt;='SOLLECITAZ NASCOSTO'!$P$12,IF(C234&lt;='SOLLECITAZ NASCOSTO'!$P$11,IF(C234&lt;='SOLLECITAZ NASCOSTO'!$P$10,IF(C234&lt;='SOLLECITAZ NASCOSTO'!$P$9,IF(C234&lt;='SOLLECITAZ NASCOSTO'!$P$8,IF(C234&lt;='SOLLECITAZ NASCOSTO'!$P$7,IF(C234&lt;='SOLLECITAZ NASCOSTO'!$P$6,IF(C234&lt;='SOLLECITAZ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paramento'!$G$110),55555)*(C234-C233)/IF(C234&lt;='SOLLECITAZ NASCOSTO'!$P$12,IF(C234&lt;='SOLLECITAZ NASCOSTO'!$P$11,IF(C234&lt;='SOLLECITAZ NASCOSTO'!$P$10,IF(C234&lt;='SOLLECITAZ NASCOSTO'!$P$9,IF(C234&lt;='SOLLECITAZ NASCOSTO'!$P$8,IF(C234&lt;='SOLLECITAZ NASCOSTO'!$P$7,IF(C234&lt;='SOLLECITAZ NASCOSTO'!$P$6,IF(C234&lt;='SOLLECITAZ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34" s="41">
        <f t="shared" si="75"/>
        <v>2.0099999999999955E-4</v>
      </c>
      <c r="Q234" s="41">
        <f t="shared" si="73"/>
        <v>1</v>
      </c>
      <c r="R234" s="434">
        <f t="shared" si="67"/>
        <v>2.2006645231651394</v>
      </c>
      <c r="S234" s="45">
        <f t="shared" si="74"/>
        <v>2.2006645231651394</v>
      </c>
      <c r="T234" s="205">
        <f t="shared" si="70"/>
        <v>2.8313970690957415</v>
      </c>
      <c r="U234" s="45">
        <f t="shared" si="71"/>
        <v>87.02035358937124</v>
      </c>
      <c r="V234" s="45">
        <f t="shared" si="72"/>
        <v>-74.708976226793254</v>
      </c>
      <c r="W234" s="488"/>
      <c r="X234" s="489"/>
      <c r="Y234" s="489"/>
      <c r="Z234" s="490"/>
      <c r="AA234" s="46"/>
    </row>
    <row r="235" spans="1:27" s="421" customFormat="1" x14ac:dyDescent="0.25">
      <c r="A235" s="581">
        <f t="shared" si="68"/>
        <v>0.40542049465274854</v>
      </c>
      <c r="B235" s="31">
        <f t="shared" si="58"/>
        <v>203</v>
      </c>
      <c r="C235" s="434">
        <f>'SOLLECITAZ NASCOSTO'!$D$6/'SOLLECITAZ NASCOSTO'!$B$448*'SOLLECITAZ NASCOSTO'!B235</f>
        <v>2.2115589019926896</v>
      </c>
      <c r="D235" s="434">
        <f t="shared" si="69"/>
        <v>0.52542049465274854</v>
      </c>
      <c r="E235" s="434">
        <f t="shared" si="63"/>
        <v>0.40542049465274854</v>
      </c>
      <c r="F235" s="434">
        <f t="shared" si="64"/>
        <v>0.42973455828887952</v>
      </c>
      <c r="G235" s="434">
        <f t="shared" si="65"/>
        <v>5.9866671392182227E-2</v>
      </c>
      <c r="H235" s="434">
        <f t="shared" si="59"/>
        <v>0</v>
      </c>
      <c r="I235" s="434">
        <v>0</v>
      </c>
      <c r="J235" s="127">
        <f t="shared" si="60"/>
        <v>0.13931081463534098</v>
      </c>
      <c r="K235" s="126">
        <f t="shared" si="66"/>
        <v>8.3877225801984277E-3</v>
      </c>
      <c r="L235" s="41">
        <f t="shared" si="61"/>
        <v>87.736574450237725</v>
      </c>
      <c r="M235" s="41">
        <f t="shared" si="62"/>
        <v>-75.660910315194471</v>
      </c>
      <c r="N235" s="41">
        <f>(IF(C234&lt;='SOLLECITAZ NASCOSTO'!$P$12,IF(C234&lt;='SOLLECITAZ NASCOSTO'!$P$11,IF(C234&lt;='SOLLECITAZ NASCOSTO'!$P$10,IF(C234&lt;='SOLLECITAZ NASCOSTO'!$P$9,IF(C234&lt;='SOLLECITAZ NASCOSTO'!$P$8,IF(C234&lt;='SOLLECITAZ NASCOSTO'!$P$7,IF(C234&lt;='SOLLECITAZ NASCOSTO'!$P$6,IF(C234&lt;='SOLLECITAZ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paramento'!$G$111),55555)-IF(C234&lt;='SOLLECITAZ NASCOSTO'!$P$12,IF(C234&lt;='SOLLECITAZ NASCOSTO'!$P$11,IF(C234&lt;='SOLLECITAZ NASCOSTO'!$P$10,IF(C234&lt;='SOLLECITAZ NASCOSTO'!$P$9,IF(C234&lt;='SOLLECITAZ NASCOSTO'!$P$8,IF(C234&lt;='SOLLECITAZ NASCOSTO'!$P$7,IF(C234&lt;='SOLLECITAZ NASCOSTO'!$P$6,IF(C234&lt;='SOLLECITAZ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paramento'!$G$111))*(C234-IF(C234&lt;='SOLLECITAZ NASCOSTO'!$P$12,IF(C234&lt;='SOLLECITAZ NASCOSTO'!$P$11,IF(C234&lt;='SOLLECITAZ NASCOSTO'!$P$10,IF(C234&lt;='SOLLECITAZ NASCOSTO'!$P$9,IF(C234&lt;='SOLLECITAZ NASCOSTO'!$P$8,IF(C234&lt;='SOLLECITAZ NASCOSTO'!$P$7,IF(C234&lt;='SOLLECITAZ NASCOSTO'!$P$6,IF(C234&lt;='SOLLECITAZ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NASCOSTO'!$P$12))/IF(C234&lt;='SOLLECITAZ NASCOSTO'!$P$12,IF(C234&lt;='SOLLECITAZ NASCOSTO'!$P$11,IF(C234&lt;='SOLLECITAZ NASCOSTO'!$P$10,IF(C234&lt;='SOLLECITAZ NASCOSTO'!$P$9,IF(C234&lt;='SOLLECITAZ NASCOSTO'!$P$8,IF(C234&lt;='SOLLECITAZ NASCOSTO'!$P$7,IF(C234&lt;='SOLLECITAZ NASCOSTO'!$P$6,IF(C234&lt;='SOLLECITAZ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paramento'!$C$111)+IF(C234&lt;='SOLLECITAZ NASCOSTO'!$P$12,IF(C234&lt;='SOLLECITAZ NASCOSTO'!$P$11,IF(C234&lt;='SOLLECITAZ NASCOSTO'!$P$10,IF(C234&lt;='SOLLECITAZ NASCOSTO'!$P$9,IF(C234&lt;='SOLLECITAZ NASCOSTO'!$P$8,IF(C234&lt;='SOLLECITAZ NASCOSTO'!$P$7,IF(C234&lt;='SOLLECITAZ NASCOSTO'!$P$6,IF(C234&lt;='SOLLECITAZ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65.613177923470118</v>
      </c>
      <c r="O235" s="41">
        <f>IF(C235&lt;='SOLLECITAZ NASCOSTO'!$P$12,IF(C235&lt;='SOLLECITAZ NASCOSTO'!$P$11,IF(C235&lt;='SOLLECITAZ NASCOSTO'!$P$10,IF(C235&lt;='SOLLECITAZ NASCOSTO'!$P$9,IF(C235&lt;='SOLLECITAZ NASCOSTO'!$P$8,IF(C235&lt;='SOLLECITAZ NASCOSTO'!$P$7,IF(C235&lt;='SOLLECITAZ NASCOSTO'!$P$6,IF(C235&lt;='SOLLECITAZ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paramento'!$G$110),55555)*(C235-C234)/IF(C235&lt;='SOLLECITAZ NASCOSTO'!$P$12,IF(C235&lt;='SOLLECITAZ NASCOSTO'!$P$11,IF(C235&lt;='SOLLECITAZ NASCOSTO'!$P$10,IF(C235&lt;='SOLLECITAZ NASCOSTO'!$P$9,IF(C235&lt;='SOLLECITAZ NASCOSTO'!$P$8,IF(C235&lt;='SOLLECITAZ NASCOSTO'!$P$7,IF(C235&lt;='SOLLECITAZ NASCOSTO'!$P$6,IF(C235&lt;='SOLLECITAZ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35" s="41">
        <f t="shared" si="75"/>
        <v>2.0199999999999954E-4</v>
      </c>
      <c r="Q235" s="41">
        <f t="shared" si="73"/>
        <v>1</v>
      </c>
      <c r="R235" s="434">
        <f t="shared" si="67"/>
        <v>2.2115589019926896</v>
      </c>
      <c r="S235" s="45">
        <f t="shared" si="74"/>
        <v>2.2115589019926896</v>
      </c>
      <c r="T235" s="205">
        <f t="shared" si="70"/>
        <v>2.8205026902681913</v>
      </c>
      <c r="U235" s="45">
        <f t="shared" si="71"/>
        <v>87.736574450237725</v>
      </c>
      <c r="V235" s="45">
        <f t="shared" si="72"/>
        <v>-75.660910315194471</v>
      </c>
      <c r="W235" s="488"/>
      <c r="X235" s="489"/>
      <c r="Y235" s="489"/>
      <c r="Z235" s="490"/>
      <c r="AA235" s="46"/>
    </row>
    <row r="236" spans="1:27" s="421" customFormat="1" x14ac:dyDescent="0.25">
      <c r="A236" s="581">
        <f t="shared" si="68"/>
        <v>0.40699133740085769</v>
      </c>
      <c r="B236" s="31">
        <f t="shared" si="58"/>
        <v>204</v>
      </c>
      <c r="C236" s="434">
        <f>'SOLLECITAZ NASCOSTO'!$D$6/'SOLLECITAZ NASCOSTO'!$B$448*'SOLLECITAZ NASCOSTO'!B236</f>
        <v>2.2224532808202397</v>
      </c>
      <c r="D236" s="434">
        <f t="shared" si="69"/>
        <v>0.52699133740085768</v>
      </c>
      <c r="E236" s="434">
        <f t="shared" si="63"/>
        <v>0.40699133740085769</v>
      </c>
      <c r="F236" s="434">
        <f t="shared" si="64"/>
        <v>0.43023722796827446</v>
      </c>
      <c r="G236" s="434">
        <f t="shared" si="65"/>
        <v>6.0131179151287142E-2</v>
      </c>
      <c r="H236" s="434">
        <f t="shared" si="59"/>
        <v>0</v>
      </c>
      <c r="I236" s="434">
        <v>0</v>
      </c>
      <c r="J236" s="127">
        <f t="shared" si="60"/>
        <v>0.13976284533824951</v>
      </c>
      <c r="K236" s="126">
        <f t="shared" si="66"/>
        <v>8.4628783006610933E-3</v>
      </c>
      <c r="L236" s="41">
        <f t="shared" si="61"/>
        <v>88.455607400081703</v>
      </c>
      <c r="M236" s="41">
        <f t="shared" si="62"/>
        <v>-76.620662502959462</v>
      </c>
      <c r="N236" s="41">
        <f>(IF(C235&lt;='SOLLECITAZ NASCOSTO'!$P$12,IF(C235&lt;='SOLLECITAZ NASCOSTO'!$P$11,IF(C235&lt;='SOLLECITAZ NASCOSTO'!$P$10,IF(C235&lt;='SOLLECITAZ NASCOSTO'!$P$9,IF(C235&lt;='SOLLECITAZ NASCOSTO'!$P$8,IF(C235&lt;='SOLLECITAZ NASCOSTO'!$P$7,IF(C235&lt;='SOLLECITAZ NASCOSTO'!$P$6,IF(C235&lt;='SOLLECITAZ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paramento'!$G$111),55555)-IF(C235&lt;='SOLLECITAZ NASCOSTO'!$P$12,IF(C235&lt;='SOLLECITAZ NASCOSTO'!$P$11,IF(C235&lt;='SOLLECITAZ NASCOSTO'!$P$10,IF(C235&lt;='SOLLECITAZ NASCOSTO'!$P$9,IF(C235&lt;='SOLLECITAZ NASCOSTO'!$P$8,IF(C235&lt;='SOLLECITAZ NASCOSTO'!$P$7,IF(C235&lt;='SOLLECITAZ NASCOSTO'!$P$6,IF(C235&lt;='SOLLECITAZ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paramento'!$G$111))*(C235-IF(C235&lt;='SOLLECITAZ NASCOSTO'!$P$12,IF(C235&lt;='SOLLECITAZ NASCOSTO'!$P$11,IF(C235&lt;='SOLLECITAZ NASCOSTO'!$P$10,IF(C235&lt;='SOLLECITAZ NASCOSTO'!$P$9,IF(C235&lt;='SOLLECITAZ NASCOSTO'!$P$8,IF(C235&lt;='SOLLECITAZ NASCOSTO'!$P$7,IF(C235&lt;='SOLLECITAZ NASCOSTO'!$P$6,IF(C235&lt;='SOLLECITAZ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NASCOSTO'!$P$12))/IF(C235&lt;='SOLLECITAZ NASCOSTO'!$P$12,IF(C235&lt;='SOLLECITAZ NASCOSTO'!$P$11,IF(C235&lt;='SOLLECITAZ NASCOSTO'!$P$10,IF(C235&lt;='SOLLECITAZ NASCOSTO'!$P$9,IF(C235&lt;='SOLLECITAZ NASCOSTO'!$P$8,IF(C235&lt;='SOLLECITAZ NASCOSTO'!$P$7,IF(C235&lt;='SOLLECITAZ NASCOSTO'!$P$6,IF(C235&lt;='SOLLECITAZ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paramento'!$C$111)+IF(C235&lt;='SOLLECITAZ NASCOSTO'!$P$12,IF(C235&lt;='SOLLECITAZ NASCOSTO'!$P$11,IF(C235&lt;='SOLLECITAZ NASCOSTO'!$P$10,IF(C235&lt;='SOLLECITAZ NASCOSTO'!$P$9,IF(C235&lt;='SOLLECITAZ NASCOSTO'!$P$8,IF(C235&lt;='SOLLECITAZ NASCOSTO'!$P$7,IF(C235&lt;='SOLLECITAZ NASCOSTO'!$P$6,IF(C235&lt;='SOLLECITAZ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65.871300852919518</v>
      </c>
      <c r="O236" s="41">
        <f>IF(C236&lt;='SOLLECITAZ NASCOSTO'!$P$12,IF(C236&lt;='SOLLECITAZ NASCOSTO'!$P$11,IF(C236&lt;='SOLLECITAZ NASCOSTO'!$P$10,IF(C236&lt;='SOLLECITAZ NASCOSTO'!$P$9,IF(C236&lt;='SOLLECITAZ NASCOSTO'!$P$8,IF(C236&lt;='SOLLECITAZ NASCOSTO'!$P$7,IF(C236&lt;='SOLLECITAZ NASCOSTO'!$P$6,IF(C236&lt;='SOLLECITAZ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paramento'!$G$110),55555)*(C236-C235)/IF(C236&lt;='SOLLECITAZ NASCOSTO'!$P$12,IF(C236&lt;='SOLLECITAZ NASCOSTO'!$P$11,IF(C236&lt;='SOLLECITAZ NASCOSTO'!$P$10,IF(C236&lt;='SOLLECITAZ NASCOSTO'!$P$9,IF(C236&lt;='SOLLECITAZ NASCOSTO'!$P$8,IF(C236&lt;='SOLLECITAZ NASCOSTO'!$P$7,IF(C236&lt;='SOLLECITAZ NASCOSTO'!$P$6,IF(C236&lt;='SOLLECITAZ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36" s="41">
        <f t="shared" si="75"/>
        <v>2.0299999999999954E-4</v>
      </c>
      <c r="Q236" s="41">
        <f t="shared" si="73"/>
        <v>1</v>
      </c>
      <c r="R236" s="434">
        <f t="shared" si="67"/>
        <v>2.2224532808202397</v>
      </c>
      <c r="S236" s="45">
        <f t="shared" si="74"/>
        <v>2.2224532808202397</v>
      </c>
      <c r="T236" s="205">
        <f t="shared" si="70"/>
        <v>2.8096083114406412</v>
      </c>
      <c r="U236" s="45">
        <f t="shared" si="71"/>
        <v>88.455607400081703</v>
      </c>
      <c r="V236" s="45">
        <f t="shared" si="72"/>
        <v>-76.620662502959462</v>
      </c>
      <c r="W236" s="488"/>
      <c r="X236" s="489"/>
      <c r="Y236" s="489"/>
      <c r="Z236" s="490"/>
      <c r="AA236" s="46"/>
    </row>
    <row r="237" spans="1:27" s="421" customFormat="1" x14ac:dyDescent="0.25">
      <c r="A237" s="581">
        <f t="shared" si="68"/>
        <v>0.40856218014896684</v>
      </c>
      <c r="B237" s="31">
        <f t="shared" si="58"/>
        <v>205</v>
      </c>
      <c r="C237" s="434">
        <f>'SOLLECITAZ NASCOSTO'!$D$6/'SOLLECITAZ NASCOSTO'!$B$448*'SOLLECITAZ NASCOSTO'!B237</f>
        <v>2.2333476596477899</v>
      </c>
      <c r="D237" s="434">
        <f t="shared" si="69"/>
        <v>0.52856218014896683</v>
      </c>
      <c r="E237" s="434">
        <f t="shared" si="63"/>
        <v>0.40856218014896684</v>
      </c>
      <c r="F237" s="434">
        <f t="shared" si="64"/>
        <v>0.4307398976476694</v>
      </c>
      <c r="G237" s="434">
        <f t="shared" si="65"/>
        <v>6.0396476525412621E-2</v>
      </c>
      <c r="H237" s="434">
        <f t="shared" si="59"/>
        <v>0</v>
      </c>
      <c r="I237" s="434">
        <v>0</v>
      </c>
      <c r="J237" s="127">
        <f t="shared" si="60"/>
        <v>0.14021565416913129</v>
      </c>
      <c r="K237" s="126">
        <f t="shared" si="66"/>
        <v>8.5384694184585594E-3</v>
      </c>
      <c r="L237" s="41">
        <f t="shared" si="61"/>
        <v>89.177452438903188</v>
      </c>
      <c r="M237" s="41">
        <f t="shared" si="62"/>
        <v>-77.588263426050858</v>
      </c>
      <c r="N237" s="41">
        <f>(IF(C236&lt;='SOLLECITAZ NASCOSTO'!$P$12,IF(C236&lt;='SOLLECITAZ NASCOSTO'!$P$11,IF(C236&lt;='SOLLECITAZ NASCOSTO'!$P$10,IF(C236&lt;='SOLLECITAZ NASCOSTO'!$P$9,IF(C236&lt;='SOLLECITAZ NASCOSTO'!$P$8,IF(C236&lt;='SOLLECITAZ NASCOSTO'!$P$7,IF(C236&lt;='SOLLECITAZ NASCOSTO'!$P$6,IF(C236&lt;='SOLLECITAZ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paramento'!$G$111),55555)-IF(C236&lt;='SOLLECITAZ NASCOSTO'!$P$12,IF(C236&lt;='SOLLECITAZ NASCOSTO'!$P$11,IF(C236&lt;='SOLLECITAZ NASCOSTO'!$P$10,IF(C236&lt;='SOLLECITAZ NASCOSTO'!$P$9,IF(C236&lt;='SOLLECITAZ NASCOSTO'!$P$8,IF(C236&lt;='SOLLECITAZ NASCOSTO'!$P$7,IF(C236&lt;='SOLLECITAZ NASCOSTO'!$P$6,IF(C236&lt;='SOLLECITAZ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paramento'!$G$111))*(C236-IF(C236&lt;='SOLLECITAZ NASCOSTO'!$P$12,IF(C236&lt;='SOLLECITAZ NASCOSTO'!$P$11,IF(C236&lt;='SOLLECITAZ NASCOSTO'!$P$10,IF(C236&lt;='SOLLECITAZ NASCOSTO'!$P$9,IF(C236&lt;='SOLLECITAZ NASCOSTO'!$P$8,IF(C236&lt;='SOLLECITAZ NASCOSTO'!$P$7,IF(C236&lt;='SOLLECITAZ NASCOSTO'!$P$6,IF(C236&lt;='SOLLECITAZ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NASCOSTO'!$P$12))/IF(C236&lt;='SOLLECITAZ NASCOSTO'!$P$12,IF(C236&lt;='SOLLECITAZ NASCOSTO'!$P$11,IF(C236&lt;='SOLLECITAZ NASCOSTO'!$P$10,IF(C236&lt;='SOLLECITAZ NASCOSTO'!$P$9,IF(C236&lt;='SOLLECITAZ NASCOSTO'!$P$8,IF(C236&lt;='SOLLECITAZ NASCOSTO'!$P$7,IF(C236&lt;='SOLLECITAZ NASCOSTO'!$P$6,IF(C236&lt;='SOLLECITAZ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paramento'!$C$111)+IF(C236&lt;='SOLLECITAZ NASCOSTO'!$P$12,IF(C236&lt;='SOLLECITAZ NASCOSTO'!$P$11,IF(C236&lt;='SOLLECITAZ NASCOSTO'!$P$10,IF(C236&lt;='SOLLECITAZ NASCOSTO'!$P$9,IF(C236&lt;='SOLLECITAZ NASCOSTO'!$P$8,IF(C236&lt;='SOLLECITAZ NASCOSTO'!$P$7,IF(C236&lt;='SOLLECITAZ NASCOSTO'!$P$6,IF(C236&lt;='SOLLECITAZ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66.129423782368917</v>
      </c>
      <c r="O237" s="41">
        <f>IF(C237&lt;='SOLLECITAZ NASCOSTO'!$P$12,IF(C237&lt;='SOLLECITAZ NASCOSTO'!$P$11,IF(C237&lt;='SOLLECITAZ NASCOSTO'!$P$10,IF(C237&lt;='SOLLECITAZ NASCOSTO'!$P$9,IF(C237&lt;='SOLLECITAZ NASCOSTO'!$P$8,IF(C237&lt;='SOLLECITAZ NASCOSTO'!$P$7,IF(C237&lt;='SOLLECITAZ NASCOSTO'!$P$6,IF(C237&lt;='SOLLECITAZ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paramento'!$G$110),55555)*(C237-C236)/IF(C237&lt;='SOLLECITAZ NASCOSTO'!$P$12,IF(C237&lt;='SOLLECITAZ NASCOSTO'!$P$11,IF(C237&lt;='SOLLECITAZ NASCOSTO'!$P$10,IF(C237&lt;='SOLLECITAZ NASCOSTO'!$P$9,IF(C237&lt;='SOLLECITAZ NASCOSTO'!$P$8,IF(C237&lt;='SOLLECITAZ NASCOSTO'!$P$7,IF(C237&lt;='SOLLECITAZ NASCOSTO'!$P$6,IF(C237&lt;='SOLLECITAZ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37" s="41">
        <f t="shared" si="75"/>
        <v>2.0399999999999954E-4</v>
      </c>
      <c r="Q237" s="41">
        <f t="shared" si="73"/>
        <v>1</v>
      </c>
      <c r="R237" s="434">
        <f t="shared" si="67"/>
        <v>2.2333476596477899</v>
      </c>
      <c r="S237" s="45">
        <f t="shared" si="74"/>
        <v>2.2333476596477899</v>
      </c>
      <c r="T237" s="205">
        <f t="shared" si="70"/>
        <v>2.798713932613091</v>
      </c>
      <c r="U237" s="45">
        <f t="shared" si="71"/>
        <v>89.177452438903188</v>
      </c>
      <c r="V237" s="45">
        <f t="shared" si="72"/>
        <v>-77.588263426050858</v>
      </c>
      <c r="W237" s="488"/>
      <c r="X237" s="489"/>
      <c r="Y237" s="489"/>
      <c r="Z237" s="490"/>
      <c r="AA237" s="46"/>
    </row>
    <row r="238" spans="1:27" s="421" customFormat="1" x14ac:dyDescent="0.25">
      <c r="A238" s="581">
        <f t="shared" si="68"/>
        <v>0.41013302289707598</v>
      </c>
      <c r="B238" s="31">
        <f t="shared" si="58"/>
        <v>206</v>
      </c>
      <c r="C238" s="434">
        <f>'SOLLECITAZ NASCOSTO'!$D$6/'SOLLECITAZ NASCOSTO'!$B$448*'SOLLECITAZ NASCOSTO'!B238</f>
        <v>2.2442420384753401</v>
      </c>
      <c r="D238" s="434">
        <f t="shared" si="69"/>
        <v>0.53013302289707598</v>
      </c>
      <c r="E238" s="434">
        <f t="shared" si="63"/>
        <v>0.41013302289707598</v>
      </c>
      <c r="F238" s="434">
        <f t="shared" si="64"/>
        <v>0.43124256732706434</v>
      </c>
      <c r="G238" s="434">
        <f t="shared" si="65"/>
        <v>6.0662563514558676E-2</v>
      </c>
      <c r="H238" s="434">
        <f t="shared" si="59"/>
        <v>0</v>
      </c>
      <c r="I238" s="434">
        <v>0</v>
      </c>
      <c r="J238" s="127">
        <f t="shared" si="60"/>
        <v>0.14066923840695619</v>
      </c>
      <c r="K238" s="126">
        <f t="shared" si="66"/>
        <v>8.6144968874376573E-3</v>
      </c>
      <c r="L238" s="41">
        <f t="shared" si="61"/>
        <v>89.902109566702165</v>
      </c>
      <c r="M238" s="41">
        <f t="shared" si="62"/>
        <v>-78.563743720431276</v>
      </c>
      <c r="N238" s="41">
        <f>(IF(C237&lt;='SOLLECITAZ NASCOSTO'!$P$12,IF(C237&lt;='SOLLECITAZ NASCOSTO'!$P$11,IF(C237&lt;='SOLLECITAZ NASCOSTO'!$P$10,IF(C237&lt;='SOLLECITAZ NASCOSTO'!$P$9,IF(C237&lt;='SOLLECITAZ NASCOSTO'!$P$8,IF(C237&lt;='SOLLECITAZ NASCOSTO'!$P$7,IF(C237&lt;='SOLLECITAZ NASCOSTO'!$P$6,IF(C237&lt;='SOLLECITAZ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paramento'!$G$111),55555)-IF(C237&lt;='SOLLECITAZ NASCOSTO'!$P$12,IF(C237&lt;='SOLLECITAZ NASCOSTO'!$P$11,IF(C237&lt;='SOLLECITAZ NASCOSTO'!$P$10,IF(C237&lt;='SOLLECITAZ NASCOSTO'!$P$9,IF(C237&lt;='SOLLECITAZ NASCOSTO'!$P$8,IF(C237&lt;='SOLLECITAZ NASCOSTO'!$P$7,IF(C237&lt;='SOLLECITAZ NASCOSTO'!$P$6,IF(C237&lt;='SOLLECITAZ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paramento'!$G$111))*(C237-IF(C237&lt;='SOLLECITAZ NASCOSTO'!$P$12,IF(C237&lt;='SOLLECITAZ NASCOSTO'!$P$11,IF(C237&lt;='SOLLECITAZ NASCOSTO'!$P$10,IF(C237&lt;='SOLLECITAZ NASCOSTO'!$P$9,IF(C237&lt;='SOLLECITAZ NASCOSTO'!$P$8,IF(C237&lt;='SOLLECITAZ NASCOSTO'!$P$7,IF(C237&lt;='SOLLECITAZ NASCOSTO'!$P$6,IF(C237&lt;='SOLLECITAZ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NASCOSTO'!$P$12))/IF(C237&lt;='SOLLECITAZ NASCOSTO'!$P$12,IF(C237&lt;='SOLLECITAZ NASCOSTO'!$P$11,IF(C237&lt;='SOLLECITAZ NASCOSTO'!$P$10,IF(C237&lt;='SOLLECITAZ NASCOSTO'!$P$9,IF(C237&lt;='SOLLECITAZ NASCOSTO'!$P$8,IF(C237&lt;='SOLLECITAZ NASCOSTO'!$P$7,IF(C237&lt;='SOLLECITAZ NASCOSTO'!$P$6,IF(C237&lt;='SOLLECITAZ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paramento'!$C$111)+IF(C237&lt;='SOLLECITAZ NASCOSTO'!$P$12,IF(C237&lt;='SOLLECITAZ NASCOSTO'!$P$11,IF(C237&lt;='SOLLECITAZ NASCOSTO'!$P$10,IF(C237&lt;='SOLLECITAZ NASCOSTO'!$P$9,IF(C237&lt;='SOLLECITAZ NASCOSTO'!$P$8,IF(C237&lt;='SOLLECITAZ NASCOSTO'!$P$7,IF(C237&lt;='SOLLECITAZ NASCOSTO'!$P$6,IF(C237&lt;='SOLLECITAZ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66.387546711818317</v>
      </c>
      <c r="O238" s="41">
        <f>IF(C238&lt;='SOLLECITAZ NASCOSTO'!$P$12,IF(C238&lt;='SOLLECITAZ NASCOSTO'!$P$11,IF(C238&lt;='SOLLECITAZ NASCOSTO'!$P$10,IF(C238&lt;='SOLLECITAZ NASCOSTO'!$P$9,IF(C238&lt;='SOLLECITAZ NASCOSTO'!$P$8,IF(C238&lt;='SOLLECITAZ NASCOSTO'!$P$7,IF(C238&lt;='SOLLECITAZ NASCOSTO'!$P$6,IF(C238&lt;='SOLLECITAZ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paramento'!$G$110),55555)*(C238-C237)/IF(C238&lt;='SOLLECITAZ NASCOSTO'!$P$12,IF(C238&lt;='SOLLECITAZ NASCOSTO'!$P$11,IF(C238&lt;='SOLLECITAZ NASCOSTO'!$P$10,IF(C238&lt;='SOLLECITAZ NASCOSTO'!$P$9,IF(C238&lt;='SOLLECITAZ NASCOSTO'!$P$8,IF(C238&lt;='SOLLECITAZ NASCOSTO'!$P$7,IF(C238&lt;='SOLLECITAZ NASCOSTO'!$P$6,IF(C238&lt;='SOLLECITAZ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38" s="41">
        <f t="shared" si="75"/>
        <v>2.0499999999999953E-4</v>
      </c>
      <c r="Q238" s="41">
        <f t="shared" si="73"/>
        <v>1</v>
      </c>
      <c r="R238" s="434">
        <f t="shared" si="67"/>
        <v>2.2442420384753401</v>
      </c>
      <c r="S238" s="45">
        <f t="shared" si="74"/>
        <v>2.2442420384753401</v>
      </c>
      <c r="T238" s="205">
        <f t="shared" si="70"/>
        <v>2.7878195537855408</v>
      </c>
      <c r="U238" s="45">
        <f t="shared" si="71"/>
        <v>89.902109566702165</v>
      </c>
      <c r="V238" s="45">
        <f t="shared" si="72"/>
        <v>-78.563743720431276</v>
      </c>
      <c r="W238" s="488"/>
      <c r="X238" s="489"/>
      <c r="Y238" s="489"/>
      <c r="Z238" s="490"/>
      <c r="AA238" s="46"/>
    </row>
    <row r="239" spans="1:27" s="421" customFormat="1" x14ac:dyDescent="0.25">
      <c r="A239" s="581">
        <f t="shared" si="68"/>
        <v>0.41170386564518513</v>
      </c>
      <c r="B239" s="31">
        <f t="shared" si="58"/>
        <v>207</v>
      </c>
      <c r="C239" s="434">
        <f>'SOLLECITAZ NASCOSTO'!$D$6/'SOLLECITAZ NASCOSTO'!$B$448*'SOLLECITAZ NASCOSTO'!B239</f>
        <v>2.2551364173028903</v>
      </c>
      <c r="D239" s="434">
        <f t="shared" si="69"/>
        <v>0.53170386564518513</v>
      </c>
      <c r="E239" s="434">
        <f t="shared" si="63"/>
        <v>0.41170386564518513</v>
      </c>
      <c r="F239" s="434">
        <f t="shared" si="64"/>
        <v>0.43174523700645923</v>
      </c>
      <c r="G239" s="434">
        <f t="shared" si="65"/>
        <v>6.0929440118725295E-2</v>
      </c>
      <c r="H239" s="434">
        <f t="shared" si="59"/>
        <v>0</v>
      </c>
      <c r="I239" s="434">
        <v>0</v>
      </c>
      <c r="J239" s="127">
        <f t="shared" si="60"/>
        <v>0.14112359534336621</v>
      </c>
      <c r="K239" s="126">
        <f t="shared" si="66"/>
        <v>8.6909616598913088E-3</v>
      </c>
      <c r="L239" s="41">
        <f t="shared" si="61"/>
        <v>90.629578783478649</v>
      </c>
      <c r="M239" s="41">
        <f t="shared" si="62"/>
        <v>-79.547134022063318</v>
      </c>
      <c r="N239" s="41">
        <f>(IF(C238&lt;='SOLLECITAZ NASCOSTO'!$P$12,IF(C238&lt;='SOLLECITAZ NASCOSTO'!$P$11,IF(C238&lt;='SOLLECITAZ NASCOSTO'!$P$10,IF(C238&lt;='SOLLECITAZ NASCOSTO'!$P$9,IF(C238&lt;='SOLLECITAZ NASCOSTO'!$P$8,IF(C238&lt;='SOLLECITAZ NASCOSTO'!$P$7,IF(C238&lt;='SOLLECITAZ NASCOSTO'!$P$6,IF(C238&lt;='SOLLECITAZ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paramento'!$G$111),55555)-IF(C238&lt;='SOLLECITAZ NASCOSTO'!$P$12,IF(C238&lt;='SOLLECITAZ NASCOSTO'!$P$11,IF(C238&lt;='SOLLECITAZ NASCOSTO'!$P$10,IF(C238&lt;='SOLLECITAZ NASCOSTO'!$P$9,IF(C238&lt;='SOLLECITAZ NASCOSTO'!$P$8,IF(C238&lt;='SOLLECITAZ NASCOSTO'!$P$7,IF(C238&lt;='SOLLECITAZ NASCOSTO'!$P$6,IF(C238&lt;='SOLLECITAZ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paramento'!$G$111))*(C238-IF(C238&lt;='SOLLECITAZ NASCOSTO'!$P$12,IF(C238&lt;='SOLLECITAZ NASCOSTO'!$P$11,IF(C238&lt;='SOLLECITAZ NASCOSTO'!$P$10,IF(C238&lt;='SOLLECITAZ NASCOSTO'!$P$9,IF(C238&lt;='SOLLECITAZ NASCOSTO'!$P$8,IF(C238&lt;='SOLLECITAZ NASCOSTO'!$P$7,IF(C238&lt;='SOLLECITAZ NASCOSTO'!$P$6,IF(C238&lt;='SOLLECITAZ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NASCOSTO'!$P$12))/IF(C238&lt;='SOLLECITAZ NASCOSTO'!$P$12,IF(C238&lt;='SOLLECITAZ NASCOSTO'!$P$11,IF(C238&lt;='SOLLECITAZ NASCOSTO'!$P$10,IF(C238&lt;='SOLLECITAZ NASCOSTO'!$P$9,IF(C238&lt;='SOLLECITAZ NASCOSTO'!$P$8,IF(C238&lt;='SOLLECITAZ NASCOSTO'!$P$7,IF(C238&lt;='SOLLECITAZ NASCOSTO'!$P$6,IF(C238&lt;='SOLLECITAZ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paramento'!$C$111)+IF(C238&lt;='SOLLECITAZ NASCOSTO'!$P$12,IF(C238&lt;='SOLLECITAZ NASCOSTO'!$P$11,IF(C238&lt;='SOLLECITAZ NASCOSTO'!$P$10,IF(C238&lt;='SOLLECITAZ NASCOSTO'!$P$9,IF(C238&lt;='SOLLECITAZ NASCOSTO'!$P$8,IF(C238&lt;='SOLLECITAZ NASCOSTO'!$P$7,IF(C238&lt;='SOLLECITAZ NASCOSTO'!$P$6,IF(C238&lt;='SOLLECITAZ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66.64566964126773</v>
      </c>
      <c r="O239" s="41">
        <f>IF(C239&lt;='SOLLECITAZ NASCOSTO'!$P$12,IF(C239&lt;='SOLLECITAZ NASCOSTO'!$P$11,IF(C239&lt;='SOLLECITAZ NASCOSTO'!$P$10,IF(C239&lt;='SOLLECITAZ NASCOSTO'!$P$9,IF(C239&lt;='SOLLECITAZ NASCOSTO'!$P$8,IF(C239&lt;='SOLLECITAZ NASCOSTO'!$P$7,IF(C239&lt;='SOLLECITAZ NASCOSTO'!$P$6,IF(C239&lt;='SOLLECITAZ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paramento'!$G$110),55555)*(C239-C238)/IF(C239&lt;='SOLLECITAZ NASCOSTO'!$P$12,IF(C239&lt;='SOLLECITAZ NASCOSTO'!$P$11,IF(C239&lt;='SOLLECITAZ NASCOSTO'!$P$10,IF(C239&lt;='SOLLECITAZ NASCOSTO'!$P$9,IF(C239&lt;='SOLLECITAZ NASCOSTO'!$P$8,IF(C239&lt;='SOLLECITAZ NASCOSTO'!$P$7,IF(C239&lt;='SOLLECITAZ NASCOSTO'!$P$6,IF(C239&lt;='SOLLECITAZ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39" s="41">
        <f t="shared" si="75"/>
        <v>2.0599999999999953E-4</v>
      </c>
      <c r="Q239" s="41">
        <f t="shared" si="73"/>
        <v>1</v>
      </c>
      <c r="R239" s="434">
        <f t="shared" si="67"/>
        <v>2.2551364173028903</v>
      </c>
      <c r="S239" s="45">
        <f t="shared" si="74"/>
        <v>2.2551364173028903</v>
      </c>
      <c r="T239" s="205">
        <f t="shared" si="70"/>
        <v>2.7769251749579906</v>
      </c>
      <c r="U239" s="45">
        <f t="shared" si="71"/>
        <v>90.629578783478649</v>
      </c>
      <c r="V239" s="45">
        <f t="shared" si="72"/>
        <v>-79.547134022063318</v>
      </c>
      <c r="W239" s="488"/>
      <c r="X239" s="489"/>
      <c r="Y239" s="489"/>
      <c r="Z239" s="490"/>
      <c r="AA239" s="46"/>
    </row>
    <row r="240" spans="1:27" s="421" customFormat="1" x14ac:dyDescent="0.25">
      <c r="A240" s="581">
        <f t="shared" si="68"/>
        <v>0.41327470839329428</v>
      </c>
      <c r="B240" s="31">
        <f t="shared" si="58"/>
        <v>208</v>
      </c>
      <c r="C240" s="434">
        <f>'SOLLECITAZ NASCOSTO'!$D$6/'SOLLECITAZ NASCOSTO'!$B$448*'SOLLECITAZ NASCOSTO'!B240</f>
        <v>2.2660307961304405</v>
      </c>
      <c r="D240" s="434">
        <f t="shared" si="69"/>
        <v>0.53327470839329427</v>
      </c>
      <c r="E240" s="434">
        <f t="shared" si="63"/>
        <v>0.41327470839329428</v>
      </c>
      <c r="F240" s="434">
        <f t="shared" si="64"/>
        <v>0.43224790668585417</v>
      </c>
      <c r="G240" s="434">
        <f t="shared" si="65"/>
        <v>6.1197106337912491E-2</v>
      </c>
      <c r="H240" s="434">
        <f t="shared" si="59"/>
        <v>0</v>
      </c>
      <c r="I240" s="434">
        <v>0</v>
      </c>
      <c r="J240" s="127">
        <f t="shared" si="60"/>
        <v>0.14157872228260171</v>
      </c>
      <c r="K240" s="126">
        <f t="shared" si="66"/>
        <v>8.7678646865675461E-3</v>
      </c>
      <c r="L240" s="41">
        <f t="shared" si="61"/>
        <v>91.359860089232626</v>
      </c>
      <c r="M240" s="41">
        <f t="shared" si="62"/>
        <v>-80.538464966909615</v>
      </c>
      <c r="N240" s="41">
        <f>(IF(C239&lt;='SOLLECITAZ NASCOSTO'!$P$12,IF(C239&lt;='SOLLECITAZ NASCOSTO'!$P$11,IF(C239&lt;='SOLLECITAZ NASCOSTO'!$P$10,IF(C239&lt;='SOLLECITAZ NASCOSTO'!$P$9,IF(C239&lt;='SOLLECITAZ NASCOSTO'!$P$8,IF(C239&lt;='SOLLECITAZ NASCOSTO'!$P$7,IF(C239&lt;='SOLLECITAZ NASCOSTO'!$P$6,IF(C239&lt;='SOLLECITAZ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paramento'!$G$111),55555)-IF(C239&lt;='SOLLECITAZ NASCOSTO'!$P$12,IF(C239&lt;='SOLLECITAZ NASCOSTO'!$P$11,IF(C239&lt;='SOLLECITAZ NASCOSTO'!$P$10,IF(C239&lt;='SOLLECITAZ NASCOSTO'!$P$9,IF(C239&lt;='SOLLECITAZ NASCOSTO'!$P$8,IF(C239&lt;='SOLLECITAZ NASCOSTO'!$P$7,IF(C239&lt;='SOLLECITAZ NASCOSTO'!$P$6,IF(C239&lt;='SOLLECITAZ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paramento'!$G$111))*(C239-IF(C239&lt;='SOLLECITAZ NASCOSTO'!$P$12,IF(C239&lt;='SOLLECITAZ NASCOSTO'!$P$11,IF(C239&lt;='SOLLECITAZ NASCOSTO'!$P$10,IF(C239&lt;='SOLLECITAZ NASCOSTO'!$P$9,IF(C239&lt;='SOLLECITAZ NASCOSTO'!$P$8,IF(C239&lt;='SOLLECITAZ NASCOSTO'!$P$7,IF(C239&lt;='SOLLECITAZ NASCOSTO'!$P$6,IF(C239&lt;='SOLLECITAZ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NASCOSTO'!$P$12))/IF(C239&lt;='SOLLECITAZ NASCOSTO'!$P$12,IF(C239&lt;='SOLLECITAZ NASCOSTO'!$P$11,IF(C239&lt;='SOLLECITAZ NASCOSTO'!$P$10,IF(C239&lt;='SOLLECITAZ NASCOSTO'!$P$9,IF(C239&lt;='SOLLECITAZ NASCOSTO'!$P$8,IF(C239&lt;='SOLLECITAZ NASCOSTO'!$P$7,IF(C239&lt;='SOLLECITAZ NASCOSTO'!$P$6,IF(C239&lt;='SOLLECITAZ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paramento'!$C$111)+IF(C239&lt;='SOLLECITAZ NASCOSTO'!$P$12,IF(C239&lt;='SOLLECITAZ NASCOSTO'!$P$11,IF(C239&lt;='SOLLECITAZ NASCOSTO'!$P$10,IF(C239&lt;='SOLLECITAZ NASCOSTO'!$P$9,IF(C239&lt;='SOLLECITAZ NASCOSTO'!$P$8,IF(C239&lt;='SOLLECITAZ NASCOSTO'!$P$7,IF(C239&lt;='SOLLECITAZ NASCOSTO'!$P$6,IF(C239&lt;='SOLLECITAZ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66.903792570717144</v>
      </c>
      <c r="O240" s="41">
        <f>IF(C240&lt;='SOLLECITAZ NASCOSTO'!$P$12,IF(C240&lt;='SOLLECITAZ NASCOSTO'!$P$11,IF(C240&lt;='SOLLECITAZ NASCOSTO'!$P$10,IF(C240&lt;='SOLLECITAZ NASCOSTO'!$P$9,IF(C240&lt;='SOLLECITAZ NASCOSTO'!$P$8,IF(C240&lt;='SOLLECITAZ NASCOSTO'!$P$7,IF(C240&lt;='SOLLECITAZ NASCOSTO'!$P$6,IF(C240&lt;='SOLLECITAZ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paramento'!$G$110),55555)*(C240-C239)/IF(C240&lt;='SOLLECITAZ NASCOSTO'!$P$12,IF(C240&lt;='SOLLECITAZ NASCOSTO'!$P$11,IF(C240&lt;='SOLLECITAZ NASCOSTO'!$P$10,IF(C240&lt;='SOLLECITAZ NASCOSTO'!$P$9,IF(C240&lt;='SOLLECITAZ NASCOSTO'!$P$8,IF(C240&lt;='SOLLECITAZ NASCOSTO'!$P$7,IF(C240&lt;='SOLLECITAZ NASCOSTO'!$P$6,IF(C240&lt;='SOLLECITAZ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40" s="41">
        <f t="shared" si="75"/>
        <v>2.0699999999999953E-4</v>
      </c>
      <c r="Q240" s="41">
        <f t="shared" si="73"/>
        <v>1</v>
      </c>
      <c r="R240" s="434">
        <f t="shared" si="67"/>
        <v>2.2660307961304405</v>
      </c>
      <c r="S240" s="45">
        <f t="shared" si="74"/>
        <v>2.2660307961304405</v>
      </c>
      <c r="T240" s="205">
        <f t="shared" si="70"/>
        <v>2.7660307961304405</v>
      </c>
      <c r="U240" s="45">
        <f t="shared" si="71"/>
        <v>91.359860089232626</v>
      </c>
      <c r="V240" s="45">
        <f t="shared" si="72"/>
        <v>-80.538464966909615</v>
      </c>
      <c r="W240" s="488"/>
      <c r="X240" s="489"/>
      <c r="Y240" s="489"/>
      <c r="Z240" s="490"/>
      <c r="AA240" s="46"/>
    </row>
    <row r="241" spans="1:27" s="421" customFormat="1" x14ac:dyDescent="0.25">
      <c r="A241" s="581">
        <f t="shared" si="68"/>
        <v>0.41484555114140353</v>
      </c>
      <c r="B241" s="31">
        <f t="shared" si="58"/>
        <v>209</v>
      </c>
      <c r="C241" s="434">
        <f>'SOLLECITAZ NASCOSTO'!$D$6/'SOLLECITAZ NASCOSTO'!$B$448*'SOLLECITAZ NASCOSTO'!B241</f>
        <v>2.2769251749579906</v>
      </c>
      <c r="D241" s="434">
        <f t="shared" si="69"/>
        <v>0.53484555114140353</v>
      </c>
      <c r="E241" s="434">
        <f t="shared" si="63"/>
        <v>0.41484555114140353</v>
      </c>
      <c r="F241" s="434">
        <f t="shared" si="64"/>
        <v>0.43275057636524916</v>
      </c>
      <c r="G241" s="434">
        <f t="shared" si="65"/>
        <v>6.1465562172120278E-2</v>
      </c>
      <c r="H241" s="434">
        <f t="shared" si="59"/>
        <v>0</v>
      </c>
      <c r="I241" s="434">
        <v>0</v>
      </c>
      <c r="J241" s="127">
        <f t="shared" si="60"/>
        <v>0.14203461654142838</v>
      </c>
      <c r="K241" s="126">
        <f t="shared" si="66"/>
        <v>8.8452069166785087E-3</v>
      </c>
      <c r="L241" s="41">
        <f t="shared" si="61"/>
        <v>92.092953483964095</v>
      </c>
      <c r="M241" s="41">
        <f t="shared" si="62"/>
        <v>-81.537767190932783</v>
      </c>
      <c r="N241" s="41">
        <f>(IF(C240&lt;='SOLLECITAZ NASCOSTO'!$P$12,IF(C240&lt;='SOLLECITAZ NASCOSTO'!$P$11,IF(C240&lt;='SOLLECITAZ NASCOSTO'!$P$10,IF(C240&lt;='SOLLECITAZ NASCOSTO'!$P$9,IF(C240&lt;='SOLLECITAZ NASCOSTO'!$P$8,IF(C240&lt;='SOLLECITAZ NASCOSTO'!$P$7,IF(C240&lt;='SOLLECITAZ NASCOSTO'!$P$6,IF(C240&lt;='SOLLECITAZ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paramento'!$G$111),55555)-IF(C240&lt;='SOLLECITAZ NASCOSTO'!$P$12,IF(C240&lt;='SOLLECITAZ NASCOSTO'!$P$11,IF(C240&lt;='SOLLECITAZ NASCOSTO'!$P$10,IF(C240&lt;='SOLLECITAZ NASCOSTO'!$P$9,IF(C240&lt;='SOLLECITAZ NASCOSTO'!$P$8,IF(C240&lt;='SOLLECITAZ NASCOSTO'!$P$7,IF(C240&lt;='SOLLECITAZ NASCOSTO'!$P$6,IF(C240&lt;='SOLLECITAZ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paramento'!$G$111))*(C240-IF(C240&lt;='SOLLECITAZ NASCOSTO'!$P$12,IF(C240&lt;='SOLLECITAZ NASCOSTO'!$P$11,IF(C240&lt;='SOLLECITAZ NASCOSTO'!$P$10,IF(C240&lt;='SOLLECITAZ NASCOSTO'!$P$9,IF(C240&lt;='SOLLECITAZ NASCOSTO'!$P$8,IF(C240&lt;='SOLLECITAZ NASCOSTO'!$P$7,IF(C240&lt;='SOLLECITAZ NASCOSTO'!$P$6,IF(C240&lt;='SOLLECITAZ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NASCOSTO'!$P$12))/IF(C240&lt;='SOLLECITAZ NASCOSTO'!$P$12,IF(C240&lt;='SOLLECITAZ NASCOSTO'!$P$11,IF(C240&lt;='SOLLECITAZ NASCOSTO'!$P$10,IF(C240&lt;='SOLLECITAZ NASCOSTO'!$P$9,IF(C240&lt;='SOLLECITAZ NASCOSTO'!$P$8,IF(C240&lt;='SOLLECITAZ NASCOSTO'!$P$7,IF(C240&lt;='SOLLECITAZ NASCOSTO'!$P$6,IF(C240&lt;='SOLLECITAZ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paramento'!$C$111)+IF(C240&lt;='SOLLECITAZ NASCOSTO'!$P$12,IF(C240&lt;='SOLLECITAZ NASCOSTO'!$P$11,IF(C240&lt;='SOLLECITAZ NASCOSTO'!$P$10,IF(C240&lt;='SOLLECITAZ NASCOSTO'!$P$9,IF(C240&lt;='SOLLECITAZ NASCOSTO'!$P$8,IF(C240&lt;='SOLLECITAZ NASCOSTO'!$P$7,IF(C240&lt;='SOLLECITAZ NASCOSTO'!$P$6,IF(C240&lt;='SOLLECITAZ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67.161915500166543</v>
      </c>
      <c r="O241" s="41">
        <f>IF(C241&lt;='SOLLECITAZ NASCOSTO'!$P$12,IF(C241&lt;='SOLLECITAZ NASCOSTO'!$P$11,IF(C241&lt;='SOLLECITAZ NASCOSTO'!$P$10,IF(C241&lt;='SOLLECITAZ NASCOSTO'!$P$9,IF(C241&lt;='SOLLECITAZ NASCOSTO'!$P$8,IF(C241&lt;='SOLLECITAZ NASCOSTO'!$P$7,IF(C241&lt;='SOLLECITAZ NASCOSTO'!$P$6,IF(C241&lt;='SOLLECITAZ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paramento'!$G$110),55555)*(C241-C240)/IF(C241&lt;='SOLLECITAZ NASCOSTO'!$P$12,IF(C241&lt;='SOLLECITAZ NASCOSTO'!$P$11,IF(C241&lt;='SOLLECITAZ NASCOSTO'!$P$10,IF(C241&lt;='SOLLECITAZ NASCOSTO'!$P$9,IF(C241&lt;='SOLLECITAZ NASCOSTO'!$P$8,IF(C241&lt;='SOLLECITAZ NASCOSTO'!$P$7,IF(C241&lt;='SOLLECITAZ NASCOSTO'!$P$6,IF(C241&lt;='SOLLECITAZ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41" s="41">
        <f t="shared" si="75"/>
        <v>2.0799999999999953E-4</v>
      </c>
      <c r="Q241" s="41">
        <f t="shared" si="73"/>
        <v>1</v>
      </c>
      <c r="R241" s="434">
        <f t="shared" si="67"/>
        <v>2.2769251749579906</v>
      </c>
      <c r="S241" s="45">
        <f t="shared" si="74"/>
        <v>2.2769251749579906</v>
      </c>
      <c r="T241" s="205">
        <f t="shared" si="70"/>
        <v>2.7551364173028903</v>
      </c>
      <c r="U241" s="45">
        <f t="shared" si="71"/>
        <v>92.092953483964095</v>
      </c>
      <c r="V241" s="45">
        <f t="shared" si="72"/>
        <v>-81.537767190932783</v>
      </c>
      <c r="W241" s="488"/>
      <c r="X241" s="489"/>
      <c r="Y241" s="489"/>
      <c r="Z241" s="490"/>
      <c r="AA241" s="46"/>
    </row>
    <row r="242" spans="1:27" s="421" customFormat="1" x14ac:dyDescent="0.25">
      <c r="A242" s="581">
        <f t="shared" si="68"/>
        <v>0.41641639388951268</v>
      </c>
      <c r="B242" s="31">
        <f t="shared" si="58"/>
        <v>210</v>
      </c>
      <c r="C242" s="434">
        <f>'SOLLECITAZ NASCOSTO'!$D$6/'SOLLECITAZ NASCOSTO'!$B$448*'SOLLECITAZ NASCOSTO'!B242</f>
        <v>2.2878195537855408</v>
      </c>
      <c r="D242" s="434">
        <f t="shared" si="69"/>
        <v>0.53641639388951268</v>
      </c>
      <c r="E242" s="434">
        <f t="shared" si="63"/>
        <v>0.41641639388951268</v>
      </c>
      <c r="F242" s="434">
        <f t="shared" si="64"/>
        <v>0.43325324604464405</v>
      </c>
      <c r="G242" s="434">
        <f t="shared" si="65"/>
        <v>6.1734807621348614E-2</v>
      </c>
      <c r="H242" s="434">
        <f t="shared" si="59"/>
        <v>0</v>
      </c>
      <c r="I242" s="434">
        <v>0</v>
      </c>
      <c r="J242" s="127">
        <f t="shared" si="60"/>
        <v>0.14249127544906431</v>
      </c>
      <c r="K242" s="126">
        <f t="shared" si="66"/>
        <v>8.922989297909311E-3</v>
      </c>
      <c r="L242" s="41">
        <f t="shared" si="61"/>
        <v>92.828858967673071</v>
      </c>
      <c r="M242" s="41">
        <f t="shared" si="62"/>
        <v>-82.545071330095439</v>
      </c>
      <c r="N242" s="41">
        <f>(IF(C241&lt;='SOLLECITAZ NASCOSTO'!$P$12,IF(C241&lt;='SOLLECITAZ NASCOSTO'!$P$11,IF(C241&lt;='SOLLECITAZ NASCOSTO'!$P$10,IF(C241&lt;='SOLLECITAZ NASCOSTO'!$P$9,IF(C241&lt;='SOLLECITAZ NASCOSTO'!$P$8,IF(C241&lt;='SOLLECITAZ NASCOSTO'!$P$7,IF(C241&lt;='SOLLECITAZ NASCOSTO'!$P$6,IF(C241&lt;='SOLLECITAZ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paramento'!$G$111),55555)-IF(C241&lt;='SOLLECITAZ NASCOSTO'!$P$12,IF(C241&lt;='SOLLECITAZ NASCOSTO'!$P$11,IF(C241&lt;='SOLLECITAZ NASCOSTO'!$P$10,IF(C241&lt;='SOLLECITAZ NASCOSTO'!$P$9,IF(C241&lt;='SOLLECITAZ NASCOSTO'!$P$8,IF(C241&lt;='SOLLECITAZ NASCOSTO'!$P$7,IF(C241&lt;='SOLLECITAZ NASCOSTO'!$P$6,IF(C241&lt;='SOLLECITAZ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paramento'!$G$111))*(C241-IF(C241&lt;='SOLLECITAZ NASCOSTO'!$P$12,IF(C241&lt;='SOLLECITAZ NASCOSTO'!$P$11,IF(C241&lt;='SOLLECITAZ NASCOSTO'!$P$10,IF(C241&lt;='SOLLECITAZ NASCOSTO'!$P$9,IF(C241&lt;='SOLLECITAZ NASCOSTO'!$P$8,IF(C241&lt;='SOLLECITAZ NASCOSTO'!$P$7,IF(C241&lt;='SOLLECITAZ NASCOSTO'!$P$6,IF(C241&lt;='SOLLECITAZ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NASCOSTO'!$P$12))/IF(C241&lt;='SOLLECITAZ NASCOSTO'!$P$12,IF(C241&lt;='SOLLECITAZ NASCOSTO'!$P$11,IF(C241&lt;='SOLLECITAZ NASCOSTO'!$P$10,IF(C241&lt;='SOLLECITAZ NASCOSTO'!$P$9,IF(C241&lt;='SOLLECITAZ NASCOSTO'!$P$8,IF(C241&lt;='SOLLECITAZ NASCOSTO'!$P$7,IF(C241&lt;='SOLLECITAZ NASCOSTO'!$P$6,IF(C241&lt;='SOLLECITAZ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paramento'!$C$111)+IF(C241&lt;='SOLLECITAZ NASCOSTO'!$P$12,IF(C241&lt;='SOLLECITAZ NASCOSTO'!$P$11,IF(C241&lt;='SOLLECITAZ NASCOSTO'!$P$10,IF(C241&lt;='SOLLECITAZ NASCOSTO'!$P$9,IF(C241&lt;='SOLLECITAZ NASCOSTO'!$P$8,IF(C241&lt;='SOLLECITAZ NASCOSTO'!$P$7,IF(C241&lt;='SOLLECITAZ NASCOSTO'!$P$6,IF(C241&lt;='SOLLECITAZ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67.420038429615943</v>
      </c>
      <c r="O242" s="41">
        <f>IF(C242&lt;='SOLLECITAZ NASCOSTO'!$P$12,IF(C242&lt;='SOLLECITAZ NASCOSTO'!$P$11,IF(C242&lt;='SOLLECITAZ NASCOSTO'!$P$10,IF(C242&lt;='SOLLECITAZ NASCOSTO'!$P$9,IF(C242&lt;='SOLLECITAZ NASCOSTO'!$P$8,IF(C242&lt;='SOLLECITAZ NASCOSTO'!$P$7,IF(C242&lt;='SOLLECITAZ NASCOSTO'!$P$6,IF(C242&lt;='SOLLECITAZ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paramento'!$G$110),55555)*(C242-C241)/IF(C242&lt;='SOLLECITAZ NASCOSTO'!$P$12,IF(C242&lt;='SOLLECITAZ NASCOSTO'!$P$11,IF(C242&lt;='SOLLECITAZ NASCOSTO'!$P$10,IF(C242&lt;='SOLLECITAZ NASCOSTO'!$P$9,IF(C242&lt;='SOLLECITAZ NASCOSTO'!$P$8,IF(C242&lt;='SOLLECITAZ NASCOSTO'!$P$7,IF(C242&lt;='SOLLECITAZ NASCOSTO'!$P$6,IF(C242&lt;='SOLLECITAZ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42" s="41">
        <f t="shared" si="75"/>
        <v>2.0899999999999952E-4</v>
      </c>
      <c r="Q242" s="41">
        <f t="shared" si="73"/>
        <v>1</v>
      </c>
      <c r="R242" s="434">
        <f t="shared" si="67"/>
        <v>2.2878195537855408</v>
      </c>
      <c r="S242" s="45">
        <f t="shared" si="74"/>
        <v>2.2878195537855408</v>
      </c>
      <c r="T242" s="205">
        <f t="shared" si="70"/>
        <v>2.7442420384753401</v>
      </c>
      <c r="U242" s="45">
        <f t="shared" si="71"/>
        <v>92.828858967673071</v>
      </c>
      <c r="V242" s="45">
        <f t="shared" si="72"/>
        <v>-82.545071330095439</v>
      </c>
      <c r="W242" s="488"/>
      <c r="X242" s="489"/>
      <c r="Y242" s="489"/>
      <c r="Z242" s="490"/>
      <c r="AA242" s="46"/>
    </row>
    <row r="243" spans="1:27" s="421" customFormat="1" x14ac:dyDescent="0.25">
      <c r="A243" s="581">
        <f t="shared" si="68"/>
        <v>0.41798723663762183</v>
      </c>
      <c r="B243" s="31">
        <f t="shared" si="58"/>
        <v>211</v>
      </c>
      <c r="C243" s="434">
        <f>'SOLLECITAZ NASCOSTO'!$D$6/'SOLLECITAZ NASCOSTO'!$B$448*'SOLLECITAZ NASCOSTO'!B243</f>
        <v>2.298713932613091</v>
      </c>
      <c r="D243" s="434">
        <f t="shared" si="69"/>
        <v>0.53798723663762182</v>
      </c>
      <c r="E243" s="434">
        <f t="shared" si="63"/>
        <v>0.41798723663762183</v>
      </c>
      <c r="F243" s="434">
        <f t="shared" si="64"/>
        <v>0.43375591572403899</v>
      </c>
      <c r="G243" s="434">
        <f t="shared" si="65"/>
        <v>6.2004842685597528E-2</v>
      </c>
      <c r="H243" s="434">
        <f t="shared" si="59"/>
        <v>0</v>
      </c>
      <c r="I243" s="434">
        <v>0</v>
      </c>
      <c r="J243" s="127">
        <f t="shared" si="60"/>
        <v>0.14294869634710825</v>
      </c>
      <c r="K243" s="126">
        <f t="shared" si="66"/>
        <v>9.0012127764269416E-3</v>
      </c>
      <c r="L243" s="41">
        <f t="shared" si="61"/>
        <v>93.567576540359539</v>
      </c>
      <c r="M243" s="41">
        <f t="shared" si="62"/>
        <v>-83.5604080203602</v>
      </c>
      <c r="N243" s="41">
        <f>(IF(C242&lt;='SOLLECITAZ NASCOSTO'!$P$12,IF(C242&lt;='SOLLECITAZ NASCOSTO'!$P$11,IF(C242&lt;='SOLLECITAZ NASCOSTO'!$P$10,IF(C242&lt;='SOLLECITAZ NASCOSTO'!$P$9,IF(C242&lt;='SOLLECITAZ NASCOSTO'!$P$8,IF(C242&lt;='SOLLECITAZ NASCOSTO'!$P$7,IF(C242&lt;='SOLLECITAZ NASCOSTO'!$P$6,IF(C242&lt;='SOLLECITAZ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paramento'!$G$111),55555)-IF(C242&lt;='SOLLECITAZ NASCOSTO'!$P$12,IF(C242&lt;='SOLLECITAZ NASCOSTO'!$P$11,IF(C242&lt;='SOLLECITAZ NASCOSTO'!$P$10,IF(C242&lt;='SOLLECITAZ NASCOSTO'!$P$9,IF(C242&lt;='SOLLECITAZ NASCOSTO'!$P$8,IF(C242&lt;='SOLLECITAZ NASCOSTO'!$P$7,IF(C242&lt;='SOLLECITAZ NASCOSTO'!$P$6,IF(C242&lt;='SOLLECITAZ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paramento'!$G$111))*(C242-IF(C242&lt;='SOLLECITAZ NASCOSTO'!$P$12,IF(C242&lt;='SOLLECITAZ NASCOSTO'!$P$11,IF(C242&lt;='SOLLECITAZ NASCOSTO'!$P$10,IF(C242&lt;='SOLLECITAZ NASCOSTO'!$P$9,IF(C242&lt;='SOLLECITAZ NASCOSTO'!$P$8,IF(C242&lt;='SOLLECITAZ NASCOSTO'!$P$7,IF(C242&lt;='SOLLECITAZ NASCOSTO'!$P$6,IF(C242&lt;='SOLLECITAZ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NASCOSTO'!$P$12))/IF(C242&lt;='SOLLECITAZ NASCOSTO'!$P$12,IF(C242&lt;='SOLLECITAZ NASCOSTO'!$P$11,IF(C242&lt;='SOLLECITAZ NASCOSTO'!$P$10,IF(C242&lt;='SOLLECITAZ NASCOSTO'!$P$9,IF(C242&lt;='SOLLECITAZ NASCOSTO'!$P$8,IF(C242&lt;='SOLLECITAZ NASCOSTO'!$P$7,IF(C242&lt;='SOLLECITAZ NASCOSTO'!$P$6,IF(C242&lt;='SOLLECITAZ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paramento'!$C$111)+IF(C242&lt;='SOLLECITAZ NASCOSTO'!$P$12,IF(C242&lt;='SOLLECITAZ NASCOSTO'!$P$11,IF(C242&lt;='SOLLECITAZ NASCOSTO'!$P$10,IF(C242&lt;='SOLLECITAZ NASCOSTO'!$P$9,IF(C242&lt;='SOLLECITAZ NASCOSTO'!$P$8,IF(C242&lt;='SOLLECITAZ NASCOSTO'!$P$7,IF(C242&lt;='SOLLECITAZ NASCOSTO'!$P$6,IF(C242&lt;='SOLLECITAZ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67.678161359065342</v>
      </c>
      <c r="O243" s="41">
        <f>IF(C243&lt;='SOLLECITAZ NASCOSTO'!$P$12,IF(C243&lt;='SOLLECITAZ NASCOSTO'!$P$11,IF(C243&lt;='SOLLECITAZ NASCOSTO'!$P$10,IF(C243&lt;='SOLLECITAZ NASCOSTO'!$P$9,IF(C243&lt;='SOLLECITAZ NASCOSTO'!$P$8,IF(C243&lt;='SOLLECITAZ NASCOSTO'!$P$7,IF(C243&lt;='SOLLECITAZ NASCOSTO'!$P$6,IF(C243&lt;='SOLLECITAZ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paramento'!$G$110),55555)*(C243-C242)/IF(C243&lt;='SOLLECITAZ NASCOSTO'!$P$12,IF(C243&lt;='SOLLECITAZ NASCOSTO'!$P$11,IF(C243&lt;='SOLLECITAZ NASCOSTO'!$P$10,IF(C243&lt;='SOLLECITAZ NASCOSTO'!$P$9,IF(C243&lt;='SOLLECITAZ NASCOSTO'!$P$8,IF(C243&lt;='SOLLECITAZ NASCOSTO'!$P$7,IF(C243&lt;='SOLLECITAZ NASCOSTO'!$P$6,IF(C243&lt;='SOLLECITAZ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43" s="41">
        <f t="shared" si="75"/>
        <v>2.0999999999999952E-4</v>
      </c>
      <c r="Q243" s="41">
        <f t="shared" si="73"/>
        <v>1</v>
      </c>
      <c r="R243" s="434">
        <f t="shared" si="67"/>
        <v>2.298713932613091</v>
      </c>
      <c r="S243" s="45">
        <f t="shared" si="74"/>
        <v>2.298713932613091</v>
      </c>
      <c r="T243" s="205">
        <f t="shared" si="70"/>
        <v>2.7333476596477899</v>
      </c>
      <c r="U243" s="45">
        <f t="shared" si="71"/>
        <v>93.567576540359539</v>
      </c>
      <c r="V243" s="45">
        <f t="shared" si="72"/>
        <v>-83.5604080203602</v>
      </c>
      <c r="W243" s="488"/>
      <c r="X243" s="489"/>
      <c r="Y243" s="489"/>
      <c r="Z243" s="490"/>
      <c r="AA243" s="46"/>
    </row>
    <row r="244" spans="1:27" s="421" customFormat="1" x14ac:dyDescent="0.25">
      <c r="A244" s="581">
        <f t="shared" si="68"/>
        <v>0.41955807938573098</v>
      </c>
      <c r="B244" s="31">
        <f t="shared" si="58"/>
        <v>212</v>
      </c>
      <c r="C244" s="434">
        <f>'SOLLECITAZ NASCOSTO'!$D$6/'SOLLECITAZ NASCOSTO'!$B$448*'SOLLECITAZ NASCOSTO'!B244</f>
        <v>2.3096083114406412</v>
      </c>
      <c r="D244" s="434">
        <f t="shared" si="69"/>
        <v>0.53955807938573097</v>
      </c>
      <c r="E244" s="434">
        <f t="shared" si="63"/>
        <v>0.41955807938573098</v>
      </c>
      <c r="F244" s="434">
        <f t="shared" si="64"/>
        <v>0.43425858540343387</v>
      </c>
      <c r="G244" s="434">
        <f t="shared" si="65"/>
        <v>6.2275667364867004E-2</v>
      </c>
      <c r="H244" s="434">
        <f t="shared" si="59"/>
        <v>0</v>
      </c>
      <c r="I244" s="434">
        <v>0</v>
      </c>
      <c r="J244" s="127">
        <f t="shared" si="60"/>
        <v>0.14340687658946757</v>
      </c>
      <c r="K244" s="126">
        <f t="shared" si="66"/>
        <v>9.0798782968890199E-3</v>
      </c>
      <c r="L244" s="41">
        <f t="shared" si="61"/>
        <v>94.309106202023514</v>
      </c>
      <c r="M244" s="41">
        <f t="shared" si="62"/>
        <v>-84.583807897689695</v>
      </c>
      <c r="N244" s="41">
        <f>(IF(C243&lt;='SOLLECITAZ NASCOSTO'!$P$12,IF(C243&lt;='SOLLECITAZ NASCOSTO'!$P$11,IF(C243&lt;='SOLLECITAZ NASCOSTO'!$P$10,IF(C243&lt;='SOLLECITAZ NASCOSTO'!$P$9,IF(C243&lt;='SOLLECITAZ NASCOSTO'!$P$8,IF(C243&lt;='SOLLECITAZ NASCOSTO'!$P$7,IF(C243&lt;='SOLLECITAZ NASCOSTO'!$P$6,IF(C243&lt;='SOLLECITAZ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paramento'!$G$111),55555)-IF(C243&lt;='SOLLECITAZ NASCOSTO'!$P$12,IF(C243&lt;='SOLLECITAZ NASCOSTO'!$P$11,IF(C243&lt;='SOLLECITAZ NASCOSTO'!$P$10,IF(C243&lt;='SOLLECITAZ NASCOSTO'!$P$9,IF(C243&lt;='SOLLECITAZ NASCOSTO'!$P$8,IF(C243&lt;='SOLLECITAZ NASCOSTO'!$P$7,IF(C243&lt;='SOLLECITAZ NASCOSTO'!$P$6,IF(C243&lt;='SOLLECITAZ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paramento'!$G$111))*(C243-IF(C243&lt;='SOLLECITAZ NASCOSTO'!$P$12,IF(C243&lt;='SOLLECITAZ NASCOSTO'!$P$11,IF(C243&lt;='SOLLECITAZ NASCOSTO'!$P$10,IF(C243&lt;='SOLLECITAZ NASCOSTO'!$P$9,IF(C243&lt;='SOLLECITAZ NASCOSTO'!$P$8,IF(C243&lt;='SOLLECITAZ NASCOSTO'!$P$7,IF(C243&lt;='SOLLECITAZ NASCOSTO'!$P$6,IF(C243&lt;='SOLLECITAZ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NASCOSTO'!$P$12))/IF(C243&lt;='SOLLECITAZ NASCOSTO'!$P$12,IF(C243&lt;='SOLLECITAZ NASCOSTO'!$P$11,IF(C243&lt;='SOLLECITAZ NASCOSTO'!$P$10,IF(C243&lt;='SOLLECITAZ NASCOSTO'!$P$9,IF(C243&lt;='SOLLECITAZ NASCOSTO'!$P$8,IF(C243&lt;='SOLLECITAZ NASCOSTO'!$P$7,IF(C243&lt;='SOLLECITAZ NASCOSTO'!$P$6,IF(C243&lt;='SOLLECITAZ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paramento'!$C$111)+IF(C243&lt;='SOLLECITAZ NASCOSTO'!$P$12,IF(C243&lt;='SOLLECITAZ NASCOSTO'!$P$11,IF(C243&lt;='SOLLECITAZ NASCOSTO'!$P$10,IF(C243&lt;='SOLLECITAZ NASCOSTO'!$P$9,IF(C243&lt;='SOLLECITAZ NASCOSTO'!$P$8,IF(C243&lt;='SOLLECITAZ NASCOSTO'!$P$7,IF(C243&lt;='SOLLECITAZ NASCOSTO'!$P$6,IF(C243&lt;='SOLLECITAZ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67.936284288514756</v>
      </c>
      <c r="O244" s="41">
        <f>IF(C244&lt;='SOLLECITAZ NASCOSTO'!$P$12,IF(C244&lt;='SOLLECITAZ NASCOSTO'!$P$11,IF(C244&lt;='SOLLECITAZ NASCOSTO'!$P$10,IF(C244&lt;='SOLLECITAZ NASCOSTO'!$P$9,IF(C244&lt;='SOLLECITAZ NASCOSTO'!$P$8,IF(C244&lt;='SOLLECITAZ NASCOSTO'!$P$7,IF(C244&lt;='SOLLECITAZ NASCOSTO'!$P$6,IF(C244&lt;='SOLLECITAZ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paramento'!$G$110),55555)*(C244-C243)/IF(C244&lt;='SOLLECITAZ NASCOSTO'!$P$12,IF(C244&lt;='SOLLECITAZ NASCOSTO'!$P$11,IF(C244&lt;='SOLLECITAZ NASCOSTO'!$P$10,IF(C244&lt;='SOLLECITAZ NASCOSTO'!$P$9,IF(C244&lt;='SOLLECITAZ NASCOSTO'!$P$8,IF(C244&lt;='SOLLECITAZ NASCOSTO'!$P$7,IF(C244&lt;='SOLLECITAZ NASCOSTO'!$P$6,IF(C244&lt;='SOLLECITAZ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44" s="41">
        <f t="shared" si="75"/>
        <v>2.1099999999999952E-4</v>
      </c>
      <c r="Q244" s="41">
        <f t="shared" si="73"/>
        <v>1</v>
      </c>
      <c r="R244" s="434">
        <f t="shared" si="67"/>
        <v>2.3096083114406412</v>
      </c>
      <c r="S244" s="45">
        <f t="shared" si="74"/>
        <v>2.3096083114406412</v>
      </c>
      <c r="T244" s="205">
        <f t="shared" si="70"/>
        <v>2.7224532808202397</v>
      </c>
      <c r="U244" s="45">
        <f t="shared" si="71"/>
        <v>94.309106202023514</v>
      </c>
      <c r="V244" s="45">
        <f t="shared" si="72"/>
        <v>-84.583807897689695</v>
      </c>
      <c r="W244" s="488"/>
      <c r="X244" s="489"/>
      <c r="Y244" s="489"/>
      <c r="Z244" s="490"/>
      <c r="AA244" s="46"/>
    </row>
    <row r="245" spans="1:27" s="421" customFormat="1" x14ac:dyDescent="0.25">
      <c r="A245" s="581">
        <f t="shared" si="68"/>
        <v>0.42112892213384012</v>
      </c>
      <c r="B245" s="31">
        <f t="shared" si="58"/>
        <v>213</v>
      </c>
      <c r="C245" s="434">
        <f>'SOLLECITAZ NASCOSTO'!$D$6/'SOLLECITAZ NASCOSTO'!$B$448*'SOLLECITAZ NASCOSTO'!B245</f>
        <v>2.3205026902681913</v>
      </c>
      <c r="D245" s="434">
        <f t="shared" si="69"/>
        <v>0.54112892213384012</v>
      </c>
      <c r="E245" s="434">
        <f t="shared" si="63"/>
        <v>0.42112892213384012</v>
      </c>
      <c r="F245" s="434">
        <f t="shared" si="64"/>
        <v>0.43476125508282881</v>
      </c>
      <c r="G245" s="434">
        <f t="shared" si="65"/>
        <v>6.2547281659157059E-2</v>
      </c>
      <c r="H245" s="434">
        <f t="shared" si="59"/>
        <v>0</v>
      </c>
      <c r="I245" s="434">
        <v>0</v>
      </c>
      <c r="J245" s="127">
        <f t="shared" si="60"/>
        <v>0.14386581354228731</v>
      </c>
      <c r="K245" s="126">
        <f t="shared" si="66"/>
        <v>9.1589868024525255E-3</v>
      </c>
      <c r="L245" s="41">
        <f t="shared" si="61"/>
        <v>95.053447952664982</v>
      </c>
      <c r="M245" s="41">
        <f t="shared" si="62"/>
        <v>-85.615301598046528</v>
      </c>
      <c r="N245" s="41">
        <f>(IF(C244&lt;='SOLLECITAZ NASCOSTO'!$P$12,IF(C244&lt;='SOLLECITAZ NASCOSTO'!$P$11,IF(C244&lt;='SOLLECITAZ NASCOSTO'!$P$10,IF(C244&lt;='SOLLECITAZ NASCOSTO'!$P$9,IF(C244&lt;='SOLLECITAZ NASCOSTO'!$P$8,IF(C244&lt;='SOLLECITAZ NASCOSTO'!$P$7,IF(C244&lt;='SOLLECITAZ NASCOSTO'!$P$6,IF(C244&lt;='SOLLECITAZ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paramento'!$G$111),55555)-IF(C244&lt;='SOLLECITAZ NASCOSTO'!$P$12,IF(C244&lt;='SOLLECITAZ NASCOSTO'!$P$11,IF(C244&lt;='SOLLECITAZ NASCOSTO'!$P$10,IF(C244&lt;='SOLLECITAZ NASCOSTO'!$P$9,IF(C244&lt;='SOLLECITAZ NASCOSTO'!$P$8,IF(C244&lt;='SOLLECITAZ NASCOSTO'!$P$7,IF(C244&lt;='SOLLECITAZ NASCOSTO'!$P$6,IF(C244&lt;='SOLLECITAZ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paramento'!$G$111))*(C244-IF(C244&lt;='SOLLECITAZ NASCOSTO'!$P$12,IF(C244&lt;='SOLLECITAZ NASCOSTO'!$P$11,IF(C244&lt;='SOLLECITAZ NASCOSTO'!$P$10,IF(C244&lt;='SOLLECITAZ NASCOSTO'!$P$9,IF(C244&lt;='SOLLECITAZ NASCOSTO'!$P$8,IF(C244&lt;='SOLLECITAZ NASCOSTO'!$P$7,IF(C244&lt;='SOLLECITAZ NASCOSTO'!$P$6,IF(C244&lt;='SOLLECITAZ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NASCOSTO'!$P$12))/IF(C244&lt;='SOLLECITAZ NASCOSTO'!$P$12,IF(C244&lt;='SOLLECITAZ NASCOSTO'!$P$11,IF(C244&lt;='SOLLECITAZ NASCOSTO'!$P$10,IF(C244&lt;='SOLLECITAZ NASCOSTO'!$P$9,IF(C244&lt;='SOLLECITAZ NASCOSTO'!$P$8,IF(C244&lt;='SOLLECITAZ NASCOSTO'!$P$7,IF(C244&lt;='SOLLECITAZ NASCOSTO'!$P$6,IF(C244&lt;='SOLLECITAZ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paramento'!$C$111)+IF(C244&lt;='SOLLECITAZ NASCOSTO'!$P$12,IF(C244&lt;='SOLLECITAZ NASCOSTO'!$P$11,IF(C244&lt;='SOLLECITAZ NASCOSTO'!$P$10,IF(C244&lt;='SOLLECITAZ NASCOSTO'!$P$9,IF(C244&lt;='SOLLECITAZ NASCOSTO'!$P$8,IF(C244&lt;='SOLLECITAZ NASCOSTO'!$P$7,IF(C244&lt;='SOLLECITAZ NASCOSTO'!$P$6,IF(C244&lt;='SOLLECITAZ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68.194407217964169</v>
      </c>
      <c r="O245" s="41">
        <f>IF(C245&lt;='SOLLECITAZ NASCOSTO'!$P$12,IF(C245&lt;='SOLLECITAZ NASCOSTO'!$P$11,IF(C245&lt;='SOLLECITAZ NASCOSTO'!$P$10,IF(C245&lt;='SOLLECITAZ NASCOSTO'!$P$9,IF(C245&lt;='SOLLECITAZ NASCOSTO'!$P$8,IF(C245&lt;='SOLLECITAZ NASCOSTO'!$P$7,IF(C245&lt;='SOLLECITAZ NASCOSTO'!$P$6,IF(C245&lt;='SOLLECITAZ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paramento'!$G$110),55555)*(C245-C244)/IF(C245&lt;='SOLLECITAZ NASCOSTO'!$P$12,IF(C245&lt;='SOLLECITAZ NASCOSTO'!$P$11,IF(C245&lt;='SOLLECITAZ NASCOSTO'!$P$10,IF(C245&lt;='SOLLECITAZ NASCOSTO'!$P$9,IF(C245&lt;='SOLLECITAZ NASCOSTO'!$P$8,IF(C245&lt;='SOLLECITAZ NASCOSTO'!$P$7,IF(C245&lt;='SOLLECITAZ NASCOSTO'!$P$6,IF(C245&lt;='SOLLECITAZ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45" s="41">
        <f t="shared" si="75"/>
        <v>2.1199999999999952E-4</v>
      </c>
      <c r="Q245" s="41">
        <f t="shared" si="73"/>
        <v>1</v>
      </c>
      <c r="R245" s="434">
        <f t="shared" si="67"/>
        <v>2.3205026902681913</v>
      </c>
      <c r="S245" s="45">
        <f t="shared" si="74"/>
        <v>2.3205026902681913</v>
      </c>
      <c r="T245" s="205">
        <f t="shared" si="70"/>
        <v>2.7115589019926896</v>
      </c>
      <c r="U245" s="45">
        <f t="shared" si="71"/>
        <v>95.053447952664982</v>
      </c>
      <c r="V245" s="45">
        <f t="shared" si="72"/>
        <v>-85.615301598046528</v>
      </c>
      <c r="W245" s="488"/>
      <c r="X245" s="489"/>
      <c r="Y245" s="489"/>
      <c r="Z245" s="490"/>
      <c r="AA245" s="46"/>
    </row>
    <row r="246" spans="1:27" s="421" customFormat="1" x14ac:dyDescent="0.25">
      <c r="A246" s="581">
        <f t="shared" si="68"/>
        <v>0.42269976488194927</v>
      </c>
      <c r="B246" s="31">
        <f t="shared" si="58"/>
        <v>214</v>
      </c>
      <c r="C246" s="434">
        <f>'SOLLECITAZ NASCOSTO'!$D$6/'SOLLECITAZ NASCOSTO'!$B$448*'SOLLECITAZ NASCOSTO'!B246</f>
        <v>2.3313970690957415</v>
      </c>
      <c r="D246" s="434">
        <f t="shared" si="69"/>
        <v>0.54269976488194926</v>
      </c>
      <c r="E246" s="434">
        <f t="shared" si="63"/>
        <v>0.42269976488194927</v>
      </c>
      <c r="F246" s="434">
        <f t="shared" si="64"/>
        <v>0.43526392476222375</v>
      </c>
      <c r="G246" s="434">
        <f t="shared" si="65"/>
        <v>6.2819685568467676E-2</v>
      </c>
      <c r="H246" s="434">
        <f t="shared" si="59"/>
        <v>0</v>
      </c>
      <c r="I246" s="434">
        <v>0</v>
      </c>
      <c r="J246" s="127">
        <f t="shared" si="60"/>
        <v>0.14432550458387944</v>
      </c>
      <c r="K246" s="126">
        <f t="shared" si="66"/>
        <v>9.2385392347824648E-3</v>
      </c>
      <c r="L246" s="41">
        <f t="shared" si="61"/>
        <v>95.800601792283956</v>
      </c>
      <c r="M246" s="41">
        <f t="shared" si="62"/>
        <v>-86.654919757393316</v>
      </c>
      <c r="N246" s="41">
        <f>(IF(C245&lt;='SOLLECITAZ NASCOSTO'!$P$12,IF(C245&lt;='SOLLECITAZ NASCOSTO'!$P$11,IF(C245&lt;='SOLLECITAZ NASCOSTO'!$P$10,IF(C245&lt;='SOLLECITAZ NASCOSTO'!$P$9,IF(C245&lt;='SOLLECITAZ NASCOSTO'!$P$8,IF(C245&lt;='SOLLECITAZ NASCOSTO'!$P$7,IF(C245&lt;='SOLLECITAZ NASCOSTO'!$P$6,IF(C245&lt;='SOLLECITAZ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paramento'!$G$111),55555)-IF(C245&lt;='SOLLECITAZ NASCOSTO'!$P$12,IF(C245&lt;='SOLLECITAZ NASCOSTO'!$P$11,IF(C245&lt;='SOLLECITAZ NASCOSTO'!$P$10,IF(C245&lt;='SOLLECITAZ NASCOSTO'!$P$9,IF(C245&lt;='SOLLECITAZ NASCOSTO'!$P$8,IF(C245&lt;='SOLLECITAZ NASCOSTO'!$P$7,IF(C245&lt;='SOLLECITAZ NASCOSTO'!$P$6,IF(C245&lt;='SOLLECITAZ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paramento'!$G$111))*(C245-IF(C245&lt;='SOLLECITAZ NASCOSTO'!$P$12,IF(C245&lt;='SOLLECITAZ NASCOSTO'!$P$11,IF(C245&lt;='SOLLECITAZ NASCOSTO'!$P$10,IF(C245&lt;='SOLLECITAZ NASCOSTO'!$P$9,IF(C245&lt;='SOLLECITAZ NASCOSTO'!$P$8,IF(C245&lt;='SOLLECITAZ NASCOSTO'!$P$7,IF(C245&lt;='SOLLECITAZ NASCOSTO'!$P$6,IF(C245&lt;='SOLLECITAZ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NASCOSTO'!$P$12))/IF(C245&lt;='SOLLECITAZ NASCOSTO'!$P$12,IF(C245&lt;='SOLLECITAZ NASCOSTO'!$P$11,IF(C245&lt;='SOLLECITAZ NASCOSTO'!$P$10,IF(C245&lt;='SOLLECITAZ NASCOSTO'!$P$9,IF(C245&lt;='SOLLECITAZ NASCOSTO'!$P$8,IF(C245&lt;='SOLLECITAZ NASCOSTO'!$P$7,IF(C245&lt;='SOLLECITAZ NASCOSTO'!$P$6,IF(C245&lt;='SOLLECITAZ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paramento'!$C$111)+IF(C245&lt;='SOLLECITAZ NASCOSTO'!$P$12,IF(C245&lt;='SOLLECITAZ NASCOSTO'!$P$11,IF(C245&lt;='SOLLECITAZ NASCOSTO'!$P$10,IF(C245&lt;='SOLLECITAZ NASCOSTO'!$P$9,IF(C245&lt;='SOLLECITAZ NASCOSTO'!$P$8,IF(C245&lt;='SOLLECITAZ NASCOSTO'!$P$7,IF(C245&lt;='SOLLECITAZ NASCOSTO'!$P$6,IF(C245&lt;='SOLLECITAZ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68.452530147413569</v>
      </c>
      <c r="O246" s="41">
        <f>IF(C246&lt;='SOLLECITAZ NASCOSTO'!$P$12,IF(C246&lt;='SOLLECITAZ NASCOSTO'!$P$11,IF(C246&lt;='SOLLECITAZ NASCOSTO'!$P$10,IF(C246&lt;='SOLLECITAZ NASCOSTO'!$P$9,IF(C246&lt;='SOLLECITAZ NASCOSTO'!$P$8,IF(C246&lt;='SOLLECITAZ NASCOSTO'!$P$7,IF(C246&lt;='SOLLECITAZ NASCOSTO'!$P$6,IF(C246&lt;='SOLLECITAZ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paramento'!$G$110),55555)*(C246-C245)/IF(C246&lt;='SOLLECITAZ NASCOSTO'!$P$12,IF(C246&lt;='SOLLECITAZ NASCOSTO'!$P$11,IF(C246&lt;='SOLLECITAZ NASCOSTO'!$P$10,IF(C246&lt;='SOLLECITAZ NASCOSTO'!$P$9,IF(C246&lt;='SOLLECITAZ NASCOSTO'!$P$8,IF(C246&lt;='SOLLECITAZ NASCOSTO'!$P$7,IF(C246&lt;='SOLLECITAZ NASCOSTO'!$P$6,IF(C246&lt;='SOLLECITAZ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46" s="41">
        <f t="shared" si="75"/>
        <v>2.1299999999999951E-4</v>
      </c>
      <c r="Q246" s="41">
        <f t="shared" si="73"/>
        <v>1</v>
      </c>
      <c r="R246" s="434">
        <f t="shared" si="67"/>
        <v>2.3313970690957415</v>
      </c>
      <c r="S246" s="45">
        <f t="shared" si="74"/>
        <v>2.3313970690957415</v>
      </c>
      <c r="T246" s="205">
        <f t="shared" si="70"/>
        <v>2.7006645231651394</v>
      </c>
      <c r="U246" s="45">
        <f t="shared" si="71"/>
        <v>95.800601792283956</v>
      </c>
      <c r="V246" s="45">
        <f t="shared" si="72"/>
        <v>-86.654919757393316</v>
      </c>
      <c r="W246" s="488"/>
      <c r="X246" s="489"/>
      <c r="Y246" s="489"/>
      <c r="Z246" s="490"/>
      <c r="AA246" s="46"/>
    </row>
    <row r="247" spans="1:27" s="421" customFormat="1" x14ac:dyDescent="0.25">
      <c r="A247" s="581">
        <f t="shared" si="68"/>
        <v>0.42427060763005842</v>
      </c>
      <c r="B247" s="31">
        <f t="shared" si="58"/>
        <v>215</v>
      </c>
      <c r="C247" s="434">
        <f>'SOLLECITAZ NASCOSTO'!$D$6/'SOLLECITAZ NASCOSTO'!$B$448*'SOLLECITAZ NASCOSTO'!B247</f>
        <v>2.3422914479232917</v>
      </c>
      <c r="D247" s="434">
        <f t="shared" si="69"/>
        <v>0.54427060763005841</v>
      </c>
      <c r="E247" s="434">
        <f t="shared" si="63"/>
        <v>0.42427060763005842</v>
      </c>
      <c r="F247" s="434">
        <f t="shared" si="64"/>
        <v>0.43576659444161869</v>
      </c>
      <c r="G247" s="434">
        <f t="shared" si="65"/>
        <v>6.3092879092798884E-2</v>
      </c>
      <c r="H247" s="434">
        <f t="shared" si="59"/>
        <v>0</v>
      </c>
      <c r="I247" s="434">
        <v>0</v>
      </c>
      <c r="J247" s="127">
        <f t="shared" si="60"/>
        <v>0.14478594710465278</v>
      </c>
      <c r="K247" s="126">
        <f t="shared" si="66"/>
        <v>9.3185365340604769E-3</v>
      </c>
      <c r="L247" s="41">
        <f t="shared" si="61"/>
        <v>96.550567720880423</v>
      </c>
      <c r="M247" s="41">
        <f t="shared" si="62"/>
        <v>-87.702693011692688</v>
      </c>
      <c r="N247" s="41">
        <f>(IF(C246&lt;='SOLLECITAZ NASCOSTO'!$P$12,IF(C246&lt;='SOLLECITAZ NASCOSTO'!$P$11,IF(C246&lt;='SOLLECITAZ NASCOSTO'!$P$10,IF(C246&lt;='SOLLECITAZ NASCOSTO'!$P$9,IF(C246&lt;='SOLLECITAZ NASCOSTO'!$P$8,IF(C246&lt;='SOLLECITAZ NASCOSTO'!$P$7,IF(C246&lt;='SOLLECITAZ NASCOSTO'!$P$6,IF(C246&lt;='SOLLECITAZ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paramento'!$G$111),55555)-IF(C246&lt;='SOLLECITAZ NASCOSTO'!$P$12,IF(C246&lt;='SOLLECITAZ NASCOSTO'!$P$11,IF(C246&lt;='SOLLECITAZ NASCOSTO'!$P$10,IF(C246&lt;='SOLLECITAZ NASCOSTO'!$P$9,IF(C246&lt;='SOLLECITAZ NASCOSTO'!$P$8,IF(C246&lt;='SOLLECITAZ NASCOSTO'!$P$7,IF(C246&lt;='SOLLECITAZ NASCOSTO'!$P$6,IF(C246&lt;='SOLLECITAZ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paramento'!$G$111))*(C246-IF(C246&lt;='SOLLECITAZ NASCOSTO'!$P$12,IF(C246&lt;='SOLLECITAZ NASCOSTO'!$P$11,IF(C246&lt;='SOLLECITAZ NASCOSTO'!$P$10,IF(C246&lt;='SOLLECITAZ NASCOSTO'!$P$9,IF(C246&lt;='SOLLECITAZ NASCOSTO'!$P$8,IF(C246&lt;='SOLLECITAZ NASCOSTO'!$P$7,IF(C246&lt;='SOLLECITAZ NASCOSTO'!$P$6,IF(C246&lt;='SOLLECITAZ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NASCOSTO'!$P$12))/IF(C246&lt;='SOLLECITAZ NASCOSTO'!$P$12,IF(C246&lt;='SOLLECITAZ NASCOSTO'!$P$11,IF(C246&lt;='SOLLECITAZ NASCOSTO'!$P$10,IF(C246&lt;='SOLLECITAZ NASCOSTO'!$P$9,IF(C246&lt;='SOLLECITAZ NASCOSTO'!$P$8,IF(C246&lt;='SOLLECITAZ NASCOSTO'!$P$7,IF(C246&lt;='SOLLECITAZ NASCOSTO'!$P$6,IF(C246&lt;='SOLLECITAZ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paramento'!$C$111)+IF(C246&lt;='SOLLECITAZ NASCOSTO'!$P$12,IF(C246&lt;='SOLLECITAZ NASCOSTO'!$P$11,IF(C246&lt;='SOLLECITAZ NASCOSTO'!$P$10,IF(C246&lt;='SOLLECITAZ NASCOSTO'!$P$9,IF(C246&lt;='SOLLECITAZ NASCOSTO'!$P$8,IF(C246&lt;='SOLLECITAZ NASCOSTO'!$P$7,IF(C246&lt;='SOLLECITAZ NASCOSTO'!$P$6,IF(C246&lt;='SOLLECITAZ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68.710653076862968</v>
      </c>
      <c r="O247" s="41">
        <f>IF(C247&lt;='SOLLECITAZ NASCOSTO'!$P$12,IF(C247&lt;='SOLLECITAZ NASCOSTO'!$P$11,IF(C247&lt;='SOLLECITAZ NASCOSTO'!$P$10,IF(C247&lt;='SOLLECITAZ NASCOSTO'!$P$9,IF(C247&lt;='SOLLECITAZ NASCOSTO'!$P$8,IF(C247&lt;='SOLLECITAZ NASCOSTO'!$P$7,IF(C247&lt;='SOLLECITAZ NASCOSTO'!$P$6,IF(C247&lt;='SOLLECITAZ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paramento'!$G$110),55555)*(C247-C246)/IF(C247&lt;='SOLLECITAZ NASCOSTO'!$P$12,IF(C247&lt;='SOLLECITAZ NASCOSTO'!$P$11,IF(C247&lt;='SOLLECITAZ NASCOSTO'!$P$10,IF(C247&lt;='SOLLECITAZ NASCOSTO'!$P$9,IF(C247&lt;='SOLLECITAZ NASCOSTO'!$P$8,IF(C247&lt;='SOLLECITAZ NASCOSTO'!$P$7,IF(C247&lt;='SOLLECITAZ NASCOSTO'!$P$6,IF(C247&lt;='SOLLECITAZ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47" s="41">
        <f t="shared" si="75"/>
        <v>2.1399999999999951E-4</v>
      </c>
      <c r="Q247" s="41">
        <f t="shared" si="73"/>
        <v>1</v>
      </c>
      <c r="R247" s="434">
        <f t="shared" si="67"/>
        <v>2.3422914479232917</v>
      </c>
      <c r="S247" s="45">
        <f t="shared" si="74"/>
        <v>2.3422914479232917</v>
      </c>
      <c r="T247" s="205">
        <f t="shared" si="70"/>
        <v>2.6897701443375892</v>
      </c>
      <c r="U247" s="45">
        <f t="shared" si="71"/>
        <v>96.550567720880423</v>
      </c>
      <c r="V247" s="45">
        <f t="shared" si="72"/>
        <v>-87.702693011692688</v>
      </c>
      <c r="W247" s="488"/>
      <c r="X247" s="489"/>
      <c r="Y247" s="489"/>
      <c r="Z247" s="490"/>
      <c r="AA247" s="46"/>
    </row>
    <row r="248" spans="1:27" s="421" customFormat="1" x14ac:dyDescent="0.25">
      <c r="A248" s="581">
        <f t="shared" si="68"/>
        <v>0.42584145037816756</v>
      </c>
      <c r="B248" s="31">
        <f t="shared" si="58"/>
        <v>216</v>
      </c>
      <c r="C248" s="434">
        <f>'SOLLECITAZ NASCOSTO'!$D$6/'SOLLECITAZ NASCOSTO'!$B$448*'SOLLECITAZ NASCOSTO'!B248</f>
        <v>2.3531858267508419</v>
      </c>
      <c r="D248" s="434">
        <f t="shared" si="69"/>
        <v>0.54584145037816756</v>
      </c>
      <c r="E248" s="434">
        <f t="shared" si="63"/>
        <v>0.42584145037816756</v>
      </c>
      <c r="F248" s="434">
        <f t="shared" si="64"/>
        <v>0.43626926412101363</v>
      </c>
      <c r="G248" s="434">
        <f t="shared" si="65"/>
        <v>6.3366862232150642E-2</v>
      </c>
      <c r="H248" s="434">
        <f t="shared" si="59"/>
        <v>0</v>
      </c>
      <c r="I248" s="434">
        <v>0</v>
      </c>
      <c r="J248" s="127">
        <f t="shared" si="60"/>
        <v>0.1452471385070431</v>
      </c>
      <c r="K248" s="126">
        <f t="shared" si="66"/>
        <v>9.3989796389933773E-3</v>
      </c>
      <c r="L248" s="41">
        <f t="shared" si="61"/>
        <v>97.303345738454396</v>
      </c>
      <c r="M248" s="41">
        <f t="shared" si="62"/>
        <v>-88.758651996907247</v>
      </c>
      <c r="N248" s="41">
        <f>(IF(C247&lt;='SOLLECITAZ NASCOSTO'!$P$12,IF(C247&lt;='SOLLECITAZ NASCOSTO'!$P$11,IF(C247&lt;='SOLLECITAZ NASCOSTO'!$P$10,IF(C247&lt;='SOLLECITAZ NASCOSTO'!$P$9,IF(C247&lt;='SOLLECITAZ NASCOSTO'!$P$8,IF(C247&lt;='SOLLECITAZ NASCOSTO'!$P$7,IF(C247&lt;='SOLLECITAZ NASCOSTO'!$P$6,IF(C247&lt;='SOLLECITAZ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paramento'!$G$111),55555)-IF(C247&lt;='SOLLECITAZ NASCOSTO'!$P$12,IF(C247&lt;='SOLLECITAZ NASCOSTO'!$P$11,IF(C247&lt;='SOLLECITAZ NASCOSTO'!$P$10,IF(C247&lt;='SOLLECITAZ NASCOSTO'!$P$9,IF(C247&lt;='SOLLECITAZ NASCOSTO'!$P$8,IF(C247&lt;='SOLLECITAZ NASCOSTO'!$P$7,IF(C247&lt;='SOLLECITAZ NASCOSTO'!$P$6,IF(C247&lt;='SOLLECITAZ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paramento'!$G$111))*(C247-IF(C247&lt;='SOLLECITAZ NASCOSTO'!$P$12,IF(C247&lt;='SOLLECITAZ NASCOSTO'!$P$11,IF(C247&lt;='SOLLECITAZ NASCOSTO'!$P$10,IF(C247&lt;='SOLLECITAZ NASCOSTO'!$P$9,IF(C247&lt;='SOLLECITAZ NASCOSTO'!$P$8,IF(C247&lt;='SOLLECITAZ NASCOSTO'!$P$7,IF(C247&lt;='SOLLECITAZ NASCOSTO'!$P$6,IF(C247&lt;='SOLLECITAZ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NASCOSTO'!$P$12))/IF(C247&lt;='SOLLECITAZ NASCOSTO'!$P$12,IF(C247&lt;='SOLLECITAZ NASCOSTO'!$P$11,IF(C247&lt;='SOLLECITAZ NASCOSTO'!$P$10,IF(C247&lt;='SOLLECITAZ NASCOSTO'!$P$9,IF(C247&lt;='SOLLECITAZ NASCOSTO'!$P$8,IF(C247&lt;='SOLLECITAZ NASCOSTO'!$P$7,IF(C247&lt;='SOLLECITAZ NASCOSTO'!$P$6,IF(C247&lt;='SOLLECITAZ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paramento'!$C$111)+IF(C247&lt;='SOLLECITAZ NASCOSTO'!$P$12,IF(C247&lt;='SOLLECITAZ NASCOSTO'!$P$11,IF(C247&lt;='SOLLECITAZ NASCOSTO'!$P$10,IF(C247&lt;='SOLLECITAZ NASCOSTO'!$P$9,IF(C247&lt;='SOLLECITAZ NASCOSTO'!$P$8,IF(C247&lt;='SOLLECITAZ NASCOSTO'!$P$7,IF(C247&lt;='SOLLECITAZ NASCOSTO'!$P$6,IF(C247&lt;='SOLLECITAZ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68.968776006312382</v>
      </c>
      <c r="O248" s="41">
        <f>IF(C248&lt;='SOLLECITAZ NASCOSTO'!$P$12,IF(C248&lt;='SOLLECITAZ NASCOSTO'!$P$11,IF(C248&lt;='SOLLECITAZ NASCOSTO'!$P$10,IF(C248&lt;='SOLLECITAZ NASCOSTO'!$P$9,IF(C248&lt;='SOLLECITAZ NASCOSTO'!$P$8,IF(C248&lt;='SOLLECITAZ NASCOSTO'!$P$7,IF(C248&lt;='SOLLECITAZ NASCOSTO'!$P$6,IF(C248&lt;='SOLLECITAZ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paramento'!$G$110),55555)*(C248-C247)/IF(C248&lt;='SOLLECITAZ NASCOSTO'!$P$12,IF(C248&lt;='SOLLECITAZ NASCOSTO'!$P$11,IF(C248&lt;='SOLLECITAZ NASCOSTO'!$P$10,IF(C248&lt;='SOLLECITAZ NASCOSTO'!$P$9,IF(C248&lt;='SOLLECITAZ NASCOSTO'!$P$8,IF(C248&lt;='SOLLECITAZ NASCOSTO'!$P$7,IF(C248&lt;='SOLLECITAZ NASCOSTO'!$P$6,IF(C248&lt;='SOLLECITAZ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48" s="41">
        <f t="shared" si="75"/>
        <v>2.1499999999999951E-4</v>
      </c>
      <c r="Q248" s="41">
        <f t="shared" si="73"/>
        <v>1</v>
      </c>
      <c r="R248" s="434">
        <f t="shared" si="67"/>
        <v>2.3531858267508419</v>
      </c>
      <c r="S248" s="45">
        <f t="shared" si="74"/>
        <v>2.3531858267508419</v>
      </c>
      <c r="T248" s="205">
        <f t="shared" si="70"/>
        <v>2.678875765510039</v>
      </c>
      <c r="U248" s="45">
        <f t="shared" si="71"/>
        <v>97.303345738454396</v>
      </c>
      <c r="V248" s="45">
        <f t="shared" si="72"/>
        <v>-88.758651996907247</v>
      </c>
      <c r="W248" s="488"/>
      <c r="X248" s="489"/>
      <c r="Y248" s="489"/>
      <c r="Z248" s="490"/>
      <c r="AA248" s="46"/>
    </row>
    <row r="249" spans="1:27" s="421" customFormat="1" x14ac:dyDescent="0.25">
      <c r="A249" s="581">
        <f t="shared" si="68"/>
        <v>0.42741229312627671</v>
      </c>
      <c r="B249" s="31">
        <f t="shared" si="58"/>
        <v>217</v>
      </c>
      <c r="C249" s="434">
        <f>'SOLLECITAZ NASCOSTO'!$D$6/'SOLLECITAZ NASCOSTO'!$B$448*'SOLLECITAZ NASCOSTO'!B249</f>
        <v>2.364080205578392</v>
      </c>
      <c r="D249" s="434">
        <f t="shared" si="69"/>
        <v>0.54741229312627671</v>
      </c>
      <c r="E249" s="434">
        <f t="shared" si="63"/>
        <v>0.42741229312627671</v>
      </c>
      <c r="F249" s="434">
        <f t="shared" si="64"/>
        <v>0.43677193380040857</v>
      </c>
      <c r="G249" s="434">
        <f t="shared" si="65"/>
        <v>6.3641634986522991E-2</v>
      </c>
      <c r="H249" s="434">
        <f t="shared" si="59"/>
        <v>0</v>
      </c>
      <c r="I249" s="434">
        <v>0</v>
      </c>
      <c r="J249" s="127">
        <f t="shared" si="60"/>
        <v>0.14570907620544427</v>
      </c>
      <c r="K249" s="126">
        <f t="shared" si="66"/>
        <v>9.4798694868216474E-3</v>
      </c>
      <c r="L249" s="41">
        <f t="shared" si="61"/>
        <v>98.058935845005863</v>
      </c>
      <c r="M249" s="41">
        <f t="shared" si="62"/>
        <v>-89.822827348999624</v>
      </c>
      <c r="N249" s="41">
        <f>(IF(C248&lt;='SOLLECITAZ NASCOSTO'!$P$12,IF(C248&lt;='SOLLECITAZ NASCOSTO'!$P$11,IF(C248&lt;='SOLLECITAZ NASCOSTO'!$P$10,IF(C248&lt;='SOLLECITAZ NASCOSTO'!$P$9,IF(C248&lt;='SOLLECITAZ NASCOSTO'!$P$8,IF(C248&lt;='SOLLECITAZ NASCOSTO'!$P$7,IF(C248&lt;='SOLLECITAZ NASCOSTO'!$P$6,IF(C248&lt;='SOLLECITAZ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paramento'!$G$111),55555)-IF(C248&lt;='SOLLECITAZ NASCOSTO'!$P$12,IF(C248&lt;='SOLLECITAZ NASCOSTO'!$P$11,IF(C248&lt;='SOLLECITAZ NASCOSTO'!$P$10,IF(C248&lt;='SOLLECITAZ NASCOSTO'!$P$9,IF(C248&lt;='SOLLECITAZ NASCOSTO'!$P$8,IF(C248&lt;='SOLLECITAZ NASCOSTO'!$P$7,IF(C248&lt;='SOLLECITAZ NASCOSTO'!$P$6,IF(C248&lt;='SOLLECITAZ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paramento'!$G$111))*(C248-IF(C248&lt;='SOLLECITAZ NASCOSTO'!$P$12,IF(C248&lt;='SOLLECITAZ NASCOSTO'!$P$11,IF(C248&lt;='SOLLECITAZ NASCOSTO'!$P$10,IF(C248&lt;='SOLLECITAZ NASCOSTO'!$P$9,IF(C248&lt;='SOLLECITAZ NASCOSTO'!$P$8,IF(C248&lt;='SOLLECITAZ NASCOSTO'!$P$7,IF(C248&lt;='SOLLECITAZ NASCOSTO'!$P$6,IF(C248&lt;='SOLLECITAZ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NASCOSTO'!$P$12))/IF(C248&lt;='SOLLECITAZ NASCOSTO'!$P$12,IF(C248&lt;='SOLLECITAZ NASCOSTO'!$P$11,IF(C248&lt;='SOLLECITAZ NASCOSTO'!$P$10,IF(C248&lt;='SOLLECITAZ NASCOSTO'!$P$9,IF(C248&lt;='SOLLECITAZ NASCOSTO'!$P$8,IF(C248&lt;='SOLLECITAZ NASCOSTO'!$P$7,IF(C248&lt;='SOLLECITAZ NASCOSTO'!$P$6,IF(C248&lt;='SOLLECITAZ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paramento'!$C$111)+IF(C248&lt;='SOLLECITAZ NASCOSTO'!$P$12,IF(C248&lt;='SOLLECITAZ NASCOSTO'!$P$11,IF(C248&lt;='SOLLECITAZ NASCOSTO'!$P$10,IF(C248&lt;='SOLLECITAZ NASCOSTO'!$P$9,IF(C248&lt;='SOLLECITAZ NASCOSTO'!$P$8,IF(C248&lt;='SOLLECITAZ NASCOSTO'!$P$7,IF(C248&lt;='SOLLECITAZ NASCOSTO'!$P$6,IF(C248&lt;='SOLLECITAZ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69.226898935761781</v>
      </c>
      <c r="O249" s="41">
        <f>IF(C249&lt;='SOLLECITAZ NASCOSTO'!$P$12,IF(C249&lt;='SOLLECITAZ NASCOSTO'!$P$11,IF(C249&lt;='SOLLECITAZ NASCOSTO'!$P$10,IF(C249&lt;='SOLLECITAZ NASCOSTO'!$P$9,IF(C249&lt;='SOLLECITAZ NASCOSTO'!$P$8,IF(C249&lt;='SOLLECITAZ NASCOSTO'!$P$7,IF(C249&lt;='SOLLECITAZ NASCOSTO'!$P$6,IF(C249&lt;='SOLLECITAZ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paramento'!$G$110),55555)*(C249-C248)/IF(C249&lt;='SOLLECITAZ NASCOSTO'!$P$12,IF(C249&lt;='SOLLECITAZ NASCOSTO'!$P$11,IF(C249&lt;='SOLLECITAZ NASCOSTO'!$P$10,IF(C249&lt;='SOLLECITAZ NASCOSTO'!$P$9,IF(C249&lt;='SOLLECITAZ NASCOSTO'!$P$8,IF(C249&lt;='SOLLECITAZ NASCOSTO'!$P$7,IF(C249&lt;='SOLLECITAZ NASCOSTO'!$P$6,IF(C249&lt;='SOLLECITAZ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49" s="41">
        <f t="shared" si="75"/>
        <v>2.159999999999995E-4</v>
      </c>
      <c r="Q249" s="41">
        <f t="shared" si="73"/>
        <v>1</v>
      </c>
      <c r="R249" s="434">
        <f t="shared" si="67"/>
        <v>2.364080205578392</v>
      </c>
      <c r="S249" s="45">
        <f t="shared" si="74"/>
        <v>2.364080205578392</v>
      </c>
      <c r="T249" s="205">
        <f t="shared" si="70"/>
        <v>2.6679813866824889</v>
      </c>
      <c r="U249" s="45">
        <f t="shared" si="71"/>
        <v>98.058935845005863</v>
      </c>
      <c r="V249" s="45">
        <f t="shared" si="72"/>
        <v>-89.822827348999624</v>
      </c>
      <c r="W249" s="488"/>
      <c r="X249" s="489"/>
      <c r="Y249" s="489"/>
      <c r="Z249" s="490"/>
      <c r="AA249" s="46"/>
    </row>
    <row r="250" spans="1:27" s="421" customFormat="1" x14ac:dyDescent="0.25">
      <c r="A250" s="581">
        <f t="shared" si="68"/>
        <v>0.42898313587438597</v>
      </c>
      <c r="B250" s="31">
        <f t="shared" si="58"/>
        <v>218</v>
      </c>
      <c r="C250" s="434">
        <f>'SOLLECITAZ NASCOSTO'!$D$6/'SOLLECITAZ NASCOSTO'!$B$448*'SOLLECITAZ NASCOSTO'!B250</f>
        <v>2.3749745844059427</v>
      </c>
      <c r="D250" s="434">
        <f t="shared" si="69"/>
        <v>0.54898313587438596</v>
      </c>
      <c r="E250" s="434">
        <f t="shared" si="63"/>
        <v>0.42898313587438597</v>
      </c>
      <c r="F250" s="434">
        <f t="shared" si="64"/>
        <v>0.43727460347980351</v>
      </c>
      <c r="G250" s="434">
        <f t="shared" si="65"/>
        <v>6.3917197355915931E-2</v>
      </c>
      <c r="H250" s="434">
        <f t="shared" si="59"/>
        <v>0</v>
      </c>
      <c r="I250" s="434">
        <v>0</v>
      </c>
      <c r="J250" s="127">
        <f t="shared" si="60"/>
        <v>0.14617175762613913</v>
      </c>
      <c r="K250" s="126">
        <f t="shared" si="66"/>
        <v>9.5612070133278756E-3</v>
      </c>
      <c r="L250" s="41">
        <f t="shared" si="61"/>
        <v>98.817338040534864</v>
      </c>
      <c r="M250" s="41">
        <f t="shared" si="62"/>
        <v>-90.895249703932464</v>
      </c>
      <c r="N250" s="41">
        <f>(IF(C249&lt;='SOLLECITAZ NASCOSTO'!$P$12,IF(C249&lt;='SOLLECITAZ NASCOSTO'!$P$11,IF(C249&lt;='SOLLECITAZ NASCOSTO'!$P$10,IF(C249&lt;='SOLLECITAZ NASCOSTO'!$P$9,IF(C249&lt;='SOLLECITAZ NASCOSTO'!$P$8,IF(C249&lt;='SOLLECITAZ NASCOSTO'!$P$7,IF(C249&lt;='SOLLECITAZ NASCOSTO'!$P$6,IF(C249&lt;='SOLLECITAZ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paramento'!$G$111),55555)-IF(C249&lt;='SOLLECITAZ NASCOSTO'!$P$12,IF(C249&lt;='SOLLECITAZ NASCOSTO'!$P$11,IF(C249&lt;='SOLLECITAZ NASCOSTO'!$P$10,IF(C249&lt;='SOLLECITAZ NASCOSTO'!$P$9,IF(C249&lt;='SOLLECITAZ NASCOSTO'!$P$8,IF(C249&lt;='SOLLECITAZ NASCOSTO'!$P$7,IF(C249&lt;='SOLLECITAZ NASCOSTO'!$P$6,IF(C249&lt;='SOLLECITAZ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paramento'!$G$111))*(C249-IF(C249&lt;='SOLLECITAZ NASCOSTO'!$P$12,IF(C249&lt;='SOLLECITAZ NASCOSTO'!$P$11,IF(C249&lt;='SOLLECITAZ NASCOSTO'!$P$10,IF(C249&lt;='SOLLECITAZ NASCOSTO'!$P$9,IF(C249&lt;='SOLLECITAZ NASCOSTO'!$P$8,IF(C249&lt;='SOLLECITAZ NASCOSTO'!$P$7,IF(C249&lt;='SOLLECITAZ NASCOSTO'!$P$6,IF(C249&lt;='SOLLECITAZ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NASCOSTO'!$P$12))/IF(C249&lt;='SOLLECITAZ NASCOSTO'!$P$12,IF(C249&lt;='SOLLECITAZ NASCOSTO'!$P$11,IF(C249&lt;='SOLLECITAZ NASCOSTO'!$P$10,IF(C249&lt;='SOLLECITAZ NASCOSTO'!$P$9,IF(C249&lt;='SOLLECITAZ NASCOSTO'!$P$8,IF(C249&lt;='SOLLECITAZ NASCOSTO'!$P$7,IF(C249&lt;='SOLLECITAZ NASCOSTO'!$P$6,IF(C249&lt;='SOLLECITAZ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paramento'!$C$111)+IF(C249&lt;='SOLLECITAZ NASCOSTO'!$P$12,IF(C249&lt;='SOLLECITAZ NASCOSTO'!$P$11,IF(C249&lt;='SOLLECITAZ NASCOSTO'!$P$10,IF(C249&lt;='SOLLECITAZ NASCOSTO'!$P$9,IF(C249&lt;='SOLLECITAZ NASCOSTO'!$P$8,IF(C249&lt;='SOLLECITAZ NASCOSTO'!$P$7,IF(C249&lt;='SOLLECITAZ NASCOSTO'!$P$6,IF(C249&lt;='SOLLECITAZ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69.485021865211195</v>
      </c>
      <c r="O250" s="41">
        <f>IF(C250&lt;='SOLLECITAZ NASCOSTO'!$P$12,IF(C250&lt;='SOLLECITAZ NASCOSTO'!$P$11,IF(C250&lt;='SOLLECITAZ NASCOSTO'!$P$10,IF(C250&lt;='SOLLECITAZ NASCOSTO'!$P$9,IF(C250&lt;='SOLLECITAZ NASCOSTO'!$P$8,IF(C250&lt;='SOLLECITAZ NASCOSTO'!$P$7,IF(C250&lt;='SOLLECITAZ NASCOSTO'!$P$6,IF(C250&lt;='SOLLECITAZ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paramento'!$G$110),55555)*(C250-C249)/IF(C250&lt;='SOLLECITAZ NASCOSTO'!$P$12,IF(C250&lt;='SOLLECITAZ NASCOSTO'!$P$11,IF(C250&lt;='SOLLECITAZ NASCOSTO'!$P$10,IF(C250&lt;='SOLLECITAZ NASCOSTO'!$P$9,IF(C250&lt;='SOLLECITAZ NASCOSTO'!$P$8,IF(C250&lt;='SOLLECITAZ NASCOSTO'!$P$7,IF(C250&lt;='SOLLECITAZ NASCOSTO'!$P$6,IF(C250&lt;='SOLLECITAZ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0.25812292944941589</v>
      </c>
      <c r="P250" s="41">
        <f t="shared" si="75"/>
        <v>2.169999999999995E-4</v>
      </c>
      <c r="Q250" s="41">
        <f t="shared" si="73"/>
        <v>1</v>
      </c>
      <c r="R250" s="434">
        <f t="shared" si="67"/>
        <v>2.3749745844059427</v>
      </c>
      <c r="S250" s="45">
        <f t="shared" si="74"/>
        <v>2.3749745844059427</v>
      </c>
      <c r="T250" s="205">
        <f t="shared" si="70"/>
        <v>2.6570870078549382</v>
      </c>
      <c r="U250" s="45">
        <f t="shared" si="71"/>
        <v>98.817338040534864</v>
      </c>
      <c r="V250" s="45">
        <f t="shared" si="72"/>
        <v>-90.895249703932464</v>
      </c>
      <c r="W250" s="488"/>
      <c r="X250" s="489"/>
      <c r="Y250" s="489"/>
      <c r="Z250" s="490"/>
      <c r="AA250" s="46"/>
    </row>
    <row r="251" spans="1:27" s="421" customFormat="1" x14ac:dyDescent="0.25">
      <c r="A251" s="581">
        <f t="shared" si="68"/>
        <v>0.43055397862249511</v>
      </c>
      <c r="B251" s="31">
        <f t="shared" si="58"/>
        <v>219</v>
      </c>
      <c r="C251" s="434">
        <f>'SOLLECITAZ NASCOSTO'!$D$6/'SOLLECITAZ NASCOSTO'!$B$448*'SOLLECITAZ NASCOSTO'!B251</f>
        <v>2.3858689632334928</v>
      </c>
      <c r="D251" s="434">
        <f t="shared" si="69"/>
        <v>0.55055397862249511</v>
      </c>
      <c r="E251" s="434">
        <f t="shared" si="63"/>
        <v>0.43055397862249511</v>
      </c>
      <c r="F251" s="434">
        <f t="shared" si="64"/>
        <v>0.43777727315919845</v>
      </c>
      <c r="G251" s="434">
        <f t="shared" si="65"/>
        <v>6.4193549340329406E-2</v>
      </c>
      <c r="H251" s="434">
        <f t="shared" si="59"/>
        <v>0</v>
      </c>
      <c r="I251" s="434">
        <v>0</v>
      </c>
      <c r="J251" s="127">
        <f t="shared" si="60"/>
        <v>0.14663518020723135</v>
      </c>
      <c r="K251" s="126">
        <f t="shared" si="66"/>
        <v>9.6429931528450794E-3</v>
      </c>
      <c r="L251" s="41">
        <f t="shared" si="61"/>
        <v>99.578552325041329</v>
      </c>
      <c r="M251" s="41">
        <f t="shared" si="62"/>
        <v>-91.975949697668312</v>
      </c>
      <c r="N251" s="41">
        <f>(IF(C250&lt;='SOLLECITAZ NASCOSTO'!$P$12,IF(C250&lt;='SOLLECITAZ NASCOSTO'!$P$11,IF(C250&lt;='SOLLECITAZ NASCOSTO'!$P$10,IF(C250&lt;='SOLLECITAZ NASCOSTO'!$P$9,IF(C250&lt;='SOLLECITAZ NASCOSTO'!$P$8,IF(C250&lt;='SOLLECITAZ NASCOSTO'!$P$7,IF(C250&lt;='SOLLECITAZ NASCOSTO'!$P$6,IF(C250&lt;='SOLLECITAZ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paramento'!$G$111),55555)-IF(C250&lt;='SOLLECITAZ NASCOSTO'!$P$12,IF(C250&lt;='SOLLECITAZ NASCOSTO'!$P$11,IF(C250&lt;='SOLLECITAZ NASCOSTO'!$P$10,IF(C250&lt;='SOLLECITAZ NASCOSTO'!$P$9,IF(C250&lt;='SOLLECITAZ NASCOSTO'!$P$8,IF(C250&lt;='SOLLECITAZ NASCOSTO'!$P$7,IF(C250&lt;='SOLLECITAZ NASCOSTO'!$P$6,IF(C250&lt;='SOLLECITAZ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paramento'!$G$111))*(C250-IF(C250&lt;='SOLLECITAZ NASCOSTO'!$P$12,IF(C250&lt;='SOLLECITAZ NASCOSTO'!$P$11,IF(C250&lt;='SOLLECITAZ NASCOSTO'!$P$10,IF(C250&lt;='SOLLECITAZ NASCOSTO'!$P$9,IF(C250&lt;='SOLLECITAZ NASCOSTO'!$P$8,IF(C250&lt;='SOLLECITAZ NASCOSTO'!$P$7,IF(C250&lt;='SOLLECITAZ NASCOSTO'!$P$6,IF(C250&lt;='SOLLECITAZ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NASCOSTO'!$P$12))/IF(C250&lt;='SOLLECITAZ NASCOSTO'!$P$12,IF(C250&lt;='SOLLECITAZ NASCOSTO'!$P$11,IF(C250&lt;='SOLLECITAZ NASCOSTO'!$P$10,IF(C250&lt;='SOLLECITAZ NASCOSTO'!$P$9,IF(C250&lt;='SOLLECITAZ NASCOSTO'!$P$8,IF(C250&lt;='SOLLECITAZ NASCOSTO'!$P$7,IF(C250&lt;='SOLLECITAZ NASCOSTO'!$P$6,IF(C250&lt;='SOLLECITAZ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paramento'!$C$111)+IF(C250&lt;='SOLLECITAZ NASCOSTO'!$P$12,IF(C250&lt;='SOLLECITAZ NASCOSTO'!$P$11,IF(C250&lt;='SOLLECITAZ NASCOSTO'!$P$10,IF(C250&lt;='SOLLECITAZ NASCOSTO'!$P$9,IF(C250&lt;='SOLLECITAZ NASCOSTO'!$P$8,IF(C250&lt;='SOLLECITAZ NASCOSTO'!$P$7,IF(C250&lt;='SOLLECITAZ NASCOSTO'!$P$6,IF(C250&lt;='SOLLECITAZ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69.743144794660608</v>
      </c>
      <c r="O251" s="41">
        <f>IF(C251&lt;='SOLLECITAZ NASCOSTO'!$P$12,IF(C251&lt;='SOLLECITAZ NASCOSTO'!$P$11,IF(C251&lt;='SOLLECITAZ NASCOSTO'!$P$10,IF(C251&lt;='SOLLECITAZ NASCOSTO'!$P$9,IF(C251&lt;='SOLLECITAZ NASCOSTO'!$P$8,IF(C251&lt;='SOLLECITAZ NASCOSTO'!$P$7,IF(C251&lt;='SOLLECITAZ NASCOSTO'!$P$6,IF(C251&lt;='SOLLECITAZ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paramento'!$G$110),55555)*(C251-C250)/IF(C251&lt;='SOLLECITAZ NASCOSTO'!$P$12,IF(C251&lt;='SOLLECITAZ NASCOSTO'!$P$11,IF(C251&lt;='SOLLECITAZ NASCOSTO'!$P$10,IF(C251&lt;='SOLLECITAZ NASCOSTO'!$P$9,IF(C251&lt;='SOLLECITAZ NASCOSTO'!$P$8,IF(C251&lt;='SOLLECITAZ NASCOSTO'!$P$7,IF(C251&lt;='SOLLECITAZ NASCOSTO'!$P$6,IF(C251&lt;='SOLLECITAZ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51" s="41">
        <f t="shared" si="75"/>
        <v>2.179999999999995E-4</v>
      </c>
      <c r="Q251" s="41">
        <f t="shared" si="73"/>
        <v>1</v>
      </c>
      <c r="R251" s="434">
        <f t="shared" si="67"/>
        <v>2.3858689632334928</v>
      </c>
      <c r="S251" s="45">
        <f t="shared" si="74"/>
        <v>2.3858689632334928</v>
      </c>
      <c r="T251" s="205">
        <f t="shared" si="70"/>
        <v>2.6461926290273881</v>
      </c>
      <c r="U251" s="45">
        <f t="shared" si="71"/>
        <v>99.578552325041329</v>
      </c>
      <c r="V251" s="45">
        <f t="shared" si="72"/>
        <v>-91.975949697668312</v>
      </c>
      <c r="W251" s="488"/>
      <c r="X251" s="489"/>
      <c r="Y251" s="489"/>
      <c r="Z251" s="490"/>
      <c r="AA251" s="46"/>
    </row>
    <row r="252" spans="1:27" s="421" customFormat="1" x14ac:dyDescent="0.25">
      <c r="A252" s="581">
        <f t="shared" si="68"/>
        <v>0.43212482137060426</v>
      </c>
      <c r="B252" s="31">
        <f t="shared" si="58"/>
        <v>220</v>
      </c>
      <c r="C252" s="434">
        <f>'SOLLECITAZ NASCOSTO'!$D$6/'SOLLECITAZ NASCOSTO'!$B$448*'SOLLECITAZ NASCOSTO'!B252</f>
        <v>2.396763342061043</v>
      </c>
      <c r="D252" s="434">
        <f t="shared" si="69"/>
        <v>0.55212482137060426</v>
      </c>
      <c r="E252" s="434">
        <f t="shared" si="63"/>
        <v>0.43212482137060426</v>
      </c>
      <c r="F252" s="434">
        <f t="shared" si="64"/>
        <v>0.43827994283859339</v>
      </c>
      <c r="G252" s="434">
        <f t="shared" si="65"/>
        <v>6.4470690939763473E-2</v>
      </c>
      <c r="H252" s="434">
        <f t="shared" si="59"/>
        <v>0</v>
      </c>
      <c r="I252" s="434">
        <v>0</v>
      </c>
      <c r="J252" s="127">
        <f t="shared" si="60"/>
        <v>0.14709934139857794</v>
      </c>
      <c r="K252" s="126">
        <f t="shared" si="66"/>
        <v>9.7252288382650848E-3</v>
      </c>
      <c r="L252" s="41">
        <f t="shared" si="61"/>
        <v>100.34257869852529</v>
      </c>
      <c r="M252" s="41">
        <f t="shared" si="62"/>
        <v>-93.064957966169828</v>
      </c>
      <c r="N252" s="41">
        <f>(IF(C251&lt;='SOLLECITAZ NASCOSTO'!$P$12,IF(C251&lt;='SOLLECITAZ NASCOSTO'!$P$11,IF(C251&lt;='SOLLECITAZ NASCOSTO'!$P$10,IF(C251&lt;='SOLLECITAZ NASCOSTO'!$P$9,IF(C251&lt;='SOLLECITAZ NASCOSTO'!$P$8,IF(C251&lt;='SOLLECITAZ NASCOSTO'!$P$7,IF(C251&lt;='SOLLECITAZ NASCOSTO'!$P$6,IF(C251&lt;='SOLLECITAZ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paramento'!$G$111),55555)-IF(C251&lt;='SOLLECITAZ NASCOSTO'!$P$12,IF(C251&lt;='SOLLECITAZ NASCOSTO'!$P$11,IF(C251&lt;='SOLLECITAZ NASCOSTO'!$P$10,IF(C251&lt;='SOLLECITAZ NASCOSTO'!$P$9,IF(C251&lt;='SOLLECITAZ NASCOSTO'!$P$8,IF(C251&lt;='SOLLECITAZ NASCOSTO'!$P$7,IF(C251&lt;='SOLLECITAZ NASCOSTO'!$P$6,IF(C251&lt;='SOLLECITAZ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paramento'!$G$111))*(C251-IF(C251&lt;='SOLLECITAZ NASCOSTO'!$P$12,IF(C251&lt;='SOLLECITAZ NASCOSTO'!$P$11,IF(C251&lt;='SOLLECITAZ NASCOSTO'!$P$10,IF(C251&lt;='SOLLECITAZ NASCOSTO'!$P$9,IF(C251&lt;='SOLLECITAZ NASCOSTO'!$P$8,IF(C251&lt;='SOLLECITAZ NASCOSTO'!$P$7,IF(C251&lt;='SOLLECITAZ NASCOSTO'!$P$6,IF(C251&lt;='SOLLECITAZ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NASCOSTO'!$P$12))/IF(C251&lt;='SOLLECITAZ NASCOSTO'!$P$12,IF(C251&lt;='SOLLECITAZ NASCOSTO'!$P$11,IF(C251&lt;='SOLLECITAZ NASCOSTO'!$P$10,IF(C251&lt;='SOLLECITAZ NASCOSTO'!$P$9,IF(C251&lt;='SOLLECITAZ NASCOSTO'!$P$8,IF(C251&lt;='SOLLECITAZ NASCOSTO'!$P$7,IF(C251&lt;='SOLLECITAZ NASCOSTO'!$P$6,IF(C251&lt;='SOLLECITAZ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paramento'!$C$111)+IF(C251&lt;='SOLLECITAZ NASCOSTO'!$P$12,IF(C251&lt;='SOLLECITAZ NASCOSTO'!$P$11,IF(C251&lt;='SOLLECITAZ NASCOSTO'!$P$10,IF(C251&lt;='SOLLECITAZ NASCOSTO'!$P$9,IF(C251&lt;='SOLLECITAZ NASCOSTO'!$P$8,IF(C251&lt;='SOLLECITAZ NASCOSTO'!$P$7,IF(C251&lt;='SOLLECITAZ NASCOSTO'!$P$6,IF(C251&lt;='SOLLECITAZ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70.001267724110022</v>
      </c>
      <c r="O252" s="41">
        <f>IF(C252&lt;='SOLLECITAZ NASCOSTO'!$P$12,IF(C252&lt;='SOLLECITAZ NASCOSTO'!$P$11,IF(C252&lt;='SOLLECITAZ NASCOSTO'!$P$10,IF(C252&lt;='SOLLECITAZ NASCOSTO'!$P$9,IF(C252&lt;='SOLLECITAZ NASCOSTO'!$P$8,IF(C252&lt;='SOLLECITAZ NASCOSTO'!$P$7,IF(C252&lt;='SOLLECITAZ NASCOSTO'!$P$6,IF(C252&lt;='SOLLECITAZ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paramento'!$G$110),55555)*(C252-C251)/IF(C252&lt;='SOLLECITAZ NASCOSTO'!$P$12,IF(C252&lt;='SOLLECITAZ NASCOSTO'!$P$11,IF(C252&lt;='SOLLECITAZ NASCOSTO'!$P$10,IF(C252&lt;='SOLLECITAZ NASCOSTO'!$P$9,IF(C252&lt;='SOLLECITAZ NASCOSTO'!$P$8,IF(C252&lt;='SOLLECITAZ NASCOSTO'!$P$7,IF(C252&lt;='SOLLECITAZ NASCOSTO'!$P$6,IF(C252&lt;='SOLLECITAZ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52" s="41">
        <f t="shared" si="75"/>
        <v>2.189999999999995E-4</v>
      </c>
      <c r="Q252" s="41">
        <f t="shared" si="73"/>
        <v>1</v>
      </c>
      <c r="R252" s="434">
        <f t="shared" si="67"/>
        <v>2.396763342061043</v>
      </c>
      <c r="S252" s="45">
        <f t="shared" si="74"/>
        <v>2.396763342061043</v>
      </c>
      <c r="T252" s="205">
        <f t="shared" si="70"/>
        <v>2.6352982501998379</v>
      </c>
      <c r="U252" s="45">
        <f t="shared" si="71"/>
        <v>100.34257869852529</v>
      </c>
      <c r="V252" s="45">
        <f t="shared" si="72"/>
        <v>-93.064957966169828</v>
      </c>
      <c r="W252" s="488"/>
      <c r="X252" s="489"/>
      <c r="Y252" s="489"/>
      <c r="Z252" s="490"/>
      <c r="AA252" s="46"/>
    </row>
    <row r="253" spans="1:27" s="421" customFormat="1" x14ac:dyDescent="0.25">
      <c r="A253" s="581">
        <f t="shared" si="68"/>
        <v>0.43369566411871341</v>
      </c>
      <c r="B253" s="31">
        <f t="shared" si="58"/>
        <v>221</v>
      </c>
      <c r="C253" s="434">
        <f>'SOLLECITAZ NASCOSTO'!$D$6/'SOLLECITAZ NASCOSTO'!$B$448*'SOLLECITAZ NASCOSTO'!B253</f>
        <v>2.4076577208885932</v>
      </c>
      <c r="D253" s="434">
        <f t="shared" si="69"/>
        <v>0.5536956641187134</v>
      </c>
      <c r="E253" s="434">
        <f t="shared" si="63"/>
        <v>0.43369566411871341</v>
      </c>
      <c r="F253" s="434">
        <f t="shared" si="64"/>
        <v>0.43878261251798828</v>
      </c>
      <c r="G253" s="434">
        <f t="shared" si="65"/>
        <v>6.4748622154218088E-2</v>
      </c>
      <c r="H253" s="434">
        <f t="shared" si="59"/>
        <v>0</v>
      </c>
      <c r="I253" s="434">
        <v>0</v>
      </c>
      <c r="J253" s="127">
        <f t="shared" si="60"/>
        <v>0.1475642386617215</v>
      </c>
      <c r="K253" s="126">
        <f t="shared" si="66"/>
        <v>9.8079150010467325E-3</v>
      </c>
      <c r="L253" s="41">
        <f t="shared" si="61"/>
        <v>101.10941716098675</v>
      </c>
      <c r="M253" s="41">
        <f t="shared" si="62"/>
        <v>-94.162305145399628</v>
      </c>
      <c r="N253" s="41">
        <f>(IF(C252&lt;='SOLLECITAZ NASCOSTO'!$P$12,IF(C252&lt;='SOLLECITAZ NASCOSTO'!$P$11,IF(C252&lt;='SOLLECITAZ NASCOSTO'!$P$10,IF(C252&lt;='SOLLECITAZ NASCOSTO'!$P$9,IF(C252&lt;='SOLLECITAZ NASCOSTO'!$P$8,IF(C252&lt;='SOLLECITAZ NASCOSTO'!$P$7,IF(C252&lt;='SOLLECITAZ NASCOSTO'!$P$6,IF(C252&lt;='SOLLECITAZ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paramento'!$G$111),55555)-IF(C252&lt;='SOLLECITAZ NASCOSTO'!$P$12,IF(C252&lt;='SOLLECITAZ NASCOSTO'!$P$11,IF(C252&lt;='SOLLECITAZ NASCOSTO'!$P$10,IF(C252&lt;='SOLLECITAZ NASCOSTO'!$P$9,IF(C252&lt;='SOLLECITAZ NASCOSTO'!$P$8,IF(C252&lt;='SOLLECITAZ NASCOSTO'!$P$7,IF(C252&lt;='SOLLECITAZ NASCOSTO'!$P$6,IF(C252&lt;='SOLLECITAZ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paramento'!$G$111))*(C252-IF(C252&lt;='SOLLECITAZ NASCOSTO'!$P$12,IF(C252&lt;='SOLLECITAZ NASCOSTO'!$P$11,IF(C252&lt;='SOLLECITAZ NASCOSTO'!$P$10,IF(C252&lt;='SOLLECITAZ NASCOSTO'!$P$9,IF(C252&lt;='SOLLECITAZ NASCOSTO'!$P$8,IF(C252&lt;='SOLLECITAZ NASCOSTO'!$P$7,IF(C252&lt;='SOLLECITAZ NASCOSTO'!$P$6,IF(C252&lt;='SOLLECITAZ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NASCOSTO'!$P$12))/IF(C252&lt;='SOLLECITAZ NASCOSTO'!$P$12,IF(C252&lt;='SOLLECITAZ NASCOSTO'!$P$11,IF(C252&lt;='SOLLECITAZ NASCOSTO'!$P$10,IF(C252&lt;='SOLLECITAZ NASCOSTO'!$P$9,IF(C252&lt;='SOLLECITAZ NASCOSTO'!$P$8,IF(C252&lt;='SOLLECITAZ NASCOSTO'!$P$7,IF(C252&lt;='SOLLECITAZ NASCOSTO'!$P$6,IF(C252&lt;='SOLLECITAZ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paramento'!$C$111)+IF(C252&lt;='SOLLECITAZ NASCOSTO'!$P$12,IF(C252&lt;='SOLLECITAZ NASCOSTO'!$P$11,IF(C252&lt;='SOLLECITAZ NASCOSTO'!$P$10,IF(C252&lt;='SOLLECITAZ NASCOSTO'!$P$9,IF(C252&lt;='SOLLECITAZ NASCOSTO'!$P$8,IF(C252&lt;='SOLLECITAZ NASCOSTO'!$P$7,IF(C252&lt;='SOLLECITAZ NASCOSTO'!$P$6,IF(C252&lt;='SOLLECITAZ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70.259390653559421</v>
      </c>
      <c r="O253" s="41">
        <f>IF(C253&lt;='SOLLECITAZ NASCOSTO'!$P$12,IF(C253&lt;='SOLLECITAZ NASCOSTO'!$P$11,IF(C253&lt;='SOLLECITAZ NASCOSTO'!$P$10,IF(C253&lt;='SOLLECITAZ NASCOSTO'!$P$9,IF(C253&lt;='SOLLECITAZ NASCOSTO'!$P$8,IF(C253&lt;='SOLLECITAZ NASCOSTO'!$P$7,IF(C253&lt;='SOLLECITAZ NASCOSTO'!$P$6,IF(C253&lt;='SOLLECITAZ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paramento'!$G$110),55555)*(C253-C252)/IF(C253&lt;='SOLLECITAZ NASCOSTO'!$P$12,IF(C253&lt;='SOLLECITAZ NASCOSTO'!$P$11,IF(C253&lt;='SOLLECITAZ NASCOSTO'!$P$10,IF(C253&lt;='SOLLECITAZ NASCOSTO'!$P$9,IF(C253&lt;='SOLLECITAZ NASCOSTO'!$P$8,IF(C253&lt;='SOLLECITAZ NASCOSTO'!$P$7,IF(C253&lt;='SOLLECITAZ NASCOSTO'!$P$6,IF(C253&lt;='SOLLECITAZ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53" s="41">
        <f t="shared" si="75"/>
        <v>2.1999999999999949E-4</v>
      </c>
      <c r="Q253" s="41">
        <f t="shared" si="73"/>
        <v>1</v>
      </c>
      <c r="R253" s="434">
        <f t="shared" si="67"/>
        <v>2.4076577208885932</v>
      </c>
      <c r="S253" s="45">
        <f t="shared" si="74"/>
        <v>2.4076577208885932</v>
      </c>
      <c r="T253" s="205">
        <f t="shared" si="70"/>
        <v>2.6244038713722877</v>
      </c>
      <c r="U253" s="45">
        <f t="shared" si="71"/>
        <v>101.10941716098675</v>
      </c>
      <c r="V253" s="45">
        <f t="shared" si="72"/>
        <v>-94.162305145399628</v>
      </c>
      <c r="W253" s="488"/>
      <c r="X253" s="489"/>
      <c r="Y253" s="489"/>
      <c r="Z253" s="490"/>
      <c r="AA253" s="46"/>
    </row>
    <row r="254" spans="1:27" s="421" customFormat="1" x14ac:dyDescent="0.25">
      <c r="A254" s="581">
        <f t="shared" si="68"/>
        <v>0.43526650686682267</v>
      </c>
      <c r="B254" s="31">
        <f t="shared" si="58"/>
        <v>222</v>
      </c>
      <c r="C254" s="434">
        <f>'SOLLECITAZ NASCOSTO'!$D$6/'SOLLECITAZ NASCOSTO'!$B$448*'SOLLECITAZ NASCOSTO'!B254</f>
        <v>2.4185520997161434</v>
      </c>
      <c r="D254" s="434">
        <f t="shared" si="69"/>
        <v>0.55526650686682266</v>
      </c>
      <c r="E254" s="434">
        <f t="shared" si="63"/>
        <v>0.43526650686682267</v>
      </c>
      <c r="F254" s="434">
        <f t="shared" si="64"/>
        <v>0.43928528219738328</v>
      </c>
      <c r="G254" s="434">
        <f t="shared" si="65"/>
        <v>6.5027342983693309E-2</v>
      </c>
      <c r="H254" s="434">
        <f t="shared" si="59"/>
        <v>0</v>
      </c>
      <c r="I254" s="434">
        <v>0</v>
      </c>
      <c r="J254" s="127">
        <f t="shared" si="60"/>
        <v>0.14802986946982369</v>
      </c>
      <c r="K254" s="126">
        <f t="shared" si="66"/>
        <v>9.8910525712241106E-3</v>
      </c>
      <c r="L254" s="41">
        <f t="shared" si="61"/>
        <v>101.87906771242571</v>
      </c>
      <c r="M254" s="41">
        <f t="shared" si="62"/>
        <v>-95.268021871320329</v>
      </c>
      <c r="N254" s="41">
        <f>(IF(C253&lt;='SOLLECITAZ NASCOSTO'!$P$12,IF(C253&lt;='SOLLECITAZ NASCOSTO'!$P$11,IF(C253&lt;='SOLLECITAZ NASCOSTO'!$P$10,IF(C253&lt;='SOLLECITAZ NASCOSTO'!$P$9,IF(C253&lt;='SOLLECITAZ NASCOSTO'!$P$8,IF(C253&lt;='SOLLECITAZ NASCOSTO'!$P$7,IF(C253&lt;='SOLLECITAZ NASCOSTO'!$P$6,IF(C253&lt;='SOLLECITAZ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paramento'!$G$111),55555)-IF(C253&lt;='SOLLECITAZ NASCOSTO'!$P$12,IF(C253&lt;='SOLLECITAZ NASCOSTO'!$P$11,IF(C253&lt;='SOLLECITAZ NASCOSTO'!$P$10,IF(C253&lt;='SOLLECITAZ NASCOSTO'!$P$9,IF(C253&lt;='SOLLECITAZ NASCOSTO'!$P$8,IF(C253&lt;='SOLLECITAZ NASCOSTO'!$P$7,IF(C253&lt;='SOLLECITAZ NASCOSTO'!$P$6,IF(C253&lt;='SOLLECITAZ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paramento'!$G$111))*(C253-IF(C253&lt;='SOLLECITAZ NASCOSTO'!$P$12,IF(C253&lt;='SOLLECITAZ NASCOSTO'!$P$11,IF(C253&lt;='SOLLECITAZ NASCOSTO'!$P$10,IF(C253&lt;='SOLLECITAZ NASCOSTO'!$P$9,IF(C253&lt;='SOLLECITAZ NASCOSTO'!$P$8,IF(C253&lt;='SOLLECITAZ NASCOSTO'!$P$7,IF(C253&lt;='SOLLECITAZ NASCOSTO'!$P$6,IF(C253&lt;='SOLLECITAZ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NASCOSTO'!$P$12))/IF(C253&lt;='SOLLECITAZ NASCOSTO'!$P$12,IF(C253&lt;='SOLLECITAZ NASCOSTO'!$P$11,IF(C253&lt;='SOLLECITAZ NASCOSTO'!$P$10,IF(C253&lt;='SOLLECITAZ NASCOSTO'!$P$9,IF(C253&lt;='SOLLECITAZ NASCOSTO'!$P$8,IF(C253&lt;='SOLLECITAZ NASCOSTO'!$P$7,IF(C253&lt;='SOLLECITAZ NASCOSTO'!$P$6,IF(C253&lt;='SOLLECITAZ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paramento'!$C$111)+IF(C253&lt;='SOLLECITAZ NASCOSTO'!$P$12,IF(C253&lt;='SOLLECITAZ NASCOSTO'!$P$11,IF(C253&lt;='SOLLECITAZ NASCOSTO'!$P$10,IF(C253&lt;='SOLLECITAZ NASCOSTO'!$P$9,IF(C253&lt;='SOLLECITAZ NASCOSTO'!$P$8,IF(C253&lt;='SOLLECITAZ NASCOSTO'!$P$7,IF(C253&lt;='SOLLECITAZ NASCOSTO'!$P$6,IF(C253&lt;='SOLLECITAZ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70.517513583008821</v>
      </c>
      <c r="O254" s="41">
        <f>IF(C254&lt;='SOLLECITAZ NASCOSTO'!$P$12,IF(C254&lt;='SOLLECITAZ NASCOSTO'!$P$11,IF(C254&lt;='SOLLECITAZ NASCOSTO'!$P$10,IF(C254&lt;='SOLLECITAZ NASCOSTO'!$P$9,IF(C254&lt;='SOLLECITAZ NASCOSTO'!$P$8,IF(C254&lt;='SOLLECITAZ NASCOSTO'!$P$7,IF(C254&lt;='SOLLECITAZ NASCOSTO'!$P$6,IF(C254&lt;='SOLLECITAZ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paramento'!$G$110),55555)*(C254-C253)/IF(C254&lt;='SOLLECITAZ NASCOSTO'!$P$12,IF(C254&lt;='SOLLECITAZ NASCOSTO'!$P$11,IF(C254&lt;='SOLLECITAZ NASCOSTO'!$P$10,IF(C254&lt;='SOLLECITAZ NASCOSTO'!$P$9,IF(C254&lt;='SOLLECITAZ NASCOSTO'!$P$8,IF(C254&lt;='SOLLECITAZ NASCOSTO'!$P$7,IF(C254&lt;='SOLLECITAZ NASCOSTO'!$P$6,IF(C254&lt;='SOLLECITAZ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54" s="41">
        <f t="shared" si="75"/>
        <v>2.2099999999999949E-4</v>
      </c>
      <c r="Q254" s="41">
        <f t="shared" si="73"/>
        <v>1</v>
      </c>
      <c r="R254" s="434">
        <f t="shared" si="67"/>
        <v>2.4185520997161434</v>
      </c>
      <c r="S254" s="45">
        <f t="shared" si="74"/>
        <v>2.4185520997161434</v>
      </c>
      <c r="T254" s="205">
        <f t="shared" si="70"/>
        <v>2.6135094925447375</v>
      </c>
      <c r="U254" s="45">
        <f t="shared" si="71"/>
        <v>101.87906771242571</v>
      </c>
      <c r="V254" s="45">
        <f t="shared" si="72"/>
        <v>-95.268021871320329</v>
      </c>
      <c r="W254" s="488"/>
      <c r="X254" s="489"/>
      <c r="Y254" s="489"/>
      <c r="Z254" s="490"/>
      <c r="AA254" s="46"/>
    </row>
    <row r="255" spans="1:27" s="421" customFormat="1" x14ac:dyDescent="0.25">
      <c r="A255" s="581">
        <f t="shared" si="68"/>
        <v>0.43683734961493181</v>
      </c>
      <c r="B255" s="31">
        <f t="shared" ref="B255:B318" si="76">B254+1</f>
        <v>223</v>
      </c>
      <c r="C255" s="434">
        <f>'SOLLECITAZ NASCOSTO'!$D$6/'SOLLECITAZ NASCOSTO'!$B$448*'SOLLECITAZ NASCOSTO'!B255</f>
        <v>2.4294464785436936</v>
      </c>
      <c r="D255" s="434">
        <f t="shared" si="69"/>
        <v>0.55683734961493181</v>
      </c>
      <c r="E255" s="434">
        <f t="shared" si="63"/>
        <v>0.43683734961493181</v>
      </c>
      <c r="F255" s="434">
        <f t="shared" si="64"/>
        <v>0.43978795187677816</v>
      </c>
      <c r="G255" s="434">
        <f t="shared" si="65"/>
        <v>6.5306853428189079E-2</v>
      </c>
      <c r="H255" s="434">
        <f t="shared" ref="H255:H318" si="77">I255*F255</f>
        <v>0</v>
      </c>
      <c r="I255" s="434">
        <v>0</v>
      </c>
      <c r="J255" s="127">
        <f t="shared" ref="J255:J318" si="78">G255/F255</f>
        <v>0.14849623130759856</v>
      </c>
      <c r="K255" s="126">
        <f t="shared" si="66"/>
        <v>9.9746424774146379E-3</v>
      </c>
      <c r="L255" s="41">
        <f t="shared" ref="L255:L318" si="79">L254+N255*(C255-C254)+O255*(C255-C254)/2</f>
        <v>102.65153035284217</v>
      </c>
      <c r="M255" s="41">
        <f t="shared" ref="M255:M318" si="80">M254-(L255+L254)*(C255-C254)/2</f>
        <v>-96.382138779894547</v>
      </c>
      <c r="N255" s="41">
        <f>(IF(C254&lt;='SOLLECITAZ NASCOSTO'!$P$12,IF(C254&lt;='SOLLECITAZ NASCOSTO'!$P$11,IF(C254&lt;='SOLLECITAZ NASCOSTO'!$P$10,IF(C254&lt;='SOLLECITAZ NASCOSTO'!$P$9,IF(C254&lt;='SOLLECITAZ NASCOSTO'!$P$8,IF(C254&lt;='SOLLECITAZ NASCOSTO'!$P$7,IF(C254&lt;='SOLLECITAZ NASCOSTO'!$P$6,IF(C254&lt;='SOLLECITAZ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paramento'!$G$111),55555)-IF(C254&lt;='SOLLECITAZ NASCOSTO'!$P$12,IF(C254&lt;='SOLLECITAZ NASCOSTO'!$P$11,IF(C254&lt;='SOLLECITAZ NASCOSTO'!$P$10,IF(C254&lt;='SOLLECITAZ NASCOSTO'!$P$9,IF(C254&lt;='SOLLECITAZ NASCOSTO'!$P$8,IF(C254&lt;='SOLLECITAZ NASCOSTO'!$P$7,IF(C254&lt;='SOLLECITAZ NASCOSTO'!$P$6,IF(C254&lt;='SOLLECITAZ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paramento'!$G$111))*(C254-IF(C254&lt;='SOLLECITAZ NASCOSTO'!$P$12,IF(C254&lt;='SOLLECITAZ NASCOSTO'!$P$11,IF(C254&lt;='SOLLECITAZ NASCOSTO'!$P$10,IF(C254&lt;='SOLLECITAZ NASCOSTO'!$P$9,IF(C254&lt;='SOLLECITAZ NASCOSTO'!$P$8,IF(C254&lt;='SOLLECITAZ NASCOSTO'!$P$7,IF(C254&lt;='SOLLECITAZ NASCOSTO'!$P$6,IF(C254&lt;='SOLLECITAZ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NASCOSTO'!$P$12))/IF(C254&lt;='SOLLECITAZ NASCOSTO'!$P$12,IF(C254&lt;='SOLLECITAZ NASCOSTO'!$P$11,IF(C254&lt;='SOLLECITAZ NASCOSTO'!$P$10,IF(C254&lt;='SOLLECITAZ NASCOSTO'!$P$9,IF(C254&lt;='SOLLECITAZ NASCOSTO'!$P$8,IF(C254&lt;='SOLLECITAZ NASCOSTO'!$P$7,IF(C254&lt;='SOLLECITAZ NASCOSTO'!$P$6,IF(C254&lt;='SOLLECITAZ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paramento'!$C$111)+IF(C254&lt;='SOLLECITAZ NASCOSTO'!$P$12,IF(C254&lt;='SOLLECITAZ NASCOSTO'!$P$11,IF(C254&lt;='SOLLECITAZ NASCOSTO'!$P$10,IF(C254&lt;='SOLLECITAZ NASCOSTO'!$P$9,IF(C254&lt;='SOLLECITAZ NASCOSTO'!$P$8,IF(C254&lt;='SOLLECITAZ NASCOSTO'!$P$7,IF(C254&lt;='SOLLECITAZ NASCOSTO'!$P$6,IF(C254&lt;='SOLLECITAZ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70.77563651245822</v>
      </c>
      <c r="O255" s="41">
        <f>IF(C255&lt;='SOLLECITAZ NASCOSTO'!$P$12,IF(C255&lt;='SOLLECITAZ NASCOSTO'!$P$11,IF(C255&lt;='SOLLECITAZ NASCOSTO'!$P$10,IF(C255&lt;='SOLLECITAZ NASCOSTO'!$P$9,IF(C255&lt;='SOLLECITAZ NASCOSTO'!$P$8,IF(C255&lt;='SOLLECITAZ NASCOSTO'!$P$7,IF(C255&lt;='SOLLECITAZ NASCOSTO'!$P$6,IF(C255&lt;='SOLLECITAZ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paramento'!$G$110),55555)*(C255-C254)/IF(C255&lt;='SOLLECITAZ NASCOSTO'!$P$12,IF(C255&lt;='SOLLECITAZ NASCOSTO'!$P$11,IF(C255&lt;='SOLLECITAZ NASCOSTO'!$P$10,IF(C255&lt;='SOLLECITAZ NASCOSTO'!$P$9,IF(C255&lt;='SOLLECITAZ NASCOSTO'!$P$8,IF(C255&lt;='SOLLECITAZ NASCOSTO'!$P$7,IF(C255&lt;='SOLLECITAZ NASCOSTO'!$P$6,IF(C255&lt;='SOLLECITAZ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55" s="41">
        <f t="shared" si="75"/>
        <v>2.2199999999999949E-4</v>
      </c>
      <c r="Q255" s="41">
        <f t="shared" si="73"/>
        <v>1</v>
      </c>
      <c r="R255" s="434">
        <f t="shared" si="67"/>
        <v>2.4294464785436936</v>
      </c>
      <c r="S255" s="45">
        <f t="shared" si="74"/>
        <v>2.4294464785436936</v>
      </c>
      <c r="T255" s="205">
        <f t="shared" si="70"/>
        <v>2.6026151137171873</v>
      </c>
      <c r="U255" s="45">
        <f t="shared" si="71"/>
        <v>102.65153035284217</v>
      </c>
      <c r="V255" s="45">
        <f t="shared" si="72"/>
        <v>-96.382138779894547</v>
      </c>
      <c r="W255" s="488"/>
      <c r="X255" s="489"/>
      <c r="Y255" s="489"/>
      <c r="Z255" s="490"/>
      <c r="AA255" s="46"/>
    </row>
    <row r="256" spans="1:27" s="421" customFormat="1" x14ac:dyDescent="0.25">
      <c r="A256" s="581">
        <f t="shared" si="68"/>
        <v>0.43840819236304096</v>
      </c>
      <c r="B256" s="31">
        <f t="shared" si="76"/>
        <v>224</v>
      </c>
      <c r="C256" s="434">
        <f>'SOLLECITAZ NASCOSTO'!$D$6/'SOLLECITAZ NASCOSTO'!$B$448*'SOLLECITAZ NASCOSTO'!B256</f>
        <v>2.4403408573712437</v>
      </c>
      <c r="D256" s="434">
        <f t="shared" si="69"/>
        <v>0.55840819236304096</v>
      </c>
      <c r="E256" s="434">
        <f t="shared" si="63"/>
        <v>0.43840819236304096</v>
      </c>
      <c r="F256" s="434">
        <f t="shared" si="64"/>
        <v>0.4402906215561731</v>
      </c>
      <c r="G256" s="434">
        <f t="shared" si="65"/>
        <v>6.5587153487705427E-2</v>
      </c>
      <c r="H256" s="434">
        <f t="shared" si="77"/>
        <v>0</v>
      </c>
      <c r="I256" s="434">
        <v>0</v>
      </c>
      <c r="J256" s="127">
        <f t="shared" si="78"/>
        <v>0.14896332167124685</v>
      </c>
      <c r="K256" s="126">
        <f t="shared" si="66"/>
        <v>1.0058685646827241E-2</v>
      </c>
      <c r="L256" s="41">
        <f t="shared" si="79"/>
        <v>103.42680508223613</v>
      </c>
      <c r="M256" s="41">
        <f t="shared" si="80"/>
        <v>-97.504686507084898</v>
      </c>
      <c r="N256" s="41">
        <f>(IF(C255&lt;='SOLLECITAZ NASCOSTO'!$P$12,IF(C255&lt;='SOLLECITAZ NASCOSTO'!$P$11,IF(C255&lt;='SOLLECITAZ NASCOSTO'!$P$10,IF(C255&lt;='SOLLECITAZ NASCOSTO'!$P$9,IF(C255&lt;='SOLLECITAZ NASCOSTO'!$P$8,IF(C255&lt;='SOLLECITAZ NASCOSTO'!$P$7,IF(C255&lt;='SOLLECITAZ NASCOSTO'!$P$6,IF(C255&lt;='SOLLECITAZ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paramento'!$G$111),55555)-IF(C255&lt;='SOLLECITAZ NASCOSTO'!$P$12,IF(C255&lt;='SOLLECITAZ NASCOSTO'!$P$11,IF(C255&lt;='SOLLECITAZ NASCOSTO'!$P$10,IF(C255&lt;='SOLLECITAZ NASCOSTO'!$P$9,IF(C255&lt;='SOLLECITAZ NASCOSTO'!$P$8,IF(C255&lt;='SOLLECITAZ NASCOSTO'!$P$7,IF(C255&lt;='SOLLECITAZ NASCOSTO'!$P$6,IF(C255&lt;='SOLLECITAZ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paramento'!$G$111))*(C255-IF(C255&lt;='SOLLECITAZ NASCOSTO'!$P$12,IF(C255&lt;='SOLLECITAZ NASCOSTO'!$P$11,IF(C255&lt;='SOLLECITAZ NASCOSTO'!$P$10,IF(C255&lt;='SOLLECITAZ NASCOSTO'!$P$9,IF(C255&lt;='SOLLECITAZ NASCOSTO'!$P$8,IF(C255&lt;='SOLLECITAZ NASCOSTO'!$P$7,IF(C255&lt;='SOLLECITAZ NASCOSTO'!$P$6,IF(C255&lt;='SOLLECITAZ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NASCOSTO'!$P$12))/IF(C255&lt;='SOLLECITAZ NASCOSTO'!$P$12,IF(C255&lt;='SOLLECITAZ NASCOSTO'!$P$11,IF(C255&lt;='SOLLECITAZ NASCOSTO'!$P$10,IF(C255&lt;='SOLLECITAZ NASCOSTO'!$P$9,IF(C255&lt;='SOLLECITAZ NASCOSTO'!$P$8,IF(C255&lt;='SOLLECITAZ NASCOSTO'!$P$7,IF(C255&lt;='SOLLECITAZ NASCOSTO'!$P$6,IF(C255&lt;='SOLLECITAZ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paramento'!$C$111)+IF(C255&lt;='SOLLECITAZ NASCOSTO'!$P$12,IF(C255&lt;='SOLLECITAZ NASCOSTO'!$P$11,IF(C255&lt;='SOLLECITAZ NASCOSTO'!$P$10,IF(C255&lt;='SOLLECITAZ NASCOSTO'!$P$9,IF(C255&lt;='SOLLECITAZ NASCOSTO'!$P$8,IF(C255&lt;='SOLLECITAZ NASCOSTO'!$P$7,IF(C255&lt;='SOLLECITAZ NASCOSTO'!$P$6,IF(C255&lt;='SOLLECITAZ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71.033759441907634</v>
      </c>
      <c r="O256" s="41">
        <f>IF(C256&lt;='SOLLECITAZ NASCOSTO'!$P$12,IF(C256&lt;='SOLLECITAZ NASCOSTO'!$P$11,IF(C256&lt;='SOLLECITAZ NASCOSTO'!$P$10,IF(C256&lt;='SOLLECITAZ NASCOSTO'!$P$9,IF(C256&lt;='SOLLECITAZ NASCOSTO'!$P$8,IF(C256&lt;='SOLLECITAZ NASCOSTO'!$P$7,IF(C256&lt;='SOLLECITAZ NASCOSTO'!$P$6,IF(C256&lt;='SOLLECITAZ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paramento'!$G$110),55555)*(C256-C255)/IF(C256&lt;='SOLLECITAZ NASCOSTO'!$P$12,IF(C256&lt;='SOLLECITAZ NASCOSTO'!$P$11,IF(C256&lt;='SOLLECITAZ NASCOSTO'!$P$10,IF(C256&lt;='SOLLECITAZ NASCOSTO'!$P$9,IF(C256&lt;='SOLLECITAZ NASCOSTO'!$P$8,IF(C256&lt;='SOLLECITAZ NASCOSTO'!$P$7,IF(C256&lt;='SOLLECITAZ NASCOSTO'!$P$6,IF(C256&lt;='SOLLECITAZ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56" s="41">
        <f t="shared" si="75"/>
        <v>2.2299999999999948E-4</v>
      </c>
      <c r="Q256" s="41">
        <f t="shared" si="73"/>
        <v>1</v>
      </c>
      <c r="R256" s="434">
        <f t="shared" si="67"/>
        <v>2.4403408573712437</v>
      </c>
      <c r="S256" s="45">
        <f t="shared" si="74"/>
        <v>2.4403408573712437</v>
      </c>
      <c r="T256" s="205">
        <f t="shared" si="70"/>
        <v>2.5917207348896372</v>
      </c>
      <c r="U256" s="45">
        <f t="shared" si="71"/>
        <v>103.42680508223613</v>
      </c>
      <c r="V256" s="45">
        <f t="shared" si="72"/>
        <v>-97.504686507084898</v>
      </c>
      <c r="W256" s="488"/>
      <c r="X256" s="489"/>
      <c r="Y256" s="489"/>
      <c r="Z256" s="490"/>
      <c r="AA256" s="46"/>
    </row>
    <row r="257" spans="1:27" s="421" customFormat="1" x14ac:dyDescent="0.25">
      <c r="A257" s="581">
        <f t="shared" si="68"/>
        <v>0.43997903511115011</v>
      </c>
      <c r="B257" s="31">
        <f t="shared" si="76"/>
        <v>225</v>
      </c>
      <c r="C257" s="434">
        <f>'SOLLECITAZ NASCOSTO'!$D$6/'SOLLECITAZ NASCOSTO'!$B$448*'SOLLECITAZ NASCOSTO'!B257</f>
        <v>2.4512352361987939</v>
      </c>
      <c r="D257" s="434">
        <f t="shared" si="69"/>
        <v>0.5599790351111501</v>
      </c>
      <c r="E257" s="434">
        <f t="shared" si="63"/>
        <v>0.43997903511115011</v>
      </c>
      <c r="F257" s="434">
        <f t="shared" si="64"/>
        <v>0.44079329123556799</v>
      </c>
      <c r="G257" s="434">
        <f t="shared" si="65"/>
        <v>6.5868243162242338E-2</v>
      </c>
      <c r="H257" s="434">
        <f t="shared" si="77"/>
        <v>0</v>
      </c>
      <c r="I257" s="434">
        <v>0</v>
      </c>
      <c r="J257" s="127">
        <f t="shared" si="78"/>
        <v>0.14943113806839031</v>
      </c>
      <c r="K257" s="126">
        <f t="shared" si="66"/>
        <v>1.0143183005270303E-2</v>
      </c>
      <c r="L257" s="41">
        <f t="shared" si="79"/>
        <v>104.20489190060759</v>
      </c>
      <c r="M257" s="41">
        <f t="shared" si="80"/>
        <v>-98.635695688854</v>
      </c>
      <c r="N257" s="41">
        <f>(IF(C256&lt;='SOLLECITAZ NASCOSTO'!$P$12,IF(C256&lt;='SOLLECITAZ NASCOSTO'!$P$11,IF(C256&lt;='SOLLECITAZ NASCOSTO'!$P$10,IF(C256&lt;='SOLLECITAZ NASCOSTO'!$P$9,IF(C256&lt;='SOLLECITAZ NASCOSTO'!$P$8,IF(C256&lt;='SOLLECITAZ NASCOSTO'!$P$7,IF(C256&lt;='SOLLECITAZ NASCOSTO'!$P$6,IF(C256&lt;='SOLLECITAZ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paramento'!$G$111),55555)-IF(C256&lt;='SOLLECITAZ NASCOSTO'!$P$12,IF(C256&lt;='SOLLECITAZ NASCOSTO'!$P$11,IF(C256&lt;='SOLLECITAZ NASCOSTO'!$P$10,IF(C256&lt;='SOLLECITAZ NASCOSTO'!$P$9,IF(C256&lt;='SOLLECITAZ NASCOSTO'!$P$8,IF(C256&lt;='SOLLECITAZ NASCOSTO'!$P$7,IF(C256&lt;='SOLLECITAZ NASCOSTO'!$P$6,IF(C256&lt;='SOLLECITAZ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paramento'!$G$111))*(C256-IF(C256&lt;='SOLLECITAZ NASCOSTO'!$P$12,IF(C256&lt;='SOLLECITAZ NASCOSTO'!$P$11,IF(C256&lt;='SOLLECITAZ NASCOSTO'!$P$10,IF(C256&lt;='SOLLECITAZ NASCOSTO'!$P$9,IF(C256&lt;='SOLLECITAZ NASCOSTO'!$P$8,IF(C256&lt;='SOLLECITAZ NASCOSTO'!$P$7,IF(C256&lt;='SOLLECITAZ NASCOSTO'!$P$6,IF(C256&lt;='SOLLECITAZ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NASCOSTO'!$P$12))/IF(C256&lt;='SOLLECITAZ NASCOSTO'!$P$12,IF(C256&lt;='SOLLECITAZ NASCOSTO'!$P$11,IF(C256&lt;='SOLLECITAZ NASCOSTO'!$P$10,IF(C256&lt;='SOLLECITAZ NASCOSTO'!$P$9,IF(C256&lt;='SOLLECITAZ NASCOSTO'!$P$8,IF(C256&lt;='SOLLECITAZ NASCOSTO'!$P$7,IF(C256&lt;='SOLLECITAZ NASCOSTO'!$P$6,IF(C256&lt;='SOLLECITAZ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paramento'!$C$111)+IF(C256&lt;='SOLLECITAZ NASCOSTO'!$P$12,IF(C256&lt;='SOLLECITAZ NASCOSTO'!$P$11,IF(C256&lt;='SOLLECITAZ NASCOSTO'!$P$10,IF(C256&lt;='SOLLECITAZ NASCOSTO'!$P$9,IF(C256&lt;='SOLLECITAZ NASCOSTO'!$P$8,IF(C256&lt;='SOLLECITAZ NASCOSTO'!$P$7,IF(C256&lt;='SOLLECITAZ NASCOSTO'!$P$6,IF(C256&lt;='SOLLECITAZ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71.291882371357048</v>
      </c>
      <c r="O257" s="41">
        <f>IF(C257&lt;='SOLLECITAZ NASCOSTO'!$P$12,IF(C257&lt;='SOLLECITAZ NASCOSTO'!$P$11,IF(C257&lt;='SOLLECITAZ NASCOSTO'!$P$10,IF(C257&lt;='SOLLECITAZ NASCOSTO'!$P$9,IF(C257&lt;='SOLLECITAZ NASCOSTO'!$P$8,IF(C257&lt;='SOLLECITAZ NASCOSTO'!$P$7,IF(C257&lt;='SOLLECITAZ NASCOSTO'!$P$6,IF(C257&lt;='SOLLECITAZ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paramento'!$G$110),55555)*(C257-C256)/IF(C257&lt;='SOLLECITAZ NASCOSTO'!$P$12,IF(C257&lt;='SOLLECITAZ NASCOSTO'!$P$11,IF(C257&lt;='SOLLECITAZ NASCOSTO'!$P$10,IF(C257&lt;='SOLLECITAZ NASCOSTO'!$P$9,IF(C257&lt;='SOLLECITAZ NASCOSTO'!$P$8,IF(C257&lt;='SOLLECITAZ NASCOSTO'!$P$7,IF(C257&lt;='SOLLECITAZ NASCOSTO'!$P$6,IF(C257&lt;='SOLLECITAZ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57" s="41">
        <f t="shared" si="75"/>
        <v>2.2399999999999948E-4</v>
      </c>
      <c r="Q257" s="41">
        <f t="shared" si="73"/>
        <v>1</v>
      </c>
      <c r="R257" s="434">
        <f t="shared" si="67"/>
        <v>2.4512352361987939</v>
      </c>
      <c r="S257" s="45">
        <f t="shared" si="74"/>
        <v>2.4512352361987939</v>
      </c>
      <c r="T257" s="205">
        <f t="shared" si="70"/>
        <v>2.580826356062087</v>
      </c>
      <c r="U257" s="45">
        <f t="shared" si="71"/>
        <v>104.20489190060759</v>
      </c>
      <c r="V257" s="45">
        <f t="shared" si="72"/>
        <v>-98.635695688854</v>
      </c>
      <c r="W257" s="488"/>
      <c r="X257" s="489"/>
      <c r="Y257" s="489"/>
      <c r="Z257" s="490"/>
      <c r="AA257" s="46"/>
    </row>
    <row r="258" spans="1:27" s="421" customFormat="1" x14ac:dyDescent="0.25">
      <c r="A258" s="581">
        <f t="shared" si="68"/>
        <v>0.44154987785925925</v>
      </c>
      <c r="B258" s="31">
        <f t="shared" si="76"/>
        <v>226</v>
      </c>
      <c r="C258" s="434">
        <f>'SOLLECITAZ NASCOSTO'!$D$6/'SOLLECITAZ NASCOSTO'!$B$448*'SOLLECITAZ NASCOSTO'!B258</f>
        <v>2.4621296150263441</v>
      </c>
      <c r="D258" s="434">
        <f t="shared" si="69"/>
        <v>0.56154987785925925</v>
      </c>
      <c r="E258" s="434">
        <f t="shared" si="63"/>
        <v>0.44154987785925925</v>
      </c>
      <c r="F258" s="434">
        <f t="shared" si="64"/>
        <v>0.44129596091496293</v>
      </c>
      <c r="G258" s="434">
        <f t="shared" si="65"/>
        <v>6.6150122451799839E-2</v>
      </c>
      <c r="H258" s="434">
        <f t="shared" si="77"/>
        <v>0</v>
      </c>
      <c r="I258" s="434">
        <v>0</v>
      </c>
      <c r="J258" s="127">
        <f t="shared" si="78"/>
        <v>0.14989967801800677</v>
      </c>
      <c r="K258" s="126">
        <f t="shared" si="66"/>
        <v>1.0228135477159693E-2</v>
      </c>
      <c r="L258" s="41">
        <f t="shared" si="79"/>
        <v>104.98579080795655</v>
      </c>
      <c r="M258" s="41">
        <f t="shared" si="80"/>
        <v>-99.775196961164468</v>
      </c>
      <c r="N258" s="41">
        <f>(IF(C257&lt;='SOLLECITAZ NASCOSTO'!$P$12,IF(C257&lt;='SOLLECITAZ NASCOSTO'!$P$11,IF(C257&lt;='SOLLECITAZ NASCOSTO'!$P$10,IF(C257&lt;='SOLLECITAZ NASCOSTO'!$P$9,IF(C257&lt;='SOLLECITAZ NASCOSTO'!$P$8,IF(C257&lt;='SOLLECITAZ NASCOSTO'!$P$7,IF(C257&lt;='SOLLECITAZ NASCOSTO'!$P$6,IF(C257&lt;='SOLLECITAZ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paramento'!$G$111),55555)-IF(C257&lt;='SOLLECITAZ NASCOSTO'!$P$12,IF(C257&lt;='SOLLECITAZ NASCOSTO'!$P$11,IF(C257&lt;='SOLLECITAZ NASCOSTO'!$P$10,IF(C257&lt;='SOLLECITAZ NASCOSTO'!$P$9,IF(C257&lt;='SOLLECITAZ NASCOSTO'!$P$8,IF(C257&lt;='SOLLECITAZ NASCOSTO'!$P$7,IF(C257&lt;='SOLLECITAZ NASCOSTO'!$P$6,IF(C257&lt;='SOLLECITAZ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paramento'!$G$111))*(C257-IF(C257&lt;='SOLLECITAZ NASCOSTO'!$P$12,IF(C257&lt;='SOLLECITAZ NASCOSTO'!$P$11,IF(C257&lt;='SOLLECITAZ NASCOSTO'!$P$10,IF(C257&lt;='SOLLECITAZ NASCOSTO'!$P$9,IF(C257&lt;='SOLLECITAZ NASCOSTO'!$P$8,IF(C257&lt;='SOLLECITAZ NASCOSTO'!$P$7,IF(C257&lt;='SOLLECITAZ NASCOSTO'!$P$6,IF(C257&lt;='SOLLECITAZ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NASCOSTO'!$P$12))/IF(C257&lt;='SOLLECITAZ NASCOSTO'!$P$12,IF(C257&lt;='SOLLECITAZ NASCOSTO'!$P$11,IF(C257&lt;='SOLLECITAZ NASCOSTO'!$P$10,IF(C257&lt;='SOLLECITAZ NASCOSTO'!$P$9,IF(C257&lt;='SOLLECITAZ NASCOSTO'!$P$8,IF(C257&lt;='SOLLECITAZ NASCOSTO'!$P$7,IF(C257&lt;='SOLLECITAZ NASCOSTO'!$P$6,IF(C257&lt;='SOLLECITAZ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paramento'!$C$111)+IF(C257&lt;='SOLLECITAZ NASCOSTO'!$P$12,IF(C257&lt;='SOLLECITAZ NASCOSTO'!$P$11,IF(C257&lt;='SOLLECITAZ NASCOSTO'!$P$10,IF(C257&lt;='SOLLECITAZ NASCOSTO'!$P$9,IF(C257&lt;='SOLLECITAZ NASCOSTO'!$P$8,IF(C257&lt;='SOLLECITAZ NASCOSTO'!$P$7,IF(C257&lt;='SOLLECITAZ NASCOSTO'!$P$6,IF(C257&lt;='SOLLECITAZ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71.550005300806447</v>
      </c>
      <c r="O258" s="41">
        <f>IF(C258&lt;='SOLLECITAZ NASCOSTO'!$P$12,IF(C258&lt;='SOLLECITAZ NASCOSTO'!$P$11,IF(C258&lt;='SOLLECITAZ NASCOSTO'!$P$10,IF(C258&lt;='SOLLECITAZ NASCOSTO'!$P$9,IF(C258&lt;='SOLLECITAZ NASCOSTO'!$P$8,IF(C258&lt;='SOLLECITAZ NASCOSTO'!$P$7,IF(C258&lt;='SOLLECITAZ NASCOSTO'!$P$6,IF(C258&lt;='SOLLECITAZ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paramento'!$G$110),55555)*(C258-C257)/IF(C258&lt;='SOLLECITAZ NASCOSTO'!$P$12,IF(C258&lt;='SOLLECITAZ NASCOSTO'!$P$11,IF(C258&lt;='SOLLECITAZ NASCOSTO'!$P$10,IF(C258&lt;='SOLLECITAZ NASCOSTO'!$P$9,IF(C258&lt;='SOLLECITAZ NASCOSTO'!$P$8,IF(C258&lt;='SOLLECITAZ NASCOSTO'!$P$7,IF(C258&lt;='SOLLECITAZ NASCOSTO'!$P$6,IF(C258&lt;='SOLLECITAZ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58" s="41">
        <f t="shared" si="75"/>
        <v>2.2499999999999948E-4</v>
      </c>
      <c r="Q258" s="41">
        <f t="shared" si="73"/>
        <v>1</v>
      </c>
      <c r="R258" s="434">
        <f t="shared" si="67"/>
        <v>2.4621296150263441</v>
      </c>
      <c r="S258" s="45">
        <f t="shared" si="74"/>
        <v>2.4621296150263441</v>
      </c>
      <c r="T258" s="205">
        <f t="shared" si="70"/>
        <v>2.5699319772345368</v>
      </c>
      <c r="U258" s="45">
        <f t="shared" si="71"/>
        <v>104.98579080795655</v>
      </c>
      <c r="V258" s="45">
        <f t="shared" si="72"/>
        <v>-99.775196961164468</v>
      </c>
      <c r="W258" s="488"/>
      <c r="X258" s="489"/>
      <c r="Y258" s="489"/>
      <c r="Z258" s="490"/>
      <c r="AA258" s="46"/>
    </row>
    <row r="259" spans="1:27" s="421" customFormat="1" x14ac:dyDescent="0.25">
      <c r="A259" s="581">
        <f t="shared" si="68"/>
        <v>0.4431207206073684</v>
      </c>
      <c r="B259" s="31">
        <f t="shared" si="76"/>
        <v>227</v>
      </c>
      <c r="C259" s="434">
        <f>'SOLLECITAZ NASCOSTO'!$D$6/'SOLLECITAZ NASCOSTO'!$B$448*'SOLLECITAZ NASCOSTO'!B259</f>
        <v>2.4730239938538943</v>
      </c>
      <c r="D259" s="434">
        <f t="shared" si="69"/>
        <v>0.5631207206073684</v>
      </c>
      <c r="E259" s="434">
        <f t="shared" si="63"/>
        <v>0.4431207206073684</v>
      </c>
      <c r="F259" s="434">
        <f t="shared" si="64"/>
        <v>0.44179863059435787</v>
      </c>
      <c r="G259" s="434">
        <f t="shared" si="65"/>
        <v>6.6432791356377904E-2</v>
      </c>
      <c r="H259" s="434">
        <f t="shared" si="77"/>
        <v>0</v>
      </c>
      <c r="I259" s="434">
        <v>0</v>
      </c>
      <c r="J259" s="127">
        <f t="shared" si="78"/>
        <v>0.15036893905036541</v>
      </c>
      <c r="K259" s="126">
        <f t="shared" si="66"/>
        <v>1.0313543985526651E-2</v>
      </c>
      <c r="L259" s="41">
        <f t="shared" si="79"/>
        <v>105.769501804283</v>
      </c>
      <c r="M259" s="41">
        <f t="shared" si="80"/>
        <v>-100.92322095997893</v>
      </c>
      <c r="N259" s="41">
        <f>(IF(C258&lt;='SOLLECITAZ NASCOSTO'!$P$12,IF(C258&lt;='SOLLECITAZ NASCOSTO'!$P$11,IF(C258&lt;='SOLLECITAZ NASCOSTO'!$P$10,IF(C258&lt;='SOLLECITAZ NASCOSTO'!$P$9,IF(C258&lt;='SOLLECITAZ NASCOSTO'!$P$8,IF(C258&lt;='SOLLECITAZ NASCOSTO'!$P$7,IF(C258&lt;='SOLLECITAZ NASCOSTO'!$P$6,IF(C258&lt;='SOLLECITAZ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paramento'!$G$111),55555)-IF(C258&lt;='SOLLECITAZ NASCOSTO'!$P$12,IF(C258&lt;='SOLLECITAZ NASCOSTO'!$P$11,IF(C258&lt;='SOLLECITAZ NASCOSTO'!$P$10,IF(C258&lt;='SOLLECITAZ NASCOSTO'!$P$9,IF(C258&lt;='SOLLECITAZ NASCOSTO'!$P$8,IF(C258&lt;='SOLLECITAZ NASCOSTO'!$P$7,IF(C258&lt;='SOLLECITAZ NASCOSTO'!$P$6,IF(C258&lt;='SOLLECITAZ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paramento'!$G$111))*(C258-IF(C258&lt;='SOLLECITAZ NASCOSTO'!$P$12,IF(C258&lt;='SOLLECITAZ NASCOSTO'!$P$11,IF(C258&lt;='SOLLECITAZ NASCOSTO'!$P$10,IF(C258&lt;='SOLLECITAZ NASCOSTO'!$P$9,IF(C258&lt;='SOLLECITAZ NASCOSTO'!$P$8,IF(C258&lt;='SOLLECITAZ NASCOSTO'!$P$7,IF(C258&lt;='SOLLECITAZ NASCOSTO'!$P$6,IF(C258&lt;='SOLLECITAZ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NASCOSTO'!$P$12))/IF(C258&lt;='SOLLECITAZ NASCOSTO'!$P$12,IF(C258&lt;='SOLLECITAZ NASCOSTO'!$P$11,IF(C258&lt;='SOLLECITAZ NASCOSTO'!$P$10,IF(C258&lt;='SOLLECITAZ NASCOSTO'!$P$9,IF(C258&lt;='SOLLECITAZ NASCOSTO'!$P$8,IF(C258&lt;='SOLLECITAZ NASCOSTO'!$P$7,IF(C258&lt;='SOLLECITAZ NASCOSTO'!$P$6,IF(C258&lt;='SOLLECITAZ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paramento'!$C$111)+IF(C258&lt;='SOLLECITAZ NASCOSTO'!$P$12,IF(C258&lt;='SOLLECITAZ NASCOSTO'!$P$11,IF(C258&lt;='SOLLECITAZ NASCOSTO'!$P$10,IF(C258&lt;='SOLLECITAZ NASCOSTO'!$P$9,IF(C258&lt;='SOLLECITAZ NASCOSTO'!$P$8,IF(C258&lt;='SOLLECITAZ NASCOSTO'!$P$7,IF(C258&lt;='SOLLECITAZ NASCOSTO'!$P$6,IF(C258&lt;='SOLLECITAZ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71.808128230255846</v>
      </c>
      <c r="O259" s="41">
        <f>IF(C259&lt;='SOLLECITAZ NASCOSTO'!$P$12,IF(C259&lt;='SOLLECITAZ NASCOSTO'!$P$11,IF(C259&lt;='SOLLECITAZ NASCOSTO'!$P$10,IF(C259&lt;='SOLLECITAZ NASCOSTO'!$P$9,IF(C259&lt;='SOLLECITAZ NASCOSTO'!$P$8,IF(C259&lt;='SOLLECITAZ NASCOSTO'!$P$7,IF(C259&lt;='SOLLECITAZ NASCOSTO'!$P$6,IF(C259&lt;='SOLLECITAZ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paramento'!$G$110),55555)*(C259-C258)/IF(C259&lt;='SOLLECITAZ NASCOSTO'!$P$12,IF(C259&lt;='SOLLECITAZ NASCOSTO'!$P$11,IF(C259&lt;='SOLLECITAZ NASCOSTO'!$P$10,IF(C259&lt;='SOLLECITAZ NASCOSTO'!$P$9,IF(C259&lt;='SOLLECITAZ NASCOSTO'!$P$8,IF(C259&lt;='SOLLECITAZ NASCOSTO'!$P$7,IF(C259&lt;='SOLLECITAZ NASCOSTO'!$P$6,IF(C259&lt;='SOLLECITAZ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59" s="41">
        <f t="shared" si="75"/>
        <v>2.2599999999999948E-4</v>
      </c>
      <c r="Q259" s="41">
        <f t="shared" si="73"/>
        <v>1</v>
      </c>
      <c r="R259" s="434">
        <f t="shared" si="67"/>
        <v>2.4730239938538943</v>
      </c>
      <c r="S259" s="45">
        <f t="shared" si="74"/>
        <v>2.4730239938538943</v>
      </c>
      <c r="T259" s="205">
        <f t="shared" si="70"/>
        <v>2.5590375984069866</v>
      </c>
      <c r="U259" s="45">
        <f t="shared" si="71"/>
        <v>105.769501804283</v>
      </c>
      <c r="V259" s="45">
        <f t="shared" si="72"/>
        <v>-100.92322095997893</v>
      </c>
      <c r="W259" s="488"/>
      <c r="X259" s="489"/>
      <c r="Y259" s="489"/>
      <c r="Z259" s="490"/>
      <c r="AA259" s="46"/>
    </row>
    <row r="260" spans="1:27" s="421" customFormat="1" x14ac:dyDescent="0.25">
      <c r="A260" s="581">
        <f t="shared" si="68"/>
        <v>0.44469156335547755</v>
      </c>
      <c r="B260" s="31">
        <f t="shared" si="76"/>
        <v>228</v>
      </c>
      <c r="C260" s="434">
        <f>'SOLLECITAZ NASCOSTO'!$D$6/'SOLLECITAZ NASCOSTO'!$B$448*'SOLLECITAZ NASCOSTO'!B260</f>
        <v>2.4839183726814444</v>
      </c>
      <c r="D260" s="434">
        <f t="shared" si="69"/>
        <v>0.56469156335547754</v>
      </c>
      <c r="E260" s="434">
        <f t="shared" si="63"/>
        <v>0.44469156335547755</v>
      </c>
      <c r="F260" s="434">
        <f t="shared" si="64"/>
        <v>0.44230130027375281</v>
      </c>
      <c r="G260" s="434">
        <f t="shared" si="65"/>
        <v>6.6716249875976533E-2</v>
      </c>
      <c r="H260" s="434">
        <f t="shared" si="77"/>
        <v>0</v>
      </c>
      <c r="I260" s="434">
        <v>0</v>
      </c>
      <c r="J260" s="127">
        <f t="shared" si="78"/>
        <v>0.15083891870696278</v>
      </c>
      <c r="K260" s="126">
        <f t="shared" si="66"/>
        <v>1.0399409452025693E-2</v>
      </c>
      <c r="L260" s="41">
        <f t="shared" si="79"/>
        <v>106.55602488958695</v>
      </c>
      <c r="M260" s="41">
        <f t="shared" si="80"/>
        <v>-102.07979832126</v>
      </c>
      <c r="N260" s="41">
        <f>(IF(C259&lt;='SOLLECITAZ NASCOSTO'!$P$12,IF(C259&lt;='SOLLECITAZ NASCOSTO'!$P$11,IF(C259&lt;='SOLLECITAZ NASCOSTO'!$P$10,IF(C259&lt;='SOLLECITAZ NASCOSTO'!$P$9,IF(C259&lt;='SOLLECITAZ NASCOSTO'!$P$8,IF(C259&lt;='SOLLECITAZ NASCOSTO'!$P$7,IF(C259&lt;='SOLLECITAZ NASCOSTO'!$P$6,IF(C259&lt;='SOLLECITAZ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paramento'!$G$111),55555)-IF(C259&lt;='SOLLECITAZ NASCOSTO'!$P$12,IF(C259&lt;='SOLLECITAZ NASCOSTO'!$P$11,IF(C259&lt;='SOLLECITAZ NASCOSTO'!$P$10,IF(C259&lt;='SOLLECITAZ NASCOSTO'!$P$9,IF(C259&lt;='SOLLECITAZ NASCOSTO'!$P$8,IF(C259&lt;='SOLLECITAZ NASCOSTO'!$P$7,IF(C259&lt;='SOLLECITAZ NASCOSTO'!$P$6,IF(C259&lt;='SOLLECITAZ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paramento'!$G$111))*(C259-IF(C259&lt;='SOLLECITAZ NASCOSTO'!$P$12,IF(C259&lt;='SOLLECITAZ NASCOSTO'!$P$11,IF(C259&lt;='SOLLECITAZ NASCOSTO'!$P$10,IF(C259&lt;='SOLLECITAZ NASCOSTO'!$P$9,IF(C259&lt;='SOLLECITAZ NASCOSTO'!$P$8,IF(C259&lt;='SOLLECITAZ NASCOSTO'!$P$7,IF(C259&lt;='SOLLECITAZ NASCOSTO'!$P$6,IF(C259&lt;='SOLLECITAZ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NASCOSTO'!$P$12))/IF(C259&lt;='SOLLECITAZ NASCOSTO'!$P$12,IF(C259&lt;='SOLLECITAZ NASCOSTO'!$P$11,IF(C259&lt;='SOLLECITAZ NASCOSTO'!$P$10,IF(C259&lt;='SOLLECITAZ NASCOSTO'!$P$9,IF(C259&lt;='SOLLECITAZ NASCOSTO'!$P$8,IF(C259&lt;='SOLLECITAZ NASCOSTO'!$P$7,IF(C259&lt;='SOLLECITAZ NASCOSTO'!$P$6,IF(C259&lt;='SOLLECITAZ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paramento'!$C$111)+IF(C259&lt;='SOLLECITAZ NASCOSTO'!$P$12,IF(C259&lt;='SOLLECITAZ NASCOSTO'!$P$11,IF(C259&lt;='SOLLECITAZ NASCOSTO'!$P$10,IF(C259&lt;='SOLLECITAZ NASCOSTO'!$P$9,IF(C259&lt;='SOLLECITAZ NASCOSTO'!$P$8,IF(C259&lt;='SOLLECITAZ NASCOSTO'!$P$7,IF(C259&lt;='SOLLECITAZ NASCOSTO'!$P$6,IF(C259&lt;='SOLLECITAZ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72.066251159705246</v>
      </c>
      <c r="O260" s="41">
        <f>IF(C260&lt;='SOLLECITAZ NASCOSTO'!$P$12,IF(C260&lt;='SOLLECITAZ NASCOSTO'!$P$11,IF(C260&lt;='SOLLECITAZ NASCOSTO'!$P$10,IF(C260&lt;='SOLLECITAZ NASCOSTO'!$P$9,IF(C260&lt;='SOLLECITAZ NASCOSTO'!$P$8,IF(C260&lt;='SOLLECITAZ NASCOSTO'!$P$7,IF(C260&lt;='SOLLECITAZ NASCOSTO'!$P$6,IF(C260&lt;='SOLLECITAZ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paramento'!$G$110),55555)*(C260-C259)/IF(C260&lt;='SOLLECITAZ NASCOSTO'!$P$12,IF(C260&lt;='SOLLECITAZ NASCOSTO'!$P$11,IF(C260&lt;='SOLLECITAZ NASCOSTO'!$P$10,IF(C260&lt;='SOLLECITAZ NASCOSTO'!$P$9,IF(C260&lt;='SOLLECITAZ NASCOSTO'!$P$8,IF(C260&lt;='SOLLECITAZ NASCOSTO'!$P$7,IF(C260&lt;='SOLLECITAZ NASCOSTO'!$P$6,IF(C260&lt;='SOLLECITAZ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60" s="41">
        <f t="shared" si="75"/>
        <v>2.2699999999999947E-4</v>
      </c>
      <c r="Q260" s="41">
        <f t="shared" si="73"/>
        <v>1</v>
      </c>
      <c r="R260" s="434">
        <f t="shared" si="67"/>
        <v>2.4839183726814444</v>
      </c>
      <c r="S260" s="45">
        <f t="shared" si="74"/>
        <v>2.4839183726814444</v>
      </c>
      <c r="T260" s="205">
        <f t="shared" si="70"/>
        <v>2.5481432195794365</v>
      </c>
      <c r="U260" s="45">
        <f t="shared" si="71"/>
        <v>106.55602488958695</v>
      </c>
      <c r="V260" s="45">
        <f t="shared" si="72"/>
        <v>-102.07979832126</v>
      </c>
      <c r="W260" s="488"/>
      <c r="X260" s="489"/>
      <c r="Y260" s="489"/>
      <c r="Z260" s="490"/>
      <c r="AA260" s="46"/>
    </row>
    <row r="261" spans="1:27" s="421" customFormat="1" x14ac:dyDescent="0.25">
      <c r="A261" s="581">
        <f t="shared" si="68"/>
        <v>0.4462624061035867</v>
      </c>
      <c r="B261" s="31">
        <f t="shared" si="76"/>
        <v>229</v>
      </c>
      <c r="C261" s="434">
        <f>'SOLLECITAZ NASCOSTO'!$D$6/'SOLLECITAZ NASCOSTO'!$B$448*'SOLLECITAZ NASCOSTO'!B261</f>
        <v>2.4948127515089946</v>
      </c>
      <c r="D261" s="434">
        <f t="shared" si="69"/>
        <v>0.56626240610358669</v>
      </c>
      <c r="E261" s="434">
        <f t="shared" si="63"/>
        <v>0.4462624061035867</v>
      </c>
      <c r="F261" s="434">
        <f t="shared" si="64"/>
        <v>0.44280396995314775</v>
      </c>
      <c r="G261" s="434">
        <f t="shared" si="65"/>
        <v>6.7000498010595738E-2</v>
      </c>
      <c r="H261" s="434">
        <f t="shared" si="77"/>
        <v>0</v>
      </c>
      <c r="I261" s="434">
        <v>0</v>
      </c>
      <c r="J261" s="127">
        <f t="shared" si="78"/>
        <v>0.15130961454045891</v>
      </c>
      <c r="K261" s="126">
        <f t="shared" si="66"/>
        <v>1.0485732796942388E-2</v>
      </c>
      <c r="L261" s="41">
        <f t="shared" si="79"/>
        <v>107.3453600638684</v>
      </c>
      <c r="M261" s="41">
        <f t="shared" si="80"/>
        <v>-103.2449596809703</v>
      </c>
      <c r="N261" s="41">
        <f>(IF(C260&lt;='SOLLECITAZ NASCOSTO'!$P$12,IF(C260&lt;='SOLLECITAZ NASCOSTO'!$P$11,IF(C260&lt;='SOLLECITAZ NASCOSTO'!$P$10,IF(C260&lt;='SOLLECITAZ NASCOSTO'!$P$9,IF(C260&lt;='SOLLECITAZ NASCOSTO'!$P$8,IF(C260&lt;='SOLLECITAZ NASCOSTO'!$P$7,IF(C260&lt;='SOLLECITAZ NASCOSTO'!$P$6,IF(C260&lt;='SOLLECITAZ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paramento'!$G$111),55555)-IF(C260&lt;='SOLLECITAZ NASCOSTO'!$P$12,IF(C260&lt;='SOLLECITAZ NASCOSTO'!$P$11,IF(C260&lt;='SOLLECITAZ NASCOSTO'!$P$10,IF(C260&lt;='SOLLECITAZ NASCOSTO'!$P$9,IF(C260&lt;='SOLLECITAZ NASCOSTO'!$P$8,IF(C260&lt;='SOLLECITAZ NASCOSTO'!$P$7,IF(C260&lt;='SOLLECITAZ NASCOSTO'!$P$6,IF(C260&lt;='SOLLECITAZ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paramento'!$G$111))*(C260-IF(C260&lt;='SOLLECITAZ NASCOSTO'!$P$12,IF(C260&lt;='SOLLECITAZ NASCOSTO'!$P$11,IF(C260&lt;='SOLLECITAZ NASCOSTO'!$P$10,IF(C260&lt;='SOLLECITAZ NASCOSTO'!$P$9,IF(C260&lt;='SOLLECITAZ NASCOSTO'!$P$8,IF(C260&lt;='SOLLECITAZ NASCOSTO'!$P$7,IF(C260&lt;='SOLLECITAZ NASCOSTO'!$P$6,IF(C260&lt;='SOLLECITAZ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NASCOSTO'!$P$12))/IF(C260&lt;='SOLLECITAZ NASCOSTO'!$P$12,IF(C260&lt;='SOLLECITAZ NASCOSTO'!$P$11,IF(C260&lt;='SOLLECITAZ NASCOSTO'!$P$10,IF(C260&lt;='SOLLECITAZ NASCOSTO'!$P$9,IF(C260&lt;='SOLLECITAZ NASCOSTO'!$P$8,IF(C260&lt;='SOLLECITAZ NASCOSTO'!$P$7,IF(C260&lt;='SOLLECITAZ NASCOSTO'!$P$6,IF(C260&lt;='SOLLECITAZ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paramento'!$C$111)+IF(C260&lt;='SOLLECITAZ NASCOSTO'!$P$12,IF(C260&lt;='SOLLECITAZ NASCOSTO'!$P$11,IF(C260&lt;='SOLLECITAZ NASCOSTO'!$P$10,IF(C260&lt;='SOLLECITAZ NASCOSTO'!$P$9,IF(C260&lt;='SOLLECITAZ NASCOSTO'!$P$8,IF(C260&lt;='SOLLECITAZ NASCOSTO'!$P$7,IF(C260&lt;='SOLLECITAZ NASCOSTO'!$P$6,IF(C260&lt;='SOLLECITAZ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72.324374089154659</v>
      </c>
      <c r="O261" s="41">
        <f>IF(C261&lt;='SOLLECITAZ NASCOSTO'!$P$12,IF(C261&lt;='SOLLECITAZ NASCOSTO'!$P$11,IF(C261&lt;='SOLLECITAZ NASCOSTO'!$P$10,IF(C261&lt;='SOLLECITAZ NASCOSTO'!$P$9,IF(C261&lt;='SOLLECITAZ NASCOSTO'!$P$8,IF(C261&lt;='SOLLECITAZ NASCOSTO'!$P$7,IF(C261&lt;='SOLLECITAZ NASCOSTO'!$P$6,IF(C261&lt;='SOLLECITAZ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paramento'!$G$110),55555)*(C261-C260)/IF(C261&lt;='SOLLECITAZ NASCOSTO'!$P$12,IF(C261&lt;='SOLLECITAZ NASCOSTO'!$P$11,IF(C261&lt;='SOLLECITAZ NASCOSTO'!$P$10,IF(C261&lt;='SOLLECITAZ NASCOSTO'!$P$9,IF(C261&lt;='SOLLECITAZ NASCOSTO'!$P$8,IF(C261&lt;='SOLLECITAZ NASCOSTO'!$P$7,IF(C261&lt;='SOLLECITAZ NASCOSTO'!$P$6,IF(C261&lt;='SOLLECITAZ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61" s="41">
        <f t="shared" si="75"/>
        <v>2.2799999999999947E-4</v>
      </c>
      <c r="Q261" s="41">
        <f t="shared" si="73"/>
        <v>1</v>
      </c>
      <c r="R261" s="434">
        <f t="shared" si="67"/>
        <v>2.4948127515089946</v>
      </c>
      <c r="S261" s="45">
        <f t="shared" si="74"/>
        <v>2.4948127515089946</v>
      </c>
      <c r="T261" s="205">
        <f t="shared" si="70"/>
        <v>2.5372488407518863</v>
      </c>
      <c r="U261" s="45">
        <f t="shared" si="71"/>
        <v>107.3453600638684</v>
      </c>
      <c r="V261" s="45">
        <f t="shared" si="72"/>
        <v>-103.2449596809703</v>
      </c>
      <c r="W261" s="488"/>
      <c r="X261" s="489"/>
      <c r="Y261" s="489"/>
      <c r="Z261" s="490"/>
      <c r="AA261" s="46"/>
    </row>
    <row r="262" spans="1:27" s="421" customFormat="1" x14ac:dyDescent="0.25">
      <c r="A262" s="581">
        <f t="shared" si="68"/>
        <v>0.44783324885169595</v>
      </c>
      <c r="B262" s="31">
        <f t="shared" si="76"/>
        <v>230</v>
      </c>
      <c r="C262" s="434">
        <f>'SOLLECITAZ NASCOSTO'!$D$6/'SOLLECITAZ NASCOSTO'!$B$448*'SOLLECITAZ NASCOSTO'!B262</f>
        <v>2.5057071303365448</v>
      </c>
      <c r="D262" s="434">
        <f t="shared" si="69"/>
        <v>0.56783324885169595</v>
      </c>
      <c r="E262" s="434">
        <f t="shared" si="63"/>
        <v>0.44783324885169595</v>
      </c>
      <c r="F262" s="434">
        <f t="shared" si="64"/>
        <v>0.44330663963254269</v>
      </c>
      <c r="G262" s="434">
        <f t="shared" si="65"/>
        <v>6.7285535760235521E-2</v>
      </c>
      <c r="H262" s="434">
        <f t="shared" si="77"/>
        <v>0</v>
      </c>
      <c r="I262" s="434">
        <v>0</v>
      </c>
      <c r="J262" s="127">
        <f t="shared" si="78"/>
        <v>0.15178102411461414</v>
      </c>
      <c r="K262" s="126">
        <f t="shared" si="66"/>
        <v>1.0572514939201152E-2</v>
      </c>
      <c r="L262" s="41">
        <f t="shared" si="79"/>
        <v>108.13750732712735</v>
      </c>
      <c r="M262" s="41">
        <f t="shared" si="80"/>
        <v>-104.41873567507243</v>
      </c>
      <c r="N262" s="41">
        <f>(IF(C261&lt;='SOLLECITAZ NASCOSTO'!$P$12,IF(C261&lt;='SOLLECITAZ NASCOSTO'!$P$11,IF(C261&lt;='SOLLECITAZ NASCOSTO'!$P$10,IF(C261&lt;='SOLLECITAZ NASCOSTO'!$P$9,IF(C261&lt;='SOLLECITAZ NASCOSTO'!$P$8,IF(C261&lt;='SOLLECITAZ NASCOSTO'!$P$7,IF(C261&lt;='SOLLECITAZ NASCOSTO'!$P$6,IF(C261&lt;='SOLLECITAZ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paramento'!$G$111),55555)-IF(C261&lt;='SOLLECITAZ NASCOSTO'!$P$12,IF(C261&lt;='SOLLECITAZ NASCOSTO'!$P$11,IF(C261&lt;='SOLLECITAZ NASCOSTO'!$P$10,IF(C261&lt;='SOLLECITAZ NASCOSTO'!$P$9,IF(C261&lt;='SOLLECITAZ NASCOSTO'!$P$8,IF(C261&lt;='SOLLECITAZ NASCOSTO'!$P$7,IF(C261&lt;='SOLLECITAZ NASCOSTO'!$P$6,IF(C261&lt;='SOLLECITAZ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paramento'!$G$111))*(C261-IF(C261&lt;='SOLLECITAZ NASCOSTO'!$P$12,IF(C261&lt;='SOLLECITAZ NASCOSTO'!$P$11,IF(C261&lt;='SOLLECITAZ NASCOSTO'!$P$10,IF(C261&lt;='SOLLECITAZ NASCOSTO'!$P$9,IF(C261&lt;='SOLLECITAZ NASCOSTO'!$P$8,IF(C261&lt;='SOLLECITAZ NASCOSTO'!$P$7,IF(C261&lt;='SOLLECITAZ NASCOSTO'!$P$6,IF(C261&lt;='SOLLECITAZ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NASCOSTO'!$P$12))/IF(C261&lt;='SOLLECITAZ NASCOSTO'!$P$12,IF(C261&lt;='SOLLECITAZ NASCOSTO'!$P$11,IF(C261&lt;='SOLLECITAZ NASCOSTO'!$P$10,IF(C261&lt;='SOLLECITAZ NASCOSTO'!$P$9,IF(C261&lt;='SOLLECITAZ NASCOSTO'!$P$8,IF(C261&lt;='SOLLECITAZ NASCOSTO'!$P$7,IF(C261&lt;='SOLLECITAZ NASCOSTO'!$P$6,IF(C261&lt;='SOLLECITAZ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paramento'!$C$111)+IF(C261&lt;='SOLLECITAZ NASCOSTO'!$P$12,IF(C261&lt;='SOLLECITAZ NASCOSTO'!$P$11,IF(C261&lt;='SOLLECITAZ NASCOSTO'!$P$10,IF(C261&lt;='SOLLECITAZ NASCOSTO'!$P$9,IF(C261&lt;='SOLLECITAZ NASCOSTO'!$P$8,IF(C261&lt;='SOLLECITAZ NASCOSTO'!$P$7,IF(C261&lt;='SOLLECITAZ NASCOSTO'!$P$6,IF(C261&lt;='SOLLECITAZ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72.582497018604073</v>
      </c>
      <c r="O262" s="41">
        <f>IF(C262&lt;='SOLLECITAZ NASCOSTO'!$P$12,IF(C262&lt;='SOLLECITAZ NASCOSTO'!$P$11,IF(C262&lt;='SOLLECITAZ NASCOSTO'!$P$10,IF(C262&lt;='SOLLECITAZ NASCOSTO'!$P$9,IF(C262&lt;='SOLLECITAZ NASCOSTO'!$P$8,IF(C262&lt;='SOLLECITAZ NASCOSTO'!$P$7,IF(C262&lt;='SOLLECITAZ NASCOSTO'!$P$6,IF(C262&lt;='SOLLECITAZ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paramento'!$G$110),55555)*(C262-C261)/IF(C262&lt;='SOLLECITAZ NASCOSTO'!$P$12,IF(C262&lt;='SOLLECITAZ NASCOSTO'!$P$11,IF(C262&lt;='SOLLECITAZ NASCOSTO'!$P$10,IF(C262&lt;='SOLLECITAZ NASCOSTO'!$P$9,IF(C262&lt;='SOLLECITAZ NASCOSTO'!$P$8,IF(C262&lt;='SOLLECITAZ NASCOSTO'!$P$7,IF(C262&lt;='SOLLECITAZ NASCOSTO'!$P$6,IF(C262&lt;='SOLLECITAZ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62" s="41">
        <f t="shared" si="75"/>
        <v>2.2899999999999947E-4</v>
      </c>
      <c r="Q262" s="41">
        <f t="shared" si="73"/>
        <v>1</v>
      </c>
      <c r="R262" s="434">
        <f t="shared" si="67"/>
        <v>2.5057071303365448</v>
      </c>
      <c r="S262" s="45">
        <f t="shared" si="74"/>
        <v>2.5057071303365448</v>
      </c>
      <c r="T262" s="205">
        <f t="shared" si="70"/>
        <v>2.5263544619243361</v>
      </c>
      <c r="U262" s="45">
        <f t="shared" si="71"/>
        <v>108.13750732712735</v>
      </c>
      <c r="V262" s="45">
        <f t="shared" si="72"/>
        <v>-104.41873567507243</v>
      </c>
      <c r="W262" s="488"/>
      <c r="X262" s="489"/>
      <c r="Y262" s="489"/>
      <c r="Z262" s="490"/>
      <c r="AA262" s="46"/>
    </row>
    <row r="263" spans="1:27" s="421" customFormat="1" x14ac:dyDescent="0.25">
      <c r="A263" s="581">
        <f t="shared" si="68"/>
        <v>0.4494040915998051</v>
      </c>
      <c r="B263" s="31">
        <f t="shared" si="76"/>
        <v>231</v>
      </c>
      <c r="C263" s="434">
        <f>'SOLLECITAZ NASCOSTO'!$D$6/'SOLLECITAZ NASCOSTO'!$B$448*'SOLLECITAZ NASCOSTO'!B263</f>
        <v>2.516601509164095</v>
      </c>
      <c r="D263" s="434">
        <f t="shared" si="69"/>
        <v>0.5694040915998051</v>
      </c>
      <c r="E263" s="434">
        <f t="shared" si="63"/>
        <v>0.4494040915998051</v>
      </c>
      <c r="F263" s="434">
        <f t="shared" si="64"/>
        <v>0.44380930931193763</v>
      </c>
      <c r="G263" s="434">
        <f t="shared" si="65"/>
        <v>6.7571363124895881E-2</v>
      </c>
      <c r="H263" s="434">
        <f t="shared" si="77"/>
        <v>0</v>
      </c>
      <c r="I263" s="434">
        <v>0</v>
      </c>
      <c r="J263" s="127">
        <f t="shared" si="78"/>
        <v>0.15225314500422613</v>
      </c>
      <c r="K263" s="126">
        <f t="shared" si="66"/>
        <v>1.0659756796372918E-2</v>
      </c>
      <c r="L263" s="41">
        <f t="shared" si="79"/>
        <v>108.9324666793638</v>
      </c>
      <c r="M263" s="41">
        <f t="shared" si="80"/>
        <v>-105.60115693952902</v>
      </c>
      <c r="N263" s="41">
        <f>(IF(C262&lt;='SOLLECITAZ NASCOSTO'!$P$12,IF(C262&lt;='SOLLECITAZ NASCOSTO'!$P$11,IF(C262&lt;='SOLLECITAZ NASCOSTO'!$P$10,IF(C262&lt;='SOLLECITAZ NASCOSTO'!$P$9,IF(C262&lt;='SOLLECITAZ NASCOSTO'!$P$8,IF(C262&lt;='SOLLECITAZ NASCOSTO'!$P$7,IF(C262&lt;='SOLLECITAZ NASCOSTO'!$P$6,IF(C262&lt;='SOLLECITAZ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paramento'!$G$111),55555)-IF(C262&lt;='SOLLECITAZ NASCOSTO'!$P$12,IF(C262&lt;='SOLLECITAZ NASCOSTO'!$P$11,IF(C262&lt;='SOLLECITAZ NASCOSTO'!$P$10,IF(C262&lt;='SOLLECITAZ NASCOSTO'!$P$9,IF(C262&lt;='SOLLECITAZ NASCOSTO'!$P$8,IF(C262&lt;='SOLLECITAZ NASCOSTO'!$P$7,IF(C262&lt;='SOLLECITAZ NASCOSTO'!$P$6,IF(C262&lt;='SOLLECITAZ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paramento'!$G$111))*(C262-IF(C262&lt;='SOLLECITAZ NASCOSTO'!$P$12,IF(C262&lt;='SOLLECITAZ NASCOSTO'!$P$11,IF(C262&lt;='SOLLECITAZ NASCOSTO'!$P$10,IF(C262&lt;='SOLLECITAZ NASCOSTO'!$P$9,IF(C262&lt;='SOLLECITAZ NASCOSTO'!$P$8,IF(C262&lt;='SOLLECITAZ NASCOSTO'!$P$7,IF(C262&lt;='SOLLECITAZ NASCOSTO'!$P$6,IF(C262&lt;='SOLLECITAZ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NASCOSTO'!$P$12))/IF(C262&lt;='SOLLECITAZ NASCOSTO'!$P$12,IF(C262&lt;='SOLLECITAZ NASCOSTO'!$P$11,IF(C262&lt;='SOLLECITAZ NASCOSTO'!$P$10,IF(C262&lt;='SOLLECITAZ NASCOSTO'!$P$9,IF(C262&lt;='SOLLECITAZ NASCOSTO'!$P$8,IF(C262&lt;='SOLLECITAZ NASCOSTO'!$P$7,IF(C262&lt;='SOLLECITAZ NASCOSTO'!$P$6,IF(C262&lt;='SOLLECITAZ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paramento'!$C$111)+IF(C262&lt;='SOLLECITAZ NASCOSTO'!$P$12,IF(C262&lt;='SOLLECITAZ NASCOSTO'!$P$11,IF(C262&lt;='SOLLECITAZ NASCOSTO'!$P$10,IF(C262&lt;='SOLLECITAZ NASCOSTO'!$P$9,IF(C262&lt;='SOLLECITAZ NASCOSTO'!$P$8,IF(C262&lt;='SOLLECITAZ NASCOSTO'!$P$7,IF(C262&lt;='SOLLECITAZ NASCOSTO'!$P$6,IF(C262&lt;='SOLLECITAZ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72.840619948053472</v>
      </c>
      <c r="O263" s="41">
        <f>IF(C263&lt;='SOLLECITAZ NASCOSTO'!$P$12,IF(C263&lt;='SOLLECITAZ NASCOSTO'!$P$11,IF(C263&lt;='SOLLECITAZ NASCOSTO'!$P$10,IF(C263&lt;='SOLLECITAZ NASCOSTO'!$P$9,IF(C263&lt;='SOLLECITAZ NASCOSTO'!$P$8,IF(C263&lt;='SOLLECITAZ NASCOSTO'!$P$7,IF(C263&lt;='SOLLECITAZ NASCOSTO'!$P$6,IF(C263&lt;='SOLLECITAZ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paramento'!$G$110),55555)*(C263-C262)/IF(C263&lt;='SOLLECITAZ NASCOSTO'!$P$12,IF(C263&lt;='SOLLECITAZ NASCOSTO'!$P$11,IF(C263&lt;='SOLLECITAZ NASCOSTO'!$P$10,IF(C263&lt;='SOLLECITAZ NASCOSTO'!$P$9,IF(C263&lt;='SOLLECITAZ NASCOSTO'!$P$8,IF(C263&lt;='SOLLECITAZ NASCOSTO'!$P$7,IF(C263&lt;='SOLLECITAZ NASCOSTO'!$P$6,IF(C263&lt;='SOLLECITAZ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63" s="41">
        <f t="shared" si="75"/>
        <v>2.2999999999999946E-4</v>
      </c>
      <c r="Q263" s="41">
        <f t="shared" si="73"/>
        <v>1</v>
      </c>
      <c r="R263" s="434">
        <f t="shared" si="67"/>
        <v>2.516601509164095</v>
      </c>
      <c r="S263" s="45">
        <f t="shared" si="74"/>
        <v>2.516601509164095</v>
      </c>
      <c r="T263" s="205">
        <f t="shared" si="70"/>
        <v>2.5154600830967859</v>
      </c>
      <c r="U263" s="45">
        <f t="shared" si="71"/>
        <v>108.9324666793638</v>
      </c>
      <c r="V263" s="45">
        <f t="shared" si="72"/>
        <v>-105.60115693952902</v>
      </c>
      <c r="W263" s="488"/>
      <c r="X263" s="489"/>
      <c r="Y263" s="489"/>
      <c r="Z263" s="490"/>
      <c r="AA263" s="46"/>
    </row>
    <row r="264" spans="1:27" s="421" customFormat="1" x14ac:dyDescent="0.25">
      <c r="A264" s="581">
        <f t="shared" si="68"/>
        <v>0.45097493434791425</v>
      </c>
      <c r="B264" s="31">
        <f t="shared" si="76"/>
        <v>232</v>
      </c>
      <c r="C264" s="434">
        <f>'SOLLECITAZ NASCOSTO'!$D$6/'SOLLECITAZ NASCOSTO'!$B$448*'SOLLECITAZ NASCOSTO'!B264</f>
        <v>2.5274958879916452</v>
      </c>
      <c r="D264" s="434">
        <f t="shared" si="69"/>
        <v>0.57097493434791424</v>
      </c>
      <c r="E264" s="434">
        <f t="shared" si="63"/>
        <v>0.45097493434791425</v>
      </c>
      <c r="F264" s="434">
        <f t="shared" si="64"/>
        <v>0.44431197899133257</v>
      </c>
      <c r="G264" s="434">
        <f t="shared" si="65"/>
        <v>6.785798010457679E-2</v>
      </c>
      <c r="H264" s="434">
        <f t="shared" si="77"/>
        <v>0</v>
      </c>
      <c r="I264" s="434">
        <v>0</v>
      </c>
      <c r="J264" s="127">
        <f t="shared" si="78"/>
        <v>0.15272597479506744</v>
      </c>
      <c r="K264" s="126">
        <f t="shared" si="66"/>
        <v>1.0747459284682846E-2</v>
      </c>
      <c r="L264" s="41">
        <f t="shared" si="79"/>
        <v>109.73023812057775</v>
      </c>
      <c r="M264" s="41">
        <f t="shared" si="80"/>
        <v>-106.79225411030269</v>
      </c>
      <c r="N264" s="41">
        <f>(IF(C263&lt;='SOLLECITAZ NASCOSTO'!$P$12,IF(C263&lt;='SOLLECITAZ NASCOSTO'!$P$11,IF(C263&lt;='SOLLECITAZ NASCOSTO'!$P$10,IF(C263&lt;='SOLLECITAZ NASCOSTO'!$P$9,IF(C263&lt;='SOLLECITAZ NASCOSTO'!$P$8,IF(C263&lt;='SOLLECITAZ NASCOSTO'!$P$7,IF(C263&lt;='SOLLECITAZ NASCOSTO'!$P$6,IF(C263&lt;='SOLLECITAZ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paramento'!$G$111),55555)-IF(C263&lt;='SOLLECITAZ NASCOSTO'!$P$12,IF(C263&lt;='SOLLECITAZ NASCOSTO'!$P$11,IF(C263&lt;='SOLLECITAZ NASCOSTO'!$P$10,IF(C263&lt;='SOLLECITAZ NASCOSTO'!$P$9,IF(C263&lt;='SOLLECITAZ NASCOSTO'!$P$8,IF(C263&lt;='SOLLECITAZ NASCOSTO'!$P$7,IF(C263&lt;='SOLLECITAZ NASCOSTO'!$P$6,IF(C263&lt;='SOLLECITAZ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paramento'!$G$111))*(C263-IF(C263&lt;='SOLLECITAZ NASCOSTO'!$P$12,IF(C263&lt;='SOLLECITAZ NASCOSTO'!$P$11,IF(C263&lt;='SOLLECITAZ NASCOSTO'!$P$10,IF(C263&lt;='SOLLECITAZ NASCOSTO'!$P$9,IF(C263&lt;='SOLLECITAZ NASCOSTO'!$P$8,IF(C263&lt;='SOLLECITAZ NASCOSTO'!$P$7,IF(C263&lt;='SOLLECITAZ NASCOSTO'!$P$6,IF(C263&lt;='SOLLECITAZ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NASCOSTO'!$P$12))/IF(C263&lt;='SOLLECITAZ NASCOSTO'!$P$12,IF(C263&lt;='SOLLECITAZ NASCOSTO'!$P$11,IF(C263&lt;='SOLLECITAZ NASCOSTO'!$P$10,IF(C263&lt;='SOLLECITAZ NASCOSTO'!$P$9,IF(C263&lt;='SOLLECITAZ NASCOSTO'!$P$8,IF(C263&lt;='SOLLECITAZ NASCOSTO'!$P$7,IF(C263&lt;='SOLLECITAZ NASCOSTO'!$P$6,IF(C263&lt;='SOLLECITAZ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paramento'!$C$111)+IF(C263&lt;='SOLLECITAZ NASCOSTO'!$P$12,IF(C263&lt;='SOLLECITAZ NASCOSTO'!$P$11,IF(C263&lt;='SOLLECITAZ NASCOSTO'!$P$10,IF(C263&lt;='SOLLECITAZ NASCOSTO'!$P$9,IF(C263&lt;='SOLLECITAZ NASCOSTO'!$P$8,IF(C263&lt;='SOLLECITAZ NASCOSTO'!$P$7,IF(C263&lt;='SOLLECITAZ NASCOSTO'!$P$6,IF(C263&lt;='SOLLECITAZ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73.098742877502872</v>
      </c>
      <c r="O264" s="41">
        <f>IF(C264&lt;='SOLLECITAZ NASCOSTO'!$P$12,IF(C264&lt;='SOLLECITAZ NASCOSTO'!$P$11,IF(C264&lt;='SOLLECITAZ NASCOSTO'!$P$10,IF(C264&lt;='SOLLECITAZ NASCOSTO'!$P$9,IF(C264&lt;='SOLLECITAZ NASCOSTO'!$P$8,IF(C264&lt;='SOLLECITAZ NASCOSTO'!$P$7,IF(C264&lt;='SOLLECITAZ NASCOSTO'!$P$6,IF(C264&lt;='SOLLECITAZ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paramento'!$G$110),55555)*(C264-C263)/IF(C264&lt;='SOLLECITAZ NASCOSTO'!$P$12,IF(C264&lt;='SOLLECITAZ NASCOSTO'!$P$11,IF(C264&lt;='SOLLECITAZ NASCOSTO'!$P$10,IF(C264&lt;='SOLLECITAZ NASCOSTO'!$P$9,IF(C264&lt;='SOLLECITAZ NASCOSTO'!$P$8,IF(C264&lt;='SOLLECITAZ NASCOSTO'!$P$7,IF(C264&lt;='SOLLECITAZ NASCOSTO'!$P$6,IF(C264&lt;='SOLLECITAZ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64" s="41">
        <f t="shared" si="75"/>
        <v>2.3099999999999946E-4</v>
      </c>
      <c r="Q264" s="41">
        <f t="shared" si="73"/>
        <v>1</v>
      </c>
      <c r="R264" s="434">
        <f t="shared" si="67"/>
        <v>2.5274958879916452</v>
      </c>
      <c r="S264" s="45">
        <f t="shared" si="74"/>
        <v>2.5274958879916452</v>
      </c>
      <c r="T264" s="205">
        <f t="shared" si="70"/>
        <v>2.5045657042692357</v>
      </c>
      <c r="U264" s="45">
        <f t="shared" si="71"/>
        <v>109.73023812057775</v>
      </c>
      <c r="V264" s="45">
        <f t="shared" si="72"/>
        <v>-106.79225411030269</v>
      </c>
      <c r="W264" s="488"/>
      <c r="X264" s="489"/>
      <c r="Y264" s="489"/>
      <c r="Z264" s="490"/>
      <c r="AA264" s="46"/>
    </row>
    <row r="265" spans="1:27" s="421" customFormat="1" x14ac:dyDescent="0.25">
      <c r="A265" s="581">
        <f t="shared" si="68"/>
        <v>0.45254577709602339</v>
      </c>
      <c r="B265" s="31">
        <f t="shared" si="76"/>
        <v>233</v>
      </c>
      <c r="C265" s="434">
        <f>'SOLLECITAZ NASCOSTO'!$D$6/'SOLLECITAZ NASCOSTO'!$B$448*'SOLLECITAZ NASCOSTO'!B265</f>
        <v>2.5383902668191953</v>
      </c>
      <c r="D265" s="434">
        <f t="shared" si="69"/>
        <v>0.57254577709602339</v>
      </c>
      <c r="E265" s="434">
        <f t="shared" si="63"/>
        <v>0.45254577709602339</v>
      </c>
      <c r="F265" s="434">
        <f t="shared" si="64"/>
        <v>0.44481464867072751</v>
      </c>
      <c r="G265" s="434">
        <f t="shared" si="65"/>
        <v>6.814538669927829E-2</v>
      </c>
      <c r="H265" s="434">
        <f t="shared" si="77"/>
        <v>0</v>
      </c>
      <c r="I265" s="434">
        <v>0</v>
      </c>
      <c r="J265" s="127">
        <f t="shared" si="78"/>
        <v>0.15319951108382376</v>
      </c>
      <c r="K265" s="126">
        <f t="shared" si="66"/>
        <v>1.0835623319017874E-2</v>
      </c>
      <c r="L265" s="41">
        <f t="shared" si="79"/>
        <v>110.5308216507692</v>
      </c>
      <c r="M265" s="41">
        <f t="shared" si="80"/>
        <v>-107.99205782335605</v>
      </c>
      <c r="N265" s="41">
        <f>(IF(C264&lt;='SOLLECITAZ NASCOSTO'!$P$12,IF(C264&lt;='SOLLECITAZ NASCOSTO'!$P$11,IF(C264&lt;='SOLLECITAZ NASCOSTO'!$P$10,IF(C264&lt;='SOLLECITAZ NASCOSTO'!$P$9,IF(C264&lt;='SOLLECITAZ NASCOSTO'!$P$8,IF(C264&lt;='SOLLECITAZ NASCOSTO'!$P$7,IF(C264&lt;='SOLLECITAZ NASCOSTO'!$P$6,IF(C264&lt;='SOLLECITAZ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paramento'!$G$111),55555)-IF(C264&lt;='SOLLECITAZ NASCOSTO'!$P$12,IF(C264&lt;='SOLLECITAZ NASCOSTO'!$P$11,IF(C264&lt;='SOLLECITAZ NASCOSTO'!$P$10,IF(C264&lt;='SOLLECITAZ NASCOSTO'!$P$9,IF(C264&lt;='SOLLECITAZ NASCOSTO'!$P$8,IF(C264&lt;='SOLLECITAZ NASCOSTO'!$P$7,IF(C264&lt;='SOLLECITAZ NASCOSTO'!$P$6,IF(C264&lt;='SOLLECITAZ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paramento'!$G$111))*(C264-IF(C264&lt;='SOLLECITAZ NASCOSTO'!$P$12,IF(C264&lt;='SOLLECITAZ NASCOSTO'!$P$11,IF(C264&lt;='SOLLECITAZ NASCOSTO'!$P$10,IF(C264&lt;='SOLLECITAZ NASCOSTO'!$P$9,IF(C264&lt;='SOLLECITAZ NASCOSTO'!$P$8,IF(C264&lt;='SOLLECITAZ NASCOSTO'!$P$7,IF(C264&lt;='SOLLECITAZ NASCOSTO'!$P$6,IF(C264&lt;='SOLLECITAZ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NASCOSTO'!$P$12))/IF(C264&lt;='SOLLECITAZ NASCOSTO'!$P$12,IF(C264&lt;='SOLLECITAZ NASCOSTO'!$P$11,IF(C264&lt;='SOLLECITAZ NASCOSTO'!$P$10,IF(C264&lt;='SOLLECITAZ NASCOSTO'!$P$9,IF(C264&lt;='SOLLECITAZ NASCOSTO'!$P$8,IF(C264&lt;='SOLLECITAZ NASCOSTO'!$P$7,IF(C264&lt;='SOLLECITAZ NASCOSTO'!$P$6,IF(C264&lt;='SOLLECITAZ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paramento'!$C$111)+IF(C264&lt;='SOLLECITAZ NASCOSTO'!$P$12,IF(C264&lt;='SOLLECITAZ NASCOSTO'!$P$11,IF(C264&lt;='SOLLECITAZ NASCOSTO'!$P$10,IF(C264&lt;='SOLLECITAZ NASCOSTO'!$P$9,IF(C264&lt;='SOLLECITAZ NASCOSTO'!$P$8,IF(C264&lt;='SOLLECITAZ NASCOSTO'!$P$7,IF(C264&lt;='SOLLECITAZ NASCOSTO'!$P$6,IF(C264&lt;='SOLLECITAZ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73.356865806952285</v>
      </c>
      <c r="O265" s="41">
        <f>IF(C265&lt;='SOLLECITAZ NASCOSTO'!$P$12,IF(C265&lt;='SOLLECITAZ NASCOSTO'!$P$11,IF(C265&lt;='SOLLECITAZ NASCOSTO'!$P$10,IF(C265&lt;='SOLLECITAZ NASCOSTO'!$P$9,IF(C265&lt;='SOLLECITAZ NASCOSTO'!$P$8,IF(C265&lt;='SOLLECITAZ NASCOSTO'!$P$7,IF(C265&lt;='SOLLECITAZ NASCOSTO'!$P$6,IF(C265&lt;='SOLLECITAZ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paramento'!$G$110),55555)*(C265-C264)/IF(C265&lt;='SOLLECITAZ NASCOSTO'!$P$12,IF(C265&lt;='SOLLECITAZ NASCOSTO'!$P$11,IF(C265&lt;='SOLLECITAZ NASCOSTO'!$P$10,IF(C265&lt;='SOLLECITAZ NASCOSTO'!$P$9,IF(C265&lt;='SOLLECITAZ NASCOSTO'!$P$8,IF(C265&lt;='SOLLECITAZ NASCOSTO'!$P$7,IF(C265&lt;='SOLLECITAZ NASCOSTO'!$P$6,IF(C265&lt;='SOLLECITAZ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65" s="41">
        <f t="shared" si="75"/>
        <v>2.3199999999999946E-4</v>
      </c>
      <c r="Q265" s="41">
        <f t="shared" si="73"/>
        <v>1</v>
      </c>
      <c r="R265" s="434">
        <f t="shared" si="67"/>
        <v>2.5383902668191953</v>
      </c>
      <c r="S265" s="45">
        <f t="shared" si="74"/>
        <v>2.5383902668191953</v>
      </c>
      <c r="T265" s="205">
        <f t="shared" si="70"/>
        <v>2.4936713254416856</v>
      </c>
      <c r="U265" s="45">
        <f t="shared" si="71"/>
        <v>110.5308216507692</v>
      </c>
      <c r="V265" s="45">
        <f t="shared" si="72"/>
        <v>-107.99205782335605</v>
      </c>
      <c r="W265" s="488"/>
      <c r="X265" s="489"/>
      <c r="Y265" s="489"/>
      <c r="Z265" s="490"/>
      <c r="AA265" s="46"/>
    </row>
    <row r="266" spans="1:27" s="421" customFormat="1" x14ac:dyDescent="0.25">
      <c r="A266" s="581">
        <f t="shared" si="68"/>
        <v>0.45411661984413254</v>
      </c>
      <c r="B266" s="31">
        <f t="shared" si="76"/>
        <v>234</v>
      </c>
      <c r="C266" s="434">
        <f>'SOLLECITAZ NASCOSTO'!$D$6/'SOLLECITAZ NASCOSTO'!$B$448*'SOLLECITAZ NASCOSTO'!B266</f>
        <v>2.5492846456467455</v>
      </c>
      <c r="D266" s="434">
        <f t="shared" si="69"/>
        <v>0.57411661984413254</v>
      </c>
      <c r="E266" s="434">
        <f t="shared" si="63"/>
        <v>0.45411661984413254</v>
      </c>
      <c r="F266" s="434">
        <f t="shared" si="64"/>
        <v>0.44531731835012239</v>
      </c>
      <c r="G266" s="434">
        <f t="shared" si="65"/>
        <v>6.8433582909000354E-2</v>
      </c>
      <c r="H266" s="434">
        <f t="shared" si="77"/>
        <v>0</v>
      </c>
      <c r="I266" s="434">
        <v>0</v>
      </c>
      <c r="J266" s="127">
        <f t="shared" si="78"/>
        <v>0.15367375147803197</v>
      </c>
      <c r="K266" s="126">
        <f t="shared" si="66"/>
        <v>1.0924249812934302E-2</v>
      </c>
      <c r="L266" s="41">
        <f t="shared" si="79"/>
        <v>111.33421726993815</v>
      </c>
      <c r="M266" s="41">
        <f t="shared" si="80"/>
        <v>-109.20059871465172</v>
      </c>
      <c r="N266" s="41">
        <f>(IF(C265&lt;='SOLLECITAZ NASCOSTO'!$P$12,IF(C265&lt;='SOLLECITAZ NASCOSTO'!$P$11,IF(C265&lt;='SOLLECITAZ NASCOSTO'!$P$10,IF(C265&lt;='SOLLECITAZ NASCOSTO'!$P$9,IF(C265&lt;='SOLLECITAZ NASCOSTO'!$P$8,IF(C265&lt;='SOLLECITAZ NASCOSTO'!$P$7,IF(C265&lt;='SOLLECITAZ NASCOSTO'!$P$6,IF(C265&lt;='SOLLECITAZ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paramento'!$G$111),55555)-IF(C265&lt;='SOLLECITAZ NASCOSTO'!$P$12,IF(C265&lt;='SOLLECITAZ NASCOSTO'!$P$11,IF(C265&lt;='SOLLECITAZ NASCOSTO'!$P$10,IF(C265&lt;='SOLLECITAZ NASCOSTO'!$P$9,IF(C265&lt;='SOLLECITAZ NASCOSTO'!$P$8,IF(C265&lt;='SOLLECITAZ NASCOSTO'!$P$7,IF(C265&lt;='SOLLECITAZ NASCOSTO'!$P$6,IF(C265&lt;='SOLLECITAZ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paramento'!$G$111))*(C265-IF(C265&lt;='SOLLECITAZ NASCOSTO'!$P$12,IF(C265&lt;='SOLLECITAZ NASCOSTO'!$P$11,IF(C265&lt;='SOLLECITAZ NASCOSTO'!$P$10,IF(C265&lt;='SOLLECITAZ NASCOSTO'!$P$9,IF(C265&lt;='SOLLECITAZ NASCOSTO'!$P$8,IF(C265&lt;='SOLLECITAZ NASCOSTO'!$P$7,IF(C265&lt;='SOLLECITAZ NASCOSTO'!$P$6,IF(C265&lt;='SOLLECITAZ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NASCOSTO'!$P$12))/IF(C265&lt;='SOLLECITAZ NASCOSTO'!$P$12,IF(C265&lt;='SOLLECITAZ NASCOSTO'!$P$11,IF(C265&lt;='SOLLECITAZ NASCOSTO'!$P$10,IF(C265&lt;='SOLLECITAZ NASCOSTO'!$P$9,IF(C265&lt;='SOLLECITAZ NASCOSTO'!$P$8,IF(C265&lt;='SOLLECITAZ NASCOSTO'!$P$7,IF(C265&lt;='SOLLECITAZ NASCOSTO'!$P$6,IF(C265&lt;='SOLLECITAZ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paramento'!$C$111)+IF(C265&lt;='SOLLECITAZ NASCOSTO'!$P$12,IF(C265&lt;='SOLLECITAZ NASCOSTO'!$P$11,IF(C265&lt;='SOLLECITAZ NASCOSTO'!$P$10,IF(C265&lt;='SOLLECITAZ NASCOSTO'!$P$9,IF(C265&lt;='SOLLECITAZ NASCOSTO'!$P$8,IF(C265&lt;='SOLLECITAZ NASCOSTO'!$P$7,IF(C265&lt;='SOLLECITAZ NASCOSTO'!$P$6,IF(C265&lt;='SOLLECITAZ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73.614988736401685</v>
      </c>
      <c r="O266" s="41">
        <f>IF(C266&lt;='SOLLECITAZ NASCOSTO'!$P$12,IF(C266&lt;='SOLLECITAZ NASCOSTO'!$P$11,IF(C266&lt;='SOLLECITAZ NASCOSTO'!$P$10,IF(C266&lt;='SOLLECITAZ NASCOSTO'!$P$9,IF(C266&lt;='SOLLECITAZ NASCOSTO'!$P$8,IF(C266&lt;='SOLLECITAZ NASCOSTO'!$P$7,IF(C266&lt;='SOLLECITAZ NASCOSTO'!$P$6,IF(C266&lt;='SOLLECITAZ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paramento'!$G$110),55555)*(C266-C265)/IF(C266&lt;='SOLLECITAZ NASCOSTO'!$P$12,IF(C266&lt;='SOLLECITAZ NASCOSTO'!$P$11,IF(C266&lt;='SOLLECITAZ NASCOSTO'!$P$10,IF(C266&lt;='SOLLECITAZ NASCOSTO'!$P$9,IF(C266&lt;='SOLLECITAZ NASCOSTO'!$P$8,IF(C266&lt;='SOLLECITAZ NASCOSTO'!$P$7,IF(C266&lt;='SOLLECITAZ NASCOSTO'!$P$6,IF(C266&lt;='SOLLECITAZ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66" s="41">
        <f t="shared" si="75"/>
        <v>2.3299999999999946E-4</v>
      </c>
      <c r="Q266" s="41">
        <f t="shared" si="73"/>
        <v>1</v>
      </c>
      <c r="R266" s="434">
        <f t="shared" si="67"/>
        <v>2.5492846456467455</v>
      </c>
      <c r="S266" s="45">
        <f t="shared" si="74"/>
        <v>2.5492846456467455</v>
      </c>
      <c r="T266" s="205">
        <f t="shared" si="70"/>
        <v>2.4827769466141354</v>
      </c>
      <c r="U266" s="45">
        <f t="shared" si="71"/>
        <v>111.33421726993815</v>
      </c>
      <c r="V266" s="45">
        <f t="shared" si="72"/>
        <v>-109.20059871465172</v>
      </c>
      <c r="W266" s="488"/>
      <c r="X266" s="489"/>
      <c r="Y266" s="489"/>
      <c r="Z266" s="490"/>
      <c r="AA266" s="46"/>
    </row>
    <row r="267" spans="1:27" s="421" customFormat="1" x14ac:dyDescent="0.25">
      <c r="A267" s="581">
        <f t="shared" si="68"/>
        <v>0.45568746259224169</v>
      </c>
      <c r="B267" s="31">
        <f t="shared" si="76"/>
        <v>235</v>
      </c>
      <c r="C267" s="434">
        <f>'SOLLECITAZ NASCOSTO'!$D$6/'SOLLECITAZ NASCOSTO'!$B$448*'SOLLECITAZ NASCOSTO'!B267</f>
        <v>2.5601790244742957</v>
      </c>
      <c r="D267" s="434">
        <f t="shared" si="69"/>
        <v>0.57568746259224168</v>
      </c>
      <c r="E267" s="434">
        <f t="shared" si="63"/>
        <v>0.45568746259224169</v>
      </c>
      <c r="F267" s="434">
        <f t="shared" si="64"/>
        <v>0.44581998802951733</v>
      </c>
      <c r="G267" s="434">
        <f t="shared" si="65"/>
        <v>6.8722568733742981E-2</v>
      </c>
      <c r="H267" s="434">
        <f t="shared" si="77"/>
        <v>0</v>
      </c>
      <c r="I267" s="434">
        <v>0</v>
      </c>
      <c r="J267" s="127">
        <f t="shared" si="78"/>
        <v>0.15414869359601913</v>
      </c>
      <c r="K267" s="126">
        <f t="shared" si="66"/>
        <v>1.1013339678665288E-2</v>
      </c>
      <c r="L267" s="41">
        <f t="shared" si="79"/>
        <v>112.1404249780846</v>
      </c>
      <c r="M267" s="41">
        <f t="shared" si="80"/>
        <v>-110.41790742015232</v>
      </c>
      <c r="N267" s="41">
        <f>(IF(C266&lt;='SOLLECITAZ NASCOSTO'!$P$12,IF(C266&lt;='SOLLECITAZ NASCOSTO'!$P$11,IF(C266&lt;='SOLLECITAZ NASCOSTO'!$P$10,IF(C266&lt;='SOLLECITAZ NASCOSTO'!$P$9,IF(C266&lt;='SOLLECITAZ NASCOSTO'!$P$8,IF(C266&lt;='SOLLECITAZ NASCOSTO'!$P$7,IF(C266&lt;='SOLLECITAZ NASCOSTO'!$P$6,IF(C266&lt;='SOLLECITAZ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paramento'!$G$111),55555)-IF(C266&lt;='SOLLECITAZ NASCOSTO'!$P$12,IF(C266&lt;='SOLLECITAZ NASCOSTO'!$P$11,IF(C266&lt;='SOLLECITAZ NASCOSTO'!$P$10,IF(C266&lt;='SOLLECITAZ NASCOSTO'!$P$9,IF(C266&lt;='SOLLECITAZ NASCOSTO'!$P$8,IF(C266&lt;='SOLLECITAZ NASCOSTO'!$P$7,IF(C266&lt;='SOLLECITAZ NASCOSTO'!$P$6,IF(C266&lt;='SOLLECITAZ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paramento'!$G$111))*(C266-IF(C266&lt;='SOLLECITAZ NASCOSTO'!$P$12,IF(C266&lt;='SOLLECITAZ NASCOSTO'!$P$11,IF(C266&lt;='SOLLECITAZ NASCOSTO'!$P$10,IF(C266&lt;='SOLLECITAZ NASCOSTO'!$P$9,IF(C266&lt;='SOLLECITAZ NASCOSTO'!$P$8,IF(C266&lt;='SOLLECITAZ NASCOSTO'!$P$7,IF(C266&lt;='SOLLECITAZ NASCOSTO'!$P$6,IF(C266&lt;='SOLLECITAZ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NASCOSTO'!$P$12))/IF(C266&lt;='SOLLECITAZ NASCOSTO'!$P$12,IF(C266&lt;='SOLLECITAZ NASCOSTO'!$P$11,IF(C266&lt;='SOLLECITAZ NASCOSTO'!$P$10,IF(C266&lt;='SOLLECITAZ NASCOSTO'!$P$9,IF(C266&lt;='SOLLECITAZ NASCOSTO'!$P$8,IF(C266&lt;='SOLLECITAZ NASCOSTO'!$P$7,IF(C266&lt;='SOLLECITAZ NASCOSTO'!$P$6,IF(C266&lt;='SOLLECITAZ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paramento'!$C$111)+IF(C266&lt;='SOLLECITAZ NASCOSTO'!$P$12,IF(C266&lt;='SOLLECITAZ NASCOSTO'!$P$11,IF(C266&lt;='SOLLECITAZ NASCOSTO'!$P$10,IF(C266&lt;='SOLLECITAZ NASCOSTO'!$P$9,IF(C266&lt;='SOLLECITAZ NASCOSTO'!$P$8,IF(C266&lt;='SOLLECITAZ NASCOSTO'!$P$7,IF(C266&lt;='SOLLECITAZ NASCOSTO'!$P$6,IF(C266&lt;='SOLLECITAZ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73.873111665851098</v>
      </c>
      <c r="O267" s="41">
        <f>IF(C267&lt;='SOLLECITAZ NASCOSTO'!$P$12,IF(C267&lt;='SOLLECITAZ NASCOSTO'!$P$11,IF(C267&lt;='SOLLECITAZ NASCOSTO'!$P$10,IF(C267&lt;='SOLLECITAZ NASCOSTO'!$P$9,IF(C267&lt;='SOLLECITAZ NASCOSTO'!$P$8,IF(C267&lt;='SOLLECITAZ NASCOSTO'!$P$7,IF(C267&lt;='SOLLECITAZ NASCOSTO'!$P$6,IF(C267&lt;='SOLLECITAZ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paramento'!$G$110),55555)*(C267-C266)/IF(C267&lt;='SOLLECITAZ NASCOSTO'!$P$12,IF(C267&lt;='SOLLECITAZ NASCOSTO'!$P$11,IF(C267&lt;='SOLLECITAZ NASCOSTO'!$P$10,IF(C267&lt;='SOLLECITAZ NASCOSTO'!$P$9,IF(C267&lt;='SOLLECITAZ NASCOSTO'!$P$8,IF(C267&lt;='SOLLECITAZ NASCOSTO'!$P$7,IF(C267&lt;='SOLLECITAZ NASCOSTO'!$P$6,IF(C267&lt;='SOLLECITAZ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67" s="41">
        <f t="shared" si="75"/>
        <v>2.3399999999999945E-4</v>
      </c>
      <c r="Q267" s="41">
        <f t="shared" si="73"/>
        <v>1</v>
      </c>
      <c r="R267" s="434">
        <f t="shared" si="67"/>
        <v>2.5601790244742957</v>
      </c>
      <c r="S267" s="45">
        <f t="shared" si="74"/>
        <v>2.5601790244742957</v>
      </c>
      <c r="T267" s="205">
        <f t="shared" si="70"/>
        <v>2.4718825677865852</v>
      </c>
      <c r="U267" s="45">
        <f t="shared" si="71"/>
        <v>112.1404249780846</v>
      </c>
      <c r="V267" s="45">
        <f t="shared" si="72"/>
        <v>-110.41790742015232</v>
      </c>
      <c r="W267" s="488"/>
      <c r="X267" s="489"/>
      <c r="Y267" s="489"/>
      <c r="Z267" s="490"/>
      <c r="AA267" s="46"/>
    </row>
    <row r="268" spans="1:27" s="421" customFormat="1" x14ac:dyDescent="0.25">
      <c r="A268" s="581">
        <f t="shared" si="68"/>
        <v>0.45725830534035083</v>
      </c>
      <c r="B268" s="31">
        <f t="shared" si="76"/>
        <v>236</v>
      </c>
      <c r="C268" s="434">
        <f>'SOLLECITAZ NASCOSTO'!$D$6/'SOLLECITAZ NASCOSTO'!$B$448*'SOLLECITAZ NASCOSTO'!B268</f>
        <v>2.5710734033018459</v>
      </c>
      <c r="D268" s="434">
        <f t="shared" si="69"/>
        <v>0.57725830534035083</v>
      </c>
      <c r="E268" s="434">
        <f t="shared" si="63"/>
        <v>0.45725830534035083</v>
      </c>
      <c r="F268" s="434">
        <f t="shared" si="64"/>
        <v>0.44632265770891222</v>
      </c>
      <c r="G268" s="434">
        <f t="shared" si="65"/>
        <v>6.9012344173506185E-2</v>
      </c>
      <c r="H268" s="434">
        <f t="shared" si="77"/>
        <v>0</v>
      </c>
      <c r="I268" s="434">
        <v>0</v>
      </c>
      <c r="J268" s="127">
        <f t="shared" si="78"/>
        <v>0.15462433506684181</v>
      </c>
      <c r="K268" s="126">
        <f t="shared" si="66"/>
        <v>1.1102893827128287E-2</v>
      </c>
      <c r="L268" s="41">
        <f t="shared" si="79"/>
        <v>112.94944477520853</v>
      </c>
      <c r="M268" s="41">
        <f t="shared" si="80"/>
        <v>-111.64401457582046</v>
      </c>
      <c r="N268" s="41">
        <f>(IF(C267&lt;='SOLLECITAZ NASCOSTO'!$P$12,IF(C267&lt;='SOLLECITAZ NASCOSTO'!$P$11,IF(C267&lt;='SOLLECITAZ NASCOSTO'!$P$10,IF(C267&lt;='SOLLECITAZ NASCOSTO'!$P$9,IF(C267&lt;='SOLLECITAZ NASCOSTO'!$P$8,IF(C267&lt;='SOLLECITAZ NASCOSTO'!$P$7,IF(C267&lt;='SOLLECITAZ NASCOSTO'!$P$6,IF(C267&lt;='SOLLECITAZ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paramento'!$G$111),55555)-IF(C267&lt;='SOLLECITAZ NASCOSTO'!$P$12,IF(C267&lt;='SOLLECITAZ NASCOSTO'!$P$11,IF(C267&lt;='SOLLECITAZ NASCOSTO'!$P$10,IF(C267&lt;='SOLLECITAZ NASCOSTO'!$P$9,IF(C267&lt;='SOLLECITAZ NASCOSTO'!$P$8,IF(C267&lt;='SOLLECITAZ NASCOSTO'!$P$7,IF(C267&lt;='SOLLECITAZ NASCOSTO'!$P$6,IF(C267&lt;='SOLLECITAZ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paramento'!$G$111))*(C267-IF(C267&lt;='SOLLECITAZ NASCOSTO'!$P$12,IF(C267&lt;='SOLLECITAZ NASCOSTO'!$P$11,IF(C267&lt;='SOLLECITAZ NASCOSTO'!$P$10,IF(C267&lt;='SOLLECITAZ NASCOSTO'!$P$9,IF(C267&lt;='SOLLECITAZ NASCOSTO'!$P$8,IF(C267&lt;='SOLLECITAZ NASCOSTO'!$P$7,IF(C267&lt;='SOLLECITAZ NASCOSTO'!$P$6,IF(C267&lt;='SOLLECITAZ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NASCOSTO'!$P$12))/IF(C267&lt;='SOLLECITAZ NASCOSTO'!$P$12,IF(C267&lt;='SOLLECITAZ NASCOSTO'!$P$11,IF(C267&lt;='SOLLECITAZ NASCOSTO'!$P$10,IF(C267&lt;='SOLLECITAZ NASCOSTO'!$P$9,IF(C267&lt;='SOLLECITAZ NASCOSTO'!$P$8,IF(C267&lt;='SOLLECITAZ NASCOSTO'!$P$7,IF(C267&lt;='SOLLECITAZ NASCOSTO'!$P$6,IF(C267&lt;='SOLLECITAZ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paramento'!$C$111)+IF(C267&lt;='SOLLECITAZ NASCOSTO'!$P$12,IF(C267&lt;='SOLLECITAZ NASCOSTO'!$P$11,IF(C267&lt;='SOLLECITAZ NASCOSTO'!$P$10,IF(C267&lt;='SOLLECITAZ NASCOSTO'!$P$9,IF(C267&lt;='SOLLECITAZ NASCOSTO'!$P$8,IF(C267&lt;='SOLLECITAZ NASCOSTO'!$P$7,IF(C267&lt;='SOLLECITAZ NASCOSTO'!$P$6,IF(C267&lt;='SOLLECITAZ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74.131234595300498</v>
      </c>
      <c r="O268" s="41">
        <f>IF(C268&lt;='SOLLECITAZ NASCOSTO'!$P$12,IF(C268&lt;='SOLLECITAZ NASCOSTO'!$P$11,IF(C268&lt;='SOLLECITAZ NASCOSTO'!$P$10,IF(C268&lt;='SOLLECITAZ NASCOSTO'!$P$9,IF(C268&lt;='SOLLECITAZ NASCOSTO'!$P$8,IF(C268&lt;='SOLLECITAZ NASCOSTO'!$P$7,IF(C268&lt;='SOLLECITAZ NASCOSTO'!$P$6,IF(C268&lt;='SOLLECITAZ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paramento'!$G$110),55555)*(C268-C267)/IF(C268&lt;='SOLLECITAZ NASCOSTO'!$P$12,IF(C268&lt;='SOLLECITAZ NASCOSTO'!$P$11,IF(C268&lt;='SOLLECITAZ NASCOSTO'!$P$10,IF(C268&lt;='SOLLECITAZ NASCOSTO'!$P$9,IF(C268&lt;='SOLLECITAZ NASCOSTO'!$P$8,IF(C268&lt;='SOLLECITAZ NASCOSTO'!$P$7,IF(C268&lt;='SOLLECITAZ NASCOSTO'!$P$6,IF(C268&lt;='SOLLECITAZ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68" s="41">
        <f t="shared" si="75"/>
        <v>2.3499999999999945E-4</v>
      </c>
      <c r="Q268" s="41">
        <f t="shared" si="73"/>
        <v>1</v>
      </c>
      <c r="R268" s="434">
        <f t="shared" si="67"/>
        <v>2.5710734033018459</v>
      </c>
      <c r="S268" s="45">
        <f t="shared" si="74"/>
        <v>2.5710734033018459</v>
      </c>
      <c r="T268" s="205">
        <f t="shared" si="70"/>
        <v>2.460988188959035</v>
      </c>
      <c r="U268" s="45">
        <f t="shared" si="71"/>
        <v>112.94944477520853</v>
      </c>
      <c r="V268" s="45">
        <f t="shared" si="72"/>
        <v>-111.64401457582046</v>
      </c>
      <c r="W268" s="488"/>
      <c r="X268" s="489"/>
      <c r="Y268" s="489"/>
      <c r="Z268" s="490"/>
      <c r="AA268" s="46"/>
    </row>
    <row r="269" spans="1:27" s="421" customFormat="1" x14ac:dyDescent="0.25">
      <c r="A269" s="581">
        <f t="shared" si="68"/>
        <v>0.45882914808845998</v>
      </c>
      <c r="B269" s="31">
        <f t="shared" si="76"/>
        <v>237</v>
      </c>
      <c r="C269" s="434">
        <f>'SOLLECITAZ NASCOSTO'!$D$6/'SOLLECITAZ NASCOSTO'!$B$448*'SOLLECITAZ NASCOSTO'!B269</f>
        <v>2.581967782129396</v>
      </c>
      <c r="D269" s="434">
        <f t="shared" si="69"/>
        <v>0.57882914808845998</v>
      </c>
      <c r="E269" s="434">
        <f t="shared" si="63"/>
        <v>0.45882914808845998</v>
      </c>
      <c r="F269" s="434">
        <f t="shared" si="64"/>
        <v>0.44682532738830716</v>
      </c>
      <c r="G269" s="434">
        <f t="shared" si="65"/>
        <v>6.9302909228289966E-2</v>
      </c>
      <c r="H269" s="434">
        <f t="shared" si="77"/>
        <v>0</v>
      </c>
      <c r="I269" s="434">
        <v>0</v>
      </c>
      <c r="J269" s="127">
        <f t="shared" si="78"/>
        <v>0.15510067353022552</v>
      </c>
      <c r="K269" s="126">
        <f t="shared" si="66"/>
        <v>1.1192913167932472E-2</v>
      </c>
      <c r="L269" s="41">
        <f t="shared" si="79"/>
        <v>113.76127666130998</v>
      </c>
      <c r="M269" s="41">
        <f t="shared" si="80"/>
        <v>-112.87895081761879</v>
      </c>
      <c r="N269" s="41">
        <f>(IF(C268&lt;='SOLLECITAZ NASCOSTO'!$P$12,IF(C268&lt;='SOLLECITAZ NASCOSTO'!$P$11,IF(C268&lt;='SOLLECITAZ NASCOSTO'!$P$10,IF(C268&lt;='SOLLECITAZ NASCOSTO'!$P$9,IF(C268&lt;='SOLLECITAZ NASCOSTO'!$P$8,IF(C268&lt;='SOLLECITAZ NASCOSTO'!$P$7,IF(C268&lt;='SOLLECITAZ NASCOSTO'!$P$6,IF(C268&lt;='SOLLECITAZ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paramento'!$G$111),55555)-IF(C268&lt;='SOLLECITAZ NASCOSTO'!$P$12,IF(C268&lt;='SOLLECITAZ NASCOSTO'!$P$11,IF(C268&lt;='SOLLECITAZ NASCOSTO'!$P$10,IF(C268&lt;='SOLLECITAZ NASCOSTO'!$P$9,IF(C268&lt;='SOLLECITAZ NASCOSTO'!$P$8,IF(C268&lt;='SOLLECITAZ NASCOSTO'!$P$7,IF(C268&lt;='SOLLECITAZ NASCOSTO'!$P$6,IF(C268&lt;='SOLLECITAZ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paramento'!$G$111))*(C268-IF(C268&lt;='SOLLECITAZ NASCOSTO'!$P$12,IF(C268&lt;='SOLLECITAZ NASCOSTO'!$P$11,IF(C268&lt;='SOLLECITAZ NASCOSTO'!$P$10,IF(C268&lt;='SOLLECITAZ NASCOSTO'!$P$9,IF(C268&lt;='SOLLECITAZ NASCOSTO'!$P$8,IF(C268&lt;='SOLLECITAZ NASCOSTO'!$P$7,IF(C268&lt;='SOLLECITAZ NASCOSTO'!$P$6,IF(C268&lt;='SOLLECITAZ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NASCOSTO'!$P$12))/IF(C268&lt;='SOLLECITAZ NASCOSTO'!$P$12,IF(C268&lt;='SOLLECITAZ NASCOSTO'!$P$11,IF(C268&lt;='SOLLECITAZ NASCOSTO'!$P$10,IF(C268&lt;='SOLLECITAZ NASCOSTO'!$P$9,IF(C268&lt;='SOLLECITAZ NASCOSTO'!$P$8,IF(C268&lt;='SOLLECITAZ NASCOSTO'!$P$7,IF(C268&lt;='SOLLECITAZ NASCOSTO'!$P$6,IF(C268&lt;='SOLLECITAZ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paramento'!$C$111)+IF(C268&lt;='SOLLECITAZ NASCOSTO'!$P$12,IF(C268&lt;='SOLLECITAZ NASCOSTO'!$P$11,IF(C268&lt;='SOLLECITAZ NASCOSTO'!$P$10,IF(C268&lt;='SOLLECITAZ NASCOSTO'!$P$9,IF(C268&lt;='SOLLECITAZ NASCOSTO'!$P$8,IF(C268&lt;='SOLLECITAZ NASCOSTO'!$P$7,IF(C268&lt;='SOLLECITAZ NASCOSTO'!$P$6,IF(C268&lt;='SOLLECITAZ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74.389357524749897</v>
      </c>
      <c r="O269" s="41">
        <f>IF(C269&lt;='SOLLECITAZ NASCOSTO'!$P$12,IF(C269&lt;='SOLLECITAZ NASCOSTO'!$P$11,IF(C269&lt;='SOLLECITAZ NASCOSTO'!$P$10,IF(C269&lt;='SOLLECITAZ NASCOSTO'!$P$9,IF(C269&lt;='SOLLECITAZ NASCOSTO'!$P$8,IF(C269&lt;='SOLLECITAZ NASCOSTO'!$P$7,IF(C269&lt;='SOLLECITAZ NASCOSTO'!$P$6,IF(C269&lt;='SOLLECITAZ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paramento'!$G$110),55555)*(C269-C268)/IF(C269&lt;='SOLLECITAZ NASCOSTO'!$P$12,IF(C269&lt;='SOLLECITAZ NASCOSTO'!$P$11,IF(C269&lt;='SOLLECITAZ NASCOSTO'!$P$10,IF(C269&lt;='SOLLECITAZ NASCOSTO'!$P$9,IF(C269&lt;='SOLLECITAZ NASCOSTO'!$P$8,IF(C269&lt;='SOLLECITAZ NASCOSTO'!$P$7,IF(C269&lt;='SOLLECITAZ NASCOSTO'!$P$6,IF(C269&lt;='SOLLECITAZ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69" s="41">
        <f t="shared" si="75"/>
        <v>2.3599999999999945E-4</v>
      </c>
      <c r="Q269" s="41">
        <f t="shared" si="73"/>
        <v>1</v>
      </c>
      <c r="R269" s="434">
        <f t="shared" si="67"/>
        <v>2.581967782129396</v>
      </c>
      <c r="S269" s="45">
        <f t="shared" si="74"/>
        <v>2.581967782129396</v>
      </c>
      <c r="T269" s="205">
        <f t="shared" si="70"/>
        <v>2.4500938101314849</v>
      </c>
      <c r="U269" s="45">
        <f t="shared" si="71"/>
        <v>113.76127666130998</v>
      </c>
      <c r="V269" s="45">
        <f t="shared" si="72"/>
        <v>-112.87895081761879</v>
      </c>
      <c r="W269" s="488"/>
      <c r="X269" s="489"/>
      <c r="Y269" s="489"/>
      <c r="Z269" s="490"/>
      <c r="AA269" s="46"/>
    </row>
    <row r="270" spans="1:27" s="421" customFormat="1" x14ac:dyDescent="0.25">
      <c r="A270" s="581">
        <f t="shared" si="68"/>
        <v>0.46039999083656913</v>
      </c>
      <c r="B270" s="31">
        <f t="shared" si="76"/>
        <v>238</v>
      </c>
      <c r="C270" s="434">
        <f>'SOLLECITAZ NASCOSTO'!$D$6/'SOLLECITAZ NASCOSTO'!$B$448*'SOLLECITAZ NASCOSTO'!B270</f>
        <v>2.5928621609569462</v>
      </c>
      <c r="D270" s="434">
        <f t="shared" si="69"/>
        <v>0.58039999083656912</v>
      </c>
      <c r="E270" s="434">
        <f t="shared" si="63"/>
        <v>0.46039999083656913</v>
      </c>
      <c r="F270" s="434">
        <f t="shared" si="64"/>
        <v>0.4473279970677021</v>
      </c>
      <c r="G270" s="434">
        <f t="shared" si="65"/>
        <v>6.9594263898094325E-2</v>
      </c>
      <c r="H270" s="434">
        <f t="shared" si="77"/>
        <v>0</v>
      </c>
      <c r="I270" s="434">
        <v>0</v>
      </c>
      <c r="J270" s="127">
        <f t="shared" si="78"/>
        <v>0.155577706636505</v>
      </c>
      <c r="K270" s="126">
        <f t="shared" si="66"/>
        <v>1.1283398609386059E-2</v>
      </c>
      <c r="L270" s="41">
        <f t="shared" si="79"/>
        <v>114.57592063638891</v>
      </c>
      <c r="M270" s="41">
        <f t="shared" si="80"/>
        <v>-114.12274678150989</v>
      </c>
      <c r="N270" s="41">
        <f>(IF(C269&lt;='SOLLECITAZ NASCOSTO'!$P$12,IF(C269&lt;='SOLLECITAZ NASCOSTO'!$P$11,IF(C269&lt;='SOLLECITAZ NASCOSTO'!$P$10,IF(C269&lt;='SOLLECITAZ NASCOSTO'!$P$9,IF(C269&lt;='SOLLECITAZ NASCOSTO'!$P$8,IF(C269&lt;='SOLLECITAZ NASCOSTO'!$P$7,IF(C269&lt;='SOLLECITAZ NASCOSTO'!$P$6,IF(C269&lt;='SOLLECITAZ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paramento'!$G$111),55555)-IF(C269&lt;='SOLLECITAZ NASCOSTO'!$P$12,IF(C269&lt;='SOLLECITAZ NASCOSTO'!$P$11,IF(C269&lt;='SOLLECITAZ NASCOSTO'!$P$10,IF(C269&lt;='SOLLECITAZ NASCOSTO'!$P$9,IF(C269&lt;='SOLLECITAZ NASCOSTO'!$P$8,IF(C269&lt;='SOLLECITAZ NASCOSTO'!$P$7,IF(C269&lt;='SOLLECITAZ NASCOSTO'!$P$6,IF(C269&lt;='SOLLECITAZ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paramento'!$G$111))*(C269-IF(C269&lt;='SOLLECITAZ NASCOSTO'!$P$12,IF(C269&lt;='SOLLECITAZ NASCOSTO'!$P$11,IF(C269&lt;='SOLLECITAZ NASCOSTO'!$P$10,IF(C269&lt;='SOLLECITAZ NASCOSTO'!$P$9,IF(C269&lt;='SOLLECITAZ NASCOSTO'!$P$8,IF(C269&lt;='SOLLECITAZ NASCOSTO'!$P$7,IF(C269&lt;='SOLLECITAZ NASCOSTO'!$P$6,IF(C269&lt;='SOLLECITAZ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NASCOSTO'!$P$12))/IF(C269&lt;='SOLLECITAZ NASCOSTO'!$P$12,IF(C269&lt;='SOLLECITAZ NASCOSTO'!$P$11,IF(C269&lt;='SOLLECITAZ NASCOSTO'!$P$10,IF(C269&lt;='SOLLECITAZ NASCOSTO'!$P$9,IF(C269&lt;='SOLLECITAZ NASCOSTO'!$P$8,IF(C269&lt;='SOLLECITAZ NASCOSTO'!$P$7,IF(C269&lt;='SOLLECITAZ NASCOSTO'!$P$6,IF(C269&lt;='SOLLECITAZ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paramento'!$C$111)+IF(C269&lt;='SOLLECITAZ NASCOSTO'!$P$12,IF(C269&lt;='SOLLECITAZ NASCOSTO'!$P$11,IF(C269&lt;='SOLLECITAZ NASCOSTO'!$P$10,IF(C269&lt;='SOLLECITAZ NASCOSTO'!$P$9,IF(C269&lt;='SOLLECITAZ NASCOSTO'!$P$8,IF(C269&lt;='SOLLECITAZ NASCOSTO'!$P$7,IF(C269&lt;='SOLLECITAZ NASCOSTO'!$P$6,IF(C269&lt;='SOLLECITAZ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74.647480454199311</v>
      </c>
      <c r="O270" s="41">
        <f>IF(C270&lt;='SOLLECITAZ NASCOSTO'!$P$12,IF(C270&lt;='SOLLECITAZ NASCOSTO'!$P$11,IF(C270&lt;='SOLLECITAZ NASCOSTO'!$P$10,IF(C270&lt;='SOLLECITAZ NASCOSTO'!$P$9,IF(C270&lt;='SOLLECITAZ NASCOSTO'!$P$8,IF(C270&lt;='SOLLECITAZ NASCOSTO'!$P$7,IF(C270&lt;='SOLLECITAZ NASCOSTO'!$P$6,IF(C270&lt;='SOLLECITAZ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paramento'!$G$110),55555)*(C270-C269)/IF(C270&lt;='SOLLECITAZ NASCOSTO'!$P$12,IF(C270&lt;='SOLLECITAZ NASCOSTO'!$P$11,IF(C270&lt;='SOLLECITAZ NASCOSTO'!$P$10,IF(C270&lt;='SOLLECITAZ NASCOSTO'!$P$9,IF(C270&lt;='SOLLECITAZ NASCOSTO'!$P$8,IF(C270&lt;='SOLLECITAZ NASCOSTO'!$P$7,IF(C270&lt;='SOLLECITAZ NASCOSTO'!$P$6,IF(C270&lt;='SOLLECITAZ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70" s="41">
        <f t="shared" si="75"/>
        <v>2.3699999999999945E-4</v>
      </c>
      <c r="Q270" s="41">
        <f t="shared" si="73"/>
        <v>1</v>
      </c>
      <c r="R270" s="434">
        <f t="shared" si="67"/>
        <v>2.5928621609569462</v>
      </c>
      <c r="S270" s="45">
        <f t="shared" si="74"/>
        <v>2.5928621609569462</v>
      </c>
      <c r="T270" s="205">
        <f t="shared" si="70"/>
        <v>2.4391994313039347</v>
      </c>
      <c r="U270" s="45">
        <f t="shared" si="71"/>
        <v>114.57592063638891</v>
      </c>
      <c r="V270" s="45">
        <f t="shared" si="72"/>
        <v>-114.12274678150989</v>
      </c>
      <c r="W270" s="488"/>
      <c r="X270" s="489"/>
      <c r="Y270" s="489"/>
      <c r="Z270" s="490"/>
      <c r="AA270" s="46"/>
    </row>
    <row r="271" spans="1:27" s="421" customFormat="1" x14ac:dyDescent="0.25">
      <c r="A271" s="581">
        <f t="shared" si="68"/>
        <v>0.46197083358467839</v>
      </c>
      <c r="B271" s="31">
        <f t="shared" si="76"/>
        <v>239</v>
      </c>
      <c r="C271" s="434">
        <f>'SOLLECITAZ NASCOSTO'!$D$6/'SOLLECITAZ NASCOSTO'!$B$448*'SOLLECITAZ NASCOSTO'!B271</f>
        <v>2.6037565397844964</v>
      </c>
      <c r="D271" s="434">
        <f t="shared" si="69"/>
        <v>0.58197083358467838</v>
      </c>
      <c r="E271" s="434">
        <f t="shared" si="63"/>
        <v>0.46197083358467839</v>
      </c>
      <c r="F271" s="434">
        <f t="shared" si="64"/>
        <v>0.44783066674709704</v>
      </c>
      <c r="G271" s="434">
        <f t="shared" si="65"/>
        <v>6.988640818291926E-2</v>
      </c>
      <c r="H271" s="434">
        <f t="shared" si="77"/>
        <v>0</v>
      </c>
      <c r="I271" s="434">
        <v>0</v>
      </c>
      <c r="J271" s="127">
        <f t="shared" si="78"/>
        <v>0.15605543204656447</v>
      </c>
      <c r="K271" s="126">
        <f t="shared" si="66"/>
        <v>1.1374351058503646E-2</v>
      </c>
      <c r="L271" s="41">
        <f t="shared" si="79"/>
        <v>115.39337670044536</v>
      </c>
      <c r="M271" s="41">
        <f t="shared" si="80"/>
        <v>-115.37543310345639</v>
      </c>
      <c r="N271" s="41">
        <f>(IF(C270&lt;='SOLLECITAZ NASCOSTO'!$P$12,IF(C270&lt;='SOLLECITAZ NASCOSTO'!$P$11,IF(C270&lt;='SOLLECITAZ NASCOSTO'!$P$10,IF(C270&lt;='SOLLECITAZ NASCOSTO'!$P$9,IF(C270&lt;='SOLLECITAZ NASCOSTO'!$P$8,IF(C270&lt;='SOLLECITAZ NASCOSTO'!$P$7,IF(C270&lt;='SOLLECITAZ NASCOSTO'!$P$6,IF(C270&lt;='SOLLECITAZ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paramento'!$G$111),55555)-IF(C270&lt;='SOLLECITAZ NASCOSTO'!$P$12,IF(C270&lt;='SOLLECITAZ NASCOSTO'!$P$11,IF(C270&lt;='SOLLECITAZ NASCOSTO'!$P$10,IF(C270&lt;='SOLLECITAZ NASCOSTO'!$P$9,IF(C270&lt;='SOLLECITAZ NASCOSTO'!$P$8,IF(C270&lt;='SOLLECITAZ NASCOSTO'!$P$7,IF(C270&lt;='SOLLECITAZ NASCOSTO'!$P$6,IF(C270&lt;='SOLLECITAZ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paramento'!$G$111))*(C270-IF(C270&lt;='SOLLECITAZ NASCOSTO'!$P$12,IF(C270&lt;='SOLLECITAZ NASCOSTO'!$P$11,IF(C270&lt;='SOLLECITAZ NASCOSTO'!$P$10,IF(C270&lt;='SOLLECITAZ NASCOSTO'!$P$9,IF(C270&lt;='SOLLECITAZ NASCOSTO'!$P$8,IF(C270&lt;='SOLLECITAZ NASCOSTO'!$P$7,IF(C270&lt;='SOLLECITAZ NASCOSTO'!$P$6,IF(C270&lt;='SOLLECITAZ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NASCOSTO'!$P$12))/IF(C270&lt;='SOLLECITAZ NASCOSTO'!$P$12,IF(C270&lt;='SOLLECITAZ NASCOSTO'!$P$11,IF(C270&lt;='SOLLECITAZ NASCOSTO'!$P$10,IF(C270&lt;='SOLLECITAZ NASCOSTO'!$P$9,IF(C270&lt;='SOLLECITAZ NASCOSTO'!$P$8,IF(C270&lt;='SOLLECITAZ NASCOSTO'!$P$7,IF(C270&lt;='SOLLECITAZ NASCOSTO'!$P$6,IF(C270&lt;='SOLLECITAZ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paramento'!$C$111)+IF(C270&lt;='SOLLECITAZ NASCOSTO'!$P$12,IF(C270&lt;='SOLLECITAZ NASCOSTO'!$P$11,IF(C270&lt;='SOLLECITAZ NASCOSTO'!$P$10,IF(C270&lt;='SOLLECITAZ NASCOSTO'!$P$9,IF(C270&lt;='SOLLECITAZ NASCOSTO'!$P$8,IF(C270&lt;='SOLLECITAZ NASCOSTO'!$P$7,IF(C270&lt;='SOLLECITAZ NASCOSTO'!$P$6,IF(C270&lt;='SOLLECITAZ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74.905603383648725</v>
      </c>
      <c r="O271" s="41">
        <f>IF(C271&lt;='SOLLECITAZ NASCOSTO'!$P$12,IF(C271&lt;='SOLLECITAZ NASCOSTO'!$P$11,IF(C271&lt;='SOLLECITAZ NASCOSTO'!$P$10,IF(C271&lt;='SOLLECITAZ NASCOSTO'!$P$9,IF(C271&lt;='SOLLECITAZ NASCOSTO'!$P$8,IF(C271&lt;='SOLLECITAZ NASCOSTO'!$P$7,IF(C271&lt;='SOLLECITAZ NASCOSTO'!$P$6,IF(C271&lt;='SOLLECITAZ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paramento'!$G$110),55555)*(C271-C270)/IF(C271&lt;='SOLLECITAZ NASCOSTO'!$P$12,IF(C271&lt;='SOLLECITAZ NASCOSTO'!$P$11,IF(C271&lt;='SOLLECITAZ NASCOSTO'!$P$10,IF(C271&lt;='SOLLECITAZ NASCOSTO'!$P$9,IF(C271&lt;='SOLLECITAZ NASCOSTO'!$P$8,IF(C271&lt;='SOLLECITAZ NASCOSTO'!$P$7,IF(C271&lt;='SOLLECITAZ NASCOSTO'!$P$6,IF(C271&lt;='SOLLECITAZ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71" s="41">
        <f t="shared" si="75"/>
        <v>2.3799999999999944E-4</v>
      </c>
      <c r="Q271" s="41">
        <f t="shared" si="73"/>
        <v>1</v>
      </c>
      <c r="R271" s="434">
        <f t="shared" si="67"/>
        <v>2.6037565397844964</v>
      </c>
      <c r="S271" s="45">
        <f t="shared" si="74"/>
        <v>2.6037565397844964</v>
      </c>
      <c r="T271" s="205">
        <f t="shared" si="70"/>
        <v>2.4283050524763845</v>
      </c>
      <c r="U271" s="45">
        <f t="shared" si="71"/>
        <v>115.39337670044536</v>
      </c>
      <c r="V271" s="45">
        <f t="shared" si="72"/>
        <v>-115.37543310345639</v>
      </c>
      <c r="W271" s="488"/>
      <c r="X271" s="489"/>
      <c r="Y271" s="489"/>
      <c r="Z271" s="490"/>
      <c r="AA271" s="46"/>
    </row>
    <row r="272" spans="1:27" s="421" customFormat="1" x14ac:dyDescent="0.25">
      <c r="A272" s="581">
        <f t="shared" si="68"/>
        <v>0.46354167633278753</v>
      </c>
      <c r="B272" s="31">
        <f t="shared" si="76"/>
        <v>240</v>
      </c>
      <c r="C272" s="434">
        <f>'SOLLECITAZ NASCOSTO'!$D$6/'SOLLECITAZ NASCOSTO'!$B$448*'SOLLECITAZ NASCOSTO'!B272</f>
        <v>2.6146509186120466</v>
      </c>
      <c r="D272" s="434">
        <f t="shared" si="69"/>
        <v>0.58354167633278753</v>
      </c>
      <c r="E272" s="434">
        <f t="shared" si="63"/>
        <v>0.46354167633278753</v>
      </c>
      <c r="F272" s="434">
        <f t="shared" si="64"/>
        <v>0.44833333642649198</v>
      </c>
      <c r="G272" s="434">
        <f t="shared" si="65"/>
        <v>7.0179342082764759E-2</v>
      </c>
      <c r="H272" s="434">
        <f t="shared" si="77"/>
        <v>0</v>
      </c>
      <c r="I272" s="434">
        <v>0</v>
      </c>
      <c r="J272" s="127">
        <f t="shared" si="78"/>
        <v>0.15653384743177859</v>
      </c>
      <c r="K272" s="126">
        <f t="shared" si="66"/>
        <v>1.146577142101341E-2</v>
      </c>
      <c r="L272" s="41">
        <f t="shared" si="79"/>
        <v>116.21364485347929</v>
      </c>
      <c r="M272" s="41">
        <f t="shared" si="80"/>
        <v>-116.6370404194209</v>
      </c>
      <c r="N272" s="41">
        <f>(IF(C271&lt;='SOLLECITAZ NASCOSTO'!$P$12,IF(C271&lt;='SOLLECITAZ NASCOSTO'!$P$11,IF(C271&lt;='SOLLECITAZ NASCOSTO'!$P$10,IF(C271&lt;='SOLLECITAZ NASCOSTO'!$P$9,IF(C271&lt;='SOLLECITAZ NASCOSTO'!$P$8,IF(C271&lt;='SOLLECITAZ NASCOSTO'!$P$7,IF(C271&lt;='SOLLECITAZ NASCOSTO'!$P$6,IF(C271&lt;='SOLLECITAZ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paramento'!$G$111),55555)-IF(C271&lt;='SOLLECITAZ NASCOSTO'!$P$12,IF(C271&lt;='SOLLECITAZ NASCOSTO'!$P$11,IF(C271&lt;='SOLLECITAZ NASCOSTO'!$P$10,IF(C271&lt;='SOLLECITAZ NASCOSTO'!$P$9,IF(C271&lt;='SOLLECITAZ NASCOSTO'!$P$8,IF(C271&lt;='SOLLECITAZ NASCOSTO'!$P$7,IF(C271&lt;='SOLLECITAZ NASCOSTO'!$P$6,IF(C271&lt;='SOLLECITAZ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paramento'!$G$111))*(C271-IF(C271&lt;='SOLLECITAZ NASCOSTO'!$P$12,IF(C271&lt;='SOLLECITAZ NASCOSTO'!$P$11,IF(C271&lt;='SOLLECITAZ NASCOSTO'!$P$10,IF(C271&lt;='SOLLECITAZ NASCOSTO'!$P$9,IF(C271&lt;='SOLLECITAZ NASCOSTO'!$P$8,IF(C271&lt;='SOLLECITAZ NASCOSTO'!$P$7,IF(C271&lt;='SOLLECITAZ NASCOSTO'!$P$6,IF(C271&lt;='SOLLECITAZ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NASCOSTO'!$P$12))/IF(C271&lt;='SOLLECITAZ NASCOSTO'!$P$12,IF(C271&lt;='SOLLECITAZ NASCOSTO'!$P$11,IF(C271&lt;='SOLLECITAZ NASCOSTO'!$P$10,IF(C271&lt;='SOLLECITAZ NASCOSTO'!$P$9,IF(C271&lt;='SOLLECITAZ NASCOSTO'!$P$8,IF(C271&lt;='SOLLECITAZ NASCOSTO'!$P$7,IF(C271&lt;='SOLLECITAZ NASCOSTO'!$P$6,IF(C271&lt;='SOLLECITAZ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paramento'!$C$111)+IF(C271&lt;='SOLLECITAZ NASCOSTO'!$P$12,IF(C271&lt;='SOLLECITAZ NASCOSTO'!$P$11,IF(C271&lt;='SOLLECITAZ NASCOSTO'!$P$10,IF(C271&lt;='SOLLECITAZ NASCOSTO'!$P$9,IF(C271&lt;='SOLLECITAZ NASCOSTO'!$P$8,IF(C271&lt;='SOLLECITAZ NASCOSTO'!$P$7,IF(C271&lt;='SOLLECITAZ NASCOSTO'!$P$6,IF(C271&lt;='SOLLECITAZ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75.163726313098124</v>
      </c>
      <c r="O272" s="41">
        <f>IF(C272&lt;='SOLLECITAZ NASCOSTO'!$P$12,IF(C272&lt;='SOLLECITAZ NASCOSTO'!$P$11,IF(C272&lt;='SOLLECITAZ NASCOSTO'!$P$10,IF(C272&lt;='SOLLECITAZ NASCOSTO'!$P$9,IF(C272&lt;='SOLLECITAZ NASCOSTO'!$P$8,IF(C272&lt;='SOLLECITAZ NASCOSTO'!$P$7,IF(C272&lt;='SOLLECITAZ NASCOSTO'!$P$6,IF(C272&lt;='SOLLECITAZ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paramento'!$G$110),55555)*(C272-C271)/IF(C272&lt;='SOLLECITAZ NASCOSTO'!$P$12,IF(C272&lt;='SOLLECITAZ NASCOSTO'!$P$11,IF(C272&lt;='SOLLECITAZ NASCOSTO'!$P$10,IF(C272&lt;='SOLLECITAZ NASCOSTO'!$P$9,IF(C272&lt;='SOLLECITAZ NASCOSTO'!$P$8,IF(C272&lt;='SOLLECITAZ NASCOSTO'!$P$7,IF(C272&lt;='SOLLECITAZ NASCOSTO'!$P$6,IF(C272&lt;='SOLLECITAZ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72" s="41">
        <f t="shared" si="75"/>
        <v>2.3899999999999944E-4</v>
      </c>
      <c r="Q272" s="41">
        <f t="shared" si="73"/>
        <v>1</v>
      </c>
      <c r="R272" s="434">
        <f t="shared" si="67"/>
        <v>2.6146509186120466</v>
      </c>
      <c r="S272" s="45">
        <f t="shared" si="74"/>
        <v>2.6146509186120466</v>
      </c>
      <c r="T272" s="205">
        <f t="shared" si="70"/>
        <v>2.4174106736488343</v>
      </c>
      <c r="U272" s="45">
        <f t="shared" si="71"/>
        <v>116.21364485347929</v>
      </c>
      <c r="V272" s="45">
        <f t="shared" si="72"/>
        <v>-116.6370404194209</v>
      </c>
      <c r="W272" s="488"/>
      <c r="X272" s="489"/>
      <c r="Y272" s="489"/>
      <c r="Z272" s="490"/>
      <c r="AA272" s="46"/>
    </row>
    <row r="273" spans="1:27" s="421" customFormat="1" x14ac:dyDescent="0.25">
      <c r="A273" s="581">
        <f t="shared" si="68"/>
        <v>0.46511251908089668</v>
      </c>
      <c r="B273" s="31">
        <f t="shared" si="76"/>
        <v>241</v>
      </c>
      <c r="C273" s="434">
        <f>'SOLLECITAZ NASCOSTO'!$D$6/'SOLLECITAZ NASCOSTO'!$B$448*'SOLLECITAZ NASCOSTO'!B273</f>
        <v>2.6255452974395967</v>
      </c>
      <c r="D273" s="434">
        <f t="shared" si="69"/>
        <v>0.58511251908089668</v>
      </c>
      <c r="E273" s="434">
        <f t="shared" si="63"/>
        <v>0.46511251908089668</v>
      </c>
      <c r="F273" s="434">
        <f t="shared" si="64"/>
        <v>0.44883600610588692</v>
      </c>
      <c r="G273" s="434">
        <f t="shared" si="65"/>
        <v>7.0473065597630821E-2</v>
      </c>
      <c r="H273" s="434">
        <f t="shared" si="77"/>
        <v>0</v>
      </c>
      <c r="I273" s="434">
        <v>0</v>
      </c>
      <c r="J273" s="127">
        <f t="shared" si="78"/>
        <v>0.15701295047395375</v>
      </c>
      <c r="K273" s="126">
        <f t="shared" si="66"/>
        <v>1.1557660601364362E-2</v>
      </c>
      <c r="L273" s="41">
        <f t="shared" si="79"/>
        <v>117.03672509549074</v>
      </c>
      <c r="M273" s="41">
        <f t="shared" si="80"/>
        <v>-117.90759936536605</v>
      </c>
      <c r="N273" s="41">
        <f>(IF(C272&lt;='SOLLECITAZ NASCOSTO'!$P$12,IF(C272&lt;='SOLLECITAZ NASCOSTO'!$P$11,IF(C272&lt;='SOLLECITAZ NASCOSTO'!$P$10,IF(C272&lt;='SOLLECITAZ NASCOSTO'!$P$9,IF(C272&lt;='SOLLECITAZ NASCOSTO'!$P$8,IF(C272&lt;='SOLLECITAZ NASCOSTO'!$P$7,IF(C272&lt;='SOLLECITAZ NASCOSTO'!$P$6,IF(C272&lt;='SOLLECITAZ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paramento'!$G$111),55555)-IF(C272&lt;='SOLLECITAZ NASCOSTO'!$P$12,IF(C272&lt;='SOLLECITAZ NASCOSTO'!$P$11,IF(C272&lt;='SOLLECITAZ NASCOSTO'!$P$10,IF(C272&lt;='SOLLECITAZ NASCOSTO'!$P$9,IF(C272&lt;='SOLLECITAZ NASCOSTO'!$P$8,IF(C272&lt;='SOLLECITAZ NASCOSTO'!$P$7,IF(C272&lt;='SOLLECITAZ NASCOSTO'!$P$6,IF(C272&lt;='SOLLECITAZ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paramento'!$G$111))*(C272-IF(C272&lt;='SOLLECITAZ NASCOSTO'!$P$12,IF(C272&lt;='SOLLECITAZ NASCOSTO'!$P$11,IF(C272&lt;='SOLLECITAZ NASCOSTO'!$P$10,IF(C272&lt;='SOLLECITAZ NASCOSTO'!$P$9,IF(C272&lt;='SOLLECITAZ NASCOSTO'!$P$8,IF(C272&lt;='SOLLECITAZ NASCOSTO'!$P$7,IF(C272&lt;='SOLLECITAZ NASCOSTO'!$P$6,IF(C272&lt;='SOLLECITAZ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NASCOSTO'!$P$12))/IF(C272&lt;='SOLLECITAZ NASCOSTO'!$P$12,IF(C272&lt;='SOLLECITAZ NASCOSTO'!$P$11,IF(C272&lt;='SOLLECITAZ NASCOSTO'!$P$10,IF(C272&lt;='SOLLECITAZ NASCOSTO'!$P$9,IF(C272&lt;='SOLLECITAZ NASCOSTO'!$P$8,IF(C272&lt;='SOLLECITAZ NASCOSTO'!$P$7,IF(C272&lt;='SOLLECITAZ NASCOSTO'!$P$6,IF(C272&lt;='SOLLECITAZ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paramento'!$C$111)+IF(C272&lt;='SOLLECITAZ NASCOSTO'!$P$12,IF(C272&lt;='SOLLECITAZ NASCOSTO'!$P$11,IF(C272&lt;='SOLLECITAZ NASCOSTO'!$P$10,IF(C272&lt;='SOLLECITAZ NASCOSTO'!$P$9,IF(C272&lt;='SOLLECITAZ NASCOSTO'!$P$8,IF(C272&lt;='SOLLECITAZ NASCOSTO'!$P$7,IF(C272&lt;='SOLLECITAZ NASCOSTO'!$P$6,IF(C272&lt;='SOLLECITAZ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75.421849242547523</v>
      </c>
      <c r="O273" s="41">
        <f>IF(C273&lt;='SOLLECITAZ NASCOSTO'!$P$12,IF(C273&lt;='SOLLECITAZ NASCOSTO'!$P$11,IF(C273&lt;='SOLLECITAZ NASCOSTO'!$P$10,IF(C273&lt;='SOLLECITAZ NASCOSTO'!$P$9,IF(C273&lt;='SOLLECITAZ NASCOSTO'!$P$8,IF(C273&lt;='SOLLECITAZ NASCOSTO'!$P$7,IF(C273&lt;='SOLLECITAZ NASCOSTO'!$P$6,IF(C273&lt;='SOLLECITAZ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paramento'!$G$110),55555)*(C273-C272)/IF(C273&lt;='SOLLECITAZ NASCOSTO'!$P$12,IF(C273&lt;='SOLLECITAZ NASCOSTO'!$P$11,IF(C273&lt;='SOLLECITAZ NASCOSTO'!$P$10,IF(C273&lt;='SOLLECITAZ NASCOSTO'!$P$9,IF(C273&lt;='SOLLECITAZ NASCOSTO'!$P$8,IF(C273&lt;='SOLLECITAZ NASCOSTO'!$P$7,IF(C273&lt;='SOLLECITAZ NASCOSTO'!$P$6,IF(C273&lt;='SOLLECITAZ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73" s="41">
        <f t="shared" si="75"/>
        <v>2.3999999999999944E-4</v>
      </c>
      <c r="Q273" s="41">
        <f t="shared" si="73"/>
        <v>1</v>
      </c>
      <c r="R273" s="434">
        <f t="shared" si="67"/>
        <v>2.6255452974395967</v>
      </c>
      <c r="S273" s="45">
        <f t="shared" si="74"/>
        <v>2.6255452974395967</v>
      </c>
      <c r="T273" s="205">
        <f t="shared" si="70"/>
        <v>2.4065162948212842</v>
      </c>
      <c r="U273" s="45">
        <f t="shared" si="71"/>
        <v>117.03672509549074</v>
      </c>
      <c r="V273" s="45">
        <f t="shared" si="72"/>
        <v>-117.90759936536605</v>
      </c>
      <c r="W273" s="488"/>
      <c r="X273" s="489"/>
      <c r="Y273" s="489"/>
      <c r="Z273" s="490"/>
      <c r="AA273" s="46"/>
    </row>
    <row r="274" spans="1:27" s="421" customFormat="1" x14ac:dyDescent="0.25">
      <c r="A274" s="581">
        <f t="shared" si="68"/>
        <v>0.46668336182900583</v>
      </c>
      <c r="B274" s="31">
        <f t="shared" si="76"/>
        <v>242</v>
      </c>
      <c r="C274" s="434">
        <f>'SOLLECITAZ NASCOSTO'!$D$6/'SOLLECITAZ NASCOSTO'!$B$448*'SOLLECITAZ NASCOSTO'!B274</f>
        <v>2.6364396762671469</v>
      </c>
      <c r="D274" s="434">
        <f t="shared" si="69"/>
        <v>0.58668336182900582</v>
      </c>
      <c r="E274" s="434">
        <f t="shared" si="63"/>
        <v>0.46668336182900583</v>
      </c>
      <c r="F274" s="434">
        <f t="shared" si="64"/>
        <v>0.44933867578528186</v>
      </c>
      <c r="G274" s="434">
        <f t="shared" si="65"/>
        <v>7.0767578727517474E-2</v>
      </c>
      <c r="H274" s="434">
        <f t="shared" si="77"/>
        <v>0</v>
      </c>
      <c r="I274" s="434">
        <v>0</v>
      </c>
      <c r="J274" s="127">
        <f t="shared" si="78"/>
        <v>0.15749273886526968</v>
      </c>
      <c r="K274" s="126">
        <f t="shared" si="66"/>
        <v>1.1650019502733484E-2</v>
      </c>
      <c r="L274" s="41">
        <f t="shared" si="79"/>
        <v>117.86261742647967</v>
      </c>
      <c r="M274" s="41">
        <f t="shared" si="80"/>
        <v>-119.18714057725445</v>
      </c>
      <c r="N274" s="41">
        <f>(IF(C273&lt;='SOLLECITAZ NASCOSTO'!$P$12,IF(C273&lt;='SOLLECITAZ NASCOSTO'!$P$11,IF(C273&lt;='SOLLECITAZ NASCOSTO'!$P$10,IF(C273&lt;='SOLLECITAZ NASCOSTO'!$P$9,IF(C273&lt;='SOLLECITAZ NASCOSTO'!$P$8,IF(C273&lt;='SOLLECITAZ NASCOSTO'!$P$7,IF(C273&lt;='SOLLECITAZ NASCOSTO'!$P$6,IF(C273&lt;='SOLLECITAZ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paramento'!$G$111),55555)-IF(C273&lt;='SOLLECITAZ NASCOSTO'!$P$12,IF(C273&lt;='SOLLECITAZ NASCOSTO'!$P$11,IF(C273&lt;='SOLLECITAZ NASCOSTO'!$P$10,IF(C273&lt;='SOLLECITAZ NASCOSTO'!$P$9,IF(C273&lt;='SOLLECITAZ NASCOSTO'!$P$8,IF(C273&lt;='SOLLECITAZ NASCOSTO'!$P$7,IF(C273&lt;='SOLLECITAZ NASCOSTO'!$P$6,IF(C273&lt;='SOLLECITAZ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paramento'!$G$111))*(C273-IF(C273&lt;='SOLLECITAZ NASCOSTO'!$P$12,IF(C273&lt;='SOLLECITAZ NASCOSTO'!$P$11,IF(C273&lt;='SOLLECITAZ NASCOSTO'!$P$10,IF(C273&lt;='SOLLECITAZ NASCOSTO'!$P$9,IF(C273&lt;='SOLLECITAZ NASCOSTO'!$P$8,IF(C273&lt;='SOLLECITAZ NASCOSTO'!$P$7,IF(C273&lt;='SOLLECITAZ NASCOSTO'!$P$6,IF(C273&lt;='SOLLECITAZ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NASCOSTO'!$P$12))/IF(C273&lt;='SOLLECITAZ NASCOSTO'!$P$12,IF(C273&lt;='SOLLECITAZ NASCOSTO'!$P$11,IF(C273&lt;='SOLLECITAZ NASCOSTO'!$P$10,IF(C273&lt;='SOLLECITAZ NASCOSTO'!$P$9,IF(C273&lt;='SOLLECITAZ NASCOSTO'!$P$8,IF(C273&lt;='SOLLECITAZ NASCOSTO'!$P$7,IF(C273&lt;='SOLLECITAZ NASCOSTO'!$P$6,IF(C273&lt;='SOLLECITAZ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paramento'!$C$111)+IF(C273&lt;='SOLLECITAZ NASCOSTO'!$P$12,IF(C273&lt;='SOLLECITAZ NASCOSTO'!$P$11,IF(C273&lt;='SOLLECITAZ NASCOSTO'!$P$10,IF(C273&lt;='SOLLECITAZ NASCOSTO'!$P$9,IF(C273&lt;='SOLLECITAZ NASCOSTO'!$P$8,IF(C273&lt;='SOLLECITAZ NASCOSTO'!$P$7,IF(C273&lt;='SOLLECITAZ NASCOSTO'!$P$6,IF(C273&lt;='SOLLECITAZ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75.679972171996923</v>
      </c>
      <c r="O274" s="41">
        <f>IF(C274&lt;='SOLLECITAZ NASCOSTO'!$P$12,IF(C274&lt;='SOLLECITAZ NASCOSTO'!$P$11,IF(C274&lt;='SOLLECITAZ NASCOSTO'!$P$10,IF(C274&lt;='SOLLECITAZ NASCOSTO'!$P$9,IF(C274&lt;='SOLLECITAZ NASCOSTO'!$P$8,IF(C274&lt;='SOLLECITAZ NASCOSTO'!$P$7,IF(C274&lt;='SOLLECITAZ NASCOSTO'!$P$6,IF(C274&lt;='SOLLECITAZ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paramento'!$G$110),55555)*(C274-C273)/IF(C274&lt;='SOLLECITAZ NASCOSTO'!$P$12,IF(C274&lt;='SOLLECITAZ NASCOSTO'!$P$11,IF(C274&lt;='SOLLECITAZ NASCOSTO'!$P$10,IF(C274&lt;='SOLLECITAZ NASCOSTO'!$P$9,IF(C274&lt;='SOLLECITAZ NASCOSTO'!$P$8,IF(C274&lt;='SOLLECITAZ NASCOSTO'!$P$7,IF(C274&lt;='SOLLECITAZ NASCOSTO'!$P$6,IF(C274&lt;='SOLLECITAZ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74" s="41">
        <f t="shared" si="75"/>
        <v>2.4099999999999943E-4</v>
      </c>
      <c r="Q274" s="41">
        <f t="shared" si="73"/>
        <v>1</v>
      </c>
      <c r="R274" s="434">
        <f t="shared" si="67"/>
        <v>2.6364396762671469</v>
      </c>
      <c r="S274" s="45">
        <f t="shared" si="74"/>
        <v>2.6364396762671469</v>
      </c>
      <c r="T274" s="205">
        <f t="shared" si="70"/>
        <v>2.395621915993734</v>
      </c>
      <c r="U274" s="45">
        <f t="shared" si="71"/>
        <v>117.86261742647967</v>
      </c>
      <c r="V274" s="45">
        <f t="shared" si="72"/>
        <v>-119.18714057725445</v>
      </c>
      <c r="W274" s="488"/>
      <c r="X274" s="489"/>
      <c r="Y274" s="489"/>
      <c r="Z274" s="490"/>
      <c r="AA274" s="46"/>
    </row>
    <row r="275" spans="1:27" s="421" customFormat="1" x14ac:dyDescent="0.25">
      <c r="A275" s="581">
        <f t="shared" si="68"/>
        <v>0.46825420457711497</v>
      </c>
      <c r="B275" s="31">
        <f t="shared" si="76"/>
        <v>243</v>
      </c>
      <c r="C275" s="434">
        <f>'SOLLECITAZ NASCOSTO'!$D$6/'SOLLECITAZ NASCOSTO'!$B$448*'SOLLECITAZ NASCOSTO'!B275</f>
        <v>2.6473340550946971</v>
      </c>
      <c r="D275" s="434">
        <f t="shared" si="69"/>
        <v>0.58825420457711497</v>
      </c>
      <c r="E275" s="434">
        <f t="shared" si="63"/>
        <v>0.46825420457711497</v>
      </c>
      <c r="F275" s="434">
        <f t="shared" si="64"/>
        <v>0.4498413454646768</v>
      </c>
      <c r="G275" s="434">
        <f t="shared" si="65"/>
        <v>7.1062881472424677E-2</v>
      </c>
      <c r="H275" s="434">
        <f t="shared" si="77"/>
        <v>0</v>
      </c>
      <c r="I275" s="434">
        <v>0</v>
      </c>
      <c r="J275" s="127">
        <f t="shared" si="78"/>
        <v>0.15797321030822142</v>
      </c>
      <c r="K275" s="126">
        <f t="shared" si="66"/>
        <v>1.1742849027032832E-2</v>
      </c>
      <c r="L275" s="41">
        <f t="shared" si="79"/>
        <v>118.69132184644612</v>
      </c>
      <c r="M275" s="41">
        <f t="shared" si="80"/>
        <v>-120.47569469104873</v>
      </c>
      <c r="N275" s="41">
        <f>(IF(C274&lt;='SOLLECITAZ NASCOSTO'!$P$12,IF(C274&lt;='SOLLECITAZ NASCOSTO'!$P$11,IF(C274&lt;='SOLLECITAZ NASCOSTO'!$P$10,IF(C274&lt;='SOLLECITAZ NASCOSTO'!$P$9,IF(C274&lt;='SOLLECITAZ NASCOSTO'!$P$8,IF(C274&lt;='SOLLECITAZ NASCOSTO'!$P$7,IF(C274&lt;='SOLLECITAZ NASCOSTO'!$P$6,IF(C274&lt;='SOLLECITAZ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paramento'!$G$111),55555)-IF(C274&lt;='SOLLECITAZ NASCOSTO'!$P$12,IF(C274&lt;='SOLLECITAZ NASCOSTO'!$P$11,IF(C274&lt;='SOLLECITAZ NASCOSTO'!$P$10,IF(C274&lt;='SOLLECITAZ NASCOSTO'!$P$9,IF(C274&lt;='SOLLECITAZ NASCOSTO'!$P$8,IF(C274&lt;='SOLLECITAZ NASCOSTO'!$P$7,IF(C274&lt;='SOLLECITAZ NASCOSTO'!$P$6,IF(C274&lt;='SOLLECITAZ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paramento'!$G$111))*(C274-IF(C274&lt;='SOLLECITAZ NASCOSTO'!$P$12,IF(C274&lt;='SOLLECITAZ NASCOSTO'!$P$11,IF(C274&lt;='SOLLECITAZ NASCOSTO'!$P$10,IF(C274&lt;='SOLLECITAZ NASCOSTO'!$P$9,IF(C274&lt;='SOLLECITAZ NASCOSTO'!$P$8,IF(C274&lt;='SOLLECITAZ NASCOSTO'!$P$7,IF(C274&lt;='SOLLECITAZ NASCOSTO'!$P$6,IF(C274&lt;='SOLLECITAZ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NASCOSTO'!$P$12))/IF(C274&lt;='SOLLECITAZ NASCOSTO'!$P$12,IF(C274&lt;='SOLLECITAZ NASCOSTO'!$P$11,IF(C274&lt;='SOLLECITAZ NASCOSTO'!$P$10,IF(C274&lt;='SOLLECITAZ NASCOSTO'!$P$9,IF(C274&lt;='SOLLECITAZ NASCOSTO'!$P$8,IF(C274&lt;='SOLLECITAZ NASCOSTO'!$P$7,IF(C274&lt;='SOLLECITAZ NASCOSTO'!$P$6,IF(C274&lt;='SOLLECITAZ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paramento'!$C$111)+IF(C274&lt;='SOLLECITAZ NASCOSTO'!$P$12,IF(C274&lt;='SOLLECITAZ NASCOSTO'!$P$11,IF(C274&lt;='SOLLECITAZ NASCOSTO'!$P$10,IF(C274&lt;='SOLLECITAZ NASCOSTO'!$P$9,IF(C274&lt;='SOLLECITAZ NASCOSTO'!$P$8,IF(C274&lt;='SOLLECITAZ NASCOSTO'!$P$7,IF(C274&lt;='SOLLECITAZ NASCOSTO'!$P$6,IF(C274&lt;='SOLLECITAZ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75.938095101446336</v>
      </c>
      <c r="O275" s="41">
        <f>IF(C275&lt;='SOLLECITAZ NASCOSTO'!$P$12,IF(C275&lt;='SOLLECITAZ NASCOSTO'!$P$11,IF(C275&lt;='SOLLECITAZ NASCOSTO'!$P$10,IF(C275&lt;='SOLLECITAZ NASCOSTO'!$P$9,IF(C275&lt;='SOLLECITAZ NASCOSTO'!$P$8,IF(C275&lt;='SOLLECITAZ NASCOSTO'!$P$7,IF(C275&lt;='SOLLECITAZ NASCOSTO'!$P$6,IF(C275&lt;='SOLLECITAZ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paramento'!$G$110),55555)*(C275-C274)/IF(C275&lt;='SOLLECITAZ NASCOSTO'!$P$12,IF(C275&lt;='SOLLECITAZ NASCOSTO'!$P$11,IF(C275&lt;='SOLLECITAZ NASCOSTO'!$P$10,IF(C275&lt;='SOLLECITAZ NASCOSTO'!$P$9,IF(C275&lt;='SOLLECITAZ NASCOSTO'!$P$8,IF(C275&lt;='SOLLECITAZ NASCOSTO'!$P$7,IF(C275&lt;='SOLLECITAZ NASCOSTO'!$P$6,IF(C275&lt;='SOLLECITAZ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75" s="41">
        <f t="shared" si="75"/>
        <v>2.4199999999999943E-4</v>
      </c>
      <c r="Q275" s="41">
        <f t="shared" si="73"/>
        <v>1</v>
      </c>
      <c r="R275" s="434">
        <f t="shared" si="67"/>
        <v>2.6473340550946971</v>
      </c>
      <c r="S275" s="45">
        <f t="shared" si="74"/>
        <v>2.6473340550946971</v>
      </c>
      <c r="T275" s="205">
        <f t="shared" si="70"/>
        <v>2.3847275371661838</v>
      </c>
      <c r="U275" s="45">
        <f t="shared" si="71"/>
        <v>118.69132184644612</v>
      </c>
      <c r="V275" s="45">
        <f t="shared" si="72"/>
        <v>-120.47569469104873</v>
      </c>
      <c r="W275" s="488"/>
      <c r="X275" s="489"/>
      <c r="Y275" s="489"/>
      <c r="Z275" s="490"/>
      <c r="AA275" s="46"/>
    </row>
    <row r="276" spans="1:27" s="421" customFormat="1" x14ac:dyDescent="0.25">
      <c r="A276" s="581">
        <f t="shared" si="68"/>
        <v>0.46982504732522423</v>
      </c>
      <c r="B276" s="31">
        <f t="shared" si="76"/>
        <v>244</v>
      </c>
      <c r="C276" s="434">
        <f>'SOLLECITAZ NASCOSTO'!$D$6/'SOLLECITAZ NASCOSTO'!$B$448*'SOLLECITAZ NASCOSTO'!B276</f>
        <v>2.6582284339222477</v>
      </c>
      <c r="D276" s="434">
        <f t="shared" si="69"/>
        <v>0.58982504732522423</v>
      </c>
      <c r="E276" s="434">
        <f t="shared" si="63"/>
        <v>0.46982504732522423</v>
      </c>
      <c r="F276" s="434">
        <f t="shared" si="64"/>
        <v>0.45034401514407174</v>
      </c>
      <c r="G276" s="434">
        <f t="shared" si="65"/>
        <v>7.1358973832352485E-2</v>
      </c>
      <c r="H276" s="434">
        <f t="shared" si="77"/>
        <v>0</v>
      </c>
      <c r="I276" s="434">
        <v>0</v>
      </c>
      <c r="J276" s="127">
        <f t="shared" si="78"/>
        <v>0.158454362515562</v>
      </c>
      <c r="K276" s="126">
        <f t="shared" si="66"/>
        <v>1.1836150074916599E-2</v>
      </c>
      <c r="L276" s="41">
        <f t="shared" si="79"/>
        <v>119.52283835539008</v>
      </c>
      <c r="M276" s="41">
        <f t="shared" si="80"/>
        <v>-121.77329234271154</v>
      </c>
      <c r="N276" s="41">
        <f>(IF(C275&lt;='SOLLECITAZ NASCOSTO'!$P$12,IF(C275&lt;='SOLLECITAZ NASCOSTO'!$P$11,IF(C275&lt;='SOLLECITAZ NASCOSTO'!$P$10,IF(C275&lt;='SOLLECITAZ NASCOSTO'!$P$9,IF(C275&lt;='SOLLECITAZ NASCOSTO'!$P$8,IF(C275&lt;='SOLLECITAZ NASCOSTO'!$P$7,IF(C275&lt;='SOLLECITAZ NASCOSTO'!$P$6,IF(C275&lt;='SOLLECITAZ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paramento'!$G$111),55555)-IF(C275&lt;='SOLLECITAZ NASCOSTO'!$P$12,IF(C275&lt;='SOLLECITAZ NASCOSTO'!$P$11,IF(C275&lt;='SOLLECITAZ NASCOSTO'!$P$10,IF(C275&lt;='SOLLECITAZ NASCOSTO'!$P$9,IF(C275&lt;='SOLLECITAZ NASCOSTO'!$P$8,IF(C275&lt;='SOLLECITAZ NASCOSTO'!$P$7,IF(C275&lt;='SOLLECITAZ NASCOSTO'!$P$6,IF(C275&lt;='SOLLECITAZ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paramento'!$G$111))*(C275-IF(C275&lt;='SOLLECITAZ NASCOSTO'!$P$12,IF(C275&lt;='SOLLECITAZ NASCOSTO'!$P$11,IF(C275&lt;='SOLLECITAZ NASCOSTO'!$P$10,IF(C275&lt;='SOLLECITAZ NASCOSTO'!$P$9,IF(C275&lt;='SOLLECITAZ NASCOSTO'!$P$8,IF(C275&lt;='SOLLECITAZ NASCOSTO'!$P$7,IF(C275&lt;='SOLLECITAZ NASCOSTO'!$P$6,IF(C275&lt;='SOLLECITAZ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NASCOSTO'!$P$12))/IF(C275&lt;='SOLLECITAZ NASCOSTO'!$P$12,IF(C275&lt;='SOLLECITAZ NASCOSTO'!$P$11,IF(C275&lt;='SOLLECITAZ NASCOSTO'!$P$10,IF(C275&lt;='SOLLECITAZ NASCOSTO'!$P$9,IF(C275&lt;='SOLLECITAZ NASCOSTO'!$P$8,IF(C275&lt;='SOLLECITAZ NASCOSTO'!$P$7,IF(C275&lt;='SOLLECITAZ NASCOSTO'!$P$6,IF(C275&lt;='SOLLECITAZ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paramento'!$C$111)+IF(C275&lt;='SOLLECITAZ NASCOSTO'!$P$12,IF(C275&lt;='SOLLECITAZ NASCOSTO'!$P$11,IF(C275&lt;='SOLLECITAZ NASCOSTO'!$P$10,IF(C275&lt;='SOLLECITAZ NASCOSTO'!$P$9,IF(C275&lt;='SOLLECITAZ NASCOSTO'!$P$8,IF(C275&lt;='SOLLECITAZ NASCOSTO'!$P$7,IF(C275&lt;='SOLLECITAZ NASCOSTO'!$P$6,IF(C275&lt;='SOLLECITAZ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76.19621803089575</v>
      </c>
      <c r="O276" s="41">
        <f>IF(C276&lt;='SOLLECITAZ NASCOSTO'!$P$12,IF(C276&lt;='SOLLECITAZ NASCOSTO'!$P$11,IF(C276&lt;='SOLLECITAZ NASCOSTO'!$P$10,IF(C276&lt;='SOLLECITAZ NASCOSTO'!$P$9,IF(C276&lt;='SOLLECITAZ NASCOSTO'!$P$8,IF(C276&lt;='SOLLECITAZ NASCOSTO'!$P$7,IF(C276&lt;='SOLLECITAZ NASCOSTO'!$P$6,IF(C276&lt;='SOLLECITAZ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paramento'!$G$110),55555)*(C276-C275)/IF(C276&lt;='SOLLECITAZ NASCOSTO'!$P$12,IF(C276&lt;='SOLLECITAZ NASCOSTO'!$P$11,IF(C276&lt;='SOLLECITAZ NASCOSTO'!$P$10,IF(C276&lt;='SOLLECITAZ NASCOSTO'!$P$9,IF(C276&lt;='SOLLECITAZ NASCOSTO'!$P$8,IF(C276&lt;='SOLLECITAZ NASCOSTO'!$P$7,IF(C276&lt;='SOLLECITAZ NASCOSTO'!$P$6,IF(C276&lt;='SOLLECITAZ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0.25812292944941589</v>
      </c>
      <c r="P276" s="41">
        <f t="shared" si="75"/>
        <v>2.4299999999999943E-4</v>
      </c>
      <c r="Q276" s="41">
        <f t="shared" si="73"/>
        <v>1</v>
      </c>
      <c r="R276" s="434">
        <f t="shared" si="67"/>
        <v>2.6582284339222477</v>
      </c>
      <c r="S276" s="45">
        <f t="shared" si="74"/>
        <v>2.6582284339222477</v>
      </c>
      <c r="T276" s="205">
        <f t="shared" si="70"/>
        <v>2.3738331583386332</v>
      </c>
      <c r="U276" s="45">
        <f t="shared" si="71"/>
        <v>119.52283835539008</v>
      </c>
      <c r="V276" s="45">
        <f t="shared" si="72"/>
        <v>-121.77329234271154</v>
      </c>
      <c r="W276" s="488"/>
      <c r="X276" s="489"/>
      <c r="Y276" s="489"/>
      <c r="Z276" s="490"/>
      <c r="AA276" s="46"/>
    </row>
    <row r="277" spans="1:27" s="421" customFormat="1" x14ac:dyDescent="0.25">
      <c r="A277" s="581">
        <f t="shared" si="68"/>
        <v>0.47139589007333338</v>
      </c>
      <c r="B277" s="31">
        <f t="shared" si="76"/>
        <v>245</v>
      </c>
      <c r="C277" s="434">
        <f>'SOLLECITAZ NASCOSTO'!$D$6/'SOLLECITAZ NASCOSTO'!$B$448*'SOLLECITAZ NASCOSTO'!B277</f>
        <v>2.6691228127497979</v>
      </c>
      <c r="D277" s="434">
        <f t="shared" si="69"/>
        <v>0.59139589007333337</v>
      </c>
      <c r="E277" s="434">
        <f t="shared" si="63"/>
        <v>0.47139589007333338</v>
      </c>
      <c r="F277" s="434">
        <f t="shared" si="64"/>
        <v>0.45084668482346668</v>
      </c>
      <c r="G277" s="434">
        <f t="shared" si="65"/>
        <v>7.1655855807300842E-2</v>
      </c>
      <c r="H277" s="434">
        <f t="shared" si="77"/>
        <v>0</v>
      </c>
      <c r="I277" s="434">
        <v>0</v>
      </c>
      <c r="J277" s="127">
        <f t="shared" si="78"/>
        <v>0.1589361932102448</v>
      </c>
      <c r="K277" s="126">
        <f t="shared" si="66"/>
        <v>1.1929923545788109E-2</v>
      </c>
      <c r="L277" s="41">
        <f t="shared" si="79"/>
        <v>120.35716695331151</v>
      </c>
      <c r="M277" s="41">
        <f t="shared" si="80"/>
        <v>-123.07996416820541</v>
      </c>
      <c r="N277" s="41">
        <f>(IF(C276&lt;='SOLLECITAZ NASCOSTO'!$P$12,IF(C276&lt;='SOLLECITAZ NASCOSTO'!$P$11,IF(C276&lt;='SOLLECITAZ NASCOSTO'!$P$10,IF(C276&lt;='SOLLECITAZ NASCOSTO'!$P$9,IF(C276&lt;='SOLLECITAZ NASCOSTO'!$P$8,IF(C276&lt;='SOLLECITAZ NASCOSTO'!$P$7,IF(C276&lt;='SOLLECITAZ NASCOSTO'!$P$6,IF(C276&lt;='SOLLECITAZ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paramento'!$G$111),55555)-IF(C276&lt;='SOLLECITAZ NASCOSTO'!$P$12,IF(C276&lt;='SOLLECITAZ NASCOSTO'!$P$11,IF(C276&lt;='SOLLECITAZ NASCOSTO'!$P$10,IF(C276&lt;='SOLLECITAZ NASCOSTO'!$P$9,IF(C276&lt;='SOLLECITAZ NASCOSTO'!$P$8,IF(C276&lt;='SOLLECITAZ NASCOSTO'!$P$7,IF(C276&lt;='SOLLECITAZ NASCOSTO'!$P$6,IF(C276&lt;='SOLLECITAZ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paramento'!$G$111))*(C276-IF(C276&lt;='SOLLECITAZ NASCOSTO'!$P$12,IF(C276&lt;='SOLLECITAZ NASCOSTO'!$P$11,IF(C276&lt;='SOLLECITAZ NASCOSTO'!$P$10,IF(C276&lt;='SOLLECITAZ NASCOSTO'!$P$9,IF(C276&lt;='SOLLECITAZ NASCOSTO'!$P$8,IF(C276&lt;='SOLLECITAZ NASCOSTO'!$P$7,IF(C276&lt;='SOLLECITAZ NASCOSTO'!$P$6,IF(C276&lt;='SOLLECITAZ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NASCOSTO'!$P$12))/IF(C276&lt;='SOLLECITAZ NASCOSTO'!$P$12,IF(C276&lt;='SOLLECITAZ NASCOSTO'!$P$11,IF(C276&lt;='SOLLECITAZ NASCOSTO'!$P$10,IF(C276&lt;='SOLLECITAZ NASCOSTO'!$P$9,IF(C276&lt;='SOLLECITAZ NASCOSTO'!$P$8,IF(C276&lt;='SOLLECITAZ NASCOSTO'!$P$7,IF(C276&lt;='SOLLECITAZ NASCOSTO'!$P$6,IF(C276&lt;='SOLLECITAZ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paramento'!$C$111)+IF(C276&lt;='SOLLECITAZ NASCOSTO'!$P$12,IF(C276&lt;='SOLLECITAZ NASCOSTO'!$P$11,IF(C276&lt;='SOLLECITAZ NASCOSTO'!$P$10,IF(C276&lt;='SOLLECITAZ NASCOSTO'!$P$9,IF(C276&lt;='SOLLECITAZ NASCOSTO'!$P$8,IF(C276&lt;='SOLLECITAZ NASCOSTO'!$P$7,IF(C276&lt;='SOLLECITAZ NASCOSTO'!$P$6,IF(C276&lt;='SOLLECITAZ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76.454340960345149</v>
      </c>
      <c r="O277" s="41">
        <f>IF(C277&lt;='SOLLECITAZ NASCOSTO'!$P$12,IF(C277&lt;='SOLLECITAZ NASCOSTO'!$P$11,IF(C277&lt;='SOLLECITAZ NASCOSTO'!$P$10,IF(C277&lt;='SOLLECITAZ NASCOSTO'!$P$9,IF(C277&lt;='SOLLECITAZ NASCOSTO'!$P$8,IF(C277&lt;='SOLLECITAZ NASCOSTO'!$P$7,IF(C277&lt;='SOLLECITAZ NASCOSTO'!$P$6,IF(C277&lt;='SOLLECITAZ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paramento'!$G$110),55555)*(C277-C276)/IF(C277&lt;='SOLLECITAZ NASCOSTO'!$P$12,IF(C277&lt;='SOLLECITAZ NASCOSTO'!$P$11,IF(C277&lt;='SOLLECITAZ NASCOSTO'!$P$10,IF(C277&lt;='SOLLECITAZ NASCOSTO'!$P$9,IF(C277&lt;='SOLLECITAZ NASCOSTO'!$P$8,IF(C277&lt;='SOLLECITAZ NASCOSTO'!$P$7,IF(C277&lt;='SOLLECITAZ NASCOSTO'!$P$6,IF(C277&lt;='SOLLECITAZ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77" s="41">
        <f t="shared" si="75"/>
        <v>2.4399999999999943E-4</v>
      </c>
      <c r="Q277" s="41">
        <f t="shared" si="73"/>
        <v>1</v>
      </c>
      <c r="R277" s="434">
        <f t="shared" si="67"/>
        <v>2.6691228127497979</v>
      </c>
      <c r="S277" s="45">
        <f t="shared" si="74"/>
        <v>2.6691228127497979</v>
      </c>
      <c r="T277" s="205">
        <f t="shared" si="70"/>
        <v>2.362938779511083</v>
      </c>
      <c r="U277" s="45">
        <f t="shared" si="71"/>
        <v>120.35716695331151</v>
      </c>
      <c r="V277" s="45">
        <f t="shared" si="72"/>
        <v>-123.07996416820541</v>
      </c>
      <c r="W277" s="488"/>
      <c r="X277" s="489"/>
      <c r="Y277" s="489"/>
      <c r="Z277" s="490"/>
      <c r="AA277" s="46"/>
    </row>
    <row r="278" spans="1:27" s="421" customFormat="1" x14ac:dyDescent="0.25">
      <c r="A278" s="581">
        <f t="shared" si="68"/>
        <v>0.47296673282144253</v>
      </c>
      <c r="B278" s="31">
        <f t="shared" si="76"/>
        <v>246</v>
      </c>
      <c r="C278" s="434">
        <f>'SOLLECITAZ NASCOSTO'!$D$6/'SOLLECITAZ NASCOSTO'!$B$448*'SOLLECITAZ NASCOSTO'!B278</f>
        <v>2.6800171915773481</v>
      </c>
      <c r="D278" s="434">
        <f t="shared" si="69"/>
        <v>0.59296673282144252</v>
      </c>
      <c r="E278" s="434">
        <f t="shared" si="63"/>
        <v>0.47296673282144253</v>
      </c>
      <c r="F278" s="434">
        <f t="shared" si="64"/>
        <v>0.45134935450286162</v>
      </c>
      <c r="G278" s="434">
        <f t="shared" si="65"/>
        <v>7.1953527397269762E-2</v>
      </c>
      <c r="H278" s="434">
        <f t="shared" si="77"/>
        <v>0</v>
      </c>
      <c r="I278" s="434">
        <v>0</v>
      </c>
      <c r="J278" s="127">
        <f t="shared" si="78"/>
        <v>0.15941870012536721</v>
      </c>
      <c r="K278" s="126">
        <f t="shared" si="66"/>
        <v>1.202417033780682E-2</v>
      </c>
      <c r="L278" s="41">
        <f t="shared" si="79"/>
        <v>121.19430764021044</v>
      </c>
      <c r="M278" s="41">
        <f t="shared" si="80"/>
        <v>-124.395740803493</v>
      </c>
      <c r="N278" s="41">
        <f>(IF(C277&lt;='SOLLECITAZ NASCOSTO'!$P$12,IF(C277&lt;='SOLLECITAZ NASCOSTO'!$P$11,IF(C277&lt;='SOLLECITAZ NASCOSTO'!$P$10,IF(C277&lt;='SOLLECITAZ NASCOSTO'!$P$9,IF(C277&lt;='SOLLECITAZ NASCOSTO'!$P$8,IF(C277&lt;='SOLLECITAZ NASCOSTO'!$P$7,IF(C277&lt;='SOLLECITAZ NASCOSTO'!$P$6,IF(C277&lt;='SOLLECITAZ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paramento'!$G$111),55555)-IF(C277&lt;='SOLLECITAZ NASCOSTO'!$P$12,IF(C277&lt;='SOLLECITAZ NASCOSTO'!$P$11,IF(C277&lt;='SOLLECITAZ NASCOSTO'!$P$10,IF(C277&lt;='SOLLECITAZ NASCOSTO'!$P$9,IF(C277&lt;='SOLLECITAZ NASCOSTO'!$P$8,IF(C277&lt;='SOLLECITAZ NASCOSTO'!$P$7,IF(C277&lt;='SOLLECITAZ NASCOSTO'!$P$6,IF(C277&lt;='SOLLECITAZ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paramento'!$G$111))*(C277-IF(C277&lt;='SOLLECITAZ NASCOSTO'!$P$12,IF(C277&lt;='SOLLECITAZ NASCOSTO'!$P$11,IF(C277&lt;='SOLLECITAZ NASCOSTO'!$P$10,IF(C277&lt;='SOLLECITAZ NASCOSTO'!$P$9,IF(C277&lt;='SOLLECITAZ NASCOSTO'!$P$8,IF(C277&lt;='SOLLECITAZ NASCOSTO'!$P$7,IF(C277&lt;='SOLLECITAZ NASCOSTO'!$P$6,IF(C277&lt;='SOLLECITAZ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NASCOSTO'!$P$12))/IF(C277&lt;='SOLLECITAZ NASCOSTO'!$P$12,IF(C277&lt;='SOLLECITAZ NASCOSTO'!$P$11,IF(C277&lt;='SOLLECITAZ NASCOSTO'!$P$10,IF(C277&lt;='SOLLECITAZ NASCOSTO'!$P$9,IF(C277&lt;='SOLLECITAZ NASCOSTO'!$P$8,IF(C277&lt;='SOLLECITAZ NASCOSTO'!$P$7,IF(C277&lt;='SOLLECITAZ NASCOSTO'!$P$6,IF(C277&lt;='SOLLECITAZ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paramento'!$C$111)+IF(C277&lt;='SOLLECITAZ NASCOSTO'!$P$12,IF(C277&lt;='SOLLECITAZ NASCOSTO'!$P$11,IF(C277&lt;='SOLLECITAZ NASCOSTO'!$P$10,IF(C277&lt;='SOLLECITAZ NASCOSTO'!$P$9,IF(C277&lt;='SOLLECITAZ NASCOSTO'!$P$8,IF(C277&lt;='SOLLECITAZ NASCOSTO'!$P$7,IF(C277&lt;='SOLLECITAZ NASCOSTO'!$P$6,IF(C277&lt;='SOLLECITAZ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76.712463889794563</v>
      </c>
      <c r="O278" s="41">
        <f>IF(C278&lt;='SOLLECITAZ NASCOSTO'!$P$12,IF(C278&lt;='SOLLECITAZ NASCOSTO'!$P$11,IF(C278&lt;='SOLLECITAZ NASCOSTO'!$P$10,IF(C278&lt;='SOLLECITAZ NASCOSTO'!$P$9,IF(C278&lt;='SOLLECITAZ NASCOSTO'!$P$8,IF(C278&lt;='SOLLECITAZ NASCOSTO'!$P$7,IF(C278&lt;='SOLLECITAZ NASCOSTO'!$P$6,IF(C278&lt;='SOLLECITAZ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paramento'!$G$110),55555)*(C278-C277)/IF(C278&lt;='SOLLECITAZ NASCOSTO'!$P$12,IF(C278&lt;='SOLLECITAZ NASCOSTO'!$P$11,IF(C278&lt;='SOLLECITAZ NASCOSTO'!$P$10,IF(C278&lt;='SOLLECITAZ NASCOSTO'!$P$9,IF(C278&lt;='SOLLECITAZ NASCOSTO'!$P$8,IF(C278&lt;='SOLLECITAZ NASCOSTO'!$P$7,IF(C278&lt;='SOLLECITAZ NASCOSTO'!$P$6,IF(C278&lt;='SOLLECITAZ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78" s="41">
        <f t="shared" si="75"/>
        <v>2.4499999999999945E-4</v>
      </c>
      <c r="Q278" s="41">
        <f t="shared" si="73"/>
        <v>1</v>
      </c>
      <c r="R278" s="434">
        <f t="shared" si="67"/>
        <v>2.6800171915773481</v>
      </c>
      <c r="S278" s="45">
        <f t="shared" si="74"/>
        <v>2.6800171915773481</v>
      </c>
      <c r="T278" s="205">
        <f t="shared" si="70"/>
        <v>2.3520444006835328</v>
      </c>
      <c r="U278" s="45">
        <f t="shared" si="71"/>
        <v>121.19430764021044</v>
      </c>
      <c r="V278" s="45">
        <f t="shared" si="72"/>
        <v>-124.395740803493</v>
      </c>
      <c r="W278" s="488"/>
      <c r="X278" s="489"/>
      <c r="Y278" s="489"/>
      <c r="Z278" s="490"/>
      <c r="AA278" s="46"/>
    </row>
    <row r="279" spans="1:27" s="421" customFormat="1" x14ac:dyDescent="0.25">
      <c r="A279" s="581">
        <f t="shared" si="68"/>
        <v>0.47453757556955167</v>
      </c>
      <c r="B279" s="31">
        <f t="shared" si="76"/>
        <v>247</v>
      </c>
      <c r="C279" s="434">
        <f>'SOLLECITAZ NASCOSTO'!$D$6/'SOLLECITAZ NASCOSTO'!$B$448*'SOLLECITAZ NASCOSTO'!B279</f>
        <v>2.6909115704048983</v>
      </c>
      <c r="D279" s="434">
        <f t="shared" si="69"/>
        <v>0.59453757556955167</v>
      </c>
      <c r="E279" s="434">
        <f t="shared" si="63"/>
        <v>0.47453757556955167</v>
      </c>
      <c r="F279" s="434">
        <f t="shared" si="64"/>
        <v>0.45185202418225656</v>
      </c>
      <c r="G279" s="434">
        <f t="shared" si="65"/>
        <v>7.2251988602259259E-2</v>
      </c>
      <c r="H279" s="434">
        <f t="shared" si="77"/>
        <v>0</v>
      </c>
      <c r="I279" s="434">
        <v>0</v>
      </c>
      <c r="J279" s="127">
        <f t="shared" si="78"/>
        <v>0.15990188100411407</v>
      </c>
      <c r="K279" s="126">
        <f t="shared" si="66"/>
        <v>1.2118891347895212E-2</v>
      </c>
      <c r="L279" s="41">
        <f t="shared" si="79"/>
        <v>122.03426041608687</v>
      </c>
      <c r="M279" s="41">
        <f t="shared" si="80"/>
        <v>-125.72065288453693</v>
      </c>
      <c r="N279" s="41">
        <f>(IF(C278&lt;='SOLLECITAZ NASCOSTO'!$P$12,IF(C278&lt;='SOLLECITAZ NASCOSTO'!$P$11,IF(C278&lt;='SOLLECITAZ NASCOSTO'!$P$10,IF(C278&lt;='SOLLECITAZ NASCOSTO'!$P$9,IF(C278&lt;='SOLLECITAZ NASCOSTO'!$P$8,IF(C278&lt;='SOLLECITAZ NASCOSTO'!$P$7,IF(C278&lt;='SOLLECITAZ NASCOSTO'!$P$6,IF(C278&lt;='SOLLECITAZ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paramento'!$G$111),55555)-IF(C278&lt;='SOLLECITAZ NASCOSTO'!$P$12,IF(C278&lt;='SOLLECITAZ NASCOSTO'!$P$11,IF(C278&lt;='SOLLECITAZ NASCOSTO'!$P$10,IF(C278&lt;='SOLLECITAZ NASCOSTO'!$P$9,IF(C278&lt;='SOLLECITAZ NASCOSTO'!$P$8,IF(C278&lt;='SOLLECITAZ NASCOSTO'!$P$7,IF(C278&lt;='SOLLECITAZ NASCOSTO'!$P$6,IF(C278&lt;='SOLLECITAZ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paramento'!$G$111))*(C278-IF(C278&lt;='SOLLECITAZ NASCOSTO'!$P$12,IF(C278&lt;='SOLLECITAZ NASCOSTO'!$P$11,IF(C278&lt;='SOLLECITAZ NASCOSTO'!$P$10,IF(C278&lt;='SOLLECITAZ NASCOSTO'!$P$9,IF(C278&lt;='SOLLECITAZ NASCOSTO'!$P$8,IF(C278&lt;='SOLLECITAZ NASCOSTO'!$P$7,IF(C278&lt;='SOLLECITAZ NASCOSTO'!$P$6,IF(C278&lt;='SOLLECITAZ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NASCOSTO'!$P$12))/IF(C278&lt;='SOLLECITAZ NASCOSTO'!$P$12,IF(C278&lt;='SOLLECITAZ NASCOSTO'!$P$11,IF(C278&lt;='SOLLECITAZ NASCOSTO'!$P$10,IF(C278&lt;='SOLLECITAZ NASCOSTO'!$P$9,IF(C278&lt;='SOLLECITAZ NASCOSTO'!$P$8,IF(C278&lt;='SOLLECITAZ NASCOSTO'!$P$7,IF(C278&lt;='SOLLECITAZ NASCOSTO'!$P$6,IF(C278&lt;='SOLLECITAZ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paramento'!$C$111)+IF(C278&lt;='SOLLECITAZ NASCOSTO'!$P$12,IF(C278&lt;='SOLLECITAZ NASCOSTO'!$P$11,IF(C278&lt;='SOLLECITAZ NASCOSTO'!$P$10,IF(C278&lt;='SOLLECITAZ NASCOSTO'!$P$9,IF(C278&lt;='SOLLECITAZ NASCOSTO'!$P$8,IF(C278&lt;='SOLLECITAZ NASCOSTO'!$P$7,IF(C278&lt;='SOLLECITAZ NASCOSTO'!$P$6,IF(C278&lt;='SOLLECITAZ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76.970586819243977</v>
      </c>
      <c r="O279" s="41">
        <f>IF(C279&lt;='SOLLECITAZ NASCOSTO'!$P$12,IF(C279&lt;='SOLLECITAZ NASCOSTO'!$P$11,IF(C279&lt;='SOLLECITAZ NASCOSTO'!$P$10,IF(C279&lt;='SOLLECITAZ NASCOSTO'!$P$9,IF(C279&lt;='SOLLECITAZ NASCOSTO'!$P$8,IF(C279&lt;='SOLLECITAZ NASCOSTO'!$P$7,IF(C279&lt;='SOLLECITAZ NASCOSTO'!$P$6,IF(C279&lt;='SOLLECITAZ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paramento'!$G$110),55555)*(C279-C278)/IF(C279&lt;='SOLLECITAZ NASCOSTO'!$P$12,IF(C279&lt;='SOLLECITAZ NASCOSTO'!$P$11,IF(C279&lt;='SOLLECITAZ NASCOSTO'!$P$10,IF(C279&lt;='SOLLECITAZ NASCOSTO'!$P$9,IF(C279&lt;='SOLLECITAZ NASCOSTO'!$P$8,IF(C279&lt;='SOLLECITAZ NASCOSTO'!$P$7,IF(C279&lt;='SOLLECITAZ NASCOSTO'!$P$6,IF(C279&lt;='SOLLECITAZ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79" s="41">
        <f t="shared" si="75"/>
        <v>2.4599999999999947E-4</v>
      </c>
      <c r="Q279" s="41">
        <f t="shared" si="73"/>
        <v>1</v>
      </c>
      <c r="R279" s="434">
        <f t="shared" si="67"/>
        <v>2.6909115704048983</v>
      </c>
      <c r="S279" s="45">
        <f t="shared" si="74"/>
        <v>2.6909115704048983</v>
      </c>
      <c r="T279" s="205">
        <f t="shared" si="70"/>
        <v>2.3411500218559826</v>
      </c>
      <c r="U279" s="45">
        <f t="shared" si="71"/>
        <v>122.03426041608687</v>
      </c>
      <c r="V279" s="45">
        <f t="shared" si="72"/>
        <v>-125.72065288453693</v>
      </c>
      <c r="W279" s="488"/>
      <c r="X279" s="489"/>
      <c r="Y279" s="489"/>
      <c r="Z279" s="490"/>
      <c r="AA279" s="46"/>
    </row>
    <row r="280" spans="1:27" s="421" customFormat="1" x14ac:dyDescent="0.25">
      <c r="A280" s="581">
        <f t="shared" si="68"/>
        <v>0.47610841831766082</v>
      </c>
      <c r="B280" s="31">
        <f t="shared" si="76"/>
        <v>248</v>
      </c>
      <c r="C280" s="434">
        <f>'SOLLECITAZ NASCOSTO'!$D$6/'SOLLECITAZ NASCOSTO'!$B$448*'SOLLECITAZ NASCOSTO'!B280</f>
        <v>2.7018059492324484</v>
      </c>
      <c r="D280" s="434">
        <f t="shared" si="69"/>
        <v>0.59610841831766082</v>
      </c>
      <c r="E280" s="434">
        <f t="shared" si="63"/>
        <v>0.47610841831766082</v>
      </c>
      <c r="F280" s="434">
        <f t="shared" si="64"/>
        <v>0.45235469386165145</v>
      </c>
      <c r="G280" s="434">
        <f t="shared" si="65"/>
        <v>7.255123942226932E-2</v>
      </c>
      <c r="H280" s="434">
        <f t="shared" si="77"/>
        <v>0</v>
      </c>
      <c r="I280" s="434">
        <v>0</v>
      </c>
      <c r="J280" s="127">
        <f t="shared" si="78"/>
        <v>0.16038573359970143</v>
      </c>
      <c r="K280" s="126">
        <f t="shared" si="66"/>
        <v>1.2214087471745679E-2</v>
      </c>
      <c r="L280" s="41">
        <f t="shared" si="79"/>
        <v>122.8770252809408</v>
      </c>
      <c r="M280" s="41">
        <f t="shared" si="80"/>
        <v>-127.05473104729982</v>
      </c>
      <c r="N280" s="41">
        <f>(IF(C279&lt;='SOLLECITAZ NASCOSTO'!$P$12,IF(C279&lt;='SOLLECITAZ NASCOSTO'!$P$11,IF(C279&lt;='SOLLECITAZ NASCOSTO'!$P$10,IF(C279&lt;='SOLLECITAZ NASCOSTO'!$P$9,IF(C279&lt;='SOLLECITAZ NASCOSTO'!$P$8,IF(C279&lt;='SOLLECITAZ NASCOSTO'!$P$7,IF(C279&lt;='SOLLECITAZ NASCOSTO'!$P$6,IF(C279&lt;='SOLLECITAZ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paramento'!$G$111),55555)-IF(C279&lt;='SOLLECITAZ NASCOSTO'!$P$12,IF(C279&lt;='SOLLECITAZ NASCOSTO'!$P$11,IF(C279&lt;='SOLLECITAZ NASCOSTO'!$P$10,IF(C279&lt;='SOLLECITAZ NASCOSTO'!$P$9,IF(C279&lt;='SOLLECITAZ NASCOSTO'!$P$8,IF(C279&lt;='SOLLECITAZ NASCOSTO'!$P$7,IF(C279&lt;='SOLLECITAZ NASCOSTO'!$P$6,IF(C279&lt;='SOLLECITAZ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paramento'!$G$111))*(C279-IF(C279&lt;='SOLLECITAZ NASCOSTO'!$P$12,IF(C279&lt;='SOLLECITAZ NASCOSTO'!$P$11,IF(C279&lt;='SOLLECITAZ NASCOSTO'!$P$10,IF(C279&lt;='SOLLECITAZ NASCOSTO'!$P$9,IF(C279&lt;='SOLLECITAZ NASCOSTO'!$P$8,IF(C279&lt;='SOLLECITAZ NASCOSTO'!$P$7,IF(C279&lt;='SOLLECITAZ NASCOSTO'!$P$6,IF(C279&lt;='SOLLECITAZ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NASCOSTO'!$P$12))/IF(C279&lt;='SOLLECITAZ NASCOSTO'!$P$12,IF(C279&lt;='SOLLECITAZ NASCOSTO'!$P$11,IF(C279&lt;='SOLLECITAZ NASCOSTO'!$P$10,IF(C279&lt;='SOLLECITAZ NASCOSTO'!$P$9,IF(C279&lt;='SOLLECITAZ NASCOSTO'!$P$8,IF(C279&lt;='SOLLECITAZ NASCOSTO'!$P$7,IF(C279&lt;='SOLLECITAZ NASCOSTO'!$P$6,IF(C279&lt;='SOLLECITAZ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paramento'!$C$111)+IF(C279&lt;='SOLLECITAZ NASCOSTO'!$P$12,IF(C279&lt;='SOLLECITAZ NASCOSTO'!$P$11,IF(C279&lt;='SOLLECITAZ NASCOSTO'!$P$10,IF(C279&lt;='SOLLECITAZ NASCOSTO'!$P$9,IF(C279&lt;='SOLLECITAZ NASCOSTO'!$P$8,IF(C279&lt;='SOLLECITAZ NASCOSTO'!$P$7,IF(C279&lt;='SOLLECITAZ NASCOSTO'!$P$6,IF(C279&lt;='SOLLECITAZ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77.228709748693376</v>
      </c>
      <c r="O280" s="41">
        <f>IF(C280&lt;='SOLLECITAZ NASCOSTO'!$P$12,IF(C280&lt;='SOLLECITAZ NASCOSTO'!$P$11,IF(C280&lt;='SOLLECITAZ NASCOSTO'!$P$10,IF(C280&lt;='SOLLECITAZ NASCOSTO'!$P$9,IF(C280&lt;='SOLLECITAZ NASCOSTO'!$P$8,IF(C280&lt;='SOLLECITAZ NASCOSTO'!$P$7,IF(C280&lt;='SOLLECITAZ NASCOSTO'!$P$6,IF(C280&lt;='SOLLECITAZ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paramento'!$G$110),55555)*(C280-C279)/IF(C280&lt;='SOLLECITAZ NASCOSTO'!$P$12,IF(C280&lt;='SOLLECITAZ NASCOSTO'!$P$11,IF(C280&lt;='SOLLECITAZ NASCOSTO'!$P$10,IF(C280&lt;='SOLLECITAZ NASCOSTO'!$P$9,IF(C280&lt;='SOLLECITAZ NASCOSTO'!$P$8,IF(C280&lt;='SOLLECITAZ NASCOSTO'!$P$7,IF(C280&lt;='SOLLECITAZ NASCOSTO'!$P$6,IF(C280&lt;='SOLLECITAZ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80" s="41">
        <f t="shared" si="75"/>
        <v>2.469999999999995E-4</v>
      </c>
      <c r="Q280" s="41">
        <f t="shared" si="73"/>
        <v>1</v>
      </c>
      <c r="R280" s="434">
        <f t="shared" si="67"/>
        <v>2.7018059492324484</v>
      </c>
      <c r="S280" s="45">
        <f t="shared" si="74"/>
        <v>2.7018059492324484</v>
      </c>
      <c r="T280" s="205">
        <f t="shared" si="70"/>
        <v>2.3302556430284325</v>
      </c>
      <c r="U280" s="45">
        <f t="shared" si="71"/>
        <v>122.8770252809408</v>
      </c>
      <c r="V280" s="45">
        <f t="shared" si="72"/>
        <v>-127.05473104729982</v>
      </c>
      <c r="W280" s="488"/>
      <c r="X280" s="489"/>
      <c r="Y280" s="489"/>
      <c r="Z280" s="490"/>
      <c r="AA280" s="46"/>
    </row>
    <row r="281" spans="1:27" s="421" customFormat="1" x14ac:dyDescent="0.25">
      <c r="A281" s="581">
        <f t="shared" si="68"/>
        <v>0.47767926106576997</v>
      </c>
      <c r="B281" s="31">
        <f t="shared" si="76"/>
        <v>249</v>
      </c>
      <c r="C281" s="434">
        <f>'SOLLECITAZ NASCOSTO'!$D$6/'SOLLECITAZ NASCOSTO'!$B$448*'SOLLECITAZ NASCOSTO'!B281</f>
        <v>2.7127003280599986</v>
      </c>
      <c r="D281" s="434">
        <f t="shared" si="69"/>
        <v>0.59767926106576996</v>
      </c>
      <c r="E281" s="434">
        <f t="shared" si="63"/>
        <v>0.47767926106576997</v>
      </c>
      <c r="F281" s="434">
        <f t="shared" si="64"/>
        <v>0.45285736354104639</v>
      </c>
      <c r="G281" s="434">
        <f t="shared" si="65"/>
        <v>7.2851279857299972E-2</v>
      </c>
      <c r="H281" s="434">
        <f t="shared" si="77"/>
        <v>0</v>
      </c>
      <c r="I281" s="434">
        <v>0</v>
      </c>
      <c r="J281" s="127">
        <f t="shared" si="78"/>
        <v>0.16087025567532112</v>
      </c>
      <c r="K281" s="126">
        <f t="shared" si="66"/>
        <v>1.2309759603827341E-2</v>
      </c>
      <c r="L281" s="41">
        <f t="shared" si="79"/>
        <v>123.72260223477222</v>
      </c>
      <c r="M281" s="41">
        <f t="shared" si="80"/>
        <v>-128.39800592774429</v>
      </c>
      <c r="N281" s="41">
        <f>(IF(C280&lt;='SOLLECITAZ NASCOSTO'!$P$12,IF(C280&lt;='SOLLECITAZ NASCOSTO'!$P$11,IF(C280&lt;='SOLLECITAZ NASCOSTO'!$P$10,IF(C280&lt;='SOLLECITAZ NASCOSTO'!$P$9,IF(C280&lt;='SOLLECITAZ NASCOSTO'!$P$8,IF(C280&lt;='SOLLECITAZ NASCOSTO'!$P$7,IF(C280&lt;='SOLLECITAZ NASCOSTO'!$P$6,IF(C280&lt;='SOLLECITAZ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paramento'!$G$111),55555)-IF(C280&lt;='SOLLECITAZ NASCOSTO'!$P$12,IF(C280&lt;='SOLLECITAZ NASCOSTO'!$P$11,IF(C280&lt;='SOLLECITAZ NASCOSTO'!$P$10,IF(C280&lt;='SOLLECITAZ NASCOSTO'!$P$9,IF(C280&lt;='SOLLECITAZ NASCOSTO'!$P$8,IF(C280&lt;='SOLLECITAZ NASCOSTO'!$P$7,IF(C280&lt;='SOLLECITAZ NASCOSTO'!$P$6,IF(C280&lt;='SOLLECITAZ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paramento'!$G$111))*(C280-IF(C280&lt;='SOLLECITAZ NASCOSTO'!$P$12,IF(C280&lt;='SOLLECITAZ NASCOSTO'!$P$11,IF(C280&lt;='SOLLECITAZ NASCOSTO'!$P$10,IF(C280&lt;='SOLLECITAZ NASCOSTO'!$P$9,IF(C280&lt;='SOLLECITAZ NASCOSTO'!$P$8,IF(C280&lt;='SOLLECITAZ NASCOSTO'!$P$7,IF(C280&lt;='SOLLECITAZ NASCOSTO'!$P$6,IF(C280&lt;='SOLLECITAZ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NASCOSTO'!$P$12))/IF(C280&lt;='SOLLECITAZ NASCOSTO'!$P$12,IF(C280&lt;='SOLLECITAZ NASCOSTO'!$P$11,IF(C280&lt;='SOLLECITAZ NASCOSTO'!$P$10,IF(C280&lt;='SOLLECITAZ NASCOSTO'!$P$9,IF(C280&lt;='SOLLECITAZ NASCOSTO'!$P$8,IF(C280&lt;='SOLLECITAZ NASCOSTO'!$P$7,IF(C280&lt;='SOLLECITAZ NASCOSTO'!$P$6,IF(C280&lt;='SOLLECITAZ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paramento'!$C$111)+IF(C280&lt;='SOLLECITAZ NASCOSTO'!$P$12,IF(C280&lt;='SOLLECITAZ NASCOSTO'!$P$11,IF(C280&lt;='SOLLECITAZ NASCOSTO'!$P$10,IF(C280&lt;='SOLLECITAZ NASCOSTO'!$P$9,IF(C280&lt;='SOLLECITAZ NASCOSTO'!$P$8,IF(C280&lt;='SOLLECITAZ NASCOSTO'!$P$7,IF(C280&lt;='SOLLECITAZ NASCOSTO'!$P$6,IF(C280&lt;='SOLLECITAZ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77.486832678142775</v>
      </c>
      <c r="O281" s="41">
        <f>IF(C281&lt;='SOLLECITAZ NASCOSTO'!$P$12,IF(C281&lt;='SOLLECITAZ NASCOSTO'!$P$11,IF(C281&lt;='SOLLECITAZ NASCOSTO'!$P$10,IF(C281&lt;='SOLLECITAZ NASCOSTO'!$P$9,IF(C281&lt;='SOLLECITAZ NASCOSTO'!$P$8,IF(C281&lt;='SOLLECITAZ NASCOSTO'!$P$7,IF(C281&lt;='SOLLECITAZ NASCOSTO'!$P$6,IF(C281&lt;='SOLLECITAZ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paramento'!$G$110),55555)*(C281-C280)/IF(C281&lt;='SOLLECITAZ NASCOSTO'!$P$12,IF(C281&lt;='SOLLECITAZ NASCOSTO'!$P$11,IF(C281&lt;='SOLLECITAZ NASCOSTO'!$P$10,IF(C281&lt;='SOLLECITAZ NASCOSTO'!$P$9,IF(C281&lt;='SOLLECITAZ NASCOSTO'!$P$8,IF(C281&lt;='SOLLECITAZ NASCOSTO'!$P$7,IF(C281&lt;='SOLLECITAZ NASCOSTO'!$P$6,IF(C281&lt;='SOLLECITAZ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81" s="41">
        <f t="shared" si="75"/>
        <v>2.4799999999999952E-4</v>
      </c>
      <c r="Q281" s="41">
        <f t="shared" si="73"/>
        <v>1</v>
      </c>
      <c r="R281" s="434">
        <f t="shared" si="67"/>
        <v>2.7127003280599986</v>
      </c>
      <c r="S281" s="45">
        <f t="shared" si="74"/>
        <v>2.7127003280599986</v>
      </c>
      <c r="T281" s="205">
        <f t="shared" si="70"/>
        <v>2.3193612642008823</v>
      </c>
      <c r="U281" s="45">
        <f t="shared" si="71"/>
        <v>123.72260223477222</v>
      </c>
      <c r="V281" s="45">
        <f t="shared" si="72"/>
        <v>-128.39800592774429</v>
      </c>
      <c r="W281" s="488"/>
      <c r="X281" s="489"/>
      <c r="Y281" s="489"/>
      <c r="Z281" s="490"/>
      <c r="AA281" s="46"/>
    </row>
    <row r="282" spans="1:27" s="421" customFormat="1" x14ac:dyDescent="0.25">
      <c r="A282" s="581">
        <f t="shared" si="68"/>
        <v>0.47925010381387911</v>
      </c>
      <c r="B282" s="31">
        <f t="shared" si="76"/>
        <v>250</v>
      </c>
      <c r="C282" s="434">
        <f>'SOLLECITAZ NASCOSTO'!$D$6/'SOLLECITAZ NASCOSTO'!$B$448*'SOLLECITAZ NASCOSTO'!B282</f>
        <v>2.7235947068875488</v>
      </c>
      <c r="D282" s="434">
        <f t="shared" si="69"/>
        <v>0.59925010381387911</v>
      </c>
      <c r="E282" s="434">
        <f t="shared" si="63"/>
        <v>0.47925010381387911</v>
      </c>
      <c r="F282" s="434">
        <f t="shared" si="64"/>
        <v>0.45336003322044127</v>
      </c>
      <c r="G282" s="434">
        <f t="shared" si="65"/>
        <v>7.3152109907351173E-2</v>
      </c>
      <c r="H282" s="434">
        <f t="shared" si="77"/>
        <v>0</v>
      </c>
      <c r="I282" s="434">
        <v>0</v>
      </c>
      <c r="J282" s="127">
        <f t="shared" si="78"/>
        <v>0.16135544500408525</v>
      </c>
      <c r="K282" s="126">
        <f t="shared" si="66"/>
        <v>1.2405908637392826E-2</v>
      </c>
      <c r="L282" s="41">
        <f t="shared" si="79"/>
        <v>124.57099127758116</v>
      </c>
      <c r="M282" s="41">
        <f t="shared" si="80"/>
        <v>-129.75050816183295</v>
      </c>
      <c r="N282" s="41">
        <f>(IF(C281&lt;='SOLLECITAZ NASCOSTO'!$P$12,IF(C281&lt;='SOLLECITAZ NASCOSTO'!$P$11,IF(C281&lt;='SOLLECITAZ NASCOSTO'!$P$10,IF(C281&lt;='SOLLECITAZ NASCOSTO'!$P$9,IF(C281&lt;='SOLLECITAZ NASCOSTO'!$P$8,IF(C281&lt;='SOLLECITAZ NASCOSTO'!$P$7,IF(C281&lt;='SOLLECITAZ NASCOSTO'!$P$6,IF(C281&lt;='SOLLECITAZ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paramento'!$G$111),55555)-IF(C281&lt;='SOLLECITAZ NASCOSTO'!$P$12,IF(C281&lt;='SOLLECITAZ NASCOSTO'!$P$11,IF(C281&lt;='SOLLECITAZ NASCOSTO'!$P$10,IF(C281&lt;='SOLLECITAZ NASCOSTO'!$P$9,IF(C281&lt;='SOLLECITAZ NASCOSTO'!$P$8,IF(C281&lt;='SOLLECITAZ NASCOSTO'!$P$7,IF(C281&lt;='SOLLECITAZ NASCOSTO'!$P$6,IF(C281&lt;='SOLLECITAZ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paramento'!$G$111))*(C281-IF(C281&lt;='SOLLECITAZ NASCOSTO'!$P$12,IF(C281&lt;='SOLLECITAZ NASCOSTO'!$P$11,IF(C281&lt;='SOLLECITAZ NASCOSTO'!$P$10,IF(C281&lt;='SOLLECITAZ NASCOSTO'!$P$9,IF(C281&lt;='SOLLECITAZ NASCOSTO'!$P$8,IF(C281&lt;='SOLLECITAZ NASCOSTO'!$P$7,IF(C281&lt;='SOLLECITAZ NASCOSTO'!$P$6,IF(C281&lt;='SOLLECITAZ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NASCOSTO'!$P$12))/IF(C281&lt;='SOLLECITAZ NASCOSTO'!$P$12,IF(C281&lt;='SOLLECITAZ NASCOSTO'!$P$11,IF(C281&lt;='SOLLECITAZ NASCOSTO'!$P$10,IF(C281&lt;='SOLLECITAZ NASCOSTO'!$P$9,IF(C281&lt;='SOLLECITAZ NASCOSTO'!$P$8,IF(C281&lt;='SOLLECITAZ NASCOSTO'!$P$7,IF(C281&lt;='SOLLECITAZ NASCOSTO'!$P$6,IF(C281&lt;='SOLLECITAZ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paramento'!$C$111)+IF(C281&lt;='SOLLECITAZ NASCOSTO'!$P$12,IF(C281&lt;='SOLLECITAZ NASCOSTO'!$P$11,IF(C281&lt;='SOLLECITAZ NASCOSTO'!$P$10,IF(C281&lt;='SOLLECITAZ NASCOSTO'!$P$9,IF(C281&lt;='SOLLECITAZ NASCOSTO'!$P$8,IF(C281&lt;='SOLLECITAZ NASCOSTO'!$P$7,IF(C281&lt;='SOLLECITAZ NASCOSTO'!$P$6,IF(C281&lt;='SOLLECITAZ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77.744955607592175</v>
      </c>
      <c r="O282" s="41">
        <f>IF(C282&lt;='SOLLECITAZ NASCOSTO'!$P$12,IF(C282&lt;='SOLLECITAZ NASCOSTO'!$P$11,IF(C282&lt;='SOLLECITAZ NASCOSTO'!$P$10,IF(C282&lt;='SOLLECITAZ NASCOSTO'!$P$9,IF(C282&lt;='SOLLECITAZ NASCOSTO'!$P$8,IF(C282&lt;='SOLLECITAZ NASCOSTO'!$P$7,IF(C282&lt;='SOLLECITAZ NASCOSTO'!$P$6,IF(C282&lt;='SOLLECITAZ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paramento'!$G$110),55555)*(C282-C281)/IF(C282&lt;='SOLLECITAZ NASCOSTO'!$P$12,IF(C282&lt;='SOLLECITAZ NASCOSTO'!$P$11,IF(C282&lt;='SOLLECITAZ NASCOSTO'!$P$10,IF(C282&lt;='SOLLECITAZ NASCOSTO'!$P$9,IF(C282&lt;='SOLLECITAZ NASCOSTO'!$P$8,IF(C282&lt;='SOLLECITAZ NASCOSTO'!$P$7,IF(C282&lt;='SOLLECITAZ NASCOSTO'!$P$6,IF(C282&lt;='SOLLECITAZ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82" s="41">
        <f t="shared" si="75"/>
        <v>2.4899999999999955E-4</v>
      </c>
      <c r="Q282" s="41">
        <f t="shared" si="73"/>
        <v>1</v>
      </c>
      <c r="R282" s="434">
        <f t="shared" si="67"/>
        <v>2.7235947068875488</v>
      </c>
      <c r="S282" s="45">
        <f t="shared" si="74"/>
        <v>2.7235947068875488</v>
      </c>
      <c r="T282" s="205">
        <f t="shared" si="70"/>
        <v>2.3084668853733321</v>
      </c>
      <c r="U282" s="45">
        <f t="shared" si="71"/>
        <v>124.57099127758116</v>
      </c>
      <c r="V282" s="45">
        <f t="shared" si="72"/>
        <v>-129.75050816183295</v>
      </c>
      <c r="W282" s="488"/>
      <c r="X282" s="489"/>
      <c r="Y282" s="489"/>
      <c r="Z282" s="490"/>
      <c r="AA282" s="46"/>
    </row>
    <row r="283" spans="1:27" s="421" customFormat="1" x14ac:dyDescent="0.25">
      <c r="A283" s="581">
        <f t="shared" si="68"/>
        <v>0.48082094656198826</v>
      </c>
      <c r="B283" s="31">
        <f t="shared" si="76"/>
        <v>251</v>
      </c>
      <c r="C283" s="434">
        <f>'SOLLECITAZ NASCOSTO'!$D$6/'SOLLECITAZ NASCOSTO'!$B$448*'SOLLECITAZ NASCOSTO'!B283</f>
        <v>2.734489085715099</v>
      </c>
      <c r="D283" s="434">
        <f t="shared" si="69"/>
        <v>0.60082094656198826</v>
      </c>
      <c r="E283" s="434">
        <f t="shared" si="63"/>
        <v>0.48082094656198826</v>
      </c>
      <c r="F283" s="434">
        <f t="shared" si="64"/>
        <v>0.45386270289983621</v>
      </c>
      <c r="G283" s="434">
        <f t="shared" si="65"/>
        <v>7.3453729572422966E-2</v>
      </c>
      <c r="H283" s="434">
        <f t="shared" si="77"/>
        <v>0</v>
      </c>
      <c r="I283" s="434">
        <v>0</v>
      </c>
      <c r="J283" s="127">
        <f t="shared" si="78"/>
        <v>0.16184129936897151</v>
      </c>
      <c r="K283" s="126">
        <f t="shared" si="66"/>
        <v>1.2502535464485025E-2</v>
      </c>
      <c r="L283" s="41">
        <f t="shared" si="79"/>
        <v>125.42219240936758</v>
      </c>
      <c r="M283" s="41">
        <f t="shared" si="80"/>
        <v>-131.11226838552844</v>
      </c>
      <c r="N283" s="41">
        <f>(IF(C282&lt;='SOLLECITAZ NASCOSTO'!$P$12,IF(C282&lt;='SOLLECITAZ NASCOSTO'!$P$11,IF(C282&lt;='SOLLECITAZ NASCOSTO'!$P$10,IF(C282&lt;='SOLLECITAZ NASCOSTO'!$P$9,IF(C282&lt;='SOLLECITAZ NASCOSTO'!$P$8,IF(C282&lt;='SOLLECITAZ NASCOSTO'!$P$7,IF(C282&lt;='SOLLECITAZ NASCOSTO'!$P$6,IF(C282&lt;='SOLLECITAZ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paramento'!$G$111),55555)-IF(C282&lt;='SOLLECITAZ NASCOSTO'!$P$12,IF(C282&lt;='SOLLECITAZ NASCOSTO'!$P$11,IF(C282&lt;='SOLLECITAZ NASCOSTO'!$P$10,IF(C282&lt;='SOLLECITAZ NASCOSTO'!$P$9,IF(C282&lt;='SOLLECITAZ NASCOSTO'!$P$8,IF(C282&lt;='SOLLECITAZ NASCOSTO'!$P$7,IF(C282&lt;='SOLLECITAZ NASCOSTO'!$P$6,IF(C282&lt;='SOLLECITAZ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paramento'!$G$111))*(C282-IF(C282&lt;='SOLLECITAZ NASCOSTO'!$P$12,IF(C282&lt;='SOLLECITAZ NASCOSTO'!$P$11,IF(C282&lt;='SOLLECITAZ NASCOSTO'!$P$10,IF(C282&lt;='SOLLECITAZ NASCOSTO'!$P$9,IF(C282&lt;='SOLLECITAZ NASCOSTO'!$P$8,IF(C282&lt;='SOLLECITAZ NASCOSTO'!$P$7,IF(C282&lt;='SOLLECITAZ NASCOSTO'!$P$6,IF(C282&lt;='SOLLECITAZ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NASCOSTO'!$P$12))/IF(C282&lt;='SOLLECITAZ NASCOSTO'!$P$12,IF(C282&lt;='SOLLECITAZ NASCOSTO'!$P$11,IF(C282&lt;='SOLLECITAZ NASCOSTO'!$P$10,IF(C282&lt;='SOLLECITAZ NASCOSTO'!$P$9,IF(C282&lt;='SOLLECITAZ NASCOSTO'!$P$8,IF(C282&lt;='SOLLECITAZ NASCOSTO'!$P$7,IF(C282&lt;='SOLLECITAZ NASCOSTO'!$P$6,IF(C282&lt;='SOLLECITAZ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paramento'!$C$111)+IF(C282&lt;='SOLLECITAZ NASCOSTO'!$P$12,IF(C282&lt;='SOLLECITAZ NASCOSTO'!$P$11,IF(C282&lt;='SOLLECITAZ NASCOSTO'!$P$10,IF(C282&lt;='SOLLECITAZ NASCOSTO'!$P$9,IF(C282&lt;='SOLLECITAZ NASCOSTO'!$P$8,IF(C282&lt;='SOLLECITAZ NASCOSTO'!$P$7,IF(C282&lt;='SOLLECITAZ NASCOSTO'!$P$6,IF(C282&lt;='SOLLECITAZ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78.003078537041603</v>
      </c>
      <c r="O283" s="41">
        <f>IF(C283&lt;='SOLLECITAZ NASCOSTO'!$P$12,IF(C283&lt;='SOLLECITAZ NASCOSTO'!$P$11,IF(C283&lt;='SOLLECITAZ NASCOSTO'!$P$10,IF(C283&lt;='SOLLECITAZ NASCOSTO'!$P$9,IF(C283&lt;='SOLLECITAZ NASCOSTO'!$P$8,IF(C283&lt;='SOLLECITAZ NASCOSTO'!$P$7,IF(C283&lt;='SOLLECITAZ NASCOSTO'!$P$6,IF(C283&lt;='SOLLECITAZ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paramento'!$G$110),55555)*(C283-C282)/IF(C283&lt;='SOLLECITAZ NASCOSTO'!$P$12,IF(C283&lt;='SOLLECITAZ NASCOSTO'!$P$11,IF(C283&lt;='SOLLECITAZ NASCOSTO'!$P$10,IF(C283&lt;='SOLLECITAZ NASCOSTO'!$P$9,IF(C283&lt;='SOLLECITAZ NASCOSTO'!$P$8,IF(C283&lt;='SOLLECITAZ NASCOSTO'!$P$7,IF(C283&lt;='SOLLECITAZ NASCOSTO'!$P$6,IF(C283&lt;='SOLLECITAZ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83" s="41">
        <f t="shared" si="75"/>
        <v>2.4999999999999957E-4</v>
      </c>
      <c r="Q283" s="41">
        <f t="shared" si="73"/>
        <v>1</v>
      </c>
      <c r="R283" s="434">
        <f t="shared" si="67"/>
        <v>2.734489085715099</v>
      </c>
      <c r="S283" s="45">
        <f t="shared" si="74"/>
        <v>2.734489085715099</v>
      </c>
      <c r="T283" s="205">
        <f t="shared" si="70"/>
        <v>2.2975725065457819</v>
      </c>
      <c r="U283" s="45">
        <f t="shared" si="71"/>
        <v>125.42219240936758</v>
      </c>
      <c r="V283" s="45">
        <f t="shared" si="72"/>
        <v>-131.11226838552844</v>
      </c>
      <c r="W283" s="488"/>
      <c r="X283" s="489"/>
      <c r="Y283" s="489"/>
      <c r="Z283" s="490"/>
      <c r="AA283" s="46"/>
    </row>
    <row r="284" spans="1:27" s="421" customFormat="1" x14ac:dyDescent="0.25">
      <c r="A284" s="581">
        <f t="shared" si="68"/>
        <v>0.48239178931009752</v>
      </c>
      <c r="B284" s="31">
        <f t="shared" si="76"/>
        <v>252</v>
      </c>
      <c r="C284" s="434">
        <f>'SOLLECITAZ NASCOSTO'!$D$6/'SOLLECITAZ NASCOSTO'!$B$448*'SOLLECITAZ NASCOSTO'!B284</f>
        <v>2.7453834645426491</v>
      </c>
      <c r="D284" s="434">
        <f t="shared" si="69"/>
        <v>0.60239178931009751</v>
      </c>
      <c r="E284" s="434">
        <f t="shared" si="63"/>
        <v>0.48239178931009752</v>
      </c>
      <c r="F284" s="434">
        <f t="shared" si="64"/>
        <v>0.45436537257923121</v>
      </c>
      <c r="G284" s="434">
        <f t="shared" si="65"/>
        <v>7.3756138852515349E-2</v>
      </c>
      <c r="H284" s="434">
        <f t="shared" si="77"/>
        <v>0</v>
      </c>
      <c r="I284" s="434">
        <v>0</v>
      </c>
      <c r="J284" s="127">
        <f t="shared" si="78"/>
        <v>0.16232781656276837</v>
      </c>
      <c r="K284" s="126">
        <f t="shared" si="66"/>
        <v>1.2599640975943769E-2</v>
      </c>
      <c r="L284" s="41">
        <f t="shared" si="79"/>
        <v>126.27620563013151</v>
      </c>
      <c r="M284" s="41">
        <f t="shared" si="80"/>
        <v>-132.48331723479333</v>
      </c>
      <c r="N284" s="41">
        <f>(IF(C283&lt;='SOLLECITAZ NASCOSTO'!$P$12,IF(C283&lt;='SOLLECITAZ NASCOSTO'!$P$11,IF(C283&lt;='SOLLECITAZ NASCOSTO'!$P$10,IF(C283&lt;='SOLLECITAZ NASCOSTO'!$P$9,IF(C283&lt;='SOLLECITAZ NASCOSTO'!$P$8,IF(C283&lt;='SOLLECITAZ NASCOSTO'!$P$7,IF(C283&lt;='SOLLECITAZ NASCOSTO'!$P$6,IF(C283&lt;='SOLLECITAZ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paramento'!$G$111),55555)-IF(C283&lt;='SOLLECITAZ NASCOSTO'!$P$12,IF(C283&lt;='SOLLECITAZ NASCOSTO'!$P$11,IF(C283&lt;='SOLLECITAZ NASCOSTO'!$P$10,IF(C283&lt;='SOLLECITAZ NASCOSTO'!$P$9,IF(C283&lt;='SOLLECITAZ NASCOSTO'!$P$8,IF(C283&lt;='SOLLECITAZ NASCOSTO'!$P$7,IF(C283&lt;='SOLLECITAZ NASCOSTO'!$P$6,IF(C283&lt;='SOLLECITAZ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paramento'!$G$111))*(C283-IF(C283&lt;='SOLLECITAZ NASCOSTO'!$P$12,IF(C283&lt;='SOLLECITAZ NASCOSTO'!$P$11,IF(C283&lt;='SOLLECITAZ NASCOSTO'!$P$10,IF(C283&lt;='SOLLECITAZ NASCOSTO'!$P$9,IF(C283&lt;='SOLLECITAZ NASCOSTO'!$P$8,IF(C283&lt;='SOLLECITAZ NASCOSTO'!$P$7,IF(C283&lt;='SOLLECITAZ NASCOSTO'!$P$6,IF(C283&lt;='SOLLECITAZ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NASCOSTO'!$P$12))/IF(C283&lt;='SOLLECITAZ NASCOSTO'!$P$12,IF(C283&lt;='SOLLECITAZ NASCOSTO'!$P$11,IF(C283&lt;='SOLLECITAZ NASCOSTO'!$P$10,IF(C283&lt;='SOLLECITAZ NASCOSTO'!$P$9,IF(C283&lt;='SOLLECITAZ NASCOSTO'!$P$8,IF(C283&lt;='SOLLECITAZ NASCOSTO'!$P$7,IF(C283&lt;='SOLLECITAZ NASCOSTO'!$P$6,IF(C283&lt;='SOLLECITAZ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paramento'!$C$111)+IF(C283&lt;='SOLLECITAZ NASCOSTO'!$P$12,IF(C283&lt;='SOLLECITAZ NASCOSTO'!$P$11,IF(C283&lt;='SOLLECITAZ NASCOSTO'!$P$10,IF(C283&lt;='SOLLECITAZ NASCOSTO'!$P$9,IF(C283&lt;='SOLLECITAZ NASCOSTO'!$P$8,IF(C283&lt;='SOLLECITAZ NASCOSTO'!$P$7,IF(C283&lt;='SOLLECITAZ NASCOSTO'!$P$6,IF(C283&lt;='SOLLECITAZ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78.261201466491002</v>
      </c>
      <c r="O284" s="41">
        <f>IF(C284&lt;='SOLLECITAZ NASCOSTO'!$P$12,IF(C284&lt;='SOLLECITAZ NASCOSTO'!$P$11,IF(C284&lt;='SOLLECITAZ NASCOSTO'!$P$10,IF(C284&lt;='SOLLECITAZ NASCOSTO'!$P$9,IF(C284&lt;='SOLLECITAZ NASCOSTO'!$P$8,IF(C284&lt;='SOLLECITAZ NASCOSTO'!$P$7,IF(C284&lt;='SOLLECITAZ NASCOSTO'!$P$6,IF(C284&lt;='SOLLECITAZ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paramento'!$G$110),55555)*(C284-C283)/IF(C284&lt;='SOLLECITAZ NASCOSTO'!$P$12,IF(C284&lt;='SOLLECITAZ NASCOSTO'!$P$11,IF(C284&lt;='SOLLECITAZ NASCOSTO'!$P$10,IF(C284&lt;='SOLLECITAZ NASCOSTO'!$P$9,IF(C284&lt;='SOLLECITAZ NASCOSTO'!$P$8,IF(C284&lt;='SOLLECITAZ NASCOSTO'!$P$7,IF(C284&lt;='SOLLECITAZ NASCOSTO'!$P$6,IF(C284&lt;='SOLLECITAZ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84" s="41">
        <f t="shared" si="75"/>
        <v>2.509999999999996E-4</v>
      </c>
      <c r="Q284" s="41">
        <f t="shared" si="73"/>
        <v>1</v>
      </c>
      <c r="R284" s="434">
        <f t="shared" si="67"/>
        <v>2.7453834645426491</v>
      </c>
      <c r="S284" s="45">
        <f t="shared" si="74"/>
        <v>2.7453834645426491</v>
      </c>
      <c r="T284" s="205">
        <f t="shared" si="70"/>
        <v>2.2866781277182318</v>
      </c>
      <c r="U284" s="45">
        <f t="shared" si="71"/>
        <v>126.27620563013151</v>
      </c>
      <c r="V284" s="45">
        <f t="shared" si="72"/>
        <v>-132.48331723479333</v>
      </c>
      <c r="W284" s="488"/>
      <c r="X284" s="489"/>
      <c r="Y284" s="489"/>
      <c r="Z284" s="490"/>
      <c r="AA284" s="46"/>
    </row>
    <row r="285" spans="1:27" s="421" customFormat="1" x14ac:dyDescent="0.25">
      <c r="A285" s="581">
        <f t="shared" si="68"/>
        <v>0.48396263205820667</v>
      </c>
      <c r="B285" s="31">
        <f t="shared" si="76"/>
        <v>253</v>
      </c>
      <c r="C285" s="434">
        <f>'SOLLECITAZ NASCOSTO'!$D$6/'SOLLECITAZ NASCOSTO'!$B$448*'SOLLECITAZ NASCOSTO'!B285</f>
        <v>2.7562778433701993</v>
      </c>
      <c r="D285" s="434">
        <f t="shared" si="69"/>
        <v>0.60396263205820666</v>
      </c>
      <c r="E285" s="434">
        <f t="shared" si="63"/>
        <v>0.48396263205820667</v>
      </c>
      <c r="F285" s="434">
        <f t="shared" si="64"/>
        <v>0.45486804225862609</v>
      </c>
      <c r="G285" s="434">
        <f t="shared" si="65"/>
        <v>7.4059337747628268E-2</v>
      </c>
      <c r="H285" s="434">
        <f t="shared" si="77"/>
        <v>0</v>
      </c>
      <c r="I285" s="434">
        <v>0</v>
      </c>
      <c r="J285" s="127">
        <f t="shared" si="78"/>
        <v>0.16281499438802091</v>
      </c>
      <c r="K285" s="126">
        <f t="shared" si="66"/>
        <v>1.2697226061412463E-2</v>
      </c>
      <c r="L285" s="41">
        <f t="shared" si="79"/>
        <v>127.13303093987294</v>
      </c>
      <c r="M285" s="41">
        <f t="shared" si="80"/>
        <v>-133.86368534559028</v>
      </c>
      <c r="N285" s="41">
        <f>(IF(C284&lt;='SOLLECITAZ NASCOSTO'!$P$12,IF(C284&lt;='SOLLECITAZ NASCOSTO'!$P$11,IF(C284&lt;='SOLLECITAZ NASCOSTO'!$P$10,IF(C284&lt;='SOLLECITAZ NASCOSTO'!$P$9,IF(C284&lt;='SOLLECITAZ NASCOSTO'!$P$8,IF(C284&lt;='SOLLECITAZ NASCOSTO'!$P$7,IF(C284&lt;='SOLLECITAZ NASCOSTO'!$P$6,IF(C284&lt;='SOLLECITAZ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paramento'!$G$111),55555)-IF(C284&lt;='SOLLECITAZ NASCOSTO'!$P$12,IF(C284&lt;='SOLLECITAZ NASCOSTO'!$P$11,IF(C284&lt;='SOLLECITAZ NASCOSTO'!$P$10,IF(C284&lt;='SOLLECITAZ NASCOSTO'!$P$9,IF(C284&lt;='SOLLECITAZ NASCOSTO'!$P$8,IF(C284&lt;='SOLLECITAZ NASCOSTO'!$P$7,IF(C284&lt;='SOLLECITAZ NASCOSTO'!$P$6,IF(C284&lt;='SOLLECITAZ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paramento'!$G$111))*(C284-IF(C284&lt;='SOLLECITAZ NASCOSTO'!$P$12,IF(C284&lt;='SOLLECITAZ NASCOSTO'!$P$11,IF(C284&lt;='SOLLECITAZ NASCOSTO'!$P$10,IF(C284&lt;='SOLLECITAZ NASCOSTO'!$P$9,IF(C284&lt;='SOLLECITAZ NASCOSTO'!$P$8,IF(C284&lt;='SOLLECITAZ NASCOSTO'!$P$7,IF(C284&lt;='SOLLECITAZ NASCOSTO'!$P$6,IF(C284&lt;='SOLLECITAZ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NASCOSTO'!$P$12))/IF(C284&lt;='SOLLECITAZ NASCOSTO'!$P$12,IF(C284&lt;='SOLLECITAZ NASCOSTO'!$P$11,IF(C284&lt;='SOLLECITAZ NASCOSTO'!$P$10,IF(C284&lt;='SOLLECITAZ NASCOSTO'!$P$9,IF(C284&lt;='SOLLECITAZ NASCOSTO'!$P$8,IF(C284&lt;='SOLLECITAZ NASCOSTO'!$P$7,IF(C284&lt;='SOLLECITAZ NASCOSTO'!$P$6,IF(C284&lt;='SOLLECITAZ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paramento'!$C$111)+IF(C284&lt;='SOLLECITAZ NASCOSTO'!$P$12,IF(C284&lt;='SOLLECITAZ NASCOSTO'!$P$11,IF(C284&lt;='SOLLECITAZ NASCOSTO'!$P$10,IF(C284&lt;='SOLLECITAZ NASCOSTO'!$P$9,IF(C284&lt;='SOLLECITAZ NASCOSTO'!$P$8,IF(C284&lt;='SOLLECITAZ NASCOSTO'!$P$7,IF(C284&lt;='SOLLECITAZ NASCOSTO'!$P$6,IF(C284&lt;='SOLLECITAZ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78.519324395940401</v>
      </c>
      <c r="O285" s="41">
        <f>IF(C285&lt;='SOLLECITAZ NASCOSTO'!$P$12,IF(C285&lt;='SOLLECITAZ NASCOSTO'!$P$11,IF(C285&lt;='SOLLECITAZ NASCOSTO'!$P$10,IF(C285&lt;='SOLLECITAZ NASCOSTO'!$P$9,IF(C285&lt;='SOLLECITAZ NASCOSTO'!$P$8,IF(C285&lt;='SOLLECITAZ NASCOSTO'!$P$7,IF(C285&lt;='SOLLECITAZ NASCOSTO'!$P$6,IF(C285&lt;='SOLLECITAZ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paramento'!$G$110),55555)*(C285-C284)/IF(C285&lt;='SOLLECITAZ NASCOSTO'!$P$12,IF(C285&lt;='SOLLECITAZ NASCOSTO'!$P$11,IF(C285&lt;='SOLLECITAZ NASCOSTO'!$P$10,IF(C285&lt;='SOLLECITAZ NASCOSTO'!$P$9,IF(C285&lt;='SOLLECITAZ NASCOSTO'!$P$8,IF(C285&lt;='SOLLECITAZ NASCOSTO'!$P$7,IF(C285&lt;='SOLLECITAZ NASCOSTO'!$P$6,IF(C285&lt;='SOLLECITAZ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85" s="41">
        <f t="shared" si="75"/>
        <v>2.5199999999999962E-4</v>
      </c>
      <c r="Q285" s="41">
        <f t="shared" si="73"/>
        <v>1</v>
      </c>
      <c r="R285" s="434">
        <f t="shared" si="67"/>
        <v>2.7562778433701993</v>
      </c>
      <c r="S285" s="45">
        <f t="shared" si="74"/>
        <v>2.7562778433701993</v>
      </c>
      <c r="T285" s="205">
        <f t="shared" si="70"/>
        <v>2.2757837488906816</v>
      </c>
      <c r="U285" s="45">
        <f t="shared" si="71"/>
        <v>127.13303093987294</v>
      </c>
      <c r="V285" s="45">
        <f t="shared" si="72"/>
        <v>-133.86368534559028</v>
      </c>
      <c r="W285" s="488"/>
      <c r="X285" s="489"/>
      <c r="Y285" s="489"/>
      <c r="Z285" s="490"/>
      <c r="AA285" s="46"/>
    </row>
    <row r="286" spans="1:27" s="421" customFormat="1" x14ac:dyDescent="0.25">
      <c r="A286" s="581">
        <f t="shared" si="68"/>
        <v>0.48553347480631581</v>
      </c>
      <c r="B286" s="31">
        <f t="shared" si="76"/>
        <v>254</v>
      </c>
      <c r="C286" s="434">
        <f>'SOLLECITAZ NASCOSTO'!$D$6/'SOLLECITAZ NASCOSTO'!$B$448*'SOLLECITAZ NASCOSTO'!B286</f>
        <v>2.7671722221977495</v>
      </c>
      <c r="D286" s="434">
        <f t="shared" si="69"/>
        <v>0.60553347480631581</v>
      </c>
      <c r="E286" s="434">
        <f t="shared" si="63"/>
        <v>0.48553347480631581</v>
      </c>
      <c r="F286" s="434">
        <f t="shared" si="64"/>
        <v>0.45537071193802103</v>
      </c>
      <c r="G286" s="434">
        <f t="shared" si="65"/>
        <v>7.4363326257761778E-2</v>
      </c>
      <c r="H286" s="434">
        <f t="shared" si="77"/>
        <v>0</v>
      </c>
      <c r="I286" s="434">
        <v>0</v>
      </c>
      <c r="J286" s="127">
        <f t="shared" si="78"/>
        <v>0.16330283065697715</v>
      </c>
      <c r="K286" s="126">
        <f t="shared" si="66"/>
        <v>1.2795291609344721E-2</v>
      </c>
      <c r="L286" s="41">
        <f t="shared" si="79"/>
        <v>127.99266833859186</v>
      </c>
      <c r="M286" s="41">
        <f t="shared" si="80"/>
        <v>-135.25340335388191</v>
      </c>
      <c r="N286" s="41">
        <f>(IF(C285&lt;='SOLLECITAZ NASCOSTO'!$P$12,IF(C285&lt;='SOLLECITAZ NASCOSTO'!$P$11,IF(C285&lt;='SOLLECITAZ NASCOSTO'!$P$10,IF(C285&lt;='SOLLECITAZ NASCOSTO'!$P$9,IF(C285&lt;='SOLLECITAZ NASCOSTO'!$P$8,IF(C285&lt;='SOLLECITAZ NASCOSTO'!$P$7,IF(C285&lt;='SOLLECITAZ NASCOSTO'!$P$6,IF(C285&lt;='SOLLECITAZ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paramento'!$G$111),55555)-IF(C285&lt;='SOLLECITAZ NASCOSTO'!$P$12,IF(C285&lt;='SOLLECITAZ NASCOSTO'!$P$11,IF(C285&lt;='SOLLECITAZ NASCOSTO'!$P$10,IF(C285&lt;='SOLLECITAZ NASCOSTO'!$P$9,IF(C285&lt;='SOLLECITAZ NASCOSTO'!$P$8,IF(C285&lt;='SOLLECITAZ NASCOSTO'!$P$7,IF(C285&lt;='SOLLECITAZ NASCOSTO'!$P$6,IF(C285&lt;='SOLLECITAZ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paramento'!$G$111))*(C285-IF(C285&lt;='SOLLECITAZ NASCOSTO'!$P$12,IF(C285&lt;='SOLLECITAZ NASCOSTO'!$P$11,IF(C285&lt;='SOLLECITAZ NASCOSTO'!$P$10,IF(C285&lt;='SOLLECITAZ NASCOSTO'!$P$9,IF(C285&lt;='SOLLECITAZ NASCOSTO'!$P$8,IF(C285&lt;='SOLLECITAZ NASCOSTO'!$P$7,IF(C285&lt;='SOLLECITAZ NASCOSTO'!$P$6,IF(C285&lt;='SOLLECITAZ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NASCOSTO'!$P$12))/IF(C285&lt;='SOLLECITAZ NASCOSTO'!$P$12,IF(C285&lt;='SOLLECITAZ NASCOSTO'!$P$11,IF(C285&lt;='SOLLECITAZ NASCOSTO'!$P$10,IF(C285&lt;='SOLLECITAZ NASCOSTO'!$P$9,IF(C285&lt;='SOLLECITAZ NASCOSTO'!$P$8,IF(C285&lt;='SOLLECITAZ NASCOSTO'!$P$7,IF(C285&lt;='SOLLECITAZ NASCOSTO'!$P$6,IF(C285&lt;='SOLLECITAZ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paramento'!$C$111)+IF(C285&lt;='SOLLECITAZ NASCOSTO'!$P$12,IF(C285&lt;='SOLLECITAZ NASCOSTO'!$P$11,IF(C285&lt;='SOLLECITAZ NASCOSTO'!$P$10,IF(C285&lt;='SOLLECITAZ NASCOSTO'!$P$9,IF(C285&lt;='SOLLECITAZ NASCOSTO'!$P$8,IF(C285&lt;='SOLLECITAZ NASCOSTO'!$P$7,IF(C285&lt;='SOLLECITAZ NASCOSTO'!$P$6,IF(C285&lt;='SOLLECITAZ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78.777447325389801</v>
      </c>
      <c r="O286" s="41">
        <f>IF(C286&lt;='SOLLECITAZ NASCOSTO'!$P$12,IF(C286&lt;='SOLLECITAZ NASCOSTO'!$P$11,IF(C286&lt;='SOLLECITAZ NASCOSTO'!$P$10,IF(C286&lt;='SOLLECITAZ NASCOSTO'!$P$9,IF(C286&lt;='SOLLECITAZ NASCOSTO'!$P$8,IF(C286&lt;='SOLLECITAZ NASCOSTO'!$P$7,IF(C286&lt;='SOLLECITAZ NASCOSTO'!$P$6,IF(C286&lt;='SOLLECITAZ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paramento'!$G$110),55555)*(C286-C285)/IF(C286&lt;='SOLLECITAZ NASCOSTO'!$P$12,IF(C286&lt;='SOLLECITAZ NASCOSTO'!$P$11,IF(C286&lt;='SOLLECITAZ NASCOSTO'!$P$10,IF(C286&lt;='SOLLECITAZ NASCOSTO'!$P$9,IF(C286&lt;='SOLLECITAZ NASCOSTO'!$P$8,IF(C286&lt;='SOLLECITAZ NASCOSTO'!$P$7,IF(C286&lt;='SOLLECITAZ NASCOSTO'!$P$6,IF(C286&lt;='SOLLECITAZ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86" s="41">
        <f t="shared" si="75"/>
        <v>2.5299999999999964E-4</v>
      </c>
      <c r="Q286" s="41">
        <f t="shared" si="73"/>
        <v>1</v>
      </c>
      <c r="R286" s="434">
        <f t="shared" si="67"/>
        <v>2.7671722221977495</v>
      </c>
      <c r="S286" s="45">
        <f t="shared" si="74"/>
        <v>2.7671722221977495</v>
      </c>
      <c r="T286" s="205">
        <f t="shared" si="70"/>
        <v>2.2648893700631314</v>
      </c>
      <c r="U286" s="45">
        <f t="shared" si="71"/>
        <v>127.99266833859186</v>
      </c>
      <c r="V286" s="45">
        <f t="shared" si="72"/>
        <v>-135.25340335388191</v>
      </c>
      <c r="W286" s="488"/>
      <c r="X286" s="489"/>
      <c r="Y286" s="489"/>
      <c r="Z286" s="490"/>
      <c r="AA286" s="46"/>
    </row>
    <row r="287" spans="1:27" s="421" customFormat="1" x14ac:dyDescent="0.25">
      <c r="A287" s="581">
        <f t="shared" si="68"/>
        <v>0.48710431755442496</v>
      </c>
      <c r="B287" s="31">
        <f t="shared" si="76"/>
        <v>255</v>
      </c>
      <c r="C287" s="434">
        <f>'SOLLECITAZ NASCOSTO'!$D$6/'SOLLECITAZ NASCOSTO'!$B$448*'SOLLECITAZ NASCOSTO'!B287</f>
        <v>2.7780666010252997</v>
      </c>
      <c r="D287" s="434">
        <f t="shared" si="69"/>
        <v>0.60710431755442495</v>
      </c>
      <c r="E287" s="434">
        <f t="shared" si="63"/>
        <v>0.48710431755442496</v>
      </c>
      <c r="F287" s="434">
        <f t="shared" si="64"/>
        <v>0.45587338161741597</v>
      </c>
      <c r="G287" s="434">
        <f t="shared" si="65"/>
        <v>7.4668104382915851E-2</v>
      </c>
      <c r="H287" s="434">
        <f t="shared" si="77"/>
        <v>0</v>
      </c>
      <c r="I287" s="434">
        <v>0</v>
      </c>
      <c r="J287" s="127">
        <f t="shared" si="78"/>
        <v>0.16379132319153433</v>
      </c>
      <c r="K287" s="126">
        <f t="shared" si="66"/>
        <v>1.2893838507010903E-2</v>
      </c>
      <c r="L287" s="41">
        <f t="shared" si="79"/>
        <v>128.85511782628828</v>
      </c>
      <c r="M287" s="41">
        <f t="shared" si="80"/>
        <v>-136.65250189563082</v>
      </c>
      <c r="N287" s="41">
        <f>(IF(C286&lt;='SOLLECITAZ NASCOSTO'!$P$12,IF(C286&lt;='SOLLECITAZ NASCOSTO'!$P$11,IF(C286&lt;='SOLLECITAZ NASCOSTO'!$P$10,IF(C286&lt;='SOLLECITAZ NASCOSTO'!$P$9,IF(C286&lt;='SOLLECITAZ NASCOSTO'!$P$8,IF(C286&lt;='SOLLECITAZ NASCOSTO'!$P$7,IF(C286&lt;='SOLLECITAZ NASCOSTO'!$P$6,IF(C286&lt;='SOLLECITAZ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paramento'!$G$111),55555)-IF(C286&lt;='SOLLECITAZ NASCOSTO'!$P$12,IF(C286&lt;='SOLLECITAZ NASCOSTO'!$P$11,IF(C286&lt;='SOLLECITAZ NASCOSTO'!$P$10,IF(C286&lt;='SOLLECITAZ NASCOSTO'!$P$9,IF(C286&lt;='SOLLECITAZ NASCOSTO'!$P$8,IF(C286&lt;='SOLLECITAZ NASCOSTO'!$P$7,IF(C286&lt;='SOLLECITAZ NASCOSTO'!$P$6,IF(C286&lt;='SOLLECITAZ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paramento'!$G$111))*(C286-IF(C286&lt;='SOLLECITAZ NASCOSTO'!$P$12,IF(C286&lt;='SOLLECITAZ NASCOSTO'!$P$11,IF(C286&lt;='SOLLECITAZ NASCOSTO'!$P$10,IF(C286&lt;='SOLLECITAZ NASCOSTO'!$P$9,IF(C286&lt;='SOLLECITAZ NASCOSTO'!$P$8,IF(C286&lt;='SOLLECITAZ NASCOSTO'!$P$7,IF(C286&lt;='SOLLECITAZ NASCOSTO'!$P$6,IF(C286&lt;='SOLLECITAZ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NASCOSTO'!$P$12))/IF(C286&lt;='SOLLECITAZ NASCOSTO'!$P$12,IF(C286&lt;='SOLLECITAZ NASCOSTO'!$P$11,IF(C286&lt;='SOLLECITAZ NASCOSTO'!$P$10,IF(C286&lt;='SOLLECITAZ NASCOSTO'!$P$9,IF(C286&lt;='SOLLECITAZ NASCOSTO'!$P$8,IF(C286&lt;='SOLLECITAZ NASCOSTO'!$P$7,IF(C286&lt;='SOLLECITAZ NASCOSTO'!$P$6,IF(C286&lt;='SOLLECITAZ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paramento'!$C$111)+IF(C286&lt;='SOLLECITAZ NASCOSTO'!$P$12,IF(C286&lt;='SOLLECITAZ NASCOSTO'!$P$11,IF(C286&lt;='SOLLECITAZ NASCOSTO'!$P$10,IF(C286&lt;='SOLLECITAZ NASCOSTO'!$P$9,IF(C286&lt;='SOLLECITAZ NASCOSTO'!$P$8,IF(C286&lt;='SOLLECITAZ NASCOSTO'!$P$7,IF(C286&lt;='SOLLECITAZ NASCOSTO'!$P$6,IF(C286&lt;='SOLLECITAZ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79.0355702548392</v>
      </c>
      <c r="O287" s="41">
        <f>IF(C287&lt;='SOLLECITAZ NASCOSTO'!$P$12,IF(C287&lt;='SOLLECITAZ NASCOSTO'!$P$11,IF(C287&lt;='SOLLECITAZ NASCOSTO'!$P$10,IF(C287&lt;='SOLLECITAZ NASCOSTO'!$P$9,IF(C287&lt;='SOLLECITAZ NASCOSTO'!$P$8,IF(C287&lt;='SOLLECITAZ NASCOSTO'!$P$7,IF(C287&lt;='SOLLECITAZ NASCOSTO'!$P$6,IF(C287&lt;='SOLLECITAZ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paramento'!$G$110),55555)*(C287-C286)/IF(C287&lt;='SOLLECITAZ NASCOSTO'!$P$12,IF(C287&lt;='SOLLECITAZ NASCOSTO'!$P$11,IF(C287&lt;='SOLLECITAZ NASCOSTO'!$P$10,IF(C287&lt;='SOLLECITAZ NASCOSTO'!$P$9,IF(C287&lt;='SOLLECITAZ NASCOSTO'!$P$8,IF(C287&lt;='SOLLECITAZ NASCOSTO'!$P$7,IF(C287&lt;='SOLLECITAZ NASCOSTO'!$P$6,IF(C287&lt;='SOLLECITAZ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87" s="41">
        <f t="shared" si="75"/>
        <v>2.5399999999999967E-4</v>
      </c>
      <c r="Q287" s="41">
        <f t="shared" si="73"/>
        <v>1</v>
      </c>
      <c r="R287" s="434">
        <f t="shared" si="67"/>
        <v>2.7780666010252997</v>
      </c>
      <c r="S287" s="45">
        <f t="shared" si="74"/>
        <v>2.7780666010252997</v>
      </c>
      <c r="T287" s="205">
        <f t="shared" si="70"/>
        <v>2.2539949912355812</v>
      </c>
      <c r="U287" s="45">
        <f t="shared" si="71"/>
        <v>128.85511782628828</v>
      </c>
      <c r="V287" s="45">
        <f t="shared" si="72"/>
        <v>-136.65250189563082</v>
      </c>
      <c r="W287" s="488"/>
      <c r="X287" s="489"/>
      <c r="Y287" s="489"/>
      <c r="Z287" s="490"/>
      <c r="AA287" s="46"/>
    </row>
    <row r="288" spans="1:27" s="421" customFormat="1" x14ac:dyDescent="0.25">
      <c r="A288" s="581">
        <f t="shared" si="68"/>
        <v>0.48867516030253411</v>
      </c>
      <c r="B288" s="31">
        <f t="shared" si="76"/>
        <v>256</v>
      </c>
      <c r="C288" s="434">
        <f>'SOLLECITAZ NASCOSTO'!$D$6/'SOLLECITAZ NASCOSTO'!$B$448*'SOLLECITAZ NASCOSTO'!B288</f>
        <v>2.7889609798528499</v>
      </c>
      <c r="D288" s="434">
        <f t="shared" si="69"/>
        <v>0.6086751603025341</v>
      </c>
      <c r="E288" s="434">
        <f t="shared" ref="E288:E351" si="81">D288-$D$9</f>
        <v>0.48867516030253411</v>
      </c>
      <c r="F288" s="434">
        <f t="shared" ref="F288:F351" si="82">E288*$D$12*$D$11+$D$8*$D$9</f>
        <v>0.45637605129681091</v>
      </c>
      <c r="G288" s="434">
        <f t="shared" ref="G288:G351" si="83">$D$12*E288*$D$11*($D$9+E288/2)+$D$9*$D$8*$D$9/2</f>
        <v>7.4973672123090501E-2</v>
      </c>
      <c r="H288" s="434">
        <f t="shared" si="77"/>
        <v>0</v>
      </c>
      <c r="I288" s="434">
        <v>0</v>
      </c>
      <c r="J288" s="127">
        <f t="shared" si="78"/>
        <v>0.16428046982318592</v>
      </c>
      <c r="K288" s="126">
        <f t="shared" ref="K288:K351" si="84">$D$8*$D$9^3/12+$D$8*$D$9*(J288-$D$9/2)^2+$D$11*$D$12*(J288-$D$9)^3/3+$D$11*$D$12*(E288-(J288-$D$9))^3/3</f>
        <v>1.2992867640504641E-2</v>
      </c>
      <c r="L288" s="41">
        <f t="shared" si="79"/>
        <v>129.72037940296221</v>
      </c>
      <c r="M288" s="41">
        <f t="shared" si="80"/>
        <v>-138.06101160679961</v>
      </c>
      <c r="N288" s="41">
        <f>(IF(C287&lt;='SOLLECITAZ NASCOSTO'!$P$12,IF(C287&lt;='SOLLECITAZ NASCOSTO'!$P$11,IF(C287&lt;='SOLLECITAZ NASCOSTO'!$P$10,IF(C287&lt;='SOLLECITAZ NASCOSTO'!$P$9,IF(C287&lt;='SOLLECITAZ NASCOSTO'!$P$8,IF(C287&lt;='SOLLECITAZ NASCOSTO'!$P$7,IF(C287&lt;='SOLLECITAZ NASCOSTO'!$P$6,IF(C287&lt;='SOLLECITAZ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paramento'!$G$111),55555)-IF(C287&lt;='SOLLECITAZ NASCOSTO'!$P$12,IF(C287&lt;='SOLLECITAZ NASCOSTO'!$P$11,IF(C287&lt;='SOLLECITAZ NASCOSTO'!$P$10,IF(C287&lt;='SOLLECITAZ NASCOSTO'!$P$9,IF(C287&lt;='SOLLECITAZ NASCOSTO'!$P$8,IF(C287&lt;='SOLLECITAZ NASCOSTO'!$P$7,IF(C287&lt;='SOLLECITAZ NASCOSTO'!$P$6,IF(C287&lt;='SOLLECITAZ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paramento'!$G$111))*(C287-IF(C287&lt;='SOLLECITAZ NASCOSTO'!$P$12,IF(C287&lt;='SOLLECITAZ NASCOSTO'!$P$11,IF(C287&lt;='SOLLECITAZ NASCOSTO'!$P$10,IF(C287&lt;='SOLLECITAZ NASCOSTO'!$P$9,IF(C287&lt;='SOLLECITAZ NASCOSTO'!$P$8,IF(C287&lt;='SOLLECITAZ NASCOSTO'!$P$7,IF(C287&lt;='SOLLECITAZ NASCOSTO'!$P$6,IF(C287&lt;='SOLLECITAZ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NASCOSTO'!$P$12))/IF(C287&lt;='SOLLECITAZ NASCOSTO'!$P$12,IF(C287&lt;='SOLLECITAZ NASCOSTO'!$P$11,IF(C287&lt;='SOLLECITAZ NASCOSTO'!$P$10,IF(C287&lt;='SOLLECITAZ NASCOSTO'!$P$9,IF(C287&lt;='SOLLECITAZ NASCOSTO'!$P$8,IF(C287&lt;='SOLLECITAZ NASCOSTO'!$P$7,IF(C287&lt;='SOLLECITAZ NASCOSTO'!$P$6,IF(C287&lt;='SOLLECITAZ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paramento'!$C$111)+IF(C287&lt;='SOLLECITAZ NASCOSTO'!$P$12,IF(C287&lt;='SOLLECITAZ NASCOSTO'!$P$11,IF(C287&lt;='SOLLECITAZ NASCOSTO'!$P$10,IF(C287&lt;='SOLLECITAZ NASCOSTO'!$P$9,IF(C287&lt;='SOLLECITAZ NASCOSTO'!$P$8,IF(C287&lt;='SOLLECITAZ NASCOSTO'!$P$7,IF(C287&lt;='SOLLECITAZ NASCOSTO'!$P$6,IF(C287&lt;='SOLLECITAZ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79.293693184288628</v>
      </c>
      <c r="O288" s="41">
        <f>IF(C288&lt;='SOLLECITAZ NASCOSTO'!$P$12,IF(C288&lt;='SOLLECITAZ NASCOSTO'!$P$11,IF(C288&lt;='SOLLECITAZ NASCOSTO'!$P$10,IF(C288&lt;='SOLLECITAZ NASCOSTO'!$P$9,IF(C288&lt;='SOLLECITAZ NASCOSTO'!$P$8,IF(C288&lt;='SOLLECITAZ NASCOSTO'!$P$7,IF(C288&lt;='SOLLECITAZ NASCOSTO'!$P$6,IF(C288&lt;='SOLLECITAZ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paramento'!$G$110),55555)*(C288-C287)/IF(C288&lt;='SOLLECITAZ NASCOSTO'!$P$12,IF(C288&lt;='SOLLECITAZ NASCOSTO'!$P$11,IF(C288&lt;='SOLLECITAZ NASCOSTO'!$P$10,IF(C288&lt;='SOLLECITAZ NASCOSTO'!$P$9,IF(C288&lt;='SOLLECITAZ NASCOSTO'!$P$8,IF(C288&lt;='SOLLECITAZ NASCOSTO'!$P$7,IF(C288&lt;='SOLLECITAZ NASCOSTO'!$P$6,IF(C288&lt;='SOLLECITAZ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88" s="41">
        <f t="shared" si="75"/>
        <v>2.5499999999999969E-4</v>
      </c>
      <c r="Q288" s="41">
        <f t="shared" si="73"/>
        <v>1</v>
      </c>
      <c r="R288" s="434">
        <f t="shared" ref="R288:R351" si="85">C288</f>
        <v>2.7889609798528499</v>
      </c>
      <c r="S288" s="45">
        <f t="shared" si="74"/>
        <v>2.7889609798528499</v>
      </c>
      <c r="T288" s="205">
        <f t="shared" si="70"/>
        <v>2.243100612408031</v>
      </c>
      <c r="U288" s="45">
        <f t="shared" si="71"/>
        <v>129.72037940296221</v>
      </c>
      <c r="V288" s="45">
        <f t="shared" si="72"/>
        <v>-138.06101160679961</v>
      </c>
      <c r="W288" s="488"/>
      <c r="X288" s="489"/>
      <c r="Y288" s="489"/>
      <c r="Z288" s="490"/>
      <c r="AA288" s="46"/>
    </row>
    <row r="289" spans="1:27" s="421" customFormat="1" x14ac:dyDescent="0.25">
      <c r="A289" s="581">
        <f t="shared" ref="A289:A352" si="86">E289</f>
        <v>0.49024600305064325</v>
      </c>
      <c r="B289" s="31">
        <f t="shared" si="76"/>
        <v>257</v>
      </c>
      <c r="C289" s="434">
        <f>'SOLLECITAZ NASCOSTO'!$D$6/'SOLLECITAZ NASCOSTO'!$B$448*'SOLLECITAZ NASCOSTO'!B289</f>
        <v>2.7998553586804</v>
      </c>
      <c r="D289" s="434">
        <f t="shared" ref="D289:D352" si="87">$D$9+$D$14+$D$16*C289</f>
        <v>0.61024600305064325</v>
      </c>
      <c r="E289" s="434">
        <f t="shared" si="81"/>
        <v>0.49024600305064325</v>
      </c>
      <c r="F289" s="434">
        <f t="shared" si="82"/>
        <v>0.45687872097620585</v>
      </c>
      <c r="G289" s="434">
        <f t="shared" si="83"/>
        <v>7.5280029478285701E-2</v>
      </c>
      <c r="H289" s="434">
        <f t="shared" si="77"/>
        <v>0</v>
      </c>
      <c r="I289" s="434">
        <v>0</v>
      </c>
      <c r="J289" s="127">
        <f t="shared" si="78"/>
        <v>0.16477026839296871</v>
      </c>
      <c r="K289" s="126">
        <f t="shared" si="84"/>
        <v>1.3092379894749304E-2</v>
      </c>
      <c r="L289" s="41">
        <f t="shared" si="79"/>
        <v>130.58845306861363</v>
      </c>
      <c r="M289" s="41">
        <f t="shared" si="80"/>
        <v>-139.47896312335092</v>
      </c>
      <c r="N289" s="41">
        <f>(IF(C288&lt;='SOLLECITAZ NASCOSTO'!$P$12,IF(C288&lt;='SOLLECITAZ NASCOSTO'!$P$11,IF(C288&lt;='SOLLECITAZ NASCOSTO'!$P$10,IF(C288&lt;='SOLLECITAZ NASCOSTO'!$P$9,IF(C288&lt;='SOLLECITAZ NASCOSTO'!$P$8,IF(C288&lt;='SOLLECITAZ NASCOSTO'!$P$7,IF(C288&lt;='SOLLECITAZ NASCOSTO'!$P$6,IF(C288&lt;='SOLLECITAZ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paramento'!$G$111),55555)-IF(C288&lt;='SOLLECITAZ NASCOSTO'!$P$12,IF(C288&lt;='SOLLECITAZ NASCOSTO'!$P$11,IF(C288&lt;='SOLLECITAZ NASCOSTO'!$P$10,IF(C288&lt;='SOLLECITAZ NASCOSTO'!$P$9,IF(C288&lt;='SOLLECITAZ NASCOSTO'!$P$8,IF(C288&lt;='SOLLECITAZ NASCOSTO'!$P$7,IF(C288&lt;='SOLLECITAZ NASCOSTO'!$P$6,IF(C288&lt;='SOLLECITAZ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paramento'!$G$111))*(C288-IF(C288&lt;='SOLLECITAZ NASCOSTO'!$P$12,IF(C288&lt;='SOLLECITAZ NASCOSTO'!$P$11,IF(C288&lt;='SOLLECITAZ NASCOSTO'!$P$10,IF(C288&lt;='SOLLECITAZ NASCOSTO'!$P$9,IF(C288&lt;='SOLLECITAZ NASCOSTO'!$P$8,IF(C288&lt;='SOLLECITAZ NASCOSTO'!$P$7,IF(C288&lt;='SOLLECITAZ NASCOSTO'!$P$6,IF(C288&lt;='SOLLECITAZ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NASCOSTO'!$P$12))/IF(C288&lt;='SOLLECITAZ NASCOSTO'!$P$12,IF(C288&lt;='SOLLECITAZ NASCOSTO'!$P$11,IF(C288&lt;='SOLLECITAZ NASCOSTO'!$P$10,IF(C288&lt;='SOLLECITAZ NASCOSTO'!$P$9,IF(C288&lt;='SOLLECITAZ NASCOSTO'!$P$8,IF(C288&lt;='SOLLECITAZ NASCOSTO'!$P$7,IF(C288&lt;='SOLLECITAZ NASCOSTO'!$P$6,IF(C288&lt;='SOLLECITAZ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paramento'!$C$111)+IF(C288&lt;='SOLLECITAZ NASCOSTO'!$P$12,IF(C288&lt;='SOLLECITAZ NASCOSTO'!$P$11,IF(C288&lt;='SOLLECITAZ NASCOSTO'!$P$10,IF(C288&lt;='SOLLECITAZ NASCOSTO'!$P$9,IF(C288&lt;='SOLLECITAZ NASCOSTO'!$P$8,IF(C288&lt;='SOLLECITAZ NASCOSTO'!$P$7,IF(C288&lt;='SOLLECITAZ NASCOSTO'!$P$6,IF(C288&lt;='SOLLECITAZ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79.551816113738028</v>
      </c>
      <c r="O289" s="41">
        <f>IF(C289&lt;='SOLLECITAZ NASCOSTO'!$P$12,IF(C289&lt;='SOLLECITAZ NASCOSTO'!$P$11,IF(C289&lt;='SOLLECITAZ NASCOSTO'!$P$10,IF(C289&lt;='SOLLECITAZ NASCOSTO'!$P$9,IF(C289&lt;='SOLLECITAZ NASCOSTO'!$P$8,IF(C289&lt;='SOLLECITAZ NASCOSTO'!$P$7,IF(C289&lt;='SOLLECITAZ NASCOSTO'!$P$6,IF(C289&lt;='SOLLECITAZ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paramento'!$G$110),55555)*(C289-C288)/IF(C289&lt;='SOLLECITAZ NASCOSTO'!$P$12,IF(C289&lt;='SOLLECITAZ NASCOSTO'!$P$11,IF(C289&lt;='SOLLECITAZ NASCOSTO'!$P$10,IF(C289&lt;='SOLLECITAZ NASCOSTO'!$P$9,IF(C289&lt;='SOLLECITAZ NASCOSTO'!$P$8,IF(C289&lt;='SOLLECITAZ NASCOSTO'!$P$7,IF(C289&lt;='SOLLECITAZ NASCOSTO'!$P$6,IF(C289&lt;='SOLLECITAZ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89" s="41">
        <f t="shared" si="75"/>
        <v>2.5599999999999972E-4</v>
      </c>
      <c r="Q289" s="41">
        <f t="shared" si="73"/>
        <v>1</v>
      </c>
      <c r="R289" s="434">
        <f t="shared" si="85"/>
        <v>2.7998553586804</v>
      </c>
      <c r="S289" s="45">
        <f t="shared" si="74"/>
        <v>2.7998553586804</v>
      </c>
      <c r="T289" s="205">
        <f t="shared" ref="T289:T352" si="88">IF(($R$468-S289)&lt;=$D$6,$R$468-S289,$D$6)</f>
        <v>2.2322062335804809</v>
      </c>
      <c r="U289" s="45">
        <f t="shared" si="71"/>
        <v>130.58845306861363</v>
      </c>
      <c r="V289" s="45">
        <f t="shared" si="72"/>
        <v>-139.47896312335092</v>
      </c>
      <c r="W289" s="488"/>
      <c r="X289" s="489"/>
      <c r="Y289" s="489"/>
      <c r="Z289" s="490"/>
      <c r="AA289" s="46"/>
    </row>
    <row r="290" spans="1:27" s="421" customFormat="1" x14ac:dyDescent="0.25">
      <c r="A290" s="581">
        <f t="shared" si="86"/>
        <v>0.4918168457987524</v>
      </c>
      <c r="B290" s="31">
        <f t="shared" si="76"/>
        <v>258</v>
      </c>
      <c r="C290" s="434">
        <f>'SOLLECITAZ NASCOSTO'!$D$6/'SOLLECITAZ NASCOSTO'!$B$448*'SOLLECITAZ NASCOSTO'!B290</f>
        <v>2.8107497375079502</v>
      </c>
      <c r="D290" s="434">
        <f t="shared" si="87"/>
        <v>0.6118168457987524</v>
      </c>
      <c r="E290" s="434">
        <f t="shared" si="81"/>
        <v>0.4918168457987524</v>
      </c>
      <c r="F290" s="434">
        <f t="shared" si="82"/>
        <v>0.45738139065560079</v>
      </c>
      <c r="G290" s="434">
        <f t="shared" si="83"/>
        <v>7.5587176448501506E-2</v>
      </c>
      <c r="H290" s="434">
        <f t="shared" si="77"/>
        <v>0</v>
      </c>
      <c r="I290" s="434">
        <v>0</v>
      </c>
      <c r="J290" s="127">
        <f t="shared" si="78"/>
        <v>0.16526071675141057</v>
      </c>
      <c r="K290" s="126">
        <f t="shared" si="84"/>
        <v>1.3192376153504444E-2</v>
      </c>
      <c r="L290" s="41">
        <f t="shared" si="79"/>
        <v>131.45933882324258</v>
      </c>
      <c r="M290" s="41">
        <f t="shared" si="80"/>
        <v>-140.90638708124737</v>
      </c>
      <c r="N290" s="41">
        <f>(IF(C289&lt;='SOLLECITAZ NASCOSTO'!$P$12,IF(C289&lt;='SOLLECITAZ NASCOSTO'!$P$11,IF(C289&lt;='SOLLECITAZ NASCOSTO'!$P$10,IF(C289&lt;='SOLLECITAZ NASCOSTO'!$P$9,IF(C289&lt;='SOLLECITAZ NASCOSTO'!$P$8,IF(C289&lt;='SOLLECITAZ NASCOSTO'!$P$7,IF(C289&lt;='SOLLECITAZ NASCOSTO'!$P$6,IF(C289&lt;='SOLLECITAZ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paramento'!$G$111),55555)-IF(C289&lt;='SOLLECITAZ NASCOSTO'!$P$12,IF(C289&lt;='SOLLECITAZ NASCOSTO'!$P$11,IF(C289&lt;='SOLLECITAZ NASCOSTO'!$P$10,IF(C289&lt;='SOLLECITAZ NASCOSTO'!$P$9,IF(C289&lt;='SOLLECITAZ NASCOSTO'!$P$8,IF(C289&lt;='SOLLECITAZ NASCOSTO'!$P$7,IF(C289&lt;='SOLLECITAZ NASCOSTO'!$P$6,IF(C289&lt;='SOLLECITAZ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paramento'!$G$111))*(C289-IF(C289&lt;='SOLLECITAZ NASCOSTO'!$P$12,IF(C289&lt;='SOLLECITAZ NASCOSTO'!$P$11,IF(C289&lt;='SOLLECITAZ NASCOSTO'!$P$10,IF(C289&lt;='SOLLECITAZ NASCOSTO'!$P$9,IF(C289&lt;='SOLLECITAZ NASCOSTO'!$P$8,IF(C289&lt;='SOLLECITAZ NASCOSTO'!$P$7,IF(C289&lt;='SOLLECITAZ NASCOSTO'!$P$6,IF(C289&lt;='SOLLECITAZ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NASCOSTO'!$P$12))/IF(C289&lt;='SOLLECITAZ NASCOSTO'!$P$12,IF(C289&lt;='SOLLECITAZ NASCOSTO'!$P$11,IF(C289&lt;='SOLLECITAZ NASCOSTO'!$P$10,IF(C289&lt;='SOLLECITAZ NASCOSTO'!$P$9,IF(C289&lt;='SOLLECITAZ NASCOSTO'!$P$8,IF(C289&lt;='SOLLECITAZ NASCOSTO'!$P$7,IF(C289&lt;='SOLLECITAZ NASCOSTO'!$P$6,IF(C289&lt;='SOLLECITAZ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paramento'!$C$111)+IF(C289&lt;='SOLLECITAZ NASCOSTO'!$P$12,IF(C289&lt;='SOLLECITAZ NASCOSTO'!$P$11,IF(C289&lt;='SOLLECITAZ NASCOSTO'!$P$10,IF(C289&lt;='SOLLECITAZ NASCOSTO'!$P$9,IF(C289&lt;='SOLLECITAZ NASCOSTO'!$P$8,IF(C289&lt;='SOLLECITAZ NASCOSTO'!$P$7,IF(C289&lt;='SOLLECITAZ NASCOSTO'!$P$6,IF(C289&lt;='SOLLECITAZ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79.809939043187427</v>
      </c>
      <c r="O290" s="41">
        <f>IF(C290&lt;='SOLLECITAZ NASCOSTO'!$P$12,IF(C290&lt;='SOLLECITAZ NASCOSTO'!$P$11,IF(C290&lt;='SOLLECITAZ NASCOSTO'!$P$10,IF(C290&lt;='SOLLECITAZ NASCOSTO'!$P$9,IF(C290&lt;='SOLLECITAZ NASCOSTO'!$P$8,IF(C290&lt;='SOLLECITAZ NASCOSTO'!$P$7,IF(C290&lt;='SOLLECITAZ NASCOSTO'!$P$6,IF(C290&lt;='SOLLECITAZ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paramento'!$G$110),55555)*(C290-C289)/IF(C290&lt;='SOLLECITAZ NASCOSTO'!$P$12,IF(C290&lt;='SOLLECITAZ NASCOSTO'!$P$11,IF(C290&lt;='SOLLECITAZ NASCOSTO'!$P$10,IF(C290&lt;='SOLLECITAZ NASCOSTO'!$P$9,IF(C290&lt;='SOLLECITAZ NASCOSTO'!$P$8,IF(C290&lt;='SOLLECITAZ NASCOSTO'!$P$7,IF(C290&lt;='SOLLECITAZ NASCOSTO'!$P$6,IF(C290&lt;='SOLLECITAZ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90" s="41">
        <f t="shared" si="75"/>
        <v>2.5699999999999974E-4</v>
      </c>
      <c r="Q290" s="41">
        <f t="shared" si="73"/>
        <v>1</v>
      </c>
      <c r="R290" s="434">
        <f t="shared" si="85"/>
        <v>2.8107497375079502</v>
      </c>
      <c r="S290" s="45">
        <f t="shared" si="74"/>
        <v>2.8107497375079502</v>
      </c>
      <c r="T290" s="205">
        <f t="shared" si="88"/>
        <v>2.2213118547529307</v>
      </c>
      <c r="U290" s="45">
        <f t="shared" ref="U290:U353" si="89">IF(Q290=1,L290,0)</f>
        <v>131.45933882324258</v>
      </c>
      <c r="V290" s="45">
        <f t="shared" ref="V290:V353" si="90">IF(Q290=1,M290,0)</f>
        <v>-140.90638708124737</v>
      </c>
      <c r="W290" s="488"/>
      <c r="X290" s="489"/>
      <c r="Y290" s="489"/>
      <c r="Z290" s="490"/>
      <c r="AA290" s="46"/>
    </row>
    <row r="291" spans="1:27" s="421" customFormat="1" x14ac:dyDescent="0.25">
      <c r="A291" s="581">
        <f t="shared" si="86"/>
        <v>0.49338768854686155</v>
      </c>
      <c r="B291" s="31">
        <f t="shared" si="76"/>
        <v>259</v>
      </c>
      <c r="C291" s="434">
        <f>'SOLLECITAZ NASCOSTO'!$D$6/'SOLLECITAZ NASCOSTO'!$B$448*'SOLLECITAZ NASCOSTO'!B291</f>
        <v>2.8216441163355004</v>
      </c>
      <c r="D291" s="434">
        <f t="shared" si="87"/>
        <v>0.61338768854686154</v>
      </c>
      <c r="E291" s="434">
        <f t="shared" si="81"/>
        <v>0.49338768854686155</v>
      </c>
      <c r="F291" s="434">
        <f t="shared" si="82"/>
        <v>0.45788406033499568</v>
      </c>
      <c r="G291" s="434">
        <f t="shared" si="83"/>
        <v>7.589511303373786E-2</v>
      </c>
      <c r="H291" s="434">
        <f t="shared" si="77"/>
        <v>0</v>
      </c>
      <c r="I291" s="434">
        <v>0</v>
      </c>
      <c r="J291" s="127">
        <f t="shared" si="78"/>
        <v>0.16575181275847803</v>
      </c>
      <c r="K291" s="126">
        <f t="shared" si="84"/>
        <v>1.3292857299372164E-2</v>
      </c>
      <c r="L291" s="41">
        <f t="shared" si="79"/>
        <v>132.33303666684901</v>
      </c>
      <c r="M291" s="41">
        <f t="shared" si="80"/>
        <v>-142.34331411645158</v>
      </c>
      <c r="N291" s="41">
        <f>(IF(C290&lt;='SOLLECITAZ NASCOSTO'!$P$12,IF(C290&lt;='SOLLECITAZ NASCOSTO'!$P$11,IF(C290&lt;='SOLLECITAZ NASCOSTO'!$P$10,IF(C290&lt;='SOLLECITAZ NASCOSTO'!$P$9,IF(C290&lt;='SOLLECITAZ NASCOSTO'!$P$8,IF(C290&lt;='SOLLECITAZ NASCOSTO'!$P$7,IF(C290&lt;='SOLLECITAZ NASCOSTO'!$P$6,IF(C290&lt;='SOLLECITAZ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paramento'!$G$111),55555)-IF(C290&lt;='SOLLECITAZ NASCOSTO'!$P$12,IF(C290&lt;='SOLLECITAZ NASCOSTO'!$P$11,IF(C290&lt;='SOLLECITAZ NASCOSTO'!$P$10,IF(C290&lt;='SOLLECITAZ NASCOSTO'!$P$9,IF(C290&lt;='SOLLECITAZ NASCOSTO'!$P$8,IF(C290&lt;='SOLLECITAZ NASCOSTO'!$P$7,IF(C290&lt;='SOLLECITAZ NASCOSTO'!$P$6,IF(C290&lt;='SOLLECITAZ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paramento'!$G$111))*(C290-IF(C290&lt;='SOLLECITAZ NASCOSTO'!$P$12,IF(C290&lt;='SOLLECITAZ NASCOSTO'!$P$11,IF(C290&lt;='SOLLECITAZ NASCOSTO'!$P$10,IF(C290&lt;='SOLLECITAZ NASCOSTO'!$P$9,IF(C290&lt;='SOLLECITAZ NASCOSTO'!$P$8,IF(C290&lt;='SOLLECITAZ NASCOSTO'!$P$7,IF(C290&lt;='SOLLECITAZ NASCOSTO'!$P$6,IF(C290&lt;='SOLLECITAZ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NASCOSTO'!$P$12))/IF(C290&lt;='SOLLECITAZ NASCOSTO'!$P$12,IF(C290&lt;='SOLLECITAZ NASCOSTO'!$P$11,IF(C290&lt;='SOLLECITAZ NASCOSTO'!$P$10,IF(C290&lt;='SOLLECITAZ NASCOSTO'!$P$9,IF(C290&lt;='SOLLECITAZ NASCOSTO'!$P$8,IF(C290&lt;='SOLLECITAZ NASCOSTO'!$P$7,IF(C290&lt;='SOLLECITAZ NASCOSTO'!$P$6,IF(C290&lt;='SOLLECITAZ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paramento'!$C$111)+IF(C290&lt;='SOLLECITAZ NASCOSTO'!$P$12,IF(C290&lt;='SOLLECITAZ NASCOSTO'!$P$11,IF(C290&lt;='SOLLECITAZ NASCOSTO'!$P$10,IF(C290&lt;='SOLLECITAZ NASCOSTO'!$P$9,IF(C290&lt;='SOLLECITAZ NASCOSTO'!$P$8,IF(C290&lt;='SOLLECITAZ NASCOSTO'!$P$7,IF(C290&lt;='SOLLECITAZ NASCOSTO'!$P$6,IF(C290&lt;='SOLLECITAZ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80.068061972636826</v>
      </c>
      <c r="O291" s="41">
        <f>IF(C291&lt;='SOLLECITAZ NASCOSTO'!$P$12,IF(C291&lt;='SOLLECITAZ NASCOSTO'!$P$11,IF(C291&lt;='SOLLECITAZ NASCOSTO'!$P$10,IF(C291&lt;='SOLLECITAZ NASCOSTO'!$P$9,IF(C291&lt;='SOLLECITAZ NASCOSTO'!$P$8,IF(C291&lt;='SOLLECITAZ NASCOSTO'!$P$7,IF(C291&lt;='SOLLECITAZ NASCOSTO'!$P$6,IF(C291&lt;='SOLLECITAZ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paramento'!$G$110),55555)*(C291-C290)/IF(C291&lt;='SOLLECITAZ NASCOSTO'!$P$12,IF(C291&lt;='SOLLECITAZ NASCOSTO'!$P$11,IF(C291&lt;='SOLLECITAZ NASCOSTO'!$P$10,IF(C291&lt;='SOLLECITAZ NASCOSTO'!$P$9,IF(C291&lt;='SOLLECITAZ NASCOSTO'!$P$8,IF(C291&lt;='SOLLECITAZ NASCOSTO'!$P$7,IF(C291&lt;='SOLLECITAZ NASCOSTO'!$P$6,IF(C291&lt;='SOLLECITAZ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91" s="41">
        <f t="shared" si="75"/>
        <v>2.5799999999999977E-4</v>
      </c>
      <c r="Q291" s="41">
        <f t="shared" ref="Q291:Q354" si="91">IF(C291&lt;=$D$6,1,0+P291)</f>
        <v>1</v>
      </c>
      <c r="R291" s="434">
        <f t="shared" si="85"/>
        <v>2.8216441163355004</v>
      </c>
      <c r="S291" s="45">
        <f t="shared" ref="S291:S354" si="92">IF(Q291&lt;1,VLOOKUP(0,$Q$34:$R$468,2,TRUE),C291)</f>
        <v>2.8216441163355004</v>
      </c>
      <c r="T291" s="205">
        <f t="shared" si="88"/>
        <v>2.2104174759253805</v>
      </c>
      <c r="U291" s="45">
        <f t="shared" si="89"/>
        <v>132.33303666684901</v>
      </c>
      <c r="V291" s="45">
        <f t="shared" si="90"/>
        <v>-142.34331411645158</v>
      </c>
      <c r="W291" s="488"/>
      <c r="X291" s="489"/>
      <c r="Y291" s="489"/>
      <c r="Z291" s="490"/>
      <c r="AA291" s="46"/>
    </row>
    <row r="292" spans="1:27" s="421" customFormat="1" x14ac:dyDescent="0.25">
      <c r="A292" s="581">
        <f t="shared" si="86"/>
        <v>0.49495853129497069</v>
      </c>
      <c r="B292" s="31">
        <f t="shared" si="76"/>
        <v>260</v>
      </c>
      <c r="C292" s="434">
        <f>'SOLLECITAZ NASCOSTO'!$D$6/'SOLLECITAZ NASCOSTO'!$B$448*'SOLLECITAZ NASCOSTO'!B292</f>
        <v>2.8325384951630506</v>
      </c>
      <c r="D292" s="434">
        <f t="shared" si="87"/>
        <v>0.61495853129497069</v>
      </c>
      <c r="E292" s="434">
        <f t="shared" si="81"/>
        <v>0.49495853129497069</v>
      </c>
      <c r="F292" s="434">
        <f t="shared" si="82"/>
        <v>0.45838673001439062</v>
      </c>
      <c r="G292" s="434">
        <f t="shared" si="83"/>
        <v>7.6203839233994791E-2</v>
      </c>
      <c r="H292" s="434">
        <f t="shared" si="77"/>
        <v>0</v>
      </c>
      <c r="I292" s="434">
        <v>0</v>
      </c>
      <c r="J292" s="127">
        <f t="shared" si="78"/>
        <v>0.16624355428352483</v>
      </c>
      <c r="K292" s="126">
        <f t="shared" si="84"/>
        <v>1.3393824213803482E-2</v>
      </c>
      <c r="L292" s="41">
        <f t="shared" si="79"/>
        <v>133.20954659943294</v>
      </c>
      <c r="M292" s="41">
        <f t="shared" si="80"/>
        <v>-143.78977486492616</v>
      </c>
      <c r="N292" s="41">
        <f>(IF(C291&lt;='SOLLECITAZ NASCOSTO'!$P$12,IF(C291&lt;='SOLLECITAZ NASCOSTO'!$P$11,IF(C291&lt;='SOLLECITAZ NASCOSTO'!$P$10,IF(C291&lt;='SOLLECITAZ NASCOSTO'!$P$9,IF(C291&lt;='SOLLECITAZ NASCOSTO'!$P$8,IF(C291&lt;='SOLLECITAZ NASCOSTO'!$P$7,IF(C291&lt;='SOLLECITAZ NASCOSTO'!$P$6,IF(C291&lt;='SOLLECITAZ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paramento'!$G$111),55555)-IF(C291&lt;='SOLLECITAZ NASCOSTO'!$P$12,IF(C291&lt;='SOLLECITAZ NASCOSTO'!$P$11,IF(C291&lt;='SOLLECITAZ NASCOSTO'!$P$10,IF(C291&lt;='SOLLECITAZ NASCOSTO'!$P$9,IF(C291&lt;='SOLLECITAZ NASCOSTO'!$P$8,IF(C291&lt;='SOLLECITAZ NASCOSTO'!$P$7,IF(C291&lt;='SOLLECITAZ NASCOSTO'!$P$6,IF(C291&lt;='SOLLECITAZ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paramento'!$G$111))*(C291-IF(C291&lt;='SOLLECITAZ NASCOSTO'!$P$12,IF(C291&lt;='SOLLECITAZ NASCOSTO'!$P$11,IF(C291&lt;='SOLLECITAZ NASCOSTO'!$P$10,IF(C291&lt;='SOLLECITAZ NASCOSTO'!$P$9,IF(C291&lt;='SOLLECITAZ NASCOSTO'!$P$8,IF(C291&lt;='SOLLECITAZ NASCOSTO'!$P$7,IF(C291&lt;='SOLLECITAZ NASCOSTO'!$P$6,IF(C291&lt;='SOLLECITAZ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NASCOSTO'!$P$12))/IF(C291&lt;='SOLLECITAZ NASCOSTO'!$P$12,IF(C291&lt;='SOLLECITAZ NASCOSTO'!$P$11,IF(C291&lt;='SOLLECITAZ NASCOSTO'!$P$10,IF(C291&lt;='SOLLECITAZ NASCOSTO'!$P$9,IF(C291&lt;='SOLLECITAZ NASCOSTO'!$P$8,IF(C291&lt;='SOLLECITAZ NASCOSTO'!$P$7,IF(C291&lt;='SOLLECITAZ NASCOSTO'!$P$6,IF(C291&lt;='SOLLECITAZ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paramento'!$C$111)+IF(C291&lt;='SOLLECITAZ NASCOSTO'!$P$12,IF(C291&lt;='SOLLECITAZ NASCOSTO'!$P$11,IF(C291&lt;='SOLLECITAZ NASCOSTO'!$P$10,IF(C291&lt;='SOLLECITAZ NASCOSTO'!$P$9,IF(C291&lt;='SOLLECITAZ NASCOSTO'!$P$8,IF(C291&lt;='SOLLECITAZ NASCOSTO'!$P$7,IF(C291&lt;='SOLLECITAZ NASCOSTO'!$P$6,IF(C291&lt;='SOLLECITAZ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80.326184902086226</v>
      </c>
      <c r="O292" s="41">
        <f>IF(C292&lt;='SOLLECITAZ NASCOSTO'!$P$12,IF(C292&lt;='SOLLECITAZ NASCOSTO'!$P$11,IF(C292&lt;='SOLLECITAZ NASCOSTO'!$P$10,IF(C292&lt;='SOLLECITAZ NASCOSTO'!$P$9,IF(C292&lt;='SOLLECITAZ NASCOSTO'!$P$8,IF(C292&lt;='SOLLECITAZ NASCOSTO'!$P$7,IF(C292&lt;='SOLLECITAZ NASCOSTO'!$P$6,IF(C292&lt;='SOLLECITAZ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paramento'!$G$110),55555)*(C292-C291)/IF(C292&lt;='SOLLECITAZ NASCOSTO'!$P$12,IF(C292&lt;='SOLLECITAZ NASCOSTO'!$P$11,IF(C292&lt;='SOLLECITAZ NASCOSTO'!$P$10,IF(C292&lt;='SOLLECITAZ NASCOSTO'!$P$9,IF(C292&lt;='SOLLECITAZ NASCOSTO'!$P$8,IF(C292&lt;='SOLLECITAZ NASCOSTO'!$P$7,IF(C292&lt;='SOLLECITAZ NASCOSTO'!$P$6,IF(C292&lt;='SOLLECITAZ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92" s="41">
        <f t="shared" ref="P292:P355" si="93">P291+0.000001</f>
        <v>2.5899999999999979E-4</v>
      </c>
      <c r="Q292" s="41">
        <f t="shared" si="91"/>
        <v>1</v>
      </c>
      <c r="R292" s="434">
        <f t="shared" si="85"/>
        <v>2.8325384951630506</v>
      </c>
      <c r="S292" s="45">
        <f t="shared" si="92"/>
        <v>2.8325384951630506</v>
      </c>
      <c r="T292" s="205">
        <f t="shared" si="88"/>
        <v>2.1995230970978303</v>
      </c>
      <c r="U292" s="45">
        <f t="shared" si="89"/>
        <v>133.20954659943294</v>
      </c>
      <c r="V292" s="45">
        <f t="shared" si="90"/>
        <v>-143.78977486492616</v>
      </c>
      <c r="W292" s="488"/>
      <c r="X292" s="489"/>
      <c r="Y292" s="489"/>
      <c r="Z292" s="490"/>
      <c r="AA292" s="46"/>
    </row>
    <row r="293" spans="1:27" s="421" customFormat="1" x14ac:dyDescent="0.25">
      <c r="A293" s="581">
        <f t="shared" si="86"/>
        <v>0.49652937404307995</v>
      </c>
      <c r="B293" s="31">
        <f t="shared" si="76"/>
        <v>261</v>
      </c>
      <c r="C293" s="434">
        <f>'SOLLECITAZ NASCOSTO'!$D$6/'SOLLECITAZ NASCOSTO'!$B$448*'SOLLECITAZ NASCOSTO'!B293</f>
        <v>2.8434328739906007</v>
      </c>
      <c r="D293" s="434">
        <f t="shared" si="87"/>
        <v>0.61652937404307995</v>
      </c>
      <c r="E293" s="434">
        <f t="shared" si="81"/>
        <v>0.49652937404307995</v>
      </c>
      <c r="F293" s="434">
        <f t="shared" si="82"/>
        <v>0.45888939969378562</v>
      </c>
      <c r="G293" s="434">
        <f t="shared" si="83"/>
        <v>7.6513355049272327E-2</v>
      </c>
      <c r="H293" s="434">
        <f t="shared" si="77"/>
        <v>0</v>
      </c>
      <c r="I293" s="434">
        <v>0</v>
      </c>
      <c r="J293" s="127">
        <f t="shared" si="78"/>
        <v>0.16673593920524046</v>
      </c>
      <c r="K293" s="126">
        <f t="shared" si="84"/>
        <v>1.3495277777104627E-2</v>
      </c>
      <c r="L293" s="41">
        <f t="shared" si="79"/>
        <v>134.08886862099436</v>
      </c>
      <c r="M293" s="41">
        <f t="shared" si="80"/>
        <v>-145.24579996263373</v>
      </c>
      <c r="N293" s="41">
        <f>(IF(C292&lt;='SOLLECITAZ NASCOSTO'!$P$12,IF(C292&lt;='SOLLECITAZ NASCOSTO'!$P$11,IF(C292&lt;='SOLLECITAZ NASCOSTO'!$P$10,IF(C292&lt;='SOLLECITAZ NASCOSTO'!$P$9,IF(C292&lt;='SOLLECITAZ NASCOSTO'!$P$8,IF(C292&lt;='SOLLECITAZ NASCOSTO'!$P$7,IF(C292&lt;='SOLLECITAZ NASCOSTO'!$P$6,IF(C292&lt;='SOLLECITAZ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paramento'!$G$111),55555)-IF(C292&lt;='SOLLECITAZ NASCOSTO'!$P$12,IF(C292&lt;='SOLLECITAZ NASCOSTO'!$P$11,IF(C292&lt;='SOLLECITAZ NASCOSTO'!$P$10,IF(C292&lt;='SOLLECITAZ NASCOSTO'!$P$9,IF(C292&lt;='SOLLECITAZ NASCOSTO'!$P$8,IF(C292&lt;='SOLLECITAZ NASCOSTO'!$P$7,IF(C292&lt;='SOLLECITAZ NASCOSTO'!$P$6,IF(C292&lt;='SOLLECITAZ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paramento'!$G$111))*(C292-IF(C292&lt;='SOLLECITAZ NASCOSTO'!$P$12,IF(C292&lt;='SOLLECITAZ NASCOSTO'!$P$11,IF(C292&lt;='SOLLECITAZ NASCOSTO'!$P$10,IF(C292&lt;='SOLLECITAZ NASCOSTO'!$P$9,IF(C292&lt;='SOLLECITAZ NASCOSTO'!$P$8,IF(C292&lt;='SOLLECITAZ NASCOSTO'!$P$7,IF(C292&lt;='SOLLECITAZ NASCOSTO'!$P$6,IF(C292&lt;='SOLLECITAZ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NASCOSTO'!$P$12))/IF(C292&lt;='SOLLECITAZ NASCOSTO'!$P$12,IF(C292&lt;='SOLLECITAZ NASCOSTO'!$P$11,IF(C292&lt;='SOLLECITAZ NASCOSTO'!$P$10,IF(C292&lt;='SOLLECITAZ NASCOSTO'!$P$9,IF(C292&lt;='SOLLECITAZ NASCOSTO'!$P$8,IF(C292&lt;='SOLLECITAZ NASCOSTO'!$P$7,IF(C292&lt;='SOLLECITAZ NASCOSTO'!$P$6,IF(C292&lt;='SOLLECITAZ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paramento'!$C$111)+IF(C292&lt;='SOLLECITAZ NASCOSTO'!$P$12,IF(C292&lt;='SOLLECITAZ NASCOSTO'!$P$11,IF(C292&lt;='SOLLECITAZ NASCOSTO'!$P$10,IF(C292&lt;='SOLLECITAZ NASCOSTO'!$P$9,IF(C292&lt;='SOLLECITAZ NASCOSTO'!$P$8,IF(C292&lt;='SOLLECITAZ NASCOSTO'!$P$7,IF(C292&lt;='SOLLECITAZ NASCOSTO'!$P$6,IF(C292&lt;='SOLLECITAZ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80.584307831535654</v>
      </c>
      <c r="O293" s="41">
        <f>IF(C293&lt;='SOLLECITAZ NASCOSTO'!$P$12,IF(C293&lt;='SOLLECITAZ NASCOSTO'!$P$11,IF(C293&lt;='SOLLECITAZ NASCOSTO'!$P$10,IF(C293&lt;='SOLLECITAZ NASCOSTO'!$P$9,IF(C293&lt;='SOLLECITAZ NASCOSTO'!$P$8,IF(C293&lt;='SOLLECITAZ NASCOSTO'!$P$7,IF(C293&lt;='SOLLECITAZ NASCOSTO'!$P$6,IF(C293&lt;='SOLLECITAZ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paramento'!$G$110),55555)*(C293-C292)/IF(C293&lt;='SOLLECITAZ NASCOSTO'!$P$12,IF(C293&lt;='SOLLECITAZ NASCOSTO'!$P$11,IF(C293&lt;='SOLLECITAZ NASCOSTO'!$P$10,IF(C293&lt;='SOLLECITAZ NASCOSTO'!$P$9,IF(C293&lt;='SOLLECITAZ NASCOSTO'!$P$8,IF(C293&lt;='SOLLECITAZ NASCOSTO'!$P$7,IF(C293&lt;='SOLLECITAZ NASCOSTO'!$P$6,IF(C293&lt;='SOLLECITAZ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93" s="41">
        <f t="shared" si="93"/>
        <v>2.5999999999999981E-4</v>
      </c>
      <c r="Q293" s="41">
        <f t="shared" si="91"/>
        <v>1</v>
      </c>
      <c r="R293" s="434">
        <f t="shared" si="85"/>
        <v>2.8434328739906007</v>
      </c>
      <c r="S293" s="45">
        <f t="shared" si="92"/>
        <v>2.8434328739906007</v>
      </c>
      <c r="T293" s="205">
        <f t="shared" si="88"/>
        <v>2.1886287182702802</v>
      </c>
      <c r="U293" s="45">
        <f t="shared" si="89"/>
        <v>134.08886862099436</v>
      </c>
      <c r="V293" s="45">
        <f t="shared" si="90"/>
        <v>-145.24579996263373</v>
      </c>
      <c r="W293" s="488"/>
      <c r="X293" s="489"/>
      <c r="Y293" s="489"/>
      <c r="Z293" s="490"/>
      <c r="AA293" s="46"/>
    </row>
    <row r="294" spans="1:27" s="421" customFormat="1" x14ac:dyDescent="0.25">
      <c r="A294" s="581">
        <f t="shared" si="86"/>
        <v>0.4981002167911891</v>
      </c>
      <c r="B294" s="31">
        <f t="shared" si="76"/>
        <v>262</v>
      </c>
      <c r="C294" s="434">
        <f>'SOLLECITAZ NASCOSTO'!$D$6/'SOLLECITAZ NASCOSTO'!$B$448*'SOLLECITAZ NASCOSTO'!B294</f>
        <v>2.8543272528181509</v>
      </c>
      <c r="D294" s="434">
        <f t="shared" si="87"/>
        <v>0.61810021679118909</v>
      </c>
      <c r="E294" s="434">
        <f t="shared" si="81"/>
        <v>0.4981002167911891</v>
      </c>
      <c r="F294" s="434">
        <f t="shared" si="82"/>
        <v>0.4593920693731805</v>
      </c>
      <c r="G294" s="434">
        <f t="shared" si="83"/>
        <v>7.6823660479570385E-2</v>
      </c>
      <c r="H294" s="434">
        <f t="shared" si="77"/>
        <v>0</v>
      </c>
      <c r="I294" s="434">
        <v>0</v>
      </c>
      <c r="J294" s="127">
        <f t="shared" si="78"/>
        <v>0.16722896541159876</v>
      </c>
      <c r="K294" s="126">
        <f t="shared" si="84"/>
        <v>1.3597218868443291E-2</v>
      </c>
      <c r="L294" s="41">
        <f t="shared" si="79"/>
        <v>134.97100273153328</v>
      </c>
      <c r="M294" s="41">
        <f t="shared" si="80"/>
        <v>-146.7114200455369</v>
      </c>
      <c r="N294" s="41">
        <f>(IF(C293&lt;='SOLLECITAZ NASCOSTO'!$P$12,IF(C293&lt;='SOLLECITAZ NASCOSTO'!$P$11,IF(C293&lt;='SOLLECITAZ NASCOSTO'!$P$10,IF(C293&lt;='SOLLECITAZ NASCOSTO'!$P$9,IF(C293&lt;='SOLLECITAZ NASCOSTO'!$P$8,IF(C293&lt;='SOLLECITAZ NASCOSTO'!$P$7,IF(C293&lt;='SOLLECITAZ NASCOSTO'!$P$6,IF(C293&lt;='SOLLECITAZ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paramento'!$G$111),55555)-IF(C293&lt;='SOLLECITAZ NASCOSTO'!$P$12,IF(C293&lt;='SOLLECITAZ NASCOSTO'!$P$11,IF(C293&lt;='SOLLECITAZ NASCOSTO'!$P$10,IF(C293&lt;='SOLLECITAZ NASCOSTO'!$P$9,IF(C293&lt;='SOLLECITAZ NASCOSTO'!$P$8,IF(C293&lt;='SOLLECITAZ NASCOSTO'!$P$7,IF(C293&lt;='SOLLECITAZ NASCOSTO'!$P$6,IF(C293&lt;='SOLLECITAZ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paramento'!$G$111))*(C293-IF(C293&lt;='SOLLECITAZ NASCOSTO'!$P$12,IF(C293&lt;='SOLLECITAZ NASCOSTO'!$P$11,IF(C293&lt;='SOLLECITAZ NASCOSTO'!$P$10,IF(C293&lt;='SOLLECITAZ NASCOSTO'!$P$9,IF(C293&lt;='SOLLECITAZ NASCOSTO'!$P$8,IF(C293&lt;='SOLLECITAZ NASCOSTO'!$P$7,IF(C293&lt;='SOLLECITAZ NASCOSTO'!$P$6,IF(C293&lt;='SOLLECITAZ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NASCOSTO'!$P$12))/IF(C293&lt;='SOLLECITAZ NASCOSTO'!$P$12,IF(C293&lt;='SOLLECITAZ NASCOSTO'!$P$11,IF(C293&lt;='SOLLECITAZ NASCOSTO'!$P$10,IF(C293&lt;='SOLLECITAZ NASCOSTO'!$P$9,IF(C293&lt;='SOLLECITAZ NASCOSTO'!$P$8,IF(C293&lt;='SOLLECITAZ NASCOSTO'!$P$7,IF(C293&lt;='SOLLECITAZ NASCOSTO'!$P$6,IF(C293&lt;='SOLLECITAZ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paramento'!$C$111)+IF(C293&lt;='SOLLECITAZ NASCOSTO'!$P$12,IF(C293&lt;='SOLLECITAZ NASCOSTO'!$P$11,IF(C293&lt;='SOLLECITAZ NASCOSTO'!$P$10,IF(C293&lt;='SOLLECITAZ NASCOSTO'!$P$9,IF(C293&lt;='SOLLECITAZ NASCOSTO'!$P$8,IF(C293&lt;='SOLLECITAZ NASCOSTO'!$P$7,IF(C293&lt;='SOLLECITAZ NASCOSTO'!$P$6,IF(C293&lt;='SOLLECITAZ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80.842430760985053</v>
      </c>
      <c r="O294" s="41">
        <f>IF(C294&lt;='SOLLECITAZ NASCOSTO'!$P$12,IF(C294&lt;='SOLLECITAZ NASCOSTO'!$P$11,IF(C294&lt;='SOLLECITAZ NASCOSTO'!$P$10,IF(C294&lt;='SOLLECITAZ NASCOSTO'!$P$9,IF(C294&lt;='SOLLECITAZ NASCOSTO'!$P$8,IF(C294&lt;='SOLLECITAZ NASCOSTO'!$P$7,IF(C294&lt;='SOLLECITAZ NASCOSTO'!$P$6,IF(C294&lt;='SOLLECITAZ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paramento'!$G$110),55555)*(C294-C293)/IF(C294&lt;='SOLLECITAZ NASCOSTO'!$P$12,IF(C294&lt;='SOLLECITAZ NASCOSTO'!$P$11,IF(C294&lt;='SOLLECITAZ NASCOSTO'!$P$10,IF(C294&lt;='SOLLECITAZ NASCOSTO'!$P$9,IF(C294&lt;='SOLLECITAZ NASCOSTO'!$P$8,IF(C294&lt;='SOLLECITAZ NASCOSTO'!$P$7,IF(C294&lt;='SOLLECITAZ NASCOSTO'!$P$6,IF(C294&lt;='SOLLECITAZ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94" s="41">
        <f t="shared" si="93"/>
        <v>2.6099999999999984E-4</v>
      </c>
      <c r="Q294" s="41">
        <f t="shared" si="91"/>
        <v>1</v>
      </c>
      <c r="R294" s="434">
        <f t="shared" si="85"/>
        <v>2.8543272528181509</v>
      </c>
      <c r="S294" s="45">
        <f t="shared" si="92"/>
        <v>2.8543272528181509</v>
      </c>
      <c r="T294" s="205">
        <f t="shared" si="88"/>
        <v>2.17773433944273</v>
      </c>
      <c r="U294" s="45">
        <f t="shared" si="89"/>
        <v>134.97100273153328</v>
      </c>
      <c r="V294" s="45">
        <f t="shared" si="90"/>
        <v>-146.7114200455369</v>
      </c>
      <c r="W294" s="488"/>
      <c r="X294" s="489"/>
      <c r="Y294" s="489"/>
      <c r="Z294" s="490"/>
      <c r="AA294" s="46"/>
    </row>
    <row r="295" spans="1:27" s="421" customFormat="1" x14ac:dyDescent="0.25">
      <c r="A295" s="581">
        <f t="shared" si="86"/>
        <v>0.49967105953929825</v>
      </c>
      <c r="B295" s="31">
        <f t="shared" si="76"/>
        <v>263</v>
      </c>
      <c r="C295" s="434">
        <f>'SOLLECITAZ NASCOSTO'!$D$6/'SOLLECITAZ NASCOSTO'!$B$448*'SOLLECITAZ NASCOSTO'!B295</f>
        <v>2.8652216316457011</v>
      </c>
      <c r="D295" s="434">
        <f t="shared" si="87"/>
        <v>0.61967105953929824</v>
      </c>
      <c r="E295" s="434">
        <f t="shared" si="81"/>
        <v>0.49967105953929825</v>
      </c>
      <c r="F295" s="434">
        <f t="shared" si="82"/>
        <v>0.45989473905257544</v>
      </c>
      <c r="G295" s="434">
        <f t="shared" si="83"/>
        <v>7.7134755524889048E-2</v>
      </c>
      <c r="H295" s="434">
        <f t="shared" si="77"/>
        <v>0</v>
      </c>
      <c r="I295" s="434">
        <v>0</v>
      </c>
      <c r="J295" s="127">
        <f t="shared" si="78"/>
        <v>0.16772263079980776</v>
      </c>
      <c r="K295" s="126">
        <f t="shared" si="84"/>
        <v>1.3699648365854876E-2</v>
      </c>
      <c r="L295" s="41">
        <f t="shared" si="79"/>
        <v>135.85594893104971</v>
      </c>
      <c r="M295" s="41">
        <f t="shared" si="80"/>
        <v>-148.18666574959829</v>
      </c>
      <c r="N295" s="41">
        <f>(IF(C294&lt;='SOLLECITAZ NASCOSTO'!$P$12,IF(C294&lt;='SOLLECITAZ NASCOSTO'!$P$11,IF(C294&lt;='SOLLECITAZ NASCOSTO'!$P$10,IF(C294&lt;='SOLLECITAZ NASCOSTO'!$P$9,IF(C294&lt;='SOLLECITAZ NASCOSTO'!$P$8,IF(C294&lt;='SOLLECITAZ NASCOSTO'!$P$7,IF(C294&lt;='SOLLECITAZ NASCOSTO'!$P$6,IF(C294&lt;='SOLLECITAZ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paramento'!$G$111),55555)-IF(C294&lt;='SOLLECITAZ NASCOSTO'!$P$12,IF(C294&lt;='SOLLECITAZ NASCOSTO'!$P$11,IF(C294&lt;='SOLLECITAZ NASCOSTO'!$P$10,IF(C294&lt;='SOLLECITAZ NASCOSTO'!$P$9,IF(C294&lt;='SOLLECITAZ NASCOSTO'!$P$8,IF(C294&lt;='SOLLECITAZ NASCOSTO'!$P$7,IF(C294&lt;='SOLLECITAZ NASCOSTO'!$P$6,IF(C294&lt;='SOLLECITAZ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paramento'!$G$111))*(C294-IF(C294&lt;='SOLLECITAZ NASCOSTO'!$P$12,IF(C294&lt;='SOLLECITAZ NASCOSTO'!$P$11,IF(C294&lt;='SOLLECITAZ NASCOSTO'!$P$10,IF(C294&lt;='SOLLECITAZ NASCOSTO'!$P$9,IF(C294&lt;='SOLLECITAZ NASCOSTO'!$P$8,IF(C294&lt;='SOLLECITAZ NASCOSTO'!$P$7,IF(C294&lt;='SOLLECITAZ NASCOSTO'!$P$6,IF(C294&lt;='SOLLECITAZ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NASCOSTO'!$P$12))/IF(C294&lt;='SOLLECITAZ NASCOSTO'!$P$12,IF(C294&lt;='SOLLECITAZ NASCOSTO'!$P$11,IF(C294&lt;='SOLLECITAZ NASCOSTO'!$P$10,IF(C294&lt;='SOLLECITAZ NASCOSTO'!$P$9,IF(C294&lt;='SOLLECITAZ NASCOSTO'!$P$8,IF(C294&lt;='SOLLECITAZ NASCOSTO'!$P$7,IF(C294&lt;='SOLLECITAZ NASCOSTO'!$P$6,IF(C294&lt;='SOLLECITAZ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paramento'!$C$111)+IF(C294&lt;='SOLLECITAZ NASCOSTO'!$P$12,IF(C294&lt;='SOLLECITAZ NASCOSTO'!$P$11,IF(C294&lt;='SOLLECITAZ NASCOSTO'!$P$10,IF(C294&lt;='SOLLECITAZ NASCOSTO'!$P$9,IF(C294&lt;='SOLLECITAZ NASCOSTO'!$P$8,IF(C294&lt;='SOLLECITAZ NASCOSTO'!$P$7,IF(C294&lt;='SOLLECITAZ NASCOSTO'!$P$6,IF(C294&lt;='SOLLECITAZ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81.100553690434452</v>
      </c>
      <c r="O295" s="41">
        <f>IF(C295&lt;='SOLLECITAZ NASCOSTO'!$P$12,IF(C295&lt;='SOLLECITAZ NASCOSTO'!$P$11,IF(C295&lt;='SOLLECITAZ NASCOSTO'!$P$10,IF(C295&lt;='SOLLECITAZ NASCOSTO'!$P$9,IF(C295&lt;='SOLLECITAZ NASCOSTO'!$P$8,IF(C295&lt;='SOLLECITAZ NASCOSTO'!$P$7,IF(C295&lt;='SOLLECITAZ NASCOSTO'!$P$6,IF(C295&lt;='SOLLECITAZ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paramento'!$G$110),55555)*(C295-C294)/IF(C295&lt;='SOLLECITAZ NASCOSTO'!$P$12,IF(C295&lt;='SOLLECITAZ NASCOSTO'!$P$11,IF(C295&lt;='SOLLECITAZ NASCOSTO'!$P$10,IF(C295&lt;='SOLLECITAZ NASCOSTO'!$P$9,IF(C295&lt;='SOLLECITAZ NASCOSTO'!$P$8,IF(C295&lt;='SOLLECITAZ NASCOSTO'!$P$7,IF(C295&lt;='SOLLECITAZ NASCOSTO'!$P$6,IF(C295&lt;='SOLLECITAZ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95" s="41">
        <f t="shared" si="93"/>
        <v>2.6199999999999986E-4</v>
      </c>
      <c r="Q295" s="41">
        <f t="shared" si="91"/>
        <v>1</v>
      </c>
      <c r="R295" s="434">
        <f t="shared" si="85"/>
        <v>2.8652216316457011</v>
      </c>
      <c r="S295" s="45">
        <f t="shared" si="92"/>
        <v>2.8652216316457011</v>
      </c>
      <c r="T295" s="205">
        <f t="shared" si="88"/>
        <v>2.1668399606151798</v>
      </c>
      <c r="U295" s="45">
        <f t="shared" si="89"/>
        <v>135.85594893104971</v>
      </c>
      <c r="V295" s="45">
        <f t="shared" si="90"/>
        <v>-148.18666574959829</v>
      </c>
      <c r="W295" s="488"/>
      <c r="X295" s="489"/>
      <c r="Y295" s="489"/>
      <c r="Z295" s="490"/>
      <c r="AA295" s="46"/>
    </row>
    <row r="296" spans="1:27" s="421" customFormat="1" x14ac:dyDescent="0.25">
      <c r="A296" s="581">
        <f t="shared" si="86"/>
        <v>0.50124190228740739</v>
      </c>
      <c r="B296" s="31">
        <f t="shared" si="76"/>
        <v>264</v>
      </c>
      <c r="C296" s="434">
        <f>'SOLLECITAZ NASCOSTO'!$D$6/'SOLLECITAZ NASCOSTO'!$B$448*'SOLLECITAZ NASCOSTO'!B296</f>
        <v>2.8761160104732513</v>
      </c>
      <c r="D296" s="434">
        <f t="shared" si="87"/>
        <v>0.62124190228740739</v>
      </c>
      <c r="E296" s="434">
        <f t="shared" si="81"/>
        <v>0.50124190228740739</v>
      </c>
      <c r="F296" s="434">
        <f t="shared" si="82"/>
        <v>0.46039740873197033</v>
      </c>
      <c r="G296" s="434">
        <f t="shared" si="83"/>
        <v>7.744664018522826E-2</v>
      </c>
      <c r="H296" s="434">
        <f t="shared" si="77"/>
        <v>0</v>
      </c>
      <c r="I296" s="434">
        <v>0</v>
      </c>
      <c r="J296" s="127">
        <f t="shared" si="78"/>
        <v>0.1682169332762587</v>
      </c>
      <c r="K296" s="126">
        <f t="shared" si="84"/>
        <v>1.3802567146248661E-2</v>
      </c>
      <c r="L296" s="41">
        <f t="shared" si="79"/>
        <v>136.74370721954364</v>
      </c>
      <c r="M296" s="41">
        <f t="shared" si="80"/>
        <v>-149.67156771078052</v>
      </c>
      <c r="N296" s="41">
        <f>(IF(C295&lt;='SOLLECITAZ NASCOSTO'!$P$12,IF(C295&lt;='SOLLECITAZ NASCOSTO'!$P$11,IF(C295&lt;='SOLLECITAZ NASCOSTO'!$P$10,IF(C295&lt;='SOLLECITAZ NASCOSTO'!$P$9,IF(C295&lt;='SOLLECITAZ NASCOSTO'!$P$8,IF(C295&lt;='SOLLECITAZ NASCOSTO'!$P$7,IF(C295&lt;='SOLLECITAZ NASCOSTO'!$P$6,IF(C295&lt;='SOLLECITAZ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paramento'!$G$111),55555)-IF(C295&lt;='SOLLECITAZ NASCOSTO'!$P$12,IF(C295&lt;='SOLLECITAZ NASCOSTO'!$P$11,IF(C295&lt;='SOLLECITAZ NASCOSTO'!$P$10,IF(C295&lt;='SOLLECITAZ NASCOSTO'!$P$9,IF(C295&lt;='SOLLECITAZ NASCOSTO'!$P$8,IF(C295&lt;='SOLLECITAZ NASCOSTO'!$P$7,IF(C295&lt;='SOLLECITAZ NASCOSTO'!$P$6,IF(C295&lt;='SOLLECITAZ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paramento'!$G$111))*(C295-IF(C295&lt;='SOLLECITAZ NASCOSTO'!$P$12,IF(C295&lt;='SOLLECITAZ NASCOSTO'!$P$11,IF(C295&lt;='SOLLECITAZ NASCOSTO'!$P$10,IF(C295&lt;='SOLLECITAZ NASCOSTO'!$P$9,IF(C295&lt;='SOLLECITAZ NASCOSTO'!$P$8,IF(C295&lt;='SOLLECITAZ NASCOSTO'!$P$7,IF(C295&lt;='SOLLECITAZ NASCOSTO'!$P$6,IF(C295&lt;='SOLLECITAZ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NASCOSTO'!$P$12))/IF(C295&lt;='SOLLECITAZ NASCOSTO'!$P$12,IF(C295&lt;='SOLLECITAZ NASCOSTO'!$P$11,IF(C295&lt;='SOLLECITAZ NASCOSTO'!$P$10,IF(C295&lt;='SOLLECITAZ NASCOSTO'!$P$9,IF(C295&lt;='SOLLECITAZ NASCOSTO'!$P$8,IF(C295&lt;='SOLLECITAZ NASCOSTO'!$P$7,IF(C295&lt;='SOLLECITAZ NASCOSTO'!$P$6,IF(C295&lt;='SOLLECITAZ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paramento'!$C$111)+IF(C295&lt;='SOLLECITAZ NASCOSTO'!$P$12,IF(C295&lt;='SOLLECITAZ NASCOSTO'!$P$11,IF(C295&lt;='SOLLECITAZ NASCOSTO'!$P$10,IF(C295&lt;='SOLLECITAZ NASCOSTO'!$P$9,IF(C295&lt;='SOLLECITAZ NASCOSTO'!$P$8,IF(C295&lt;='SOLLECITAZ NASCOSTO'!$P$7,IF(C295&lt;='SOLLECITAZ NASCOSTO'!$P$6,IF(C295&lt;='SOLLECITAZ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81.358676619883852</v>
      </c>
      <c r="O296" s="41">
        <f>IF(C296&lt;='SOLLECITAZ NASCOSTO'!$P$12,IF(C296&lt;='SOLLECITAZ NASCOSTO'!$P$11,IF(C296&lt;='SOLLECITAZ NASCOSTO'!$P$10,IF(C296&lt;='SOLLECITAZ NASCOSTO'!$P$9,IF(C296&lt;='SOLLECITAZ NASCOSTO'!$P$8,IF(C296&lt;='SOLLECITAZ NASCOSTO'!$P$7,IF(C296&lt;='SOLLECITAZ NASCOSTO'!$P$6,IF(C296&lt;='SOLLECITAZ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paramento'!$G$110),55555)*(C296-C295)/IF(C296&lt;='SOLLECITAZ NASCOSTO'!$P$12,IF(C296&lt;='SOLLECITAZ NASCOSTO'!$P$11,IF(C296&lt;='SOLLECITAZ NASCOSTO'!$P$10,IF(C296&lt;='SOLLECITAZ NASCOSTO'!$P$9,IF(C296&lt;='SOLLECITAZ NASCOSTO'!$P$8,IF(C296&lt;='SOLLECITAZ NASCOSTO'!$P$7,IF(C296&lt;='SOLLECITAZ NASCOSTO'!$P$6,IF(C296&lt;='SOLLECITAZ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96" s="41">
        <f t="shared" si="93"/>
        <v>2.6299999999999989E-4</v>
      </c>
      <c r="Q296" s="41">
        <f t="shared" si="91"/>
        <v>1</v>
      </c>
      <c r="R296" s="434">
        <f t="shared" si="85"/>
        <v>2.8761160104732513</v>
      </c>
      <c r="S296" s="45">
        <f t="shared" si="92"/>
        <v>2.8761160104732513</v>
      </c>
      <c r="T296" s="205">
        <f t="shared" si="88"/>
        <v>2.1559455817876296</v>
      </c>
      <c r="U296" s="45">
        <f t="shared" si="89"/>
        <v>136.74370721954364</v>
      </c>
      <c r="V296" s="45">
        <f t="shared" si="90"/>
        <v>-149.67156771078052</v>
      </c>
      <c r="W296" s="488"/>
      <c r="X296" s="489"/>
      <c r="Y296" s="489"/>
      <c r="Z296" s="490"/>
      <c r="AA296" s="46"/>
    </row>
    <row r="297" spans="1:27" s="421" customFormat="1" x14ac:dyDescent="0.25">
      <c r="A297" s="581">
        <f t="shared" si="86"/>
        <v>0.50281274503551654</v>
      </c>
      <c r="B297" s="31">
        <f t="shared" si="76"/>
        <v>265</v>
      </c>
      <c r="C297" s="434">
        <f>'SOLLECITAZ NASCOSTO'!$D$6/'SOLLECITAZ NASCOSTO'!$B$448*'SOLLECITAZ NASCOSTO'!B297</f>
        <v>2.8870103893008014</v>
      </c>
      <c r="D297" s="434">
        <f t="shared" si="87"/>
        <v>0.62281274503551654</v>
      </c>
      <c r="E297" s="434">
        <f t="shared" si="81"/>
        <v>0.50281274503551654</v>
      </c>
      <c r="F297" s="434">
        <f t="shared" si="82"/>
        <v>0.46090007841136527</v>
      </c>
      <c r="G297" s="434">
        <f t="shared" si="83"/>
        <v>7.775931446058805E-2</v>
      </c>
      <c r="H297" s="434">
        <f t="shared" si="77"/>
        <v>0</v>
      </c>
      <c r="I297" s="434">
        <v>0</v>
      </c>
      <c r="J297" s="127">
        <f t="shared" si="78"/>
        <v>0.16871187075647631</v>
      </c>
      <c r="K297" s="126">
        <f t="shared" si="84"/>
        <v>1.3905976085413947E-2</v>
      </c>
      <c r="L297" s="41">
        <f t="shared" si="79"/>
        <v>137.63427759701506</v>
      </c>
      <c r="M297" s="41">
        <f t="shared" si="80"/>
        <v>-151.16615656504624</v>
      </c>
      <c r="N297" s="41">
        <f>(IF(C296&lt;='SOLLECITAZ NASCOSTO'!$P$12,IF(C296&lt;='SOLLECITAZ NASCOSTO'!$P$11,IF(C296&lt;='SOLLECITAZ NASCOSTO'!$P$10,IF(C296&lt;='SOLLECITAZ NASCOSTO'!$P$9,IF(C296&lt;='SOLLECITAZ NASCOSTO'!$P$8,IF(C296&lt;='SOLLECITAZ NASCOSTO'!$P$7,IF(C296&lt;='SOLLECITAZ NASCOSTO'!$P$6,IF(C296&lt;='SOLLECITAZ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paramento'!$G$111),55555)-IF(C296&lt;='SOLLECITAZ NASCOSTO'!$P$12,IF(C296&lt;='SOLLECITAZ NASCOSTO'!$P$11,IF(C296&lt;='SOLLECITAZ NASCOSTO'!$P$10,IF(C296&lt;='SOLLECITAZ NASCOSTO'!$P$9,IF(C296&lt;='SOLLECITAZ NASCOSTO'!$P$8,IF(C296&lt;='SOLLECITAZ NASCOSTO'!$P$7,IF(C296&lt;='SOLLECITAZ NASCOSTO'!$P$6,IF(C296&lt;='SOLLECITAZ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paramento'!$G$111))*(C296-IF(C296&lt;='SOLLECITAZ NASCOSTO'!$P$12,IF(C296&lt;='SOLLECITAZ NASCOSTO'!$P$11,IF(C296&lt;='SOLLECITAZ NASCOSTO'!$P$10,IF(C296&lt;='SOLLECITAZ NASCOSTO'!$P$9,IF(C296&lt;='SOLLECITAZ NASCOSTO'!$P$8,IF(C296&lt;='SOLLECITAZ NASCOSTO'!$P$7,IF(C296&lt;='SOLLECITAZ NASCOSTO'!$P$6,IF(C296&lt;='SOLLECITAZ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NASCOSTO'!$P$12))/IF(C296&lt;='SOLLECITAZ NASCOSTO'!$P$12,IF(C296&lt;='SOLLECITAZ NASCOSTO'!$P$11,IF(C296&lt;='SOLLECITAZ NASCOSTO'!$P$10,IF(C296&lt;='SOLLECITAZ NASCOSTO'!$P$9,IF(C296&lt;='SOLLECITAZ NASCOSTO'!$P$8,IF(C296&lt;='SOLLECITAZ NASCOSTO'!$P$7,IF(C296&lt;='SOLLECITAZ NASCOSTO'!$P$6,IF(C296&lt;='SOLLECITAZ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paramento'!$C$111)+IF(C296&lt;='SOLLECITAZ NASCOSTO'!$P$12,IF(C296&lt;='SOLLECITAZ NASCOSTO'!$P$11,IF(C296&lt;='SOLLECITAZ NASCOSTO'!$P$10,IF(C296&lt;='SOLLECITAZ NASCOSTO'!$P$9,IF(C296&lt;='SOLLECITAZ NASCOSTO'!$P$8,IF(C296&lt;='SOLLECITAZ NASCOSTO'!$P$7,IF(C296&lt;='SOLLECITAZ NASCOSTO'!$P$6,IF(C296&lt;='SOLLECITAZ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81.61679954933328</v>
      </c>
      <c r="O297" s="41">
        <f>IF(C297&lt;='SOLLECITAZ NASCOSTO'!$P$12,IF(C297&lt;='SOLLECITAZ NASCOSTO'!$P$11,IF(C297&lt;='SOLLECITAZ NASCOSTO'!$P$10,IF(C297&lt;='SOLLECITAZ NASCOSTO'!$P$9,IF(C297&lt;='SOLLECITAZ NASCOSTO'!$P$8,IF(C297&lt;='SOLLECITAZ NASCOSTO'!$P$7,IF(C297&lt;='SOLLECITAZ NASCOSTO'!$P$6,IF(C297&lt;='SOLLECITAZ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paramento'!$G$110),55555)*(C297-C296)/IF(C297&lt;='SOLLECITAZ NASCOSTO'!$P$12,IF(C297&lt;='SOLLECITAZ NASCOSTO'!$P$11,IF(C297&lt;='SOLLECITAZ NASCOSTO'!$P$10,IF(C297&lt;='SOLLECITAZ NASCOSTO'!$P$9,IF(C297&lt;='SOLLECITAZ NASCOSTO'!$P$8,IF(C297&lt;='SOLLECITAZ NASCOSTO'!$P$7,IF(C297&lt;='SOLLECITAZ NASCOSTO'!$P$6,IF(C297&lt;='SOLLECITAZ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97" s="41">
        <f t="shared" si="93"/>
        <v>2.6399999999999991E-4</v>
      </c>
      <c r="Q297" s="41">
        <f t="shared" si="91"/>
        <v>1</v>
      </c>
      <c r="R297" s="434">
        <f t="shared" si="85"/>
        <v>2.8870103893008014</v>
      </c>
      <c r="S297" s="45">
        <f t="shared" si="92"/>
        <v>2.8870103893008014</v>
      </c>
      <c r="T297" s="205">
        <f t="shared" si="88"/>
        <v>2.1450512029600795</v>
      </c>
      <c r="U297" s="45">
        <f t="shared" si="89"/>
        <v>137.63427759701506</v>
      </c>
      <c r="V297" s="45">
        <f t="shared" si="90"/>
        <v>-151.16615656504624</v>
      </c>
      <c r="W297" s="488"/>
      <c r="X297" s="489"/>
      <c r="Y297" s="489"/>
      <c r="Z297" s="490"/>
      <c r="AA297" s="46"/>
    </row>
    <row r="298" spans="1:27" s="421" customFormat="1" x14ac:dyDescent="0.25">
      <c r="A298" s="581">
        <f t="shared" si="86"/>
        <v>0.50438358778362569</v>
      </c>
      <c r="B298" s="31">
        <f t="shared" si="76"/>
        <v>266</v>
      </c>
      <c r="C298" s="434">
        <f>'SOLLECITAZ NASCOSTO'!$D$6/'SOLLECITAZ NASCOSTO'!$B$448*'SOLLECITAZ NASCOSTO'!B298</f>
        <v>2.8979047681283516</v>
      </c>
      <c r="D298" s="434">
        <f t="shared" si="87"/>
        <v>0.62438358778362568</v>
      </c>
      <c r="E298" s="434">
        <f t="shared" si="81"/>
        <v>0.50438358778362569</v>
      </c>
      <c r="F298" s="434">
        <f t="shared" si="82"/>
        <v>0.46140274809076021</v>
      </c>
      <c r="G298" s="434">
        <f t="shared" si="83"/>
        <v>7.8072778350968416E-2</v>
      </c>
      <c r="H298" s="434">
        <f t="shared" si="77"/>
        <v>0</v>
      </c>
      <c r="I298" s="434">
        <v>0</v>
      </c>
      <c r="J298" s="127">
        <f t="shared" si="78"/>
        <v>0.16920744116506892</v>
      </c>
      <c r="K298" s="126">
        <f t="shared" si="84"/>
        <v>1.4009876058026147E-2</v>
      </c>
      <c r="L298" s="41">
        <f t="shared" si="79"/>
        <v>138.52766006346397</v>
      </c>
      <c r="M298" s="41">
        <f t="shared" si="80"/>
        <v>-152.67046294835802</v>
      </c>
      <c r="N298" s="41">
        <f>(IF(C297&lt;='SOLLECITAZ NASCOSTO'!$P$12,IF(C297&lt;='SOLLECITAZ NASCOSTO'!$P$11,IF(C297&lt;='SOLLECITAZ NASCOSTO'!$P$10,IF(C297&lt;='SOLLECITAZ NASCOSTO'!$P$9,IF(C297&lt;='SOLLECITAZ NASCOSTO'!$P$8,IF(C297&lt;='SOLLECITAZ NASCOSTO'!$P$7,IF(C297&lt;='SOLLECITAZ NASCOSTO'!$P$6,IF(C297&lt;='SOLLECITAZ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paramento'!$G$111),55555)-IF(C297&lt;='SOLLECITAZ NASCOSTO'!$P$12,IF(C297&lt;='SOLLECITAZ NASCOSTO'!$P$11,IF(C297&lt;='SOLLECITAZ NASCOSTO'!$P$10,IF(C297&lt;='SOLLECITAZ NASCOSTO'!$P$9,IF(C297&lt;='SOLLECITAZ NASCOSTO'!$P$8,IF(C297&lt;='SOLLECITAZ NASCOSTO'!$P$7,IF(C297&lt;='SOLLECITAZ NASCOSTO'!$P$6,IF(C297&lt;='SOLLECITAZ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paramento'!$G$111))*(C297-IF(C297&lt;='SOLLECITAZ NASCOSTO'!$P$12,IF(C297&lt;='SOLLECITAZ NASCOSTO'!$P$11,IF(C297&lt;='SOLLECITAZ NASCOSTO'!$P$10,IF(C297&lt;='SOLLECITAZ NASCOSTO'!$P$9,IF(C297&lt;='SOLLECITAZ NASCOSTO'!$P$8,IF(C297&lt;='SOLLECITAZ NASCOSTO'!$P$7,IF(C297&lt;='SOLLECITAZ NASCOSTO'!$P$6,IF(C297&lt;='SOLLECITAZ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NASCOSTO'!$P$12))/IF(C297&lt;='SOLLECITAZ NASCOSTO'!$P$12,IF(C297&lt;='SOLLECITAZ NASCOSTO'!$P$11,IF(C297&lt;='SOLLECITAZ NASCOSTO'!$P$10,IF(C297&lt;='SOLLECITAZ NASCOSTO'!$P$9,IF(C297&lt;='SOLLECITAZ NASCOSTO'!$P$8,IF(C297&lt;='SOLLECITAZ NASCOSTO'!$P$7,IF(C297&lt;='SOLLECITAZ NASCOSTO'!$P$6,IF(C297&lt;='SOLLECITAZ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paramento'!$C$111)+IF(C297&lt;='SOLLECITAZ NASCOSTO'!$P$12,IF(C297&lt;='SOLLECITAZ NASCOSTO'!$P$11,IF(C297&lt;='SOLLECITAZ NASCOSTO'!$P$10,IF(C297&lt;='SOLLECITAZ NASCOSTO'!$P$9,IF(C297&lt;='SOLLECITAZ NASCOSTO'!$P$8,IF(C297&lt;='SOLLECITAZ NASCOSTO'!$P$7,IF(C297&lt;='SOLLECITAZ NASCOSTO'!$P$6,IF(C297&lt;='SOLLECITAZ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81.874922478782679</v>
      </c>
      <c r="O298" s="41">
        <f>IF(C298&lt;='SOLLECITAZ NASCOSTO'!$P$12,IF(C298&lt;='SOLLECITAZ NASCOSTO'!$P$11,IF(C298&lt;='SOLLECITAZ NASCOSTO'!$P$10,IF(C298&lt;='SOLLECITAZ NASCOSTO'!$P$9,IF(C298&lt;='SOLLECITAZ NASCOSTO'!$P$8,IF(C298&lt;='SOLLECITAZ NASCOSTO'!$P$7,IF(C298&lt;='SOLLECITAZ NASCOSTO'!$P$6,IF(C298&lt;='SOLLECITAZ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paramento'!$G$110),55555)*(C298-C297)/IF(C298&lt;='SOLLECITAZ NASCOSTO'!$P$12,IF(C298&lt;='SOLLECITAZ NASCOSTO'!$P$11,IF(C298&lt;='SOLLECITAZ NASCOSTO'!$P$10,IF(C298&lt;='SOLLECITAZ NASCOSTO'!$P$9,IF(C298&lt;='SOLLECITAZ NASCOSTO'!$P$8,IF(C298&lt;='SOLLECITAZ NASCOSTO'!$P$7,IF(C298&lt;='SOLLECITAZ NASCOSTO'!$P$6,IF(C298&lt;='SOLLECITAZ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98" s="41">
        <f t="shared" si="93"/>
        <v>2.6499999999999994E-4</v>
      </c>
      <c r="Q298" s="41">
        <f t="shared" si="91"/>
        <v>1</v>
      </c>
      <c r="R298" s="434">
        <f t="shared" si="85"/>
        <v>2.8979047681283516</v>
      </c>
      <c r="S298" s="45">
        <f t="shared" si="92"/>
        <v>2.8979047681283516</v>
      </c>
      <c r="T298" s="205">
        <f t="shared" si="88"/>
        <v>2.1341568241325293</v>
      </c>
      <c r="U298" s="45">
        <f t="shared" si="89"/>
        <v>138.52766006346397</v>
      </c>
      <c r="V298" s="45">
        <f t="shared" si="90"/>
        <v>-152.67046294835802</v>
      </c>
      <c r="W298" s="488"/>
      <c r="X298" s="489"/>
      <c r="Y298" s="489"/>
      <c r="Z298" s="490"/>
      <c r="AA298" s="46"/>
    </row>
    <row r="299" spans="1:27" s="421" customFormat="1" x14ac:dyDescent="0.25">
      <c r="A299" s="581">
        <f t="shared" si="86"/>
        <v>0.50595443053173483</v>
      </c>
      <c r="B299" s="31">
        <f t="shared" si="76"/>
        <v>267</v>
      </c>
      <c r="C299" s="434">
        <f>'SOLLECITAZ NASCOSTO'!$D$6/'SOLLECITAZ NASCOSTO'!$B$448*'SOLLECITAZ NASCOSTO'!B299</f>
        <v>2.9087991469559018</v>
      </c>
      <c r="D299" s="434">
        <f t="shared" si="87"/>
        <v>0.62595443053173483</v>
      </c>
      <c r="E299" s="434">
        <f t="shared" si="81"/>
        <v>0.50595443053173483</v>
      </c>
      <c r="F299" s="434">
        <f t="shared" si="82"/>
        <v>0.46190541777015515</v>
      </c>
      <c r="G299" s="434">
        <f t="shared" si="83"/>
        <v>7.838703185636936E-2</v>
      </c>
      <c r="H299" s="434">
        <f t="shared" si="77"/>
        <v>0</v>
      </c>
      <c r="I299" s="434">
        <v>0</v>
      </c>
      <c r="J299" s="127">
        <f t="shared" si="78"/>
        <v>0.16970364243567904</v>
      </c>
      <c r="K299" s="126">
        <f t="shared" si="84"/>
        <v>1.4114267937652865E-2</v>
      </c>
      <c r="L299" s="41">
        <f t="shared" si="79"/>
        <v>139.4238546188904</v>
      </c>
      <c r="M299" s="41">
        <f t="shared" si="80"/>
        <v>-154.1845174966785</v>
      </c>
      <c r="N299" s="41">
        <f>(IF(C298&lt;='SOLLECITAZ NASCOSTO'!$P$12,IF(C298&lt;='SOLLECITAZ NASCOSTO'!$P$11,IF(C298&lt;='SOLLECITAZ NASCOSTO'!$P$10,IF(C298&lt;='SOLLECITAZ NASCOSTO'!$P$9,IF(C298&lt;='SOLLECITAZ NASCOSTO'!$P$8,IF(C298&lt;='SOLLECITAZ NASCOSTO'!$P$7,IF(C298&lt;='SOLLECITAZ NASCOSTO'!$P$6,IF(C298&lt;='SOLLECITAZ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paramento'!$G$111),55555)-IF(C298&lt;='SOLLECITAZ NASCOSTO'!$P$12,IF(C298&lt;='SOLLECITAZ NASCOSTO'!$P$11,IF(C298&lt;='SOLLECITAZ NASCOSTO'!$P$10,IF(C298&lt;='SOLLECITAZ NASCOSTO'!$P$9,IF(C298&lt;='SOLLECITAZ NASCOSTO'!$P$8,IF(C298&lt;='SOLLECITAZ NASCOSTO'!$P$7,IF(C298&lt;='SOLLECITAZ NASCOSTO'!$P$6,IF(C298&lt;='SOLLECITAZ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paramento'!$G$111))*(C298-IF(C298&lt;='SOLLECITAZ NASCOSTO'!$P$12,IF(C298&lt;='SOLLECITAZ NASCOSTO'!$P$11,IF(C298&lt;='SOLLECITAZ NASCOSTO'!$P$10,IF(C298&lt;='SOLLECITAZ NASCOSTO'!$P$9,IF(C298&lt;='SOLLECITAZ NASCOSTO'!$P$8,IF(C298&lt;='SOLLECITAZ NASCOSTO'!$P$7,IF(C298&lt;='SOLLECITAZ NASCOSTO'!$P$6,IF(C298&lt;='SOLLECITAZ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NASCOSTO'!$P$12))/IF(C298&lt;='SOLLECITAZ NASCOSTO'!$P$12,IF(C298&lt;='SOLLECITAZ NASCOSTO'!$P$11,IF(C298&lt;='SOLLECITAZ NASCOSTO'!$P$10,IF(C298&lt;='SOLLECITAZ NASCOSTO'!$P$9,IF(C298&lt;='SOLLECITAZ NASCOSTO'!$P$8,IF(C298&lt;='SOLLECITAZ NASCOSTO'!$P$7,IF(C298&lt;='SOLLECITAZ NASCOSTO'!$P$6,IF(C298&lt;='SOLLECITAZ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paramento'!$C$111)+IF(C298&lt;='SOLLECITAZ NASCOSTO'!$P$12,IF(C298&lt;='SOLLECITAZ NASCOSTO'!$P$11,IF(C298&lt;='SOLLECITAZ NASCOSTO'!$P$10,IF(C298&lt;='SOLLECITAZ NASCOSTO'!$P$9,IF(C298&lt;='SOLLECITAZ NASCOSTO'!$P$8,IF(C298&lt;='SOLLECITAZ NASCOSTO'!$P$7,IF(C298&lt;='SOLLECITAZ NASCOSTO'!$P$6,IF(C298&lt;='SOLLECITAZ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82.133045408232078</v>
      </c>
      <c r="O299" s="41">
        <f>IF(C299&lt;='SOLLECITAZ NASCOSTO'!$P$12,IF(C299&lt;='SOLLECITAZ NASCOSTO'!$P$11,IF(C299&lt;='SOLLECITAZ NASCOSTO'!$P$10,IF(C299&lt;='SOLLECITAZ NASCOSTO'!$P$9,IF(C299&lt;='SOLLECITAZ NASCOSTO'!$P$8,IF(C299&lt;='SOLLECITAZ NASCOSTO'!$P$7,IF(C299&lt;='SOLLECITAZ NASCOSTO'!$P$6,IF(C299&lt;='SOLLECITAZ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paramento'!$G$110),55555)*(C299-C298)/IF(C299&lt;='SOLLECITAZ NASCOSTO'!$P$12,IF(C299&lt;='SOLLECITAZ NASCOSTO'!$P$11,IF(C299&lt;='SOLLECITAZ NASCOSTO'!$P$10,IF(C299&lt;='SOLLECITAZ NASCOSTO'!$P$9,IF(C299&lt;='SOLLECITAZ NASCOSTO'!$P$8,IF(C299&lt;='SOLLECITAZ NASCOSTO'!$P$7,IF(C299&lt;='SOLLECITAZ NASCOSTO'!$P$6,IF(C299&lt;='SOLLECITAZ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299" s="41">
        <f t="shared" si="93"/>
        <v>2.6599999999999996E-4</v>
      </c>
      <c r="Q299" s="41">
        <f t="shared" si="91"/>
        <v>1</v>
      </c>
      <c r="R299" s="434">
        <f t="shared" si="85"/>
        <v>2.9087991469559018</v>
      </c>
      <c r="S299" s="45">
        <f t="shared" si="92"/>
        <v>2.9087991469559018</v>
      </c>
      <c r="T299" s="205">
        <f t="shared" si="88"/>
        <v>2.1232624453049791</v>
      </c>
      <c r="U299" s="45">
        <f t="shared" si="89"/>
        <v>139.4238546188904</v>
      </c>
      <c r="V299" s="45">
        <f t="shared" si="90"/>
        <v>-154.1845174966785</v>
      </c>
      <c r="W299" s="488"/>
      <c r="X299" s="489"/>
      <c r="Y299" s="489"/>
      <c r="Z299" s="490"/>
      <c r="AA299" s="46"/>
    </row>
    <row r="300" spans="1:27" s="421" customFormat="1" x14ac:dyDescent="0.25">
      <c r="A300" s="581">
        <f t="shared" si="86"/>
        <v>0.50752527327984398</v>
      </c>
      <c r="B300" s="31">
        <f t="shared" si="76"/>
        <v>268</v>
      </c>
      <c r="C300" s="434">
        <f>'SOLLECITAZ NASCOSTO'!$D$6/'SOLLECITAZ NASCOSTO'!$B$448*'SOLLECITAZ NASCOSTO'!B300</f>
        <v>2.919693525783452</v>
      </c>
      <c r="D300" s="434">
        <f t="shared" si="87"/>
        <v>0.62752527327984398</v>
      </c>
      <c r="E300" s="434">
        <f t="shared" si="81"/>
        <v>0.50752527327984398</v>
      </c>
      <c r="F300" s="434">
        <f t="shared" si="82"/>
        <v>0.46240808744955009</v>
      </c>
      <c r="G300" s="434">
        <f t="shared" si="83"/>
        <v>7.8702074976790853E-2</v>
      </c>
      <c r="H300" s="434">
        <f t="shared" si="77"/>
        <v>0</v>
      </c>
      <c r="I300" s="434">
        <v>0</v>
      </c>
      <c r="J300" s="127">
        <f t="shared" si="78"/>
        <v>0.17020047251093429</v>
      </c>
      <c r="K300" s="126">
        <f t="shared" si="84"/>
        <v>1.4219152596759897E-2</v>
      </c>
      <c r="L300" s="41">
        <f t="shared" si="79"/>
        <v>140.32286126329433</v>
      </c>
      <c r="M300" s="41">
        <f t="shared" si="80"/>
        <v>-155.70835084597027</v>
      </c>
      <c r="N300" s="41">
        <f>(IF(C299&lt;='SOLLECITAZ NASCOSTO'!$P$12,IF(C299&lt;='SOLLECITAZ NASCOSTO'!$P$11,IF(C299&lt;='SOLLECITAZ NASCOSTO'!$P$10,IF(C299&lt;='SOLLECITAZ NASCOSTO'!$P$9,IF(C299&lt;='SOLLECITAZ NASCOSTO'!$P$8,IF(C299&lt;='SOLLECITAZ NASCOSTO'!$P$7,IF(C299&lt;='SOLLECITAZ NASCOSTO'!$P$6,IF(C299&lt;='SOLLECITAZ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paramento'!$G$111),55555)-IF(C299&lt;='SOLLECITAZ NASCOSTO'!$P$12,IF(C299&lt;='SOLLECITAZ NASCOSTO'!$P$11,IF(C299&lt;='SOLLECITAZ NASCOSTO'!$P$10,IF(C299&lt;='SOLLECITAZ NASCOSTO'!$P$9,IF(C299&lt;='SOLLECITAZ NASCOSTO'!$P$8,IF(C299&lt;='SOLLECITAZ NASCOSTO'!$P$7,IF(C299&lt;='SOLLECITAZ NASCOSTO'!$P$6,IF(C299&lt;='SOLLECITAZ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paramento'!$G$111))*(C299-IF(C299&lt;='SOLLECITAZ NASCOSTO'!$P$12,IF(C299&lt;='SOLLECITAZ NASCOSTO'!$P$11,IF(C299&lt;='SOLLECITAZ NASCOSTO'!$P$10,IF(C299&lt;='SOLLECITAZ NASCOSTO'!$P$9,IF(C299&lt;='SOLLECITAZ NASCOSTO'!$P$8,IF(C299&lt;='SOLLECITAZ NASCOSTO'!$P$7,IF(C299&lt;='SOLLECITAZ NASCOSTO'!$P$6,IF(C299&lt;='SOLLECITAZ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NASCOSTO'!$P$12))/IF(C299&lt;='SOLLECITAZ NASCOSTO'!$P$12,IF(C299&lt;='SOLLECITAZ NASCOSTO'!$P$11,IF(C299&lt;='SOLLECITAZ NASCOSTO'!$P$10,IF(C299&lt;='SOLLECITAZ NASCOSTO'!$P$9,IF(C299&lt;='SOLLECITAZ NASCOSTO'!$P$8,IF(C299&lt;='SOLLECITAZ NASCOSTO'!$P$7,IF(C299&lt;='SOLLECITAZ NASCOSTO'!$P$6,IF(C299&lt;='SOLLECITAZ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paramento'!$C$111)+IF(C299&lt;='SOLLECITAZ NASCOSTO'!$P$12,IF(C299&lt;='SOLLECITAZ NASCOSTO'!$P$11,IF(C299&lt;='SOLLECITAZ NASCOSTO'!$P$10,IF(C299&lt;='SOLLECITAZ NASCOSTO'!$P$9,IF(C299&lt;='SOLLECITAZ NASCOSTO'!$P$8,IF(C299&lt;='SOLLECITAZ NASCOSTO'!$P$7,IF(C299&lt;='SOLLECITAZ NASCOSTO'!$P$6,IF(C299&lt;='SOLLECITAZ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82.391168337681478</v>
      </c>
      <c r="O300" s="41">
        <f>IF(C300&lt;='SOLLECITAZ NASCOSTO'!$P$12,IF(C300&lt;='SOLLECITAZ NASCOSTO'!$P$11,IF(C300&lt;='SOLLECITAZ NASCOSTO'!$P$10,IF(C300&lt;='SOLLECITAZ NASCOSTO'!$P$9,IF(C300&lt;='SOLLECITAZ NASCOSTO'!$P$8,IF(C300&lt;='SOLLECITAZ NASCOSTO'!$P$7,IF(C300&lt;='SOLLECITAZ NASCOSTO'!$P$6,IF(C300&lt;='SOLLECITAZ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paramento'!$G$110),55555)*(C300-C299)/IF(C300&lt;='SOLLECITAZ NASCOSTO'!$P$12,IF(C300&lt;='SOLLECITAZ NASCOSTO'!$P$11,IF(C300&lt;='SOLLECITAZ NASCOSTO'!$P$10,IF(C300&lt;='SOLLECITAZ NASCOSTO'!$P$9,IF(C300&lt;='SOLLECITAZ NASCOSTO'!$P$8,IF(C300&lt;='SOLLECITAZ NASCOSTO'!$P$7,IF(C300&lt;='SOLLECITAZ NASCOSTO'!$P$6,IF(C300&lt;='SOLLECITAZ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00" s="41">
        <f t="shared" si="93"/>
        <v>2.6699999999999998E-4</v>
      </c>
      <c r="Q300" s="41">
        <f t="shared" si="91"/>
        <v>1</v>
      </c>
      <c r="R300" s="434">
        <f t="shared" si="85"/>
        <v>2.919693525783452</v>
      </c>
      <c r="S300" s="45">
        <f t="shared" si="92"/>
        <v>2.919693525783452</v>
      </c>
      <c r="T300" s="205">
        <f t="shared" si="88"/>
        <v>2.1123680664774289</v>
      </c>
      <c r="U300" s="45">
        <f t="shared" si="89"/>
        <v>140.32286126329433</v>
      </c>
      <c r="V300" s="45">
        <f t="shared" si="90"/>
        <v>-155.70835084597027</v>
      </c>
      <c r="W300" s="488"/>
      <c r="X300" s="489"/>
      <c r="Y300" s="489"/>
      <c r="Z300" s="490"/>
      <c r="AA300" s="46"/>
    </row>
    <row r="301" spans="1:27" s="421" customFormat="1" x14ac:dyDescent="0.25">
      <c r="A301" s="581">
        <f t="shared" si="86"/>
        <v>0.50909611602795324</v>
      </c>
      <c r="B301" s="31">
        <f t="shared" si="76"/>
        <v>269</v>
      </c>
      <c r="C301" s="434">
        <f>'SOLLECITAZ NASCOSTO'!$D$6/'SOLLECITAZ NASCOSTO'!$B$448*'SOLLECITAZ NASCOSTO'!B301</f>
        <v>2.9305879046110026</v>
      </c>
      <c r="D301" s="434">
        <f t="shared" si="87"/>
        <v>0.62909611602795323</v>
      </c>
      <c r="E301" s="434">
        <f t="shared" si="81"/>
        <v>0.50909611602795324</v>
      </c>
      <c r="F301" s="434">
        <f t="shared" si="82"/>
        <v>0.46291075712894503</v>
      </c>
      <c r="G301" s="434">
        <f t="shared" si="83"/>
        <v>7.9017907712232965E-2</v>
      </c>
      <c r="H301" s="434">
        <f t="shared" si="77"/>
        <v>0</v>
      </c>
      <c r="I301" s="434">
        <v>0</v>
      </c>
      <c r="J301" s="127">
        <f t="shared" si="78"/>
        <v>0.17069792934239875</v>
      </c>
      <c r="K301" s="126">
        <f t="shared" si="84"/>
        <v>1.4324530906717241E-2</v>
      </c>
      <c r="L301" s="41">
        <f t="shared" si="79"/>
        <v>141.22467999667577</v>
      </c>
      <c r="M301" s="41">
        <f t="shared" si="80"/>
        <v>-157.24199363219606</v>
      </c>
      <c r="N301" s="41">
        <f>(IF(C300&lt;='SOLLECITAZ NASCOSTO'!$P$12,IF(C300&lt;='SOLLECITAZ NASCOSTO'!$P$11,IF(C300&lt;='SOLLECITAZ NASCOSTO'!$P$10,IF(C300&lt;='SOLLECITAZ NASCOSTO'!$P$9,IF(C300&lt;='SOLLECITAZ NASCOSTO'!$P$8,IF(C300&lt;='SOLLECITAZ NASCOSTO'!$P$7,IF(C300&lt;='SOLLECITAZ NASCOSTO'!$P$6,IF(C300&lt;='SOLLECITAZ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paramento'!$G$111),55555)-IF(C300&lt;='SOLLECITAZ NASCOSTO'!$P$12,IF(C300&lt;='SOLLECITAZ NASCOSTO'!$P$11,IF(C300&lt;='SOLLECITAZ NASCOSTO'!$P$10,IF(C300&lt;='SOLLECITAZ NASCOSTO'!$P$9,IF(C300&lt;='SOLLECITAZ NASCOSTO'!$P$8,IF(C300&lt;='SOLLECITAZ NASCOSTO'!$P$7,IF(C300&lt;='SOLLECITAZ NASCOSTO'!$P$6,IF(C300&lt;='SOLLECITAZ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paramento'!$G$111))*(C300-IF(C300&lt;='SOLLECITAZ NASCOSTO'!$P$12,IF(C300&lt;='SOLLECITAZ NASCOSTO'!$P$11,IF(C300&lt;='SOLLECITAZ NASCOSTO'!$P$10,IF(C300&lt;='SOLLECITAZ NASCOSTO'!$P$9,IF(C300&lt;='SOLLECITAZ NASCOSTO'!$P$8,IF(C300&lt;='SOLLECITAZ NASCOSTO'!$P$7,IF(C300&lt;='SOLLECITAZ NASCOSTO'!$P$6,IF(C300&lt;='SOLLECITAZ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NASCOSTO'!$P$12))/IF(C300&lt;='SOLLECITAZ NASCOSTO'!$P$12,IF(C300&lt;='SOLLECITAZ NASCOSTO'!$P$11,IF(C300&lt;='SOLLECITAZ NASCOSTO'!$P$10,IF(C300&lt;='SOLLECITAZ NASCOSTO'!$P$9,IF(C300&lt;='SOLLECITAZ NASCOSTO'!$P$8,IF(C300&lt;='SOLLECITAZ NASCOSTO'!$P$7,IF(C300&lt;='SOLLECITAZ NASCOSTO'!$P$6,IF(C300&lt;='SOLLECITAZ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paramento'!$C$111)+IF(C300&lt;='SOLLECITAZ NASCOSTO'!$P$12,IF(C300&lt;='SOLLECITAZ NASCOSTO'!$P$11,IF(C300&lt;='SOLLECITAZ NASCOSTO'!$P$10,IF(C300&lt;='SOLLECITAZ NASCOSTO'!$P$9,IF(C300&lt;='SOLLECITAZ NASCOSTO'!$P$8,IF(C300&lt;='SOLLECITAZ NASCOSTO'!$P$7,IF(C300&lt;='SOLLECITAZ NASCOSTO'!$P$6,IF(C300&lt;='SOLLECITAZ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82.649291267130877</v>
      </c>
      <c r="O301" s="41">
        <f>IF(C301&lt;='SOLLECITAZ NASCOSTO'!$P$12,IF(C301&lt;='SOLLECITAZ NASCOSTO'!$P$11,IF(C301&lt;='SOLLECITAZ NASCOSTO'!$P$10,IF(C301&lt;='SOLLECITAZ NASCOSTO'!$P$9,IF(C301&lt;='SOLLECITAZ NASCOSTO'!$P$8,IF(C301&lt;='SOLLECITAZ NASCOSTO'!$P$7,IF(C301&lt;='SOLLECITAZ NASCOSTO'!$P$6,IF(C301&lt;='SOLLECITAZ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paramento'!$G$110),55555)*(C301-C300)/IF(C301&lt;='SOLLECITAZ NASCOSTO'!$P$12,IF(C301&lt;='SOLLECITAZ NASCOSTO'!$P$11,IF(C301&lt;='SOLLECITAZ NASCOSTO'!$P$10,IF(C301&lt;='SOLLECITAZ NASCOSTO'!$P$9,IF(C301&lt;='SOLLECITAZ NASCOSTO'!$P$8,IF(C301&lt;='SOLLECITAZ NASCOSTO'!$P$7,IF(C301&lt;='SOLLECITAZ NASCOSTO'!$P$6,IF(C301&lt;='SOLLECITAZ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0.25812292944941589</v>
      </c>
      <c r="P301" s="41">
        <f t="shared" si="93"/>
        <v>2.6800000000000001E-4</v>
      </c>
      <c r="Q301" s="41">
        <f t="shared" si="91"/>
        <v>1</v>
      </c>
      <c r="R301" s="434">
        <f t="shared" si="85"/>
        <v>2.9305879046110026</v>
      </c>
      <c r="S301" s="45">
        <f t="shared" si="92"/>
        <v>2.9305879046110026</v>
      </c>
      <c r="T301" s="205">
        <f t="shared" si="88"/>
        <v>2.1014736876498783</v>
      </c>
      <c r="U301" s="45">
        <f t="shared" si="89"/>
        <v>141.22467999667577</v>
      </c>
      <c r="V301" s="45">
        <f t="shared" si="90"/>
        <v>-157.24199363219606</v>
      </c>
      <c r="W301" s="488"/>
      <c r="X301" s="489"/>
      <c r="Y301" s="489"/>
      <c r="Z301" s="490"/>
      <c r="AA301" s="46"/>
    </row>
    <row r="302" spans="1:27" s="421" customFormat="1" x14ac:dyDescent="0.25">
      <c r="A302" s="581">
        <f t="shared" si="86"/>
        <v>0.51066695877606239</v>
      </c>
      <c r="B302" s="31">
        <f t="shared" si="76"/>
        <v>270</v>
      </c>
      <c r="C302" s="434">
        <f>'SOLLECITAZ NASCOSTO'!$D$6/'SOLLECITAZ NASCOSTO'!$B$448*'SOLLECITAZ NASCOSTO'!B302</f>
        <v>2.9414822834385528</v>
      </c>
      <c r="D302" s="434">
        <f t="shared" si="87"/>
        <v>0.63066695877606238</v>
      </c>
      <c r="E302" s="434">
        <f t="shared" si="81"/>
        <v>0.51066695877606239</v>
      </c>
      <c r="F302" s="434">
        <f t="shared" si="82"/>
        <v>0.46341342680833997</v>
      </c>
      <c r="G302" s="434">
        <f t="shared" si="83"/>
        <v>7.9334530062695613E-2</v>
      </c>
      <c r="H302" s="434">
        <f t="shared" si="77"/>
        <v>0</v>
      </c>
      <c r="I302" s="434">
        <v>0</v>
      </c>
      <c r="J302" s="127">
        <f t="shared" si="78"/>
        <v>0.171196010890524</v>
      </c>
      <c r="K302" s="126">
        <f t="shared" si="84"/>
        <v>1.4430403737804999E-2</v>
      </c>
      <c r="L302" s="41">
        <f t="shared" si="79"/>
        <v>142.12931081903469</v>
      </c>
      <c r="M302" s="41">
        <f t="shared" si="80"/>
        <v>-158.78547649131832</v>
      </c>
      <c r="N302" s="41">
        <f>(IF(C301&lt;='SOLLECITAZ NASCOSTO'!$P$12,IF(C301&lt;='SOLLECITAZ NASCOSTO'!$P$11,IF(C301&lt;='SOLLECITAZ NASCOSTO'!$P$10,IF(C301&lt;='SOLLECITAZ NASCOSTO'!$P$9,IF(C301&lt;='SOLLECITAZ NASCOSTO'!$P$8,IF(C301&lt;='SOLLECITAZ NASCOSTO'!$P$7,IF(C301&lt;='SOLLECITAZ NASCOSTO'!$P$6,IF(C301&lt;='SOLLECITAZ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paramento'!$G$111),55555)-IF(C301&lt;='SOLLECITAZ NASCOSTO'!$P$12,IF(C301&lt;='SOLLECITAZ NASCOSTO'!$P$11,IF(C301&lt;='SOLLECITAZ NASCOSTO'!$P$10,IF(C301&lt;='SOLLECITAZ NASCOSTO'!$P$9,IF(C301&lt;='SOLLECITAZ NASCOSTO'!$P$8,IF(C301&lt;='SOLLECITAZ NASCOSTO'!$P$7,IF(C301&lt;='SOLLECITAZ NASCOSTO'!$P$6,IF(C301&lt;='SOLLECITAZ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paramento'!$G$111))*(C301-IF(C301&lt;='SOLLECITAZ NASCOSTO'!$P$12,IF(C301&lt;='SOLLECITAZ NASCOSTO'!$P$11,IF(C301&lt;='SOLLECITAZ NASCOSTO'!$P$10,IF(C301&lt;='SOLLECITAZ NASCOSTO'!$P$9,IF(C301&lt;='SOLLECITAZ NASCOSTO'!$P$8,IF(C301&lt;='SOLLECITAZ NASCOSTO'!$P$7,IF(C301&lt;='SOLLECITAZ NASCOSTO'!$P$6,IF(C301&lt;='SOLLECITAZ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NASCOSTO'!$P$12))/IF(C301&lt;='SOLLECITAZ NASCOSTO'!$P$12,IF(C301&lt;='SOLLECITAZ NASCOSTO'!$P$11,IF(C301&lt;='SOLLECITAZ NASCOSTO'!$P$10,IF(C301&lt;='SOLLECITAZ NASCOSTO'!$P$9,IF(C301&lt;='SOLLECITAZ NASCOSTO'!$P$8,IF(C301&lt;='SOLLECITAZ NASCOSTO'!$P$7,IF(C301&lt;='SOLLECITAZ NASCOSTO'!$P$6,IF(C301&lt;='SOLLECITAZ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paramento'!$C$111)+IF(C301&lt;='SOLLECITAZ NASCOSTO'!$P$12,IF(C301&lt;='SOLLECITAZ NASCOSTO'!$P$11,IF(C301&lt;='SOLLECITAZ NASCOSTO'!$P$10,IF(C301&lt;='SOLLECITAZ NASCOSTO'!$P$9,IF(C301&lt;='SOLLECITAZ NASCOSTO'!$P$8,IF(C301&lt;='SOLLECITAZ NASCOSTO'!$P$7,IF(C301&lt;='SOLLECITAZ NASCOSTO'!$P$6,IF(C301&lt;='SOLLECITAZ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82.907414196580305</v>
      </c>
      <c r="O302" s="41">
        <f>IF(C302&lt;='SOLLECITAZ NASCOSTO'!$P$12,IF(C302&lt;='SOLLECITAZ NASCOSTO'!$P$11,IF(C302&lt;='SOLLECITAZ NASCOSTO'!$P$10,IF(C302&lt;='SOLLECITAZ NASCOSTO'!$P$9,IF(C302&lt;='SOLLECITAZ NASCOSTO'!$P$8,IF(C302&lt;='SOLLECITAZ NASCOSTO'!$P$7,IF(C302&lt;='SOLLECITAZ NASCOSTO'!$P$6,IF(C302&lt;='SOLLECITAZ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paramento'!$G$110),55555)*(C302-C301)/IF(C302&lt;='SOLLECITAZ NASCOSTO'!$P$12,IF(C302&lt;='SOLLECITAZ NASCOSTO'!$P$11,IF(C302&lt;='SOLLECITAZ NASCOSTO'!$P$10,IF(C302&lt;='SOLLECITAZ NASCOSTO'!$P$9,IF(C302&lt;='SOLLECITAZ NASCOSTO'!$P$8,IF(C302&lt;='SOLLECITAZ NASCOSTO'!$P$7,IF(C302&lt;='SOLLECITAZ NASCOSTO'!$P$6,IF(C302&lt;='SOLLECITAZ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02" s="41">
        <f t="shared" si="93"/>
        <v>2.6900000000000003E-4</v>
      </c>
      <c r="Q302" s="41">
        <f t="shared" si="91"/>
        <v>1</v>
      </c>
      <c r="R302" s="434">
        <f t="shared" si="85"/>
        <v>2.9414822834385528</v>
      </c>
      <c r="S302" s="45">
        <f t="shared" si="92"/>
        <v>2.9414822834385528</v>
      </c>
      <c r="T302" s="205">
        <f t="shared" si="88"/>
        <v>2.0905793088223281</v>
      </c>
      <c r="U302" s="45">
        <f t="shared" si="89"/>
        <v>142.12931081903469</v>
      </c>
      <c r="V302" s="45">
        <f t="shared" si="90"/>
        <v>-158.78547649131832</v>
      </c>
      <c r="W302" s="488"/>
      <c r="X302" s="489"/>
      <c r="Y302" s="489"/>
      <c r="Z302" s="490"/>
      <c r="AA302" s="46"/>
    </row>
    <row r="303" spans="1:27" s="421" customFormat="1" x14ac:dyDescent="0.25">
      <c r="A303" s="581">
        <f t="shared" si="86"/>
        <v>0.51223780152417153</v>
      </c>
      <c r="B303" s="31">
        <f t="shared" si="76"/>
        <v>271</v>
      </c>
      <c r="C303" s="434">
        <f>'SOLLECITAZ NASCOSTO'!$D$6/'SOLLECITAZ NASCOSTO'!$B$448*'SOLLECITAZ NASCOSTO'!B303</f>
        <v>2.952376662266103</v>
      </c>
      <c r="D303" s="434">
        <f t="shared" si="87"/>
        <v>0.63223780152417153</v>
      </c>
      <c r="E303" s="434">
        <f t="shared" si="81"/>
        <v>0.51223780152417153</v>
      </c>
      <c r="F303" s="434">
        <f t="shared" si="82"/>
        <v>0.46391609648773491</v>
      </c>
      <c r="G303" s="434">
        <f t="shared" si="83"/>
        <v>7.9651942028178838E-2</v>
      </c>
      <c r="H303" s="434">
        <f t="shared" si="77"/>
        <v>0</v>
      </c>
      <c r="I303" s="434">
        <v>0</v>
      </c>
      <c r="J303" s="127">
        <f t="shared" si="78"/>
        <v>0.1716947151246016</v>
      </c>
      <c r="K303" s="126">
        <f t="shared" si="84"/>
        <v>1.4536771959219321E-2</v>
      </c>
      <c r="L303" s="41">
        <f t="shared" si="79"/>
        <v>143.03675373037109</v>
      </c>
      <c r="M303" s="41">
        <f t="shared" si="80"/>
        <v>-160.33883005929974</v>
      </c>
      <c r="N303" s="41">
        <f>(IF(C302&lt;='SOLLECITAZ NASCOSTO'!$P$12,IF(C302&lt;='SOLLECITAZ NASCOSTO'!$P$11,IF(C302&lt;='SOLLECITAZ NASCOSTO'!$P$10,IF(C302&lt;='SOLLECITAZ NASCOSTO'!$P$9,IF(C302&lt;='SOLLECITAZ NASCOSTO'!$P$8,IF(C302&lt;='SOLLECITAZ NASCOSTO'!$P$7,IF(C302&lt;='SOLLECITAZ NASCOSTO'!$P$6,IF(C302&lt;='SOLLECITAZ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paramento'!$G$111),55555)-IF(C302&lt;='SOLLECITAZ NASCOSTO'!$P$12,IF(C302&lt;='SOLLECITAZ NASCOSTO'!$P$11,IF(C302&lt;='SOLLECITAZ NASCOSTO'!$P$10,IF(C302&lt;='SOLLECITAZ NASCOSTO'!$P$9,IF(C302&lt;='SOLLECITAZ NASCOSTO'!$P$8,IF(C302&lt;='SOLLECITAZ NASCOSTO'!$P$7,IF(C302&lt;='SOLLECITAZ NASCOSTO'!$P$6,IF(C302&lt;='SOLLECITAZ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paramento'!$G$111))*(C302-IF(C302&lt;='SOLLECITAZ NASCOSTO'!$P$12,IF(C302&lt;='SOLLECITAZ NASCOSTO'!$P$11,IF(C302&lt;='SOLLECITAZ NASCOSTO'!$P$10,IF(C302&lt;='SOLLECITAZ NASCOSTO'!$P$9,IF(C302&lt;='SOLLECITAZ NASCOSTO'!$P$8,IF(C302&lt;='SOLLECITAZ NASCOSTO'!$P$7,IF(C302&lt;='SOLLECITAZ NASCOSTO'!$P$6,IF(C302&lt;='SOLLECITAZ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NASCOSTO'!$P$12))/IF(C302&lt;='SOLLECITAZ NASCOSTO'!$P$12,IF(C302&lt;='SOLLECITAZ NASCOSTO'!$P$11,IF(C302&lt;='SOLLECITAZ NASCOSTO'!$P$10,IF(C302&lt;='SOLLECITAZ NASCOSTO'!$P$9,IF(C302&lt;='SOLLECITAZ NASCOSTO'!$P$8,IF(C302&lt;='SOLLECITAZ NASCOSTO'!$P$7,IF(C302&lt;='SOLLECITAZ NASCOSTO'!$P$6,IF(C302&lt;='SOLLECITAZ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paramento'!$C$111)+IF(C302&lt;='SOLLECITAZ NASCOSTO'!$P$12,IF(C302&lt;='SOLLECITAZ NASCOSTO'!$P$11,IF(C302&lt;='SOLLECITAZ NASCOSTO'!$P$10,IF(C302&lt;='SOLLECITAZ NASCOSTO'!$P$9,IF(C302&lt;='SOLLECITAZ NASCOSTO'!$P$8,IF(C302&lt;='SOLLECITAZ NASCOSTO'!$P$7,IF(C302&lt;='SOLLECITAZ NASCOSTO'!$P$6,IF(C302&lt;='SOLLECITAZ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83.165537126029704</v>
      </c>
      <c r="O303" s="41">
        <f>IF(C303&lt;='SOLLECITAZ NASCOSTO'!$P$12,IF(C303&lt;='SOLLECITAZ NASCOSTO'!$P$11,IF(C303&lt;='SOLLECITAZ NASCOSTO'!$P$10,IF(C303&lt;='SOLLECITAZ NASCOSTO'!$P$9,IF(C303&lt;='SOLLECITAZ NASCOSTO'!$P$8,IF(C303&lt;='SOLLECITAZ NASCOSTO'!$P$7,IF(C303&lt;='SOLLECITAZ NASCOSTO'!$P$6,IF(C303&lt;='SOLLECITAZ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paramento'!$G$110),55555)*(C303-C302)/IF(C303&lt;='SOLLECITAZ NASCOSTO'!$P$12,IF(C303&lt;='SOLLECITAZ NASCOSTO'!$P$11,IF(C303&lt;='SOLLECITAZ NASCOSTO'!$P$10,IF(C303&lt;='SOLLECITAZ NASCOSTO'!$P$9,IF(C303&lt;='SOLLECITAZ NASCOSTO'!$P$8,IF(C303&lt;='SOLLECITAZ NASCOSTO'!$P$7,IF(C303&lt;='SOLLECITAZ NASCOSTO'!$P$6,IF(C303&lt;='SOLLECITAZ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03" s="41">
        <f t="shared" si="93"/>
        <v>2.7000000000000006E-4</v>
      </c>
      <c r="Q303" s="41">
        <f t="shared" si="91"/>
        <v>1</v>
      </c>
      <c r="R303" s="434">
        <f t="shared" si="85"/>
        <v>2.952376662266103</v>
      </c>
      <c r="S303" s="45">
        <f t="shared" si="92"/>
        <v>2.952376662266103</v>
      </c>
      <c r="T303" s="205">
        <f t="shared" si="88"/>
        <v>2.0796849299947779</v>
      </c>
      <c r="U303" s="45">
        <f t="shared" si="89"/>
        <v>143.03675373037109</v>
      </c>
      <c r="V303" s="45">
        <f t="shared" si="90"/>
        <v>-160.33883005929974</v>
      </c>
      <c r="W303" s="488"/>
      <c r="X303" s="489"/>
      <c r="Y303" s="489"/>
      <c r="Z303" s="490"/>
      <c r="AA303" s="46"/>
    </row>
    <row r="304" spans="1:27" s="421" customFormat="1" x14ac:dyDescent="0.25">
      <c r="A304" s="581">
        <f t="shared" si="86"/>
        <v>0.51380864427228068</v>
      </c>
      <c r="B304" s="31">
        <f t="shared" si="76"/>
        <v>272</v>
      </c>
      <c r="C304" s="434">
        <f>'SOLLECITAZ NASCOSTO'!$D$6/'SOLLECITAZ NASCOSTO'!$B$448*'SOLLECITAZ NASCOSTO'!B304</f>
        <v>2.9632710410936531</v>
      </c>
      <c r="D304" s="434">
        <f t="shared" si="87"/>
        <v>0.63380864427228067</v>
      </c>
      <c r="E304" s="434">
        <f t="shared" si="81"/>
        <v>0.51380864427228068</v>
      </c>
      <c r="F304" s="434">
        <f t="shared" si="82"/>
        <v>0.46441876616712985</v>
      </c>
      <c r="G304" s="434">
        <f t="shared" si="83"/>
        <v>7.9970143608682626E-2</v>
      </c>
      <c r="H304" s="434">
        <f t="shared" si="77"/>
        <v>0</v>
      </c>
      <c r="I304" s="434">
        <v>0</v>
      </c>
      <c r="J304" s="127">
        <f t="shared" si="78"/>
        <v>0.17219404002271488</v>
      </c>
      <c r="K304" s="126">
        <f t="shared" si="84"/>
        <v>1.4643636439078251E-2</v>
      </c>
      <c r="L304" s="41">
        <f t="shared" si="79"/>
        <v>143.94700873068501</v>
      </c>
      <c r="M304" s="41">
        <f t="shared" si="80"/>
        <v>-161.90208497210295</v>
      </c>
      <c r="N304" s="41">
        <f>(IF(C303&lt;='SOLLECITAZ NASCOSTO'!$P$12,IF(C303&lt;='SOLLECITAZ NASCOSTO'!$P$11,IF(C303&lt;='SOLLECITAZ NASCOSTO'!$P$10,IF(C303&lt;='SOLLECITAZ NASCOSTO'!$P$9,IF(C303&lt;='SOLLECITAZ NASCOSTO'!$P$8,IF(C303&lt;='SOLLECITAZ NASCOSTO'!$P$7,IF(C303&lt;='SOLLECITAZ NASCOSTO'!$P$6,IF(C303&lt;='SOLLECITAZ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paramento'!$G$111),55555)-IF(C303&lt;='SOLLECITAZ NASCOSTO'!$P$12,IF(C303&lt;='SOLLECITAZ NASCOSTO'!$P$11,IF(C303&lt;='SOLLECITAZ NASCOSTO'!$P$10,IF(C303&lt;='SOLLECITAZ NASCOSTO'!$P$9,IF(C303&lt;='SOLLECITAZ NASCOSTO'!$P$8,IF(C303&lt;='SOLLECITAZ NASCOSTO'!$P$7,IF(C303&lt;='SOLLECITAZ NASCOSTO'!$P$6,IF(C303&lt;='SOLLECITAZ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paramento'!$G$111))*(C303-IF(C303&lt;='SOLLECITAZ NASCOSTO'!$P$12,IF(C303&lt;='SOLLECITAZ NASCOSTO'!$P$11,IF(C303&lt;='SOLLECITAZ NASCOSTO'!$P$10,IF(C303&lt;='SOLLECITAZ NASCOSTO'!$P$9,IF(C303&lt;='SOLLECITAZ NASCOSTO'!$P$8,IF(C303&lt;='SOLLECITAZ NASCOSTO'!$P$7,IF(C303&lt;='SOLLECITAZ NASCOSTO'!$P$6,IF(C303&lt;='SOLLECITAZ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NASCOSTO'!$P$12))/IF(C303&lt;='SOLLECITAZ NASCOSTO'!$P$12,IF(C303&lt;='SOLLECITAZ NASCOSTO'!$P$11,IF(C303&lt;='SOLLECITAZ NASCOSTO'!$P$10,IF(C303&lt;='SOLLECITAZ NASCOSTO'!$P$9,IF(C303&lt;='SOLLECITAZ NASCOSTO'!$P$8,IF(C303&lt;='SOLLECITAZ NASCOSTO'!$P$7,IF(C303&lt;='SOLLECITAZ NASCOSTO'!$P$6,IF(C303&lt;='SOLLECITAZ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paramento'!$C$111)+IF(C303&lt;='SOLLECITAZ NASCOSTO'!$P$12,IF(C303&lt;='SOLLECITAZ NASCOSTO'!$P$11,IF(C303&lt;='SOLLECITAZ NASCOSTO'!$P$10,IF(C303&lt;='SOLLECITAZ NASCOSTO'!$P$9,IF(C303&lt;='SOLLECITAZ NASCOSTO'!$P$8,IF(C303&lt;='SOLLECITAZ NASCOSTO'!$P$7,IF(C303&lt;='SOLLECITAZ NASCOSTO'!$P$6,IF(C303&lt;='SOLLECITAZ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83.423660055479104</v>
      </c>
      <c r="O304" s="41">
        <f>IF(C304&lt;='SOLLECITAZ NASCOSTO'!$P$12,IF(C304&lt;='SOLLECITAZ NASCOSTO'!$P$11,IF(C304&lt;='SOLLECITAZ NASCOSTO'!$P$10,IF(C304&lt;='SOLLECITAZ NASCOSTO'!$P$9,IF(C304&lt;='SOLLECITAZ NASCOSTO'!$P$8,IF(C304&lt;='SOLLECITAZ NASCOSTO'!$P$7,IF(C304&lt;='SOLLECITAZ NASCOSTO'!$P$6,IF(C304&lt;='SOLLECITAZ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paramento'!$G$110),55555)*(C304-C303)/IF(C304&lt;='SOLLECITAZ NASCOSTO'!$P$12,IF(C304&lt;='SOLLECITAZ NASCOSTO'!$P$11,IF(C304&lt;='SOLLECITAZ NASCOSTO'!$P$10,IF(C304&lt;='SOLLECITAZ NASCOSTO'!$P$9,IF(C304&lt;='SOLLECITAZ NASCOSTO'!$P$8,IF(C304&lt;='SOLLECITAZ NASCOSTO'!$P$7,IF(C304&lt;='SOLLECITAZ NASCOSTO'!$P$6,IF(C304&lt;='SOLLECITAZ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04" s="41">
        <f t="shared" si="93"/>
        <v>2.7100000000000008E-4</v>
      </c>
      <c r="Q304" s="41">
        <f t="shared" si="91"/>
        <v>1</v>
      </c>
      <c r="R304" s="434">
        <f t="shared" si="85"/>
        <v>2.9632710410936531</v>
      </c>
      <c r="S304" s="45">
        <f t="shared" si="92"/>
        <v>2.9632710410936531</v>
      </c>
      <c r="T304" s="205">
        <f t="shared" si="88"/>
        <v>2.0687905511672278</v>
      </c>
      <c r="U304" s="45">
        <f t="shared" si="89"/>
        <v>143.94700873068501</v>
      </c>
      <c r="V304" s="45">
        <f t="shared" si="90"/>
        <v>-161.90208497210295</v>
      </c>
      <c r="W304" s="488"/>
      <c r="X304" s="489"/>
      <c r="Y304" s="489"/>
      <c r="Z304" s="490"/>
      <c r="AA304" s="46"/>
    </row>
    <row r="305" spans="1:27" s="421" customFormat="1" x14ac:dyDescent="0.25">
      <c r="A305" s="581">
        <f t="shared" si="86"/>
        <v>0.51537948702038994</v>
      </c>
      <c r="B305" s="31">
        <f t="shared" si="76"/>
        <v>273</v>
      </c>
      <c r="C305" s="434">
        <f>'SOLLECITAZ NASCOSTO'!$D$6/'SOLLECITAZ NASCOSTO'!$B$448*'SOLLECITAZ NASCOSTO'!B305</f>
        <v>2.9741654199212033</v>
      </c>
      <c r="D305" s="434">
        <f t="shared" si="87"/>
        <v>0.63537948702038993</v>
      </c>
      <c r="E305" s="434">
        <f t="shared" si="81"/>
        <v>0.51537948702038994</v>
      </c>
      <c r="F305" s="434">
        <f t="shared" si="82"/>
        <v>0.46492143584652479</v>
      </c>
      <c r="G305" s="434">
        <f t="shared" si="83"/>
        <v>8.0289134804207019E-2</v>
      </c>
      <c r="H305" s="434">
        <f t="shared" si="77"/>
        <v>0</v>
      </c>
      <c r="I305" s="434">
        <v>0</v>
      </c>
      <c r="J305" s="127">
        <f t="shared" si="78"/>
        <v>0.17269398357169161</v>
      </c>
      <c r="K305" s="126">
        <f t="shared" si="84"/>
        <v>1.4750998044427574E-2</v>
      </c>
      <c r="L305" s="41">
        <f t="shared" si="79"/>
        <v>144.86007581997643</v>
      </c>
      <c r="M305" s="41">
        <f t="shared" si="80"/>
        <v>-163.47527186569056</v>
      </c>
      <c r="N305" s="41">
        <f>(IF(C304&lt;='SOLLECITAZ NASCOSTO'!$P$12,IF(C304&lt;='SOLLECITAZ NASCOSTO'!$P$11,IF(C304&lt;='SOLLECITAZ NASCOSTO'!$P$10,IF(C304&lt;='SOLLECITAZ NASCOSTO'!$P$9,IF(C304&lt;='SOLLECITAZ NASCOSTO'!$P$8,IF(C304&lt;='SOLLECITAZ NASCOSTO'!$P$7,IF(C304&lt;='SOLLECITAZ NASCOSTO'!$P$6,IF(C304&lt;='SOLLECITAZ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paramento'!$G$111),55555)-IF(C304&lt;='SOLLECITAZ NASCOSTO'!$P$12,IF(C304&lt;='SOLLECITAZ NASCOSTO'!$P$11,IF(C304&lt;='SOLLECITAZ NASCOSTO'!$P$10,IF(C304&lt;='SOLLECITAZ NASCOSTO'!$P$9,IF(C304&lt;='SOLLECITAZ NASCOSTO'!$P$8,IF(C304&lt;='SOLLECITAZ NASCOSTO'!$P$7,IF(C304&lt;='SOLLECITAZ NASCOSTO'!$P$6,IF(C304&lt;='SOLLECITAZ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paramento'!$G$111))*(C304-IF(C304&lt;='SOLLECITAZ NASCOSTO'!$P$12,IF(C304&lt;='SOLLECITAZ NASCOSTO'!$P$11,IF(C304&lt;='SOLLECITAZ NASCOSTO'!$P$10,IF(C304&lt;='SOLLECITAZ NASCOSTO'!$P$9,IF(C304&lt;='SOLLECITAZ NASCOSTO'!$P$8,IF(C304&lt;='SOLLECITAZ NASCOSTO'!$P$7,IF(C304&lt;='SOLLECITAZ NASCOSTO'!$P$6,IF(C304&lt;='SOLLECITAZ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NASCOSTO'!$P$12))/IF(C304&lt;='SOLLECITAZ NASCOSTO'!$P$12,IF(C304&lt;='SOLLECITAZ NASCOSTO'!$P$11,IF(C304&lt;='SOLLECITAZ NASCOSTO'!$P$10,IF(C304&lt;='SOLLECITAZ NASCOSTO'!$P$9,IF(C304&lt;='SOLLECITAZ NASCOSTO'!$P$8,IF(C304&lt;='SOLLECITAZ NASCOSTO'!$P$7,IF(C304&lt;='SOLLECITAZ NASCOSTO'!$P$6,IF(C304&lt;='SOLLECITAZ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paramento'!$C$111)+IF(C304&lt;='SOLLECITAZ NASCOSTO'!$P$12,IF(C304&lt;='SOLLECITAZ NASCOSTO'!$P$11,IF(C304&lt;='SOLLECITAZ NASCOSTO'!$P$10,IF(C304&lt;='SOLLECITAZ NASCOSTO'!$P$9,IF(C304&lt;='SOLLECITAZ NASCOSTO'!$P$8,IF(C304&lt;='SOLLECITAZ NASCOSTO'!$P$7,IF(C304&lt;='SOLLECITAZ NASCOSTO'!$P$6,IF(C304&lt;='SOLLECITAZ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83.681782984928532</v>
      </c>
      <c r="O305" s="41">
        <f>IF(C305&lt;='SOLLECITAZ NASCOSTO'!$P$12,IF(C305&lt;='SOLLECITAZ NASCOSTO'!$P$11,IF(C305&lt;='SOLLECITAZ NASCOSTO'!$P$10,IF(C305&lt;='SOLLECITAZ NASCOSTO'!$P$9,IF(C305&lt;='SOLLECITAZ NASCOSTO'!$P$8,IF(C305&lt;='SOLLECITAZ NASCOSTO'!$P$7,IF(C305&lt;='SOLLECITAZ NASCOSTO'!$P$6,IF(C305&lt;='SOLLECITAZ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paramento'!$G$110),55555)*(C305-C304)/IF(C305&lt;='SOLLECITAZ NASCOSTO'!$P$12,IF(C305&lt;='SOLLECITAZ NASCOSTO'!$P$11,IF(C305&lt;='SOLLECITAZ NASCOSTO'!$P$10,IF(C305&lt;='SOLLECITAZ NASCOSTO'!$P$9,IF(C305&lt;='SOLLECITAZ NASCOSTO'!$P$8,IF(C305&lt;='SOLLECITAZ NASCOSTO'!$P$7,IF(C305&lt;='SOLLECITAZ NASCOSTO'!$P$6,IF(C305&lt;='SOLLECITAZ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05" s="41">
        <f t="shared" si="93"/>
        <v>2.7200000000000011E-4</v>
      </c>
      <c r="Q305" s="41">
        <f t="shared" si="91"/>
        <v>1</v>
      </c>
      <c r="R305" s="434">
        <f t="shared" si="85"/>
        <v>2.9741654199212033</v>
      </c>
      <c r="S305" s="45">
        <f t="shared" si="92"/>
        <v>2.9741654199212033</v>
      </c>
      <c r="T305" s="205">
        <f t="shared" si="88"/>
        <v>2.0578961723396776</v>
      </c>
      <c r="U305" s="45">
        <f t="shared" si="89"/>
        <v>144.86007581997643</v>
      </c>
      <c r="V305" s="45">
        <f t="shared" si="90"/>
        <v>-163.47527186569056</v>
      </c>
      <c r="W305" s="488"/>
      <c r="X305" s="489"/>
      <c r="Y305" s="489"/>
      <c r="Z305" s="490"/>
      <c r="AA305" s="46"/>
    </row>
    <row r="306" spans="1:27" s="421" customFormat="1" x14ac:dyDescent="0.25">
      <c r="A306" s="581">
        <f t="shared" si="86"/>
        <v>0.51695032976849908</v>
      </c>
      <c r="B306" s="31">
        <f t="shared" si="76"/>
        <v>274</v>
      </c>
      <c r="C306" s="434">
        <f>'SOLLECITAZ NASCOSTO'!$D$6/'SOLLECITAZ NASCOSTO'!$B$448*'SOLLECITAZ NASCOSTO'!B306</f>
        <v>2.9850597987487535</v>
      </c>
      <c r="D306" s="434">
        <f t="shared" si="87"/>
        <v>0.63695032976849908</v>
      </c>
      <c r="E306" s="434">
        <f t="shared" si="81"/>
        <v>0.51695032976849908</v>
      </c>
      <c r="F306" s="434">
        <f t="shared" si="82"/>
        <v>0.46542410552591973</v>
      </c>
      <c r="G306" s="434">
        <f t="shared" si="83"/>
        <v>8.0608915614751961E-2</v>
      </c>
      <c r="H306" s="434">
        <f t="shared" si="77"/>
        <v>0</v>
      </c>
      <c r="I306" s="434">
        <v>0</v>
      </c>
      <c r="J306" s="127">
        <f t="shared" si="78"/>
        <v>0.17319454376705637</v>
      </c>
      <c r="K306" s="126">
        <f t="shared" si="84"/>
        <v>1.4858857641246566E-2</v>
      </c>
      <c r="L306" s="41">
        <f t="shared" si="79"/>
        <v>145.77595499824534</v>
      </c>
      <c r="M306" s="41">
        <f t="shared" si="80"/>
        <v>-165.05842137602519</v>
      </c>
      <c r="N306" s="41">
        <f>(IF(C305&lt;='SOLLECITAZ NASCOSTO'!$P$12,IF(C305&lt;='SOLLECITAZ NASCOSTO'!$P$11,IF(C305&lt;='SOLLECITAZ NASCOSTO'!$P$10,IF(C305&lt;='SOLLECITAZ NASCOSTO'!$P$9,IF(C305&lt;='SOLLECITAZ NASCOSTO'!$P$8,IF(C305&lt;='SOLLECITAZ NASCOSTO'!$P$7,IF(C305&lt;='SOLLECITAZ NASCOSTO'!$P$6,IF(C305&lt;='SOLLECITAZ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paramento'!$G$111),55555)-IF(C305&lt;='SOLLECITAZ NASCOSTO'!$P$12,IF(C305&lt;='SOLLECITAZ NASCOSTO'!$P$11,IF(C305&lt;='SOLLECITAZ NASCOSTO'!$P$10,IF(C305&lt;='SOLLECITAZ NASCOSTO'!$P$9,IF(C305&lt;='SOLLECITAZ NASCOSTO'!$P$8,IF(C305&lt;='SOLLECITAZ NASCOSTO'!$P$7,IF(C305&lt;='SOLLECITAZ NASCOSTO'!$P$6,IF(C305&lt;='SOLLECITAZ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paramento'!$G$111))*(C305-IF(C305&lt;='SOLLECITAZ NASCOSTO'!$P$12,IF(C305&lt;='SOLLECITAZ NASCOSTO'!$P$11,IF(C305&lt;='SOLLECITAZ NASCOSTO'!$P$10,IF(C305&lt;='SOLLECITAZ NASCOSTO'!$P$9,IF(C305&lt;='SOLLECITAZ NASCOSTO'!$P$8,IF(C305&lt;='SOLLECITAZ NASCOSTO'!$P$7,IF(C305&lt;='SOLLECITAZ NASCOSTO'!$P$6,IF(C305&lt;='SOLLECITAZ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NASCOSTO'!$P$12))/IF(C305&lt;='SOLLECITAZ NASCOSTO'!$P$12,IF(C305&lt;='SOLLECITAZ NASCOSTO'!$P$11,IF(C305&lt;='SOLLECITAZ NASCOSTO'!$P$10,IF(C305&lt;='SOLLECITAZ NASCOSTO'!$P$9,IF(C305&lt;='SOLLECITAZ NASCOSTO'!$P$8,IF(C305&lt;='SOLLECITAZ NASCOSTO'!$P$7,IF(C305&lt;='SOLLECITAZ NASCOSTO'!$P$6,IF(C305&lt;='SOLLECITAZ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paramento'!$C$111)+IF(C305&lt;='SOLLECITAZ NASCOSTO'!$P$12,IF(C305&lt;='SOLLECITAZ NASCOSTO'!$P$11,IF(C305&lt;='SOLLECITAZ NASCOSTO'!$P$10,IF(C305&lt;='SOLLECITAZ NASCOSTO'!$P$9,IF(C305&lt;='SOLLECITAZ NASCOSTO'!$P$8,IF(C305&lt;='SOLLECITAZ NASCOSTO'!$P$7,IF(C305&lt;='SOLLECITAZ NASCOSTO'!$P$6,IF(C305&lt;='SOLLECITAZ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83.939905914377931</v>
      </c>
      <c r="O306" s="41">
        <f>IF(C306&lt;='SOLLECITAZ NASCOSTO'!$P$12,IF(C306&lt;='SOLLECITAZ NASCOSTO'!$P$11,IF(C306&lt;='SOLLECITAZ NASCOSTO'!$P$10,IF(C306&lt;='SOLLECITAZ NASCOSTO'!$P$9,IF(C306&lt;='SOLLECITAZ NASCOSTO'!$P$8,IF(C306&lt;='SOLLECITAZ NASCOSTO'!$P$7,IF(C306&lt;='SOLLECITAZ NASCOSTO'!$P$6,IF(C306&lt;='SOLLECITAZ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paramento'!$G$110),55555)*(C306-C305)/IF(C306&lt;='SOLLECITAZ NASCOSTO'!$P$12,IF(C306&lt;='SOLLECITAZ NASCOSTO'!$P$11,IF(C306&lt;='SOLLECITAZ NASCOSTO'!$P$10,IF(C306&lt;='SOLLECITAZ NASCOSTO'!$P$9,IF(C306&lt;='SOLLECITAZ NASCOSTO'!$P$8,IF(C306&lt;='SOLLECITAZ NASCOSTO'!$P$7,IF(C306&lt;='SOLLECITAZ NASCOSTO'!$P$6,IF(C306&lt;='SOLLECITAZ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06" s="41">
        <f t="shared" si="93"/>
        <v>2.7300000000000013E-4</v>
      </c>
      <c r="Q306" s="41">
        <f t="shared" si="91"/>
        <v>1</v>
      </c>
      <c r="R306" s="434">
        <f t="shared" si="85"/>
        <v>2.9850597987487535</v>
      </c>
      <c r="S306" s="45">
        <f t="shared" si="92"/>
        <v>2.9850597987487535</v>
      </c>
      <c r="T306" s="205">
        <f t="shared" si="88"/>
        <v>2.0470017935121274</v>
      </c>
      <c r="U306" s="45">
        <f t="shared" si="89"/>
        <v>145.77595499824534</v>
      </c>
      <c r="V306" s="45">
        <f t="shared" si="90"/>
        <v>-165.05842137602519</v>
      </c>
      <c r="W306" s="488"/>
      <c r="X306" s="489"/>
      <c r="Y306" s="489"/>
      <c r="Z306" s="490"/>
      <c r="AA306" s="46"/>
    </row>
    <row r="307" spans="1:27" s="421" customFormat="1" x14ac:dyDescent="0.25">
      <c r="A307" s="581">
        <f t="shared" si="86"/>
        <v>0.51852117251660823</v>
      </c>
      <c r="B307" s="31">
        <f t="shared" si="76"/>
        <v>275</v>
      </c>
      <c r="C307" s="434">
        <f>'SOLLECITAZ NASCOSTO'!$D$6/'SOLLECITAZ NASCOSTO'!$B$448*'SOLLECITAZ NASCOSTO'!B307</f>
        <v>2.9959541775763037</v>
      </c>
      <c r="D307" s="434">
        <f t="shared" si="87"/>
        <v>0.63852117251660823</v>
      </c>
      <c r="E307" s="434">
        <f t="shared" si="81"/>
        <v>0.51852117251660823</v>
      </c>
      <c r="F307" s="434">
        <f t="shared" si="82"/>
        <v>0.46592677520531461</v>
      </c>
      <c r="G307" s="434">
        <f t="shared" si="83"/>
        <v>8.0929486040317467E-2</v>
      </c>
      <c r="H307" s="434">
        <f t="shared" si="77"/>
        <v>0</v>
      </c>
      <c r="I307" s="434">
        <v>0</v>
      </c>
      <c r="J307" s="127">
        <f t="shared" si="78"/>
        <v>0.17369571861298419</v>
      </c>
      <c r="K307" s="126">
        <f t="shared" si="84"/>
        <v>1.496721609445379E-2</v>
      </c>
      <c r="L307" s="41">
        <f t="shared" si="79"/>
        <v>146.69464626549174</v>
      </c>
      <c r="M307" s="41">
        <f t="shared" si="80"/>
        <v>-166.65156413906945</v>
      </c>
      <c r="N307" s="41">
        <f>(IF(C306&lt;='SOLLECITAZ NASCOSTO'!$P$12,IF(C306&lt;='SOLLECITAZ NASCOSTO'!$P$11,IF(C306&lt;='SOLLECITAZ NASCOSTO'!$P$10,IF(C306&lt;='SOLLECITAZ NASCOSTO'!$P$9,IF(C306&lt;='SOLLECITAZ NASCOSTO'!$P$8,IF(C306&lt;='SOLLECITAZ NASCOSTO'!$P$7,IF(C306&lt;='SOLLECITAZ NASCOSTO'!$P$6,IF(C306&lt;='SOLLECITAZ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paramento'!$G$111),55555)-IF(C306&lt;='SOLLECITAZ NASCOSTO'!$P$12,IF(C306&lt;='SOLLECITAZ NASCOSTO'!$P$11,IF(C306&lt;='SOLLECITAZ NASCOSTO'!$P$10,IF(C306&lt;='SOLLECITAZ NASCOSTO'!$P$9,IF(C306&lt;='SOLLECITAZ NASCOSTO'!$P$8,IF(C306&lt;='SOLLECITAZ NASCOSTO'!$P$7,IF(C306&lt;='SOLLECITAZ NASCOSTO'!$P$6,IF(C306&lt;='SOLLECITAZ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paramento'!$G$111))*(C306-IF(C306&lt;='SOLLECITAZ NASCOSTO'!$P$12,IF(C306&lt;='SOLLECITAZ NASCOSTO'!$P$11,IF(C306&lt;='SOLLECITAZ NASCOSTO'!$P$10,IF(C306&lt;='SOLLECITAZ NASCOSTO'!$P$9,IF(C306&lt;='SOLLECITAZ NASCOSTO'!$P$8,IF(C306&lt;='SOLLECITAZ NASCOSTO'!$P$7,IF(C306&lt;='SOLLECITAZ NASCOSTO'!$P$6,IF(C306&lt;='SOLLECITAZ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NASCOSTO'!$P$12))/IF(C306&lt;='SOLLECITAZ NASCOSTO'!$P$12,IF(C306&lt;='SOLLECITAZ NASCOSTO'!$P$11,IF(C306&lt;='SOLLECITAZ NASCOSTO'!$P$10,IF(C306&lt;='SOLLECITAZ NASCOSTO'!$P$9,IF(C306&lt;='SOLLECITAZ NASCOSTO'!$P$8,IF(C306&lt;='SOLLECITAZ NASCOSTO'!$P$7,IF(C306&lt;='SOLLECITAZ NASCOSTO'!$P$6,IF(C306&lt;='SOLLECITAZ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paramento'!$C$111)+IF(C306&lt;='SOLLECITAZ NASCOSTO'!$P$12,IF(C306&lt;='SOLLECITAZ NASCOSTO'!$P$11,IF(C306&lt;='SOLLECITAZ NASCOSTO'!$P$10,IF(C306&lt;='SOLLECITAZ NASCOSTO'!$P$9,IF(C306&lt;='SOLLECITAZ NASCOSTO'!$P$8,IF(C306&lt;='SOLLECITAZ NASCOSTO'!$P$7,IF(C306&lt;='SOLLECITAZ NASCOSTO'!$P$6,IF(C306&lt;='SOLLECITAZ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84.198028843827331</v>
      </c>
      <c r="O307" s="41">
        <f>IF(C307&lt;='SOLLECITAZ NASCOSTO'!$P$12,IF(C307&lt;='SOLLECITAZ NASCOSTO'!$P$11,IF(C307&lt;='SOLLECITAZ NASCOSTO'!$P$10,IF(C307&lt;='SOLLECITAZ NASCOSTO'!$P$9,IF(C307&lt;='SOLLECITAZ NASCOSTO'!$P$8,IF(C307&lt;='SOLLECITAZ NASCOSTO'!$P$7,IF(C307&lt;='SOLLECITAZ NASCOSTO'!$P$6,IF(C307&lt;='SOLLECITAZ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paramento'!$G$110),55555)*(C307-C306)/IF(C307&lt;='SOLLECITAZ NASCOSTO'!$P$12,IF(C307&lt;='SOLLECITAZ NASCOSTO'!$P$11,IF(C307&lt;='SOLLECITAZ NASCOSTO'!$P$10,IF(C307&lt;='SOLLECITAZ NASCOSTO'!$P$9,IF(C307&lt;='SOLLECITAZ NASCOSTO'!$P$8,IF(C307&lt;='SOLLECITAZ NASCOSTO'!$P$7,IF(C307&lt;='SOLLECITAZ NASCOSTO'!$P$6,IF(C307&lt;='SOLLECITAZ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07" s="41">
        <f t="shared" si="93"/>
        <v>2.7400000000000015E-4</v>
      </c>
      <c r="Q307" s="41">
        <f t="shared" si="91"/>
        <v>1</v>
      </c>
      <c r="R307" s="434">
        <f t="shared" si="85"/>
        <v>2.9959541775763037</v>
      </c>
      <c r="S307" s="45">
        <f t="shared" si="92"/>
        <v>2.9959541775763037</v>
      </c>
      <c r="T307" s="205">
        <f t="shared" si="88"/>
        <v>2.0361074146845772</v>
      </c>
      <c r="U307" s="45">
        <f t="shared" si="89"/>
        <v>146.69464626549174</v>
      </c>
      <c r="V307" s="45">
        <f t="shared" si="90"/>
        <v>-166.65156413906945</v>
      </c>
      <c r="W307" s="488"/>
      <c r="X307" s="489"/>
      <c r="Y307" s="489"/>
      <c r="Z307" s="490"/>
      <c r="AA307" s="46"/>
    </row>
    <row r="308" spans="1:27" s="421" customFormat="1" x14ac:dyDescent="0.25">
      <c r="A308" s="581">
        <f t="shared" si="86"/>
        <v>0.52009201526471738</v>
      </c>
      <c r="B308" s="31">
        <f t="shared" si="76"/>
        <v>276</v>
      </c>
      <c r="C308" s="434">
        <f>'SOLLECITAZ NASCOSTO'!$D$6/'SOLLECITAZ NASCOSTO'!$B$448*'SOLLECITAZ NASCOSTO'!B308</f>
        <v>3.0068485564038538</v>
      </c>
      <c r="D308" s="434">
        <f t="shared" si="87"/>
        <v>0.64009201526471737</v>
      </c>
      <c r="E308" s="434">
        <f t="shared" si="81"/>
        <v>0.52009201526471738</v>
      </c>
      <c r="F308" s="434">
        <f t="shared" si="82"/>
        <v>0.46642944488470955</v>
      </c>
      <c r="G308" s="434">
        <f t="shared" si="83"/>
        <v>8.1250846080903549E-2</v>
      </c>
      <c r="H308" s="434">
        <f t="shared" si="77"/>
        <v>0</v>
      </c>
      <c r="I308" s="434">
        <v>0</v>
      </c>
      <c r="J308" s="127">
        <f t="shared" si="78"/>
        <v>0.17419750612225363</v>
      </c>
      <c r="K308" s="126">
        <f t="shared" si="84"/>
        <v>1.5076074267912794E-2</v>
      </c>
      <c r="L308" s="41">
        <f t="shared" si="79"/>
        <v>147.61614962171566</v>
      </c>
      <c r="M308" s="41">
        <f t="shared" si="80"/>
        <v>-168.25473079078597</v>
      </c>
      <c r="N308" s="41">
        <f>(IF(C307&lt;='SOLLECITAZ NASCOSTO'!$P$12,IF(C307&lt;='SOLLECITAZ NASCOSTO'!$P$11,IF(C307&lt;='SOLLECITAZ NASCOSTO'!$P$10,IF(C307&lt;='SOLLECITAZ NASCOSTO'!$P$9,IF(C307&lt;='SOLLECITAZ NASCOSTO'!$P$8,IF(C307&lt;='SOLLECITAZ NASCOSTO'!$P$7,IF(C307&lt;='SOLLECITAZ NASCOSTO'!$P$6,IF(C307&lt;='SOLLECITAZ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paramento'!$G$111),55555)-IF(C307&lt;='SOLLECITAZ NASCOSTO'!$P$12,IF(C307&lt;='SOLLECITAZ NASCOSTO'!$P$11,IF(C307&lt;='SOLLECITAZ NASCOSTO'!$P$10,IF(C307&lt;='SOLLECITAZ NASCOSTO'!$P$9,IF(C307&lt;='SOLLECITAZ NASCOSTO'!$P$8,IF(C307&lt;='SOLLECITAZ NASCOSTO'!$P$7,IF(C307&lt;='SOLLECITAZ NASCOSTO'!$P$6,IF(C307&lt;='SOLLECITAZ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paramento'!$G$111))*(C307-IF(C307&lt;='SOLLECITAZ NASCOSTO'!$P$12,IF(C307&lt;='SOLLECITAZ NASCOSTO'!$P$11,IF(C307&lt;='SOLLECITAZ NASCOSTO'!$P$10,IF(C307&lt;='SOLLECITAZ NASCOSTO'!$P$9,IF(C307&lt;='SOLLECITAZ NASCOSTO'!$P$8,IF(C307&lt;='SOLLECITAZ NASCOSTO'!$P$7,IF(C307&lt;='SOLLECITAZ NASCOSTO'!$P$6,IF(C307&lt;='SOLLECITAZ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NASCOSTO'!$P$12))/IF(C307&lt;='SOLLECITAZ NASCOSTO'!$P$12,IF(C307&lt;='SOLLECITAZ NASCOSTO'!$P$11,IF(C307&lt;='SOLLECITAZ NASCOSTO'!$P$10,IF(C307&lt;='SOLLECITAZ NASCOSTO'!$P$9,IF(C307&lt;='SOLLECITAZ NASCOSTO'!$P$8,IF(C307&lt;='SOLLECITAZ NASCOSTO'!$P$7,IF(C307&lt;='SOLLECITAZ NASCOSTO'!$P$6,IF(C307&lt;='SOLLECITAZ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paramento'!$C$111)+IF(C307&lt;='SOLLECITAZ NASCOSTO'!$P$12,IF(C307&lt;='SOLLECITAZ NASCOSTO'!$P$11,IF(C307&lt;='SOLLECITAZ NASCOSTO'!$P$10,IF(C307&lt;='SOLLECITAZ NASCOSTO'!$P$9,IF(C307&lt;='SOLLECITAZ NASCOSTO'!$P$8,IF(C307&lt;='SOLLECITAZ NASCOSTO'!$P$7,IF(C307&lt;='SOLLECITAZ NASCOSTO'!$P$6,IF(C307&lt;='SOLLECITAZ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84.45615177327673</v>
      </c>
      <c r="O308" s="41">
        <f>IF(C308&lt;='SOLLECITAZ NASCOSTO'!$P$12,IF(C308&lt;='SOLLECITAZ NASCOSTO'!$P$11,IF(C308&lt;='SOLLECITAZ NASCOSTO'!$P$10,IF(C308&lt;='SOLLECITAZ NASCOSTO'!$P$9,IF(C308&lt;='SOLLECITAZ NASCOSTO'!$P$8,IF(C308&lt;='SOLLECITAZ NASCOSTO'!$P$7,IF(C308&lt;='SOLLECITAZ NASCOSTO'!$P$6,IF(C308&lt;='SOLLECITAZ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paramento'!$G$110),55555)*(C308-C307)/IF(C308&lt;='SOLLECITAZ NASCOSTO'!$P$12,IF(C308&lt;='SOLLECITAZ NASCOSTO'!$P$11,IF(C308&lt;='SOLLECITAZ NASCOSTO'!$P$10,IF(C308&lt;='SOLLECITAZ NASCOSTO'!$P$9,IF(C308&lt;='SOLLECITAZ NASCOSTO'!$P$8,IF(C308&lt;='SOLLECITAZ NASCOSTO'!$P$7,IF(C308&lt;='SOLLECITAZ NASCOSTO'!$P$6,IF(C308&lt;='SOLLECITAZ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08" s="41">
        <f t="shared" si="93"/>
        <v>2.7500000000000018E-4</v>
      </c>
      <c r="Q308" s="41">
        <f t="shared" si="91"/>
        <v>1</v>
      </c>
      <c r="R308" s="434">
        <f t="shared" si="85"/>
        <v>3.0068485564038538</v>
      </c>
      <c r="S308" s="45">
        <f t="shared" si="92"/>
        <v>3.0068485564038538</v>
      </c>
      <c r="T308" s="205">
        <f t="shared" si="88"/>
        <v>2.0252130358570271</v>
      </c>
      <c r="U308" s="45">
        <f t="shared" si="89"/>
        <v>147.61614962171566</v>
      </c>
      <c r="V308" s="45">
        <f t="shared" si="90"/>
        <v>-168.25473079078597</v>
      </c>
      <c r="W308" s="488"/>
      <c r="X308" s="489"/>
      <c r="Y308" s="489"/>
      <c r="Z308" s="490"/>
      <c r="AA308" s="46"/>
    </row>
    <row r="309" spans="1:27" s="421" customFormat="1" x14ac:dyDescent="0.25">
      <c r="A309" s="581">
        <f t="shared" si="86"/>
        <v>0.52166285801282652</v>
      </c>
      <c r="B309" s="31">
        <f t="shared" si="76"/>
        <v>277</v>
      </c>
      <c r="C309" s="434">
        <f>'SOLLECITAZ NASCOSTO'!$D$6/'SOLLECITAZ NASCOSTO'!$B$448*'SOLLECITAZ NASCOSTO'!B309</f>
        <v>3.017742935231404</v>
      </c>
      <c r="D309" s="434">
        <f t="shared" si="87"/>
        <v>0.64166285801282652</v>
      </c>
      <c r="E309" s="434">
        <f t="shared" si="81"/>
        <v>0.52166285801282652</v>
      </c>
      <c r="F309" s="434">
        <f t="shared" si="82"/>
        <v>0.46693211456410444</v>
      </c>
      <c r="G309" s="434">
        <f t="shared" si="83"/>
        <v>8.1572995736510195E-2</v>
      </c>
      <c r="H309" s="434">
        <f t="shared" si="77"/>
        <v>0</v>
      </c>
      <c r="I309" s="434">
        <v>0</v>
      </c>
      <c r="J309" s="127">
        <f t="shared" si="78"/>
        <v>0.17469990431620044</v>
      </c>
      <c r="K309" s="126">
        <f t="shared" si="84"/>
        <v>1.518543302443779E-2</v>
      </c>
      <c r="L309" s="41">
        <f t="shared" si="79"/>
        <v>148.54046506691708</v>
      </c>
      <c r="M309" s="41">
        <f t="shared" si="80"/>
        <v>-169.86795196713737</v>
      </c>
      <c r="N309" s="41">
        <f>(IF(C308&lt;='SOLLECITAZ NASCOSTO'!$P$12,IF(C308&lt;='SOLLECITAZ NASCOSTO'!$P$11,IF(C308&lt;='SOLLECITAZ NASCOSTO'!$P$10,IF(C308&lt;='SOLLECITAZ NASCOSTO'!$P$9,IF(C308&lt;='SOLLECITAZ NASCOSTO'!$P$8,IF(C308&lt;='SOLLECITAZ NASCOSTO'!$P$7,IF(C308&lt;='SOLLECITAZ NASCOSTO'!$P$6,IF(C308&lt;='SOLLECITAZ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paramento'!$G$111),55555)-IF(C308&lt;='SOLLECITAZ NASCOSTO'!$P$12,IF(C308&lt;='SOLLECITAZ NASCOSTO'!$P$11,IF(C308&lt;='SOLLECITAZ NASCOSTO'!$P$10,IF(C308&lt;='SOLLECITAZ NASCOSTO'!$P$9,IF(C308&lt;='SOLLECITAZ NASCOSTO'!$P$8,IF(C308&lt;='SOLLECITAZ NASCOSTO'!$P$7,IF(C308&lt;='SOLLECITAZ NASCOSTO'!$P$6,IF(C308&lt;='SOLLECITAZ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paramento'!$G$111))*(C308-IF(C308&lt;='SOLLECITAZ NASCOSTO'!$P$12,IF(C308&lt;='SOLLECITAZ NASCOSTO'!$P$11,IF(C308&lt;='SOLLECITAZ NASCOSTO'!$P$10,IF(C308&lt;='SOLLECITAZ NASCOSTO'!$P$9,IF(C308&lt;='SOLLECITAZ NASCOSTO'!$P$8,IF(C308&lt;='SOLLECITAZ NASCOSTO'!$P$7,IF(C308&lt;='SOLLECITAZ NASCOSTO'!$P$6,IF(C308&lt;='SOLLECITAZ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NASCOSTO'!$P$12))/IF(C308&lt;='SOLLECITAZ NASCOSTO'!$P$12,IF(C308&lt;='SOLLECITAZ NASCOSTO'!$P$11,IF(C308&lt;='SOLLECITAZ NASCOSTO'!$P$10,IF(C308&lt;='SOLLECITAZ NASCOSTO'!$P$9,IF(C308&lt;='SOLLECITAZ NASCOSTO'!$P$8,IF(C308&lt;='SOLLECITAZ NASCOSTO'!$P$7,IF(C308&lt;='SOLLECITAZ NASCOSTO'!$P$6,IF(C308&lt;='SOLLECITAZ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paramento'!$C$111)+IF(C308&lt;='SOLLECITAZ NASCOSTO'!$P$12,IF(C308&lt;='SOLLECITAZ NASCOSTO'!$P$11,IF(C308&lt;='SOLLECITAZ NASCOSTO'!$P$10,IF(C308&lt;='SOLLECITAZ NASCOSTO'!$P$9,IF(C308&lt;='SOLLECITAZ NASCOSTO'!$P$8,IF(C308&lt;='SOLLECITAZ NASCOSTO'!$P$7,IF(C308&lt;='SOLLECITAZ NASCOSTO'!$P$6,IF(C308&lt;='SOLLECITAZ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84.714274702726129</v>
      </c>
      <c r="O309" s="41">
        <f>IF(C309&lt;='SOLLECITAZ NASCOSTO'!$P$12,IF(C309&lt;='SOLLECITAZ NASCOSTO'!$P$11,IF(C309&lt;='SOLLECITAZ NASCOSTO'!$P$10,IF(C309&lt;='SOLLECITAZ NASCOSTO'!$P$9,IF(C309&lt;='SOLLECITAZ NASCOSTO'!$P$8,IF(C309&lt;='SOLLECITAZ NASCOSTO'!$P$7,IF(C309&lt;='SOLLECITAZ NASCOSTO'!$P$6,IF(C309&lt;='SOLLECITAZ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paramento'!$G$110),55555)*(C309-C308)/IF(C309&lt;='SOLLECITAZ NASCOSTO'!$P$12,IF(C309&lt;='SOLLECITAZ NASCOSTO'!$P$11,IF(C309&lt;='SOLLECITAZ NASCOSTO'!$P$10,IF(C309&lt;='SOLLECITAZ NASCOSTO'!$P$9,IF(C309&lt;='SOLLECITAZ NASCOSTO'!$P$8,IF(C309&lt;='SOLLECITAZ NASCOSTO'!$P$7,IF(C309&lt;='SOLLECITAZ NASCOSTO'!$P$6,IF(C309&lt;='SOLLECITAZ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09" s="41">
        <f t="shared" si="93"/>
        <v>2.760000000000002E-4</v>
      </c>
      <c r="Q309" s="41">
        <f t="shared" si="91"/>
        <v>1</v>
      </c>
      <c r="R309" s="434">
        <f t="shared" si="85"/>
        <v>3.017742935231404</v>
      </c>
      <c r="S309" s="45">
        <f t="shared" si="92"/>
        <v>3.017742935231404</v>
      </c>
      <c r="T309" s="205">
        <f t="shared" si="88"/>
        <v>2.0143186570294769</v>
      </c>
      <c r="U309" s="45">
        <f t="shared" si="89"/>
        <v>148.54046506691708</v>
      </c>
      <c r="V309" s="45">
        <f t="shared" si="90"/>
        <v>-169.86795196713737</v>
      </c>
      <c r="W309" s="488"/>
      <c r="X309" s="489"/>
      <c r="Y309" s="489"/>
      <c r="Z309" s="490"/>
      <c r="AA309" s="46"/>
    </row>
    <row r="310" spans="1:27" x14ac:dyDescent="0.25">
      <c r="A310" s="581">
        <f t="shared" si="86"/>
        <v>0.52323370076093567</v>
      </c>
      <c r="B310" s="31">
        <f t="shared" si="76"/>
        <v>278</v>
      </c>
      <c r="C310" s="434">
        <f>'SOLLECITAZ NASCOSTO'!$D$6/'SOLLECITAZ NASCOSTO'!$B$448*'SOLLECITAZ NASCOSTO'!B310</f>
        <v>3.0286373140589542</v>
      </c>
      <c r="D310" s="434">
        <f t="shared" si="87"/>
        <v>0.64323370076093567</v>
      </c>
      <c r="E310" s="434">
        <f t="shared" si="81"/>
        <v>0.52323370076093567</v>
      </c>
      <c r="F310" s="434">
        <f t="shared" si="82"/>
        <v>0.46743478424349938</v>
      </c>
      <c r="G310" s="434">
        <f t="shared" si="83"/>
        <v>8.1895935007137433E-2</v>
      </c>
      <c r="H310" s="434">
        <f t="shared" si="77"/>
        <v>0</v>
      </c>
      <c r="I310" s="434">
        <v>0</v>
      </c>
      <c r="J310" s="127">
        <f t="shared" si="78"/>
        <v>0.1752029112246718</v>
      </c>
      <c r="K310" s="126">
        <f t="shared" si="84"/>
        <v>1.5295293225799296E-2</v>
      </c>
      <c r="L310" s="41">
        <f t="shared" si="79"/>
        <v>149.46759260109599</v>
      </c>
      <c r="M310" s="41">
        <f t="shared" si="80"/>
        <v>-171.49125830408624</v>
      </c>
      <c r="N310" s="41">
        <f>(IF(C309&lt;='SOLLECITAZ NASCOSTO'!$P$12,IF(C309&lt;='SOLLECITAZ NASCOSTO'!$P$11,IF(C309&lt;='SOLLECITAZ NASCOSTO'!$P$10,IF(C309&lt;='SOLLECITAZ NASCOSTO'!$P$9,IF(C309&lt;='SOLLECITAZ NASCOSTO'!$P$8,IF(C309&lt;='SOLLECITAZ NASCOSTO'!$P$7,IF(C309&lt;='SOLLECITAZ NASCOSTO'!$P$6,IF(C309&lt;='SOLLECITAZ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paramento'!$G$111),55555)-IF(C309&lt;='SOLLECITAZ NASCOSTO'!$P$12,IF(C309&lt;='SOLLECITAZ NASCOSTO'!$P$11,IF(C309&lt;='SOLLECITAZ NASCOSTO'!$P$10,IF(C309&lt;='SOLLECITAZ NASCOSTO'!$P$9,IF(C309&lt;='SOLLECITAZ NASCOSTO'!$P$8,IF(C309&lt;='SOLLECITAZ NASCOSTO'!$P$7,IF(C309&lt;='SOLLECITAZ NASCOSTO'!$P$6,IF(C309&lt;='SOLLECITAZ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paramento'!$G$111))*(C309-IF(C309&lt;='SOLLECITAZ NASCOSTO'!$P$12,IF(C309&lt;='SOLLECITAZ NASCOSTO'!$P$11,IF(C309&lt;='SOLLECITAZ NASCOSTO'!$P$10,IF(C309&lt;='SOLLECITAZ NASCOSTO'!$P$9,IF(C309&lt;='SOLLECITAZ NASCOSTO'!$P$8,IF(C309&lt;='SOLLECITAZ NASCOSTO'!$P$7,IF(C309&lt;='SOLLECITAZ NASCOSTO'!$P$6,IF(C309&lt;='SOLLECITAZ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NASCOSTO'!$P$12))/IF(C309&lt;='SOLLECITAZ NASCOSTO'!$P$12,IF(C309&lt;='SOLLECITAZ NASCOSTO'!$P$11,IF(C309&lt;='SOLLECITAZ NASCOSTO'!$P$10,IF(C309&lt;='SOLLECITAZ NASCOSTO'!$P$9,IF(C309&lt;='SOLLECITAZ NASCOSTO'!$P$8,IF(C309&lt;='SOLLECITAZ NASCOSTO'!$P$7,IF(C309&lt;='SOLLECITAZ NASCOSTO'!$P$6,IF(C309&lt;='SOLLECITAZ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paramento'!$C$111)+IF(C309&lt;='SOLLECITAZ NASCOSTO'!$P$12,IF(C309&lt;='SOLLECITAZ NASCOSTO'!$P$11,IF(C309&lt;='SOLLECITAZ NASCOSTO'!$P$10,IF(C309&lt;='SOLLECITAZ NASCOSTO'!$P$9,IF(C309&lt;='SOLLECITAZ NASCOSTO'!$P$8,IF(C309&lt;='SOLLECITAZ NASCOSTO'!$P$7,IF(C309&lt;='SOLLECITAZ NASCOSTO'!$P$6,IF(C309&lt;='SOLLECITAZ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84.972397632175557</v>
      </c>
      <c r="O310" s="41">
        <f>IF(C310&lt;='SOLLECITAZ NASCOSTO'!$P$12,IF(C310&lt;='SOLLECITAZ NASCOSTO'!$P$11,IF(C310&lt;='SOLLECITAZ NASCOSTO'!$P$10,IF(C310&lt;='SOLLECITAZ NASCOSTO'!$P$9,IF(C310&lt;='SOLLECITAZ NASCOSTO'!$P$8,IF(C310&lt;='SOLLECITAZ NASCOSTO'!$P$7,IF(C310&lt;='SOLLECITAZ NASCOSTO'!$P$6,IF(C310&lt;='SOLLECITAZ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paramento'!$G$110),55555)*(C310-C309)/IF(C310&lt;='SOLLECITAZ NASCOSTO'!$P$12,IF(C310&lt;='SOLLECITAZ NASCOSTO'!$P$11,IF(C310&lt;='SOLLECITAZ NASCOSTO'!$P$10,IF(C310&lt;='SOLLECITAZ NASCOSTO'!$P$9,IF(C310&lt;='SOLLECITAZ NASCOSTO'!$P$8,IF(C310&lt;='SOLLECITAZ NASCOSTO'!$P$7,IF(C310&lt;='SOLLECITAZ NASCOSTO'!$P$6,IF(C310&lt;='SOLLECITAZ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10" s="41">
        <f t="shared" si="93"/>
        <v>2.7700000000000023E-4</v>
      </c>
      <c r="Q310" s="41">
        <f t="shared" si="91"/>
        <v>1</v>
      </c>
      <c r="R310" s="434">
        <f t="shared" si="85"/>
        <v>3.0286373140589542</v>
      </c>
      <c r="S310" s="45">
        <f t="shared" si="92"/>
        <v>3.0286373140589542</v>
      </c>
      <c r="T310" s="205">
        <f t="shared" si="88"/>
        <v>2.0034242782019267</v>
      </c>
      <c r="U310" s="45">
        <f t="shared" si="89"/>
        <v>149.46759260109599</v>
      </c>
      <c r="V310" s="45">
        <f t="shared" si="90"/>
        <v>-171.49125830408624</v>
      </c>
      <c r="W310" s="488"/>
    </row>
    <row r="311" spans="1:27" x14ac:dyDescent="0.25">
      <c r="A311" s="581">
        <f t="shared" si="86"/>
        <v>0.52480454350904482</v>
      </c>
      <c r="B311" s="31">
        <f t="shared" si="76"/>
        <v>279</v>
      </c>
      <c r="C311" s="434">
        <f>'SOLLECITAZ NASCOSTO'!$D$6/'SOLLECITAZ NASCOSTO'!$B$448*'SOLLECITAZ NASCOSTO'!B311</f>
        <v>3.0395316928865044</v>
      </c>
      <c r="D311" s="434">
        <f t="shared" si="87"/>
        <v>0.64480454350904481</v>
      </c>
      <c r="E311" s="434">
        <f t="shared" si="81"/>
        <v>0.52480454350904482</v>
      </c>
      <c r="F311" s="434">
        <f t="shared" si="82"/>
        <v>0.46793745392289432</v>
      </c>
      <c r="G311" s="434">
        <f t="shared" si="83"/>
        <v>8.2219663892785233E-2</v>
      </c>
      <c r="H311" s="434">
        <f t="shared" si="77"/>
        <v>0</v>
      </c>
      <c r="I311" s="434">
        <v>0</v>
      </c>
      <c r="J311" s="127">
        <f t="shared" si="78"/>
        <v>0.17570652488598018</v>
      </c>
      <c r="K311" s="126">
        <f t="shared" si="84"/>
        <v>1.5405655732729747E-2</v>
      </c>
      <c r="L311" s="41">
        <f t="shared" si="79"/>
        <v>150.39753222425239</v>
      </c>
      <c r="M311" s="41">
        <f t="shared" si="80"/>
        <v>-173.12468043759523</v>
      </c>
      <c r="N311" s="41">
        <f>(IF(C310&lt;='SOLLECITAZ NASCOSTO'!$P$12,IF(C310&lt;='SOLLECITAZ NASCOSTO'!$P$11,IF(C310&lt;='SOLLECITAZ NASCOSTO'!$P$10,IF(C310&lt;='SOLLECITAZ NASCOSTO'!$P$9,IF(C310&lt;='SOLLECITAZ NASCOSTO'!$P$8,IF(C310&lt;='SOLLECITAZ NASCOSTO'!$P$7,IF(C310&lt;='SOLLECITAZ NASCOSTO'!$P$6,IF(C310&lt;='SOLLECITAZ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paramento'!$G$111),55555)-IF(C310&lt;='SOLLECITAZ NASCOSTO'!$P$12,IF(C310&lt;='SOLLECITAZ NASCOSTO'!$P$11,IF(C310&lt;='SOLLECITAZ NASCOSTO'!$P$10,IF(C310&lt;='SOLLECITAZ NASCOSTO'!$P$9,IF(C310&lt;='SOLLECITAZ NASCOSTO'!$P$8,IF(C310&lt;='SOLLECITAZ NASCOSTO'!$P$7,IF(C310&lt;='SOLLECITAZ NASCOSTO'!$P$6,IF(C310&lt;='SOLLECITAZ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paramento'!$G$111))*(C310-IF(C310&lt;='SOLLECITAZ NASCOSTO'!$P$12,IF(C310&lt;='SOLLECITAZ NASCOSTO'!$P$11,IF(C310&lt;='SOLLECITAZ NASCOSTO'!$P$10,IF(C310&lt;='SOLLECITAZ NASCOSTO'!$P$9,IF(C310&lt;='SOLLECITAZ NASCOSTO'!$P$8,IF(C310&lt;='SOLLECITAZ NASCOSTO'!$P$7,IF(C310&lt;='SOLLECITAZ NASCOSTO'!$P$6,IF(C310&lt;='SOLLECITAZ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NASCOSTO'!$P$12))/IF(C310&lt;='SOLLECITAZ NASCOSTO'!$P$12,IF(C310&lt;='SOLLECITAZ NASCOSTO'!$P$11,IF(C310&lt;='SOLLECITAZ NASCOSTO'!$P$10,IF(C310&lt;='SOLLECITAZ NASCOSTO'!$P$9,IF(C310&lt;='SOLLECITAZ NASCOSTO'!$P$8,IF(C310&lt;='SOLLECITAZ NASCOSTO'!$P$7,IF(C310&lt;='SOLLECITAZ NASCOSTO'!$P$6,IF(C310&lt;='SOLLECITAZ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paramento'!$C$111)+IF(C310&lt;='SOLLECITAZ NASCOSTO'!$P$12,IF(C310&lt;='SOLLECITAZ NASCOSTO'!$P$11,IF(C310&lt;='SOLLECITAZ NASCOSTO'!$P$10,IF(C310&lt;='SOLLECITAZ NASCOSTO'!$P$9,IF(C310&lt;='SOLLECITAZ NASCOSTO'!$P$8,IF(C310&lt;='SOLLECITAZ NASCOSTO'!$P$7,IF(C310&lt;='SOLLECITAZ NASCOSTO'!$P$6,IF(C310&lt;='SOLLECITAZ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85.230520561624957</v>
      </c>
      <c r="O311" s="41">
        <f>IF(C311&lt;='SOLLECITAZ NASCOSTO'!$P$12,IF(C311&lt;='SOLLECITAZ NASCOSTO'!$P$11,IF(C311&lt;='SOLLECITAZ NASCOSTO'!$P$10,IF(C311&lt;='SOLLECITAZ NASCOSTO'!$P$9,IF(C311&lt;='SOLLECITAZ NASCOSTO'!$P$8,IF(C311&lt;='SOLLECITAZ NASCOSTO'!$P$7,IF(C311&lt;='SOLLECITAZ NASCOSTO'!$P$6,IF(C311&lt;='SOLLECITAZ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paramento'!$G$110),55555)*(C311-C310)/IF(C311&lt;='SOLLECITAZ NASCOSTO'!$P$12,IF(C311&lt;='SOLLECITAZ NASCOSTO'!$P$11,IF(C311&lt;='SOLLECITAZ NASCOSTO'!$P$10,IF(C311&lt;='SOLLECITAZ NASCOSTO'!$P$9,IF(C311&lt;='SOLLECITAZ NASCOSTO'!$P$8,IF(C311&lt;='SOLLECITAZ NASCOSTO'!$P$7,IF(C311&lt;='SOLLECITAZ NASCOSTO'!$P$6,IF(C311&lt;='SOLLECITAZ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11" s="41">
        <f t="shared" si="93"/>
        <v>2.7800000000000025E-4</v>
      </c>
      <c r="Q311" s="41">
        <f t="shared" si="91"/>
        <v>1</v>
      </c>
      <c r="R311" s="434">
        <f t="shared" si="85"/>
        <v>3.0395316928865044</v>
      </c>
      <c r="S311" s="45">
        <f t="shared" si="92"/>
        <v>3.0395316928865044</v>
      </c>
      <c r="T311" s="205">
        <f t="shared" si="88"/>
        <v>1.9925298993743765</v>
      </c>
      <c r="U311" s="45">
        <f t="shared" si="89"/>
        <v>150.39753222425239</v>
      </c>
      <c r="V311" s="45">
        <f t="shared" si="90"/>
        <v>-173.12468043759523</v>
      </c>
      <c r="W311" s="488"/>
    </row>
    <row r="312" spans="1:27" x14ac:dyDescent="0.25">
      <c r="A312" s="581">
        <f t="shared" si="86"/>
        <v>0.52637538625715397</v>
      </c>
      <c r="B312" s="31">
        <f t="shared" si="76"/>
        <v>280</v>
      </c>
      <c r="C312" s="434">
        <f>'SOLLECITAZ NASCOSTO'!$D$6/'SOLLECITAZ NASCOSTO'!$B$448*'SOLLECITAZ NASCOSTO'!B312</f>
        <v>3.0504260717140546</v>
      </c>
      <c r="D312" s="434">
        <f t="shared" si="87"/>
        <v>0.64637538625715396</v>
      </c>
      <c r="E312" s="434">
        <f t="shared" si="81"/>
        <v>0.52637538625715397</v>
      </c>
      <c r="F312" s="434">
        <f t="shared" si="82"/>
        <v>0.46844012360228926</v>
      </c>
      <c r="G312" s="434">
        <f t="shared" si="83"/>
        <v>8.2544182393453597E-2</v>
      </c>
      <c r="H312" s="434">
        <f t="shared" si="77"/>
        <v>0</v>
      </c>
      <c r="I312" s="434">
        <v>0</v>
      </c>
      <c r="J312" s="127">
        <f t="shared" si="78"/>
        <v>0.17621074334685835</v>
      </c>
      <c r="K312" s="126">
        <f t="shared" si="84"/>
        <v>1.5516521404929049E-2</v>
      </c>
      <c r="L312" s="41">
        <f t="shared" si="79"/>
        <v>151.33028393638628</v>
      </c>
      <c r="M312" s="41">
        <f t="shared" si="80"/>
        <v>-174.76824900362695</v>
      </c>
      <c r="N312" s="41">
        <f>(IF(C311&lt;='SOLLECITAZ NASCOSTO'!$P$12,IF(C311&lt;='SOLLECITAZ NASCOSTO'!$P$11,IF(C311&lt;='SOLLECITAZ NASCOSTO'!$P$10,IF(C311&lt;='SOLLECITAZ NASCOSTO'!$P$9,IF(C311&lt;='SOLLECITAZ NASCOSTO'!$P$8,IF(C311&lt;='SOLLECITAZ NASCOSTO'!$P$7,IF(C311&lt;='SOLLECITAZ NASCOSTO'!$P$6,IF(C311&lt;='SOLLECITAZ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paramento'!$G$111),55555)-IF(C311&lt;='SOLLECITAZ NASCOSTO'!$P$12,IF(C311&lt;='SOLLECITAZ NASCOSTO'!$P$11,IF(C311&lt;='SOLLECITAZ NASCOSTO'!$P$10,IF(C311&lt;='SOLLECITAZ NASCOSTO'!$P$9,IF(C311&lt;='SOLLECITAZ NASCOSTO'!$P$8,IF(C311&lt;='SOLLECITAZ NASCOSTO'!$P$7,IF(C311&lt;='SOLLECITAZ NASCOSTO'!$P$6,IF(C311&lt;='SOLLECITAZ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paramento'!$G$111))*(C311-IF(C311&lt;='SOLLECITAZ NASCOSTO'!$P$12,IF(C311&lt;='SOLLECITAZ NASCOSTO'!$P$11,IF(C311&lt;='SOLLECITAZ NASCOSTO'!$P$10,IF(C311&lt;='SOLLECITAZ NASCOSTO'!$P$9,IF(C311&lt;='SOLLECITAZ NASCOSTO'!$P$8,IF(C311&lt;='SOLLECITAZ NASCOSTO'!$P$7,IF(C311&lt;='SOLLECITAZ NASCOSTO'!$P$6,IF(C311&lt;='SOLLECITAZ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NASCOSTO'!$P$12))/IF(C311&lt;='SOLLECITAZ NASCOSTO'!$P$12,IF(C311&lt;='SOLLECITAZ NASCOSTO'!$P$11,IF(C311&lt;='SOLLECITAZ NASCOSTO'!$P$10,IF(C311&lt;='SOLLECITAZ NASCOSTO'!$P$9,IF(C311&lt;='SOLLECITAZ NASCOSTO'!$P$8,IF(C311&lt;='SOLLECITAZ NASCOSTO'!$P$7,IF(C311&lt;='SOLLECITAZ NASCOSTO'!$P$6,IF(C311&lt;='SOLLECITAZ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paramento'!$C$111)+IF(C311&lt;='SOLLECITAZ NASCOSTO'!$P$12,IF(C311&lt;='SOLLECITAZ NASCOSTO'!$P$11,IF(C311&lt;='SOLLECITAZ NASCOSTO'!$P$10,IF(C311&lt;='SOLLECITAZ NASCOSTO'!$P$9,IF(C311&lt;='SOLLECITAZ NASCOSTO'!$P$8,IF(C311&lt;='SOLLECITAZ NASCOSTO'!$P$7,IF(C311&lt;='SOLLECITAZ NASCOSTO'!$P$6,IF(C311&lt;='SOLLECITAZ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85.488643491074356</v>
      </c>
      <c r="O312" s="41">
        <f>IF(C312&lt;='SOLLECITAZ NASCOSTO'!$P$12,IF(C312&lt;='SOLLECITAZ NASCOSTO'!$P$11,IF(C312&lt;='SOLLECITAZ NASCOSTO'!$P$10,IF(C312&lt;='SOLLECITAZ NASCOSTO'!$P$9,IF(C312&lt;='SOLLECITAZ NASCOSTO'!$P$8,IF(C312&lt;='SOLLECITAZ NASCOSTO'!$P$7,IF(C312&lt;='SOLLECITAZ NASCOSTO'!$P$6,IF(C312&lt;='SOLLECITAZ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paramento'!$G$110),55555)*(C312-C311)/IF(C312&lt;='SOLLECITAZ NASCOSTO'!$P$12,IF(C312&lt;='SOLLECITAZ NASCOSTO'!$P$11,IF(C312&lt;='SOLLECITAZ NASCOSTO'!$P$10,IF(C312&lt;='SOLLECITAZ NASCOSTO'!$P$9,IF(C312&lt;='SOLLECITAZ NASCOSTO'!$P$8,IF(C312&lt;='SOLLECITAZ NASCOSTO'!$P$7,IF(C312&lt;='SOLLECITAZ NASCOSTO'!$P$6,IF(C312&lt;='SOLLECITAZ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12" s="41">
        <f t="shared" si="93"/>
        <v>2.7900000000000028E-4</v>
      </c>
      <c r="Q312" s="41">
        <f t="shared" si="91"/>
        <v>1</v>
      </c>
      <c r="R312" s="434">
        <f t="shared" si="85"/>
        <v>3.0504260717140546</v>
      </c>
      <c r="S312" s="45">
        <f t="shared" si="92"/>
        <v>3.0504260717140546</v>
      </c>
      <c r="T312" s="205">
        <f t="shared" si="88"/>
        <v>1.9816355205468263</v>
      </c>
      <c r="U312" s="45">
        <f t="shared" si="89"/>
        <v>151.33028393638628</v>
      </c>
      <c r="V312" s="45">
        <f t="shared" si="90"/>
        <v>-174.76824900362695</v>
      </c>
      <c r="W312" s="488"/>
    </row>
    <row r="313" spans="1:27" x14ac:dyDescent="0.25">
      <c r="A313" s="581">
        <f t="shared" si="86"/>
        <v>0.52794622900526311</v>
      </c>
      <c r="B313" s="31">
        <f t="shared" si="76"/>
        <v>281</v>
      </c>
      <c r="C313" s="434">
        <f>'SOLLECITAZ NASCOSTO'!$D$6/'SOLLECITAZ NASCOSTO'!$B$448*'SOLLECITAZ NASCOSTO'!B313</f>
        <v>3.0613204505416047</v>
      </c>
      <c r="D313" s="434">
        <f t="shared" si="87"/>
        <v>0.64794622900526311</v>
      </c>
      <c r="E313" s="434">
        <f t="shared" si="81"/>
        <v>0.52794622900526311</v>
      </c>
      <c r="F313" s="434">
        <f t="shared" si="82"/>
        <v>0.4689427932816842</v>
      </c>
      <c r="G313" s="434">
        <f t="shared" si="83"/>
        <v>8.2869490509142552E-2</v>
      </c>
      <c r="H313" s="434">
        <f t="shared" si="77"/>
        <v>0</v>
      </c>
      <c r="I313" s="434">
        <v>0</v>
      </c>
      <c r="J313" s="127">
        <f t="shared" si="78"/>
        <v>0.17671556466241409</v>
      </c>
      <c r="K313" s="126">
        <f t="shared" si="84"/>
        <v>1.5627891101070136E-2</v>
      </c>
      <c r="L313" s="41">
        <f t="shared" si="79"/>
        <v>152.26584773749769</v>
      </c>
      <c r="M313" s="41">
        <f t="shared" si="80"/>
        <v>-176.42199463814399</v>
      </c>
      <c r="N313" s="41">
        <f>(IF(C312&lt;='SOLLECITAZ NASCOSTO'!$P$12,IF(C312&lt;='SOLLECITAZ NASCOSTO'!$P$11,IF(C312&lt;='SOLLECITAZ NASCOSTO'!$P$10,IF(C312&lt;='SOLLECITAZ NASCOSTO'!$P$9,IF(C312&lt;='SOLLECITAZ NASCOSTO'!$P$8,IF(C312&lt;='SOLLECITAZ NASCOSTO'!$P$7,IF(C312&lt;='SOLLECITAZ NASCOSTO'!$P$6,IF(C312&lt;='SOLLECITAZ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paramento'!$G$111),55555)-IF(C312&lt;='SOLLECITAZ NASCOSTO'!$P$12,IF(C312&lt;='SOLLECITAZ NASCOSTO'!$P$11,IF(C312&lt;='SOLLECITAZ NASCOSTO'!$P$10,IF(C312&lt;='SOLLECITAZ NASCOSTO'!$P$9,IF(C312&lt;='SOLLECITAZ NASCOSTO'!$P$8,IF(C312&lt;='SOLLECITAZ NASCOSTO'!$P$7,IF(C312&lt;='SOLLECITAZ NASCOSTO'!$P$6,IF(C312&lt;='SOLLECITAZ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paramento'!$G$111))*(C312-IF(C312&lt;='SOLLECITAZ NASCOSTO'!$P$12,IF(C312&lt;='SOLLECITAZ NASCOSTO'!$P$11,IF(C312&lt;='SOLLECITAZ NASCOSTO'!$P$10,IF(C312&lt;='SOLLECITAZ NASCOSTO'!$P$9,IF(C312&lt;='SOLLECITAZ NASCOSTO'!$P$8,IF(C312&lt;='SOLLECITAZ NASCOSTO'!$P$7,IF(C312&lt;='SOLLECITAZ NASCOSTO'!$P$6,IF(C312&lt;='SOLLECITAZ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NASCOSTO'!$P$12))/IF(C312&lt;='SOLLECITAZ NASCOSTO'!$P$12,IF(C312&lt;='SOLLECITAZ NASCOSTO'!$P$11,IF(C312&lt;='SOLLECITAZ NASCOSTO'!$P$10,IF(C312&lt;='SOLLECITAZ NASCOSTO'!$P$9,IF(C312&lt;='SOLLECITAZ NASCOSTO'!$P$8,IF(C312&lt;='SOLLECITAZ NASCOSTO'!$P$7,IF(C312&lt;='SOLLECITAZ NASCOSTO'!$P$6,IF(C312&lt;='SOLLECITAZ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paramento'!$C$111)+IF(C312&lt;='SOLLECITAZ NASCOSTO'!$P$12,IF(C312&lt;='SOLLECITAZ NASCOSTO'!$P$11,IF(C312&lt;='SOLLECITAZ NASCOSTO'!$P$10,IF(C312&lt;='SOLLECITAZ NASCOSTO'!$P$9,IF(C312&lt;='SOLLECITAZ NASCOSTO'!$P$8,IF(C312&lt;='SOLLECITAZ NASCOSTO'!$P$7,IF(C312&lt;='SOLLECITAZ NASCOSTO'!$P$6,IF(C312&lt;='SOLLECITAZ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85.746766420523755</v>
      </c>
      <c r="O313" s="41">
        <f>IF(C313&lt;='SOLLECITAZ NASCOSTO'!$P$12,IF(C313&lt;='SOLLECITAZ NASCOSTO'!$P$11,IF(C313&lt;='SOLLECITAZ NASCOSTO'!$P$10,IF(C313&lt;='SOLLECITAZ NASCOSTO'!$P$9,IF(C313&lt;='SOLLECITAZ NASCOSTO'!$P$8,IF(C313&lt;='SOLLECITAZ NASCOSTO'!$P$7,IF(C313&lt;='SOLLECITAZ NASCOSTO'!$P$6,IF(C313&lt;='SOLLECITAZ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paramento'!$G$110),55555)*(C313-C312)/IF(C313&lt;='SOLLECITAZ NASCOSTO'!$P$12,IF(C313&lt;='SOLLECITAZ NASCOSTO'!$P$11,IF(C313&lt;='SOLLECITAZ NASCOSTO'!$P$10,IF(C313&lt;='SOLLECITAZ NASCOSTO'!$P$9,IF(C313&lt;='SOLLECITAZ NASCOSTO'!$P$8,IF(C313&lt;='SOLLECITAZ NASCOSTO'!$P$7,IF(C313&lt;='SOLLECITAZ NASCOSTO'!$P$6,IF(C313&lt;='SOLLECITAZ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13" s="41">
        <f t="shared" si="93"/>
        <v>2.800000000000003E-4</v>
      </c>
      <c r="Q313" s="41">
        <f t="shared" si="91"/>
        <v>1</v>
      </c>
      <c r="R313" s="434">
        <f t="shared" si="85"/>
        <v>3.0613204505416047</v>
      </c>
      <c r="S313" s="45">
        <f t="shared" si="92"/>
        <v>3.0613204505416047</v>
      </c>
      <c r="T313" s="205">
        <f t="shared" si="88"/>
        <v>1.9707411417192762</v>
      </c>
      <c r="U313" s="45">
        <f t="shared" si="89"/>
        <v>152.26584773749769</v>
      </c>
      <c r="V313" s="45">
        <f t="shared" si="90"/>
        <v>-176.42199463814399</v>
      </c>
      <c r="W313" s="488"/>
    </row>
    <row r="314" spans="1:27" x14ac:dyDescent="0.25">
      <c r="A314" s="581">
        <f t="shared" si="86"/>
        <v>0.52951707175337237</v>
      </c>
      <c r="B314" s="31">
        <f t="shared" si="76"/>
        <v>282</v>
      </c>
      <c r="C314" s="434">
        <f>'SOLLECITAZ NASCOSTO'!$D$6/'SOLLECITAZ NASCOSTO'!$B$448*'SOLLECITAZ NASCOSTO'!B314</f>
        <v>3.0722148293691549</v>
      </c>
      <c r="D314" s="434">
        <f t="shared" si="87"/>
        <v>0.64951707175337237</v>
      </c>
      <c r="E314" s="434">
        <f t="shared" si="81"/>
        <v>0.52951707175337237</v>
      </c>
      <c r="F314" s="434">
        <f t="shared" si="82"/>
        <v>0.46944546296107914</v>
      </c>
      <c r="G314" s="434">
        <f t="shared" si="83"/>
        <v>8.319558823985207E-2</v>
      </c>
      <c r="H314" s="434">
        <f t="shared" si="77"/>
        <v>0</v>
      </c>
      <c r="I314" s="434">
        <v>0</v>
      </c>
      <c r="J314" s="127">
        <f t="shared" si="78"/>
        <v>0.17722098689608523</v>
      </c>
      <c r="K314" s="126">
        <f t="shared" si="84"/>
        <v>1.5739765678804467E-2</v>
      </c>
      <c r="L314" s="41">
        <f t="shared" si="79"/>
        <v>153.2042236275866</v>
      </c>
      <c r="M314" s="41">
        <f t="shared" si="80"/>
        <v>-178.08594797710899</v>
      </c>
      <c r="N314" s="41">
        <f>(IF(C313&lt;='SOLLECITAZ NASCOSTO'!$P$12,IF(C313&lt;='SOLLECITAZ NASCOSTO'!$P$11,IF(C313&lt;='SOLLECITAZ NASCOSTO'!$P$10,IF(C313&lt;='SOLLECITAZ NASCOSTO'!$P$9,IF(C313&lt;='SOLLECITAZ NASCOSTO'!$P$8,IF(C313&lt;='SOLLECITAZ NASCOSTO'!$P$7,IF(C313&lt;='SOLLECITAZ NASCOSTO'!$P$6,IF(C313&lt;='SOLLECITAZ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paramento'!$G$111),55555)-IF(C313&lt;='SOLLECITAZ NASCOSTO'!$P$12,IF(C313&lt;='SOLLECITAZ NASCOSTO'!$P$11,IF(C313&lt;='SOLLECITAZ NASCOSTO'!$P$10,IF(C313&lt;='SOLLECITAZ NASCOSTO'!$P$9,IF(C313&lt;='SOLLECITAZ NASCOSTO'!$P$8,IF(C313&lt;='SOLLECITAZ NASCOSTO'!$P$7,IF(C313&lt;='SOLLECITAZ NASCOSTO'!$P$6,IF(C313&lt;='SOLLECITAZ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paramento'!$G$111))*(C313-IF(C313&lt;='SOLLECITAZ NASCOSTO'!$P$12,IF(C313&lt;='SOLLECITAZ NASCOSTO'!$P$11,IF(C313&lt;='SOLLECITAZ NASCOSTO'!$P$10,IF(C313&lt;='SOLLECITAZ NASCOSTO'!$P$9,IF(C313&lt;='SOLLECITAZ NASCOSTO'!$P$8,IF(C313&lt;='SOLLECITAZ NASCOSTO'!$P$7,IF(C313&lt;='SOLLECITAZ NASCOSTO'!$P$6,IF(C313&lt;='SOLLECITAZ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NASCOSTO'!$P$12))/IF(C313&lt;='SOLLECITAZ NASCOSTO'!$P$12,IF(C313&lt;='SOLLECITAZ NASCOSTO'!$P$11,IF(C313&lt;='SOLLECITAZ NASCOSTO'!$P$10,IF(C313&lt;='SOLLECITAZ NASCOSTO'!$P$9,IF(C313&lt;='SOLLECITAZ NASCOSTO'!$P$8,IF(C313&lt;='SOLLECITAZ NASCOSTO'!$P$7,IF(C313&lt;='SOLLECITAZ NASCOSTO'!$P$6,IF(C313&lt;='SOLLECITAZ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paramento'!$C$111)+IF(C313&lt;='SOLLECITAZ NASCOSTO'!$P$12,IF(C313&lt;='SOLLECITAZ NASCOSTO'!$P$11,IF(C313&lt;='SOLLECITAZ NASCOSTO'!$P$10,IF(C313&lt;='SOLLECITAZ NASCOSTO'!$P$9,IF(C313&lt;='SOLLECITAZ NASCOSTO'!$P$8,IF(C313&lt;='SOLLECITAZ NASCOSTO'!$P$7,IF(C313&lt;='SOLLECITAZ NASCOSTO'!$P$6,IF(C313&lt;='SOLLECITAZ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86.004889349973183</v>
      </c>
      <c r="O314" s="41">
        <f>IF(C314&lt;='SOLLECITAZ NASCOSTO'!$P$12,IF(C314&lt;='SOLLECITAZ NASCOSTO'!$P$11,IF(C314&lt;='SOLLECITAZ NASCOSTO'!$P$10,IF(C314&lt;='SOLLECITAZ NASCOSTO'!$P$9,IF(C314&lt;='SOLLECITAZ NASCOSTO'!$P$8,IF(C314&lt;='SOLLECITAZ NASCOSTO'!$P$7,IF(C314&lt;='SOLLECITAZ NASCOSTO'!$P$6,IF(C314&lt;='SOLLECITAZ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paramento'!$G$110),55555)*(C314-C313)/IF(C314&lt;='SOLLECITAZ NASCOSTO'!$P$12,IF(C314&lt;='SOLLECITAZ NASCOSTO'!$P$11,IF(C314&lt;='SOLLECITAZ NASCOSTO'!$P$10,IF(C314&lt;='SOLLECITAZ NASCOSTO'!$P$9,IF(C314&lt;='SOLLECITAZ NASCOSTO'!$P$8,IF(C314&lt;='SOLLECITAZ NASCOSTO'!$P$7,IF(C314&lt;='SOLLECITAZ NASCOSTO'!$P$6,IF(C314&lt;='SOLLECITAZ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14" s="41">
        <f t="shared" si="93"/>
        <v>2.8100000000000033E-4</v>
      </c>
      <c r="Q314" s="41">
        <f t="shared" si="91"/>
        <v>1</v>
      </c>
      <c r="R314" s="434">
        <f t="shared" si="85"/>
        <v>3.0722148293691549</v>
      </c>
      <c r="S314" s="45">
        <f t="shared" si="92"/>
        <v>3.0722148293691549</v>
      </c>
      <c r="T314" s="205">
        <f t="shared" si="88"/>
        <v>1.959846762891726</v>
      </c>
      <c r="U314" s="45">
        <f t="shared" si="89"/>
        <v>153.2042236275866</v>
      </c>
      <c r="V314" s="45">
        <f t="shared" si="90"/>
        <v>-178.08594797710899</v>
      </c>
      <c r="W314" s="488"/>
    </row>
    <row r="315" spans="1:27" x14ac:dyDescent="0.25">
      <c r="A315" s="581">
        <f t="shared" si="86"/>
        <v>0.53108791450148152</v>
      </c>
      <c r="B315" s="31">
        <f t="shared" si="76"/>
        <v>283</v>
      </c>
      <c r="C315" s="434">
        <f>'SOLLECITAZ NASCOSTO'!$D$6/'SOLLECITAZ NASCOSTO'!$B$448*'SOLLECITAZ NASCOSTO'!B315</f>
        <v>3.0831092081967051</v>
      </c>
      <c r="D315" s="434">
        <f t="shared" si="87"/>
        <v>0.65108791450148151</v>
      </c>
      <c r="E315" s="434">
        <f t="shared" si="81"/>
        <v>0.53108791450148152</v>
      </c>
      <c r="F315" s="434">
        <f t="shared" si="82"/>
        <v>0.46994813264047408</v>
      </c>
      <c r="G315" s="434">
        <f t="shared" si="83"/>
        <v>8.3522475585582165E-2</v>
      </c>
      <c r="H315" s="434">
        <f t="shared" si="77"/>
        <v>0</v>
      </c>
      <c r="I315" s="434">
        <v>0</v>
      </c>
      <c r="J315" s="127">
        <f t="shared" si="78"/>
        <v>0.17772700811959524</v>
      </c>
      <c r="K315" s="126">
        <f t="shared" si="84"/>
        <v>1.585214599476744E-2</v>
      </c>
      <c r="L315" s="41">
        <f t="shared" si="79"/>
        <v>154.145411606653</v>
      </c>
      <c r="M315" s="41">
        <f t="shared" si="80"/>
        <v>-179.76013965648457</v>
      </c>
      <c r="N315" s="41">
        <f>(IF(C314&lt;='SOLLECITAZ NASCOSTO'!$P$12,IF(C314&lt;='SOLLECITAZ NASCOSTO'!$P$11,IF(C314&lt;='SOLLECITAZ NASCOSTO'!$P$10,IF(C314&lt;='SOLLECITAZ NASCOSTO'!$P$9,IF(C314&lt;='SOLLECITAZ NASCOSTO'!$P$8,IF(C314&lt;='SOLLECITAZ NASCOSTO'!$P$7,IF(C314&lt;='SOLLECITAZ NASCOSTO'!$P$6,IF(C314&lt;='SOLLECITAZ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paramento'!$G$111),55555)-IF(C314&lt;='SOLLECITAZ NASCOSTO'!$P$12,IF(C314&lt;='SOLLECITAZ NASCOSTO'!$P$11,IF(C314&lt;='SOLLECITAZ NASCOSTO'!$P$10,IF(C314&lt;='SOLLECITAZ NASCOSTO'!$P$9,IF(C314&lt;='SOLLECITAZ NASCOSTO'!$P$8,IF(C314&lt;='SOLLECITAZ NASCOSTO'!$P$7,IF(C314&lt;='SOLLECITAZ NASCOSTO'!$P$6,IF(C314&lt;='SOLLECITAZ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paramento'!$G$111))*(C314-IF(C314&lt;='SOLLECITAZ NASCOSTO'!$P$12,IF(C314&lt;='SOLLECITAZ NASCOSTO'!$P$11,IF(C314&lt;='SOLLECITAZ NASCOSTO'!$P$10,IF(C314&lt;='SOLLECITAZ NASCOSTO'!$P$9,IF(C314&lt;='SOLLECITAZ NASCOSTO'!$P$8,IF(C314&lt;='SOLLECITAZ NASCOSTO'!$P$7,IF(C314&lt;='SOLLECITAZ NASCOSTO'!$P$6,IF(C314&lt;='SOLLECITAZ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NASCOSTO'!$P$12))/IF(C314&lt;='SOLLECITAZ NASCOSTO'!$P$12,IF(C314&lt;='SOLLECITAZ NASCOSTO'!$P$11,IF(C314&lt;='SOLLECITAZ NASCOSTO'!$P$10,IF(C314&lt;='SOLLECITAZ NASCOSTO'!$P$9,IF(C314&lt;='SOLLECITAZ NASCOSTO'!$P$8,IF(C314&lt;='SOLLECITAZ NASCOSTO'!$P$7,IF(C314&lt;='SOLLECITAZ NASCOSTO'!$P$6,IF(C314&lt;='SOLLECITAZ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paramento'!$C$111)+IF(C314&lt;='SOLLECITAZ NASCOSTO'!$P$12,IF(C314&lt;='SOLLECITAZ NASCOSTO'!$P$11,IF(C314&lt;='SOLLECITAZ NASCOSTO'!$P$10,IF(C314&lt;='SOLLECITAZ NASCOSTO'!$P$9,IF(C314&lt;='SOLLECITAZ NASCOSTO'!$P$8,IF(C314&lt;='SOLLECITAZ NASCOSTO'!$P$7,IF(C314&lt;='SOLLECITAZ NASCOSTO'!$P$6,IF(C314&lt;='SOLLECITAZ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86.263012279422583</v>
      </c>
      <c r="O315" s="41">
        <f>IF(C315&lt;='SOLLECITAZ NASCOSTO'!$P$12,IF(C315&lt;='SOLLECITAZ NASCOSTO'!$P$11,IF(C315&lt;='SOLLECITAZ NASCOSTO'!$P$10,IF(C315&lt;='SOLLECITAZ NASCOSTO'!$P$9,IF(C315&lt;='SOLLECITAZ NASCOSTO'!$P$8,IF(C315&lt;='SOLLECITAZ NASCOSTO'!$P$7,IF(C315&lt;='SOLLECITAZ NASCOSTO'!$P$6,IF(C315&lt;='SOLLECITAZ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paramento'!$G$110),55555)*(C315-C314)/IF(C315&lt;='SOLLECITAZ NASCOSTO'!$P$12,IF(C315&lt;='SOLLECITAZ NASCOSTO'!$P$11,IF(C315&lt;='SOLLECITAZ NASCOSTO'!$P$10,IF(C315&lt;='SOLLECITAZ NASCOSTO'!$P$9,IF(C315&lt;='SOLLECITAZ NASCOSTO'!$P$8,IF(C315&lt;='SOLLECITAZ NASCOSTO'!$P$7,IF(C315&lt;='SOLLECITAZ NASCOSTO'!$P$6,IF(C315&lt;='SOLLECITAZ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15" s="41">
        <f t="shared" si="93"/>
        <v>2.8200000000000035E-4</v>
      </c>
      <c r="Q315" s="41">
        <f t="shared" si="91"/>
        <v>1</v>
      </c>
      <c r="R315" s="434">
        <f t="shared" si="85"/>
        <v>3.0831092081967051</v>
      </c>
      <c r="S315" s="45">
        <f t="shared" si="92"/>
        <v>3.0831092081967051</v>
      </c>
      <c r="T315" s="205">
        <f t="shared" si="88"/>
        <v>1.9489523840641758</v>
      </c>
      <c r="U315" s="45">
        <f t="shared" si="89"/>
        <v>154.145411606653</v>
      </c>
      <c r="V315" s="45">
        <f t="shared" si="90"/>
        <v>-179.76013965648457</v>
      </c>
      <c r="W315" s="488"/>
    </row>
    <row r="316" spans="1:27" x14ac:dyDescent="0.25">
      <c r="A316" s="581">
        <f t="shared" si="86"/>
        <v>0.53265875724959066</v>
      </c>
      <c r="B316" s="31">
        <f t="shared" si="76"/>
        <v>284</v>
      </c>
      <c r="C316" s="434">
        <f>'SOLLECITAZ NASCOSTO'!$D$6/'SOLLECITAZ NASCOSTO'!$B$448*'SOLLECITAZ NASCOSTO'!B316</f>
        <v>3.0940035870242553</v>
      </c>
      <c r="D316" s="434">
        <f t="shared" si="87"/>
        <v>0.65265875724959066</v>
      </c>
      <c r="E316" s="434">
        <f t="shared" si="81"/>
        <v>0.53265875724959066</v>
      </c>
      <c r="F316" s="434">
        <f t="shared" si="82"/>
        <v>0.47045080231986902</v>
      </c>
      <c r="G316" s="434">
        <f t="shared" si="83"/>
        <v>8.3850152546332823E-2</v>
      </c>
      <c r="H316" s="434">
        <f t="shared" si="77"/>
        <v>0</v>
      </c>
      <c r="I316" s="434">
        <v>0</v>
      </c>
      <c r="J316" s="127">
        <f t="shared" si="78"/>
        <v>0.17823362641290896</v>
      </c>
      <c r="K316" s="126">
        <f t="shared" si="84"/>
        <v>1.5965032904583891E-2</v>
      </c>
      <c r="L316" s="41">
        <f t="shared" si="79"/>
        <v>155.08941167469689</v>
      </c>
      <c r="M316" s="41">
        <f t="shared" si="80"/>
        <v>-181.44460031223335</v>
      </c>
      <c r="N316" s="41">
        <f>(IF(C315&lt;='SOLLECITAZ NASCOSTO'!$P$12,IF(C315&lt;='SOLLECITAZ NASCOSTO'!$P$11,IF(C315&lt;='SOLLECITAZ NASCOSTO'!$P$10,IF(C315&lt;='SOLLECITAZ NASCOSTO'!$P$9,IF(C315&lt;='SOLLECITAZ NASCOSTO'!$P$8,IF(C315&lt;='SOLLECITAZ NASCOSTO'!$P$7,IF(C315&lt;='SOLLECITAZ NASCOSTO'!$P$6,IF(C315&lt;='SOLLECITAZ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paramento'!$G$111),55555)-IF(C315&lt;='SOLLECITAZ NASCOSTO'!$P$12,IF(C315&lt;='SOLLECITAZ NASCOSTO'!$P$11,IF(C315&lt;='SOLLECITAZ NASCOSTO'!$P$10,IF(C315&lt;='SOLLECITAZ NASCOSTO'!$P$9,IF(C315&lt;='SOLLECITAZ NASCOSTO'!$P$8,IF(C315&lt;='SOLLECITAZ NASCOSTO'!$P$7,IF(C315&lt;='SOLLECITAZ NASCOSTO'!$P$6,IF(C315&lt;='SOLLECITAZ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paramento'!$G$111))*(C315-IF(C315&lt;='SOLLECITAZ NASCOSTO'!$P$12,IF(C315&lt;='SOLLECITAZ NASCOSTO'!$P$11,IF(C315&lt;='SOLLECITAZ NASCOSTO'!$P$10,IF(C315&lt;='SOLLECITAZ NASCOSTO'!$P$9,IF(C315&lt;='SOLLECITAZ NASCOSTO'!$P$8,IF(C315&lt;='SOLLECITAZ NASCOSTO'!$P$7,IF(C315&lt;='SOLLECITAZ NASCOSTO'!$P$6,IF(C315&lt;='SOLLECITAZ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NASCOSTO'!$P$12))/IF(C315&lt;='SOLLECITAZ NASCOSTO'!$P$12,IF(C315&lt;='SOLLECITAZ NASCOSTO'!$P$11,IF(C315&lt;='SOLLECITAZ NASCOSTO'!$P$10,IF(C315&lt;='SOLLECITAZ NASCOSTO'!$P$9,IF(C315&lt;='SOLLECITAZ NASCOSTO'!$P$8,IF(C315&lt;='SOLLECITAZ NASCOSTO'!$P$7,IF(C315&lt;='SOLLECITAZ NASCOSTO'!$P$6,IF(C315&lt;='SOLLECITAZ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paramento'!$C$111)+IF(C315&lt;='SOLLECITAZ NASCOSTO'!$P$12,IF(C315&lt;='SOLLECITAZ NASCOSTO'!$P$11,IF(C315&lt;='SOLLECITAZ NASCOSTO'!$P$10,IF(C315&lt;='SOLLECITAZ NASCOSTO'!$P$9,IF(C315&lt;='SOLLECITAZ NASCOSTO'!$P$8,IF(C315&lt;='SOLLECITAZ NASCOSTO'!$P$7,IF(C315&lt;='SOLLECITAZ NASCOSTO'!$P$6,IF(C315&lt;='SOLLECITAZ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86.521135208871982</v>
      </c>
      <c r="O316" s="41">
        <f>IF(C316&lt;='SOLLECITAZ NASCOSTO'!$P$12,IF(C316&lt;='SOLLECITAZ NASCOSTO'!$P$11,IF(C316&lt;='SOLLECITAZ NASCOSTO'!$P$10,IF(C316&lt;='SOLLECITAZ NASCOSTO'!$P$9,IF(C316&lt;='SOLLECITAZ NASCOSTO'!$P$8,IF(C316&lt;='SOLLECITAZ NASCOSTO'!$P$7,IF(C316&lt;='SOLLECITAZ NASCOSTO'!$P$6,IF(C316&lt;='SOLLECITAZ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paramento'!$G$110),55555)*(C316-C315)/IF(C316&lt;='SOLLECITAZ NASCOSTO'!$P$12,IF(C316&lt;='SOLLECITAZ NASCOSTO'!$P$11,IF(C316&lt;='SOLLECITAZ NASCOSTO'!$P$10,IF(C316&lt;='SOLLECITAZ NASCOSTO'!$P$9,IF(C316&lt;='SOLLECITAZ NASCOSTO'!$P$8,IF(C316&lt;='SOLLECITAZ NASCOSTO'!$P$7,IF(C316&lt;='SOLLECITAZ NASCOSTO'!$P$6,IF(C316&lt;='SOLLECITAZ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16" s="41">
        <f t="shared" si="93"/>
        <v>2.8300000000000037E-4</v>
      </c>
      <c r="Q316" s="41">
        <f t="shared" si="91"/>
        <v>1</v>
      </c>
      <c r="R316" s="434">
        <f t="shared" si="85"/>
        <v>3.0940035870242553</v>
      </c>
      <c r="S316" s="45">
        <f t="shared" si="92"/>
        <v>3.0940035870242553</v>
      </c>
      <c r="T316" s="205">
        <f t="shared" si="88"/>
        <v>1.9380580052366256</v>
      </c>
      <c r="U316" s="45">
        <f t="shared" si="89"/>
        <v>155.08941167469689</v>
      </c>
      <c r="V316" s="45">
        <f t="shared" si="90"/>
        <v>-181.44460031223335</v>
      </c>
      <c r="W316" s="488"/>
      <c r="X316" s="477"/>
    </row>
    <row r="317" spans="1:27" x14ac:dyDescent="0.25">
      <c r="A317" s="581">
        <f t="shared" si="86"/>
        <v>0.53422959999769981</v>
      </c>
      <c r="B317" s="31">
        <f t="shared" si="76"/>
        <v>285</v>
      </c>
      <c r="C317" s="434">
        <f>'SOLLECITAZ NASCOSTO'!$D$6/'SOLLECITAZ NASCOSTO'!$B$448*'SOLLECITAZ NASCOSTO'!B317</f>
        <v>3.1048979658518054</v>
      </c>
      <c r="D317" s="434">
        <f t="shared" si="87"/>
        <v>0.65422959999769981</v>
      </c>
      <c r="E317" s="434">
        <f t="shared" si="81"/>
        <v>0.53422959999769981</v>
      </c>
      <c r="F317" s="434">
        <f t="shared" si="82"/>
        <v>0.47095347199926396</v>
      </c>
      <c r="G317" s="434">
        <f t="shared" si="83"/>
        <v>8.4178619122104045E-2</v>
      </c>
      <c r="H317" s="434">
        <f t="shared" si="77"/>
        <v>0</v>
      </c>
      <c r="I317" s="434">
        <v>0</v>
      </c>
      <c r="J317" s="127">
        <f t="shared" si="78"/>
        <v>0.17874083986418854</v>
      </c>
      <c r="K317" s="126">
        <f t="shared" si="84"/>
        <v>1.6078427262873451E-2</v>
      </c>
      <c r="L317" s="41">
        <f t="shared" si="79"/>
        <v>156.0362238317183</v>
      </c>
      <c r="M317" s="41">
        <f t="shared" si="80"/>
        <v>-183.13936058031794</v>
      </c>
      <c r="N317" s="41">
        <f>(IF(C316&lt;='SOLLECITAZ NASCOSTO'!$P$12,IF(C316&lt;='SOLLECITAZ NASCOSTO'!$P$11,IF(C316&lt;='SOLLECITAZ NASCOSTO'!$P$10,IF(C316&lt;='SOLLECITAZ NASCOSTO'!$P$9,IF(C316&lt;='SOLLECITAZ NASCOSTO'!$P$8,IF(C316&lt;='SOLLECITAZ NASCOSTO'!$P$7,IF(C316&lt;='SOLLECITAZ NASCOSTO'!$P$6,IF(C316&lt;='SOLLECITAZ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paramento'!$G$111),55555)-IF(C316&lt;='SOLLECITAZ NASCOSTO'!$P$12,IF(C316&lt;='SOLLECITAZ NASCOSTO'!$P$11,IF(C316&lt;='SOLLECITAZ NASCOSTO'!$P$10,IF(C316&lt;='SOLLECITAZ NASCOSTO'!$P$9,IF(C316&lt;='SOLLECITAZ NASCOSTO'!$P$8,IF(C316&lt;='SOLLECITAZ NASCOSTO'!$P$7,IF(C316&lt;='SOLLECITAZ NASCOSTO'!$P$6,IF(C316&lt;='SOLLECITAZ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paramento'!$G$111))*(C316-IF(C316&lt;='SOLLECITAZ NASCOSTO'!$P$12,IF(C316&lt;='SOLLECITAZ NASCOSTO'!$P$11,IF(C316&lt;='SOLLECITAZ NASCOSTO'!$P$10,IF(C316&lt;='SOLLECITAZ NASCOSTO'!$P$9,IF(C316&lt;='SOLLECITAZ NASCOSTO'!$P$8,IF(C316&lt;='SOLLECITAZ NASCOSTO'!$P$7,IF(C316&lt;='SOLLECITAZ NASCOSTO'!$P$6,IF(C316&lt;='SOLLECITAZ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NASCOSTO'!$P$12))/IF(C316&lt;='SOLLECITAZ NASCOSTO'!$P$12,IF(C316&lt;='SOLLECITAZ NASCOSTO'!$P$11,IF(C316&lt;='SOLLECITAZ NASCOSTO'!$P$10,IF(C316&lt;='SOLLECITAZ NASCOSTO'!$P$9,IF(C316&lt;='SOLLECITAZ NASCOSTO'!$P$8,IF(C316&lt;='SOLLECITAZ NASCOSTO'!$P$7,IF(C316&lt;='SOLLECITAZ NASCOSTO'!$P$6,IF(C316&lt;='SOLLECITAZ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paramento'!$C$111)+IF(C316&lt;='SOLLECITAZ NASCOSTO'!$P$12,IF(C316&lt;='SOLLECITAZ NASCOSTO'!$P$11,IF(C316&lt;='SOLLECITAZ NASCOSTO'!$P$10,IF(C316&lt;='SOLLECITAZ NASCOSTO'!$P$9,IF(C316&lt;='SOLLECITAZ NASCOSTO'!$P$8,IF(C316&lt;='SOLLECITAZ NASCOSTO'!$P$7,IF(C316&lt;='SOLLECITAZ NASCOSTO'!$P$6,IF(C316&lt;='SOLLECITAZ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86.779258138321381</v>
      </c>
      <c r="O317" s="41">
        <f>IF(C317&lt;='SOLLECITAZ NASCOSTO'!$P$12,IF(C317&lt;='SOLLECITAZ NASCOSTO'!$P$11,IF(C317&lt;='SOLLECITAZ NASCOSTO'!$P$10,IF(C317&lt;='SOLLECITAZ NASCOSTO'!$P$9,IF(C317&lt;='SOLLECITAZ NASCOSTO'!$P$8,IF(C317&lt;='SOLLECITAZ NASCOSTO'!$P$7,IF(C317&lt;='SOLLECITAZ NASCOSTO'!$P$6,IF(C317&lt;='SOLLECITAZ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paramento'!$G$110),55555)*(C317-C316)/IF(C317&lt;='SOLLECITAZ NASCOSTO'!$P$12,IF(C317&lt;='SOLLECITAZ NASCOSTO'!$P$11,IF(C317&lt;='SOLLECITAZ NASCOSTO'!$P$10,IF(C317&lt;='SOLLECITAZ NASCOSTO'!$P$9,IF(C317&lt;='SOLLECITAZ NASCOSTO'!$P$8,IF(C317&lt;='SOLLECITAZ NASCOSTO'!$P$7,IF(C317&lt;='SOLLECITAZ NASCOSTO'!$P$6,IF(C317&lt;='SOLLECITAZ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17" s="41">
        <f t="shared" si="93"/>
        <v>2.840000000000004E-4</v>
      </c>
      <c r="Q317" s="41">
        <f t="shared" si="91"/>
        <v>1</v>
      </c>
      <c r="R317" s="434">
        <f t="shared" si="85"/>
        <v>3.1048979658518054</v>
      </c>
      <c r="S317" s="45">
        <f t="shared" si="92"/>
        <v>3.1048979658518054</v>
      </c>
      <c r="T317" s="205">
        <f t="shared" si="88"/>
        <v>1.9271636264090755</v>
      </c>
      <c r="U317" s="45">
        <f t="shared" si="89"/>
        <v>156.0362238317183</v>
      </c>
      <c r="V317" s="45">
        <f t="shared" si="90"/>
        <v>-183.13936058031794</v>
      </c>
      <c r="W317" s="488"/>
      <c r="X317" s="477"/>
      <c r="Y317" s="421"/>
    </row>
    <row r="318" spans="1:27" x14ac:dyDescent="0.25">
      <c r="A318" s="581">
        <f t="shared" si="86"/>
        <v>0.53580044274580896</v>
      </c>
      <c r="B318" s="31">
        <f t="shared" si="76"/>
        <v>286</v>
      </c>
      <c r="C318" s="434">
        <f>'SOLLECITAZ NASCOSTO'!$D$6/'SOLLECITAZ NASCOSTO'!$B$448*'SOLLECITAZ NASCOSTO'!B318</f>
        <v>3.1157923446793556</v>
      </c>
      <c r="D318" s="434">
        <f t="shared" si="87"/>
        <v>0.65580044274580895</v>
      </c>
      <c r="E318" s="434">
        <f t="shared" si="81"/>
        <v>0.53580044274580896</v>
      </c>
      <c r="F318" s="434">
        <f t="shared" si="82"/>
        <v>0.47145614167865885</v>
      </c>
      <c r="G318" s="434">
        <f t="shared" si="83"/>
        <v>8.4507875312895844E-2</v>
      </c>
      <c r="H318" s="434">
        <f t="shared" si="77"/>
        <v>0</v>
      </c>
      <c r="I318" s="434">
        <v>0</v>
      </c>
      <c r="J318" s="127">
        <f t="shared" si="78"/>
        <v>0.17924864656974987</v>
      </c>
      <c r="K318" s="126">
        <f t="shared" si="84"/>
        <v>1.6192329923255908E-2</v>
      </c>
      <c r="L318" s="41">
        <f t="shared" si="79"/>
        <v>156.98584807771721</v>
      </c>
      <c r="M318" s="41">
        <f t="shared" si="80"/>
        <v>-184.84445109670096</v>
      </c>
      <c r="N318" s="41">
        <f>(IF(C317&lt;='SOLLECITAZ NASCOSTO'!$P$12,IF(C317&lt;='SOLLECITAZ NASCOSTO'!$P$11,IF(C317&lt;='SOLLECITAZ NASCOSTO'!$P$10,IF(C317&lt;='SOLLECITAZ NASCOSTO'!$P$9,IF(C317&lt;='SOLLECITAZ NASCOSTO'!$P$8,IF(C317&lt;='SOLLECITAZ NASCOSTO'!$P$7,IF(C317&lt;='SOLLECITAZ NASCOSTO'!$P$6,IF(C317&lt;='SOLLECITAZ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paramento'!$G$111),55555)-IF(C317&lt;='SOLLECITAZ NASCOSTO'!$P$12,IF(C317&lt;='SOLLECITAZ NASCOSTO'!$P$11,IF(C317&lt;='SOLLECITAZ NASCOSTO'!$P$10,IF(C317&lt;='SOLLECITAZ NASCOSTO'!$P$9,IF(C317&lt;='SOLLECITAZ NASCOSTO'!$P$8,IF(C317&lt;='SOLLECITAZ NASCOSTO'!$P$7,IF(C317&lt;='SOLLECITAZ NASCOSTO'!$P$6,IF(C317&lt;='SOLLECITAZ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paramento'!$G$111))*(C317-IF(C317&lt;='SOLLECITAZ NASCOSTO'!$P$12,IF(C317&lt;='SOLLECITAZ NASCOSTO'!$P$11,IF(C317&lt;='SOLLECITAZ NASCOSTO'!$P$10,IF(C317&lt;='SOLLECITAZ NASCOSTO'!$P$9,IF(C317&lt;='SOLLECITAZ NASCOSTO'!$P$8,IF(C317&lt;='SOLLECITAZ NASCOSTO'!$P$7,IF(C317&lt;='SOLLECITAZ NASCOSTO'!$P$6,IF(C317&lt;='SOLLECITAZ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NASCOSTO'!$P$12))/IF(C317&lt;='SOLLECITAZ NASCOSTO'!$P$12,IF(C317&lt;='SOLLECITAZ NASCOSTO'!$P$11,IF(C317&lt;='SOLLECITAZ NASCOSTO'!$P$10,IF(C317&lt;='SOLLECITAZ NASCOSTO'!$P$9,IF(C317&lt;='SOLLECITAZ NASCOSTO'!$P$8,IF(C317&lt;='SOLLECITAZ NASCOSTO'!$P$7,IF(C317&lt;='SOLLECITAZ NASCOSTO'!$P$6,IF(C317&lt;='SOLLECITAZ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paramento'!$C$111)+IF(C317&lt;='SOLLECITAZ NASCOSTO'!$P$12,IF(C317&lt;='SOLLECITAZ NASCOSTO'!$P$11,IF(C317&lt;='SOLLECITAZ NASCOSTO'!$P$10,IF(C317&lt;='SOLLECITAZ NASCOSTO'!$P$9,IF(C317&lt;='SOLLECITAZ NASCOSTO'!$P$8,IF(C317&lt;='SOLLECITAZ NASCOSTO'!$P$7,IF(C317&lt;='SOLLECITAZ NASCOSTO'!$P$6,IF(C317&lt;='SOLLECITAZ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87.037381067770781</v>
      </c>
      <c r="O318" s="41">
        <f>IF(C318&lt;='SOLLECITAZ NASCOSTO'!$P$12,IF(C318&lt;='SOLLECITAZ NASCOSTO'!$P$11,IF(C318&lt;='SOLLECITAZ NASCOSTO'!$P$10,IF(C318&lt;='SOLLECITAZ NASCOSTO'!$P$9,IF(C318&lt;='SOLLECITAZ NASCOSTO'!$P$8,IF(C318&lt;='SOLLECITAZ NASCOSTO'!$P$7,IF(C318&lt;='SOLLECITAZ NASCOSTO'!$P$6,IF(C318&lt;='SOLLECITAZ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paramento'!$G$110),55555)*(C318-C317)/IF(C318&lt;='SOLLECITAZ NASCOSTO'!$P$12,IF(C318&lt;='SOLLECITAZ NASCOSTO'!$P$11,IF(C318&lt;='SOLLECITAZ NASCOSTO'!$P$10,IF(C318&lt;='SOLLECITAZ NASCOSTO'!$P$9,IF(C318&lt;='SOLLECITAZ NASCOSTO'!$P$8,IF(C318&lt;='SOLLECITAZ NASCOSTO'!$P$7,IF(C318&lt;='SOLLECITAZ NASCOSTO'!$P$6,IF(C318&lt;='SOLLECITAZ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18" s="41">
        <f t="shared" si="93"/>
        <v>2.8500000000000042E-4</v>
      </c>
      <c r="Q318" s="41">
        <f t="shared" si="91"/>
        <v>1</v>
      </c>
      <c r="R318" s="434">
        <f t="shared" si="85"/>
        <v>3.1157923446793556</v>
      </c>
      <c r="S318" s="45">
        <f t="shared" si="92"/>
        <v>3.1157923446793556</v>
      </c>
      <c r="T318" s="205">
        <f t="shared" si="88"/>
        <v>1.9162692475815253</v>
      </c>
      <c r="U318" s="45">
        <f t="shared" si="89"/>
        <v>156.98584807771721</v>
      </c>
      <c r="V318" s="45">
        <f t="shared" si="90"/>
        <v>-184.84445109670096</v>
      </c>
      <c r="W318" s="488"/>
      <c r="X318" s="477"/>
      <c r="Y318" s="421"/>
    </row>
    <row r="319" spans="1:27" x14ac:dyDescent="0.25">
      <c r="A319" s="581">
        <f t="shared" si="86"/>
        <v>0.5373712854939181</v>
      </c>
      <c r="B319" s="31">
        <f t="shared" ref="B319:B326" si="94">B318+1</f>
        <v>287</v>
      </c>
      <c r="C319" s="434">
        <f>'SOLLECITAZ NASCOSTO'!$D$6/'SOLLECITAZ NASCOSTO'!$B$448*'SOLLECITAZ NASCOSTO'!B319</f>
        <v>3.1266867235069058</v>
      </c>
      <c r="D319" s="434">
        <f t="shared" si="87"/>
        <v>0.6573712854939181</v>
      </c>
      <c r="E319" s="434">
        <f t="shared" si="81"/>
        <v>0.5373712854939181</v>
      </c>
      <c r="F319" s="434">
        <f t="shared" si="82"/>
        <v>0.47195881135805379</v>
      </c>
      <c r="G319" s="434">
        <f t="shared" si="83"/>
        <v>8.4837921118708221E-2</v>
      </c>
      <c r="H319" s="434">
        <f t="shared" ref="H319:H326" si="95">I319*F319</f>
        <v>0</v>
      </c>
      <c r="I319" s="434">
        <v>0</v>
      </c>
      <c r="J319" s="127">
        <f t="shared" ref="J319:J326" si="96">G319/F319</f>
        <v>0.17975704463401898</v>
      </c>
      <c r="K319" s="126">
        <f t="shared" si="84"/>
        <v>1.6306741738356521E-2</v>
      </c>
      <c r="L319" s="41">
        <f t="shared" ref="L319:L326" si="97">L318+N319*(C319-C318)+O319*(C319-C318)/2</f>
        <v>157.9382844126936</v>
      </c>
      <c r="M319" s="41">
        <f t="shared" ref="M319:M326" si="98">M318-(L319+L318)*(C319-C318)/2</f>
        <v>-186.55990249734504</v>
      </c>
      <c r="N319" s="41">
        <f>(IF(C318&lt;='SOLLECITAZ NASCOSTO'!$P$12,IF(C318&lt;='SOLLECITAZ NASCOSTO'!$P$11,IF(C318&lt;='SOLLECITAZ NASCOSTO'!$P$10,IF(C318&lt;='SOLLECITAZ NASCOSTO'!$P$9,IF(C318&lt;='SOLLECITAZ NASCOSTO'!$P$8,IF(C318&lt;='SOLLECITAZ NASCOSTO'!$P$7,IF(C318&lt;='SOLLECITAZ NASCOSTO'!$P$6,IF(C318&lt;='SOLLECITAZ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paramento'!$G$111),55555)-IF(C318&lt;='SOLLECITAZ NASCOSTO'!$P$12,IF(C318&lt;='SOLLECITAZ NASCOSTO'!$P$11,IF(C318&lt;='SOLLECITAZ NASCOSTO'!$P$10,IF(C318&lt;='SOLLECITAZ NASCOSTO'!$P$9,IF(C318&lt;='SOLLECITAZ NASCOSTO'!$P$8,IF(C318&lt;='SOLLECITAZ NASCOSTO'!$P$7,IF(C318&lt;='SOLLECITAZ NASCOSTO'!$P$6,IF(C318&lt;='SOLLECITAZ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paramento'!$G$111))*(C318-IF(C318&lt;='SOLLECITAZ NASCOSTO'!$P$12,IF(C318&lt;='SOLLECITAZ NASCOSTO'!$P$11,IF(C318&lt;='SOLLECITAZ NASCOSTO'!$P$10,IF(C318&lt;='SOLLECITAZ NASCOSTO'!$P$9,IF(C318&lt;='SOLLECITAZ NASCOSTO'!$P$8,IF(C318&lt;='SOLLECITAZ NASCOSTO'!$P$7,IF(C318&lt;='SOLLECITAZ NASCOSTO'!$P$6,IF(C318&lt;='SOLLECITAZ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NASCOSTO'!$P$12))/IF(C318&lt;='SOLLECITAZ NASCOSTO'!$P$12,IF(C318&lt;='SOLLECITAZ NASCOSTO'!$P$11,IF(C318&lt;='SOLLECITAZ NASCOSTO'!$P$10,IF(C318&lt;='SOLLECITAZ NASCOSTO'!$P$9,IF(C318&lt;='SOLLECITAZ NASCOSTO'!$P$8,IF(C318&lt;='SOLLECITAZ NASCOSTO'!$P$7,IF(C318&lt;='SOLLECITAZ NASCOSTO'!$P$6,IF(C318&lt;='SOLLECITAZ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paramento'!$C$111)+IF(C318&lt;='SOLLECITAZ NASCOSTO'!$P$12,IF(C318&lt;='SOLLECITAZ NASCOSTO'!$P$11,IF(C318&lt;='SOLLECITAZ NASCOSTO'!$P$10,IF(C318&lt;='SOLLECITAZ NASCOSTO'!$P$9,IF(C318&lt;='SOLLECITAZ NASCOSTO'!$P$8,IF(C318&lt;='SOLLECITAZ NASCOSTO'!$P$7,IF(C318&lt;='SOLLECITAZ NASCOSTO'!$P$6,IF(C318&lt;='SOLLECITAZ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87.295503997220209</v>
      </c>
      <c r="O319" s="41">
        <f>IF(C319&lt;='SOLLECITAZ NASCOSTO'!$P$12,IF(C319&lt;='SOLLECITAZ NASCOSTO'!$P$11,IF(C319&lt;='SOLLECITAZ NASCOSTO'!$P$10,IF(C319&lt;='SOLLECITAZ NASCOSTO'!$P$9,IF(C319&lt;='SOLLECITAZ NASCOSTO'!$P$8,IF(C319&lt;='SOLLECITAZ NASCOSTO'!$P$7,IF(C319&lt;='SOLLECITAZ NASCOSTO'!$P$6,IF(C319&lt;='SOLLECITAZ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paramento'!$G$110),55555)*(C319-C318)/IF(C319&lt;='SOLLECITAZ NASCOSTO'!$P$12,IF(C319&lt;='SOLLECITAZ NASCOSTO'!$P$11,IF(C319&lt;='SOLLECITAZ NASCOSTO'!$P$10,IF(C319&lt;='SOLLECITAZ NASCOSTO'!$P$9,IF(C319&lt;='SOLLECITAZ NASCOSTO'!$P$8,IF(C319&lt;='SOLLECITAZ NASCOSTO'!$P$7,IF(C319&lt;='SOLLECITAZ NASCOSTO'!$P$6,IF(C319&lt;='SOLLECITAZ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19" s="41">
        <f t="shared" si="93"/>
        <v>2.8600000000000045E-4</v>
      </c>
      <c r="Q319" s="41">
        <f t="shared" si="91"/>
        <v>1</v>
      </c>
      <c r="R319" s="434">
        <f t="shared" si="85"/>
        <v>3.1266867235069058</v>
      </c>
      <c r="S319" s="45">
        <f t="shared" si="92"/>
        <v>3.1266867235069058</v>
      </c>
      <c r="T319" s="205">
        <f t="shared" si="88"/>
        <v>1.9053748687539751</v>
      </c>
      <c r="U319" s="45">
        <f t="shared" si="89"/>
        <v>157.9382844126936</v>
      </c>
      <c r="V319" s="45">
        <f t="shared" si="90"/>
        <v>-186.55990249734504</v>
      </c>
      <c r="W319" s="488"/>
      <c r="X319" s="477"/>
      <c r="Y319" s="421"/>
    </row>
    <row r="320" spans="1:27" x14ac:dyDescent="0.25">
      <c r="A320" s="581">
        <f t="shared" si="86"/>
        <v>0.53894212824202725</v>
      </c>
      <c r="B320" s="31">
        <f t="shared" si="94"/>
        <v>288</v>
      </c>
      <c r="C320" s="434">
        <f>'SOLLECITAZ NASCOSTO'!$D$6/'SOLLECITAZ NASCOSTO'!$B$448*'SOLLECITAZ NASCOSTO'!B320</f>
        <v>3.137581102334456</v>
      </c>
      <c r="D320" s="434">
        <f t="shared" si="87"/>
        <v>0.65894212824202725</v>
      </c>
      <c r="E320" s="434">
        <f t="shared" si="81"/>
        <v>0.53894212824202725</v>
      </c>
      <c r="F320" s="434">
        <f t="shared" si="82"/>
        <v>0.47246148103744867</v>
      </c>
      <c r="G320" s="434">
        <f t="shared" si="83"/>
        <v>8.516875653954116E-2</v>
      </c>
      <c r="H320" s="434">
        <f t="shared" si="95"/>
        <v>0</v>
      </c>
      <c r="I320" s="434">
        <v>0</v>
      </c>
      <c r="J320" s="127">
        <f t="shared" si="96"/>
        <v>0.18026603216948905</v>
      </c>
      <c r="K320" s="126">
        <f t="shared" si="84"/>
        <v>1.6421663559811339E-2</v>
      </c>
      <c r="L320" s="41">
        <f t="shared" si="97"/>
        <v>158.89353283664749</v>
      </c>
      <c r="M320" s="41">
        <f t="shared" si="98"/>
        <v>-188.28574541821277</v>
      </c>
      <c r="N320" s="41">
        <f>(IF(C319&lt;='SOLLECITAZ NASCOSTO'!$P$12,IF(C319&lt;='SOLLECITAZ NASCOSTO'!$P$11,IF(C319&lt;='SOLLECITAZ NASCOSTO'!$P$10,IF(C319&lt;='SOLLECITAZ NASCOSTO'!$P$9,IF(C319&lt;='SOLLECITAZ NASCOSTO'!$P$8,IF(C319&lt;='SOLLECITAZ NASCOSTO'!$P$7,IF(C319&lt;='SOLLECITAZ NASCOSTO'!$P$6,IF(C319&lt;='SOLLECITAZ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paramento'!$G$111),55555)-IF(C319&lt;='SOLLECITAZ NASCOSTO'!$P$12,IF(C319&lt;='SOLLECITAZ NASCOSTO'!$P$11,IF(C319&lt;='SOLLECITAZ NASCOSTO'!$P$10,IF(C319&lt;='SOLLECITAZ NASCOSTO'!$P$9,IF(C319&lt;='SOLLECITAZ NASCOSTO'!$P$8,IF(C319&lt;='SOLLECITAZ NASCOSTO'!$P$7,IF(C319&lt;='SOLLECITAZ NASCOSTO'!$P$6,IF(C319&lt;='SOLLECITAZ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paramento'!$G$111))*(C319-IF(C319&lt;='SOLLECITAZ NASCOSTO'!$P$12,IF(C319&lt;='SOLLECITAZ NASCOSTO'!$P$11,IF(C319&lt;='SOLLECITAZ NASCOSTO'!$P$10,IF(C319&lt;='SOLLECITAZ NASCOSTO'!$P$9,IF(C319&lt;='SOLLECITAZ NASCOSTO'!$P$8,IF(C319&lt;='SOLLECITAZ NASCOSTO'!$P$7,IF(C319&lt;='SOLLECITAZ NASCOSTO'!$P$6,IF(C319&lt;='SOLLECITAZ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NASCOSTO'!$P$12))/IF(C319&lt;='SOLLECITAZ NASCOSTO'!$P$12,IF(C319&lt;='SOLLECITAZ NASCOSTO'!$P$11,IF(C319&lt;='SOLLECITAZ NASCOSTO'!$P$10,IF(C319&lt;='SOLLECITAZ NASCOSTO'!$P$9,IF(C319&lt;='SOLLECITAZ NASCOSTO'!$P$8,IF(C319&lt;='SOLLECITAZ NASCOSTO'!$P$7,IF(C319&lt;='SOLLECITAZ NASCOSTO'!$P$6,IF(C319&lt;='SOLLECITAZ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paramento'!$C$111)+IF(C319&lt;='SOLLECITAZ NASCOSTO'!$P$12,IF(C319&lt;='SOLLECITAZ NASCOSTO'!$P$11,IF(C319&lt;='SOLLECITAZ NASCOSTO'!$P$10,IF(C319&lt;='SOLLECITAZ NASCOSTO'!$P$9,IF(C319&lt;='SOLLECITAZ NASCOSTO'!$P$8,IF(C319&lt;='SOLLECITAZ NASCOSTO'!$P$7,IF(C319&lt;='SOLLECITAZ NASCOSTO'!$P$6,IF(C319&lt;='SOLLECITAZ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87.553626926669608</v>
      </c>
      <c r="O320" s="41">
        <f>IF(C320&lt;='SOLLECITAZ NASCOSTO'!$P$12,IF(C320&lt;='SOLLECITAZ NASCOSTO'!$P$11,IF(C320&lt;='SOLLECITAZ NASCOSTO'!$P$10,IF(C320&lt;='SOLLECITAZ NASCOSTO'!$P$9,IF(C320&lt;='SOLLECITAZ NASCOSTO'!$P$8,IF(C320&lt;='SOLLECITAZ NASCOSTO'!$P$7,IF(C320&lt;='SOLLECITAZ NASCOSTO'!$P$6,IF(C320&lt;='SOLLECITAZ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paramento'!$G$110),55555)*(C320-C319)/IF(C320&lt;='SOLLECITAZ NASCOSTO'!$P$12,IF(C320&lt;='SOLLECITAZ NASCOSTO'!$P$11,IF(C320&lt;='SOLLECITAZ NASCOSTO'!$P$10,IF(C320&lt;='SOLLECITAZ NASCOSTO'!$P$9,IF(C320&lt;='SOLLECITAZ NASCOSTO'!$P$8,IF(C320&lt;='SOLLECITAZ NASCOSTO'!$P$7,IF(C320&lt;='SOLLECITAZ NASCOSTO'!$P$6,IF(C320&lt;='SOLLECITAZ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20" s="41">
        <f t="shared" si="93"/>
        <v>2.8700000000000047E-4</v>
      </c>
      <c r="Q320" s="41">
        <f t="shared" si="91"/>
        <v>1</v>
      </c>
      <c r="R320" s="434">
        <f t="shared" si="85"/>
        <v>3.137581102334456</v>
      </c>
      <c r="S320" s="45">
        <f t="shared" si="92"/>
        <v>3.137581102334456</v>
      </c>
      <c r="T320" s="205">
        <f t="shared" si="88"/>
        <v>1.8944804899264249</v>
      </c>
      <c r="U320" s="45">
        <f t="shared" si="89"/>
        <v>158.89353283664749</v>
      </c>
      <c r="V320" s="45">
        <f t="shared" si="90"/>
        <v>-188.28574541821277</v>
      </c>
      <c r="W320" s="488"/>
      <c r="X320" s="477"/>
      <c r="Y320" s="421"/>
    </row>
    <row r="321" spans="1:25" x14ac:dyDescent="0.25">
      <c r="A321" s="581">
        <f t="shared" si="86"/>
        <v>0.5405129709901364</v>
      </c>
      <c r="B321" s="31">
        <f t="shared" si="94"/>
        <v>289</v>
      </c>
      <c r="C321" s="434">
        <f>'SOLLECITAZ NASCOSTO'!$D$6/'SOLLECITAZ NASCOSTO'!$B$448*'SOLLECITAZ NASCOSTO'!B321</f>
        <v>3.1484754811620062</v>
      </c>
      <c r="D321" s="434">
        <f t="shared" si="87"/>
        <v>0.66051297099013639</v>
      </c>
      <c r="E321" s="434">
        <f t="shared" si="81"/>
        <v>0.5405129709901364</v>
      </c>
      <c r="F321" s="434">
        <f t="shared" si="82"/>
        <v>0.47296415071684361</v>
      </c>
      <c r="G321" s="434">
        <f t="shared" si="83"/>
        <v>8.5500381575394691E-2</v>
      </c>
      <c r="H321" s="434">
        <f t="shared" si="95"/>
        <v>0</v>
      </c>
      <c r="I321" s="434">
        <v>0</v>
      </c>
      <c r="J321" s="127">
        <f t="shared" si="96"/>
        <v>0.18077560729667747</v>
      </c>
      <c r="K321" s="126">
        <f t="shared" si="84"/>
        <v>1.6537096238272431E-2</v>
      </c>
      <c r="L321" s="41">
        <f t="shared" si="97"/>
        <v>159.85159334957888</v>
      </c>
      <c r="M321" s="41">
        <f t="shared" si="98"/>
        <v>-190.02201049526678</v>
      </c>
      <c r="N321" s="41">
        <f>(IF(C320&lt;='SOLLECITAZ NASCOSTO'!$P$12,IF(C320&lt;='SOLLECITAZ NASCOSTO'!$P$11,IF(C320&lt;='SOLLECITAZ NASCOSTO'!$P$10,IF(C320&lt;='SOLLECITAZ NASCOSTO'!$P$9,IF(C320&lt;='SOLLECITAZ NASCOSTO'!$P$8,IF(C320&lt;='SOLLECITAZ NASCOSTO'!$P$7,IF(C320&lt;='SOLLECITAZ NASCOSTO'!$P$6,IF(C320&lt;='SOLLECITAZ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paramento'!$G$111),55555)-IF(C320&lt;='SOLLECITAZ NASCOSTO'!$P$12,IF(C320&lt;='SOLLECITAZ NASCOSTO'!$P$11,IF(C320&lt;='SOLLECITAZ NASCOSTO'!$P$10,IF(C320&lt;='SOLLECITAZ NASCOSTO'!$P$9,IF(C320&lt;='SOLLECITAZ NASCOSTO'!$P$8,IF(C320&lt;='SOLLECITAZ NASCOSTO'!$P$7,IF(C320&lt;='SOLLECITAZ NASCOSTO'!$P$6,IF(C320&lt;='SOLLECITAZ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paramento'!$G$111))*(C320-IF(C320&lt;='SOLLECITAZ NASCOSTO'!$P$12,IF(C320&lt;='SOLLECITAZ NASCOSTO'!$P$11,IF(C320&lt;='SOLLECITAZ NASCOSTO'!$P$10,IF(C320&lt;='SOLLECITAZ NASCOSTO'!$P$9,IF(C320&lt;='SOLLECITAZ NASCOSTO'!$P$8,IF(C320&lt;='SOLLECITAZ NASCOSTO'!$P$7,IF(C320&lt;='SOLLECITAZ NASCOSTO'!$P$6,IF(C320&lt;='SOLLECITAZ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NASCOSTO'!$P$12))/IF(C320&lt;='SOLLECITAZ NASCOSTO'!$P$12,IF(C320&lt;='SOLLECITAZ NASCOSTO'!$P$11,IF(C320&lt;='SOLLECITAZ NASCOSTO'!$P$10,IF(C320&lt;='SOLLECITAZ NASCOSTO'!$P$9,IF(C320&lt;='SOLLECITAZ NASCOSTO'!$P$8,IF(C320&lt;='SOLLECITAZ NASCOSTO'!$P$7,IF(C320&lt;='SOLLECITAZ NASCOSTO'!$P$6,IF(C320&lt;='SOLLECITAZ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paramento'!$C$111)+IF(C320&lt;='SOLLECITAZ NASCOSTO'!$P$12,IF(C320&lt;='SOLLECITAZ NASCOSTO'!$P$11,IF(C320&lt;='SOLLECITAZ NASCOSTO'!$P$10,IF(C320&lt;='SOLLECITAZ NASCOSTO'!$P$9,IF(C320&lt;='SOLLECITAZ NASCOSTO'!$P$8,IF(C320&lt;='SOLLECITAZ NASCOSTO'!$P$7,IF(C320&lt;='SOLLECITAZ NASCOSTO'!$P$6,IF(C320&lt;='SOLLECITAZ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87.811749856119008</v>
      </c>
      <c r="O321" s="41">
        <f>IF(C321&lt;='SOLLECITAZ NASCOSTO'!$P$12,IF(C321&lt;='SOLLECITAZ NASCOSTO'!$P$11,IF(C321&lt;='SOLLECITAZ NASCOSTO'!$P$10,IF(C321&lt;='SOLLECITAZ NASCOSTO'!$P$9,IF(C321&lt;='SOLLECITAZ NASCOSTO'!$P$8,IF(C321&lt;='SOLLECITAZ NASCOSTO'!$P$7,IF(C321&lt;='SOLLECITAZ NASCOSTO'!$P$6,IF(C321&lt;='SOLLECITAZ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paramento'!$G$110),55555)*(C321-C320)/IF(C321&lt;='SOLLECITAZ NASCOSTO'!$P$12,IF(C321&lt;='SOLLECITAZ NASCOSTO'!$P$11,IF(C321&lt;='SOLLECITAZ NASCOSTO'!$P$10,IF(C321&lt;='SOLLECITAZ NASCOSTO'!$P$9,IF(C321&lt;='SOLLECITAZ NASCOSTO'!$P$8,IF(C321&lt;='SOLLECITAZ NASCOSTO'!$P$7,IF(C321&lt;='SOLLECITAZ NASCOSTO'!$P$6,IF(C321&lt;='SOLLECITAZ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21" s="41">
        <f t="shared" si="93"/>
        <v>2.880000000000005E-4</v>
      </c>
      <c r="Q321" s="41">
        <f t="shared" si="91"/>
        <v>1</v>
      </c>
      <c r="R321" s="434">
        <f t="shared" si="85"/>
        <v>3.1484754811620062</v>
      </c>
      <c r="S321" s="45">
        <f t="shared" si="92"/>
        <v>3.1484754811620062</v>
      </c>
      <c r="T321" s="205">
        <f t="shared" si="88"/>
        <v>1.8835861110988747</v>
      </c>
      <c r="U321" s="45">
        <f t="shared" si="89"/>
        <v>159.85159334957888</v>
      </c>
      <c r="V321" s="45">
        <f t="shared" si="90"/>
        <v>-190.02201049526678</v>
      </c>
      <c r="W321" s="488"/>
      <c r="X321" s="477"/>
      <c r="Y321" s="421"/>
    </row>
    <row r="322" spans="1:25" x14ac:dyDescent="0.25">
      <c r="A322" s="581">
        <f t="shared" si="86"/>
        <v>0.54208381373824555</v>
      </c>
      <c r="B322" s="31">
        <f t="shared" si="94"/>
        <v>290</v>
      </c>
      <c r="C322" s="434">
        <f>'SOLLECITAZ NASCOSTO'!$D$6/'SOLLECITAZ NASCOSTO'!$B$448*'SOLLECITAZ NASCOSTO'!B322</f>
        <v>3.1593698599895563</v>
      </c>
      <c r="D322" s="434">
        <f t="shared" si="87"/>
        <v>0.66208381373824554</v>
      </c>
      <c r="E322" s="434">
        <f t="shared" si="81"/>
        <v>0.54208381373824555</v>
      </c>
      <c r="F322" s="434">
        <f t="shared" si="82"/>
        <v>0.47346682039623855</v>
      </c>
      <c r="G322" s="434">
        <f t="shared" si="83"/>
        <v>8.5832796226268784E-2</v>
      </c>
      <c r="H322" s="434">
        <f t="shared" si="95"/>
        <v>0</v>
      </c>
      <c r="I322" s="434">
        <v>0</v>
      </c>
      <c r="J322" s="127">
        <f t="shared" si="96"/>
        <v>0.1812857681440832</v>
      </c>
      <c r="K322" s="126">
        <f t="shared" si="84"/>
        <v>1.6653040623413114E-2</v>
      </c>
      <c r="L322" s="41">
        <f t="shared" si="97"/>
        <v>160.81246595148778</v>
      </c>
      <c r="M322" s="41">
        <f t="shared" si="98"/>
        <v>-191.76872836446969</v>
      </c>
      <c r="N322" s="41">
        <f>(IF(C321&lt;='SOLLECITAZ NASCOSTO'!$P$12,IF(C321&lt;='SOLLECITAZ NASCOSTO'!$P$11,IF(C321&lt;='SOLLECITAZ NASCOSTO'!$P$10,IF(C321&lt;='SOLLECITAZ NASCOSTO'!$P$9,IF(C321&lt;='SOLLECITAZ NASCOSTO'!$P$8,IF(C321&lt;='SOLLECITAZ NASCOSTO'!$P$7,IF(C321&lt;='SOLLECITAZ NASCOSTO'!$P$6,IF(C321&lt;='SOLLECITAZ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paramento'!$G$111),55555)-IF(C321&lt;='SOLLECITAZ NASCOSTO'!$P$12,IF(C321&lt;='SOLLECITAZ NASCOSTO'!$P$11,IF(C321&lt;='SOLLECITAZ NASCOSTO'!$P$10,IF(C321&lt;='SOLLECITAZ NASCOSTO'!$P$9,IF(C321&lt;='SOLLECITAZ NASCOSTO'!$P$8,IF(C321&lt;='SOLLECITAZ NASCOSTO'!$P$7,IF(C321&lt;='SOLLECITAZ NASCOSTO'!$P$6,IF(C321&lt;='SOLLECITAZ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paramento'!$G$111))*(C321-IF(C321&lt;='SOLLECITAZ NASCOSTO'!$P$12,IF(C321&lt;='SOLLECITAZ NASCOSTO'!$P$11,IF(C321&lt;='SOLLECITAZ NASCOSTO'!$P$10,IF(C321&lt;='SOLLECITAZ NASCOSTO'!$P$9,IF(C321&lt;='SOLLECITAZ NASCOSTO'!$P$8,IF(C321&lt;='SOLLECITAZ NASCOSTO'!$P$7,IF(C321&lt;='SOLLECITAZ NASCOSTO'!$P$6,IF(C321&lt;='SOLLECITAZ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NASCOSTO'!$P$12))/IF(C321&lt;='SOLLECITAZ NASCOSTO'!$P$12,IF(C321&lt;='SOLLECITAZ NASCOSTO'!$P$11,IF(C321&lt;='SOLLECITAZ NASCOSTO'!$P$10,IF(C321&lt;='SOLLECITAZ NASCOSTO'!$P$9,IF(C321&lt;='SOLLECITAZ NASCOSTO'!$P$8,IF(C321&lt;='SOLLECITAZ NASCOSTO'!$P$7,IF(C321&lt;='SOLLECITAZ NASCOSTO'!$P$6,IF(C321&lt;='SOLLECITAZ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paramento'!$C$111)+IF(C321&lt;='SOLLECITAZ NASCOSTO'!$P$12,IF(C321&lt;='SOLLECITAZ NASCOSTO'!$P$11,IF(C321&lt;='SOLLECITAZ NASCOSTO'!$P$10,IF(C321&lt;='SOLLECITAZ NASCOSTO'!$P$9,IF(C321&lt;='SOLLECITAZ NASCOSTO'!$P$8,IF(C321&lt;='SOLLECITAZ NASCOSTO'!$P$7,IF(C321&lt;='SOLLECITAZ NASCOSTO'!$P$6,IF(C321&lt;='SOLLECITAZ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88.069872785568407</v>
      </c>
      <c r="O322" s="41">
        <f>IF(C322&lt;='SOLLECITAZ NASCOSTO'!$P$12,IF(C322&lt;='SOLLECITAZ NASCOSTO'!$P$11,IF(C322&lt;='SOLLECITAZ NASCOSTO'!$P$10,IF(C322&lt;='SOLLECITAZ NASCOSTO'!$P$9,IF(C322&lt;='SOLLECITAZ NASCOSTO'!$P$8,IF(C322&lt;='SOLLECITAZ NASCOSTO'!$P$7,IF(C322&lt;='SOLLECITAZ NASCOSTO'!$P$6,IF(C322&lt;='SOLLECITAZ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paramento'!$G$110),55555)*(C322-C321)/IF(C322&lt;='SOLLECITAZ NASCOSTO'!$P$12,IF(C322&lt;='SOLLECITAZ NASCOSTO'!$P$11,IF(C322&lt;='SOLLECITAZ NASCOSTO'!$P$10,IF(C322&lt;='SOLLECITAZ NASCOSTO'!$P$9,IF(C322&lt;='SOLLECITAZ NASCOSTO'!$P$8,IF(C322&lt;='SOLLECITAZ NASCOSTO'!$P$7,IF(C322&lt;='SOLLECITAZ NASCOSTO'!$P$6,IF(C322&lt;='SOLLECITAZ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22" s="41">
        <f t="shared" si="93"/>
        <v>2.8900000000000052E-4</v>
      </c>
      <c r="Q322" s="41">
        <f t="shared" si="91"/>
        <v>1</v>
      </c>
      <c r="R322" s="434">
        <f t="shared" si="85"/>
        <v>3.1593698599895563</v>
      </c>
      <c r="S322" s="45">
        <f t="shared" si="92"/>
        <v>3.1593698599895563</v>
      </c>
      <c r="T322" s="205">
        <f t="shared" si="88"/>
        <v>1.8726917322713246</v>
      </c>
      <c r="U322" s="45">
        <f t="shared" si="89"/>
        <v>160.81246595148778</v>
      </c>
      <c r="V322" s="45">
        <f t="shared" si="90"/>
        <v>-191.76872836446969</v>
      </c>
      <c r="W322" s="488"/>
      <c r="X322" s="477"/>
      <c r="Y322" s="421"/>
    </row>
    <row r="323" spans="1:25" x14ac:dyDescent="0.25">
      <c r="A323" s="581">
        <f t="shared" si="86"/>
        <v>0.5436546564863548</v>
      </c>
      <c r="B323" s="31">
        <f t="shared" si="94"/>
        <v>291</v>
      </c>
      <c r="C323" s="434">
        <f>'SOLLECITAZ NASCOSTO'!$D$6/'SOLLECITAZ NASCOSTO'!$B$448*'SOLLECITAZ NASCOSTO'!B323</f>
        <v>3.1702642388171065</v>
      </c>
      <c r="D323" s="434">
        <f t="shared" si="87"/>
        <v>0.6636546564863548</v>
      </c>
      <c r="E323" s="434">
        <f t="shared" si="81"/>
        <v>0.5436546564863548</v>
      </c>
      <c r="F323" s="434">
        <f t="shared" si="82"/>
        <v>0.47396949007563349</v>
      </c>
      <c r="G323" s="434">
        <f t="shared" si="83"/>
        <v>8.6166000492163455E-2</v>
      </c>
      <c r="H323" s="434">
        <f t="shared" si="95"/>
        <v>0</v>
      </c>
      <c r="I323" s="434">
        <v>0</v>
      </c>
      <c r="J323" s="127">
        <f t="shared" si="96"/>
        <v>0.1817965128481446</v>
      </c>
      <c r="K323" s="126">
        <f t="shared" si="84"/>
        <v>1.6769497563933169E-2</v>
      </c>
      <c r="L323" s="41">
        <f t="shared" si="97"/>
        <v>161.77615064237418</v>
      </c>
      <c r="M323" s="41">
        <f t="shared" si="98"/>
        <v>-193.52592966178412</v>
      </c>
      <c r="N323" s="41">
        <f>(IF(C322&lt;='SOLLECITAZ NASCOSTO'!$P$12,IF(C322&lt;='SOLLECITAZ NASCOSTO'!$P$11,IF(C322&lt;='SOLLECITAZ NASCOSTO'!$P$10,IF(C322&lt;='SOLLECITAZ NASCOSTO'!$P$9,IF(C322&lt;='SOLLECITAZ NASCOSTO'!$P$8,IF(C322&lt;='SOLLECITAZ NASCOSTO'!$P$7,IF(C322&lt;='SOLLECITAZ NASCOSTO'!$P$6,IF(C322&lt;='SOLLECITAZ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paramento'!$G$111),55555)-IF(C322&lt;='SOLLECITAZ NASCOSTO'!$P$12,IF(C322&lt;='SOLLECITAZ NASCOSTO'!$P$11,IF(C322&lt;='SOLLECITAZ NASCOSTO'!$P$10,IF(C322&lt;='SOLLECITAZ NASCOSTO'!$P$9,IF(C322&lt;='SOLLECITAZ NASCOSTO'!$P$8,IF(C322&lt;='SOLLECITAZ NASCOSTO'!$P$7,IF(C322&lt;='SOLLECITAZ NASCOSTO'!$P$6,IF(C322&lt;='SOLLECITAZ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paramento'!$G$111))*(C322-IF(C322&lt;='SOLLECITAZ NASCOSTO'!$P$12,IF(C322&lt;='SOLLECITAZ NASCOSTO'!$P$11,IF(C322&lt;='SOLLECITAZ NASCOSTO'!$P$10,IF(C322&lt;='SOLLECITAZ NASCOSTO'!$P$9,IF(C322&lt;='SOLLECITAZ NASCOSTO'!$P$8,IF(C322&lt;='SOLLECITAZ NASCOSTO'!$P$7,IF(C322&lt;='SOLLECITAZ NASCOSTO'!$P$6,IF(C322&lt;='SOLLECITAZ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NASCOSTO'!$P$12))/IF(C322&lt;='SOLLECITAZ NASCOSTO'!$P$12,IF(C322&lt;='SOLLECITAZ NASCOSTO'!$P$11,IF(C322&lt;='SOLLECITAZ NASCOSTO'!$P$10,IF(C322&lt;='SOLLECITAZ NASCOSTO'!$P$9,IF(C322&lt;='SOLLECITAZ NASCOSTO'!$P$8,IF(C322&lt;='SOLLECITAZ NASCOSTO'!$P$7,IF(C322&lt;='SOLLECITAZ NASCOSTO'!$P$6,IF(C322&lt;='SOLLECITAZ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paramento'!$C$111)+IF(C322&lt;='SOLLECITAZ NASCOSTO'!$P$12,IF(C322&lt;='SOLLECITAZ NASCOSTO'!$P$11,IF(C322&lt;='SOLLECITAZ NASCOSTO'!$P$10,IF(C322&lt;='SOLLECITAZ NASCOSTO'!$P$9,IF(C322&lt;='SOLLECITAZ NASCOSTO'!$P$8,IF(C322&lt;='SOLLECITAZ NASCOSTO'!$P$7,IF(C322&lt;='SOLLECITAZ NASCOSTO'!$P$6,IF(C322&lt;='SOLLECITAZ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88.327995715017806</v>
      </c>
      <c r="O323" s="41">
        <f>IF(C323&lt;='SOLLECITAZ NASCOSTO'!$P$12,IF(C323&lt;='SOLLECITAZ NASCOSTO'!$P$11,IF(C323&lt;='SOLLECITAZ NASCOSTO'!$P$10,IF(C323&lt;='SOLLECITAZ NASCOSTO'!$P$9,IF(C323&lt;='SOLLECITAZ NASCOSTO'!$P$8,IF(C323&lt;='SOLLECITAZ NASCOSTO'!$P$7,IF(C323&lt;='SOLLECITAZ NASCOSTO'!$P$6,IF(C323&lt;='SOLLECITAZ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paramento'!$G$110),55555)*(C323-C322)/IF(C323&lt;='SOLLECITAZ NASCOSTO'!$P$12,IF(C323&lt;='SOLLECITAZ NASCOSTO'!$P$11,IF(C323&lt;='SOLLECITAZ NASCOSTO'!$P$10,IF(C323&lt;='SOLLECITAZ NASCOSTO'!$P$9,IF(C323&lt;='SOLLECITAZ NASCOSTO'!$P$8,IF(C323&lt;='SOLLECITAZ NASCOSTO'!$P$7,IF(C323&lt;='SOLLECITAZ NASCOSTO'!$P$6,IF(C323&lt;='SOLLECITAZ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23" s="41">
        <f t="shared" si="93"/>
        <v>2.9000000000000054E-4</v>
      </c>
      <c r="Q323" s="41">
        <f t="shared" si="91"/>
        <v>1</v>
      </c>
      <c r="R323" s="434">
        <f t="shared" si="85"/>
        <v>3.1702642388171065</v>
      </c>
      <c r="S323" s="45">
        <f t="shared" si="92"/>
        <v>3.1702642388171065</v>
      </c>
      <c r="T323" s="205">
        <f t="shared" si="88"/>
        <v>1.8617973534437744</v>
      </c>
      <c r="U323" s="45">
        <f t="shared" si="89"/>
        <v>161.77615064237418</v>
      </c>
      <c r="V323" s="45">
        <f t="shared" si="90"/>
        <v>-193.52592966178412</v>
      </c>
      <c r="W323" s="488"/>
      <c r="X323" s="477"/>
      <c r="Y323" s="421"/>
    </row>
    <row r="324" spans="1:25" x14ac:dyDescent="0.25">
      <c r="A324" s="581">
        <f t="shared" si="86"/>
        <v>0.54522549923446395</v>
      </c>
      <c r="B324" s="31">
        <f t="shared" si="94"/>
        <v>292</v>
      </c>
      <c r="C324" s="434">
        <f>'SOLLECITAZ NASCOSTO'!$D$6/'SOLLECITAZ NASCOSTO'!$B$448*'SOLLECITAZ NASCOSTO'!B324</f>
        <v>3.1811586176446567</v>
      </c>
      <c r="D324" s="434">
        <f t="shared" si="87"/>
        <v>0.66522549923446395</v>
      </c>
      <c r="E324" s="434">
        <f t="shared" si="81"/>
        <v>0.54522549923446395</v>
      </c>
      <c r="F324" s="434">
        <f t="shared" si="82"/>
        <v>0.47447215975502843</v>
      </c>
      <c r="G324" s="434">
        <f t="shared" si="83"/>
        <v>8.649999437307869E-2</v>
      </c>
      <c r="H324" s="434">
        <f t="shared" si="95"/>
        <v>0</v>
      </c>
      <c r="I324" s="434">
        <v>0</v>
      </c>
      <c r="J324" s="127">
        <f t="shared" si="96"/>
        <v>0.18230783955319724</v>
      </c>
      <c r="K324" s="126">
        <f t="shared" si="84"/>
        <v>1.6886467907563943E-2</v>
      </c>
      <c r="L324" s="41">
        <f t="shared" si="97"/>
        <v>162.74264742223806</v>
      </c>
      <c r="M324" s="41">
        <f t="shared" si="98"/>
        <v>-195.2936450231727</v>
      </c>
      <c r="N324" s="41">
        <f>(IF(C323&lt;='SOLLECITAZ NASCOSTO'!$P$12,IF(C323&lt;='SOLLECITAZ NASCOSTO'!$P$11,IF(C323&lt;='SOLLECITAZ NASCOSTO'!$P$10,IF(C323&lt;='SOLLECITAZ NASCOSTO'!$P$9,IF(C323&lt;='SOLLECITAZ NASCOSTO'!$P$8,IF(C323&lt;='SOLLECITAZ NASCOSTO'!$P$7,IF(C323&lt;='SOLLECITAZ NASCOSTO'!$P$6,IF(C323&lt;='SOLLECITAZ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paramento'!$G$111),55555)-IF(C323&lt;='SOLLECITAZ NASCOSTO'!$P$12,IF(C323&lt;='SOLLECITAZ NASCOSTO'!$P$11,IF(C323&lt;='SOLLECITAZ NASCOSTO'!$P$10,IF(C323&lt;='SOLLECITAZ NASCOSTO'!$P$9,IF(C323&lt;='SOLLECITAZ NASCOSTO'!$P$8,IF(C323&lt;='SOLLECITAZ NASCOSTO'!$P$7,IF(C323&lt;='SOLLECITAZ NASCOSTO'!$P$6,IF(C323&lt;='SOLLECITAZ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paramento'!$G$111))*(C323-IF(C323&lt;='SOLLECITAZ NASCOSTO'!$P$12,IF(C323&lt;='SOLLECITAZ NASCOSTO'!$P$11,IF(C323&lt;='SOLLECITAZ NASCOSTO'!$P$10,IF(C323&lt;='SOLLECITAZ NASCOSTO'!$P$9,IF(C323&lt;='SOLLECITAZ NASCOSTO'!$P$8,IF(C323&lt;='SOLLECITAZ NASCOSTO'!$P$7,IF(C323&lt;='SOLLECITAZ NASCOSTO'!$P$6,IF(C323&lt;='SOLLECITAZ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NASCOSTO'!$P$12))/IF(C323&lt;='SOLLECITAZ NASCOSTO'!$P$12,IF(C323&lt;='SOLLECITAZ NASCOSTO'!$P$11,IF(C323&lt;='SOLLECITAZ NASCOSTO'!$P$10,IF(C323&lt;='SOLLECITAZ NASCOSTO'!$P$9,IF(C323&lt;='SOLLECITAZ NASCOSTO'!$P$8,IF(C323&lt;='SOLLECITAZ NASCOSTO'!$P$7,IF(C323&lt;='SOLLECITAZ NASCOSTO'!$P$6,IF(C323&lt;='SOLLECITAZ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paramento'!$C$111)+IF(C323&lt;='SOLLECITAZ NASCOSTO'!$P$12,IF(C323&lt;='SOLLECITAZ NASCOSTO'!$P$11,IF(C323&lt;='SOLLECITAZ NASCOSTO'!$P$10,IF(C323&lt;='SOLLECITAZ NASCOSTO'!$P$9,IF(C323&lt;='SOLLECITAZ NASCOSTO'!$P$8,IF(C323&lt;='SOLLECITAZ NASCOSTO'!$P$7,IF(C323&lt;='SOLLECITAZ NASCOSTO'!$P$6,IF(C323&lt;='SOLLECITAZ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88.586118644467234</v>
      </c>
      <c r="O324" s="41">
        <f>IF(C324&lt;='SOLLECITAZ NASCOSTO'!$P$12,IF(C324&lt;='SOLLECITAZ NASCOSTO'!$P$11,IF(C324&lt;='SOLLECITAZ NASCOSTO'!$P$10,IF(C324&lt;='SOLLECITAZ NASCOSTO'!$P$9,IF(C324&lt;='SOLLECITAZ NASCOSTO'!$P$8,IF(C324&lt;='SOLLECITAZ NASCOSTO'!$P$7,IF(C324&lt;='SOLLECITAZ NASCOSTO'!$P$6,IF(C324&lt;='SOLLECITAZ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paramento'!$G$110),55555)*(C324-C323)/IF(C324&lt;='SOLLECITAZ NASCOSTO'!$P$12,IF(C324&lt;='SOLLECITAZ NASCOSTO'!$P$11,IF(C324&lt;='SOLLECITAZ NASCOSTO'!$P$10,IF(C324&lt;='SOLLECITAZ NASCOSTO'!$P$9,IF(C324&lt;='SOLLECITAZ NASCOSTO'!$P$8,IF(C324&lt;='SOLLECITAZ NASCOSTO'!$P$7,IF(C324&lt;='SOLLECITAZ NASCOSTO'!$P$6,IF(C324&lt;='SOLLECITAZ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24" s="41">
        <f t="shared" si="93"/>
        <v>2.9100000000000057E-4</v>
      </c>
      <c r="Q324" s="41">
        <f t="shared" si="91"/>
        <v>1</v>
      </c>
      <c r="R324" s="434">
        <f t="shared" si="85"/>
        <v>3.1811586176446567</v>
      </c>
      <c r="S324" s="45">
        <f t="shared" si="92"/>
        <v>3.1811586176446567</v>
      </c>
      <c r="T324" s="205">
        <f t="shared" si="88"/>
        <v>1.8509029746162242</v>
      </c>
      <c r="U324" s="45">
        <f t="shared" si="89"/>
        <v>162.74264742223806</v>
      </c>
      <c r="V324" s="45">
        <f t="shared" si="90"/>
        <v>-195.2936450231727</v>
      </c>
      <c r="W324" s="488"/>
      <c r="X324" s="477"/>
      <c r="Y324" s="421"/>
    </row>
    <row r="325" spans="1:25" x14ac:dyDescent="0.25">
      <c r="A325" s="581">
        <f t="shared" si="86"/>
        <v>0.5467963419825731</v>
      </c>
      <c r="B325" s="31">
        <f t="shared" si="94"/>
        <v>293</v>
      </c>
      <c r="C325" s="434">
        <f>'SOLLECITAZ NASCOSTO'!$D$6/'SOLLECITAZ NASCOSTO'!$B$448*'SOLLECITAZ NASCOSTO'!B325</f>
        <v>3.1920529964722069</v>
      </c>
      <c r="D325" s="434">
        <f t="shared" si="87"/>
        <v>0.66679634198257309</v>
      </c>
      <c r="E325" s="434">
        <f t="shared" si="81"/>
        <v>0.5467963419825731</v>
      </c>
      <c r="F325" s="434">
        <f t="shared" si="82"/>
        <v>0.47497482943442337</v>
      </c>
      <c r="G325" s="434">
        <f t="shared" si="83"/>
        <v>8.6834777869014487E-2</v>
      </c>
      <c r="H325" s="434">
        <f t="shared" si="95"/>
        <v>0</v>
      </c>
      <c r="I325" s="434">
        <v>0</v>
      </c>
      <c r="J325" s="127">
        <f t="shared" si="96"/>
        <v>0.18281974641143209</v>
      </c>
      <c r="K325" s="126">
        <f t="shared" si="84"/>
        <v>1.7003952501073529E-2</v>
      </c>
      <c r="L325" s="41">
        <f t="shared" si="97"/>
        <v>163.71195629107945</v>
      </c>
      <c r="M325" s="41">
        <f t="shared" si="98"/>
        <v>-197.07190508459803</v>
      </c>
      <c r="N325" s="41">
        <f>(IF(C324&lt;='SOLLECITAZ NASCOSTO'!$P$12,IF(C324&lt;='SOLLECITAZ NASCOSTO'!$P$11,IF(C324&lt;='SOLLECITAZ NASCOSTO'!$P$10,IF(C324&lt;='SOLLECITAZ NASCOSTO'!$P$9,IF(C324&lt;='SOLLECITAZ NASCOSTO'!$P$8,IF(C324&lt;='SOLLECITAZ NASCOSTO'!$P$7,IF(C324&lt;='SOLLECITAZ NASCOSTO'!$P$6,IF(C324&lt;='SOLLECITAZ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paramento'!$G$111),55555)-IF(C324&lt;='SOLLECITAZ NASCOSTO'!$P$12,IF(C324&lt;='SOLLECITAZ NASCOSTO'!$P$11,IF(C324&lt;='SOLLECITAZ NASCOSTO'!$P$10,IF(C324&lt;='SOLLECITAZ NASCOSTO'!$P$9,IF(C324&lt;='SOLLECITAZ NASCOSTO'!$P$8,IF(C324&lt;='SOLLECITAZ NASCOSTO'!$P$7,IF(C324&lt;='SOLLECITAZ NASCOSTO'!$P$6,IF(C324&lt;='SOLLECITAZ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paramento'!$G$111))*(C324-IF(C324&lt;='SOLLECITAZ NASCOSTO'!$P$12,IF(C324&lt;='SOLLECITAZ NASCOSTO'!$P$11,IF(C324&lt;='SOLLECITAZ NASCOSTO'!$P$10,IF(C324&lt;='SOLLECITAZ NASCOSTO'!$P$9,IF(C324&lt;='SOLLECITAZ NASCOSTO'!$P$8,IF(C324&lt;='SOLLECITAZ NASCOSTO'!$P$7,IF(C324&lt;='SOLLECITAZ NASCOSTO'!$P$6,IF(C324&lt;='SOLLECITAZ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NASCOSTO'!$P$12))/IF(C324&lt;='SOLLECITAZ NASCOSTO'!$P$12,IF(C324&lt;='SOLLECITAZ NASCOSTO'!$P$11,IF(C324&lt;='SOLLECITAZ NASCOSTO'!$P$10,IF(C324&lt;='SOLLECITAZ NASCOSTO'!$P$9,IF(C324&lt;='SOLLECITAZ NASCOSTO'!$P$8,IF(C324&lt;='SOLLECITAZ NASCOSTO'!$P$7,IF(C324&lt;='SOLLECITAZ NASCOSTO'!$P$6,IF(C324&lt;='SOLLECITAZ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paramento'!$C$111)+IF(C324&lt;='SOLLECITAZ NASCOSTO'!$P$12,IF(C324&lt;='SOLLECITAZ NASCOSTO'!$P$11,IF(C324&lt;='SOLLECITAZ NASCOSTO'!$P$10,IF(C324&lt;='SOLLECITAZ NASCOSTO'!$P$9,IF(C324&lt;='SOLLECITAZ NASCOSTO'!$P$8,IF(C324&lt;='SOLLECITAZ NASCOSTO'!$P$7,IF(C324&lt;='SOLLECITAZ NASCOSTO'!$P$6,IF(C324&lt;='SOLLECITAZ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88.844241573916634</v>
      </c>
      <c r="O325" s="41">
        <f>IF(C325&lt;='SOLLECITAZ NASCOSTO'!$P$12,IF(C325&lt;='SOLLECITAZ NASCOSTO'!$P$11,IF(C325&lt;='SOLLECITAZ NASCOSTO'!$P$10,IF(C325&lt;='SOLLECITAZ NASCOSTO'!$P$9,IF(C325&lt;='SOLLECITAZ NASCOSTO'!$P$8,IF(C325&lt;='SOLLECITAZ NASCOSTO'!$P$7,IF(C325&lt;='SOLLECITAZ NASCOSTO'!$P$6,IF(C325&lt;='SOLLECITAZ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paramento'!$G$110),55555)*(C325-C324)/IF(C325&lt;='SOLLECITAZ NASCOSTO'!$P$12,IF(C325&lt;='SOLLECITAZ NASCOSTO'!$P$11,IF(C325&lt;='SOLLECITAZ NASCOSTO'!$P$10,IF(C325&lt;='SOLLECITAZ NASCOSTO'!$P$9,IF(C325&lt;='SOLLECITAZ NASCOSTO'!$P$8,IF(C325&lt;='SOLLECITAZ NASCOSTO'!$P$7,IF(C325&lt;='SOLLECITAZ NASCOSTO'!$P$6,IF(C325&lt;='SOLLECITAZ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25" s="41">
        <f t="shared" si="93"/>
        <v>2.9200000000000059E-4</v>
      </c>
      <c r="Q325" s="41">
        <f t="shared" si="91"/>
        <v>1</v>
      </c>
      <c r="R325" s="434">
        <f t="shared" si="85"/>
        <v>3.1920529964722069</v>
      </c>
      <c r="S325" s="45">
        <f t="shared" si="92"/>
        <v>3.1920529964722069</v>
      </c>
      <c r="T325" s="205">
        <f t="shared" si="88"/>
        <v>1.840008595788674</v>
      </c>
      <c r="U325" s="45">
        <f t="shared" si="89"/>
        <v>163.71195629107945</v>
      </c>
      <c r="V325" s="45">
        <f t="shared" si="90"/>
        <v>-197.07190508459803</v>
      </c>
      <c r="W325" s="488"/>
      <c r="X325" s="477"/>
      <c r="Y325" s="421"/>
    </row>
    <row r="326" spans="1:25" x14ac:dyDescent="0.25">
      <c r="A326" s="581">
        <f t="shared" si="86"/>
        <v>0.54836718473068224</v>
      </c>
      <c r="B326" s="31">
        <f t="shared" si="94"/>
        <v>294</v>
      </c>
      <c r="C326" s="434">
        <f>'SOLLECITAZ NASCOSTO'!$D$6/'SOLLECITAZ NASCOSTO'!$B$448*'SOLLECITAZ NASCOSTO'!B326</f>
        <v>3.202947375299757</v>
      </c>
      <c r="D326" s="434">
        <f t="shared" si="87"/>
        <v>0.66836718473068224</v>
      </c>
      <c r="E326" s="434">
        <f t="shared" si="81"/>
        <v>0.54836718473068224</v>
      </c>
      <c r="F326" s="434">
        <f t="shared" si="82"/>
        <v>0.47547749911381831</v>
      </c>
      <c r="G326" s="434">
        <f t="shared" si="83"/>
        <v>8.7170350979970876E-2</v>
      </c>
      <c r="H326" s="434">
        <f t="shared" si="95"/>
        <v>0</v>
      </c>
      <c r="I326" s="434">
        <v>0</v>
      </c>
      <c r="J326" s="127">
        <f t="shared" si="96"/>
        <v>0.18333223158285417</v>
      </c>
      <c r="K326" s="126">
        <f t="shared" si="84"/>
        <v>1.7121952190271843E-2</v>
      </c>
      <c r="L326" s="41">
        <f t="shared" si="97"/>
        <v>164.68407724889835</v>
      </c>
      <c r="M326" s="41">
        <f t="shared" si="98"/>
        <v>-198.86074048202272</v>
      </c>
      <c r="N326" s="41">
        <f>(IF(C325&lt;='SOLLECITAZ NASCOSTO'!$P$12,IF(C325&lt;='SOLLECITAZ NASCOSTO'!$P$11,IF(C325&lt;='SOLLECITAZ NASCOSTO'!$P$10,IF(C325&lt;='SOLLECITAZ NASCOSTO'!$P$9,IF(C325&lt;='SOLLECITAZ NASCOSTO'!$P$8,IF(C325&lt;='SOLLECITAZ NASCOSTO'!$P$7,IF(C325&lt;='SOLLECITAZ NASCOSTO'!$P$6,IF(C325&lt;='SOLLECITAZ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paramento'!$G$111),55555)-IF(C325&lt;='SOLLECITAZ NASCOSTO'!$P$12,IF(C325&lt;='SOLLECITAZ NASCOSTO'!$P$11,IF(C325&lt;='SOLLECITAZ NASCOSTO'!$P$10,IF(C325&lt;='SOLLECITAZ NASCOSTO'!$P$9,IF(C325&lt;='SOLLECITAZ NASCOSTO'!$P$8,IF(C325&lt;='SOLLECITAZ NASCOSTO'!$P$7,IF(C325&lt;='SOLLECITAZ NASCOSTO'!$P$6,IF(C325&lt;='SOLLECITAZ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paramento'!$G$111))*(C325-IF(C325&lt;='SOLLECITAZ NASCOSTO'!$P$12,IF(C325&lt;='SOLLECITAZ NASCOSTO'!$P$11,IF(C325&lt;='SOLLECITAZ NASCOSTO'!$P$10,IF(C325&lt;='SOLLECITAZ NASCOSTO'!$P$9,IF(C325&lt;='SOLLECITAZ NASCOSTO'!$P$8,IF(C325&lt;='SOLLECITAZ NASCOSTO'!$P$7,IF(C325&lt;='SOLLECITAZ NASCOSTO'!$P$6,IF(C325&lt;='SOLLECITAZ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NASCOSTO'!$P$12))/IF(C325&lt;='SOLLECITAZ NASCOSTO'!$P$12,IF(C325&lt;='SOLLECITAZ NASCOSTO'!$P$11,IF(C325&lt;='SOLLECITAZ NASCOSTO'!$P$10,IF(C325&lt;='SOLLECITAZ NASCOSTO'!$P$9,IF(C325&lt;='SOLLECITAZ NASCOSTO'!$P$8,IF(C325&lt;='SOLLECITAZ NASCOSTO'!$P$7,IF(C325&lt;='SOLLECITAZ NASCOSTO'!$P$6,IF(C325&lt;='SOLLECITAZ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paramento'!$C$111)+IF(C325&lt;='SOLLECITAZ NASCOSTO'!$P$12,IF(C325&lt;='SOLLECITAZ NASCOSTO'!$P$11,IF(C325&lt;='SOLLECITAZ NASCOSTO'!$P$10,IF(C325&lt;='SOLLECITAZ NASCOSTO'!$P$9,IF(C325&lt;='SOLLECITAZ NASCOSTO'!$P$8,IF(C325&lt;='SOLLECITAZ NASCOSTO'!$P$7,IF(C325&lt;='SOLLECITAZ NASCOSTO'!$P$6,IF(C325&lt;='SOLLECITAZ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89.102364503366033</v>
      </c>
      <c r="O326" s="41">
        <f>IF(C326&lt;='SOLLECITAZ NASCOSTO'!$P$12,IF(C326&lt;='SOLLECITAZ NASCOSTO'!$P$11,IF(C326&lt;='SOLLECITAZ NASCOSTO'!$P$10,IF(C326&lt;='SOLLECITAZ NASCOSTO'!$P$9,IF(C326&lt;='SOLLECITAZ NASCOSTO'!$P$8,IF(C326&lt;='SOLLECITAZ NASCOSTO'!$P$7,IF(C326&lt;='SOLLECITAZ NASCOSTO'!$P$6,IF(C326&lt;='SOLLECITAZ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paramento'!$G$110),55555)*(C326-C325)/IF(C326&lt;='SOLLECITAZ NASCOSTO'!$P$12,IF(C326&lt;='SOLLECITAZ NASCOSTO'!$P$11,IF(C326&lt;='SOLLECITAZ NASCOSTO'!$P$10,IF(C326&lt;='SOLLECITAZ NASCOSTO'!$P$9,IF(C326&lt;='SOLLECITAZ NASCOSTO'!$P$8,IF(C326&lt;='SOLLECITAZ NASCOSTO'!$P$7,IF(C326&lt;='SOLLECITAZ NASCOSTO'!$P$6,IF(C326&lt;='SOLLECITAZ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26" s="41">
        <f t="shared" si="93"/>
        <v>2.9300000000000062E-4</v>
      </c>
      <c r="Q326" s="41">
        <f t="shared" si="91"/>
        <v>1</v>
      </c>
      <c r="R326" s="434">
        <f t="shared" si="85"/>
        <v>3.202947375299757</v>
      </c>
      <c r="S326" s="45">
        <f t="shared" si="92"/>
        <v>3.202947375299757</v>
      </c>
      <c r="T326" s="205">
        <f t="shared" si="88"/>
        <v>1.8291142169611239</v>
      </c>
      <c r="U326" s="45">
        <f t="shared" si="89"/>
        <v>164.68407724889835</v>
      </c>
      <c r="V326" s="45">
        <f t="shared" si="90"/>
        <v>-198.86074048202272</v>
      </c>
      <c r="W326" s="488"/>
      <c r="X326" s="477"/>
      <c r="Y326" s="421"/>
    </row>
    <row r="327" spans="1:25" x14ac:dyDescent="0.25">
      <c r="A327" s="581">
        <f t="shared" si="86"/>
        <v>0.5499380274787915</v>
      </c>
      <c r="B327" s="31">
        <f t="shared" ref="B327:B352" si="99">B326+1</f>
        <v>295</v>
      </c>
      <c r="C327" s="434">
        <f>'SOLLECITAZ NASCOSTO'!$D$6/'SOLLECITAZ NASCOSTO'!$B$448*'SOLLECITAZ NASCOSTO'!B327</f>
        <v>3.2138417541273077</v>
      </c>
      <c r="D327" s="128">
        <f t="shared" si="87"/>
        <v>0.6699380274787915</v>
      </c>
      <c r="E327" s="128">
        <f t="shared" si="81"/>
        <v>0.5499380274787915</v>
      </c>
      <c r="F327" s="128">
        <f t="shared" si="82"/>
        <v>0.47598016879321325</v>
      </c>
      <c r="G327" s="128">
        <f t="shared" si="83"/>
        <v>8.7506713705947842E-2</v>
      </c>
      <c r="H327" s="128">
        <f t="shared" ref="H327:H351" si="100">I327*F327</f>
        <v>0</v>
      </c>
      <c r="I327" s="128">
        <v>0</v>
      </c>
      <c r="J327" s="127">
        <f t="shared" ref="J327:J351" si="101">G327/F327</f>
        <v>0.1838452932352411</v>
      </c>
      <c r="K327" s="126">
        <f t="shared" si="84"/>
        <v>1.7240467820015669E-2</v>
      </c>
      <c r="L327" s="41">
        <f t="shared" ref="L327:L357" si="102">L326+N327*(C327-C326)+O327*(C327-C326)/2</f>
        <v>165.65901029569477</v>
      </c>
      <c r="M327" s="41">
        <f t="shared" ref="M327:M353" si="103">M326-(L327+L326)*(C327-C326)/2</f>
        <v>-200.66018185140948</v>
      </c>
      <c r="N327" s="41">
        <f>(IF(C326&lt;='SOLLECITAZ NASCOSTO'!$P$12,IF(C326&lt;='SOLLECITAZ NASCOSTO'!$P$11,IF(C326&lt;='SOLLECITAZ NASCOSTO'!$P$10,IF(C326&lt;='SOLLECITAZ NASCOSTO'!$P$9,IF(C326&lt;='SOLLECITAZ NASCOSTO'!$P$8,IF(C326&lt;='SOLLECITAZ NASCOSTO'!$P$7,IF(C326&lt;='SOLLECITAZ NASCOSTO'!$P$6,IF(C326&lt;='SOLLECITAZ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paramento'!$G$111),55555)-IF(C326&lt;='SOLLECITAZ NASCOSTO'!$P$12,IF(C326&lt;='SOLLECITAZ NASCOSTO'!$P$11,IF(C326&lt;='SOLLECITAZ NASCOSTO'!$P$10,IF(C326&lt;='SOLLECITAZ NASCOSTO'!$P$9,IF(C326&lt;='SOLLECITAZ NASCOSTO'!$P$8,IF(C326&lt;='SOLLECITAZ NASCOSTO'!$P$7,IF(C326&lt;='SOLLECITAZ NASCOSTO'!$P$6,IF(C326&lt;='SOLLECITAZ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paramento'!$G$111))*(C326-IF(C326&lt;='SOLLECITAZ NASCOSTO'!$P$12,IF(C326&lt;='SOLLECITAZ NASCOSTO'!$P$11,IF(C326&lt;='SOLLECITAZ NASCOSTO'!$P$10,IF(C326&lt;='SOLLECITAZ NASCOSTO'!$P$9,IF(C326&lt;='SOLLECITAZ NASCOSTO'!$P$8,IF(C326&lt;='SOLLECITAZ NASCOSTO'!$P$7,IF(C326&lt;='SOLLECITAZ NASCOSTO'!$P$6,IF(C326&lt;='SOLLECITAZ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NASCOSTO'!$P$12))/IF(C326&lt;='SOLLECITAZ NASCOSTO'!$P$12,IF(C326&lt;='SOLLECITAZ NASCOSTO'!$P$11,IF(C326&lt;='SOLLECITAZ NASCOSTO'!$P$10,IF(C326&lt;='SOLLECITAZ NASCOSTO'!$P$9,IF(C326&lt;='SOLLECITAZ NASCOSTO'!$P$8,IF(C326&lt;='SOLLECITAZ NASCOSTO'!$P$7,IF(C326&lt;='SOLLECITAZ NASCOSTO'!$P$6,IF(C326&lt;='SOLLECITAZ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paramento'!$C$111)+IF(C326&lt;='SOLLECITAZ NASCOSTO'!$P$12,IF(C326&lt;='SOLLECITAZ NASCOSTO'!$P$11,IF(C326&lt;='SOLLECITAZ NASCOSTO'!$P$10,IF(C326&lt;='SOLLECITAZ NASCOSTO'!$P$9,IF(C326&lt;='SOLLECITAZ NASCOSTO'!$P$8,IF(C326&lt;='SOLLECITAZ NASCOSTO'!$P$7,IF(C326&lt;='SOLLECITAZ NASCOSTO'!$P$6,IF(C326&lt;='SOLLECITAZ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89.360487432815432</v>
      </c>
      <c r="O327" s="41">
        <f>IF(C327&lt;='SOLLECITAZ NASCOSTO'!$P$12,IF(C327&lt;='SOLLECITAZ NASCOSTO'!$P$11,IF(C327&lt;='SOLLECITAZ NASCOSTO'!$P$10,IF(C327&lt;='SOLLECITAZ NASCOSTO'!$P$9,IF(C327&lt;='SOLLECITAZ NASCOSTO'!$P$8,IF(C327&lt;='SOLLECITAZ NASCOSTO'!$P$7,IF(C327&lt;='SOLLECITAZ NASCOSTO'!$P$6,IF(C327&lt;='SOLLECITAZ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paramento'!$G$110),55555)*(C327-C326)/IF(C327&lt;='SOLLECITAZ NASCOSTO'!$P$12,IF(C327&lt;='SOLLECITAZ NASCOSTO'!$P$11,IF(C327&lt;='SOLLECITAZ NASCOSTO'!$P$10,IF(C327&lt;='SOLLECITAZ NASCOSTO'!$P$9,IF(C327&lt;='SOLLECITAZ NASCOSTO'!$P$8,IF(C327&lt;='SOLLECITAZ NASCOSTO'!$P$7,IF(C327&lt;='SOLLECITAZ NASCOSTO'!$P$6,IF(C327&lt;='SOLLECITAZ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0.25812292944941589</v>
      </c>
      <c r="P327" s="41">
        <f t="shared" si="93"/>
        <v>2.9400000000000064E-4</v>
      </c>
      <c r="Q327" s="41">
        <f t="shared" si="91"/>
        <v>1</v>
      </c>
      <c r="R327" s="434">
        <f t="shared" si="85"/>
        <v>3.2138417541273077</v>
      </c>
      <c r="S327" s="45">
        <f t="shared" si="92"/>
        <v>3.2138417541273077</v>
      </c>
      <c r="T327" s="205">
        <f t="shared" si="88"/>
        <v>1.8182198381335732</v>
      </c>
      <c r="U327" s="45">
        <f t="shared" si="89"/>
        <v>165.65901029569477</v>
      </c>
      <c r="V327" s="45">
        <f t="shared" si="90"/>
        <v>-200.66018185140948</v>
      </c>
      <c r="W327" s="488"/>
      <c r="X327" s="477"/>
      <c r="Y327" s="421"/>
    </row>
    <row r="328" spans="1:25" x14ac:dyDescent="0.25">
      <c r="A328" s="581">
        <f t="shared" si="86"/>
        <v>0.55150887022690065</v>
      </c>
      <c r="B328" s="31">
        <f t="shared" si="99"/>
        <v>296</v>
      </c>
      <c r="C328" s="434">
        <f>'SOLLECITAZ NASCOSTO'!$D$6/'SOLLECITAZ NASCOSTO'!$B$448*'SOLLECITAZ NASCOSTO'!B328</f>
        <v>3.2247361329548578</v>
      </c>
      <c r="D328" s="128">
        <f t="shared" si="87"/>
        <v>0.67150887022690064</v>
      </c>
      <c r="E328" s="128">
        <f t="shared" si="81"/>
        <v>0.55150887022690065</v>
      </c>
      <c r="F328" s="128">
        <f t="shared" si="82"/>
        <v>0.47648283847260819</v>
      </c>
      <c r="G328" s="128">
        <f t="shared" si="83"/>
        <v>8.7843866046945357E-2</v>
      </c>
      <c r="H328" s="128">
        <f t="shared" si="100"/>
        <v>0</v>
      </c>
      <c r="I328" s="128">
        <v>0</v>
      </c>
      <c r="J328" s="127">
        <f t="shared" si="101"/>
        <v>0.1843589295441021</v>
      </c>
      <c r="K328" s="126">
        <f t="shared" si="84"/>
        <v>1.7359500234213687E-2</v>
      </c>
      <c r="L328" s="41">
        <f t="shared" si="102"/>
        <v>166.63675543146866</v>
      </c>
      <c r="M328" s="41">
        <f t="shared" si="103"/>
        <v>-202.47025982872077</v>
      </c>
      <c r="N328" s="41">
        <f>(IF(C327&lt;='SOLLECITAZ NASCOSTO'!$P$12,IF(C327&lt;='SOLLECITAZ NASCOSTO'!$P$11,IF(C327&lt;='SOLLECITAZ NASCOSTO'!$P$10,IF(C327&lt;='SOLLECITAZ NASCOSTO'!$P$9,IF(C327&lt;='SOLLECITAZ NASCOSTO'!$P$8,IF(C327&lt;='SOLLECITAZ NASCOSTO'!$P$7,IF(C327&lt;='SOLLECITAZ NASCOSTO'!$P$6,IF(C327&lt;='SOLLECITAZ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paramento'!$G$111),55555)-IF(C327&lt;='SOLLECITAZ NASCOSTO'!$P$12,IF(C327&lt;='SOLLECITAZ NASCOSTO'!$P$11,IF(C327&lt;='SOLLECITAZ NASCOSTO'!$P$10,IF(C327&lt;='SOLLECITAZ NASCOSTO'!$P$9,IF(C327&lt;='SOLLECITAZ NASCOSTO'!$P$8,IF(C327&lt;='SOLLECITAZ NASCOSTO'!$P$7,IF(C327&lt;='SOLLECITAZ NASCOSTO'!$P$6,IF(C327&lt;='SOLLECITAZ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paramento'!$G$111))*(C327-IF(C327&lt;='SOLLECITAZ NASCOSTO'!$P$12,IF(C327&lt;='SOLLECITAZ NASCOSTO'!$P$11,IF(C327&lt;='SOLLECITAZ NASCOSTO'!$P$10,IF(C327&lt;='SOLLECITAZ NASCOSTO'!$P$9,IF(C327&lt;='SOLLECITAZ NASCOSTO'!$P$8,IF(C327&lt;='SOLLECITAZ NASCOSTO'!$P$7,IF(C327&lt;='SOLLECITAZ NASCOSTO'!$P$6,IF(C327&lt;='SOLLECITAZ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NASCOSTO'!$P$12))/IF(C327&lt;='SOLLECITAZ NASCOSTO'!$P$12,IF(C327&lt;='SOLLECITAZ NASCOSTO'!$P$11,IF(C327&lt;='SOLLECITAZ NASCOSTO'!$P$10,IF(C327&lt;='SOLLECITAZ NASCOSTO'!$P$9,IF(C327&lt;='SOLLECITAZ NASCOSTO'!$P$8,IF(C327&lt;='SOLLECITAZ NASCOSTO'!$P$7,IF(C327&lt;='SOLLECITAZ NASCOSTO'!$P$6,IF(C327&lt;='SOLLECITAZ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paramento'!$C$111)+IF(C327&lt;='SOLLECITAZ NASCOSTO'!$P$12,IF(C327&lt;='SOLLECITAZ NASCOSTO'!$P$11,IF(C327&lt;='SOLLECITAZ NASCOSTO'!$P$10,IF(C327&lt;='SOLLECITAZ NASCOSTO'!$P$9,IF(C327&lt;='SOLLECITAZ NASCOSTO'!$P$8,IF(C327&lt;='SOLLECITAZ NASCOSTO'!$P$7,IF(C327&lt;='SOLLECITAZ NASCOSTO'!$P$6,IF(C327&lt;='SOLLECITAZ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89.61861036226486</v>
      </c>
      <c r="O328" s="41">
        <f>IF(C328&lt;='SOLLECITAZ NASCOSTO'!$P$12,IF(C328&lt;='SOLLECITAZ NASCOSTO'!$P$11,IF(C328&lt;='SOLLECITAZ NASCOSTO'!$P$10,IF(C328&lt;='SOLLECITAZ NASCOSTO'!$P$9,IF(C328&lt;='SOLLECITAZ NASCOSTO'!$P$8,IF(C328&lt;='SOLLECITAZ NASCOSTO'!$P$7,IF(C328&lt;='SOLLECITAZ NASCOSTO'!$P$6,IF(C328&lt;='SOLLECITAZ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paramento'!$G$110),55555)*(C328-C327)/IF(C328&lt;='SOLLECITAZ NASCOSTO'!$P$12,IF(C328&lt;='SOLLECITAZ NASCOSTO'!$P$11,IF(C328&lt;='SOLLECITAZ NASCOSTO'!$P$10,IF(C328&lt;='SOLLECITAZ NASCOSTO'!$P$9,IF(C328&lt;='SOLLECITAZ NASCOSTO'!$P$8,IF(C328&lt;='SOLLECITAZ NASCOSTO'!$P$7,IF(C328&lt;='SOLLECITAZ NASCOSTO'!$P$6,IF(C328&lt;='SOLLECITAZ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28" s="41">
        <f t="shared" si="93"/>
        <v>2.9500000000000067E-4</v>
      </c>
      <c r="Q328" s="41">
        <f t="shared" si="91"/>
        <v>1</v>
      </c>
      <c r="R328" s="434">
        <f t="shared" si="85"/>
        <v>3.2247361329548578</v>
      </c>
      <c r="S328" s="45">
        <f t="shared" si="92"/>
        <v>3.2247361329548578</v>
      </c>
      <c r="T328" s="205">
        <f t="shared" si="88"/>
        <v>1.8073254593060231</v>
      </c>
      <c r="U328" s="45">
        <f t="shared" si="89"/>
        <v>166.63675543146866</v>
      </c>
      <c r="V328" s="45">
        <f t="shared" si="90"/>
        <v>-202.47025982872077</v>
      </c>
      <c r="W328" s="488"/>
      <c r="X328" s="421"/>
    </row>
    <row r="329" spans="1:25" x14ac:dyDescent="0.25">
      <c r="A329" s="581">
        <f t="shared" si="86"/>
        <v>0.5530797129750098</v>
      </c>
      <c r="B329" s="31">
        <f t="shared" si="99"/>
        <v>297</v>
      </c>
      <c r="C329" s="434">
        <f>'SOLLECITAZ NASCOSTO'!$D$6/'SOLLECITAZ NASCOSTO'!$B$448*'SOLLECITAZ NASCOSTO'!B329</f>
        <v>3.235630511782408</v>
      </c>
      <c r="D329" s="128">
        <f t="shared" si="87"/>
        <v>0.67307971297500979</v>
      </c>
      <c r="E329" s="128">
        <f t="shared" si="81"/>
        <v>0.5530797129750098</v>
      </c>
      <c r="F329" s="128">
        <f t="shared" si="82"/>
        <v>0.47698550815200313</v>
      </c>
      <c r="G329" s="128">
        <f t="shared" si="83"/>
        <v>8.8181808002963463E-2</v>
      </c>
      <c r="H329" s="128">
        <f t="shared" si="100"/>
        <v>0</v>
      </c>
      <c r="I329" s="128">
        <v>0</v>
      </c>
      <c r="J329" s="127">
        <f t="shared" si="101"/>
        <v>0.18487313869263752</v>
      </c>
      <c r="K329" s="126">
        <f t="shared" si="84"/>
        <v>1.7479050275831479E-2</v>
      </c>
      <c r="L329" s="41">
        <f t="shared" si="102"/>
        <v>167.61731265622004</v>
      </c>
      <c r="M329" s="41">
        <f t="shared" si="103"/>
        <v>-204.29100504991928</v>
      </c>
      <c r="N329" s="41">
        <f>(IF(C328&lt;='SOLLECITAZ NASCOSTO'!$P$12,IF(C328&lt;='SOLLECITAZ NASCOSTO'!$P$11,IF(C328&lt;='SOLLECITAZ NASCOSTO'!$P$10,IF(C328&lt;='SOLLECITAZ NASCOSTO'!$P$9,IF(C328&lt;='SOLLECITAZ NASCOSTO'!$P$8,IF(C328&lt;='SOLLECITAZ NASCOSTO'!$P$7,IF(C328&lt;='SOLLECITAZ NASCOSTO'!$P$6,IF(C328&lt;='SOLLECITAZ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paramento'!$G$111),55555)-IF(C328&lt;='SOLLECITAZ NASCOSTO'!$P$12,IF(C328&lt;='SOLLECITAZ NASCOSTO'!$P$11,IF(C328&lt;='SOLLECITAZ NASCOSTO'!$P$10,IF(C328&lt;='SOLLECITAZ NASCOSTO'!$P$9,IF(C328&lt;='SOLLECITAZ NASCOSTO'!$P$8,IF(C328&lt;='SOLLECITAZ NASCOSTO'!$P$7,IF(C328&lt;='SOLLECITAZ NASCOSTO'!$P$6,IF(C328&lt;='SOLLECITAZ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paramento'!$G$111))*(C328-IF(C328&lt;='SOLLECITAZ NASCOSTO'!$P$12,IF(C328&lt;='SOLLECITAZ NASCOSTO'!$P$11,IF(C328&lt;='SOLLECITAZ NASCOSTO'!$P$10,IF(C328&lt;='SOLLECITAZ NASCOSTO'!$P$9,IF(C328&lt;='SOLLECITAZ NASCOSTO'!$P$8,IF(C328&lt;='SOLLECITAZ NASCOSTO'!$P$7,IF(C328&lt;='SOLLECITAZ NASCOSTO'!$P$6,IF(C328&lt;='SOLLECITAZ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NASCOSTO'!$P$12))/IF(C328&lt;='SOLLECITAZ NASCOSTO'!$P$12,IF(C328&lt;='SOLLECITAZ NASCOSTO'!$P$11,IF(C328&lt;='SOLLECITAZ NASCOSTO'!$P$10,IF(C328&lt;='SOLLECITAZ NASCOSTO'!$P$9,IF(C328&lt;='SOLLECITAZ NASCOSTO'!$P$8,IF(C328&lt;='SOLLECITAZ NASCOSTO'!$P$7,IF(C328&lt;='SOLLECITAZ NASCOSTO'!$P$6,IF(C328&lt;='SOLLECITAZ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paramento'!$C$111)+IF(C328&lt;='SOLLECITAZ NASCOSTO'!$P$12,IF(C328&lt;='SOLLECITAZ NASCOSTO'!$P$11,IF(C328&lt;='SOLLECITAZ NASCOSTO'!$P$10,IF(C328&lt;='SOLLECITAZ NASCOSTO'!$P$9,IF(C328&lt;='SOLLECITAZ NASCOSTO'!$P$8,IF(C328&lt;='SOLLECITAZ NASCOSTO'!$P$7,IF(C328&lt;='SOLLECITAZ NASCOSTO'!$P$6,IF(C328&lt;='SOLLECITAZ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89.87673329171426</v>
      </c>
      <c r="O329" s="41">
        <f>IF(C329&lt;='SOLLECITAZ NASCOSTO'!$P$12,IF(C329&lt;='SOLLECITAZ NASCOSTO'!$P$11,IF(C329&lt;='SOLLECITAZ NASCOSTO'!$P$10,IF(C329&lt;='SOLLECITAZ NASCOSTO'!$P$9,IF(C329&lt;='SOLLECITAZ NASCOSTO'!$P$8,IF(C329&lt;='SOLLECITAZ NASCOSTO'!$P$7,IF(C329&lt;='SOLLECITAZ NASCOSTO'!$P$6,IF(C329&lt;='SOLLECITAZ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paramento'!$G$110),55555)*(C329-C328)/IF(C329&lt;='SOLLECITAZ NASCOSTO'!$P$12,IF(C329&lt;='SOLLECITAZ NASCOSTO'!$P$11,IF(C329&lt;='SOLLECITAZ NASCOSTO'!$P$10,IF(C329&lt;='SOLLECITAZ NASCOSTO'!$P$9,IF(C329&lt;='SOLLECITAZ NASCOSTO'!$P$8,IF(C329&lt;='SOLLECITAZ NASCOSTO'!$P$7,IF(C329&lt;='SOLLECITAZ NASCOSTO'!$P$6,IF(C329&lt;='SOLLECITAZ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29" s="41">
        <f t="shared" si="93"/>
        <v>2.9600000000000069E-4</v>
      </c>
      <c r="Q329" s="41">
        <f t="shared" si="91"/>
        <v>1</v>
      </c>
      <c r="R329" s="434">
        <f t="shared" si="85"/>
        <v>3.235630511782408</v>
      </c>
      <c r="S329" s="45">
        <f t="shared" si="92"/>
        <v>3.235630511782408</v>
      </c>
      <c r="T329" s="205">
        <f t="shared" si="88"/>
        <v>1.7964310804784729</v>
      </c>
      <c r="U329" s="45">
        <f t="shared" si="89"/>
        <v>167.61731265622004</v>
      </c>
      <c r="V329" s="45">
        <f t="shared" si="90"/>
        <v>-204.29100504991928</v>
      </c>
      <c r="W329" s="488"/>
    </row>
    <row r="330" spans="1:25" x14ac:dyDescent="0.25">
      <c r="A330" s="581">
        <f t="shared" si="86"/>
        <v>0.55465055572311894</v>
      </c>
      <c r="B330" s="31">
        <f t="shared" si="99"/>
        <v>298</v>
      </c>
      <c r="C330" s="434">
        <f>'SOLLECITAZ NASCOSTO'!$D$6/'SOLLECITAZ NASCOSTO'!$B$448*'SOLLECITAZ NASCOSTO'!B330</f>
        <v>3.2465248906099582</v>
      </c>
      <c r="D330" s="128">
        <f t="shared" si="87"/>
        <v>0.67465055572311894</v>
      </c>
      <c r="E330" s="128">
        <f t="shared" si="81"/>
        <v>0.55465055572311894</v>
      </c>
      <c r="F330" s="128">
        <f t="shared" si="82"/>
        <v>0.47748817783139808</v>
      </c>
      <c r="G330" s="128">
        <f t="shared" si="83"/>
        <v>8.8520539574002119E-2</v>
      </c>
      <c r="H330" s="128">
        <f t="shared" si="100"/>
        <v>0</v>
      </c>
      <c r="I330" s="128">
        <v>0</v>
      </c>
      <c r="J330" s="127">
        <f t="shared" si="101"/>
        <v>0.18538791887169798</v>
      </c>
      <c r="K330" s="126">
        <f t="shared" si="84"/>
        <v>1.7599118786896496E-2</v>
      </c>
      <c r="L330" s="41">
        <f t="shared" si="102"/>
        <v>168.60068196994891</v>
      </c>
      <c r="M330" s="41">
        <f t="shared" si="103"/>
        <v>-206.12244815096764</v>
      </c>
      <c r="N330" s="41">
        <f>(IF(C329&lt;='SOLLECITAZ NASCOSTO'!$P$12,IF(C329&lt;='SOLLECITAZ NASCOSTO'!$P$11,IF(C329&lt;='SOLLECITAZ NASCOSTO'!$P$10,IF(C329&lt;='SOLLECITAZ NASCOSTO'!$P$9,IF(C329&lt;='SOLLECITAZ NASCOSTO'!$P$8,IF(C329&lt;='SOLLECITAZ NASCOSTO'!$P$7,IF(C329&lt;='SOLLECITAZ NASCOSTO'!$P$6,IF(C329&lt;='SOLLECITAZ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paramento'!$G$111),55555)-IF(C329&lt;='SOLLECITAZ NASCOSTO'!$P$12,IF(C329&lt;='SOLLECITAZ NASCOSTO'!$P$11,IF(C329&lt;='SOLLECITAZ NASCOSTO'!$P$10,IF(C329&lt;='SOLLECITAZ NASCOSTO'!$P$9,IF(C329&lt;='SOLLECITAZ NASCOSTO'!$P$8,IF(C329&lt;='SOLLECITAZ NASCOSTO'!$P$7,IF(C329&lt;='SOLLECITAZ NASCOSTO'!$P$6,IF(C329&lt;='SOLLECITAZ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paramento'!$G$111))*(C329-IF(C329&lt;='SOLLECITAZ NASCOSTO'!$P$12,IF(C329&lt;='SOLLECITAZ NASCOSTO'!$P$11,IF(C329&lt;='SOLLECITAZ NASCOSTO'!$P$10,IF(C329&lt;='SOLLECITAZ NASCOSTO'!$P$9,IF(C329&lt;='SOLLECITAZ NASCOSTO'!$P$8,IF(C329&lt;='SOLLECITAZ NASCOSTO'!$P$7,IF(C329&lt;='SOLLECITAZ NASCOSTO'!$P$6,IF(C329&lt;='SOLLECITAZ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NASCOSTO'!$P$12))/IF(C329&lt;='SOLLECITAZ NASCOSTO'!$P$12,IF(C329&lt;='SOLLECITAZ NASCOSTO'!$P$11,IF(C329&lt;='SOLLECITAZ NASCOSTO'!$P$10,IF(C329&lt;='SOLLECITAZ NASCOSTO'!$P$9,IF(C329&lt;='SOLLECITAZ NASCOSTO'!$P$8,IF(C329&lt;='SOLLECITAZ NASCOSTO'!$P$7,IF(C329&lt;='SOLLECITAZ NASCOSTO'!$P$6,IF(C329&lt;='SOLLECITAZ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paramento'!$C$111)+IF(C329&lt;='SOLLECITAZ NASCOSTO'!$P$12,IF(C329&lt;='SOLLECITAZ NASCOSTO'!$P$11,IF(C329&lt;='SOLLECITAZ NASCOSTO'!$P$10,IF(C329&lt;='SOLLECITAZ NASCOSTO'!$P$9,IF(C329&lt;='SOLLECITAZ NASCOSTO'!$P$8,IF(C329&lt;='SOLLECITAZ NASCOSTO'!$P$7,IF(C329&lt;='SOLLECITAZ NASCOSTO'!$P$6,IF(C329&lt;='SOLLECITAZ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90.134856221163659</v>
      </c>
      <c r="O330" s="41">
        <f>IF(C330&lt;='SOLLECITAZ NASCOSTO'!$P$12,IF(C330&lt;='SOLLECITAZ NASCOSTO'!$P$11,IF(C330&lt;='SOLLECITAZ NASCOSTO'!$P$10,IF(C330&lt;='SOLLECITAZ NASCOSTO'!$P$9,IF(C330&lt;='SOLLECITAZ NASCOSTO'!$P$8,IF(C330&lt;='SOLLECITAZ NASCOSTO'!$P$7,IF(C330&lt;='SOLLECITAZ NASCOSTO'!$P$6,IF(C330&lt;='SOLLECITAZ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paramento'!$G$110),55555)*(C330-C329)/IF(C330&lt;='SOLLECITAZ NASCOSTO'!$P$12,IF(C330&lt;='SOLLECITAZ NASCOSTO'!$P$11,IF(C330&lt;='SOLLECITAZ NASCOSTO'!$P$10,IF(C330&lt;='SOLLECITAZ NASCOSTO'!$P$9,IF(C330&lt;='SOLLECITAZ NASCOSTO'!$P$8,IF(C330&lt;='SOLLECITAZ NASCOSTO'!$P$7,IF(C330&lt;='SOLLECITAZ NASCOSTO'!$P$6,IF(C330&lt;='SOLLECITAZ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30" s="41">
        <f t="shared" si="93"/>
        <v>2.9700000000000071E-4</v>
      </c>
      <c r="Q330" s="41">
        <f t="shared" si="91"/>
        <v>1</v>
      </c>
      <c r="R330" s="434">
        <f t="shared" si="85"/>
        <v>3.2465248906099582</v>
      </c>
      <c r="S330" s="45">
        <f t="shared" si="92"/>
        <v>3.2465248906099582</v>
      </c>
      <c r="T330" s="205">
        <f t="shared" si="88"/>
        <v>1.7855367016509227</v>
      </c>
      <c r="U330" s="45">
        <f t="shared" si="89"/>
        <v>168.60068196994891</v>
      </c>
      <c r="V330" s="45">
        <f t="shared" si="90"/>
        <v>-206.12244815096764</v>
      </c>
      <c r="W330" s="488"/>
    </row>
    <row r="331" spans="1:25" x14ac:dyDescent="0.25">
      <c r="A331" s="581">
        <f t="shared" si="86"/>
        <v>0.55622139847122809</v>
      </c>
      <c r="B331" s="31">
        <f t="shared" si="99"/>
        <v>299</v>
      </c>
      <c r="C331" s="434">
        <f>'SOLLECITAZ NASCOSTO'!$D$6/'SOLLECITAZ NASCOSTO'!$B$448*'SOLLECITAZ NASCOSTO'!B331</f>
        <v>3.2574192694375084</v>
      </c>
      <c r="D331" s="128">
        <f t="shared" si="87"/>
        <v>0.67622139847122809</v>
      </c>
      <c r="E331" s="128">
        <f t="shared" si="81"/>
        <v>0.55622139847122809</v>
      </c>
      <c r="F331" s="128">
        <f t="shared" si="82"/>
        <v>0.47799084751079302</v>
      </c>
      <c r="G331" s="128">
        <f t="shared" si="83"/>
        <v>8.8860060760061352E-2</v>
      </c>
      <c r="H331" s="128">
        <f t="shared" si="100"/>
        <v>0</v>
      </c>
      <c r="I331" s="128">
        <v>0</v>
      </c>
      <c r="J331" s="127">
        <f t="shared" si="101"/>
        <v>0.1859032682797444</v>
      </c>
      <c r="K331" s="126">
        <f t="shared" si="84"/>
        <v>1.7719706608502986E-2</v>
      </c>
      <c r="L331" s="41">
        <f t="shared" si="102"/>
        <v>169.5868633726553</v>
      </c>
      <c r="M331" s="41">
        <f t="shared" si="103"/>
        <v>-207.96461976782845</v>
      </c>
      <c r="N331" s="41">
        <f>(IF(C330&lt;='SOLLECITAZ NASCOSTO'!$P$12,IF(C330&lt;='SOLLECITAZ NASCOSTO'!$P$11,IF(C330&lt;='SOLLECITAZ NASCOSTO'!$P$10,IF(C330&lt;='SOLLECITAZ NASCOSTO'!$P$9,IF(C330&lt;='SOLLECITAZ NASCOSTO'!$P$8,IF(C330&lt;='SOLLECITAZ NASCOSTO'!$P$7,IF(C330&lt;='SOLLECITAZ NASCOSTO'!$P$6,IF(C330&lt;='SOLLECITAZ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paramento'!$G$111),55555)-IF(C330&lt;='SOLLECITAZ NASCOSTO'!$P$12,IF(C330&lt;='SOLLECITAZ NASCOSTO'!$P$11,IF(C330&lt;='SOLLECITAZ NASCOSTO'!$P$10,IF(C330&lt;='SOLLECITAZ NASCOSTO'!$P$9,IF(C330&lt;='SOLLECITAZ NASCOSTO'!$P$8,IF(C330&lt;='SOLLECITAZ NASCOSTO'!$P$7,IF(C330&lt;='SOLLECITAZ NASCOSTO'!$P$6,IF(C330&lt;='SOLLECITAZ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paramento'!$G$111))*(C330-IF(C330&lt;='SOLLECITAZ NASCOSTO'!$P$12,IF(C330&lt;='SOLLECITAZ NASCOSTO'!$P$11,IF(C330&lt;='SOLLECITAZ NASCOSTO'!$P$10,IF(C330&lt;='SOLLECITAZ NASCOSTO'!$P$9,IF(C330&lt;='SOLLECITAZ NASCOSTO'!$P$8,IF(C330&lt;='SOLLECITAZ NASCOSTO'!$P$7,IF(C330&lt;='SOLLECITAZ NASCOSTO'!$P$6,IF(C330&lt;='SOLLECITAZ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NASCOSTO'!$P$12))/IF(C330&lt;='SOLLECITAZ NASCOSTO'!$P$12,IF(C330&lt;='SOLLECITAZ NASCOSTO'!$P$11,IF(C330&lt;='SOLLECITAZ NASCOSTO'!$P$10,IF(C330&lt;='SOLLECITAZ NASCOSTO'!$P$9,IF(C330&lt;='SOLLECITAZ NASCOSTO'!$P$8,IF(C330&lt;='SOLLECITAZ NASCOSTO'!$P$7,IF(C330&lt;='SOLLECITAZ NASCOSTO'!$P$6,IF(C330&lt;='SOLLECITAZ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paramento'!$C$111)+IF(C330&lt;='SOLLECITAZ NASCOSTO'!$P$12,IF(C330&lt;='SOLLECITAZ NASCOSTO'!$P$11,IF(C330&lt;='SOLLECITAZ NASCOSTO'!$P$10,IF(C330&lt;='SOLLECITAZ NASCOSTO'!$P$9,IF(C330&lt;='SOLLECITAZ NASCOSTO'!$P$8,IF(C330&lt;='SOLLECITAZ NASCOSTO'!$P$7,IF(C330&lt;='SOLLECITAZ NASCOSTO'!$P$6,IF(C330&lt;='SOLLECITAZ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90.392979150613058</v>
      </c>
      <c r="O331" s="41">
        <f>IF(C331&lt;='SOLLECITAZ NASCOSTO'!$P$12,IF(C331&lt;='SOLLECITAZ NASCOSTO'!$P$11,IF(C331&lt;='SOLLECITAZ NASCOSTO'!$P$10,IF(C331&lt;='SOLLECITAZ NASCOSTO'!$P$9,IF(C331&lt;='SOLLECITAZ NASCOSTO'!$P$8,IF(C331&lt;='SOLLECITAZ NASCOSTO'!$P$7,IF(C331&lt;='SOLLECITAZ NASCOSTO'!$P$6,IF(C331&lt;='SOLLECITAZ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paramento'!$G$110),55555)*(C331-C330)/IF(C331&lt;='SOLLECITAZ NASCOSTO'!$P$12,IF(C331&lt;='SOLLECITAZ NASCOSTO'!$P$11,IF(C331&lt;='SOLLECITAZ NASCOSTO'!$P$10,IF(C331&lt;='SOLLECITAZ NASCOSTO'!$P$9,IF(C331&lt;='SOLLECITAZ NASCOSTO'!$P$8,IF(C331&lt;='SOLLECITAZ NASCOSTO'!$P$7,IF(C331&lt;='SOLLECITAZ NASCOSTO'!$P$6,IF(C331&lt;='SOLLECITAZ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31" s="41">
        <f t="shared" si="93"/>
        <v>2.9800000000000074E-4</v>
      </c>
      <c r="Q331" s="41">
        <f t="shared" si="91"/>
        <v>1</v>
      </c>
      <c r="R331" s="434">
        <f t="shared" si="85"/>
        <v>3.2574192694375084</v>
      </c>
      <c r="S331" s="45">
        <f t="shared" si="92"/>
        <v>3.2574192694375084</v>
      </c>
      <c r="T331" s="205">
        <f t="shared" si="88"/>
        <v>1.7746423228233725</v>
      </c>
      <c r="U331" s="45">
        <f t="shared" si="89"/>
        <v>169.5868633726553</v>
      </c>
      <c r="V331" s="45">
        <f t="shared" si="90"/>
        <v>-207.96461976782845</v>
      </c>
      <c r="W331" s="488"/>
    </row>
    <row r="332" spans="1:25" x14ac:dyDescent="0.25">
      <c r="A332" s="581">
        <f t="shared" si="86"/>
        <v>0.55779224121933724</v>
      </c>
      <c r="B332" s="31">
        <f t="shared" si="99"/>
        <v>300</v>
      </c>
      <c r="C332" s="434">
        <f>'SOLLECITAZ NASCOSTO'!$D$6/'SOLLECITAZ NASCOSTO'!$B$448*'SOLLECITAZ NASCOSTO'!B332</f>
        <v>3.2683136482650585</v>
      </c>
      <c r="D332" s="128">
        <f t="shared" si="87"/>
        <v>0.67779224121933723</v>
      </c>
      <c r="E332" s="128">
        <f t="shared" si="81"/>
        <v>0.55779224121933724</v>
      </c>
      <c r="F332" s="128">
        <f t="shared" si="82"/>
        <v>0.4784935171901879</v>
      </c>
      <c r="G332" s="128">
        <f t="shared" si="83"/>
        <v>8.9200371561141162E-2</v>
      </c>
      <c r="H332" s="128">
        <f t="shared" si="100"/>
        <v>0</v>
      </c>
      <c r="I332" s="128">
        <v>0</v>
      </c>
      <c r="J332" s="127">
        <f t="shared" si="101"/>
        <v>0.18641918512280803</v>
      </c>
      <c r="K332" s="126">
        <f t="shared" si="84"/>
        <v>1.7840814580816888E-2</v>
      </c>
      <c r="L332" s="41">
        <f t="shared" si="102"/>
        <v>170.57585686433919</v>
      </c>
      <c r="M332" s="41">
        <f t="shared" si="103"/>
        <v>-209.81755053646435</v>
      </c>
      <c r="N332" s="41">
        <f>(IF(C331&lt;='SOLLECITAZ NASCOSTO'!$P$12,IF(C331&lt;='SOLLECITAZ NASCOSTO'!$P$11,IF(C331&lt;='SOLLECITAZ NASCOSTO'!$P$10,IF(C331&lt;='SOLLECITAZ NASCOSTO'!$P$9,IF(C331&lt;='SOLLECITAZ NASCOSTO'!$P$8,IF(C331&lt;='SOLLECITAZ NASCOSTO'!$P$7,IF(C331&lt;='SOLLECITAZ NASCOSTO'!$P$6,IF(C331&lt;='SOLLECITAZ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paramento'!$G$111),55555)-IF(C331&lt;='SOLLECITAZ NASCOSTO'!$P$12,IF(C331&lt;='SOLLECITAZ NASCOSTO'!$P$11,IF(C331&lt;='SOLLECITAZ NASCOSTO'!$P$10,IF(C331&lt;='SOLLECITAZ NASCOSTO'!$P$9,IF(C331&lt;='SOLLECITAZ NASCOSTO'!$P$8,IF(C331&lt;='SOLLECITAZ NASCOSTO'!$P$7,IF(C331&lt;='SOLLECITAZ NASCOSTO'!$P$6,IF(C331&lt;='SOLLECITAZ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paramento'!$G$111))*(C331-IF(C331&lt;='SOLLECITAZ NASCOSTO'!$P$12,IF(C331&lt;='SOLLECITAZ NASCOSTO'!$P$11,IF(C331&lt;='SOLLECITAZ NASCOSTO'!$P$10,IF(C331&lt;='SOLLECITAZ NASCOSTO'!$P$9,IF(C331&lt;='SOLLECITAZ NASCOSTO'!$P$8,IF(C331&lt;='SOLLECITAZ NASCOSTO'!$P$7,IF(C331&lt;='SOLLECITAZ NASCOSTO'!$P$6,IF(C331&lt;='SOLLECITAZ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NASCOSTO'!$P$12))/IF(C331&lt;='SOLLECITAZ NASCOSTO'!$P$12,IF(C331&lt;='SOLLECITAZ NASCOSTO'!$P$11,IF(C331&lt;='SOLLECITAZ NASCOSTO'!$P$10,IF(C331&lt;='SOLLECITAZ NASCOSTO'!$P$9,IF(C331&lt;='SOLLECITAZ NASCOSTO'!$P$8,IF(C331&lt;='SOLLECITAZ NASCOSTO'!$P$7,IF(C331&lt;='SOLLECITAZ NASCOSTO'!$P$6,IF(C331&lt;='SOLLECITAZ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paramento'!$C$111)+IF(C331&lt;='SOLLECITAZ NASCOSTO'!$P$12,IF(C331&lt;='SOLLECITAZ NASCOSTO'!$P$11,IF(C331&lt;='SOLLECITAZ NASCOSTO'!$P$10,IF(C331&lt;='SOLLECITAZ NASCOSTO'!$P$9,IF(C331&lt;='SOLLECITAZ NASCOSTO'!$P$8,IF(C331&lt;='SOLLECITAZ NASCOSTO'!$P$7,IF(C331&lt;='SOLLECITAZ NASCOSTO'!$P$6,IF(C331&lt;='SOLLECITAZ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90.651102080062486</v>
      </c>
      <c r="O332" s="41">
        <f>IF(C332&lt;='SOLLECITAZ NASCOSTO'!$P$12,IF(C332&lt;='SOLLECITAZ NASCOSTO'!$P$11,IF(C332&lt;='SOLLECITAZ NASCOSTO'!$P$10,IF(C332&lt;='SOLLECITAZ NASCOSTO'!$P$9,IF(C332&lt;='SOLLECITAZ NASCOSTO'!$P$8,IF(C332&lt;='SOLLECITAZ NASCOSTO'!$P$7,IF(C332&lt;='SOLLECITAZ NASCOSTO'!$P$6,IF(C332&lt;='SOLLECITAZ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paramento'!$G$110),55555)*(C332-C331)/IF(C332&lt;='SOLLECITAZ NASCOSTO'!$P$12,IF(C332&lt;='SOLLECITAZ NASCOSTO'!$P$11,IF(C332&lt;='SOLLECITAZ NASCOSTO'!$P$10,IF(C332&lt;='SOLLECITAZ NASCOSTO'!$P$9,IF(C332&lt;='SOLLECITAZ NASCOSTO'!$P$8,IF(C332&lt;='SOLLECITAZ NASCOSTO'!$P$7,IF(C332&lt;='SOLLECITAZ NASCOSTO'!$P$6,IF(C332&lt;='SOLLECITAZ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32" s="41">
        <f t="shared" si="93"/>
        <v>2.9900000000000076E-4</v>
      </c>
      <c r="Q332" s="41">
        <f t="shared" si="91"/>
        <v>1</v>
      </c>
      <c r="R332" s="434">
        <f t="shared" si="85"/>
        <v>3.2683136482650585</v>
      </c>
      <c r="S332" s="45">
        <f t="shared" si="92"/>
        <v>3.2683136482650585</v>
      </c>
      <c r="T332" s="205">
        <f t="shared" si="88"/>
        <v>1.7637479439958224</v>
      </c>
      <c r="U332" s="45">
        <f t="shared" si="89"/>
        <v>170.57585686433919</v>
      </c>
      <c r="V332" s="45">
        <f t="shared" si="90"/>
        <v>-209.81755053646435</v>
      </c>
      <c r="W332" s="488"/>
    </row>
    <row r="333" spans="1:25" x14ac:dyDescent="0.25">
      <c r="A333" s="581">
        <f t="shared" si="86"/>
        <v>0.55936308396744638</v>
      </c>
      <c r="B333" s="31">
        <f t="shared" si="99"/>
        <v>301</v>
      </c>
      <c r="C333" s="434">
        <f>'SOLLECITAZ NASCOSTO'!$D$6/'SOLLECITAZ NASCOSTO'!$B$448*'SOLLECITAZ NASCOSTO'!B333</f>
        <v>3.2792080270926087</v>
      </c>
      <c r="D333" s="128">
        <f t="shared" si="87"/>
        <v>0.67936308396744638</v>
      </c>
      <c r="E333" s="128">
        <f t="shared" si="81"/>
        <v>0.55936308396744638</v>
      </c>
      <c r="F333" s="128">
        <f t="shared" si="82"/>
        <v>0.47899618686958284</v>
      </c>
      <c r="G333" s="128">
        <f t="shared" si="83"/>
        <v>8.9541471977241535E-2</v>
      </c>
      <c r="H333" s="128">
        <f t="shared" si="100"/>
        <v>0</v>
      </c>
      <c r="I333" s="128">
        <v>0</v>
      </c>
      <c r="J333" s="127">
        <f t="shared" si="101"/>
        <v>0.18693566761445046</v>
      </c>
      <c r="K333" s="126">
        <f t="shared" si="84"/>
        <v>1.7962443543080714E-2</v>
      </c>
      <c r="L333" s="41">
        <f t="shared" si="102"/>
        <v>171.56766244500056</v>
      </c>
      <c r="M333" s="41">
        <f t="shared" si="103"/>
        <v>-211.68127109283793</v>
      </c>
      <c r="N333" s="41">
        <f>(IF(C332&lt;='SOLLECITAZ NASCOSTO'!$P$12,IF(C332&lt;='SOLLECITAZ NASCOSTO'!$P$11,IF(C332&lt;='SOLLECITAZ NASCOSTO'!$P$10,IF(C332&lt;='SOLLECITAZ NASCOSTO'!$P$9,IF(C332&lt;='SOLLECITAZ NASCOSTO'!$P$8,IF(C332&lt;='SOLLECITAZ NASCOSTO'!$P$7,IF(C332&lt;='SOLLECITAZ NASCOSTO'!$P$6,IF(C332&lt;='SOLLECITAZ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paramento'!$G$111),55555)-IF(C332&lt;='SOLLECITAZ NASCOSTO'!$P$12,IF(C332&lt;='SOLLECITAZ NASCOSTO'!$P$11,IF(C332&lt;='SOLLECITAZ NASCOSTO'!$P$10,IF(C332&lt;='SOLLECITAZ NASCOSTO'!$P$9,IF(C332&lt;='SOLLECITAZ NASCOSTO'!$P$8,IF(C332&lt;='SOLLECITAZ NASCOSTO'!$P$7,IF(C332&lt;='SOLLECITAZ NASCOSTO'!$P$6,IF(C332&lt;='SOLLECITAZ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paramento'!$G$111))*(C332-IF(C332&lt;='SOLLECITAZ NASCOSTO'!$P$12,IF(C332&lt;='SOLLECITAZ NASCOSTO'!$P$11,IF(C332&lt;='SOLLECITAZ NASCOSTO'!$P$10,IF(C332&lt;='SOLLECITAZ NASCOSTO'!$P$9,IF(C332&lt;='SOLLECITAZ NASCOSTO'!$P$8,IF(C332&lt;='SOLLECITAZ NASCOSTO'!$P$7,IF(C332&lt;='SOLLECITAZ NASCOSTO'!$P$6,IF(C332&lt;='SOLLECITAZ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NASCOSTO'!$P$12))/IF(C332&lt;='SOLLECITAZ NASCOSTO'!$P$12,IF(C332&lt;='SOLLECITAZ NASCOSTO'!$P$11,IF(C332&lt;='SOLLECITAZ NASCOSTO'!$P$10,IF(C332&lt;='SOLLECITAZ NASCOSTO'!$P$9,IF(C332&lt;='SOLLECITAZ NASCOSTO'!$P$8,IF(C332&lt;='SOLLECITAZ NASCOSTO'!$P$7,IF(C332&lt;='SOLLECITAZ NASCOSTO'!$P$6,IF(C332&lt;='SOLLECITAZ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paramento'!$C$111)+IF(C332&lt;='SOLLECITAZ NASCOSTO'!$P$12,IF(C332&lt;='SOLLECITAZ NASCOSTO'!$P$11,IF(C332&lt;='SOLLECITAZ NASCOSTO'!$P$10,IF(C332&lt;='SOLLECITAZ NASCOSTO'!$P$9,IF(C332&lt;='SOLLECITAZ NASCOSTO'!$P$8,IF(C332&lt;='SOLLECITAZ NASCOSTO'!$P$7,IF(C332&lt;='SOLLECITAZ NASCOSTO'!$P$6,IF(C332&lt;='SOLLECITAZ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90.909225009511886</v>
      </c>
      <c r="O333" s="41">
        <f>IF(C333&lt;='SOLLECITAZ NASCOSTO'!$P$12,IF(C333&lt;='SOLLECITAZ NASCOSTO'!$P$11,IF(C333&lt;='SOLLECITAZ NASCOSTO'!$P$10,IF(C333&lt;='SOLLECITAZ NASCOSTO'!$P$9,IF(C333&lt;='SOLLECITAZ NASCOSTO'!$P$8,IF(C333&lt;='SOLLECITAZ NASCOSTO'!$P$7,IF(C333&lt;='SOLLECITAZ NASCOSTO'!$P$6,IF(C333&lt;='SOLLECITAZ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paramento'!$G$110),55555)*(C333-C332)/IF(C333&lt;='SOLLECITAZ NASCOSTO'!$P$12,IF(C333&lt;='SOLLECITAZ NASCOSTO'!$P$11,IF(C333&lt;='SOLLECITAZ NASCOSTO'!$P$10,IF(C333&lt;='SOLLECITAZ NASCOSTO'!$P$9,IF(C333&lt;='SOLLECITAZ NASCOSTO'!$P$8,IF(C333&lt;='SOLLECITAZ NASCOSTO'!$P$7,IF(C333&lt;='SOLLECITAZ NASCOSTO'!$P$6,IF(C333&lt;='SOLLECITAZ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33" s="41">
        <f t="shared" si="93"/>
        <v>3.0000000000000079E-4</v>
      </c>
      <c r="Q333" s="41">
        <f t="shared" si="91"/>
        <v>1</v>
      </c>
      <c r="R333" s="434">
        <f t="shared" si="85"/>
        <v>3.2792080270926087</v>
      </c>
      <c r="S333" s="45">
        <f t="shared" si="92"/>
        <v>3.2792080270926087</v>
      </c>
      <c r="T333" s="205">
        <f t="shared" si="88"/>
        <v>1.7528535651682722</v>
      </c>
      <c r="U333" s="45">
        <f t="shared" si="89"/>
        <v>171.56766244500056</v>
      </c>
      <c r="V333" s="45">
        <f t="shared" si="90"/>
        <v>-211.68127109283793</v>
      </c>
      <c r="W333" s="488"/>
    </row>
    <row r="334" spans="1:25" x14ac:dyDescent="0.25">
      <c r="A334" s="581">
        <f t="shared" si="86"/>
        <v>0.56093392671555553</v>
      </c>
      <c r="B334" s="31">
        <f t="shared" si="99"/>
        <v>302</v>
      </c>
      <c r="C334" s="434">
        <f>'SOLLECITAZ NASCOSTO'!$D$6/'SOLLECITAZ NASCOSTO'!$B$448*'SOLLECITAZ NASCOSTO'!B334</f>
        <v>3.2901024059201589</v>
      </c>
      <c r="D334" s="128">
        <f t="shared" si="87"/>
        <v>0.68093392671555553</v>
      </c>
      <c r="E334" s="128">
        <f t="shared" si="81"/>
        <v>0.56093392671555553</v>
      </c>
      <c r="F334" s="128">
        <f t="shared" si="82"/>
        <v>0.47949885654897773</v>
      </c>
      <c r="G334" s="128">
        <f t="shared" si="83"/>
        <v>8.9883362008362486E-2</v>
      </c>
      <c r="H334" s="128">
        <f t="shared" si="100"/>
        <v>0</v>
      </c>
      <c r="I334" s="128">
        <v>0</v>
      </c>
      <c r="J334" s="127">
        <f t="shared" si="101"/>
        <v>0.18745271397572452</v>
      </c>
      <c r="K334" s="126">
        <f t="shared" si="84"/>
        <v>1.8084594333618385E-2</v>
      </c>
      <c r="L334" s="41">
        <f t="shared" si="102"/>
        <v>172.56228011463944</v>
      </c>
      <c r="M334" s="41">
        <f t="shared" si="103"/>
        <v>-213.55581207291183</v>
      </c>
      <c r="N334" s="41">
        <f>(IF(C333&lt;='SOLLECITAZ NASCOSTO'!$P$12,IF(C333&lt;='SOLLECITAZ NASCOSTO'!$P$11,IF(C333&lt;='SOLLECITAZ NASCOSTO'!$P$10,IF(C333&lt;='SOLLECITAZ NASCOSTO'!$P$9,IF(C333&lt;='SOLLECITAZ NASCOSTO'!$P$8,IF(C333&lt;='SOLLECITAZ NASCOSTO'!$P$7,IF(C333&lt;='SOLLECITAZ NASCOSTO'!$P$6,IF(C333&lt;='SOLLECITAZ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paramento'!$G$111),55555)-IF(C333&lt;='SOLLECITAZ NASCOSTO'!$P$12,IF(C333&lt;='SOLLECITAZ NASCOSTO'!$P$11,IF(C333&lt;='SOLLECITAZ NASCOSTO'!$P$10,IF(C333&lt;='SOLLECITAZ NASCOSTO'!$P$9,IF(C333&lt;='SOLLECITAZ NASCOSTO'!$P$8,IF(C333&lt;='SOLLECITAZ NASCOSTO'!$P$7,IF(C333&lt;='SOLLECITAZ NASCOSTO'!$P$6,IF(C333&lt;='SOLLECITAZ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paramento'!$G$111))*(C333-IF(C333&lt;='SOLLECITAZ NASCOSTO'!$P$12,IF(C333&lt;='SOLLECITAZ NASCOSTO'!$P$11,IF(C333&lt;='SOLLECITAZ NASCOSTO'!$P$10,IF(C333&lt;='SOLLECITAZ NASCOSTO'!$P$9,IF(C333&lt;='SOLLECITAZ NASCOSTO'!$P$8,IF(C333&lt;='SOLLECITAZ NASCOSTO'!$P$7,IF(C333&lt;='SOLLECITAZ NASCOSTO'!$P$6,IF(C333&lt;='SOLLECITAZ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NASCOSTO'!$P$12))/IF(C333&lt;='SOLLECITAZ NASCOSTO'!$P$12,IF(C333&lt;='SOLLECITAZ NASCOSTO'!$P$11,IF(C333&lt;='SOLLECITAZ NASCOSTO'!$P$10,IF(C333&lt;='SOLLECITAZ NASCOSTO'!$P$9,IF(C333&lt;='SOLLECITAZ NASCOSTO'!$P$8,IF(C333&lt;='SOLLECITAZ NASCOSTO'!$P$7,IF(C333&lt;='SOLLECITAZ NASCOSTO'!$P$6,IF(C333&lt;='SOLLECITAZ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paramento'!$C$111)+IF(C333&lt;='SOLLECITAZ NASCOSTO'!$P$12,IF(C333&lt;='SOLLECITAZ NASCOSTO'!$P$11,IF(C333&lt;='SOLLECITAZ NASCOSTO'!$P$10,IF(C333&lt;='SOLLECITAZ NASCOSTO'!$P$9,IF(C333&lt;='SOLLECITAZ NASCOSTO'!$P$8,IF(C333&lt;='SOLLECITAZ NASCOSTO'!$P$7,IF(C333&lt;='SOLLECITAZ NASCOSTO'!$P$6,IF(C333&lt;='SOLLECITAZ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91.167347938961285</v>
      </c>
      <c r="O334" s="41">
        <f>IF(C334&lt;='SOLLECITAZ NASCOSTO'!$P$12,IF(C334&lt;='SOLLECITAZ NASCOSTO'!$P$11,IF(C334&lt;='SOLLECITAZ NASCOSTO'!$P$10,IF(C334&lt;='SOLLECITAZ NASCOSTO'!$P$9,IF(C334&lt;='SOLLECITAZ NASCOSTO'!$P$8,IF(C334&lt;='SOLLECITAZ NASCOSTO'!$P$7,IF(C334&lt;='SOLLECITAZ NASCOSTO'!$P$6,IF(C334&lt;='SOLLECITAZ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paramento'!$G$110),55555)*(C334-C333)/IF(C334&lt;='SOLLECITAZ NASCOSTO'!$P$12,IF(C334&lt;='SOLLECITAZ NASCOSTO'!$P$11,IF(C334&lt;='SOLLECITAZ NASCOSTO'!$P$10,IF(C334&lt;='SOLLECITAZ NASCOSTO'!$P$9,IF(C334&lt;='SOLLECITAZ NASCOSTO'!$P$8,IF(C334&lt;='SOLLECITAZ NASCOSTO'!$P$7,IF(C334&lt;='SOLLECITAZ NASCOSTO'!$P$6,IF(C334&lt;='SOLLECITAZ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34" s="41">
        <f t="shared" si="93"/>
        <v>3.0100000000000081E-4</v>
      </c>
      <c r="Q334" s="41">
        <f t="shared" si="91"/>
        <v>1</v>
      </c>
      <c r="R334" s="434">
        <f t="shared" si="85"/>
        <v>3.2901024059201589</v>
      </c>
      <c r="S334" s="45">
        <f t="shared" si="92"/>
        <v>3.2901024059201589</v>
      </c>
      <c r="T334" s="205">
        <f t="shared" si="88"/>
        <v>1.741959186340722</v>
      </c>
      <c r="U334" s="45">
        <f t="shared" si="89"/>
        <v>172.56228011463944</v>
      </c>
      <c r="V334" s="45">
        <f t="shared" si="90"/>
        <v>-213.55581207291183</v>
      </c>
      <c r="W334" s="488"/>
    </row>
    <row r="335" spans="1:25" x14ac:dyDescent="0.25">
      <c r="A335" s="581">
        <f t="shared" si="86"/>
        <v>0.56250476946366479</v>
      </c>
      <c r="B335" s="31">
        <f t="shared" si="99"/>
        <v>303</v>
      </c>
      <c r="C335" s="434">
        <f>'SOLLECITAZ NASCOSTO'!$D$6/'SOLLECITAZ NASCOSTO'!$B$448*'SOLLECITAZ NASCOSTO'!B335</f>
        <v>3.3009967847477091</v>
      </c>
      <c r="D335" s="128">
        <f t="shared" si="87"/>
        <v>0.68250476946366478</v>
      </c>
      <c r="E335" s="128">
        <f t="shared" si="81"/>
        <v>0.56250476946366479</v>
      </c>
      <c r="F335" s="128">
        <f t="shared" si="82"/>
        <v>0.48000152622837272</v>
      </c>
      <c r="G335" s="128">
        <f t="shared" si="83"/>
        <v>9.0226041654504041E-2</v>
      </c>
      <c r="H335" s="128">
        <f t="shared" si="100"/>
        <v>0</v>
      </c>
      <c r="I335" s="128">
        <v>0</v>
      </c>
      <c r="J335" s="127">
        <f t="shared" si="101"/>
        <v>0.18797032243513481</v>
      </c>
      <c r="K335" s="126">
        <f t="shared" si="84"/>
        <v>1.8207267789840047E-2</v>
      </c>
      <c r="L335" s="41">
        <f t="shared" si="102"/>
        <v>173.55970987325583</v>
      </c>
      <c r="M335" s="41">
        <f t="shared" si="103"/>
        <v>-215.44120411264868</v>
      </c>
      <c r="N335" s="41">
        <f>(IF(C334&lt;='SOLLECITAZ NASCOSTO'!$P$12,IF(C334&lt;='SOLLECITAZ NASCOSTO'!$P$11,IF(C334&lt;='SOLLECITAZ NASCOSTO'!$P$10,IF(C334&lt;='SOLLECITAZ NASCOSTO'!$P$9,IF(C334&lt;='SOLLECITAZ NASCOSTO'!$P$8,IF(C334&lt;='SOLLECITAZ NASCOSTO'!$P$7,IF(C334&lt;='SOLLECITAZ NASCOSTO'!$P$6,IF(C334&lt;='SOLLECITAZ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paramento'!$G$111),55555)-IF(C334&lt;='SOLLECITAZ NASCOSTO'!$P$12,IF(C334&lt;='SOLLECITAZ NASCOSTO'!$P$11,IF(C334&lt;='SOLLECITAZ NASCOSTO'!$P$10,IF(C334&lt;='SOLLECITAZ NASCOSTO'!$P$9,IF(C334&lt;='SOLLECITAZ NASCOSTO'!$P$8,IF(C334&lt;='SOLLECITAZ NASCOSTO'!$P$7,IF(C334&lt;='SOLLECITAZ NASCOSTO'!$P$6,IF(C334&lt;='SOLLECITAZ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paramento'!$G$111))*(C334-IF(C334&lt;='SOLLECITAZ NASCOSTO'!$P$12,IF(C334&lt;='SOLLECITAZ NASCOSTO'!$P$11,IF(C334&lt;='SOLLECITAZ NASCOSTO'!$P$10,IF(C334&lt;='SOLLECITAZ NASCOSTO'!$P$9,IF(C334&lt;='SOLLECITAZ NASCOSTO'!$P$8,IF(C334&lt;='SOLLECITAZ NASCOSTO'!$P$7,IF(C334&lt;='SOLLECITAZ NASCOSTO'!$P$6,IF(C334&lt;='SOLLECITAZ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NASCOSTO'!$P$12))/IF(C334&lt;='SOLLECITAZ NASCOSTO'!$P$12,IF(C334&lt;='SOLLECITAZ NASCOSTO'!$P$11,IF(C334&lt;='SOLLECITAZ NASCOSTO'!$P$10,IF(C334&lt;='SOLLECITAZ NASCOSTO'!$P$9,IF(C334&lt;='SOLLECITAZ NASCOSTO'!$P$8,IF(C334&lt;='SOLLECITAZ NASCOSTO'!$P$7,IF(C334&lt;='SOLLECITAZ NASCOSTO'!$P$6,IF(C334&lt;='SOLLECITAZ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paramento'!$C$111)+IF(C334&lt;='SOLLECITAZ NASCOSTO'!$P$12,IF(C334&lt;='SOLLECITAZ NASCOSTO'!$P$11,IF(C334&lt;='SOLLECITAZ NASCOSTO'!$P$10,IF(C334&lt;='SOLLECITAZ NASCOSTO'!$P$9,IF(C334&lt;='SOLLECITAZ NASCOSTO'!$P$8,IF(C334&lt;='SOLLECITAZ NASCOSTO'!$P$7,IF(C334&lt;='SOLLECITAZ NASCOSTO'!$P$6,IF(C334&lt;='SOLLECITAZ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91.425470868410684</v>
      </c>
      <c r="O335" s="41">
        <f>IF(C335&lt;='SOLLECITAZ NASCOSTO'!$P$12,IF(C335&lt;='SOLLECITAZ NASCOSTO'!$P$11,IF(C335&lt;='SOLLECITAZ NASCOSTO'!$P$10,IF(C335&lt;='SOLLECITAZ NASCOSTO'!$P$9,IF(C335&lt;='SOLLECITAZ NASCOSTO'!$P$8,IF(C335&lt;='SOLLECITAZ NASCOSTO'!$P$7,IF(C335&lt;='SOLLECITAZ NASCOSTO'!$P$6,IF(C335&lt;='SOLLECITAZ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paramento'!$G$110),55555)*(C335-C334)/IF(C335&lt;='SOLLECITAZ NASCOSTO'!$P$12,IF(C335&lt;='SOLLECITAZ NASCOSTO'!$P$11,IF(C335&lt;='SOLLECITAZ NASCOSTO'!$P$10,IF(C335&lt;='SOLLECITAZ NASCOSTO'!$P$9,IF(C335&lt;='SOLLECITAZ NASCOSTO'!$P$8,IF(C335&lt;='SOLLECITAZ NASCOSTO'!$P$7,IF(C335&lt;='SOLLECITAZ NASCOSTO'!$P$6,IF(C335&lt;='SOLLECITAZ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35" s="41">
        <f t="shared" si="93"/>
        <v>3.0200000000000084E-4</v>
      </c>
      <c r="Q335" s="41">
        <f t="shared" si="91"/>
        <v>1</v>
      </c>
      <c r="R335" s="434">
        <f t="shared" si="85"/>
        <v>3.3009967847477091</v>
      </c>
      <c r="S335" s="45">
        <f t="shared" si="92"/>
        <v>3.3009967847477091</v>
      </c>
      <c r="T335" s="205">
        <f t="shared" si="88"/>
        <v>1.7310648075131718</v>
      </c>
      <c r="U335" s="45">
        <f t="shared" si="89"/>
        <v>173.55970987325583</v>
      </c>
      <c r="V335" s="45">
        <f t="shared" si="90"/>
        <v>-215.44120411264868</v>
      </c>
      <c r="W335" s="488"/>
    </row>
    <row r="336" spans="1:25" x14ac:dyDescent="0.25">
      <c r="A336" s="581">
        <f t="shared" si="86"/>
        <v>0.56407561221177394</v>
      </c>
      <c r="B336" s="31">
        <f t="shared" si="99"/>
        <v>304</v>
      </c>
      <c r="C336" s="434">
        <f>'SOLLECITAZ NASCOSTO'!$D$6/'SOLLECITAZ NASCOSTO'!$B$448*'SOLLECITAZ NASCOSTO'!B336</f>
        <v>3.3118911635752593</v>
      </c>
      <c r="D336" s="128">
        <f t="shared" si="87"/>
        <v>0.68407561221177393</v>
      </c>
      <c r="E336" s="128">
        <f t="shared" si="81"/>
        <v>0.56407561221177394</v>
      </c>
      <c r="F336" s="128">
        <f t="shared" si="82"/>
        <v>0.48050419590776766</v>
      </c>
      <c r="G336" s="128">
        <f t="shared" si="83"/>
        <v>9.0569510915666132E-2</v>
      </c>
      <c r="H336" s="128">
        <f t="shared" si="100"/>
        <v>0</v>
      </c>
      <c r="I336" s="128">
        <v>0</v>
      </c>
      <c r="J336" s="127">
        <f t="shared" si="101"/>
        <v>0.1884884912285987</v>
      </c>
      <c r="K336" s="126">
        <f t="shared" si="84"/>
        <v>1.8330464748246827E-2</v>
      </c>
      <c r="L336" s="41">
        <f t="shared" si="102"/>
        <v>174.55995172084971</v>
      </c>
      <c r="M336" s="41">
        <f t="shared" si="103"/>
        <v>-217.33747784801105</v>
      </c>
      <c r="N336" s="41">
        <f>(IF(C335&lt;='SOLLECITAZ NASCOSTO'!$P$12,IF(C335&lt;='SOLLECITAZ NASCOSTO'!$P$11,IF(C335&lt;='SOLLECITAZ NASCOSTO'!$P$10,IF(C335&lt;='SOLLECITAZ NASCOSTO'!$P$9,IF(C335&lt;='SOLLECITAZ NASCOSTO'!$P$8,IF(C335&lt;='SOLLECITAZ NASCOSTO'!$P$7,IF(C335&lt;='SOLLECITAZ NASCOSTO'!$P$6,IF(C335&lt;='SOLLECITAZ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paramento'!$G$111),55555)-IF(C335&lt;='SOLLECITAZ NASCOSTO'!$P$12,IF(C335&lt;='SOLLECITAZ NASCOSTO'!$P$11,IF(C335&lt;='SOLLECITAZ NASCOSTO'!$P$10,IF(C335&lt;='SOLLECITAZ NASCOSTO'!$P$9,IF(C335&lt;='SOLLECITAZ NASCOSTO'!$P$8,IF(C335&lt;='SOLLECITAZ NASCOSTO'!$P$7,IF(C335&lt;='SOLLECITAZ NASCOSTO'!$P$6,IF(C335&lt;='SOLLECITAZ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paramento'!$G$111))*(C335-IF(C335&lt;='SOLLECITAZ NASCOSTO'!$P$12,IF(C335&lt;='SOLLECITAZ NASCOSTO'!$P$11,IF(C335&lt;='SOLLECITAZ NASCOSTO'!$P$10,IF(C335&lt;='SOLLECITAZ NASCOSTO'!$P$9,IF(C335&lt;='SOLLECITAZ NASCOSTO'!$P$8,IF(C335&lt;='SOLLECITAZ NASCOSTO'!$P$7,IF(C335&lt;='SOLLECITAZ NASCOSTO'!$P$6,IF(C335&lt;='SOLLECITAZ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NASCOSTO'!$P$12))/IF(C335&lt;='SOLLECITAZ NASCOSTO'!$P$12,IF(C335&lt;='SOLLECITAZ NASCOSTO'!$P$11,IF(C335&lt;='SOLLECITAZ NASCOSTO'!$P$10,IF(C335&lt;='SOLLECITAZ NASCOSTO'!$P$9,IF(C335&lt;='SOLLECITAZ NASCOSTO'!$P$8,IF(C335&lt;='SOLLECITAZ NASCOSTO'!$P$7,IF(C335&lt;='SOLLECITAZ NASCOSTO'!$P$6,IF(C335&lt;='SOLLECITAZ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paramento'!$C$111)+IF(C335&lt;='SOLLECITAZ NASCOSTO'!$P$12,IF(C335&lt;='SOLLECITAZ NASCOSTO'!$P$11,IF(C335&lt;='SOLLECITAZ NASCOSTO'!$P$10,IF(C335&lt;='SOLLECITAZ NASCOSTO'!$P$9,IF(C335&lt;='SOLLECITAZ NASCOSTO'!$P$8,IF(C335&lt;='SOLLECITAZ NASCOSTO'!$P$7,IF(C335&lt;='SOLLECITAZ NASCOSTO'!$P$6,IF(C335&lt;='SOLLECITAZ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91.683593797860112</v>
      </c>
      <c r="O336" s="41">
        <f>IF(C336&lt;='SOLLECITAZ NASCOSTO'!$P$12,IF(C336&lt;='SOLLECITAZ NASCOSTO'!$P$11,IF(C336&lt;='SOLLECITAZ NASCOSTO'!$P$10,IF(C336&lt;='SOLLECITAZ NASCOSTO'!$P$9,IF(C336&lt;='SOLLECITAZ NASCOSTO'!$P$8,IF(C336&lt;='SOLLECITAZ NASCOSTO'!$P$7,IF(C336&lt;='SOLLECITAZ NASCOSTO'!$P$6,IF(C336&lt;='SOLLECITAZ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paramento'!$G$110),55555)*(C336-C335)/IF(C336&lt;='SOLLECITAZ NASCOSTO'!$P$12,IF(C336&lt;='SOLLECITAZ NASCOSTO'!$P$11,IF(C336&lt;='SOLLECITAZ NASCOSTO'!$P$10,IF(C336&lt;='SOLLECITAZ NASCOSTO'!$P$9,IF(C336&lt;='SOLLECITAZ NASCOSTO'!$P$8,IF(C336&lt;='SOLLECITAZ NASCOSTO'!$P$7,IF(C336&lt;='SOLLECITAZ NASCOSTO'!$P$6,IF(C336&lt;='SOLLECITAZ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36" s="41">
        <f t="shared" si="93"/>
        <v>3.0300000000000086E-4</v>
      </c>
      <c r="Q336" s="41">
        <f t="shared" si="91"/>
        <v>1</v>
      </c>
      <c r="R336" s="434">
        <f t="shared" si="85"/>
        <v>3.3118911635752593</v>
      </c>
      <c r="S336" s="45">
        <f t="shared" si="92"/>
        <v>3.3118911635752593</v>
      </c>
      <c r="T336" s="205">
        <f t="shared" si="88"/>
        <v>1.7201704286856216</v>
      </c>
      <c r="U336" s="45">
        <f t="shared" si="89"/>
        <v>174.55995172084971</v>
      </c>
      <c r="V336" s="45">
        <f t="shared" si="90"/>
        <v>-217.33747784801105</v>
      </c>
      <c r="W336" s="488"/>
    </row>
    <row r="337" spans="1:23" x14ac:dyDescent="0.25">
      <c r="A337" s="581">
        <f t="shared" si="86"/>
        <v>0.56564645495988308</v>
      </c>
      <c r="B337" s="31">
        <f t="shared" si="99"/>
        <v>305</v>
      </c>
      <c r="C337" s="434">
        <f>'SOLLECITAZ NASCOSTO'!$D$6/'SOLLECITAZ NASCOSTO'!$B$448*'SOLLECITAZ NASCOSTO'!B337</f>
        <v>3.3227855424028094</v>
      </c>
      <c r="D337" s="128">
        <f t="shared" si="87"/>
        <v>0.68564645495988308</v>
      </c>
      <c r="E337" s="128">
        <f t="shared" si="81"/>
        <v>0.56564645495988308</v>
      </c>
      <c r="F337" s="128">
        <f t="shared" si="82"/>
        <v>0.48100686558716255</v>
      </c>
      <c r="G337" s="128">
        <f t="shared" si="83"/>
        <v>9.09137697918488E-2</v>
      </c>
      <c r="H337" s="128">
        <f t="shared" si="100"/>
        <v>0</v>
      </c>
      <c r="I337" s="128">
        <v>0</v>
      </c>
      <c r="J337" s="127">
        <f t="shared" si="101"/>
        <v>0.18900721859940781</v>
      </c>
      <c r="K337" s="126">
        <f t="shared" si="84"/>
        <v>1.8454186044435605E-2</v>
      </c>
      <c r="L337" s="41">
        <f t="shared" si="102"/>
        <v>175.56300565742109</v>
      </c>
      <c r="M337" s="41">
        <f t="shared" si="103"/>
        <v>-219.24466391496159</v>
      </c>
      <c r="N337" s="41">
        <f>(IF(C336&lt;='SOLLECITAZ NASCOSTO'!$P$12,IF(C336&lt;='SOLLECITAZ NASCOSTO'!$P$11,IF(C336&lt;='SOLLECITAZ NASCOSTO'!$P$10,IF(C336&lt;='SOLLECITAZ NASCOSTO'!$P$9,IF(C336&lt;='SOLLECITAZ NASCOSTO'!$P$8,IF(C336&lt;='SOLLECITAZ NASCOSTO'!$P$7,IF(C336&lt;='SOLLECITAZ NASCOSTO'!$P$6,IF(C336&lt;='SOLLECITAZ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paramento'!$G$111),55555)-IF(C336&lt;='SOLLECITAZ NASCOSTO'!$P$12,IF(C336&lt;='SOLLECITAZ NASCOSTO'!$P$11,IF(C336&lt;='SOLLECITAZ NASCOSTO'!$P$10,IF(C336&lt;='SOLLECITAZ NASCOSTO'!$P$9,IF(C336&lt;='SOLLECITAZ NASCOSTO'!$P$8,IF(C336&lt;='SOLLECITAZ NASCOSTO'!$P$7,IF(C336&lt;='SOLLECITAZ NASCOSTO'!$P$6,IF(C336&lt;='SOLLECITAZ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paramento'!$G$111))*(C336-IF(C336&lt;='SOLLECITAZ NASCOSTO'!$P$12,IF(C336&lt;='SOLLECITAZ NASCOSTO'!$P$11,IF(C336&lt;='SOLLECITAZ NASCOSTO'!$P$10,IF(C336&lt;='SOLLECITAZ NASCOSTO'!$P$9,IF(C336&lt;='SOLLECITAZ NASCOSTO'!$P$8,IF(C336&lt;='SOLLECITAZ NASCOSTO'!$P$7,IF(C336&lt;='SOLLECITAZ NASCOSTO'!$P$6,IF(C336&lt;='SOLLECITAZ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NASCOSTO'!$P$12))/IF(C336&lt;='SOLLECITAZ NASCOSTO'!$P$12,IF(C336&lt;='SOLLECITAZ NASCOSTO'!$P$11,IF(C336&lt;='SOLLECITAZ NASCOSTO'!$P$10,IF(C336&lt;='SOLLECITAZ NASCOSTO'!$P$9,IF(C336&lt;='SOLLECITAZ NASCOSTO'!$P$8,IF(C336&lt;='SOLLECITAZ NASCOSTO'!$P$7,IF(C336&lt;='SOLLECITAZ NASCOSTO'!$P$6,IF(C336&lt;='SOLLECITAZ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paramento'!$C$111)+IF(C336&lt;='SOLLECITAZ NASCOSTO'!$P$12,IF(C336&lt;='SOLLECITAZ NASCOSTO'!$P$11,IF(C336&lt;='SOLLECITAZ NASCOSTO'!$P$10,IF(C336&lt;='SOLLECITAZ NASCOSTO'!$P$9,IF(C336&lt;='SOLLECITAZ NASCOSTO'!$P$8,IF(C336&lt;='SOLLECITAZ NASCOSTO'!$P$7,IF(C336&lt;='SOLLECITAZ NASCOSTO'!$P$6,IF(C336&lt;='SOLLECITAZ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91.941716727309512</v>
      </c>
      <c r="O337" s="41">
        <f>IF(C337&lt;='SOLLECITAZ NASCOSTO'!$P$12,IF(C337&lt;='SOLLECITAZ NASCOSTO'!$P$11,IF(C337&lt;='SOLLECITAZ NASCOSTO'!$P$10,IF(C337&lt;='SOLLECITAZ NASCOSTO'!$P$9,IF(C337&lt;='SOLLECITAZ NASCOSTO'!$P$8,IF(C337&lt;='SOLLECITAZ NASCOSTO'!$P$7,IF(C337&lt;='SOLLECITAZ NASCOSTO'!$P$6,IF(C337&lt;='SOLLECITAZ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paramento'!$G$110),55555)*(C337-C336)/IF(C337&lt;='SOLLECITAZ NASCOSTO'!$P$12,IF(C337&lt;='SOLLECITAZ NASCOSTO'!$P$11,IF(C337&lt;='SOLLECITAZ NASCOSTO'!$P$10,IF(C337&lt;='SOLLECITAZ NASCOSTO'!$P$9,IF(C337&lt;='SOLLECITAZ NASCOSTO'!$P$8,IF(C337&lt;='SOLLECITAZ NASCOSTO'!$P$7,IF(C337&lt;='SOLLECITAZ NASCOSTO'!$P$6,IF(C337&lt;='SOLLECITAZ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37" s="41">
        <f t="shared" si="93"/>
        <v>3.0400000000000088E-4</v>
      </c>
      <c r="Q337" s="41">
        <f t="shared" si="91"/>
        <v>1</v>
      </c>
      <c r="R337" s="434">
        <f t="shared" si="85"/>
        <v>3.3227855424028094</v>
      </c>
      <c r="S337" s="45">
        <f t="shared" si="92"/>
        <v>3.3227855424028094</v>
      </c>
      <c r="T337" s="205">
        <f t="shared" si="88"/>
        <v>1.7092760498580715</v>
      </c>
      <c r="U337" s="45">
        <f t="shared" si="89"/>
        <v>175.56300565742109</v>
      </c>
      <c r="V337" s="45">
        <f t="shared" si="90"/>
        <v>-219.24466391496159</v>
      </c>
      <c r="W337" s="488"/>
    </row>
    <row r="338" spans="1:23" x14ac:dyDescent="0.25">
      <c r="A338" s="581">
        <f t="shared" si="86"/>
        <v>0.56721729770799223</v>
      </c>
      <c r="B338" s="31">
        <f t="shared" si="99"/>
        <v>306</v>
      </c>
      <c r="C338" s="434">
        <f>'SOLLECITAZ NASCOSTO'!$D$6/'SOLLECITAZ NASCOSTO'!$B$448*'SOLLECITAZ NASCOSTO'!B338</f>
        <v>3.3336799212303596</v>
      </c>
      <c r="D338" s="128">
        <f t="shared" si="87"/>
        <v>0.68721729770799223</v>
      </c>
      <c r="E338" s="128">
        <f t="shared" si="81"/>
        <v>0.56721729770799223</v>
      </c>
      <c r="F338" s="128">
        <f t="shared" si="82"/>
        <v>0.48150953526655749</v>
      </c>
      <c r="G338" s="128">
        <f t="shared" si="83"/>
        <v>9.1258818283052046E-2</v>
      </c>
      <c r="H338" s="128">
        <f t="shared" si="100"/>
        <v>0</v>
      </c>
      <c r="I338" s="128">
        <v>0</v>
      </c>
      <c r="J338" s="127">
        <f t="shared" si="101"/>
        <v>0.18952650279818931</v>
      </c>
      <c r="K338" s="126">
        <f t="shared" si="84"/>
        <v>1.8578432513103753E-2</v>
      </c>
      <c r="L338" s="41">
        <f t="shared" si="102"/>
        <v>176.56887168296996</v>
      </c>
      <c r="M338" s="41">
        <f t="shared" si="103"/>
        <v>-221.16279294946293</v>
      </c>
      <c r="N338" s="41">
        <f>(IF(C337&lt;='SOLLECITAZ NASCOSTO'!$P$12,IF(C337&lt;='SOLLECITAZ NASCOSTO'!$P$11,IF(C337&lt;='SOLLECITAZ NASCOSTO'!$P$10,IF(C337&lt;='SOLLECITAZ NASCOSTO'!$P$9,IF(C337&lt;='SOLLECITAZ NASCOSTO'!$P$8,IF(C337&lt;='SOLLECITAZ NASCOSTO'!$P$7,IF(C337&lt;='SOLLECITAZ NASCOSTO'!$P$6,IF(C337&lt;='SOLLECITAZ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paramento'!$G$111),55555)-IF(C337&lt;='SOLLECITAZ NASCOSTO'!$P$12,IF(C337&lt;='SOLLECITAZ NASCOSTO'!$P$11,IF(C337&lt;='SOLLECITAZ NASCOSTO'!$P$10,IF(C337&lt;='SOLLECITAZ NASCOSTO'!$P$9,IF(C337&lt;='SOLLECITAZ NASCOSTO'!$P$8,IF(C337&lt;='SOLLECITAZ NASCOSTO'!$P$7,IF(C337&lt;='SOLLECITAZ NASCOSTO'!$P$6,IF(C337&lt;='SOLLECITAZ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paramento'!$G$111))*(C337-IF(C337&lt;='SOLLECITAZ NASCOSTO'!$P$12,IF(C337&lt;='SOLLECITAZ NASCOSTO'!$P$11,IF(C337&lt;='SOLLECITAZ NASCOSTO'!$P$10,IF(C337&lt;='SOLLECITAZ NASCOSTO'!$P$9,IF(C337&lt;='SOLLECITAZ NASCOSTO'!$P$8,IF(C337&lt;='SOLLECITAZ NASCOSTO'!$P$7,IF(C337&lt;='SOLLECITAZ NASCOSTO'!$P$6,IF(C337&lt;='SOLLECITAZ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NASCOSTO'!$P$12))/IF(C337&lt;='SOLLECITAZ NASCOSTO'!$P$12,IF(C337&lt;='SOLLECITAZ NASCOSTO'!$P$11,IF(C337&lt;='SOLLECITAZ NASCOSTO'!$P$10,IF(C337&lt;='SOLLECITAZ NASCOSTO'!$P$9,IF(C337&lt;='SOLLECITAZ NASCOSTO'!$P$8,IF(C337&lt;='SOLLECITAZ NASCOSTO'!$P$7,IF(C337&lt;='SOLLECITAZ NASCOSTO'!$P$6,IF(C337&lt;='SOLLECITAZ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paramento'!$C$111)+IF(C337&lt;='SOLLECITAZ NASCOSTO'!$P$12,IF(C337&lt;='SOLLECITAZ NASCOSTO'!$P$11,IF(C337&lt;='SOLLECITAZ NASCOSTO'!$P$10,IF(C337&lt;='SOLLECITAZ NASCOSTO'!$P$9,IF(C337&lt;='SOLLECITAZ NASCOSTO'!$P$8,IF(C337&lt;='SOLLECITAZ NASCOSTO'!$P$7,IF(C337&lt;='SOLLECITAZ NASCOSTO'!$P$6,IF(C337&lt;='SOLLECITAZ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92.199839656758911</v>
      </c>
      <c r="O338" s="41">
        <f>IF(C338&lt;='SOLLECITAZ NASCOSTO'!$P$12,IF(C338&lt;='SOLLECITAZ NASCOSTO'!$P$11,IF(C338&lt;='SOLLECITAZ NASCOSTO'!$P$10,IF(C338&lt;='SOLLECITAZ NASCOSTO'!$P$9,IF(C338&lt;='SOLLECITAZ NASCOSTO'!$P$8,IF(C338&lt;='SOLLECITAZ NASCOSTO'!$P$7,IF(C338&lt;='SOLLECITAZ NASCOSTO'!$P$6,IF(C338&lt;='SOLLECITAZ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paramento'!$G$110),55555)*(C338-C337)/IF(C338&lt;='SOLLECITAZ NASCOSTO'!$P$12,IF(C338&lt;='SOLLECITAZ NASCOSTO'!$P$11,IF(C338&lt;='SOLLECITAZ NASCOSTO'!$P$10,IF(C338&lt;='SOLLECITAZ NASCOSTO'!$P$9,IF(C338&lt;='SOLLECITAZ NASCOSTO'!$P$8,IF(C338&lt;='SOLLECITAZ NASCOSTO'!$P$7,IF(C338&lt;='SOLLECITAZ NASCOSTO'!$P$6,IF(C338&lt;='SOLLECITAZ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38" s="41">
        <f t="shared" si="93"/>
        <v>3.0500000000000091E-4</v>
      </c>
      <c r="Q338" s="41">
        <f t="shared" si="91"/>
        <v>1</v>
      </c>
      <c r="R338" s="434">
        <f t="shared" si="85"/>
        <v>3.3336799212303596</v>
      </c>
      <c r="S338" s="45">
        <f t="shared" si="92"/>
        <v>3.3336799212303596</v>
      </c>
      <c r="T338" s="205">
        <f t="shared" si="88"/>
        <v>1.6983816710305213</v>
      </c>
      <c r="U338" s="45">
        <f t="shared" si="89"/>
        <v>176.56887168296996</v>
      </c>
      <c r="V338" s="45">
        <f t="shared" si="90"/>
        <v>-221.16279294946293</v>
      </c>
      <c r="W338" s="488"/>
    </row>
    <row r="339" spans="1:23" x14ac:dyDescent="0.25">
      <c r="A339" s="581">
        <f t="shared" si="86"/>
        <v>0.56878814045610138</v>
      </c>
      <c r="B339" s="31">
        <f t="shared" si="99"/>
        <v>307</v>
      </c>
      <c r="C339" s="434">
        <f>'SOLLECITAZ NASCOSTO'!$D$6/'SOLLECITAZ NASCOSTO'!$B$448*'SOLLECITAZ NASCOSTO'!B339</f>
        <v>3.3445743000579098</v>
      </c>
      <c r="D339" s="128">
        <f t="shared" si="87"/>
        <v>0.68878814045610137</v>
      </c>
      <c r="E339" s="128">
        <f t="shared" si="81"/>
        <v>0.56878814045610138</v>
      </c>
      <c r="F339" s="128">
        <f t="shared" si="82"/>
        <v>0.48201220494595243</v>
      </c>
      <c r="G339" s="128">
        <f t="shared" si="83"/>
        <v>9.160465638927584E-2</v>
      </c>
      <c r="H339" s="128">
        <f t="shared" si="100"/>
        <v>0</v>
      </c>
      <c r="I339" s="128">
        <v>0</v>
      </c>
      <c r="J339" s="127">
        <f t="shared" si="101"/>
        <v>0.19004634208286778</v>
      </c>
      <c r="K339" s="126">
        <f t="shared" si="84"/>
        <v>1.8703204988053775E-2</v>
      </c>
      <c r="L339" s="41">
        <f t="shared" si="102"/>
        <v>177.57754979749632</v>
      </c>
      <c r="M339" s="41">
        <f t="shared" si="103"/>
        <v>-223.09189558747767</v>
      </c>
      <c r="N339" s="41">
        <f>(IF(C338&lt;='SOLLECITAZ NASCOSTO'!$P$12,IF(C338&lt;='SOLLECITAZ NASCOSTO'!$P$11,IF(C338&lt;='SOLLECITAZ NASCOSTO'!$P$10,IF(C338&lt;='SOLLECITAZ NASCOSTO'!$P$9,IF(C338&lt;='SOLLECITAZ NASCOSTO'!$P$8,IF(C338&lt;='SOLLECITAZ NASCOSTO'!$P$7,IF(C338&lt;='SOLLECITAZ NASCOSTO'!$P$6,IF(C338&lt;='SOLLECITAZ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paramento'!$G$111),55555)-IF(C338&lt;='SOLLECITAZ NASCOSTO'!$P$12,IF(C338&lt;='SOLLECITAZ NASCOSTO'!$P$11,IF(C338&lt;='SOLLECITAZ NASCOSTO'!$P$10,IF(C338&lt;='SOLLECITAZ NASCOSTO'!$P$9,IF(C338&lt;='SOLLECITAZ NASCOSTO'!$P$8,IF(C338&lt;='SOLLECITAZ NASCOSTO'!$P$7,IF(C338&lt;='SOLLECITAZ NASCOSTO'!$P$6,IF(C338&lt;='SOLLECITAZ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paramento'!$G$111))*(C338-IF(C338&lt;='SOLLECITAZ NASCOSTO'!$P$12,IF(C338&lt;='SOLLECITAZ NASCOSTO'!$P$11,IF(C338&lt;='SOLLECITAZ NASCOSTO'!$P$10,IF(C338&lt;='SOLLECITAZ NASCOSTO'!$P$9,IF(C338&lt;='SOLLECITAZ NASCOSTO'!$P$8,IF(C338&lt;='SOLLECITAZ NASCOSTO'!$P$7,IF(C338&lt;='SOLLECITAZ NASCOSTO'!$P$6,IF(C338&lt;='SOLLECITAZ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NASCOSTO'!$P$12))/IF(C338&lt;='SOLLECITAZ NASCOSTO'!$P$12,IF(C338&lt;='SOLLECITAZ NASCOSTO'!$P$11,IF(C338&lt;='SOLLECITAZ NASCOSTO'!$P$10,IF(C338&lt;='SOLLECITAZ NASCOSTO'!$P$9,IF(C338&lt;='SOLLECITAZ NASCOSTO'!$P$8,IF(C338&lt;='SOLLECITAZ NASCOSTO'!$P$7,IF(C338&lt;='SOLLECITAZ NASCOSTO'!$P$6,IF(C338&lt;='SOLLECITAZ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paramento'!$C$111)+IF(C338&lt;='SOLLECITAZ NASCOSTO'!$P$12,IF(C338&lt;='SOLLECITAZ NASCOSTO'!$P$11,IF(C338&lt;='SOLLECITAZ NASCOSTO'!$P$10,IF(C338&lt;='SOLLECITAZ NASCOSTO'!$P$9,IF(C338&lt;='SOLLECITAZ NASCOSTO'!$P$8,IF(C338&lt;='SOLLECITAZ NASCOSTO'!$P$7,IF(C338&lt;='SOLLECITAZ NASCOSTO'!$P$6,IF(C338&lt;='SOLLECITAZ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92.457962586208311</v>
      </c>
      <c r="O339" s="41">
        <f>IF(C339&lt;='SOLLECITAZ NASCOSTO'!$P$12,IF(C339&lt;='SOLLECITAZ NASCOSTO'!$P$11,IF(C339&lt;='SOLLECITAZ NASCOSTO'!$P$10,IF(C339&lt;='SOLLECITAZ NASCOSTO'!$P$9,IF(C339&lt;='SOLLECITAZ NASCOSTO'!$P$8,IF(C339&lt;='SOLLECITAZ NASCOSTO'!$P$7,IF(C339&lt;='SOLLECITAZ NASCOSTO'!$P$6,IF(C339&lt;='SOLLECITAZ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paramento'!$G$110),55555)*(C339-C338)/IF(C339&lt;='SOLLECITAZ NASCOSTO'!$P$12,IF(C339&lt;='SOLLECITAZ NASCOSTO'!$P$11,IF(C339&lt;='SOLLECITAZ NASCOSTO'!$P$10,IF(C339&lt;='SOLLECITAZ NASCOSTO'!$P$9,IF(C339&lt;='SOLLECITAZ NASCOSTO'!$P$8,IF(C339&lt;='SOLLECITAZ NASCOSTO'!$P$7,IF(C339&lt;='SOLLECITAZ NASCOSTO'!$P$6,IF(C339&lt;='SOLLECITAZ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39" s="41">
        <f t="shared" si="93"/>
        <v>3.0600000000000093E-4</v>
      </c>
      <c r="Q339" s="41">
        <f t="shared" si="91"/>
        <v>1</v>
      </c>
      <c r="R339" s="434">
        <f t="shared" si="85"/>
        <v>3.3445743000579098</v>
      </c>
      <c r="S339" s="45">
        <f t="shared" si="92"/>
        <v>3.3445743000579098</v>
      </c>
      <c r="T339" s="205">
        <f t="shared" si="88"/>
        <v>1.6874872922029711</v>
      </c>
      <c r="U339" s="45">
        <f t="shared" si="89"/>
        <v>177.57754979749632</v>
      </c>
      <c r="V339" s="45">
        <f t="shared" si="90"/>
        <v>-223.09189558747767</v>
      </c>
      <c r="W339" s="488"/>
    </row>
    <row r="340" spans="1:23" x14ac:dyDescent="0.25">
      <c r="A340" s="581">
        <f t="shared" si="86"/>
        <v>0.57035898320421052</v>
      </c>
      <c r="B340" s="31">
        <f t="shared" si="99"/>
        <v>308</v>
      </c>
      <c r="C340" s="434">
        <f>'SOLLECITAZ NASCOSTO'!$D$6/'SOLLECITAZ NASCOSTO'!$B$448*'SOLLECITAZ NASCOSTO'!B340</f>
        <v>3.35546867888546</v>
      </c>
      <c r="D340" s="128">
        <f t="shared" si="87"/>
        <v>0.69035898320421052</v>
      </c>
      <c r="E340" s="128">
        <f t="shared" si="81"/>
        <v>0.57035898320421052</v>
      </c>
      <c r="F340" s="128">
        <f t="shared" si="82"/>
        <v>0.48251487462534737</v>
      </c>
      <c r="G340" s="128">
        <f t="shared" si="83"/>
        <v>9.195128411052024E-2</v>
      </c>
      <c r="H340" s="128">
        <f t="shared" si="100"/>
        <v>0</v>
      </c>
      <c r="I340" s="128">
        <v>0</v>
      </c>
      <c r="J340" s="127">
        <f t="shared" si="101"/>
        <v>0.1905667347186272</v>
      </c>
      <c r="K340" s="126">
        <f t="shared" si="84"/>
        <v>1.8828504302197999E-2</v>
      </c>
      <c r="L340" s="41">
        <f t="shared" si="102"/>
        <v>178.5890400010002</v>
      </c>
      <c r="M340" s="41">
        <f t="shared" si="103"/>
        <v>-225.0320024649684</v>
      </c>
      <c r="N340" s="41">
        <f>(IF(C339&lt;='SOLLECITAZ NASCOSTO'!$P$12,IF(C339&lt;='SOLLECITAZ NASCOSTO'!$P$11,IF(C339&lt;='SOLLECITAZ NASCOSTO'!$P$10,IF(C339&lt;='SOLLECITAZ NASCOSTO'!$P$9,IF(C339&lt;='SOLLECITAZ NASCOSTO'!$P$8,IF(C339&lt;='SOLLECITAZ NASCOSTO'!$P$7,IF(C339&lt;='SOLLECITAZ NASCOSTO'!$P$6,IF(C339&lt;='SOLLECITAZ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paramento'!$G$111),55555)-IF(C339&lt;='SOLLECITAZ NASCOSTO'!$P$12,IF(C339&lt;='SOLLECITAZ NASCOSTO'!$P$11,IF(C339&lt;='SOLLECITAZ NASCOSTO'!$P$10,IF(C339&lt;='SOLLECITAZ NASCOSTO'!$P$9,IF(C339&lt;='SOLLECITAZ NASCOSTO'!$P$8,IF(C339&lt;='SOLLECITAZ NASCOSTO'!$P$7,IF(C339&lt;='SOLLECITAZ NASCOSTO'!$P$6,IF(C339&lt;='SOLLECITAZ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paramento'!$G$111))*(C339-IF(C339&lt;='SOLLECITAZ NASCOSTO'!$P$12,IF(C339&lt;='SOLLECITAZ NASCOSTO'!$P$11,IF(C339&lt;='SOLLECITAZ NASCOSTO'!$P$10,IF(C339&lt;='SOLLECITAZ NASCOSTO'!$P$9,IF(C339&lt;='SOLLECITAZ NASCOSTO'!$P$8,IF(C339&lt;='SOLLECITAZ NASCOSTO'!$P$7,IF(C339&lt;='SOLLECITAZ NASCOSTO'!$P$6,IF(C339&lt;='SOLLECITAZ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NASCOSTO'!$P$12))/IF(C339&lt;='SOLLECITAZ NASCOSTO'!$P$12,IF(C339&lt;='SOLLECITAZ NASCOSTO'!$P$11,IF(C339&lt;='SOLLECITAZ NASCOSTO'!$P$10,IF(C339&lt;='SOLLECITAZ NASCOSTO'!$P$9,IF(C339&lt;='SOLLECITAZ NASCOSTO'!$P$8,IF(C339&lt;='SOLLECITAZ NASCOSTO'!$P$7,IF(C339&lt;='SOLLECITAZ NASCOSTO'!$P$6,IF(C339&lt;='SOLLECITAZ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paramento'!$C$111)+IF(C339&lt;='SOLLECITAZ NASCOSTO'!$P$12,IF(C339&lt;='SOLLECITAZ NASCOSTO'!$P$11,IF(C339&lt;='SOLLECITAZ NASCOSTO'!$P$10,IF(C339&lt;='SOLLECITAZ NASCOSTO'!$P$9,IF(C339&lt;='SOLLECITAZ NASCOSTO'!$P$8,IF(C339&lt;='SOLLECITAZ NASCOSTO'!$P$7,IF(C339&lt;='SOLLECITAZ NASCOSTO'!$P$6,IF(C339&lt;='SOLLECITAZ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92.71608551565771</v>
      </c>
      <c r="O340" s="41">
        <f>IF(C340&lt;='SOLLECITAZ NASCOSTO'!$P$12,IF(C340&lt;='SOLLECITAZ NASCOSTO'!$P$11,IF(C340&lt;='SOLLECITAZ NASCOSTO'!$P$10,IF(C340&lt;='SOLLECITAZ NASCOSTO'!$P$9,IF(C340&lt;='SOLLECITAZ NASCOSTO'!$P$8,IF(C340&lt;='SOLLECITAZ NASCOSTO'!$P$7,IF(C340&lt;='SOLLECITAZ NASCOSTO'!$P$6,IF(C340&lt;='SOLLECITAZ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paramento'!$G$110),55555)*(C340-C339)/IF(C340&lt;='SOLLECITAZ NASCOSTO'!$P$12,IF(C340&lt;='SOLLECITAZ NASCOSTO'!$P$11,IF(C340&lt;='SOLLECITAZ NASCOSTO'!$P$10,IF(C340&lt;='SOLLECITAZ NASCOSTO'!$P$9,IF(C340&lt;='SOLLECITAZ NASCOSTO'!$P$8,IF(C340&lt;='SOLLECITAZ NASCOSTO'!$P$7,IF(C340&lt;='SOLLECITAZ NASCOSTO'!$P$6,IF(C340&lt;='SOLLECITAZ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40" s="41">
        <f t="shared" si="93"/>
        <v>3.0700000000000096E-4</v>
      </c>
      <c r="Q340" s="41">
        <f t="shared" si="91"/>
        <v>1</v>
      </c>
      <c r="R340" s="434">
        <f t="shared" si="85"/>
        <v>3.35546867888546</v>
      </c>
      <c r="S340" s="45">
        <f t="shared" si="92"/>
        <v>3.35546867888546</v>
      </c>
      <c r="T340" s="205">
        <f t="shared" si="88"/>
        <v>1.6765929133754209</v>
      </c>
      <c r="U340" s="45">
        <f t="shared" si="89"/>
        <v>178.5890400010002</v>
      </c>
      <c r="V340" s="45">
        <f t="shared" si="90"/>
        <v>-225.0320024649684</v>
      </c>
      <c r="W340" s="488"/>
    </row>
    <row r="341" spans="1:23" x14ac:dyDescent="0.25">
      <c r="A341" s="581">
        <f t="shared" si="86"/>
        <v>0.57192982595231967</v>
      </c>
      <c r="B341" s="31">
        <f t="shared" si="99"/>
        <v>309</v>
      </c>
      <c r="C341" s="434">
        <f>'SOLLECITAZ NASCOSTO'!$D$6/'SOLLECITAZ NASCOSTO'!$B$448*'SOLLECITAZ NASCOSTO'!B341</f>
        <v>3.3663630577130101</v>
      </c>
      <c r="D341" s="128">
        <f t="shared" si="87"/>
        <v>0.69192982595231967</v>
      </c>
      <c r="E341" s="128">
        <f t="shared" si="81"/>
        <v>0.57192982595231967</v>
      </c>
      <c r="F341" s="128">
        <f t="shared" si="82"/>
        <v>0.48301754430474231</v>
      </c>
      <c r="G341" s="128">
        <f t="shared" si="83"/>
        <v>9.2298701446785189E-2</v>
      </c>
      <c r="H341" s="128">
        <f t="shared" si="100"/>
        <v>0</v>
      </c>
      <c r="I341" s="128">
        <v>0</v>
      </c>
      <c r="J341" s="127">
        <f t="shared" si="101"/>
        <v>0.1910876789778731</v>
      </c>
      <c r="K341" s="126">
        <f t="shared" si="84"/>
        <v>1.8954331287563221E-2</v>
      </c>
      <c r="L341" s="41">
        <f t="shared" si="102"/>
        <v>179.60334229348157</v>
      </c>
      <c r="M341" s="41">
        <f t="shared" si="103"/>
        <v>-226.98314421789777</v>
      </c>
      <c r="N341" s="41">
        <f>(IF(C340&lt;='SOLLECITAZ NASCOSTO'!$P$12,IF(C340&lt;='SOLLECITAZ NASCOSTO'!$P$11,IF(C340&lt;='SOLLECITAZ NASCOSTO'!$P$10,IF(C340&lt;='SOLLECITAZ NASCOSTO'!$P$9,IF(C340&lt;='SOLLECITAZ NASCOSTO'!$P$8,IF(C340&lt;='SOLLECITAZ NASCOSTO'!$P$7,IF(C340&lt;='SOLLECITAZ NASCOSTO'!$P$6,IF(C340&lt;='SOLLECITAZ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paramento'!$G$111),55555)-IF(C340&lt;='SOLLECITAZ NASCOSTO'!$P$12,IF(C340&lt;='SOLLECITAZ NASCOSTO'!$P$11,IF(C340&lt;='SOLLECITAZ NASCOSTO'!$P$10,IF(C340&lt;='SOLLECITAZ NASCOSTO'!$P$9,IF(C340&lt;='SOLLECITAZ NASCOSTO'!$P$8,IF(C340&lt;='SOLLECITAZ NASCOSTO'!$P$7,IF(C340&lt;='SOLLECITAZ NASCOSTO'!$P$6,IF(C340&lt;='SOLLECITAZ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paramento'!$G$111))*(C340-IF(C340&lt;='SOLLECITAZ NASCOSTO'!$P$12,IF(C340&lt;='SOLLECITAZ NASCOSTO'!$P$11,IF(C340&lt;='SOLLECITAZ NASCOSTO'!$P$10,IF(C340&lt;='SOLLECITAZ NASCOSTO'!$P$9,IF(C340&lt;='SOLLECITAZ NASCOSTO'!$P$8,IF(C340&lt;='SOLLECITAZ NASCOSTO'!$P$7,IF(C340&lt;='SOLLECITAZ NASCOSTO'!$P$6,IF(C340&lt;='SOLLECITAZ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NASCOSTO'!$P$12))/IF(C340&lt;='SOLLECITAZ NASCOSTO'!$P$12,IF(C340&lt;='SOLLECITAZ NASCOSTO'!$P$11,IF(C340&lt;='SOLLECITAZ NASCOSTO'!$P$10,IF(C340&lt;='SOLLECITAZ NASCOSTO'!$P$9,IF(C340&lt;='SOLLECITAZ NASCOSTO'!$P$8,IF(C340&lt;='SOLLECITAZ NASCOSTO'!$P$7,IF(C340&lt;='SOLLECITAZ NASCOSTO'!$P$6,IF(C340&lt;='SOLLECITAZ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paramento'!$C$111)+IF(C340&lt;='SOLLECITAZ NASCOSTO'!$P$12,IF(C340&lt;='SOLLECITAZ NASCOSTO'!$P$11,IF(C340&lt;='SOLLECITAZ NASCOSTO'!$P$10,IF(C340&lt;='SOLLECITAZ NASCOSTO'!$P$9,IF(C340&lt;='SOLLECITAZ NASCOSTO'!$P$8,IF(C340&lt;='SOLLECITAZ NASCOSTO'!$P$7,IF(C340&lt;='SOLLECITAZ NASCOSTO'!$P$6,IF(C340&lt;='SOLLECITAZ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92.974208445107138</v>
      </c>
      <c r="O341" s="41">
        <f>IF(C341&lt;='SOLLECITAZ NASCOSTO'!$P$12,IF(C341&lt;='SOLLECITAZ NASCOSTO'!$P$11,IF(C341&lt;='SOLLECITAZ NASCOSTO'!$P$10,IF(C341&lt;='SOLLECITAZ NASCOSTO'!$P$9,IF(C341&lt;='SOLLECITAZ NASCOSTO'!$P$8,IF(C341&lt;='SOLLECITAZ NASCOSTO'!$P$7,IF(C341&lt;='SOLLECITAZ NASCOSTO'!$P$6,IF(C341&lt;='SOLLECITAZ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paramento'!$G$110),55555)*(C341-C340)/IF(C341&lt;='SOLLECITAZ NASCOSTO'!$P$12,IF(C341&lt;='SOLLECITAZ NASCOSTO'!$P$11,IF(C341&lt;='SOLLECITAZ NASCOSTO'!$P$10,IF(C341&lt;='SOLLECITAZ NASCOSTO'!$P$9,IF(C341&lt;='SOLLECITAZ NASCOSTO'!$P$8,IF(C341&lt;='SOLLECITAZ NASCOSTO'!$P$7,IF(C341&lt;='SOLLECITAZ NASCOSTO'!$P$6,IF(C341&lt;='SOLLECITAZ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41" s="41">
        <f t="shared" si="93"/>
        <v>3.0800000000000098E-4</v>
      </c>
      <c r="Q341" s="41">
        <f t="shared" si="91"/>
        <v>1</v>
      </c>
      <c r="R341" s="434">
        <f t="shared" si="85"/>
        <v>3.3663630577130101</v>
      </c>
      <c r="S341" s="45">
        <f t="shared" si="92"/>
        <v>3.3663630577130101</v>
      </c>
      <c r="T341" s="205">
        <f t="shared" si="88"/>
        <v>1.6656985345478708</v>
      </c>
      <c r="U341" s="45">
        <f t="shared" si="89"/>
        <v>179.60334229348157</v>
      </c>
      <c r="V341" s="45">
        <f t="shared" si="90"/>
        <v>-226.98314421789777</v>
      </c>
      <c r="W341" s="488"/>
    </row>
    <row r="342" spans="1:23" x14ac:dyDescent="0.25">
      <c r="A342" s="581">
        <f t="shared" si="86"/>
        <v>0.57350066870042882</v>
      </c>
      <c r="B342" s="31">
        <f t="shared" si="99"/>
        <v>310</v>
      </c>
      <c r="C342" s="434">
        <f>'SOLLECITAZ NASCOSTO'!$D$6/'SOLLECITAZ NASCOSTO'!$B$448*'SOLLECITAZ NASCOSTO'!B342</f>
        <v>3.3772574365405603</v>
      </c>
      <c r="D342" s="128">
        <f t="shared" si="87"/>
        <v>0.69350066870042881</v>
      </c>
      <c r="E342" s="128">
        <f t="shared" si="81"/>
        <v>0.57350066870042882</v>
      </c>
      <c r="F342" s="128">
        <f t="shared" si="82"/>
        <v>0.48352021398413725</v>
      </c>
      <c r="G342" s="128">
        <f t="shared" si="83"/>
        <v>9.2646908398070715E-2</v>
      </c>
      <c r="H342" s="128">
        <f t="shared" si="100"/>
        <v>0</v>
      </c>
      <c r="I342" s="128">
        <v>0</v>
      </c>
      <c r="J342" s="127">
        <f t="shared" si="101"/>
        <v>0.19160917314019504</v>
      </c>
      <c r="K342" s="126">
        <f t="shared" si="84"/>
        <v>1.9080686775295272E-2</v>
      </c>
      <c r="L342" s="41">
        <f t="shared" si="102"/>
        <v>180.62045667494044</v>
      </c>
      <c r="M342" s="41">
        <f t="shared" si="103"/>
        <v>-228.9453514822284</v>
      </c>
      <c r="N342" s="41">
        <f>(IF(C341&lt;='SOLLECITAZ NASCOSTO'!$P$12,IF(C341&lt;='SOLLECITAZ NASCOSTO'!$P$11,IF(C341&lt;='SOLLECITAZ NASCOSTO'!$P$10,IF(C341&lt;='SOLLECITAZ NASCOSTO'!$P$9,IF(C341&lt;='SOLLECITAZ NASCOSTO'!$P$8,IF(C341&lt;='SOLLECITAZ NASCOSTO'!$P$7,IF(C341&lt;='SOLLECITAZ NASCOSTO'!$P$6,IF(C341&lt;='SOLLECITAZ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paramento'!$G$111),55555)-IF(C341&lt;='SOLLECITAZ NASCOSTO'!$P$12,IF(C341&lt;='SOLLECITAZ NASCOSTO'!$P$11,IF(C341&lt;='SOLLECITAZ NASCOSTO'!$P$10,IF(C341&lt;='SOLLECITAZ NASCOSTO'!$P$9,IF(C341&lt;='SOLLECITAZ NASCOSTO'!$P$8,IF(C341&lt;='SOLLECITAZ NASCOSTO'!$P$7,IF(C341&lt;='SOLLECITAZ NASCOSTO'!$P$6,IF(C341&lt;='SOLLECITAZ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paramento'!$G$111))*(C341-IF(C341&lt;='SOLLECITAZ NASCOSTO'!$P$12,IF(C341&lt;='SOLLECITAZ NASCOSTO'!$P$11,IF(C341&lt;='SOLLECITAZ NASCOSTO'!$P$10,IF(C341&lt;='SOLLECITAZ NASCOSTO'!$P$9,IF(C341&lt;='SOLLECITAZ NASCOSTO'!$P$8,IF(C341&lt;='SOLLECITAZ NASCOSTO'!$P$7,IF(C341&lt;='SOLLECITAZ NASCOSTO'!$P$6,IF(C341&lt;='SOLLECITAZ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NASCOSTO'!$P$12))/IF(C341&lt;='SOLLECITAZ NASCOSTO'!$P$12,IF(C341&lt;='SOLLECITAZ NASCOSTO'!$P$11,IF(C341&lt;='SOLLECITAZ NASCOSTO'!$P$10,IF(C341&lt;='SOLLECITAZ NASCOSTO'!$P$9,IF(C341&lt;='SOLLECITAZ NASCOSTO'!$P$8,IF(C341&lt;='SOLLECITAZ NASCOSTO'!$P$7,IF(C341&lt;='SOLLECITAZ NASCOSTO'!$P$6,IF(C341&lt;='SOLLECITAZ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paramento'!$C$111)+IF(C341&lt;='SOLLECITAZ NASCOSTO'!$P$12,IF(C341&lt;='SOLLECITAZ NASCOSTO'!$P$11,IF(C341&lt;='SOLLECITAZ NASCOSTO'!$P$10,IF(C341&lt;='SOLLECITAZ NASCOSTO'!$P$9,IF(C341&lt;='SOLLECITAZ NASCOSTO'!$P$8,IF(C341&lt;='SOLLECITAZ NASCOSTO'!$P$7,IF(C341&lt;='SOLLECITAZ NASCOSTO'!$P$6,IF(C341&lt;='SOLLECITAZ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93.232331374556537</v>
      </c>
      <c r="O342" s="41">
        <f>IF(C342&lt;='SOLLECITAZ NASCOSTO'!$P$12,IF(C342&lt;='SOLLECITAZ NASCOSTO'!$P$11,IF(C342&lt;='SOLLECITAZ NASCOSTO'!$P$10,IF(C342&lt;='SOLLECITAZ NASCOSTO'!$P$9,IF(C342&lt;='SOLLECITAZ NASCOSTO'!$P$8,IF(C342&lt;='SOLLECITAZ NASCOSTO'!$P$7,IF(C342&lt;='SOLLECITAZ NASCOSTO'!$P$6,IF(C342&lt;='SOLLECITAZ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paramento'!$G$110),55555)*(C342-C341)/IF(C342&lt;='SOLLECITAZ NASCOSTO'!$P$12,IF(C342&lt;='SOLLECITAZ NASCOSTO'!$P$11,IF(C342&lt;='SOLLECITAZ NASCOSTO'!$P$10,IF(C342&lt;='SOLLECITAZ NASCOSTO'!$P$9,IF(C342&lt;='SOLLECITAZ NASCOSTO'!$P$8,IF(C342&lt;='SOLLECITAZ NASCOSTO'!$P$7,IF(C342&lt;='SOLLECITAZ NASCOSTO'!$P$6,IF(C342&lt;='SOLLECITAZ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42" s="41">
        <f t="shared" si="93"/>
        <v>3.0900000000000101E-4</v>
      </c>
      <c r="Q342" s="41">
        <f t="shared" si="91"/>
        <v>1</v>
      </c>
      <c r="R342" s="434">
        <f t="shared" si="85"/>
        <v>3.3772574365405603</v>
      </c>
      <c r="S342" s="45">
        <f t="shared" si="92"/>
        <v>3.3772574365405603</v>
      </c>
      <c r="T342" s="205">
        <f t="shared" si="88"/>
        <v>1.6548041557203206</v>
      </c>
      <c r="U342" s="45">
        <f t="shared" si="89"/>
        <v>180.62045667494044</v>
      </c>
      <c r="V342" s="45">
        <f t="shared" si="90"/>
        <v>-228.9453514822284</v>
      </c>
      <c r="W342" s="488"/>
    </row>
    <row r="343" spans="1:23" x14ac:dyDescent="0.25">
      <c r="A343" s="581">
        <f t="shared" si="86"/>
        <v>0.57507151144853796</v>
      </c>
      <c r="B343" s="31">
        <f t="shared" si="99"/>
        <v>311</v>
      </c>
      <c r="C343" s="434">
        <f>'SOLLECITAZ NASCOSTO'!$D$6/'SOLLECITAZ NASCOSTO'!$B$448*'SOLLECITAZ NASCOSTO'!B343</f>
        <v>3.3881518153681105</v>
      </c>
      <c r="D343" s="128">
        <f t="shared" si="87"/>
        <v>0.69507151144853796</v>
      </c>
      <c r="E343" s="128">
        <f t="shared" si="81"/>
        <v>0.57507151144853796</v>
      </c>
      <c r="F343" s="128">
        <f t="shared" si="82"/>
        <v>0.48402288366353213</v>
      </c>
      <c r="G343" s="128">
        <f t="shared" si="83"/>
        <v>9.2995904964376805E-2</v>
      </c>
      <c r="H343" s="128">
        <f t="shared" si="100"/>
        <v>0</v>
      </c>
      <c r="I343" s="128">
        <v>0</v>
      </c>
      <c r="J343" s="127">
        <f t="shared" si="101"/>
        <v>0.19213121549232945</v>
      </c>
      <c r="K343" s="126">
        <f t="shared" si="84"/>
        <v>1.9207571595663612E-2</v>
      </c>
      <c r="L343" s="41">
        <f t="shared" si="102"/>
        <v>181.6403831453768</v>
      </c>
      <c r="M343" s="41">
        <f t="shared" si="103"/>
        <v>-230.91865489392291</v>
      </c>
      <c r="N343" s="41">
        <f>(IF(C342&lt;='SOLLECITAZ NASCOSTO'!$P$12,IF(C342&lt;='SOLLECITAZ NASCOSTO'!$P$11,IF(C342&lt;='SOLLECITAZ NASCOSTO'!$P$10,IF(C342&lt;='SOLLECITAZ NASCOSTO'!$P$9,IF(C342&lt;='SOLLECITAZ NASCOSTO'!$P$8,IF(C342&lt;='SOLLECITAZ NASCOSTO'!$P$7,IF(C342&lt;='SOLLECITAZ NASCOSTO'!$P$6,IF(C342&lt;='SOLLECITAZ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paramento'!$G$111),55555)-IF(C342&lt;='SOLLECITAZ NASCOSTO'!$P$12,IF(C342&lt;='SOLLECITAZ NASCOSTO'!$P$11,IF(C342&lt;='SOLLECITAZ NASCOSTO'!$P$10,IF(C342&lt;='SOLLECITAZ NASCOSTO'!$P$9,IF(C342&lt;='SOLLECITAZ NASCOSTO'!$P$8,IF(C342&lt;='SOLLECITAZ NASCOSTO'!$P$7,IF(C342&lt;='SOLLECITAZ NASCOSTO'!$P$6,IF(C342&lt;='SOLLECITAZ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paramento'!$G$111))*(C342-IF(C342&lt;='SOLLECITAZ NASCOSTO'!$P$12,IF(C342&lt;='SOLLECITAZ NASCOSTO'!$P$11,IF(C342&lt;='SOLLECITAZ NASCOSTO'!$P$10,IF(C342&lt;='SOLLECITAZ NASCOSTO'!$P$9,IF(C342&lt;='SOLLECITAZ NASCOSTO'!$P$8,IF(C342&lt;='SOLLECITAZ NASCOSTO'!$P$7,IF(C342&lt;='SOLLECITAZ NASCOSTO'!$P$6,IF(C342&lt;='SOLLECITAZ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NASCOSTO'!$P$12))/IF(C342&lt;='SOLLECITAZ NASCOSTO'!$P$12,IF(C342&lt;='SOLLECITAZ NASCOSTO'!$P$11,IF(C342&lt;='SOLLECITAZ NASCOSTO'!$P$10,IF(C342&lt;='SOLLECITAZ NASCOSTO'!$P$9,IF(C342&lt;='SOLLECITAZ NASCOSTO'!$P$8,IF(C342&lt;='SOLLECITAZ NASCOSTO'!$P$7,IF(C342&lt;='SOLLECITAZ NASCOSTO'!$P$6,IF(C342&lt;='SOLLECITAZ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paramento'!$C$111)+IF(C342&lt;='SOLLECITAZ NASCOSTO'!$P$12,IF(C342&lt;='SOLLECITAZ NASCOSTO'!$P$11,IF(C342&lt;='SOLLECITAZ NASCOSTO'!$P$10,IF(C342&lt;='SOLLECITAZ NASCOSTO'!$P$9,IF(C342&lt;='SOLLECITAZ NASCOSTO'!$P$8,IF(C342&lt;='SOLLECITAZ NASCOSTO'!$P$7,IF(C342&lt;='SOLLECITAZ NASCOSTO'!$P$6,IF(C342&lt;='SOLLECITAZ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93.490454304005937</v>
      </c>
      <c r="O343" s="41">
        <f>IF(C343&lt;='SOLLECITAZ NASCOSTO'!$P$12,IF(C343&lt;='SOLLECITAZ NASCOSTO'!$P$11,IF(C343&lt;='SOLLECITAZ NASCOSTO'!$P$10,IF(C343&lt;='SOLLECITAZ NASCOSTO'!$P$9,IF(C343&lt;='SOLLECITAZ NASCOSTO'!$P$8,IF(C343&lt;='SOLLECITAZ NASCOSTO'!$P$7,IF(C343&lt;='SOLLECITAZ NASCOSTO'!$P$6,IF(C343&lt;='SOLLECITAZ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paramento'!$G$110),55555)*(C343-C342)/IF(C343&lt;='SOLLECITAZ NASCOSTO'!$P$12,IF(C343&lt;='SOLLECITAZ NASCOSTO'!$P$11,IF(C343&lt;='SOLLECITAZ NASCOSTO'!$P$10,IF(C343&lt;='SOLLECITAZ NASCOSTO'!$P$9,IF(C343&lt;='SOLLECITAZ NASCOSTO'!$P$8,IF(C343&lt;='SOLLECITAZ NASCOSTO'!$P$7,IF(C343&lt;='SOLLECITAZ NASCOSTO'!$P$6,IF(C343&lt;='SOLLECITAZ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43" s="41">
        <f t="shared" si="93"/>
        <v>3.1000000000000103E-4</v>
      </c>
      <c r="Q343" s="41">
        <f t="shared" si="91"/>
        <v>1</v>
      </c>
      <c r="R343" s="434">
        <f t="shared" si="85"/>
        <v>3.3881518153681105</v>
      </c>
      <c r="S343" s="45">
        <f t="shared" si="92"/>
        <v>3.3881518153681105</v>
      </c>
      <c r="T343" s="205">
        <f t="shared" si="88"/>
        <v>1.6439097768927704</v>
      </c>
      <c r="U343" s="45">
        <f t="shared" si="89"/>
        <v>181.6403831453768</v>
      </c>
      <c r="V343" s="45">
        <f t="shared" si="90"/>
        <v>-230.91865489392291</v>
      </c>
      <c r="W343" s="488"/>
    </row>
    <row r="344" spans="1:23" x14ac:dyDescent="0.25">
      <c r="A344" s="581">
        <f t="shared" si="86"/>
        <v>0.57664235419664722</v>
      </c>
      <c r="B344" s="31">
        <f t="shared" si="99"/>
        <v>312</v>
      </c>
      <c r="C344" s="434">
        <f>'SOLLECITAZ NASCOSTO'!$D$6/'SOLLECITAZ NASCOSTO'!$B$448*'SOLLECITAZ NASCOSTO'!B344</f>
        <v>3.3990461941956607</v>
      </c>
      <c r="D344" s="128">
        <f t="shared" si="87"/>
        <v>0.69664235419664722</v>
      </c>
      <c r="E344" s="128">
        <f t="shared" si="81"/>
        <v>0.57664235419664722</v>
      </c>
      <c r="F344" s="128">
        <f t="shared" si="82"/>
        <v>0.48452555334292713</v>
      </c>
      <c r="G344" s="128">
        <f t="shared" si="83"/>
        <v>9.3345691145703499E-2</v>
      </c>
      <c r="H344" s="128">
        <f t="shared" si="100"/>
        <v>0</v>
      </c>
      <c r="I344" s="128">
        <v>0</v>
      </c>
      <c r="J344" s="127">
        <f t="shared" si="101"/>
        <v>0.19265380432812237</v>
      </c>
      <c r="K344" s="126">
        <f t="shared" si="84"/>
        <v>1.9334986578065917E-2</v>
      </c>
      <c r="L344" s="41">
        <f t="shared" si="102"/>
        <v>182.66312170479068</v>
      </c>
      <c r="M344" s="41">
        <f t="shared" si="103"/>
        <v>-232.9030850889439</v>
      </c>
      <c r="N344" s="41">
        <f>(IF(C343&lt;='SOLLECITAZ NASCOSTO'!$P$12,IF(C343&lt;='SOLLECITAZ NASCOSTO'!$P$11,IF(C343&lt;='SOLLECITAZ NASCOSTO'!$P$10,IF(C343&lt;='SOLLECITAZ NASCOSTO'!$P$9,IF(C343&lt;='SOLLECITAZ NASCOSTO'!$P$8,IF(C343&lt;='SOLLECITAZ NASCOSTO'!$P$7,IF(C343&lt;='SOLLECITAZ NASCOSTO'!$P$6,IF(C343&lt;='SOLLECITAZ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paramento'!$G$111),55555)-IF(C343&lt;='SOLLECITAZ NASCOSTO'!$P$12,IF(C343&lt;='SOLLECITAZ NASCOSTO'!$P$11,IF(C343&lt;='SOLLECITAZ NASCOSTO'!$P$10,IF(C343&lt;='SOLLECITAZ NASCOSTO'!$P$9,IF(C343&lt;='SOLLECITAZ NASCOSTO'!$P$8,IF(C343&lt;='SOLLECITAZ NASCOSTO'!$P$7,IF(C343&lt;='SOLLECITAZ NASCOSTO'!$P$6,IF(C343&lt;='SOLLECITAZ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paramento'!$G$111))*(C343-IF(C343&lt;='SOLLECITAZ NASCOSTO'!$P$12,IF(C343&lt;='SOLLECITAZ NASCOSTO'!$P$11,IF(C343&lt;='SOLLECITAZ NASCOSTO'!$P$10,IF(C343&lt;='SOLLECITAZ NASCOSTO'!$P$9,IF(C343&lt;='SOLLECITAZ NASCOSTO'!$P$8,IF(C343&lt;='SOLLECITAZ NASCOSTO'!$P$7,IF(C343&lt;='SOLLECITAZ NASCOSTO'!$P$6,IF(C343&lt;='SOLLECITAZ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NASCOSTO'!$P$12))/IF(C343&lt;='SOLLECITAZ NASCOSTO'!$P$12,IF(C343&lt;='SOLLECITAZ NASCOSTO'!$P$11,IF(C343&lt;='SOLLECITAZ NASCOSTO'!$P$10,IF(C343&lt;='SOLLECITAZ NASCOSTO'!$P$9,IF(C343&lt;='SOLLECITAZ NASCOSTO'!$P$8,IF(C343&lt;='SOLLECITAZ NASCOSTO'!$P$7,IF(C343&lt;='SOLLECITAZ NASCOSTO'!$P$6,IF(C343&lt;='SOLLECITAZ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paramento'!$C$111)+IF(C343&lt;='SOLLECITAZ NASCOSTO'!$P$12,IF(C343&lt;='SOLLECITAZ NASCOSTO'!$P$11,IF(C343&lt;='SOLLECITAZ NASCOSTO'!$P$10,IF(C343&lt;='SOLLECITAZ NASCOSTO'!$P$9,IF(C343&lt;='SOLLECITAZ NASCOSTO'!$P$8,IF(C343&lt;='SOLLECITAZ NASCOSTO'!$P$7,IF(C343&lt;='SOLLECITAZ NASCOSTO'!$P$6,IF(C343&lt;='SOLLECITAZ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93.748577233455336</v>
      </c>
      <c r="O344" s="41">
        <f>IF(C344&lt;='SOLLECITAZ NASCOSTO'!$P$12,IF(C344&lt;='SOLLECITAZ NASCOSTO'!$P$11,IF(C344&lt;='SOLLECITAZ NASCOSTO'!$P$10,IF(C344&lt;='SOLLECITAZ NASCOSTO'!$P$9,IF(C344&lt;='SOLLECITAZ NASCOSTO'!$P$8,IF(C344&lt;='SOLLECITAZ NASCOSTO'!$P$7,IF(C344&lt;='SOLLECITAZ NASCOSTO'!$P$6,IF(C344&lt;='SOLLECITAZ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paramento'!$G$110),55555)*(C344-C343)/IF(C344&lt;='SOLLECITAZ NASCOSTO'!$P$12,IF(C344&lt;='SOLLECITAZ NASCOSTO'!$P$11,IF(C344&lt;='SOLLECITAZ NASCOSTO'!$P$10,IF(C344&lt;='SOLLECITAZ NASCOSTO'!$P$9,IF(C344&lt;='SOLLECITAZ NASCOSTO'!$P$8,IF(C344&lt;='SOLLECITAZ NASCOSTO'!$P$7,IF(C344&lt;='SOLLECITAZ NASCOSTO'!$P$6,IF(C344&lt;='SOLLECITAZ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44" s="41">
        <f t="shared" si="93"/>
        <v>3.1100000000000105E-4</v>
      </c>
      <c r="Q344" s="41">
        <f t="shared" si="91"/>
        <v>1</v>
      </c>
      <c r="R344" s="434">
        <f t="shared" si="85"/>
        <v>3.3990461941956607</v>
      </c>
      <c r="S344" s="45">
        <f t="shared" si="92"/>
        <v>3.3990461941956607</v>
      </c>
      <c r="T344" s="205">
        <f t="shared" si="88"/>
        <v>1.6330153980652202</v>
      </c>
      <c r="U344" s="45">
        <f t="shared" si="89"/>
        <v>182.66312170479068</v>
      </c>
      <c r="V344" s="45">
        <f t="shared" si="90"/>
        <v>-232.9030850889439</v>
      </c>
      <c r="W344" s="488"/>
    </row>
    <row r="345" spans="1:23" x14ac:dyDescent="0.25">
      <c r="A345" s="581">
        <f t="shared" si="86"/>
        <v>0.57821319694475637</v>
      </c>
      <c r="B345" s="31">
        <f t="shared" si="99"/>
        <v>313</v>
      </c>
      <c r="C345" s="434">
        <f>'SOLLECITAZ NASCOSTO'!$D$6/'SOLLECITAZ NASCOSTO'!$B$448*'SOLLECITAZ NASCOSTO'!B345</f>
        <v>3.4099405730232109</v>
      </c>
      <c r="D345" s="128">
        <f t="shared" si="87"/>
        <v>0.69821319694475636</v>
      </c>
      <c r="E345" s="128">
        <f t="shared" si="81"/>
        <v>0.57821319694475637</v>
      </c>
      <c r="F345" s="128">
        <f t="shared" si="82"/>
        <v>0.48502822302232207</v>
      </c>
      <c r="G345" s="128">
        <f t="shared" si="83"/>
        <v>9.3696266942050757E-2</v>
      </c>
      <c r="H345" s="128">
        <f t="shared" si="100"/>
        <v>0</v>
      </c>
      <c r="I345" s="128">
        <v>0</v>
      </c>
      <c r="J345" s="127">
        <f t="shared" si="101"/>
        <v>0.19317693794849264</v>
      </c>
      <c r="K345" s="126">
        <f t="shared" si="84"/>
        <v>1.9462932551032493E-2</v>
      </c>
      <c r="L345" s="41">
        <f t="shared" si="102"/>
        <v>183.68867235318206</v>
      </c>
      <c r="M345" s="41">
        <f t="shared" si="103"/>
        <v>-234.89867270325399</v>
      </c>
      <c r="N345" s="41">
        <f>(IF(C344&lt;='SOLLECITAZ NASCOSTO'!$P$12,IF(C344&lt;='SOLLECITAZ NASCOSTO'!$P$11,IF(C344&lt;='SOLLECITAZ NASCOSTO'!$P$10,IF(C344&lt;='SOLLECITAZ NASCOSTO'!$P$9,IF(C344&lt;='SOLLECITAZ NASCOSTO'!$P$8,IF(C344&lt;='SOLLECITAZ NASCOSTO'!$P$7,IF(C344&lt;='SOLLECITAZ NASCOSTO'!$P$6,IF(C344&lt;='SOLLECITAZ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paramento'!$G$111),55555)-IF(C344&lt;='SOLLECITAZ NASCOSTO'!$P$12,IF(C344&lt;='SOLLECITAZ NASCOSTO'!$P$11,IF(C344&lt;='SOLLECITAZ NASCOSTO'!$P$10,IF(C344&lt;='SOLLECITAZ NASCOSTO'!$P$9,IF(C344&lt;='SOLLECITAZ NASCOSTO'!$P$8,IF(C344&lt;='SOLLECITAZ NASCOSTO'!$P$7,IF(C344&lt;='SOLLECITAZ NASCOSTO'!$P$6,IF(C344&lt;='SOLLECITAZ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paramento'!$G$111))*(C344-IF(C344&lt;='SOLLECITAZ NASCOSTO'!$P$12,IF(C344&lt;='SOLLECITAZ NASCOSTO'!$P$11,IF(C344&lt;='SOLLECITAZ NASCOSTO'!$P$10,IF(C344&lt;='SOLLECITAZ NASCOSTO'!$P$9,IF(C344&lt;='SOLLECITAZ NASCOSTO'!$P$8,IF(C344&lt;='SOLLECITAZ NASCOSTO'!$P$7,IF(C344&lt;='SOLLECITAZ NASCOSTO'!$P$6,IF(C344&lt;='SOLLECITAZ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NASCOSTO'!$P$12))/IF(C344&lt;='SOLLECITAZ NASCOSTO'!$P$12,IF(C344&lt;='SOLLECITAZ NASCOSTO'!$P$11,IF(C344&lt;='SOLLECITAZ NASCOSTO'!$P$10,IF(C344&lt;='SOLLECITAZ NASCOSTO'!$P$9,IF(C344&lt;='SOLLECITAZ NASCOSTO'!$P$8,IF(C344&lt;='SOLLECITAZ NASCOSTO'!$P$7,IF(C344&lt;='SOLLECITAZ NASCOSTO'!$P$6,IF(C344&lt;='SOLLECITAZ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paramento'!$C$111)+IF(C344&lt;='SOLLECITAZ NASCOSTO'!$P$12,IF(C344&lt;='SOLLECITAZ NASCOSTO'!$P$11,IF(C344&lt;='SOLLECITAZ NASCOSTO'!$P$10,IF(C344&lt;='SOLLECITAZ NASCOSTO'!$P$9,IF(C344&lt;='SOLLECITAZ NASCOSTO'!$P$8,IF(C344&lt;='SOLLECITAZ NASCOSTO'!$P$7,IF(C344&lt;='SOLLECITAZ NASCOSTO'!$P$6,IF(C344&lt;='SOLLECITAZ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94.006700162904735</v>
      </c>
      <c r="O345" s="41">
        <f>IF(C345&lt;='SOLLECITAZ NASCOSTO'!$P$12,IF(C345&lt;='SOLLECITAZ NASCOSTO'!$P$11,IF(C345&lt;='SOLLECITAZ NASCOSTO'!$P$10,IF(C345&lt;='SOLLECITAZ NASCOSTO'!$P$9,IF(C345&lt;='SOLLECITAZ NASCOSTO'!$P$8,IF(C345&lt;='SOLLECITAZ NASCOSTO'!$P$7,IF(C345&lt;='SOLLECITAZ NASCOSTO'!$P$6,IF(C345&lt;='SOLLECITAZ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paramento'!$G$110),55555)*(C345-C344)/IF(C345&lt;='SOLLECITAZ NASCOSTO'!$P$12,IF(C345&lt;='SOLLECITAZ NASCOSTO'!$P$11,IF(C345&lt;='SOLLECITAZ NASCOSTO'!$P$10,IF(C345&lt;='SOLLECITAZ NASCOSTO'!$P$9,IF(C345&lt;='SOLLECITAZ NASCOSTO'!$P$8,IF(C345&lt;='SOLLECITAZ NASCOSTO'!$P$7,IF(C345&lt;='SOLLECITAZ NASCOSTO'!$P$6,IF(C345&lt;='SOLLECITAZ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45" s="41">
        <f t="shared" si="93"/>
        <v>3.1200000000000108E-4</v>
      </c>
      <c r="Q345" s="41">
        <f t="shared" si="91"/>
        <v>1</v>
      </c>
      <c r="R345" s="434">
        <f t="shared" si="85"/>
        <v>3.4099405730232109</v>
      </c>
      <c r="S345" s="45">
        <f t="shared" si="92"/>
        <v>3.4099405730232109</v>
      </c>
      <c r="T345" s="205">
        <f t="shared" si="88"/>
        <v>1.62212101923767</v>
      </c>
      <c r="U345" s="45">
        <f t="shared" si="89"/>
        <v>183.68867235318206</v>
      </c>
      <c r="V345" s="45">
        <f t="shared" si="90"/>
        <v>-234.89867270325399</v>
      </c>
      <c r="W345" s="488"/>
    </row>
    <row r="346" spans="1:23" x14ac:dyDescent="0.25">
      <c r="A346" s="581">
        <f t="shared" si="86"/>
        <v>0.57978403969286552</v>
      </c>
      <c r="B346" s="31">
        <f t="shared" si="99"/>
        <v>314</v>
      </c>
      <c r="C346" s="434">
        <f>'SOLLECITAZ NASCOSTO'!$D$6/'SOLLECITAZ NASCOSTO'!$B$448*'SOLLECITAZ NASCOSTO'!B346</f>
        <v>3.420834951850761</v>
      </c>
      <c r="D346" s="128">
        <f t="shared" si="87"/>
        <v>0.69978403969286551</v>
      </c>
      <c r="E346" s="128">
        <f t="shared" si="81"/>
        <v>0.57978403969286552</v>
      </c>
      <c r="F346" s="128">
        <f t="shared" si="82"/>
        <v>0.48553089270171695</v>
      </c>
      <c r="G346" s="128">
        <f t="shared" si="83"/>
        <v>9.4047632353418564E-2</v>
      </c>
      <c r="H346" s="128">
        <f t="shared" si="100"/>
        <v>0</v>
      </c>
      <c r="I346" s="128">
        <v>0</v>
      </c>
      <c r="J346" s="127">
        <f t="shared" si="101"/>
        <v>0.19370061466139535</v>
      </c>
      <c r="K346" s="126">
        <f t="shared" si="84"/>
        <v>1.9591410342230872E-2</v>
      </c>
      <c r="L346" s="41">
        <f t="shared" si="102"/>
        <v>184.71703509055092</v>
      </c>
      <c r="M346" s="41">
        <f t="shared" si="103"/>
        <v>-236.90544837281581</v>
      </c>
      <c r="N346" s="41">
        <f>(IF(C345&lt;='SOLLECITAZ NASCOSTO'!$P$12,IF(C345&lt;='SOLLECITAZ NASCOSTO'!$P$11,IF(C345&lt;='SOLLECITAZ NASCOSTO'!$P$10,IF(C345&lt;='SOLLECITAZ NASCOSTO'!$P$9,IF(C345&lt;='SOLLECITAZ NASCOSTO'!$P$8,IF(C345&lt;='SOLLECITAZ NASCOSTO'!$P$7,IF(C345&lt;='SOLLECITAZ NASCOSTO'!$P$6,IF(C345&lt;='SOLLECITAZ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paramento'!$G$111),55555)-IF(C345&lt;='SOLLECITAZ NASCOSTO'!$P$12,IF(C345&lt;='SOLLECITAZ NASCOSTO'!$P$11,IF(C345&lt;='SOLLECITAZ NASCOSTO'!$P$10,IF(C345&lt;='SOLLECITAZ NASCOSTO'!$P$9,IF(C345&lt;='SOLLECITAZ NASCOSTO'!$P$8,IF(C345&lt;='SOLLECITAZ NASCOSTO'!$P$7,IF(C345&lt;='SOLLECITAZ NASCOSTO'!$P$6,IF(C345&lt;='SOLLECITAZ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paramento'!$G$111))*(C345-IF(C345&lt;='SOLLECITAZ NASCOSTO'!$P$12,IF(C345&lt;='SOLLECITAZ NASCOSTO'!$P$11,IF(C345&lt;='SOLLECITAZ NASCOSTO'!$P$10,IF(C345&lt;='SOLLECITAZ NASCOSTO'!$P$9,IF(C345&lt;='SOLLECITAZ NASCOSTO'!$P$8,IF(C345&lt;='SOLLECITAZ NASCOSTO'!$P$7,IF(C345&lt;='SOLLECITAZ NASCOSTO'!$P$6,IF(C345&lt;='SOLLECITAZ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NASCOSTO'!$P$12))/IF(C345&lt;='SOLLECITAZ NASCOSTO'!$P$12,IF(C345&lt;='SOLLECITAZ NASCOSTO'!$P$11,IF(C345&lt;='SOLLECITAZ NASCOSTO'!$P$10,IF(C345&lt;='SOLLECITAZ NASCOSTO'!$P$9,IF(C345&lt;='SOLLECITAZ NASCOSTO'!$P$8,IF(C345&lt;='SOLLECITAZ NASCOSTO'!$P$7,IF(C345&lt;='SOLLECITAZ NASCOSTO'!$P$6,IF(C345&lt;='SOLLECITAZ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paramento'!$C$111)+IF(C345&lt;='SOLLECITAZ NASCOSTO'!$P$12,IF(C345&lt;='SOLLECITAZ NASCOSTO'!$P$11,IF(C345&lt;='SOLLECITAZ NASCOSTO'!$P$10,IF(C345&lt;='SOLLECITAZ NASCOSTO'!$P$9,IF(C345&lt;='SOLLECITAZ NASCOSTO'!$P$8,IF(C345&lt;='SOLLECITAZ NASCOSTO'!$P$7,IF(C345&lt;='SOLLECITAZ NASCOSTO'!$P$6,IF(C345&lt;='SOLLECITAZ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94.264823092354163</v>
      </c>
      <c r="O346" s="41">
        <f>IF(C346&lt;='SOLLECITAZ NASCOSTO'!$P$12,IF(C346&lt;='SOLLECITAZ NASCOSTO'!$P$11,IF(C346&lt;='SOLLECITAZ NASCOSTO'!$P$10,IF(C346&lt;='SOLLECITAZ NASCOSTO'!$P$9,IF(C346&lt;='SOLLECITAZ NASCOSTO'!$P$8,IF(C346&lt;='SOLLECITAZ NASCOSTO'!$P$7,IF(C346&lt;='SOLLECITAZ NASCOSTO'!$P$6,IF(C346&lt;='SOLLECITAZ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paramento'!$G$110),55555)*(C346-C345)/IF(C346&lt;='SOLLECITAZ NASCOSTO'!$P$12,IF(C346&lt;='SOLLECITAZ NASCOSTO'!$P$11,IF(C346&lt;='SOLLECITAZ NASCOSTO'!$P$10,IF(C346&lt;='SOLLECITAZ NASCOSTO'!$P$9,IF(C346&lt;='SOLLECITAZ NASCOSTO'!$P$8,IF(C346&lt;='SOLLECITAZ NASCOSTO'!$P$7,IF(C346&lt;='SOLLECITAZ NASCOSTO'!$P$6,IF(C346&lt;='SOLLECITAZ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46" s="41">
        <f t="shared" si="93"/>
        <v>3.130000000000011E-4</v>
      </c>
      <c r="Q346" s="41">
        <f t="shared" si="91"/>
        <v>1</v>
      </c>
      <c r="R346" s="434">
        <f t="shared" si="85"/>
        <v>3.420834951850761</v>
      </c>
      <c r="S346" s="45">
        <f t="shared" si="92"/>
        <v>3.420834951850761</v>
      </c>
      <c r="T346" s="205">
        <f t="shared" si="88"/>
        <v>1.6112266404101199</v>
      </c>
      <c r="U346" s="45">
        <f t="shared" si="89"/>
        <v>184.71703509055092</v>
      </c>
      <c r="V346" s="45">
        <f t="shared" si="90"/>
        <v>-236.90544837281581</v>
      </c>
      <c r="W346" s="488"/>
    </row>
    <row r="347" spans="1:23" x14ac:dyDescent="0.25">
      <c r="A347" s="581">
        <f t="shared" si="86"/>
        <v>0.58135488244097466</v>
      </c>
      <c r="B347" s="31">
        <f t="shared" si="99"/>
        <v>315</v>
      </c>
      <c r="C347" s="434">
        <f>'SOLLECITAZ NASCOSTO'!$D$6/'SOLLECITAZ NASCOSTO'!$B$448*'SOLLECITAZ NASCOSTO'!B347</f>
        <v>3.4317293306783112</v>
      </c>
      <c r="D347" s="128">
        <f t="shared" si="87"/>
        <v>0.70135488244097466</v>
      </c>
      <c r="E347" s="128">
        <f t="shared" si="81"/>
        <v>0.58135488244097466</v>
      </c>
      <c r="F347" s="128">
        <f t="shared" si="82"/>
        <v>0.48603356238111189</v>
      </c>
      <c r="G347" s="128">
        <f t="shared" si="83"/>
        <v>9.4399787379806949E-2</v>
      </c>
      <c r="H347" s="128">
        <f t="shared" si="100"/>
        <v>0</v>
      </c>
      <c r="I347" s="128">
        <v>0</v>
      </c>
      <c r="J347" s="127">
        <f t="shared" si="101"/>
        <v>0.19422483278178546</v>
      </c>
      <c r="K347" s="126">
        <f t="shared" si="84"/>
        <v>1.9720420778470204E-2</v>
      </c>
      <c r="L347" s="41">
        <f t="shared" si="102"/>
        <v>185.74820991689728</v>
      </c>
      <c r="M347" s="41">
        <f t="shared" si="103"/>
        <v>-238.92344273359197</v>
      </c>
      <c r="N347" s="41">
        <f>(IF(C346&lt;='SOLLECITAZ NASCOSTO'!$P$12,IF(C346&lt;='SOLLECITAZ NASCOSTO'!$P$11,IF(C346&lt;='SOLLECITAZ NASCOSTO'!$P$10,IF(C346&lt;='SOLLECITAZ NASCOSTO'!$P$9,IF(C346&lt;='SOLLECITAZ NASCOSTO'!$P$8,IF(C346&lt;='SOLLECITAZ NASCOSTO'!$P$7,IF(C346&lt;='SOLLECITAZ NASCOSTO'!$P$6,IF(C346&lt;='SOLLECITAZ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paramento'!$G$111),55555)-IF(C346&lt;='SOLLECITAZ NASCOSTO'!$P$12,IF(C346&lt;='SOLLECITAZ NASCOSTO'!$P$11,IF(C346&lt;='SOLLECITAZ NASCOSTO'!$P$10,IF(C346&lt;='SOLLECITAZ NASCOSTO'!$P$9,IF(C346&lt;='SOLLECITAZ NASCOSTO'!$P$8,IF(C346&lt;='SOLLECITAZ NASCOSTO'!$P$7,IF(C346&lt;='SOLLECITAZ NASCOSTO'!$P$6,IF(C346&lt;='SOLLECITAZ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paramento'!$G$111))*(C346-IF(C346&lt;='SOLLECITAZ NASCOSTO'!$P$12,IF(C346&lt;='SOLLECITAZ NASCOSTO'!$P$11,IF(C346&lt;='SOLLECITAZ NASCOSTO'!$P$10,IF(C346&lt;='SOLLECITAZ NASCOSTO'!$P$9,IF(C346&lt;='SOLLECITAZ NASCOSTO'!$P$8,IF(C346&lt;='SOLLECITAZ NASCOSTO'!$P$7,IF(C346&lt;='SOLLECITAZ NASCOSTO'!$P$6,IF(C346&lt;='SOLLECITAZ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NASCOSTO'!$P$12))/IF(C346&lt;='SOLLECITAZ NASCOSTO'!$P$12,IF(C346&lt;='SOLLECITAZ NASCOSTO'!$P$11,IF(C346&lt;='SOLLECITAZ NASCOSTO'!$P$10,IF(C346&lt;='SOLLECITAZ NASCOSTO'!$P$9,IF(C346&lt;='SOLLECITAZ NASCOSTO'!$P$8,IF(C346&lt;='SOLLECITAZ NASCOSTO'!$P$7,IF(C346&lt;='SOLLECITAZ NASCOSTO'!$P$6,IF(C346&lt;='SOLLECITAZ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paramento'!$C$111)+IF(C346&lt;='SOLLECITAZ NASCOSTO'!$P$12,IF(C346&lt;='SOLLECITAZ NASCOSTO'!$P$11,IF(C346&lt;='SOLLECITAZ NASCOSTO'!$P$10,IF(C346&lt;='SOLLECITAZ NASCOSTO'!$P$9,IF(C346&lt;='SOLLECITAZ NASCOSTO'!$P$8,IF(C346&lt;='SOLLECITAZ NASCOSTO'!$P$7,IF(C346&lt;='SOLLECITAZ NASCOSTO'!$P$6,IF(C346&lt;='SOLLECITAZ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94.522946021803563</v>
      </c>
      <c r="O347" s="41">
        <f>IF(C347&lt;='SOLLECITAZ NASCOSTO'!$P$12,IF(C347&lt;='SOLLECITAZ NASCOSTO'!$P$11,IF(C347&lt;='SOLLECITAZ NASCOSTO'!$P$10,IF(C347&lt;='SOLLECITAZ NASCOSTO'!$P$9,IF(C347&lt;='SOLLECITAZ NASCOSTO'!$P$8,IF(C347&lt;='SOLLECITAZ NASCOSTO'!$P$7,IF(C347&lt;='SOLLECITAZ NASCOSTO'!$P$6,IF(C347&lt;='SOLLECITAZ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paramento'!$G$110),55555)*(C347-C346)/IF(C347&lt;='SOLLECITAZ NASCOSTO'!$P$12,IF(C347&lt;='SOLLECITAZ NASCOSTO'!$P$11,IF(C347&lt;='SOLLECITAZ NASCOSTO'!$P$10,IF(C347&lt;='SOLLECITAZ NASCOSTO'!$P$9,IF(C347&lt;='SOLLECITAZ NASCOSTO'!$P$8,IF(C347&lt;='SOLLECITAZ NASCOSTO'!$P$7,IF(C347&lt;='SOLLECITAZ NASCOSTO'!$P$6,IF(C347&lt;='SOLLECITAZ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47" s="41">
        <f t="shared" si="93"/>
        <v>3.1400000000000113E-4</v>
      </c>
      <c r="Q347" s="41">
        <f t="shared" si="91"/>
        <v>1</v>
      </c>
      <c r="R347" s="434">
        <f t="shared" si="85"/>
        <v>3.4317293306783112</v>
      </c>
      <c r="S347" s="45">
        <f t="shared" si="92"/>
        <v>3.4317293306783112</v>
      </c>
      <c r="T347" s="205">
        <f t="shared" si="88"/>
        <v>1.6003322615825697</v>
      </c>
      <c r="U347" s="45">
        <f t="shared" si="89"/>
        <v>185.74820991689728</v>
      </c>
      <c r="V347" s="45">
        <f t="shared" si="90"/>
        <v>-238.92344273359197</v>
      </c>
      <c r="W347" s="488"/>
    </row>
    <row r="348" spans="1:23" x14ac:dyDescent="0.25">
      <c r="A348" s="581">
        <f t="shared" si="86"/>
        <v>0.58292572518908381</v>
      </c>
      <c r="B348" s="31">
        <f t="shared" si="99"/>
        <v>316</v>
      </c>
      <c r="C348" s="434">
        <f>'SOLLECITAZ NASCOSTO'!$D$6/'SOLLECITAZ NASCOSTO'!$B$448*'SOLLECITAZ NASCOSTO'!B348</f>
        <v>3.4426237095058614</v>
      </c>
      <c r="D348" s="128">
        <f t="shared" si="87"/>
        <v>0.70292572518908381</v>
      </c>
      <c r="E348" s="128">
        <f t="shared" si="81"/>
        <v>0.58292572518908381</v>
      </c>
      <c r="F348" s="128">
        <f t="shared" si="82"/>
        <v>0.48653623206050678</v>
      </c>
      <c r="G348" s="128">
        <f t="shared" si="83"/>
        <v>9.4752732021215896E-2</v>
      </c>
      <c r="H348" s="128">
        <f t="shared" si="100"/>
        <v>0</v>
      </c>
      <c r="I348" s="128">
        <v>0</v>
      </c>
      <c r="J348" s="127">
        <f t="shared" si="101"/>
        <v>0.19474959063158162</v>
      </c>
      <c r="K348" s="126">
        <f t="shared" si="84"/>
        <v>1.9849964685705754E-2</v>
      </c>
      <c r="L348" s="41">
        <f t="shared" si="102"/>
        <v>186.78219683222113</v>
      </c>
      <c r="M348" s="41">
        <f t="shared" si="103"/>
        <v>-240.95268642154508</v>
      </c>
      <c r="N348" s="41">
        <f>(IF(C347&lt;='SOLLECITAZ NASCOSTO'!$P$12,IF(C347&lt;='SOLLECITAZ NASCOSTO'!$P$11,IF(C347&lt;='SOLLECITAZ NASCOSTO'!$P$10,IF(C347&lt;='SOLLECITAZ NASCOSTO'!$P$9,IF(C347&lt;='SOLLECITAZ NASCOSTO'!$P$8,IF(C347&lt;='SOLLECITAZ NASCOSTO'!$P$7,IF(C347&lt;='SOLLECITAZ NASCOSTO'!$P$6,IF(C347&lt;='SOLLECITAZ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paramento'!$G$111),55555)-IF(C347&lt;='SOLLECITAZ NASCOSTO'!$P$12,IF(C347&lt;='SOLLECITAZ NASCOSTO'!$P$11,IF(C347&lt;='SOLLECITAZ NASCOSTO'!$P$10,IF(C347&lt;='SOLLECITAZ NASCOSTO'!$P$9,IF(C347&lt;='SOLLECITAZ NASCOSTO'!$P$8,IF(C347&lt;='SOLLECITAZ NASCOSTO'!$P$7,IF(C347&lt;='SOLLECITAZ NASCOSTO'!$P$6,IF(C347&lt;='SOLLECITAZ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paramento'!$G$111))*(C347-IF(C347&lt;='SOLLECITAZ NASCOSTO'!$P$12,IF(C347&lt;='SOLLECITAZ NASCOSTO'!$P$11,IF(C347&lt;='SOLLECITAZ NASCOSTO'!$P$10,IF(C347&lt;='SOLLECITAZ NASCOSTO'!$P$9,IF(C347&lt;='SOLLECITAZ NASCOSTO'!$P$8,IF(C347&lt;='SOLLECITAZ NASCOSTO'!$P$7,IF(C347&lt;='SOLLECITAZ NASCOSTO'!$P$6,IF(C347&lt;='SOLLECITAZ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NASCOSTO'!$P$12))/IF(C347&lt;='SOLLECITAZ NASCOSTO'!$P$12,IF(C347&lt;='SOLLECITAZ NASCOSTO'!$P$11,IF(C347&lt;='SOLLECITAZ NASCOSTO'!$P$10,IF(C347&lt;='SOLLECITAZ NASCOSTO'!$P$9,IF(C347&lt;='SOLLECITAZ NASCOSTO'!$P$8,IF(C347&lt;='SOLLECITAZ NASCOSTO'!$P$7,IF(C347&lt;='SOLLECITAZ NASCOSTO'!$P$6,IF(C347&lt;='SOLLECITAZ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paramento'!$C$111)+IF(C347&lt;='SOLLECITAZ NASCOSTO'!$P$12,IF(C347&lt;='SOLLECITAZ NASCOSTO'!$P$11,IF(C347&lt;='SOLLECITAZ NASCOSTO'!$P$10,IF(C347&lt;='SOLLECITAZ NASCOSTO'!$P$9,IF(C347&lt;='SOLLECITAZ NASCOSTO'!$P$8,IF(C347&lt;='SOLLECITAZ NASCOSTO'!$P$7,IF(C347&lt;='SOLLECITAZ NASCOSTO'!$P$6,IF(C347&lt;='SOLLECITAZ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94.781068951252962</v>
      </c>
      <c r="O348" s="41">
        <f>IF(C348&lt;='SOLLECITAZ NASCOSTO'!$P$12,IF(C348&lt;='SOLLECITAZ NASCOSTO'!$P$11,IF(C348&lt;='SOLLECITAZ NASCOSTO'!$P$10,IF(C348&lt;='SOLLECITAZ NASCOSTO'!$P$9,IF(C348&lt;='SOLLECITAZ NASCOSTO'!$P$8,IF(C348&lt;='SOLLECITAZ NASCOSTO'!$P$7,IF(C348&lt;='SOLLECITAZ NASCOSTO'!$P$6,IF(C348&lt;='SOLLECITAZ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paramento'!$G$110),55555)*(C348-C347)/IF(C348&lt;='SOLLECITAZ NASCOSTO'!$P$12,IF(C348&lt;='SOLLECITAZ NASCOSTO'!$P$11,IF(C348&lt;='SOLLECITAZ NASCOSTO'!$P$10,IF(C348&lt;='SOLLECITAZ NASCOSTO'!$P$9,IF(C348&lt;='SOLLECITAZ NASCOSTO'!$P$8,IF(C348&lt;='SOLLECITAZ NASCOSTO'!$P$7,IF(C348&lt;='SOLLECITAZ NASCOSTO'!$P$6,IF(C348&lt;='SOLLECITAZ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48" s="41">
        <f t="shared" si="93"/>
        <v>3.1500000000000115E-4</v>
      </c>
      <c r="Q348" s="41">
        <f t="shared" si="91"/>
        <v>1</v>
      </c>
      <c r="R348" s="434">
        <f t="shared" si="85"/>
        <v>3.4426237095058614</v>
      </c>
      <c r="S348" s="45">
        <f t="shared" si="92"/>
        <v>3.4426237095058614</v>
      </c>
      <c r="T348" s="205">
        <f t="shared" si="88"/>
        <v>1.5894378827550195</v>
      </c>
      <c r="U348" s="45">
        <f t="shared" si="89"/>
        <v>186.78219683222113</v>
      </c>
      <c r="V348" s="45">
        <f t="shared" si="90"/>
        <v>-240.95268642154508</v>
      </c>
      <c r="W348" s="488"/>
    </row>
    <row r="349" spans="1:23" s="421" customFormat="1" x14ac:dyDescent="0.25">
      <c r="A349" s="581">
        <f t="shared" si="86"/>
        <v>0.58449656793719296</v>
      </c>
      <c r="B349" s="31">
        <f t="shared" si="99"/>
        <v>317</v>
      </c>
      <c r="C349" s="434">
        <f>'SOLLECITAZ NASCOSTO'!$D$6/'SOLLECITAZ NASCOSTO'!$B$448*'SOLLECITAZ NASCOSTO'!B349</f>
        <v>3.4535180883334116</v>
      </c>
      <c r="D349" s="128">
        <f t="shared" si="87"/>
        <v>0.70449656793719295</v>
      </c>
      <c r="E349" s="128">
        <f t="shared" si="81"/>
        <v>0.58449656793719296</v>
      </c>
      <c r="F349" s="128">
        <f t="shared" si="82"/>
        <v>0.48703890173990172</v>
      </c>
      <c r="G349" s="128">
        <f t="shared" si="83"/>
        <v>9.5106466277645435E-2</v>
      </c>
      <c r="H349" s="128">
        <f t="shared" si="100"/>
        <v>0</v>
      </c>
      <c r="I349" s="128">
        <v>0</v>
      </c>
      <c r="J349" s="127">
        <f t="shared" si="101"/>
        <v>0.19527488653963024</v>
      </c>
      <c r="K349" s="126">
        <f t="shared" si="84"/>
        <v>1.9980042889043224E-2</v>
      </c>
      <c r="L349" s="41">
        <f t="shared" si="102"/>
        <v>187.8189958365225</v>
      </c>
      <c r="M349" s="41">
        <f t="shared" si="103"/>
        <v>-242.99321007263779</v>
      </c>
      <c r="N349" s="41">
        <f>(IF(C348&lt;='SOLLECITAZ NASCOSTO'!$P$12,IF(C348&lt;='SOLLECITAZ NASCOSTO'!$P$11,IF(C348&lt;='SOLLECITAZ NASCOSTO'!$P$10,IF(C348&lt;='SOLLECITAZ NASCOSTO'!$P$9,IF(C348&lt;='SOLLECITAZ NASCOSTO'!$P$8,IF(C348&lt;='SOLLECITAZ NASCOSTO'!$P$7,IF(C348&lt;='SOLLECITAZ NASCOSTO'!$P$6,IF(C348&lt;='SOLLECITAZ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paramento'!$G$111),55555)-IF(C348&lt;='SOLLECITAZ NASCOSTO'!$P$12,IF(C348&lt;='SOLLECITAZ NASCOSTO'!$P$11,IF(C348&lt;='SOLLECITAZ NASCOSTO'!$P$10,IF(C348&lt;='SOLLECITAZ NASCOSTO'!$P$9,IF(C348&lt;='SOLLECITAZ NASCOSTO'!$P$8,IF(C348&lt;='SOLLECITAZ NASCOSTO'!$P$7,IF(C348&lt;='SOLLECITAZ NASCOSTO'!$P$6,IF(C348&lt;='SOLLECITAZ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paramento'!$G$111))*(C348-IF(C348&lt;='SOLLECITAZ NASCOSTO'!$P$12,IF(C348&lt;='SOLLECITAZ NASCOSTO'!$P$11,IF(C348&lt;='SOLLECITAZ NASCOSTO'!$P$10,IF(C348&lt;='SOLLECITAZ NASCOSTO'!$P$9,IF(C348&lt;='SOLLECITAZ NASCOSTO'!$P$8,IF(C348&lt;='SOLLECITAZ NASCOSTO'!$P$7,IF(C348&lt;='SOLLECITAZ NASCOSTO'!$P$6,IF(C348&lt;='SOLLECITAZ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NASCOSTO'!$P$12))/IF(C348&lt;='SOLLECITAZ NASCOSTO'!$P$12,IF(C348&lt;='SOLLECITAZ NASCOSTO'!$P$11,IF(C348&lt;='SOLLECITAZ NASCOSTO'!$P$10,IF(C348&lt;='SOLLECITAZ NASCOSTO'!$P$9,IF(C348&lt;='SOLLECITAZ NASCOSTO'!$P$8,IF(C348&lt;='SOLLECITAZ NASCOSTO'!$P$7,IF(C348&lt;='SOLLECITAZ NASCOSTO'!$P$6,IF(C348&lt;='SOLLECITAZ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paramento'!$C$111)+IF(C348&lt;='SOLLECITAZ NASCOSTO'!$P$12,IF(C348&lt;='SOLLECITAZ NASCOSTO'!$P$11,IF(C348&lt;='SOLLECITAZ NASCOSTO'!$P$10,IF(C348&lt;='SOLLECITAZ NASCOSTO'!$P$9,IF(C348&lt;='SOLLECITAZ NASCOSTO'!$P$8,IF(C348&lt;='SOLLECITAZ NASCOSTO'!$P$7,IF(C348&lt;='SOLLECITAZ NASCOSTO'!$P$6,IF(C348&lt;='SOLLECITAZ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95.039191880702361</v>
      </c>
      <c r="O349" s="41">
        <f>IF(C349&lt;='SOLLECITAZ NASCOSTO'!$P$12,IF(C349&lt;='SOLLECITAZ NASCOSTO'!$P$11,IF(C349&lt;='SOLLECITAZ NASCOSTO'!$P$10,IF(C349&lt;='SOLLECITAZ NASCOSTO'!$P$9,IF(C349&lt;='SOLLECITAZ NASCOSTO'!$P$8,IF(C349&lt;='SOLLECITAZ NASCOSTO'!$P$7,IF(C349&lt;='SOLLECITAZ NASCOSTO'!$P$6,IF(C349&lt;='SOLLECITAZ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paramento'!$G$110),55555)*(C349-C348)/IF(C349&lt;='SOLLECITAZ NASCOSTO'!$P$12,IF(C349&lt;='SOLLECITAZ NASCOSTO'!$P$11,IF(C349&lt;='SOLLECITAZ NASCOSTO'!$P$10,IF(C349&lt;='SOLLECITAZ NASCOSTO'!$P$9,IF(C349&lt;='SOLLECITAZ NASCOSTO'!$P$8,IF(C349&lt;='SOLLECITAZ NASCOSTO'!$P$7,IF(C349&lt;='SOLLECITAZ NASCOSTO'!$P$6,IF(C349&lt;='SOLLECITAZ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49" s="41">
        <f t="shared" si="93"/>
        <v>3.1600000000000118E-4</v>
      </c>
      <c r="Q349" s="41">
        <f t="shared" si="91"/>
        <v>1</v>
      </c>
      <c r="R349" s="434">
        <f t="shared" si="85"/>
        <v>3.4535180883334116</v>
      </c>
      <c r="S349" s="45">
        <f t="shared" si="92"/>
        <v>3.4535180883334116</v>
      </c>
      <c r="T349" s="205">
        <f t="shared" si="88"/>
        <v>1.5785435039274693</v>
      </c>
      <c r="U349" s="45">
        <f t="shared" si="89"/>
        <v>187.8189958365225</v>
      </c>
      <c r="V349" s="45">
        <f t="shared" si="90"/>
        <v>-242.99321007263779</v>
      </c>
      <c r="W349" s="488"/>
    </row>
    <row r="350" spans="1:23" s="421" customFormat="1" x14ac:dyDescent="0.25">
      <c r="A350" s="581">
        <f t="shared" si="86"/>
        <v>0.5860674106853021</v>
      </c>
      <c r="B350" s="31">
        <f t="shared" si="99"/>
        <v>318</v>
      </c>
      <c r="C350" s="434">
        <f>'SOLLECITAZ NASCOSTO'!$D$6/'SOLLECITAZ NASCOSTO'!$B$448*'SOLLECITAZ NASCOSTO'!B350</f>
        <v>3.4644124671609617</v>
      </c>
      <c r="D350" s="128">
        <f t="shared" si="87"/>
        <v>0.7060674106853021</v>
      </c>
      <c r="E350" s="128">
        <f t="shared" si="81"/>
        <v>0.5860674106853021</v>
      </c>
      <c r="F350" s="128">
        <f t="shared" si="82"/>
        <v>0.48754157141929666</v>
      </c>
      <c r="G350" s="128">
        <f t="shared" si="83"/>
        <v>9.5460990149095537E-2</v>
      </c>
      <c r="H350" s="128">
        <f t="shared" si="100"/>
        <v>0</v>
      </c>
      <c r="I350" s="128">
        <v>0</v>
      </c>
      <c r="J350" s="127">
        <f t="shared" si="101"/>
        <v>0.19580071884166972</v>
      </c>
      <c r="K350" s="126">
        <f t="shared" si="84"/>
        <v>2.011065621274322E-2</v>
      </c>
      <c r="L350" s="41">
        <f t="shared" si="102"/>
        <v>188.85860692980137</v>
      </c>
      <c r="M350" s="41">
        <f t="shared" si="103"/>
        <v>-245.04504432283269</v>
      </c>
      <c r="N350" s="41">
        <f>(IF(C349&lt;='SOLLECITAZ NASCOSTO'!$P$12,IF(C349&lt;='SOLLECITAZ NASCOSTO'!$P$11,IF(C349&lt;='SOLLECITAZ NASCOSTO'!$P$10,IF(C349&lt;='SOLLECITAZ NASCOSTO'!$P$9,IF(C349&lt;='SOLLECITAZ NASCOSTO'!$P$8,IF(C349&lt;='SOLLECITAZ NASCOSTO'!$P$7,IF(C349&lt;='SOLLECITAZ NASCOSTO'!$P$6,IF(C349&lt;='SOLLECITAZ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paramento'!$G$111),55555)-IF(C349&lt;='SOLLECITAZ NASCOSTO'!$P$12,IF(C349&lt;='SOLLECITAZ NASCOSTO'!$P$11,IF(C349&lt;='SOLLECITAZ NASCOSTO'!$P$10,IF(C349&lt;='SOLLECITAZ NASCOSTO'!$P$9,IF(C349&lt;='SOLLECITAZ NASCOSTO'!$P$8,IF(C349&lt;='SOLLECITAZ NASCOSTO'!$P$7,IF(C349&lt;='SOLLECITAZ NASCOSTO'!$P$6,IF(C349&lt;='SOLLECITAZ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paramento'!$G$111))*(C349-IF(C349&lt;='SOLLECITAZ NASCOSTO'!$P$12,IF(C349&lt;='SOLLECITAZ NASCOSTO'!$P$11,IF(C349&lt;='SOLLECITAZ NASCOSTO'!$P$10,IF(C349&lt;='SOLLECITAZ NASCOSTO'!$P$9,IF(C349&lt;='SOLLECITAZ NASCOSTO'!$P$8,IF(C349&lt;='SOLLECITAZ NASCOSTO'!$P$7,IF(C349&lt;='SOLLECITAZ NASCOSTO'!$P$6,IF(C349&lt;='SOLLECITAZ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NASCOSTO'!$P$12))/IF(C349&lt;='SOLLECITAZ NASCOSTO'!$P$12,IF(C349&lt;='SOLLECITAZ NASCOSTO'!$P$11,IF(C349&lt;='SOLLECITAZ NASCOSTO'!$P$10,IF(C349&lt;='SOLLECITAZ NASCOSTO'!$P$9,IF(C349&lt;='SOLLECITAZ NASCOSTO'!$P$8,IF(C349&lt;='SOLLECITAZ NASCOSTO'!$P$7,IF(C349&lt;='SOLLECITAZ NASCOSTO'!$P$6,IF(C349&lt;='SOLLECITAZ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paramento'!$C$111)+IF(C349&lt;='SOLLECITAZ NASCOSTO'!$P$12,IF(C349&lt;='SOLLECITAZ NASCOSTO'!$P$11,IF(C349&lt;='SOLLECITAZ NASCOSTO'!$P$10,IF(C349&lt;='SOLLECITAZ NASCOSTO'!$P$9,IF(C349&lt;='SOLLECITAZ NASCOSTO'!$P$8,IF(C349&lt;='SOLLECITAZ NASCOSTO'!$P$7,IF(C349&lt;='SOLLECITAZ NASCOSTO'!$P$6,IF(C349&lt;='SOLLECITAZ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95.297314810151789</v>
      </c>
      <c r="O350" s="41">
        <f>IF(C350&lt;='SOLLECITAZ NASCOSTO'!$P$12,IF(C350&lt;='SOLLECITAZ NASCOSTO'!$P$11,IF(C350&lt;='SOLLECITAZ NASCOSTO'!$P$10,IF(C350&lt;='SOLLECITAZ NASCOSTO'!$P$9,IF(C350&lt;='SOLLECITAZ NASCOSTO'!$P$8,IF(C350&lt;='SOLLECITAZ NASCOSTO'!$P$7,IF(C350&lt;='SOLLECITAZ NASCOSTO'!$P$6,IF(C350&lt;='SOLLECITAZ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paramento'!$G$110),55555)*(C350-C349)/IF(C350&lt;='SOLLECITAZ NASCOSTO'!$P$12,IF(C350&lt;='SOLLECITAZ NASCOSTO'!$P$11,IF(C350&lt;='SOLLECITAZ NASCOSTO'!$P$10,IF(C350&lt;='SOLLECITAZ NASCOSTO'!$P$9,IF(C350&lt;='SOLLECITAZ NASCOSTO'!$P$8,IF(C350&lt;='SOLLECITAZ NASCOSTO'!$P$7,IF(C350&lt;='SOLLECITAZ NASCOSTO'!$P$6,IF(C350&lt;='SOLLECITAZ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50" s="41">
        <f t="shared" si="93"/>
        <v>3.170000000000012E-4</v>
      </c>
      <c r="Q350" s="41">
        <f t="shared" si="91"/>
        <v>1</v>
      </c>
      <c r="R350" s="434">
        <f t="shared" si="85"/>
        <v>3.4644124671609617</v>
      </c>
      <c r="S350" s="45">
        <f t="shared" si="92"/>
        <v>3.4644124671609617</v>
      </c>
      <c r="T350" s="205">
        <f t="shared" si="88"/>
        <v>1.5676491250999192</v>
      </c>
      <c r="U350" s="45">
        <f t="shared" si="89"/>
        <v>188.85860692980137</v>
      </c>
      <c r="V350" s="45">
        <f t="shared" si="90"/>
        <v>-245.04504432283269</v>
      </c>
      <c r="W350" s="488"/>
    </row>
    <row r="351" spans="1:23" s="421" customFormat="1" x14ac:dyDescent="0.25">
      <c r="A351" s="581">
        <f t="shared" si="86"/>
        <v>0.58763825343341125</v>
      </c>
      <c r="B351" s="31">
        <f t="shared" si="99"/>
        <v>319</v>
      </c>
      <c r="C351" s="434">
        <f>'SOLLECITAZ NASCOSTO'!$D$6/'SOLLECITAZ NASCOSTO'!$B$448*'SOLLECITAZ NASCOSTO'!B351</f>
        <v>3.4753068459885119</v>
      </c>
      <c r="D351" s="128">
        <f t="shared" si="87"/>
        <v>0.70763825343341125</v>
      </c>
      <c r="E351" s="128">
        <f t="shared" si="81"/>
        <v>0.58763825343341125</v>
      </c>
      <c r="F351" s="128">
        <f t="shared" si="82"/>
        <v>0.4880442410986916</v>
      </c>
      <c r="G351" s="128">
        <f t="shared" si="83"/>
        <v>9.5816303635566202E-2</v>
      </c>
      <c r="H351" s="128">
        <f t="shared" si="100"/>
        <v>0</v>
      </c>
      <c r="I351" s="128">
        <v>0</v>
      </c>
      <c r="J351" s="127">
        <f t="shared" si="101"/>
        <v>0.19632708588029496</v>
      </c>
      <c r="K351" s="126">
        <f t="shared" si="84"/>
        <v>2.0241805480225552E-2</v>
      </c>
      <c r="L351" s="41">
        <f t="shared" si="102"/>
        <v>189.90103011205773</v>
      </c>
      <c r="M351" s="41">
        <f t="shared" si="103"/>
        <v>-247.1082198080924</v>
      </c>
      <c r="N351" s="41">
        <f>(IF(C350&lt;='SOLLECITAZ NASCOSTO'!$P$12,IF(C350&lt;='SOLLECITAZ NASCOSTO'!$P$11,IF(C350&lt;='SOLLECITAZ NASCOSTO'!$P$10,IF(C350&lt;='SOLLECITAZ NASCOSTO'!$P$9,IF(C350&lt;='SOLLECITAZ NASCOSTO'!$P$8,IF(C350&lt;='SOLLECITAZ NASCOSTO'!$P$7,IF(C350&lt;='SOLLECITAZ NASCOSTO'!$P$6,IF(C350&lt;='SOLLECITAZ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paramento'!$G$111),55555)-IF(C350&lt;='SOLLECITAZ NASCOSTO'!$P$12,IF(C350&lt;='SOLLECITAZ NASCOSTO'!$P$11,IF(C350&lt;='SOLLECITAZ NASCOSTO'!$P$10,IF(C350&lt;='SOLLECITAZ NASCOSTO'!$P$9,IF(C350&lt;='SOLLECITAZ NASCOSTO'!$P$8,IF(C350&lt;='SOLLECITAZ NASCOSTO'!$P$7,IF(C350&lt;='SOLLECITAZ NASCOSTO'!$P$6,IF(C350&lt;='SOLLECITAZ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paramento'!$G$111))*(C350-IF(C350&lt;='SOLLECITAZ NASCOSTO'!$P$12,IF(C350&lt;='SOLLECITAZ NASCOSTO'!$P$11,IF(C350&lt;='SOLLECITAZ NASCOSTO'!$P$10,IF(C350&lt;='SOLLECITAZ NASCOSTO'!$P$9,IF(C350&lt;='SOLLECITAZ NASCOSTO'!$P$8,IF(C350&lt;='SOLLECITAZ NASCOSTO'!$P$7,IF(C350&lt;='SOLLECITAZ NASCOSTO'!$P$6,IF(C350&lt;='SOLLECITAZ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NASCOSTO'!$P$12))/IF(C350&lt;='SOLLECITAZ NASCOSTO'!$P$12,IF(C350&lt;='SOLLECITAZ NASCOSTO'!$P$11,IF(C350&lt;='SOLLECITAZ NASCOSTO'!$P$10,IF(C350&lt;='SOLLECITAZ NASCOSTO'!$P$9,IF(C350&lt;='SOLLECITAZ NASCOSTO'!$P$8,IF(C350&lt;='SOLLECITAZ NASCOSTO'!$P$7,IF(C350&lt;='SOLLECITAZ NASCOSTO'!$P$6,IF(C350&lt;='SOLLECITAZ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paramento'!$C$111)+IF(C350&lt;='SOLLECITAZ NASCOSTO'!$P$12,IF(C350&lt;='SOLLECITAZ NASCOSTO'!$P$11,IF(C350&lt;='SOLLECITAZ NASCOSTO'!$P$10,IF(C350&lt;='SOLLECITAZ NASCOSTO'!$P$9,IF(C350&lt;='SOLLECITAZ NASCOSTO'!$P$8,IF(C350&lt;='SOLLECITAZ NASCOSTO'!$P$7,IF(C350&lt;='SOLLECITAZ NASCOSTO'!$P$6,IF(C350&lt;='SOLLECITAZ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95.555437739601189</v>
      </c>
      <c r="O351" s="41">
        <f>IF(C351&lt;='SOLLECITAZ NASCOSTO'!$P$12,IF(C351&lt;='SOLLECITAZ NASCOSTO'!$P$11,IF(C351&lt;='SOLLECITAZ NASCOSTO'!$P$10,IF(C351&lt;='SOLLECITAZ NASCOSTO'!$P$9,IF(C351&lt;='SOLLECITAZ NASCOSTO'!$P$8,IF(C351&lt;='SOLLECITAZ NASCOSTO'!$P$7,IF(C351&lt;='SOLLECITAZ NASCOSTO'!$P$6,IF(C351&lt;='SOLLECITAZ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paramento'!$G$110),55555)*(C351-C350)/IF(C351&lt;='SOLLECITAZ NASCOSTO'!$P$12,IF(C351&lt;='SOLLECITAZ NASCOSTO'!$P$11,IF(C351&lt;='SOLLECITAZ NASCOSTO'!$P$10,IF(C351&lt;='SOLLECITAZ NASCOSTO'!$P$9,IF(C351&lt;='SOLLECITAZ NASCOSTO'!$P$8,IF(C351&lt;='SOLLECITAZ NASCOSTO'!$P$7,IF(C351&lt;='SOLLECITAZ NASCOSTO'!$P$6,IF(C351&lt;='SOLLECITAZ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51" s="41">
        <f t="shared" si="93"/>
        <v>3.1800000000000122E-4</v>
      </c>
      <c r="Q351" s="41">
        <f t="shared" si="91"/>
        <v>1</v>
      </c>
      <c r="R351" s="434">
        <f t="shared" si="85"/>
        <v>3.4753068459885119</v>
      </c>
      <c r="S351" s="45">
        <f t="shared" si="92"/>
        <v>3.4753068459885119</v>
      </c>
      <c r="T351" s="205">
        <f t="shared" si="88"/>
        <v>1.556754746272369</v>
      </c>
      <c r="U351" s="45">
        <f t="shared" si="89"/>
        <v>189.90103011205773</v>
      </c>
      <c r="V351" s="45">
        <f t="shared" si="90"/>
        <v>-247.1082198080924</v>
      </c>
      <c r="W351" s="488"/>
    </row>
    <row r="352" spans="1:23" s="421" customFormat="1" x14ac:dyDescent="0.25">
      <c r="A352" s="581">
        <f t="shared" si="86"/>
        <v>0.5892090961815204</v>
      </c>
      <c r="B352" s="31">
        <f t="shared" si="99"/>
        <v>320</v>
      </c>
      <c r="C352" s="434">
        <f>'SOLLECITAZ NASCOSTO'!$D$6/'SOLLECITAZ NASCOSTO'!$B$448*'SOLLECITAZ NASCOSTO'!B352</f>
        <v>3.4862012248160621</v>
      </c>
      <c r="D352" s="128">
        <f t="shared" si="87"/>
        <v>0.70920909618152039</v>
      </c>
      <c r="E352" s="128">
        <f t="shared" ref="E352:E415" si="104">D352-$D$9</f>
        <v>0.5892090961815204</v>
      </c>
      <c r="F352" s="128">
        <f t="shared" ref="F352:F415" si="105">E352*$D$12*$D$11+$D$8*$D$9</f>
        <v>0.48854691077808654</v>
      </c>
      <c r="G352" s="128">
        <f t="shared" ref="G352:G415" si="106">$D$12*E352*$D$11*($D$9+E352/2)+$D$9*$D$8*$D$9/2</f>
        <v>9.6172406737057445E-2</v>
      </c>
      <c r="H352" s="128">
        <f t="shared" ref="H352:H357" si="107">I352*F352</f>
        <v>0</v>
      </c>
      <c r="I352" s="128">
        <v>0</v>
      </c>
      <c r="J352" s="127">
        <f t="shared" ref="J352:J357" si="108">G352/F352</f>
        <v>0.19685398600492224</v>
      </c>
      <c r="K352" s="126">
        <f t="shared" ref="K352:K415" si="109">$D$8*$D$9^3/12+$D$8*$D$9*(J352-$D$9/2)^2+$D$11*$D$12*(J352-$D$9)^3/3+$D$11*$D$12*(E352-(J352-$D$9))^3/3</f>
        <v>2.0373491514073559E-2</v>
      </c>
      <c r="L352" s="41">
        <f t="shared" si="102"/>
        <v>190.94626538329157</v>
      </c>
      <c r="M352" s="41">
        <f t="shared" si="103"/>
        <v>-249.18276716437953</v>
      </c>
      <c r="N352" s="41">
        <f>(IF(C351&lt;='SOLLECITAZ NASCOSTO'!$P$12,IF(C351&lt;='SOLLECITAZ NASCOSTO'!$P$11,IF(C351&lt;='SOLLECITAZ NASCOSTO'!$P$10,IF(C351&lt;='SOLLECITAZ NASCOSTO'!$P$9,IF(C351&lt;='SOLLECITAZ NASCOSTO'!$P$8,IF(C351&lt;='SOLLECITAZ NASCOSTO'!$P$7,IF(C351&lt;='SOLLECITAZ NASCOSTO'!$P$6,IF(C351&lt;='SOLLECITAZ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paramento'!$G$111),55555)-IF(C351&lt;='SOLLECITAZ NASCOSTO'!$P$12,IF(C351&lt;='SOLLECITAZ NASCOSTO'!$P$11,IF(C351&lt;='SOLLECITAZ NASCOSTO'!$P$10,IF(C351&lt;='SOLLECITAZ NASCOSTO'!$P$9,IF(C351&lt;='SOLLECITAZ NASCOSTO'!$P$8,IF(C351&lt;='SOLLECITAZ NASCOSTO'!$P$7,IF(C351&lt;='SOLLECITAZ NASCOSTO'!$P$6,IF(C351&lt;='SOLLECITAZ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paramento'!$G$111))*(C351-IF(C351&lt;='SOLLECITAZ NASCOSTO'!$P$12,IF(C351&lt;='SOLLECITAZ NASCOSTO'!$P$11,IF(C351&lt;='SOLLECITAZ NASCOSTO'!$P$10,IF(C351&lt;='SOLLECITAZ NASCOSTO'!$P$9,IF(C351&lt;='SOLLECITAZ NASCOSTO'!$P$8,IF(C351&lt;='SOLLECITAZ NASCOSTO'!$P$7,IF(C351&lt;='SOLLECITAZ NASCOSTO'!$P$6,IF(C351&lt;='SOLLECITAZ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NASCOSTO'!$P$12))/IF(C351&lt;='SOLLECITAZ NASCOSTO'!$P$12,IF(C351&lt;='SOLLECITAZ NASCOSTO'!$P$11,IF(C351&lt;='SOLLECITAZ NASCOSTO'!$P$10,IF(C351&lt;='SOLLECITAZ NASCOSTO'!$P$9,IF(C351&lt;='SOLLECITAZ NASCOSTO'!$P$8,IF(C351&lt;='SOLLECITAZ NASCOSTO'!$P$7,IF(C351&lt;='SOLLECITAZ NASCOSTO'!$P$6,IF(C351&lt;='SOLLECITAZ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paramento'!$C$111)+IF(C351&lt;='SOLLECITAZ NASCOSTO'!$P$12,IF(C351&lt;='SOLLECITAZ NASCOSTO'!$P$11,IF(C351&lt;='SOLLECITAZ NASCOSTO'!$P$10,IF(C351&lt;='SOLLECITAZ NASCOSTO'!$P$9,IF(C351&lt;='SOLLECITAZ NASCOSTO'!$P$8,IF(C351&lt;='SOLLECITAZ NASCOSTO'!$P$7,IF(C351&lt;='SOLLECITAZ NASCOSTO'!$P$6,IF(C351&lt;='SOLLECITAZ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95.813560669050588</v>
      </c>
      <c r="O352" s="41">
        <f>IF(C352&lt;='SOLLECITAZ NASCOSTO'!$P$12,IF(C352&lt;='SOLLECITAZ NASCOSTO'!$P$11,IF(C352&lt;='SOLLECITAZ NASCOSTO'!$P$10,IF(C352&lt;='SOLLECITAZ NASCOSTO'!$P$9,IF(C352&lt;='SOLLECITAZ NASCOSTO'!$P$8,IF(C352&lt;='SOLLECITAZ NASCOSTO'!$P$7,IF(C352&lt;='SOLLECITAZ NASCOSTO'!$P$6,IF(C352&lt;='SOLLECITAZ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paramento'!$G$110),55555)*(C352-C351)/IF(C352&lt;='SOLLECITAZ NASCOSTO'!$P$12,IF(C352&lt;='SOLLECITAZ NASCOSTO'!$P$11,IF(C352&lt;='SOLLECITAZ NASCOSTO'!$P$10,IF(C352&lt;='SOLLECITAZ NASCOSTO'!$P$9,IF(C352&lt;='SOLLECITAZ NASCOSTO'!$P$8,IF(C352&lt;='SOLLECITAZ NASCOSTO'!$P$7,IF(C352&lt;='SOLLECITAZ NASCOSTO'!$P$6,IF(C352&lt;='SOLLECITAZ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52" s="41">
        <f t="shared" si="93"/>
        <v>3.1900000000000125E-4</v>
      </c>
      <c r="Q352" s="41">
        <f t="shared" si="91"/>
        <v>1</v>
      </c>
      <c r="R352" s="434">
        <f t="shared" ref="R352:R415" si="110">C352</f>
        <v>3.4862012248160621</v>
      </c>
      <c r="S352" s="45">
        <f t="shared" si="92"/>
        <v>3.4862012248160621</v>
      </c>
      <c r="T352" s="205">
        <f t="shared" si="88"/>
        <v>1.5458603674448188</v>
      </c>
      <c r="U352" s="45">
        <f t="shared" si="89"/>
        <v>190.94626538329157</v>
      </c>
      <c r="V352" s="45">
        <f t="shared" si="90"/>
        <v>-249.18276716437953</v>
      </c>
      <c r="W352" s="488"/>
    </row>
    <row r="353" spans="1:23" s="421" customFormat="1" x14ac:dyDescent="0.25">
      <c r="A353" s="581">
        <f t="shared" ref="A353:A416" si="111">E353</f>
        <v>0.59077993892962966</v>
      </c>
      <c r="B353" s="31">
        <f t="shared" ref="B353:B468" si="112">B352+1</f>
        <v>321</v>
      </c>
      <c r="C353" s="434">
        <f>'SOLLECITAZ NASCOSTO'!$D$6/'SOLLECITAZ NASCOSTO'!$B$448*'SOLLECITAZ NASCOSTO'!B353</f>
        <v>3.4970956036436127</v>
      </c>
      <c r="D353" s="128">
        <f t="shared" ref="D353:D416" si="113">$D$9+$D$14+$D$16*C353</f>
        <v>0.71077993892962965</v>
      </c>
      <c r="E353" s="128">
        <f t="shared" si="104"/>
        <v>0.59077993892962966</v>
      </c>
      <c r="F353" s="128">
        <f t="shared" si="105"/>
        <v>0.48904958045748148</v>
      </c>
      <c r="G353" s="128">
        <f t="shared" si="106"/>
        <v>9.6529299453569292E-2</v>
      </c>
      <c r="H353" s="128">
        <f t="shared" si="107"/>
        <v>0</v>
      </c>
      <c r="I353" s="128">
        <v>0</v>
      </c>
      <c r="J353" s="127">
        <f t="shared" si="108"/>
        <v>0.19738141757175406</v>
      </c>
      <c r="K353" s="126">
        <f t="shared" si="109"/>
        <v>2.0505715136038445E-2</v>
      </c>
      <c r="L353" s="41">
        <f t="shared" si="102"/>
        <v>191.99431274350297</v>
      </c>
      <c r="M353" s="41">
        <f t="shared" si="103"/>
        <v>-251.26871702765681</v>
      </c>
      <c r="N353" s="41">
        <f>(IF(C352&lt;='SOLLECITAZ NASCOSTO'!$P$12,IF(C352&lt;='SOLLECITAZ NASCOSTO'!$P$11,IF(C352&lt;='SOLLECITAZ NASCOSTO'!$P$10,IF(C352&lt;='SOLLECITAZ NASCOSTO'!$P$9,IF(C352&lt;='SOLLECITAZ NASCOSTO'!$P$8,IF(C352&lt;='SOLLECITAZ NASCOSTO'!$P$7,IF(C352&lt;='SOLLECITAZ NASCOSTO'!$P$6,IF(C352&lt;='SOLLECITAZ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paramento'!$G$111),55555)-IF(C352&lt;='SOLLECITAZ NASCOSTO'!$P$12,IF(C352&lt;='SOLLECITAZ NASCOSTO'!$P$11,IF(C352&lt;='SOLLECITAZ NASCOSTO'!$P$10,IF(C352&lt;='SOLLECITAZ NASCOSTO'!$P$9,IF(C352&lt;='SOLLECITAZ NASCOSTO'!$P$8,IF(C352&lt;='SOLLECITAZ NASCOSTO'!$P$7,IF(C352&lt;='SOLLECITAZ NASCOSTO'!$P$6,IF(C352&lt;='SOLLECITAZ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paramento'!$G$111))*(C352-IF(C352&lt;='SOLLECITAZ NASCOSTO'!$P$12,IF(C352&lt;='SOLLECITAZ NASCOSTO'!$P$11,IF(C352&lt;='SOLLECITAZ NASCOSTO'!$P$10,IF(C352&lt;='SOLLECITAZ NASCOSTO'!$P$9,IF(C352&lt;='SOLLECITAZ NASCOSTO'!$P$8,IF(C352&lt;='SOLLECITAZ NASCOSTO'!$P$7,IF(C352&lt;='SOLLECITAZ NASCOSTO'!$P$6,IF(C352&lt;='SOLLECITAZ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NASCOSTO'!$P$12))/IF(C352&lt;='SOLLECITAZ NASCOSTO'!$P$12,IF(C352&lt;='SOLLECITAZ NASCOSTO'!$P$11,IF(C352&lt;='SOLLECITAZ NASCOSTO'!$P$10,IF(C352&lt;='SOLLECITAZ NASCOSTO'!$P$9,IF(C352&lt;='SOLLECITAZ NASCOSTO'!$P$8,IF(C352&lt;='SOLLECITAZ NASCOSTO'!$P$7,IF(C352&lt;='SOLLECITAZ NASCOSTO'!$P$6,IF(C352&lt;='SOLLECITAZ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paramento'!$C$111)+IF(C352&lt;='SOLLECITAZ NASCOSTO'!$P$12,IF(C352&lt;='SOLLECITAZ NASCOSTO'!$P$11,IF(C352&lt;='SOLLECITAZ NASCOSTO'!$P$10,IF(C352&lt;='SOLLECITAZ NASCOSTO'!$P$9,IF(C352&lt;='SOLLECITAZ NASCOSTO'!$P$8,IF(C352&lt;='SOLLECITAZ NASCOSTO'!$P$7,IF(C352&lt;='SOLLECITAZ NASCOSTO'!$P$6,IF(C352&lt;='SOLLECITAZ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96.071683598499988</v>
      </c>
      <c r="O353" s="41">
        <f>IF(C353&lt;='SOLLECITAZ NASCOSTO'!$P$12,IF(C353&lt;='SOLLECITAZ NASCOSTO'!$P$11,IF(C353&lt;='SOLLECITAZ NASCOSTO'!$P$10,IF(C353&lt;='SOLLECITAZ NASCOSTO'!$P$9,IF(C353&lt;='SOLLECITAZ NASCOSTO'!$P$8,IF(C353&lt;='SOLLECITAZ NASCOSTO'!$P$7,IF(C353&lt;='SOLLECITAZ NASCOSTO'!$P$6,IF(C353&lt;='SOLLECITAZ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paramento'!$G$110),55555)*(C353-C352)/IF(C353&lt;='SOLLECITAZ NASCOSTO'!$P$12,IF(C353&lt;='SOLLECITAZ NASCOSTO'!$P$11,IF(C353&lt;='SOLLECITAZ NASCOSTO'!$P$10,IF(C353&lt;='SOLLECITAZ NASCOSTO'!$P$9,IF(C353&lt;='SOLLECITAZ NASCOSTO'!$P$8,IF(C353&lt;='SOLLECITAZ NASCOSTO'!$P$7,IF(C353&lt;='SOLLECITAZ NASCOSTO'!$P$6,IF(C353&lt;='SOLLECITAZ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0.25812292944941589</v>
      </c>
      <c r="P353" s="41">
        <f t="shared" si="93"/>
        <v>3.2000000000000127E-4</v>
      </c>
      <c r="Q353" s="41">
        <f t="shared" si="91"/>
        <v>1</v>
      </c>
      <c r="R353" s="434">
        <f t="shared" si="110"/>
        <v>3.4970956036436127</v>
      </c>
      <c r="S353" s="45">
        <f t="shared" si="92"/>
        <v>3.4970956036436127</v>
      </c>
      <c r="T353" s="205">
        <f t="shared" ref="T353:T416" si="114">IF(($R$468-S353)&lt;=$D$6,$R$468-S353,$D$6)</f>
        <v>1.5349659886172682</v>
      </c>
      <c r="U353" s="45">
        <f t="shared" si="89"/>
        <v>191.99431274350297</v>
      </c>
      <c r="V353" s="45">
        <f t="shared" si="90"/>
        <v>-251.26871702765681</v>
      </c>
      <c r="W353" s="488"/>
    </row>
    <row r="354" spans="1:23" s="421" customFormat="1" x14ac:dyDescent="0.25">
      <c r="A354" s="581">
        <f t="shared" si="111"/>
        <v>0.5923507816777388</v>
      </c>
      <c r="B354" s="31">
        <f t="shared" si="112"/>
        <v>322</v>
      </c>
      <c r="C354" s="434">
        <f>'SOLLECITAZ NASCOSTO'!$D$6/'SOLLECITAZ NASCOSTO'!$B$448*'SOLLECITAZ NASCOSTO'!B354</f>
        <v>3.5079899824711629</v>
      </c>
      <c r="D354" s="128">
        <f t="shared" si="113"/>
        <v>0.7123507816777388</v>
      </c>
      <c r="E354" s="128">
        <f t="shared" si="104"/>
        <v>0.5923507816777388</v>
      </c>
      <c r="F354" s="128">
        <f t="shared" si="105"/>
        <v>0.48955225013687642</v>
      </c>
      <c r="G354" s="128">
        <f t="shared" si="106"/>
        <v>9.6886981785101689E-2</v>
      </c>
      <c r="H354" s="128">
        <f t="shared" si="107"/>
        <v>0</v>
      </c>
      <c r="I354" s="128">
        <v>0</v>
      </c>
      <c r="J354" s="127">
        <f t="shared" si="108"/>
        <v>0.19790937894374414</v>
      </c>
      <c r="K354" s="126">
        <f t="shared" si="109"/>
        <v>2.0638477167043499E-2</v>
      </c>
      <c r="L354" s="41">
        <f t="shared" si="102"/>
        <v>193.04517219269184</v>
      </c>
      <c r="M354" s="41">
        <f t="shared" ref="M354:M417" si="115">M353-(L354+L353)*(C354-C353)/2</f>
        <v>-253.36610003388665</v>
      </c>
      <c r="N354" s="41">
        <f>(IF(C353&lt;='SOLLECITAZ NASCOSTO'!$P$12,IF(C353&lt;='SOLLECITAZ NASCOSTO'!$P$11,IF(C353&lt;='SOLLECITAZ NASCOSTO'!$P$10,IF(C353&lt;='SOLLECITAZ NASCOSTO'!$P$9,IF(C353&lt;='SOLLECITAZ NASCOSTO'!$P$8,IF(C353&lt;='SOLLECITAZ NASCOSTO'!$P$7,IF(C353&lt;='SOLLECITAZ NASCOSTO'!$P$6,IF(C353&lt;='SOLLECITAZ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paramento'!$G$111),55555)-IF(C353&lt;='SOLLECITAZ NASCOSTO'!$P$12,IF(C353&lt;='SOLLECITAZ NASCOSTO'!$P$11,IF(C353&lt;='SOLLECITAZ NASCOSTO'!$P$10,IF(C353&lt;='SOLLECITAZ NASCOSTO'!$P$9,IF(C353&lt;='SOLLECITAZ NASCOSTO'!$P$8,IF(C353&lt;='SOLLECITAZ NASCOSTO'!$P$7,IF(C353&lt;='SOLLECITAZ NASCOSTO'!$P$6,IF(C353&lt;='SOLLECITAZ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paramento'!$G$111))*(C353-IF(C353&lt;='SOLLECITAZ NASCOSTO'!$P$12,IF(C353&lt;='SOLLECITAZ NASCOSTO'!$P$11,IF(C353&lt;='SOLLECITAZ NASCOSTO'!$P$10,IF(C353&lt;='SOLLECITAZ NASCOSTO'!$P$9,IF(C353&lt;='SOLLECITAZ NASCOSTO'!$P$8,IF(C353&lt;='SOLLECITAZ NASCOSTO'!$P$7,IF(C353&lt;='SOLLECITAZ NASCOSTO'!$P$6,IF(C353&lt;='SOLLECITAZ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NASCOSTO'!$P$12))/IF(C353&lt;='SOLLECITAZ NASCOSTO'!$P$12,IF(C353&lt;='SOLLECITAZ NASCOSTO'!$P$11,IF(C353&lt;='SOLLECITAZ NASCOSTO'!$P$10,IF(C353&lt;='SOLLECITAZ NASCOSTO'!$P$9,IF(C353&lt;='SOLLECITAZ NASCOSTO'!$P$8,IF(C353&lt;='SOLLECITAZ NASCOSTO'!$P$7,IF(C353&lt;='SOLLECITAZ NASCOSTO'!$P$6,IF(C353&lt;='SOLLECITAZ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paramento'!$C$111)+IF(C353&lt;='SOLLECITAZ NASCOSTO'!$P$12,IF(C353&lt;='SOLLECITAZ NASCOSTO'!$P$11,IF(C353&lt;='SOLLECITAZ NASCOSTO'!$P$10,IF(C353&lt;='SOLLECITAZ NASCOSTO'!$P$9,IF(C353&lt;='SOLLECITAZ NASCOSTO'!$P$8,IF(C353&lt;='SOLLECITAZ NASCOSTO'!$P$7,IF(C353&lt;='SOLLECITAZ NASCOSTO'!$P$6,IF(C353&lt;='SOLLECITAZ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96.329806527949415</v>
      </c>
      <c r="O354" s="41">
        <f>IF(C354&lt;='SOLLECITAZ NASCOSTO'!$P$12,IF(C354&lt;='SOLLECITAZ NASCOSTO'!$P$11,IF(C354&lt;='SOLLECITAZ NASCOSTO'!$P$10,IF(C354&lt;='SOLLECITAZ NASCOSTO'!$P$9,IF(C354&lt;='SOLLECITAZ NASCOSTO'!$P$8,IF(C354&lt;='SOLLECITAZ NASCOSTO'!$P$7,IF(C354&lt;='SOLLECITAZ NASCOSTO'!$P$6,IF(C354&lt;='SOLLECITAZ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paramento'!$G$110),55555)*(C354-C353)/IF(C354&lt;='SOLLECITAZ NASCOSTO'!$P$12,IF(C354&lt;='SOLLECITAZ NASCOSTO'!$P$11,IF(C354&lt;='SOLLECITAZ NASCOSTO'!$P$10,IF(C354&lt;='SOLLECITAZ NASCOSTO'!$P$9,IF(C354&lt;='SOLLECITAZ NASCOSTO'!$P$8,IF(C354&lt;='SOLLECITAZ NASCOSTO'!$P$7,IF(C354&lt;='SOLLECITAZ NASCOSTO'!$P$6,IF(C354&lt;='SOLLECITAZ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54" s="41">
        <f t="shared" si="93"/>
        <v>3.210000000000013E-4</v>
      </c>
      <c r="Q354" s="41">
        <f t="shared" si="91"/>
        <v>1</v>
      </c>
      <c r="R354" s="434">
        <f t="shared" si="110"/>
        <v>3.5079899824711629</v>
      </c>
      <c r="S354" s="45">
        <f t="shared" si="92"/>
        <v>3.5079899824711629</v>
      </c>
      <c r="T354" s="205">
        <f t="shared" si="114"/>
        <v>1.524071609789718</v>
      </c>
      <c r="U354" s="45">
        <f t="shared" ref="U354:U417" si="116">IF(Q354=1,L354,0)</f>
        <v>193.04517219269184</v>
      </c>
      <c r="V354" s="45">
        <f t="shared" ref="V354:V417" si="117">IF(Q354=1,M354,0)</f>
        <v>-253.36610003388665</v>
      </c>
      <c r="W354" s="488"/>
    </row>
    <row r="355" spans="1:23" s="421" customFormat="1" x14ac:dyDescent="0.25">
      <c r="A355" s="581">
        <f t="shared" si="111"/>
        <v>0.59392162442584795</v>
      </c>
      <c r="B355" s="31">
        <f t="shared" si="112"/>
        <v>323</v>
      </c>
      <c r="C355" s="434">
        <f>'SOLLECITAZ NASCOSTO'!$D$6/'SOLLECITAZ NASCOSTO'!$B$448*'SOLLECITAZ NASCOSTO'!B355</f>
        <v>3.5188843612987131</v>
      </c>
      <c r="D355" s="128">
        <f t="shared" si="113"/>
        <v>0.71392162442584794</v>
      </c>
      <c r="E355" s="128">
        <f t="shared" si="104"/>
        <v>0.59392162442584795</v>
      </c>
      <c r="F355" s="128">
        <f t="shared" si="105"/>
        <v>0.49005491981627136</v>
      </c>
      <c r="G355" s="128">
        <f t="shared" si="106"/>
        <v>9.7245453731654635E-2</v>
      </c>
      <c r="H355" s="128">
        <f t="shared" si="107"/>
        <v>0</v>
      </c>
      <c r="I355" s="128">
        <v>0</v>
      </c>
      <c r="J355" s="127">
        <f t="shared" si="108"/>
        <v>0.19843786849056297</v>
      </c>
      <c r="K355" s="126">
        <f t="shared" si="109"/>
        <v>2.0771778427188393E-2</v>
      </c>
      <c r="L355" s="41">
        <f t="shared" si="102"/>
        <v>194.09884373085819</v>
      </c>
      <c r="M355" s="41">
        <f t="shared" si="115"/>
        <v>-255.4749468190318</v>
      </c>
      <c r="N355" s="41">
        <f>(IF(C354&lt;='SOLLECITAZ NASCOSTO'!$P$12,IF(C354&lt;='SOLLECITAZ NASCOSTO'!$P$11,IF(C354&lt;='SOLLECITAZ NASCOSTO'!$P$10,IF(C354&lt;='SOLLECITAZ NASCOSTO'!$P$9,IF(C354&lt;='SOLLECITAZ NASCOSTO'!$P$8,IF(C354&lt;='SOLLECITAZ NASCOSTO'!$P$7,IF(C354&lt;='SOLLECITAZ NASCOSTO'!$P$6,IF(C354&lt;='SOLLECITAZ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paramento'!$G$111),55555)-IF(C354&lt;='SOLLECITAZ NASCOSTO'!$P$12,IF(C354&lt;='SOLLECITAZ NASCOSTO'!$P$11,IF(C354&lt;='SOLLECITAZ NASCOSTO'!$P$10,IF(C354&lt;='SOLLECITAZ NASCOSTO'!$P$9,IF(C354&lt;='SOLLECITAZ NASCOSTO'!$P$8,IF(C354&lt;='SOLLECITAZ NASCOSTO'!$P$7,IF(C354&lt;='SOLLECITAZ NASCOSTO'!$P$6,IF(C354&lt;='SOLLECITAZ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paramento'!$G$111))*(C354-IF(C354&lt;='SOLLECITAZ NASCOSTO'!$P$12,IF(C354&lt;='SOLLECITAZ NASCOSTO'!$P$11,IF(C354&lt;='SOLLECITAZ NASCOSTO'!$P$10,IF(C354&lt;='SOLLECITAZ NASCOSTO'!$P$9,IF(C354&lt;='SOLLECITAZ NASCOSTO'!$P$8,IF(C354&lt;='SOLLECITAZ NASCOSTO'!$P$7,IF(C354&lt;='SOLLECITAZ NASCOSTO'!$P$6,IF(C354&lt;='SOLLECITAZ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NASCOSTO'!$P$12))/IF(C354&lt;='SOLLECITAZ NASCOSTO'!$P$12,IF(C354&lt;='SOLLECITAZ NASCOSTO'!$P$11,IF(C354&lt;='SOLLECITAZ NASCOSTO'!$P$10,IF(C354&lt;='SOLLECITAZ NASCOSTO'!$P$9,IF(C354&lt;='SOLLECITAZ NASCOSTO'!$P$8,IF(C354&lt;='SOLLECITAZ NASCOSTO'!$P$7,IF(C354&lt;='SOLLECITAZ NASCOSTO'!$P$6,IF(C354&lt;='SOLLECITAZ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paramento'!$C$111)+IF(C354&lt;='SOLLECITAZ NASCOSTO'!$P$12,IF(C354&lt;='SOLLECITAZ NASCOSTO'!$P$11,IF(C354&lt;='SOLLECITAZ NASCOSTO'!$P$10,IF(C354&lt;='SOLLECITAZ NASCOSTO'!$P$9,IF(C354&lt;='SOLLECITAZ NASCOSTO'!$P$8,IF(C354&lt;='SOLLECITAZ NASCOSTO'!$P$7,IF(C354&lt;='SOLLECITAZ NASCOSTO'!$P$6,IF(C354&lt;='SOLLECITAZ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96.587929457398815</v>
      </c>
      <c r="O355" s="41">
        <f>IF(C355&lt;='SOLLECITAZ NASCOSTO'!$P$12,IF(C355&lt;='SOLLECITAZ NASCOSTO'!$P$11,IF(C355&lt;='SOLLECITAZ NASCOSTO'!$P$10,IF(C355&lt;='SOLLECITAZ NASCOSTO'!$P$9,IF(C355&lt;='SOLLECITAZ NASCOSTO'!$P$8,IF(C355&lt;='SOLLECITAZ NASCOSTO'!$P$7,IF(C355&lt;='SOLLECITAZ NASCOSTO'!$P$6,IF(C355&lt;='SOLLECITAZ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paramento'!$G$110),55555)*(C355-C354)/IF(C355&lt;='SOLLECITAZ NASCOSTO'!$P$12,IF(C355&lt;='SOLLECITAZ NASCOSTO'!$P$11,IF(C355&lt;='SOLLECITAZ NASCOSTO'!$P$10,IF(C355&lt;='SOLLECITAZ NASCOSTO'!$P$9,IF(C355&lt;='SOLLECITAZ NASCOSTO'!$P$8,IF(C355&lt;='SOLLECITAZ NASCOSTO'!$P$7,IF(C355&lt;='SOLLECITAZ NASCOSTO'!$P$6,IF(C355&lt;='SOLLECITAZ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55" s="41">
        <f t="shared" si="93"/>
        <v>3.2200000000000132E-4</v>
      </c>
      <c r="Q355" s="41">
        <f t="shared" ref="Q355:Q418" si="118">IF(C355&lt;=$D$6,1,0+P355)</f>
        <v>1</v>
      </c>
      <c r="R355" s="434">
        <f t="shared" si="110"/>
        <v>3.5188843612987131</v>
      </c>
      <c r="S355" s="45">
        <f t="shared" ref="S355:S418" si="119">IF(Q355&lt;1,VLOOKUP(0,$Q$34:$R$468,2,TRUE),C355)</f>
        <v>3.5188843612987131</v>
      </c>
      <c r="T355" s="205">
        <f t="shared" si="114"/>
        <v>1.5131772309621678</v>
      </c>
      <c r="U355" s="45">
        <f t="shared" si="116"/>
        <v>194.09884373085819</v>
      </c>
      <c r="V355" s="45">
        <f t="shared" si="117"/>
        <v>-255.4749468190318</v>
      </c>
      <c r="W355" s="488"/>
    </row>
    <row r="356" spans="1:23" s="421" customFormat="1" x14ac:dyDescent="0.25">
      <c r="A356" s="581">
        <f t="shared" si="111"/>
        <v>0.5954924671739571</v>
      </c>
      <c r="B356" s="31">
        <f t="shared" si="112"/>
        <v>324</v>
      </c>
      <c r="C356" s="434">
        <f>'SOLLECITAZ NASCOSTO'!$D$6/'SOLLECITAZ NASCOSTO'!$B$448*'SOLLECITAZ NASCOSTO'!B356</f>
        <v>3.5297787401262632</v>
      </c>
      <c r="D356" s="128">
        <f t="shared" si="113"/>
        <v>0.71549246717395709</v>
      </c>
      <c r="E356" s="128">
        <f t="shared" si="104"/>
        <v>0.5954924671739571</v>
      </c>
      <c r="F356" s="128">
        <f t="shared" si="105"/>
        <v>0.4905575894956663</v>
      </c>
      <c r="G356" s="128">
        <f t="shared" si="106"/>
        <v>9.7604715293228173E-2</v>
      </c>
      <c r="H356" s="128">
        <f t="shared" si="107"/>
        <v>0</v>
      </c>
      <c r="I356" s="128">
        <v>0</v>
      </c>
      <c r="J356" s="127">
        <f t="shared" si="108"/>
        <v>0.19896688458856354</v>
      </c>
      <c r="K356" s="126">
        <f t="shared" si="109"/>
        <v>2.0905619735753372E-2</v>
      </c>
      <c r="L356" s="41">
        <f t="shared" si="102"/>
        <v>195.15532735800204</v>
      </c>
      <c r="M356" s="41">
        <f t="shared" si="115"/>
        <v>-257.59528801905486</v>
      </c>
      <c r="N356" s="41">
        <f>(IF(C355&lt;='SOLLECITAZ NASCOSTO'!$P$12,IF(C355&lt;='SOLLECITAZ NASCOSTO'!$P$11,IF(C355&lt;='SOLLECITAZ NASCOSTO'!$P$10,IF(C355&lt;='SOLLECITAZ NASCOSTO'!$P$9,IF(C355&lt;='SOLLECITAZ NASCOSTO'!$P$8,IF(C355&lt;='SOLLECITAZ NASCOSTO'!$P$7,IF(C355&lt;='SOLLECITAZ NASCOSTO'!$P$6,IF(C355&lt;='SOLLECITAZ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paramento'!$G$111),55555)-IF(C355&lt;='SOLLECITAZ NASCOSTO'!$P$12,IF(C355&lt;='SOLLECITAZ NASCOSTO'!$P$11,IF(C355&lt;='SOLLECITAZ NASCOSTO'!$P$10,IF(C355&lt;='SOLLECITAZ NASCOSTO'!$P$9,IF(C355&lt;='SOLLECITAZ NASCOSTO'!$P$8,IF(C355&lt;='SOLLECITAZ NASCOSTO'!$P$7,IF(C355&lt;='SOLLECITAZ NASCOSTO'!$P$6,IF(C355&lt;='SOLLECITAZ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paramento'!$G$111))*(C355-IF(C355&lt;='SOLLECITAZ NASCOSTO'!$P$12,IF(C355&lt;='SOLLECITAZ NASCOSTO'!$P$11,IF(C355&lt;='SOLLECITAZ NASCOSTO'!$P$10,IF(C355&lt;='SOLLECITAZ NASCOSTO'!$P$9,IF(C355&lt;='SOLLECITAZ NASCOSTO'!$P$8,IF(C355&lt;='SOLLECITAZ NASCOSTO'!$P$7,IF(C355&lt;='SOLLECITAZ NASCOSTO'!$P$6,IF(C355&lt;='SOLLECITAZ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NASCOSTO'!$P$12))/IF(C355&lt;='SOLLECITAZ NASCOSTO'!$P$12,IF(C355&lt;='SOLLECITAZ NASCOSTO'!$P$11,IF(C355&lt;='SOLLECITAZ NASCOSTO'!$P$10,IF(C355&lt;='SOLLECITAZ NASCOSTO'!$P$9,IF(C355&lt;='SOLLECITAZ NASCOSTO'!$P$8,IF(C355&lt;='SOLLECITAZ NASCOSTO'!$P$7,IF(C355&lt;='SOLLECITAZ NASCOSTO'!$P$6,IF(C355&lt;='SOLLECITAZ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paramento'!$C$111)+IF(C355&lt;='SOLLECITAZ NASCOSTO'!$P$12,IF(C355&lt;='SOLLECITAZ NASCOSTO'!$P$11,IF(C355&lt;='SOLLECITAZ NASCOSTO'!$P$10,IF(C355&lt;='SOLLECITAZ NASCOSTO'!$P$9,IF(C355&lt;='SOLLECITAZ NASCOSTO'!$P$8,IF(C355&lt;='SOLLECITAZ NASCOSTO'!$P$7,IF(C355&lt;='SOLLECITAZ NASCOSTO'!$P$6,IF(C355&lt;='SOLLECITAZ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96.846052386848214</v>
      </c>
      <c r="O356" s="41">
        <f>IF(C356&lt;='SOLLECITAZ NASCOSTO'!$P$12,IF(C356&lt;='SOLLECITAZ NASCOSTO'!$P$11,IF(C356&lt;='SOLLECITAZ NASCOSTO'!$P$10,IF(C356&lt;='SOLLECITAZ NASCOSTO'!$P$9,IF(C356&lt;='SOLLECITAZ NASCOSTO'!$P$8,IF(C356&lt;='SOLLECITAZ NASCOSTO'!$P$7,IF(C356&lt;='SOLLECITAZ NASCOSTO'!$P$6,IF(C356&lt;='SOLLECITAZ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paramento'!$G$110),55555)*(C356-C355)/IF(C356&lt;='SOLLECITAZ NASCOSTO'!$P$12,IF(C356&lt;='SOLLECITAZ NASCOSTO'!$P$11,IF(C356&lt;='SOLLECITAZ NASCOSTO'!$P$10,IF(C356&lt;='SOLLECITAZ NASCOSTO'!$P$9,IF(C356&lt;='SOLLECITAZ NASCOSTO'!$P$8,IF(C356&lt;='SOLLECITAZ NASCOSTO'!$P$7,IF(C356&lt;='SOLLECITAZ NASCOSTO'!$P$6,IF(C356&lt;='SOLLECITAZ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56" s="41">
        <f t="shared" ref="P356:P419" si="120">P355+0.000001</f>
        <v>3.2300000000000135E-4</v>
      </c>
      <c r="Q356" s="41">
        <f t="shared" si="118"/>
        <v>1</v>
      </c>
      <c r="R356" s="434">
        <f t="shared" si="110"/>
        <v>3.5297787401262632</v>
      </c>
      <c r="S356" s="45">
        <f t="shared" si="119"/>
        <v>3.5297787401262632</v>
      </c>
      <c r="T356" s="205">
        <f t="shared" si="114"/>
        <v>1.5022828521346177</v>
      </c>
      <c r="U356" s="45">
        <f t="shared" si="116"/>
        <v>195.15532735800204</v>
      </c>
      <c r="V356" s="45">
        <f t="shared" si="117"/>
        <v>-257.59528801905486</v>
      </c>
      <c r="W356" s="488"/>
    </row>
    <row r="357" spans="1:23" s="421" customFormat="1" x14ac:dyDescent="0.25">
      <c r="A357" s="581">
        <f t="shared" si="111"/>
        <v>0.59706330992206624</v>
      </c>
      <c r="B357" s="31">
        <f t="shared" si="112"/>
        <v>325</v>
      </c>
      <c r="C357" s="434">
        <f>'SOLLECITAZ NASCOSTO'!$D$6/'SOLLECITAZ NASCOSTO'!$B$448*'SOLLECITAZ NASCOSTO'!B357</f>
        <v>3.5406731189538134</v>
      </c>
      <c r="D357" s="128">
        <f t="shared" si="113"/>
        <v>0.71706330992206624</v>
      </c>
      <c r="E357" s="128">
        <f t="shared" si="104"/>
        <v>0.59706330992206624</v>
      </c>
      <c r="F357" s="128">
        <f t="shared" si="105"/>
        <v>0.49106025917506119</v>
      </c>
      <c r="G357" s="128">
        <f t="shared" si="106"/>
        <v>9.7964766469822273E-2</v>
      </c>
      <c r="H357" s="128">
        <f t="shared" si="107"/>
        <v>0</v>
      </c>
      <c r="I357" s="128">
        <v>0</v>
      </c>
      <c r="J357" s="127">
        <f t="shared" si="108"/>
        <v>0.19949642562074688</v>
      </c>
      <c r="K357" s="126">
        <f t="shared" si="109"/>
        <v>2.1040001911203435E-2</v>
      </c>
      <c r="L357" s="41">
        <f t="shared" si="102"/>
        <v>196.21462307412338</v>
      </c>
      <c r="M357" s="41">
        <f t="shared" si="115"/>
        <v>-259.7271542699184</v>
      </c>
      <c r="N357" s="41">
        <f>(IF(C356&lt;='SOLLECITAZ NASCOSTO'!$P$12,IF(C356&lt;='SOLLECITAZ NASCOSTO'!$P$11,IF(C356&lt;='SOLLECITAZ NASCOSTO'!$P$10,IF(C356&lt;='SOLLECITAZ NASCOSTO'!$P$9,IF(C356&lt;='SOLLECITAZ NASCOSTO'!$P$8,IF(C356&lt;='SOLLECITAZ NASCOSTO'!$P$7,IF(C356&lt;='SOLLECITAZ NASCOSTO'!$P$6,IF(C356&lt;='SOLLECITAZ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paramento'!$G$111),55555)-IF(C356&lt;='SOLLECITAZ NASCOSTO'!$P$12,IF(C356&lt;='SOLLECITAZ NASCOSTO'!$P$11,IF(C356&lt;='SOLLECITAZ NASCOSTO'!$P$10,IF(C356&lt;='SOLLECITAZ NASCOSTO'!$P$9,IF(C356&lt;='SOLLECITAZ NASCOSTO'!$P$8,IF(C356&lt;='SOLLECITAZ NASCOSTO'!$P$7,IF(C356&lt;='SOLLECITAZ NASCOSTO'!$P$6,IF(C356&lt;='SOLLECITAZ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paramento'!$G$111))*(C356-IF(C356&lt;='SOLLECITAZ NASCOSTO'!$P$12,IF(C356&lt;='SOLLECITAZ NASCOSTO'!$P$11,IF(C356&lt;='SOLLECITAZ NASCOSTO'!$P$10,IF(C356&lt;='SOLLECITAZ NASCOSTO'!$P$9,IF(C356&lt;='SOLLECITAZ NASCOSTO'!$P$8,IF(C356&lt;='SOLLECITAZ NASCOSTO'!$P$7,IF(C356&lt;='SOLLECITAZ NASCOSTO'!$P$6,IF(C356&lt;='SOLLECITAZ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NASCOSTO'!$P$12))/IF(C356&lt;='SOLLECITAZ NASCOSTO'!$P$12,IF(C356&lt;='SOLLECITAZ NASCOSTO'!$P$11,IF(C356&lt;='SOLLECITAZ NASCOSTO'!$P$10,IF(C356&lt;='SOLLECITAZ NASCOSTO'!$P$9,IF(C356&lt;='SOLLECITAZ NASCOSTO'!$P$8,IF(C356&lt;='SOLLECITAZ NASCOSTO'!$P$7,IF(C356&lt;='SOLLECITAZ NASCOSTO'!$P$6,IF(C356&lt;='SOLLECITAZ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paramento'!$C$111)+IF(C356&lt;='SOLLECITAZ NASCOSTO'!$P$12,IF(C356&lt;='SOLLECITAZ NASCOSTO'!$P$11,IF(C356&lt;='SOLLECITAZ NASCOSTO'!$P$10,IF(C356&lt;='SOLLECITAZ NASCOSTO'!$P$9,IF(C356&lt;='SOLLECITAZ NASCOSTO'!$P$8,IF(C356&lt;='SOLLECITAZ NASCOSTO'!$P$7,IF(C356&lt;='SOLLECITAZ NASCOSTO'!$P$6,IF(C356&lt;='SOLLECITAZ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97.104175316297614</v>
      </c>
      <c r="O357" s="41">
        <f>IF(C357&lt;='SOLLECITAZ NASCOSTO'!$P$12,IF(C357&lt;='SOLLECITAZ NASCOSTO'!$P$11,IF(C357&lt;='SOLLECITAZ NASCOSTO'!$P$10,IF(C357&lt;='SOLLECITAZ NASCOSTO'!$P$9,IF(C357&lt;='SOLLECITAZ NASCOSTO'!$P$8,IF(C357&lt;='SOLLECITAZ NASCOSTO'!$P$7,IF(C357&lt;='SOLLECITAZ NASCOSTO'!$P$6,IF(C357&lt;='SOLLECITAZ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paramento'!$G$110),55555)*(C357-C356)/IF(C357&lt;='SOLLECITAZ NASCOSTO'!$P$12,IF(C357&lt;='SOLLECITAZ NASCOSTO'!$P$11,IF(C357&lt;='SOLLECITAZ NASCOSTO'!$P$10,IF(C357&lt;='SOLLECITAZ NASCOSTO'!$P$9,IF(C357&lt;='SOLLECITAZ NASCOSTO'!$P$8,IF(C357&lt;='SOLLECITAZ NASCOSTO'!$P$7,IF(C357&lt;='SOLLECITAZ NASCOSTO'!$P$6,IF(C357&lt;='SOLLECITAZ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57" s="41">
        <f t="shared" si="120"/>
        <v>3.2400000000000137E-4</v>
      </c>
      <c r="Q357" s="41">
        <f t="shared" si="118"/>
        <v>1</v>
      </c>
      <c r="R357" s="434">
        <f t="shared" si="110"/>
        <v>3.5406731189538134</v>
      </c>
      <c r="S357" s="45">
        <f t="shared" si="119"/>
        <v>3.5406731189538134</v>
      </c>
      <c r="T357" s="205">
        <f t="shared" si="114"/>
        <v>1.4913884733070675</v>
      </c>
      <c r="U357" s="45">
        <f t="shared" si="116"/>
        <v>196.21462307412338</v>
      </c>
      <c r="V357" s="45">
        <f t="shared" si="117"/>
        <v>-259.7271542699184</v>
      </c>
      <c r="W357" s="488"/>
    </row>
    <row r="358" spans="1:23" s="421" customFormat="1" x14ac:dyDescent="0.25">
      <c r="A358" s="581">
        <f t="shared" si="111"/>
        <v>0.59863415267017539</v>
      </c>
      <c r="B358" s="31">
        <f t="shared" si="112"/>
        <v>326</v>
      </c>
      <c r="C358" s="434">
        <f>'SOLLECITAZ NASCOSTO'!$D$6/'SOLLECITAZ NASCOSTO'!$B$448*'SOLLECITAZ NASCOSTO'!B358</f>
        <v>3.5515674977813636</v>
      </c>
      <c r="D358" s="434">
        <f t="shared" si="113"/>
        <v>0.71863415267017539</v>
      </c>
      <c r="E358" s="434">
        <f t="shared" si="104"/>
        <v>0.59863415267017539</v>
      </c>
      <c r="F358" s="434">
        <f t="shared" si="105"/>
        <v>0.49156292885445613</v>
      </c>
      <c r="G358" s="434">
        <f t="shared" si="106"/>
        <v>9.8325607261436965E-2</v>
      </c>
      <c r="H358" s="434">
        <f t="shared" ref="H358:H421" si="121">I358*F358</f>
        <v>0</v>
      </c>
      <c r="I358" s="434">
        <v>0</v>
      </c>
      <c r="J358" s="127">
        <f t="shared" ref="J358:J421" si="122">G358/F358</f>
        <v>0.20002648997672809</v>
      </c>
      <c r="K358" s="126">
        <f t="shared" si="109"/>
        <v>2.1174925771192558E-2</v>
      </c>
      <c r="L358" s="41">
        <f t="shared" ref="L358:L421" si="123">L357+N358*(C358-C357)+O358*(C358-C357)/2</f>
        <v>197.27673087922224</v>
      </c>
      <c r="M358" s="41">
        <f t="shared" si="115"/>
        <v>-261.87057620758509</v>
      </c>
      <c r="N358" s="41">
        <f>(IF(C357&lt;='SOLLECITAZ NASCOSTO'!$P$12,IF(C357&lt;='SOLLECITAZ NASCOSTO'!$P$11,IF(C357&lt;='SOLLECITAZ NASCOSTO'!$P$10,IF(C357&lt;='SOLLECITAZ NASCOSTO'!$P$9,IF(C357&lt;='SOLLECITAZ NASCOSTO'!$P$8,IF(C357&lt;='SOLLECITAZ NASCOSTO'!$P$7,IF(C357&lt;='SOLLECITAZ NASCOSTO'!$P$6,IF(C357&lt;='SOLLECITAZ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paramento'!$G$111),55555)-IF(C357&lt;='SOLLECITAZ NASCOSTO'!$P$12,IF(C357&lt;='SOLLECITAZ NASCOSTO'!$P$11,IF(C357&lt;='SOLLECITAZ NASCOSTO'!$P$10,IF(C357&lt;='SOLLECITAZ NASCOSTO'!$P$9,IF(C357&lt;='SOLLECITAZ NASCOSTO'!$P$8,IF(C357&lt;='SOLLECITAZ NASCOSTO'!$P$7,IF(C357&lt;='SOLLECITAZ NASCOSTO'!$P$6,IF(C357&lt;='SOLLECITAZ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paramento'!$G$111))*(C357-IF(C357&lt;='SOLLECITAZ NASCOSTO'!$P$12,IF(C357&lt;='SOLLECITAZ NASCOSTO'!$P$11,IF(C357&lt;='SOLLECITAZ NASCOSTO'!$P$10,IF(C357&lt;='SOLLECITAZ NASCOSTO'!$P$9,IF(C357&lt;='SOLLECITAZ NASCOSTO'!$P$8,IF(C357&lt;='SOLLECITAZ NASCOSTO'!$P$7,IF(C357&lt;='SOLLECITAZ NASCOSTO'!$P$6,IF(C357&lt;='SOLLECITAZ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NASCOSTO'!$P$12))/IF(C357&lt;='SOLLECITAZ NASCOSTO'!$P$12,IF(C357&lt;='SOLLECITAZ NASCOSTO'!$P$11,IF(C357&lt;='SOLLECITAZ NASCOSTO'!$P$10,IF(C357&lt;='SOLLECITAZ NASCOSTO'!$P$9,IF(C357&lt;='SOLLECITAZ NASCOSTO'!$P$8,IF(C357&lt;='SOLLECITAZ NASCOSTO'!$P$7,IF(C357&lt;='SOLLECITAZ NASCOSTO'!$P$6,IF(C357&lt;='SOLLECITAZ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paramento'!$C$111)+IF(C357&lt;='SOLLECITAZ NASCOSTO'!$P$12,IF(C357&lt;='SOLLECITAZ NASCOSTO'!$P$11,IF(C357&lt;='SOLLECITAZ NASCOSTO'!$P$10,IF(C357&lt;='SOLLECITAZ NASCOSTO'!$P$9,IF(C357&lt;='SOLLECITAZ NASCOSTO'!$P$8,IF(C357&lt;='SOLLECITAZ NASCOSTO'!$P$7,IF(C357&lt;='SOLLECITAZ NASCOSTO'!$P$6,IF(C357&lt;='SOLLECITAZ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97.362298245747041</v>
      </c>
      <c r="O358" s="41">
        <f>IF(C358&lt;='SOLLECITAZ NASCOSTO'!$P$12,IF(C358&lt;='SOLLECITAZ NASCOSTO'!$P$11,IF(C358&lt;='SOLLECITAZ NASCOSTO'!$P$10,IF(C358&lt;='SOLLECITAZ NASCOSTO'!$P$9,IF(C358&lt;='SOLLECITAZ NASCOSTO'!$P$8,IF(C358&lt;='SOLLECITAZ NASCOSTO'!$P$7,IF(C358&lt;='SOLLECITAZ NASCOSTO'!$P$6,IF(C358&lt;='SOLLECITAZ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paramento'!$G$110),55555)*(C358-C357)/IF(C358&lt;='SOLLECITAZ NASCOSTO'!$P$12,IF(C358&lt;='SOLLECITAZ NASCOSTO'!$P$11,IF(C358&lt;='SOLLECITAZ NASCOSTO'!$P$10,IF(C358&lt;='SOLLECITAZ NASCOSTO'!$P$9,IF(C358&lt;='SOLLECITAZ NASCOSTO'!$P$8,IF(C358&lt;='SOLLECITAZ NASCOSTO'!$P$7,IF(C358&lt;='SOLLECITAZ NASCOSTO'!$P$6,IF(C358&lt;='SOLLECITAZ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58" s="41">
        <f t="shared" si="120"/>
        <v>3.2500000000000139E-4</v>
      </c>
      <c r="Q358" s="41">
        <f t="shared" si="118"/>
        <v>1</v>
      </c>
      <c r="R358" s="434">
        <f t="shared" si="110"/>
        <v>3.5515674977813636</v>
      </c>
      <c r="S358" s="45">
        <f t="shared" si="119"/>
        <v>3.5515674977813636</v>
      </c>
      <c r="T358" s="205">
        <f t="shared" si="114"/>
        <v>1.4804940944795173</v>
      </c>
      <c r="U358" s="45">
        <f t="shared" si="116"/>
        <v>197.27673087922224</v>
      </c>
      <c r="V358" s="45">
        <f t="shared" si="117"/>
        <v>-261.87057620758509</v>
      </c>
      <c r="W358" s="488"/>
    </row>
    <row r="359" spans="1:23" s="421" customFormat="1" x14ac:dyDescent="0.25">
      <c r="A359" s="581">
        <f t="shared" si="111"/>
        <v>0.60020499541828465</v>
      </c>
      <c r="B359" s="31">
        <f t="shared" si="112"/>
        <v>327</v>
      </c>
      <c r="C359" s="434">
        <f>'SOLLECITAZ NASCOSTO'!$D$6/'SOLLECITAZ NASCOSTO'!$B$448*'SOLLECITAZ NASCOSTO'!B359</f>
        <v>3.5624618766089138</v>
      </c>
      <c r="D359" s="434">
        <f t="shared" si="113"/>
        <v>0.72020499541828464</v>
      </c>
      <c r="E359" s="434">
        <f t="shared" si="104"/>
        <v>0.60020499541828465</v>
      </c>
      <c r="F359" s="434">
        <f t="shared" si="105"/>
        <v>0.49206559853385107</v>
      </c>
      <c r="G359" s="434">
        <f t="shared" si="106"/>
        <v>9.868723766807222E-2</v>
      </c>
      <c r="H359" s="434">
        <f t="shared" si="121"/>
        <v>0</v>
      </c>
      <c r="I359" s="434">
        <v>0</v>
      </c>
      <c r="J359" s="127">
        <f t="shared" si="122"/>
        <v>0.20055707605270265</v>
      </c>
      <c r="K359" s="126">
        <f t="shared" si="109"/>
        <v>2.1310392132567781E-2</v>
      </c>
      <c r="L359" s="41">
        <f t="shared" si="123"/>
        <v>198.3416507732986</v>
      </c>
      <c r="M359" s="41">
        <f t="shared" si="115"/>
        <v>-264.02558446801754</v>
      </c>
      <c r="N359" s="41">
        <f>(IF(C358&lt;='SOLLECITAZ NASCOSTO'!$P$12,IF(C358&lt;='SOLLECITAZ NASCOSTO'!$P$11,IF(C358&lt;='SOLLECITAZ NASCOSTO'!$P$10,IF(C358&lt;='SOLLECITAZ NASCOSTO'!$P$9,IF(C358&lt;='SOLLECITAZ NASCOSTO'!$P$8,IF(C358&lt;='SOLLECITAZ NASCOSTO'!$P$7,IF(C358&lt;='SOLLECITAZ NASCOSTO'!$P$6,IF(C358&lt;='SOLLECITAZ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paramento'!$G$111),55555)-IF(C358&lt;='SOLLECITAZ NASCOSTO'!$P$12,IF(C358&lt;='SOLLECITAZ NASCOSTO'!$P$11,IF(C358&lt;='SOLLECITAZ NASCOSTO'!$P$10,IF(C358&lt;='SOLLECITAZ NASCOSTO'!$P$9,IF(C358&lt;='SOLLECITAZ NASCOSTO'!$P$8,IF(C358&lt;='SOLLECITAZ NASCOSTO'!$P$7,IF(C358&lt;='SOLLECITAZ NASCOSTO'!$P$6,IF(C358&lt;='SOLLECITAZ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paramento'!$G$111))*(C358-IF(C358&lt;='SOLLECITAZ NASCOSTO'!$P$12,IF(C358&lt;='SOLLECITAZ NASCOSTO'!$P$11,IF(C358&lt;='SOLLECITAZ NASCOSTO'!$P$10,IF(C358&lt;='SOLLECITAZ NASCOSTO'!$P$9,IF(C358&lt;='SOLLECITAZ NASCOSTO'!$P$8,IF(C358&lt;='SOLLECITAZ NASCOSTO'!$P$7,IF(C358&lt;='SOLLECITAZ NASCOSTO'!$P$6,IF(C358&lt;='SOLLECITAZ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NASCOSTO'!$P$12))/IF(C358&lt;='SOLLECITAZ NASCOSTO'!$P$12,IF(C358&lt;='SOLLECITAZ NASCOSTO'!$P$11,IF(C358&lt;='SOLLECITAZ NASCOSTO'!$P$10,IF(C358&lt;='SOLLECITAZ NASCOSTO'!$P$9,IF(C358&lt;='SOLLECITAZ NASCOSTO'!$P$8,IF(C358&lt;='SOLLECITAZ NASCOSTO'!$P$7,IF(C358&lt;='SOLLECITAZ NASCOSTO'!$P$6,IF(C358&lt;='SOLLECITAZ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paramento'!$C$111)+IF(C358&lt;='SOLLECITAZ NASCOSTO'!$P$12,IF(C358&lt;='SOLLECITAZ NASCOSTO'!$P$11,IF(C358&lt;='SOLLECITAZ NASCOSTO'!$P$10,IF(C358&lt;='SOLLECITAZ NASCOSTO'!$P$9,IF(C358&lt;='SOLLECITAZ NASCOSTO'!$P$8,IF(C358&lt;='SOLLECITAZ NASCOSTO'!$P$7,IF(C358&lt;='SOLLECITAZ NASCOSTO'!$P$6,IF(C358&lt;='SOLLECITAZ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97.620421175196441</v>
      </c>
      <c r="O359" s="41">
        <f>IF(C359&lt;='SOLLECITAZ NASCOSTO'!$P$12,IF(C359&lt;='SOLLECITAZ NASCOSTO'!$P$11,IF(C359&lt;='SOLLECITAZ NASCOSTO'!$P$10,IF(C359&lt;='SOLLECITAZ NASCOSTO'!$P$9,IF(C359&lt;='SOLLECITAZ NASCOSTO'!$P$8,IF(C359&lt;='SOLLECITAZ NASCOSTO'!$P$7,IF(C359&lt;='SOLLECITAZ NASCOSTO'!$P$6,IF(C359&lt;='SOLLECITAZ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paramento'!$G$110),55555)*(C359-C358)/IF(C359&lt;='SOLLECITAZ NASCOSTO'!$P$12,IF(C359&lt;='SOLLECITAZ NASCOSTO'!$P$11,IF(C359&lt;='SOLLECITAZ NASCOSTO'!$P$10,IF(C359&lt;='SOLLECITAZ NASCOSTO'!$P$9,IF(C359&lt;='SOLLECITAZ NASCOSTO'!$P$8,IF(C359&lt;='SOLLECITAZ NASCOSTO'!$P$7,IF(C359&lt;='SOLLECITAZ NASCOSTO'!$P$6,IF(C359&lt;='SOLLECITAZ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59" s="41">
        <f t="shared" si="120"/>
        <v>3.2600000000000142E-4</v>
      </c>
      <c r="Q359" s="41">
        <f t="shared" si="118"/>
        <v>1</v>
      </c>
      <c r="R359" s="434">
        <f t="shared" si="110"/>
        <v>3.5624618766089138</v>
      </c>
      <c r="S359" s="45">
        <f t="shared" si="119"/>
        <v>3.5624618766089138</v>
      </c>
      <c r="T359" s="205">
        <f t="shared" si="114"/>
        <v>1.4695997156519671</v>
      </c>
      <c r="U359" s="45">
        <f t="shared" si="116"/>
        <v>198.3416507732986</v>
      </c>
      <c r="V359" s="45">
        <f t="shared" si="117"/>
        <v>-264.02558446801754</v>
      </c>
      <c r="W359" s="488"/>
    </row>
    <row r="360" spans="1:23" s="421" customFormat="1" x14ac:dyDescent="0.25">
      <c r="A360" s="581">
        <f t="shared" si="111"/>
        <v>0.60177583816639379</v>
      </c>
      <c r="B360" s="31">
        <f t="shared" si="112"/>
        <v>328</v>
      </c>
      <c r="C360" s="434">
        <f>'SOLLECITAZ NASCOSTO'!$D$6/'SOLLECITAZ NASCOSTO'!$B$448*'SOLLECITAZ NASCOSTO'!B360</f>
        <v>3.573356255436464</v>
      </c>
      <c r="D360" s="434">
        <f t="shared" si="113"/>
        <v>0.72177583816639379</v>
      </c>
      <c r="E360" s="434">
        <f t="shared" si="104"/>
        <v>0.60177583816639379</v>
      </c>
      <c r="F360" s="434">
        <f t="shared" si="105"/>
        <v>0.49256826821324601</v>
      </c>
      <c r="G360" s="434">
        <f t="shared" si="106"/>
        <v>9.9049657689728052E-2</v>
      </c>
      <c r="H360" s="434">
        <f t="shared" si="121"/>
        <v>0</v>
      </c>
      <c r="I360" s="434">
        <v>0</v>
      </c>
      <c r="J360" s="127">
        <f t="shared" si="122"/>
        <v>0.20108818225141292</v>
      </c>
      <c r="K360" s="126">
        <f t="shared" si="109"/>
        <v>2.1446401811373333E-2</v>
      </c>
      <c r="L360" s="41">
        <f t="shared" si="123"/>
        <v>199.40938275635244</v>
      </c>
      <c r="M360" s="41">
        <f t="shared" si="115"/>
        <v>-266.19220968717838</v>
      </c>
      <c r="N360" s="41">
        <f>(IF(C359&lt;='SOLLECITAZ NASCOSTO'!$P$12,IF(C359&lt;='SOLLECITAZ NASCOSTO'!$P$11,IF(C359&lt;='SOLLECITAZ NASCOSTO'!$P$10,IF(C359&lt;='SOLLECITAZ NASCOSTO'!$P$9,IF(C359&lt;='SOLLECITAZ NASCOSTO'!$P$8,IF(C359&lt;='SOLLECITAZ NASCOSTO'!$P$7,IF(C359&lt;='SOLLECITAZ NASCOSTO'!$P$6,IF(C359&lt;='SOLLECITAZ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paramento'!$G$111),55555)-IF(C359&lt;='SOLLECITAZ NASCOSTO'!$P$12,IF(C359&lt;='SOLLECITAZ NASCOSTO'!$P$11,IF(C359&lt;='SOLLECITAZ NASCOSTO'!$P$10,IF(C359&lt;='SOLLECITAZ NASCOSTO'!$P$9,IF(C359&lt;='SOLLECITAZ NASCOSTO'!$P$8,IF(C359&lt;='SOLLECITAZ NASCOSTO'!$P$7,IF(C359&lt;='SOLLECITAZ NASCOSTO'!$P$6,IF(C359&lt;='SOLLECITAZ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paramento'!$G$111))*(C359-IF(C359&lt;='SOLLECITAZ NASCOSTO'!$P$12,IF(C359&lt;='SOLLECITAZ NASCOSTO'!$P$11,IF(C359&lt;='SOLLECITAZ NASCOSTO'!$P$10,IF(C359&lt;='SOLLECITAZ NASCOSTO'!$P$9,IF(C359&lt;='SOLLECITAZ NASCOSTO'!$P$8,IF(C359&lt;='SOLLECITAZ NASCOSTO'!$P$7,IF(C359&lt;='SOLLECITAZ NASCOSTO'!$P$6,IF(C359&lt;='SOLLECITAZ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NASCOSTO'!$P$12))/IF(C359&lt;='SOLLECITAZ NASCOSTO'!$P$12,IF(C359&lt;='SOLLECITAZ NASCOSTO'!$P$11,IF(C359&lt;='SOLLECITAZ NASCOSTO'!$P$10,IF(C359&lt;='SOLLECITAZ NASCOSTO'!$P$9,IF(C359&lt;='SOLLECITAZ NASCOSTO'!$P$8,IF(C359&lt;='SOLLECITAZ NASCOSTO'!$P$7,IF(C359&lt;='SOLLECITAZ NASCOSTO'!$P$6,IF(C359&lt;='SOLLECITAZ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paramento'!$C$111)+IF(C359&lt;='SOLLECITAZ NASCOSTO'!$P$12,IF(C359&lt;='SOLLECITAZ NASCOSTO'!$P$11,IF(C359&lt;='SOLLECITAZ NASCOSTO'!$P$10,IF(C359&lt;='SOLLECITAZ NASCOSTO'!$P$9,IF(C359&lt;='SOLLECITAZ NASCOSTO'!$P$8,IF(C359&lt;='SOLLECITAZ NASCOSTO'!$P$7,IF(C359&lt;='SOLLECITAZ NASCOSTO'!$P$6,IF(C359&lt;='SOLLECITAZ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97.87854410464584</v>
      </c>
      <c r="O360" s="41">
        <f>IF(C360&lt;='SOLLECITAZ NASCOSTO'!$P$12,IF(C360&lt;='SOLLECITAZ NASCOSTO'!$P$11,IF(C360&lt;='SOLLECITAZ NASCOSTO'!$P$10,IF(C360&lt;='SOLLECITAZ NASCOSTO'!$P$9,IF(C360&lt;='SOLLECITAZ NASCOSTO'!$P$8,IF(C360&lt;='SOLLECITAZ NASCOSTO'!$P$7,IF(C360&lt;='SOLLECITAZ NASCOSTO'!$P$6,IF(C360&lt;='SOLLECITAZ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paramento'!$G$110),55555)*(C360-C359)/IF(C360&lt;='SOLLECITAZ NASCOSTO'!$P$12,IF(C360&lt;='SOLLECITAZ NASCOSTO'!$P$11,IF(C360&lt;='SOLLECITAZ NASCOSTO'!$P$10,IF(C360&lt;='SOLLECITAZ NASCOSTO'!$P$9,IF(C360&lt;='SOLLECITAZ NASCOSTO'!$P$8,IF(C360&lt;='SOLLECITAZ NASCOSTO'!$P$7,IF(C360&lt;='SOLLECITAZ NASCOSTO'!$P$6,IF(C360&lt;='SOLLECITAZ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60" s="41">
        <f t="shared" si="120"/>
        <v>3.2700000000000144E-4</v>
      </c>
      <c r="Q360" s="41">
        <f t="shared" si="118"/>
        <v>1</v>
      </c>
      <c r="R360" s="434">
        <f t="shared" si="110"/>
        <v>3.573356255436464</v>
      </c>
      <c r="S360" s="45">
        <f t="shared" si="119"/>
        <v>3.573356255436464</v>
      </c>
      <c r="T360" s="205">
        <f t="shared" si="114"/>
        <v>1.4587053368244169</v>
      </c>
      <c r="U360" s="45">
        <f t="shared" si="116"/>
        <v>199.40938275635244</v>
      </c>
      <c r="V360" s="45">
        <f t="shared" si="117"/>
        <v>-266.19220968717838</v>
      </c>
      <c r="W360" s="488"/>
    </row>
    <row r="361" spans="1:23" s="421" customFormat="1" x14ac:dyDescent="0.25">
      <c r="A361" s="581">
        <f t="shared" si="111"/>
        <v>0.60334668091450294</v>
      </c>
      <c r="B361" s="31">
        <f t="shared" si="112"/>
        <v>329</v>
      </c>
      <c r="C361" s="434">
        <f>'SOLLECITAZ NASCOSTO'!$D$6/'SOLLECITAZ NASCOSTO'!$B$448*'SOLLECITAZ NASCOSTO'!B361</f>
        <v>3.5842506342640141</v>
      </c>
      <c r="D361" s="434">
        <f t="shared" si="113"/>
        <v>0.72334668091450294</v>
      </c>
      <c r="E361" s="434">
        <f t="shared" si="104"/>
        <v>0.60334668091450294</v>
      </c>
      <c r="F361" s="434">
        <f t="shared" si="105"/>
        <v>0.49307093789264095</v>
      </c>
      <c r="G361" s="434">
        <f t="shared" si="106"/>
        <v>9.9412867326404447E-2</v>
      </c>
      <c r="H361" s="434">
        <f t="shared" si="121"/>
        <v>0</v>
      </c>
      <c r="I361" s="434">
        <v>0</v>
      </c>
      <c r="J361" s="127">
        <f t="shared" si="122"/>
        <v>0.20161980698211451</v>
      </c>
      <c r="K361" s="126">
        <f t="shared" si="109"/>
        <v>2.1582955622854737E-2</v>
      </c>
      <c r="L361" s="41">
        <f t="shared" si="123"/>
        <v>200.47992682838378</v>
      </c>
      <c r="M361" s="41">
        <f t="shared" si="115"/>
        <v>-268.37048250103015</v>
      </c>
      <c r="N361" s="41">
        <f>(IF(C360&lt;='SOLLECITAZ NASCOSTO'!$P$12,IF(C360&lt;='SOLLECITAZ NASCOSTO'!$P$11,IF(C360&lt;='SOLLECITAZ NASCOSTO'!$P$10,IF(C360&lt;='SOLLECITAZ NASCOSTO'!$P$9,IF(C360&lt;='SOLLECITAZ NASCOSTO'!$P$8,IF(C360&lt;='SOLLECITAZ NASCOSTO'!$P$7,IF(C360&lt;='SOLLECITAZ NASCOSTO'!$P$6,IF(C360&lt;='SOLLECITAZ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paramento'!$G$111),55555)-IF(C360&lt;='SOLLECITAZ NASCOSTO'!$P$12,IF(C360&lt;='SOLLECITAZ NASCOSTO'!$P$11,IF(C360&lt;='SOLLECITAZ NASCOSTO'!$P$10,IF(C360&lt;='SOLLECITAZ NASCOSTO'!$P$9,IF(C360&lt;='SOLLECITAZ NASCOSTO'!$P$8,IF(C360&lt;='SOLLECITAZ NASCOSTO'!$P$7,IF(C360&lt;='SOLLECITAZ NASCOSTO'!$P$6,IF(C360&lt;='SOLLECITAZ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paramento'!$G$111))*(C360-IF(C360&lt;='SOLLECITAZ NASCOSTO'!$P$12,IF(C360&lt;='SOLLECITAZ NASCOSTO'!$P$11,IF(C360&lt;='SOLLECITAZ NASCOSTO'!$P$10,IF(C360&lt;='SOLLECITAZ NASCOSTO'!$P$9,IF(C360&lt;='SOLLECITAZ NASCOSTO'!$P$8,IF(C360&lt;='SOLLECITAZ NASCOSTO'!$P$7,IF(C360&lt;='SOLLECITAZ NASCOSTO'!$P$6,IF(C360&lt;='SOLLECITAZ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NASCOSTO'!$P$12))/IF(C360&lt;='SOLLECITAZ NASCOSTO'!$P$12,IF(C360&lt;='SOLLECITAZ NASCOSTO'!$P$11,IF(C360&lt;='SOLLECITAZ NASCOSTO'!$P$10,IF(C360&lt;='SOLLECITAZ NASCOSTO'!$P$9,IF(C360&lt;='SOLLECITAZ NASCOSTO'!$P$8,IF(C360&lt;='SOLLECITAZ NASCOSTO'!$P$7,IF(C360&lt;='SOLLECITAZ NASCOSTO'!$P$6,IF(C360&lt;='SOLLECITAZ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paramento'!$C$111)+IF(C360&lt;='SOLLECITAZ NASCOSTO'!$P$12,IF(C360&lt;='SOLLECITAZ NASCOSTO'!$P$11,IF(C360&lt;='SOLLECITAZ NASCOSTO'!$P$10,IF(C360&lt;='SOLLECITAZ NASCOSTO'!$P$9,IF(C360&lt;='SOLLECITAZ NASCOSTO'!$P$8,IF(C360&lt;='SOLLECITAZ NASCOSTO'!$P$7,IF(C360&lt;='SOLLECITAZ NASCOSTO'!$P$6,IF(C360&lt;='SOLLECITAZ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98.13666703409524</v>
      </c>
      <c r="O361" s="41">
        <f>IF(C361&lt;='SOLLECITAZ NASCOSTO'!$P$12,IF(C361&lt;='SOLLECITAZ NASCOSTO'!$P$11,IF(C361&lt;='SOLLECITAZ NASCOSTO'!$P$10,IF(C361&lt;='SOLLECITAZ NASCOSTO'!$P$9,IF(C361&lt;='SOLLECITAZ NASCOSTO'!$P$8,IF(C361&lt;='SOLLECITAZ NASCOSTO'!$P$7,IF(C361&lt;='SOLLECITAZ NASCOSTO'!$P$6,IF(C361&lt;='SOLLECITAZ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paramento'!$G$110),55555)*(C361-C360)/IF(C361&lt;='SOLLECITAZ NASCOSTO'!$P$12,IF(C361&lt;='SOLLECITAZ NASCOSTO'!$P$11,IF(C361&lt;='SOLLECITAZ NASCOSTO'!$P$10,IF(C361&lt;='SOLLECITAZ NASCOSTO'!$P$9,IF(C361&lt;='SOLLECITAZ NASCOSTO'!$P$8,IF(C361&lt;='SOLLECITAZ NASCOSTO'!$P$7,IF(C361&lt;='SOLLECITAZ NASCOSTO'!$P$6,IF(C361&lt;='SOLLECITAZ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61" s="41">
        <f t="shared" si="120"/>
        <v>3.2800000000000147E-4</v>
      </c>
      <c r="Q361" s="41">
        <f t="shared" si="118"/>
        <v>1</v>
      </c>
      <c r="R361" s="434">
        <f t="shared" si="110"/>
        <v>3.5842506342640141</v>
      </c>
      <c r="S361" s="45">
        <f t="shared" si="119"/>
        <v>3.5842506342640141</v>
      </c>
      <c r="T361" s="205">
        <f t="shared" si="114"/>
        <v>1.4478109579968668</v>
      </c>
      <c r="U361" s="45">
        <f t="shared" si="116"/>
        <v>200.47992682838378</v>
      </c>
      <c r="V361" s="45">
        <f t="shared" si="117"/>
        <v>-268.37048250103015</v>
      </c>
      <c r="W361" s="488"/>
    </row>
    <row r="362" spans="1:23" s="421" customFormat="1" x14ac:dyDescent="0.25">
      <c r="A362" s="581">
        <f t="shared" si="111"/>
        <v>0.60491752366261209</v>
      </c>
      <c r="B362" s="31">
        <f t="shared" si="112"/>
        <v>330</v>
      </c>
      <c r="C362" s="434">
        <f>'SOLLECITAZ NASCOSTO'!$D$6/'SOLLECITAZ NASCOSTO'!$B$448*'SOLLECITAZ NASCOSTO'!B362</f>
        <v>3.5951450130915643</v>
      </c>
      <c r="D362" s="434">
        <f t="shared" si="113"/>
        <v>0.72491752366261208</v>
      </c>
      <c r="E362" s="434">
        <f t="shared" si="104"/>
        <v>0.60491752366261209</v>
      </c>
      <c r="F362" s="434">
        <f t="shared" si="105"/>
        <v>0.49357360757203583</v>
      </c>
      <c r="G362" s="434">
        <f t="shared" si="106"/>
        <v>9.9776866578101406E-2</v>
      </c>
      <c r="H362" s="434">
        <f t="shared" si="121"/>
        <v>0</v>
      </c>
      <c r="I362" s="434">
        <v>0</v>
      </c>
      <c r="J362" s="127">
        <f t="shared" si="122"/>
        <v>0.20215194866054345</v>
      </c>
      <c r="K362" s="126">
        <f t="shared" si="109"/>
        <v>2.1720054381462926E-2</v>
      </c>
      <c r="L362" s="41">
        <f t="shared" si="123"/>
        <v>201.55328298939264</v>
      </c>
      <c r="M362" s="41">
        <f t="shared" si="115"/>
        <v>-270.56043354553555</v>
      </c>
      <c r="N362" s="41">
        <f>(IF(C361&lt;='SOLLECITAZ NASCOSTO'!$P$12,IF(C361&lt;='SOLLECITAZ NASCOSTO'!$P$11,IF(C361&lt;='SOLLECITAZ NASCOSTO'!$P$10,IF(C361&lt;='SOLLECITAZ NASCOSTO'!$P$9,IF(C361&lt;='SOLLECITAZ NASCOSTO'!$P$8,IF(C361&lt;='SOLLECITAZ NASCOSTO'!$P$7,IF(C361&lt;='SOLLECITAZ NASCOSTO'!$P$6,IF(C361&lt;='SOLLECITAZ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paramento'!$G$111),55555)-IF(C361&lt;='SOLLECITAZ NASCOSTO'!$P$12,IF(C361&lt;='SOLLECITAZ NASCOSTO'!$P$11,IF(C361&lt;='SOLLECITAZ NASCOSTO'!$P$10,IF(C361&lt;='SOLLECITAZ NASCOSTO'!$P$9,IF(C361&lt;='SOLLECITAZ NASCOSTO'!$P$8,IF(C361&lt;='SOLLECITAZ NASCOSTO'!$P$7,IF(C361&lt;='SOLLECITAZ NASCOSTO'!$P$6,IF(C361&lt;='SOLLECITAZ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paramento'!$G$111))*(C361-IF(C361&lt;='SOLLECITAZ NASCOSTO'!$P$12,IF(C361&lt;='SOLLECITAZ NASCOSTO'!$P$11,IF(C361&lt;='SOLLECITAZ NASCOSTO'!$P$10,IF(C361&lt;='SOLLECITAZ NASCOSTO'!$P$9,IF(C361&lt;='SOLLECITAZ NASCOSTO'!$P$8,IF(C361&lt;='SOLLECITAZ NASCOSTO'!$P$7,IF(C361&lt;='SOLLECITAZ NASCOSTO'!$P$6,IF(C361&lt;='SOLLECITAZ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NASCOSTO'!$P$12))/IF(C361&lt;='SOLLECITAZ NASCOSTO'!$P$12,IF(C361&lt;='SOLLECITAZ NASCOSTO'!$P$11,IF(C361&lt;='SOLLECITAZ NASCOSTO'!$P$10,IF(C361&lt;='SOLLECITAZ NASCOSTO'!$P$9,IF(C361&lt;='SOLLECITAZ NASCOSTO'!$P$8,IF(C361&lt;='SOLLECITAZ NASCOSTO'!$P$7,IF(C361&lt;='SOLLECITAZ NASCOSTO'!$P$6,IF(C361&lt;='SOLLECITAZ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paramento'!$C$111)+IF(C361&lt;='SOLLECITAZ NASCOSTO'!$P$12,IF(C361&lt;='SOLLECITAZ NASCOSTO'!$P$11,IF(C361&lt;='SOLLECITAZ NASCOSTO'!$P$10,IF(C361&lt;='SOLLECITAZ NASCOSTO'!$P$9,IF(C361&lt;='SOLLECITAZ NASCOSTO'!$P$8,IF(C361&lt;='SOLLECITAZ NASCOSTO'!$P$7,IF(C361&lt;='SOLLECITAZ NASCOSTO'!$P$6,IF(C361&lt;='SOLLECITAZ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98.394789963544639</v>
      </c>
      <c r="O362" s="41">
        <f>IF(C362&lt;='SOLLECITAZ NASCOSTO'!$P$12,IF(C362&lt;='SOLLECITAZ NASCOSTO'!$P$11,IF(C362&lt;='SOLLECITAZ NASCOSTO'!$P$10,IF(C362&lt;='SOLLECITAZ NASCOSTO'!$P$9,IF(C362&lt;='SOLLECITAZ NASCOSTO'!$P$8,IF(C362&lt;='SOLLECITAZ NASCOSTO'!$P$7,IF(C362&lt;='SOLLECITAZ NASCOSTO'!$P$6,IF(C362&lt;='SOLLECITAZ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paramento'!$G$110),55555)*(C362-C361)/IF(C362&lt;='SOLLECITAZ NASCOSTO'!$P$12,IF(C362&lt;='SOLLECITAZ NASCOSTO'!$P$11,IF(C362&lt;='SOLLECITAZ NASCOSTO'!$P$10,IF(C362&lt;='SOLLECITAZ NASCOSTO'!$P$9,IF(C362&lt;='SOLLECITAZ NASCOSTO'!$P$8,IF(C362&lt;='SOLLECITAZ NASCOSTO'!$P$7,IF(C362&lt;='SOLLECITAZ NASCOSTO'!$P$6,IF(C362&lt;='SOLLECITAZ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62" s="41">
        <f t="shared" si="120"/>
        <v>3.2900000000000149E-4</v>
      </c>
      <c r="Q362" s="41">
        <f t="shared" si="118"/>
        <v>1</v>
      </c>
      <c r="R362" s="434">
        <f t="shared" si="110"/>
        <v>3.5951450130915643</v>
      </c>
      <c r="S362" s="45">
        <f t="shared" si="119"/>
        <v>3.5951450130915643</v>
      </c>
      <c r="T362" s="205">
        <f t="shared" si="114"/>
        <v>1.4369165791693166</v>
      </c>
      <c r="U362" s="45">
        <f t="shared" si="116"/>
        <v>201.55328298939264</v>
      </c>
      <c r="V362" s="45">
        <f t="shared" si="117"/>
        <v>-270.56043354553555</v>
      </c>
      <c r="W362" s="488"/>
    </row>
    <row r="363" spans="1:23" s="421" customFormat="1" x14ac:dyDescent="0.25">
      <c r="A363" s="581">
        <f t="shared" si="111"/>
        <v>0.60648836641072124</v>
      </c>
      <c r="B363" s="31">
        <f t="shared" si="112"/>
        <v>331</v>
      </c>
      <c r="C363" s="434">
        <f>'SOLLECITAZ NASCOSTO'!$D$6/'SOLLECITAZ NASCOSTO'!$B$448*'SOLLECITAZ NASCOSTO'!B363</f>
        <v>3.6060393919191145</v>
      </c>
      <c r="D363" s="434">
        <f t="shared" si="113"/>
        <v>0.72648836641072123</v>
      </c>
      <c r="E363" s="434">
        <f t="shared" si="104"/>
        <v>0.60648836641072124</v>
      </c>
      <c r="F363" s="434">
        <f t="shared" si="105"/>
        <v>0.49407627725143077</v>
      </c>
      <c r="G363" s="434">
        <f t="shared" si="106"/>
        <v>0.10014165544481894</v>
      </c>
      <c r="H363" s="434">
        <f t="shared" si="121"/>
        <v>0</v>
      </c>
      <c r="I363" s="434">
        <v>0</v>
      </c>
      <c r="J363" s="127">
        <f t="shared" si="122"/>
        <v>0.20268460570888286</v>
      </c>
      <c r="K363" s="126">
        <f t="shared" si="109"/>
        <v>2.1857698900858168E-2</v>
      </c>
      <c r="L363" s="41">
        <f t="shared" si="123"/>
        <v>202.62945123937899</v>
      </c>
      <c r="M363" s="41">
        <f t="shared" si="115"/>
        <v>-272.76209345665717</v>
      </c>
      <c r="N363" s="41">
        <f>(IF(C362&lt;='SOLLECITAZ NASCOSTO'!$P$12,IF(C362&lt;='SOLLECITAZ NASCOSTO'!$P$11,IF(C362&lt;='SOLLECITAZ NASCOSTO'!$P$10,IF(C362&lt;='SOLLECITAZ NASCOSTO'!$P$9,IF(C362&lt;='SOLLECITAZ NASCOSTO'!$P$8,IF(C362&lt;='SOLLECITAZ NASCOSTO'!$P$7,IF(C362&lt;='SOLLECITAZ NASCOSTO'!$P$6,IF(C362&lt;='SOLLECITAZ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paramento'!$G$111),55555)-IF(C362&lt;='SOLLECITAZ NASCOSTO'!$P$12,IF(C362&lt;='SOLLECITAZ NASCOSTO'!$P$11,IF(C362&lt;='SOLLECITAZ NASCOSTO'!$P$10,IF(C362&lt;='SOLLECITAZ NASCOSTO'!$P$9,IF(C362&lt;='SOLLECITAZ NASCOSTO'!$P$8,IF(C362&lt;='SOLLECITAZ NASCOSTO'!$P$7,IF(C362&lt;='SOLLECITAZ NASCOSTO'!$P$6,IF(C362&lt;='SOLLECITAZ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paramento'!$G$111))*(C362-IF(C362&lt;='SOLLECITAZ NASCOSTO'!$P$12,IF(C362&lt;='SOLLECITAZ NASCOSTO'!$P$11,IF(C362&lt;='SOLLECITAZ NASCOSTO'!$P$10,IF(C362&lt;='SOLLECITAZ NASCOSTO'!$P$9,IF(C362&lt;='SOLLECITAZ NASCOSTO'!$P$8,IF(C362&lt;='SOLLECITAZ NASCOSTO'!$P$7,IF(C362&lt;='SOLLECITAZ NASCOSTO'!$P$6,IF(C362&lt;='SOLLECITAZ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NASCOSTO'!$P$12))/IF(C362&lt;='SOLLECITAZ NASCOSTO'!$P$12,IF(C362&lt;='SOLLECITAZ NASCOSTO'!$P$11,IF(C362&lt;='SOLLECITAZ NASCOSTO'!$P$10,IF(C362&lt;='SOLLECITAZ NASCOSTO'!$P$9,IF(C362&lt;='SOLLECITAZ NASCOSTO'!$P$8,IF(C362&lt;='SOLLECITAZ NASCOSTO'!$P$7,IF(C362&lt;='SOLLECITAZ NASCOSTO'!$P$6,IF(C362&lt;='SOLLECITAZ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paramento'!$C$111)+IF(C362&lt;='SOLLECITAZ NASCOSTO'!$P$12,IF(C362&lt;='SOLLECITAZ NASCOSTO'!$P$11,IF(C362&lt;='SOLLECITAZ NASCOSTO'!$P$10,IF(C362&lt;='SOLLECITAZ NASCOSTO'!$P$9,IF(C362&lt;='SOLLECITAZ NASCOSTO'!$P$8,IF(C362&lt;='SOLLECITAZ NASCOSTO'!$P$7,IF(C362&lt;='SOLLECITAZ NASCOSTO'!$P$6,IF(C362&lt;='SOLLECITAZ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98.652912892994067</v>
      </c>
      <c r="O363" s="41">
        <f>IF(C363&lt;='SOLLECITAZ NASCOSTO'!$P$12,IF(C363&lt;='SOLLECITAZ NASCOSTO'!$P$11,IF(C363&lt;='SOLLECITAZ NASCOSTO'!$P$10,IF(C363&lt;='SOLLECITAZ NASCOSTO'!$P$9,IF(C363&lt;='SOLLECITAZ NASCOSTO'!$P$8,IF(C363&lt;='SOLLECITAZ NASCOSTO'!$P$7,IF(C363&lt;='SOLLECITAZ NASCOSTO'!$P$6,IF(C363&lt;='SOLLECITAZ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paramento'!$G$110),55555)*(C363-C362)/IF(C363&lt;='SOLLECITAZ NASCOSTO'!$P$12,IF(C363&lt;='SOLLECITAZ NASCOSTO'!$P$11,IF(C363&lt;='SOLLECITAZ NASCOSTO'!$P$10,IF(C363&lt;='SOLLECITAZ NASCOSTO'!$P$9,IF(C363&lt;='SOLLECITAZ NASCOSTO'!$P$8,IF(C363&lt;='SOLLECITAZ NASCOSTO'!$P$7,IF(C363&lt;='SOLLECITAZ NASCOSTO'!$P$6,IF(C363&lt;='SOLLECITAZ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63" s="41">
        <f t="shared" si="120"/>
        <v>3.3000000000000152E-4</v>
      </c>
      <c r="Q363" s="41">
        <f t="shared" si="118"/>
        <v>1</v>
      </c>
      <c r="R363" s="434">
        <f t="shared" si="110"/>
        <v>3.6060393919191145</v>
      </c>
      <c r="S363" s="45">
        <f t="shared" si="119"/>
        <v>3.6060393919191145</v>
      </c>
      <c r="T363" s="205">
        <f t="shared" si="114"/>
        <v>1.4260222003417664</v>
      </c>
      <c r="U363" s="45">
        <f t="shared" si="116"/>
        <v>202.62945123937899</v>
      </c>
      <c r="V363" s="45">
        <f t="shared" si="117"/>
        <v>-272.76209345665717</v>
      </c>
      <c r="W363" s="488"/>
    </row>
    <row r="364" spans="1:23" s="421" customFormat="1" x14ac:dyDescent="0.25">
      <c r="A364" s="581">
        <f t="shared" si="111"/>
        <v>0.60805920915883038</v>
      </c>
      <c r="B364" s="31">
        <f t="shared" si="112"/>
        <v>332</v>
      </c>
      <c r="C364" s="434">
        <f>'SOLLECITAZ NASCOSTO'!$D$6/'SOLLECITAZ NASCOSTO'!$B$448*'SOLLECITAZ NASCOSTO'!B364</f>
        <v>3.6169337707466647</v>
      </c>
      <c r="D364" s="434">
        <f t="shared" si="113"/>
        <v>0.72805920915883038</v>
      </c>
      <c r="E364" s="434">
        <f t="shared" si="104"/>
        <v>0.60805920915883038</v>
      </c>
      <c r="F364" s="434">
        <f t="shared" si="105"/>
        <v>0.49457894693082571</v>
      </c>
      <c r="G364" s="434">
        <f t="shared" si="106"/>
        <v>0.10050723392655704</v>
      </c>
      <c r="H364" s="434">
        <f t="shared" si="121"/>
        <v>0</v>
      </c>
      <c r="I364" s="434">
        <v>0</v>
      </c>
      <c r="J364" s="127">
        <f t="shared" si="122"/>
        <v>0.20321777655573051</v>
      </c>
      <c r="K364" s="126">
        <f t="shared" si="109"/>
        <v>2.1995889993914185E-2</v>
      </c>
      <c r="L364" s="41">
        <f t="shared" si="123"/>
        <v>203.70843157834284</v>
      </c>
      <c r="M364" s="41">
        <f t="shared" si="115"/>
        <v>-274.97549287035764</v>
      </c>
      <c r="N364" s="41">
        <f>(IF(C363&lt;='SOLLECITAZ NASCOSTO'!$P$12,IF(C363&lt;='SOLLECITAZ NASCOSTO'!$P$11,IF(C363&lt;='SOLLECITAZ NASCOSTO'!$P$10,IF(C363&lt;='SOLLECITAZ NASCOSTO'!$P$9,IF(C363&lt;='SOLLECITAZ NASCOSTO'!$P$8,IF(C363&lt;='SOLLECITAZ NASCOSTO'!$P$7,IF(C363&lt;='SOLLECITAZ NASCOSTO'!$P$6,IF(C363&lt;='SOLLECITAZ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paramento'!$G$111),55555)-IF(C363&lt;='SOLLECITAZ NASCOSTO'!$P$12,IF(C363&lt;='SOLLECITAZ NASCOSTO'!$P$11,IF(C363&lt;='SOLLECITAZ NASCOSTO'!$P$10,IF(C363&lt;='SOLLECITAZ NASCOSTO'!$P$9,IF(C363&lt;='SOLLECITAZ NASCOSTO'!$P$8,IF(C363&lt;='SOLLECITAZ NASCOSTO'!$P$7,IF(C363&lt;='SOLLECITAZ NASCOSTO'!$P$6,IF(C363&lt;='SOLLECITAZ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paramento'!$G$111))*(C363-IF(C363&lt;='SOLLECITAZ NASCOSTO'!$P$12,IF(C363&lt;='SOLLECITAZ NASCOSTO'!$P$11,IF(C363&lt;='SOLLECITAZ NASCOSTO'!$P$10,IF(C363&lt;='SOLLECITAZ NASCOSTO'!$P$9,IF(C363&lt;='SOLLECITAZ NASCOSTO'!$P$8,IF(C363&lt;='SOLLECITAZ NASCOSTO'!$P$7,IF(C363&lt;='SOLLECITAZ NASCOSTO'!$P$6,IF(C363&lt;='SOLLECITAZ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NASCOSTO'!$P$12))/IF(C363&lt;='SOLLECITAZ NASCOSTO'!$P$12,IF(C363&lt;='SOLLECITAZ NASCOSTO'!$P$11,IF(C363&lt;='SOLLECITAZ NASCOSTO'!$P$10,IF(C363&lt;='SOLLECITAZ NASCOSTO'!$P$9,IF(C363&lt;='SOLLECITAZ NASCOSTO'!$P$8,IF(C363&lt;='SOLLECITAZ NASCOSTO'!$P$7,IF(C363&lt;='SOLLECITAZ NASCOSTO'!$P$6,IF(C363&lt;='SOLLECITAZ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paramento'!$C$111)+IF(C363&lt;='SOLLECITAZ NASCOSTO'!$P$12,IF(C363&lt;='SOLLECITAZ NASCOSTO'!$P$11,IF(C363&lt;='SOLLECITAZ NASCOSTO'!$P$10,IF(C363&lt;='SOLLECITAZ NASCOSTO'!$P$9,IF(C363&lt;='SOLLECITAZ NASCOSTO'!$P$8,IF(C363&lt;='SOLLECITAZ NASCOSTO'!$P$7,IF(C363&lt;='SOLLECITAZ NASCOSTO'!$P$6,IF(C363&lt;='SOLLECITAZ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98.911035822443466</v>
      </c>
      <c r="O364" s="41">
        <f>IF(C364&lt;='SOLLECITAZ NASCOSTO'!$P$12,IF(C364&lt;='SOLLECITAZ NASCOSTO'!$P$11,IF(C364&lt;='SOLLECITAZ NASCOSTO'!$P$10,IF(C364&lt;='SOLLECITAZ NASCOSTO'!$P$9,IF(C364&lt;='SOLLECITAZ NASCOSTO'!$P$8,IF(C364&lt;='SOLLECITAZ NASCOSTO'!$P$7,IF(C364&lt;='SOLLECITAZ NASCOSTO'!$P$6,IF(C364&lt;='SOLLECITAZ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paramento'!$G$110),55555)*(C364-C363)/IF(C364&lt;='SOLLECITAZ NASCOSTO'!$P$12,IF(C364&lt;='SOLLECITAZ NASCOSTO'!$P$11,IF(C364&lt;='SOLLECITAZ NASCOSTO'!$P$10,IF(C364&lt;='SOLLECITAZ NASCOSTO'!$P$9,IF(C364&lt;='SOLLECITAZ NASCOSTO'!$P$8,IF(C364&lt;='SOLLECITAZ NASCOSTO'!$P$7,IF(C364&lt;='SOLLECITAZ NASCOSTO'!$P$6,IF(C364&lt;='SOLLECITAZ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64" s="41">
        <f t="shared" si="120"/>
        <v>3.3100000000000154E-4</v>
      </c>
      <c r="Q364" s="41">
        <f t="shared" si="118"/>
        <v>1</v>
      </c>
      <c r="R364" s="434">
        <f t="shared" si="110"/>
        <v>3.6169337707466647</v>
      </c>
      <c r="S364" s="45">
        <f t="shared" si="119"/>
        <v>3.6169337707466647</v>
      </c>
      <c r="T364" s="205">
        <f t="shared" si="114"/>
        <v>1.4151278215142162</v>
      </c>
      <c r="U364" s="45">
        <f t="shared" si="116"/>
        <v>203.70843157834284</v>
      </c>
      <c r="V364" s="45">
        <f t="shared" si="117"/>
        <v>-274.97549287035764</v>
      </c>
      <c r="W364" s="488"/>
    </row>
    <row r="365" spans="1:23" s="421" customFormat="1" x14ac:dyDescent="0.25">
      <c r="A365" s="581">
        <f t="shared" si="111"/>
        <v>0.60963005190693953</v>
      </c>
      <c r="B365" s="31">
        <f t="shared" si="112"/>
        <v>333</v>
      </c>
      <c r="C365" s="434">
        <f>'SOLLECITAZ NASCOSTO'!$D$6/'SOLLECITAZ NASCOSTO'!$B$448*'SOLLECITAZ NASCOSTO'!B365</f>
        <v>3.6278281495742148</v>
      </c>
      <c r="D365" s="434">
        <f t="shared" si="113"/>
        <v>0.72963005190693953</v>
      </c>
      <c r="E365" s="434">
        <f t="shared" si="104"/>
        <v>0.60963005190693953</v>
      </c>
      <c r="F365" s="434">
        <f t="shared" si="105"/>
        <v>0.49508161661022065</v>
      </c>
      <c r="G365" s="434">
        <f t="shared" si="106"/>
        <v>0.10087360202331573</v>
      </c>
      <c r="H365" s="434">
        <f t="shared" si="121"/>
        <v>0</v>
      </c>
      <c r="I365" s="434">
        <v>0</v>
      </c>
      <c r="J365" s="127">
        <f t="shared" si="122"/>
        <v>0.20375145963606611</v>
      </c>
      <c r="K365" s="126">
        <f t="shared" si="109"/>
        <v>2.2134628472722115E-2</v>
      </c>
      <c r="L365" s="41">
        <f t="shared" si="123"/>
        <v>204.79022400628418</v>
      </c>
      <c r="M365" s="41">
        <f t="shared" si="115"/>
        <v>-277.20066242259958</v>
      </c>
      <c r="N365" s="41">
        <f>(IF(C364&lt;='SOLLECITAZ NASCOSTO'!$P$12,IF(C364&lt;='SOLLECITAZ NASCOSTO'!$P$11,IF(C364&lt;='SOLLECITAZ NASCOSTO'!$P$10,IF(C364&lt;='SOLLECITAZ NASCOSTO'!$P$9,IF(C364&lt;='SOLLECITAZ NASCOSTO'!$P$8,IF(C364&lt;='SOLLECITAZ NASCOSTO'!$P$7,IF(C364&lt;='SOLLECITAZ NASCOSTO'!$P$6,IF(C364&lt;='SOLLECITAZ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paramento'!$G$111),55555)-IF(C364&lt;='SOLLECITAZ NASCOSTO'!$P$12,IF(C364&lt;='SOLLECITAZ NASCOSTO'!$P$11,IF(C364&lt;='SOLLECITAZ NASCOSTO'!$P$10,IF(C364&lt;='SOLLECITAZ NASCOSTO'!$P$9,IF(C364&lt;='SOLLECITAZ NASCOSTO'!$P$8,IF(C364&lt;='SOLLECITAZ NASCOSTO'!$P$7,IF(C364&lt;='SOLLECITAZ NASCOSTO'!$P$6,IF(C364&lt;='SOLLECITAZ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paramento'!$G$111))*(C364-IF(C364&lt;='SOLLECITAZ NASCOSTO'!$P$12,IF(C364&lt;='SOLLECITAZ NASCOSTO'!$P$11,IF(C364&lt;='SOLLECITAZ NASCOSTO'!$P$10,IF(C364&lt;='SOLLECITAZ NASCOSTO'!$P$9,IF(C364&lt;='SOLLECITAZ NASCOSTO'!$P$8,IF(C364&lt;='SOLLECITAZ NASCOSTO'!$P$7,IF(C364&lt;='SOLLECITAZ NASCOSTO'!$P$6,IF(C364&lt;='SOLLECITAZ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NASCOSTO'!$P$12))/IF(C364&lt;='SOLLECITAZ NASCOSTO'!$P$12,IF(C364&lt;='SOLLECITAZ NASCOSTO'!$P$11,IF(C364&lt;='SOLLECITAZ NASCOSTO'!$P$10,IF(C364&lt;='SOLLECITAZ NASCOSTO'!$P$9,IF(C364&lt;='SOLLECITAZ NASCOSTO'!$P$8,IF(C364&lt;='SOLLECITAZ NASCOSTO'!$P$7,IF(C364&lt;='SOLLECITAZ NASCOSTO'!$P$6,IF(C364&lt;='SOLLECITAZ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paramento'!$C$111)+IF(C364&lt;='SOLLECITAZ NASCOSTO'!$P$12,IF(C364&lt;='SOLLECITAZ NASCOSTO'!$P$11,IF(C364&lt;='SOLLECITAZ NASCOSTO'!$P$10,IF(C364&lt;='SOLLECITAZ NASCOSTO'!$P$9,IF(C364&lt;='SOLLECITAZ NASCOSTO'!$P$8,IF(C364&lt;='SOLLECITAZ NASCOSTO'!$P$7,IF(C364&lt;='SOLLECITAZ NASCOSTO'!$P$6,IF(C364&lt;='SOLLECITAZ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99.169158751892866</v>
      </c>
      <c r="O365" s="41">
        <f>IF(C365&lt;='SOLLECITAZ NASCOSTO'!$P$12,IF(C365&lt;='SOLLECITAZ NASCOSTO'!$P$11,IF(C365&lt;='SOLLECITAZ NASCOSTO'!$P$10,IF(C365&lt;='SOLLECITAZ NASCOSTO'!$P$9,IF(C365&lt;='SOLLECITAZ NASCOSTO'!$P$8,IF(C365&lt;='SOLLECITAZ NASCOSTO'!$P$7,IF(C365&lt;='SOLLECITAZ NASCOSTO'!$P$6,IF(C365&lt;='SOLLECITAZ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paramento'!$G$110),55555)*(C365-C364)/IF(C365&lt;='SOLLECITAZ NASCOSTO'!$P$12,IF(C365&lt;='SOLLECITAZ NASCOSTO'!$P$11,IF(C365&lt;='SOLLECITAZ NASCOSTO'!$P$10,IF(C365&lt;='SOLLECITAZ NASCOSTO'!$P$9,IF(C365&lt;='SOLLECITAZ NASCOSTO'!$P$8,IF(C365&lt;='SOLLECITAZ NASCOSTO'!$P$7,IF(C365&lt;='SOLLECITAZ NASCOSTO'!$P$6,IF(C365&lt;='SOLLECITAZ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65" s="41">
        <f t="shared" si="120"/>
        <v>3.3200000000000156E-4</v>
      </c>
      <c r="Q365" s="41">
        <f t="shared" si="118"/>
        <v>1</v>
      </c>
      <c r="R365" s="434">
        <f t="shared" si="110"/>
        <v>3.6278281495742148</v>
      </c>
      <c r="S365" s="45">
        <f t="shared" si="119"/>
        <v>3.6278281495742148</v>
      </c>
      <c r="T365" s="205">
        <f t="shared" si="114"/>
        <v>1.4042334426866661</v>
      </c>
      <c r="U365" s="45">
        <f t="shared" si="116"/>
        <v>204.79022400628418</v>
      </c>
      <c r="V365" s="45">
        <f t="shared" si="117"/>
        <v>-277.20066242259958</v>
      </c>
      <c r="W365" s="488"/>
    </row>
    <row r="366" spans="1:23" s="421" customFormat="1" x14ac:dyDescent="0.25">
      <c r="A366" s="581">
        <f t="shared" si="111"/>
        <v>0.61120089465504868</v>
      </c>
      <c r="B366" s="31">
        <f t="shared" si="112"/>
        <v>334</v>
      </c>
      <c r="C366" s="434">
        <f>'SOLLECITAZ NASCOSTO'!$D$6/'SOLLECITAZ NASCOSTO'!$B$448*'SOLLECITAZ NASCOSTO'!B366</f>
        <v>3.638722528401765</v>
      </c>
      <c r="D366" s="434">
        <f t="shared" si="113"/>
        <v>0.73120089465504867</v>
      </c>
      <c r="E366" s="434">
        <f t="shared" si="104"/>
        <v>0.61120089465504868</v>
      </c>
      <c r="F366" s="434">
        <f t="shared" si="105"/>
        <v>0.49558428628961559</v>
      </c>
      <c r="G366" s="434">
        <f t="shared" si="106"/>
        <v>0.10124075973509497</v>
      </c>
      <c r="H366" s="434">
        <f t="shared" si="121"/>
        <v>0</v>
      </c>
      <c r="I366" s="434">
        <v>0</v>
      </c>
      <c r="J366" s="127">
        <f t="shared" si="122"/>
        <v>0.20428565339121882</v>
      </c>
      <c r="K366" s="126">
        <f t="shared" si="109"/>
        <v>2.2273915148594475E-2</v>
      </c>
      <c r="L366" s="41">
        <f t="shared" si="123"/>
        <v>205.87482852320301</v>
      </c>
      <c r="M366" s="41">
        <f t="shared" si="115"/>
        <v>-279.4376327493456</v>
      </c>
      <c r="N366" s="41">
        <f>(IF(C365&lt;='SOLLECITAZ NASCOSTO'!$P$12,IF(C365&lt;='SOLLECITAZ NASCOSTO'!$P$11,IF(C365&lt;='SOLLECITAZ NASCOSTO'!$P$10,IF(C365&lt;='SOLLECITAZ NASCOSTO'!$P$9,IF(C365&lt;='SOLLECITAZ NASCOSTO'!$P$8,IF(C365&lt;='SOLLECITAZ NASCOSTO'!$P$7,IF(C365&lt;='SOLLECITAZ NASCOSTO'!$P$6,IF(C365&lt;='SOLLECITAZ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paramento'!$G$111),55555)-IF(C365&lt;='SOLLECITAZ NASCOSTO'!$P$12,IF(C365&lt;='SOLLECITAZ NASCOSTO'!$P$11,IF(C365&lt;='SOLLECITAZ NASCOSTO'!$P$10,IF(C365&lt;='SOLLECITAZ NASCOSTO'!$P$9,IF(C365&lt;='SOLLECITAZ NASCOSTO'!$P$8,IF(C365&lt;='SOLLECITAZ NASCOSTO'!$P$7,IF(C365&lt;='SOLLECITAZ NASCOSTO'!$P$6,IF(C365&lt;='SOLLECITAZ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paramento'!$G$111))*(C365-IF(C365&lt;='SOLLECITAZ NASCOSTO'!$P$12,IF(C365&lt;='SOLLECITAZ NASCOSTO'!$P$11,IF(C365&lt;='SOLLECITAZ NASCOSTO'!$P$10,IF(C365&lt;='SOLLECITAZ NASCOSTO'!$P$9,IF(C365&lt;='SOLLECITAZ NASCOSTO'!$P$8,IF(C365&lt;='SOLLECITAZ NASCOSTO'!$P$7,IF(C365&lt;='SOLLECITAZ NASCOSTO'!$P$6,IF(C365&lt;='SOLLECITAZ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NASCOSTO'!$P$12))/IF(C365&lt;='SOLLECITAZ NASCOSTO'!$P$12,IF(C365&lt;='SOLLECITAZ NASCOSTO'!$P$11,IF(C365&lt;='SOLLECITAZ NASCOSTO'!$P$10,IF(C365&lt;='SOLLECITAZ NASCOSTO'!$P$9,IF(C365&lt;='SOLLECITAZ NASCOSTO'!$P$8,IF(C365&lt;='SOLLECITAZ NASCOSTO'!$P$7,IF(C365&lt;='SOLLECITAZ NASCOSTO'!$P$6,IF(C365&lt;='SOLLECITAZ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paramento'!$C$111)+IF(C365&lt;='SOLLECITAZ NASCOSTO'!$P$12,IF(C365&lt;='SOLLECITAZ NASCOSTO'!$P$11,IF(C365&lt;='SOLLECITAZ NASCOSTO'!$P$10,IF(C365&lt;='SOLLECITAZ NASCOSTO'!$P$9,IF(C365&lt;='SOLLECITAZ NASCOSTO'!$P$8,IF(C365&lt;='SOLLECITAZ NASCOSTO'!$P$7,IF(C365&lt;='SOLLECITAZ NASCOSTO'!$P$6,IF(C365&lt;='SOLLECITAZ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99.427281681342265</v>
      </c>
      <c r="O366" s="41">
        <f>IF(C366&lt;='SOLLECITAZ NASCOSTO'!$P$12,IF(C366&lt;='SOLLECITAZ NASCOSTO'!$P$11,IF(C366&lt;='SOLLECITAZ NASCOSTO'!$P$10,IF(C366&lt;='SOLLECITAZ NASCOSTO'!$P$9,IF(C366&lt;='SOLLECITAZ NASCOSTO'!$P$8,IF(C366&lt;='SOLLECITAZ NASCOSTO'!$P$7,IF(C366&lt;='SOLLECITAZ NASCOSTO'!$P$6,IF(C366&lt;='SOLLECITAZ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paramento'!$G$110),55555)*(C366-C365)/IF(C366&lt;='SOLLECITAZ NASCOSTO'!$P$12,IF(C366&lt;='SOLLECITAZ NASCOSTO'!$P$11,IF(C366&lt;='SOLLECITAZ NASCOSTO'!$P$10,IF(C366&lt;='SOLLECITAZ NASCOSTO'!$P$9,IF(C366&lt;='SOLLECITAZ NASCOSTO'!$P$8,IF(C366&lt;='SOLLECITAZ NASCOSTO'!$P$7,IF(C366&lt;='SOLLECITAZ NASCOSTO'!$P$6,IF(C366&lt;='SOLLECITAZ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66" s="41">
        <f t="shared" si="120"/>
        <v>3.3300000000000159E-4</v>
      </c>
      <c r="Q366" s="41">
        <f t="shared" si="118"/>
        <v>1</v>
      </c>
      <c r="R366" s="434">
        <f t="shared" si="110"/>
        <v>3.638722528401765</v>
      </c>
      <c r="S366" s="45">
        <f t="shared" si="119"/>
        <v>3.638722528401765</v>
      </c>
      <c r="T366" s="205">
        <f t="shared" si="114"/>
        <v>1.3933390638591159</v>
      </c>
      <c r="U366" s="45">
        <f t="shared" si="116"/>
        <v>205.87482852320301</v>
      </c>
      <c r="V366" s="45">
        <f t="shared" si="117"/>
        <v>-279.4376327493456</v>
      </c>
      <c r="W366" s="488"/>
    </row>
    <row r="367" spans="1:23" s="421" customFormat="1" x14ac:dyDescent="0.25">
      <c r="A367" s="581">
        <f t="shared" si="111"/>
        <v>0.61277173740315782</v>
      </c>
      <c r="B367" s="31">
        <f t="shared" si="112"/>
        <v>335</v>
      </c>
      <c r="C367" s="434">
        <f>'SOLLECITAZ NASCOSTO'!$D$6/'SOLLECITAZ NASCOSTO'!$B$448*'SOLLECITAZ NASCOSTO'!B367</f>
        <v>3.6496169072293152</v>
      </c>
      <c r="D367" s="434">
        <f t="shared" si="113"/>
        <v>0.73277173740315782</v>
      </c>
      <c r="E367" s="434">
        <f t="shared" si="104"/>
        <v>0.61277173740315782</v>
      </c>
      <c r="F367" s="434">
        <f t="shared" si="105"/>
        <v>0.49608695596901053</v>
      </c>
      <c r="G367" s="434">
        <f t="shared" si="106"/>
        <v>0.1016087070618948</v>
      </c>
      <c r="H367" s="434">
        <f t="shared" si="121"/>
        <v>0</v>
      </c>
      <c r="I367" s="434">
        <v>0</v>
      </c>
      <c r="J367" s="127">
        <f t="shared" si="122"/>
        <v>0.20482035626883541</v>
      </c>
      <c r="K367" s="126">
        <f t="shared" si="109"/>
        <v>2.2413750832069104E-2</v>
      </c>
      <c r="L367" s="41">
        <f t="shared" si="123"/>
        <v>206.96224512909936</v>
      </c>
      <c r="M367" s="41">
        <f t="shared" si="115"/>
        <v>-281.68643448655831</v>
      </c>
      <c r="N367" s="41">
        <f>(IF(C366&lt;='SOLLECITAZ NASCOSTO'!$P$12,IF(C366&lt;='SOLLECITAZ NASCOSTO'!$P$11,IF(C366&lt;='SOLLECITAZ NASCOSTO'!$P$10,IF(C366&lt;='SOLLECITAZ NASCOSTO'!$P$9,IF(C366&lt;='SOLLECITAZ NASCOSTO'!$P$8,IF(C366&lt;='SOLLECITAZ NASCOSTO'!$P$7,IF(C366&lt;='SOLLECITAZ NASCOSTO'!$P$6,IF(C366&lt;='SOLLECITAZ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paramento'!$G$111),55555)-IF(C366&lt;='SOLLECITAZ NASCOSTO'!$P$12,IF(C366&lt;='SOLLECITAZ NASCOSTO'!$P$11,IF(C366&lt;='SOLLECITAZ NASCOSTO'!$P$10,IF(C366&lt;='SOLLECITAZ NASCOSTO'!$P$9,IF(C366&lt;='SOLLECITAZ NASCOSTO'!$P$8,IF(C366&lt;='SOLLECITAZ NASCOSTO'!$P$7,IF(C366&lt;='SOLLECITAZ NASCOSTO'!$P$6,IF(C366&lt;='SOLLECITAZ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paramento'!$G$111))*(C366-IF(C366&lt;='SOLLECITAZ NASCOSTO'!$P$12,IF(C366&lt;='SOLLECITAZ NASCOSTO'!$P$11,IF(C366&lt;='SOLLECITAZ NASCOSTO'!$P$10,IF(C366&lt;='SOLLECITAZ NASCOSTO'!$P$9,IF(C366&lt;='SOLLECITAZ NASCOSTO'!$P$8,IF(C366&lt;='SOLLECITAZ NASCOSTO'!$P$7,IF(C366&lt;='SOLLECITAZ NASCOSTO'!$P$6,IF(C366&lt;='SOLLECITAZ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NASCOSTO'!$P$12))/IF(C366&lt;='SOLLECITAZ NASCOSTO'!$P$12,IF(C366&lt;='SOLLECITAZ NASCOSTO'!$P$11,IF(C366&lt;='SOLLECITAZ NASCOSTO'!$P$10,IF(C366&lt;='SOLLECITAZ NASCOSTO'!$P$9,IF(C366&lt;='SOLLECITAZ NASCOSTO'!$P$8,IF(C366&lt;='SOLLECITAZ NASCOSTO'!$P$7,IF(C366&lt;='SOLLECITAZ NASCOSTO'!$P$6,IF(C366&lt;='SOLLECITAZ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paramento'!$C$111)+IF(C366&lt;='SOLLECITAZ NASCOSTO'!$P$12,IF(C366&lt;='SOLLECITAZ NASCOSTO'!$P$11,IF(C366&lt;='SOLLECITAZ NASCOSTO'!$P$10,IF(C366&lt;='SOLLECITAZ NASCOSTO'!$P$9,IF(C366&lt;='SOLLECITAZ NASCOSTO'!$P$8,IF(C366&lt;='SOLLECITAZ NASCOSTO'!$P$7,IF(C366&lt;='SOLLECITAZ NASCOSTO'!$P$6,IF(C366&lt;='SOLLECITAZ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99.685404610791664</v>
      </c>
      <c r="O367" s="41">
        <f>IF(C367&lt;='SOLLECITAZ NASCOSTO'!$P$12,IF(C367&lt;='SOLLECITAZ NASCOSTO'!$P$11,IF(C367&lt;='SOLLECITAZ NASCOSTO'!$P$10,IF(C367&lt;='SOLLECITAZ NASCOSTO'!$P$9,IF(C367&lt;='SOLLECITAZ NASCOSTO'!$P$8,IF(C367&lt;='SOLLECITAZ NASCOSTO'!$P$7,IF(C367&lt;='SOLLECITAZ NASCOSTO'!$P$6,IF(C367&lt;='SOLLECITAZ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paramento'!$G$110),55555)*(C367-C366)/IF(C367&lt;='SOLLECITAZ NASCOSTO'!$P$12,IF(C367&lt;='SOLLECITAZ NASCOSTO'!$P$11,IF(C367&lt;='SOLLECITAZ NASCOSTO'!$P$10,IF(C367&lt;='SOLLECITAZ NASCOSTO'!$P$9,IF(C367&lt;='SOLLECITAZ NASCOSTO'!$P$8,IF(C367&lt;='SOLLECITAZ NASCOSTO'!$P$7,IF(C367&lt;='SOLLECITAZ NASCOSTO'!$P$6,IF(C367&lt;='SOLLECITAZ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67" s="41">
        <f t="shared" si="120"/>
        <v>3.3400000000000161E-4</v>
      </c>
      <c r="Q367" s="41">
        <f t="shared" si="118"/>
        <v>1</v>
      </c>
      <c r="R367" s="434">
        <f t="shared" si="110"/>
        <v>3.6496169072293152</v>
      </c>
      <c r="S367" s="45">
        <f t="shared" si="119"/>
        <v>3.6496169072293152</v>
      </c>
      <c r="T367" s="205">
        <f t="shared" si="114"/>
        <v>1.3824446850315657</v>
      </c>
      <c r="U367" s="45">
        <f t="shared" si="116"/>
        <v>206.96224512909936</v>
      </c>
      <c r="V367" s="45">
        <f t="shared" si="117"/>
        <v>-281.68643448655831</v>
      </c>
      <c r="W367" s="488"/>
    </row>
    <row r="368" spans="1:23" s="421" customFormat="1" x14ac:dyDescent="0.25">
      <c r="A368" s="581">
        <f t="shared" si="111"/>
        <v>0.61434258015126708</v>
      </c>
      <c r="B368" s="31">
        <f t="shared" si="112"/>
        <v>336</v>
      </c>
      <c r="C368" s="434">
        <f>'SOLLECITAZ NASCOSTO'!$D$6/'SOLLECITAZ NASCOSTO'!$B$448*'SOLLECITAZ NASCOSTO'!B368</f>
        <v>3.6605112860568654</v>
      </c>
      <c r="D368" s="434">
        <f t="shared" si="113"/>
        <v>0.73434258015126708</v>
      </c>
      <c r="E368" s="434">
        <f t="shared" si="104"/>
        <v>0.61434258015126708</v>
      </c>
      <c r="F368" s="434">
        <f t="shared" si="105"/>
        <v>0.49658962564840547</v>
      </c>
      <c r="G368" s="434">
        <f t="shared" si="106"/>
        <v>0.10197744400371522</v>
      </c>
      <c r="H368" s="434">
        <f t="shared" si="121"/>
        <v>0</v>
      </c>
      <c r="I368" s="434">
        <v>0</v>
      </c>
      <c r="J368" s="127">
        <f t="shared" si="122"/>
        <v>0.20535556672284797</v>
      </c>
      <c r="K368" s="126">
        <f t="shared" si="109"/>
        <v>2.2554136332913106E-2</v>
      </c>
      <c r="L368" s="41">
        <f t="shared" si="123"/>
        <v>208.0524738239732</v>
      </c>
      <c r="M368" s="41">
        <f t="shared" si="115"/>
        <v>-283.94709827020034</v>
      </c>
      <c r="N368" s="41">
        <f>(IF(C367&lt;='SOLLECITAZ NASCOSTO'!$P$12,IF(C367&lt;='SOLLECITAZ NASCOSTO'!$P$11,IF(C367&lt;='SOLLECITAZ NASCOSTO'!$P$10,IF(C367&lt;='SOLLECITAZ NASCOSTO'!$P$9,IF(C367&lt;='SOLLECITAZ NASCOSTO'!$P$8,IF(C367&lt;='SOLLECITAZ NASCOSTO'!$P$7,IF(C367&lt;='SOLLECITAZ NASCOSTO'!$P$6,IF(C367&lt;='SOLLECITAZ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paramento'!$G$111),55555)-IF(C367&lt;='SOLLECITAZ NASCOSTO'!$P$12,IF(C367&lt;='SOLLECITAZ NASCOSTO'!$P$11,IF(C367&lt;='SOLLECITAZ NASCOSTO'!$P$10,IF(C367&lt;='SOLLECITAZ NASCOSTO'!$P$9,IF(C367&lt;='SOLLECITAZ NASCOSTO'!$P$8,IF(C367&lt;='SOLLECITAZ NASCOSTO'!$P$7,IF(C367&lt;='SOLLECITAZ NASCOSTO'!$P$6,IF(C367&lt;='SOLLECITAZ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paramento'!$G$111))*(C367-IF(C367&lt;='SOLLECITAZ NASCOSTO'!$P$12,IF(C367&lt;='SOLLECITAZ NASCOSTO'!$P$11,IF(C367&lt;='SOLLECITAZ NASCOSTO'!$P$10,IF(C367&lt;='SOLLECITAZ NASCOSTO'!$P$9,IF(C367&lt;='SOLLECITAZ NASCOSTO'!$P$8,IF(C367&lt;='SOLLECITAZ NASCOSTO'!$P$7,IF(C367&lt;='SOLLECITAZ NASCOSTO'!$P$6,IF(C367&lt;='SOLLECITAZ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NASCOSTO'!$P$12))/IF(C367&lt;='SOLLECITAZ NASCOSTO'!$P$12,IF(C367&lt;='SOLLECITAZ NASCOSTO'!$P$11,IF(C367&lt;='SOLLECITAZ NASCOSTO'!$P$10,IF(C367&lt;='SOLLECITAZ NASCOSTO'!$P$9,IF(C367&lt;='SOLLECITAZ NASCOSTO'!$P$8,IF(C367&lt;='SOLLECITAZ NASCOSTO'!$P$7,IF(C367&lt;='SOLLECITAZ NASCOSTO'!$P$6,IF(C367&lt;='SOLLECITAZ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paramento'!$C$111)+IF(C367&lt;='SOLLECITAZ NASCOSTO'!$P$12,IF(C367&lt;='SOLLECITAZ NASCOSTO'!$P$11,IF(C367&lt;='SOLLECITAZ NASCOSTO'!$P$10,IF(C367&lt;='SOLLECITAZ NASCOSTO'!$P$9,IF(C367&lt;='SOLLECITAZ NASCOSTO'!$P$8,IF(C367&lt;='SOLLECITAZ NASCOSTO'!$P$7,IF(C367&lt;='SOLLECITAZ NASCOSTO'!$P$6,IF(C367&lt;='SOLLECITAZ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99.943527540241092</v>
      </c>
      <c r="O368" s="41">
        <f>IF(C368&lt;='SOLLECITAZ NASCOSTO'!$P$12,IF(C368&lt;='SOLLECITAZ NASCOSTO'!$P$11,IF(C368&lt;='SOLLECITAZ NASCOSTO'!$P$10,IF(C368&lt;='SOLLECITAZ NASCOSTO'!$P$9,IF(C368&lt;='SOLLECITAZ NASCOSTO'!$P$8,IF(C368&lt;='SOLLECITAZ NASCOSTO'!$P$7,IF(C368&lt;='SOLLECITAZ NASCOSTO'!$P$6,IF(C368&lt;='SOLLECITAZ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paramento'!$G$110),55555)*(C368-C367)/IF(C368&lt;='SOLLECITAZ NASCOSTO'!$P$12,IF(C368&lt;='SOLLECITAZ NASCOSTO'!$P$11,IF(C368&lt;='SOLLECITAZ NASCOSTO'!$P$10,IF(C368&lt;='SOLLECITAZ NASCOSTO'!$P$9,IF(C368&lt;='SOLLECITAZ NASCOSTO'!$P$8,IF(C368&lt;='SOLLECITAZ NASCOSTO'!$P$7,IF(C368&lt;='SOLLECITAZ NASCOSTO'!$P$6,IF(C368&lt;='SOLLECITAZ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68" s="41">
        <f t="shared" si="120"/>
        <v>3.3500000000000164E-4</v>
      </c>
      <c r="Q368" s="41">
        <f t="shared" si="118"/>
        <v>1</v>
      </c>
      <c r="R368" s="434">
        <f t="shared" si="110"/>
        <v>3.6605112860568654</v>
      </c>
      <c r="S368" s="45">
        <f t="shared" si="119"/>
        <v>3.6605112860568654</v>
      </c>
      <c r="T368" s="205">
        <f t="shared" si="114"/>
        <v>1.3715503062040155</v>
      </c>
      <c r="U368" s="45">
        <f t="shared" si="116"/>
        <v>208.0524738239732</v>
      </c>
      <c r="V368" s="45">
        <f t="shared" si="117"/>
        <v>-283.94709827020034</v>
      </c>
      <c r="W368" s="488"/>
    </row>
    <row r="369" spans="1:23" s="421" customFormat="1" x14ac:dyDescent="0.25">
      <c r="A369" s="581">
        <f t="shared" si="111"/>
        <v>0.61591342289937623</v>
      </c>
      <c r="B369" s="31">
        <f t="shared" si="112"/>
        <v>337</v>
      </c>
      <c r="C369" s="434">
        <f>'SOLLECITAZ NASCOSTO'!$D$6/'SOLLECITAZ NASCOSTO'!$B$448*'SOLLECITAZ NASCOSTO'!B369</f>
        <v>3.6714056648844156</v>
      </c>
      <c r="D369" s="434">
        <f t="shared" si="113"/>
        <v>0.73591342289937622</v>
      </c>
      <c r="E369" s="434">
        <f t="shared" si="104"/>
        <v>0.61591342289937623</v>
      </c>
      <c r="F369" s="434">
        <f t="shared" si="105"/>
        <v>0.49709229532780042</v>
      </c>
      <c r="G369" s="434">
        <f t="shared" si="106"/>
        <v>0.10234697056055619</v>
      </c>
      <c r="H369" s="434">
        <f t="shared" si="121"/>
        <v>0</v>
      </c>
      <c r="I369" s="434">
        <v>0</v>
      </c>
      <c r="J369" s="127">
        <f t="shared" si="122"/>
        <v>0.20589128321344219</v>
      </c>
      <c r="K369" s="126">
        <f t="shared" si="109"/>
        <v>2.2695072460126687E-2</v>
      </c>
      <c r="L369" s="41">
        <f t="shared" si="123"/>
        <v>209.14551460782454</v>
      </c>
      <c r="M369" s="41">
        <f t="shared" si="115"/>
        <v>-286.2196547362343</v>
      </c>
      <c r="N369" s="41">
        <f>(IF(C368&lt;='SOLLECITAZ NASCOSTO'!$P$12,IF(C368&lt;='SOLLECITAZ NASCOSTO'!$P$11,IF(C368&lt;='SOLLECITAZ NASCOSTO'!$P$10,IF(C368&lt;='SOLLECITAZ NASCOSTO'!$P$9,IF(C368&lt;='SOLLECITAZ NASCOSTO'!$P$8,IF(C368&lt;='SOLLECITAZ NASCOSTO'!$P$7,IF(C368&lt;='SOLLECITAZ NASCOSTO'!$P$6,IF(C368&lt;='SOLLECITAZ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paramento'!$G$111),55555)-IF(C368&lt;='SOLLECITAZ NASCOSTO'!$P$12,IF(C368&lt;='SOLLECITAZ NASCOSTO'!$P$11,IF(C368&lt;='SOLLECITAZ NASCOSTO'!$P$10,IF(C368&lt;='SOLLECITAZ NASCOSTO'!$P$9,IF(C368&lt;='SOLLECITAZ NASCOSTO'!$P$8,IF(C368&lt;='SOLLECITAZ NASCOSTO'!$P$7,IF(C368&lt;='SOLLECITAZ NASCOSTO'!$P$6,IF(C368&lt;='SOLLECITAZ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paramento'!$G$111))*(C368-IF(C368&lt;='SOLLECITAZ NASCOSTO'!$P$12,IF(C368&lt;='SOLLECITAZ NASCOSTO'!$P$11,IF(C368&lt;='SOLLECITAZ NASCOSTO'!$P$10,IF(C368&lt;='SOLLECITAZ NASCOSTO'!$P$9,IF(C368&lt;='SOLLECITAZ NASCOSTO'!$P$8,IF(C368&lt;='SOLLECITAZ NASCOSTO'!$P$7,IF(C368&lt;='SOLLECITAZ NASCOSTO'!$P$6,IF(C368&lt;='SOLLECITAZ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NASCOSTO'!$P$12))/IF(C368&lt;='SOLLECITAZ NASCOSTO'!$P$12,IF(C368&lt;='SOLLECITAZ NASCOSTO'!$P$11,IF(C368&lt;='SOLLECITAZ NASCOSTO'!$P$10,IF(C368&lt;='SOLLECITAZ NASCOSTO'!$P$9,IF(C368&lt;='SOLLECITAZ NASCOSTO'!$P$8,IF(C368&lt;='SOLLECITAZ NASCOSTO'!$P$7,IF(C368&lt;='SOLLECITAZ NASCOSTO'!$P$6,IF(C368&lt;='SOLLECITAZ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paramento'!$C$111)+IF(C368&lt;='SOLLECITAZ NASCOSTO'!$P$12,IF(C368&lt;='SOLLECITAZ NASCOSTO'!$P$11,IF(C368&lt;='SOLLECITAZ NASCOSTO'!$P$10,IF(C368&lt;='SOLLECITAZ NASCOSTO'!$P$9,IF(C368&lt;='SOLLECITAZ NASCOSTO'!$P$8,IF(C368&lt;='SOLLECITAZ NASCOSTO'!$P$7,IF(C368&lt;='SOLLECITAZ NASCOSTO'!$P$6,IF(C368&lt;='SOLLECITAZ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100.20165046969049</v>
      </c>
      <c r="O369" s="41">
        <f>IF(C369&lt;='SOLLECITAZ NASCOSTO'!$P$12,IF(C369&lt;='SOLLECITAZ NASCOSTO'!$P$11,IF(C369&lt;='SOLLECITAZ NASCOSTO'!$P$10,IF(C369&lt;='SOLLECITAZ NASCOSTO'!$P$9,IF(C369&lt;='SOLLECITAZ NASCOSTO'!$P$8,IF(C369&lt;='SOLLECITAZ NASCOSTO'!$P$7,IF(C369&lt;='SOLLECITAZ NASCOSTO'!$P$6,IF(C369&lt;='SOLLECITAZ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paramento'!$G$110),55555)*(C369-C368)/IF(C369&lt;='SOLLECITAZ NASCOSTO'!$P$12,IF(C369&lt;='SOLLECITAZ NASCOSTO'!$P$11,IF(C369&lt;='SOLLECITAZ NASCOSTO'!$P$10,IF(C369&lt;='SOLLECITAZ NASCOSTO'!$P$9,IF(C369&lt;='SOLLECITAZ NASCOSTO'!$P$8,IF(C369&lt;='SOLLECITAZ NASCOSTO'!$P$7,IF(C369&lt;='SOLLECITAZ NASCOSTO'!$P$6,IF(C369&lt;='SOLLECITAZ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69" s="41">
        <f t="shared" si="120"/>
        <v>3.3600000000000166E-4</v>
      </c>
      <c r="Q369" s="41">
        <f t="shared" si="118"/>
        <v>1</v>
      </c>
      <c r="R369" s="434">
        <f t="shared" si="110"/>
        <v>3.6714056648844156</v>
      </c>
      <c r="S369" s="45">
        <f t="shared" si="119"/>
        <v>3.6714056648844156</v>
      </c>
      <c r="T369" s="205">
        <f t="shared" si="114"/>
        <v>1.3606559273764653</v>
      </c>
      <c r="U369" s="45">
        <f t="shared" si="116"/>
        <v>209.14551460782454</v>
      </c>
      <c r="V369" s="45">
        <f t="shared" si="117"/>
        <v>-286.2196547362343</v>
      </c>
      <c r="W369" s="488"/>
    </row>
    <row r="370" spans="1:23" s="421" customFormat="1" x14ac:dyDescent="0.25">
      <c r="A370" s="581">
        <f t="shared" si="111"/>
        <v>0.61748426564748538</v>
      </c>
      <c r="B370" s="31">
        <f t="shared" si="112"/>
        <v>338</v>
      </c>
      <c r="C370" s="434">
        <f>'SOLLECITAZ NASCOSTO'!$D$6/'SOLLECITAZ NASCOSTO'!$B$448*'SOLLECITAZ NASCOSTO'!B370</f>
        <v>3.6823000437119657</v>
      </c>
      <c r="D370" s="434">
        <f t="shared" si="113"/>
        <v>0.73748426564748537</v>
      </c>
      <c r="E370" s="434">
        <f t="shared" si="104"/>
        <v>0.61748426564748538</v>
      </c>
      <c r="F370" s="434">
        <f t="shared" si="105"/>
        <v>0.4975949650071953</v>
      </c>
      <c r="G370" s="434">
        <f t="shared" si="106"/>
        <v>0.10271728673241773</v>
      </c>
      <c r="H370" s="434">
        <f t="shared" si="121"/>
        <v>0</v>
      </c>
      <c r="I370" s="434">
        <v>0</v>
      </c>
      <c r="J370" s="127">
        <f t="shared" si="122"/>
        <v>0.20642750420702594</v>
      </c>
      <c r="K370" s="126">
        <f t="shared" si="109"/>
        <v>2.2836560021947123E-2</v>
      </c>
      <c r="L370" s="41">
        <f t="shared" si="123"/>
        <v>210.24136748065337</v>
      </c>
      <c r="M370" s="41">
        <f t="shared" si="115"/>
        <v>-288.50413452062281</v>
      </c>
      <c r="N370" s="41">
        <f>(IF(C369&lt;='SOLLECITAZ NASCOSTO'!$P$12,IF(C369&lt;='SOLLECITAZ NASCOSTO'!$P$11,IF(C369&lt;='SOLLECITAZ NASCOSTO'!$P$10,IF(C369&lt;='SOLLECITAZ NASCOSTO'!$P$9,IF(C369&lt;='SOLLECITAZ NASCOSTO'!$P$8,IF(C369&lt;='SOLLECITAZ NASCOSTO'!$P$7,IF(C369&lt;='SOLLECITAZ NASCOSTO'!$P$6,IF(C369&lt;='SOLLECITAZ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paramento'!$G$111),55555)-IF(C369&lt;='SOLLECITAZ NASCOSTO'!$P$12,IF(C369&lt;='SOLLECITAZ NASCOSTO'!$P$11,IF(C369&lt;='SOLLECITAZ NASCOSTO'!$P$10,IF(C369&lt;='SOLLECITAZ NASCOSTO'!$P$9,IF(C369&lt;='SOLLECITAZ NASCOSTO'!$P$8,IF(C369&lt;='SOLLECITAZ NASCOSTO'!$P$7,IF(C369&lt;='SOLLECITAZ NASCOSTO'!$P$6,IF(C369&lt;='SOLLECITAZ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paramento'!$G$111))*(C369-IF(C369&lt;='SOLLECITAZ NASCOSTO'!$P$12,IF(C369&lt;='SOLLECITAZ NASCOSTO'!$P$11,IF(C369&lt;='SOLLECITAZ NASCOSTO'!$P$10,IF(C369&lt;='SOLLECITAZ NASCOSTO'!$P$9,IF(C369&lt;='SOLLECITAZ NASCOSTO'!$P$8,IF(C369&lt;='SOLLECITAZ NASCOSTO'!$P$7,IF(C369&lt;='SOLLECITAZ NASCOSTO'!$P$6,IF(C369&lt;='SOLLECITAZ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NASCOSTO'!$P$12))/IF(C369&lt;='SOLLECITAZ NASCOSTO'!$P$12,IF(C369&lt;='SOLLECITAZ NASCOSTO'!$P$11,IF(C369&lt;='SOLLECITAZ NASCOSTO'!$P$10,IF(C369&lt;='SOLLECITAZ NASCOSTO'!$P$9,IF(C369&lt;='SOLLECITAZ NASCOSTO'!$P$8,IF(C369&lt;='SOLLECITAZ NASCOSTO'!$P$7,IF(C369&lt;='SOLLECITAZ NASCOSTO'!$P$6,IF(C369&lt;='SOLLECITAZ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paramento'!$C$111)+IF(C369&lt;='SOLLECITAZ NASCOSTO'!$P$12,IF(C369&lt;='SOLLECITAZ NASCOSTO'!$P$11,IF(C369&lt;='SOLLECITAZ NASCOSTO'!$P$10,IF(C369&lt;='SOLLECITAZ NASCOSTO'!$P$9,IF(C369&lt;='SOLLECITAZ NASCOSTO'!$P$8,IF(C369&lt;='SOLLECITAZ NASCOSTO'!$P$7,IF(C369&lt;='SOLLECITAZ NASCOSTO'!$P$6,IF(C369&lt;='SOLLECITAZ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100.45977339913989</v>
      </c>
      <c r="O370" s="41">
        <f>IF(C370&lt;='SOLLECITAZ NASCOSTO'!$P$12,IF(C370&lt;='SOLLECITAZ NASCOSTO'!$P$11,IF(C370&lt;='SOLLECITAZ NASCOSTO'!$P$10,IF(C370&lt;='SOLLECITAZ NASCOSTO'!$P$9,IF(C370&lt;='SOLLECITAZ NASCOSTO'!$P$8,IF(C370&lt;='SOLLECITAZ NASCOSTO'!$P$7,IF(C370&lt;='SOLLECITAZ NASCOSTO'!$P$6,IF(C370&lt;='SOLLECITAZ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paramento'!$G$110),55555)*(C370-C369)/IF(C370&lt;='SOLLECITAZ NASCOSTO'!$P$12,IF(C370&lt;='SOLLECITAZ NASCOSTO'!$P$11,IF(C370&lt;='SOLLECITAZ NASCOSTO'!$P$10,IF(C370&lt;='SOLLECITAZ NASCOSTO'!$P$9,IF(C370&lt;='SOLLECITAZ NASCOSTO'!$P$8,IF(C370&lt;='SOLLECITAZ NASCOSTO'!$P$7,IF(C370&lt;='SOLLECITAZ NASCOSTO'!$P$6,IF(C370&lt;='SOLLECITAZ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70" s="41">
        <f t="shared" si="120"/>
        <v>3.3700000000000169E-4</v>
      </c>
      <c r="Q370" s="41">
        <f t="shared" si="118"/>
        <v>1</v>
      </c>
      <c r="R370" s="434">
        <f t="shared" si="110"/>
        <v>3.6823000437119657</v>
      </c>
      <c r="S370" s="45">
        <f t="shared" si="119"/>
        <v>3.6823000437119657</v>
      </c>
      <c r="T370" s="205">
        <f t="shared" si="114"/>
        <v>1.3497615485489152</v>
      </c>
      <c r="U370" s="45">
        <f t="shared" si="116"/>
        <v>210.24136748065337</v>
      </c>
      <c r="V370" s="45">
        <f t="shared" si="117"/>
        <v>-288.50413452062281</v>
      </c>
      <c r="W370" s="488"/>
    </row>
    <row r="371" spans="1:23" s="421" customFormat="1" x14ac:dyDescent="0.25">
      <c r="A371" s="581">
        <f t="shared" si="111"/>
        <v>0.61905510839559452</v>
      </c>
      <c r="B371" s="31">
        <f t="shared" si="112"/>
        <v>339</v>
      </c>
      <c r="C371" s="434">
        <f>'SOLLECITAZ NASCOSTO'!$D$6/'SOLLECITAZ NASCOSTO'!$B$448*'SOLLECITAZ NASCOSTO'!B371</f>
        <v>3.6931944225395159</v>
      </c>
      <c r="D371" s="434">
        <f t="shared" si="113"/>
        <v>0.73905510839559452</v>
      </c>
      <c r="E371" s="434">
        <f t="shared" si="104"/>
        <v>0.61905510839559452</v>
      </c>
      <c r="F371" s="434">
        <f t="shared" si="105"/>
        <v>0.49809763468659024</v>
      </c>
      <c r="G371" s="434">
        <f t="shared" si="106"/>
        <v>0.10308839251929984</v>
      </c>
      <c r="H371" s="434">
        <f t="shared" si="121"/>
        <v>0</v>
      </c>
      <c r="I371" s="434">
        <v>0</v>
      </c>
      <c r="J371" s="127">
        <f t="shared" si="122"/>
        <v>0.20696422817619772</v>
      </c>
      <c r="K371" s="126">
        <f t="shared" si="109"/>
        <v>2.2978599825852517E-2</v>
      </c>
      <c r="L371" s="41">
        <f t="shared" si="123"/>
        <v>211.34003244245972</v>
      </c>
      <c r="M371" s="41">
        <f t="shared" si="115"/>
        <v>-290.80056825932849</v>
      </c>
      <c r="N371" s="41">
        <f>(IF(C370&lt;='SOLLECITAZ NASCOSTO'!$P$12,IF(C370&lt;='SOLLECITAZ NASCOSTO'!$P$11,IF(C370&lt;='SOLLECITAZ NASCOSTO'!$P$10,IF(C370&lt;='SOLLECITAZ NASCOSTO'!$P$9,IF(C370&lt;='SOLLECITAZ NASCOSTO'!$P$8,IF(C370&lt;='SOLLECITAZ NASCOSTO'!$P$7,IF(C370&lt;='SOLLECITAZ NASCOSTO'!$P$6,IF(C370&lt;='SOLLECITAZ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paramento'!$G$111),55555)-IF(C370&lt;='SOLLECITAZ NASCOSTO'!$P$12,IF(C370&lt;='SOLLECITAZ NASCOSTO'!$P$11,IF(C370&lt;='SOLLECITAZ NASCOSTO'!$P$10,IF(C370&lt;='SOLLECITAZ NASCOSTO'!$P$9,IF(C370&lt;='SOLLECITAZ NASCOSTO'!$P$8,IF(C370&lt;='SOLLECITAZ NASCOSTO'!$P$7,IF(C370&lt;='SOLLECITAZ NASCOSTO'!$P$6,IF(C370&lt;='SOLLECITAZ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paramento'!$G$111))*(C370-IF(C370&lt;='SOLLECITAZ NASCOSTO'!$P$12,IF(C370&lt;='SOLLECITAZ NASCOSTO'!$P$11,IF(C370&lt;='SOLLECITAZ NASCOSTO'!$P$10,IF(C370&lt;='SOLLECITAZ NASCOSTO'!$P$9,IF(C370&lt;='SOLLECITAZ NASCOSTO'!$P$8,IF(C370&lt;='SOLLECITAZ NASCOSTO'!$P$7,IF(C370&lt;='SOLLECITAZ NASCOSTO'!$P$6,IF(C370&lt;='SOLLECITAZ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NASCOSTO'!$P$12))/IF(C370&lt;='SOLLECITAZ NASCOSTO'!$P$12,IF(C370&lt;='SOLLECITAZ NASCOSTO'!$P$11,IF(C370&lt;='SOLLECITAZ NASCOSTO'!$P$10,IF(C370&lt;='SOLLECITAZ NASCOSTO'!$P$9,IF(C370&lt;='SOLLECITAZ NASCOSTO'!$P$8,IF(C370&lt;='SOLLECITAZ NASCOSTO'!$P$7,IF(C370&lt;='SOLLECITAZ NASCOSTO'!$P$6,IF(C370&lt;='SOLLECITAZ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paramento'!$C$111)+IF(C370&lt;='SOLLECITAZ NASCOSTO'!$P$12,IF(C370&lt;='SOLLECITAZ NASCOSTO'!$P$11,IF(C370&lt;='SOLLECITAZ NASCOSTO'!$P$10,IF(C370&lt;='SOLLECITAZ NASCOSTO'!$P$9,IF(C370&lt;='SOLLECITAZ NASCOSTO'!$P$8,IF(C370&lt;='SOLLECITAZ NASCOSTO'!$P$7,IF(C370&lt;='SOLLECITAZ NASCOSTO'!$P$6,IF(C370&lt;='SOLLECITAZ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100.71789632858929</v>
      </c>
      <c r="O371" s="41">
        <f>IF(C371&lt;='SOLLECITAZ NASCOSTO'!$P$12,IF(C371&lt;='SOLLECITAZ NASCOSTO'!$P$11,IF(C371&lt;='SOLLECITAZ NASCOSTO'!$P$10,IF(C371&lt;='SOLLECITAZ NASCOSTO'!$P$9,IF(C371&lt;='SOLLECITAZ NASCOSTO'!$P$8,IF(C371&lt;='SOLLECITAZ NASCOSTO'!$P$7,IF(C371&lt;='SOLLECITAZ NASCOSTO'!$P$6,IF(C371&lt;='SOLLECITAZ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paramento'!$G$110),55555)*(C371-C370)/IF(C371&lt;='SOLLECITAZ NASCOSTO'!$P$12,IF(C371&lt;='SOLLECITAZ NASCOSTO'!$P$11,IF(C371&lt;='SOLLECITAZ NASCOSTO'!$P$10,IF(C371&lt;='SOLLECITAZ NASCOSTO'!$P$9,IF(C371&lt;='SOLLECITAZ NASCOSTO'!$P$8,IF(C371&lt;='SOLLECITAZ NASCOSTO'!$P$7,IF(C371&lt;='SOLLECITAZ NASCOSTO'!$P$6,IF(C371&lt;='SOLLECITAZ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71" s="41">
        <f t="shared" si="120"/>
        <v>3.3800000000000171E-4</v>
      </c>
      <c r="Q371" s="41">
        <f t="shared" si="118"/>
        <v>1</v>
      </c>
      <c r="R371" s="434">
        <f t="shared" si="110"/>
        <v>3.6931944225395159</v>
      </c>
      <c r="S371" s="45">
        <f t="shared" si="119"/>
        <v>3.6931944225395159</v>
      </c>
      <c r="T371" s="205">
        <f t="shared" si="114"/>
        <v>1.338867169721365</v>
      </c>
      <c r="U371" s="45">
        <f t="shared" si="116"/>
        <v>211.34003244245972</v>
      </c>
      <c r="V371" s="45">
        <f t="shared" si="117"/>
        <v>-290.80056825932849</v>
      </c>
      <c r="W371" s="488"/>
    </row>
    <row r="372" spans="1:23" s="421" customFormat="1" x14ac:dyDescent="0.25">
      <c r="A372" s="581">
        <f t="shared" si="111"/>
        <v>0.62062595114370367</v>
      </c>
      <c r="B372" s="31">
        <f t="shared" si="112"/>
        <v>340</v>
      </c>
      <c r="C372" s="434">
        <f>'SOLLECITAZ NASCOSTO'!$D$6/'SOLLECITAZ NASCOSTO'!$B$448*'SOLLECITAZ NASCOSTO'!B372</f>
        <v>3.7040888013670661</v>
      </c>
      <c r="D372" s="434">
        <f t="shared" si="113"/>
        <v>0.74062595114370366</v>
      </c>
      <c r="E372" s="434">
        <f t="shared" si="104"/>
        <v>0.62062595114370367</v>
      </c>
      <c r="F372" s="434">
        <f t="shared" si="105"/>
        <v>0.49860030436598518</v>
      </c>
      <c r="G372" s="434">
        <f t="shared" si="106"/>
        <v>0.10346028792120253</v>
      </c>
      <c r="H372" s="434">
        <f t="shared" si="121"/>
        <v>0</v>
      </c>
      <c r="I372" s="434">
        <v>0</v>
      </c>
      <c r="J372" s="127">
        <f t="shared" si="122"/>
        <v>0.20750145359971556</v>
      </c>
      <c r="K372" s="126">
        <f t="shared" si="109"/>
        <v>2.3121192678565709E-2</v>
      </c>
      <c r="L372" s="41">
        <f t="shared" si="123"/>
        <v>212.44150949324356</v>
      </c>
      <c r="M372" s="41">
        <f t="shared" si="115"/>
        <v>-293.10898658831394</v>
      </c>
      <c r="N372" s="41">
        <f>(IF(C371&lt;='SOLLECITAZ NASCOSTO'!$P$12,IF(C371&lt;='SOLLECITAZ NASCOSTO'!$P$11,IF(C371&lt;='SOLLECITAZ NASCOSTO'!$P$10,IF(C371&lt;='SOLLECITAZ NASCOSTO'!$P$9,IF(C371&lt;='SOLLECITAZ NASCOSTO'!$P$8,IF(C371&lt;='SOLLECITAZ NASCOSTO'!$P$7,IF(C371&lt;='SOLLECITAZ NASCOSTO'!$P$6,IF(C371&lt;='SOLLECITAZ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paramento'!$G$111),55555)-IF(C371&lt;='SOLLECITAZ NASCOSTO'!$P$12,IF(C371&lt;='SOLLECITAZ NASCOSTO'!$P$11,IF(C371&lt;='SOLLECITAZ NASCOSTO'!$P$10,IF(C371&lt;='SOLLECITAZ NASCOSTO'!$P$9,IF(C371&lt;='SOLLECITAZ NASCOSTO'!$P$8,IF(C371&lt;='SOLLECITAZ NASCOSTO'!$P$7,IF(C371&lt;='SOLLECITAZ NASCOSTO'!$P$6,IF(C371&lt;='SOLLECITAZ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paramento'!$G$111))*(C371-IF(C371&lt;='SOLLECITAZ NASCOSTO'!$P$12,IF(C371&lt;='SOLLECITAZ NASCOSTO'!$P$11,IF(C371&lt;='SOLLECITAZ NASCOSTO'!$P$10,IF(C371&lt;='SOLLECITAZ NASCOSTO'!$P$9,IF(C371&lt;='SOLLECITAZ NASCOSTO'!$P$8,IF(C371&lt;='SOLLECITAZ NASCOSTO'!$P$7,IF(C371&lt;='SOLLECITAZ NASCOSTO'!$P$6,IF(C371&lt;='SOLLECITAZ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NASCOSTO'!$P$12))/IF(C371&lt;='SOLLECITAZ NASCOSTO'!$P$12,IF(C371&lt;='SOLLECITAZ NASCOSTO'!$P$11,IF(C371&lt;='SOLLECITAZ NASCOSTO'!$P$10,IF(C371&lt;='SOLLECITAZ NASCOSTO'!$P$9,IF(C371&lt;='SOLLECITAZ NASCOSTO'!$P$8,IF(C371&lt;='SOLLECITAZ NASCOSTO'!$P$7,IF(C371&lt;='SOLLECITAZ NASCOSTO'!$P$6,IF(C371&lt;='SOLLECITAZ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paramento'!$C$111)+IF(C371&lt;='SOLLECITAZ NASCOSTO'!$P$12,IF(C371&lt;='SOLLECITAZ NASCOSTO'!$P$11,IF(C371&lt;='SOLLECITAZ NASCOSTO'!$P$10,IF(C371&lt;='SOLLECITAZ NASCOSTO'!$P$9,IF(C371&lt;='SOLLECITAZ NASCOSTO'!$P$8,IF(C371&lt;='SOLLECITAZ NASCOSTO'!$P$7,IF(C371&lt;='SOLLECITAZ NASCOSTO'!$P$6,IF(C371&lt;='SOLLECITAZ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100.97601925803872</v>
      </c>
      <c r="O372" s="41">
        <f>IF(C372&lt;='SOLLECITAZ NASCOSTO'!$P$12,IF(C372&lt;='SOLLECITAZ NASCOSTO'!$P$11,IF(C372&lt;='SOLLECITAZ NASCOSTO'!$P$10,IF(C372&lt;='SOLLECITAZ NASCOSTO'!$P$9,IF(C372&lt;='SOLLECITAZ NASCOSTO'!$P$8,IF(C372&lt;='SOLLECITAZ NASCOSTO'!$P$7,IF(C372&lt;='SOLLECITAZ NASCOSTO'!$P$6,IF(C372&lt;='SOLLECITAZ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paramento'!$G$110),55555)*(C372-C371)/IF(C372&lt;='SOLLECITAZ NASCOSTO'!$P$12,IF(C372&lt;='SOLLECITAZ NASCOSTO'!$P$11,IF(C372&lt;='SOLLECITAZ NASCOSTO'!$P$10,IF(C372&lt;='SOLLECITAZ NASCOSTO'!$P$9,IF(C372&lt;='SOLLECITAZ NASCOSTO'!$P$8,IF(C372&lt;='SOLLECITAZ NASCOSTO'!$P$7,IF(C372&lt;='SOLLECITAZ NASCOSTO'!$P$6,IF(C372&lt;='SOLLECITAZ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72" s="41">
        <f t="shared" si="120"/>
        <v>3.3900000000000173E-4</v>
      </c>
      <c r="Q372" s="41">
        <f t="shared" si="118"/>
        <v>1</v>
      </c>
      <c r="R372" s="434">
        <f t="shared" si="110"/>
        <v>3.7040888013670661</v>
      </c>
      <c r="S372" s="45">
        <f t="shared" si="119"/>
        <v>3.7040888013670661</v>
      </c>
      <c r="T372" s="205">
        <f t="shared" si="114"/>
        <v>1.3279727908938148</v>
      </c>
      <c r="U372" s="45">
        <f t="shared" si="116"/>
        <v>212.44150949324356</v>
      </c>
      <c r="V372" s="45">
        <f t="shared" si="117"/>
        <v>-293.10898658831394</v>
      </c>
      <c r="W372" s="488"/>
    </row>
    <row r="373" spans="1:23" s="421" customFormat="1" x14ac:dyDescent="0.25">
      <c r="A373" s="581">
        <f t="shared" si="111"/>
        <v>0.62219679389181282</v>
      </c>
      <c r="B373" s="31">
        <f t="shared" si="112"/>
        <v>341</v>
      </c>
      <c r="C373" s="434">
        <f>'SOLLECITAZ NASCOSTO'!$D$6/'SOLLECITAZ NASCOSTO'!$B$448*'SOLLECITAZ NASCOSTO'!B373</f>
        <v>3.7149831801946163</v>
      </c>
      <c r="D373" s="434">
        <f t="shared" si="113"/>
        <v>0.74219679389181281</v>
      </c>
      <c r="E373" s="434">
        <f t="shared" si="104"/>
        <v>0.62219679389181282</v>
      </c>
      <c r="F373" s="434">
        <f t="shared" si="105"/>
        <v>0.49910297404538007</v>
      </c>
      <c r="G373" s="434">
        <f t="shared" si="106"/>
        <v>0.10383297293812578</v>
      </c>
      <c r="H373" s="434">
        <f t="shared" si="121"/>
        <v>0</v>
      </c>
      <c r="I373" s="434">
        <v>0</v>
      </c>
      <c r="J373" s="127">
        <f t="shared" si="122"/>
        <v>0.20803917896246588</v>
      </c>
      <c r="K373" s="126">
        <f t="shared" si="109"/>
        <v>2.3264339386057997E-2</v>
      </c>
      <c r="L373" s="41">
        <f t="shared" si="123"/>
        <v>213.54579863300489</v>
      </c>
      <c r="M373" s="41">
        <f t="shared" si="115"/>
        <v>-295.42942014354179</v>
      </c>
      <c r="N373" s="41">
        <f>(IF(C372&lt;='SOLLECITAZ NASCOSTO'!$P$12,IF(C372&lt;='SOLLECITAZ NASCOSTO'!$P$11,IF(C372&lt;='SOLLECITAZ NASCOSTO'!$P$10,IF(C372&lt;='SOLLECITAZ NASCOSTO'!$P$9,IF(C372&lt;='SOLLECITAZ NASCOSTO'!$P$8,IF(C372&lt;='SOLLECITAZ NASCOSTO'!$P$7,IF(C372&lt;='SOLLECITAZ NASCOSTO'!$P$6,IF(C372&lt;='SOLLECITAZ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paramento'!$G$111),55555)-IF(C372&lt;='SOLLECITAZ NASCOSTO'!$P$12,IF(C372&lt;='SOLLECITAZ NASCOSTO'!$P$11,IF(C372&lt;='SOLLECITAZ NASCOSTO'!$P$10,IF(C372&lt;='SOLLECITAZ NASCOSTO'!$P$9,IF(C372&lt;='SOLLECITAZ NASCOSTO'!$P$8,IF(C372&lt;='SOLLECITAZ NASCOSTO'!$P$7,IF(C372&lt;='SOLLECITAZ NASCOSTO'!$P$6,IF(C372&lt;='SOLLECITAZ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paramento'!$G$111))*(C372-IF(C372&lt;='SOLLECITAZ NASCOSTO'!$P$12,IF(C372&lt;='SOLLECITAZ NASCOSTO'!$P$11,IF(C372&lt;='SOLLECITAZ NASCOSTO'!$P$10,IF(C372&lt;='SOLLECITAZ NASCOSTO'!$P$9,IF(C372&lt;='SOLLECITAZ NASCOSTO'!$P$8,IF(C372&lt;='SOLLECITAZ NASCOSTO'!$P$7,IF(C372&lt;='SOLLECITAZ NASCOSTO'!$P$6,IF(C372&lt;='SOLLECITAZ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NASCOSTO'!$P$12))/IF(C372&lt;='SOLLECITAZ NASCOSTO'!$P$12,IF(C372&lt;='SOLLECITAZ NASCOSTO'!$P$11,IF(C372&lt;='SOLLECITAZ NASCOSTO'!$P$10,IF(C372&lt;='SOLLECITAZ NASCOSTO'!$P$9,IF(C372&lt;='SOLLECITAZ NASCOSTO'!$P$8,IF(C372&lt;='SOLLECITAZ NASCOSTO'!$P$7,IF(C372&lt;='SOLLECITAZ NASCOSTO'!$P$6,IF(C372&lt;='SOLLECITAZ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paramento'!$C$111)+IF(C372&lt;='SOLLECITAZ NASCOSTO'!$P$12,IF(C372&lt;='SOLLECITAZ NASCOSTO'!$P$11,IF(C372&lt;='SOLLECITAZ NASCOSTO'!$P$10,IF(C372&lt;='SOLLECITAZ NASCOSTO'!$P$9,IF(C372&lt;='SOLLECITAZ NASCOSTO'!$P$8,IF(C372&lt;='SOLLECITAZ NASCOSTO'!$P$7,IF(C372&lt;='SOLLECITAZ NASCOSTO'!$P$6,IF(C372&lt;='SOLLECITAZ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101.23414218748812</v>
      </c>
      <c r="O373" s="41">
        <f>IF(C373&lt;='SOLLECITAZ NASCOSTO'!$P$12,IF(C373&lt;='SOLLECITAZ NASCOSTO'!$P$11,IF(C373&lt;='SOLLECITAZ NASCOSTO'!$P$10,IF(C373&lt;='SOLLECITAZ NASCOSTO'!$P$9,IF(C373&lt;='SOLLECITAZ NASCOSTO'!$P$8,IF(C373&lt;='SOLLECITAZ NASCOSTO'!$P$7,IF(C373&lt;='SOLLECITAZ NASCOSTO'!$P$6,IF(C373&lt;='SOLLECITAZ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paramento'!$G$110),55555)*(C373-C372)/IF(C373&lt;='SOLLECITAZ NASCOSTO'!$P$12,IF(C373&lt;='SOLLECITAZ NASCOSTO'!$P$11,IF(C373&lt;='SOLLECITAZ NASCOSTO'!$P$10,IF(C373&lt;='SOLLECITAZ NASCOSTO'!$P$9,IF(C373&lt;='SOLLECITAZ NASCOSTO'!$P$8,IF(C373&lt;='SOLLECITAZ NASCOSTO'!$P$7,IF(C373&lt;='SOLLECITAZ NASCOSTO'!$P$6,IF(C373&lt;='SOLLECITAZ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73" s="41">
        <f t="shared" si="120"/>
        <v>3.4000000000000176E-4</v>
      </c>
      <c r="Q373" s="41">
        <f t="shared" si="118"/>
        <v>1</v>
      </c>
      <c r="R373" s="434">
        <f t="shared" si="110"/>
        <v>3.7149831801946163</v>
      </c>
      <c r="S373" s="45">
        <f t="shared" si="119"/>
        <v>3.7149831801946163</v>
      </c>
      <c r="T373" s="205">
        <f t="shared" si="114"/>
        <v>1.3170784120662646</v>
      </c>
      <c r="U373" s="45">
        <f t="shared" si="116"/>
        <v>213.54579863300489</v>
      </c>
      <c r="V373" s="45">
        <f t="shared" si="117"/>
        <v>-295.42942014354179</v>
      </c>
      <c r="W373" s="488"/>
    </row>
    <row r="374" spans="1:23" s="421" customFormat="1" x14ac:dyDescent="0.25">
      <c r="A374" s="581">
        <f t="shared" si="111"/>
        <v>0.62376763663992196</v>
      </c>
      <c r="B374" s="31">
        <f t="shared" si="112"/>
        <v>342</v>
      </c>
      <c r="C374" s="434">
        <f>'SOLLECITAZ NASCOSTO'!$D$6/'SOLLECITAZ NASCOSTO'!$B$448*'SOLLECITAZ NASCOSTO'!B374</f>
        <v>3.7258775590221664</v>
      </c>
      <c r="D374" s="434">
        <f t="shared" si="113"/>
        <v>0.74376763663992196</v>
      </c>
      <c r="E374" s="434">
        <f t="shared" si="104"/>
        <v>0.62376763663992196</v>
      </c>
      <c r="F374" s="434">
        <f t="shared" si="105"/>
        <v>0.49960564372477501</v>
      </c>
      <c r="G374" s="434">
        <f t="shared" si="106"/>
        <v>0.10420644757006961</v>
      </c>
      <c r="H374" s="434">
        <f t="shared" si="121"/>
        <v>0</v>
      </c>
      <c r="I374" s="434">
        <v>0</v>
      </c>
      <c r="J374" s="127">
        <f t="shared" si="122"/>
        <v>0.20857740275543268</v>
      </c>
      <c r="K374" s="126">
        <f t="shared" si="109"/>
        <v>2.3408040753552975E-2</v>
      </c>
      <c r="L374" s="41">
        <f t="shared" si="123"/>
        <v>214.65289986174372</v>
      </c>
      <c r="M374" s="41">
        <f t="shared" si="115"/>
        <v>-297.76189956097465</v>
      </c>
      <c r="N374" s="41">
        <f>(IF(C373&lt;='SOLLECITAZ NASCOSTO'!$P$12,IF(C373&lt;='SOLLECITAZ NASCOSTO'!$P$11,IF(C373&lt;='SOLLECITAZ NASCOSTO'!$P$10,IF(C373&lt;='SOLLECITAZ NASCOSTO'!$P$9,IF(C373&lt;='SOLLECITAZ NASCOSTO'!$P$8,IF(C373&lt;='SOLLECITAZ NASCOSTO'!$P$7,IF(C373&lt;='SOLLECITAZ NASCOSTO'!$P$6,IF(C373&lt;='SOLLECITAZ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paramento'!$G$111),55555)-IF(C373&lt;='SOLLECITAZ NASCOSTO'!$P$12,IF(C373&lt;='SOLLECITAZ NASCOSTO'!$P$11,IF(C373&lt;='SOLLECITAZ NASCOSTO'!$P$10,IF(C373&lt;='SOLLECITAZ NASCOSTO'!$P$9,IF(C373&lt;='SOLLECITAZ NASCOSTO'!$P$8,IF(C373&lt;='SOLLECITAZ NASCOSTO'!$P$7,IF(C373&lt;='SOLLECITAZ NASCOSTO'!$P$6,IF(C373&lt;='SOLLECITAZ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paramento'!$G$111))*(C373-IF(C373&lt;='SOLLECITAZ NASCOSTO'!$P$12,IF(C373&lt;='SOLLECITAZ NASCOSTO'!$P$11,IF(C373&lt;='SOLLECITAZ NASCOSTO'!$P$10,IF(C373&lt;='SOLLECITAZ NASCOSTO'!$P$9,IF(C373&lt;='SOLLECITAZ NASCOSTO'!$P$8,IF(C373&lt;='SOLLECITAZ NASCOSTO'!$P$7,IF(C373&lt;='SOLLECITAZ NASCOSTO'!$P$6,IF(C373&lt;='SOLLECITAZ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NASCOSTO'!$P$12))/IF(C373&lt;='SOLLECITAZ NASCOSTO'!$P$12,IF(C373&lt;='SOLLECITAZ NASCOSTO'!$P$11,IF(C373&lt;='SOLLECITAZ NASCOSTO'!$P$10,IF(C373&lt;='SOLLECITAZ NASCOSTO'!$P$9,IF(C373&lt;='SOLLECITAZ NASCOSTO'!$P$8,IF(C373&lt;='SOLLECITAZ NASCOSTO'!$P$7,IF(C373&lt;='SOLLECITAZ NASCOSTO'!$P$6,IF(C373&lt;='SOLLECITAZ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paramento'!$C$111)+IF(C373&lt;='SOLLECITAZ NASCOSTO'!$P$12,IF(C373&lt;='SOLLECITAZ NASCOSTO'!$P$11,IF(C373&lt;='SOLLECITAZ NASCOSTO'!$P$10,IF(C373&lt;='SOLLECITAZ NASCOSTO'!$P$9,IF(C373&lt;='SOLLECITAZ NASCOSTO'!$P$8,IF(C373&lt;='SOLLECITAZ NASCOSTO'!$P$7,IF(C373&lt;='SOLLECITAZ NASCOSTO'!$P$6,IF(C373&lt;='SOLLECITAZ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101.49226511693752</v>
      </c>
      <c r="O374" s="41">
        <f>IF(C374&lt;='SOLLECITAZ NASCOSTO'!$P$12,IF(C374&lt;='SOLLECITAZ NASCOSTO'!$P$11,IF(C374&lt;='SOLLECITAZ NASCOSTO'!$P$10,IF(C374&lt;='SOLLECITAZ NASCOSTO'!$P$9,IF(C374&lt;='SOLLECITAZ NASCOSTO'!$P$8,IF(C374&lt;='SOLLECITAZ NASCOSTO'!$P$7,IF(C374&lt;='SOLLECITAZ NASCOSTO'!$P$6,IF(C374&lt;='SOLLECITAZ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paramento'!$G$110),55555)*(C374-C373)/IF(C374&lt;='SOLLECITAZ NASCOSTO'!$P$12,IF(C374&lt;='SOLLECITAZ NASCOSTO'!$P$11,IF(C374&lt;='SOLLECITAZ NASCOSTO'!$P$10,IF(C374&lt;='SOLLECITAZ NASCOSTO'!$P$9,IF(C374&lt;='SOLLECITAZ NASCOSTO'!$P$8,IF(C374&lt;='SOLLECITAZ NASCOSTO'!$P$7,IF(C374&lt;='SOLLECITAZ NASCOSTO'!$P$6,IF(C374&lt;='SOLLECITAZ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74" s="41">
        <f t="shared" si="120"/>
        <v>3.4100000000000178E-4</v>
      </c>
      <c r="Q374" s="41">
        <f t="shared" si="118"/>
        <v>1</v>
      </c>
      <c r="R374" s="434">
        <f t="shared" si="110"/>
        <v>3.7258775590221664</v>
      </c>
      <c r="S374" s="45">
        <f t="shared" si="119"/>
        <v>3.7258775590221664</v>
      </c>
      <c r="T374" s="205">
        <f t="shared" si="114"/>
        <v>1.3061840332387145</v>
      </c>
      <c r="U374" s="45">
        <f t="shared" si="116"/>
        <v>214.65289986174372</v>
      </c>
      <c r="V374" s="45">
        <f t="shared" si="117"/>
        <v>-297.76189956097465</v>
      </c>
      <c r="W374" s="488"/>
    </row>
    <row r="375" spans="1:23" s="421" customFormat="1" x14ac:dyDescent="0.25">
      <c r="A375" s="581">
        <f t="shared" si="111"/>
        <v>0.62533847938803111</v>
      </c>
      <c r="B375" s="31">
        <f t="shared" si="112"/>
        <v>343</v>
      </c>
      <c r="C375" s="434">
        <f>'SOLLECITAZ NASCOSTO'!$D$6/'SOLLECITAZ NASCOSTO'!$B$448*'SOLLECITAZ NASCOSTO'!B375</f>
        <v>3.7367719378497166</v>
      </c>
      <c r="D375" s="434">
        <f t="shared" si="113"/>
        <v>0.74533847938803111</v>
      </c>
      <c r="E375" s="434">
        <f t="shared" si="104"/>
        <v>0.62533847938803111</v>
      </c>
      <c r="F375" s="434">
        <f t="shared" si="105"/>
        <v>0.50010831340416995</v>
      </c>
      <c r="G375" s="434">
        <f t="shared" si="106"/>
        <v>0.104580711817034</v>
      </c>
      <c r="H375" s="434">
        <f t="shared" si="121"/>
        <v>0</v>
      </c>
      <c r="I375" s="434">
        <v>0</v>
      </c>
      <c r="J375" s="127">
        <f t="shared" si="122"/>
        <v>0.20911612347566705</v>
      </c>
      <c r="K375" s="126">
        <f t="shared" si="109"/>
        <v>2.3552297585530284E-2</v>
      </c>
      <c r="L375" s="41">
        <f t="shared" si="123"/>
        <v>215.76281317946004</v>
      </c>
      <c r="M375" s="41">
        <f t="shared" si="115"/>
        <v>-300.10645547657515</v>
      </c>
      <c r="N375" s="41">
        <f>(IF(C374&lt;='SOLLECITAZ NASCOSTO'!$P$12,IF(C374&lt;='SOLLECITAZ NASCOSTO'!$P$11,IF(C374&lt;='SOLLECITAZ NASCOSTO'!$P$10,IF(C374&lt;='SOLLECITAZ NASCOSTO'!$P$9,IF(C374&lt;='SOLLECITAZ NASCOSTO'!$P$8,IF(C374&lt;='SOLLECITAZ NASCOSTO'!$P$7,IF(C374&lt;='SOLLECITAZ NASCOSTO'!$P$6,IF(C374&lt;='SOLLECITAZ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paramento'!$G$111),55555)-IF(C374&lt;='SOLLECITAZ NASCOSTO'!$P$12,IF(C374&lt;='SOLLECITAZ NASCOSTO'!$P$11,IF(C374&lt;='SOLLECITAZ NASCOSTO'!$P$10,IF(C374&lt;='SOLLECITAZ NASCOSTO'!$P$9,IF(C374&lt;='SOLLECITAZ NASCOSTO'!$P$8,IF(C374&lt;='SOLLECITAZ NASCOSTO'!$P$7,IF(C374&lt;='SOLLECITAZ NASCOSTO'!$P$6,IF(C374&lt;='SOLLECITAZ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paramento'!$G$111))*(C374-IF(C374&lt;='SOLLECITAZ NASCOSTO'!$P$12,IF(C374&lt;='SOLLECITAZ NASCOSTO'!$P$11,IF(C374&lt;='SOLLECITAZ NASCOSTO'!$P$10,IF(C374&lt;='SOLLECITAZ NASCOSTO'!$P$9,IF(C374&lt;='SOLLECITAZ NASCOSTO'!$P$8,IF(C374&lt;='SOLLECITAZ NASCOSTO'!$P$7,IF(C374&lt;='SOLLECITAZ NASCOSTO'!$P$6,IF(C374&lt;='SOLLECITAZ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NASCOSTO'!$P$12))/IF(C374&lt;='SOLLECITAZ NASCOSTO'!$P$12,IF(C374&lt;='SOLLECITAZ NASCOSTO'!$P$11,IF(C374&lt;='SOLLECITAZ NASCOSTO'!$P$10,IF(C374&lt;='SOLLECITAZ NASCOSTO'!$P$9,IF(C374&lt;='SOLLECITAZ NASCOSTO'!$P$8,IF(C374&lt;='SOLLECITAZ NASCOSTO'!$P$7,IF(C374&lt;='SOLLECITAZ NASCOSTO'!$P$6,IF(C374&lt;='SOLLECITAZ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paramento'!$C$111)+IF(C374&lt;='SOLLECITAZ NASCOSTO'!$P$12,IF(C374&lt;='SOLLECITAZ NASCOSTO'!$P$11,IF(C374&lt;='SOLLECITAZ NASCOSTO'!$P$10,IF(C374&lt;='SOLLECITAZ NASCOSTO'!$P$9,IF(C374&lt;='SOLLECITAZ NASCOSTO'!$P$8,IF(C374&lt;='SOLLECITAZ NASCOSTO'!$P$7,IF(C374&lt;='SOLLECITAZ NASCOSTO'!$P$6,IF(C374&lt;='SOLLECITAZ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101.75038804638692</v>
      </c>
      <c r="O375" s="41">
        <f>IF(C375&lt;='SOLLECITAZ NASCOSTO'!$P$12,IF(C375&lt;='SOLLECITAZ NASCOSTO'!$P$11,IF(C375&lt;='SOLLECITAZ NASCOSTO'!$P$10,IF(C375&lt;='SOLLECITAZ NASCOSTO'!$P$9,IF(C375&lt;='SOLLECITAZ NASCOSTO'!$P$8,IF(C375&lt;='SOLLECITAZ NASCOSTO'!$P$7,IF(C375&lt;='SOLLECITAZ NASCOSTO'!$P$6,IF(C375&lt;='SOLLECITAZ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paramento'!$G$110),55555)*(C375-C374)/IF(C375&lt;='SOLLECITAZ NASCOSTO'!$P$12,IF(C375&lt;='SOLLECITAZ NASCOSTO'!$P$11,IF(C375&lt;='SOLLECITAZ NASCOSTO'!$P$10,IF(C375&lt;='SOLLECITAZ NASCOSTO'!$P$9,IF(C375&lt;='SOLLECITAZ NASCOSTO'!$P$8,IF(C375&lt;='SOLLECITAZ NASCOSTO'!$P$7,IF(C375&lt;='SOLLECITAZ NASCOSTO'!$P$6,IF(C375&lt;='SOLLECITAZ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75" s="41">
        <f t="shared" si="120"/>
        <v>3.4200000000000181E-4</v>
      </c>
      <c r="Q375" s="41">
        <f t="shared" si="118"/>
        <v>1</v>
      </c>
      <c r="R375" s="434">
        <f t="shared" si="110"/>
        <v>3.7367719378497166</v>
      </c>
      <c r="S375" s="45">
        <f t="shared" si="119"/>
        <v>3.7367719378497166</v>
      </c>
      <c r="T375" s="205">
        <f t="shared" si="114"/>
        <v>1.2952896544111643</v>
      </c>
      <c r="U375" s="45">
        <f t="shared" si="116"/>
        <v>215.76281317946004</v>
      </c>
      <c r="V375" s="45">
        <f t="shared" si="117"/>
        <v>-300.10645547657515</v>
      </c>
      <c r="W375" s="488"/>
    </row>
    <row r="376" spans="1:23" s="421" customFormat="1" x14ac:dyDescent="0.25">
      <c r="A376" s="581">
        <f t="shared" si="111"/>
        <v>0.62690932213614037</v>
      </c>
      <c r="B376" s="31">
        <f t="shared" si="112"/>
        <v>344</v>
      </c>
      <c r="C376" s="434">
        <f>'SOLLECITAZ NASCOSTO'!$D$6/'SOLLECITAZ NASCOSTO'!$B$448*'SOLLECITAZ NASCOSTO'!B376</f>
        <v>3.7476663166772668</v>
      </c>
      <c r="D376" s="434">
        <f t="shared" si="113"/>
        <v>0.74690932213614036</v>
      </c>
      <c r="E376" s="434">
        <f t="shared" si="104"/>
        <v>0.62690932213614037</v>
      </c>
      <c r="F376" s="434">
        <f t="shared" si="105"/>
        <v>0.50061098308356489</v>
      </c>
      <c r="G376" s="434">
        <f t="shared" si="106"/>
        <v>0.104955765679019</v>
      </c>
      <c r="H376" s="434">
        <f t="shared" si="121"/>
        <v>0</v>
      </c>
      <c r="I376" s="434">
        <v>0</v>
      </c>
      <c r="J376" s="127">
        <f t="shared" si="122"/>
        <v>0.20965533962625663</v>
      </c>
      <c r="K376" s="126">
        <f t="shared" si="109"/>
        <v>2.3697110685729342E-2</v>
      </c>
      <c r="L376" s="41">
        <f t="shared" si="123"/>
        <v>216.87553858615388</v>
      </c>
      <c r="M376" s="41">
        <f t="shared" si="115"/>
        <v>-302.46311852630589</v>
      </c>
      <c r="N376" s="41">
        <f>(IF(C375&lt;='SOLLECITAZ NASCOSTO'!$P$12,IF(C375&lt;='SOLLECITAZ NASCOSTO'!$P$11,IF(C375&lt;='SOLLECITAZ NASCOSTO'!$P$10,IF(C375&lt;='SOLLECITAZ NASCOSTO'!$P$9,IF(C375&lt;='SOLLECITAZ NASCOSTO'!$P$8,IF(C375&lt;='SOLLECITAZ NASCOSTO'!$P$7,IF(C375&lt;='SOLLECITAZ NASCOSTO'!$P$6,IF(C375&lt;='SOLLECITAZ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paramento'!$G$111),55555)-IF(C375&lt;='SOLLECITAZ NASCOSTO'!$P$12,IF(C375&lt;='SOLLECITAZ NASCOSTO'!$P$11,IF(C375&lt;='SOLLECITAZ NASCOSTO'!$P$10,IF(C375&lt;='SOLLECITAZ NASCOSTO'!$P$9,IF(C375&lt;='SOLLECITAZ NASCOSTO'!$P$8,IF(C375&lt;='SOLLECITAZ NASCOSTO'!$P$7,IF(C375&lt;='SOLLECITAZ NASCOSTO'!$P$6,IF(C375&lt;='SOLLECITAZ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paramento'!$G$111))*(C375-IF(C375&lt;='SOLLECITAZ NASCOSTO'!$P$12,IF(C375&lt;='SOLLECITAZ NASCOSTO'!$P$11,IF(C375&lt;='SOLLECITAZ NASCOSTO'!$P$10,IF(C375&lt;='SOLLECITAZ NASCOSTO'!$P$9,IF(C375&lt;='SOLLECITAZ NASCOSTO'!$P$8,IF(C375&lt;='SOLLECITAZ NASCOSTO'!$P$7,IF(C375&lt;='SOLLECITAZ NASCOSTO'!$P$6,IF(C375&lt;='SOLLECITAZ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NASCOSTO'!$P$12))/IF(C375&lt;='SOLLECITAZ NASCOSTO'!$P$12,IF(C375&lt;='SOLLECITAZ NASCOSTO'!$P$11,IF(C375&lt;='SOLLECITAZ NASCOSTO'!$P$10,IF(C375&lt;='SOLLECITAZ NASCOSTO'!$P$9,IF(C375&lt;='SOLLECITAZ NASCOSTO'!$P$8,IF(C375&lt;='SOLLECITAZ NASCOSTO'!$P$7,IF(C375&lt;='SOLLECITAZ NASCOSTO'!$P$6,IF(C375&lt;='SOLLECITAZ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paramento'!$C$111)+IF(C375&lt;='SOLLECITAZ NASCOSTO'!$P$12,IF(C375&lt;='SOLLECITAZ NASCOSTO'!$P$11,IF(C375&lt;='SOLLECITAZ NASCOSTO'!$P$10,IF(C375&lt;='SOLLECITAZ NASCOSTO'!$P$9,IF(C375&lt;='SOLLECITAZ NASCOSTO'!$P$8,IF(C375&lt;='SOLLECITAZ NASCOSTO'!$P$7,IF(C375&lt;='SOLLECITAZ NASCOSTO'!$P$6,IF(C375&lt;='SOLLECITAZ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102.00851097583632</v>
      </c>
      <c r="O376" s="41">
        <f>IF(C376&lt;='SOLLECITAZ NASCOSTO'!$P$12,IF(C376&lt;='SOLLECITAZ NASCOSTO'!$P$11,IF(C376&lt;='SOLLECITAZ NASCOSTO'!$P$10,IF(C376&lt;='SOLLECITAZ NASCOSTO'!$P$9,IF(C376&lt;='SOLLECITAZ NASCOSTO'!$P$8,IF(C376&lt;='SOLLECITAZ NASCOSTO'!$P$7,IF(C376&lt;='SOLLECITAZ NASCOSTO'!$P$6,IF(C376&lt;='SOLLECITAZ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paramento'!$G$110),55555)*(C376-C375)/IF(C376&lt;='SOLLECITAZ NASCOSTO'!$P$12,IF(C376&lt;='SOLLECITAZ NASCOSTO'!$P$11,IF(C376&lt;='SOLLECITAZ NASCOSTO'!$P$10,IF(C376&lt;='SOLLECITAZ NASCOSTO'!$P$9,IF(C376&lt;='SOLLECITAZ NASCOSTO'!$P$8,IF(C376&lt;='SOLLECITAZ NASCOSTO'!$P$7,IF(C376&lt;='SOLLECITAZ NASCOSTO'!$P$6,IF(C376&lt;='SOLLECITAZ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76" s="41">
        <f t="shared" si="120"/>
        <v>3.4300000000000183E-4</v>
      </c>
      <c r="Q376" s="41">
        <f t="shared" si="118"/>
        <v>1</v>
      </c>
      <c r="R376" s="434">
        <f t="shared" si="110"/>
        <v>3.7476663166772668</v>
      </c>
      <c r="S376" s="45">
        <f t="shared" si="119"/>
        <v>3.7476663166772668</v>
      </c>
      <c r="T376" s="205">
        <f t="shared" si="114"/>
        <v>1.2843952755836141</v>
      </c>
      <c r="U376" s="45">
        <f t="shared" si="116"/>
        <v>216.87553858615388</v>
      </c>
      <c r="V376" s="45">
        <f t="shared" si="117"/>
        <v>-302.46311852630589</v>
      </c>
      <c r="W376" s="488"/>
    </row>
    <row r="377" spans="1:23" s="421" customFormat="1" x14ac:dyDescent="0.25">
      <c r="A377" s="581">
        <f t="shared" si="111"/>
        <v>0.62848016488424951</v>
      </c>
      <c r="B377" s="31">
        <f t="shared" si="112"/>
        <v>345</v>
      </c>
      <c r="C377" s="434">
        <f>'SOLLECITAZ NASCOSTO'!$D$6/'SOLLECITAZ NASCOSTO'!$B$448*'SOLLECITAZ NASCOSTO'!B377</f>
        <v>3.758560695504817</v>
      </c>
      <c r="D377" s="434">
        <f t="shared" si="113"/>
        <v>0.74848016488424951</v>
      </c>
      <c r="E377" s="434">
        <f t="shared" si="104"/>
        <v>0.62848016488424951</v>
      </c>
      <c r="F377" s="434">
        <f t="shared" si="105"/>
        <v>0.50111365276295983</v>
      </c>
      <c r="G377" s="434">
        <f t="shared" si="106"/>
        <v>0.10533160915602453</v>
      </c>
      <c r="H377" s="434">
        <f t="shared" si="121"/>
        <v>0</v>
      </c>
      <c r="I377" s="434">
        <v>0</v>
      </c>
      <c r="J377" s="127">
        <f t="shared" si="122"/>
        <v>0.21019504971629502</v>
      </c>
      <c r="K377" s="126">
        <f t="shared" si="109"/>
        <v>2.3842480857152994E-2</v>
      </c>
      <c r="L377" s="41">
        <f t="shared" si="123"/>
        <v>217.99107608182521</v>
      </c>
      <c r="M377" s="41">
        <f t="shared" si="115"/>
        <v>-304.8319193461295</v>
      </c>
      <c r="N377" s="41">
        <f>(IF(C376&lt;='SOLLECITAZ NASCOSTO'!$P$12,IF(C376&lt;='SOLLECITAZ NASCOSTO'!$P$11,IF(C376&lt;='SOLLECITAZ NASCOSTO'!$P$10,IF(C376&lt;='SOLLECITAZ NASCOSTO'!$P$9,IF(C376&lt;='SOLLECITAZ NASCOSTO'!$P$8,IF(C376&lt;='SOLLECITAZ NASCOSTO'!$P$7,IF(C376&lt;='SOLLECITAZ NASCOSTO'!$P$6,IF(C376&lt;='SOLLECITAZ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paramento'!$G$111),55555)-IF(C376&lt;='SOLLECITAZ NASCOSTO'!$P$12,IF(C376&lt;='SOLLECITAZ NASCOSTO'!$P$11,IF(C376&lt;='SOLLECITAZ NASCOSTO'!$P$10,IF(C376&lt;='SOLLECITAZ NASCOSTO'!$P$9,IF(C376&lt;='SOLLECITAZ NASCOSTO'!$P$8,IF(C376&lt;='SOLLECITAZ NASCOSTO'!$P$7,IF(C376&lt;='SOLLECITAZ NASCOSTO'!$P$6,IF(C376&lt;='SOLLECITAZ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paramento'!$G$111))*(C376-IF(C376&lt;='SOLLECITAZ NASCOSTO'!$P$12,IF(C376&lt;='SOLLECITAZ NASCOSTO'!$P$11,IF(C376&lt;='SOLLECITAZ NASCOSTO'!$P$10,IF(C376&lt;='SOLLECITAZ NASCOSTO'!$P$9,IF(C376&lt;='SOLLECITAZ NASCOSTO'!$P$8,IF(C376&lt;='SOLLECITAZ NASCOSTO'!$P$7,IF(C376&lt;='SOLLECITAZ NASCOSTO'!$P$6,IF(C376&lt;='SOLLECITAZ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NASCOSTO'!$P$12))/IF(C376&lt;='SOLLECITAZ NASCOSTO'!$P$12,IF(C376&lt;='SOLLECITAZ NASCOSTO'!$P$11,IF(C376&lt;='SOLLECITAZ NASCOSTO'!$P$10,IF(C376&lt;='SOLLECITAZ NASCOSTO'!$P$9,IF(C376&lt;='SOLLECITAZ NASCOSTO'!$P$8,IF(C376&lt;='SOLLECITAZ NASCOSTO'!$P$7,IF(C376&lt;='SOLLECITAZ NASCOSTO'!$P$6,IF(C376&lt;='SOLLECITAZ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paramento'!$C$111)+IF(C376&lt;='SOLLECITAZ NASCOSTO'!$P$12,IF(C376&lt;='SOLLECITAZ NASCOSTO'!$P$11,IF(C376&lt;='SOLLECITAZ NASCOSTO'!$P$10,IF(C376&lt;='SOLLECITAZ NASCOSTO'!$P$9,IF(C376&lt;='SOLLECITAZ NASCOSTO'!$P$8,IF(C376&lt;='SOLLECITAZ NASCOSTO'!$P$7,IF(C376&lt;='SOLLECITAZ NASCOSTO'!$P$6,IF(C376&lt;='SOLLECITAZ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102.26663390528574</v>
      </c>
      <c r="O377" s="41">
        <f>IF(C377&lt;='SOLLECITAZ NASCOSTO'!$P$12,IF(C377&lt;='SOLLECITAZ NASCOSTO'!$P$11,IF(C377&lt;='SOLLECITAZ NASCOSTO'!$P$10,IF(C377&lt;='SOLLECITAZ NASCOSTO'!$P$9,IF(C377&lt;='SOLLECITAZ NASCOSTO'!$P$8,IF(C377&lt;='SOLLECITAZ NASCOSTO'!$P$7,IF(C377&lt;='SOLLECITAZ NASCOSTO'!$P$6,IF(C377&lt;='SOLLECITAZ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paramento'!$G$110),55555)*(C377-C376)/IF(C377&lt;='SOLLECITAZ NASCOSTO'!$P$12,IF(C377&lt;='SOLLECITAZ NASCOSTO'!$P$11,IF(C377&lt;='SOLLECITAZ NASCOSTO'!$P$10,IF(C377&lt;='SOLLECITAZ NASCOSTO'!$P$9,IF(C377&lt;='SOLLECITAZ NASCOSTO'!$P$8,IF(C377&lt;='SOLLECITAZ NASCOSTO'!$P$7,IF(C377&lt;='SOLLECITAZ NASCOSTO'!$P$6,IF(C377&lt;='SOLLECITAZ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77" s="41">
        <f t="shared" si="120"/>
        <v>3.4400000000000186E-4</v>
      </c>
      <c r="Q377" s="41">
        <f t="shared" si="118"/>
        <v>1</v>
      </c>
      <c r="R377" s="434">
        <f t="shared" si="110"/>
        <v>3.758560695504817</v>
      </c>
      <c r="S377" s="45">
        <f t="shared" si="119"/>
        <v>3.758560695504817</v>
      </c>
      <c r="T377" s="205">
        <f t="shared" si="114"/>
        <v>1.2735008967560639</v>
      </c>
      <c r="U377" s="45">
        <f t="shared" si="116"/>
        <v>217.99107608182521</v>
      </c>
      <c r="V377" s="45">
        <f t="shared" si="117"/>
        <v>-304.8319193461295</v>
      </c>
      <c r="W377" s="488"/>
    </row>
    <row r="378" spans="1:23" s="421" customFormat="1" x14ac:dyDescent="0.25">
      <c r="A378" s="581">
        <f t="shared" si="111"/>
        <v>0.63005100763235866</v>
      </c>
      <c r="B378" s="31">
        <f t="shared" si="112"/>
        <v>346</v>
      </c>
      <c r="C378" s="434">
        <f>'SOLLECITAZ NASCOSTO'!$D$6/'SOLLECITAZ NASCOSTO'!$B$448*'SOLLECITAZ NASCOSTO'!B378</f>
        <v>3.7694550743323676</v>
      </c>
      <c r="D378" s="434">
        <f t="shared" si="113"/>
        <v>0.75005100763235866</v>
      </c>
      <c r="E378" s="434">
        <f t="shared" si="104"/>
        <v>0.63005100763235866</v>
      </c>
      <c r="F378" s="434">
        <f t="shared" si="105"/>
        <v>0.50161632244235477</v>
      </c>
      <c r="G378" s="434">
        <f t="shared" si="106"/>
        <v>0.10570824224805066</v>
      </c>
      <c r="H378" s="434">
        <f t="shared" si="121"/>
        <v>0</v>
      </c>
      <c r="I378" s="434">
        <v>0</v>
      </c>
      <c r="J378" s="127">
        <f t="shared" si="122"/>
        <v>0.2107352522608523</v>
      </c>
      <c r="K378" s="126">
        <f t="shared" si="109"/>
        <v>2.398840890207133E-2</v>
      </c>
      <c r="L378" s="41">
        <f t="shared" si="123"/>
        <v>219.1094256664741</v>
      </c>
      <c r="M378" s="41">
        <f t="shared" si="115"/>
        <v>-307.21288857200869</v>
      </c>
      <c r="N378" s="41">
        <f>(IF(C377&lt;='SOLLECITAZ NASCOSTO'!$P$12,IF(C377&lt;='SOLLECITAZ NASCOSTO'!$P$11,IF(C377&lt;='SOLLECITAZ NASCOSTO'!$P$10,IF(C377&lt;='SOLLECITAZ NASCOSTO'!$P$9,IF(C377&lt;='SOLLECITAZ NASCOSTO'!$P$8,IF(C377&lt;='SOLLECITAZ NASCOSTO'!$P$7,IF(C377&lt;='SOLLECITAZ NASCOSTO'!$P$6,IF(C377&lt;='SOLLECITAZ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paramento'!$G$111),55555)-IF(C377&lt;='SOLLECITAZ NASCOSTO'!$P$12,IF(C377&lt;='SOLLECITAZ NASCOSTO'!$P$11,IF(C377&lt;='SOLLECITAZ NASCOSTO'!$P$10,IF(C377&lt;='SOLLECITAZ NASCOSTO'!$P$9,IF(C377&lt;='SOLLECITAZ NASCOSTO'!$P$8,IF(C377&lt;='SOLLECITAZ NASCOSTO'!$P$7,IF(C377&lt;='SOLLECITAZ NASCOSTO'!$P$6,IF(C377&lt;='SOLLECITAZ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paramento'!$G$111))*(C377-IF(C377&lt;='SOLLECITAZ NASCOSTO'!$P$12,IF(C377&lt;='SOLLECITAZ NASCOSTO'!$P$11,IF(C377&lt;='SOLLECITAZ NASCOSTO'!$P$10,IF(C377&lt;='SOLLECITAZ NASCOSTO'!$P$9,IF(C377&lt;='SOLLECITAZ NASCOSTO'!$P$8,IF(C377&lt;='SOLLECITAZ NASCOSTO'!$P$7,IF(C377&lt;='SOLLECITAZ NASCOSTO'!$P$6,IF(C377&lt;='SOLLECITAZ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NASCOSTO'!$P$12))/IF(C377&lt;='SOLLECITAZ NASCOSTO'!$P$12,IF(C377&lt;='SOLLECITAZ NASCOSTO'!$P$11,IF(C377&lt;='SOLLECITAZ NASCOSTO'!$P$10,IF(C377&lt;='SOLLECITAZ NASCOSTO'!$P$9,IF(C377&lt;='SOLLECITAZ NASCOSTO'!$P$8,IF(C377&lt;='SOLLECITAZ NASCOSTO'!$P$7,IF(C377&lt;='SOLLECITAZ NASCOSTO'!$P$6,IF(C377&lt;='SOLLECITAZ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paramento'!$C$111)+IF(C377&lt;='SOLLECITAZ NASCOSTO'!$P$12,IF(C377&lt;='SOLLECITAZ NASCOSTO'!$P$11,IF(C377&lt;='SOLLECITAZ NASCOSTO'!$P$10,IF(C377&lt;='SOLLECITAZ NASCOSTO'!$P$9,IF(C377&lt;='SOLLECITAZ NASCOSTO'!$P$8,IF(C377&lt;='SOLLECITAZ NASCOSTO'!$P$7,IF(C377&lt;='SOLLECITAZ NASCOSTO'!$P$6,IF(C377&lt;='SOLLECITAZ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102.52475683473514</v>
      </c>
      <c r="O378" s="41">
        <f>IF(C378&lt;='SOLLECITAZ NASCOSTO'!$P$12,IF(C378&lt;='SOLLECITAZ NASCOSTO'!$P$11,IF(C378&lt;='SOLLECITAZ NASCOSTO'!$P$10,IF(C378&lt;='SOLLECITAZ NASCOSTO'!$P$9,IF(C378&lt;='SOLLECITAZ NASCOSTO'!$P$8,IF(C378&lt;='SOLLECITAZ NASCOSTO'!$P$7,IF(C378&lt;='SOLLECITAZ NASCOSTO'!$P$6,IF(C378&lt;='SOLLECITAZ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paramento'!$G$110),55555)*(C378-C377)/IF(C378&lt;='SOLLECITAZ NASCOSTO'!$P$12,IF(C378&lt;='SOLLECITAZ NASCOSTO'!$P$11,IF(C378&lt;='SOLLECITAZ NASCOSTO'!$P$10,IF(C378&lt;='SOLLECITAZ NASCOSTO'!$P$9,IF(C378&lt;='SOLLECITAZ NASCOSTO'!$P$8,IF(C378&lt;='SOLLECITAZ NASCOSTO'!$P$7,IF(C378&lt;='SOLLECITAZ NASCOSTO'!$P$6,IF(C378&lt;='SOLLECITAZ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0.25812292944941589</v>
      </c>
      <c r="P378" s="41">
        <f t="shared" si="120"/>
        <v>3.4500000000000188E-4</v>
      </c>
      <c r="Q378" s="41">
        <f t="shared" si="118"/>
        <v>1</v>
      </c>
      <c r="R378" s="434">
        <f t="shared" si="110"/>
        <v>3.7694550743323676</v>
      </c>
      <c r="S378" s="45">
        <f t="shared" si="119"/>
        <v>3.7694550743323676</v>
      </c>
      <c r="T378" s="205">
        <f t="shared" si="114"/>
        <v>1.2626065179285133</v>
      </c>
      <c r="U378" s="45">
        <f t="shared" si="116"/>
        <v>219.1094256664741</v>
      </c>
      <c r="V378" s="45">
        <f t="shared" si="117"/>
        <v>-307.21288857200869</v>
      </c>
      <c r="W378" s="488"/>
    </row>
    <row r="379" spans="1:23" s="421" customFormat="1" x14ac:dyDescent="0.25">
      <c r="A379" s="581">
        <f t="shared" si="111"/>
        <v>0.63162185038046781</v>
      </c>
      <c r="B379" s="31">
        <f t="shared" si="112"/>
        <v>347</v>
      </c>
      <c r="C379" s="434">
        <f>'SOLLECITAZ NASCOSTO'!$D$6/'SOLLECITAZ NASCOSTO'!$B$448*'SOLLECITAZ NASCOSTO'!B379</f>
        <v>3.7803494531599178</v>
      </c>
      <c r="D379" s="434">
        <f t="shared" si="113"/>
        <v>0.7516218503804678</v>
      </c>
      <c r="E379" s="434">
        <f t="shared" si="104"/>
        <v>0.63162185038046781</v>
      </c>
      <c r="F379" s="434">
        <f t="shared" si="105"/>
        <v>0.50211899212174971</v>
      </c>
      <c r="G379" s="434">
        <f t="shared" si="106"/>
        <v>0.10608566495509733</v>
      </c>
      <c r="H379" s="434">
        <f t="shared" si="121"/>
        <v>0</v>
      </c>
      <c r="I379" s="434">
        <v>0</v>
      </c>
      <c r="J379" s="127">
        <f t="shared" si="122"/>
        <v>0.21127594578094458</v>
      </c>
      <c r="K379" s="126">
        <f t="shared" si="109"/>
        <v>2.4134895622025261E-2</v>
      </c>
      <c r="L379" s="41">
        <f t="shared" si="123"/>
        <v>220.23058734010041</v>
      </c>
      <c r="M379" s="41">
        <f t="shared" si="115"/>
        <v>-309.60605683990593</v>
      </c>
      <c r="N379" s="41">
        <f>(IF(C378&lt;='SOLLECITAZ NASCOSTO'!$P$12,IF(C378&lt;='SOLLECITAZ NASCOSTO'!$P$11,IF(C378&lt;='SOLLECITAZ NASCOSTO'!$P$10,IF(C378&lt;='SOLLECITAZ NASCOSTO'!$P$9,IF(C378&lt;='SOLLECITAZ NASCOSTO'!$P$8,IF(C378&lt;='SOLLECITAZ NASCOSTO'!$P$7,IF(C378&lt;='SOLLECITAZ NASCOSTO'!$P$6,IF(C378&lt;='SOLLECITAZ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paramento'!$G$111),55555)-IF(C378&lt;='SOLLECITAZ NASCOSTO'!$P$12,IF(C378&lt;='SOLLECITAZ NASCOSTO'!$P$11,IF(C378&lt;='SOLLECITAZ NASCOSTO'!$P$10,IF(C378&lt;='SOLLECITAZ NASCOSTO'!$P$9,IF(C378&lt;='SOLLECITAZ NASCOSTO'!$P$8,IF(C378&lt;='SOLLECITAZ NASCOSTO'!$P$7,IF(C378&lt;='SOLLECITAZ NASCOSTO'!$P$6,IF(C378&lt;='SOLLECITAZ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paramento'!$G$111))*(C378-IF(C378&lt;='SOLLECITAZ NASCOSTO'!$P$12,IF(C378&lt;='SOLLECITAZ NASCOSTO'!$P$11,IF(C378&lt;='SOLLECITAZ NASCOSTO'!$P$10,IF(C378&lt;='SOLLECITAZ NASCOSTO'!$P$9,IF(C378&lt;='SOLLECITAZ NASCOSTO'!$P$8,IF(C378&lt;='SOLLECITAZ NASCOSTO'!$P$7,IF(C378&lt;='SOLLECITAZ NASCOSTO'!$P$6,IF(C378&lt;='SOLLECITAZ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NASCOSTO'!$P$12))/IF(C378&lt;='SOLLECITAZ NASCOSTO'!$P$12,IF(C378&lt;='SOLLECITAZ NASCOSTO'!$P$11,IF(C378&lt;='SOLLECITAZ NASCOSTO'!$P$10,IF(C378&lt;='SOLLECITAZ NASCOSTO'!$P$9,IF(C378&lt;='SOLLECITAZ NASCOSTO'!$P$8,IF(C378&lt;='SOLLECITAZ NASCOSTO'!$P$7,IF(C378&lt;='SOLLECITAZ NASCOSTO'!$P$6,IF(C378&lt;='SOLLECITAZ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paramento'!$C$111)+IF(C378&lt;='SOLLECITAZ NASCOSTO'!$P$12,IF(C378&lt;='SOLLECITAZ NASCOSTO'!$P$11,IF(C378&lt;='SOLLECITAZ NASCOSTO'!$P$10,IF(C378&lt;='SOLLECITAZ NASCOSTO'!$P$9,IF(C378&lt;='SOLLECITAZ NASCOSTO'!$P$8,IF(C378&lt;='SOLLECITAZ NASCOSTO'!$P$7,IF(C378&lt;='SOLLECITAZ NASCOSTO'!$P$6,IF(C378&lt;='SOLLECITAZ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102.78287976418454</v>
      </c>
      <c r="O379" s="41">
        <f>IF(C379&lt;='SOLLECITAZ NASCOSTO'!$P$12,IF(C379&lt;='SOLLECITAZ NASCOSTO'!$P$11,IF(C379&lt;='SOLLECITAZ NASCOSTO'!$P$10,IF(C379&lt;='SOLLECITAZ NASCOSTO'!$P$9,IF(C379&lt;='SOLLECITAZ NASCOSTO'!$P$8,IF(C379&lt;='SOLLECITAZ NASCOSTO'!$P$7,IF(C379&lt;='SOLLECITAZ NASCOSTO'!$P$6,IF(C379&lt;='SOLLECITAZ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paramento'!$G$110),55555)*(C379-C378)/IF(C379&lt;='SOLLECITAZ NASCOSTO'!$P$12,IF(C379&lt;='SOLLECITAZ NASCOSTO'!$P$11,IF(C379&lt;='SOLLECITAZ NASCOSTO'!$P$10,IF(C379&lt;='SOLLECITAZ NASCOSTO'!$P$9,IF(C379&lt;='SOLLECITAZ NASCOSTO'!$P$8,IF(C379&lt;='SOLLECITAZ NASCOSTO'!$P$7,IF(C379&lt;='SOLLECITAZ NASCOSTO'!$P$6,IF(C379&lt;='SOLLECITAZ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79" s="41">
        <f t="shared" si="120"/>
        <v>3.460000000000019E-4</v>
      </c>
      <c r="Q379" s="41">
        <f t="shared" si="118"/>
        <v>1</v>
      </c>
      <c r="R379" s="434">
        <f t="shared" si="110"/>
        <v>3.7803494531599178</v>
      </c>
      <c r="S379" s="45">
        <f t="shared" si="119"/>
        <v>3.7803494531599178</v>
      </c>
      <c r="T379" s="205">
        <f t="shared" si="114"/>
        <v>1.2517121391009631</v>
      </c>
      <c r="U379" s="45">
        <f t="shared" si="116"/>
        <v>220.23058734010041</v>
      </c>
      <c r="V379" s="45">
        <f t="shared" si="117"/>
        <v>-309.60605683990593</v>
      </c>
      <c r="W379" s="488"/>
    </row>
    <row r="380" spans="1:23" s="421" customFormat="1" x14ac:dyDescent="0.25">
      <c r="A380" s="581">
        <f t="shared" si="111"/>
        <v>0.63319269312857707</v>
      </c>
      <c r="B380" s="31">
        <f t="shared" si="112"/>
        <v>348</v>
      </c>
      <c r="C380" s="434">
        <f>'SOLLECITAZ NASCOSTO'!$D$6/'SOLLECITAZ NASCOSTO'!$B$448*'SOLLECITAZ NASCOSTO'!B380</f>
        <v>3.7912438319874679</v>
      </c>
      <c r="D380" s="434">
        <f t="shared" si="113"/>
        <v>0.75319269312857706</v>
      </c>
      <c r="E380" s="434">
        <f t="shared" si="104"/>
        <v>0.63319269312857707</v>
      </c>
      <c r="F380" s="434">
        <f t="shared" si="105"/>
        <v>0.50262166180114465</v>
      </c>
      <c r="G380" s="434">
        <f t="shared" si="106"/>
        <v>0.10646387727716462</v>
      </c>
      <c r="H380" s="434">
        <f t="shared" si="121"/>
        <v>0</v>
      </c>
      <c r="I380" s="434">
        <v>0</v>
      </c>
      <c r="J380" s="127">
        <f t="shared" si="122"/>
        <v>0.21181712880350467</v>
      </c>
      <c r="K380" s="126">
        <f t="shared" si="109"/>
        <v>2.4281941817830173E-2</v>
      </c>
      <c r="L380" s="41">
        <f t="shared" si="123"/>
        <v>221.35456110270425</v>
      </c>
      <c r="M380" s="41">
        <f t="shared" si="115"/>
        <v>-312.01145478578388</v>
      </c>
      <c r="N380" s="41">
        <f>(IF(C379&lt;='SOLLECITAZ NASCOSTO'!$P$12,IF(C379&lt;='SOLLECITAZ NASCOSTO'!$P$11,IF(C379&lt;='SOLLECITAZ NASCOSTO'!$P$10,IF(C379&lt;='SOLLECITAZ NASCOSTO'!$P$9,IF(C379&lt;='SOLLECITAZ NASCOSTO'!$P$8,IF(C379&lt;='SOLLECITAZ NASCOSTO'!$P$7,IF(C379&lt;='SOLLECITAZ NASCOSTO'!$P$6,IF(C379&lt;='SOLLECITAZ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paramento'!$G$111),55555)-IF(C379&lt;='SOLLECITAZ NASCOSTO'!$P$12,IF(C379&lt;='SOLLECITAZ NASCOSTO'!$P$11,IF(C379&lt;='SOLLECITAZ NASCOSTO'!$P$10,IF(C379&lt;='SOLLECITAZ NASCOSTO'!$P$9,IF(C379&lt;='SOLLECITAZ NASCOSTO'!$P$8,IF(C379&lt;='SOLLECITAZ NASCOSTO'!$P$7,IF(C379&lt;='SOLLECITAZ NASCOSTO'!$P$6,IF(C379&lt;='SOLLECITAZ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paramento'!$G$111))*(C379-IF(C379&lt;='SOLLECITAZ NASCOSTO'!$P$12,IF(C379&lt;='SOLLECITAZ NASCOSTO'!$P$11,IF(C379&lt;='SOLLECITAZ NASCOSTO'!$P$10,IF(C379&lt;='SOLLECITAZ NASCOSTO'!$P$9,IF(C379&lt;='SOLLECITAZ NASCOSTO'!$P$8,IF(C379&lt;='SOLLECITAZ NASCOSTO'!$P$7,IF(C379&lt;='SOLLECITAZ NASCOSTO'!$P$6,IF(C379&lt;='SOLLECITAZ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NASCOSTO'!$P$12))/IF(C379&lt;='SOLLECITAZ NASCOSTO'!$P$12,IF(C379&lt;='SOLLECITAZ NASCOSTO'!$P$11,IF(C379&lt;='SOLLECITAZ NASCOSTO'!$P$10,IF(C379&lt;='SOLLECITAZ NASCOSTO'!$P$9,IF(C379&lt;='SOLLECITAZ NASCOSTO'!$P$8,IF(C379&lt;='SOLLECITAZ NASCOSTO'!$P$7,IF(C379&lt;='SOLLECITAZ NASCOSTO'!$P$6,IF(C379&lt;='SOLLECITAZ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paramento'!$C$111)+IF(C379&lt;='SOLLECITAZ NASCOSTO'!$P$12,IF(C379&lt;='SOLLECITAZ NASCOSTO'!$P$11,IF(C379&lt;='SOLLECITAZ NASCOSTO'!$P$10,IF(C379&lt;='SOLLECITAZ NASCOSTO'!$P$9,IF(C379&lt;='SOLLECITAZ NASCOSTO'!$P$8,IF(C379&lt;='SOLLECITAZ NASCOSTO'!$P$7,IF(C379&lt;='SOLLECITAZ NASCOSTO'!$P$6,IF(C379&lt;='SOLLECITAZ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103.04100269363397</v>
      </c>
      <c r="O380" s="41">
        <f>IF(C380&lt;='SOLLECITAZ NASCOSTO'!$P$12,IF(C380&lt;='SOLLECITAZ NASCOSTO'!$P$11,IF(C380&lt;='SOLLECITAZ NASCOSTO'!$P$10,IF(C380&lt;='SOLLECITAZ NASCOSTO'!$P$9,IF(C380&lt;='SOLLECITAZ NASCOSTO'!$P$8,IF(C380&lt;='SOLLECITAZ NASCOSTO'!$P$7,IF(C380&lt;='SOLLECITAZ NASCOSTO'!$P$6,IF(C380&lt;='SOLLECITAZ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paramento'!$G$110),55555)*(C380-C379)/IF(C380&lt;='SOLLECITAZ NASCOSTO'!$P$12,IF(C380&lt;='SOLLECITAZ NASCOSTO'!$P$11,IF(C380&lt;='SOLLECITAZ NASCOSTO'!$P$10,IF(C380&lt;='SOLLECITAZ NASCOSTO'!$P$9,IF(C380&lt;='SOLLECITAZ NASCOSTO'!$P$8,IF(C380&lt;='SOLLECITAZ NASCOSTO'!$P$7,IF(C380&lt;='SOLLECITAZ NASCOSTO'!$P$6,IF(C380&lt;='SOLLECITAZ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80" s="41">
        <f t="shared" si="120"/>
        <v>3.4700000000000193E-4</v>
      </c>
      <c r="Q380" s="41">
        <f t="shared" si="118"/>
        <v>1</v>
      </c>
      <c r="R380" s="434">
        <f t="shared" si="110"/>
        <v>3.7912438319874679</v>
      </c>
      <c r="S380" s="45">
        <f t="shared" si="119"/>
        <v>3.7912438319874679</v>
      </c>
      <c r="T380" s="205">
        <f t="shared" si="114"/>
        <v>1.240817760273413</v>
      </c>
      <c r="U380" s="45">
        <f t="shared" si="116"/>
        <v>221.35456110270425</v>
      </c>
      <c r="V380" s="45">
        <f t="shared" si="117"/>
        <v>-312.01145478578388</v>
      </c>
      <c r="W380" s="488"/>
    </row>
    <row r="381" spans="1:23" s="421" customFormat="1" x14ac:dyDescent="0.25">
      <c r="A381" s="581">
        <f t="shared" si="111"/>
        <v>0.63476353587668621</v>
      </c>
      <c r="B381" s="31">
        <f t="shared" si="112"/>
        <v>349</v>
      </c>
      <c r="C381" s="434">
        <f>'SOLLECITAZ NASCOSTO'!$D$6/'SOLLECITAZ NASCOSTO'!$B$448*'SOLLECITAZ NASCOSTO'!B381</f>
        <v>3.8021382108150181</v>
      </c>
      <c r="D381" s="434">
        <f t="shared" si="113"/>
        <v>0.75476353587668621</v>
      </c>
      <c r="E381" s="434">
        <f t="shared" si="104"/>
        <v>0.63476353587668621</v>
      </c>
      <c r="F381" s="434">
        <f t="shared" si="105"/>
        <v>0.50312433148053959</v>
      </c>
      <c r="G381" s="434">
        <f t="shared" si="106"/>
        <v>0.10684287921425245</v>
      </c>
      <c r="H381" s="434">
        <f t="shared" si="121"/>
        <v>0</v>
      </c>
      <c r="I381" s="434">
        <v>0</v>
      </c>
      <c r="J381" s="127">
        <f t="shared" si="122"/>
        <v>0.21235879986135203</v>
      </c>
      <c r="K381" s="126">
        <f t="shared" si="109"/>
        <v>2.4429548289579557E-2</v>
      </c>
      <c r="L381" s="41">
        <f t="shared" si="123"/>
        <v>222.48134695428558</v>
      </c>
      <c r="M381" s="41">
        <f t="shared" si="115"/>
        <v>-314.42911304560516</v>
      </c>
      <c r="N381" s="41">
        <f>(IF(C380&lt;='SOLLECITAZ NASCOSTO'!$P$12,IF(C380&lt;='SOLLECITAZ NASCOSTO'!$P$11,IF(C380&lt;='SOLLECITAZ NASCOSTO'!$P$10,IF(C380&lt;='SOLLECITAZ NASCOSTO'!$P$9,IF(C380&lt;='SOLLECITAZ NASCOSTO'!$P$8,IF(C380&lt;='SOLLECITAZ NASCOSTO'!$P$7,IF(C380&lt;='SOLLECITAZ NASCOSTO'!$P$6,IF(C380&lt;='SOLLECITAZ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paramento'!$G$111),55555)-IF(C380&lt;='SOLLECITAZ NASCOSTO'!$P$12,IF(C380&lt;='SOLLECITAZ NASCOSTO'!$P$11,IF(C380&lt;='SOLLECITAZ NASCOSTO'!$P$10,IF(C380&lt;='SOLLECITAZ NASCOSTO'!$P$9,IF(C380&lt;='SOLLECITAZ NASCOSTO'!$P$8,IF(C380&lt;='SOLLECITAZ NASCOSTO'!$P$7,IF(C380&lt;='SOLLECITAZ NASCOSTO'!$P$6,IF(C380&lt;='SOLLECITAZ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paramento'!$G$111))*(C380-IF(C380&lt;='SOLLECITAZ NASCOSTO'!$P$12,IF(C380&lt;='SOLLECITAZ NASCOSTO'!$P$11,IF(C380&lt;='SOLLECITAZ NASCOSTO'!$P$10,IF(C380&lt;='SOLLECITAZ NASCOSTO'!$P$9,IF(C380&lt;='SOLLECITAZ NASCOSTO'!$P$8,IF(C380&lt;='SOLLECITAZ NASCOSTO'!$P$7,IF(C380&lt;='SOLLECITAZ NASCOSTO'!$P$6,IF(C380&lt;='SOLLECITAZ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NASCOSTO'!$P$12))/IF(C380&lt;='SOLLECITAZ NASCOSTO'!$P$12,IF(C380&lt;='SOLLECITAZ NASCOSTO'!$P$11,IF(C380&lt;='SOLLECITAZ NASCOSTO'!$P$10,IF(C380&lt;='SOLLECITAZ NASCOSTO'!$P$9,IF(C380&lt;='SOLLECITAZ NASCOSTO'!$P$8,IF(C380&lt;='SOLLECITAZ NASCOSTO'!$P$7,IF(C380&lt;='SOLLECITAZ NASCOSTO'!$P$6,IF(C380&lt;='SOLLECITAZ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paramento'!$C$111)+IF(C380&lt;='SOLLECITAZ NASCOSTO'!$P$12,IF(C380&lt;='SOLLECITAZ NASCOSTO'!$P$11,IF(C380&lt;='SOLLECITAZ NASCOSTO'!$P$10,IF(C380&lt;='SOLLECITAZ NASCOSTO'!$P$9,IF(C380&lt;='SOLLECITAZ NASCOSTO'!$P$8,IF(C380&lt;='SOLLECITAZ NASCOSTO'!$P$7,IF(C380&lt;='SOLLECITAZ NASCOSTO'!$P$6,IF(C380&lt;='SOLLECITAZ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103.29912562308337</v>
      </c>
      <c r="O381" s="41">
        <f>IF(C381&lt;='SOLLECITAZ NASCOSTO'!$P$12,IF(C381&lt;='SOLLECITAZ NASCOSTO'!$P$11,IF(C381&lt;='SOLLECITAZ NASCOSTO'!$P$10,IF(C381&lt;='SOLLECITAZ NASCOSTO'!$P$9,IF(C381&lt;='SOLLECITAZ NASCOSTO'!$P$8,IF(C381&lt;='SOLLECITAZ NASCOSTO'!$P$7,IF(C381&lt;='SOLLECITAZ NASCOSTO'!$P$6,IF(C381&lt;='SOLLECITAZ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paramento'!$G$110),55555)*(C381-C380)/IF(C381&lt;='SOLLECITAZ NASCOSTO'!$P$12,IF(C381&lt;='SOLLECITAZ NASCOSTO'!$P$11,IF(C381&lt;='SOLLECITAZ NASCOSTO'!$P$10,IF(C381&lt;='SOLLECITAZ NASCOSTO'!$P$9,IF(C381&lt;='SOLLECITAZ NASCOSTO'!$P$8,IF(C381&lt;='SOLLECITAZ NASCOSTO'!$P$7,IF(C381&lt;='SOLLECITAZ NASCOSTO'!$P$6,IF(C381&lt;='SOLLECITAZ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81" s="41">
        <f t="shared" si="120"/>
        <v>3.4800000000000195E-4</v>
      </c>
      <c r="Q381" s="41">
        <f t="shared" si="118"/>
        <v>1</v>
      </c>
      <c r="R381" s="434">
        <f t="shared" si="110"/>
        <v>3.8021382108150181</v>
      </c>
      <c r="S381" s="45">
        <f t="shared" si="119"/>
        <v>3.8021382108150181</v>
      </c>
      <c r="T381" s="205">
        <f t="shared" si="114"/>
        <v>1.2299233814458628</v>
      </c>
      <c r="U381" s="45">
        <f t="shared" si="116"/>
        <v>222.48134695428558</v>
      </c>
      <c r="V381" s="45">
        <f t="shared" si="117"/>
        <v>-314.42911304560516</v>
      </c>
      <c r="W381" s="488"/>
    </row>
    <row r="382" spans="1:23" s="421" customFormat="1" x14ac:dyDescent="0.25">
      <c r="A382" s="581">
        <f t="shared" si="111"/>
        <v>0.63633437862479536</v>
      </c>
      <c r="B382" s="31">
        <f t="shared" si="112"/>
        <v>350</v>
      </c>
      <c r="C382" s="434">
        <f>'SOLLECITAZ NASCOSTO'!$D$6/'SOLLECITAZ NASCOSTO'!$B$448*'SOLLECITAZ NASCOSTO'!B382</f>
        <v>3.8130325896425683</v>
      </c>
      <c r="D382" s="434">
        <f t="shared" si="113"/>
        <v>0.75633437862479536</v>
      </c>
      <c r="E382" s="434">
        <f t="shared" si="104"/>
        <v>0.63633437862479536</v>
      </c>
      <c r="F382" s="434">
        <f t="shared" si="105"/>
        <v>0.50362700115993453</v>
      </c>
      <c r="G382" s="434">
        <f t="shared" si="106"/>
        <v>0.10722267076636084</v>
      </c>
      <c r="H382" s="434">
        <f t="shared" si="121"/>
        <v>0</v>
      </c>
      <c r="I382" s="434">
        <v>0</v>
      </c>
      <c r="J382" s="127">
        <f t="shared" si="122"/>
        <v>0.21290095749316393</v>
      </c>
      <c r="K382" s="126">
        <f t="shared" si="109"/>
        <v>2.4577715836648667E-2</v>
      </c>
      <c r="L382" s="41">
        <f t="shared" si="123"/>
        <v>223.61094489484441</v>
      </c>
      <c r="M382" s="41">
        <f t="shared" si="115"/>
        <v>-316.85906225533239</v>
      </c>
      <c r="N382" s="41">
        <f>(IF(C381&lt;='SOLLECITAZ NASCOSTO'!$P$12,IF(C381&lt;='SOLLECITAZ NASCOSTO'!$P$11,IF(C381&lt;='SOLLECITAZ NASCOSTO'!$P$10,IF(C381&lt;='SOLLECITAZ NASCOSTO'!$P$9,IF(C381&lt;='SOLLECITAZ NASCOSTO'!$P$8,IF(C381&lt;='SOLLECITAZ NASCOSTO'!$P$7,IF(C381&lt;='SOLLECITAZ NASCOSTO'!$P$6,IF(C381&lt;='SOLLECITAZ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paramento'!$G$111),55555)-IF(C381&lt;='SOLLECITAZ NASCOSTO'!$P$12,IF(C381&lt;='SOLLECITAZ NASCOSTO'!$P$11,IF(C381&lt;='SOLLECITAZ NASCOSTO'!$P$10,IF(C381&lt;='SOLLECITAZ NASCOSTO'!$P$9,IF(C381&lt;='SOLLECITAZ NASCOSTO'!$P$8,IF(C381&lt;='SOLLECITAZ NASCOSTO'!$P$7,IF(C381&lt;='SOLLECITAZ NASCOSTO'!$P$6,IF(C381&lt;='SOLLECITAZ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paramento'!$G$111))*(C381-IF(C381&lt;='SOLLECITAZ NASCOSTO'!$P$12,IF(C381&lt;='SOLLECITAZ NASCOSTO'!$P$11,IF(C381&lt;='SOLLECITAZ NASCOSTO'!$P$10,IF(C381&lt;='SOLLECITAZ NASCOSTO'!$P$9,IF(C381&lt;='SOLLECITAZ NASCOSTO'!$P$8,IF(C381&lt;='SOLLECITAZ NASCOSTO'!$P$7,IF(C381&lt;='SOLLECITAZ NASCOSTO'!$P$6,IF(C381&lt;='SOLLECITAZ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NASCOSTO'!$P$12))/IF(C381&lt;='SOLLECITAZ NASCOSTO'!$P$12,IF(C381&lt;='SOLLECITAZ NASCOSTO'!$P$11,IF(C381&lt;='SOLLECITAZ NASCOSTO'!$P$10,IF(C381&lt;='SOLLECITAZ NASCOSTO'!$P$9,IF(C381&lt;='SOLLECITAZ NASCOSTO'!$P$8,IF(C381&lt;='SOLLECITAZ NASCOSTO'!$P$7,IF(C381&lt;='SOLLECITAZ NASCOSTO'!$P$6,IF(C381&lt;='SOLLECITAZ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paramento'!$C$111)+IF(C381&lt;='SOLLECITAZ NASCOSTO'!$P$12,IF(C381&lt;='SOLLECITAZ NASCOSTO'!$P$11,IF(C381&lt;='SOLLECITAZ NASCOSTO'!$P$10,IF(C381&lt;='SOLLECITAZ NASCOSTO'!$P$9,IF(C381&lt;='SOLLECITAZ NASCOSTO'!$P$8,IF(C381&lt;='SOLLECITAZ NASCOSTO'!$P$7,IF(C381&lt;='SOLLECITAZ NASCOSTO'!$P$6,IF(C381&lt;='SOLLECITAZ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103.55724855253277</v>
      </c>
      <c r="O382" s="41">
        <f>IF(C382&lt;='SOLLECITAZ NASCOSTO'!$P$12,IF(C382&lt;='SOLLECITAZ NASCOSTO'!$P$11,IF(C382&lt;='SOLLECITAZ NASCOSTO'!$P$10,IF(C382&lt;='SOLLECITAZ NASCOSTO'!$P$9,IF(C382&lt;='SOLLECITAZ NASCOSTO'!$P$8,IF(C382&lt;='SOLLECITAZ NASCOSTO'!$P$7,IF(C382&lt;='SOLLECITAZ NASCOSTO'!$P$6,IF(C382&lt;='SOLLECITAZ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paramento'!$G$110),55555)*(C382-C381)/IF(C382&lt;='SOLLECITAZ NASCOSTO'!$P$12,IF(C382&lt;='SOLLECITAZ NASCOSTO'!$P$11,IF(C382&lt;='SOLLECITAZ NASCOSTO'!$P$10,IF(C382&lt;='SOLLECITAZ NASCOSTO'!$P$9,IF(C382&lt;='SOLLECITAZ NASCOSTO'!$P$8,IF(C382&lt;='SOLLECITAZ NASCOSTO'!$P$7,IF(C382&lt;='SOLLECITAZ NASCOSTO'!$P$6,IF(C382&lt;='SOLLECITAZ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82" s="41">
        <f t="shared" si="120"/>
        <v>3.4900000000000198E-4</v>
      </c>
      <c r="Q382" s="41">
        <f t="shared" si="118"/>
        <v>1</v>
      </c>
      <c r="R382" s="434">
        <f t="shared" si="110"/>
        <v>3.8130325896425683</v>
      </c>
      <c r="S382" s="45">
        <f t="shared" si="119"/>
        <v>3.8130325896425683</v>
      </c>
      <c r="T382" s="205">
        <f t="shared" si="114"/>
        <v>1.2190290026183126</v>
      </c>
      <c r="U382" s="45">
        <f t="shared" si="116"/>
        <v>223.61094489484441</v>
      </c>
      <c r="V382" s="45">
        <f t="shared" si="117"/>
        <v>-316.85906225533239</v>
      </c>
      <c r="W382" s="488"/>
    </row>
    <row r="383" spans="1:23" s="421" customFormat="1" x14ac:dyDescent="0.25">
      <c r="A383" s="581">
        <f t="shared" si="111"/>
        <v>0.63790522137290451</v>
      </c>
      <c r="B383" s="31">
        <f t="shared" si="112"/>
        <v>351</v>
      </c>
      <c r="C383" s="434">
        <f>'SOLLECITAZ NASCOSTO'!$D$6/'SOLLECITAZ NASCOSTO'!$B$448*'SOLLECITAZ NASCOSTO'!B383</f>
        <v>3.8239269684701185</v>
      </c>
      <c r="D383" s="434">
        <f t="shared" si="113"/>
        <v>0.7579052213729045</v>
      </c>
      <c r="E383" s="434">
        <f t="shared" si="104"/>
        <v>0.63790522137290451</v>
      </c>
      <c r="F383" s="434">
        <f t="shared" si="105"/>
        <v>0.50412967083932947</v>
      </c>
      <c r="G383" s="434">
        <f t="shared" si="106"/>
        <v>0.10760325193348982</v>
      </c>
      <c r="H383" s="434">
        <f t="shared" si="121"/>
        <v>0</v>
      </c>
      <c r="I383" s="434">
        <v>0</v>
      </c>
      <c r="J383" s="127">
        <f t="shared" si="122"/>
        <v>0.21344360024344594</v>
      </c>
      <c r="K383" s="126">
        <f t="shared" si="109"/>
        <v>2.4726445257698008E-2</v>
      </c>
      <c r="L383" s="41">
        <f t="shared" si="123"/>
        <v>224.74335492438072</v>
      </c>
      <c r="M383" s="41">
        <f t="shared" si="115"/>
        <v>-319.30133305092824</v>
      </c>
      <c r="N383" s="41">
        <f>(IF(C382&lt;='SOLLECITAZ NASCOSTO'!$P$12,IF(C382&lt;='SOLLECITAZ NASCOSTO'!$P$11,IF(C382&lt;='SOLLECITAZ NASCOSTO'!$P$10,IF(C382&lt;='SOLLECITAZ NASCOSTO'!$P$9,IF(C382&lt;='SOLLECITAZ NASCOSTO'!$P$8,IF(C382&lt;='SOLLECITAZ NASCOSTO'!$P$7,IF(C382&lt;='SOLLECITAZ NASCOSTO'!$P$6,IF(C382&lt;='SOLLECITAZ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paramento'!$G$111),55555)-IF(C382&lt;='SOLLECITAZ NASCOSTO'!$P$12,IF(C382&lt;='SOLLECITAZ NASCOSTO'!$P$11,IF(C382&lt;='SOLLECITAZ NASCOSTO'!$P$10,IF(C382&lt;='SOLLECITAZ NASCOSTO'!$P$9,IF(C382&lt;='SOLLECITAZ NASCOSTO'!$P$8,IF(C382&lt;='SOLLECITAZ NASCOSTO'!$P$7,IF(C382&lt;='SOLLECITAZ NASCOSTO'!$P$6,IF(C382&lt;='SOLLECITAZ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paramento'!$G$111))*(C382-IF(C382&lt;='SOLLECITAZ NASCOSTO'!$P$12,IF(C382&lt;='SOLLECITAZ NASCOSTO'!$P$11,IF(C382&lt;='SOLLECITAZ NASCOSTO'!$P$10,IF(C382&lt;='SOLLECITAZ NASCOSTO'!$P$9,IF(C382&lt;='SOLLECITAZ NASCOSTO'!$P$8,IF(C382&lt;='SOLLECITAZ NASCOSTO'!$P$7,IF(C382&lt;='SOLLECITAZ NASCOSTO'!$P$6,IF(C382&lt;='SOLLECITAZ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NASCOSTO'!$P$12))/IF(C382&lt;='SOLLECITAZ NASCOSTO'!$P$12,IF(C382&lt;='SOLLECITAZ NASCOSTO'!$P$11,IF(C382&lt;='SOLLECITAZ NASCOSTO'!$P$10,IF(C382&lt;='SOLLECITAZ NASCOSTO'!$P$9,IF(C382&lt;='SOLLECITAZ NASCOSTO'!$P$8,IF(C382&lt;='SOLLECITAZ NASCOSTO'!$P$7,IF(C382&lt;='SOLLECITAZ NASCOSTO'!$P$6,IF(C382&lt;='SOLLECITAZ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paramento'!$C$111)+IF(C382&lt;='SOLLECITAZ NASCOSTO'!$P$12,IF(C382&lt;='SOLLECITAZ NASCOSTO'!$P$11,IF(C382&lt;='SOLLECITAZ NASCOSTO'!$P$10,IF(C382&lt;='SOLLECITAZ NASCOSTO'!$P$9,IF(C382&lt;='SOLLECITAZ NASCOSTO'!$P$8,IF(C382&lt;='SOLLECITAZ NASCOSTO'!$P$7,IF(C382&lt;='SOLLECITAZ NASCOSTO'!$P$6,IF(C382&lt;='SOLLECITAZ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103.81537148198217</v>
      </c>
      <c r="O383" s="41">
        <f>IF(C383&lt;='SOLLECITAZ NASCOSTO'!$P$12,IF(C383&lt;='SOLLECITAZ NASCOSTO'!$P$11,IF(C383&lt;='SOLLECITAZ NASCOSTO'!$P$10,IF(C383&lt;='SOLLECITAZ NASCOSTO'!$P$9,IF(C383&lt;='SOLLECITAZ NASCOSTO'!$P$8,IF(C383&lt;='SOLLECITAZ NASCOSTO'!$P$7,IF(C383&lt;='SOLLECITAZ NASCOSTO'!$P$6,IF(C383&lt;='SOLLECITAZ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paramento'!$G$110),55555)*(C383-C382)/IF(C383&lt;='SOLLECITAZ NASCOSTO'!$P$12,IF(C383&lt;='SOLLECITAZ NASCOSTO'!$P$11,IF(C383&lt;='SOLLECITAZ NASCOSTO'!$P$10,IF(C383&lt;='SOLLECITAZ NASCOSTO'!$P$9,IF(C383&lt;='SOLLECITAZ NASCOSTO'!$P$8,IF(C383&lt;='SOLLECITAZ NASCOSTO'!$P$7,IF(C383&lt;='SOLLECITAZ NASCOSTO'!$P$6,IF(C383&lt;='SOLLECITAZ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83" s="41">
        <f t="shared" si="120"/>
        <v>3.50000000000002E-4</v>
      </c>
      <c r="Q383" s="41">
        <f t="shared" si="118"/>
        <v>1</v>
      </c>
      <c r="R383" s="434">
        <f t="shared" si="110"/>
        <v>3.8239269684701185</v>
      </c>
      <c r="S383" s="45">
        <f t="shared" si="119"/>
        <v>3.8239269684701185</v>
      </c>
      <c r="T383" s="205">
        <f t="shared" si="114"/>
        <v>1.2081346237907624</v>
      </c>
      <c r="U383" s="45">
        <f t="shared" si="116"/>
        <v>224.74335492438072</v>
      </c>
      <c r="V383" s="45">
        <f t="shared" si="117"/>
        <v>-319.30133305092824</v>
      </c>
      <c r="W383" s="488"/>
    </row>
    <row r="384" spans="1:23" s="421" customFormat="1" x14ac:dyDescent="0.25">
      <c r="A384" s="581">
        <f t="shared" si="111"/>
        <v>0.63947606412101365</v>
      </c>
      <c r="B384" s="31">
        <f t="shared" si="112"/>
        <v>352</v>
      </c>
      <c r="C384" s="434">
        <f>'SOLLECITAZ NASCOSTO'!$D$6/'SOLLECITAZ NASCOSTO'!$B$448*'SOLLECITAZ NASCOSTO'!B384</f>
        <v>3.8348213472976687</v>
      </c>
      <c r="D384" s="434">
        <f t="shared" si="113"/>
        <v>0.75947606412101365</v>
      </c>
      <c r="E384" s="434">
        <f t="shared" si="104"/>
        <v>0.63947606412101365</v>
      </c>
      <c r="F384" s="434">
        <f t="shared" si="105"/>
        <v>0.5046323405187243</v>
      </c>
      <c r="G384" s="434">
        <f t="shared" si="106"/>
        <v>0.10798462271563937</v>
      </c>
      <c r="H384" s="434">
        <f t="shared" si="121"/>
        <v>0</v>
      </c>
      <c r="I384" s="434">
        <v>0</v>
      </c>
      <c r="J384" s="127">
        <f t="shared" si="122"/>
        <v>0.21398672666250296</v>
      </c>
      <c r="K384" s="126">
        <f t="shared" si="109"/>
        <v>2.4875737350676948E-2</v>
      </c>
      <c r="L384" s="41">
        <f t="shared" si="123"/>
        <v>225.87857704289453</v>
      </c>
      <c r="M384" s="41">
        <f t="shared" si="115"/>
        <v>-321.75595606835526</v>
      </c>
      <c r="N384" s="41">
        <f>(IF(C383&lt;='SOLLECITAZ NASCOSTO'!$P$12,IF(C383&lt;='SOLLECITAZ NASCOSTO'!$P$11,IF(C383&lt;='SOLLECITAZ NASCOSTO'!$P$10,IF(C383&lt;='SOLLECITAZ NASCOSTO'!$P$9,IF(C383&lt;='SOLLECITAZ NASCOSTO'!$P$8,IF(C383&lt;='SOLLECITAZ NASCOSTO'!$P$7,IF(C383&lt;='SOLLECITAZ NASCOSTO'!$P$6,IF(C383&lt;='SOLLECITAZ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paramento'!$G$111),55555)-IF(C383&lt;='SOLLECITAZ NASCOSTO'!$P$12,IF(C383&lt;='SOLLECITAZ NASCOSTO'!$P$11,IF(C383&lt;='SOLLECITAZ NASCOSTO'!$P$10,IF(C383&lt;='SOLLECITAZ NASCOSTO'!$P$9,IF(C383&lt;='SOLLECITAZ NASCOSTO'!$P$8,IF(C383&lt;='SOLLECITAZ NASCOSTO'!$P$7,IF(C383&lt;='SOLLECITAZ NASCOSTO'!$P$6,IF(C383&lt;='SOLLECITAZ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paramento'!$G$111))*(C383-IF(C383&lt;='SOLLECITAZ NASCOSTO'!$P$12,IF(C383&lt;='SOLLECITAZ NASCOSTO'!$P$11,IF(C383&lt;='SOLLECITAZ NASCOSTO'!$P$10,IF(C383&lt;='SOLLECITAZ NASCOSTO'!$P$9,IF(C383&lt;='SOLLECITAZ NASCOSTO'!$P$8,IF(C383&lt;='SOLLECITAZ NASCOSTO'!$P$7,IF(C383&lt;='SOLLECITAZ NASCOSTO'!$P$6,IF(C383&lt;='SOLLECITAZ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NASCOSTO'!$P$12))/IF(C383&lt;='SOLLECITAZ NASCOSTO'!$P$12,IF(C383&lt;='SOLLECITAZ NASCOSTO'!$P$11,IF(C383&lt;='SOLLECITAZ NASCOSTO'!$P$10,IF(C383&lt;='SOLLECITAZ NASCOSTO'!$P$9,IF(C383&lt;='SOLLECITAZ NASCOSTO'!$P$8,IF(C383&lt;='SOLLECITAZ NASCOSTO'!$P$7,IF(C383&lt;='SOLLECITAZ NASCOSTO'!$P$6,IF(C383&lt;='SOLLECITAZ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paramento'!$C$111)+IF(C383&lt;='SOLLECITAZ NASCOSTO'!$P$12,IF(C383&lt;='SOLLECITAZ NASCOSTO'!$P$11,IF(C383&lt;='SOLLECITAZ NASCOSTO'!$P$10,IF(C383&lt;='SOLLECITAZ NASCOSTO'!$P$9,IF(C383&lt;='SOLLECITAZ NASCOSTO'!$P$8,IF(C383&lt;='SOLLECITAZ NASCOSTO'!$P$7,IF(C383&lt;='SOLLECITAZ NASCOSTO'!$P$6,IF(C383&lt;='SOLLECITAZ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104.07349441143157</v>
      </c>
      <c r="O384" s="41">
        <f>IF(C384&lt;='SOLLECITAZ NASCOSTO'!$P$12,IF(C384&lt;='SOLLECITAZ NASCOSTO'!$P$11,IF(C384&lt;='SOLLECITAZ NASCOSTO'!$P$10,IF(C384&lt;='SOLLECITAZ NASCOSTO'!$P$9,IF(C384&lt;='SOLLECITAZ NASCOSTO'!$P$8,IF(C384&lt;='SOLLECITAZ NASCOSTO'!$P$7,IF(C384&lt;='SOLLECITAZ NASCOSTO'!$P$6,IF(C384&lt;='SOLLECITAZ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paramento'!$G$110),55555)*(C384-C383)/IF(C384&lt;='SOLLECITAZ NASCOSTO'!$P$12,IF(C384&lt;='SOLLECITAZ NASCOSTO'!$P$11,IF(C384&lt;='SOLLECITAZ NASCOSTO'!$P$10,IF(C384&lt;='SOLLECITAZ NASCOSTO'!$P$9,IF(C384&lt;='SOLLECITAZ NASCOSTO'!$P$8,IF(C384&lt;='SOLLECITAZ NASCOSTO'!$P$7,IF(C384&lt;='SOLLECITAZ NASCOSTO'!$P$6,IF(C384&lt;='SOLLECITAZ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84" s="41">
        <f t="shared" si="120"/>
        <v>3.5100000000000203E-4</v>
      </c>
      <c r="Q384" s="41">
        <f t="shared" si="118"/>
        <v>1</v>
      </c>
      <c r="R384" s="434">
        <f t="shared" si="110"/>
        <v>3.8348213472976687</v>
      </c>
      <c r="S384" s="45">
        <f t="shared" si="119"/>
        <v>3.8348213472976687</v>
      </c>
      <c r="T384" s="205">
        <f t="shared" si="114"/>
        <v>1.1972402449632122</v>
      </c>
      <c r="U384" s="45">
        <f t="shared" si="116"/>
        <v>225.87857704289453</v>
      </c>
      <c r="V384" s="45">
        <f t="shared" si="117"/>
        <v>-321.75595606835526</v>
      </c>
      <c r="W384" s="488"/>
    </row>
    <row r="385" spans="1:23" s="421" customFormat="1" x14ac:dyDescent="0.25">
      <c r="A385" s="581">
        <f t="shared" si="111"/>
        <v>0.6410469068691228</v>
      </c>
      <c r="B385" s="31">
        <f t="shared" si="112"/>
        <v>353</v>
      </c>
      <c r="C385" s="434">
        <f>'SOLLECITAZ NASCOSTO'!$D$6/'SOLLECITAZ NASCOSTO'!$B$448*'SOLLECITAZ NASCOSTO'!B385</f>
        <v>3.8457157261252188</v>
      </c>
      <c r="D385" s="434">
        <f t="shared" si="113"/>
        <v>0.7610469068691228</v>
      </c>
      <c r="E385" s="434">
        <f t="shared" si="104"/>
        <v>0.6410469068691228</v>
      </c>
      <c r="F385" s="434">
        <f t="shared" si="105"/>
        <v>0.50513501019811935</v>
      </c>
      <c r="G385" s="434">
        <f t="shared" si="106"/>
        <v>0.10836678311280949</v>
      </c>
      <c r="H385" s="434">
        <f t="shared" si="121"/>
        <v>0</v>
      </c>
      <c r="I385" s="434">
        <v>0</v>
      </c>
      <c r="J385" s="127">
        <f t="shared" si="122"/>
        <v>0.21453033530641022</v>
      </c>
      <c r="K385" s="126">
        <f t="shared" si="109"/>
        <v>2.5025592912827285E-2</v>
      </c>
      <c r="L385" s="41">
        <f t="shared" si="123"/>
        <v>227.01661125038586</v>
      </c>
      <c r="M385" s="41">
        <f t="shared" si="115"/>
        <v>-324.22296194357608</v>
      </c>
      <c r="N385" s="41">
        <f>(IF(C384&lt;='SOLLECITAZ NASCOSTO'!$P$12,IF(C384&lt;='SOLLECITAZ NASCOSTO'!$P$11,IF(C384&lt;='SOLLECITAZ NASCOSTO'!$P$10,IF(C384&lt;='SOLLECITAZ NASCOSTO'!$P$9,IF(C384&lt;='SOLLECITAZ NASCOSTO'!$P$8,IF(C384&lt;='SOLLECITAZ NASCOSTO'!$P$7,IF(C384&lt;='SOLLECITAZ NASCOSTO'!$P$6,IF(C384&lt;='SOLLECITAZ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paramento'!$G$111),55555)-IF(C384&lt;='SOLLECITAZ NASCOSTO'!$P$12,IF(C384&lt;='SOLLECITAZ NASCOSTO'!$P$11,IF(C384&lt;='SOLLECITAZ NASCOSTO'!$P$10,IF(C384&lt;='SOLLECITAZ NASCOSTO'!$P$9,IF(C384&lt;='SOLLECITAZ NASCOSTO'!$P$8,IF(C384&lt;='SOLLECITAZ NASCOSTO'!$P$7,IF(C384&lt;='SOLLECITAZ NASCOSTO'!$P$6,IF(C384&lt;='SOLLECITAZ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paramento'!$G$111))*(C384-IF(C384&lt;='SOLLECITAZ NASCOSTO'!$P$12,IF(C384&lt;='SOLLECITAZ NASCOSTO'!$P$11,IF(C384&lt;='SOLLECITAZ NASCOSTO'!$P$10,IF(C384&lt;='SOLLECITAZ NASCOSTO'!$P$9,IF(C384&lt;='SOLLECITAZ NASCOSTO'!$P$8,IF(C384&lt;='SOLLECITAZ NASCOSTO'!$P$7,IF(C384&lt;='SOLLECITAZ NASCOSTO'!$P$6,IF(C384&lt;='SOLLECITAZ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NASCOSTO'!$P$12))/IF(C384&lt;='SOLLECITAZ NASCOSTO'!$P$12,IF(C384&lt;='SOLLECITAZ NASCOSTO'!$P$11,IF(C384&lt;='SOLLECITAZ NASCOSTO'!$P$10,IF(C384&lt;='SOLLECITAZ NASCOSTO'!$P$9,IF(C384&lt;='SOLLECITAZ NASCOSTO'!$P$8,IF(C384&lt;='SOLLECITAZ NASCOSTO'!$P$7,IF(C384&lt;='SOLLECITAZ NASCOSTO'!$P$6,IF(C384&lt;='SOLLECITAZ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paramento'!$C$111)+IF(C384&lt;='SOLLECITAZ NASCOSTO'!$P$12,IF(C384&lt;='SOLLECITAZ NASCOSTO'!$P$11,IF(C384&lt;='SOLLECITAZ NASCOSTO'!$P$10,IF(C384&lt;='SOLLECITAZ NASCOSTO'!$P$9,IF(C384&lt;='SOLLECITAZ NASCOSTO'!$P$8,IF(C384&lt;='SOLLECITAZ NASCOSTO'!$P$7,IF(C384&lt;='SOLLECITAZ NASCOSTO'!$P$6,IF(C384&lt;='SOLLECITAZ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104.331617340881</v>
      </c>
      <c r="O385" s="41">
        <f>IF(C385&lt;='SOLLECITAZ NASCOSTO'!$P$12,IF(C385&lt;='SOLLECITAZ NASCOSTO'!$P$11,IF(C385&lt;='SOLLECITAZ NASCOSTO'!$P$10,IF(C385&lt;='SOLLECITAZ NASCOSTO'!$P$9,IF(C385&lt;='SOLLECITAZ NASCOSTO'!$P$8,IF(C385&lt;='SOLLECITAZ NASCOSTO'!$P$7,IF(C385&lt;='SOLLECITAZ NASCOSTO'!$P$6,IF(C385&lt;='SOLLECITAZ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paramento'!$G$110),55555)*(C385-C384)/IF(C385&lt;='SOLLECITAZ NASCOSTO'!$P$12,IF(C385&lt;='SOLLECITAZ NASCOSTO'!$P$11,IF(C385&lt;='SOLLECITAZ NASCOSTO'!$P$10,IF(C385&lt;='SOLLECITAZ NASCOSTO'!$P$9,IF(C385&lt;='SOLLECITAZ NASCOSTO'!$P$8,IF(C385&lt;='SOLLECITAZ NASCOSTO'!$P$7,IF(C385&lt;='SOLLECITAZ NASCOSTO'!$P$6,IF(C385&lt;='SOLLECITAZ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85" s="41">
        <f t="shared" si="120"/>
        <v>3.5200000000000205E-4</v>
      </c>
      <c r="Q385" s="41">
        <f t="shared" si="118"/>
        <v>1</v>
      </c>
      <c r="R385" s="434">
        <f t="shared" si="110"/>
        <v>3.8457157261252188</v>
      </c>
      <c r="S385" s="45">
        <f t="shared" si="119"/>
        <v>3.8457157261252188</v>
      </c>
      <c r="T385" s="205">
        <f t="shared" si="114"/>
        <v>1.1863458661356621</v>
      </c>
      <c r="U385" s="45">
        <f t="shared" si="116"/>
        <v>227.01661125038586</v>
      </c>
      <c r="V385" s="45">
        <f t="shared" si="117"/>
        <v>-324.22296194357608</v>
      </c>
      <c r="W385" s="488"/>
    </row>
    <row r="386" spans="1:23" s="421" customFormat="1" x14ac:dyDescent="0.25">
      <c r="A386" s="581">
        <f t="shared" si="111"/>
        <v>0.64261774961723195</v>
      </c>
      <c r="B386" s="31">
        <f t="shared" si="112"/>
        <v>354</v>
      </c>
      <c r="C386" s="434">
        <f>'SOLLECITAZ NASCOSTO'!$D$6/'SOLLECITAZ NASCOSTO'!$B$448*'SOLLECITAZ NASCOSTO'!B386</f>
        <v>3.856610104952769</v>
      </c>
      <c r="D386" s="434">
        <f t="shared" si="113"/>
        <v>0.76261774961723194</v>
      </c>
      <c r="E386" s="434">
        <f t="shared" si="104"/>
        <v>0.64261774961723195</v>
      </c>
      <c r="F386" s="434">
        <f t="shared" si="105"/>
        <v>0.50563767987751418</v>
      </c>
      <c r="G386" s="434">
        <f t="shared" si="106"/>
        <v>0.10874973312500018</v>
      </c>
      <c r="H386" s="434">
        <f t="shared" si="121"/>
        <v>0</v>
      </c>
      <c r="I386" s="434">
        <v>0</v>
      </c>
      <c r="J386" s="127">
        <f t="shared" si="122"/>
        <v>0.21507442473698507</v>
      </c>
      <c r="K386" s="126">
        <f t="shared" si="109"/>
        <v>2.5176012740686669E-2</v>
      </c>
      <c r="L386" s="41">
        <f t="shared" si="123"/>
        <v>228.15745754685469</v>
      </c>
      <c r="M386" s="41">
        <f t="shared" si="115"/>
        <v>-326.70238131255337</v>
      </c>
      <c r="N386" s="41">
        <f>(IF(C385&lt;='SOLLECITAZ NASCOSTO'!$P$12,IF(C385&lt;='SOLLECITAZ NASCOSTO'!$P$11,IF(C385&lt;='SOLLECITAZ NASCOSTO'!$P$10,IF(C385&lt;='SOLLECITAZ NASCOSTO'!$P$9,IF(C385&lt;='SOLLECITAZ NASCOSTO'!$P$8,IF(C385&lt;='SOLLECITAZ NASCOSTO'!$P$7,IF(C385&lt;='SOLLECITAZ NASCOSTO'!$P$6,IF(C385&lt;='SOLLECITAZ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paramento'!$G$111),55555)-IF(C385&lt;='SOLLECITAZ NASCOSTO'!$P$12,IF(C385&lt;='SOLLECITAZ NASCOSTO'!$P$11,IF(C385&lt;='SOLLECITAZ NASCOSTO'!$P$10,IF(C385&lt;='SOLLECITAZ NASCOSTO'!$P$9,IF(C385&lt;='SOLLECITAZ NASCOSTO'!$P$8,IF(C385&lt;='SOLLECITAZ NASCOSTO'!$P$7,IF(C385&lt;='SOLLECITAZ NASCOSTO'!$P$6,IF(C385&lt;='SOLLECITAZ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paramento'!$G$111))*(C385-IF(C385&lt;='SOLLECITAZ NASCOSTO'!$P$12,IF(C385&lt;='SOLLECITAZ NASCOSTO'!$P$11,IF(C385&lt;='SOLLECITAZ NASCOSTO'!$P$10,IF(C385&lt;='SOLLECITAZ NASCOSTO'!$P$9,IF(C385&lt;='SOLLECITAZ NASCOSTO'!$P$8,IF(C385&lt;='SOLLECITAZ NASCOSTO'!$P$7,IF(C385&lt;='SOLLECITAZ NASCOSTO'!$P$6,IF(C385&lt;='SOLLECITAZ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NASCOSTO'!$P$12))/IF(C385&lt;='SOLLECITAZ NASCOSTO'!$P$12,IF(C385&lt;='SOLLECITAZ NASCOSTO'!$P$11,IF(C385&lt;='SOLLECITAZ NASCOSTO'!$P$10,IF(C385&lt;='SOLLECITAZ NASCOSTO'!$P$9,IF(C385&lt;='SOLLECITAZ NASCOSTO'!$P$8,IF(C385&lt;='SOLLECITAZ NASCOSTO'!$P$7,IF(C385&lt;='SOLLECITAZ NASCOSTO'!$P$6,IF(C385&lt;='SOLLECITAZ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paramento'!$C$111)+IF(C385&lt;='SOLLECITAZ NASCOSTO'!$P$12,IF(C385&lt;='SOLLECITAZ NASCOSTO'!$P$11,IF(C385&lt;='SOLLECITAZ NASCOSTO'!$P$10,IF(C385&lt;='SOLLECITAZ NASCOSTO'!$P$9,IF(C385&lt;='SOLLECITAZ NASCOSTO'!$P$8,IF(C385&lt;='SOLLECITAZ NASCOSTO'!$P$7,IF(C385&lt;='SOLLECITAZ NASCOSTO'!$P$6,IF(C385&lt;='SOLLECITAZ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104.5897402703304</v>
      </c>
      <c r="O386" s="41">
        <f>IF(C386&lt;='SOLLECITAZ NASCOSTO'!$P$12,IF(C386&lt;='SOLLECITAZ NASCOSTO'!$P$11,IF(C386&lt;='SOLLECITAZ NASCOSTO'!$P$10,IF(C386&lt;='SOLLECITAZ NASCOSTO'!$P$9,IF(C386&lt;='SOLLECITAZ NASCOSTO'!$P$8,IF(C386&lt;='SOLLECITAZ NASCOSTO'!$P$7,IF(C386&lt;='SOLLECITAZ NASCOSTO'!$P$6,IF(C386&lt;='SOLLECITAZ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paramento'!$G$110),55555)*(C386-C385)/IF(C386&lt;='SOLLECITAZ NASCOSTO'!$P$12,IF(C386&lt;='SOLLECITAZ NASCOSTO'!$P$11,IF(C386&lt;='SOLLECITAZ NASCOSTO'!$P$10,IF(C386&lt;='SOLLECITAZ NASCOSTO'!$P$9,IF(C386&lt;='SOLLECITAZ NASCOSTO'!$P$8,IF(C386&lt;='SOLLECITAZ NASCOSTO'!$P$7,IF(C386&lt;='SOLLECITAZ NASCOSTO'!$P$6,IF(C386&lt;='SOLLECITAZ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86" s="41">
        <f t="shared" si="120"/>
        <v>3.5300000000000208E-4</v>
      </c>
      <c r="Q386" s="41">
        <f t="shared" si="118"/>
        <v>1</v>
      </c>
      <c r="R386" s="434">
        <f t="shared" si="110"/>
        <v>3.856610104952769</v>
      </c>
      <c r="S386" s="45">
        <f t="shared" si="119"/>
        <v>3.856610104952769</v>
      </c>
      <c r="T386" s="205">
        <f t="shared" si="114"/>
        <v>1.1754514873081119</v>
      </c>
      <c r="U386" s="45">
        <f t="shared" si="116"/>
        <v>228.15745754685469</v>
      </c>
      <c r="V386" s="45">
        <f t="shared" si="117"/>
        <v>-326.70238131255337</v>
      </c>
      <c r="W386" s="488"/>
    </row>
    <row r="387" spans="1:23" s="421" customFormat="1" x14ac:dyDescent="0.25">
      <c r="A387" s="581">
        <f t="shared" si="111"/>
        <v>0.6441885923653411</v>
      </c>
      <c r="B387" s="31">
        <f t="shared" si="112"/>
        <v>355</v>
      </c>
      <c r="C387" s="434">
        <f>'SOLLECITAZ NASCOSTO'!$D$6/'SOLLECITAZ NASCOSTO'!$B$448*'SOLLECITAZ NASCOSTO'!B387</f>
        <v>3.8675044837803192</v>
      </c>
      <c r="D387" s="434">
        <f t="shared" si="113"/>
        <v>0.76418859236534109</v>
      </c>
      <c r="E387" s="434">
        <f t="shared" si="104"/>
        <v>0.6441885923653411</v>
      </c>
      <c r="F387" s="434">
        <f t="shared" si="105"/>
        <v>0.50614034955690912</v>
      </c>
      <c r="G387" s="434">
        <f t="shared" si="106"/>
        <v>0.10913347275221144</v>
      </c>
      <c r="H387" s="434">
        <f t="shared" si="121"/>
        <v>0</v>
      </c>
      <c r="I387" s="434">
        <v>0</v>
      </c>
      <c r="J387" s="127">
        <f t="shared" si="122"/>
        <v>0.21561899352175784</v>
      </c>
      <c r="K387" s="126">
        <f t="shared" si="109"/>
        <v>2.5326997630092232E-2</v>
      </c>
      <c r="L387" s="41">
        <f t="shared" si="123"/>
        <v>229.301115932301</v>
      </c>
      <c r="M387" s="41">
        <f t="shared" si="115"/>
        <v>-329.19424481124969</v>
      </c>
      <c r="N387" s="41">
        <f>(IF(C386&lt;='SOLLECITAZ NASCOSTO'!$P$12,IF(C386&lt;='SOLLECITAZ NASCOSTO'!$P$11,IF(C386&lt;='SOLLECITAZ NASCOSTO'!$P$10,IF(C386&lt;='SOLLECITAZ NASCOSTO'!$P$9,IF(C386&lt;='SOLLECITAZ NASCOSTO'!$P$8,IF(C386&lt;='SOLLECITAZ NASCOSTO'!$P$7,IF(C386&lt;='SOLLECITAZ NASCOSTO'!$P$6,IF(C386&lt;='SOLLECITAZ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paramento'!$G$111),55555)-IF(C386&lt;='SOLLECITAZ NASCOSTO'!$P$12,IF(C386&lt;='SOLLECITAZ NASCOSTO'!$P$11,IF(C386&lt;='SOLLECITAZ NASCOSTO'!$P$10,IF(C386&lt;='SOLLECITAZ NASCOSTO'!$P$9,IF(C386&lt;='SOLLECITAZ NASCOSTO'!$P$8,IF(C386&lt;='SOLLECITAZ NASCOSTO'!$P$7,IF(C386&lt;='SOLLECITAZ NASCOSTO'!$P$6,IF(C386&lt;='SOLLECITAZ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paramento'!$G$111))*(C386-IF(C386&lt;='SOLLECITAZ NASCOSTO'!$P$12,IF(C386&lt;='SOLLECITAZ NASCOSTO'!$P$11,IF(C386&lt;='SOLLECITAZ NASCOSTO'!$P$10,IF(C386&lt;='SOLLECITAZ NASCOSTO'!$P$9,IF(C386&lt;='SOLLECITAZ NASCOSTO'!$P$8,IF(C386&lt;='SOLLECITAZ NASCOSTO'!$P$7,IF(C386&lt;='SOLLECITAZ NASCOSTO'!$P$6,IF(C386&lt;='SOLLECITAZ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NASCOSTO'!$P$12))/IF(C386&lt;='SOLLECITAZ NASCOSTO'!$P$12,IF(C386&lt;='SOLLECITAZ NASCOSTO'!$P$11,IF(C386&lt;='SOLLECITAZ NASCOSTO'!$P$10,IF(C386&lt;='SOLLECITAZ NASCOSTO'!$P$9,IF(C386&lt;='SOLLECITAZ NASCOSTO'!$P$8,IF(C386&lt;='SOLLECITAZ NASCOSTO'!$P$7,IF(C386&lt;='SOLLECITAZ NASCOSTO'!$P$6,IF(C386&lt;='SOLLECITAZ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paramento'!$C$111)+IF(C386&lt;='SOLLECITAZ NASCOSTO'!$P$12,IF(C386&lt;='SOLLECITAZ NASCOSTO'!$P$11,IF(C386&lt;='SOLLECITAZ NASCOSTO'!$P$10,IF(C386&lt;='SOLLECITAZ NASCOSTO'!$P$9,IF(C386&lt;='SOLLECITAZ NASCOSTO'!$P$8,IF(C386&lt;='SOLLECITAZ NASCOSTO'!$P$7,IF(C386&lt;='SOLLECITAZ NASCOSTO'!$P$6,IF(C386&lt;='SOLLECITAZ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104.84786319977979</v>
      </c>
      <c r="O387" s="41">
        <f>IF(C387&lt;='SOLLECITAZ NASCOSTO'!$P$12,IF(C387&lt;='SOLLECITAZ NASCOSTO'!$P$11,IF(C387&lt;='SOLLECITAZ NASCOSTO'!$P$10,IF(C387&lt;='SOLLECITAZ NASCOSTO'!$P$9,IF(C387&lt;='SOLLECITAZ NASCOSTO'!$P$8,IF(C387&lt;='SOLLECITAZ NASCOSTO'!$P$7,IF(C387&lt;='SOLLECITAZ NASCOSTO'!$P$6,IF(C387&lt;='SOLLECITAZ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paramento'!$G$110),55555)*(C387-C386)/IF(C387&lt;='SOLLECITAZ NASCOSTO'!$P$12,IF(C387&lt;='SOLLECITAZ NASCOSTO'!$P$11,IF(C387&lt;='SOLLECITAZ NASCOSTO'!$P$10,IF(C387&lt;='SOLLECITAZ NASCOSTO'!$P$9,IF(C387&lt;='SOLLECITAZ NASCOSTO'!$P$8,IF(C387&lt;='SOLLECITAZ NASCOSTO'!$P$7,IF(C387&lt;='SOLLECITAZ NASCOSTO'!$P$6,IF(C387&lt;='SOLLECITAZ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87" s="41">
        <f t="shared" si="120"/>
        <v>3.540000000000021E-4</v>
      </c>
      <c r="Q387" s="41">
        <f t="shared" si="118"/>
        <v>1</v>
      </c>
      <c r="R387" s="434">
        <f t="shared" si="110"/>
        <v>3.8675044837803192</v>
      </c>
      <c r="S387" s="45">
        <f t="shared" si="119"/>
        <v>3.8675044837803192</v>
      </c>
      <c r="T387" s="205">
        <f t="shared" si="114"/>
        <v>1.1645571084805617</v>
      </c>
      <c r="U387" s="45">
        <f t="shared" si="116"/>
        <v>229.301115932301</v>
      </c>
      <c r="V387" s="45">
        <f t="shared" si="117"/>
        <v>-329.19424481124969</v>
      </c>
      <c r="W387" s="488"/>
    </row>
    <row r="388" spans="1:23" s="421" customFormat="1" x14ac:dyDescent="0.25">
      <c r="A388" s="581">
        <f t="shared" si="111"/>
        <v>0.64575943511345024</v>
      </c>
      <c r="B388" s="31">
        <f t="shared" si="112"/>
        <v>356</v>
      </c>
      <c r="C388" s="434">
        <f>'SOLLECITAZ NASCOSTO'!$D$6/'SOLLECITAZ NASCOSTO'!$B$448*'SOLLECITAZ NASCOSTO'!B388</f>
        <v>3.8783988626078694</v>
      </c>
      <c r="D388" s="434">
        <f t="shared" si="113"/>
        <v>0.76575943511345024</v>
      </c>
      <c r="E388" s="434">
        <f t="shared" si="104"/>
        <v>0.64575943511345024</v>
      </c>
      <c r="F388" s="434">
        <f t="shared" si="105"/>
        <v>0.50664301923630406</v>
      </c>
      <c r="G388" s="434">
        <f t="shared" si="106"/>
        <v>0.10951800199444327</v>
      </c>
      <c r="H388" s="434">
        <f t="shared" si="121"/>
        <v>0</v>
      </c>
      <c r="I388" s="434">
        <v>0</v>
      </c>
      <c r="J388" s="127">
        <f t="shared" si="122"/>
        <v>0.21616404023394395</v>
      </c>
      <c r="K388" s="126">
        <f t="shared" si="109"/>
        <v>2.5478548376183928E-2</v>
      </c>
      <c r="L388" s="41">
        <f t="shared" si="123"/>
        <v>230.44758640672481</v>
      </c>
      <c r="M388" s="41">
        <f t="shared" si="115"/>
        <v>-331.69858307562765</v>
      </c>
      <c r="N388" s="41">
        <f>(IF(C387&lt;='SOLLECITAZ NASCOSTO'!$P$12,IF(C387&lt;='SOLLECITAZ NASCOSTO'!$P$11,IF(C387&lt;='SOLLECITAZ NASCOSTO'!$P$10,IF(C387&lt;='SOLLECITAZ NASCOSTO'!$P$9,IF(C387&lt;='SOLLECITAZ NASCOSTO'!$P$8,IF(C387&lt;='SOLLECITAZ NASCOSTO'!$P$7,IF(C387&lt;='SOLLECITAZ NASCOSTO'!$P$6,IF(C387&lt;='SOLLECITAZ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paramento'!$G$111),55555)-IF(C387&lt;='SOLLECITAZ NASCOSTO'!$P$12,IF(C387&lt;='SOLLECITAZ NASCOSTO'!$P$11,IF(C387&lt;='SOLLECITAZ NASCOSTO'!$P$10,IF(C387&lt;='SOLLECITAZ NASCOSTO'!$P$9,IF(C387&lt;='SOLLECITAZ NASCOSTO'!$P$8,IF(C387&lt;='SOLLECITAZ NASCOSTO'!$P$7,IF(C387&lt;='SOLLECITAZ NASCOSTO'!$P$6,IF(C387&lt;='SOLLECITAZ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paramento'!$G$111))*(C387-IF(C387&lt;='SOLLECITAZ NASCOSTO'!$P$12,IF(C387&lt;='SOLLECITAZ NASCOSTO'!$P$11,IF(C387&lt;='SOLLECITAZ NASCOSTO'!$P$10,IF(C387&lt;='SOLLECITAZ NASCOSTO'!$P$9,IF(C387&lt;='SOLLECITAZ NASCOSTO'!$P$8,IF(C387&lt;='SOLLECITAZ NASCOSTO'!$P$7,IF(C387&lt;='SOLLECITAZ NASCOSTO'!$P$6,IF(C387&lt;='SOLLECITAZ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NASCOSTO'!$P$12))/IF(C387&lt;='SOLLECITAZ NASCOSTO'!$P$12,IF(C387&lt;='SOLLECITAZ NASCOSTO'!$P$11,IF(C387&lt;='SOLLECITAZ NASCOSTO'!$P$10,IF(C387&lt;='SOLLECITAZ NASCOSTO'!$P$9,IF(C387&lt;='SOLLECITAZ NASCOSTO'!$P$8,IF(C387&lt;='SOLLECITAZ NASCOSTO'!$P$7,IF(C387&lt;='SOLLECITAZ NASCOSTO'!$P$6,IF(C387&lt;='SOLLECITAZ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paramento'!$C$111)+IF(C387&lt;='SOLLECITAZ NASCOSTO'!$P$12,IF(C387&lt;='SOLLECITAZ NASCOSTO'!$P$11,IF(C387&lt;='SOLLECITAZ NASCOSTO'!$P$10,IF(C387&lt;='SOLLECITAZ NASCOSTO'!$P$9,IF(C387&lt;='SOLLECITAZ NASCOSTO'!$P$8,IF(C387&lt;='SOLLECITAZ NASCOSTO'!$P$7,IF(C387&lt;='SOLLECITAZ NASCOSTO'!$P$6,IF(C387&lt;='SOLLECITAZ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105.10598612922919</v>
      </c>
      <c r="O388" s="41">
        <f>IF(C388&lt;='SOLLECITAZ NASCOSTO'!$P$12,IF(C388&lt;='SOLLECITAZ NASCOSTO'!$P$11,IF(C388&lt;='SOLLECITAZ NASCOSTO'!$P$10,IF(C388&lt;='SOLLECITAZ NASCOSTO'!$P$9,IF(C388&lt;='SOLLECITAZ NASCOSTO'!$P$8,IF(C388&lt;='SOLLECITAZ NASCOSTO'!$P$7,IF(C388&lt;='SOLLECITAZ NASCOSTO'!$P$6,IF(C388&lt;='SOLLECITAZ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paramento'!$G$110),55555)*(C388-C387)/IF(C388&lt;='SOLLECITAZ NASCOSTO'!$P$12,IF(C388&lt;='SOLLECITAZ NASCOSTO'!$P$11,IF(C388&lt;='SOLLECITAZ NASCOSTO'!$P$10,IF(C388&lt;='SOLLECITAZ NASCOSTO'!$P$9,IF(C388&lt;='SOLLECITAZ NASCOSTO'!$P$8,IF(C388&lt;='SOLLECITAZ NASCOSTO'!$P$7,IF(C388&lt;='SOLLECITAZ NASCOSTO'!$P$6,IF(C388&lt;='SOLLECITAZ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88" s="41">
        <f t="shared" si="120"/>
        <v>3.5500000000000212E-4</v>
      </c>
      <c r="Q388" s="41">
        <f t="shared" si="118"/>
        <v>1</v>
      </c>
      <c r="R388" s="434">
        <f t="shared" si="110"/>
        <v>3.8783988626078694</v>
      </c>
      <c r="S388" s="45">
        <f t="shared" si="119"/>
        <v>3.8783988626078694</v>
      </c>
      <c r="T388" s="205">
        <f t="shared" si="114"/>
        <v>1.1536627296530115</v>
      </c>
      <c r="U388" s="45">
        <f t="shared" si="116"/>
        <v>230.44758640672481</v>
      </c>
      <c r="V388" s="45">
        <f t="shared" si="117"/>
        <v>-331.69858307562765</v>
      </c>
      <c r="W388" s="488"/>
    </row>
    <row r="389" spans="1:23" s="421" customFormat="1" x14ac:dyDescent="0.25">
      <c r="A389" s="581">
        <f t="shared" si="111"/>
        <v>0.6473302778615595</v>
      </c>
      <c r="B389" s="31">
        <f t="shared" si="112"/>
        <v>357</v>
      </c>
      <c r="C389" s="434">
        <f>'SOLLECITAZ NASCOSTO'!$D$6/'SOLLECITAZ NASCOSTO'!$B$448*'SOLLECITAZ NASCOSTO'!B389</f>
        <v>3.8892932414354195</v>
      </c>
      <c r="D389" s="434">
        <f t="shared" si="113"/>
        <v>0.7673302778615595</v>
      </c>
      <c r="E389" s="434">
        <f t="shared" si="104"/>
        <v>0.6473302778615595</v>
      </c>
      <c r="F389" s="434">
        <f t="shared" si="105"/>
        <v>0.507145688915699</v>
      </c>
      <c r="G389" s="434">
        <f t="shared" si="106"/>
        <v>0.1099033208516957</v>
      </c>
      <c r="H389" s="434">
        <f t="shared" si="121"/>
        <v>0</v>
      </c>
      <c r="I389" s="434">
        <v>0</v>
      </c>
      <c r="J389" s="127">
        <f t="shared" si="122"/>
        <v>0.2167095634524156</v>
      </c>
      <c r="K389" s="126">
        <f t="shared" si="109"/>
        <v>2.5630665773408098E-2</v>
      </c>
      <c r="L389" s="41">
        <f t="shared" si="123"/>
        <v>231.59686897012614</v>
      </c>
      <c r="M389" s="41">
        <f t="shared" si="115"/>
        <v>-334.21542674164994</v>
      </c>
      <c r="N389" s="41">
        <f>(IF(C388&lt;='SOLLECITAZ NASCOSTO'!$P$12,IF(C388&lt;='SOLLECITAZ NASCOSTO'!$P$11,IF(C388&lt;='SOLLECITAZ NASCOSTO'!$P$10,IF(C388&lt;='SOLLECITAZ NASCOSTO'!$P$9,IF(C388&lt;='SOLLECITAZ NASCOSTO'!$P$8,IF(C388&lt;='SOLLECITAZ NASCOSTO'!$P$7,IF(C388&lt;='SOLLECITAZ NASCOSTO'!$P$6,IF(C388&lt;='SOLLECITAZ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paramento'!$G$111),55555)-IF(C388&lt;='SOLLECITAZ NASCOSTO'!$P$12,IF(C388&lt;='SOLLECITAZ NASCOSTO'!$P$11,IF(C388&lt;='SOLLECITAZ NASCOSTO'!$P$10,IF(C388&lt;='SOLLECITAZ NASCOSTO'!$P$9,IF(C388&lt;='SOLLECITAZ NASCOSTO'!$P$8,IF(C388&lt;='SOLLECITAZ NASCOSTO'!$P$7,IF(C388&lt;='SOLLECITAZ NASCOSTO'!$P$6,IF(C388&lt;='SOLLECITAZ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paramento'!$G$111))*(C388-IF(C388&lt;='SOLLECITAZ NASCOSTO'!$P$12,IF(C388&lt;='SOLLECITAZ NASCOSTO'!$P$11,IF(C388&lt;='SOLLECITAZ NASCOSTO'!$P$10,IF(C388&lt;='SOLLECITAZ NASCOSTO'!$P$9,IF(C388&lt;='SOLLECITAZ NASCOSTO'!$P$8,IF(C388&lt;='SOLLECITAZ NASCOSTO'!$P$7,IF(C388&lt;='SOLLECITAZ NASCOSTO'!$P$6,IF(C388&lt;='SOLLECITAZ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NASCOSTO'!$P$12))/IF(C388&lt;='SOLLECITAZ NASCOSTO'!$P$12,IF(C388&lt;='SOLLECITAZ NASCOSTO'!$P$11,IF(C388&lt;='SOLLECITAZ NASCOSTO'!$P$10,IF(C388&lt;='SOLLECITAZ NASCOSTO'!$P$9,IF(C388&lt;='SOLLECITAZ NASCOSTO'!$P$8,IF(C388&lt;='SOLLECITAZ NASCOSTO'!$P$7,IF(C388&lt;='SOLLECITAZ NASCOSTO'!$P$6,IF(C388&lt;='SOLLECITAZ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paramento'!$C$111)+IF(C388&lt;='SOLLECITAZ NASCOSTO'!$P$12,IF(C388&lt;='SOLLECITAZ NASCOSTO'!$P$11,IF(C388&lt;='SOLLECITAZ NASCOSTO'!$P$10,IF(C388&lt;='SOLLECITAZ NASCOSTO'!$P$9,IF(C388&lt;='SOLLECITAZ NASCOSTO'!$P$8,IF(C388&lt;='SOLLECITAZ NASCOSTO'!$P$7,IF(C388&lt;='SOLLECITAZ NASCOSTO'!$P$6,IF(C388&lt;='SOLLECITAZ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105.36410905867862</v>
      </c>
      <c r="O389" s="41">
        <f>IF(C389&lt;='SOLLECITAZ NASCOSTO'!$P$12,IF(C389&lt;='SOLLECITAZ NASCOSTO'!$P$11,IF(C389&lt;='SOLLECITAZ NASCOSTO'!$P$10,IF(C389&lt;='SOLLECITAZ NASCOSTO'!$P$9,IF(C389&lt;='SOLLECITAZ NASCOSTO'!$P$8,IF(C389&lt;='SOLLECITAZ NASCOSTO'!$P$7,IF(C389&lt;='SOLLECITAZ NASCOSTO'!$P$6,IF(C389&lt;='SOLLECITAZ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paramento'!$G$110),55555)*(C389-C388)/IF(C389&lt;='SOLLECITAZ NASCOSTO'!$P$12,IF(C389&lt;='SOLLECITAZ NASCOSTO'!$P$11,IF(C389&lt;='SOLLECITAZ NASCOSTO'!$P$10,IF(C389&lt;='SOLLECITAZ NASCOSTO'!$P$9,IF(C389&lt;='SOLLECITAZ NASCOSTO'!$P$8,IF(C389&lt;='SOLLECITAZ NASCOSTO'!$P$7,IF(C389&lt;='SOLLECITAZ NASCOSTO'!$P$6,IF(C389&lt;='SOLLECITAZ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89" s="41">
        <f t="shared" si="120"/>
        <v>3.5600000000000215E-4</v>
      </c>
      <c r="Q389" s="41">
        <f t="shared" si="118"/>
        <v>1</v>
      </c>
      <c r="R389" s="434">
        <f t="shared" si="110"/>
        <v>3.8892932414354195</v>
      </c>
      <c r="S389" s="45">
        <f t="shared" si="119"/>
        <v>3.8892932414354195</v>
      </c>
      <c r="T389" s="205">
        <f t="shared" si="114"/>
        <v>1.1427683508254614</v>
      </c>
      <c r="U389" s="45">
        <f t="shared" si="116"/>
        <v>231.59686897012614</v>
      </c>
      <c r="V389" s="45">
        <f t="shared" si="117"/>
        <v>-334.21542674164994</v>
      </c>
      <c r="W389" s="488"/>
    </row>
    <row r="390" spans="1:23" s="421" customFormat="1" x14ac:dyDescent="0.25">
      <c r="A390" s="581">
        <f t="shared" si="111"/>
        <v>0.64890112060966865</v>
      </c>
      <c r="B390" s="31">
        <f t="shared" si="112"/>
        <v>358</v>
      </c>
      <c r="C390" s="434">
        <f>'SOLLECITAZ NASCOSTO'!$D$6/'SOLLECITAZ NASCOSTO'!$B$448*'SOLLECITAZ NASCOSTO'!B390</f>
        <v>3.9001876202629697</v>
      </c>
      <c r="D390" s="434">
        <f t="shared" si="113"/>
        <v>0.76890112060966864</v>
      </c>
      <c r="E390" s="434">
        <f t="shared" si="104"/>
        <v>0.64890112060966865</v>
      </c>
      <c r="F390" s="434">
        <f t="shared" si="105"/>
        <v>0.50764835859509394</v>
      </c>
      <c r="G390" s="434">
        <f t="shared" si="106"/>
        <v>0.11028942932396868</v>
      </c>
      <c r="H390" s="434">
        <f t="shared" si="121"/>
        <v>0</v>
      </c>
      <c r="I390" s="434">
        <v>0</v>
      </c>
      <c r="J390" s="127">
        <f t="shared" si="122"/>
        <v>0.21725556176167365</v>
      </c>
      <c r="K390" s="126">
        <f t="shared" si="109"/>
        <v>2.5783350615520784E-2</v>
      </c>
      <c r="L390" s="41">
        <f t="shared" si="123"/>
        <v>232.74896362250496</v>
      </c>
      <c r="M390" s="41">
        <f t="shared" si="115"/>
        <v>-336.7448064452791</v>
      </c>
      <c r="N390" s="41">
        <f>(IF(C389&lt;='SOLLECITAZ NASCOSTO'!$P$12,IF(C389&lt;='SOLLECITAZ NASCOSTO'!$P$11,IF(C389&lt;='SOLLECITAZ NASCOSTO'!$P$10,IF(C389&lt;='SOLLECITAZ NASCOSTO'!$P$9,IF(C389&lt;='SOLLECITAZ NASCOSTO'!$P$8,IF(C389&lt;='SOLLECITAZ NASCOSTO'!$P$7,IF(C389&lt;='SOLLECITAZ NASCOSTO'!$P$6,IF(C389&lt;='SOLLECITAZ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paramento'!$G$111),55555)-IF(C389&lt;='SOLLECITAZ NASCOSTO'!$P$12,IF(C389&lt;='SOLLECITAZ NASCOSTO'!$P$11,IF(C389&lt;='SOLLECITAZ NASCOSTO'!$P$10,IF(C389&lt;='SOLLECITAZ NASCOSTO'!$P$9,IF(C389&lt;='SOLLECITAZ NASCOSTO'!$P$8,IF(C389&lt;='SOLLECITAZ NASCOSTO'!$P$7,IF(C389&lt;='SOLLECITAZ NASCOSTO'!$P$6,IF(C389&lt;='SOLLECITAZ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paramento'!$G$111))*(C389-IF(C389&lt;='SOLLECITAZ NASCOSTO'!$P$12,IF(C389&lt;='SOLLECITAZ NASCOSTO'!$P$11,IF(C389&lt;='SOLLECITAZ NASCOSTO'!$P$10,IF(C389&lt;='SOLLECITAZ NASCOSTO'!$P$9,IF(C389&lt;='SOLLECITAZ NASCOSTO'!$P$8,IF(C389&lt;='SOLLECITAZ NASCOSTO'!$P$7,IF(C389&lt;='SOLLECITAZ NASCOSTO'!$P$6,IF(C389&lt;='SOLLECITAZ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NASCOSTO'!$P$12))/IF(C389&lt;='SOLLECITAZ NASCOSTO'!$P$12,IF(C389&lt;='SOLLECITAZ NASCOSTO'!$P$11,IF(C389&lt;='SOLLECITAZ NASCOSTO'!$P$10,IF(C389&lt;='SOLLECITAZ NASCOSTO'!$P$9,IF(C389&lt;='SOLLECITAZ NASCOSTO'!$P$8,IF(C389&lt;='SOLLECITAZ NASCOSTO'!$P$7,IF(C389&lt;='SOLLECITAZ NASCOSTO'!$P$6,IF(C389&lt;='SOLLECITAZ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paramento'!$C$111)+IF(C389&lt;='SOLLECITAZ NASCOSTO'!$P$12,IF(C389&lt;='SOLLECITAZ NASCOSTO'!$P$11,IF(C389&lt;='SOLLECITAZ NASCOSTO'!$P$10,IF(C389&lt;='SOLLECITAZ NASCOSTO'!$P$9,IF(C389&lt;='SOLLECITAZ NASCOSTO'!$P$8,IF(C389&lt;='SOLLECITAZ NASCOSTO'!$P$7,IF(C389&lt;='SOLLECITAZ NASCOSTO'!$P$6,IF(C389&lt;='SOLLECITAZ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105.62223198812802</v>
      </c>
      <c r="O390" s="41">
        <f>IF(C390&lt;='SOLLECITAZ NASCOSTO'!$P$12,IF(C390&lt;='SOLLECITAZ NASCOSTO'!$P$11,IF(C390&lt;='SOLLECITAZ NASCOSTO'!$P$10,IF(C390&lt;='SOLLECITAZ NASCOSTO'!$P$9,IF(C390&lt;='SOLLECITAZ NASCOSTO'!$P$8,IF(C390&lt;='SOLLECITAZ NASCOSTO'!$P$7,IF(C390&lt;='SOLLECITAZ NASCOSTO'!$P$6,IF(C390&lt;='SOLLECITAZ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paramento'!$G$110),55555)*(C390-C389)/IF(C390&lt;='SOLLECITAZ NASCOSTO'!$P$12,IF(C390&lt;='SOLLECITAZ NASCOSTO'!$P$11,IF(C390&lt;='SOLLECITAZ NASCOSTO'!$P$10,IF(C390&lt;='SOLLECITAZ NASCOSTO'!$P$9,IF(C390&lt;='SOLLECITAZ NASCOSTO'!$P$8,IF(C390&lt;='SOLLECITAZ NASCOSTO'!$P$7,IF(C390&lt;='SOLLECITAZ NASCOSTO'!$P$6,IF(C390&lt;='SOLLECITAZ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90" s="41">
        <f t="shared" si="120"/>
        <v>3.5700000000000217E-4</v>
      </c>
      <c r="Q390" s="41">
        <f t="shared" si="118"/>
        <v>1</v>
      </c>
      <c r="R390" s="434">
        <f t="shared" si="110"/>
        <v>3.9001876202629697</v>
      </c>
      <c r="S390" s="45">
        <f t="shared" si="119"/>
        <v>3.9001876202629697</v>
      </c>
      <c r="T390" s="205">
        <f t="shared" si="114"/>
        <v>1.1318739719979112</v>
      </c>
      <c r="U390" s="45">
        <f t="shared" si="116"/>
        <v>232.74896362250496</v>
      </c>
      <c r="V390" s="45">
        <f t="shared" si="117"/>
        <v>-336.7448064452791</v>
      </c>
      <c r="W390" s="488"/>
    </row>
    <row r="391" spans="1:23" s="421" customFormat="1" x14ac:dyDescent="0.25">
      <c r="A391" s="581">
        <f t="shared" si="111"/>
        <v>0.65047196335777779</v>
      </c>
      <c r="B391" s="31">
        <f t="shared" si="112"/>
        <v>359</v>
      </c>
      <c r="C391" s="434">
        <f>'SOLLECITAZ NASCOSTO'!$D$6/'SOLLECITAZ NASCOSTO'!$B$448*'SOLLECITAZ NASCOSTO'!B391</f>
        <v>3.9110819990905199</v>
      </c>
      <c r="D391" s="434">
        <f t="shared" si="113"/>
        <v>0.77047196335777779</v>
      </c>
      <c r="E391" s="434">
        <f t="shared" si="104"/>
        <v>0.65047196335777779</v>
      </c>
      <c r="F391" s="434">
        <f t="shared" si="105"/>
        <v>0.50815102827448888</v>
      </c>
      <c r="G391" s="434">
        <f t="shared" si="106"/>
        <v>0.11067632741126222</v>
      </c>
      <c r="H391" s="434">
        <f t="shared" si="121"/>
        <v>0</v>
      </c>
      <c r="I391" s="434">
        <v>0</v>
      </c>
      <c r="J391" s="127">
        <f t="shared" si="122"/>
        <v>0.21780203375181992</v>
      </c>
      <c r="K391" s="126">
        <f t="shared" si="109"/>
        <v>2.5936603695591302E-2</v>
      </c>
      <c r="L391" s="41">
        <f t="shared" si="123"/>
        <v>233.90387036386127</v>
      </c>
      <c r="M391" s="41">
        <f t="shared" si="115"/>
        <v>-339.28675282247775</v>
      </c>
      <c r="N391" s="41">
        <f>(IF(C390&lt;='SOLLECITAZ NASCOSTO'!$P$12,IF(C390&lt;='SOLLECITAZ NASCOSTO'!$P$11,IF(C390&lt;='SOLLECITAZ NASCOSTO'!$P$10,IF(C390&lt;='SOLLECITAZ NASCOSTO'!$P$9,IF(C390&lt;='SOLLECITAZ NASCOSTO'!$P$8,IF(C390&lt;='SOLLECITAZ NASCOSTO'!$P$7,IF(C390&lt;='SOLLECITAZ NASCOSTO'!$P$6,IF(C390&lt;='SOLLECITAZ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paramento'!$G$111),55555)-IF(C390&lt;='SOLLECITAZ NASCOSTO'!$P$12,IF(C390&lt;='SOLLECITAZ NASCOSTO'!$P$11,IF(C390&lt;='SOLLECITAZ NASCOSTO'!$P$10,IF(C390&lt;='SOLLECITAZ NASCOSTO'!$P$9,IF(C390&lt;='SOLLECITAZ NASCOSTO'!$P$8,IF(C390&lt;='SOLLECITAZ NASCOSTO'!$P$7,IF(C390&lt;='SOLLECITAZ NASCOSTO'!$P$6,IF(C390&lt;='SOLLECITAZ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paramento'!$G$111))*(C390-IF(C390&lt;='SOLLECITAZ NASCOSTO'!$P$12,IF(C390&lt;='SOLLECITAZ NASCOSTO'!$P$11,IF(C390&lt;='SOLLECITAZ NASCOSTO'!$P$10,IF(C390&lt;='SOLLECITAZ NASCOSTO'!$P$9,IF(C390&lt;='SOLLECITAZ NASCOSTO'!$P$8,IF(C390&lt;='SOLLECITAZ NASCOSTO'!$P$7,IF(C390&lt;='SOLLECITAZ NASCOSTO'!$P$6,IF(C390&lt;='SOLLECITAZ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NASCOSTO'!$P$12))/IF(C390&lt;='SOLLECITAZ NASCOSTO'!$P$12,IF(C390&lt;='SOLLECITAZ NASCOSTO'!$P$11,IF(C390&lt;='SOLLECITAZ NASCOSTO'!$P$10,IF(C390&lt;='SOLLECITAZ NASCOSTO'!$P$9,IF(C390&lt;='SOLLECITAZ NASCOSTO'!$P$8,IF(C390&lt;='SOLLECITAZ NASCOSTO'!$P$7,IF(C390&lt;='SOLLECITAZ NASCOSTO'!$P$6,IF(C390&lt;='SOLLECITAZ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paramento'!$C$111)+IF(C390&lt;='SOLLECITAZ NASCOSTO'!$P$12,IF(C390&lt;='SOLLECITAZ NASCOSTO'!$P$11,IF(C390&lt;='SOLLECITAZ NASCOSTO'!$P$10,IF(C390&lt;='SOLLECITAZ NASCOSTO'!$P$9,IF(C390&lt;='SOLLECITAZ NASCOSTO'!$P$8,IF(C390&lt;='SOLLECITAZ NASCOSTO'!$P$7,IF(C390&lt;='SOLLECITAZ NASCOSTO'!$P$6,IF(C390&lt;='SOLLECITAZ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105.88035491757742</v>
      </c>
      <c r="O391" s="41">
        <f>IF(C391&lt;='SOLLECITAZ NASCOSTO'!$P$12,IF(C391&lt;='SOLLECITAZ NASCOSTO'!$P$11,IF(C391&lt;='SOLLECITAZ NASCOSTO'!$P$10,IF(C391&lt;='SOLLECITAZ NASCOSTO'!$P$9,IF(C391&lt;='SOLLECITAZ NASCOSTO'!$P$8,IF(C391&lt;='SOLLECITAZ NASCOSTO'!$P$7,IF(C391&lt;='SOLLECITAZ NASCOSTO'!$P$6,IF(C391&lt;='SOLLECITAZ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paramento'!$G$110),55555)*(C391-C390)/IF(C391&lt;='SOLLECITAZ NASCOSTO'!$P$12,IF(C391&lt;='SOLLECITAZ NASCOSTO'!$P$11,IF(C391&lt;='SOLLECITAZ NASCOSTO'!$P$10,IF(C391&lt;='SOLLECITAZ NASCOSTO'!$P$9,IF(C391&lt;='SOLLECITAZ NASCOSTO'!$P$8,IF(C391&lt;='SOLLECITAZ NASCOSTO'!$P$7,IF(C391&lt;='SOLLECITAZ NASCOSTO'!$P$6,IF(C391&lt;='SOLLECITAZ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91" s="41">
        <f t="shared" si="120"/>
        <v>3.580000000000022E-4</v>
      </c>
      <c r="Q391" s="41">
        <f t="shared" si="118"/>
        <v>1</v>
      </c>
      <c r="R391" s="434">
        <f t="shared" si="110"/>
        <v>3.9110819990905199</v>
      </c>
      <c r="S391" s="45">
        <f t="shared" si="119"/>
        <v>3.9110819990905199</v>
      </c>
      <c r="T391" s="205">
        <f t="shared" si="114"/>
        <v>1.120979593170361</v>
      </c>
      <c r="U391" s="45">
        <f t="shared" si="116"/>
        <v>233.90387036386127</v>
      </c>
      <c r="V391" s="45">
        <f t="shared" si="117"/>
        <v>-339.28675282247775</v>
      </c>
      <c r="W391" s="488"/>
    </row>
    <row r="392" spans="1:23" s="421" customFormat="1" x14ac:dyDescent="0.25">
      <c r="A392" s="581">
        <f t="shared" si="111"/>
        <v>0.65204280610588694</v>
      </c>
      <c r="B392" s="31">
        <f t="shared" si="112"/>
        <v>360</v>
      </c>
      <c r="C392" s="434">
        <f>'SOLLECITAZ NASCOSTO'!$D$6/'SOLLECITAZ NASCOSTO'!$B$448*'SOLLECITAZ NASCOSTO'!B392</f>
        <v>3.9219763779180701</v>
      </c>
      <c r="D392" s="434">
        <f t="shared" si="113"/>
        <v>0.77204280610588694</v>
      </c>
      <c r="E392" s="434">
        <f t="shared" si="104"/>
        <v>0.65204280610588694</v>
      </c>
      <c r="F392" s="434">
        <f t="shared" si="105"/>
        <v>0.50865369795388382</v>
      </c>
      <c r="G392" s="434">
        <f t="shared" si="106"/>
        <v>0.11106401511357634</v>
      </c>
      <c r="H392" s="434">
        <f t="shared" si="121"/>
        <v>0</v>
      </c>
      <c r="I392" s="434">
        <v>0</v>
      </c>
      <c r="J392" s="127">
        <f t="shared" si="122"/>
        <v>0.21834897801852954</v>
      </c>
      <c r="K392" s="126">
        <f t="shared" si="109"/>
        <v>2.6090425806005492E-2</v>
      </c>
      <c r="L392" s="41">
        <f t="shared" si="123"/>
        <v>235.06158919419508</v>
      </c>
      <c r="M392" s="41">
        <f t="shared" si="115"/>
        <v>-341.84129650920858</v>
      </c>
      <c r="N392" s="41">
        <f>(IF(C391&lt;='SOLLECITAZ NASCOSTO'!$P$12,IF(C391&lt;='SOLLECITAZ NASCOSTO'!$P$11,IF(C391&lt;='SOLLECITAZ NASCOSTO'!$P$10,IF(C391&lt;='SOLLECITAZ NASCOSTO'!$P$9,IF(C391&lt;='SOLLECITAZ NASCOSTO'!$P$8,IF(C391&lt;='SOLLECITAZ NASCOSTO'!$P$7,IF(C391&lt;='SOLLECITAZ NASCOSTO'!$P$6,IF(C391&lt;='SOLLECITAZ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paramento'!$G$111),55555)-IF(C391&lt;='SOLLECITAZ NASCOSTO'!$P$12,IF(C391&lt;='SOLLECITAZ NASCOSTO'!$P$11,IF(C391&lt;='SOLLECITAZ NASCOSTO'!$P$10,IF(C391&lt;='SOLLECITAZ NASCOSTO'!$P$9,IF(C391&lt;='SOLLECITAZ NASCOSTO'!$P$8,IF(C391&lt;='SOLLECITAZ NASCOSTO'!$P$7,IF(C391&lt;='SOLLECITAZ NASCOSTO'!$P$6,IF(C391&lt;='SOLLECITAZ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paramento'!$G$111))*(C391-IF(C391&lt;='SOLLECITAZ NASCOSTO'!$P$12,IF(C391&lt;='SOLLECITAZ NASCOSTO'!$P$11,IF(C391&lt;='SOLLECITAZ NASCOSTO'!$P$10,IF(C391&lt;='SOLLECITAZ NASCOSTO'!$P$9,IF(C391&lt;='SOLLECITAZ NASCOSTO'!$P$8,IF(C391&lt;='SOLLECITAZ NASCOSTO'!$P$7,IF(C391&lt;='SOLLECITAZ NASCOSTO'!$P$6,IF(C391&lt;='SOLLECITAZ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NASCOSTO'!$P$12))/IF(C391&lt;='SOLLECITAZ NASCOSTO'!$P$12,IF(C391&lt;='SOLLECITAZ NASCOSTO'!$P$11,IF(C391&lt;='SOLLECITAZ NASCOSTO'!$P$10,IF(C391&lt;='SOLLECITAZ NASCOSTO'!$P$9,IF(C391&lt;='SOLLECITAZ NASCOSTO'!$P$8,IF(C391&lt;='SOLLECITAZ NASCOSTO'!$P$7,IF(C391&lt;='SOLLECITAZ NASCOSTO'!$P$6,IF(C391&lt;='SOLLECITAZ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paramento'!$C$111)+IF(C391&lt;='SOLLECITAZ NASCOSTO'!$P$12,IF(C391&lt;='SOLLECITAZ NASCOSTO'!$P$11,IF(C391&lt;='SOLLECITAZ NASCOSTO'!$P$10,IF(C391&lt;='SOLLECITAZ NASCOSTO'!$P$9,IF(C391&lt;='SOLLECITAZ NASCOSTO'!$P$8,IF(C391&lt;='SOLLECITAZ NASCOSTO'!$P$7,IF(C391&lt;='SOLLECITAZ NASCOSTO'!$P$6,IF(C391&lt;='SOLLECITAZ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106.13847784702682</v>
      </c>
      <c r="O392" s="41">
        <f>IF(C392&lt;='SOLLECITAZ NASCOSTO'!$P$12,IF(C392&lt;='SOLLECITAZ NASCOSTO'!$P$11,IF(C392&lt;='SOLLECITAZ NASCOSTO'!$P$10,IF(C392&lt;='SOLLECITAZ NASCOSTO'!$P$9,IF(C392&lt;='SOLLECITAZ NASCOSTO'!$P$8,IF(C392&lt;='SOLLECITAZ NASCOSTO'!$P$7,IF(C392&lt;='SOLLECITAZ NASCOSTO'!$P$6,IF(C392&lt;='SOLLECITAZ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paramento'!$G$110),55555)*(C392-C391)/IF(C392&lt;='SOLLECITAZ NASCOSTO'!$P$12,IF(C392&lt;='SOLLECITAZ NASCOSTO'!$P$11,IF(C392&lt;='SOLLECITAZ NASCOSTO'!$P$10,IF(C392&lt;='SOLLECITAZ NASCOSTO'!$P$9,IF(C392&lt;='SOLLECITAZ NASCOSTO'!$P$8,IF(C392&lt;='SOLLECITAZ NASCOSTO'!$P$7,IF(C392&lt;='SOLLECITAZ NASCOSTO'!$P$6,IF(C392&lt;='SOLLECITAZ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92" s="41">
        <f t="shared" si="120"/>
        <v>3.5900000000000222E-4</v>
      </c>
      <c r="Q392" s="41">
        <f t="shared" si="118"/>
        <v>1</v>
      </c>
      <c r="R392" s="434">
        <f t="shared" si="110"/>
        <v>3.9219763779180701</v>
      </c>
      <c r="S392" s="45">
        <f t="shared" si="119"/>
        <v>3.9219763779180701</v>
      </c>
      <c r="T392" s="205">
        <f t="shared" si="114"/>
        <v>1.1100852143428108</v>
      </c>
      <c r="U392" s="45">
        <f t="shared" si="116"/>
        <v>235.06158919419508</v>
      </c>
      <c r="V392" s="45">
        <f t="shared" si="117"/>
        <v>-341.84129650920858</v>
      </c>
      <c r="W392" s="488"/>
    </row>
    <row r="393" spans="1:23" s="421" customFormat="1" x14ac:dyDescent="0.25">
      <c r="A393" s="581">
        <f t="shared" si="111"/>
        <v>0.65361364885399609</v>
      </c>
      <c r="B393" s="31">
        <f t="shared" si="112"/>
        <v>361</v>
      </c>
      <c r="C393" s="434">
        <f>'SOLLECITAZ NASCOSTO'!$D$6/'SOLLECITAZ NASCOSTO'!$B$448*'SOLLECITAZ NASCOSTO'!B393</f>
        <v>3.9328707567456203</v>
      </c>
      <c r="D393" s="434">
        <f t="shared" si="113"/>
        <v>0.77361364885399608</v>
      </c>
      <c r="E393" s="434">
        <f t="shared" si="104"/>
        <v>0.65361364885399609</v>
      </c>
      <c r="F393" s="434">
        <f t="shared" si="105"/>
        <v>0.50915636763327876</v>
      </c>
      <c r="G393" s="434">
        <f t="shared" si="106"/>
        <v>0.11145249243091103</v>
      </c>
      <c r="H393" s="434">
        <f t="shared" si="121"/>
        <v>0</v>
      </c>
      <c r="I393" s="434">
        <v>0</v>
      </c>
      <c r="J393" s="127">
        <f t="shared" si="122"/>
        <v>0.21889639316302331</v>
      </c>
      <c r="K393" s="126">
        <f t="shared" si="109"/>
        <v>2.6244817738469171E-2</v>
      </c>
      <c r="L393" s="41">
        <f t="shared" si="123"/>
        <v>236.22212011350638</v>
      </c>
      <c r="M393" s="41">
        <f t="shared" si="115"/>
        <v>-344.40846814143413</v>
      </c>
      <c r="N393" s="41">
        <f>(IF(C392&lt;='SOLLECITAZ NASCOSTO'!$P$12,IF(C392&lt;='SOLLECITAZ NASCOSTO'!$P$11,IF(C392&lt;='SOLLECITAZ NASCOSTO'!$P$10,IF(C392&lt;='SOLLECITAZ NASCOSTO'!$P$9,IF(C392&lt;='SOLLECITAZ NASCOSTO'!$P$8,IF(C392&lt;='SOLLECITAZ NASCOSTO'!$P$7,IF(C392&lt;='SOLLECITAZ NASCOSTO'!$P$6,IF(C392&lt;='SOLLECITAZ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paramento'!$G$111),55555)-IF(C392&lt;='SOLLECITAZ NASCOSTO'!$P$12,IF(C392&lt;='SOLLECITAZ NASCOSTO'!$P$11,IF(C392&lt;='SOLLECITAZ NASCOSTO'!$P$10,IF(C392&lt;='SOLLECITAZ NASCOSTO'!$P$9,IF(C392&lt;='SOLLECITAZ NASCOSTO'!$P$8,IF(C392&lt;='SOLLECITAZ NASCOSTO'!$P$7,IF(C392&lt;='SOLLECITAZ NASCOSTO'!$P$6,IF(C392&lt;='SOLLECITAZ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paramento'!$G$111))*(C392-IF(C392&lt;='SOLLECITAZ NASCOSTO'!$P$12,IF(C392&lt;='SOLLECITAZ NASCOSTO'!$P$11,IF(C392&lt;='SOLLECITAZ NASCOSTO'!$P$10,IF(C392&lt;='SOLLECITAZ NASCOSTO'!$P$9,IF(C392&lt;='SOLLECITAZ NASCOSTO'!$P$8,IF(C392&lt;='SOLLECITAZ NASCOSTO'!$P$7,IF(C392&lt;='SOLLECITAZ NASCOSTO'!$P$6,IF(C392&lt;='SOLLECITAZ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NASCOSTO'!$P$12))/IF(C392&lt;='SOLLECITAZ NASCOSTO'!$P$12,IF(C392&lt;='SOLLECITAZ NASCOSTO'!$P$11,IF(C392&lt;='SOLLECITAZ NASCOSTO'!$P$10,IF(C392&lt;='SOLLECITAZ NASCOSTO'!$P$9,IF(C392&lt;='SOLLECITAZ NASCOSTO'!$P$8,IF(C392&lt;='SOLLECITAZ NASCOSTO'!$P$7,IF(C392&lt;='SOLLECITAZ NASCOSTO'!$P$6,IF(C392&lt;='SOLLECITAZ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paramento'!$C$111)+IF(C392&lt;='SOLLECITAZ NASCOSTO'!$P$12,IF(C392&lt;='SOLLECITAZ NASCOSTO'!$P$11,IF(C392&lt;='SOLLECITAZ NASCOSTO'!$P$10,IF(C392&lt;='SOLLECITAZ NASCOSTO'!$P$9,IF(C392&lt;='SOLLECITAZ NASCOSTO'!$P$8,IF(C392&lt;='SOLLECITAZ NASCOSTO'!$P$7,IF(C392&lt;='SOLLECITAZ NASCOSTO'!$P$6,IF(C392&lt;='SOLLECITAZ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106.39660077647622</v>
      </c>
      <c r="O393" s="41">
        <f>IF(C393&lt;='SOLLECITAZ NASCOSTO'!$P$12,IF(C393&lt;='SOLLECITAZ NASCOSTO'!$P$11,IF(C393&lt;='SOLLECITAZ NASCOSTO'!$P$10,IF(C393&lt;='SOLLECITAZ NASCOSTO'!$P$9,IF(C393&lt;='SOLLECITAZ NASCOSTO'!$P$8,IF(C393&lt;='SOLLECITAZ NASCOSTO'!$P$7,IF(C393&lt;='SOLLECITAZ NASCOSTO'!$P$6,IF(C393&lt;='SOLLECITAZ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paramento'!$G$110),55555)*(C393-C392)/IF(C393&lt;='SOLLECITAZ NASCOSTO'!$P$12,IF(C393&lt;='SOLLECITAZ NASCOSTO'!$P$11,IF(C393&lt;='SOLLECITAZ NASCOSTO'!$P$10,IF(C393&lt;='SOLLECITAZ NASCOSTO'!$P$9,IF(C393&lt;='SOLLECITAZ NASCOSTO'!$P$8,IF(C393&lt;='SOLLECITAZ NASCOSTO'!$P$7,IF(C393&lt;='SOLLECITAZ NASCOSTO'!$P$6,IF(C393&lt;='SOLLECITAZ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93" s="41">
        <f t="shared" si="120"/>
        <v>3.6000000000000225E-4</v>
      </c>
      <c r="Q393" s="41">
        <f t="shared" si="118"/>
        <v>1</v>
      </c>
      <c r="R393" s="434">
        <f t="shared" si="110"/>
        <v>3.9328707567456203</v>
      </c>
      <c r="S393" s="45">
        <f t="shared" si="119"/>
        <v>3.9328707567456203</v>
      </c>
      <c r="T393" s="205">
        <f t="shared" si="114"/>
        <v>1.0991908355152606</v>
      </c>
      <c r="U393" s="45">
        <f t="shared" si="116"/>
        <v>236.22212011350638</v>
      </c>
      <c r="V393" s="45">
        <f t="shared" si="117"/>
        <v>-344.40846814143413</v>
      </c>
      <c r="W393" s="488"/>
    </row>
    <row r="394" spans="1:23" s="421" customFormat="1" x14ac:dyDescent="0.25">
      <c r="A394" s="581">
        <f t="shared" si="111"/>
        <v>0.65518449160210523</v>
      </c>
      <c r="B394" s="31">
        <f t="shared" si="112"/>
        <v>362</v>
      </c>
      <c r="C394" s="434">
        <f>'SOLLECITAZ NASCOSTO'!$D$6/'SOLLECITAZ NASCOSTO'!$B$448*'SOLLECITAZ NASCOSTO'!B394</f>
        <v>3.9437651355731704</v>
      </c>
      <c r="D394" s="434">
        <f t="shared" si="113"/>
        <v>0.77518449160210523</v>
      </c>
      <c r="E394" s="434">
        <f t="shared" si="104"/>
        <v>0.65518449160210523</v>
      </c>
      <c r="F394" s="434">
        <f t="shared" si="105"/>
        <v>0.5096590373126737</v>
      </c>
      <c r="G394" s="434">
        <f t="shared" si="106"/>
        <v>0.1118417593632663</v>
      </c>
      <c r="H394" s="434">
        <f t="shared" si="121"/>
        <v>0</v>
      </c>
      <c r="I394" s="434">
        <v>0</v>
      </c>
      <c r="J394" s="127">
        <f t="shared" si="122"/>
        <v>0.21944427779204051</v>
      </c>
      <c r="K394" s="126">
        <f t="shared" si="109"/>
        <v>2.6399780284011465E-2</v>
      </c>
      <c r="L394" s="41">
        <f t="shared" si="123"/>
        <v>237.3854631217952</v>
      </c>
      <c r="M394" s="41">
        <f t="shared" si="115"/>
        <v>-346.98829835511708</v>
      </c>
      <c r="N394" s="41">
        <f>(IF(C393&lt;='SOLLECITAZ NASCOSTO'!$P$12,IF(C393&lt;='SOLLECITAZ NASCOSTO'!$P$11,IF(C393&lt;='SOLLECITAZ NASCOSTO'!$P$10,IF(C393&lt;='SOLLECITAZ NASCOSTO'!$P$9,IF(C393&lt;='SOLLECITAZ NASCOSTO'!$P$8,IF(C393&lt;='SOLLECITAZ NASCOSTO'!$P$7,IF(C393&lt;='SOLLECITAZ NASCOSTO'!$P$6,IF(C393&lt;='SOLLECITAZ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paramento'!$G$111),55555)-IF(C393&lt;='SOLLECITAZ NASCOSTO'!$P$12,IF(C393&lt;='SOLLECITAZ NASCOSTO'!$P$11,IF(C393&lt;='SOLLECITAZ NASCOSTO'!$P$10,IF(C393&lt;='SOLLECITAZ NASCOSTO'!$P$9,IF(C393&lt;='SOLLECITAZ NASCOSTO'!$P$8,IF(C393&lt;='SOLLECITAZ NASCOSTO'!$P$7,IF(C393&lt;='SOLLECITAZ NASCOSTO'!$P$6,IF(C393&lt;='SOLLECITAZ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paramento'!$G$111))*(C393-IF(C393&lt;='SOLLECITAZ NASCOSTO'!$P$12,IF(C393&lt;='SOLLECITAZ NASCOSTO'!$P$11,IF(C393&lt;='SOLLECITAZ NASCOSTO'!$P$10,IF(C393&lt;='SOLLECITAZ NASCOSTO'!$P$9,IF(C393&lt;='SOLLECITAZ NASCOSTO'!$P$8,IF(C393&lt;='SOLLECITAZ NASCOSTO'!$P$7,IF(C393&lt;='SOLLECITAZ NASCOSTO'!$P$6,IF(C393&lt;='SOLLECITAZ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NASCOSTO'!$P$12))/IF(C393&lt;='SOLLECITAZ NASCOSTO'!$P$12,IF(C393&lt;='SOLLECITAZ NASCOSTO'!$P$11,IF(C393&lt;='SOLLECITAZ NASCOSTO'!$P$10,IF(C393&lt;='SOLLECITAZ NASCOSTO'!$P$9,IF(C393&lt;='SOLLECITAZ NASCOSTO'!$P$8,IF(C393&lt;='SOLLECITAZ NASCOSTO'!$P$7,IF(C393&lt;='SOLLECITAZ NASCOSTO'!$P$6,IF(C393&lt;='SOLLECITAZ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paramento'!$C$111)+IF(C393&lt;='SOLLECITAZ NASCOSTO'!$P$12,IF(C393&lt;='SOLLECITAZ NASCOSTO'!$P$11,IF(C393&lt;='SOLLECITAZ NASCOSTO'!$P$10,IF(C393&lt;='SOLLECITAZ NASCOSTO'!$P$9,IF(C393&lt;='SOLLECITAZ NASCOSTO'!$P$8,IF(C393&lt;='SOLLECITAZ NASCOSTO'!$P$7,IF(C393&lt;='SOLLECITAZ NASCOSTO'!$P$6,IF(C393&lt;='SOLLECITAZ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106.65472370592565</v>
      </c>
      <c r="O394" s="41">
        <f>IF(C394&lt;='SOLLECITAZ NASCOSTO'!$P$12,IF(C394&lt;='SOLLECITAZ NASCOSTO'!$P$11,IF(C394&lt;='SOLLECITAZ NASCOSTO'!$P$10,IF(C394&lt;='SOLLECITAZ NASCOSTO'!$P$9,IF(C394&lt;='SOLLECITAZ NASCOSTO'!$P$8,IF(C394&lt;='SOLLECITAZ NASCOSTO'!$P$7,IF(C394&lt;='SOLLECITAZ NASCOSTO'!$P$6,IF(C394&lt;='SOLLECITAZ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paramento'!$G$110),55555)*(C394-C393)/IF(C394&lt;='SOLLECITAZ NASCOSTO'!$P$12,IF(C394&lt;='SOLLECITAZ NASCOSTO'!$P$11,IF(C394&lt;='SOLLECITAZ NASCOSTO'!$P$10,IF(C394&lt;='SOLLECITAZ NASCOSTO'!$P$9,IF(C394&lt;='SOLLECITAZ NASCOSTO'!$P$8,IF(C394&lt;='SOLLECITAZ NASCOSTO'!$P$7,IF(C394&lt;='SOLLECITAZ NASCOSTO'!$P$6,IF(C394&lt;='SOLLECITAZ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94" s="41">
        <f t="shared" si="120"/>
        <v>3.6100000000000227E-4</v>
      </c>
      <c r="Q394" s="41">
        <f t="shared" si="118"/>
        <v>1</v>
      </c>
      <c r="R394" s="434">
        <f t="shared" si="110"/>
        <v>3.9437651355731704</v>
      </c>
      <c r="S394" s="45">
        <f t="shared" si="119"/>
        <v>3.9437651355731704</v>
      </c>
      <c r="T394" s="205">
        <f t="shared" si="114"/>
        <v>1.0882964566877105</v>
      </c>
      <c r="U394" s="45">
        <f t="shared" si="116"/>
        <v>237.3854631217952</v>
      </c>
      <c r="V394" s="45">
        <f t="shared" si="117"/>
        <v>-346.98829835511708</v>
      </c>
      <c r="W394" s="488"/>
    </row>
    <row r="395" spans="1:23" s="421" customFormat="1" x14ac:dyDescent="0.25">
      <c r="A395" s="581">
        <f t="shared" si="111"/>
        <v>0.65675533435021438</v>
      </c>
      <c r="B395" s="31">
        <f t="shared" si="112"/>
        <v>363</v>
      </c>
      <c r="C395" s="434">
        <f>'SOLLECITAZ NASCOSTO'!$D$6/'SOLLECITAZ NASCOSTO'!$B$448*'SOLLECITAZ NASCOSTO'!B395</f>
        <v>3.9546595144007206</v>
      </c>
      <c r="D395" s="434">
        <f t="shared" si="113"/>
        <v>0.77675533435021438</v>
      </c>
      <c r="E395" s="434">
        <f t="shared" si="104"/>
        <v>0.65675533435021438</v>
      </c>
      <c r="F395" s="434">
        <f t="shared" si="105"/>
        <v>0.51016170699206853</v>
      </c>
      <c r="G395" s="434">
        <f t="shared" si="106"/>
        <v>0.11223181591064213</v>
      </c>
      <c r="H395" s="434">
        <f t="shared" si="121"/>
        <v>0</v>
      </c>
      <c r="I395" s="434">
        <v>0</v>
      </c>
      <c r="J395" s="127">
        <f t="shared" si="122"/>
        <v>0.21999263051781148</v>
      </c>
      <c r="K395" s="126">
        <f t="shared" si="109"/>
        <v>2.6555314232988122E-2</v>
      </c>
      <c r="L395" s="41">
        <f t="shared" si="123"/>
        <v>238.55161821906151</v>
      </c>
      <c r="M395" s="41">
        <f t="shared" si="115"/>
        <v>-349.58081778622</v>
      </c>
      <c r="N395" s="41">
        <f>(IF(C394&lt;='SOLLECITAZ NASCOSTO'!$P$12,IF(C394&lt;='SOLLECITAZ NASCOSTO'!$P$11,IF(C394&lt;='SOLLECITAZ NASCOSTO'!$P$10,IF(C394&lt;='SOLLECITAZ NASCOSTO'!$P$9,IF(C394&lt;='SOLLECITAZ NASCOSTO'!$P$8,IF(C394&lt;='SOLLECITAZ NASCOSTO'!$P$7,IF(C394&lt;='SOLLECITAZ NASCOSTO'!$P$6,IF(C394&lt;='SOLLECITAZ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paramento'!$G$111),55555)-IF(C394&lt;='SOLLECITAZ NASCOSTO'!$P$12,IF(C394&lt;='SOLLECITAZ NASCOSTO'!$P$11,IF(C394&lt;='SOLLECITAZ NASCOSTO'!$P$10,IF(C394&lt;='SOLLECITAZ NASCOSTO'!$P$9,IF(C394&lt;='SOLLECITAZ NASCOSTO'!$P$8,IF(C394&lt;='SOLLECITAZ NASCOSTO'!$P$7,IF(C394&lt;='SOLLECITAZ NASCOSTO'!$P$6,IF(C394&lt;='SOLLECITAZ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paramento'!$G$111))*(C394-IF(C394&lt;='SOLLECITAZ NASCOSTO'!$P$12,IF(C394&lt;='SOLLECITAZ NASCOSTO'!$P$11,IF(C394&lt;='SOLLECITAZ NASCOSTO'!$P$10,IF(C394&lt;='SOLLECITAZ NASCOSTO'!$P$9,IF(C394&lt;='SOLLECITAZ NASCOSTO'!$P$8,IF(C394&lt;='SOLLECITAZ NASCOSTO'!$P$7,IF(C394&lt;='SOLLECITAZ NASCOSTO'!$P$6,IF(C394&lt;='SOLLECITAZ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NASCOSTO'!$P$12))/IF(C394&lt;='SOLLECITAZ NASCOSTO'!$P$12,IF(C394&lt;='SOLLECITAZ NASCOSTO'!$P$11,IF(C394&lt;='SOLLECITAZ NASCOSTO'!$P$10,IF(C394&lt;='SOLLECITAZ NASCOSTO'!$P$9,IF(C394&lt;='SOLLECITAZ NASCOSTO'!$P$8,IF(C394&lt;='SOLLECITAZ NASCOSTO'!$P$7,IF(C394&lt;='SOLLECITAZ NASCOSTO'!$P$6,IF(C394&lt;='SOLLECITAZ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paramento'!$C$111)+IF(C394&lt;='SOLLECITAZ NASCOSTO'!$P$12,IF(C394&lt;='SOLLECITAZ NASCOSTO'!$P$11,IF(C394&lt;='SOLLECITAZ NASCOSTO'!$P$10,IF(C394&lt;='SOLLECITAZ NASCOSTO'!$P$9,IF(C394&lt;='SOLLECITAZ NASCOSTO'!$P$8,IF(C394&lt;='SOLLECITAZ NASCOSTO'!$P$7,IF(C394&lt;='SOLLECITAZ NASCOSTO'!$P$6,IF(C394&lt;='SOLLECITAZ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106.91284663537505</v>
      </c>
      <c r="O395" s="41">
        <f>IF(C395&lt;='SOLLECITAZ NASCOSTO'!$P$12,IF(C395&lt;='SOLLECITAZ NASCOSTO'!$P$11,IF(C395&lt;='SOLLECITAZ NASCOSTO'!$P$10,IF(C395&lt;='SOLLECITAZ NASCOSTO'!$P$9,IF(C395&lt;='SOLLECITAZ NASCOSTO'!$P$8,IF(C395&lt;='SOLLECITAZ NASCOSTO'!$P$7,IF(C395&lt;='SOLLECITAZ NASCOSTO'!$P$6,IF(C395&lt;='SOLLECITAZ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paramento'!$G$110),55555)*(C395-C394)/IF(C395&lt;='SOLLECITAZ NASCOSTO'!$P$12,IF(C395&lt;='SOLLECITAZ NASCOSTO'!$P$11,IF(C395&lt;='SOLLECITAZ NASCOSTO'!$P$10,IF(C395&lt;='SOLLECITAZ NASCOSTO'!$P$9,IF(C395&lt;='SOLLECITAZ NASCOSTO'!$P$8,IF(C395&lt;='SOLLECITAZ NASCOSTO'!$P$7,IF(C395&lt;='SOLLECITAZ NASCOSTO'!$P$6,IF(C395&lt;='SOLLECITAZ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95" s="41">
        <f t="shared" si="120"/>
        <v>3.6200000000000229E-4</v>
      </c>
      <c r="Q395" s="41">
        <f t="shared" si="118"/>
        <v>1</v>
      </c>
      <c r="R395" s="434">
        <f t="shared" si="110"/>
        <v>3.9546595144007206</v>
      </c>
      <c r="S395" s="45">
        <f t="shared" si="119"/>
        <v>3.9546595144007206</v>
      </c>
      <c r="T395" s="205">
        <f t="shared" si="114"/>
        <v>1.0774020778601603</v>
      </c>
      <c r="U395" s="45">
        <f t="shared" si="116"/>
        <v>238.55161821906151</v>
      </c>
      <c r="V395" s="45">
        <f t="shared" si="117"/>
        <v>-349.58081778622</v>
      </c>
      <c r="W395" s="488"/>
    </row>
    <row r="396" spans="1:23" s="421" customFormat="1" x14ac:dyDescent="0.25">
      <c r="A396" s="581">
        <f t="shared" si="111"/>
        <v>0.65832617709832353</v>
      </c>
      <c r="B396" s="31">
        <f t="shared" si="112"/>
        <v>364</v>
      </c>
      <c r="C396" s="434">
        <f>'SOLLECITAZ NASCOSTO'!$D$6/'SOLLECITAZ NASCOSTO'!$B$448*'SOLLECITAZ NASCOSTO'!B396</f>
        <v>3.9655538932282708</v>
      </c>
      <c r="D396" s="434">
        <f t="shared" si="113"/>
        <v>0.77832617709832352</v>
      </c>
      <c r="E396" s="434">
        <f t="shared" si="104"/>
        <v>0.65832617709832353</v>
      </c>
      <c r="F396" s="434">
        <f t="shared" si="105"/>
        <v>0.51066437667146358</v>
      </c>
      <c r="G396" s="434">
        <f t="shared" si="106"/>
        <v>0.11262266207303855</v>
      </c>
      <c r="H396" s="434">
        <f t="shared" si="121"/>
        <v>0</v>
      </c>
      <c r="I396" s="434">
        <v>0</v>
      </c>
      <c r="J396" s="127">
        <f t="shared" si="122"/>
        <v>0.22054144995803074</v>
      </c>
      <c r="K396" s="126">
        <f t="shared" si="109"/>
        <v>2.6711420375084866E-2</v>
      </c>
      <c r="L396" s="41">
        <f t="shared" si="123"/>
        <v>239.72058540530531</v>
      </c>
      <c r="M396" s="41">
        <f t="shared" si="115"/>
        <v>-352.18605707070554</v>
      </c>
      <c r="N396" s="41">
        <f>(IF(C395&lt;='SOLLECITAZ NASCOSTO'!$P$12,IF(C395&lt;='SOLLECITAZ NASCOSTO'!$P$11,IF(C395&lt;='SOLLECITAZ NASCOSTO'!$P$10,IF(C395&lt;='SOLLECITAZ NASCOSTO'!$P$9,IF(C395&lt;='SOLLECITAZ NASCOSTO'!$P$8,IF(C395&lt;='SOLLECITAZ NASCOSTO'!$P$7,IF(C395&lt;='SOLLECITAZ NASCOSTO'!$P$6,IF(C395&lt;='SOLLECITAZ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paramento'!$G$111),55555)-IF(C395&lt;='SOLLECITAZ NASCOSTO'!$P$12,IF(C395&lt;='SOLLECITAZ NASCOSTO'!$P$11,IF(C395&lt;='SOLLECITAZ NASCOSTO'!$P$10,IF(C395&lt;='SOLLECITAZ NASCOSTO'!$P$9,IF(C395&lt;='SOLLECITAZ NASCOSTO'!$P$8,IF(C395&lt;='SOLLECITAZ NASCOSTO'!$P$7,IF(C395&lt;='SOLLECITAZ NASCOSTO'!$P$6,IF(C395&lt;='SOLLECITAZ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paramento'!$G$111))*(C395-IF(C395&lt;='SOLLECITAZ NASCOSTO'!$P$12,IF(C395&lt;='SOLLECITAZ NASCOSTO'!$P$11,IF(C395&lt;='SOLLECITAZ NASCOSTO'!$P$10,IF(C395&lt;='SOLLECITAZ NASCOSTO'!$P$9,IF(C395&lt;='SOLLECITAZ NASCOSTO'!$P$8,IF(C395&lt;='SOLLECITAZ NASCOSTO'!$P$7,IF(C395&lt;='SOLLECITAZ NASCOSTO'!$P$6,IF(C395&lt;='SOLLECITAZ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NASCOSTO'!$P$12))/IF(C395&lt;='SOLLECITAZ NASCOSTO'!$P$12,IF(C395&lt;='SOLLECITAZ NASCOSTO'!$P$11,IF(C395&lt;='SOLLECITAZ NASCOSTO'!$P$10,IF(C395&lt;='SOLLECITAZ NASCOSTO'!$P$9,IF(C395&lt;='SOLLECITAZ NASCOSTO'!$P$8,IF(C395&lt;='SOLLECITAZ NASCOSTO'!$P$7,IF(C395&lt;='SOLLECITAZ NASCOSTO'!$P$6,IF(C395&lt;='SOLLECITAZ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paramento'!$C$111)+IF(C395&lt;='SOLLECITAZ NASCOSTO'!$P$12,IF(C395&lt;='SOLLECITAZ NASCOSTO'!$P$11,IF(C395&lt;='SOLLECITAZ NASCOSTO'!$P$10,IF(C395&lt;='SOLLECITAZ NASCOSTO'!$P$9,IF(C395&lt;='SOLLECITAZ NASCOSTO'!$P$8,IF(C395&lt;='SOLLECITAZ NASCOSTO'!$P$7,IF(C395&lt;='SOLLECITAZ NASCOSTO'!$P$6,IF(C395&lt;='SOLLECITAZ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107.17096956482445</v>
      </c>
      <c r="O396" s="41">
        <f>IF(C396&lt;='SOLLECITAZ NASCOSTO'!$P$12,IF(C396&lt;='SOLLECITAZ NASCOSTO'!$P$11,IF(C396&lt;='SOLLECITAZ NASCOSTO'!$P$10,IF(C396&lt;='SOLLECITAZ NASCOSTO'!$P$9,IF(C396&lt;='SOLLECITAZ NASCOSTO'!$P$8,IF(C396&lt;='SOLLECITAZ NASCOSTO'!$P$7,IF(C396&lt;='SOLLECITAZ NASCOSTO'!$P$6,IF(C396&lt;='SOLLECITAZ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paramento'!$G$110),55555)*(C396-C395)/IF(C396&lt;='SOLLECITAZ NASCOSTO'!$P$12,IF(C396&lt;='SOLLECITAZ NASCOSTO'!$P$11,IF(C396&lt;='SOLLECITAZ NASCOSTO'!$P$10,IF(C396&lt;='SOLLECITAZ NASCOSTO'!$P$9,IF(C396&lt;='SOLLECITAZ NASCOSTO'!$P$8,IF(C396&lt;='SOLLECITAZ NASCOSTO'!$P$7,IF(C396&lt;='SOLLECITAZ NASCOSTO'!$P$6,IF(C396&lt;='SOLLECITAZ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96" s="41">
        <f t="shared" si="120"/>
        <v>3.6300000000000232E-4</v>
      </c>
      <c r="Q396" s="41">
        <f t="shared" si="118"/>
        <v>1</v>
      </c>
      <c r="R396" s="434">
        <f t="shared" si="110"/>
        <v>3.9655538932282708</v>
      </c>
      <c r="S396" s="45">
        <f t="shared" si="119"/>
        <v>3.9655538932282708</v>
      </c>
      <c r="T396" s="205">
        <f t="shared" si="114"/>
        <v>1.0665076990326101</v>
      </c>
      <c r="U396" s="45">
        <f t="shared" si="116"/>
        <v>239.72058540530531</v>
      </c>
      <c r="V396" s="45">
        <f t="shared" si="117"/>
        <v>-352.18605707070554</v>
      </c>
      <c r="W396" s="488"/>
    </row>
    <row r="397" spans="1:23" s="421" customFormat="1" x14ac:dyDescent="0.25">
      <c r="A397" s="581">
        <f t="shared" si="111"/>
        <v>0.65989701984643268</v>
      </c>
      <c r="B397" s="31">
        <f t="shared" si="112"/>
        <v>365</v>
      </c>
      <c r="C397" s="434">
        <f>'SOLLECITAZ NASCOSTO'!$D$6/'SOLLECITAZ NASCOSTO'!$B$448*'SOLLECITAZ NASCOSTO'!B397</f>
        <v>3.976448272055821</v>
      </c>
      <c r="D397" s="434">
        <f t="shared" si="113"/>
        <v>0.77989701984643267</v>
      </c>
      <c r="E397" s="434">
        <f t="shared" si="104"/>
        <v>0.65989701984643268</v>
      </c>
      <c r="F397" s="434">
        <f t="shared" si="105"/>
        <v>0.51116704635085841</v>
      </c>
      <c r="G397" s="434">
        <f t="shared" si="106"/>
        <v>0.11301429785045553</v>
      </c>
      <c r="H397" s="434">
        <f t="shared" si="121"/>
        <v>0</v>
      </c>
      <c r="I397" s="434">
        <v>0</v>
      </c>
      <c r="J397" s="127">
        <f t="shared" si="122"/>
        <v>0.22109073473583032</v>
      </c>
      <c r="K397" s="126">
        <f t="shared" si="109"/>
        <v>2.6868099499320661E-2</v>
      </c>
      <c r="L397" s="41">
        <f t="shared" si="123"/>
        <v>240.89236468052661</v>
      </c>
      <c r="M397" s="41">
        <f t="shared" si="115"/>
        <v>-354.80404684453629</v>
      </c>
      <c r="N397" s="41">
        <f>(IF(C396&lt;='SOLLECITAZ NASCOSTO'!$P$12,IF(C396&lt;='SOLLECITAZ NASCOSTO'!$P$11,IF(C396&lt;='SOLLECITAZ NASCOSTO'!$P$10,IF(C396&lt;='SOLLECITAZ NASCOSTO'!$P$9,IF(C396&lt;='SOLLECITAZ NASCOSTO'!$P$8,IF(C396&lt;='SOLLECITAZ NASCOSTO'!$P$7,IF(C396&lt;='SOLLECITAZ NASCOSTO'!$P$6,IF(C396&lt;='SOLLECITAZ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paramento'!$G$111),55555)-IF(C396&lt;='SOLLECITAZ NASCOSTO'!$P$12,IF(C396&lt;='SOLLECITAZ NASCOSTO'!$P$11,IF(C396&lt;='SOLLECITAZ NASCOSTO'!$P$10,IF(C396&lt;='SOLLECITAZ NASCOSTO'!$P$9,IF(C396&lt;='SOLLECITAZ NASCOSTO'!$P$8,IF(C396&lt;='SOLLECITAZ NASCOSTO'!$P$7,IF(C396&lt;='SOLLECITAZ NASCOSTO'!$P$6,IF(C396&lt;='SOLLECITAZ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paramento'!$G$111))*(C396-IF(C396&lt;='SOLLECITAZ NASCOSTO'!$P$12,IF(C396&lt;='SOLLECITAZ NASCOSTO'!$P$11,IF(C396&lt;='SOLLECITAZ NASCOSTO'!$P$10,IF(C396&lt;='SOLLECITAZ NASCOSTO'!$P$9,IF(C396&lt;='SOLLECITAZ NASCOSTO'!$P$8,IF(C396&lt;='SOLLECITAZ NASCOSTO'!$P$7,IF(C396&lt;='SOLLECITAZ NASCOSTO'!$P$6,IF(C396&lt;='SOLLECITAZ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NASCOSTO'!$P$12))/IF(C396&lt;='SOLLECITAZ NASCOSTO'!$P$12,IF(C396&lt;='SOLLECITAZ NASCOSTO'!$P$11,IF(C396&lt;='SOLLECITAZ NASCOSTO'!$P$10,IF(C396&lt;='SOLLECITAZ NASCOSTO'!$P$9,IF(C396&lt;='SOLLECITAZ NASCOSTO'!$P$8,IF(C396&lt;='SOLLECITAZ NASCOSTO'!$P$7,IF(C396&lt;='SOLLECITAZ NASCOSTO'!$P$6,IF(C396&lt;='SOLLECITAZ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paramento'!$C$111)+IF(C396&lt;='SOLLECITAZ NASCOSTO'!$P$12,IF(C396&lt;='SOLLECITAZ NASCOSTO'!$P$11,IF(C396&lt;='SOLLECITAZ NASCOSTO'!$P$10,IF(C396&lt;='SOLLECITAZ NASCOSTO'!$P$9,IF(C396&lt;='SOLLECITAZ NASCOSTO'!$P$8,IF(C396&lt;='SOLLECITAZ NASCOSTO'!$P$7,IF(C396&lt;='SOLLECITAZ NASCOSTO'!$P$6,IF(C396&lt;='SOLLECITAZ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107.42909249427385</v>
      </c>
      <c r="O397" s="41">
        <f>IF(C397&lt;='SOLLECITAZ NASCOSTO'!$P$12,IF(C397&lt;='SOLLECITAZ NASCOSTO'!$P$11,IF(C397&lt;='SOLLECITAZ NASCOSTO'!$P$10,IF(C397&lt;='SOLLECITAZ NASCOSTO'!$P$9,IF(C397&lt;='SOLLECITAZ NASCOSTO'!$P$8,IF(C397&lt;='SOLLECITAZ NASCOSTO'!$P$7,IF(C397&lt;='SOLLECITAZ NASCOSTO'!$P$6,IF(C397&lt;='SOLLECITAZ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paramento'!$G$110),55555)*(C397-C396)/IF(C397&lt;='SOLLECITAZ NASCOSTO'!$P$12,IF(C397&lt;='SOLLECITAZ NASCOSTO'!$P$11,IF(C397&lt;='SOLLECITAZ NASCOSTO'!$P$10,IF(C397&lt;='SOLLECITAZ NASCOSTO'!$P$9,IF(C397&lt;='SOLLECITAZ NASCOSTO'!$P$8,IF(C397&lt;='SOLLECITAZ NASCOSTO'!$P$7,IF(C397&lt;='SOLLECITAZ NASCOSTO'!$P$6,IF(C397&lt;='SOLLECITAZ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97" s="41">
        <f t="shared" si="120"/>
        <v>3.6400000000000234E-4</v>
      </c>
      <c r="Q397" s="41">
        <f t="shared" si="118"/>
        <v>1</v>
      </c>
      <c r="R397" s="434">
        <f t="shared" si="110"/>
        <v>3.976448272055821</v>
      </c>
      <c r="S397" s="45">
        <f t="shared" si="119"/>
        <v>3.976448272055821</v>
      </c>
      <c r="T397" s="205">
        <f t="shared" si="114"/>
        <v>1.0556133202050599</v>
      </c>
      <c r="U397" s="45">
        <f t="shared" si="116"/>
        <v>240.89236468052661</v>
      </c>
      <c r="V397" s="45">
        <f t="shared" si="117"/>
        <v>-354.80404684453629</v>
      </c>
      <c r="W397" s="488"/>
    </row>
    <row r="398" spans="1:23" s="421" customFormat="1" x14ac:dyDescent="0.25">
      <c r="A398" s="581">
        <f t="shared" si="111"/>
        <v>0.66146786259454193</v>
      </c>
      <c r="B398" s="31">
        <f t="shared" si="112"/>
        <v>366</v>
      </c>
      <c r="C398" s="434">
        <f>'SOLLECITAZ NASCOSTO'!$D$6/'SOLLECITAZ NASCOSTO'!$B$448*'SOLLECITAZ NASCOSTO'!B398</f>
        <v>3.9873426508833711</v>
      </c>
      <c r="D398" s="434">
        <f t="shared" si="113"/>
        <v>0.78146786259454193</v>
      </c>
      <c r="E398" s="434">
        <f t="shared" si="104"/>
        <v>0.66146786259454193</v>
      </c>
      <c r="F398" s="434">
        <f t="shared" si="105"/>
        <v>0.51166971603025346</v>
      </c>
      <c r="G398" s="434">
        <f t="shared" si="106"/>
        <v>0.1134067232428931</v>
      </c>
      <c r="H398" s="434">
        <f t="shared" si="121"/>
        <v>0</v>
      </c>
      <c r="I398" s="434">
        <v>0</v>
      </c>
      <c r="J398" s="127">
        <f t="shared" si="122"/>
        <v>0.2216404834797526</v>
      </c>
      <c r="K398" s="126">
        <f t="shared" si="109"/>
        <v>2.7025352394051003E-2</v>
      </c>
      <c r="L398" s="41">
        <f t="shared" si="123"/>
        <v>242.06695604472543</v>
      </c>
      <c r="M398" s="41">
        <f t="shared" si="115"/>
        <v>-357.4348177436749</v>
      </c>
      <c r="N398" s="41">
        <f>(IF(C397&lt;='SOLLECITAZ NASCOSTO'!$P$12,IF(C397&lt;='SOLLECITAZ NASCOSTO'!$P$11,IF(C397&lt;='SOLLECITAZ NASCOSTO'!$P$10,IF(C397&lt;='SOLLECITAZ NASCOSTO'!$P$9,IF(C397&lt;='SOLLECITAZ NASCOSTO'!$P$8,IF(C397&lt;='SOLLECITAZ NASCOSTO'!$P$7,IF(C397&lt;='SOLLECITAZ NASCOSTO'!$P$6,IF(C397&lt;='SOLLECITAZ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paramento'!$G$111),55555)-IF(C397&lt;='SOLLECITAZ NASCOSTO'!$P$12,IF(C397&lt;='SOLLECITAZ NASCOSTO'!$P$11,IF(C397&lt;='SOLLECITAZ NASCOSTO'!$P$10,IF(C397&lt;='SOLLECITAZ NASCOSTO'!$P$9,IF(C397&lt;='SOLLECITAZ NASCOSTO'!$P$8,IF(C397&lt;='SOLLECITAZ NASCOSTO'!$P$7,IF(C397&lt;='SOLLECITAZ NASCOSTO'!$P$6,IF(C397&lt;='SOLLECITAZ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paramento'!$G$111))*(C397-IF(C397&lt;='SOLLECITAZ NASCOSTO'!$P$12,IF(C397&lt;='SOLLECITAZ NASCOSTO'!$P$11,IF(C397&lt;='SOLLECITAZ NASCOSTO'!$P$10,IF(C397&lt;='SOLLECITAZ NASCOSTO'!$P$9,IF(C397&lt;='SOLLECITAZ NASCOSTO'!$P$8,IF(C397&lt;='SOLLECITAZ NASCOSTO'!$P$7,IF(C397&lt;='SOLLECITAZ NASCOSTO'!$P$6,IF(C397&lt;='SOLLECITAZ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NASCOSTO'!$P$12))/IF(C397&lt;='SOLLECITAZ NASCOSTO'!$P$12,IF(C397&lt;='SOLLECITAZ NASCOSTO'!$P$11,IF(C397&lt;='SOLLECITAZ NASCOSTO'!$P$10,IF(C397&lt;='SOLLECITAZ NASCOSTO'!$P$9,IF(C397&lt;='SOLLECITAZ NASCOSTO'!$P$8,IF(C397&lt;='SOLLECITAZ NASCOSTO'!$P$7,IF(C397&lt;='SOLLECITAZ NASCOSTO'!$P$6,IF(C397&lt;='SOLLECITAZ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paramento'!$C$111)+IF(C397&lt;='SOLLECITAZ NASCOSTO'!$P$12,IF(C397&lt;='SOLLECITAZ NASCOSTO'!$P$11,IF(C397&lt;='SOLLECITAZ NASCOSTO'!$P$10,IF(C397&lt;='SOLLECITAZ NASCOSTO'!$P$9,IF(C397&lt;='SOLLECITAZ NASCOSTO'!$P$8,IF(C397&lt;='SOLLECITAZ NASCOSTO'!$P$7,IF(C397&lt;='SOLLECITAZ NASCOSTO'!$P$6,IF(C397&lt;='SOLLECITAZ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107.68721542372325</v>
      </c>
      <c r="O398" s="41">
        <f>IF(C398&lt;='SOLLECITAZ NASCOSTO'!$P$12,IF(C398&lt;='SOLLECITAZ NASCOSTO'!$P$11,IF(C398&lt;='SOLLECITAZ NASCOSTO'!$P$10,IF(C398&lt;='SOLLECITAZ NASCOSTO'!$P$9,IF(C398&lt;='SOLLECITAZ NASCOSTO'!$P$8,IF(C398&lt;='SOLLECITAZ NASCOSTO'!$P$7,IF(C398&lt;='SOLLECITAZ NASCOSTO'!$P$6,IF(C398&lt;='SOLLECITAZ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paramento'!$G$110),55555)*(C398-C397)/IF(C398&lt;='SOLLECITAZ NASCOSTO'!$P$12,IF(C398&lt;='SOLLECITAZ NASCOSTO'!$P$11,IF(C398&lt;='SOLLECITAZ NASCOSTO'!$P$10,IF(C398&lt;='SOLLECITAZ NASCOSTO'!$P$9,IF(C398&lt;='SOLLECITAZ NASCOSTO'!$P$8,IF(C398&lt;='SOLLECITAZ NASCOSTO'!$P$7,IF(C398&lt;='SOLLECITAZ NASCOSTO'!$P$6,IF(C398&lt;='SOLLECITAZ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98" s="41">
        <f t="shared" si="120"/>
        <v>3.6500000000000237E-4</v>
      </c>
      <c r="Q398" s="41">
        <f t="shared" si="118"/>
        <v>1</v>
      </c>
      <c r="R398" s="434">
        <f t="shared" si="110"/>
        <v>3.9873426508833711</v>
      </c>
      <c r="S398" s="45">
        <f t="shared" si="119"/>
        <v>3.9873426508833711</v>
      </c>
      <c r="T398" s="205">
        <f t="shared" si="114"/>
        <v>1.0447189413775098</v>
      </c>
      <c r="U398" s="45">
        <f t="shared" si="116"/>
        <v>242.06695604472543</v>
      </c>
      <c r="V398" s="45">
        <f t="shared" si="117"/>
        <v>-357.4348177436749</v>
      </c>
      <c r="W398" s="488"/>
    </row>
    <row r="399" spans="1:23" s="421" customFormat="1" x14ac:dyDescent="0.25">
      <c r="A399" s="581">
        <f t="shared" si="111"/>
        <v>0.66303870534265108</v>
      </c>
      <c r="B399" s="31">
        <f t="shared" si="112"/>
        <v>367</v>
      </c>
      <c r="C399" s="434">
        <f>'SOLLECITAZ NASCOSTO'!$D$6/'SOLLECITAZ NASCOSTO'!$B$448*'SOLLECITAZ NASCOSTO'!B399</f>
        <v>3.9982370297109213</v>
      </c>
      <c r="D399" s="434">
        <f t="shared" si="113"/>
        <v>0.78303870534265108</v>
      </c>
      <c r="E399" s="434">
        <f t="shared" si="104"/>
        <v>0.66303870534265108</v>
      </c>
      <c r="F399" s="434">
        <f t="shared" si="105"/>
        <v>0.51217238570964829</v>
      </c>
      <c r="G399" s="434">
        <f t="shared" si="106"/>
        <v>0.11379993825035123</v>
      </c>
      <c r="H399" s="434">
        <f t="shared" si="121"/>
        <v>0</v>
      </c>
      <c r="I399" s="434">
        <v>0</v>
      </c>
      <c r="J399" s="127">
        <f t="shared" si="122"/>
        <v>0.22219069482372419</v>
      </c>
      <c r="K399" s="126">
        <f t="shared" si="109"/>
        <v>2.7183179846971162E-2</v>
      </c>
      <c r="L399" s="41">
        <f t="shared" si="123"/>
        <v>243.24435949790174</v>
      </c>
      <c r="M399" s="41">
        <f t="shared" si="115"/>
        <v>-360.07840040408394</v>
      </c>
      <c r="N399" s="41">
        <f>(IF(C398&lt;='SOLLECITAZ NASCOSTO'!$P$12,IF(C398&lt;='SOLLECITAZ NASCOSTO'!$P$11,IF(C398&lt;='SOLLECITAZ NASCOSTO'!$P$10,IF(C398&lt;='SOLLECITAZ NASCOSTO'!$P$9,IF(C398&lt;='SOLLECITAZ NASCOSTO'!$P$8,IF(C398&lt;='SOLLECITAZ NASCOSTO'!$P$7,IF(C398&lt;='SOLLECITAZ NASCOSTO'!$P$6,IF(C398&lt;='SOLLECITAZ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paramento'!$G$111),55555)-IF(C398&lt;='SOLLECITAZ NASCOSTO'!$P$12,IF(C398&lt;='SOLLECITAZ NASCOSTO'!$P$11,IF(C398&lt;='SOLLECITAZ NASCOSTO'!$P$10,IF(C398&lt;='SOLLECITAZ NASCOSTO'!$P$9,IF(C398&lt;='SOLLECITAZ NASCOSTO'!$P$8,IF(C398&lt;='SOLLECITAZ NASCOSTO'!$P$7,IF(C398&lt;='SOLLECITAZ NASCOSTO'!$P$6,IF(C398&lt;='SOLLECITAZ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paramento'!$G$111))*(C398-IF(C398&lt;='SOLLECITAZ NASCOSTO'!$P$12,IF(C398&lt;='SOLLECITAZ NASCOSTO'!$P$11,IF(C398&lt;='SOLLECITAZ NASCOSTO'!$P$10,IF(C398&lt;='SOLLECITAZ NASCOSTO'!$P$9,IF(C398&lt;='SOLLECITAZ NASCOSTO'!$P$8,IF(C398&lt;='SOLLECITAZ NASCOSTO'!$P$7,IF(C398&lt;='SOLLECITAZ NASCOSTO'!$P$6,IF(C398&lt;='SOLLECITAZ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NASCOSTO'!$P$12))/IF(C398&lt;='SOLLECITAZ NASCOSTO'!$P$12,IF(C398&lt;='SOLLECITAZ NASCOSTO'!$P$11,IF(C398&lt;='SOLLECITAZ NASCOSTO'!$P$10,IF(C398&lt;='SOLLECITAZ NASCOSTO'!$P$9,IF(C398&lt;='SOLLECITAZ NASCOSTO'!$P$8,IF(C398&lt;='SOLLECITAZ NASCOSTO'!$P$7,IF(C398&lt;='SOLLECITAZ NASCOSTO'!$P$6,IF(C398&lt;='SOLLECITAZ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paramento'!$C$111)+IF(C398&lt;='SOLLECITAZ NASCOSTO'!$P$12,IF(C398&lt;='SOLLECITAZ NASCOSTO'!$P$11,IF(C398&lt;='SOLLECITAZ NASCOSTO'!$P$10,IF(C398&lt;='SOLLECITAZ NASCOSTO'!$P$9,IF(C398&lt;='SOLLECITAZ NASCOSTO'!$P$8,IF(C398&lt;='SOLLECITAZ NASCOSTO'!$P$7,IF(C398&lt;='SOLLECITAZ NASCOSTO'!$P$6,IF(C398&lt;='SOLLECITAZ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107.94533835317267</v>
      </c>
      <c r="O399" s="41">
        <f>IF(C399&lt;='SOLLECITAZ NASCOSTO'!$P$12,IF(C399&lt;='SOLLECITAZ NASCOSTO'!$P$11,IF(C399&lt;='SOLLECITAZ NASCOSTO'!$P$10,IF(C399&lt;='SOLLECITAZ NASCOSTO'!$P$9,IF(C399&lt;='SOLLECITAZ NASCOSTO'!$P$8,IF(C399&lt;='SOLLECITAZ NASCOSTO'!$P$7,IF(C399&lt;='SOLLECITAZ NASCOSTO'!$P$6,IF(C399&lt;='SOLLECITAZ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paramento'!$G$110),55555)*(C399-C398)/IF(C399&lt;='SOLLECITAZ NASCOSTO'!$P$12,IF(C399&lt;='SOLLECITAZ NASCOSTO'!$P$11,IF(C399&lt;='SOLLECITAZ NASCOSTO'!$P$10,IF(C399&lt;='SOLLECITAZ NASCOSTO'!$P$9,IF(C399&lt;='SOLLECITAZ NASCOSTO'!$P$8,IF(C399&lt;='SOLLECITAZ NASCOSTO'!$P$7,IF(C399&lt;='SOLLECITAZ NASCOSTO'!$P$6,IF(C399&lt;='SOLLECITAZ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399" s="41">
        <f t="shared" si="120"/>
        <v>3.6600000000000239E-4</v>
      </c>
      <c r="Q399" s="41">
        <f t="shared" si="118"/>
        <v>1</v>
      </c>
      <c r="R399" s="434">
        <f t="shared" si="110"/>
        <v>3.9982370297109213</v>
      </c>
      <c r="S399" s="45">
        <f t="shared" si="119"/>
        <v>3.9982370297109213</v>
      </c>
      <c r="T399" s="205">
        <f t="shared" si="114"/>
        <v>1.0338245625499596</v>
      </c>
      <c r="U399" s="45">
        <f t="shared" si="116"/>
        <v>243.24435949790174</v>
      </c>
      <c r="V399" s="45">
        <f t="shared" si="117"/>
        <v>-360.07840040408394</v>
      </c>
      <c r="W399" s="488"/>
    </row>
    <row r="400" spans="1:23" s="421" customFormat="1" x14ac:dyDescent="0.25">
      <c r="A400" s="581">
        <f t="shared" si="111"/>
        <v>0.66460954809076023</v>
      </c>
      <c r="B400" s="31">
        <f t="shared" si="112"/>
        <v>368</v>
      </c>
      <c r="C400" s="434">
        <f>'SOLLECITAZ NASCOSTO'!$D$6/'SOLLECITAZ NASCOSTO'!$B$448*'SOLLECITAZ NASCOSTO'!B400</f>
        <v>4.0091314085384715</v>
      </c>
      <c r="D400" s="434">
        <f t="shared" si="113"/>
        <v>0.78460954809076022</v>
      </c>
      <c r="E400" s="434">
        <f t="shared" si="104"/>
        <v>0.66460954809076023</v>
      </c>
      <c r="F400" s="434">
        <f t="shared" si="105"/>
        <v>0.51267505538904323</v>
      </c>
      <c r="G400" s="434">
        <f t="shared" si="106"/>
        <v>0.11419394287282991</v>
      </c>
      <c r="H400" s="434">
        <f t="shared" si="121"/>
        <v>0</v>
      </c>
      <c r="I400" s="434">
        <v>0</v>
      </c>
      <c r="J400" s="127">
        <f t="shared" si="122"/>
        <v>0.22274136740702918</v>
      </c>
      <c r="K400" s="126">
        <f t="shared" si="109"/>
        <v>2.7341582645119419E-2</v>
      </c>
      <c r="L400" s="41">
        <f t="shared" si="123"/>
        <v>244.42457504005554</v>
      </c>
      <c r="M400" s="41">
        <f t="shared" si="115"/>
        <v>-362.73482546172607</v>
      </c>
      <c r="N400" s="41">
        <f>(IF(C399&lt;='SOLLECITAZ NASCOSTO'!$P$12,IF(C399&lt;='SOLLECITAZ NASCOSTO'!$P$11,IF(C399&lt;='SOLLECITAZ NASCOSTO'!$P$10,IF(C399&lt;='SOLLECITAZ NASCOSTO'!$P$9,IF(C399&lt;='SOLLECITAZ NASCOSTO'!$P$8,IF(C399&lt;='SOLLECITAZ NASCOSTO'!$P$7,IF(C399&lt;='SOLLECITAZ NASCOSTO'!$P$6,IF(C399&lt;='SOLLECITAZ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paramento'!$G$111),55555)-IF(C399&lt;='SOLLECITAZ NASCOSTO'!$P$12,IF(C399&lt;='SOLLECITAZ NASCOSTO'!$P$11,IF(C399&lt;='SOLLECITAZ NASCOSTO'!$P$10,IF(C399&lt;='SOLLECITAZ NASCOSTO'!$P$9,IF(C399&lt;='SOLLECITAZ NASCOSTO'!$P$8,IF(C399&lt;='SOLLECITAZ NASCOSTO'!$P$7,IF(C399&lt;='SOLLECITAZ NASCOSTO'!$P$6,IF(C399&lt;='SOLLECITAZ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paramento'!$G$111))*(C399-IF(C399&lt;='SOLLECITAZ NASCOSTO'!$P$12,IF(C399&lt;='SOLLECITAZ NASCOSTO'!$P$11,IF(C399&lt;='SOLLECITAZ NASCOSTO'!$P$10,IF(C399&lt;='SOLLECITAZ NASCOSTO'!$P$9,IF(C399&lt;='SOLLECITAZ NASCOSTO'!$P$8,IF(C399&lt;='SOLLECITAZ NASCOSTO'!$P$7,IF(C399&lt;='SOLLECITAZ NASCOSTO'!$P$6,IF(C399&lt;='SOLLECITAZ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NASCOSTO'!$P$12))/IF(C399&lt;='SOLLECITAZ NASCOSTO'!$P$12,IF(C399&lt;='SOLLECITAZ NASCOSTO'!$P$11,IF(C399&lt;='SOLLECITAZ NASCOSTO'!$P$10,IF(C399&lt;='SOLLECITAZ NASCOSTO'!$P$9,IF(C399&lt;='SOLLECITAZ NASCOSTO'!$P$8,IF(C399&lt;='SOLLECITAZ NASCOSTO'!$P$7,IF(C399&lt;='SOLLECITAZ NASCOSTO'!$P$6,IF(C399&lt;='SOLLECITAZ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paramento'!$C$111)+IF(C399&lt;='SOLLECITAZ NASCOSTO'!$P$12,IF(C399&lt;='SOLLECITAZ NASCOSTO'!$P$11,IF(C399&lt;='SOLLECITAZ NASCOSTO'!$P$10,IF(C399&lt;='SOLLECITAZ NASCOSTO'!$P$9,IF(C399&lt;='SOLLECITAZ NASCOSTO'!$P$8,IF(C399&lt;='SOLLECITAZ NASCOSTO'!$P$7,IF(C399&lt;='SOLLECITAZ NASCOSTO'!$P$6,IF(C399&lt;='SOLLECITAZ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108.20346128262207</v>
      </c>
      <c r="O400" s="41">
        <f>IF(C400&lt;='SOLLECITAZ NASCOSTO'!$P$12,IF(C400&lt;='SOLLECITAZ NASCOSTO'!$P$11,IF(C400&lt;='SOLLECITAZ NASCOSTO'!$P$10,IF(C400&lt;='SOLLECITAZ NASCOSTO'!$P$9,IF(C400&lt;='SOLLECITAZ NASCOSTO'!$P$8,IF(C400&lt;='SOLLECITAZ NASCOSTO'!$P$7,IF(C400&lt;='SOLLECITAZ NASCOSTO'!$P$6,IF(C400&lt;='SOLLECITAZ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paramento'!$G$110),55555)*(C400-C399)/IF(C400&lt;='SOLLECITAZ NASCOSTO'!$P$12,IF(C400&lt;='SOLLECITAZ NASCOSTO'!$P$11,IF(C400&lt;='SOLLECITAZ NASCOSTO'!$P$10,IF(C400&lt;='SOLLECITAZ NASCOSTO'!$P$9,IF(C400&lt;='SOLLECITAZ NASCOSTO'!$P$8,IF(C400&lt;='SOLLECITAZ NASCOSTO'!$P$7,IF(C400&lt;='SOLLECITAZ NASCOSTO'!$P$6,IF(C400&lt;='SOLLECITAZ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00" s="41">
        <f t="shared" si="120"/>
        <v>3.6700000000000242E-4</v>
      </c>
      <c r="Q400" s="41">
        <f t="shared" si="118"/>
        <v>1</v>
      </c>
      <c r="R400" s="434">
        <f t="shared" si="110"/>
        <v>4.0091314085384715</v>
      </c>
      <c r="S400" s="45">
        <f t="shared" si="119"/>
        <v>4.0091314085384715</v>
      </c>
      <c r="T400" s="205">
        <f t="shared" si="114"/>
        <v>1.0229301837224094</v>
      </c>
      <c r="U400" s="45">
        <f t="shared" si="116"/>
        <v>244.42457504005554</v>
      </c>
      <c r="V400" s="45">
        <f t="shared" si="117"/>
        <v>-362.73482546172607</v>
      </c>
      <c r="W400" s="488"/>
    </row>
    <row r="401" spans="1:23" s="421" customFormat="1" x14ac:dyDescent="0.25">
      <c r="A401" s="581">
        <f t="shared" si="111"/>
        <v>0.66618039083886937</v>
      </c>
      <c r="B401" s="31">
        <f t="shared" si="112"/>
        <v>369</v>
      </c>
      <c r="C401" s="434">
        <f>'SOLLECITAZ NASCOSTO'!$D$6/'SOLLECITAZ NASCOSTO'!$B$448*'SOLLECITAZ NASCOSTO'!B401</f>
        <v>4.0200257873660217</v>
      </c>
      <c r="D401" s="434">
        <f t="shared" si="113"/>
        <v>0.78618039083886937</v>
      </c>
      <c r="E401" s="434">
        <f t="shared" si="104"/>
        <v>0.66618039083886937</v>
      </c>
      <c r="F401" s="434">
        <f t="shared" si="105"/>
        <v>0.51317772506843817</v>
      </c>
      <c r="G401" s="434">
        <f t="shared" si="106"/>
        <v>0.11458873711032919</v>
      </c>
      <c r="H401" s="434">
        <f t="shared" si="121"/>
        <v>0</v>
      </c>
      <c r="I401" s="434">
        <v>0</v>
      </c>
      <c r="J401" s="127">
        <f t="shared" si="122"/>
        <v>0.22329249987428323</v>
      </c>
      <c r="K401" s="126">
        <f t="shared" si="109"/>
        <v>2.7500561574880324E-2</v>
      </c>
      <c r="L401" s="41">
        <f t="shared" si="123"/>
        <v>245.60760267118684</v>
      </c>
      <c r="M401" s="41">
        <f t="shared" si="115"/>
        <v>-365.40412355256393</v>
      </c>
      <c r="N401" s="41">
        <f>(IF(C400&lt;='SOLLECITAZ NASCOSTO'!$P$12,IF(C400&lt;='SOLLECITAZ NASCOSTO'!$P$11,IF(C400&lt;='SOLLECITAZ NASCOSTO'!$P$10,IF(C400&lt;='SOLLECITAZ NASCOSTO'!$P$9,IF(C400&lt;='SOLLECITAZ NASCOSTO'!$P$8,IF(C400&lt;='SOLLECITAZ NASCOSTO'!$P$7,IF(C400&lt;='SOLLECITAZ NASCOSTO'!$P$6,IF(C400&lt;='SOLLECITAZ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paramento'!$G$111),55555)-IF(C400&lt;='SOLLECITAZ NASCOSTO'!$P$12,IF(C400&lt;='SOLLECITAZ NASCOSTO'!$P$11,IF(C400&lt;='SOLLECITAZ NASCOSTO'!$P$10,IF(C400&lt;='SOLLECITAZ NASCOSTO'!$P$9,IF(C400&lt;='SOLLECITAZ NASCOSTO'!$P$8,IF(C400&lt;='SOLLECITAZ NASCOSTO'!$P$7,IF(C400&lt;='SOLLECITAZ NASCOSTO'!$P$6,IF(C400&lt;='SOLLECITAZ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paramento'!$G$111))*(C400-IF(C400&lt;='SOLLECITAZ NASCOSTO'!$P$12,IF(C400&lt;='SOLLECITAZ NASCOSTO'!$P$11,IF(C400&lt;='SOLLECITAZ NASCOSTO'!$P$10,IF(C400&lt;='SOLLECITAZ NASCOSTO'!$P$9,IF(C400&lt;='SOLLECITAZ NASCOSTO'!$P$8,IF(C400&lt;='SOLLECITAZ NASCOSTO'!$P$7,IF(C400&lt;='SOLLECITAZ NASCOSTO'!$P$6,IF(C400&lt;='SOLLECITAZ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NASCOSTO'!$P$12))/IF(C400&lt;='SOLLECITAZ NASCOSTO'!$P$12,IF(C400&lt;='SOLLECITAZ NASCOSTO'!$P$11,IF(C400&lt;='SOLLECITAZ NASCOSTO'!$P$10,IF(C400&lt;='SOLLECITAZ NASCOSTO'!$P$9,IF(C400&lt;='SOLLECITAZ NASCOSTO'!$P$8,IF(C400&lt;='SOLLECITAZ NASCOSTO'!$P$7,IF(C400&lt;='SOLLECITAZ NASCOSTO'!$P$6,IF(C400&lt;='SOLLECITAZ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paramento'!$C$111)+IF(C400&lt;='SOLLECITAZ NASCOSTO'!$P$12,IF(C400&lt;='SOLLECITAZ NASCOSTO'!$P$11,IF(C400&lt;='SOLLECITAZ NASCOSTO'!$P$10,IF(C400&lt;='SOLLECITAZ NASCOSTO'!$P$9,IF(C400&lt;='SOLLECITAZ NASCOSTO'!$P$8,IF(C400&lt;='SOLLECITAZ NASCOSTO'!$P$7,IF(C400&lt;='SOLLECITAZ NASCOSTO'!$P$6,IF(C400&lt;='SOLLECITAZ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108.46158421207147</v>
      </c>
      <c r="O401" s="41">
        <f>IF(C401&lt;='SOLLECITAZ NASCOSTO'!$P$12,IF(C401&lt;='SOLLECITAZ NASCOSTO'!$P$11,IF(C401&lt;='SOLLECITAZ NASCOSTO'!$P$10,IF(C401&lt;='SOLLECITAZ NASCOSTO'!$P$9,IF(C401&lt;='SOLLECITAZ NASCOSTO'!$P$8,IF(C401&lt;='SOLLECITAZ NASCOSTO'!$P$7,IF(C401&lt;='SOLLECITAZ NASCOSTO'!$P$6,IF(C401&lt;='SOLLECITAZ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paramento'!$G$110),55555)*(C401-C400)/IF(C401&lt;='SOLLECITAZ NASCOSTO'!$P$12,IF(C401&lt;='SOLLECITAZ NASCOSTO'!$P$11,IF(C401&lt;='SOLLECITAZ NASCOSTO'!$P$10,IF(C401&lt;='SOLLECITAZ NASCOSTO'!$P$9,IF(C401&lt;='SOLLECITAZ NASCOSTO'!$P$8,IF(C401&lt;='SOLLECITAZ NASCOSTO'!$P$7,IF(C401&lt;='SOLLECITAZ NASCOSTO'!$P$6,IF(C401&lt;='SOLLECITAZ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01" s="41">
        <f t="shared" si="120"/>
        <v>3.6800000000000244E-4</v>
      </c>
      <c r="Q401" s="41">
        <f t="shared" si="118"/>
        <v>1</v>
      </c>
      <c r="R401" s="434">
        <f t="shared" si="110"/>
        <v>4.0200257873660217</v>
      </c>
      <c r="S401" s="45">
        <f t="shared" si="119"/>
        <v>4.0200257873660217</v>
      </c>
      <c r="T401" s="205">
        <f t="shared" si="114"/>
        <v>1.0120358048948592</v>
      </c>
      <c r="U401" s="45">
        <f t="shared" si="116"/>
        <v>245.60760267118684</v>
      </c>
      <c r="V401" s="45">
        <f t="shared" si="117"/>
        <v>-365.40412355256393</v>
      </c>
      <c r="W401" s="488"/>
    </row>
    <row r="402" spans="1:23" s="421" customFormat="1" x14ac:dyDescent="0.25">
      <c r="A402" s="581">
        <f t="shared" si="111"/>
        <v>0.66775123358697852</v>
      </c>
      <c r="B402" s="31">
        <f t="shared" si="112"/>
        <v>370</v>
      </c>
      <c r="C402" s="434">
        <f>'SOLLECITAZ NASCOSTO'!$D$6/'SOLLECITAZ NASCOSTO'!$B$448*'SOLLECITAZ NASCOSTO'!B402</f>
        <v>4.0309201661935719</v>
      </c>
      <c r="D402" s="434">
        <f t="shared" si="113"/>
        <v>0.78775123358697852</v>
      </c>
      <c r="E402" s="434">
        <f t="shared" si="104"/>
        <v>0.66775123358697852</v>
      </c>
      <c r="F402" s="434">
        <f t="shared" si="105"/>
        <v>0.51368039474783311</v>
      </c>
      <c r="G402" s="434">
        <f t="shared" si="106"/>
        <v>0.11498432096284902</v>
      </c>
      <c r="H402" s="434">
        <f t="shared" si="121"/>
        <v>0</v>
      </c>
      <c r="I402" s="434">
        <v>0</v>
      </c>
      <c r="J402" s="127">
        <f t="shared" si="122"/>
        <v>0.22384409087540724</v>
      </c>
      <c r="K402" s="126">
        <f t="shared" si="109"/>
        <v>2.7660117421987818E-2</v>
      </c>
      <c r="L402" s="41">
        <f t="shared" si="123"/>
        <v>246.79344239129563</v>
      </c>
      <c r="M402" s="41">
        <f t="shared" si="115"/>
        <v>-368.08632531256006</v>
      </c>
      <c r="N402" s="41">
        <f>(IF(C401&lt;='SOLLECITAZ NASCOSTO'!$P$12,IF(C401&lt;='SOLLECITAZ NASCOSTO'!$P$11,IF(C401&lt;='SOLLECITAZ NASCOSTO'!$P$10,IF(C401&lt;='SOLLECITAZ NASCOSTO'!$P$9,IF(C401&lt;='SOLLECITAZ NASCOSTO'!$P$8,IF(C401&lt;='SOLLECITAZ NASCOSTO'!$P$7,IF(C401&lt;='SOLLECITAZ NASCOSTO'!$P$6,IF(C401&lt;='SOLLECITAZ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paramento'!$G$111),55555)-IF(C401&lt;='SOLLECITAZ NASCOSTO'!$P$12,IF(C401&lt;='SOLLECITAZ NASCOSTO'!$P$11,IF(C401&lt;='SOLLECITAZ NASCOSTO'!$P$10,IF(C401&lt;='SOLLECITAZ NASCOSTO'!$P$9,IF(C401&lt;='SOLLECITAZ NASCOSTO'!$P$8,IF(C401&lt;='SOLLECITAZ NASCOSTO'!$P$7,IF(C401&lt;='SOLLECITAZ NASCOSTO'!$P$6,IF(C401&lt;='SOLLECITAZ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paramento'!$G$111))*(C401-IF(C401&lt;='SOLLECITAZ NASCOSTO'!$P$12,IF(C401&lt;='SOLLECITAZ NASCOSTO'!$P$11,IF(C401&lt;='SOLLECITAZ NASCOSTO'!$P$10,IF(C401&lt;='SOLLECITAZ NASCOSTO'!$P$9,IF(C401&lt;='SOLLECITAZ NASCOSTO'!$P$8,IF(C401&lt;='SOLLECITAZ NASCOSTO'!$P$7,IF(C401&lt;='SOLLECITAZ NASCOSTO'!$P$6,IF(C401&lt;='SOLLECITAZ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NASCOSTO'!$P$12))/IF(C401&lt;='SOLLECITAZ NASCOSTO'!$P$12,IF(C401&lt;='SOLLECITAZ NASCOSTO'!$P$11,IF(C401&lt;='SOLLECITAZ NASCOSTO'!$P$10,IF(C401&lt;='SOLLECITAZ NASCOSTO'!$P$9,IF(C401&lt;='SOLLECITAZ NASCOSTO'!$P$8,IF(C401&lt;='SOLLECITAZ NASCOSTO'!$P$7,IF(C401&lt;='SOLLECITAZ NASCOSTO'!$P$6,IF(C401&lt;='SOLLECITAZ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paramento'!$C$111)+IF(C401&lt;='SOLLECITAZ NASCOSTO'!$P$12,IF(C401&lt;='SOLLECITAZ NASCOSTO'!$P$11,IF(C401&lt;='SOLLECITAZ NASCOSTO'!$P$10,IF(C401&lt;='SOLLECITAZ NASCOSTO'!$P$9,IF(C401&lt;='SOLLECITAZ NASCOSTO'!$P$8,IF(C401&lt;='SOLLECITAZ NASCOSTO'!$P$7,IF(C401&lt;='SOLLECITAZ NASCOSTO'!$P$6,IF(C401&lt;='SOLLECITAZ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108.71970714152087</v>
      </c>
      <c r="O402" s="41">
        <f>IF(C402&lt;='SOLLECITAZ NASCOSTO'!$P$12,IF(C402&lt;='SOLLECITAZ NASCOSTO'!$P$11,IF(C402&lt;='SOLLECITAZ NASCOSTO'!$P$10,IF(C402&lt;='SOLLECITAZ NASCOSTO'!$P$9,IF(C402&lt;='SOLLECITAZ NASCOSTO'!$P$8,IF(C402&lt;='SOLLECITAZ NASCOSTO'!$P$7,IF(C402&lt;='SOLLECITAZ NASCOSTO'!$P$6,IF(C402&lt;='SOLLECITAZ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paramento'!$G$110),55555)*(C402-C401)/IF(C402&lt;='SOLLECITAZ NASCOSTO'!$P$12,IF(C402&lt;='SOLLECITAZ NASCOSTO'!$P$11,IF(C402&lt;='SOLLECITAZ NASCOSTO'!$P$10,IF(C402&lt;='SOLLECITAZ NASCOSTO'!$P$9,IF(C402&lt;='SOLLECITAZ NASCOSTO'!$P$8,IF(C402&lt;='SOLLECITAZ NASCOSTO'!$P$7,IF(C402&lt;='SOLLECITAZ NASCOSTO'!$P$6,IF(C402&lt;='SOLLECITAZ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02" s="41">
        <f t="shared" si="120"/>
        <v>3.6900000000000246E-4</v>
      </c>
      <c r="Q402" s="41">
        <f t="shared" si="118"/>
        <v>1</v>
      </c>
      <c r="R402" s="434">
        <f t="shared" si="110"/>
        <v>4.0309201661935719</v>
      </c>
      <c r="S402" s="45">
        <f t="shared" si="119"/>
        <v>4.0309201661935719</v>
      </c>
      <c r="T402" s="205">
        <f t="shared" si="114"/>
        <v>1.001141426067309</v>
      </c>
      <c r="U402" s="45">
        <f t="shared" si="116"/>
        <v>246.79344239129563</v>
      </c>
      <c r="V402" s="45">
        <f t="shared" si="117"/>
        <v>-368.08632531256006</v>
      </c>
      <c r="W402" s="488"/>
    </row>
    <row r="403" spans="1:23" s="421" customFormat="1" x14ac:dyDescent="0.25">
      <c r="A403" s="581">
        <f t="shared" si="111"/>
        <v>0.66932207633508767</v>
      </c>
      <c r="B403" s="31">
        <f t="shared" si="112"/>
        <v>371</v>
      </c>
      <c r="C403" s="434">
        <f>'SOLLECITAZ NASCOSTO'!$D$6/'SOLLECITAZ NASCOSTO'!$B$448*'SOLLECITAZ NASCOSTO'!B403</f>
        <v>4.041814545021122</v>
      </c>
      <c r="D403" s="434">
        <f t="shared" si="113"/>
        <v>0.78932207633508766</v>
      </c>
      <c r="E403" s="434">
        <f t="shared" si="104"/>
        <v>0.66932207633508767</v>
      </c>
      <c r="F403" s="434">
        <f t="shared" si="105"/>
        <v>0.51418306442722805</v>
      </c>
      <c r="G403" s="434">
        <f t="shared" si="106"/>
        <v>0.11538069443038944</v>
      </c>
      <c r="H403" s="434">
        <f t="shared" si="121"/>
        <v>0</v>
      </c>
      <c r="I403" s="434">
        <v>0</v>
      </c>
      <c r="J403" s="127">
        <f t="shared" si="122"/>
        <v>0.22439613906560157</v>
      </c>
      <c r="K403" s="126">
        <f t="shared" si="109"/>
        <v>2.7820250971528487E-2</v>
      </c>
      <c r="L403" s="41">
        <f t="shared" si="123"/>
        <v>247.98209420038194</v>
      </c>
      <c r="M403" s="41">
        <f t="shared" si="115"/>
        <v>-370.78146137767715</v>
      </c>
      <c r="N403" s="41">
        <f>(IF(C402&lt;='SOLLECITAZ NASCOSTO'!$P$12,IF(C402&lt;='SOLLECITAZ NASCOSTO'!$P$11,IF(C402&lt;='SOLLECITAZ NASCOSTO'!$P$10,IF(C402&lt;='SOLLECITAZ NASCOSTO'!$P$9,IF(C402&lt;='SOLLECITAZ NASCOSTO'!$P$8,IF(C402&lt;='SOLLECITAZ NASCOSTO'!$P$7,IF(C402&lt;='SOLLECITAZ NASCOSTO'!$P$6,IF(C402&lt;='SOLLECITAZ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paramento'!$G$111),55555)-IF(C402&lt;='SOLLECITAZ NASCOSTO'!$P$12,IF(C402&lt;='SOLLECITAZ NASCOSTO'!$P$11,IF(C402&lt;='SOLLECITAZ NASCOSTO'!$P$10,IF(C402&lt;='SOLLECITAZ NASCOSTO'!$P$9,IF(C402&lt;='SOLLECITAZ NASCOSTO'!$P$8,IF(C402&lt;='SOLLECITAZ NASCOSTO'!$P$7,IF(C402&lt;='SOLLECITAZ NASCOSTO'!$P$6,IF(C402&lt;='SOLLECITAZ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paramento'!$G$111))*(C402-IF(C402&lt;='SOLLECITAZ NASCOSTO'!$P$12,IF(C402&lt;='SOLLECITAZ NASCOSTO'!$P$11,IF(C402&lt;='SOLLECITAZ NASCOSTO'!$P$10,IF(C402&lt;='SOLLECITAZ NASCOSTO'!$P$9,IF(C402&lt;='SOLLECITAZ NASCOSTO'!$P$8,IF(C402&lt;='SOLLECITAZ NASCOSTO'!$P$7,IF(C402&lt;='SOLLECITAZ NASCOSTO'!$P$6,IF(C402&lt;='SOLLECITAZ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NASCOSTO'!$P$12))/IF(C402&lt;='SOLLECITAZ NASCOSTO'!$P$12,IF(C402&lt;='SOLLECITAZ NASCOSTO'!$P$11,IF(C402&lt;='SOLLECITAZ NASCOSTO'!$P$10,IF(C402&lt;='SOLLECITAZ NASCOSTO'!$P$9,IF(C402&lt;='SOLLECITAZ NASCOSTO'!$P$8,IF(C402&lt;='SOLLECITAZ NASCOSTO'!$P$7,IF(C402&lt;='SOLLECITAZ NASCOSTO'!$P$6,IF(C402&lt;='SOLLECITAZ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paramento'!$C$111)+IF(C402&lt;='SOLLECITAZ NASCOSTO'!$P$12,IF(C402&lt;='SOLLECITAZ NASCOSTO'!$P$11,IF(C402&lt;='SOLLECITAZ NASCOSTO'!$P$10,IF(C402&lt;='SOLLECITAZ NASCOSTO'!$P$9,IF(C402&lt;='SOLLECITAZ NASCOSTO'!$P$8,IF(C402&lt;='SOLLECITAZ NASCOSTO'!$P$7,IF(C402&lt;='SOLLECITAZ NASCOSTO'!$P$6,IF(C402&lt;='SOLLECITAZ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108.97783007097027</v>
      </c>
      <c r="O403" s="41">
        <f>IF(C403&lt;='SOLLECITAZ NASCOSTO'!$P$12,IF(C403&lt;='SOLLECITAZ NASCOSTO'!$P$11,IF(C403&lt;='SOLLECITAZ NASCOSTO'!$P$10,IF(C403&lt;='SOLLECITAZ NASCOSTO'!$P$9,IF(C403&lt;='SOLLECITAZ NASCOSTO'!$P$8,IF(C403&lt;='SOLLECITAZ NASCOSTO'!$P$7,IF(C403&lt;='SOLLECITAZ NASCOSTO'!$P$6,IF(C403&lt;='SOLLECITAZ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paramento'!$G$110),55555)*(C403-C402)/IF(C403&lt;='SOLLECITAZ NASCOSTO'!$P$12,IF(C403&lt;='SOLLECITAZ NASCOSTO'!$P$11,IF(C403&lt;='SOLLECITAZ NASCOSTO'!$P$10,IF(C403&lt;='SOLLECITAZ NASCOSTO'!$P$9,IF(C403&lt;='SOLLECITAZ NASCOSTO'!$P$8,IF(C403&lt;='SOLLECITAZ NASCOSTO'!$P$7,IF(C403&lt;='SOLLECITAZ NASCOSTO'!$P$6,IF(C403&lt;='SOLLECITAZ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03" s="41">
        <f t="shared" si="120"/>
        <v>3.7000000000000249E-4</v>
      </c>
      <c r="Q403" s="41">
        <f t="shared" si="118"/>
        <v>1</v>
      </c>
      <c r="R403" s="434">
        <f t="shared" si="110"/>
        <v>4.041814545021122</v>
      </c>
      <c r="S403" s="45">
        <f t="shared" si="119"/>
        <v>4.041814545021122</v>
      </c>
      <c r="T403" s="205">
        <f t="shared" si="114"/>
        <v>0.99024704723975887</v>
      </c>
      <c r="U403" s="45">
        <f t="shared" si="116"/>
        <v>247.98209420038194</v>
      </c>
      <c r="V403" s="45">
        <f t="shared" si="117"/>
        <v>-370.78146137767715</v>
      </c>
      <c r="W403" s="488"/>
    </row>
    <row r="404" spans="1:23" s="421" customFormat="1" x14ac:dyDescent="0.25">
      <c r="A404" s="581">
        <f t="shared" si="111"/>
        <v>0.67089291908319681</v>
      </c>
      <c r="B404" s="31">
        <f t="shared" si="112"/>
        <v>372</v>
      </c>
      <c r="C404" s="434">
        <f>'SOLLECITAZ NASCOSTO'!$D$6/'SOLLECITAZ NASCOSTO'!$B$448*'SOLLECITAZ NASCOSTO'!B404</f>
        <v>4.0527089238486722</v>
      </c>
      <c r="D404" s="434">
        <f t="shared" si="113"/>
        <v>0.79089291908319681</v>
      </c>
      <c r="E404" s="434">
        <f t="shared" si="104"/>
        <v>0.67089291908319681</v>
      </c>
      <c r="F404" s="434">
        <f t="shared" si="105"/>
        <v>0.51468573410662299</v>
      </c>
      <c r="G404" s="434">
        <f t="shared" si="106"/>
        <v>0.11577785751295042</v>
      </c>
      <c r="H404" s="434">
        <f t="shared" si="121"/>
        <v>0</v>
      </c>
      <c r="I404" s="434">
        <v>0</v>
      </c>
      <c r="J404" s="127">
        <f t="shared" si="122"/>
        <v>0.22494864310532012</v>
      </c>
      <c r="K404" s="126">
        <f t="shared" si="109"/>
        <v>2.7980963007944656E-2</v>
      </c>
      <c r="L404" s="41">
        <f t="shared" si="123"/>
        <v>249.17355809844574</v>
      </c>
      <c r="M404" s="41">
        <f t="shared" si="115"/>
        <v>-373.4895623838778</v>
      </c>
      <c r="N404" s="41">
        <f>(IF(C403&lt;='SOLLECITAZ NASCOSTO'!$P$12,IF(C403&lt;='SOLLECITAZ NASCOSTO'!$P$11,IF(C403&lt;='SOLLECITAZ NASCOSTO'!$P$10,IF(C403&lt;='SOLLECITAZ NASCOSTO'!$P$9,IF(C403&lt;='SOLLECITAZ NASCOSTO'!$P$8,IF(C403&lt;='SOLLECITAZ NASCOSTO'!$P$7,IF(C403&lt;='SOLLECITAZ NASCOSTO'!$P$6,IF(C403&lt;='SOLLECITAZ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paramento'!$G$111),55555)-IF(C403&lt;='SOLLECITAZ NASCOSTO'!$P$12,IF(C403&lt;='SOLLECITAZ NASCOSTO'!$P$11,IF(C403&lt;='SOLLECITAZ NASCOSTO'!$P$10,IF(C403&lt;='SOLLECITAZ NASCOSTO'!$P$9,IF(C403&lt;='SOLLECITAZ NASCOSTO'!$P$8,IF(C403&lt;='SOLLECITAZ NASCOSTO'!$P$7,IF(C403&lt;='SOLLECITAZ NASCOSTO'!$P$6,IF(C403&lt;='SOLLECITAZ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paramento'!$G$111))*(C403-IF(C403&lt;='SOLLECITAZ NASCOSTO'!$P$12,IF(C403&lt;='SOLLECITAZ NASCOSTO'!$P$11,IF(C403&lt;='SOLLECITAZ NASCOSTO'!$P$10,IF(C403&lt;='SOLLECITAZ NASCOSTO'!$P$9,IF(C403&lt;='SOLLECITAZ NASCOSTO'!$P$8,IF(C403&lt;='SOLLECITAZ NASCOSTO'!$P$7,IF(C403&lt;='SOLLECITAZ NASCOSTO'!$P$6,IF(C403&lt;='SOLLECITAZ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NASCOSTO'!$P$12))/IF(C403&lt;='SOLLECITAZ NASCOSTO'!$P$12,IF(C403&lt;='SOLLECITAZ NASCOSTO'!$P$11,IF(C403&lt;='SOLLECITAZ NASCOSTO'!$P$10,IF(C403&lt;='SOLLECITAZ NASCOSTO'!$P$9,IF(C403&lt;='SOLLECITAZ NASCOSTO'!$P$8,IF(C403&lt;='SOLLECITAZ NASCOSTO'!$P$7,IF(C403&lt;='SOLLECITAZ NASCOSTO'!$P$6,IF(C403&lt;='SOLLECITAZ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paramento'!$C$111)+IF(C403&lt;='SOLLECITAZ NASCOSTO'!$P$12,IF(C403&lt;='SOLLECITAZ NASCOSTO'!$P$11,IF(C403&lt;='SOLLECITAZ NASCOSTO'!$P$10,IF(C403&lt;='SOLLECITAZ NASCOSTO'!$P$9,IF(C403&lt;='SOLLECITAZ NASCOSTO'!$P$8,IF(C403&lt;='SOLLECITAZ NASCOSTO'!$P$7,IF(C403&lt;='SOLLECITAZ NASCOSTO'!$P$6,IF(C403&lt;='SOLLECITAZ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109.2359530004197</v>
      </c>
      <c r="O404" s="41">
        <f>IF(C404&lt;='SOLLECITAZ NASCOSTO'!$P$12,IF(C404&lt;='SOLLECITAZ NASCOSTO'!$P$11,IF(C404&lt;='SOLLECITAZ NASCOSTO'!$P$10,IF(C404&lt;='SOLLECITAZ NASCOSTO'!$P$9,IF(C404&lt;='SOLLECITAZ NASCOSTO'!$P$8,IF(C404&lt;='SOLLECITAZ NASCOSTO'!$P$7,IF(C404&lt;='SOLLECITAZ NASCOSTO'!$P$6,IF(C404&lt;='SOLLECITAZ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paramento'!$G$110),55555)*(C404-C403)/IF(C404&lt;='SOLLECITAZ NASCOSTO'!$P$12,IF(C404&lt;='SOLLECITAZ NASCOSTO'!$P$11,IF(C404&lt;='SOLLECITAZ NASCOSTO'!$P$10,IF(C404&lt;='SOLLECITAZ NASCOSTO'!$P$9,IF(C404&lt;='SOLLECITAZ NASCOSTO'!$P$8,IF(C404&lt;='SOLLECITAZ NASCOSTO'!$P$7,IF(C404&lt;='SOLLECITAZ NASCOSTO'!$P$6,IF(C404&lt;='SOLLECITAZ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04" s="41">
        <f t="shared" si="120"/>
        <v>3.7100000000000251E-4</v>
      </c>
      <c r="Q404" s="41">
        <f t="shared" si="118"/>
        <v>1</v>
      </c>
      <c r="R404" s="434">
        <f t="shared" si="110"/>
        <v>4.0527089238486722</v>
      </c>
      <c r="S404" s="45">
        <f t="shared" si="119"/>
        <v>4.0527089238486722</v>
      </c>
      <c r="T404" s="205">
        <f t="shared" si="114"/>
        <v>0.97935266841220869</v>
      </c>
      <c r="U404" s="45">
        <f t="shared" si="116"/>
        <v>249.17355809844574</v>
      </c>
      <c r="V404" s="45">
        <f t="shared" si="117"/>
        <v>-373.4895623838778</v>
      </c>
      <c r="W404" s="488"/>
    </row>
    <row r="405" spans="1:23" s="421" customFormat="1" x14ac:dyDescent="0.25">
      <c r="A405" s="581">
        <f t="shared" si="111"/>
        <v>0.67246376183130596</v>
      </c>
      <c r="B405" s="31">
        <f t="shared" si="112"/>
        <v>373</v>
      </c>
      <c r="C405" s="434">
        <f>'SOLLECITAZ NASCOSTO'!$D$6/'SOLLECITAZ NASCOSTO'!$B$448*'SOLLECITAZ NASCOSTO'!B405</f>
        <v>4.0636033026762224</v>
      </c>
      <c r="D405" s="434">
        <f t="shared" si="113"/>
        <v>0.79246376183130596</v>
      </c>
      <c r="E405" s="434">
        <f t="shared" si="104"/>
        <v>0.67246376183130596</v>
      </c>
      <c r="F405" s="434">
        <f t="shared" si="105"/>
        <v>0.51518840378601793</v>
      </c>
      <c r="G405" s="434">
        <f t="shared" si="106"/>
        <v>0.11617581021053197</v>
      </c>
      <c r="H405" s="434">
        <f t="shared" si="121"/>
        <v>0</v>
      </c>
      <c r="I405" s="434">
        <v>0</v>
      </c>
      <c r="J405" s="127">
        <f t="shared" si="122"/>
        <v>0.2255016016602448</v>
      </c>
      <c r="K405" s="126">
        <f t="shared" si="109"/>
        <v>2.814225431503764E-2</v>
      </c>
      <c r="L405" s="41">
        <f t="shared" si="123"/>
        <v>250.36783408548703</v>
      </c>
      <c r="M405" s="41">
        <f t="shared" si="115"/>
        <v>-376.21065896712457</v>
      </c>
      <c r="N405" s="41">
        <f>(IF(C404&lt;='SOLLECITAZ NASCOSTO'!$P$12,IF(C404&lt;='SOLLECITAZ NASCOSTO'!$P$11,IF(C404&lt;='SOLLECITAZ NASCOSTO'!$P$10,IF(C404&lt;='SOLLECITAZ NASCOSTO'!$P$9,IF(C404&lt;='SOLLECITAZ NASCOSTO'!$P$8,IF(C404&lt;='SOLLECITAZ NASCOSTO'!$P$7,IF(C404&lt;='SOLLECITAZ NASCOSTO'!$P$6,IF(C404&lt;='SOLLECITAZ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paramento'!$G$111),55555)-IF(C404&lt;='SOLLECITAZ NASCOSTO'!$P$12,IF(C404&lt;='SOLLECITAZ NASCOSTO'!$P$11,IF(C404&lt;='SOLLECITAZ NASCOSTO'!$P$10,IF(C404&lt;='SOLLECITAZ NASCOSTO'!$P$9,IF(C404&lt;='SOLLECITAZ NASCOSTO'!$P$8,IF(C404&lt;='SOLLECITAZ NASCOSTO'!$P$7,IF(C404&lt;='SOLLECITAZ NASCOSTO'!$P$6,IF(C404&lt;='SOLLECITAZ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paramento'!$G$111))*(C404-IF(C404&lt;='SOLLECITAZ NASCOSTO'!$P$12,IF(C404&lt;='SOLLECITAZ NASCOSTO'!$P$11,IF(C404&lt;='SOLLECITAZ NASCOSTO'!$P$10,IF(C404&lt;='SOLLECITAZ NASCOSTO'!$P$9,IF(C404&lt;='SOLLECITAZ NASCOSTO'!$P$8,IF(C404&lt;='SOLLECITAZ NASCOSTO'!$P$7,IF(C404&lt;='SOLLECITAZ NASCOSTO'!$P$6,IF(C404&lt;='SOLLECITAZ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NASCOSTO'!$P$12))/IF(C404&lt;='SOLLECITAZ NASCOSTO'!$P$12,IF(C404&lt;='SOLLECITAZ NASCOSTO'!$P$11,IF(C404&lt;='SOLLECITAZ NASCOSTO'!$P$10,IF(C404&lt;='SOLLECITAZ NASCOSTO'!$P$9,IF(C404&lt;='SOLLECITAZ NASCOSTO'!$P$8,IF(C404&lt;='SOLLECITAZ NASCOSTO'!$P$7,IF(C404&lt;='SOLLECITAZ NASCOSTO'!$P$6,IF(C404&lt;='SOLLECITAZ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paramento'!$C$111)+IF(C404&lt;='SOLLECITAZ NASCOSTO'!$P$12,IF(C404&lt;='SOLLECITAZ NASCOSTO'!$P$11,IF(C404&lt;='SOLLECITAZ NASCOSTO'!$P$10,IF(C404&lt;='SOLLECITAZ NASCOSTO'!$P$9,IF(C404&lt;='SOLLECITAZ NASCOSTO'!$P$8,IF(C404&lt;='SOLLECITAZ NASCOSTO'!$P$7,IF(C404&lt;='SOLLECITAZ NASCOSTO'!$P$6,IF(C404&lt;='SOLLECITAZ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109.4940759298691</v>
      </c>
      <c r="O405" s="41">
        <f>IF(C405&lt;='SOLLECITAZ NASCOSTO'!$P$12,IF(C405&lt;='SOLLECITAZ NASCOSTO'!$P$11,IF(C405&lt;='SOLLECITAZ NASCOSTO'!$P$10,IF(C405&lt;='SOLLECITAZ NASCOSTO'!$P$9,IF(C405&lt;='SOLLECITAZ NASCOSTO'!$P$8,IF(C405&lt;='SOLLECITAZ NASCOSTO'!$P$7,IF(C405&lt;='SOLLECITAZ NASCOSTO'!$P$6,IF(C405&lt;='SOLLECITAZ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paramento'!$G$110),55555)*(C405-C404)/IF(C405&lt;='SOLLECITAZ NASCOSTO'!$P$12,IF(C405&lt;='SOLLECITAZ NASCOSTO'!$P$11,IF(C405&lt;='SOLLECITAZ NASCOSTO'!$P$10,IF(C405&lt;='SOLLECITAZ NASCOSTO'!$P$9,IF(C405&lt;='SOLLECITAZ NASCOSTO'!$P$8,IF(C405&lt;='SOLLECITAZ NASCOSTO'!$P$7,IF(C405&lt;='SOLLECITAZ NASCOSTO'!$P$6,IF(C405&lt;='SOLLECITAZ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05" s="41">
        <f t="shared" si="120"/>
        <v>3.7200000000000254E-4</v>
      </c>
      <c r="Q405" s="41">
        <f t="shared" si="118"/>
        <v>1</v>
      </c>
      <c r="R405" s="434">
        <f t="shared" si="110"/>
        <v>4.0636033026762224</v>
      </c>
      <c r="S405" s="45">
        <f t="shared" si="119"/>
        <v>4.0636033026762224</v>
      </c>
      <c r="T405" s="205">
        <f t="shared" si="114"/>
        <v>0.96845828958465852</v>
      </c>
      <c r="U405" s="45">
        <f t="shared" si="116"/>
        <v>250.36783408548703</v>
      </c>
      <c r="V405" s="45">
        <f t="shared" si="117"/>
        <v>-376.21065896712457</v>
      </c>
      <c r="W405" s="488"/>
    </row>
    <row r="406" spans="1:23" s="421" customFormat="1" x14ac:dyDescent="0.25">
      <c r="A406" s="581">
        <f t="shared" si="111"/>
        <v>0.67403460457941511</v>
      </c>
      <c r="B406" s="31">
        <f t="shared" si="112"/>
        <v>374</v>
      </c>
      <c r="C406" s="434">
        <f>'SOLLECITAZ NASCOSTO'!$D$6/'SOLLECITAZ NASCOSTO'!$B$448*'SOLLECITAZ NASCOSTO'!B406</f>
        <v>4.0744976815037726</v>
      </c>
      <c r="D406" s="434">
        <f t="shared" si="113"/>
        <v>0.7940346045794151</v>
      </c>
      <c r="E406" s="434">
        <f t="shared" si="104"/>
        <v>0.67403460457941511</v>
      </c>
      <c r="F406" s="434">
        <f t="shared" si="105"/>
        <v>0.51569107346541276</v>
      </c>
      <c r="G406" s="434">
        <f t="shared" si="106"/>
        <v>0.1165745525231341</v>
      </c>
      <c r="H406" s="434">
        <f t="shared" si="121"/>
        <v>0</v>
      </c>
      <c r="I406" s="434">
        <v>0</v>
      </c>
      <c r="J406" s="127">
        <f t="shared" si="122"/>
        <v>0.22605501340126014</v>
      </c>
      <c r="K406" s="126">
        <f t="shared" si="109"/>
        <v>2.8304125675970723E-2</v>
      </c>
      <c r="L406" s="41">
        <f t="shared" si="123"/>
        <v>251.56492216150582</v>
      </c>
      <c r="M406" s="41">
        <f t="shared" si="115"/>
        <v>-378.94478176338015</v>
      </c>
      <c r="N406" s="41">
        <f>(IF(C405&lt;='SOLLECITAZ NASCOSTO'!$P$12,IF(C405&lt;='SOLLECITAZ NASCOSTO'!$P$11,IF(C405&lt;='SOLLECITAZ NASCOSTO'!$P$10,IF(C405&lt;='SOLLECITAZ NASCOSTO'!$P$9,IF(C405&lt;='SOLLECITAZ NASCOSTO'!$P$8,IF(C405&lt;='SOLLECITAZ NASCOSTO'!$P$7,IF(C405&lt;='SOLLECITAZ NASCOSTO'!$P$6,IF(C405&lt;='SOLLECITAZ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paramento'!$G$111),55555)-IF(C405&lt;='SOLLECITAZ NASCOSTO'!$P$12,IF(C405&lt;='SOLLECITAZ NASCOSTO'!$P$11,IF(C405&lt;='SOLLECITAZ NASCOSTO'!$P$10,IF(C405&lt;='SOLLECITAZ NASCOSTO'!$P$9,IF(C405&lt;='SOLLECITAZ NASCOSTO'!$P$8,IF(C405&lt;='SOLLECITAZ NASCOSTO'!$P$7,IF(C405&lt;='SOLLECITAZ NASCOSTO'!$P$6,IF(C405&lt;='SOLLECITAZ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paramento'!$G$111))*(C405-IF(C405&lt;='SOLLECITAZ NASCOSTO'!$P$12,IF(C405&lt;='SOLLECITAZ NASCOSTO'!$P$11,IF(C405&lt;='SOLLECITAZ NASCOSTO'!$P$10,IF(C405&lt;='SOLLECITAZ NASCOSTO'!$P$9,IF(C405&lt;='SOLLECITAZ NASCOSTO'!$P$8,IF(C405&lt;='SOLLECITAZ NASCOSTO'!$P$7,IF(C405&lt;='SOLLECITAZ NASCOSTO'!$P$6,IF(C405&lt;='SOLLECITAZ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NASCOSTO'!$P$12))/IF(C405&lt;='SOLLECITAZ NASCOSTO'!$P$12,IF(C405&lt;='SOLLECITAZ NASCOSTO'!$P$11,IF(C405&lt;='SOLLECITAZ NASCOSTO'!$P$10,IF(C405&lt;='SOLLECITAZ NASCOSTO'!$P$9,IF(C405&lt;='SOLLECITAZ NASCOSTO'!$P$8,IF(C405&lt;='SOLLECITAZ NASCOSTO'!$P$7,IF(C405&lt;='SOLLECITAZ NASCOSTO'!$P$6,IF(C405&lt;='SOLLECITAZ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paramento'!$C$111)+IF(C405&lt;='SOLLECITAZ NASCOSTO'!$P$12,IF(C405&lt;='SOLLECITAZ NASCOSTO'!$P$11,IF(C405&lt;='SOLLECITAZ NASCOSTO'!$P$10,IF(C405&lt;='SOLLECITAZ NASCOSTO'!$P$9,IF(C405&lt;='SOLLECITAZ NASCOSTO'!$P$8,IF(C405&lt;='SOLLECITAZ NASCOSTO'!$P$7,IF(C405&lt;='SOLLECITAZ NASCOSTO'!$P$6,IF(C405&lt;='SOLLECITAZ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109.7521988593185</v>
      </c>
      <c r="O406" s="41">
        <f>IF(C406&lt;='SOLLECITAZ NASCOSTO'!$P$12,IF(C406&lt;='SOLLECITAZ NASCOSTO'!$P$11,IF(C406&lt;='SOLLECITAZ NASCOSTO'!$P$10,IF(C406&lt;='SOLLECITAZ NASCOSTO'!$P$9,IF(C406&lt;='SOLLECITAZ NASCOSTO'!$P$8,IF(C406&lt;='SOLLECITAZ NASCOSTO'!$P$7,IF(C406&lt;='SOLLECITAZ NASCOSTO'!$P$6,IF(C406&lt;='SOLLECITAZ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paramento'!$G$110),55555)*(C406-C405)/IF(C406&lt;='SOLLECITAZ NASCOSTO'!$P$12,IF(C406&lt;='SOLLECITAZ NASCOSTO'!$P$11,IF(C406&lt;='SOLLECITAZ NASCOSTO'!$P$10,IF(C406&lt;='SOLLECITAZ NASCOSTO'!$P$9,IF(C406&lt;='SOLLECITAZ NASCOSTO'!$P$8,IF(C406&lt;='SOLLECITAZ NASCOSTO'!$P$7,IF(C406&lt;='SOLLECITAZ NASCOSTO'!$P$6,IF(C406&lt;='SOLLECITAZ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06" s="41">
        <f t="shared" si="120"/>
        <v>3.7300000000000256E-4</v>
      </c>
      <c r="Q406" s="41">
        <f t="shared" si="118"/>
        <v>1</v>
      </c>
      <c r="R406" s="434">
        <f t="shared" si="110"/>
        <v>4.0744976815037726</v>
      </c>
      <c r="S406" s="45">
        <f t="shared" si="119"/>
        <v>4.0744976815037726</v>
      </c>
      <c r="T406" s="205">
        <f t="shared" si="114"/>
        <v>0.95756391075710834</v>
      </c>
      <c r="U406" s="45">
        <f t="shared" si="116"/>
        <v>251.56492216150582</v>
      </c>
      <c r="V406" s="45">
        <f t="shared" si="117"/>
        <v>-378.94478176338015</v>
      </c>
      <c r="W406" s="488"/>
    </row>
    <row r="407" spans="1:23" s="421" customFormat="1" x14ac:dyDescent="0.25">
      <c r="A407" s="581">
        <f t="shared" si="111"/>
        <v>0.67560544732752437</v>
      </c>
      <c r="B407" s="31">
        <f t="shared" si="112"/>
        <v>375</v>
      </c>
      <c r="C407" s="434">
        <f>'SOLLECITAZ NASCOSTO'!$D$6/'SOLLECITAZ NASCOSTO'!$B$448*'SOLLECITAZ NASCOSTO'!B407</f>
        <v>4.0853920603313227</v>
      </c>
      <c r="D407" s="434">
        <f t="shared" si="113"/>
        <v>0.79560544732752436</v>
      </c>
      <c r="E407" s="434">
        <f t="shared" si="104"/>
        <v>0.67560544732752437</v>
      </c>
      <c r="F407" s="434">
        <f t="shared" si="105"/>
        <v>0.51619374314480782</v>
      </c>
      <c r="G407" s="434">
        <f t="shared" si="106"/>
        <v>0.11697408445075683</v>
      </c>
      <c r="H407" s="434">
        <f t="shared" si="121"/>
        <v>0</v>
      </c>
      <c r="I407" s="434">
        <v>0</v>
      </c>
      <c r="J407" s="127">
        <f t="shared" si="122"/>
        <v>0.22660887700442756</v>
      </c>
      <c r="K407" s="126">
        <f t="shared" si="109"/>
        <v>2.8466577873272367E-2</v>
      </c>
      <c r="L407" s="41">
        <f t="shared" si="123"/>
        <v>252.76482232650213</v>
      </c>
      <c r="M407" s="41">
        <f t="shared" si="115"/>
        <v>-381.69196140860714</v>
      </c>
      <c r="N407" s="41">
        <f>(IF(C406&lt;='SOLLECITAZ NASCOSTO'!$P$12,IF(C406&lt;='SOLLECITAZ NASCOSTO'!$P$11,IF(C406&lt;='SOLLECITAZ NASCOSTO'!$P$10,IF(C406&lt;='SOLLECITAZ NASCOSTO'!$P$9,IF(C406&lt;='SOLLECITAZ NASCOSTO'!$P$8,IF(C406&lt;='SOLLECITAZ NASCOSTO'!$P$7,IF(C406&lt;='SOLLECITAZ NASCOSTO'!$P$6,IF(C406&lt;='SOLLECITAZ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paramento'!$G$111),55555)-IF(C406&lt;='SOLLECITAZ NASCOSTO'!$P$12,IF(C406&lt;='SOLLECITAZ NASCOSTO'!$P$11,IF(C406&lt;='SOLLECITAZ NASCOSTO'!$P$10,IF(C406&lt;='SOLLECITAZ NASCOSTO'!$P$9,IF(C406&lt;='SOLLECITAZ NASCOSTO'!$P$8,IF(C406&lt;='SOLLECITAZ NASCOSTO'!$P$7,IF(C406&lt;='SOLLECITAZ NASCOSTO'!$P$6,IF(C406&lt;='SOLLECITAZ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paramento'!$G$111))*(C406-IF(C406&lt;='SOLLECITAZ NASCOSTO'!$P$12,IF(C406&lt;='SOLLECITAZ NASCOSTO'!$P$11,IF(C406&lt;='SOLLECITAZ NASCOSTO'!$P$10,IF(C406&lt;='SOLLECITAZ NASCOSTO'!$P$9,IF(C406&lt;='SOLLECITAZ NASCOSTO'!$P$8,IF(C406&lt;='SOLLECITAZ NASCOSTO'!$P$7,IF(C406&lt;='SOLLECITAZ NASCOSTO'!$P$6,IF(C406&lt;='SOLLECITAZ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NASCOSTO'!$P$12))/IF(C406&lt;='SOLLECITAZ NASCOSTO'!$P$12,IF(C406&lt;='SOLLECITAZ NASCOSTO'!$P$11,IF(C406&lt;='SOLLECITAZ NASCOSTO'!$P$10,IF(C406&lt;='SOLLECITAZ NASCOSTO'!$P$9,IF(C406&lt;='SOLLECITAZ NASCOSTO'!$P$8,IF(C406&lt;='SOLLECITAZ NASCOSTO'!$P$7,IF(C406&lt;='SOLLECITAZ NASCOSTO'!$P$6,IF(C406&lt;='SOLLECITAZ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paramento'!$C$111)+IF(C406&lt;='SOLLECITAZ NASCOSTO'!$P$12,IF(C406&lt;='SOLLECITAZ NASCOSTO'!$P$11,IF(C406&lt;='SOLLECITAZ NASCOSTO'!$P$10,IF(C406&lt;='SOLLECITAZ NASCOSTO'!$P$9,IF(C406&lt;='SOLLECITAZ NASCOSTO'!$P$8,IF(C406&lt;='SOLLECITAZ NASCOSTO'!$P$7,IF(C406&lt;='SOLLECITAZ NASCOSTO'!$P$6,IF(C406&lt;='SOLLECITAZ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110.0103217887679</v>
      </c>
      <c r="O407" s="41">
        <f>IF(C407&lt;='SOLLECITAZ NASCOSTO'!$P$12,IF(C407&lt;='SOLLECITAZ NASCOSTO'!$P$11,IF(C407&lt;='SOLLECITAZ NASCOSTO'!$P$10,IF(C407&lt;='SOLLECITAZ NASCOSTO'!$P$9,IF(C407&lt;='SOLLECITAZ NASCOSTO'!$P$8,IF(C407&lt;='SOLLECITAZ NASCOSTO'!$P$7,IF(C407&lt;='SOLLECITAZ NASCOSTO'!$P$6,IF(C407&lt;='SOLLECITAZ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paramento'!$G$110),55555)*(C407-C406)/IF(C407&lt;='SOLLECITAZ NASCOSTO'!$P$12,IF(C407&lt;='SOLLECITAZ NASCOSTO'!$P$11,IF(C407&lt;='SOLLECITAZ NASCOSTO'!$P$10,IF(C407&lt;='SOLLECITAZ NASCOSTO'!$P$9,IF(C407&lt;='SOLLECITAZ NASCOSTO'!$P$8,IF(C407&lt;='SOLLECITAZ NASCOSTO'!$P$7,IF(C407&lt;='SOLLECITAZ NASCOSTO'!$P$6,IF(C407&lt;='SOLLECITAZ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07" s="41">
        <f t="shared" si="120"/>
        <v>3.7400000000000259E-4</v>
      </c>
      <c r="Q407" s="41">
        <f t="shared" si="118"/>
        <v>1</v>
      </c>
      <c r="R407" s="434">
        <f t="shared" si="110"/>
        <v>4.0853920603313227</v>
      </c>
      <c r="S407" s="45">
        <f t="shared" si="119"/>
        <v>4.0853920603313227</v>
      </c>
      <c r="T407" s="205">
        <f t="shared" si="114"/>
        <v>0.94666953192955816</v>
      </c>
      <c r="U407" s="45">
        <f t="shared" si="116"/>
        <v>252.76482232650213</v>
      </c>
      <c r="V407" s="45">
        <f t="shared" si="117"/>
        <v>-381.69196140860714</v>
      </c>
      <c r="W407" s="488"/>
    </row>
    <row r="408" spans="1:23" s="421" customFormat="1" x14ac:dyDescent="0.25">
      <c r="A408" s="581">
        <f t="shared" si="111"/>
        <v>0.67717629007563351</v>
      </c>
      <c r="B408" s="31">
        <f t="shared" si="112"/>
        <v>376</v>
      </c>
      <c r="C408" s="434">
        <f>'SOLLECITAZ NASCOSTO'!$D$6/'SOLLECITAZ NASCOSTO'!$B$448*'SOLLECITAZ NASCOSTO'!B408</f>
        <v>4.0962864391588729</v>
      </c>
      <c r="D408" s="434">
        <f t="shared" si="113"/>
        <v>0.79717629007563351</v>
      </c>
      <c r="E408" s="434">
        <f t="shared" si="104"/>
        <v>0.67717629007563351</v>
      </c>
      <c r="F408" s="434">
        <f t="shared" si="105"/>
        <v>0.51669641282420276</v>
      </c>
      <c r="G408" s="434">
        <f t="shared" si="106"/>
        <v>0.1173744059934001</v>
      </c>
      <c r="H408" s="434">
        <f t="shared" si="121"/>
        <v>0</v>
      </c>
      <c r="I408" s="434">
        <v>0</v>
      </c>
      <c r="J408" s="127">
        <f t="shared" si="122"/>
        <v>0.22716319115096076</v>
      </c>
      <c r="K408" s="126">
        <f t="shared" si="109"/>
        <v>2.8629611688839283E-2</v>
      </c>
      <c r="L408" s="41">
        <f t="shared" si="123"/>
        <v>253.96753458047593</v>
      </c>
      <c r="M408" s="41">
        <f t="shared" si="115"/>
        <v>-384.45222853876811</v>
      </c>
      <c r="N408" s="41">
        <f>(IF(C407&lt;='SOLLECITAZ NASCOSTO'!$P$12,IF(C407&lt;='SOLLECITAZ NASCOSTO'!$P$11,IF(C407&lt;='SOLLECITAZ NASCOSTO'!$P$10,IF(C407&lt;='SOLLECITAZ NASCOSTO'!$P$9,IF(C407&lt;='SOLLECITAZ NASCOSTO'!$P$8,IF(C407&lt;='SOLLECITAZ NASCOSTO'!$P$7,IF(C407&lt;='SOLLECITAZ NASCOSTO'!$P$6,IF(C407&lt;='SOLLECITAZ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paramento'!$G$111),55555)-IF(C407&lt;='SOLLECITAZ NASCOSTO'!$P$12,IF(C407&lt;='SOLLECITAZ NASCOSTO'!$P$11,IF(C407&lt;='SOLLECITAZ NASCOSTO'!$P$10,IF(C407&lt;='SOLLECITAZ NASCOSTO'!$P$9,IF(C407&lt;='SOLLECITAZ NASCOSTO'!$P$8,IF(C407&lt;='SOLLECITAZ NASCOSTO'!$P$7,IF(C407&lt;='SOLLECITAZ NASCOSTO'!$P$6,IF(C407&lt;='SOLLECITAZ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paramento'!$G$111))*(C407-IF(C407&lt;='SOLLECITAZ NASCOSTO'!$P$12,IF(C407&lt;='SOLLECITAZ NASCOSTO'!$P$11,IF(C407&lt;='SOLLECITAZ NASCOSTO'!$P$10,IF(C407&lt;='SOLLECITAZ NASCOSTO'!$P$9,IF(C407&lt;='SOLLECITAZ NASCOSTO'!$P$8,IF(C407&lt;='SOLLECITAZ NASCOSTO'!$P$7,IF(C407&lt;='SOLLECITAZ NASCOSTO'!$P$6,IF(C407&lt;='SOLLECITAZ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NASCOSTO'!$P$12))/IF(C407&lt;='SOLLECITAZ NASCOSTO'!$P$12,IF(C407&lt;='SOLLECITAZ NASCOSTO'!$P$11,IF(C407&lt;='SOLLECITAZ NASCOSTO'!$P$10,IF(C407&lt;='SOLLECITAZ NASCOSTO'!$P$9,IF(C407&lt;='SOLLECITAZ NASCOSTO'!$P$8,IF(C407&lt;='SOLLECITAZ NASCOSTO'!$P$7,IF(C407&lt;='SOLLECITAZ NASCOSTO'!$P$6,IF(C407&lt;='SOLLECITAZ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paramento'!$C$111)+IF(C407&lt;='SOLLECITAZ NASCOSTO'!$P$12,IF(C407&lt;='SOLLECITAZ NASCOSTO'!$P$11,IF(C407&lt;='SOLLECITAZ NASCOSTO'!$P$10,IF(C407&lt;='SOLLECITAZ NASCOSTO'!$P$9,IF(C407&lt;='SOLLECITAZ NASCOSTO'!$P$8,IF(C407&lt;='SOLLECITAZ NASCOSTO'!$P$7,IF(C407&lt;='SOLLECITAZ NASCOSTO'!$P$6,IF(C407&lt;='SOLLECITAZ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110.26844471821732</v>
      </c>
      <c r="O408" s="41">
        <f>IF(C408&lt;='SOLLECITAZ NASCOSTO'!$P$12,IF(C408&lt;='SOLLECITAZ NASCOSTO'!$P$11,IF(C408&lt;='SOLLECITAZ NASCOSTO'!$P$10,IF(C408&lt;='SOLLECITAZ NASCOSTO'!$P$9,IF(C408&lt;='SOLLECITAZ NASCOSTO'!$P$8,IF(C408&lt;='SOLLECITAZ NASCOSTO'!$P$7,IF(C408&lt;='SOLLECITAZ NASCOSTO'!$P$6,IF(C408&lt;='SOLLECITAZ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paramento'!$G$110),55555)*(C408-C407)/IF(C408&lt;='SOLLECITAZ NASCOSTO'!$P$12,IF(C408&lt;='SOLLECITAZ NASCOSTO'!$P$11,IF(C408&lt;='SOLLECITAZ NASCOSTO'!$P$10,IF(C408&lt;='SOLLECITAZ NASCOSTO'!$P$9,IF(C408&lt;='SOLLECITAZ NASCOSTO'!$P$8,IF(C408&lt;='SOLLECITAZ NASCOSTO'!$P$7,IF(C408&lt;='SOLLECITAZ NASCOSTO'!$P$6,IF(C408&lt;='SOLLECITAZ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08" s="41">
        <f t="shared" si="120"/>
        <v>3.7500000000000261E-4</v>
      </c>
      <c r="Q408" s="41">
        <f t="shared" si="118"/>
        <v>1</v>
      </c>
      <c r="R408" s="434">
        <f t="shared" si="110"/>
        <v>4.0962864391588729</v>
      </c>
      <c r="S408" s="45">
        <f t="shared" si="119"/>
        <v>4.0962864391588729</v>
      </c>
      <c r="T408" s="205">
        <f t="shared" si="114"/>
        <v>0.93577515310200798</v>
      </c>
      <c r="U408" s="45">
        <f t="shared" si="116"/>
        <v>253.96753458047593</v>
      </c>
      <c r="V408" s="45">
        <f t="shared" si="117"/>
        <v>-384.45222853876811</v>
      </c>
      <c r="W408" s="488"/>
    </row>
    <row r="409" spans="1:23" x14ac:dyDescent="0.25">
      <c r="A409" s="581">
        <f t="shared" si="111"/>
        <v>0.67874713282374266</v>
      </c>
      <c r="B409" s="31">
        <f t="shared" si="112"/>
        <v>377</v>
      </c>
      <c r="C409" s="434">
        <f>'SOLLECITAZ NASCOSTO'!$D$6/'SOLLECITAZ NASCOSTO'!$B$448*'SOLLECITAZ NASCOSTO'!B409</f>
        <v>4.1071808179864231</v>
      </c>
      <c r="D409" s="434">
        <f t="shared" si="113"/>
        <v>0.79874713282374266</v>
      </c>
      <c r="E409" s="434">
        <f t="shared" si="104"/>
        <v>0.67874713282374266</v>
      </c>
      <c r="F409" s="434">
        <f t="shared" si="105"/>
        <v>0.5171990825035977</v>
      </c>
      <c r="G409" s="434">
        <f t="shared" si="106"/>
        <v>0.11777551715106394</v>
      </c>
      <c r="H409" s="434">
        <f t="shared" si="121"/>
        <v>0</v>
      </c>
      <c r="I409" s="434">
        <v>0</v>
      </c>
      <c r="J409" s="127">
        <f t="shared" si="122"/>
        <v>0.22771795452720023</v>
      </c>
      <c r="K409" s="126">
        <f t="shared" si="109"/>
        <v>2.8793227903939452E-2</v>
      </c>
      <c r="L409" s="41">
        <f t="shared" si="123"/>
        <v>255.17305892342722</v>
      </c>
      <c r="M409" s="41">
        <f t="shared" si="115"/>
        <v>-387.22561378982573</v>
      </c>
      <c r="N409" s="41">
        <f>(IF(C408&lt;='SOLLECITAZ NASCOSTO'!$P$12,IF(C408&lt;='SOLLECITAZ NASCOSTO'!$P$11,IF(C408&lt;='SOLLECITAZ NASCOSTO'!$P$10,IF(C408&lt;='SOLLECITAZ NASCOSTO'!$P$9,IF(C408&lt;='SOLLECITAZ NASCOSTO'!$P$8,IF(C408&lt;='SOLLECITAZ NASCOSTO'!$P$7,IF(C408&lt;='SOLLECITAZ NASCOSTO'!$P$6,IF(C408&lt;='SOLLECITAZ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paramento'!$G$111),55555)-IF(C408&lt;='SOLLECITAZ NASCOSTO'!$P$12,IF(C408&lt;='SOLLECITAZ NASCOSTO'!$P$11,IF(C408&lt;='SOLLECITAZ NASCOSTO'!$P$10,IF(C408&lt;='SOLLECITAZ NASCOSTO'!$P$9,IF(C408&lt;='SOLLECITAZ NASCOSTO'!$P$8,IF(C408&lt;='SOLLECITAZ NASCOSTO'!$P$7,IF(C408&lt;='SOLLECITAZ NASCOSTO'!$P$6,IF(C408&lt;='SOLLECITAZ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paramento'!$G$111))*(C408-IF(C408&lt;='SOLLECITAZ NASCOSTO'!$P$12,IF(C408&lt;='SOLLECITAZ NASCOSTO'!$P$11,IF(C408&lt;='SOLLECITAZ NASCOSTO'!$P$10,IF(C408&lt;='SOLLECITAZ NASCOSTO'!$P$9,IF(C408&lt;='SOLLECITAZ NASCOSTO'!$P$8,IF(C408&lt;='SOLLECITAZ NASCOSTO'!$P$7,IF(C408&lt;='SOLLECITAZ NASCOSTO'!$P$6,IF(C408&lt;='SOLLECITAZ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NASCOSTO'!$P$12))/IF(C408&lt;='SOLLECITAZ NASCOSTO'!$P$12,IF(C408&lt;='SOLLECITAZ NASCOSTO'!$P$11,IF(C408&lt;='SOLLECITAZ NASCOSTO'!$P$10,IF(C408&lt;='SOLLECITAZ NASCOSTO'!$P$9,IF(C408&lt;='SOLLECITAZ NASCOSTO'!$P$8,IF(C408&lt;='SOLLECITAZ NASCOSTO'!$P$7,IF(C408&lt;='SOLLECITAZ NASCOSTO'!$P$6,IF(C408&lt;='SOLLECITAZ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paramento'!$C$111)+IF(C408&lt;='SOLLECITAZ NASCOSTO'!$P$12,IF(C408&lt;='SOLLECITAZ NASCOSTO'!$P$11,IF(C408&lt;='SOLLECITAZ NASCOSTO'!$P$10,IF(C408&lt;='SOLLECITAZ NASCOSTO'!$P$9,IF(C408&lt;='SOLLECITAZ NASCOSTO'!$P$8,IF(C408&lt;='SOLLECITAZ NASCOSTO'!$P$7,IF(C408&lt;='SOLLECITAZ NASCOSTO'!$P$6,IF(C408&lt;='SOLLECITAZ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110.52656764766672</v>
      </c>
      <c r="O409" s="41">
        <f>IF(C409&lt;='SOLLECITAZ NASCOSTO'!$P$12,IF(C409&lt;='SOLLECITAZ NASCOSTO'!$P$11,IF(C409&lt;='SOLLECITAZ NASCOSTO'!$P$10,IF(C409&lt;='SOLLECITAZ NASCOSTO'!$P$9,IF(C409&lt;='SOLLECITAZ NASCOSTO'!$P$8,IF(C409&lt;='SOLLECITAZ NASCOSTO'!$P$7,IF(C409&lt;='SOLLECITAZ NASCOSTO'!$P$6,IF(C409&lt;='SOLLECITAZ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paramento'!$G$110),55555)*(C409-C408)/IF(C409&lt;='SOLLECITAZ NASCOSTO'!$P$12,IF(C409&lt;='SOLLECITAZ NASCOSTO'!$P$11,IF(C409&lt;='SOLLECITAZ NASCOSTO'!$P$10,IF(C409&lt;='SOLLECITAZ NASCOSTO'!$P$9,IF(C409&lt;='SOLLECITAZ NASCOSTO'!$P$8,IF(C409&lt;='SOLLECITAZ NASCOSTO'!$P$7,IF(C409&lt;='SOLLECITAZ NASCOSTO'!$P$6,IF(C409&lt;='SOLLECITAZ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09" s="41">
        <f t="shared" si="120"/>
        <v>3.7600000000000263E-4</v>
      </c>
      <c r="Q409" s="41">
        <f t="shared" si="118"/>
        <v>1</v>
      </c>
      <c r="R409" s="434">
        <f t="shared" si="110"/>
        <v>4.1071808179864231</v>
      </c>
      <c r="S409" s="45">
        <f t="shared" si="119"/>
        <v>4.1071808179864231</v>
      </c>
      <c r="T409" s="205">
        <f t="shared" si="114"/>
        <v>0.92488077427445781</v>
      </c>
      <c r="U409" s="45">
        <f t="shared" si="116"/>
        <v>255.17305892342722</v>
      </c>
      <c r="V409" s="45">
        <f t="shared" si="117"/>
        <v>-387.22561378982573</v>
      </c>
      <c r="W409" s="488"/>
    </row>
    <row r="410" spans="1:23" x14ac:dyDescent="0.25">
      <c r="A410" s="581">
        <f t="shared" si="111"/>
        <v>0.68031797557185181</v>
      </c>
      <c r="B410" s="31">
        <f t="shared" si="112"/>
        <v>378</v>
      </c>
      <c r="C410" s="434">
        <f>'SOLLECITAZ NASCOSTO'!$D$6/'SOLLECITAZ NASCOSTO'!$B$448*'SOLLECITAZ NASCOSTO'!B410</f>
        <v>4.1180751968139733</v>
      </c>
      <c r="D410" s="434">
        <f t="shared" si="113"/>
        <v>0.8003179755718518</v>
      </c>
      <c r="E410" s="434">
        <f t="shared" si="104"/>
        <v>0.68031797557185181</v>
      </c>
      <c r="F410" s="434">
        <f t="shared" si="105"/>
        <v>0.51770175218299253</v>
      </c>
      <c r="G410" s="434">
        <f t="shared" si="106"/>
        <v>0.11817741792374836</v>
      </c>
      <c r="H410" s="434">
        <f t="shared" si="121"/>
        <v>0</v>
      </c>
      <c r="I410" s="434">
        <v>0</v>
      </c>
      <c r="J410" s="127">
        <f t="shared" si="122"/>
        <v>0.22827316582458868</v>
      </c>
      <c r="K410" s="126">
        <f t="shared" si="109"/>
        <v>2.8957427299215258E-2</v>
      </c>
      <c r="L410" s="41">
        <f t="shared" si="123"/>
        <v>256.38139535535601</v>
      </c>
      <c r="M410" s="41">
        <f t="shared" si="115"/>
        <v>-390.01214779774261</v>
      </c>
      <c r="N410" s="41">
        <f>(IF(C409&lt;='SOLLECITAZ NASCOSTO'!$P$12,IF(C409&lt;='SOLLECITAZ NASCOSTO'!$P$11,IF(C409&lt;='SOLLECITAZ NASCOSTO'!$P$10,IF(C409&lt;='SOLLECITAZ NASCOSTO'!$P$9,IF(C409&lt;='SOLLECITAZ NASCOSTO'!$P$8,IF(C409&lt;='SOLLECITAZ NASCOSTO'!$P$7,IF(C409&lt;='SOLLECITAZ NASCOSTO'!$P$6,IF(C409&lt;='SOLLECITAZ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paramento'!$G$111),55555)-IF(C409&lt;='SOLLECITAZ NASCOSTO'!$P$12,IF(C409&lt;='SOLLECITAZ NASCOSTO'!$P$11,IF(C409&lt;='SOLLECITAZ NASCOSTO'!$P$10,IF(C409&lt;='SOLLECITAZ NASCOSTO'!$P$9,IF(C409&lt;='SOLLECITAZ NASCOSTO'!$P$8,IF(C409&lt;='SOLLECITAZ NASCOSTO'!$P$7,IF(C409&lt;='SOLLECITAZ NASCOSTO'!$P$6,IF(C409&lt;='SOLLECITAZ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paramento'!$G$111))*(C409-IF(C409&lt;='SOLLECITAZ NASCOSTO'!$P$12,IF(C409&lt;='SOLLECITAZ NASCOSTO'!$P$11,IF(C409&lt;='SOLLECITAZ NASCOSTO'!$P$10,IF(C409&lt;='SOLLECITAZ NASCOSTO'!$P$9,IF(C409&lt;='SOLLECITAZ NASCOSTO'!$P$8,IF(C409&lt;='SOLLECITAZ NASCOSTO'!$P$7,IF(C409&lt;='SOLLECITAZ NASCOSTO'!$P$6,IF(C409&lt;='SOLLECITAZ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NASCOSTO'!$P$12))/IF(C409&lt;='SOLLECITAZ NASCOSTO'!$P$12,IF(C409&lt;='SOLLECITAZ NASCOSTO'!$P$11,IF(C409&lt;='SOLLECITAZ NASCOSTO'!$P$10,IF(C409&lt;='SOLLECITAZ NASCOSTO'!$P$9,IF(C409&lt;='SOLLECITAZ NASCOSTO'!$P$8,IF(C409&lt;='SOLLECITAZ NASCOSTO'!$P$7,IF(C409&lt;='SOLLECITAZ NASCOSTO'!$P$6,IF(C409&lt;='SOLLECITAZ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paramento'!$C$111)+IF(C409&lt;='SOLLECITAZ NASCOSTO'!$P$12,IF(C409&lt;='SOLLECITAZ NASCOSTO'!$P$11,IF(C409&lt;='SOLLECITAZ NASCOSTO'!$P$10,IF(C409&lt;='SOLLECITAZ NASCOSTO'!$P$9,IF(C409&lt;='SOLLECITAZ NASCOSTO'!$P$8,IF(C409&lt;='SOLLECITAZ NASCOSTO'!$P$7,IF(C409&lt;='SOLLECITAZ NASCOSTO'!$P$6,IF(C409&lt;='SOLLECITAZ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110.78469057711612</v>
      </c>
      <c r="O410" s="41">
        <f>IF(C410&lt;='SOLLECITAZ NASCOSTO'!$P$12,IF(C410&lt;='SOLLECITAZ NASCOSTO'!$P$11,IF(C410&lt;='SOLLECITAZ NASCOSTO'!$P$10,IF(C410&lt;='SOLLECITAZ NASCOSTO'!$P$9,IF(C410&lt;='SOLLECITAZ NASCOSTO'!$P$8,IF(C410&lt;='SOLLECITAZ NASCOSTO'!$P$7,IF(C410&lt;='SOLLECITAZ NASCOSTO'!$P$6,IF(C410&lt;='SOLLECITAZ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paramento'!$G$110),55555)*(C410-C409)/IF(C410&lt;='SOLLECITAZ NASCOSTO'!$P$12,IF(C410&lt;='SOLLECITAZ NASCOSTO'!$P$11,IF(C410&lt;='SOLLECITAZ NASCOSTO'!$P$10,IF(C410&lt;='SOLLECITAZ NASCOSTO'!$P$9,IF(C410&lt;='SOLLECITAZ NASCOSTO'!$P$8,IF(C410&lt;='SOLLECITAZ NASCOSTO'!$P$7,IF(C410&lt;='SOLLECITAZ NASCOSTO'!$P$6,IF(C410&lt;='SOLLECITAZ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10" s="41">
        <f t="shared" si="120"/>
        <v>3.7700000000000266E-4</v>
      </c>
      <c r="Q410" s="41">
        <f t="shared" si="118"/>
        <v>1</v>
      </c>
      <c r="R410" s="434">
        <f t="shared" si="110"/>
        <v>4.1180751968139733</v>
      </c>
      <c r="S410" s="45">
        <f t="shared" si="119"/>
        <v>4.1180751968139733</v>
      </c>
      <c r="T410" s="205">
        <f t="shared" si="114"/>
        <v>0.91398639544690763</v>
      </c>
      <c r="U410" s="45">
        <f t="shared" si="116"/>
        <v>256.38139535535601</v>
      </c>
      <c r="V410" s="45">
        <f t="shared" si="117"/>
        <v>-390.01214779774261</v>
      </c>
      <c r="W410" s="488"/>
    </row>
    <row r="411" spans="1:23" x14ac:dyDescent="0.25">
      <c r="A411" s="581">
        <f t="shared" si="111"/>
        <v>0.68188881831996095</v>
      </c>
      <c r="B411" s="31">
        <f t="shared" si="112"/>
        <v>379</v>
      </c>
      <c r="C411" s="434">
        <f>'SOLLECITAZ NASCOSTO'!$D$6/'SOLLECITAZ NASCOSTO'!$B$448*'SOLLECITAZ NASCOSTO'!B411</f>
        <v>4.1289695756415234</v>
      </c>
      <c r="D411" s="434">
        <f t="shared" si="113"/>
        <v>0.80188881831996095</v>
      </c>
      <c r="E411" s="434">
        <f t="shared" si="104"/>
        <v>0.68188881831996095</v>
      </c>
      <c r="F411" s="434">
        <f t="shared" si="105"/>
        <v>0.51820442186238747</v>
      </c>
      <c r="G411" s="434">
        <f t="shared" si="106"/>
        <v>0.11858010831145334</v>
      </c>
      <c r="H411" s="434">
        <f t="shared" si="121"/>
        <v>0</v>
      </c>
      <c r="I411" s="434">
        <v>0</v>
      </c>
      <c r="J411" s="127">
        <f t="shared" si="122"/>
        <v>0.22882882373964583</v>
      </c>
      <c r="K411" s="126">
        <f t="shared" si="109"/>
        <v>2.9122210654686453E-2</v>
      </c>
      <c r="L411" s="41">
        <f t="shared" si="123"/>
        <v>257.59254387626231</v>
      </c>
      <c r="M411" s="41">
        <f t="shared" si="115"/>
        <v>-392.81186119848138</v>
      </c>
      <c r="N411" s="41">
        <f>(IF(C410&lt;='SOLLECITAZ NASCOSTO'!$P$12,IF(C410&lt;='SOLLECITAZ NASCOSTO'!$P$11,IF(C410&lt;='SOLLECITAZ NASCOSTO'!$P$10,IF(C410&lt;='SOLLECITAZ NASCOSTO'!$P$9,IF(C410&lt;='SOLLECITAZ NASCOSTO'!$P$8,IF(C410&lt;='SOLLECITAZ NASCOSTO'!$P$7,IF(C410&lt;='SOLLECITAZ NASCOSTO'!$P$6,IF(C410&lt;='SOLLECITAZ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paramento'!$G$111),55555)-IF(C410&lt;='SOLLECITAZ NASCOSTO'!$P$12,IF(C410&lt;='SOLLECITAZ NASCOSTO'!$P$11,IF(C410&lt;='SOLLECITAZ NASCOSTO'!$P$10,IF(C410&lt;='SOLLECITAZ NASCOSTO'!$P$9,IF(C410&lt;='SOLLECITAZ NASCOSTO'!$P$8,IF(C410&lt;='SOLLECITAZ NASCOSTO'!$P$7,IF(C410&lt;='SOLLECITAZ NASCOSTO'!$P$6,IF(C410&lt;='SOLLECITAZ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paramento'!$G$111))*(C410-IF(C410&lt;='SOLLECITAZ NASCOSTO'!$P$12,IF(C410&lt;='SOLLECITAZ NASCOSTO'!$P$11,IF(C410&lt;='SOLLECITAZ NASCOSTO'!$P$10,IF(C410&lt;='SOLLECITAZ NASCOSTO'!$P$9,IF(C410&lt;='SOLLECITAZ NASCOSTO'!$P$8,IF(C410&lt;='SOLLECITAZ NASCOSTO'!$P$7,IF(C410&lt;='SOLLECITAZ NASCOSTO'!$P$6,IF(C410&lt;='SOLLECITAZ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NASCOSTO'!$P$12))/IF(C410&lt;='SOLLECITAZ NASCOSTO'!$P$12,IF(C410&lt;='SOLLECITAZ NASCOSTO'!$P$11,IF(C410&lt;='SOLLECITAZ NASCOSTO'!$P$10,IF(C410&lt;='SOLLECITAZ NASCOSTO'!$P$9,IF(C410&lt;='SOLLECITAZ NASCOSTO'!$P$8,IF(C410&lt;='SOLLECITAZ NASCOSTO'!$P$7,IF(C410&lt;='SOLLECITAZ NASCOSTO'!$P$6,IF(C410&lt;='SOLLECITAZ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paramento'!$C$111)+IF(C410&lt;='SOLLECITAZ NASCOSTO'!$P$12,IF(C410&lt;='SOLLECITAZ NASCOSTO'!$P$11,IF(C410&lt;='SOLLECITAZ NASCOSTO'!$P$10,IF(C410&lt;='SOLLECITAZ NASCOSTO'!$P$9,IF(C410&lt;='SOLLECITAZ NASCOSTO'!$P$8,IF(C410&lt;='SOLLECITAZ NASCOSTO'!$P$7,IF(C410&lt;='SOLLECITAZ NASCOSTO'!$P$6,IF(C410&lt;='SOLLECITAZ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111.04281350656552</v>
      </c>
      <c r="O411" s="41">
        <f>IF(C411&lt;='SOLLECITAZ NASCOSTO'!$P$12,IF(C411&lt;='SOLLECITAZ NASCOSTO'!$P$11,IF(C411&lt;='SOLLECITAZ NASCOSTO'!$P$10,IF(C411&lt;='SOLLECITAZ NASCOSTO'!$P$9,IF(C411&lt;='SOLLECITAZ NASCOSTO'!$P$8,IF(C411&lt;='SOLLECITAZ NASCOSTO'!$P$7,IF(C411&lt;='SOLLECITAZ NASCOSTO'!$P$6,IF(C411&lt;='SOLLECITAZ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paramento'!$G$110),55555)*(C411-C410)/IF(C411&lt;='SOLLECITAZ NASCOSTO'!$P$12,IF(C411&lt;='SOLLECITAZ NASCOSTO'!$P$11,IF(C411&lt;='SOLLECITAZ NASCOSTO'!$P$10,IF(C411&lt;='SOLLECITAZ NASCOSTO'!$P$9,IF(C411&lt;='SOLLECITAZ NASCOSTO'!$P$8,IF(C411&lt;='SOLLECITAZ NASCOSTO'!$P$7,IF(C411&lt;='SOLLECITAZ NASCOSTO'!$P$6,IF(C411&lt;='SOLLECITAZ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11" s="41">
        <f t="shared" si="120"/>
        <v>3.7800000000000268E-4</v>
      </c>
      <c r="Q411" s="41">
        <f t="shared" si="118"/>
        <v>1</v>
      </c>
      <c r="R411" s="434">
        <f t="shared" si="110"/>
        <v>4.1289695756415234</v>
      </c>
      <c r="S411" s="45">
        <f t="shared" si="119"/>
        <v>4.1289695756415234</v>
      </c>
      <c r="T411" s="205">
        <f t="shared" si="114"/>
        <v>0.90309201661935745</v>
      </c>
      <c r="U411" s="45">
        <f t="shared" si="116"/>
        <v>257.59254387626231</v>
      </c>
      <c r="V411" s="45">
        <f t="shared" si="117"/>
        <v>-392.81186119848138</v>
      </c>
      <c r="W411" s="488"/>
    </row>
    <row r="412" spans="1:23" x14ac:dyDescent="0.25">
      <c r="A412" s="581">
        <f t="shared" si="111"/>
        <v>0.6834596610680701</v>
      </c>
      <c r="B412" s="31">
        <f t="shared" si="112"/>
        <v>380</v>
      </c>
      <c r="C412" s="434">
        <f>'SOLLECITAZ NASCOSTO'!$D$6/'SOLLECITAZ NASCOSTO'!$B$448*'SOLLECITAZ NASCOSTO'!B412</f>
        <v>4.1398639544690736</v>
      </c>
      <c r="D412" s="434">
        <f t="shared" si="113"/>
        <v>0.8034596610680701</v>
      </c>
      <c r="E412" s="434">
        <f t="shared" si="104"/>
        <v>0.6834596610680701</v>
      </c>
      <c r="F412" s="434">
        <f t="shared" si="105"/>
        <v>0.51870709154178241</v>
      </c>
      <c r="G412" s="434">
        <f t="shared" si="106"/>
        <v>0.11898358831417891</v>
      </c>
      <c r="H412" s="434">
        <f t="shared" si="121"/>
        <v>0</v>
      </c>
      <c r="I412" s="434">
        <v>0</v>
      </c>
      <c r="J412" s="127">
        <f t="shared" si="122"/>
        <v>0.2293849269739445</v>
      </c>
      <c r="K412" s="126">
        <f t="shared" si="109"/>
        <v>2.9287578749753216E-2</v>
      </c>
      <c r="L412" s="41">
        <f t="shared" si="123"/>
        <v>258.80650448614608</v>
      </c>
      <c r="M412" s="41">
        <f t="shared" si="115"/>
        <v>-395.62478462800465</v>
      </c>
      <c r="N412" s="41">
        <f>(IF(C411&lt;='SOLLECITAZ NASCOSTO'!$P$12,IF(C411&lt;='SOLLECITAZ NASCOSTO'!$P$11,IF(C411&lt;='SOLLECITAZ NASCOSTO'!$P$10,IF(C411&lt;='SOLLECITAZ NASCOSTO'!$P$9,IF(C411&lt;='SOLLECITAZ NASCOSTO'!$P$8,IF(C411&lt;='SOLLECITAZ NASCOSTO'!$P$7,IF(C411&lt;='SOLLECITAZ NASCOSTO'!$P$6,IF(C411&lt;='SOLLECITAZ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paramento'!$G$111),55555)-IF(C411&lt;='SOLLECITAZ NASCOSTO'!$P$12,IF(C411&lt;='SOLLECITAZ NASCOSTO'!$P$11,IF(C411&lt;='SOLLECITAZ NASCOSTO'!$P$10,IF(C411&lt;='SOLLECITAZ NASCOSTO'!$P$9,IF(C411&lt;='SOLLECITAZ NASCOSTO'!$P$8,IF(C411&lt;='SOLLECITAZ NASCOSTO'!$P$7,IF(C411&lt;='SOLLECITAZ NASCOSTO'!$P$6,IF(C411&lt;='SOLLECITAZ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paramento'!$G$111))*(C411-IF(C411&lt;='SOLLECITAZ NASCOSTO'!$P$12,IF(C411&lt;='SOLLECITAZ NASCOSTO'!$P$11,IF(C411&lt;='SOLLECITAZ NASCOSTO'!$P$10,IF(C411&lt;='SOLLECITAZ NASCOSTO'!$P$9,IF(C411&lt;='SOLLECITAZ NASCOSTO'!$P$8,IF(C411&lt;='SOLLECITAZ NASCOSTO'!$P$7,IF(C411&lt;='SOLLECITAZ NASCOSTO'!$P$6,IF(C411&lt;='SOLLECITAZ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NASCOSTO'!$P$12))/IF(C411&lt;='SOLLECITAZ NASCOSTO'!$P$12,IF(C411&lt;='SOLLECITAZ NASCOSTO'!$P$11,IF(C411&lt;='SOLLECITAZ NASCOSTO'!$P$10,IF(C411&lt;='SOLLECITAZ NASCOSTO'!$P$9,IF(C411&lt;='SOLLECITAZ NASCOSTO'!$P$8,IF(C411&lt;='SOLLECITAZ NASCOSTO'!$P$7,IF(C411&lt;='SOLLECITAZ NASCOSTO'!$P$6,IF(C411&lt;='SOLLECITAZ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paramento'!$C$111)+IF(C411&lt;='SOLLECITAZ NASCOSTO'!$P$12,IF(C411&lt;='SOLLECITAZ NASCOSTO'!$P$11,IF(C411&lt;='SOLLECITAZ NASCOSTO'!$P$10,IF(C411&lt;='SOLLECITAZ NASCOSTO'!$P$9,IF(C411&lt;='SOLLECITAZ NASCOSTO'!$P$8,IF(C411&lt;='SOLLECITAZ NASCOSTO'!$P$7,IF(C411&lt;='SOLLECITAZ NASCOSTO'!$P$6,IF(C411&lt;='SOLLECITAZ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111.30093643601492</v>
      </c>
      <c r="O412" s="41">
        <f>IF(C412&lt;='SOLLECITAZ NASCOSTO'!$P$12,IF(C412&lt;='SOLLECITAZ NASCOSTO'!$P$11,IF(C412&lt;='SOLLECITAZ NASCOSTO'!$P$10,IF(C412&lt;='SOLLECITAZ NASCOSTO'!$P$9,IF(C412&lt;='SOLLECITAZ NASCOSTO'!$P$8,IF(C412&lt;='SOLLECITAZ NASCOSTO'!$P$7,IF(C412&lt;='SOLLECITAZ NASCOSTO'!$P$6,IF(C412&lt;='SOLLECITAZ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paramento'!$G$110),55555)*(C412-C411)/IF(C412&lt;='SOLLECITAZ NASCOSTO'!$P$12,IF(C412&lt;='SOLLECITAZ NASCOSTO'!$P$11,IF(C412&lt;='SOLLECITAZ NASCOSTO'!$P$10,IF(C412&lt;='SOLLECITAZ NASCOSTO'!$P$9,IF(C412&lt;='SOLLECITAZ NASCOSTO'!$P$8,IF(C412&lt;='SOLLECITAZ NASCOSTO'!$P$7,IF(C412&lt;='SOLLECITAZ NASCOSTO'!$P$6,IF(C412&lt;='SOLLECITAZ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12" s="41">
        <f t="shared" si="120"/>
        <v>3.7900000000000271E-4</v>
      </c>
      <c r="Q412" s="41">
        <f t="shared" si="118"/>
        <v>1</v>
      </c>
      <c r="R412" s="434">
        <f t="shared" si="110"/>
        <v>4.1398639544690736</v>
      </c>
      <c r="S412" s="45">
        <f t="shared" si="119"/>
        <v>4.1398639544690736</v>
      </c>
      <c r="T412" s="205">
        <f t="shared" si="114"/>
        <v>0.89219763779180727</v>
      </c>
      <c r="U412" s="45">
        <f t="shared" si="116"/>
        <v>258.80650448614608</v>
      </c>
      <c r="V412" s="45">
        <f t="shared" si="117"/>
        <v>-395.62478462800465</v>
      </c>
      <c r="W412" s="488"/>
    </row>
    <row r="413" spans="1:23" x14ac:dyDescent="0.25">
      <c r="A413" s="581">
        <f t="shared" si="111"/>
        <v>0.68503050381617925</v>
      </c>
      <c r="B413" s="31">
        <f t="shared" si="112"/>
        <v>381</v>
      </c>
      <c r="C413" s="434">
        <f>'SOLLECITAZ NASCOSTO'!$D$6/'SOLLECITAZ NASCOSTO'!$B$448*'SOLLECITAZ NASCOSTO'!B413</f>
        <v>4.1507583332966238</v>
      </c>
      <c r="D413" s="434">
        <f t="shared" si="113"/>
        <v>0.80503050381617924</v>
      </c>
      <c r="E413" s="434">
        <f t="shared" si="104"/>
        <v>0.68503050381617925</v>
      </c>
      <c r="F413" s="434">
        <f t="shared" si="105"/>
        <v>0.51920976122117735</v>
      </c>
      <c r="G413" s="434">
        <f t="shared" si="106"/>
        <v>0.11938785793192502</v>
      </c>
      <c r="H413" s="434">
        <f t="shared" si="121"/>
        <v>0</v>
      </c>
      <c r="I413" s="434">
        <v>0</v>
      </c>
      <c r="J413" s="127">
        <f t="shared" si="122"/>
        <v>0.22994147423408548</v>
      </c>
      <c r="K413" s="126">
        <f t="shared" si="109"/>
        <v>2.9453532363199125E-2</v>
      </c>
      <c r="L413" s="41">
        <f t="shared" si="123"/>
        <v>260.02327718500737</v>
      </c>
      <c r="M413" s="41">
        <f t="shared" si="115"/>
        <v>-398.45094872227497</v>
      </c>
      <c r="N413" s="41">
        <f>(IF(C412&lt;='SOLLECITAZ NASCOSTO'!$P$12,IF(C412&lt;='SOLLECITAZ NASCOSTO'!$P$11,IF(C412&lt;='SOLLECITAZ NASCOSTO'!$P$10,IF(C412&lt;='SOLLECITAZ NASCOSTO'!$P$9,IF(C412&lt;='SOLLECITAZ NASCOSTO'!$P$8,IF(C412&lt;='SOLLECITAZ NASCOSTO'!$P$7,IF(C412&lt;='SOLLECITAZ NASCOSTO'!$P$6,IF(C412&lt;='SOLLECITAZ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paramento'!$G$111),55555)-IF(C412&lt;='SOLLECITAZ NASCOSTO'!$P$12,IF(C412&lt;='SOLLECITAZ NASCOSTO'!$P$11,IF(C412&lt;='SOLLECITAZ NASCOSTO'!$P$10,IF(C412&lt;='SOLLECITAZ NASCOSTO'!$P$9,IF(C412&lt;='SOLLECITAZ NASCOSTO'!$P$8,IF(C412&lt;='SOLLECITAZ NASCOSTO'!$P$7,IF(C412&lt;='SOLLECITAZ NASCOSTO'!$P$6,IF(C412&lt;='SOLLECITAZ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paramento'!$G$111))*(C412-IF(C412&lt;='SOLLECITAZ NASCOSTO'!$P$12,IF(C412&lt;='SOLLECITAZ NASCOSTO'!$P$11,IF(C412&lt;='SOLLECITAZ NASCOSTO'!$P$10,IF(C412&lt;='SOLLECITAZ NASCOSTO'!$P$9,IF(C412&lt;='SOLLECITAZ NASCOSTO'!$P$8,IF(C412&lt;='SOLLECITAZ NASCOSTO'!$P$7,IF(C412&lt;='SOLLECITAZ NASCOSTO'!$P$6,IF(C412&lt;='SOLLECITAZ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NASCOSTO'!$P$12))/IF(C412&lt;='SOLLECITAZ NASCOSTO'!$P$12,IF(C412&lt;='SOLLECITAZ NASCOSTO'!$P$11,IF(C412&lt;='SOLLECITAZ NASCOSTO'!$P$10,IF(C412&lt;='SOLLECITAZ NASCOSTO'!$P$9,IF(C412&lt;='SOLLECITAZ NASCOSTO'!$P$8,IF(C412&lt;='SOLLECITAZ NASCOSTO'!$P$7,IF(C412&lt;='SOLLECITAZ NASCOSTO'!$P$6,IF(C412&lt;='SOLLECITAZ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paramento'!$C$111)+IF(C412&lt;='SOLLECITAZ NASCOSTO'!$P$12,IF(C412&lt;='SOLLECITAZ NASCOSTO'!$P$11,IF(C412&lt;='SOLLECITAZ NASCOSTO'!$P$10,IF(C412&lt;='SOLLECITAZ NASCOSTO'!$P$9,IF(C412&lt;='SOLLECITAZ NASCOSTO'!$P$8,IF(C412&lt;='SOLLECITAZ NASCOSTO'!$P$7,IF(C412&lt;='SOLLECITAZ NASCOSTO'!$P$6,IF(C412&lt;='SOLLECITAZ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111.55905936546435</v>
      </c>
      <c r="O413" s="41">
        <f>IF(C413&lt;='SOLLECITAZ NASCOSTO'!$P$12,IF(C413&lt;='SOLLECITAZ NASCOSTO'!$P$11,IF(C413&lt;='SOLLECITAZ NASCOSTO'!$P$10,IF(C413&lt;='SOLLECITAZ NASCOSTO'!$P$9,IF(C413&lt;='SOLLECITAZ NASCOSTO'!$P$8,IF(C413&lt;='SOLLECITAZ NASCOSTO'!$P$7,IF(C413&lt;='SOLLECITAZ NASCOSTO'!$P$6,IF(C413&lt;='SOLLECITAZ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paramento'!$G$110),55555)*(C413-C412)/IF(C413&lt;='SOLLECITAZ NASCOSTO'!$P$12,IF(C413&lt;='SOLLECITAZ NASCOSTO'!$P$11,IF(C413&lt;='SOLLECITAZ NASCOSTO'!$P$10,IF(C413&lt;='SOLLECITAZ NASCOSTO'!$P$9,IF(C413&lt;='SOLLECITAZ NASCOSTO'!$P$8,IF(C413&lt;='SOLLECITAZ NASCOSTO'!$P$7,IF(C413&lt;='SOLLECITAZ NASCOSTO'!$P$6,IF(C413&lt;='SOLLECITAZ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13" s="41">
        <f t="shared" si="120"/>
        <v>3.8000000000000273E-4</v>
      </c>
      <c r="Q413" s="41">
        <f t="shared" si="118"/>
        <v>1</v>
      </c>
      <c r="R413" s="434">
        <f t="shared" si="110"/>
        <v>4.1507583332966238</v>
      </c>
      <c r="S413" s="45">
        <f t="shared" si="119"/>
        <v>4.1507583332966238</v>
      </c>
      <c r="T413" s="205">
        <f t="shared" si="114"/>
        <v>0.8813032589642571</v>
      </c>
      <c r="U413" s="45">
        <f t="shared" si="116"/>
        <v>260.02327718500737</v>
      </c>
      <c r="V413" s="45">
        <f t="shared" si="117"/>
        <v>-398.45094872227497</v>
      </c>
      <c r="W413" s="488"/>
    </row>
    <row r="414" spans="1:23" x14ac:dyDescent="0.25">
      <c r="A414" s="581">
        <f t="shared" si="111"/>
        <v>0.6866013465642884</v>
      </c>
      <c r="B414" s="31">
        <f t="shared" si="112"/>
        <v>382</v>
      </c>
      <c r="C414" s="434">
        <f>'SOLLECITAZ NASCOSTO'!$D$6/'SOLLECITAZ NASCOSTO'!$B$448*'SOLLECITAZ NASCOSTO'!B414</f>
        <v>4.161652712124174</v>
      </c>
      <c r="D414" s="434">
        <f t="shared" si="113"/>
        <v>0.80660134656428839</v>
      </c>
      <c r="E414" s="434">
        <f t="shared" si="104"/>
        <v>0.6866013465642884</v>
      </c>
      <c r="F414" s="434">
        <f t="shared" si="105"/>
        <v>0.51971243090057229</v>
      </c>
      <c r="G414" s="434">
        <f t="shared" si="106"/>
        <v>0.11979291716469173</v>
      </c>
      <c r="H414" s="434">
        <f t="shared" si="121"/>
        <v>0</v>
      </c>
      <c r="I414" s="434">
        <v>0</v>
      </c>
      <c r="J414" s="127">
        <f t="shared" si="122"/>
        <v>0.23049846423167367</v>
      </c>
      <c r="K414" s="126">
        <f t="shared" si="109"/>
        <v>2.9620072273194152E-2</v>
      </c>
      <c r="L414" s="41">
        <f t="shared" si="123"/>
        <v>261.24286197284619</v>
      </c>
      <c r="M414" s="41">
        <f t="shared" si="115"/>
        <v>-401.29038411725503</v>
      </c>
      <c r="N414" s="41">
        <f>(IF(C413&lt;='SOLLECITAZ NASCOSTO'!$P$12,IF(C413&lt;='SOLLECITAZ NASCOSTO'!$P$11,IF(C413&lt;='SOLLECITAZ NASCOSTO'!$P$10,IF(C413&lt;='SOLLECITAZ NASCOSTO'!$P$9,IF(C413&lt;='SOLLECITAZ NASCOSTO'!$P$8,IF(C413&lt;='SOLLECITAZ NASCOSTO'!$P$7,IF(C413&lt;='SOLLECITAZ NASCOSTO'!$P$6,IF(C413&lt;='SOLLECITAZ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paramento'!$G$111),55555)-IF(C413&lt;='SOLLECITAZ NASCOSTO'!$P$12,IF(C413&lt;='SOLLECITAZ NASCOSTO'!$P$11,IF(C413&lt;='SOLLECITAZ NASCOSTO'!$P$10,IF(C413&lt;='SOLLECITAZ NASCOSTO'!$P$9,IF(C413&lt;='SOLLECITAZ NASCOSTO'!$P$8,IF(C413&lt;='SOLLECITAZ NASCOSTO'!$P$7,IF(C413&lt;='SOLLECITAZ NASCOSTO'!$P$6,IF(C413&lt;='SOLLECITAZ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paramento'!$G$111))*(C413-IF(C413&lt;='SOLLECITAZ NASCOSTO'!$P$12,IF(C413&lt;='SOLLECITAZ NASCOSTO'!$P$11,IF(C413&lt;='SOLLECITAZ NASCOSTO'!$P$10,IF(C413&lt;='SOLLECITAZ NASCOSTO'!$P$9,IF(C413&lt;='SOLLECITAZ NASCOSTO'!$P$8,IF(C413&lt;='SOLLECITAZ NASCOSTO'!$P$7,IF(C413&lt;='SOLLECITAZ NASCOSTO'!$P$6,IF(C413&lt;='SOLLECITAZ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NASCOSTO'!$P$12))/IF(C413&lt;='SOLLECITAZ NASCOSTO'!$P$12,IF(C413&lt;='SOLLECITAZ NASCOSTO'!$P$11,IF(C413&lt;='SOLLECITAZ NASCOSTO'!$P$10,IF(C413&lt;='SOLLECITAZ NASCOSTO'!$P$9,IF(C413&lt;='SOLLECITAZ NASCOSTO'!$P$8,IF(C413&lt;='SOLLECITAZ NASCOSTO'!$P$7,IF(C413&lt;='SOLLECITAZ NASCOSTO'!$P$6,IF(C413&lt;='SOLLECITAZ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paramento'!$C$111)+IF(C413&lt;='SOLLECITAZ NASCOSTO'!$P$12,IF(C413&lt;='SOLLECITAZ NASCOSTO'!$P$11,IF(C413&lt;='SOLLECITAZ NASCOSTO'!$P$10,IF(C413&lt;='SOLLECITAZ NASCOSTO'!$P$9,IF(C413&lt;='SOLLECITAZ NASCOSTO'!$P$8,IF(C413&lt;='SOLLECITAZ NASCOSTO'!$P$7,IF(C413&lt;='SOLLECITAZ NASCOSTO'!$P$6,IF(C413&lt;='SOLLECITAZ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111.81718229491375</v>
      </c>
      <c r="O414" s="41">
        <f>IF(C414&lt;='SOLLECITAZ NASCOSTO'!$P$12,IF(C414&lt;='SOLLECITAZ NASCOSTO'!$P$11,IF(C414&lt;='SOLLECITAZ NASCOSTO'!$P$10,IF(C414&lt;='SOLLECITAZ NASCOSTO'!$P$9,IF(C414&lt;='SOLLECITAZ NASCOSTO'!$P$8,IF(C414&lt;='SOLLECITAZ NASCOSTO'!$P$7,IF(C414&lt;='SOLLECITAZ NASCOSTO'!$P$6,IF(C414&lt;='SOLLECITAZ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paramento'!$G$110),55555)*(C414-C413)/IF(C414&lt;='SOLLECITAZ NASCOSTO'!$P$12,IF(C414&lt;='SOLLECITAZ NASCOSTO'!$P$11,IF(C414&lt;='SOLLECITAZ NASCOSTO'!$P$10,IF(C414&lt;='SOLLECITAZ NASCOSTO'!$P$9,IF(C414&lt;='SOLLECITAZ NASCOSTO'!$P$8,IF(C414&lt;='SOLLECITAZ NASCOSTO'!$P$7,IF(C414&lt;='SOLLECITAZ NASCOSTO'!$P$6,IF(C414&lt;='SOLLECITAZ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14" s="41">
        <f t="shared" si="120"/>
        <v>3.8100000000000276E-4</v>
      </c>
      <c r="Q414" s="41">
        <f t="shared" si="118"/>
        <v>1</v>
      </c>
      <c r="R414" s="434">
        <f t="shared" si="110"/>
        <v>4.161652712124174</v>
      </c>
      <c r="S414" s="45">
        <f t="shared" si="119"/>
        <v>4.161652712124174</v>
      </c>
      <c r="T414" s="205">
        <f t="shared" si="114"/>
        <v>0.87040888013670692</v>
      </c>
      <c r="U414" s="45">
        <f t="shared" si="116"/>
        <v>261.24286197284619</v>
      </c>
      <c r="V414" s="45">
        <f t="shared" si="117"/>
        <v>-401.29038411725503</v>
      </c>
      <c r="W414" s="488"/>
    </row>
    <row r="415" spans="1:23" x14ac:dyDescent="0.25">
      <c r="A415" s="581">
        <f t="shared" si="111"/>
        <v>0.68817218931239765</v>
      </c>
      <c r="B415" s="31">
        <f t="shared" si="112"/>
        <v>383</v>
      </c>
      <c r="C415" s="434">
        <f>'SOLLECITAZ NASCOSTO'!$D$6/'SOLLECITAZ NASCOSTO'!$B$448*'SOLLECITAZ NASCOSTO'!B415</f>
        <v>4.1725470909517242</v>
      </c>
      <c r="D415" s="434">
        <f t="shared" si="113"/>
        <v>0.80817218931239765</v>
      </c>
      <c r="E415" s="434">
        <f t="shared" si="104"/>
        <v>0.68817218931239765</v>
      </c>
      <c r="F415" s="434">
        <f t="shared" si="105"/>
        <v>0.52021510057996723</v>
      </c>
      <c r="G415" s="434">
        <f t="shared" si="106"/>
        <v>0.12019876601247903</v>
      </c>
      <c r="H415" s="434">
        <f t="shared" si="121"/>
        <v>0</v>
      </c>
      <c r="I415" s="434">
        <v>0</v>
      </c>
      <c r="J415" s="127">
        <f t="shared" si="122"/>
        <v>0.23105589568329366</v>
      </c>
      <c r="K415" s="126">
        <f t="shared" si="109"/>
        <v>2.9787199257297614E-2</v>
      </c>
      <c r="L415" s="41">
        <f t="shared" si="123"/>
        <v>262.46525884966246</v>
      </c>
      <c r="M415" s="41">
        <f t="shared" si="115"/>
        <v>-404.14312144890744</v>
      </c>
      <c r="N415" s="41">
        <f>(IF(C414&lt;='SOLLECITAZ NASCOSTO'!$P$12,IF(C414&lt;='SOLLECITAZ NASCOSTO'!$P$11,IF(C414&lt;='SOLLECITAZ NASCOSTO'!$P$10,IF(C414&lt;='SOLLECITAZ NASCOSTO'!$P$9,IF(C414&lt;='SOLLECITAZ NASCOSTO'!$P$8,IF(C414&lt;='SOLLECITAZ NASCOSTO'!$P$7,IF(C414&lt;='SOLLECITAZ NASCOSTO'!$P$6,IF(C414&lt;='SOLLECITAZ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paramento'!$G$111),55555)-IF(C414&lt;='SOLLECITAZ NASCOSTO'!$P$12,IF(C414&lt;='SOLLECITAZ NASCOSTO'!$P$11,IF(C414&lt;='SOLLECITAZ NASCOSTO'!$P$10,IF(C414&lt;='SOLLECITAZ NASCOSTO'!$P$9,IF(C414&lt;='SOLLECITAZ NASCOSTO'!$P$8,IF(C414&lt;='SOLLECITAZ NASCOSTO'!$P$7,IF(C414&lt;='SOLLECITAZ NASCOSTO'!$P$6,IF(C414&lt;='SOLLECITAZ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paramento'!$G$111))*(C414-IF(C414&lt;='SOLLECITAZ NASCOSTO'!$P$12,IF(C414&lt;='SOLLECITAZ NASCOSTO'!$P$11,IF(C414&lt;='SOLLECITAZ NASCOSTO'!$P$10,IF(C414&lt;='SOLLECITAZ NASCOSTO'!$P$9,IF(C414&lt;='SOLLECITAZ NASCOSTO'!$P$8,IF(C414&lt;='SOLLECITAZ NASCOSTO'!$P$7,IF(C414&lt;='SOLLECITAZ NASCOSTO'!$P$6,IF(C414&lt;='SOLLECITAZ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NASCOSTO'!$P$12))/IF(C414&lt;='SOLLECITAZ NASCOSTO'!$P$12,IF(C414&lt;='SOLLECITAZ NASCOSTO'!$P$11,IF(C414&lt;='SOLLECITAZ NASCOSTO'!$P$10,IF(C414&lt;='SOLLECITAZ NASCOSTO'!$P$9,IF(C414&lt;='SOLLECITAZ NASCOSTO'!$P$8,IF(C414&lt;='SOLLECITAZ NASCOSTO'!$P$7,IF(C414&lt;='SOLLECITAZ NASCOSTO'!$P$6,IF(C414&lt;='SOLLECITAZ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paramento'!$C$111)+IF(C414&lt;='SOLLECITAZ NASCOSTO'!$P$12,IF(C414&lt;='SOLLECITAZ NASCOSTO'!$P$11,IF(C414&lt;='SOLLECITAZ NASCOSTO'!$P$10,IF(C414&lt;='SOLLECITAZ NASCOSTO'!$P$9,IF(C414&lt;='SOLLECITAZ NASCOSTO'!$P$8,IF(C414&lt;='SOLLECITAZ NASCOSTO'!$P$7,IF(C414&lt;='SOLLECITAZ NASCOSTO'!$P$6,IF(C414&lt;='SOLLECITAZ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112.07530522436315</v>
      </c>
      <c r="O415" s="41">
        <f>IF(C415&lt;='SOLLECITAZ NASCOSTO'!$P$12,IF(C415&lt;='SOLLECITAZ NASCOSTO'!$P$11,IF(C415&lt;='SOLLECITAZ NASCOSTO'!$P$10,IF(C415&lt;='SOLLECITAZ NASCOSTO'!$P$9,IF(C415&lt;='SOLLECITAZ NASCOSTO'!$P$8,IF(C415&lt;='SOLLECITAZ NASCOSTO'!$P$7,IF(C415&lt;='SOLLECITAZ NASCOSTO'!$P$6,IF(C415&lt;='SOLLECITAZ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paramento'!$G$110),55555)*(C415-C414)/IF(C415&lt;='SOLLECITAZ NASCOSTO'!$P$12,IF(C415&lt;='SOLLECITAZ NASCOSTO'!$P$11,IF(C415&lt;='SOLLECITAZ NASCOSTO'!$P$10,IF(C415&lt;='SOLLECITAZ NASCOSTO'!$P$9,IF(C415&lt;='SOLLECITAZ NASCOSTO'!$P$8,IF(C415&lt;='SOLLECITAZ NASCOSTO'!$P$7,IF(C415&lt;='SOLLECITAZ NASCOSTO'!$P$6,IF(C415&lt;='SOLLECITAZ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15" s="41">
        <f t="shared" si="120"/>
        <v>3.8200000000000278E-4</v>
      </c>
      <c r="Q415" s="41">
        <f t="shared" si="118"/>
        <v>1</v>
      </c>
      <c r="R415" s="434">
        <f t="shared" si="110"/>
        <v>4.1725470909517242</v>
      </c>
      <c r="S415" s="45">
        <f t="shared" si="119"/>
        <v>4.1725470909517242</v>
      </c>
      <c r="T415" s="205">
        <f t="shared" si="114"/>
        <v>0.85951450130915674</v>
      </c>
      <c r="U415" s="45">
        <f t="shared" si="116"/>
        <v>262.46525884966246</v>
      </c>
      <c r="V415" s="45">
        <f t="shared" si="117"/>
        <v>-404.14312144890744</v>
      </c>
      <c r="W415" s="488"/>
    </row>
    <row r="416" spans="1:23" x14ac:dyDescent="0.25">
      <c r="A416" s="581">
        <f t="shared" si="111"/>
        <v>0.68974303206050691</v>
      </c>
      <c r="B416" s="31">
        <f t="shared" si="112"/>
        <v>384</v>
      </c>
      <c r="C416" s="434">
        <f>'SOLLECITAZ NASCOSTO'!$D$6/'SOLLECITAZ NASCOSTO'!$B$448*'SOLLECITAZ NASCOSTO'!B416</f>
        <v>4.1834414697792752</v>
      </c>
      <c r="D416" s="434">
        <f t="shared" si="113"/>
        <v>0.80974303206050691</v>
      </c>
      <c r="E416" s="434">
        <f t="shared" ref="E416:E448" si="124">D416-$D$9</f>
        <v>0.68974303206050691</v>
      </c>
      <c r="F416" s="434">
        <f t="shared" ref="F416:F448" si="125">E416*$D$12*$D$11+$D$8*$D$9</f>
        <v>0.52071777025936217</v>
      </c>
      <c r="G416" s="434">
        <f t="shared" ref="G416:G448" si="126">$D$12*E416*$D$11*($D$9+E416/2)+$D$9*$D$8*$D$9/2</f>
        <v>0.12060540447528689</v>
      </c>
      <c r="H416" s="434">
        <f t="shared" si="121"/>
        <v>0</v>
      </c>
      <c r="I416" s="434">
        <v>0</v>
      </c>
      <c r="J416" s="127">
        <f t="shared" si="122"/>
        <v>0.23161376731048577</v>
      </c>
      <c r="K416" s="126">
        <f t="shared" ref="K416:K448" si="127">$D$8*$D$9^3/12+$D$8*$D$9*(J416-$D$9/2)^2+$D$11*$D$12*(J416-$D$9)^3/3+$D$11*$D$12*(E416-(J416-$D$9))^3/3</f>
        <v>2.9954914092461163E-2</v>
      </c>
      <c r="L416" s="41">
        <f t="shared" si="123"/>
        <v>263.69046781545637</v>
      </c>
      <c r="M416" s="41">
        <f t="shared" si="115"/>
        <v>-407.00919135319504</v>
      </c>
      <c r="N416" s="41">
        <f>(IF(C415&lt;='SOLLECITAZ NASCOSTO'!$P$12,IF(C415&lt;='SOLLECITAZ NASCOSTO'!$P$11,IF(C415&lt;='SOLLECITAZ NASCOSTO'!$P$10,IF(C415&lt;='SOLLECITAZ NASCOSTO'!$P$9,IF(C415&lt;='SOLLECITAZ NASCOSTO'!$P$8,IF(C415&lt;='SOLLECITAZ NASCOSTO'!$P$7,IF(C415&lt;='SOLLECITAZ NASCOSTO'!$P$6,IF(C415&lt;='SOLLECITAZ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paramento'!$G$111),55555)-IF(C415&lt;='SOLLECITAZ NASCOSTO'!$P$12,IF(C415&lt;='SOLLECITAZ NASCOSTO'!$P$11,IF(C415&lt;='SOLLECITAZ NASCOSTO'!$P$10,IF(C415&lt;='SOLLECITAZ NASCOSTO'!$P$9,IF(C415&lt;='SOLLECITAZ NASCOSTO'!$P$8,IF(C415&lt;='SOLLECITAZ NASCOSTO'!$P$7,IF(C415&lt;='SOLLECITAZ NASCOSTO'!$P$6,IF(C415&lt;='SOLLECITAZ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paramento'!$G$111))*(C415-IF(C415&lt;='SOLLECITAZ NASCOSTO'!$P$12,IF(C415&lt;='SOLLECITAZ NASCOSTO'!$P$11,IF(C415&lt;='SOLLECITAZ NASCOSTO'!$P$10,IF(C415&lt;='SOLLECITAZ NASCOSTO'!$P$9,IF(C415&lt;='SOLLECITAZ NASCOSTO'!$P$8,IF(C415&lt;='SOLLECITAZ NASCOSTO'!$P$7,IF(C415&lt;='SOLLECITAZ NASCOSTO'!$P$6,IF(C415&lt;='SOLLECITAZ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NASCOSTO'!$P$12))/IF(C415&lt;='SOLLECITAZ NASCOSTO'!$P$12,IF(C415&lt;='SOLLECITAZ NASCOSTO'!$P$11,IF(C415&lt;='SOLLECITAZ NASCOSTO'!$P$10,IF(C415&lt;='SOLLECITAZ NASCOSTO'!$P$9,IF(C415&lt;='SOLLECITAZ NASCOSTO'!$P$8,IF(C415&lt;='SOLLECITAZ NASCOSTO'!$P$7,IF(C415&lt;='SOLLECITAZ NASCOSTO'!$P$6,IF(C415&lt;='SOLLECITAZ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paramento'!$C$111)+IF(C415&lt;='SOLLECITAZ NASCOSTO'!$P$12,IF(C415&lt;='SOLLECITAZ NASCOSTO'!$P$11,IF(C415&lt;='SOLLECITAZ NASCOSTO'!$P$10,IF(C415&lt;='SOLLECITAZ NASCOSTO'!$P$9,IF(C415&lt;='SOLLECITAZ NASCOSTO'!$P$8,IF(C415&lt;='SOLLECITAZ NASCOSTO'!$P$7,IF(C415&lt;='SOLLECITAZ NASCOSTO'!$P$6,IF(C415&lt;='SOLLECITAZ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112.33342815381255</v>
      </c>
      <c r="O416" s="41">
        <f>IF(C416&lt;='SOLLECITAZ NASCOSTO'!$P$12,IF(C416&lt;='SOLLECITAZ NASCOSTO'!$P$11,IF(C416&lt;='SOLLECITAZ NASCOSTO'!$P$10,IF(C416&lt;='SOLLECITAZ NASCOSTO'!$P$9,IF(C416&lt;='SOLLECITAZ NASCOSTO'!$P$8,IF(C416&lt;='SOLLECITAZ NASCOSTO'!$P$7,IF(C416&lt;='SOLLECITAZ NASCOSTO'!$P$6,IF(C416&lt;='SOLLECITAZ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paramento'!$G$110),55555)*(C416-C415)/IF(C416&lt;='SOLLECITAZ NASCOSTO'!$P$12,IF(C416&lt;='SOLLECITAZ NASCOSTO'!$P$11,IF(C416&lt;='SOLLECITAZ NASCOSTO'!$P$10,IF(C416&lt;='SOLLECITAZ NASCOSTO'!$P$9,IF(C416&lt;='SOLLECITAZ NASCOSTO'!$P$8,IF(C416&lt;='SOLLECITAZ NASCOSTO'!$P$7,IF(C416&lt;='SOLLECITAZ NASCOSTO'!$P$6,IF(C416&lt;='SOLLECITAZ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0.25812292944942644</v>
      </c>
      <c r="P416" s="41">
        <f t="shared" si="120"/>
        <v>3.830000000000028E-4</v>
      </c>
      <c r="Q416" s="41">
        <f t="shared" si="118"/>
        <v>1</v>
      </c>
      <c r="R416" s="434">
        <f t="shared" ref="R416:R468" si="128">C416</f>
        <v>4.1834414697792752</v>
      </c>
      <c r="S416" s="45">
        <f t="shared" si="119"/>
        <v>4.1834414697792752</v>
      </c>
      <c r="T416" s="205">
        <f t="shared" si="114"/>
        <v>0.84862012248160568</v>
      </c>
      <c r="U416" s="45">
        <f t="shared" si="116"/>
        <v>263.69046781545637</v>
      </c>
      <c r="V416" s="45">
        <f t="shared" si="117"/>
        <v>-407.00919135319504</v>
      </c>
      <c r="W416" s="488"/>
    </row>
    <row r="417" spans="1:23" x14ac:dyDescent="0.25">
      <c r="A417" s="581">
        <f t="shared" ref="A417:A448" si="129">E417</f>
        <v>0.69131387480861606</v>
      </c>
      <c r="B417" s="31">
        <f t="shared" si="112"/>
        <v>385</v>
      </c>
      <c r="C417" s="434">
        <f>'SOLLECITAZ NASCOSTO'!$D$6/'SOLLECITAZ NASCOSTO'!$B$448*'SOLLECITAZ NASCOSTO'!B417</f>
        <v>4.1943358486068254</v>
      </c>
      <c r="D417" s="434">
        <f t="shared" ref="D417:D448" si="130">$D$9+$D$14+$D$16*C417</f>
        <v>0.81131387480861605</v>
      </c>
      <c r="E417" s="434">
        <f t="shared" si="124"/>
        <v>0.69131387480861606</v>
      </c>
      <c r="F417" s="434">
        <f t="shared" si="125"/>
        <v>0.52122043993875711</v>
      </c>
      <c r="G417" s="434">
        <f t="shared" si="126"/>
        <v>0.12101283255311532</v>
      </c>
      <c r="H417" s="434">
        <f t="shared" si="121"/>
        <v>0</v>
      </c>
      <c r="I417" s="434">
        <v>0</v>
      </c>
      <c r="J417" s="127">
        <f t="shared" si="122"/>
        <v>0.2321720778397221</v>
      </c>
      <c r="K417" s="126">
        <f t="shared" si="127"/>
        <v>3.0123217555031633E-2</v>
      </c>
      <c r="L417" s="41">
        <f t="shared" si="123"/>
        <v>264.91848887022763</v>
      </c>
      <c r="M417" s="41">
        <f t="shared" si="115"/>
        <v>-409.88862446607999</v>
      </c>
      <c r="N417" s="41">
        <f>(IF(C416&lt;='SOLLECITAZ NASCOSTO'!$P$12,IF(C416&lt;='SOLLECITAZ NASCOSTO'!$P$11,IF(C416&lt;='SOLLECITAZ NASCOSTO'!$P$10,IF(C416&lt;='SOLLECITAZ NASCOSTO'!$P$9,IF(C416&lt;='SOLLECITAZ NASCOSTO'!$P$8,IF(C416&lt;='SOLLECITAZ NASCOSTO'!$P$7,IF(C416&lt;='SOLLECITAZ NASCOSTO'!$P$6,IF(C416&lt;='SOLLECITAZ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paramento'!$G$111),55555)-IF(C416&lt;='SOLLECITAZ NASCOSTO'!$P$12,IF(C416&lt;='SOLLECITAZ NASCOSTO'!$P$11,IF(C416&lt;='SOLLECITAZ NASCOSTO'!$P$10,IF(C416&lt;='SOLLECITAZ NASCOSTO'!$P$9,IF(C416&lt;='SOLLECITAZ NASCOSTO'!$P$8,IF(C416&lt;='SOLLECITAZ NASCOSTO'!$P$7,IF(C416&lt;='SOLLECITAZ NASCOSTO'!$P$6,IF(C416&lt;='SOLLECITAZ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paramento'!$G$111))*(C416-IF(C416&lt;='SOLLECITAZ NASCOSTO'!$P$12,IF(C416&lt;='SOLLECITAZ NASCOSTO'!$P$11,IF(C416&lt;='SOLLECITAZ NASCOSTO'!$P$10,IF(C416&lt;='SOLLECITAZ NASCOSTO'!$P$9,IF(C416&lt;='SOLLECITAZ NASCOSTO'!$P$8,IF(C416&lt;='SOLLECITAZ NASCOSTO'!$P$7,IF(C416&lt;='SOLLECITAZ NASCOSTO'!$P$6,IF(C416&lt;='SOLLECITAZ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NASCOSTO'!$P$12))/IF(C416&lt;='SOLLECITAZ NASCOSTO'!$P$12,IF(C416&lt;='SOLLECITAZ NASCOSTO'!$P$11,IF(C416&lt;='SOLLECITAZ NASCOSTO'!$P$10,IF(C416&lt;='SOLLECITAZ NASCOSTO'!$P$9,IF(C416&lt;='SOLLECITAZ NASCOSTO'!$P$8,IF(C416&lt;='SOLLECITAZ NASCOSTO'!$P$7,IF(C416&lt;='SOLLECITAZ NASCOSTO'!$P$6,IF(C416&lt;='SOLLECITAZ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paramento'!$C$111)+IF(C416&lt;='SOLLECITAZ NASCOSTO'!$P$12,IF(C416&lt;='SOLLECITAZ NASCOSTO'!$P$11,IF(C416&lt;='SOLLECITAZ NASCOSTO'!$P$10,IF(C416&lt;='SOLLECITAZ NASCOSTO'!$P$9,IF(C416&lt;='SOLLECITAZ NASCOSTO'!$P$8,IF(C416&lt;='SOLLECITAZ NASCOSTO'!$P$7,IF(C416&lt;='SOLLECITAZ NASCOSTO'!$P$6,IF(C416&lt;='SOLLECITAZ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112.59155108326198</v>
      </c>
      <c r="O417" s="41">
        <f>IF(C417&lt;='SOLLECITAZ NASCOSTO'!$P$12,IF(C417&lt;='SOLLECITAZ NASCOSTO'!$P$11,IF(C417&lt;='SOLLECITAZ NASCOSTO'!$P$10,IF(C417&lt;='SOLLECITAZ NASCOSTO'!$P$9,IF(C417&lt;='SOLLECITAZ NASCOSTO'!$P$8,IF(C417&lt;='SOLLECITAZ NASCOSTO'!$P$7,IF(C417&lt;='SOLLECITAZ NASCOSTO'!$P$6,IF(C417&lt;='SOLLECITAZ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paramento'!$G$110),55555)*(C417-C416)/IF(C417&lt;='SOLLECITAZ NASCOSTO'!$P$12,IF(C417&lt;='SOLLECITAZ NASCOSTO'!$P$11,IF(C417&lt;='SOLLECITAZ NASCOSTO'!$P$10,IF(C417&lt;='SOLLECITAZ NASCOSTO'!$P$9,IF(C417&lt;='SOLLECITAZ NASCOSTO'!$P$8,IF(C417&lt;='SOLLECITAZ NASCOSTO'!$P$7,IF(C417&lt;='SOLLECITAZ NASCOSTO'!$P$6,IF(C417&lt;='SOLLECITAZ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17" s="41">
        <f t="shared" si="120"/>
        <v>3.8400000000000283E-4</v>
      </c>
      <c r="Q417" s="41">
        <f t="shared" si="118"/>
        <v>1</v>
      </c>
      <c r="R417" s="434">
        <f t="shared" si="128"/>
        <v>4.1943358486068254</v>
      </c>
      <c r="S417" s="45">
        <f t="shared" si="119"/>
        <v>4.1943358486068254</v>
      </c>
      <c r="T417" s="205">
        <f t="shared" ref="T417:T448" si="131">IF(($R$468-S417)&lt;=$D$6,$R$468-S417,$D$6)</f>
        <v>0.8377257436540555</v>
      </c>
      <c r="U417" s="45">
        <f t="shared" si="116"/>
        <v>264.91848887022763</v>
      </c>
      <c r="V417" s="45">
        <f t="shared" si="117"/>
        <v>-409.88862446607999</v>
      </c>
      <c r="W417" s="488"/>
    </row>
    <row r="418" spans="1:23" x14ac:dyDescent="0.25">
      <c r="A418" s="581">
        <f t="shared" si="129"/>
        <v>0.6928847175567252</v>
      </c>
      <c r="B418" s="31">
        <f t="shared" si="112"/>
        <v>386</v>
      </c>
      <c r="C418" s="434">
        <f>'SOLLECITAZ NASCOSTO'!$D$6/'SOLLECITAZ NASCOSTO'!$B$448*'SOLLECITAZ NASCOSTO'!B418</f>
        <v>4.2052302274343756</v>
      </c>
      <c r="D418" s="434">
        <f t="shared" si="130"/>
        <v>0.8128847175567252</v>
      </c>
      <c r="E418" s="434">
        <f t="shared" si="124"/>
        <v>0.6928847175567252</v>
      </c>
      <c r="F418" s="434">
        <f t="shared" si="125"/>
        <v>0.52172310961815205</v>
      </c>
      <c r="G418" s="434">
        <f t="shared" si="126"/>
        <v>0.12142105024596431</v>
      </c>
      <c r="H418" s="434">
        <f t="shared" si="121"/>
        <v>0</v>
      </c>
      <c r="I418" s="434">
        <v>0</v>
      </c>
      <c r="J418" s="127">
        <f t="shared" si="122"/>
        <v>0.23273082600238296</v>
      </c>
      <c r="K418" s="126">
        <f t="shared" si="127"/>
        <v>3.0292110420754071E-2</v>
      </c>
      <c r="L418" s="41">
        <f t="shared" si="123"/>
        <v>266.14932201397642</v>
      </c>
      <c r="M418" s="41">
        <f t="shared" ref="M418:M468" si="132">M417-(L418+L417)*(C418-C417)/2</f>
        <v>-412.78145142352514</v>
      </c>
      <c r="N418" s="41">
        <f>(IF(C417&lt;='SOLLECITAZ NASCOSTO'!$P$12,IF(C417&lt;='SOLLECITAZ NASCOSTO'!$P$11,IF(C417&lt;='SOLLECITAZ NASCOSTO'!$P$10,IF(C417&lt;='SOLLECITAZ NASCOSTO'!$P$9,IF(C417&lt;='SOLLECITAZ NASCOSTO'!$P$8,IF(C417&lt;='SOLLECITAZ NASCOSTO'!$P$7,IF(C417&lt;='SOLLECITAZ NASCOSTO'!$P$6,IF(C417&lt;='SOLLECITAZ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paramento'!$G$111),55555)-IF(C417&lt;='SOLLECITAZ NASCOSTO'!$P$12,IF(C417&lt;='SOLLECITAZ NASCOSTO'!$P$11,IF(C417&lt;='SOLLECITAZ NASCOSTO'!$P$10,IF(C417&lt;='SOLLECITAZ NASCOSTO'!$P$9,IF(C417&lt;='SOLLECITAZ NASCOSTO'!$P$8,IF(C417&lt;='SOLLECITAZ NASCOSTO'!$P$7,IF(C417&lt;='SOLLECITAZ NASCOSTO'!$P$6,IF(C417&lt;='SOLLECITAZ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paramento'!$G$111))*(C417-IF(C417&lt;='SOLLECITAZ NASCOSTO'!$P$12,IF(C417&lt;='SOLLECITAZ NASCOSTO'!$P$11,IF(C417&lt;='SOLLECITAZ NASCOSTO'!$P$10,IF(C417&lt;='SOLLECITAZ NASCOSTO'!$P$9,IF(C417&lt;='SOLLECITAZ NASCOSTO'!$P$8,IF(C417&lt;='SOLLECITAZ NASCOSTO'!$P$7,IF(C417&lt;='SOLLECITAZ NASCOSTO'!$P$6,IF(C417&lt;='SOLLECITAZ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NASCOSTO'!$P$12))/IF(C417&lt;='SOLLECITAZ NASCOSTO'!$P$12,IF(C417&lt;='SOLLECITAZ NASCOSTO'!$P$11,IF(C417&lt;='SOLLECITAZ NASCOSTO'!$P$10,IF(C417&lt;='SOLLECITAZ NASCOSTO'!$P$9,IF(C417&lt;='SOLLECITAZ NASCOSTO'!$P$8,IF(C417&lt;='SOLLECITAZ NASCOSTO'!$P$7,IF(C417&lt;='SOLLECITAZ NASCOSTO'!$P$6,IF(C417&lt;='SOLLECITAZ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paramento'!$C$111)+IF(C417&lt;='SOLLECITAZ NASCOSTO'!$P$12,IF(C417&lt;='SOLLECITAZ NASCOSTO'!$P$11,IF(C417&lt;='SOLLECITAZ NASCOSTO'!$P$10,IF(C417&lt;='SOLLECITAZ NASCOSTO'!$P$9,IF(C417&lt;='SOLLECITAZ NASCOSTO'!$P$8,IF(C417&lt;='SOLLECITAZ NASCOSTO'!$P$7,IF(C417&lt;='SOLLECITAZ NASCOSTO'!$P$6,IF(C417&lt;='SOLLECITAZ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112.84967401271138</v>
      </c>
      <c r="O418" s="41">
        <f>IF(C418&lt;='SOLLECITAZ NASCOSTO'!$P$12,IF(C418&lt;='SOLLECITAZ NASCOSTO'!$P$11,IF(C418&lt;='SOLLECITAZ NASCOSTO'!$P$10,IF(C418&lt;='SOLLECITAZ NASCOSTO'!$P$9,IF(C418&lt;='SOLLECITAZ NASCOSTO'!$P$8,IF(C418&lt;='SOLLECITAZ NASCOSTO'!$P$7,IF(C418&lt;='SOLLECITAZ NASCOSTO'!$P$6,IF(C418&lt;='SOLLECITAZ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paramento'!$G$110),55555)*(C418-C417)/IF(C418&lt;='SOLLECITAZ NASCOSTO'!$P$12,IF(C418&lt;='SOLLECITAZ NASCOSTO'!$P$11,IF(C418&lt;='SOLLECITAZ NASCOSTO'!$P$10,IF(C418&lt;='SOLLECITAZ NASCOSTO'!$P$9,IF(C418&lt;='SOLLECITAZ NASCOSTO'!$P$8,IF(C418&lt;='SOLLECITAZ NASCOSTO'!$P$7,IF(C418&lt;='SOLLECITAZ NASCOSTO'!$P$6,IF(C418&lt;='SOLLECITAZ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18" s="41">
        <f t="shared" si="120"/>
        <v>3.8500000000000285E-4</v>
      </c>
      <c r="Q418" s="41">
        <f t="shared" si="118"/>
        <v>1</v>
      </c>
      <c r="R418" s="434">
        <f t="shared" si="128"/>
        <v>4.2052302274343756</v>
      </c>
      <c r="S418" s="45">
        <f t="shared" si="119"/>
        <v>4.2052302274343756</v>
      </c>
      <c r="T418" s="205">
        <f t="shared" si="131"/>
        <v>0.82683136482650532</v>
      </c>
      <c r="U418" s="45">
        <f t="shared" ref="U418:U468" si="133">IF(Q418=1,L418,0)</f>
        <v>266.14932201397642</v>
      </c>
      <c r="V418" s="45">
        <f t="shared" ref="V418:V468" si="134">IF(Q418=1,M418,0)</f>
        <v>-412.78145142352514</v>
      </c>
      <c r="W418" s="488"/>
    </row>
    <row r="419" spans="1:23" x14ac:dyDescent="0.25">
      <c r="A419" s="581">
        <f t="shared" si="129"/>
        <v>0.69445556030483435</v>
      </c>
      <c r="B419" s="31">
        <f t="shared" si="112"/>
        <v>387</v>
      </c>
      <c r="C419" s="434">
        <f>'SOLLECITAZ NASCOSTO'!$D$6/'SOLLECITAZ NASCOSTO'!$B$448*'SOLLECITAZ NASCOSTO'!B419</f>
        <v>4.2161246062619258</v>
      </c>
      <c r="D419" s="434">
        <f t="shared" si="130"/>
        <v>0.81445556030483435</v>
      </c>
      <c r="E419" s="434">
        <f t="shared" si="124"/>
        <v>0.69445556030483435</v>
      </c>
      <c r="F419" s="434">
        <f t="shared" si="125"/>
        <v>0.52222577929754699</v>
      </c>
      <c r="G419" s="434">
        <f t="shared" si="126"/>
        <v>0.12183005755383387</v>
      </c>
      <c r="H419" s="434">
        <f t="shared" si="121"/>
        <v>0</v>
      </c>
      <c r="I419" s="434">
        <v>0</v>
      </c>
      <c r="J419" s="127">
        <f t="shared" si="122"/>
        <v>0.23329001053473297</v>
      </c>
      <c r="K419" s="126">
        <f t="shared" si="127"/>
        <v>3.0461593464774506E-2</v>
      </c>
      <c r="L419" s="41">
        <f t="shared" si="123"/>
        <v>267.38296724670272</v>
      </c>
      <c r="M419" s="41">
        <f t="shared" si="132"/>
        <v>-415.68770286149311</v>
      </c>
      <c r="N419" s="41">
        <f>(IF(C418&lt;='SOLLECITAZ NASCOSTO'!$P$12,IF(C418&lt;='SOLLECITAZ NASCOSTO'!$P$11,IF(C418&lt;='SOLLECITAZ NASCOSTO'!$P$10,IF(C418&lt;='SOLLECITAZ NASCOSTO'!$P$9,IF(C418&lt;='SOLLECITAZ NASCOSTO'!$P$8,IF(C418&lt;='SOLLECITAZ NASCOSTO'!$P$7,IF(C418&lt;='SOLLECITAZ NASCOSTO'!$P$6,IF(C418&lt;='SOLLECITAZ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paramento'!$G$111),55555)-IF(C418&lt;='SOLLECITAZ NASCOSTO'!$P$12,IF(C418&lt;='SOLLECITAZ NASCOSTO'!$P$11,IF(C418&lt;='SOLLECITAZ NASCOSTO'!$P$10,IF(C418&lt;='SOLLECITAZ NASCOSTO'!$P$9,IF(C418&lt;='SOLLECITAZ NASCOSTO'!$P$8,IF(C418&lt;='SOLLECITAZ NASCOSTO'!$P$7,IF(C418&lt;='SOLLECITAZ NASCOSTO'!$P$6,IF(C418&lt;='SOLLECITAZ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paramento'!$G$111))*(C418-IF(C418&lt;='SOLLECITAZ NASCOSTO'!$P$12,IF(C418&lt;='SOLLECITAZ NASCOSTO'!$P$11,IF(C418&lt;='SOLLECITAZ NASCOSTO'!$P$10,IF(C418&lt;='SOLLECITAZ NASCOSTO'!$P$9,IF(C418&lt;='SOLLECITAZ NASCOSTO'!$P$8,IF(C418&lt;='SOLLECITAZ NASCOSTO'!$P$7,IF(C418&lt;='SOLLECITAZ NASCOSTO'!$P$6,IF(C418&lt;='SOLLECITAZ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NASCOSTO'!$P$12))/IF(C418&lt;='SOLLECITAZ NASCOSTO'!$P$12,IF(C418&lt;='SOLLECITAZ NASCOSTO'!$P$11,IF(C418&lt;='SOLLECITAZ NASCOSTO'!$P$10,IF(C418&lt;='SOLLECITAZ NASCOSTO'!$P$9,IF(C418&lt;='SOLLECITAZ NASCOSTO'!$P$8,IF(C418&lt;='SOLLECITAZ NASCOSTO'!$P$7,IF(C418&lt;='SOLLECITAZ NASCOSTO'!$P$6,IF(C418&lt;='SOLLECITAZ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paramento'!$C$111)+IF(C418&lt;='SOLLECITAZ NASCOSTO'!$P$12,IF(C418&lt;='SOLLECITAZ NASCOSTO'!$P$11,IF(C418&lt;='SOLLECITAZ NASCOSTO'!$P$10,IF(C418&lt;='SOLLECITAZ NASCOSTO'!$P$9,IF(C418&lt;='SOLLECITAZ NASCOSTO'!$P$8,IF(C418&lt;='SOLLECITAZ NASCOSTO'!$P$7,IF(C418&lt;='SOLLECITAZ NASCOSTO'!$P$6,IF(C418&lt;='SOLLECITAZ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113.1077969421608</v>
      </c>
      <c r="O419" s="41">
        <f>IF(C419&lt;='SOLLECITAZ NASCOSTO'!$P$12,IF(C419&lt;='SOLLECITAZ NASCOSTO'!$P$11,IF(C419&lt;='SOLLECITAZ NASCOSTO'!$P$10,IF(C419&lt;='SOLLECITAZ NASCOSTO'!$P$9,IF(C419&lt;='SOLLECITAZ NASCOSTO'!$P$8,IF(C419&lt;='SOLLECITAZ NASCOSTO'!$P$7,IF(C419&lt;='SOLLECITAZ NASCOSTO'!$P$6,IF(C419&lt;='SOLLECITAZ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paramento'!$G$110),55555)*(C419-C418)/IF(C419&lt;='SOLLECITAZ NASCOSTO'!$P$12,IF(C419&lt;='SOLLECITAZ NASCOSTO'!$P$11,IF(C419&lt;='SOLLECITAZ NASCOSTO'!$P$10,IF(C419&lt;='SOLLECITAZ NASCOSTO'!$P$9,IF(C419&lt;='SOLLECITAZ NASCOSTO'!$P$8,IF(C419&lt;='SOLLECITAZ NASCOSTO'!$P$7,IF(C419&lt;='SOLLECITAZ NASCOSTO'!$P$6,IF(C419&lt;='SOLLECITAZ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19" s="41">
        <f t="shared" si="120"/>
        <v>3.8600000000000288E-4</v>
      </c>
      <c r="Q419" s="41">
        <f t="shared" ref="Q419:Q468" si="135">IF(C419&lt;=$D$6,1,0+P419)</f>
        <v>1</v>
      </c>
      <c r="R419" s="434">
        <f t="shared" si="128"/>
        <v>4.2161246062619258</v>
      </c>
      <c r="S419" s="45">
        <f t="shared" ref="S419:S468" si="136">IF(Q419&lt;1,VLOOKUP(0,$Q$34:$R$468,2,TRUE),C419)</f>
        <v>4.2161246062619258</v>
      </c>
      <c r="T419" s="205">
        <f t="shared" si="131"/>
        <v>0.81593698599895514</v>
      </c>
      <c r="U419" s="45">
        <f t="shared" si="133"/>
        <v>267.38296724670272</v>
      </c>
      <c r="V419" s="45">
        <f t="shared" si="134"/>
        <v>-415.68770286149311</v>
      </c>
      <c r="W419" s="488"/>
    </row>
    <row r="420" spans="1:23" x14ac:dyDescent="0.25">
      <c r="A420" s="581">
        <f t="shared" si="129"/>
        <v>0.6960264030529435</v>
      </c>
      <c r="B420" s="31">
        <f t="shared" si="112"/>
        <v>388</v>
      </c>
      <c r="C420" s="434">
        <f>'SOLLECITAZ NASCOSTO'!$D$6/'SOLLECITAZ NASCOSTO'!$B$448*'SOLLECITAZ NASCOSTO'!B420</f>
        <v>4.2270189850894759</v>
      </c>
      <c r="D420" s="434">
        <f t="shared" si="130"/>
        <v>0.81602640305294349</v>
      </c>
      <c r="E420" s="434">
        <f t="shared" si="124"/>
        <v>0.6960264030529435</v>
      </c>
      <c r="F420" s="434">
        <f t="shared" si="125"/>
        <v>0.52272844897694193</v>
      </c>
      <c r="G420" s="434">
        <f t="shared" si="126"/>
        <v>0.122239854476724</v>
      </c>
      <c r="H420" s="434">
        <f t="shared" si="121"/>
        <v>0</v>
      </c>
      <c r="I420" s="434">
        <v>0</v>
      </c>
      <c r="J420" s="127">
        <f t="shared" si="122"/>
        <v>0.23384963017789784</v>
      </c>
      <c r="K420" s="126">
        <f t="shared" si="127"/>
        <v>3.0631667461642934E-2</v>
      </c>
      <c r="L420" s="41">
        <f t="shared" si="123"/>
        <v>268.61942456840649</v>
      </c>
      <c r="M420" s="41">
        <f t="shared" si="132"/>
        <v>-418.60740941594651</v>
      </c>
      <c r="N420" s="41">
        <f>(IF(C419&lt;='SOLLECITAZ NASCOSTO'!$P$12,IF(C419&lt;='SOLLECITAZ NASCOSTO'!$P$11,IF(C419&lt;='SOLLECITAZ NASCOSTO'!$P$10,IF(C419&lt;='SOLLECITAZ NASCOSTO'!$P$9,IF(C419&lt;='SOLLECITAZ NASCOSTO'!$P$8,IF(C419&lt;='SOLLECITAZ NASCOSTO'!$P$7,IF(C419&lt;='SOLLECITAZ NASCOSTO'!$P$6,IF(C419&lt;='SOLLECITAZ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paramento'!$G$111),55555)-IF(C419&lt;='SOLLECITAZ NASCOSTO'!$P$12,IF(C419&lt;='SOLLECITAZ NASCOSTO'!$P$11,IF(C419&lt;='SOLLECITAZ NASCOSTO'!$P$10,IF(C419&lt;='SOLLECITAZ NASCOSTO'!$P$9,IF(C419&lt;='SOLLECITAZ NASCOSTO'!$P$8,IF(C419&lt;='SOLLECITAZ NASCOSTO'!$P$7,IF(C419&lt;='SOLLECITAZ NASCOSTO'!$P$6,IF(C419&lt;='SOLLECITAZ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paramento'!$G$111))*(C419-IF(C419&lt;='SOLLECITAZ NASCOSTO'!$P$12,IF(C419&lt;='SOLLECITAZ NASCOSTO'!$P$11,IF(C419&lt;='SOLLECITAZ NASCOSTO'!$P$10,IF(C419&lt;='SOLLECITAZ NASCOSTO'!$P$9,IF(C419&lt;='SOLLECITAZ NASCOSTO'!$P$8,IF(C419&lt;='SOLLECITAZ NASCOSTO'!$P$7,IF(C419&lt;='SOLLECITAZ NASCOSTO'!$P$6,IF(C419&lt;='SOLLECITAZ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NASCOSTO'!$P$12))/IF(C419&lt;='SOLLECITAZ NASCOSTO'!$P$12,IF(C419&lt;='SOLLECITAZ NASCOSTO'!$P$11,IF(C419&lt;='SOLLECITAZ NASCOSTO'!$P$10,IF(C419&lt;='SOLLECITAZ NASCOSTO'!$P$9,IF(C419&lt;='SOLLECITAZ NASCOSTO'!$P$8,IF(C419&lt;='SOLLECITAZ NASCOSTO'!$P$7,IF(C419&lt;='SOLLECITAZ NASCOSTO'!$P$6,IF(C419&lt;='SOLLECITAZ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paramento'!$C$111)+IF(C419&lt;='SOLLECITAZ NASCOSTO'!$P$12,IF(C419&lt;='SOLLECITAZ NASCOSTO'!$P$11,IF(C419&lt;='SOLLECITAZ NASCOSTO'!$P$10,IF(C419&lt;='SOLLECITAZ NASCOSTO'!$P$9,IF(C419&lt;='SOLLECITAZ NASCOSTO'!$P$8,IF(C419&lt;='SOLLECITAZ NASCOSTO'!$P$7,IF(C419&lt;='SOLLECITAZ NASCOSTO'!$P$6,IF(C419&lt;='SOLLECITAZ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113.3659198716102</v>
      </c>
      <c r="O420" s="41">
        <f>IF(C420&lt;='SOLLECITAZ NASCOSTO'!$P$12,IF(C420&lt;='SOLLECITAZ NASCOSTO'!$P$11,IF(C420&lt;='SOLLECITAZ NASCOSTO'!$P$10,IF(C420&lt;='SOLLECITAZ NASCOSTO'!$P$9,IF(C420&lt;='SOLLECITAZ NASCOSTO'!$P$8,IF(C420&lt;='SOLLECITAZ NASCOSTO'!$P$7,IF(C420&lt;='SOLLECITAZ NASCOSTO'!$P$6,IF(C420&lt;='SOLLECITAZ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paramento'!$G$110),55555)*(C420-C419)/IF(C420&lt;='SOLLECITAZ NASCOSTO'!$P$12,IF(C420&lt;='SOLLECITAZ NASCOSTO'!$P$11,IF(C420&lt;='SOLLECITAZ NASCOSTO'!$P$10,IF(C420&lt;='SOLLECITAZ NASCOSTO'!$P$9,IF(C420&lt;='SOLLECITAZ NASCOSTO'!$P$8,IF(C420&lt;='SOLLECITAZ NASCOSTO'!$P$7,IF(C420&lt;='SOLLECITAZ NASCOSTO'!$P$6,IF(C420&lt;='SOLLECITAZ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20" s="41">
        <f t="shared" ref="P420:P468" si="137">P419+0.000001</f>
        <v>3.870000000000029E-4</v>
      </c>
      <c r="Q420" s="41">
        <f t="shared" si="135"/>
        <v>1</v>
      </c>
      <c r="R420" s="434">
        <f t="shared" si="128"/>
        <v>4.2270189850894759</v>
      </c>
      <c r="S420" s="45">
        <f t="shared" si="136"/>
        <v>4.2270189850894759</v>
      </c>
      <c r="T420" s="205">
        <f t="shared" si="131"/>
        <v>0.80504260717140497</v>
      </c>
      <c r="U420" s="45">
        <f t="shared" si="133"/>
        <v>268.61942456840649</v>
      </c>
      <c r="V420" s="45">
        <f t="shared" si="134"/>
        <v>-418.60740941594651</v>
      </c>
      <c r="W420" s="488"/>
    </row>
    <row r="421" spans="1:23" x14ac:dyDescent="0.25">
      <c r="A421" s="581">
        <f t="shared" si="129"/>
        <v>0.69759724580105265</v>
      </c>
      <c r="B421" s="31">
        <f t="shared" si="112"/>
        <v>389</v>
      </c>
      <c r="C421" s="434">
        <f>'SOLLECITAZ NASCOSTO'!$D$6/'SOLLECITAZ NASCOSTO'!$B$448*'SOLLECITAZ NASCOSTO'!B421</f>
        <v>4.2379133639170261</v>
      </c>
      <c r="D421" s="434">
        <f t="shared" si="130"/>
        <v>0.81759724580105264</v>
      </c>
      <c r="E421" s="434">
        <f t="shared" si="124"/>
        <v>0.69759724580105265</v>
      </c>
      <c r="F421" s="434">
        <f t="shared" si="125"/>
        <v>0.52323111865633687</v>
      </c>
      <c r="G421" s="434">
        <f t="shared" si="126"/>
        <v>0.12265044101463471</v>
      </c>
      <c r="H421" s="434">
        <f t="shared" si="121"/>
        <v>0</v>
      </c>
      <c r="I421" s="434">
        <v>0</v>
      </c>
      <c r="J421" s="127">
        <f t="shared" si="122"/>
        <v>0.23440968367784079</v>
      </c>
      <c r="K421" s="126">
        <f t="shared" si="127"/>
        <v>3.0802333185316132E-2</v>
      </c>
      <c r="L421" s="41">
        <f t="shared" si="123"/>
        <v>269.85869397908778</v>
      </c>
      <c r="M421" s="41">
        <f t="shared" si="132"/>
        <v>-421.54060172284795</v>
      </c>
      <c r="N421" s="41">
        <f>(IF(C420&lt;='SOLLECITAZ NASCOSTO'!$P$12,IF(C420&lt;='SOLLECITAZ NASCOSTO'!$P$11,IF(C420&lt;='SOLLECITAZ NASCOSTO'!$P$10,IF(C420&lt;='SOLLECITAZ NASCOSTO'!$P$9,IF(C420&lt;='SOLLECITAZ NASCOSTO'!$P$8,IF(C420&lt;='SOLLECITAZ NASCOSTO'!$P$7,IF(C420&lt;='SOLLECITAZ NASCOSTO'!$P$6,IF(C420&lt;='SOLLECITAZ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paramento'!$G$111),55555)-IF(C420&lt;='SOLLECITAZ NASCOSTO'!$P$12,IF(C420&lt;='SOLLECITAZ NASCOSTO'!$P$11,IF(C420&lt;='SOLLECITAZ NASCOSTO'!$P$10,IF(C420&lt;='SOLLECITAZ NASCOSTO'!$P$9,IF(C420&lt;='SOLLECITAZ NASCOSTO'!$P$8,IF(C420&lt;='SOLLECITAZ NASCOSTO'!$P$7,IF(C420&lt;='SOLLECITAZ NASCOSTO'!$P$6,IF(C420&lt;='SOLLECITAZ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paramento'!$G$111))*(C420-IF(C420&lt;='SOLLECITAZ NASCOSTO'!$P$12,IF(C420&lt;='SOLLECITAZ NASCOSTO'!$P$11,IF(C420&lt;='SOLLECITAZ NASCOSTO'!$P$10,IF(C420&lt;='SOLLECITAZ NASCOSTO'!$P$9,IF(C420&lt;='SOLLECITAZ NASCOSTO'!$P$8,IF(C420&lt;='SOLLECITAZ NASCOSTO'!$P$7,IF(C420&lt;='SOLLECITAZ NASCOSTO'!$P$6,IF(C420&lt;='SOLLECITAZ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NASCOSTO'!$P$12))/IF(C420&lt;='SOLLECITAZ NASCOSTO'!$P$12,IF(C420&lt;='SOLLECITAZ NASCOSTO'!$P$11,IF(C420&lt;='SOLLECITAZ NASCOSTO'!$P$10,IF(C420&lt;='SOLLECITAZ NASCOSTO'!$P$9,IF(C420&lt;='SOLLECITAZ NASCOSTO'!$P$8,IF(C420&lt;='SOLLECITAZ NASCOSTO'!$P$7,IF(C420&lt;='SOLLECITAZ NASCOSTO'!$P$6,IF(C420&lt;='SOLLECITAZ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paramento'!$C$111)+IF(C420&lt;='SOLLECITAZ NASCOSTO'!$P$12,IF(C420&lt;='SOLLECITAZ NASCOSTO'!$P$11,IF(C420&lt;='SOLLECITAZ NASCOSTO'!$P$10,IF(C420&lt;='SOLLECITAZ NASCOSTO'!$P$9,IF(C420&lt;='SOLLECITAZ NASCOSTO'!$P$8,IF(C420&lt;='SOLLECITAZ NASCOSTO'!$P$7,IF(C420&lt;='SOLLECITAZ NASCOSTO'!$P$6,IF(C420&lt;='SOLLECITAZ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113.6240428010596</v>
      </c>
      <c r="O421" s="41">
        <f>IF(C421&lt;='SOLLECITAZ NASCOSTO'!$P$12,IF(C421&lt;='SOLLECITAZ NASCOSTO'!$P$11,IF(C421&lt;='SOLLECITAZ NASCOSTO'!$P$10,IF(C421&lt;='SOLLECITAZ NASCOSTO'!$P$9,IF(C421&lt;='SOLLECITAZ NASCOSTO'!$P$8,IF(C421&lt;='SOLLECITAZ NASCOSTO'!$P$7,IF(C421&lt;='SOLLECITAZ NASCOSTO'!$P$6,IF(C421&lt;='SOLLECITAZ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paramento'!$G$110),55555)*(C421-C420)/IF(C421&lt;='SOLLECITAZ NASCOSTO'!$P$12,IF(C421&lt;='SOLLECITAZ NASCOSTO'!$P$11,IF(C421&lt;='SOLLECITAZ NASCOSTO'!$P$10,IF(C421&lt;='SOLLECITAZ NASCOSTO'!$P$9,IF(C421&lt;='SOLLECITAZ NASCOSTO'!$P$8,IF(C421&lt;='SOLLECITAZ NASCOSTO'!$P$7,IF(C421&lt;='SOLLECITAZ NASCOSTO'!$P$6,IF(C421&lt;='SOLLECITAZ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21" s="41">
        <f t="shared" si="137"/>
        <v>3.8800000000000293E-4</v>
      </c>
      <c r="Q421" s="41">
        <f t="shared" si="135"/>
        <v>1</v>
      </c>
      <c r="R421" s="434">
        <f t="shared" si="128"/>
        <v>4.2379133639170261</v>
      </c>
      <c r="S421" s="45">
        <f t="shared" si="136"/>
        <v>4.2379133639170261</v>
      </c>
      <c r="T421" s="205">
        <f t="shared" si="131"/>
        <v>0.79414822834385479</v>
      </c>
      <c r="U421" s="45">
        <f t="shared" si="133"/>
        <v>269.85869397908778</v>
      </c>
      <c r="V421" s="45">
        <f t="shared" si="134"/>
        <v>-421.54060172284795</v>
      </c>
      <c r="W421" s="488"/>
    </row>
    <row r="422" spans="1:23" x14ac:dyDescent="0.25">
      <c r="A422" s="581">
        <f t="shared" si="129"/>
        <v>0.69916808854916179</v>
      </c>
      <c r="B422" s="31">
        <f t="shared" si="112"/>
        <v>390</v>
      </c>
      <c r="C422" s="434">
        <f>'SOLLECITAZ NASCOSTO'!$D$6/'SOLLECITAZ NASCOSTO'!$B$448*'SOLLECITAZ NASCOSTO'!B422</f>
        <v>4.2488077427445763</v>
      </c>
      <c r="D422" s="434">
        <f t="shared" si="130"/>
        <v>0.81916808854916179</v>
      </c>
      <c r="E422" s="434">
        <f t="shared" si="124"/>
        <v>0.69916808854916179</v>
      </c>
      <c r="F422" s="434">
        <f t="shared" si="125"/>
        <v>0.52373378833573181</v>
      </c>
      <c r="G422" s="434">
        <f t="shared" si="126"/>
        <v>0.12306181716756598</v>
      </c>
      <c r="H422" s="434">
        <f t="shared" ref="H422:H448" si="138">I422*F422</f>
        <v>0</v>
      </c>
      <c r="I422" s="434">
        <v>0</v>
      </c>
      <c r="J422" s="127">
        <f t="shared" ref="J422:J448" si="139">G422/F422</f>
        <v>0.23497016978533952</v>
      </c>
      <c r="K422" s="126">
        <f t="shared" si="127"/>
        <v>3.0973591409160475E-2</v>
      </c>
      <c r="L422" s="41">
        <f t="shared" ref="L422:L448" si="140">L421+N422*(C422-C421)+O422*(C422-C421)/2</f>
        <v>271.10077547874653</v>
      </c>
      <c r="M422" s="41">
        <f t="shared" si="132"/>
        <v>-424.48731041816006</v>
      </c>
      <c r="N422" s="41">
        <f>(IF(C421&lt;='SOLLECITAZ NASCOSTO'!$P$12,IF(C421&lt;='SOLLECITAZ NASCOSTO'!$P$11,IF(C421&lt;='SOLLECITAZ NASCOSTO'!$P$10,IF(C421&lt;='SOLLECITAZ NASCOSTO'!$P$9,IF(C421&lt;='SOLLECITAZ NASCOSTO'!$P$8,IF(C421&lt;='SOLLECITAZ NASCOSTO'!$P$7,IF(C421&lt;='SOLLECITAZ NASCOSTO'!$P$6,IF(C421&lt;='SOLLECITAZ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paramento'!$G$111),55555)-IF(C421&lt;='SOLLECITAZ NASCOSTO'!$P$12,IF(C421&lt;='SOLLECITAZ NASCOSTO'!$P$11,IF(C421&lt;='SOLLECITAZ NASCOSTO'!$P$10,IF(C421&lt;='SOLLECITAZ NASCOSTO'!$P$9,IF(C421&lt;='SOLLECITAZ NASCOSTO'!$P$8,IF(C421&lt;='SOLLECITAZ NASCOSTO'!$P$7,IF(C421&lt;='SOLLECITAZ NASCOSTO'!$P$6,IF(C421&lt;='SOLLECITAZ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paramento'!$G$111))*(C421-IF(C421&lt;='SOLLECITAZ NASCOSTO'!$P$12,IF(C421&lt;='SOLLECITAZ NASCOSTO'!$P$11,IF(C421&lt;='SOLLECITAZ NASCOSTO'!$P$10,IF(C421&lt;='SOLLECITAZ NASCOSTO'!$P$9,IF(C421&lt;='SOLLECITAZ NASCOSTO'!$P$8,IF(C421&lt;='SOLLECITAZ NASCOSTO'!$P$7,IF(C421&lt;='SOLLECITAZ NASCOSTO'!$P$6,IF(C421&lt;='SOLLECITAZ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NASCOSTO'!$P$12))/IF(C421&lt;='SOLLECITAZ NASCOSTO'!$P$12,IF(C421&lt;='SOLLECITAZ NASCOSTO'!$P$11,IF(C421&lt;='SOLLECITAZ NASCOSTO'!$P$10,IF(C421&lt;='SOLLECITAZ NASCOSTO'!$P$9,IF(C421&lt;='SOLLECITAZ NASCOSTO'!$P$8,IF(C421&lt;='SOLLECITAZ NASCOSTO'!$P$7,IF(C421&lt;='SOLLECITAZ NASCOSTO'!$P$6,IF(C421&lt;='SOLLECITAZ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paramento'!$C$111)+IF(C421&lt;='SOLLECITAZ NASCOSTO'!$P$12,IF(C421&lt;='SOLLECITAZ NASCOSTO'!$P$11,IF(C421&lt;='SOLLECITAZ NASCOSTO'!$P$10,IF(C421&lt;='SOLLECITAZ NASCOSTO'!$P$9,IF(C421&lt;='SOLLECITAZ NASCOSTO'!$P$8,IF(C421&lt;='SOLLECITAZ NASCOSTO'!$P$7,IF(C421&lt;='SOLLECITAZ NASCOSTO'!$P$6,IF(C421&lt;='SOLLECITAZ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113.882165730509</v>
      </c>
      <c r="O422" s="41">
        <f>IF(C422&lt;='SOLLECITAZ NASCOSTO'!$P$12,IF(C422&lt;='SOLLECITAZ NASCOSTO'!$P$11,IF(C422&lt;='SOLLECITAZ NASCOSTO'!$P$10,IF(C422&lt;='SOLLECITAZ NASCOSTO'!$P$9,IF(C422&lt;='SOLLECITAZ NASCOSTO'!$P$8,IF(C422&lt;='SOLLECITAZ NASCOSTO'!$P$7,IF(C422&lt;='SOLLECITAZ NASCOSTO'!$P$6,IF(C422&lt;='SOLLECITAZ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paramento'!$G$110),55555)*(C422-C421)/IF(C422&lt;='SOLLECITAZ NASCOSTO'!$P$12,IF(C422&lt;='SOLLECITAZ NASCOSTO'!$P$11,IF(C422&lt;='SOLLECITAZ NASCOSTO'!$P$10,IF(C422&lt;='SOLLECITAZ NASCOSTO'!$P$9,IF(C422&lt;='SOLLECITAZ NASCOSTO'!$P$8,IF(C422&lt;='SOLLECITAZ NASCOSTO'!$P$7,IF(C422&lt;='SOLLECITAZ NASCOSTO'!$P$6,IF(C422&lt;='SOLLECITAZ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22" s="41">
        <f t="shared" si="137"/>
        <v>3.8900000000000295E-4</v>
      </c>
      <c r="Q422" s="41">
        <f t="shared" si="135"/>
        <v>1</v>
      </c>
      <c r="R422" s="434">
        <f t="shared" si="128"/>
        <v>4.2488077427445763</v>
      </c>
      <c r="S422" s="45">
        <f t="shared" si="136"/>
        <v>4.2488077427445763</v>
      </c>
      <c r="T422" s="205">
        <f t="shared" si="131"/>
        <v>0.78325384951630461</v>
      </c>
      <c r="U422" s="45">
        <f t="shared" si="133"/>
        <v>271.10077547874653</v>
      </c>
      <c r="V422" s="45">
        <f t="shared" si="134"/>
        <v>-424.48731041816006</v>
      </c>
      <c r="W422" s="488"/>
    </row>
    <row r="423" spans="1:23" x14ac:dyDescent="0.25">
      <c r="A423" s="581">
        <f t="shared" si="129"/>
        <v>0.70073893129727105</v>
      </c>
      <c r="B423" s="31">
        <f t="shared" si="112"/>
        <v>391</v>
      </c>
      <c r="C423" s="434">
        <f>'SOLLECITAZ NASCOSTO'!$D$6/'SOLLECITAZ NASCOSTO'!$B$448*'SOLLECITAZ NASCOSTO'!B423</f>
        <v>4.2597021215721265</v>
      </c>
      <c r="D423" s="434">
        <f t="shared" si="130"/>
        <v>0.82073893129727105</v>
      </c>
      <c r="E423" s="434">
        <f t="shared" si="124"/>
        <v>0.70073893129727105</v>
      </c>
      <c r="F423" s="434">
        <f t="shared" si="125"/>
        <v>0.52423645801512675</v>
      </c>
      <c r="G423" s="434">
        <f t="shared" si="126"/>
        <v>0.12347398293551785</v>
      </c>
      <c r="H423" s="434">
        <f t="shared" si="138"/>
        <v>0</v>
      </c>
      <c r="I423" s="434">
        <v>0</v>
      </c>
      <c r="J423" s="127">
        <f t="shared" si="139"/>
        <v>0.23553108725596311</v>
      </c>
      <c r="K423" s="126">
        <f t="shared" si="127"/>
        <v>3.1145442905954876E-2</v>
      </c>
      <c r="L423" s="41">
        <f t="shared" si="140"/>
        <v>272.3456690673828</v>
      </c>
      <c r="M423" s="41">
        <f t="shared" si="132"/>
        <v>-427.44756613784546</v>
      </c>
      <c r="N423" s="41">
        <f>(IF(C422&lt;='SOLLECITAZ NASCOSTO'!$P$12,IF(C422&lt;='SOLLECITAZ NASCOSTO'!$P$11,IF(C422&lt;='SOLLECITAZ NASCOSTO'!$P$10,IF(C422&lt;='SOLLECITAZ NASCOSTO'!$P$9,IF(C422&lt;='SOLLECITAZ NASCOSTO'!$P$8,IF(C422&lt;='SOLLECITAZ NASCOSTO'!$P$7,IF(C422&lt;='SOLLECITAZ NASCOSTO'!$P$6,IF(C422&lt;='SOLLECITAZ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paramento'!$G$111),55555)-IF(C422&lt;='SOLLECITAZ NASCOSTO'!$P$12,IF(C422&lt;='SOLLECITAZ NASCOSTO'!$P$11,IF(C422&lt;='SOLLECITAZ NASCOSTO'!$P$10,IF(C422&lt;='SOLLECITAZ NASCOSTO'!$P$9,IF(C422&lt;='SOLLECITAZ NASCOSTO'!$P$8,IF(C422&lt;='SOLLECITAZ NASCOSTO'!$P$7,IF(C422&lt;='SOLLECITAZ NASCOSTO'!$P$6,IF(C422&lt;='SOLLECITAZ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paramento'!$G$111))*(C422-IF(C422&lt;='SOLLECITAZ NASCOSTO'!$P$12,IF(C422&lt;='SOLLECITAZ NASCOSTO'!$P$11,IF(C422&lt;='SOLLECITAZ NASCOSTO'!$P$10,IF(C422&lt;='SOLLECITAZ NASCOSTO'!$P$9,IF(C422&lt;='SOLLECITAZ NASCOSTO'!$P$8,IF(C422&lt;='SOLLECITAZ NASCOSTO'!$P$7,IF(C422&lt;='SOLLECITAZ NASCOSTO'!$P$6,IF(C422&lt;='SOLLECITAZ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NASCOSTO'!$P$12))/IF(C422&lt;='SOLLECITAZ NASCOSTO'!$P$12,IF(C422&lt;='SOLLECITAZ NASCOSTO'!$P$11,IF(C422&lt;='SOLLECITAZ NASCOSTO'!$P$10,IF(C422&lt;='SOLLECITAZ NASCOSTO'!$P$9,IF(C422&lt;='SOLLECITAZ NASCOSTO'!$P$8,IF(C422&lt;='SOLLECITAZ NASCOSTO'!$P$7,IF(C422&lt;='SOLLECITAZ NASCOSTO'!$P$6,IF(C422&lt;='SOLLECITAZ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paramento'!$C$111)+IF(C422&lt;='SOLLECITAZ NASCOSTO'!$P$12,IF(C422&lt;='SOLLECITAZ NASCOSTO'!$P$11,IF(C422&lt;='SOLLECITAZ NASCOSTO'!$P$10,IF(C422&lt;='SOLLECITAZ NASCOSTO'!$P$9,IF(C422&lt;='SOLLECITAZ NASCOSTO'!$P$8,IF(C422&lt;='SOLLECITAZ NASCOSTO'!$P$7,IF(C422&lt;='SOLLECITAZ NASCOSTO'!$P$6,IF(C422&lt;='SOLLECITAZ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114.1402886599584</v>
      </c>
      <c r="O423" s="41">
        <f>IF(C423&lt;='SOLLECITAZ NASCOSTO'!$P$12,IF(C423&lt;='SOLLECITAZ NASCOSTO'!$P$11,IF(C423&lt;='SOLLECITAZ NASCOSTO'!$P$10,IF(C423&lt;='SOLLECITAZ NASCOSTO'!$P$9,IF(C423&lt;='SOLLECITAZ NASCOSTO'!$P$8,IF(C423&lt;='SOLLECITAZ NASCOSTO'!$P$7,IF(C423&lt;='SOLLECITAZ NASCOSTO'!$P$6,IF(C423&lt;='SOLLECITAZ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paramento'!$G$110),55555)*(C423-C422)/IF(C423&lt;='SOLLECITAZ NASCOSTO'!$P$12,IF(C423&lt;='SOLLECITAZ NASCOSTO'!$P$11,IF(C423&lt;='SOLLECITAZ NASCOSTO'!$P$10,IF(C423&lt;='SOLLECITAZ NASCOSTO'!$P$9,IF(C423&lt;='SOLLECITAZ NASCOSTO'!$P$8,IF(C423&lt;='SOLLECITAZ NASCOSTO'!$P$7,IF(C423&lt;='SOLLECITAZ NASCOSTO'!$P$6,IF(C423&lt;='SOLLECITAZ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23" s="41">
        <f t="shared" si="137"/>
        <v>3.9000000000000297E-4</v>
      </c>
      <c r="Q423" s="41">
        <f t="shared" si="135"/>
        <v>1</v>
      </c>
      <c r="R423" s="434">
        <f t="shared" si="128"/>
        <v>4.2597021215721265</v>
      </c>
      <c r="S423" s="45">
        <f t="shared" si="136"/>
        <v>4.2597021215721265</v>
      </c>
      <c r="T423" s="205">
        <f t="shared" si="131"/>
        <v>0.77235947068875443</v>
      </c>
      <c r="U423" s="45">
        <f t="shared" si="133"/>
        <v>272.3456690673828</v>
      </c>
      <c r="V423" s="45">
        <f t="shared" si="134"/>
        <v>-427.44756613784546</v>
      </c>
      <c r="W423" s="488"/>
    </row>
    <row r="424" spans="1:23" x14ac:dyDescent="0.25">
      <c r="A424" s="581">
        <f t="shared" si="129"/>
        <v>0.7023097740453802</v>
      </c>
      <c r="B424" s="31">
        <f t="shared" si="112"/>
        <v>392</v>
      </c>
      <c r="C424" s="434">
        <f>'SOLLECITAZ NASCOSTO'!$D$6/'SOLLECITAZ NASCOSTO'!$B$448*'SOLLECITAZ NASCOSTO'!B424</f>
        <v>4.2705965003996766</v>
      </c>
      <c r="D424" s="434">
        <f t="shared" si="130"/>
        <v>0.82230977404538019</v>
      </c>
      <c r="E424" s="434">
        <f t="shared" si="124"/>
        <v>0.7023097740453802</v>
      </c>
      <c r="F424" s="434">
        <f t="shared" si="125"/>
        <v>0.52473912769452169</v>
      </c>
      <c r="G424" s="434">
        <f t="shared" si="126"/>
        <v>0.12388693831849028</v>
      </c>
      <c r="H424" s="434">
        <f t="shared" si="138"/>
        <v>0</v>
      </c>
      <c r="I424" s="434">
        <v>0</v>
      </c>
      <c r="J424" s="127">
        <f t="shared" si="139"/>
        <v>0.23609243485004877</v>
      </c>
      <c r="K424" s="126">
        <f t="shared" si="127"/>
        <v>3.1317888447893419E-2</v>
      </c>
      <c r="L424" s="41">
        <f t="shared" si="140"/>
        <v>273.59337474499659</v>
      </c>
      <c r="M424" s="41">
        <f t="shared" si="132"/>
        <v>-430.42139951786675</v>
      </c>
      <c r="N424" s="41">
        <f>(IF(C423&lt;='SOLLECITAZ NASCOSTO'!$P$12,IF(C423&lt;='SOLLECITAZ NASCOSTO'!$P$11,IF(C423&lt;='SOLLECITAZ NASCOSTO'!$P$10,IF(C423&lt;='SOLLECITAZ NASCOSTO'!$P$9,IF(C423&lt;='SOLLECITAZ NASCOSTO'!$P$8,IF(C423&lt;='SOLLECITAZ NASCOSTO'!$P$7,IF(C423&lt;='SOLLECITAZ NASCOSTO'!$P$6,IF(C423&lt;='SOLLECITAZ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paramento'!$G$111),55555)-IF(C423&lt;='SOLLECITAZ NASCOSTO'!$P$12,IF(C423&lt;='SOLLECITAZ NASCOSTO'!$P$11,IF(C423&lt;='SOLLECITAZ NASCOSTO'!$P$10,IF(C423&lt;='SOLLECITAZ NASCOSTO'!$P$9,IF(C423&lt;='SOLLECITAZ NASCOSTO'!$P$8,IF(C423&lt;='SOLLECITAZ NASCOSTO'!$P$7,IF(C423&lt;='SOLLECITAZ NASCOSTO'!$P$6,IF(C423&lt;='SOLLECITAZ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paramento'!$G$111))*(C423-IF(C423&lt;='SOLLECITAZ NASCOSTO'!$P$12,IF(C423&lt;='SOLLECITAZ NASCOSTO'!$P$11,IF(C423&lt;='SOLLECITAZ NASCOSTO'!$P$10,IF(C423&lt;='SOLLECITAZ NASCOSTO'!$P$9,IF(C423&lt;='SOLLECITAZ NASCOSTO'!$P$8,IF(C423&lt;='SOLLECITAZ NASCOSTO'!$P$7,IF(C423&lt;='SOLLECITAZ NASCOSTO'!$P$6,IF(C423&lt;='SOLLECITAZ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NASCOSTO'!$P$12))/IF(C423&lt;='SOLLECITAZ NASCOSTO'!$P$12,IF(C423&lt;='SOLLECITAZ NASCOSTO'!$P$11,IF(C423&lt;='SOLLECITAZ NASCOSTO'!$P$10,IF(C423&lt;='SOLLECITAZ NASCOSTO'!$P$9,IF(C423&lt;='SOLLECITAZ NASCOSTO'!$P$8,IF(C423&lt;='SOLLECITAZ NASCOSTO'!$P$7,IF(C423&lt;='SOLLECITAZ NASCOSTO'!$P$6,IF(C423&lt;='SOLLECITAZ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paramento'!$C$111)+IF(C423&lt;='SOLLECITAZ NASCOSTO'!$P$12,IF(C423&lt;='SOLLECITAZ NASCOSTO'!$P$11,IF(C423&lt;='SOLLECITAZ NASCOSTO'!$P$10,IF(C423&lt;='SOLLECITAZ NASCOSTO'!$P$9,IF(C423&lt;='SOLLECITAZ NASCOSTO'!$P$8,IF(C423&lt;='SOLLECITAZ NASCOSTO'!$P$7,IF(C423&lt;='SOLLECITAZ NASCOSTO'!$P$6,IF(C423&lt;='SOLLECITAZ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114.39841158940783</v>
      </c>
      <c r="O424" s="41">
        <f>IF(C424&lt;='SOLLECITAZ NASCOSTO'!$P$12,IF(C424&lt;='SOLLECITAZ NASCOSTO'!$P$11,IF(C424&lt;='SOLLECITAZ NASCOSTO'!$P$10,IF(C424&lt;='SOLLECITAZ NASCOSTO'!$P$9,IF(C424&lt;='SOLLECITAZ NASCOSTO'!$P$8,IF(C424&lt;='SOLLECITAZ NASCOSTO'!$P$7,IF(C424&lt;='SOLLECITAZ NASCOSTO'!$P$6,IF(C424&lt;='SOLLECITAZ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paramento'!$G$110),55555)*(C424-C423)/IF(C424&lt;='SOLLECITAZ NASCOSTO'!$P$12,IF(C424&lt;='SOLLECITAZ NASCOSTO'!$P$11,IF(C424&lt;='SOLLECITAZ NASCOSTO'!$P$10,IF(C424&lt;='SOLLECITAZ NASCOSTO'!$P$9,IF(C424&lt;='SOLLECITAZ NASCOSTO'!$P$8,IF(C424&lt;='SOLLECITAZ NASCOSTO'!$P$7,IF(C424&lt;='SOLLECITAZ NASCOSTO'!$P$6,IF(C424&lt;='SOLLECITAZ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24" s="41">
        <f t="shared" si="137"/>
        <v>3.91000000000003E-4</v>
      </c>
      <c r="Q424" s="41">
        <f t="shared" si="135"/>
        <v>1</v>
      </c>
      <c r="R424" s="434">
        <f t="shared" si="128"/>
        <v>4.2705965003996766</v>
      </c>
      <c r="S424" s="45">
        <f t="shared" si="136"/>
        <v>4.2705965003996766</v>
      </c>
      <c r="T424" s="205">
        <f t="shared" si="131"/>
        <v>0.76146509186120426</v>
      </c>
      <c r="U424" s="45">
        <f t="shared" si="133"/>
        <v>273.59337474499659</v>
      </c>
      <c r="V424" s="45">
        <f t="shared" si="134"/>
        <v>-430.42139951786675</v>
      </c>
      <c r="W424" s="488"/>
    </row>
    <row r="425" spans="1:23" x14ac:dyDescent="0.25">
      <c r="A425" s="581">
        <f t="shared" si="129"/>
        <v>0.70388061679348934</v>
      </c>
      <c r="B425" s="31">
        <f t="shared" si="112"/>
        <v>393</v>
      </c>
      <c r="C425" s="434">
        <f>'SOLLECITAZ NASCOSTO'!$D$6/'SOLLECITAZ NASCOSTO'!$B$448*'SOLLECITAZ NASCOSTO'!B425</f>
        <v>4.2814908792272268</v>
      </c>
      <c r="D425" s="434">
        <f t="shared" si="130"/>
        <v>0.82388061679348934</v>
      </c>
      <c r="E425" s="434">
        <f t="shared" si="124"/>
        <v>0.70388061679348934</v>
      </c>
      <c r="F425" s="434">
        <f t="shared" si="125"/>
        <v>0.52524179737391652</v>
      </c>
      <c r="G425" s="434">
        <f t="shared" si="126"/>
        <v>0.12430068331648327</v>
      </c>
      <c r="H425" s="434">
        <f t="shared" si="138"/>
        <v>0</v>
      </c>
      <c r="I425" s="434">
        <v>0</v>
      </c>
      <c r="J425" s="127">
        <f t="shared" si="139"/>
        <v>0.2366542113326795</v>
      </c>
      <c r="K425" s="126">
        <f t="shared" si="127"/>
        <v>3.1490928806588388E-2</v>
      </c>
      <c r="L425" s="41">
        <f t="shared" si="140"/>
        <v>274.84389251158785</v>
      </c>
      <c r="M425" s="41">
        <f t="shared" si="132"/>
        <v>-433.40884119418655</v>
      </c>
      <c r="N425" s="41">
        <f>(IF(C424&lt;='SOLLECITAZ NASCOSTO'!$P$12,IF(C424&lt;='SOLLECITAZ NASCOSTO'!$P$11,IF(C424&lt;='SOLLECITAZ NASCOSTO'!$P$10,IF(C424&lt;='SOLLECITAZ NASCOSTO'!$P$9,IF(C424&lt;='SOLLECITAZ NASCOSTO'!$P$8,IF(C424&lt;='SOLLECITAZ NASCOSTO'!$P$7,IF(C424&lt;='SOLLECITAZ NASCOSTO'!$P$6,IF(C424&lt;='SOLLECITAZ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paramento'!$G$111),55555)-IF(C424&lt;='SOLLECITAZ NASCOSTO'!$P$12,IF(C424&lt;='SOLLECITAZ NASCOSTO'!$P$11,IF(C424&lt;='SOLLECITAZ NASCOSTO'!$P$10,IF(C424&lt;='SOLLECITAZ NASCOSTO'!$P$9,IF(C424&lt;='SOLLECITAZ NASCOSTO'!$P$8,IF(C424&lt;='SOLLECITAZ NASCOSTO'!$P$7,IF(C424&lt;='SOLLECITAZ NASCOSTO'!$P$6,IF(C424&lt;='SOLLECITAZ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paramento'!$G$111))*(C424-IF(C424&lt;='SOLLECITAZ NASCOSTO'!$P$12,IF(C424&lt;='SOLLECITAZ NASCOSTO'!$P$11,IF(C424&lt;='SOLLECITAZ NASCOSTO'!$P$10,IF(C424&lt;='SOLLECITAZ NASCOSTO'!$P$9,IF(C424&lt;='SOLLECITAZ NASCOSTO'!$P$8,IF(C424&lt;='SOLLECITAZ NASCOSTO'!$P$7,IF(C424&lt;='SOLLECITAZ NASCOSTO'!$P$6,IF(C424&lt;='SOLLECITAZ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NASCOSTO'!$P$12))/IF(C424&lt;='SOLLECITAZ NASCOSTO'!$P$12,IF(C424&lt;='SOLLECITAZ NASCOSTO'!$P$11,IF(C424&lt;='SOLLECITAZ NASCOSTO'!$P$10,IF(C424&lt;='SOLLECITAZ NASCOSTO'!$P$9,IF(C424&lt;='SOLLECITAZ NASCOSTO'!$P$8,IF(C424&lt;='SOLLECITAZ NASCOSTO'!$P$7,IF(C424&lt;='SOLLECITAZ NASCOSTO'!$P$6,IF(C424&lt;='SOLLECITAZ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paramento'!$C$111)+IF(C424&lt;='SOLLECITAZ NASCOSTO'!$P$12,IF(C424&lt;='SOLLECITAZ NASCOSTO'!$P$11,IF(C424&lt;='SOLLECITAZ NASCOSTO'!$P$10,IF(C424&lt;='SOLLECITAZ NASCOSTO'!$P$9,IF(C424&lt;='SOLLECITAZ NASCOSTO'!$P$8,IF(C424&lt;='SOLLECITAZ NASCOSTO'!$P$7,IF(C424&lt;='SOLLECITAZ NASCOSTO'!$P$6,IF(C424&lt;='SOLLECITAZ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114.65653451885723</v>
      </c>
      <c r="O425" s="41">
        <f>IF(C425&lt;='SOLLECITAZ NASCOSTO'!$P$12,IF(C425&lt;='SOLLECITAZ NASCOSTO'!$P$11,IF(C425&lt;='SOLLECITAZ NASCOSTO'!$P$10,IF(C425&lt;='SOLLECITAZ NASCOSTO'!$P$9,IF(C425&lt;='SOLLECITAZ NASCOSTO'!$P$8,IF(C425&lt;='SOLLECITAZ NASCOSTO'!$P$7,IF(C425&lt;='SOLLECITAZ NASCOSTO'!$P$6,IF(C425&lt;='SOLLECITAZ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paramento'!$G$110),55555)*(C425-C424)/IF(C425&lt;='SOLLECITAZ NASCOSTO'!$P$12,IF(C425&lt;='SOLLECITAZ NASCOSTO'!$P$11,IF(C425&lt;='SOLLECITAZ NASCOSTO'!$P$10,IF(C425&lt;='SOLLECITAZ NASCOSTO'!$P$9,IF(C425&lt;='SOLLECITAZ NASCOSTO'!$P$8,IF(C425&lt;='SOLLECITAZ NASCOSTO'!$P$7,IF(C425&lt;='SOLLECITAZ NASCOSTO'!$P$6,IF(C425&lt;='SOLLECITAZ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25" s="41">
        <f t="shared" si="137"/>
        <v>3.9200000000000302E-4</v>
      </c>
      <c r="Q425" s="41">
        <f t="shared" si="135"/>
        <v>1</v>
      </c>
      <c r="R425" s="434">
        <f t="shared" si="128"/>
        <v>4.2814908792272268</v>
      </c>
      <c r="S425" s="45">
        <f t="shared" si="136"/>
        <v>4.2814908792272268</v>
      </c>
      <c r="T425" s="205">
        <f t="shared" si="131"/>
        <v>0.75057071303365408</v>
      </c>
      <c r="U425" s="45">
        <f t="shared" si="133"/>
        <v>274.84389251158785</v>
      </c>
      <c r="V425" s="45">
        <f t="shared" si="134"/>
        <v>-433.40884119418655</v>
      </c>
      <c r="W425" s="488"/>
    </row>
    <row r="426" spans="1:23" x14ac:dyDescent="0.25">
      <c r="A426" s="581">
        <f t="shared" si="129"/>
        <v>0.70545145954159849</v>
      </c>
      <c r="B426" s="31">
        <f t="shared" si="112"/>
        <v>394</v>
      </c>
      <c r="C426" s="434">
        <f>'SOLLECITAZ NASCOSTO'!$D$6/'SOLLECITAZ NASCOSTO'!$B$448*'SOLLECITAZ NASCOSTO'!B426</f>
        <v>4.292385258054777</v>
      </c>
      <c r="D426" s="434">
        <f t="shared" si="130"/>
        <v>0.82545145954159849</v>
      </c>
      <c r="E426" s="434">
        <f t="shared" si="124"/>
        <v>0.70545145954159849</v>
      </c>
      <c r="F426" s="434">
        <f t="shared" si="125"/>
        <v>0.52574446705331157</v>
      </c>
      <c r="G426" s="434">
        <f t="shared" si="126"/>
        <v>0.12471521792949684</v>
      </c>
      <c r="H426" s="434">
        <f t="shared" si="138"/>
        <v>0</v>
      </c>
      <c r="I426" s="434">
        <v>0</v>
      </c>
      <c r="J426" s="127">
        <f t="shared" si="139"/>
        <v>0.23721641547366101</v>
      </c>
      <c r="K426" s="126">
        <f t="shared" si="127"/>
        <v>3.1664564753072812E-2</v>
      </c>
      <c r="L426" s="41">
        <f t="shared" si="140"/>
        <v>276.09722236715663</v>
      </c>
      <c r="M426" s="41">
        <f t="shared" si="132"/>
        <v>-436.40992180276749</v>
      </c>
      <c r="N426" s="41">
        <f>(IF(C425&lt;='SOLLECITAZ NASCOSTO'!$P$12,IF(C425&lt;='SOLLECITAZ NASCOSTO'!$P$11,IF(C425&lt;='SOLLECITAZ NASCOSTO'!$P$10,IF(C425&lt;='SOLLECITAZ NASCOSTO'!$P$9,IF(C425&lt;='SOLLECITAZ NASCOSTO'!$P$8,IF(C425&lt;='SOLLECITAZ NASCOSTO'!$P$7,IF(C425&lt;='SOLLECITAZ NASCOSTO'!$P$6,IF(C425&lt;='SOLLECITAZ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paramento'!$G$111),55555)-IF(C425&lt;='SOLLECITAZ NASCOSTO'!$P$12,IF(C425&lt;='SOLLECITAZ NASCOSTO'!$P$11,IF(C425&lt;='SOLLECITAZ NASCOSTO'!$P$10,IF(C425&lt;='SOLLECITAZ NASCOSTO'!$P$9,IF(C425&lt;='SOLLECITAZ NASCOSTO'!$P$8,IF(C425&lt;='SOLLECITAZ NASCOSTO'!$P$7,IF(C425&lt;='SOLLECITAZ NASCOSTO'!$P$6,IF(C425&lt;='SOLLECITAZ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paramento'!$G$111))*(C425-IF(C425&lt;='SOLLECITAZ NASCOSTO'!$P$12,IF(C425&lt;='SOLLECITAZ NASCOSTO'!$P$11,IF(C425&lt;='SOLLECITAZ NASCOSTO'!$P$10,IF(C425&lt;='SOLLECITAZ NASCOSTO'!$P$9,IF(C425&lt;='SOLLECITAZ NASCOSTO'!$P$8,IF(C425&lt;='SOLLECITAZ NASCOSTO'!$P$7,IF(C425&lt;='SOLLECITAZ NASCOSTO'!$P$6,IF(C425&lt;='SOLLECITAZ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NASCOSTO'!$P$12))/IF(C425&lt;='SOLLECITAZ NASCOSTO'!$P$12,IF(C425&lt;='SOLLECITAZ NASCOSTO'!$P$11,IF(C425&lt;='SOLLECITAZ NASCOSTO'!$P$10,IF(C425&lt;='SOLLECITAZ NASCOSTO'!$P$9,IF(C425&lt;='SOLLECITAZ NASCOSTO'!$P$8,IF(C425&lt;='SOLLECITAZ NASCOSTO'!$P$7,IF(C425&lt;='SOLLECITAZ NASCOSTO'!$P$6,IF(C425&lt;='SOLLECITAZ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paramento'!$C$111)+IF(C425&lt;='SOLLECITAZ NASCOSTO'!$P$12,IF(C425&lt;='SOLLECITAZ NASCOSTO'!$P$11,IF(C425&lt;='SOLLECITAZ NASCOSTO'!$P$10,IF(C425&lt;='SOLLECITAZ NASCOSTO'!$P$9,IF(C425&lt;='SOLLECITAZ NASCOSTO'!$P$8,IF(C425&lt;='SOLLECITAZ NASCOSTO'!$P$7,IF(C425&lt;='SOLLECITAZ NASCOSTO'!$P$6,IF(C425&lt;='SOLLECITAZ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114.91465744830663</v>
      </c>
      <c r="O426" s="41">
        <f>IF(C426&lt;='SOLLECITAZ NASCOSTO'!$P$12,IF(C426&lt;='SOLLECITAZ NASCOSTO'!$P$11,IF(C426&lt;='SOLLECITAZ NASCOSTO'!$P$10,IF(C426&lt;='SOLLECITAZ NASCOSTO'!$P$9,IF(C426&lt;='SOLLECITAZ NASCOSTO'!$P$8,IF(C426&lt;='SOLLECITAZ NASCOSTO'!$P$7,IF(C426&lt;='SOLLECITAZ NASCOSTO'!$P$6,IF(C426&lt;='SOLLECITAZ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paramento'!$G$110),55555)*(C426-C425)/IF(C426&lt;='SOLLECITAZ NASCOSTO'!$P$12,IF(C426&lt;='SOLLECITAZ NASCOSTO'!$P$11,IF(C426&lt;='SOLLECITAZ NASCOSTO'!$P$10,IF(C426&lt;='SOLLECITAZ NASCOSTO'!$P$9,IF(C426&lt;='SOLLECITAZ NASCOSTO'!$P$8,IF(C426&lt;='SOLLECITAZ NASCOSTO'!$P$7,IF(C426&lt;='SOLLECITAZ NASCOSTO'!$P$6,IF(C426&lt;='SOLLECITAZ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26" s="41">
        <f t="shared" si="137"/>
        <v>3.9300000000000305E-4</v>
      </c>
      <c r="Q426" s="41">
        <f t="shared" si="135"/>
        <v>1</v>
      </c>
      <c r="R426" s="434">
        <f t="shared" si="128"/>
        <v>4.292385258054777</v>
      </c>
      <c r="S426" s="45">
        <f t="shared" si="136"/>
        <v>4.292385258054777</v>
      </c>
      <c r="T426" s="205">
        <f t="shared" si="131"/>
        <v>0.7396763342061039</v>
      </c>
      <c r="U426" s="45">
        <f t="shared" si="133"/>
        <v>276.09722236715663</v>
      </c>
      <c r="V426" s="45">
        <f t="shared" si="134"/>
        <v>-436.40992180276749</v>
      </c>
      <c r="W426" s="488"/>
    </row>
    <row r="427" spans="1:23" x14ac:dyDescent="0.25">
      <c r="A427" s="581">
        <f t="shared" si="129"/>
        <v>0.70702230228970764</v>
      </c>
      <c r="B427" s="31">
        <f t="shared" si="112"/>
        <v>395</v>
      </c>
      <c r="C427" s="434">
        <f>'SOLLECITAZ NASCOSTO'!$D$6/'SOLLECITAZ NASCOSTO'!$B$448*'SOLLECITAZ NASCOSTO'!B427</f>
        <v>4.3032796368823272</v>
      </c>
      <c r="D427" s="434">
        <f t="shared" si="130"/>
        <v>0.82702230228970763</v>
      </c>
      <c r="E427" s="434">
        <f t="shared" si="124"/>
        <v>0.70702230228970764</v>
      </c>
      <c r="F427" s="434">
        <f t="shared" si="125"/>
        <v>0.5262471367327064</v>
      </c>
      <c r="G427" s="434">
        <f t="shared" si="126"/>
        <v>0.12513054215753097</v>
      </c>
      <c r="H427" s="434">
        <f t="shared" si="138"/>
        <v>0</v>
      </c>
      <c r="I427" s="434">
        <v>0</v>
      </c>
      <c r="J427" s="127">
        <f t="shared" si="139"/>
        <v>0.23777904604749953</v>
      </c>
      <c r="K427" s="126">
        <f t="shared" si="127"/>
        <v>3.1838797057803424E-2</v>
      </c>
      <c r="L427" s="41">
        <f t="shared" si="140"/>
        <v>277.35336431170293</v>
      </c>
      <c r="M427" s="41">
        <f t="shared" si="132"/>
        <v>-439.42467197957217</v>
      </c>
      <c r="N427" s="41">
        <f>(IF(C426&lt;='SOLLECITAZ NASCOSTO'!$P$12,IF(C426&lt;='SOLLECITAZ NASCOSTO'!$P$11,IF(C426&lt;='SOLLECITAZ NASCOSTO'!$P$10,IF(C426&lt;='SOLLECITAZ NASCOSTO'!$P$9,IF(C426&lt;='SOLLECITAZ NASCOSTO'!$P$8,IF(C426&lt;='SOLLECITAZ NASCOSTO'!$P$7,IF(C426&lt;='SOLLECITAZ NASCOSTO'!$P$6,IF(C426&lt;='SOLLECITAZ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paramento'!$G$111),55555)-IF(C426&lt;='SOLLECITAZ NASCOSTO'!$P$12,IF(C426&lt;='SOLLECITAZ NASCOSTO'!$P$11,IF(C426&lt;='SOLLECITAZ NASCOSTO'!$P$10,IF(C426&lt;='SOLLECITAZ NASCOSTO'!$P$9,IF(C426&lt;='SOLLECITAZ NASCOSTO'!$P$8,IF(C426&lt;='SOLLECITAZ NASCOSTO'!$P$7,IF(C426&lt;='SOLLECITAZ NASCOSTO'!$P$6,IF(C426&lt;='SOLLECITAZ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paramento'!$G$111))*(C426-IF(C426&lt;='SOLLECITAZ NASCOSTO'!$P$12,IF(C426&lt;='SOLLECITAZ NASCOSTO'!$P$11,IF(C426&lt;='SOLLECITAZ NASCOSTO'!$P$10,IF(C426&lt;='SOLLECITAZ NASCOSTO'!$P$9,IF(C426&lt;='SOLLECITAZ NASCOSTO'!$P$8,IF(C426&lt;='SOLLECITAZ NASCOSTO'!$P$7,IF(C426&lt;='SOLLECITAZ NASCOSTO'!$P$6,IF(C426&lt;='SOLLECITAZ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NASCOSTO'!$P$12))/IF(C426&lt;='SOLLECITAZ NASCOSTO'!$P$12,IF(C426&lt;='SOLLECITAZ NASCOSTO'!$P$11,IF(C426&lt;='SOLLECITAZ NASCOSTO'!$P$10,IF(C426&lt;='SOLLECITAZ NASCOSTO'!$P$9,IF(C426&lt;='SOLLECITAZ NASCOSTO'!$P$8,IF(C426&lt;='SOLLECITAZ NASCOSTO'!$P$7,IF(C426&lt;='SOLLECITAZ NASCOSTO'!$P$6,IF(C426&lt;='SOLLECITAZ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paramento'!$C$111)+IF(C426&lt;='SOLLECITAZ NASCOSTO'!$P$12,IF(C426&lt;='SOLLECITAZ NASCOSTO'!$P$11,IF(C426&lt;='SOLLECITAZ NASCOSTO'!$P$10,IF(C426&lt;='SOLLECITAZ NASCOSTO'!$P$9,IF(C426&lt;='SOLLECITAZ NASCOSTO'!$P$8,IF(C426&lt;='SOLLECITAZ NASCOSTO'!$P$7,IF(C426&lt;='SOLLECITAZ NASCOSTO'!$P$6,IF(C426&lt;='SOLLECITAZ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115.17278037775603</v>
      </c>
      <c r="O427" s="41">
        <f>IF(C427&lt;='SOLLECITAZ NASCOSTO'!$P$12,IF(C427&lt;='SOLLECITAZ NASCOSTO'!$P$11,IF(C427&lt;='SOLLECITAZ NASCOSTO'!$P$10,IF(C427&lt;='SOLLECITAZ NASCOSTO'!$P$9,IF(C427&lt;='SOLLECITAZ NASCOSTO'!$P$8,IF(C427&lt;='SOLLECITAZ NASCOSTO'!$P$7,IF(C427&lt;='SOLLECITAZ NASCOSTO'!$P$6,IF(C427&lt;='SOLLECITAZ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paramento'!$G$110),55555)*(C427-C426)/IF(C427&lt;='SOLLECITAZ NASCOSTO'!$P$12,IF(C427&lt;='SOLLECITAZ NASCOSTO'!$P$11,IF(C427&lt;='SOLLECITAZ NASCOSTO'!$P$10,IF(C427&lt;='SOLLECITAZ NASCOSTO'!$P$9,IF(C427&lt;='SOLLECITAZ NASCOSTO'!$P$8,IF(C427&lt;='SOLLECITAZ NASCOSTO'!$P$7,IF(C427&lt;='SOLLECITAZ NASCOSTO'!$P$6,IF(C427&lt;='SOLLECITAZ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27" s="41">
        <f t="shared" si="137"/>
        <v>3.9400000000000307E-4</v>
      </c>
      <c r="Q427" s="41">
        <f t="shared" si="135"/>
        <v>1</v>
      </c>
      <c r="R427" s="434">
        <f t="shared" si="128"/>
        <v>4.3032796368823272</v>
      </c>
      <c r="S427" s="45">
        <f t="shared" si="136"/>
        <v>4.3032796368823272</v>
      </c>
      <c r="T427" s="205">
        <f t="shared" si="131"/>
        <v>0.72878195537855373</v>
      </c>
      <c r="U427" s="45">
        <f t="shared" si="133"/>
        <v>277.35336431170293</v>
      </c>
      <c r="V427" s="45">
        <f t="shared" si="134"/>
        <v>-439.42467197957217</v>
      </c>
      <c r="W427" s="488"/>
    </row>
    <row r="428" spans="1:23" x14ac:dyDescent="0.25">
      <c r="A428" s="581">
        <f t="shared" si="129"/>
        <v>0.70859314503781679</v>
      </c>
      <c r="B428" s="31">
        <f t="shared" si="112"/>
        <v>396</v>
      </c>
      <c r="C428" s="434">
        <f>'SOLLECITAZ NASCOSTO'!$D$6/'SOLLECITAZ NASCOSTO'!$B$448*'SOLLECITAZ NASCOSTO'!B428</f>
        <v>4.3141740157098774</v>
      </c>
      <c r="D428" s="434">
        <f t="shared" si="130"/>
        <v>0.82859314503781678</v>
      </c>
      <c r="E428" s="434">
        <f t="shared" si="124"/>
        <v>0.70859314503781679</v>
      </c>
      <c r="F428" s="434">
        <f t="shared" si="125"/>
        <v>0.52674980641210134</v>
      </c>
      <c r="G428" s="434">
        <f t="shared" si="126"/>
        <v>0.12554665600058568</v>
      </c>
      <c r="H428" s="434">
        <f t="shared" si="138"/>
        <v>0</v>
      </c>
      <c r="I428" s="434">
        <v>0</v>
      </c>
      <c r="J428" s="127">
        <f t="shared" si="139"/>
        <v>0.23834210183337889</v>
      </c>
      <c r="K428" s="126">
        <f t="shared" si="127"/>
        <v>3.2013626490663291E-2</v>
      </c>
      <c r="L428" s="41">
        <f t="shared" si="140"/>
        <v>278.6123183452267</v>
      </c>
      <c r="M428" s="41">
        <f t="shared" si="132"/>
        <v>-442.45312236056321</v>
      </c>
      <c r="N428" s="41">
        <f>(IF(C427&lt;='SOLLECITAZ NASCOSTO'!$P$12,IF(C427&lt;='SOLLECITAZ NASCOSTO'!$P$11,IF(C427&lt;='SOLLECITAZ NASCOSTO'!$P$10,IF(C427&lt;='SOLLECITAZ NASCOSTO'!$P$9,IF(C427&lt;='SOLLECITAZ NASCOSTO'!$P$8,IF(C427&lt;='SOLLECITAZ NASCOSTO'!$P$7,IF(C427&lt;='SOLLECITAZ NASCOSTO'!$P$6,IF(C427&lt;='SOLLECITAZ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paramento'!$G$111),55555)-IF(C427&lt;='SOLLECITAZ NASCOSTO'!$P$12,IF(C427&lt;='SOLLECITAZ NASCOSTO'!$P$11,IF(C427&lt;='SOLLECITAZ NASCOSTO'!$P$10,IF(C427&lt;='SOLLECITAZ NASCOSTO'!$P$9,IF(C427&lt;='SOLLECITAZ NASCOSTO'!$P$8,IF(C427&lt;='SOLLECITAZ NASCOSTO'!$P$7,IF(C427&lt;='SOLLECITAZ NASCOSTO'!$P$6,IF(C427&lt;='SOLLECITAZ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paramento'!$G$111))*(C427-IF(C427&lt;='SOLLECITAZ NASCOSTO'!$P$12,IF(C427&lt;='SOLLECITAZ NASCOSTO'!$P$11,IF(C427&lt;='SOLLECITAZ NASCOSTO'!$P$10,IF(C427&lt;='SOLLECITAZ NASCOSTO'!$P$9,IF(C427&lt;='SOLLECITAZ NASCOSTO'!$P$8,IF(C427&lt;='SOLLECITAZ NASCOSTO'!$P$7,IF(C427&lt;='SOLLECITAZ NASCOSTO'!$P$6,IF(C427&lt;='SOLLECITAZ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NASCOSTO'!$P$12))/IF(C427&lt;='SOLLECITAZ NASCOSTO'!$P$12,IF(C427&lt;='SOLLECITAZ NASCOSTO'!$P$11,IF(C427&lt;='SOLLECITAZ NASCOSTO'!$P$10,IF(C427&lt;='SOLLECITAZ NASCOSTO'!$P$9,IF(C427&lt;='SOLLECITAZ NASCOSTO'!$P$8,IF(C427&lt;='SOLLECITAZ NASCOSTO'!$P$7,IF(C427&lt;='SOLLECITAZ NASCOSTO'!$P$6,IF(C427&lt;='SOLLECITAZ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paramento'!$C$111)+IF(C427&lt;='SOLLECITAZ NASCOSTO'!$P$12,IF(C427&lt;='SOLLECITAZ NASCOSTO'!$P$11,IF(C427&lt;='SOLLECITAZ NASCOSTO'!$P$10,IF(C427&lt;='SOLLECITAZ NASCOSTO'!$P$9,IF(C427&lt;='SOLLECITAZ NASCOSTO'!$P$8,IF(C427&lt;='SOLLECITAZ NASCOSTO'!$P$7,IF(C427&lt;='SOLLECITAZ NASCOSTO'!$P$6,IF(C427&lt;='SOLLECITAZ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115.43090330720543</v>
      </c>
      <c r="O428" s="41">
        <f>IF(C428&lt;='SOLLECITAZ NASCOSTO'!$P$12,IF(C428&lt;='SOLLECITAZ NASCOSTO'!$P$11,IF(C428&lt;='SOLLECITAZ NASCOSTO'!$P$10,IF(C428&lt;='SOLLECITAZ NASCOSTO'!$P$9,IF(C428&lt;='SOLLECITAZ NASCOSTO'!$P$8,IF(C428&lt;='SOLLECITAZ NASCOSTO'!$P$7,IF(C428&lt;='SOLLECITAZ NASCOSTO'!$P$6,IF(C428&lt;='SOLLECITAZ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paramento'!$G$110),55555)*(C428-C427)/IF(C428&lt;='SOLLECITAZ NASCOSTO'!$P$12,IF(C428&lt;='SOLLECITAZ NASCOSTO'!$P$11,IF(C428&lt;='SOLLECITAZ NASCOSTO'!$P$10,IF(C428&lt;='SOLLECITAZ NASCOSTO'!$P$9,IF(C428&lt;='SOLLECITAZ NASCOSTO'!$P$8,IF(C428&lt;='SOLLECITAZ NASCOSTO'!$P$7,IF(C428&lt;='SOLLECITAZ NASCOSTO'!$P$6,IF(C428&lt;='SOLLECITAZ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28" s="41">
        <f t="shared" si="137"/>
        <v>3.950000000000031E-4</v>
      </c>
      <c r="Q428" s="41">
        <f t="shared" si="135"/>
        <v>1</v>
      </c>
      <c r="R428" s="434">
        <f t="shared" si="128"/>
        <v>4.3141740157098774</v>
      </c>
      <c r="S428" s="45">
        <f t="shared" si="136"/>
        <v>4.3141740157098774</v>
      </c>
      <c r="T428" s="205">
        <f t="shared" si="131"/>
        <v>0.71788757655100355</v>
      </c>
      <c r="U428" s="45">
        <f t="shared" si="133"/>
        <v>278.6123183452267</v>
      </c>
      <c r="V428" s="45">
        <f t="shared" si="134"/>
        <v>-442.45312236056321</v>
      </c>
      <c r="W428" s="488"/>
    </row>
    <row r="429" spans="1:23" x14ac:dyDescent="0.25">
      <c r="A429" s="581">
        <f t="shared" si="129"/>
        <v>0.71016398778592593</v>
      </c>
      <c r="B429" s="31">
        <f t="shared" si="112"/>
        <v>397</v>
      </c>
      <c r="C429" s="434">
        <f>'SOLLECITAZ NASCOSTO'!$D$6/'SOLLECITAZ NASCOSTO'!$B$448*'SOLLECITAZ NASCOSTO'!B429</f>
        <v>4.3250683945374275</v>
      </c>
      <c r="D429" s="434">
        <f t="shared" si="130"/>
        <v>0.83016398778592593</v>
      </c>
      <c r="E429" s="434">
        <f t="shared" si="124"/>
        <v>0.71016398778592593</v>
      </c>
      <c r="F429" s="434">
        <f t="shared" si="125"/>
        <v>0.52725247609149628</v>
      </c>
      <c r="G429" s="434">
        <f t="shared" si="126"/>
        <v>0.12596355945866095</v>
      </c>
      <c r="H429" s="434">
        <f t="shared" si="138"/>
        <v>0</v>
      </c>
      <c r="I429" s="434">
        <v>0</v>
      </c>
      <c r="J429" s="127">
        <f t="shared" si="139"/>
        <v>0.23890558161513872</v>
      </c>
      <c r="K429" s="126">
        <f t="shared" si="127"/>
        <v>3.2189053820964604E-2</v>
      </c>
      <c r="L429" s="41">
        <f t="shared" si="140"/>
        <v>279.87408446772798</v>
      </c>
      <c r="M429" s="41">
        <f t="shared" si="132"/>
        <v>-445.4953035817033</v>
      </c>
      <c r="N429" s="41">
        <f>(IF(C428&lt;='SOLLECITAZ NASCOSTO'!$P$12,IF(C428&lt;='SOLLECITAZ NASCOSTO'!$P$11,IF(C428&lt;='SOLLECITAZ NASCOSTO'!$P$10,IF(C428&lt;='SOLLECITAZ NASCOSTO'!$P$9,IF(C428&lt;='SOLLECITAZ NASCOSTO'!$P$8,IF(C428&lt;='SOLLECITAZ NASCOSTO'!$P$7,IF(C428&lt;='SOLLECITAZ NASCOSTO'!$P$6,IF(C428&lt;='SOLLECITAZ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paramento'!$G$111),55555)-IF(C428&lt;='SOLLECITAZ NASCOSTO'!$P$12,IF(C428&lt;='SOLLECITAZ NASCOSTO'!$P$11,IF(C428&lt;='SOLLECITAZ NASCOSTO'!$P$10,IF(C428&lt;='SOLLECITAZ NASCOSTO'!$P$9,IF(C428&lt;='SOLLECITAZ NASCOSTO'!$P$8,IF(C428&lt;='SOLLECITAZ NASCOSTO'!$P$7,IF(C428&lt;='SOLLECITAZ NASCOSTO'!$P$6,IF(C428&lt;='SOLLECITAZ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paramento'!$G$111))*(C428-IF(C428&lt;='SOLLECITAZ NASCOSTO'!$P$12,IF(C428&lt;='SOLLECITAZ NASCOSTO'!$P$11,IF(C428&lt;='SOLLECITAZ NASCOSTO'!$P$10,IF(C428&lt;='SOLLECITAZ NASCOSTO'!$P$9,IF(C428&lt;='SOLLECITAZ NASCOSTO'!$P$8,IF(C428&lt;='SOLLECITAZ NASCOSTO'!$P$7,IF(C428&lt;='SOLLECITAZ NASCOSTO'!$P$6,IF(C428&lt;='SOLLECITAZ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NASCOSTO'!$P$12))/IF(C428&lt;='SOLLECITAZ NASCOSTO'!$P$12,IF(C428&lt;='SOLLECITAZ NASCOSTO'!$P$11,IF(C428&lt;='SOLLECITAZ NASCOSTO'!$P$10,IF(C428&lt;='SOLLECITAZ NASCOSTO'!$P$9,IF(C428&lt;='SOLLECITAZ NASCOSTO'!$P$8,IF(C428&lt;='SOLLECITAZ NASCOSTO'!$P$7,IF(C428&lt;='SOLLECITAZ NASCOSTO'!$P$6,IF(C428&lt;='SOLLECITAZ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paramento'!$C$111)+IF(C428&lt;='SOLLECITAZ NASCOSTO'!$P$12,IF(C428&lt;='SOLLECITAZ NASCOSTO'!$P$11,IF(C428&lt;='SOLLECITAZ NASCOSTO'!$P$10,IF(C428&lt;='SOLLECITAZ NASCOSTO'!$P$9,IF(C428&lt;='SOLLECITAZ NASCOSTO'!$P$8,IF(C428&lt;='SOLLECITAZ NASCOSTO'!$P$7,IF(C428&lt;='SOLLECITAZ NASCOSTO'!$P$6,IF(C428&lt;='SOLLECITAZ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115.68902623665483</v>
      </c>
      <c r="O429" s="41">
        <f>IF(C429&lt;='SOLLECITAZ NASCOSTO'!$P$12,IF(C429&lt;='SOLLECITAZ NASCOSTO'!$P$11,IF(C429&lt;='SOLLECITAZ NASCOSTO'!$P$10,IF(C429&lt;='SOLLECITAZ NASCOSTO'!$P$9,IF(C429&lt;='SOLLECITAZ NASCOSTO'!$P$8,IF(C429&lt;='SOLLECITAZ NASCOSTO'!$P$7,IF(C429&lt;='SOLLECITAZ NASCOSTO'!$P$6,IF(C429&lt;='SOLLECITAZ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paramento'!$G$110),55555)*(C429-C428)/IF(C429&lt;='SOLLECITAZ NASCOSTO'!$P$12,IF(C429&lt;='SOLLECITAZ NASCOSTO'!$P$11,IF(C429&lt;='SOLLECITAZ NASCOSTO'!$P$10,IF(C429&lt;='SOLLECITAZ NASCOSTO'!$P$9,IF(C429&lt;='SOLLECITAZ NASCOSTO'!$P$8,IF(C429&lt;='SOLLECITAZ NASCOSTO'!$P$7,IF(C429&lt;='SOLLECITAZ NASCOSTO'!$P$6,IF(C429&lt;='SOLLECITAZ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29" s="41">
        <f t="shared" si="137"/>
        <v>3.9600000000000312E-4</v>
      </c>
      <c r="Q429" s="41">
        <f t="shared" si="135"/>
        <v>1</v>
      </c>
      <c r="R429" s="434">
        <f t="shared" si="128"/>
        <v>4.3250683945374275</v>
      </c>
      <c r="S429" s="45">
        <f t="shared" si="136"/>
        <v>4.3250683945374275</v>
      </c>
      <c r="T429" s="205">
        <f t="shared" si="131"/>
        <v>0.70699319772345337</v>
      </c>
      <c r="U429" s="45">
        <f t="shared" si="133"/>
        <v>279.87408446772798</v>
      </c>
      <c r="V429" s="45">
        <f t="shared" si="134"/>
        <v>-445.4953035817033</v>
      </c>
      <c r="W429" s="488"/>
    </row>
    <row r="430" spans="1:23" x14ac:dyDescent="0.25">
      <c r="A430" s="581">
        <f t="shared" si="129"/>
        <v>0.71173483053403508</v>
      </c>
      <c r="B430" s="31">
        <f t="shared" si="112"/>
        <v>398</v>
      </c>
      <c r="C430" s="434">
        <f>'SOLLECITAZ NASCOSTO'!$D$6/'SOLLECITAZ NASCOSTO'!$B$448*'SOLLECITAZ NASCOSTO'!B430</f>
        <v>4.3359627733649777</v>
      </c>
      <c r="D430" s="434">
        <f t="shared" si="130"/>
        <v>0.83173483053403507</v>
      </c>
      <c r="E430" s="434">
        <f t="shared" si="124"/>
        <v>0.71173483053403508</v>
      </c>
      <c r="F430" s="434">
        <f t="shared" si="125"/>
        <v>0.52775514577089122</v>
      </c>
      <c r="G430" s="434">
        <f t="shared" si="126"/>
        <v>0.1263812525317568</v>
      </c>
      <c r="H430" s="434">
        <f t="shared" si="138"/>
        <v>0</v>
      </c>
      <c r="I430" s="434">
        <v>0</v>
      </c>
      <c r="J430" s="127">
        <f t="shared" si="139"/>
        <v>0.23946948418125205</v>
      </c>
      <c r="K430" s="126">
        <f t="shared" si="127"/>
        <v>3.2365079817451389E-2</v>
      </c>
      <c r="L430" s="41">
        <f t="shared" si="140"/>
        <v>281.13866267920673</v>
      </c>
      <c r="M430" s="41">
        <f t="shared" si="132"/>
        <v>-448.55124627895498</v>
      </c>
      <c r="N430" s="41">
        <f>(IF(C429&lt;='SOLLECITAZ NASCOSTO'!$P$12,IF(C429&lt;='SOLLECITAZ NASCOSTO'!$P$11,IF(C429&lt;='SOLLECITAZ NASCOSTO'!$P$10,IF(C429&lt;='SOLLECITAZ NASCOSTO'!$P$9,IF(C429&lt;='SOLLECITAZ NASCOSTO'!$P$8,IF(C429&lt;='SOLLECITAZ NASCOSTO'!$P$7,IF(C429&lt;='SOLLECITAZ NASCOSTO'!$P$6,IF(C429&lt;='SOLLECITAZ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paramento'!$G$111),55555)-IF(C429&lt;='SOLLECITAZ NASCOSTO'!$P$12,IF(C429&lt;='SOLLECITAZ NASCOSTO'!$P$11,IF(C429&lt;='SOLLECITAZ NASCOSTO'!$P$10,IF(C429&lt;='SOLLECITAZ NASCOSTO'!$P$9,IF(C429&lt;='SOLLECITAZ NASCOSTO'!$P$8,IF(C429&lt;='SOLLECITAZ NASCOSTO'!$P$7,IF(C429&lt;='SOLLECITAZ NASCOSTO'!$P$6,IF(C429&lt;='SOLLECITAZ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paramento'!$G$111))*(C429-IF(C429&lt;='SOLLECITAZ NASCOSTO'!$P$12,IF(C429&lt;='SOLLECITAZ NASCOSTO'!$P$11,IF(C429&lt;='SOLLECITAZ NASCOSTO'!$P$10,IF(C429&lt;='SOLLECITAZ NASCOSTO'!$P$9,IF(C429&lt;='SOLLECITAZ NASCOSTO'!$P$8,IF(C429&lt;='SOLLECITAZ NASCOSTO'!$P$7,IF(C429&lt;='SOLLECITAZ NASCOSTO'!$P$6,IF(C429&lt;='SOLLECITAZ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NASCOSTO'!$P$12))/IF(C429&lt;='SOLLECITAZ NASCOSTO'!$P$12,IF(C429&lt;='SOLLECITAZ NASCOSTO'!$P$11,IF(C429&lt;='SOLLECITAZ NASCOSTO'!$P$10,IF(C429&lt;='SOLLECITAZ NASCOSTO'!$P$9,IF(C429&lt;='SOLLECITAZ NASCOSTO'!$P$8,IF(C429&lt;='SOLLECITAZ NASCOSTO'!$P$7,IF(C429&lt;='SOLLECITAZ NASCOSTO'!$P$6,IF(C429&lt;='SOLLECITAZ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paramento'!$C$111)+IF(C429&lt;='SOLLECITAZ NASCOSTO'!$P$12,IF(C429&lt;='SOLLECITAZ NASCOSTO'!$P$11,IF(C429&lt;='SOLLECITAZ NASCOSTO'!$P$10,IF(C429&lt;='SOLLECITAZ NASCOSTO'!$P$9,IF(C429&lt;='SOLLECITAZ NASCOSTO'!$P$8,IF(C429&lt;='SOLLECITAZ NASCOSTO'!$P$7,IF(C429&lt;='SOLLECITAZ NASCOSTO'!$P$6,IF(C429&lt;='SOLLECITAZ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115.94714916610425</v>
      </c>
      <c r="O430" s="41">
        <f>IF(C430&lt;='SOLLECITAZ NASCOSTO'!$P$12,IF(C430&lt;='SOLLECITAZ NASCOSTO'!$P$11,IF(C430&lt;='SOLLECITAZ NASCOSTO'!$P$10,IF(C430&lt;='SOLLECITAZ NASCOSTO'!$P$9,IF(C430&lt;='SOLLECITAZ NASCOSTO'!$P$8,IF(C430&lt;='SOLLECITAZ NASCOSTO'!$P$7,IF(C430&lt;='SOLLECITAZ NASCOSTO'!$P$6,IF(C430&lt;='SOLLECITAZ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paramento'!$G$110),55555)*(C430-C429)/IF(C430&lt;='SOLLECITAZ NASCOSTO'!$P$12,IF(C430&lt;='SOLLECITAZ NASCOSTO'!$P$11,IF(C430&lt;='SOLLECITAZ NASCOSTO'!$P$10,IF(C430&lt;='SOLLECITAZ NASCOSTO'!$P$9,IF(C430&lt;='SOLLECITAZ NASCOSTO'!$P$8,IF(C430&lt;='SOLLECITAZ NASCOSTO'!$P$7,IF(C430&lt;='SOLLECITAZ NASCOSTO'!$P$6,IF(C430&lt;='SOLLECITAZ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30" s="41">
        <f t="shared" si="137"/>
        <v>3.9700000000000314E-4</v>
      </c>
      <c r="Q430" s="41">
        <f t="shared" si="135"/>
        <v>1</v>
      </c>
      <c r="R430" s="434">
        <f t="shared" si="128"/>
        <v>4.3359627733649777</v>
      </c>
      <c r="S430" s="45">
        <f t="shared" si="136"/>
        <v>4.3359627733649777</v>
      </c>
      <c r="T430" s="205">
        <f t="shared" si="131"/>
        <v>0.69609881889590319</v>
      </c>
      <c r="U430" s="45">
        <f t="shared" si="133"/>
        <v>281.13866267920673</v>
      </c>
      <c r="V430" s="45">
        <f t="shared" si="134"/>
        <v>-448.55124627895498</v>
      </c>
      <c r="W430" s="488"/>
    </row>
    <row r="431" spans="1:23" x14ac:dyDescent="0.25">
      <c r="A431" s="581">
        <f t="shared" si="129"/>
        <v>0.71330567328214423</v>
      </c>
      <c r="B431" s="31">
        <f t="shared" si="112"/>
        <v>399</v>
      </c>
      <c r="C431" s="434">
        <f>'SOLLECITAZ NASCOSTO'!$D$6/'SOLLECITAZ NASCOSTO'!$B$448*'SOLLECITAZ NASCOSTO'!B431</f>
        <v>4.3468571521925279</v>
      </c>
      <c r="D431" s="434">
        <f t="shared" si="130"/>
        <v>0.83330567328214422</v>
      </c>
      <c r="E431" s="434">
        <f t="shared" si="124"/>
        <v>0.71330567328214423</v>
      </c>
      <c r="F431" s="434">
        <f t="shared" si="125"/>
        <v>0.52825781545028616</v>
      </c>
      <c r="G431" s="434">
        <f t="shared" si="126"/>
        <v>0.12679973521987323</v>
      </c>
      <c r="H431" s="434">
        <f t="shared" si="138"/>
        <v>0</v>
      </c>
      <c r="I431" s="434">
        <v>0</v>
      </c>
      <c r="J431" s="127">
        <f t="shared" si="139"/>
        <v>0.24003380832480314</v>
      </c>
      <c r="K431" s="126">
        <f t="shared" si="127"/>
        <v>3.2541705248302188E-2</v>
      </c>
      <c r="L431" s="41">
        <f t="shared" si="140"/>
        <v>282.406052979663</v>
      </c>
      <c r="M431" s="41">
        <f t="shared" si="132"/>
        <v>-451.62098108828087</v>
      </c>
      <c r="N431" s="41">
        <f>(IF(C430&lt;='SOLLECITAZ NASCOSTO'!$P$12,IF(C430&lt;='SOLLECITAZ NASCOSTO'!$P$11,IF(C430&lt;='SOLLECITAZ NASCOSTO'!$P$10,IF(C430&lt;='SOLLECITAZ NASCOSTO'!$P$9,IF(C430&lt;='SOLLECITAZ NASCOSTO'!$P$8,IF(C430&lt;='SOLLECITAZ NASCOSTO'!$P$7,IF(C430&lt;='SOLLECITAZ NASCOSTO'!$P$6,IF(C430&lt;='SOLLECITAZ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paramento'!$G$111),55555)-IF(C430&lt;='SOLLECITAZ NASCOSTO'!$P$12,IF(C430&lt;='SOLLECITAZ NASCOSTO'!$P$11,IF(C430&lt;='SOLLECITAZ NASCOSTO'!$P$10,IF(C430&lt;='SOLLECITAZ NASCOSTO'!$P$9,IF(C430&lt;='SOLLECITAZ NASCOSTO'!$P$8,IF(C430&lt;='SOLLECITAZ NASCOSTO'!$P$7,IF(C430&lt;='SOLLECITAZ NASCOSTO'!$P$6,IF(C430&lt;='SOLLECITAZ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paramento'!$G$111))*(C430-IF(C430&lt;='SOLLECITAZ NASCOSTO'!$P$12,IF(C430&lt;='SOLLECITAZ NASCOSTO'!$P$11,IF(C430&lt;='SOLLECITAZ NASCOSTO'!$P$10,IF(C430&lt;='SOLLECITAZ NASCOSTO'!$P$9,IF(C430&lt;='SOLLECITAZ NASCOSTO'!$P$8,IF(C430&lt;='SOLLECITAZ NASCOSTO'!$P$7,IF(C430&lt;='SOLLECITAZ NASCOSTO'!$P$6,IF(C430&lt;='SOLLECITAZ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NASCOSTO'!$P$12))/IF(C430&lt;='SOLLECITAZ NASCOSTO'!$P$12,IF(C430&lt;='SOLLECITAZ NASCOSTO'!$P$11,IF(C430&lt;='SOLLECITAZ NASCOSTO'!$P$10,IF(C430&lt;='SOLLECITAZ NASCOSTO'!$P$9,IF(C430&lt;='SOLLECITAZ NASCOSTO'!$P$8,IF(C430&lt;='SOLLECITAZ NASCOSTO'!$P$7,IF(C430&lt;='SOLLECITAZ NASCOSTO'!$P$6,IF(C430&lt;='SOLLECITAZ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paramento'!$C$111)+IF(C430&lt;='SOLLECITAZ NASCOSTO'!$P$12,IF(C430&lt;='SOLLECITAZ NASCOSTO'!$P$11,IF(C430&lt;='SOLLECITAZ NASCOSTO'!$P$10,IF(C430&lt;='SOLLECITAZ NASCOSTO'!$P$9,IF(C430&lt;='SOLLECITAZ NASCOSTO'!$P$8,IF(C430&lt;='SOLLECITAZ NASCOSTO'!$P$7,IF(C430&lt;='SOLLECITAZ NASCOSTO'!$P$6,IF(C430&lt;='SOLLECITAZ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116.20527209555365</v>
      </c>
      <c r="O431" s="41">
        <f>IF(C431&lt;='SOLLECITAZ NASCOSTO'!$P$12,IF(C431&lt;='SOLLECITAZ NASCOSTO'!$P$11,IF(C431&lt;='SOLLECITAZ NASCOSTO'!$P$10,IF(C431&lt;='SOLLECITAZ NASCOSTO'!$P$9,IF(C431&lt;='SOLLECITAZ NASCOSTO'!$P$8,IF(C431&lt;='SOLLECITAZ NASCOSTO'!$P$7,IF(C431&lt;='SOLLECITAZ NASCOSTO'!$P$6,IF(C431&lt;='SOLLECITAZ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paramento'!$G$110),55555)*(C431-C430)/IF(C431&lt;='SOLLECITAZ NASCOSTO'!$P$12,IF(C431&lt;='SOLLECITAZ NASCOSTO'!$P$11,IF(C431&lt;='SOLLECITAZ NASCOSTO'!$P$10,IF(C431&lt;='SOLLECITAZ NASCOSTO'!$P$9,IF(C431&lt;='SOLLECITAZ NASCOSTO'!$P$8,IF(C431&lt;='SOLLECITAZ NASCOSTO'!$P$7,IF(C431&lt;='SOLLECITAZ NASCOSTO'!$P$6,IF(C431&lt;='SOLLECITAZ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31" s="41">
        <f t="shared" si="137"/>
        <v>3.9800000000000317E-4</v>
      </c>
      <c r="Q431" s="41">
        <f t="shared" si="135"/>
        <v>1</v>
      </c>
      <c r="R431" s="434">
        <f t="shared" si="128"/>
        <v>4.3468571521925279</v>
      </c>
      <c r="S431" s="45">
        <f t="shared" si="136"/>
        <v>4.3468571521925279</v>
      </c>
      <c r="T431" s="205">
        <f t="shared" si="131"/>
        <v>0.68520444006835302</v>
      </c>
      <c r="U431" s="45">
        <f t="shared" si="133"/>
        <v>282.406052979663</v>
      </c>
      <c r="V431" s="45">
        <f t="shared" si="134"/>
        <v>-451.62098108828087</v>
      </c>
      <c r="W431" s="488"/>
    </row>
    <row r="432" spans="1:23" x14ac:dyDescent="0.25">
      <c r="A432" s="581">
        <f t="shared" si="129"/>
        <v>0.71487651603025348</v>
      </c>
      <c r="B432" s="31">
        <f t="shared" si="112"/>
        <v>400</v>
      </c>
      <c r="C432" s="434">
        <f>'SOLLECITAZ NASCOSTO'!$D$6/'SOLLECITAZ NASCOSTO'!$B$448*'SOLLECITAZ NASCOSTO'!B432</f>
        <v>4.3577515310200781</v>
      </c>
      <c r="D432" s="434">
        <f t="shared" si="130"/>
        <v>0.83487651603025348</v>
      </c>
      <c r="E432" s="434">
        <f t="shared" si="124"/>
        <v>0.71487651603025348</v>
      </c>
      <c r="F432" s="434">
        <f t="shared" si="125"/>
        <v>0.5287604851296811</v>
      </c>
      <c r="G432" s="434">
        <f t="shared" si="126"/>
        <v>0.12721900752301024</v>
      </c>
      <c r="H432" s="434">
        <f t="shared" si="138"/>
        <v>0</v>
      </c>
      <c r="I432" s="434">
        <v>0</v>
      </c>
      <c r="J432" s="127">
        <f t="shared" si="139"/>
        <v>0.2405985528434659</v>
      </c>
      <c r="K432" s="126">
        <f t="shared" si="127"/>
        <v>3.2718930881132771E-2</v>
      </c>
      <c r="L432" s="41">
        <f t="shared" si="140"/>
        <v>283.67625536909679</v>
      </c>
      <c r="M432" s="41">
        <f t="shared" si="132"/>
        <v>-454.70453864564359</v>
      </c>
      <c r="N432" s="41">
        <f>(IF(C431&lt;='SOLLECITAZ NASCOSTO'!$P$12,IF(C431&lt;='SOLLECITAZ NASCOSTO'!$P$11,IF(C431&lt;='SOLLECITAZ NASCOSTO'!$P$10,IF(C431&lt;='SOLLECITAZ NASCOSTO'!$P$9,IF(C431&lt;='SOLLECITAZ NASCOSTO'!$P$8,IF(C431&lt;='SOLLECITAZ NASCOSTO'!$P$7,IF(C431&lt;='SOLLECITAZ NASCOSTO'!$P$6,IF(C431&lt;='SOLLECITAZ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paramento'!$G$111),55555)-IF(C431&lt;='SOLLECITAZ NASCOSTO'!$P$12,IF(C431&lt;='SOLLECITAZ NASCOSTO'!$P$11,IF(C431&lt;='SOLLECITAZ NASCOSTO'!$P$10,IF(C431&lt;='SOLLECITAZ NASCOSTO'!$P$9,IF(C431&lt;='SOLLECITAZ NASCOSTO'!$P$8,IF(C431&lt;='SOLLECITAZ NASCOSTO'!$P$7,IF(C431&lt;='SOLLECITAZ NASCOSTO'!$P$6,IF(C431&lt;='SOLLECITAZ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paramento'!$G$111))*(C431-IF(C431&lt;='SOLLECITAZ NASCOSTO'!$P$12,IF(C431&lt;='SOLLECITAZ NASCOSTO'!$P$11,IF(C431&lt;='SOLLECITAZ NASCOSTO'!$P$10,IF(C431&lt;='SOLLECITAZ NASCOSTO'!$P$9,IF(C431&lt;='SOLLECITAZ NASCOSTO'!$P$8,IF(C431&lt;='SOLLECITAZ NASCOSTO'!$P$7,IF(C431&lt;='SOLLECITAZ NASCOSTO'!$P$6,IF(C431&lt;='SOLLECITAZ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NASCOSTO'!$P$12))/IF(C431&lt;='SOLLECITAZ NASCOSTO'!$P$12,IF(C431&lt;='SOLLECITAZ NASCOSTO'!$P$11,IF(C431&lt;='SOLLECITAZ NASCOSTO'!$P$10,IF(C431&lt;='SOLLECITAZ NASCOSTO'!$P$9,IF(C431&lt;='SOLLECITAZ NASCOSTO'!$P$8,IF(C431&lt;='SOLLECITAZ NASCOSTO'!$P$7,IF(C431&lt;='SOLLECITAZ NASCOSTO'!$P$6,IF(C431&lt;='SOLLECITAZ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paramento'!$C$111)+IF(C431&lt;='SOLLECITAZ NASCOSTO'!$P$12,IF(C431&lt;='SOLLECITAZ NASCOSTO'!$P$11,IF(C431&lt;='SOLLECITAZ NASCOSTO'!$P$10,IF(C431&lt;='SOLLECITAZ NASCOSTO'!$P$9,IF(C431&lt;='SOLLECITAZ NASCOSTO'!$P$8,IF(C431&lt;='SOLLECITAZ NASCOSTO'!$P$7,IF(C431&lt;='SOLLECITAZ NASCOSTO'!$P$6,IF(C431&lt;='SOLLECITAZ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116.46339502500305</v>
      </c>
      <c r="O432" s="41">
        <f>IF(C432&lt;='SOLLECITAZ NASCOSTO'!$P$12,IF(C432&lt;='SOLLECITAZ NASCOSTO'!$P$11,IF(C432&lt;='SOLLECITAZ NASCOSTO'!$P$10,IF(C432&lt;='SOLLECITAZ NASCOSTO'!$P$9,IF(C432&lt;='SOLLECITAZ NASCOSTO'!$P$8,IF(C432&lt;='SOLLECITAZ NASCOSTO'!$P$7,IF(C432&lt;='SOLLECITAZ NASCOSTO'!$P$6,IF(C432&lt;='SOLLECITAZ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paramento'!$G$110),55555)*(C432-C431)/IF(C432&lt;='SOLLECITAZ NASCOSTO'!$P$12,IF(C432&lt;='SOLLECITAZ NASCOSTO'!$P$11,IF(C432&lt;='SOLLECITAZ NASCOSTO'!$P$10,IF(C432&lt;='SOLLECITAZ NASCOSTO'!$P$9,IF(C432&lt;='SOLLECITAZ NASCOSTO'!$P$8,IF(C432&lt;='SOLLECITAZ NASCOSTO'!$P$7,IF(C432&lt;='SOLLECITAZ NASCOSTO'!$P$6,IF(C432&lt;='SOLLECITAZ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32" s="41">
        <f t="shared" si="137"/>
        <v>3.9900000000000319E-4</v>
      </c>
      <c r="Q432" s="41">
        <f t="shared" si="135"/>
        <v>1</v>
      </c>
      <c r="R432" s="434">
        <f t="shared" si="128"/>
        <v>4.3577515310200781</v>
      </c>
      <c r="S432" s="45">
        <f t="shared" si="136"/>
        <v>4.3577515310200781</v>
      </c>
      <c r="T432" s="205">
        <f t="shared" si="131"/>
        <v>0.67431006124080284</v>
      </c>
      <c r="U432" s="45">
        <f t="shared" si="133"/>
        <v>283.67625536909679</v>
      </c>
      <c r="V432" s="45">
        <f t="shared" si="134"/>
        <v>-454.70453864564359</v>
      </c>
      <c r="W432" s="488"/>
    </row>
    <row r="433" spans="1:25" x14ac:dyDescent="0.25">
      <c r="A433" s="581">
        <f t="shared" si="129"/>
        <v>0.71644735877836263</v>
      </c>
      <c r="B433" s="31">
        <f t="shared" si="112"/>
        <v>401</v>
      </c>
      <c r="C433" s="434">
        <f>'SOLLECITAZ NASCOSTO'!$D$6/'SOLLECITAZ NASCOSTO'!$B$448*'SOLLECITAZ NASCOSTO'!B433</f>
        <v>4.3686459098476282</v>
      </c>
      <c r="D433" s="434">
        <f t="shared" si="130"/>
        <v>0.83644735877836263</v>
      </c>
      <c r="E433" s="434">
        <f t="shared" si="124"/>
        <v>0.71644735877836263</v>
      </c>
      <c r="F433" s="434">
        <f t="shared" si="125"/>
        <v>0.52926315480907604</v>
      </c>
      <c r="G433" s="434">
        <f t="shared" si="126"/>
        <v>0.12763906944116782</v>
      </c>
      <c r="H433" s="434">
        <f t="shared" si="138"/>
        <v>0</v>
      </c>
      <c r="I433" s="434">
        <v>0</v>
      </c>
      <c r="J433" s="127">
        <f t="shared" si="139"/>
        <v>0.24116371653948168</v>
      </c>
      <c r="K433" s="126">
        <f t="shared" si="127"/>
        <v>3.2896757482998765E-2</v>
      </c>
      <c r="L433" s="41">
        <f t="shared" si="140"/>
        <v>284.94926984750805</v>
      </c>
      <c r="M433" s="41">
        <f t="shared" si="132"/>
        <v>-457.80194958700577</v>
      </c>
      <c r="N433" s="41">
        <f>(IF(C432&lt;='SOLLECITAZ NASCOSTO'!$P$12,IF(C432&lt;='SOLLECITAZ NASCOSTO'!$P$11,IF(C432&lt;='SOLLECITAZ NASCOSTO'!$P$10,IF(C432&lt;='SOLLECITAZ NASCOSTO'!$P$9,IF(C432&lt;='SOLLECITAZ NASCOSTO'!$P$8,IF(C432&lt;='SOLLECITAZ NASCOSTO'!$P$7,IF(C432&lt;='SOLLECITAZ NASCOSTO'!$P$6,IF(C432&lt;='SOLLECITAZ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paramento'!$G$111),55555)-IF(C432&lt;='SOLLECITAZ NASCOSTO'!$P$12,IF(C432&lt;='SOLLECITAZ NASCOSTO'!$P$11,IF(C432&lt;='SOLLECITAZ NASCOSTO'!$P$10,IF(C432&lt;='SOLLECITAZ NASCOSTO'!$P$9,IF(C432&lt;='SOLLECITAZ NASCOSTO'!$P$8,IF(C432&lt;='SOLLECITAZ NASCOSTO'!$P$7,IF(C432&lt;='SOLLECITAZ NASCOSTO'!$P$6,IF(C432&lt;='SOLLECITAZ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paramento'!$G$111))*(C432-IF(C432&lt;='SOLLECITAZ NASCOSTO'!$P$12,IF(C432&lt;='SOLLECITAZ NASCOSTO'!$P$11,IF(C432&lt;='SOLLECITAZ NASCOSTO'!$P$10,IF(C432&lt;='SOLLECITAZ NASCOSTO'!$P$9,IF(C432&lt;='SOLLECITAZ NASCOSTO'!$P$8,IF(C432&lt;='SOLLECITAZ NASCOSTO'!$P$7,IF(C432&lt;='SOLLECITAZ NASCOSTO'!$P$6,IF(C432&lt;='SOLLECITAZ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NASCOSTO'!$P$12))/IF(C432&lt;='SOLLECITAZ NASCOSTO'!$P$12,IF(C432&lt;='SOLLECITAZ NASCOSTO'!$P$11,IF(C432&lt;='SOLLECITAZ NASCOSTO'!$P$10,IF(C432&lt;='SOLLECITAZ NASCOSTO'!$P$9,IF(C432&lt;='SOLLECITAZ NASCOSTO'!$P$8,IF(C432&lt;='SOLLECITAZ NASCOSTO'!$P$7,IF(C432&lt;='SOLLECITAZ NASCOSTO'!$P$6,IF(C432&lt;='SOLLECITAZ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paramento'!$C$111)+IF(C432&lt;='SOLLECITAZ NASCOSTO'!$P$12,IF(C432&lt;='SOLLECITAZ NASCOSTO'!$P$11,IF(C432&lt;='SOLLECITAZ NASCOSTO'!$P$10,IF(C432&lt;='SOLLECITAZ NASCOSTO'!$P$9,IF(C432&lt;='SOLLECITAZ NASCOSTO'!$P$8,IF(C432&lt;='SOLLECITAZ NASCOSTO'!$P$7,IF(C432&lt;='SOLLECITAZ NASCOSTO'!$P$6,IF(C432&lt;='SOLLECITAZ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116.72151795445245</v>
      </c>
      <c r="O433" s="41">
        <f>IF(C433&lt;='SOLLECITAZ NASCOSTO'!$P$12,IF(C433&lt;='SOLLECITAZ NASCOSTO'!$P$11,IF(C433&lt;='SOLLECITAZ NASCOSTO'!$P$10,IF(C433&lt;='SOLLECITAZ NASCOSTO'!$P$9,IF(C433&lt;='SOLLECITAZ NASCOSTO'!$P$8,IF(C433&lt;='SOLLECITAZ NASCOSTO'!$P$7,IF(C433&lt;='SOLLECITAZ NASCOSTO'!$P$6,IF(C433&lt;='SOLLECITAZ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paramento'!$G$110),55555)*(C433-C432)/IF(C433&lt;='SOLLECITAZ NASCOSTO'!$P$12,IF(C433&lt;='SOLLECITAZ NASCOSTO'!$P$11,IF(C433&lt;='SOLLECITAZ NASCOSTO'!$P$10,IF(C433&lt;='SOLLECITAZ NASCOSTO'!$P$9,IF(C433&lt;='SOLLECITAZ NASCOSTO'!$P$8,IF(C433&lt;='SOLLECITAZ NASCOSTO'!$P$7,IF(C433&lt;='SOLLECITAZ NASCOSTO'!$P$6,IF(C433&lt;='SOLLECITAZ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33" s="41">
        <f t="shared" si="137"/>
        <v>4.0000000000000322E-4</v>
      </c>
      <c r="Q433" s="41">
        <f t="shared" si="135"/>
        <v>1</v>
      </c>
      <c r="R433" s="434">
        <f t="shared" si="128"/>
        <v>4.3686459098476282</v>
      </c>
      <c r="S433" s="45">
        <f t="shared" si="136"/>
        <v>4.3686459098476282</v>
      </c>
      <c r="T433" s="205">
        <f t="shared" si="131"/>
        <v>0.66341568241325266</v>
      </c>
      <c r="U433" s="45">
        <f t="shared" si="133"/>
        <v>284.94926984750805</v>
      </c>
      <c r="V433" s="45">
        <f t="shared" si="134"/>
        <v>-457.80194958700577</v>
      </c>
      <c r="W433" s="488"/>
    </row>
    <row r="434" spans="1:25" x14ac:dyDescent="0.25">
      <c r="A434" s="581">
        <f t="shared" si="129"/>
        <v>0.71801820152647178</v>
      </c>
      <c r="B434" s="31">
        <f t="shared" si="112"/>
        <v>402</v>
      </c>
      <c r="C434" s="434">
        <f>'SOLLECITAZ NASCOSTO'!$D$6/'SOLLECITAZ NASCOSTO'!$B$448*'SOLLECITAZ NASCOSTO'!B434</f>
        <v>4.3795402886751784</v>
      </c>
      <c r="D434" s="434">
        <f t="shared" si="130"/>
        <v>0.83801820152647177</v>
      </c>
      <c r="E434" s="434">
        <f t="shared" si="124"/>
        <v>0.71801820152647178</v>
      </c>
      <c r="F434" s="434">
        <f t="shared" si="125"/>
        <v>0.52976582448847098</v>
      </c>
      <c r="G434" s="434">
        <f t="shared" si="126"/>
        <v>0.12805992097434596</v>
      </c>
      <c r="H434" s="434">
        <f t="shared" si="138"/>
        <v>0</v>
      </c>
      <c r="I434" s="434">
        <v>0</v>
      </c>
      <c r="J434" s="127">
        <f t="shared" si="139"/>
        <v>0.2417292982196379</v>
      </c>
      <c r="K434" s="126">
        <f t="shared" si="127"/>
        <v>3.3075185820398395E-2</v>
      </c>
      <c r="L434" s="41">
        <f t="shared" si="140"/>
        <v>286.22509641489683</v>
      </c>
      <c r="M434" s="41">
        <f t="shared" si="132"/>
        <v>-460.91324454833006</v>
      </c>
      <c r="N434" s="41">
        <f>(IF(C433&lt;='SOLLECITAZ NASCOSTO'!$P$12,IF(C433&lt;='SOLLECITAZ NASCOSTO'!$P$11,IF(C433&lt;='SOLLECITAZ NASCOSTO'!$P$10,IF(C433&lt;='SOLLECITAZ NASCOSTO'!$P$9,IF(C433&lt;='SOLLECITAZ NASCOSTO'!$P$8,IF(C433&lt;='SOLLECITAZ NASCOSTO'!$P$7,IF(C433&lt;='SOLLECITAZ NASCOSTO'!$P$6,IF(C433&lt;='SOLLECITAZ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paramento'!$G$111),55555)-IF(C433&lt;='SOLLECITAZ NASCOSTO'!$P$12,IF(C433&lt;='SOLLECITAZ NASCOSTO'!$P$11,IF(C433&lt;='SOLLECITAZ NASCOSTO'!$P$10,IF(C433&lt;='SOLLECITAZ NASCOSTO'!$P$9,IF(C433&lt;='SOLLECITAZ NASCOSTO'!$P$8,IF(C433&lt;='SOLLECITAZ NASCOSTO'!$P$7,IF(C433&lt;='SOLLECITAZ NASCOSTO'!$P$6,IF(C433&lt;='SOLLECITAZ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paramento'!$G$111))*(C433-IF(C433&lt;='SOLLECITAZ NASCOSTO'!$P$12,IF(C433&lt;='SOLLECITAZ NASCOSTO'!$P$11,IF(C433&lt;='SOLLECITAZ NASCOSTO'!$P$10,IF(C433&lt;='SOLLECITAZ NASCOSTO'!$P$9,IF(C433&lt;='SOLLECITAZ NASCOSTO'!$P$8,IF(C433&lt;='SOLLECITAZ NASCOSTO'!$P$7,IF(C433&lt;='SOLLECITAZ NASCOSTO'!$P$6,IF(C433&lt;='SOLLECITAZ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NASCOSTO'!$P$12))/IF(C433&lt;='SOLLECITAZ NASCOSTO'!$P$12,IF(C433&lt;='SOLLECITAZ NASCOSTO'!$P$11,IF(C433&lt;='SOLLECITAZ NASCOSTO'!$P$10,IF(C433&lt;='SOLLECITAZ NASCOSTO'!$P$9,IF(C433&lt;='SOLLECITAZ NASCOSTO'!$P$8,IF(C433&lt;='SOLLECITAZ NASCOSTO'!$P$7,IF(C433&lt;='SOLLECITAZ NASCOSTO'!$P$6,IF(C433&lt;='SOLLECITAZ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paramento'!$C$111)+IF(C433&lt;='SOLLECITAZ NASCOSTO'!$P$12,IF(C433&lt;='SOLLECITAZ NASCOSTO'!$P$11,IF(C433&lt;='SOLLECITAZ NASCOSTO'!$P$10,IF(C433&lt;='SOLLECITAZ NASCOSTO'!$P$9,IF(C433&lt;='SOLLECITAZ NASCOSTO'!$P$8,IF(C433&lt;='SOLLECITAZ NASCOSTO'!$P$7,IF(C433&lt;='SOLLECITAZ NASCOSTO'!$P$6,IF(C433&lt;='SOLLECITAZ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116.97964088390185</v>
      </c>
      <c r="O434" s="41">
        <f>IF(C434&lt;='SOLLECITAZ NASCOSTO'!$P$12,IF(C434&lt;='SOLLECITAZ NASCOSTO'!$P$11,IF(C434&lt;='SOLLECITAZ NASCOSTO'!$P$10,IF(C434&lt;='SOLLECITAZ NASCOSTO'!$P$9,IF(C434&lt;='SOLLECITAZ NASCOSTO'!$P$8,IF(C434&lt;='SOLLECITAZ NASCOSTO'!$P$7,IF(C434&lt;='SOLLECITAZ NASCOSTO'!$P$6,IF(C434&lt;='SOLLECITAZ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paramento'!$G$110),55555)*(C434-C433)/IF(C434&lt;='SOLLECITAZ NASCOSTO'!$P$12,IF(C434&lt;='SOLLECITAZ NASCOSTO'!$P$11,IF(C434&lt;='SOLLECITAZ NASCOSTO'!$P$10,IF(C434&lt;='SOLLECITAZ NASCOSTO'!$P$9,IF(C434&lt;='SOLLECITAZ NASCOSTO'!$P$8,IF(C434&lt;='SOLLECITAZ NASCOSTO'!$P$7,IF(C434&lt;='SOLLECITAZ NASCOSTO'!$P$6,IF(C434&lt;='SOLLECITAZ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34" s="41">
        <f t="shared" si="137"/>
        <v>4.0100000000000324E-4</v>
      </c>
      <c r="Q434" s="41">
        <f t="shared" si="135"/>
        <v>1</v>
      </c>
      <c r="R434" s="434">
        <f t="shared" si="128"/>
        <v>4.3795402886751784</v>
      </c>
      <c r="S434" s="45">
        <f t="shared" si="136"/>
        <v>4.3795402886751784</v>
      </c>
      <c r="T434" s="205">
        <f t="shared" si="131"/>
        <v>0.65252130358570248</v>
      </c>
      <c r="U434" s="45">
        <f t="shared" si="133"/>
        <v>286.22509641489683</v>
      </c>
      <c r="V434" s="45">
        <f t="shared" si="134"/>
        <v>-460.91324454833006</v>
      </c>
      <c r="W434" s="488"/>
    </row>
    <row r="435" spans="1:25" x14ac:dyDescent="0.25">
      <c r="A435" s="581">
        <f t="shared" si="129"/>
        <v>0.71958904427458092</v>
      </c>
      <c r="B435" s="31">
        <f t="shared" si="112"/>
        <v>403</v>
      </c>
      <c r="C435" s="434">
        <f>'SOLLECITAZ NASCOSTO'!$D$6/'SOLLECITAZ NASCOSTO'!$B$448*'SOLLECITAZ NASCOSTO'!B435</f>
        <v>4.3904346675027286</v>
      </c>
      <c r="D435" s="434">
        <f t="shared" si="130"/>
        <v>0.83958904427458092</v>
      </c>
      <c r="E435" s="434">
        <f t="shared" si="124"/>
        <v>0.71958904427458092</v>
      </c>
      <c r="F435" s="434">
        <f t="shared" si="125"/>
        <v>0.53026849416786592</v>
      </c>
      <c r="G435" s="434">
        <f t="shared" si="126"/>
        <v>0.12848156212254466</v>
      </c>
      <c r="H435" s="434">
        <f t="shared" si="138"/>
        <v>0</v>
      </c>
      <c r="I435" s="434">
        <v>0</v>
      </c>
      <c r="J435" s="127">
        <f t="shared" si="139"/>
        <v>0.24229529669524649</v>
      </c>
      <c r="K435" s="126">
        <f t="shared" si="127"/>
        <v>3.3254216659275054E-2</v>
      </c>
      <c r="L435" s="41">
        <f t="shared" si="140"/>
        <v>287.50373507126307</v>
      </c>
      <c r="M435" s="41">
        <f t="shared" si="132"/>
        <v>-464.03845416557903</v>
      </c>
      <c r="N435" s="41">
        <f>(IF(C434&lt;='SOLLECITAZ NASCOSTO'!$P$12,IF(C434&lt;='SOLLECITAZ NASCOSTO'!$P$11,IF(C434&lt;='SOLLECITAZ NASCOSTO'!$P$10,IF(C434&lt;='SOLLECITAZ NASCOSTO'!$P$9,IF(C434&lt;='SOLLECITAZ NASCOSTO'!$P$8,IF(C434&lt;='SOLLECITAZ NASCOSTO'!$P$7,IF(C434&lt;='SOLLECITAZ NASCOSTO'!$P$6,IF(C434&lt;='SOLLECITAZ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paramento'!$G$111),55555)-IF(C434&lt;='SOLLECITAZ NASCOSTO'!$P$12,IF(C434&lt;='SOLLECITAZ NASCOSTO'!$P$11,IF(C434&lt;='SOLLECITAZ NASCOSTO'!$P$10,IF(C434&lt;='SOLLECITAZ NASCOSTO'!$P$9,IF(C434&lt;='SOLLECITAZ NASCOSTO'!$P$8,IF(C434&lt;='SOLLECITAZ NASCOSTO'!$P$7,IF(C434&lt;='SOLLECITAZ NASCOSTO'!$P$6,IF(C434&lt;='SOLLECITAZ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paramento'!$G$111))*(C434-IF(C434&lt;='SOLLECITAZ NASCOSTO'!$P$12,IF(C434&lt;='SOLLECITAZ NASCOSTO'!$P$11,IF(C434&lt;='SOLLECITAZ NASCOSTO'!$P$10,IF(C434&lt;='SOLLECITAZ NASCOSTO'!$P$9,IF(C434&lt;='SOLLECITAZ NASCOSTO'!$P$8,IF(C434&lt;='SOLLECITAZ NASCOSTO'!$P$7,IF(C434&lt;='SOLLECITAZ NASCOSTO'!$P$6,IF(C434&lt;='SOLLECITAZ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NASCOSTO'!$P$12))/IF(C434&lt;='SOLLECITAZ NASCOSTO'!$P$12,IF(C434&lt;='SOLLECITAZ NASCOSTO'!$P$11,IF(C434&lt;='SOLLECITAZ NASCOSTO'!$P$10,IF(C434&lt;='SOLLECITAZ NASCOSTO'!$P$9,IF(C434&lt;='SOLLECITAZ NASCOSTO'!$P$8,IF(C434&lt;='SOLLECITAZ NASCOSTO'!$P$7,IF(C434&lt;='SOLLECITAZ NASCOSTO'!$P$6,IF(C434&lt;='SOLLECITAZ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paramento'!$C$111)+IF(C434&lt;='SOLLECITAZ NASCOSTO'!$P$12,IF(C434&lt;='SOLLECITAZ NASCOSTO'!$P$11,IF(C434&lt;='SOLLECITAZ NASCOSTO'!$P$10,IF(C434&lt;='SOLLECITAZ NASCOSTO'!$P$9,IF(C434&lt;='SOLLECITAZ NASCOSTO'!$P$8,IF(C434&lt;='SOLLECITAZ NASCOSTO'!$P$7,IF(C434&lt;='SOLLECITAZ NASCOSTO'!$P$6,IF(C434&lt;='SOLLECITAZ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117.23776381335128</v>
      </c>
      <c r="O435" s="41">
        <f>IF(C435&lt;='SOLLECITAZ NASCOSTO'!$P$12,IF(C435&lt;='SOLLECITAZ NASCOSTO'!$P$11,IF(C435&lt;='SOLLECITAZ NASCOSTO'!$P$10,IF(C435&lt;='SOLLECITAZ NASCOSTO'!$P$9,IF(C435&lt;='SOLLECITAZ NASCOSTO'!$P$8,IF(C435&lt;='SOLLECITAZ NASCOSTO'!$P$7,IF(C435&lt;='SOLLECITAZ NASCOSTO'!$P$6,IF(C435&lt;='SOLLECITAZ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paramento'!$G$110),55555)*(C435-C434)/IF(C435&lt;='SOLLECITAZ NASCOSTO'!$P$12,IF(C435&lt;='SOLLECITAZ NASCOSTO'!$P$11,IF(C435&lt;='SOLLECITAZ NASCOSTO'!$P$10,IF(C435&lt;='SOLLECITAZ NASCOSTO'!$P$9,IF(C435&lt;='SOLLECITAZ NASCOSTO'!$P$8,IF(C435&lt;='SOLLECITAZ NASCOSTO'!$P$7,IF(C435&lt;='SOLLECITAZ NASCOSTO'!$P$6,IF(C435&lt;='SOLLECITAZ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35" s="41">
        <f t="shared" si="137"/>
        <v>4.0200000000000327E-4</v>
      </c>
      <c r="Q435" s="41">
        <f t="shared" si="135"/>
        <v>1</v>
      </c>
      <c r="R435" s="434">
        <f t="shared" si="128"/>
        <v>4.3904346675027286</v>
      </c>
      <c r="S435" s="45">
        <f t="shared" si="136"/>
        <v>4.3904346675027286</v>
      </c>
      <c r="T435" s="205">
        <f t="shared" si="131"/>
        <v>0.64162692475815231</v>
      </c>
      <c r="U435" s="45">
        <f t="shared" si="133"/>
        <v>287.50373507126307</v>
      </c>
      <c r="V435" s="45">
        <f t="shared" si="134"/>
        <v>-464.03845416557903</v>
      </c>
      <c r="W435" s="488"/>
    </row>
    <row r="436" spans="1:25" x14ac:dyDescent="0.25">
      <c r="A436" s="581">
        <f t="shared" si="129"/>
        <v>0.72115988702269007</v>
      </c>
      <c r="B436" s="31">
        <f t="shared" si="112"/>
        <v>404</v>
      </c>
      <c r="C436" s="434">
        <f>'SOLLECITAZ NASCOSTO'!$D$6/'SOLLECITAZ NASCOSTO'!$B$448*'SOLLECITAZ NASCOSTO'!B436</f>
        <v>4.4013290463302788</v>
      </c>
      <c r="D436" s="434">
        <f t="shared" si="130"/>
        <v>0.84115988702269007</v>
      </c>
      <c r="E436" s="434">
        <f t="shared" si="124"/>
        <v>0.72115988702269007</v>
      </c>
      <c r="F436" s="434">
        <f t="shared" si="125"/>
        <v>0.53077116384726075</v>
      </c>
      <c r="G436" s="434">
        <f t="shared" si="126"/>
        <v>0.12890399288576396</v>
      </c>
      <c r="H436" s="434">
        <f t="shared" si="138"/>
        <v>0</v>
      </c>
      <c r="I436" s="434">
        <v>0</v>
      </c>
      <c r="J436" s="127">
        <f t="shared" si="139"/>
        <v>0.24286171078212243</v>
      </c>
      <c r="K436" s="126">
        <f t="shared" si="127"/>
        <v>3.3433850765019979E-2</v>
      </c>
      <c r="L436" s="41">
        <f t="shared" si="140"/>
        <v>288.78518581660683</v>
      </c>
      <c r="M436" s="41">
        <f t="shared" si="132"/>
        <v>-467.17760907471529</v>
      </c>
      <c r="N436" s="41">
        <f>(IF(C435&lt;='SOLLECITAZ NASCOSTO'!$P$12,IF(C435&lt;='SOLLECITAZ NASCOSTO'!$P$11,IF(C435&lt;='SOLLECITAZ NASCOSTO'!$P$10,IF(C435&lt;='SOLLECITAZ NASCOSTO'!$P$9,IF(C435&lt;='SOLLECITAZ NASCOSTO'!$P$8,IF(C435&lt;='SOLLECITAZ NASCOSTO'!$P$7,IF(C435&lt;='SOLLECITAZ NASCOSTO'!$P$6,IF(C435&lt;='SOLLECITAZ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paramento'!$G$111),55555)-IF(C435&lt;='SOLLECITAZ NASCOSTO'!$P$12,IF(C435&lt;='SOLLECITAZ NASCOSTO'!$P$11,IF(C435&lt;='SOLLECITAZ NASCOSTO'!$P$10,IF(C435&lt;='SOLLECITAZ NASCOSTO'!$P$9,IF(C435&lt;='SOLLECITAZ NASCOSTO'!$P$8,IF(C435&lt;='SOLLECITAZ NASCOSTO'!$P$7,IF(C435&lt;='SOLLECITAZ NASCOSTO'!$P$6,IF(C435&lt;='SOLLECITAZ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paramento'!$G$111))*(C435-IF(C435&lt;='SOLLECITAZ NASCOSTO'!$P$12,IF(C435&lt;='SOLLECITAZ NASCOSTO'!$P$11,IF(C435&lt;='SOLLECITAZ NASCOSTO'!$P$10,IF(C435&lt;='SOLLECITAZ NASCOSTO'!$P$9,IF(C435&lt;='SOLLECITAZ NASCOSTO'!$P$8,IF(C435&lt;='SOLLECITAZ NASCOSTO'!$P$7,IF(C435&lt;='SOLLECITAZ NASCOSTO'!$P$6,IF(C435&lt;='SOLLECITAZ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NASCOSTO'!$P$12))/IF(C435&lt;='SOLLECITAZ NASCOSTO'!$P$12,IF(C435&lt;='SOLLECITAZ NASCOSTO'!$P$11,IF(C435&lt;='SOLLECITAZ NASCOSTO'!$P$10,IF(C435&lt;='SOLLECITAZ NASCOSTO'!$P$9,IF(C435&lt;='SOLLECITAZ NASCOSTO'!$P$8,IF(C435&lt;='SOLLECITAZ NASCOSTO'!$P$7,IF(C435&lt;='SOLLECITAZ NASCOSTO'!$P$6,IF(C435&lt;='SOLLECITAZ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paramento'!$C$111)+IF(C435&lt;='SOLLECITAZ NASCOSTO'!$P$12,IF(C435&lt;='SOLLECITAZ NASCOSTO'!$P$11,IF(C435&lt;='SOLLECITAZ NASCOSTO'!$P$10,IF(C435&lt;='SOLLECITAZ NASCOSTO'!$P$9,IF(C435&lt;='SOLLECITAZ NASCOSTO'!$P$8,IF(C435&lt;='SOLLECITAZ NASCOSTO'!$P$7,IF(C435&lt;='SOLLECITAZ NASCOSTO'!$P$6,IF(C435&lt;='SOLLECITAZ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117.49588674280068</v>
      </c>
      <c r="O436" s="41">
        <f>IF(C436&lt;='SOLLECITAZ NASCOSTO'!$P$12,IF(C436&lt;='SOLLECITAZ NASCOSTO'!$P$11,IF(C436&lt;='SOLLECITAZ NASCOSTO'!$P$10,IF(C436&lt;='SOLLECITAZ NASCOSTO'!$P$9,IF(C436&lt;='SOLLECITAZ NASCOSTO'!$P$8,IF(C436&lt;='SOLLECITAZ NASCOSTO'!$P$7,IF(C436&lt;='SOLLECITAZ NASCOSTO'!$P$6,IF(C436&lt;='SOLLECITAZ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paramento'!$G$110),55555)*(C436-C435)/IF(C436&lt;='SOLLECITAZ NASCOSTO'!$P$12,IF(C436&lt;='SOLLECITAZ NASCOSTO'!$P$11,IF(C436&lt;='SOLLECITAZ NASCOSTO'!$P$10,IF(C436&lt;='SOLLECITAZ NASCOSTO'!$P$9,IF(C436&lt;='SOLLECITAZ NASCOSTO'!$P$8,IF(C436&lt;='SOLLECITAZ NASCOSTO'!$P$7,IF(C436&lt;='SOLLECITAZ NASCOSTO'!$P$6,IF(C436&lt;='SOLLECITAZ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36" s="41">
        <f t="shared" si="137"/>
        <v>4.0300000000000329E-4</v>
      </c>
      <c r="Q436" s="41">
        <f t="shared" si="135"/>
        <v>1</v>
      </c>
      <c r="R436" s="434">
        <f t="shared" si="128"/>
        <v>4.4013290463302788</v>
      </c>
      <c r="S436" s="45">
        <f t="shared" si="136"/>
        <v>4.4013290463302788</v>
      </c>
      <c r="T436" s="205">
        <f t="shared" si="131"/>
        <v>0.63073254593060213</v>
      </c>
      <c r="U436" s="45">
        <f t="shared" si="133"/>
        <v>288.78518581660683</v>
      </c>
      <c r="V436" s="45">
        <f t="shared" si="134"/>
        <v>-467.17760907471529</v>
      </c>
      <c r="W436" s="488"/>
    </row>
    <row r="437" spans="1:25" x14ac:dyDescent="0.25">
      <c r="A437" s="581">
        <f t="shared" si="129"/>
        <v>0.72273072977079922</v>
      </c>
      <c r="B437" s="31">
        <f t="shared" si="112"/>
        <v>405</v>
      </c>
      <c r="C437" s="434">
        <f>'SOLLECITAZ NASCOSTO'!$D$6/'SOLLECITAZ NASCOSTO'!$B$448*'SOLLECITAZ NASCOSTO'!B437</f>
        <v>4.4122234251578289</v>
      </c>
      <c r="D437" s="434">
        <f t="shared" si="130"/>
        <v>0.84273072977079921</v>
      </c>
      <c r="E437" s="434">
        <f t="shared" si="124"/>
        <v>0.72273072977079922</v>
      </c>
      <c r="F437" s="434">
        <f t="shared" si="125"/>
        <v>0.5312738335266558</v>
      </c>
      <c r="G437" s="434">
        <f t="shared" si="126"/>
        <v>0.12932721326400382</v>
      </c>
      <c r="H437" s="434">
        <f t="shared" si="138"/>
        <v>0</v>
      </c>
      <c r="I437" s="434">
        <v>0</v>
      </c>
      <c r="J437" s="127">
        <f t="shared" si="139"/>
        <v>0.2434285393005621</v>
      </c>
      <c r="K437" s="126">
        <f t="shared" si="127"/>
        <v>3.3614088902474776E-2</v>
      </c>
      <c r="L437" s="41">
        <f t="shared" si="140"/>
        <v>290.06944865092811</v>
      </c>
      <c r="M437" s="41">
        <f t="shared" si="132"/>
        <v>-470.33073991170147</v>
      </c>
      <c r="N437" s="41">
        <f>(IF(C436&lt;='SOLLECITAZ NASCOSTO'!$P$12,IF(C436&lt;='SOLLECITAZ NASCOSTO'!$P$11,IF(C436&lt;='SOLLECITAZ NASCOSTO'!$P$10,IF(C436&lt;='SOLLECITAZ NASCOSTO'!$P$9,IF(C436&lt;='SOLLECITAZ NASCOSTO'!$P$8,IF(C436&lt;='SOLLECITAZ NASCOSTO'!$P$7,IF(C436&lt;='SOLLECITAZ NASCOSTO'!$P$6,IF(C436&lt;='SOLLECITAZ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paramento'!$G$111),55555)-IF(C436&lt;='SOLLECITAZ NASCOSTO'!$P$12,IF(C436&lt;='SOLLECITAZ NASCOSTO'!$P$11,IF(C436&lt;='SOLLECITAZ NASCOSTO'!$P$10,IF(C436&lt;='SOLLECITAZ NASCOSTO'!$P$9,IF(C436&lt;='SOLLECITAZ NASCOSTO'!$P$8,IF(C436&lt;='SOLLECITAZ NASCOSTO'!$P$7,IF(C436&lt;='SOLLECITAZ NASCOSTO'!$P$6,IF(C436&lt;='SOLLECITAZ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paramento'!$G$111))*(C436-IF(C436&lt;='SOLLECITAZ NASCOSTO'!$P$12,IF(C436&lt;='SOLLECITAZ NASCOSTO'!$P$11,IF(C436&lt;='SOLLECITAZ NASCOSTO'!$P$10,IF(C436&lt;='SOLLECITAZ NASCOSTO'!$P$9,IF(C436&lt;='SOLLECITAZ NASCOSTO'!$P$8,IF(C436&lt;='SOLLECITAZ NASCOSTO'!$P$7,IF(C436&lt;='SOLLECITAZ NASCOSTO'!$P$6,IF(C436&lt;='SOLLECITAZ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NASCOSTO'!$P$12))/IF(C436&lt;='SOLLECITAZ NASCOSTO'!$P$12,IF(C436&lt;='SOLLECITAZ NASCOSTO'!$P$11,IF(C436&lt;='SOLLECITAZ NASCOSTO'!$P$10,IF(C436&lt;='SOLLECITAZ NASCOSTO'!$P$9,IF(C436&lt;='SOLLECITAZ NASCOSTO'!$P$8,IF(C436&lt;='SOLLECITAZ NASCOSTO'!$P$7,IF(C436&lt;='SOLLECITAZ NASCOSTO'!$P$6,IF(C436&lt;='SOLLECITAZ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paramento'!$C$111)+IF(C436&lt;='SOLLECITAZ NASCOSTO'!$P$12,IF(C436&lt;='SOLLECITAZ NASCOSTO'!$P$11,IF(C436&lt;='SOLLECITAZ NASCOSTO'!$P$10,IF(C436&lt;='SOLLECITAZ NASCOSTO'!$P$9,IF(C436&lt;='SOLLECITAZ NASCOSTO'!$P$8,IF(C436&lt;='SOLLECITAZ NASCOSTO'!$P$7,IF(C436&lt;='SOLLECITAZ NASCOSTO'!$P$6,IF(C436&lt;='SOLLECITAZ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117.75400967225008</v>
      </c>
      <c r="O437" s="41">
        <f>IF(C437&lt;='SOLLECITAZ NASCOSTO'!$P$12,IF(C437&lt;='SOLLECITAZ NASCOSTO'!$P$11,IF(C437&lt;='SOLLECITAZ NASCOSTO'!$P$10,IF(C437&lt;='SOLLECITAZ NASCOSTO'!$P$9,IF(C437&lt;='SOLLECITAZ NASCOSTO'!$P$8,IF(C437&lt;='SOLLECITAZ NASCOSTO'!$P$7,IF(C437&lt;='SOLLECITAZ NASCOSTO'!$P$6,IF(C437&lt;='SOLLECITAZ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paramento'!$G$110),55555)*(C437-C436)/IF(C437&lt;='SOLLECITAZ NASCOSTO'!$P$12,IF(C437&lt;='SOLLECITAZ NASCOSTO'!$P$11,IF(C437&lt;='SOLLECITAZ NASCOSTO'!$P$10,IF(C437&lt;='SOLLECITAZ NASCOSTO'!$P$9,IF(C437&lt;='SOLLECITAZ NASCOSTO'!$P$8,IF(C437&lt;='SOLLECITAZ NASCOSTO'!$P$7,IF(C437&lt;='SOLLECITAZ NASCOSTO'!$P$6,IF(C437&lt;='SOLLECITAZ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37" s="41">
        <f t="shared" si="137"/>
        <v>4.0400000000000331E-4</v>
      </c>
      <c r="Q437" s="41">
        <f t="shared" si="135"/>
        <v>1</v>
      </c>
      <c r="R437" s="434">
        <f t="shared" si="128"/>
        <v>4.4122234251578289</v>
      </c>
      <c r="S437" s="45">
        <f t="shared" si="136"/>
        <v>4.4122234251578289</v>
      </c>
      <c r="T437" s="205">
        <f t="shared" si="131"/>
        <v>0.61983816710305195</v>
      </c>
      <c r="U437" s="45">
        <f t="shared" si="133"/>
        <v>290.06944865092811</v>
      </c>
      <c r="V437" s="45">
        <f t="shared" si="134"/>
        <v>-470.33073991170147</v>
      </c>
      <c r="W437" s="488"/>
    </row>
    <row r="438" spans="1:25" x14ac:dyDescent="0.25">
      <c r="A438" s="581">
        <f t="shared" si="129"/>
        <v>0.72430157251890837</v>
      </c>
      <c r="B438" s="31">
        <f t="shared" si="112"/>
        <v>406</v>
      </c>
      <c r="C438" s="434">
        <f>'SOLLECITAZ NASCOSTO'!$D$6/'SOLLECITAZ NASCOSTO'!$B$448*'SOLLECITAZ NASCOSTO'!B438</f>
        <v>4.4231178039853791</v>
      </c>
      <c r="D438" s="434">
        <f t="shared" si="130"/>
        <v>0.84430157251890836</v>
      </c>
      <c r="E438" s="434">
        <f t="shared" si="124"/>
        <v>0.72430157251890837</v>
      </c>
      <c r="F438" s="434">
        <f t="shared" si="125"/>
        <v>0.53177650320605063</v>
      </c>
      <c r="G438" s="434">
        <f t="shared" si="126"/>
        <v>0.12975122325726424</v>
      </c>
      <c r="H438" s="434">
        <f t="shared" si="138"/>
        <v>0</v>
      </c>
      <c r="I438" s="434">
        <v>0</v>
      </c>
      <c r="J438" s="127">
        <f t="shared" si="139"/>
        <v>0.24399578107532283</v>
      </c>
      <c r="K438" s="126">
        <f t="shared" si="127"/>
        <v>3.3794931835934128E-2</v>
      </c>
      <c r="L438" s="41">
        <f t="shared" si="140"/>
        <v>291.35652357422686</v>
      </c>
      <c r="M438" s="41">
        <f t="shared" si="132"/>
        <v>-473.49787731250024</v>
      </c>
      <c r="N438" s="41">
        <f>(IF(C437&lt;='SOLLECITAZ NASCOSTO'!$P$12,IF(C437&lt;='SOLLECITAZ NASCOSTO'!$P$11,IF(C437&lt;='SOLLECITAZ NASCOSTO'!$P$10,IF(C437&lt;='SOLLECITAZ NASCOSTO'!$P$9,IF(C437&lt;='SOLLECITAZ NASCOSTO'!$P$8,IF(C437&lt;='SOLLECITAZ NASCOSTO'!$P$7,IF(C437&lt;='SOLLECITAZ NASCOSTO'!$P$6,IF(C437&lt;='SOLLECITAZ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paramento'!$G$111),55555)-IF(C437&lt;='SOLLECITAZ NASCOSTO'!$P$12,IF(C437&lt;='SOLLECITAZ NASCOSTO'!$P$11,IF(C437&lt;='SOLLECITAZ NASCOSTO'!$P$10,IF(C437&lt;='SOLLECITAZ NASCOSTO'!$P$9,IF(C437&lt;='SOLLECITAZ NASCOSTO'!$P$8,IF(C437&lt;='SOLLECITAZ NASCOSTO'!$P$7,IF(C437&lt;='SOLLECITAZ NASCOSTO'!$P$6,IF(C437&lt;='SOLLECITAZ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paramento'!$G$111))*(C437-IF(C437&lt;='SOLLECITAZ NASCOSTO'!$P$12,IF(C437&lt;='SOLLECITAZ NASCOSTO'!$P$11,IF(C437&lt;='SOLLECITAZ NASCOSTO'!$P$10,IF(C437&lt;='SOLLECITAZ NASCOSTO'!$P$9,IF(C437&lt;='SOLLECITAZ NASCOSTO'!$P$8,IF(C437&lt;='SOLLECITAZ NASCOSTO'!$P$7,IF(C437&lt;='SOLLECITAZ NASCOSTO'!$P$6,IF(C437&lt;='SOLLECITAZ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NASCOSTO'!$P$12))/IF(C437&lt;='SOLLECITAZ NASCOSTO'!$P$12,IF(C437&lt;='SOLLECITAZ NASCOSTO'!$P$11,IF(C437&lt;='SOLLECITAZ NASCOSTO'!$P$10,IF(C437&lt;='SOLLECITAZ NASCOSTO'!$P$9,IF(C437&lt;='SOLLECITAZ NASCOSTO'!$P$8,IF(C437&lt;='SOLLECITAZ NASCOSTO'!$P$7,IF(C437&lt;='SOLLECITAZ NASCOSTO'!$P$6,IF(C437&lt;='SOLLECITAZ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paramento'!$C$111)+IF(C437&lt;='SOLLECITAZ NASCOSTO'!$P$12,IF(C437&lt;='SOLLECITAZ NASCOSTO'!$P$11,IF(C437&lt;='SOLLECITAZ NASCOSTO'!$P$10,IF(C437&lt;='SOLLECITAZ NASCOSTO'!$P$9,IF(C437&lt;='SOLLECITAZ NASCOSTO'!$P$8,IF(C437&lt;='SOLLECITAZ NASCOSTO'!$P$7,IF(C437&lt;='SOLLECITAZ NASCOSTO'!$P$6,IF(C437&lt;='SOLLECITAZ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118.01213260169948</v>
      </c>
      <c r="O438" s="41">
        <f>IF(C438&lt;='SOLLECITAZ NASCOSTO'!$P$12,IF(C438&lt;='SOLLECITAZ NASCOSTO'!$P$11,IF(C438&lt;='SOLLECITAZ NASCOSTO'!$P$10,IF(C438&lt;='SOLLECITAZ NASCOSTO'!$P$9,IF(C438&lt;='SOLLECITAZ NASCOSTO'!$P$8,IF(C438&lt;='SOLLECITAZ NASCOSTO'!$P$7,IF(C438&lt;='SOLLECITAZ NASCOSTO'!$P$6,IF(C438&lt;='SOLLECITAZ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paramento'!$G$110),55555)*(C438-C437)/IF(C438&lt;='SOLLECITAZ NASCOSTO'!$P$12,IF(C438&lt;='SOLLECITAZ NASCOSTO'!$P$11,IF(C438&lt;='SOLLECITAZ NASCOSTO'!$P$10,IF(C438&lt;='SOLLECITAZ NASCOSTO'!$P$9,IF(C438&lt;='SOLLECITAZ NASCOSTO'!$P$8,IF(C438&lt;='SOLLECITAZ NASCOSTO'!$P$7,IF(C438&lt;='SOLLECITAZ NASCOSTO'!$P$6,IF(C438&lt;='SOLLECITAZ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38" s="41">
        <f t="shared" si="137"/>
        <v>4.0500000000000334E-4</v>
      </c>
      <c r="Q438" s="41">
        <f t="shared" si="135"/>
        <v>1</v>
      </c>
      <c r="R438" s="434">
        <f t="shared" si="128"/>
        <v>4.4231178039853791</v>
      </c>
      <c r="S438" s="45">
        <f t="shared" si="136"/>
        <v>4.4231178039853791</v>
      </c>
      <c r="T438" s="205">
        <f t="shared" si="131"/>
        <v>0.60894378827550177</v>
      </c>
      <c r="U438" s="45">
        <f t="shared" si="133"/>
        <v>291.35652357422686</v>
      </c>
      <c r="V438" s="45">
        <f t="shared" si="134"/>
        <v>-473.49787731250024</v>
      </c>
      <c r="W438" s="488"/>
      <c r="X438" s="477"/>
    </row>
    <row r="439" spans="1:25" x14ac:dyDescent="0.25">
      <c r="A439" s="581">
        <f t="shared" si="129"/>
        <v>0.72587241526701751</v>
      </c>
      <c r="B439" s="31">
        <f t="shared" si="112"/>
        <v>407</v>
      </c>
      <c r="C439" s="434">
        <f>'SOLLECITAZ NASCOSTO'!$D$6/'SOLLECITAZ NASCOSTO'!$B$448*'SOLLECITAZ NASCOSTO'!B439</f>
        <v>4.4340121828129293</v>
      </c>
      <c r="D439" s="434">
        <f t="shared" si="130"/>
        <v>0.84587241526701751</v>
      </c>
      <c r="E439" s="434">
        <f t="shared" si="124"/>
        <v>0.72587241526701751</v>
      </c>
      <c r="F439" s="434">
        <f t="shared" si="125"/>
        <v>0.53227917288544557</v>
      </c>
      <c r="G439" s="434">
        <f t="shared" si="126"/>
        <v>0.13017602286554522</v>
      </c>
      <c r="H439" s="434">
        <f t="shared" si="138"/>
        <v>0</v>
      </c>
      <c r="I439" s="434">
        <v>0</v>
      </c>
      <c r="J439" s="127">
        <f t="shared" si="139"/>
        <v>0.24456343493560107</v>
      </c>
      <c r="K439" s="126">
        <f t="shared" si="127"/>
        <v>3.3976380329148334E-2</v>
      </c>
      <c r="L439" s="41">
        <f t="shared" si="140"/>
        <v>292.64641058650312</v>
      </c>
      <c r="M439" s="41">
        <f t="shared" si="132"/>
        <v>-476.67905191307415</v>
      </c>
      <c r="N439" s="41">
        <f>(IF(C438&lt;='SOLLECITAZ NASCOSTO'!$P$12,IF(C438&lt;='SOLLECITAZ NASCOSTO'!$P$11,IF(C438&lt;='SOLLECITAZ NASCOSTO'!$P$10,IF(C438&lt;='SOLLECITAZ NASCOSTO'!$P$9,IF(C438&lt;='SOLLECITAZ NASCOSTO'!$P$8,IF(C438&lt;='SOLLECITAZ NASCOSTO'!$P$7,IF(C438&lt;='SOLLECITAZ NASCOSTO'!$P$6,IF(C438&lt;='SOLLECITAZ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paramento'!$G$111),55555)-IF(C438&lt;='SOLLECITAZ NASCOSTO'!$P$12,IF(C438&lt;='SOLLECITAZ NASCOSTO'!$P$11,IF(C438&lt;='SOLLECITAZ NASCOSTO'!$P$10,IF(C438&lt;='SOLLECITAZ NASCOSTO'!$P$9,IF(C438&lt;='SOLLECITAZ NASCOSTO'!$P$8,IF(C438&lt;='SOLLECITAZ NASCOSTO'!$P$7,IF(C438&lt;='SOLLECITAZ NASCOSTO'!$P$6,IF(C438&lt;='SOLLECITAZ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paramento'!$G$111))*(C438-IF(C438&lt;='SOLLECITAZ NASCOSTO'!$P$12,IF(C438&lt;='SOLLECITAZ NASCOSTO'!$P$11,IF(C438&lt;='SOLLECITAZ NASCOSTO'!$P$10,IF(C438&lt;='SOLLECITAZ NASCOSTO'!$P$9,IF(C438&lt;='SOLLECITAZ NASCOSTO'!$P$8,IF(C438&lt;='SOLLECITAZ NASCOSTO'!$P$7,IF(C438&lt;='SOLLECITAZ NASCOSTO'!$P$6,IF(C438&lt;='SOLLECITAZ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NASCOSTO'!$P$12))/IF(C438&lt;='SOLLECITAZ NASCOSTO'!$P$12,IF(C438&lt;='SOLLECITAZ NASCOSTO'!$P$11,IF(C438&lt;='SOLLECITAZ NASCOSTO'!$P$10,IF(C438&lt;='SOLLECITAZ NASCOSTO'!$P$9,IF(C438&lt;='SOLLECITAZ NASCOSTO'!$P$8,IF(C438&lt;='SOLLECITAZ NASCOSTO'!$P$7,IF(C438&lt;='SOLLECITAZ NASCOSTO'!$P$6,IF(C438&lt;='SOLLECITAZ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paramento'!$C$111)+IF(C438&lt;='SOLLECITAZ NASCOSTO'!$P$12,IF(C438&lt;='SOLLECITAZ NASCOSTO'!$P$11,IF(C438&lt;='SOLLECITAZ NASCOSTO'!$P$10,IF(C438&lt;='SOLLECITAZ NASCOSTO'!$P$9,IF(C438&lt;='SOLLECITAZ NASCOSTO'!$P$8,IF(C438&lt;='SOLLECITAZ NASCOSTO'!$P$7,IF(C438&lt;='SOLLECITAZ NASCOSTO'!$P$6,IF(C438&lt;='SOLLECITAZ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118.27025553114888</v>
      </c>
      <c r="O439" s="41">
        <f>IF(C439&lt;='SOLLECITAZ NASCOSTO'!$P$12,IF(C439&lt;='SOLLECITAZ NASCOSTO'!$P$11,IF(C439&lt;='SOLLECITAZ NASCOSTO'!$P$10,IF(C439&lt;='SOLLECITAZ NASCOSTO'!$P$9,IF(C439&lt;='SOLLECITAZ NASCOSTO'!$P$8,IF(C439&lt;='SOLLECITAZ NASCOSTO'!$P$7,IF(C439&lt;='SOLLECITAZ NASCOSTO'!$P$6,IF(C439&lt;='SOLLECITAZ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paramento'!$G$110),55555)*(C439-C438)/IF(C439&lt;='SOLLECITAZ NASCOSTO'!$P$12,IF(C439&lt;='SOLLECITAZ NASCOSTO'!$P$11,IF(C439&lt;='SOLLECITAZ NASCOSTO'!$P$10,IF(C439&lt;='SOLLECITAZ NASCOSTO'!$P$9,IF(C439&lt;='SOLLECITAZ NASCOSTO'!$P$8,IF(C439&lt;='SOLLECITAZ NASCOSTO'!$P$7,IF(C439&lt;='SOLLECITAZ NASCOSTO'!$P$6,IF(C439&lt;='SOLLECITAZ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39" s="41">
        <f t="shared" si="137"/>
        <v>4.0600000000000336E-4</v>
      </c>
      <c r="Q439" s="41">
        <f t="shared" si="135"/>
        <v>1</v>
      </c>
      <c r="R439" s="434">
        <f t="shared" si="128"/>
        <v>4.4340121828129293</v>
      </c>
      <c r="S439" s="45">
        <f t="shared" si="136"/>
        <v>4.4340121828129293</v>
      </c>
      <c r="T439" s="205">
        <f t="shared" si="131"/>
        <v>0.5980494094479516</v>
      </c>
      <c r="U439" s="45">
        <f t="shared" si="133"/>
        <v>292.64641058650312</v>
      </c>
      <c r="V439" s="45">
        <f t="shared" si="134"/>
        <v>-476.67905191307415</v>
      </c>
      <c r="W439" s="488"/>
      <c r="X439" s="477"/>
    </row>
    <row r="440" spans="1:25" ht="15" customHeight="1" x14ac:dyDescent="0.25">
      <c r="A440" s="581">
        <f t="shared" si="129"/>
        <v>0.72744325801512666</v>
      </c>
      <c r="B440" s="31">
        <f t="shared" si="112"/>
        <v>408</v>
      </c>
      <c r="C440" s="434">
        <f>'SOLLECITAZ NASCOSTO'!$D$6/'SOLLECITAZ NASCOSTO'!$B$448*'SOLLECITAZ NASCOSTO'!B440</f>
        <v>4.4449065616404795</v>
      </c>
      <c r="D440" s="434">
        <f t="shared" si="130"/>
        <v>0.84744325801512665</v>
      </c>
      <c r="E440" s="434">
        <f t="shared" si="124"/>
        <v>0.72744325801512666</v>
      </c>
      <c r="F440" s="434">
        <f t="shared" si="125"/>
        <v>0.53278184256484051</v>
      </c>
      <c r="G440" s="434">
        <f t="shared" si="126"/>
        <v>0.1306016120888468</v>
      </c>
      <c r="H440" s="434">
        <f t="shared" si="138"/>
        <v>0</v>
      </c>
      <c r="I440" s="434">
        <v>0</v>
      </c>
      <c r="J440" s="127">
        <f t="shared" si="139"/>
        <v>0.24513149971501205</v>
      </c>
      <c r="K440" s="126">
        <f t="shared" si="127"/>
        <v>3.4158435145325843E-2</v>
      </c>
      <c r="L440" s="41">
        <f t="shared" si="140"/>
        <v>293.93910968775685</v>
      </c>
      <c r="M440" s="41">
        <f t="shared" si="132"/>
        <v>-479.87429434938588</v>
      </c>
      <c r="N440" s="41">
        <f>(IF(C439&lt;='SOLLECITAZ NASCOSTO'!$P$12,IF(C439&lt;='SOLLECITAZ NASCOSTO'!$P$11,IF(C439&lt;='SOLLECITAZ NASCOSTO'!$P$10,IF(C439&lt;='SOLLECITAZ NASCOSTO'!$P$9,IF(C439&lt;='SOLLECITAZ NASCOSTO'!$P$8,IF(C439&lt;='SOLLECITAZ NASCOSTO'!$P$7,IF(C439&lt;='SOLLECITAZ NASCOSTO'!$P$6,IF(C439&lt;='SOLLECITAZ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paramento'!$G$111),55555)-IF(C439&lt;='SOLLECITAZ NASCOSTO'!$P$12,IF(C439&lt;='SOLLECITAZ NASCOSTO'!$P$11,IF(C439&lt;='SOLLECITAZ NASCOSTO'!$P$10,IF(C439&lt;='SOLLECITAZ NASCOSTO'!$P$9,IF(C439&lt;='SOLLECITAZ NASCOSTO'!$P$8,IF(C439&lt;='SOLLECITAZ NASCOSTO'!$P$7,IF(C439&lt;='SOLLECITAZ NASCOSTO'!$P$6,IF(C439&lt;='SOLLECITAZ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paramento'!$G$111))*(C439-IF(C439&lt;='SOLLECITAZ NASCOSTO'!$P$12,IF(C439&lt;='SOLLECITAZ NASCOSTO'!$P$11,IF(C439&lt;='SOLLECITAZ NASCOSTO'!$P$10,IF(C439&lt;='SOLLECITAZ NASCOSTO'!$P$9,IF(C439&lt;='SOLLECITAZ NASCOSTO'!$P$8,IF(C439&lt;='SOLLECITAZ NASCOSTO'!$P$7,IF(C439&lt;='SOLLECITAZ NASCOSTO'!$P$6,IF(C439&lt;='SOLLECITAZ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NASCOSTO'!$P$12))/IF(C439&lt;='SOLLECITAZ NASCOSTO'!$P$12,IF(C439&lt;='SOLLECITAZ NASCOSTO'!$P$11,IF(C439&lt;='SOLLECITAZ NASCOSTO'!$P$10,IF(C439&lt;='SOLLECITAZ NASCOSTO'!$P$9,IF(C439&lt;='SOLLECITAZ NASCOSTO'!$P$8,IF(C439&lt;='SOLLECITAZ NASCOSTO'!$P$7,IF(C439&lt;='SOLLECITAZ NASCOSTO'!$P$6,IF(C439&lt;='SOLLECITAZ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paramento'!$C$111)+IF(C439&lt;='SOLLECITAZ NASCOSTO'!$P$12,IF(C439&lt;='SOLLECITAZ NASCOSTO'!$P$11,IF(C439&lt;='SOLLECITAZ NASCOSTO'!$P$10,IF(C439&lt;='SOLLECITAZ NASCOSTO'!$P$9,IF(C439&lt;='SOLLECITAZ NASCOSTO'!$P$8,IF(C439&lt;='SOLLECITAZ NASCOSTO'!$P$7,IF(C439&lt;='SOLLECITAZ NASCOSTO'!$P$6,IF(C439&lt;='SOLLECITAZ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118.5283784605983</v>
      </c>
      <c r="O440" s="41">
        <f>IF(C440&lt;='SOLLECITAZ NASCOSTO'!$P$12,IF(C440&lt;='SOLLECITAZ NASCOSTO'!$P$11,IF(C440&lt;='SOLLECITAZ NASCOSTO'!$P$10,IF(C440&lt;='SOLLECITAZ NASCOSTO'!$P$9,IF(C440&lt;='SOLLECITAZ NASCOSTO'!$P$8,IF(C440&lt;='SOLLECITAZ NASCOSTO'!$P$7,IF(C440&lt;='SOLLECITAZ NASCOSTO'!$P$6,IF(C440&lt;='SOLLECITAZ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paramento'!$G$110),55555)*(C440-C439)/IF(C440&lt;='SOLLECITAZ NASCOSTO'!$P$12,IF(C440&lt;='SOLLECITAZ NASCOSTO'!$P$11,IF(C440&lt;='SOLLECITAZ NASCOSTO'!$P$10,IF(C440&lt;='SOLLECITAZ NASCOSTO'!$P$9,IF(C440&lt;='SOLLECITAZ NASCOSTO'!$P$8,IF(C440&lt;='SOLLECITAZ NASCOSTO'!$P$7,IF(C440&lt;='SOLLECITAZ NASCOSTO'!$P$6,IF(C440&lt;='SOLLECITAZ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40" s="41">
        <f t="shared" si="137"/>
        <v>4.0700000000000339E-4</v>
      </c>
      <c r="Q440" s="41">
        <f t="shared" si="135"/>
        <v>1</v>
      </c>
      <c r="R440" s="434">
        <f t="shared" si="128"/>
        <v>4.4449065616404795</v>
      </c>
      <c r="S440" s="45">
        <f t="shared" si="136"/>
        <v>4.4449065616404795</v>
      </c>
      <c r="T440" s="205">
        <f t="shared" si="131"/>
        <v>0.58715503062040142</v>
      </c>
      <c r="U440" s="45">
        <f t="shared" si="133"/>
        <v>293.93910968775685</v>
      </c>
      <c r="V440" s="45">
        <f t="shared" si="134"/>
        <v>-479.87429434938588</v>
      </c>
      <c r="W440" s="488"/>
      <c r="X440" s="477"/>
      <c r="Y440" s="421"/>
    </row>
    <row r="441" spans="1:25" ht="15" customHeight="1" x14ac:dyDescent="0.25">
      <c r="A441" s="581">
        <f t="shared" si="129"/>
        <v>0.72901410076323592</v>
      </c>
      <c r="B441" s="31">
        <f t="shared" si="112"/>
        <v>409</v>
      </c>
      <c r="C441" s="434">
        <f>'SOLLECITAZ NASCOSTO'!$D$6/'SOLLECITAZ NASCOSTO'!$B$448*'SOLLECITAZ NASCOSTO'!B441</f>
        <v>4.4558009404680297</v>
      </c>
      <c r="D441" s="434">
        <f t="shared" si="130"/>
        <v>0.84901410076323591</v>
      </c>
      <c r="E441" s="434">
        <f t="shared" si="124"/>
        <v>0.72901410076323592</v>
      </c>
      <c r="F441" s="434">
        <f t="shared" si="125"/>
        <v>0.53328451224423545</v>
      </c>
      <c r="G441" s="434">
        <f t="shared" si="126"/>
        <v>0.13102799092716896</v>
      </c>
      <c r="H441" s="434">
        <f t="shared" si="138"/>
        <v>0</v>
      </c>
      <c r="I441" s="434">
        <v>0</v>
      </c>
      <c r="J441" s="127">
        <f t="shared" si="139"/>
        <v>0.24569997425156859</v>
      </c>
      <c r="K441" s="126">
        <f t="shared" si="127"/>
        <v>3.4341097047135845E-2</v>
      </c>
      <c r="L441" s="41">
        <f t="shared" si="140"/>
        <v>295.23462087798811</v>
      </c>
      <c r="M441" s="41">
        <f t="shared" si="132"/>
        <v>-483.08363525739799</v>
      </c>
      <c r="N441" s="41">
        <f>(IF(C440&lt;='SOLLECITAZ NASCOSTO'!$P$12,IF(C440&lt;='SOLLECITAZ NASCOSTO'!$P$11,IF(C440&lt;='SOLLECITAZ NASCOSTO'!$P$10,IF(C440&lt;='SOLLECITAZ NASCOSTO'!$P$9,IF(C440&lt;='SOLLECITAZ NASCOSTO'!$P$8,IF(C440&lt;='SOLLECITAZ NASCOSTO'!$P$7,IF(C440&lt;='SOLLECITAZ NASCOSTO'!$P$6,IF(C440&lt;='SOLLECITAZ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paramento'!$G$111),55555)-IF(C440&lt;='SOLLECITAZ NASCOSTO'!$P$12,IF(C440&lt;='SOLLECITAZ NASCOSTO'!$P$11,IF(C440&lt;='SOLLECITAZ NASCOSTO'!$P$10,IF(C440&lt;='SOLLECITAZ NASCOSTO'!$P$9,IF(C440&lt;='SOLLECITAZ NASCOSTO'!$P$8,IF(C440&lt;='SOLLECITAZ NASCOSTO'!$P$7,IF(C440&lt;='SOLLECITAZ NASCOSTO'!$P$6,IF(C440&lt;='SOLLECITAZ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paramento'!$G$111))*(C440-IF(C440&lt;='SOLLECITAZ NASCOSTO'!$P$12,IF(C440&lt;='SOLLECITAZ NASCOSTO'!$P$11,IF(C440&lt;='SOLLECITAZ NASCOSTO'!$P$10,IF(C440&lt;='SOLLECITAZ NASCOSTO'!$P$9,IF(C440&lt;='SOLLECITAZ NASCOSTO'!$P$8,IF(C440&lt;='SOLLECITAZ NASCOSTO'!$P$7,IF(C440&lt;='SOLLECITAZ NASCOSTO'!$P$6,IF(C440&lt;='SOLLECITAZ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NASCOSTO'!$P$12))/IF(C440&lt;='SOLLECITAZ NASCOSTO'!$P$12,IF(C440&lt;='SOLLECITAZ NASCOSTO'!$P$11,IF(C440&lt;='SOLLECITAZ NASCOSTO'!$P$10,IF(C440&lt;='SOLLECITAZ NASCOSTO'!$P$9,IF(C440&lt;='SOLLECITAZ NASCOSTO'!$P$8,IF(C440&lt;='SOLLECITAZ NASCOSTO'!$P$7,IF(C440&lt;='SOLLECITAZ NASCOSTO'!$P$6,IF(C440&lt;='SOLLECITAZ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paramento'!$C$111)+IF(C440&lt;='SOLLECITAZ NASCOSTO'!$P$12,IF(C440&lt;='SOLLECITAZ NASCOSTO'!$P$11,IF(C440&lt;='SOLLECITAZ NASCOSTO'!$P$10,IF(C440&lt;='SOLLECITAZ NASCOSTO'!$P$9,IF(C440&lt;='SOLLECITAZ NASCOSTO'!$P$8,IF(C440&lt;='SOLLECITAZ NASCOSTO'!$P$7,IF(C440&lt;='SOLLECITAZ NASCOSTO'!$P$6,IF(C440&lt;='SOLLECITAZ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118.7865013900477</v>
      </c>
      <c r="O441" s="41">
        <f>IF(C441&lt;='SOLLECITAZ NASCOSTO'!$P$12,IF(C441&lt;='SOLLECITAZ NASCOSTO'!$P$11,IF(C441&lt;='SOLLECITAZ NASCOSTO'!$P$10,IF(C441&lt;='SOLLECITAZ NASCOSTO'!$P$9,IF(C441&lt;='SOLLECITAZ NASCOSTO'!$P$8,IF(C441&lt;='SOLLECITAZ NASCOSTO'!$P$7,IF(C441&lt;='SOLLECITAZ NASCOSTO'!$P$6,IF(C441&lt;='SOLLECITAZ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paramento'!$G$110),55555)*(C441-C440)/IF(C441&lt;='SOLLECITAZ NASCOSTO'!$P$12,IF(C441&lt;='SOLLECITAZ NASCOSTO'!$P$11,IF(C441&lt;='SOLLECITAZ NASCOSTO'!$P$10,IF(C441&lt;='SOLLECITAZ NASCOSTO'!$P$9,IF(C441&lt;='SOLLECITAZ NASCOSTO'!$P$8,IF(C441&lt;='SOLLECITAZ NASCOSTO'!$P$7,IF(C441&lt;='SOLLECITAZ NASCOSTO'!$P$6,IF(C441&lt;='SOLLECITAZ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41" s="41">
        <f t="shared" si="137"/>
        <v>4.0800000000000341E-4</v>
      </c>
      <c r="Q441" s="41">
        <f t="shared" si="135"/>
        <v>1</v>
      </c>
      <c r="R441" s="434">
        <f t="shared" si="128"/>
        <v>4.4558009404680297</v>
      </c>
      <c r="S441" s="45">
        <f t="shared" si="136"/>
        <v>4.4558009404680297</v>
      </c>
      <c r="T441" s="205">
        <f t="shared" si="131"/>
        <v>0.57626065179285124</v>
      </c>
      <c r="U441" s="45">
        <f t="shared" si="133"/>
        <v>295.23462087798811</v>
      </c>
      <c r="V441" s="45">
        <f t="shared" si="134"/>
        <v>-483.08363525739799</v>
      </c>
      <c r="W441" s="488"/>
    </row>
    <row r="442" spans="1:25" ht="15" customHeight="1" x14ac:dyDescent="0.25">
      <c r="A442" s="581">
        <f t="shared" si="129"/>
        <v>0.73058494351134506</v>
      </c>
      <c r="B442" s="31">
        <f t="shared" si="112"/>
        <v>410</v>
      </c>
      <c r="C442" s="434">
        <f>'SOLLECITAZ NASCOSTO'!$D$6/'SOLLECITAZ NASCOSTO'!$B$448*'SOLLECITAZ NASCOSTO'!B442</f>
        <v>4.4666953192955798</v>
      </c>
      <c r="D442" s="434">
        <f t="shared" si="130"/>
        <v>0.85058494351134506</v>
      </c>
      <c r="E442" s="434">
        <f t="shared" si="124"/>
        <v>0.73058494351134506</v>
      </c>
      <c r="F442" s="434">
        <f t="shared" si="125"/>
        <v>0.53378718192363039</v>
      </c>
      <c r="G442" s="434">
        <f t="shared" si="126"/>
        <v>0.13145515938051169</v>
      </c>
      <c r="H442" s="434">
        <f t="shared" si="138"/>
        <v>0</v>
      </c>
      <c r="I442" s="434">
        <v>0</v>
      </c>
      <c r="J442" s="127">
        <f t="shared" si="139"/>
        <v>0.24626885738766044</v>
      </c>
      <c r="K442" s="126">
        <f t="shared" si="127"/>
        <v>3.4524366796710809E-2</v>
      </c>
      <c r="L442" s="41">
        <f t="shared" si="140"/>
        <v>296.53294415719688</v>
      </c>
      <c r="M442" s="41">
        <f t="shared" si="132"/>
        <v>-486.30710527307309</v>
      </c>
      <c r="N442" s="41">
        <f>(IF(C441&lt;='SOLLECITAZ NASCOSTO'!$P$12,IF(C441&lt;='SOLLECITAZ NASCOSTO'!$P$11,IF(C441&lt;='SOLLECITAZ NASCOSTO'!$P$10,IF(C441&lt;='SOLLECITAZ NASCOSTO'!$P$9,IF(C441&lt;='SOLLECITAZ NASCOSTO'!$P$8,IF(C441&lt;='SOLLECITAZ NASCOSTO'!$P$7,IF(C441&lt;='SOLLECITAZ NASCOSTO'!$P$6,IF(C441&lt;='SOLLECITAZ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paramento'!$G$111),55555)-IF(C441&lt;='SOLLECITAZ NASCOSTO'!$P$12,IF(C441&lt;='SOLLECITAZ NASCOSTO'!$P$11,IF(C441&lt;='SOLLECITAZ NASCOSTO'!$P$10,IF(C441&lt;='SOLLECITAZ NASCOSTO'!$P$9,IF(C441&lt;='SOLLECITAZ NASCOSTO'!$P$8,IF(C441&lt;='SOLLECITAZ NASCOSTO'!$P$7,IF(C441&lt;='SOLLECITAZ NASCOSTO'!$P$6,IF(C441&lt;='SOLLECITAZ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paramento'!$G$111))*(C441-IF(C441&lt;='SOLLECITAZ NASCOSTO'!$P$12,IF(C441&lt;='SOLLECITAZ NASCOSTO'!$P$11,IF(C441&lt;='SOLLECITAZ NASCOSTO'!$P$10,IF(C441&lt;='SOLLECITAZ NASCOSTO'!$P$9,IF(C441&lt;='SOLLECITAZ NASCOSTO'!$P$8,IF(C441&lt;='SOLLECITAZ NASCOSTO'!$P$7,IF(C441&lt;='SOLLECITAZ NASCOSTO'!$P$6,IF(C441&lt;='SOLLECITAZ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NASCOSTO'!$P$12))/IF(C441&lt;='SOLLECITAZ NASCOSTO'!$P$12,IF(C441&lt;='SOLLECITAZ NASCOSTO'!$P$11,IF(C441&lt;='SOLLECITAZ NASCOSTO'!$P$10,IF(C441&lt;='SOLLECITAZ NASCOSTO'!$P$9,IF(C441&lt;='SOLLECITAZ NASCOSTO'!$P$8,IF(C441&lt;='SOLLECITAZ NASCOSTO'!$P$7,IF(C441&lt;='SOLLECITAZ NASCOSTO'!$P$6,IF(C441&lt;='SOLLECITAZ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paramento'!$C$111)+IF(C441&lt;='SOLLECITAZ NASCOSTO'!$P$12,IF(C441&lt;='SOLLECITAZ NASCOSTO'!$P$11,IF(C441&lt;='SOLLECITAZ NASCOSTO'!$P$10,IF(C441&lt;='SOLLECITAZ NASCOSTO'!$P$9,IF(C441&lt;='SOLLECITAZ NASCOSTO'!$P$8,IF(C441&lt;='SOLLECITAZ NASCOSTO'!$P$7,IF(C441&lt;='SOLLECITAZ NASCOSTO'!$P$6,IF(C441&lt;='SOLLECITAZ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119.0446243194971</v>
      </c>
      <c r="O442" s="41">
        <f>IF(C442&lt;='SOLLECITAZ NASCOSTO'!$P$12,IF(C442&lt;='SOLLECITAZ NASCOSTO'!$P$11,IF(C442&lt;='SOLLECITAZ NASCOSTO'!$P$10,IF(C442&lt;='SOLLECITAZ NASCOSTO'!$P$9,IF(C442&lt;='SOLLECITAZ NASCOSTO'!$P$8,IF(C442&lt;='SOLLECITAZ NASCOSTO'!$P$7,IF(C442&lt;='SOLLECITAZ NASCOSTO'!$P$6,IF(C442&lt;='SOLLECITAZ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paramento'!$G$110),55555)*(C442-C441)/IF(C442&lt;='SOLLECITAZ NASCOSTO'!$P$12,IF(C442&lt;='SOLLECITAZ NASCOSTO'!$P$11,IF(C442&lt;='SOLLECITAZ NASCOSTO'!$P$10,IF(C442&lt;='SOLLECITAZ NASCOSTO'!$P$9,IF(C442&lt;='SOLLECITAZ NASCOSTO'!$P$8,IF(C442&lt;='SOLLECITAZ NASCOSTO'!$P$7,IF(C442&lt;='SOLLECITAZ NASCOSTO'!$P$6,IF(C442&lt;='SOLLECITAZ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42" s="41">
        <f t="shared" si="137"/>
        <v>4.0900000000000344E-4</v>
      </c>
      <c r="Q442" s="41">
        <f t="shared" si="135"/>
        <v>1</v>
      </c>
      <c r="R442" s="434">
        <f t="shared" si="128"/>
        <v>4.4666953192955798</v>
      </c>
      <c r="S442" s="45">
        <f t="shared" si="136"/>
        <v>4.4666953192955798</v>
      </c>
      <c r="T442" s="205">
        <f t="shared" si="131"/>
        <v>0.56536627296530106</v>
      </c>
      <c r="U442" s="45">
        <f t="shared" si="133"/>
        <v>296.53294415719688</v>
      </c>
      <c r="V442" s="45">
        <f t="shared" si="134"/>
        <v>-486.30710527307309</v>
      </c>
      <c r="W442" s="488"/>
    </row>
    <row r="443" spans="1:25" ht="15" customHeight="1" x14ac:dyDescent="0.25">
      <c r="A443" s="581">
        <f t="shared" si="129"/>
        <v>0.73215578625945421</v>
      </c>
      <c r="B443" s="31">
        <f t="shared" si="112"/>
        <v>411</v>
      </c>
      <c r="C443" s="434">
        <f>'SOLLECITAZ NASCOSTO'!$D$6/'SOLLECITAZ NASCOSTO'!$B$448*'SOLLECITAZ NASCOSTO'!B443</f>
        <v>4.47758969812313</v>
      </c>
      <c r="D443" s="434">
        <f t="shared" si="130"/>
        <v>0.85215578625945421</v>
      </c>
      <c r="E443" s="434">
        <f t="shared" si="124"/>
        <v>0.73215578625945421</v>
      </c>
      <c r="F443" s="434">
        <f t="shared" si="125"/>
        <v>0.53428985160302533</v>
      </c>
      <c r="G443" s="434">
        <f t="shared" si="126"/>
        <v>0.13188311744887496</v>
      </c>
      <c r="H443" s="434">
        <f t="shared" si="138"/>
        <v>0</v>
      </c>
      <c r="I443" s="434">
        <v>0</v>
      </c>
      <c r="J443" s="127">
        <f t="shared" si="139"/>
        <v>0.24683814797003378</v>
      </c>
      <c r="K443" s="126">
        <f t="shared" si="127"/>
        <v>3.4708245155648985E-2</v>
      </c>
      <c r="L443" s="41">
        <f t="shared" si="140"/>
        <v>297.83407952538312</v>
      </c>
      <c r="M443" s="41">
        <f t="shared" si="132"/>
        <v>-489.54473503237386</v>
      </c>
      <c r="N443" s="41">
        <f>(IF(C442&lt;='SOLLECITAZ NASCOSTO'!$P$12,IF(C442&lt;='SOLLECITAZ NASCOSTO'!$P$11,IF(C442&lt;='SOLLECITAZ NASCOSTO'!$P$10,IF(C442&lt;='SOLLECITAZ NASCOSTO'!$P$9,IF(C442&lt;='SOLLECITAZ NASCOSTO'!$P$8,IF(C442&lt;='SOLLECITAZ NASCOSTO'!$P$7,IF(C442&lt;='SOLLECITAZ NASCOSTO'!$P$6,IF(C442&lt;='SOLLECITAZ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paramento'!$G$111),55555)-IF(C442&lt;='SOLLECITAZ NASCOSTO'!$P$12,IF(C442&lt;='SOLLECITAZ NASCOSTO'!$P$11,IF(C442&lt;='SOLLECITAZ NASCOSTO'!$P$10,IF(C442&lt;='SOLLECITAZ NASCOSTO'!$P$9,IF(C442&lt;='SOLLECITAZ NASCOSTO'!$P$8,IF(C442&lt;='SOLLECITAZ NASCOSTO'!$P$7,IF(C442&lt;='SOLLECITAZ NASCOSTO'!$P$6,IF(C442&lt;='SOLLECITAZ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paramento'!$G$111))*(C442-IF(C442&lt;='SOLLECITAZ NASCOSTO'!$P$12,IF(C442&lt;='SOLLECITAZ NASCOSTO'!$P$11,IF(C442&lt;='SOLLECITAZ NASCOSTO'!$P$10,IF(C442&lt;='SOLLECITAZ NASCOSTO'!$P$9,IF(C442&lt;='SOLLECITAZ NASCOSTO'!$P$8,IF(C442&lt;='SOLLECITAZ NASCOSTO'!$P$7,IF(C442&lt;='SOLLECITAZ NASCOSTO'!$P$6,IF(C442&lt;='SOLLECITAZ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NASCOSTO'!$P$12))/IF(C442&lt;='SOLLECITAZ NASCOSTO'!$P$12,IF(C442&lt;='SOLLECITAZ NASCOSTO'!$P$11,IF(C442&lt;='SOLLECITAZ NASCOSTO'!$P$10,IF(C442&lt;='SOLLECITAZ NASCOSTO'!$P$9,IF(C442&lt;='SOLLECITAZ NASCOSTO'!$P$8,IF(C442&lt;='SOLLECITAZ NASCOSTO'!$P$7,IF(C442&lt;='SOLLECITAZ NASCOSTO'!$P$6,IF(C442&lt;='SOLLECITAZ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paramento'!$C$111)+IF(C442&lt;='SOLLECITAZ NASCOSTO'!$P$12,IF(C442&lt;='SOLLECITAZ NASCOSTO'!$P$11,IF(C442&lt;='SOLLECITAZ NASCOSTO'!$P$10,IF(C442&lt;='SOLLECITAZ NASCOSTO'!$P$9,IF(C442&lt;='SOLLECITAZ NASCOSTO'!$P$8,IF(C442&lt;='SOLLECITAZ NASCOSTO'!$P$7,IF(C442&lt;='SOLLECITAZ NASCOSTO'!$P$6,IF(C442&lt;='SOLLECITAZ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119.3027472489465</v>
      </c>
      <c r="O443" s="41">
        <f>IF(C443&lt;='SOLLECITAZ NASCOSTO'!$P$12,IF(C443&lt;='SOLLECITAZ NASCOSTO'!$P$11,IF(C443&lt;='SOLLECITAZ NASCOSTO'!$P$10,IF(C443&lt;='SOLLECITAZ NASCOSTO'!$P$9,IF(C443&lt;='SOLLECITAZ NASCOSTO'!$P$8,IF(C443&lt;='SOLLECITAZ NASCOSTO'!$P$7,IF(C443&lt;='SOLLECITAZ NASCOSTO'!$P$6,IF(C443&lt;='SOLLECITAZ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paramento'!$G$110),55555)*(C443-C442)/IF(C443&lt;='SOLLECITAZ NASCOSTO'!$P$12,IF(C443&lt;='SOLLECITAZ NASCOSTO'!$P$11,IF(C443&lt;='SOLLECITAZ NASCOSTO'!$P$10,IF(C443&lt;='SOLLECITAZ NASCOSTO'!$P$9,IF(C443&lt;='SOLLECITAZ NASCOSTO'!$P$8,IF(C443&lt;='SOLLECITAZ NASCOSTO'!$P$7,IF(C443&lt;='SOLLECITAZ NASCOSTO'!$P$6,IF(C443&lt;='SOLLECITAZ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43" s="41">
        <f t="shared" si="137"/>
        <v>4.1000000000000346E-4</v>
      </c>
      <c r="Q443" s="41">
        <f t="shared" si="135"/>
        <v>1</v>
      </c>
      <c r="R443" s="434">
        <f t="shared" si="128"/>
        <v>4.47758969812313</v>
      </c>
      <c r="S443" s="45">
        <f t="shared" si="136"/>
        <v>4.47758969812313</v>
      </c>
      <c r="T443" s="205">
        <f t="shared" si="131"/>
        <v>0.55447189413775089</v>
      </c>
      <c r="U443" s="45">
        <f t="shared" si="133"/>
        <v>297.83407952538312</v>
      </c>
      <c r="V443" s="45">
        <f t="shared" si="134"/>
        <v>-489.54473503237386</v>
      </c>
      <c r="W443" s="488"/>
    </row>
    <row r="444" spans="1:25" ht="15" customHeight="1" x14ac:dyDescent="0.25">
      <c r="A444" s="581">
        <f t="shared" si="129"/>
        <v>0.73372662900756336</v>
      </c>
      <c r="B444" s="31">
        <f t="shared" si="112"/>
        <v>412</v>
      </c>
      <c r="C444" s="434">
        <f>'SOLLECITAZ NASCOSTO'!$D$6/'SOLLECITAZ NASCOSTO'!$B$448*'SOLLECITAZ NASCOSTO'!B444</f>
        <v>4.4884840769506802</v>
      </c>
      <c r="D444" s="434">
        <f t="shared" si="130"/>
        <v>0.85372662900756335</v>
      </c>
      <c r="E444" s="434">
        <f t="shared" si="124"/>
        <v>0.73372662900756336</v>
      </c>
      <c r="F444" s="434">
        <f t="shared" si="125"/>
        <v>0.53479252128242027</v>
      </c>
      <c r="G444" s="434">
        <f t="shared" si="126"/>
        <v>0.13231186513225884</v>
      </c>
      <c r="H444" s="434">
        <f t="shared" si="138"/>
        <v>0</v>
      </c>
      <c r="I444" s="434">
        <v>0</v>
      </c>
      <c r="J444" s="127">
        <f t="shared" si="139"/>
        <v>0.24740784484977091</v>
      </c>
      <c r="K444" s="126">
        <f t="shared" si="127"/>
        <v>3.4892732885016944E-2</v>
      </c>
      <c r="L444" s="41">
        <f t="shared" si="140"/>
        <v>299.13802698254688</v>
      </c>
      <c r="M444" s="41">
        <f t="shared" si="132"/>
        <v>-492.79655517126287</v>
      </c>
      <c r="N444" s="41">
        <f>(IF(C443&lt;='SOLLECITAZ NASCOSTO'!$P$12,IF(C443&lt;='SOLLECITAZ NASCOSTO'!$P$11,IF(C443&lt;='SOLLECITAZ NASCOSTO'!$P$10,IF(C443&lt;='SOLLECITAZ NASCOSTO'!$P$9,IF(C443&lt;='SOLLECITAZ NASCOSTO'!$P$8,IF(C443&lt;='SOLLECITAZ NASCOSTO'!$P$7,IF(C443&lt;='SOLLECITAZ NASCOSTO'!$P$6,IF(C443&lt;='SOLLECITAZ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paramento'!$G$111),55555)-IF(C443&lt;='SOLLECITAZ NASCOSTO'!$P$12,IF(C443&lt;='SOLLECITAZ NASCOSTO'!$P$11,IF(C443&lt;='SOLLECITAZ NASCOSTO'!$P$10,IF(C443&lt;='SOLLECITAZ NASCOSTO'!$P$9,IF(C443&lt;='SOLLECITAZ NASCOSTO'!$P$8,IF(C443&lt;='SOLLECITAZ NASCOSTO'!$P$7,IF(C443&lt;='SOLLECITAZ NASCOSTO'!$P$6,IF(C443&lt;='SOLLECITAZ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paramento'!$G$111))*(C443-IF(C443&lt;='SOLLECITAZ NASCOSTO'!$P$12,IF(C443&lt;='SOLLECITAZ NASCOSTO'!$P$11,IF(C443&lt;='SOLLECITAZ NASCOSTO'!$P$10,IF(C443&lt;='SOLLECITAZ NASCOSTO'!$P$9,IF(C443&lt;='SOLLECITAZ NASCOSTO'!$P$8,IF(C443&lt;='SOLLECITAZ NASCOSTO'!$P$7,IF(C443&lt;='SOLLECITAZ NASCOSTO'!$P$6,IF(C443&lt;='SOLLECITAZ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NASCOSTO'!$P$12))/IF(C443&lt;='SOLLECITAZ NASCOSTO'!$P$12,IF(C443&lt;='SOLLECITAZ NASCOSTO'!$P$11,IF(C443&lt;='SOLLECITAZ NASCOSTO'!$P$10,IF(C443&lt;='SOLLECITAZ NASCOSTO'!$P$9,IF(C443&lt;='SOLLECITAZ NASCOSTO'!$P$8,IF(C443&lt;='SOLLECITAZ NASCOSTO'!$P$7,IF(C443&lt;='SOLLECITAZ NASCOSTO'!$P$6,IF(C443&lt;='SOLLECITAZ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paramento'!$C$111)+IF(C443&lt;='SOLLECITAZ NASCOSTO'!$P$12,IF(C443&lt;='SOLLECITAZ NASCOSTO'!$P$11,IF(C443&lt;='SOLLECITAZ NASCOSTO'!$P$10,IF(C443&lt;='SOLLECITAZ NASCOSTO'!$P$9,IF(C443&lt;='SOLLECITAZ NASCOSTO'!$P$8,IF(C443&lt;='SOLLECITAZ NASCOSTO'!$P$7,IF(C443&lt;='SOLLECITAZ NASCOSTO'!$P$6,IF(C443&lt;='SOLLECITAZ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119.56087017839593</v>
      </c>
      <c r="O444" s="41">
        <f>IF(C444&lt;='SOLLECITAZ NASCOSTO'!$P$12,IF(C444&lt;='SOLLECITAZ NASCOSTO'!$P$11,IF(C444&lt;='SOLLECITAZ NASCOSTO'!$P$10,IF(C444&lt;='SOLLECITAZ NASCOSTO'!$P$9,IF(C444&lt;='SOLLECITAZ NASCOSTO'!$P$8,IF(C444&lt;='SOLLECITAZ NASCOSTO'!$P$7,IF(C444&lt;='SOLLECITAZ NASCOSTO'!$P$6,IF(C444&lt;='SOLLECITAZ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paramento'!$G$110),55555)*(C444-C443)/IF(C444&lt;='SOLLECITAZ NASCOSTO'!$P$12,IF(C444&lt;='SOLLECITAZ NASCOSTO'!$P$11,IF(C444&lt;='SOLLECITAZ NASCOSTO'!$P$10,IF(C444&lt;='SOLLECITAZ NASCOSTO'!$P$9,IF(C444&lt;='SOLLECITAZ NASCOSTO'!$P$8,IF(C444&lt;='SOLLECITAZ NASCOSTO'!$P$7,IF(C444&lt;='SOLLECITAZ NASCOSTO'!$P$6,IF(C444&lt;='SOLLECITAZ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44" s="41">
        <f t="shared" si="137"/>
        <v>4.1100000000000348E-4</v>
      </c>
      <c r="Q444" s="41">
        <f t="shared" si="135"/>
        <v>1</v>
      </c>
      <c r="R444" s="434">
        <f t="shared" si="128"/>
        <v>4.4884840769506802</v>
      </c>
      <c r="S444" s="45">
        <f t="shared" si="136"/>
        <v>4.4884840769506802</v>
      </c>
      <c r="T444" s="205">
        <f t="shared" si="131"/>
        <v>0.54357751531020071</v>
      </c>
      <c r="U444" s="45">
        <f t="shared" si="133"/>
        <v>299.13802698254688</v>
      </c>
      <c r="V444" s="45">
        <f t="shared" si="134"/>
        <v>-492.79655517126287</v>
      </c>
      <c r="W444" s="488"/>
    </row>
    <row r="445" spans="1:25" ht="15" customHeight="1" x14ac:dyDescent="0.25">
      <c r="A445" s="581">
        <f t="shared" si="129"/>
        <v>0.7352974717556725</v>
      </c>
      <c r="B445" s="31">
        <f t="shared" si="112"/>
        <v>413</v>
      </c>
      <c r="C445" s="434">
        <f>'SOLLECITAZ NASCOSTO'!$D$6/'SOLLECITAZ NASCOSTO'!$B$448*'SOLLECITAZ NASCOSTO'!B445</f>
        <v>4.4993784557782304</v>
      </c>
      <c r="D445" s="434">
        <f t="shared" si="130"/>
        <v>0.8552974717556725</v>
      </c>
      <c r="E445" s="434">
        <f t="shared" si="124"/>
        <v>0.7352974717556725</v>
      </c>
      <c r="F445" s="434">
        <f t="shared" si="125"/>
        <v>0.53529519096181521</v>
      </c>
      <c r="G445" s="434">
        <f t="shared" si="126"/>
        <v>0.13274140243066326</v>
      </c>
      <c r="H445" s="434">
        <f t="shared" si="138"/>
        <v>0</v>
      </c>
      <c r="I445" s="434">
        <v>0</v>
      </c>
      <c r="J445" s="127">
        <f t="shared" si="139"/>
        <v>0.2479779468822694</v>
      </c>
      <c r="K445" s="126">
        <f t="shared" si="127"/>
        <v>3.5077830745352069E-2</v>
      </c>
      <c r="L445" s="41">
        <f t="shared" si="140"/>
        <v>300.44478652868816</v>
      </c>
      <c r="M445" s="41">
        <f t="shared" si="132"/>
        <v>-496.06259632570277</v>
      </c>
      <c r="N445" s="41">
        <f>(IF(C444&lt;='SOLLECITAZ NASCOSTO'!$P$12,IF(C444&lt;='SOLLECITAZ NASCOSTO'!$P$11,IF(C444&lt;='SOLLECITAZ NASCOSTO'!$P$10,IF(C444&lt;='SOLLECITAZ NASCOSTO'!$P$9,IF(C444&lt;='SOLLECITAZ NASCOSTO'!$P$8,IF(C444&lt;='SOLLECITAZ NASCOSTO'!$P$7,IF(C444&lt;='SOLLECITAZ NASCOSTO'!$P$6,IF(C444&lt;='SOLLECITAZ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paramento'!$G$111),55555)-IF(C444&lt;='SOLLECITAZ NASCOSTO'!$P$12,IF(C444&lt;='SOLLECITAZ NASCOSTO'!$P$11,IF(C444&lt;='SOLLECITAZ NASCOSTO'!$P$10,IF(C444&lt;='SOLLECITAZ NASCOSTO'!$P$9,IF(C444&lt;='SOLLECITAZ NASCOSTO'!$P$8,IF(C444&lt;='SOLLECITAZ NASCOSTO'!$P$7,IF(C444&lt;='SOLLECITAZ NASCOSTO'!$P$6,IF(C444&lt;='SOLLECITAZ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paramento'!$G$111))*(C444-IF(C444&lt;='SOLLECITAZ NASCOSTO'!$P$12,IF(C444&lt;='SOLLECITAZ NASCOSTO'!$P$11,IF(C444&lt;='SOLLECITAZ NASCOSTO'!$P$10,IF(C444&lt;='SOLLECITAZ NASCOSTO'!$P$9,IF(C444&lt;='SOLLECITAZ NASCOSTO'!$P$8,IF(C444&lt;='SOLLECITAZ NASCOSTO'!$P$7,IF(C444&lt;='SOLLECITAZ NASCOSTO'!$P$6,IF(C444&lt;='SOLLECITAZ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NASCOSTO'!$P$12))/IF(C444&lt;='SOLLECITAZ NASCOSTO'!$P$12,IF(C444&lt;='SOLLECITAZ NASCOSTO'!$P$11,IF(C444&lt;='SOLLECITAZ NASCOSTO'!$P$10,IF(C444&lt;='SOLLECITAZ NASCOSTO'!$P$9,IF(C444&lt;='SOLLECITAZ NASCOSTO'!$P$8,IF(C444&lt;='SOLLECITAZ NASCOSTO'!$P$7,IF(C444&lt;='SOLLECITAZ NASCOSTO'!$P$6,IF(C444&lt;='SOLLECITAZ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paramento'!$C$111)+IF(C444&lt;='SOLLECITAZ NASCOSTO'!$P$12,IF(C444&lt;='SOLLECITAZ NASCOSTO'!$P$11,IF(C444&lt;='SOLLECITAZ NASCOSTO'!$P$10,IF(C444&lt;='SOLLECITAZ NASCOSTO'!$P$9,IF(C444&lt;='SOLLECITAZ NASCOSTO'!$P$8,IF(C444&lt;='SOLLECITAZ NASCOSTO'!$P$7,IF(C444&lt;='SOLLECITAZ NASCOSTO'!$P$6,IF(C444&lt;='SOLLECITAZ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119.81899310784533</v>
      </c>
      <c r="O445" s="41">
        <f>IF(C445&lt;='SOLLECITAZ NASCOSTO'!$P$12,IF(C445&lt;='SOLLECITAZ NASCOSTO'!$P$11,IF(C445&lt;='SOLLECITAZ NASCOSTO'!$P$10,IF(C445&lt;='SOLLECITAZ NASCOSTO'!$P$9,IF(C445&lt;='SOLLECITAZ NASCOSTO'!$P$8,IF(C445&lt;='SOLLECITAZ NASCOSTO'!$P$7,IF(C445&lt;='SOLLECITAZ NASCOSTO'!$P$6,IF(C445&lt;='SOLLECITAZ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paramento'!$G$110),55555)*(C445-C444)/IF(C445&lt;='SOLLECITAZ NASCOSTO'!$P$12,IF(C445&lt;='SOLLECITAZ NASCOSTO'!$P$11,IF(C445&lt;='SOLLECITAZ NASCOSTO'!$P$10,IF(C445&lt;='SOLLECITAZ NASCOSTO'!$P$9,IF(C445&lt;='SOLLECITAZ NASCOSTO'!$P$8,IF(C445&lt;='SOLLECITAZ NASCOSTO'!$P$7,IF(C445&lt;='SOLLECITAZ NASCOSTO'!$P$6,IF(C445&lt;='SOLLECITAZ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45" s="41">
        <f t="shared" si="137"/>
        <v>4.1200000000000351E-4</v>
      </c>
      <c r="Q445" s="41">
        <f t="shared" si="135"/>
        <v>1</v>
      </c>
      <c r="R445" s="434">
        <f t="shared" si="128"/>
        <v>4.4993784557782304</v>
      </c>
      <c r="S445" s="45">
        <f t="shared" si="136"/>
        <v>4.4993784557782304</v>
      </c>
      <c r="T445" s="205">
        <f t="shared" si="131"/>
        <v>0.53268313648265053</v>
      </c>
      <c r="U445" s="45">
        <f t="shared" si="133"/>
        <v>300.44478652868816</v>
      </c>
      <c r="V445" s="45">
        <f t="shared" si="134"/>
        <v>-496.06259632570277</v>
      </c>
      <c r="W445" s="488"/>
    </row>
    <row r="446" spans="1:25" ht="15" customHeight="1" x14ac:dyDescent="0.25">
      <c r="A446" s="581">
        <f t="shared" si="129"/>
        <v>0.73686831450378165</v>
      </c>
      <c r="B446" s="31">
        <f t="shared" si="112"/>
        <v>414</v>
      </c>
      <c r="C446" s="434">
        <f>'SOLLECITAZ NASCOSTO'!$D$6/'SOLLECITAZ NASCOSTO'!$B$448*'SOLLECITAZ NASCOSTO'!B446</f>
        <v>4.5102728346057805</v>
      </c>
      <c r="D446" s="434">
        <f t="shared" si="130"/>
        <v>0.85686831450378165</v>
      </c>
      <c r="E446" s="434">
        <f t="shared" si="124"/>
        <v>0.73686831450378165</v>
      </c>
      <c r="F446" s="434">
        <f t="shared" si="125"/>
        <v>0.53579786064121016</v>
      </c>
      <c r="G446" s="434">
        <f t="shared" si="126"/>
        <v>0.13317172934408827</v>
      </c>
      <c r="H446" s="434">
        <f t="shared" si="138"/>
        <v>0</v>
      </c>
      <c r="I446" s="434">
        <v>0</v>
      </c>
      <c r="J446" s="127">
        <f t="shared" si="139"/>
        <v>0.24854845292722236</v>
      </c>
      <c r="K446" s="126">
        <f t="shared" si="127"/>
        <v>3.5263539496664983E-2</v>
      </c>
      <c r="L446" s="41">
        <f t="shared" si="140"/>
        <v>301.7543581638069</v>
      </c>
      <c r="M446" s="41">
        <f t="shared" si="132"/>
        <v>-499.34288913165614</v>
      </c>
      <c r="N446" s="41">
        <f>(IF(C445&lt;='SOLLECITAZ NASCOSTO'!$P$12,IF(C445&lt;='SOLLECITAZ NASCOSTO'!$P$11,IF(C445&lt;='SOLLECITAZ NASCOSTO'!$P$10,IF(C445&lt;='SOLLECITAZ NASCOSTO'!$P$9,IF(C445&lt;='SOLLECITAZ NASCOSTO'!$P$8,IF(C445&lt;='SOLLECITAZ NASCOSTO'!$P$7,IF(C445&lt;='SOLLECITAZ NASCOSTO'!$P$6,IF(C445&lt;='SOLLECITAZ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paramento'!$G$111),55555)-IF(C445&lt;='SOLLECITAZ NASCOSTO'!$P$12,IF(C445&lt;='SOLLECITAZ NASCOSTO'!$P$11,IF(C445&lt;='SOLLECITAZ NASCOSTO'!$P$10,IF(C445&lt;='SOLLECITAZ NASCOSTO'!$P$9,IF(C445&lt;='SOLLECITAZ NASCOSTO'!$P$8,IF(C445&lt;='SOLLECITAZ NASCOSTO'!$P$7,IF(C445&lt;='SOLLECITAZ NASCOSTO'!$P$6,IF(C445&lt;='SOLLECITAZ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paramento'!$G$111))*(C445-IF(C445&lt;='SOLLECITAZ NASCOSTO'!$P$12,IF(C445&lt;='SOLLECITAZ NASCOSTO'!$P$11,IF(C445&lt;='SOLLECITAZ NASCOSTO'!$P$10,IF(C445&lt;='SOLLECITAZ NASCOSTO'!$P$9,IF(C445&lt;='SOLLECITAZ NASCOSTO'!$P$8,IF(C445&lt;='SOLLECITAZ NASCOSTO'!$P$7,IF(C445&lt;='SOLLECITAZ NASCOSTO'!$P$6,IF(C445&lt;='SOLLECITAZ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NASCOSTO'!$P$12))/IF(C445&lt;='SOLLECITAZ NASCOSTO'!$P$12,IF(C445&lt;='SOLLECITAZ NASCOSTO'!$P$11,IF(C445&lt;='SOLLECITAZ NASCOSTO'!$P$10,IF(C445&lt;='SOLLECITAZ NASCOSTO'!$P$9,IF(C445&lt;='SOLLECITAZ NASCOSTO'!$P$8,IF(C445&lt;='SOLLECITAZ NASCOSTO'!$P$7,IF(C445&lt;='SOLLECITAZ NASCOSTO'!$P$6,IF(C445&lt;='SOLLECITAZ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paramento'!$C$111)+IF(C445&lt;='SOLLECITAZ NASCOSTO'!$P$12,IF(C445&lt;='SOLLECITAZ NASCOSTO'!$P$11,IF(C445&lt;='SOLLECITAZ NASCOSTO'!$P$10,IF(C445&lt;='SOLLECITAZ NASCOSTO'!$P$9,IF(C445&lt;='SOLLECITAZ NASCOSTO'!$P$8,IF(C445&lt;='SOLLECITAZ NASCOSTO'!$P$7,IF(C445&lt;='SOLLECITAZ NASCOSTO'!$P$6,IF(C445&lt;='SOLLECITAZ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120.07711603729473</v>
      </c>
      <c r="O446" s="41">
        <f>IF(C446&lt;='SOLLECITAZ NASCOSTO'!$P$12,IF(C446&lt;='SOLLECITAZ NASCOSTO'!$P$11,IF(C446&lt;='SOLLECITAZ NASCOSTO'!$P$10,IF(C446&lt;='SOLLECITAZ NASCOSTO'!$P$9,IF(C446&lt;='SOLLECITAZ NASCOSTO'!$P$8,IF(C446&lt;='SOLLECITAZ NASCOSTO'!$P$7,IF(C446&lt;='SOLLECITAZ NASCOSTO'!$P$6,IF(C446&lt;='SOLLECITAZ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paramento'!$G$110),55555)*(C446-C445)/IF(C446&lt;='SOLLECITAZ NASCOSTO'!$P$12,IF(C446&lt;='SOLLECITAZ NASCOSTO'!$P$11,IF(C446&lt;='SOLLECITAZ NASCOSTO'!$P$10,IF(C446&lt;='SOLLECITAZ NASCOSTO'!$P$9,IF(C446&lt;='SOLLECITAZ NASCOSTO'!$P$8,IF(C446&lt;='SOLLECITAZ NASCOSTO'!$P$7,IF(C446&lt;='SOLLECITAZ NASCOSTO'!$P$6,IF(C446&lt;='SOLLECITAZ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46" s="41">
        <f t="shared" si="137"/>
        <v>4.1300000000000353E-4</v>
      </c>
      <c r="Q446" s="41">
        <f t="shared" si="135"/>
        <v>1</v>
      </c>
      <c r="R446" s="434">
        <f t="shared" si="128"/>
        <v>4.5102728346057805</v>
      </c>
      <c r="S446" s="45">
        <f t="shared" si="136"/>
        <v>4.5102728346057805</v>
      </c>
      <c r="T446" s="205">
        <f t="shared" si="131"/>
        <v>0.52178875765510035</v>
      </c>
      <c r="U446" s="45">
        <f t="shared" si="133"/>
        <v>301.7543581638069</v>
      </c>
      <c r="V446" s="45">
        <f t="shared" si="134"/>
        <v>-499.34288913165614</v>
      </c>
      <c r="W446" s="488"/>
    </row>
    <row r="447" spans="1:25" ht="15" customHeight="1" x14ac:dyDescent="0.25">
      <c r="A447" s="581">
        <f t="shared" si="129"/>
        <v>0.7384391572518908</v>
      </c>
      <c r="B447" s="31">
        <f t="shared" si="112"/>
        <v>415</v>
      </c>
      <c r="C447" s="434">
        <f>'SOLLECITAZ NASCOSTO'!$D$6/'SOLLECITAZ NASCOSTO'!$B$448*'SOLLECITAZ NASCOSTO'!B447</f>
        <v>4.5211672134333307</v>
      </c>
      <c r="D447" s="434">
        <f t="shared" si="130"/>
        <v>0.85843915725189079</v>
      </c>
      <c r="E447" s="434">
        <f t="shared" si="124"/>
        <v>0.7384391572518908</v>
      </c>
      <c r="F447" s="434">
        <f t="shared" si="125"/>
        <v>0.53630053032060498</v>
      </c>
      <c r="G447" s="434">
        <f t="shared" si="126"/>
        <v>0.13360284587253382</v>
      </c>
      <c r="H447" s="434">
        <f t="shared" si="138"/>
        <v>0</v>
      </c>
      <c r="I447" s="434">
        <v>0</v>
      </c>
      <c r="J447" s="127">
        <f t="shared" si="139"/>
        <v>0.24911936184859804</v>
      </c>
      <c r="K447" s="126">
        <f t="shared" si="127"/>
        <v>3.544985989844212E-2</v>
      </c>
      <c r="L447" s="41">
        <f t="shared" si="140"/>
        <v>303.06674188790316</v>
      </c>
      <c r="M447" s="41">
        <f t="shared" si="132"/>
        <v>-502.63746422508564</v>
      </c>
      <c r="N447" s="41">
        <f>(IF(C446&lt;='SOLLECITAZ NASCOSTO'!$P$12,IF(C446&lt;='SOLLECITAZ NASCOSTO'!$P$11,IF(C446&lt;='SOLLECITAZ NASCOSTO'!$P$10,IF(C446&lt;='SOLLECITAZ NASCOSTO'!$P$9,IF(C446&lt;='SOLLECITAZ NASCOSTO'!$P$8,IF(C446&lt;='SOLLECITAZ NASCOSTO'!$P$7,IF(C446&lt;='SOLLECITAZ NASCOSTO'!$P$6,IF(C446&lt;='SOLLECITAZ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paramento'!$G$111),55555)-IF(C446&lt;='SOLLECITAZ NASCOSTO'!$P$12,IF(C446&lt;='SOLLECITAZ NASCOSTO'!$P$11,IF(C446&lt;='SOLLECITAZ NASCOSTO'!$P$10,IF(C446&lt;='SOLLECITAZ NASCOSTO'!$P$9,IF(C446&lt;='SOLLECITAZ NASCOSTO'!$P$8,IF(C446&lt;='SOLLECITAZ NASCOSTO'!$P$7,IF(C446&lt;='SOLLECITAZ NASCOSTO'!$P$6,IF(C446&lt;='SOLLECITAZ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paramento'!$G$111))*(C446-IF(C446&lt;='SOLLECITAZ NASCOSTO'!$P$12,IF(C446&lt;='SOLLECITAZ NASCOSTO'!$P$11,IF(C446&lt;='SOLLECITAZ NASCOSTO'!$P$10,IF(C446&lt;='SOLLECITAZ NASCOSTO'!$P$9,IF(C446&lt;='SOLLECITAZ NASCOSTO'!$P$8,IF(C446&lt;='SOLLECITAZ NASCOSTO'!$P$7,IF(C446&lt;='SOLLECITAZ NASCOSTO'!$P$6,IF(C446&lt;='SOLLECITAZ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NASCOSTO'!$P$12))/IF(C446&lt;='SOLLECITAZ NASCOSTO'!$P$12,IF(C446&lt;='SOLLECITAZ NASCOSTO'!$P$11,IF(C446&lt;='SOLLECITAZ NASCOSTO'!$P$10,IF(C446&lt;='SOLLECITAZ NASCOSTO'!$P$9,IF(C446&lt;='SOLLECITAZ NASCOSTO'!$P$8,IF(C446&lt;='SOLLECITAZ NASCOSTO'!$P$7,IF(C446&lt;='SOLLECITAZ NASCOSTO'!$P$6,IF(C446&lt;='SOLLECITAZ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paramento'!$C$111)+IF(C446&lt;='SOLLECITAZ NASCOSTO'!$P$12,IF(C446&lt;='SOLLECITAZ NASCOSTO'!$P$11,IF(C446&lt;='SOLLECITAZ NASCOSTO'!$P$10,IF(C446&lt;='SOLLECITAZ NASCOSTO'!$P$9,IF(C446&lt;='SOLLECITAZ NASCOSTO'!$P$8,IF(C446&lt;='SOLLECITAZ NASCOSTO'!$P$7,IF(C446&lt;='SOLLECITAZ NASCOSTO'!$P$6,IF(C446&lt;='SOLLECITAZ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120.33523896674413</v>
      </c>
      <c r="O447" s="41">
        <f>IF(C447&lt;='SOLLECITAZ NASCOSTO'!$P$12,IF(C447&lt;='SOLLECITAZ NASCOSTO'!$P$11,IF(C447&lt;='SOLLECITAZ NASCOSTO'!$P$10,IF(C447&lt;='SOLLECITAZ NASCOSTO'!$P$9,IF(C447&lt;='SOLLECITAZ NASCOSTO'!$P$8,IF(C447&lt;='SOLLECITAZ NASCOSTO'!$P$7,IF(C447&lt;='SOLLECITAZ NASCOSTO'!$P$6,IF(C447&lt;='SOLLECITAZ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paramento'!$G$110),55555)*(C447-C446)/IF(C447&lt;='SOLLECITAZ NASCOSTO'!$P$12,IF(C447&lt;='SOLLECITAZ NASCOSTO'!$P$11,IF(C447&lt;='SOLLECITAZ NASCOSTO'!$P$10,IF(C447&lt;='SOLLECITAZ NASCOSTO'!$P$9,IF(C447&lt;='SOLLECITAZ NASCOSTO'!$P$8,IF(C447&lt;='SOLLECITAZ NASCOSTO'!$P$7,IF(C447&lt;='SOLLECITAZ NASCOSTO'!$P$6,IF(C447&lt;='SOLLECITAZ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47" s="41">
        <f t="shared" si="137"/>
        <v>4.1400000000000356E-4</v>
      </c>
      <c r="Q447" s="41">
        <f t="shared" si="135"/>
        <v>1</v>
      </c>
      <c r="R447" s="434">
        <f t="shared" si="128"/>
        <v>4.5211672134333307</v>
      </c>
      <c r="S447" s="45">
        <f t="shared" si="136"/>
        <v>4.5211672134333307</v>
      </c>
      <c r="T447" s="205">
        <f t="shared" si="131"/>
        <v>0.51089437882755018</v>
      </c>
      <c r="U447" s="45">
        <f t="shared" si="133"/>
        <v>303.06674188790316</v>
      </c>
      <c r="V447" s="45">
        <f t="shared" si="134"/>
        <v>-502.63746422508564</v>
      </c>
      <c r="W447" s="488"/>
    </row>
    <row r="448" spans="1:25" ht="15" customHeight="1" x14ac:dyDescent="0.25">
      <c r="A448" s="581">
        <f t="shared" si="129"/>
        <v>0.74000999999999995</v>
      </c>
      <c r="B448" s="31">
        <f t="shared" si="112"/>
        <v>416</v>
      </c>
      <c r="C448" s="434">
        <f>'SOLLECITAZ NASCOSTO'!$D$6/'SOLLECITAZ NASCOSTO'!$B$448*'SOLLECITAZ NASCOSTO'!B448</f>
        <v>4.5320615922608809</v>
      </c>
      <c r="D448" s="434">
        <f t="shared" si="130"/>
        <v>0.86000999999999994</v>
      </c>
      <c r="E448" s="434">
        <f t="shared" si="124"/>
        <v>0.74000999999999995</v>
      </c>
      <c r="F448" s="434">
        <f t="shared" si="125"/>
        <v>0.53680320000000004</v>
      </c>
      <c r="G448" s="434">
        <f t="shared" si="126"/>
        <v>0.13403475201599999</v>
      </c>
      <c r="H448" s="434">
        <f t="shared" si="138"/>
        <v>0</v>
      </c>
      <c r="I448" s="434">
        <v>0</v>
      </c>
      <c r="J448" s="127">
        <f t="shared" si="139"/>
        <v>0.24969067251461985</v>
      </c>
      <c r="K448" s="126">
        <f t="shared" si="127"/>
        <v>3.5636792709648091E-2</v>
      </c>
      <c r="L448" s="41">
        <f t="shared" si="140"/>
        <v>304.38193770097689</v>
      </c>
      <c r="M448" s="41">
        <f t="shared" si="132"/>
        <v>-505.94635224195383</v>
      </c>
      <c r="N448" s="41">
        <f>(IF(C447&lt;='SOLLECITAZ NASCOSTO'!$P$12,IF(C447&lt;='SOLLECITAZ NASCOSTO'!$P$11,IF(C447&lt;='SOLLECITAZ NASCOSTO'!$P$10,IF(C447&lt;='SOLLECITAZ NASCOSTO'!$P$9,IF(C447&lt;='SOLLECITAZ NASCOSTO'!$P$8,IF(C447&lt;='SOLLECITAZ NASCOSTO'!$P$7,IF(C447&lt;='SOLLECITAZ NASCOSTO'!$P$6,IF(C447&lt;='SOLLECITAZ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paramento'!$G$111),55555)-IF(C447&lt;='SOLLECITAZ NASCOSTO'!$P$12,IF(C447&lt;='SOLLECITAZ NASCOSTO'!$P$11,IF(C447&lt;='SOLLECITAZ NASCOSTO'!$P$10,IF(C447&lt;='SOLLECITAZ NASCOSTO'!$P$9,IF(C447&lt;='SOLLECITAZ NASCOSTO'!$P$8,IF(C447&lt;='SOLLECITAZ NASCOSTO'!$P$7,IF(C447&lt;='SOLLECITAZ NASCOSTO'!$P$6,IF(C447&lt;='SOLLECITAZ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paramento'!$G$111))*(C447-IF(C447&lt;='SOLLECITAZ NASCOSTO'!$P$12,IF(C447&lt;='SOLLECITAZ NASCOSTO'!$P$11,IF(C447&lt;='SOLLECITAZ NASCOSTO'!$P$10,IF(C447&lt;='SOLLECITAZ NASCOSTO'!$P$9,IF(C447&lt;='SOLLECITAZ NASCOSTO'!$P$8,IF(C447&lt;='SOLLECITAZ NASCOSTO'!$P$7,IF(C447&lt;='SOLLECITAZ NASCOSTO'!$P$6,IF(C447&lt;='SOLLECITAZ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NASCOSTO'!$P$12))/IF(C447&lt;='SOLLECITAZ NASCOSTO'!$P$12,IF(C447&lt;='SOLLECITAZ NASCOSTO'!$P$11,IF(C447&lt;='SOLLECITAZ NASCOSTO'!$P$10,IF(C447&lt;='SOLLECITAZ NASCOSTO'!$P$9,IF(C447&lt;='SOLLECITAZ NASCOSTO'!$P$8,IF(C447&lt;='SOLLECITAZ NASCOSTO'!$P$7,IF(C447&lt;='SOLLECITAZ NASCOSTO'!$P$6,IF(C447&lt;='SOLLECITAZ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paramento'!$C$111)+IF(C447&lt;='SOLLECITAZ NASCOSTO'!$P$12,IF(C447&lt;='SOLLECITAZ NASCOSTO'!$P$11,IF(C447&lt;='SOLLECITAZ NASCOSTO'!$P$10,IF(C447&lt;='SOLLECITAZ NASCOSTO'!$P$9,IF(C447&lt;='SOLLECITAZ NASCOSTO'!$P$8,IF(C447&lt;='SOLLECITAZ NASCOSTO'!$P$7,IF(C447&lt;='SOLLECITAZ NASCOSTO'!$P$6,IF(C447&lt;='SOLLECITAZ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120.59336189619353</v>
      </c>
      <c r="O448" s="41">
        <f>IF(C448&lt;='SOLLECITAZ NASCOSTO'!$P$12,IF(C448&lt;='SOLLECITAZ NASCOSTO'!$P$11,IF(C448&lt;='SOLLECITAZ NASCOSTO'!$P$10,IF(C448&lt;='SOLLECITAZ NASCOSTO'!$P$9,IF(C448&lt;='SOLLECITAZ NASCOSTO'!$P$8,IF(C448&lt;='SOLLECITAZ NASCOSTO'!$P$7,IF(C448&lt;='SOLLECITAZ NASCOSTO'!$P$6,IF(C448&lt;='SOLLECITAZ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paramento'!$G$110),55555)*(C448-C447)/IF(C448&lt;='SOLLECITAZ NASCOSTO'!$P$12,IF(C448&lt;='SOLLECITAZ NASCOSTO'!$P$11,IF(C448&lt;='SOLLECITAZ NASCOSTO'!$P$10,IF(C448&lt;='SOLLECITAZ NASCOSTO'!$P$9,IF(C448&lt;='SOLLECITAZ NASCOSTO'!$P$8,IF(C448&lt;='SOLLECITAZ NASCOSTO'!$P$7,IF(C448&lt;='SOLLECITAZ NASCOSTO'!$P$6,IF(C448&lt;='SOLLECITAZ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0.2581229294494054</v>
      </c>
      <c r="P448" s="41">
        <f t="shared" si="137"/>
        <v>4.1500000000000358E-4</v>
      </c>
      <c r="Q448" s="41">
        <f t="shared" si="135"/>
        <v>1</v>
      </c>
      <c r="R448" s="434">
        <f t="shared" si="128"/>
        <v>4.5320615922608809</v>
      </c>
      <c r="S448" s="45">
        <f t="shared" si="136"/>
        <v>4.5320615922608809</v>
      </c>
      <c r="T448" s="205">
        <f t="shared" si="131"/>
        <v>0.5</v>
      </c>
      <c r="U448" s="45">
        <f t="shared" si="133"/>
        <v>304.38193770097689</v>
      </c>
      <c r="V448" s="45">
        <f t="shared" si="134"/>
        <v>-505.94635224195383</v>
      </c>
      <c r="W448" s="488"/>
    </row>
    <row r="449" spans="2:23" ht="15" customHeight="1" x14ac:dyDescent="0.25">
      <c r="B449" s="31">
        <v>1</v>
      </c>
      <c r="C449" s="434">
        <f>$C$448+DATI!$E$74/'SOLLECITAZ NASCOSTO'!$B$468*'SOLLECITAZ NASCOSTO'!B449</f>
        <v>4.5570615922608813</v>
      </c>
      <c r="D449" s="971" t="s">
        <v>36</v>
      </c>
      <c r="E449" s="972"/>
      <c r="F449" s="972"/>
      <c r="G449" s="972"/>
      <c r="H449" s="972"/>
      <c r="I449" s="972"/>
      <c r="J449" s="972"/>
      <c r="K449" s="973"/>
      <c r="L449" s="41">
        <f t="shared" ref="L449:L468" si="141">L448+N449*(C449-C448)+O449*(C449-C448)/2</f>
        <v>307.41062895330185</v>
      </c>
      <c r="M449" s="41">
        <f t="shared" si="132"/>
        <v>-513.5937593251324</v>
      </c>
      <c r="N449" s="41">
        <f>(IF(C448&lt;='SOLLECITAZ NASCOSTO'!$P$12,IF(C448&lt;='SOLLECITAZ NASCOSTO'!$P$11,IF(C448&lt;='SOLLECITAZ NASCOSTO'!$P$10,IF(C448&lt;='SOLLECITAZ NASCOSTO'!$P$9,IF(C448&lt;='SOLLECITAZ NASCOSTO'!$P$8,IF(C448&lt;='SOLLECITAZ NASCOSTO'!$P$7,IF(C448&lt;='SOLLECITAZ NASCOSTO'!$P$6,IF(C448&lt;='SOLLECITAZ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paramento'!$G$111),55555)-IF(C448&lt;='SOLLECITAZ NASCOSTO'!$P$12,IF(C448&lt;='SOLLECITAZ NASCOSTO'!$P$11,IF(C448&lt;='SOLLECITAZ NASCOSTO'!$P$10,IF(C448&lt;='SOLLECITAZ NASCOSTO'!$P$9,IF(C448&lt;='SOLLECITAZ NASCOSTO'!$P$8,IF(C448&lt;='SOLLECITAZ NASCOSTO'!$P$7,IF(C448&lt;='SOLLECITAZ NASCOSTO'!$P$6,IF(C448&lt;='SOLLECITAZ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paramento'!$G$111))*(C448-IF(C448&lt;='SOLLECITAZ NASCOSTO'!$P$12,IF(C448&lt;='SOLLECITAZ NASCOSTO'!$P$11,IF(C448&lt;='SOLLECITAZ NASCOSTO'!$P$10,IF(C448&lt;='SOLLECITAZ NASCOSTO'!$P$9,IF(C448&lt;='SOLLECITAZ NASCOSTO'!$P$8,IF(C448&lt;='SOLLECITAZ NASCOSTO'!$P$7,IF(C448&lt;='SOLLECITAZ NASCOSTO'!$P$6,IF(C448&lt;='SOLLECITAZ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NASCOSTO'!$P$12))/IF(C448&lt;='SOLLECITAZ NASCOSTO'!$P$12,IF(C448&lt;='SOLLECITAZ NASCOSTO'!$P$11,IF(C448&lt;='SOLLECITAZ NASCOSTO'!$P$10,IF(C448&lt;='SOLLECITAZ NASCOSTO'!$P$9,IF(C448&lt;='SOLLECITAZ NASCOSTO'!$P$8,IF(C448&lt;='SOLLECITAZ NASCOSTO'!$P$7,IF(C448&lt;='SOLLECITAZ NASCOSTO'!$P$6,IF(C448&lt;='SOLLECITAZ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paramento'!$C$111)+IF(C448&lt;='SOLLECITAZ NASCOSTO'!$P$12,IF(C448&lt;='SOLLECITAZ NASCOSTO'!$P$11,IF(C448&lt;='SOLLECITAZ NASCOSTO'!$P$10,IF(C448&lt;='SOLLECITAZ NASCOSTO'!$P$9,IF(C448&lt;='SOLLECITAZ NASCOSTO'!$P$8,IF(C448&lt;='SOLLECITAZ NASCOSTO'!$P$7,IF(C448&lt;='SOLLECITAZ NASCOSTO'!$P$6,IF(C448&lt;='SOLLECITAZ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120.85148482564296</v>
      </c>
      <c r="O449" s="41">
        <f>IF(C449&lt;='SOLLECITAZ NASCOSTO'!$P$12,IF(C449&lt;='SOLLECITAZ NASCOSTO'!$P$11,IF(C449&lt;='SOLLECITAZ NASCOSTO'!$P$10,IF(C449&lt;='SOLLECITAZ NASCOSTO'!$P$9,IF(C449&lt;='SOLLECITAZ NASCOSTO'!$P$8,IF(C449&lt;='SOLLECITAZ NASCOSTO'!$P$7,IF(C449&lt;='SOLLECITAZ NASCOSTO'!$P$6,IF(C449&lt;='SOLLECITAZ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paramento'!$G$110),55555)*(C449-C448)/IF(C449&lt;='SOLLECITAZ NASCOSTO'!$P$12,IF(C449&lt;='SOLLECITAZ NASCOSTO'!$P$11,IF(C449&lt;='SOLLECITAZ NASCOSTO'!$P$10,IF(C449&lt;='SOLLECITAZ NASCOSTO'!$P$9,IF(C449&lt;='SOLLECITAZ NASCOSTO'!$P$8,IF(C449&lt;='SOLLECITAZ NASCOSTO'!$P$7,IF(C449&lt;='SOLLECITAZ NASCOSTO'!$P$6,IF(C449&lt;='SOLLECITAZ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0.59233053470808406</v>
      </c>
      <c r="P449" s="41">
        <f t="shared" si="137"/>
        <v>4.1600000000000361E-4</v>
      </c>
      <c r="Q449" s="41">
        <f t="shared" si="135"/>
        <v>4.1600000000000361E-4</v>
      </c>
      <c r="R449" s="434">
        <f t="shared" si="128"/>
        <v>4.5570615922608813</v>
      </c>
      <c r="S449" s="45" t="e">
        <f t="shared" si="136"/>
        <v>#N/A</v>
      </c>
      <c r="T449" s="205" t="e">
        <f t="shared" ref="T449:T468" si="142">$R$468-S449</f>
        <v>#N/A</v>
      </c>
      <c r="U449" s="45">
        <f t="shared" si="133"/>
        <v>0</v>
      </c>
      <c r="V449" s="45">
        <f t="shared" si="134"/>
        <v>0</v>
      </c>
      <c r="W449" s="488"/>
    </row>
    <row r="450" spans="2:23" ht="15" customHeight="1" x14ac:dyDescent="0.25">
      <c r="B450" s="31">
        <f t="shared" si="112"/>
        <v>2</v>
      </c>
      <c r="C450" s="434">
        <f>$C$448+DATI!$E$74/'SOLLECITAZ NASCOSTO'!$B$468*'SOLLECITAZ NASCOSTO'!B450</f>
        <v>4.5820615922608807</v>
      </c>
      <c r="D450" s="974"/>
      <c r="E450" s="975"/>
      <c r="F450" s="975"/>
      <c r="G450" s="975"/>
      <c r="H450" s="975"/>
      <c r="I450" s="975"/>
      <c r="J450" s="975"/>
      <c r="K450" s="976"/>
      <c r="L450" s="41">
        <f t="shared" si="141"/>
        <v>310.45412846899444</v>
      </c>
      <c r="M450" s="41">
        <f t="shared" si="132"/>
        <v>-521.31706879291096</v>
      </c>
      <c r="N450" s="41">
        <f>(IF(C449&lt;='SOLLECITAZ NASCOSTO'!$P$12,IF(C449&lt;='SOLLECITAZ NASCOSTO'!$P$11,IF(C449&lt;='SOLLECITAZ NASCOSTO'!$P$10,IF(C449&lt;='SOLLECITAZ NASCOSTO'!$P$9,IF(C449&lt;='SOLLECITAZ NASCOSTO'!$P$8,IF(C449&lt;='SOLLECITAZ NASCOSTO'!$P$7,IF(C449&lt;='SOLLECITAZ NASCOSTO'!$P$6,IF(C449&lt;='SOLLECITAZ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paramento'!$G$111),55555)-IF(C449&lt;='SOLLECITAZ NASCOSTO'!$P$12,IF(C449&lt;='SOLLECITAZ NASCOSTO'!$P$11,IF(C449&lt;='SOLLECITAZ NASCOSTO'!$P$10,IF(C449&lt;='SOLLECITAZ NASCOSTO'!$P$9,IF(C449&lt;='SOLLECITAZ NASCOSTO'!$P$8,IF(C449&lt;='SOLLECITAZ NASCOSTO'!$P$7,IF(C449&lt;='SOLLECITAZ NASCOSTO'!$P$6,IF(C449&lt;='SOLLECITAZ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paramento'!$G$111))*(C449-IF(C449&lt;='SOLLECITAZ NASCOSTO'!$P$12,IF(C449&lt;='SOLLECITAZ NASCOSTO'!$P$11,IF(C449&lt;='SOLLECITAZ NASCOSTO'!$P$10,IF(C449&lt;='SOLLECITAZ NASCOSTO'!$P$9,IF(C449&lt;='SOLLECITAZ NASCOSTO'!$P$8,IF(C449&lt;='SOLLECITAZ NASCOSTO'!$P$7,IF(C449&lt;='SOLLECITAZ NASCOSTO'!$P$6,IF(C449&lt;='SOLLECITAZ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NASCOSTO'!$P$12))/IF(C449&lt;='SOLLECITAZ NASCOSTO'!$P$12,IF(C449&lt;='SOLLECITAZ NASCOSTO'!$P$11,IF(C449&lt;='SOLLECITAZ NASCOSTO'!$P$10,IF(C449&lt;='SOLLECITAZ NASCOSTO'!$P$9,IF(C449&lt;='SOLLECITAZ NASCOSTO'!$P$8,IF(C449&lt;='SOLLECITAZ NASCOSTO'!$P$7,IF(C449&lt;='SOLLECITAZ NASCOSTO'!$P$6,IF(C449&lt;='SOLLECITAZ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paramento'!$C$111)+IF(C449&lt;='SOLLECITAZ NASCOSTO'!$P$12,IF(C449&lt;='SOLLECITAZ NASCOSTO'!$P$11,IF(C449&lt;='SOLLECITAZ NASCOSTO'!$P$10,IF(C449&lt;='SOLLECITAZ NASCOSTO'!$P$9,IF(C449&lt;='SOLLECITAZ NASCOSTO'!$P$8,IF(C449&lt;='SOLLECITAZ NASCOSTO'!$P$7,IF(C449&lt;='SOLLECITAZ NASCOSTO'!$P$6,IF(C449&lt;='SOLLECITAZ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121.44381536035104</v>
      </c>
      <c r="O450" s="41">
        <f>IF(C450&lt;='SOLLECITAZ NASCOSTO'!$P$12,IF(C450&lt;='SOLLECITAZ NASCOSTO'!$P$11,IF(C450&lt;='SOLLECITAZ NASCOSTO'!$P$10,IF(C450&lt;='SOLLECITAZ NASCOSTO'!$P$9,IF(C450&lt;='SOLLECITAZ NASCOSTO'!$P$8,IF(C450&lt;='SOLLECITAZ NASCOSTO'!$P$7,IF(C450&lt;='SOLLECITAZ NASCOSTO'!$P$6,IF(C450&lt;='SOLLECITAZ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paramento'!$G$110),55555)*(C450-C449)/IF(C450&lt;='SOLLECITAZ NASCOSTO'!$P$12,IF(C450&lt;='SOLLECITAZ NASCOSTO'!$P$11,IF(C450&lt;='SOLLECITAZ NASCOSTO'!$P$10,IF(C450&lt;='SOLLECITAZ NASCOSTO'!$P$9,IF(C450&lt;='SOLLECITAZ NASCOSTO'!$P$8,IF(C450&lt;='SOLLECITAZ NASCOSTO'!$P$7,IF(C450&lt;='SOLLECITAZ NASCOSTO'!$P$6,IF(C450&lt;='SOLLECITAZ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0.59233053470806307</v>
      </c>
      <c r="P450" s="41">
        <f t="shared" si="137"/>
        <v>4.1700000000000363E-4</v>
      </c>
      <c r="Q450" s="41">
        <f t="shared" si="135"/>
        <v>4.1700000000000363E-4</v>
      </c>
      <c r="R450" s="434">
        <f t="shared" si="128"/>
        <v>4.5820615922608807</v>
      </c>
      <c r="S450" s="45" t="e">
        <f t="shared" si="136"/>
        <v>#N/A</v>
      </c>
      <c r="T450" s="205" t="e">
        <f t="shared" si="142"/>
        <v>#N/A</v>
      </c>
      <c r="U450" s="45">
        <f t="shared" si="133"/>
        <v>0</v>
      </c>
      <c r="V450" s="45">
        <f t="shared" si="134"/>
        <v>0</v>
      </c>
      <c r="W450" s="488"/>
    </row>
    <row r="451" spans="2:23" ht="15" customHeight="1" x14ac:dyDescent="0.25">
      <c r="B451" s="31">
        <f>B450+1</f>
        <v>3</v>
      </c>
      <c r="C451" s="434">
        <f>$C$448+DATI!$E$74/'SOLLECITAZ NASCOSTO'!$B$468*'SOLLECITAZ NASCOSTO'!B451</f>
        <v>4.6070615922608811</v>
      </c>
      <c r="D451" s="974"/>
      <c r="E451" s="975"/>
      <c r="F451" s="975"/>
      <c r="G451" s="975"/>
      <c r="H451" s="975"/>
      <c r="I451" s="975"/>
      <c r="J451" s="975"/>
      <c r="K451" s="976"/>
      <c r="L451" s="41">
        <f t="shared" si="141"/>
        <v>313.51243624805483</v>
      </c>
      <c r="M451" s="41">
        <f>M450-(L451+L450)*(C451-C450)/2</f>
        <v>-529.11665085187417</v>
      </c>
      <c r="N451" s="41">
        <f>(IF(C450&lt;='SOLLECITAZ NASCOSTO'!$P$12,IF(C450&lt;='SOLLECITAZ NASCOSTO'!$P$11,IF(C450&lt;='SOLLECITAZ NASCOSTO'!$P$10,IF(C450&lt;='SOLLECITAZ NASCOSTO'!$P$9,IF(C450&lt;='SOLLECITAZ NASCOSTO'!$P$8,IF(C450&lt;='SOLLECITAZ NASCOSTO'!$P$7,IF(C450&lt;='SOLLECITAZ NASCOSTO'!$P$6,IF(C450&lt;='SOLLECITAZ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paramento'!$G$111),55555)-IF(C450&lt;='SOLLECITAZ NASCOSTO'!$P$12,IF(C450&lt;='SOLLECITAZ NASCOSTO'!$P$11,IF(C450&lt;='SOLLECITAZ NASCOSTO'!$P$10,IF(C450&lt;='SOLLECITAZ NASCOSTO'!$P$9,IF(C450&lt;='SOLLECITAZ NASCOSTO'!$P$8,IF(C450&lt;='SOLLECITAZ NASCOSTO'!$P$7,IF(C450&lt;='SOLLECITAZ NASCOSTO'!$P$6,IF(C450&lt;='SOLLECITAZ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paramento'!$G$111))*(C450-IF(C450&lt;='SOLLECITAZ NASCOSTO'!$P$12,IF(C450&lt;='SOLLECITAZ NASCOSTO'!$P$11,IF(C450&lt;='SOLLECITAZ NASCOSTO'!$P$10,IF(C450&lt;='SOLLECITAZ NASCOSTO'!$P$9,IF(C450&lt;='SOLLECITAZ NASCOSTO'!$P$8,IF(C450&lt;='SOLLECITAZ NASCOSTO'!$P$7,IF(C450&lt;='SOLLECITAZ NASCOSTO'!$P$6,IF(C450&lt;='SOLLECITAZ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NASCOSTO'!$P$12))/IF(C450&lt;='SOLLECITAZ NASCOSTO'!$P$12,IF(C450&lt;='SOLLECITAZ NASCOSTO'!$P$11,IF(C450&lt;='SOLLECITAZ NASCOSTO'!$P$10,IF(C450&lt;='SOLLECITAZ NASCOSTO'!$P$9,IF(C450&lt;='SOLLECITAZ NASCOSTO'!$P$8,IF(C450&lt;='SOLLECITAZ NASCOSTO'!$P$7,IF(C450&lt;='SOLLECITAZ NASCOSTO'!$P$6,IF(C450&lt;='SOLLECITAZ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paramento'!$C$111)+IF(C450&lt;='SOLLECITAZ NASCOSTO'!$P$12,IF(C450&lt;='SOLLECITAZ NASCOSTO'!$P$11,IF(C450&lt;='SOLLECITAZ NASCOSTO'!$P$10,IF(C450&lt;='SOLLECITAZ NASCOSTO'!$P$9,IF(C450&lt;='SOLLECITAZ NASCOSTO'!$P$8,IF(C450&lt;='SOLLECITAZ NASCOSTO'!$P$7,IF(C450&lt;='SOLLECITAZ NASCOSTO'!$P$6,IF(C450&lt;='SOLLECITAZ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122.03614589505909</v>
      </c>
      <c r="O451" s="41">
        <f>IF(C451&lt;='SOLLECITAZ NASCOSTO'!$P$12,IF(C451&lt;='SOLLECITAZ NASCOSTO'!$P$11,IF(C451&lt;='SOLLECITAZ NASCOSTO'!$P$10,IF(C451&lt;='SOLLECITAZ NASCOSTO'!$P$9,IF(C451&lt;='SOLLECITAZ NASCOSTO'!$P$8,IF(C451&lt;='SOLLECITAZ NASCOSTO'!$P$7,IF(C451&lt;='SOLLECITAZ NASCOSTO'!$P$6,IF(C451&lt;='SOLLECITAZ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paramento'!$G$110),55555)*(C451-C450)/IF(C451&lt;='SOLLECITAZ NASCOSTO'!$P$12,IF(C451&lt;='SOLLECITAZ NASCOSTO'!$P$11,IF(C451&lt;='SOLLECITAZ NASCOSTO'!$P$10,IF(C451&lt;='SOLLECITAZ NASCOSTO'!$P$9,IF(C451&lt;='SOLLECITAZ NASCOSTO'!$P$8,IF(C451&lt;='SOLLECITAZ NASCOSTO'!$P$7,IF(C451&lt;='SOLLECITAZ NASCOSTO'!$P$6,IF(C451&lt;='SOLLECITAZ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0.59233053470808406</v>
      </c>
      <c r="P451" s="41">
        <f t="shared" si="137"/>
        <v>4.1800000000000366E-4</v>
      </c>
      <c r="Q451" s="41">
        <f t="shared" si="135"/>
        <v>4.1800000000000366E-4</v>
      </c>
      <c r="R451" s="434">
        <f t="shared" si="128"/>
        <v>4.6070615922608811</v>
      </c>
      <c r="S451" s="45" t="e">
        <f t="shared" si="136"/>
        <v>#N/A</v>
      </c>
      <c r="T451" s="205" t="e">
        <f t="shared" si="142"/>
        <v>#N/A</v>
      </c>
      <c r="U451" s="45">
        <f t="shared" si="133"/>
        <v>0</v>
      </c>
      <c r="V451" s="45">
        <f t="shared" si="134"/>
        <v>0</v>
      </c>
      <c r="W451" s="488"/>
    </row>
    <row r="452" spans="2:23" ht="15" customHeight="1" x14ac:dyDescent="0.25">
      <c r="B452" s="31">
        <f t="shared" si="112"/>
        <v>4</v>
      </c>
      <c r="C452" s="434">
        <f>$C$448+DATI!$E$74/'SOLLECITAZ NASCOSTO'!$B$468*'SOLLECITAZ NASCOSTO'!B452</f>
        <v>4.6320615922608805</v>
      </c>
      <c r="D452" s="974"/>
      <c r="E452" s="975"/>
      <c r="F452" s="975"/>
      <c r="G452" s="975"/>
      <c r="H452" s="975"/>
      <c r="I452" s="975"/>
      <c r="J452" s="975"/>
      <c r="K452" s="976"/>
      <c r="L452" s="41">
        <f t="shared" si="141"/>
        <v>316.58555229048284</v>
      </c>
      <c r="M452" s="41">
        <f t="shared" si="132"/>
        <v>-536.99287570860577</v>
      </c>
      <c r="N452" s="41">
        <f>(IF(C451&lt;='SOLLECITAZ NASCOSTO'!$P$12,IF(C451&lt;='SOLLECITAZ NASCOSTO'!$P$11,IF(C451&lt;='SOLLECITAZ NASCOSTO'!$P$10,IF(C451&lt;='SOLLECITAZ NASCOSTO'!$P$9,IF(C451&lt;='SOLLECITAZ NASCOSTO'!$P$8,IF(C451&lt;='SOLLECITAZ NASCOSTO'!$P$7,IF(C451&lt;='SOLLECITAZ NASCOSTO'!$P$6,IF(C451&lt;='SOLLECITAZ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paramento'!$G$111),55555)-IF(C451&lt;='SOLLECITAZ NASCOSTO'!$P$12,IF(C451&lt;='SOLLECITAZ NASCOSTO'!$P$11,IF(C451&lt;='SOLLECITAZ NASCOSTO'!$P$10,IF(C451&lt;='SOLLECITAZ NASCOSTO'!$P$9,IF(C451&lt;='SOLLECITAZ NASCOSTO'!$P$8,IF(C451&lt;='SOLLECITAZ NASCOSTO'!$P$7,IF(C451&lt;='SOLLECITAZ NASCOSTO'!$P$6,IF(C451&lt;='SOLLECITAZ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paramento'!$G$111))*(C451-IF(C451&lt;='SOLLECITAZ NASCOSTO'!$P$12,IF(C451&lt;='SOLLECITAZ NASCOSTO'!$P$11,IF(C451&lt;='SOLLECITAZ NASCOSTO'!$P$10,IF(C451&lt;='SOLLECITAZ NASCOSTO'!$P$9,IF(C451&lt;='SOLLECITAZ NASCOSTO'!$P$8,IF(C451&lt;='SOLLECITAZ NASCOSTO'!$P$7,IF(C451&lt;='SOLLECITAZ NASCOSTO'!$P$6,IF(C451&lt;='SOLLECITAZ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NASCOSTO'!$P$12))/IF(C451&lt;='SOLLECITAZ NASCOSTO'!$P$12,IF(C451&lt;='SOLLECITAZ NASCOSTO'!$P$11,IF(C451&lt;='SOLLECITAZ NASCOSTO'!$P$10,IF(C451&lt;='SOLLECITAZ NASCOSTO'!$P$9,IF(C451&lt;='SOLLECITAZ NASCOSTO'!$P$8,IF(C451&lt;='SOLLECITAZ NASCOSTO'!$P$7,IF(C451&lt;='SOLLECITAZ NASCOSTO'!$P$6,IF(C451&lt;='SOLLECITAZ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paramento'!$C$111)+IF(C451&lt;='SOLLECITAZ NASCOSTO'!$P$12,IF(C451&lt;='SOLLECITAZ NASCOSTO'!$P$11,IF(C451&lt;='SOLLECITAZ NASCOSTO'!$P$10,IF(C451&lt;='SOLLECITAZ NASCOSTO'!$P$9,IF(C451&lt;='SOLLECITAZ NASCOSTO'!$P$8,IF(C451&lt;='SOLLECITAZ NASCOSTO'!$P$7,IF(C451&lt;='SOLLECITAZ NASCOSTO'!$P$6,IF(C451&lt;='SOLLECITAZ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122.6284764297672</v>
      </c>
      <c r="O452" s="41">
        <f>IF(C452&lt;='SOLLECITAZ NASCOSTO'!$P$12,IF(C452&lt;='SOLLECITAZ NASCOSTO'!$P$11,IF(C452&lt;='SOLLECITAZ NASCOSTO'!$P$10,IF(C452&lt;='SOLLECITAZ NASCOSTO'!$P$9,IF(C452&lt;='SOLLECITAZ NASCOSTO'!$P$8,IF(C452&lt;='SOLLECITAZ NASCOSTO'!$P$7,IF(C452&lt;='SOLLECITAZ NASCOSTO'!$P$6,IF(C452&lt;='SOLLECITAZ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paramento'!$G$110),55555)*(C452-C451)/IF(C452&lt;='SOLLECITAZ NASCOSTO'!$P$12,IF(C452&lt;='SOLLECITAZ NASCOSTO'!$P$11,IF(C452&lt;='SOLLECITAZ NASCOSTO'!$P$10,IF(C452&lt;='SOLLECITAZ NASCOSTO'!$P$9,IF(C452&lt;='SOLLECITAZ NASCOSTO'!$P$8,IF(C452&lt;='SOLLECITAZ NASCOSTO'!$P$7,IF(C452&lt;='SOLLECITAZ NASCOSTO'!$P$6,IF(C452&lt;='SOLLECITAZ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0.59233053470806307</v>
      </c>
      <c r="P452" s="41">
        <f t="shared" si="137"/>
        <v>4.1900000000000368E-4</v>
      </c>
      <c r="Q452" s="41">
        <f t="shared" si="135"/>
        <v>4.1900000000000368E-4</v>
      </c>
      <c r="R452" s="434">
        <f t="shared" si="128"/>
        <v>4.6320615922608805</v>
      </c>
      <c r="S452" s="45" t="e">
        <f t="shared" si="136"/>
        <v>#N/A</v>
      </c>
      <c r="T452" s="205" t="e">
        <f t="shared" si="142"/>
        <v>#N/A</v>
      </c>
      <c r="U452" s="45">
        <f t="shared" si="133"/>
        <v>0</v>
      </c>
      <c r="V452" s="45">
        <f t="shared" si="134"/>
        <v>0</v>
      </c>
      <c r="W452" s="488"/>
    </row>
    <row r="453" spans="2:23" ht="15" customHeight="1" x14ac:dyDescent="0.25">
      <c r="B453" s="31">
        <f>B452+1</f>
        <v>5</v>
      </c>
      <c r="C453" s="434">
        <f>$C$448+DATI!$E$74/'SOLLECITAZ NASCOSTO'!$B$468*'SOLLECITAZ NASCOSTO'!B453</f>
        <v>4.6570615922608809</v>
      </c>
      <c r="D453" s="974"/>
      <c r="E453" s="975"/>
      <c r="F453" s="975"/>
      <c r="G453" s="975"/>
      <c r="H453" s="975"/>
      <c r="I453" s="975"/>
      <c r="J453" s="975"/>
      <c r="K453" s="976"/>
      <c r="L453" s="41">
        <f t="shared" si="141"/>
        <v>319.67347659627865</v>
      </c>
      <c r="M453" s="41">
        <f t="shared" si="132"/>
        <v>-544.9461135696904</v>
      </c>
      <c r="N453" s="41">
        <f>(IF(C452&lt;='SOLLECITAZ NASCOSTO'!$P$12,IF(C452&lt;='SOLLECITAZ NASCOSTO'!$P$11,IF(C452&lt;='SOLLECITAZ NASCOSTO'!$P$10,IF(C452&lt;='SOLLECITAZ NASCOSTO'!$P$9,IF(C452&lt;='SOLLECITAZ NASCOSTO'!$P$8,IF(C452&lt;='SOLLECITAZ NASCOSTO'!$P$7,IF(C452&lt;='SOLLECITAZ NASCOSTO'!$P$6,IF(C452&lt;='SOLLECITAZ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paramento'!$G$111),55555)-IF(C452&lt;='SOLLECITAZ NASCOSTO'!$P$12,IF(C452&lt;='SOLLECITAZ NASCOSTO'!$P$11,IF(C452&lt;='SOLLECITAZ NASCOSTO'!$P$10,IF(C452&lt;='SOLLECITAZ NASCOSTO'!$P$9,IF(C452&lt;='SOLLECITAZ NASCOSTO'!$P$8,IF(C452&lt;='SOLLECITAZ NASCOSTO'!$P$7,IF(C452&lt;='SOLLECITAZ NASCOSTO'!$P$6,IF(C452&lt;='SOLLECITAZ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paramento'!$G$111))*(C452-IF(C452&lt;='SOLLECITAZ NASCOSTO'!$P$12,IF(C452&lt;='SOLLECITAZ NASCOSTO'!$P$11,IF(C452&lt;='SOLLECITAZ NASCOSTO'!$P$10,IF(C452&lt;='SOLLECITAZ NASCOSTO'!$P$9,IF(C452&lt;='SOLLECITAZ NASCOSTO'!$P$8,IF(C452&lt;='SOLLECITAZ NASCOSTO'!$P$7,IF(C452&lt;='SOLLECITAZ NASCOSTO'!$P$6,IF(C452&lt;='SOLLECITAZ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NASCOSTO'!$P$12))/IF(C452&lt;='SOLLECITAZ NASCOSTO'!$P$12,IF(C452&lt;='SOLLECITAZ NASCOSTO'!$P$11,IF(C452&lt;='SOLLECITAZ NASCOSTO'!$P$10,IF(C452&lt;='SOLLECITAZ NASCOSTO'!$P$9,IF(C452&lt;='SOLLECITAZ NASCOSTO'!$P$8,IF(C452&lt;='SOLLECITAZ NASCOSTO'!$P$7,IF(C452&lt;='SOLLECITAZ NASCOSTO'!$P$6,IF(C452&lt;='SOLLECITAZ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paramento'!$C$111)+IF(C452&lt;='SOLLECITAZ NASCOSTO'!$P$12,IF(C452&lt;='SOLLECITAZ NASCOSTO'!$P$11,IF(C452&lt;='SOLLECITAZ NASCOSTO'!$P$10,IF(C452&lt;='SOLLECITAZ NASCOSTO'!$P$9,IF(C452&lt;='SOLLECITAZ NASCOSTO'!$P$8,IF(C452&lt;='SOLLECITAZ NASCOSTO'!$P$7,IF(C452&lt;='SOLLECITAZ NASCOSTO'!$P$6,IF(C452&lt;='SOLLECITAZ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123.22080696447526</v>
      </c>
      <c r="O453" s="41">
        <f>IF(C453&lt;='SOLLECITAZ NASCOSTO'!$P$12,IF(C453&lt;='SOLLECITAZ NASCOSTO'!$P$11,IF(C453&lt;='SOLLECITAZ NASCOSTO'!$P$10,IF(C453&lt;='SOLLECITAZ NASCOSTO'!$P$9,IF(C453&lt;='SOLLECITAZ NASCOSTO'!$P$8,IF(C453&lt;='SOLLECITAZ NASCOSTO'!$P$7,IF(C453&lt;='SOLLECITAZ NASCOSTO'!$P$6,IF(C453&lt;='SOLLECITAZ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paramento'!$G$110),55555)*(C453-C452)/IF(C453&lt;='SOLLECITAZ NASCOSTO'!$P$12,IF(C453&lt;='SOLLECITAZ NASCOSTO'!$P$11,IF(C453&lt;='SOLLECITAZ NASCOSTO'!$P$10,IF(C453&lt;='SOLLECITAZ NASCOSTO'!$P$9,IF(C453&lt;='SOLLECITAZ NASCOSTO'!$P$8,IF(C453&lt;='SOLLECITAZ NASCOSTO'!$P$7,IF(C453&lt;='SOLLECITAZ NASCOSTO'!$P$6,IF(C453&lt;='SOLLECITAZ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0.59233053470808406</v>
      </c>
      <c r="P453" s="41">
        <f t="shared" si="137"/>
        <v>4.200000000000037E-4</v>
      </c>
      <c r="Q453" s="41">
        <f t="shared" si="135"/>
        <v>4.200000000000037E-4</v>
      </c>
      <c r="R453" s="434">
        <f t="shared" si="128"/>
        <v>4.6570615922608809</v>
      </c>
      <c r="S453" s="45" t="e">
        <f t="shared" si="136"/>
        <v>#N/A</v>
      </c>
      <c r="T453" s="205" t="e">
        <f t="shared" si="142"/>
        <v>#N/A</v>
      </c>
      <c r="U453" s="45">
        <f t="shared" si="133"/>
        <v>0</v>
      </c>
      <c r="V453" s="45">
        <f t="shared" si="134"/>
        <v>0</v>
      </c>
      <c r="W453" s="488"/>
    </row>
    <row r="454" spans="2:23" ht="15" customHeight="1" x14ac:dyDescent="0.25">
      <c r="B454" s="31">
        <f t="shared" si="112"/>
        <v>6</v>
      </c>
      <c r="C454" s="434">
        <f>$C$448+DATI!$E$74/'SOLLECITAZ NASCOSTO'!$B$468*'SOLLECITAZ NASCOSTO'!B454</f>
        <v>4.6820615922608813</v>
      </c>
      <c r="D454" s="974"/>
      <c r="E454" s="975"/>
      <c r="F454" s="975"/>
      <c r="G454" s="975"/>
      <c r="H454" s="975"/>
      <c r="I454" s="975"/>
      <c r="J454" s="975"/>
      <c r="K454" s="976"/>
      <c r="L454" s="41">
        <f t="shared" si="141"/>
        <v>322.77620916544214</v>
      </c>
      <c r="M454" s="41">
        <f t="shared" si="132"/>
        <v>-552.97673464171203</v>
      </c>
      <c r="N454" s="41">
        <f>(IF(C453&lt;='SOLLECITAZ NASCOSTO'!$P$12,IF(C453&lt;='SOLLECITAZ NASCOSTO'!$P$11,IF(C453&lt;='SOLLECITAZ NASCOSTO'!$P$10,IF(C453&lt;='SOLLECITAZ NASCOSTO'!$P$9,IF(C453&lt;='SOLLECITAZ NASCOSTO'!$P$8,IF(C453&lt;='SOLLECITAZ NASCOSTO'!$P$7,IF(C453&lt;='SOLLECITAZ NASCOSTO'!$P$6,IF(C453&lt;='SOLLECITAZ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paramento'!$G$111),55555)-IF(C453&lt;='SOLLECITAZ NASCOSTO'!$P$12,IF(C453&lt;='SOLLECITAZ NASCOSTO'!$P$11,IF(C453&lt;='SOLLECITAZ NASCOSTO'!$P$10,IF(C453&lt;='SOLLECITAZ NASCOSTO'!$P$9,IF(C453&lt;='SOLLECITAZ NASCOSTO'!$P$8,IF(C453&lt;='SOLLECITAZ NASCOSTO'!$P$7,IF(C453&lt;='SOLLECITAZ NASCOSTO'!$P$6,IF(C453&lt;='SOLLECITAZ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paramento'!$G$111))*(C453-IF(C453&lt;='SOLLECITAZ NASCOSTO'!$P$12,IF(C453&lt;='SOLLECITAZ NASCOSTO'!$P$11,IF(C453&lt;='SOLLECITAZ NASCOSTO'!$P$10,IF(C453&lt;='SOLLECITAZ NASCOSTO'!$P$9,IF(C453&lt;='SOLLECITAZ NASCOSTO'!$P$8,IF(C453&lt;='SOLLECITAZ NASCOSTO'!$P$7,IF(C453&lt;='SOLLECITAZ NASCOSTO'!$P$6,IF(C453&lt;='SOLLECITAZ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NASCOSTO'!$P$12))/IF(C453&lt;='SOLLECITAZ NASCOSTO'!$P$12,IF(C453&lt;='SOLLECITAZ NASCOSTO'!$P$11,IF(C453&lt;='SOLLECITAZ NASCOSTO'!$P$10,IF(C453&lt;='SOLLECITAZ NASCOSTO'!$P$9,IF(C453&lt;='SOLLECITAZ NASCOSTO'!$P$8,IF(C453&lt;='SOLLECITAZ NASCOSTO'!$P$7,IF(C453&lt;='SOLLECITAZ NASCOSTO'!$P$6,IF(C453&lt;='SOLLECITAZ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paramento'!$C$111)+IF(C453&lt;='SOLLECITAZ NASCOSTO'!$P$12,IF(C453&lt;='SOLLECITAZ NASCOSTO'!$P$11,IF(C453&lt;='SOLLECITAZ NASCOSTO'!$P$10,IF(C453&lt;='SOLLECITAZ NASCOSTO'!$P$9,IF(C453&lt;='SOLLECITAZ NASCOSTO'!$P$8,IF(C453&lt;='SOLLECITAZ NASCOSTO'!$P$7,IF(C453&lt;='SOLLECITAZ NASCOSTO'!$P$6,IF(C453&lt;='SOLLECITAZ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123.81313749918331</v>
      </c>
      <c r="O454" s="41">
        <f>IF(C454&lt;='SOLLECITAZ NASCOSTO'!$P$12,IF(C454&lt;='SOLLECITAZ NASCOSTO'!$P$11,IF(C454&lt;='SOLLECITAZ NASCOSTO'!$P$10,IF(C454&lt;='SOLLECITAZ NASCOSTO'!$P$9,IF(C454&lt;='SOLLECITAZ NASCOSTO'!$P$8,IF(C454&lt;='SOLLECITAZ NASCOSTO'!$P$7,IF(C454&lt;='SOLLECITAZ NASCOSTO'!$P$6,IF(C454&lt;='SOLLECITAZ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paramento'!$G$110),55555)*(C454-C453)/IF(C454&lt;='SOLLECITAZ NASCOSTO'!$P$12,IF(C454&lt;='SOLLECITAZ NASCOSTO'!$P$11,IF(C454&lt;='SOLLECITAZ NASCOSTO'!$P$10,IF(C454&lt;='SOLLECITAZ NASCOSTO'!$P$9,IF(C454&lt;='SOLLECITAZ NASCOSTO'!$P$8,IF(C454&lt;='SOLLECITAZ NASCOSTO'!$P$7,IF(C454&lt;='SOLLECITAZ NASCOSTO'!$P$6,IF(C454&lt;='SOLLECITAZ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0.59233053470808406</v>
      </c>
      <c r="P454" s="41">
        <f t="shared" si="137"/>
        <v>4.2100000000000373E-4</v>
      </c>
      <c r="Q454" s="41">
        <f t="shared" si="135"/>
        <v>4.2100000000000373E-4</v>
      </c>
      <c r="R454" s="434">
        <f t="shared" si="128"/>
        <v>4.6820615922608813</v>
      </c>
      <c r="S454" s="45" t="e">
        <f t="shared" si="136"/>
        <v>#N/A</v>
      </c>
      <c r="T454" s="205" t="e">
        <f t="shared" si="142"/>
        <v>#N/A</v>
      </c>
      <c r="U454" s="45">
        <f t="shared" si="133"/>
        <v>0</v>
      </c>
      <c r="V454" s="45">
        <f t="shared" si="134"/>
        <v>0</v>
      </c>
      <c r="W454" s="488"/>
    </row>
    <row r="455" spans="2:23" ht="15" customHeight="1" x14ac:dyDescent="0.25">
      <c r="B455" s="31">
        <f t="shared" si="112"/>
        <v>7</v>
      </c>
      <c r="C455" s="434">
        <f>$C$448+DATI!$E$74/'SOLLECITAZ NASCOSTO'!$B$468*'SOLLECITAZ NASCOSTO'!B455</f>
        <v>4.7070615922608807</v>
      </c>
      <c r="D455" s="974"/>
      <c r="E455" s="975"/>
      <c r="F455" s="975"/>
      <c r="G455" s="975"/>
      <c r="H455" s="975"/>
      <c r="I455" s="975"/>
      <c r="J455" s="975"/>
      <c r="K455" s="976"/>
      <c r="L455" s="41">
        <f t="shared" si="141"/>
        <v>325.8937499979732</v>
      </c>
      <c r="M455" s="41">
        <f>M454-(L455+L454)*(C455-C454)/2</f>
        <v>-561.08510913125451</v>
      </c>
      <c r="N455" s="41">
        <f>(IF(C454&lt;='SOLLECITAZ NASCOSTO'!$P$12,IF(C454&lt;='SOLLECITAZ NASCOSTO'!$P$11,IF(C454&lt;='SOLLECITAZ NASCOSTO'!$P$10,IF(C454&lt;='SOLLECITAZ NASCOSTO'!$P$9,IF(C454&lt;='SOLLECITAZ NASCOSTO'!$P$8,IF(C454&lt;='SOLLECITAZ NASCOSTO'!$P$7,IF(C454&lt;='SOLLECITAZ NASCOSTO'!$P$6,IF(C454&lt;='SOLLECITAZ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paramento'!$G$111),55555)-IF(C454&lt;='SOLLECITAZ NASCOSTO'!$P$12,IF(C454&lt;='SOLLECITAZ NASCOSTO'!$P$11,IF(C454&lt;='SOLLECITAZ NASCOSTO'!$P$10,IF(C454&lt;='SOLLECITAZ NASCOSTO'!$P$9,IF(C454&lt;='SOLLECITAZ NASCOSTO'!$P$8,IF(C454&lt;='SOLLECITAZ NASCOSTO'!$P$7,IF(C454&lt;='SOLLECITAZ NASCOSTO'!$P$6,IF(C454&lt;='SOLLECITAZ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paramento'!$G$111))*(C454-IF(C454&lt;='SOLLECITAZ NASCOSTO'!$P$12,IF(C454&lt;='SOLLECITAZ NASCOSTO'!$P$11,IF(C454&lt;='SOLLECITAZ NASCOSTO'!$P$10,IF(C454&lt;='SOLLECITAZ NASCOSTO'!$P$9,IF(C454&lt;='SOLLECITAZ NASCOSTO'!$P$8,IF(C454&lt;='SOLLECITAZ NASCOSTO'!$P$7,IF(C454&lt;='SOLLECITAZ NASCOSTO'!$P$6,IF(C454&lt;='SOLLECITAZ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NASCOSTO'!$P$12))/IF(C454&lt;='SOLLECITAZ NASCOSTO'!$P$12,IF(C454&lt;='SOLLECITAZ NASCOSTO'!$P$11,IF(C454&lt;='SOLLECITAZ NASCOSTO'!$P$10,IF(C454&lt;='SOLLECITAZ NASCOSTO'!$P$9,IF(C454&lt;='SOLLECITAZ NASCOSTO'!$P$8,IF(C454&lt;='SOLLECITAZ NASCOSTO'!$P$7,IF(C454&lt;='SOLLECITAZ NASCOSTO'!$P$6,IF(C454&lt;='SOLLECITAZ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paramento'!$C$111)+IF(C454&lt;='SOLLECITAZ NASCOSTO'!$P$12,IF(C454&lt;='SOLLECITAZ NASCOSTO'!$P$11,IF(C454&lt;='SOLLECITAZ NASCOSTO'!$P$10,IF(C454&lt;='SOLLECITAZ NASCOSTO'!$P$9,IF(C454&lt;='SOLLECITAZ NASCOSTO'!$P$8,IF(C454&lt;='SOLLECITAZ NASCOSTO'!$P$7,IF(C454&lt;='SOLLECITAZ NASCOSTO'!$P$6,IF(C454&lt;='SOLLECITAZ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124.40546803389142</v>
      </c>
      <c r="O455" s="41">
        <f>IF(C455&lt;='SOLLECITAZ NASCOSTO'!$P$12,IF(C455&lt;='SOLLECITAZ NASCOSTO'!$P$11,IF(C455&lt;='SOLLECITAZ NASCOSTO'!$P$10,IF(C455&lt;='SOLLECITAZ NASCOSTO'!$P$9,IF(C455&lt;='SOLLECITAZ NASCOSTO'!$P$8,IF(C455&lt;='SOLLECITAZ NASCOSTO'!$P$7,IF(C455&lt;='SOLLECITAZ NASCOSTO'!$P$6,IF(C455&lt;='SOLLECITAZ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paramento'!$G$110),55555)*(C455-C454)/IF(C455&lt;='SOLLECITAZ NASCOSTO'!$P$12,IF(C455&lt;='SOLLECITAZ NASCOSTO'!$P$11,IF(C455&lt;='SOLLECITAZ NASCOSTO'!$P$10,IF(C455&lt;='SOLLECITAZ NASCOSTO'!$P$9,IF(C455&lt;='SOLLECITAZ NASCOSTO'!$P$8,IF(C455&lt;='SOLLECITAZ NASCOSTO'!$P$7,IF(C455&lt;='SOLLECITAZ NASCOSTO'!$P$6,IF(C455&lt;='SOLLECITAZ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0.59233053470806307</v>
      </c>
      <c r="P455" s="41">
        <f t="shared" si="137"/>
        <v>4.2200000000000375E-4</v>
      </c>
      <c r="Q455" s="41">
        <f t="shared" si="135"/>
        <v>4.2200000000000375E-4</v>
      </c>
      <c r="R455" s="434">
        <f t="shared" si="128"/>
        <v>4.7070615922608807</v>
      </c>
      <c r="S455" s="45" t="e">
        <f t="shared" si="136"/>
        <v>#N/A</v>
      </c>
      <c r="T455" s="205" t="e">
        <f t="shared" si="142"/>
        <v>#N/A</v>
      </c>
      <c r="U455" s="45">
        <f t="shared" si="133"/>
        <v>0</v>
      </c>
      <c r="V455" s="45">
        <f t="shared" si="134"/>
        <v>0</v>
      </c>
      <c r="W455" s="488"/>
    </row>
    <row r="456" spans="2:23" ht="15" customHeight="1" x14ac:dyDescent="0.25">
      <c r="B456" s="31">
        <f t="shared" si="112"/>
        <v>8</v>
      </c>
      <c r="C456" s="434">
        <f>$C$448+DATI!$E$74/'SOLLECITAZ NASCOSTO'!$B$468*'SOLLECITAZ NASCOSTO'!B456</f>
        <v>4.7320615922608811</v>
      </c>
      <c r="D456" s="974"/>
      <c r="E456" s="975"/>
      <c r="F456" s="975"/>
      <c r="G456" s="975"/>
      <c r="H456" s="975"/>
      <c r="I456" s="975"/>
      <c r="J456" s="975"/>
      <c r="K456" s="976"/>
      <c r="L456" s="41">
        <f t="shared" si="141"/>
        <v>329.02609909387212</v>
      </c>
      <c r="M456" s="41">
        <f t="shared" si="132"/>
        <v>-569.27160724490273</v>
      </c>
      <c r="N456" s="41">
        <f>(IF(C455&lt;='SOLLECITAZ NASCOSTO'!$P$12,IF(C455&lt;='SOLLECITAZ NASCOSTO'!$P$11,IF(C455&lt;='SOLLECITAZ NASCOSTO'!$P$10,IF(C455&lt;='SOLLECITAZ NASCOSTO'!$P$9,IF(C455&lt;='SOLLECITAZ NASCOSTO'!$P$8,IF(C455&lt;='SOLLECITAZ NASCOSTO'!$P$7,IF(C455&lt;='SOLLECITAZ NASCOSTO'!$P$6,IF(C455&lt;='SOLLECITAZ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paramento'!$G$111),55555)-IF(C455&lt;='SOLLECITAZ NASCOSTO'!$P$12,IF(C455&lt;='SOLLECITAZ NASCOSTO'!$P$11,IF(C455&lt;='SOLLECITAZ NASCOSTO'!$P$10,IF(C455&lt;='SOLLECITAZ NASCOSTO'!$P$9,IF(C455&lt;='SOLLECITAZ NASCOSTO'!$P$8,IF(C455&lt;='SOLLECITAZ NASCOSTO'!$P$7,IF(C455&lt;='SOLLECITAZ NASCOSTO'!$P$6,IF(C455&lt;='SOLLECITAZ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paramento'!$G$111))*(C455-IF(C455&lt;='SOLLECITAZ NASCOSTO'!$P$12,IF(C455&lt;='SOLLECITAZ NASCOSTO'!$P$11,IF(C455&lt;='SOLLECITAZ NASCOSTO'!$P$10,IF(C455&lt;='SOLLECITAZ NASCOSTO'!$P$9,IF(C455&lt;='SOLLECITAZ NASCOSTO'!$P$8,IF(C455&lt;='SOLLECITAZ NASCOSTO'!$P$7,IF(C455&lt;='SOLLECITAZ NASCOSTO'!$P$6,IF(C455&lt;='SOLLECITAZ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NASCOSTO'!$P$12))/IF(C455&lt;='SOLLECITAZ NASCOSTO'!$P$12,IF(C455&lt;='SOLLECITAZ NASCOSTO'!$P$11,IF(C455&lt;='SOLLECITAZ NASCOSTO'!$P$10,IF(C455&lt;='SOLLECITAZ NASCOSTO'!$P$9,IF(C455&lt;='SOLLECITAZ NASCOSTO'!$P$8,IF(C455&lt;='SOLLECITAZ NASCOSTO'!$P$7,IF(C455&lt;='SOLLECITAZ NASCOSTO'!$P$6,IF(C455&lt;='SOLLECITAZ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paramento'!$C$111)+IF(C455&lt;='SOLLECITAZ NASCOSTO'!$P$12,IF(C455&lt;='SOLLECITAZ NASCOSTO'!$P$11,IF(C455&lt;='SOLLECITAZ NASCOSTO'!$P$10,IF(C455&lt;='SOLLECITAZ NASCOSTO'!$P$9,IF(C455&lt;='SOLLECITAZ NASCOSTO'!$P$8,IF(C455&lt;='SOLLECITAZ NASCOSTO'!$P$7,IF(C455&lt;='SOLLECITAZ NASCOSTO'!$P$6,IF(C455&lt;='SOLLECITAZ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124.99779856859948</v>
      </c>
      <c r="O456" s="41">
        <f>IF(C456&lt;='SOLLECITAZ NASCOSTO'!$P$12,IF(C456&lt;='SOLLECITAZ NASCOSTO'!$P$11,IF(C456&lt;='SOLLECITAZ NASCOSTO'!$P$10,IF(C456&lt;='SOLLECITAZ NASCOSTO'!$P$9,IF(C456&lt;='SOLLECITAZ NASCOSTO'!$P$8,IF(C456&lt;='SOLLECITAZ NASCOSTO'!$P$7,IF(C456&lt;='SOLLECITAZ NASCOSTO'!$P$6,IF(C456&lt;='SOLLECITAZ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paramento'!$G$110),55555)*(C456-C455)/IF(C456&lt;='SOLLECITAZ NASCOSTO'!$P$12,IF(C456&lt;='SOLLECITAZ NASCOSTO'!$P$11,IF(C456&lt;='SOLLECITAZ NASCOSTO'!$P$10,IF(C456&lt;='SOLLECITAZ NASCOSTO'!$P$9,IF(C456&lt;='SOLLECITAZ NASCOSTO'!$P$8,IF(C456&lt;='SOLLECITAZ NASCOSTO'!$P$7,IF(C456&lt;='SOLLECITAZ NASCOSTO'!$P$6,IF(C456&lt;='SOLLECITAZ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0.59233053470808406</v>
      </c>
      <c r="P456" s="41">
        <f t="shared" si="137"/>
        <v>4.2300000000000378E-4</v>
      </c>
      <c r="Q456" s="41">
        <f t="shared" si="135"/>
        <v>4.2300000000000378E-4</v>
      </c>
      <c r="R456" s="434">
        <f t="shared" si="128"/>
        <v>4.7320615922608811</v>
      </c>
      <c r="S456" s="45" t="e">
        <f t="shared" si="136"/>
        <v>#N/A</v>
      </c>
      <c r="T456" s="205" t="e">
        <f t="shared" si="142"/>
        <v>#N/A</v>
      </c>
      <c r="U456" s="45">
        <f t="shared" si="133"/>
        <v>0</v>
      </c>
      <c r="V456" s="45">
        <f t="shared" si="134"/>
        <v>0</v>
      </c>
      <c r="W456" s="488"/>
    </row>
    <row r="457" spans="2:23" ht="15" customHeight="1" x14ac:dyDescent="0.25">
      <c r="B457" s="31">
        <f t="shared" si="112"/>
        <v>9</v>
      </c>
      <c r="C457" s="434">
        <f>$C$448+DATI!$E$74/'SOLLECITAZ NASCOSTO'!$B$468*'SOLLECITAZ NASCOSTO'!B457</f>
        <v>4.7570615922608805</v>
      </c>
      <c r="D457" s="974"/>
      <c r="E457" s="975"/>
      <c r="F457" s="975"/>
      <c r="G457" s="975"/>
      <c r="H457" s="975"/>
      <c r="I457" s="975"/>
      <c r="J457" s="975"/>
      <c r="K457" s="976"/>
      <c r="L457" s="41">
        <f t="shared" si="141"/>
        <v>332.17325645313861</v>
      </c>
      <c r="M457" s="41">
        <f t="shared" si="132"/>
        <v>-577.53659918924018</v>
      </c>
      <c r="N457" s="41">
        <f>(IF(C456&lt;='SOLLECITAZ NASCOSTO'!$P$12,IF(C456&lt;='SOLLECITAZ NASCOSTO'!$P$11,IF(C456&lt;='SOLLECITAZ NASCOSTO'!$P$10,IF(C456&lt;='SOLLECITAZ NASCOSTO'!$P$9,IF(C456&lt;='SOLLECITAZ NASCOSTO'!$P$8,IF(C456&lt;='SOLLECITAZ NASCOSTO'!$P$7,IF(C456&lt;='SOLLECITAZ NASCOSTO'!$P$6,IF(C456&lt;='SOLLECITAZ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paramento'!$G$111),55555)-IF(C456&lt;='SOLLECITAZ NASCOSTO'!$P$12,IF(C456&lt;='SOLLECITAZ NASCOSTO'!$P$11,IF(C456&lt;='SOLLECITAZ NASCOSTO'!$P$10,IF(C456&lt;='SOLLECITAZ NASCOSTO'!$P$9,IF(C456&lt;='SOLLECITAZ NASCOSTO'!$P$8,IF(C456&lt;='SOLLECITAZ NASCOSTO'!$P$7,IF(C456&lt;='SOLLECITAZ NASCOSTO'!$P$6,IF(C456&lt;='SOLLECITAZ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paramento'!$G$111))*(C456-IF(C456&lt;='SOLLECITAZ NASCOSTO'!$P$12,IF(C456&lt;='SOLLECITAZ NASCOSTO'!$P$11,IF(C456&lt;='SOLLECITAZ NASCOSTO'!$P$10,IF(C456&lt;='SOLLECITAZ NASCOSTO'!$P$9,IF(C456&lt;='SOLLECITAZ NASCOSTO'!$P$8,IF(C456&lt;='SOLLECITAZ NASCOSTO'!$P$7,IF(C456&lt;='SOLLECITAZ NASCOSTO'!$P$6,IF(C456&lt;='SOLLECITAZ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NASCOSTO'!$P$12))/IF(C456&lt;='SOLLECITAZ NASCOSTO'!$P$12,IF(C456&lt;='SOLLECITAZ NASCOSTO'!$P$11,IF(C456&lt;='SOLLECITAZ NASCOSTO'!$P$10,IF(C456&lt;='SOLLECITAZ NASCOSTO'!$P$9,IF(C456&lt;='SOLLECITAZ NASCOSTO'!$P$8,IF(C456&lt;='SOLLECITAZ NASCOSTO'!$P$7,IF(C456&lt;='SOLLECITAZ NASCOSTO'!$P$6,IF(C456&lt;='SOLLECITAZ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paramento'!$C$111)+IF(C456&lt;='SOLLECITAZ NASCOSTO'!$P$12,IF(C456&lt;='SOLLECITAZ NASCOSTO'!$P$11,IF(C456&lt;='SOLLECITAZ NASCOSTO'!$P$10,IF(C456&lt;='SOLLECITAZ NASCOSTO'!$P$9,IF(C456&lt;='SOLLECITAZ NASCOSTO'!$P$8,IF(C456&lt;='SOLLECITAZ NASCOSTO'!$P$7,IF(C456&lt;='SOLLECITAZ NASCOSTO'!$P$6,IF(C456&lt;='SOLLECITAZ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125.59012910330756</v>
      </c>
      <c r="O457" s="41">
        <f>IF(C457&lt;='SOLLECITAZ NASCOSTO'!$P$12,IF(C457&lt;='SOLLECITAZ NASCOSTO'!$P$11,IF(C457&lt;='SOLLECITAZ NASCOSTO'!$P$10,IF(C457&lt;='SOLLECITAZ NASCOSTO'!$P$9,IF(C457&lt;='SOLLECITAZ NASCOSTO'!$P$8,IF(C457&lt;='SOLLECITAZ NASCOSTO'!$P$7,IF(C457&lt;='SOLLECITAZ NASCOSTO'!$P$6,IF(C457&lt;='SOLLECITAZ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paramento'!$G$110),55555)*(C457-C456)/IF(C457&lt;='SOLLECITAZ NASCOSTO'!$P$12,IF(C457&lt;='SOLLECITAZ NASCOSTO'!$P$11,IF(C457&lt;='SOLLECITAZ NASCOSTO'!$P$10,IF(C457&lt;='SOLLECITAZ NASCOSTO'!$P$9,IF(C457&lt;='SOLLECITAZ NASCOSTO'!$P$8,IF(C457&lt;='SOLLECITAZ NASCOSTO'!$P$7,IF(C457&lt;='SOLLECITAZ NASCOSTO'!$P$6,IF(C457&lt;='SOLLECITAZ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0.59233053470806307</v>
      </c>
      <c r="P457" s="41">
        <f t="shared" si="137"/>
        <v>4.240000000000038E-4</v>
      </c>
      <c r="Q457" s="41">
        <f t="shared" si="135"/>
        <v>4.240000000000038E-4</v>
      </c>
      <c r="R457" s="434">
        <f t="shared" si="128"/>
        <v>4.7570615922608805</v>
      </c>
      <c r="S457" s="45" t="e">
        <f t="shared" si="136"/>
        <v>#N/A</v>
      </c>
      <c r="T457" s="205" t="e">
        <f t="shared" si="142"/>
        <v>#N/A</v>
      </c>
      <c r="U457" s="45">
        <f t="shared" si="133"/>
        <v>0</v>
      </c>
      <c r="V457" s="45">
        <f t="shared" si="134"/>
        <v>0</v>
      </c>
      <c r="W457" s="488"/>
    </row>
    <row r="458" spans="2:23" ht="15" customHeight="1" x14ac:dyDescent="0.25">
      <c r="B458" s="31">
        <f t="shared" si="112"/>
        <v>10</v>
      </c>
      <c r="C458" s="434">
        <f>$C$448+DATI!$E$74/'SOLLECITAZ NASCOSTO'!$B$468*'SOLLECITAZ NASCOSTO'!B458</f>
        <v>4.7820615922608809</v>
      </c>
      <c r="D458" s="974"/>
      <c r="E458" s="975"/>
      <c r="F458" s="975"/>
      <c r="G458" s="975"/>
      <c r="H458" s="975"/>
      <c r="I458" s="975"/>
      <c r="J458" s="975"/>
      <c r="K458" s="976"/>
      <c r="L458" s="41">
        <f t="shared" si="141"/>
        <v>335.33522207577289</v>
      </c>
      <c r="M458" s="41">
        <f t="shared" si="132"/>
        <v>-585.88045517085175</v>
      </c>
      <c r="N458" s="41">
        <f>(IF(C457&lt;='SOLLECITAZ NASCOSTO'!$P$12,IF(C457&lt;='SOLLECITAZ NASCOSTO'!$P$11,IF(C457&lt;='SOLLECITAZ NASCOSTO'!$P$10,IF(C457&lt;='SOLLECITAZ NASCOSTO'!$P$9,IF(C457&lt;='SOLLECITAZ NASCOSTO'!$P$8,IF(C457&lt;='SOLLECITAZ NASCOSTO'!$P$7,IF(C457&lt;='SOLLECITAZ NASCOSTO'!$P$6,IF(C457&lt;='SOLLECITAZ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paramento'!$G$111),55555)-IF(C457&lt;='SOLLECITAZ NASCOSTO'!$P$12,IF(C457&lt;='SOLLECITAZ NASCOSTO'!$P$11,IF(C457&lt;='SOLLECITAZ NASCOSTO'!$P$10,IF(C457&lt;='SOLLECITAZ NASCOSTO'!$P$9,IF(C457&lt;='SOLLECITAZ NASCOSTO'!$P$8,IF(C457&lt;='SOLLECITAZ NASCOSTO'!$P$7,IF(C457&lt;='SOLLECITAZ NASCOSTO'!$P$6,IF(C457&lt;='SOLLECITAZ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paramento'!$G$111))*(C457-IF(C457&lt;='SOLLECITAZ NASCOSTO'!$P$12,IF(C457&lt;='SOLLECITAZ NASCOSTO'!$P$11,IF(C457&lt;='SOLLECITAZ NASCOSTO'!$P$10,IF(C457&lt;='SOLLECITAZ NASCOSTO'!$P$9,IF(C457&lt;='SOLLECITAZ NASCOSTO'!$P$8,IF(C457&lt;='SOLLECITAZ NASCOSTO'!$P$7,IF(C457&lt;='SOLLECITAZ NASCOSTO'!$P$6,IF(C457&lt;='SOLLECITAZ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NASCOSTO'!$P$12))/IF(C457&lt;='SOLLECITAZ NASCOSTO'!$P$12,IF(C457&lt;='SOLLECITAZ NASCOSTO'!$P$11,IF(C457&lt;='SOLLECITAZ NASCOSTO'!$P$10,IF(C457&lt;='SOLLECITAZ NASCOSTO'!$P$9,IF(C457&lt;='SOLLECITAZ NASCOSTO'!$P$8,IF(C457&lt;='SOLLECITAZ NASCOSTO'!$P$7,IF(C457&lt;='SOLLECITAZ NASCOSTO'!$P$6,IF(C457&lt;='SOLLECITAZ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paramento'!$C$111)+IF(C457&lt;='SOLLECITAZ NASCOSTO'!$P$12,IF(C457&lt;='SOLLECITAZ NASCOSTO'!$P$11,IF(C457&lt;='SOLLECITAZ NASCOSTO'!$P$10,IF(C457&lt;='SOLLECITAZ NASCOSTO'!$P$9,IF(C457&lt;='SOLLECITAZ NASCOSTO'!$P$8,IF(C457&lt;='SOLLECITAZ NASCOSTO'!$P$7,IF(C457&lt;='SOLLECITAZ NASCOSTO'!$P$6,IF(C457&lt;='SOLLECITAZ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126.18245963801562</v>
      </c>
      <c r="O458" s="41">
        <f>IF(C458&lt;='SOLLECITAZ NASCOSTO'!$P$12,IF(C458&lt;='SOLLECITAZ NASCOSTO'!$P$11,IF(C458&lt;='SOLLECITAZ NASCOSTO'!$P$10,IF(C458&lt;='SOLLECITAZ NASCOSTO'!$P$9,IF(C458&lt;='SOLLECITAZ NASCOSTO'!$P$8,IF(C458&lt;='SOLLECITAZ NASCOSTO'!$P$7,IF(C458&lt;='SOLLECITAZ NASCOSTO'!$P$6,IF(C458&lt;='SOLLECITAZ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paramento'!$G$110),55555)*(C458-C457)/IF(C458&lt;='SOLLECITAZ NASCOSTO'!$P$12,IF(C458&lt;='SOLLECITAZ NASCOSTO'!$P$11,IF(C458&lt;='SOLLECITAZ NASCOSTO'!$P$10,IF(C458&lt;='SOLLECITAZ NASCOSTO'!$P$9,IF(C458&lt;='SOLLECITAZ NASCOSTO'!$P$8,IF(C458&lt;='SOLLECITAZ NASCOSTO'!$P$7,IF(C458&lt;='SOLLECITAZ NASCOSTO'!$P$6,IF(C458&lt;='SOLLECITAZ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0.59233053470808406</v>
      </c>
      <c r="P458" s="41">
        <f t="shared" si="137"/>
        <v>4.2500000000000383E-4</v>
      </c>
      <c r="Q458" s="41">
        <f t="shared" si="135"/>
        <v>4.2500000000000383E-4</v>
      </c>
      <c r="R458" s="434">
        <f t="shared" si="128"/>
        <v>4.7820615922608809</v>
      </c>
      <c r="S458" s="45" t="e">
        <f t="shared" si="136"/>
        <v>#N/A</v>
      </c>
      <c r="T458" s="205" t="e">
        <f t="shared" si="142"/>
        <v>#N/A</v>
      </c>
      <c r="U458" s="45">
        <f t="shared" si="133"/>
        <v>0</v>
      </c>
      <c r="V458" s="45">
        <f t="shared" si="134"/>
        <v>0</v>
      </c>
      <c r="W458" s="488"/>
    </row>
    <row r="459" spans="2:23" ht="15" customHeight="1" x14ac:dyDescent="0.25">
      <c r="B459" s="31">
        <f t="shared" si="112"/>
        <v>11</v>
      </c>
      <c r="C459" s="434">
        <f>$C$448+DATI!$E$74/'SOLLECITAZ NASCOSTO'!$B$468*'SOLLECITAZ NASCOSTO'!B459</f>
        <v>4.8070615922608813</v>
      </c>
      <c r="D459" s="974"/>
      <c r="E459" s="975"/>
      <c r="F459" s="975"/>
      <c r="G459" s="975"/>
      <c r="H459" s="975"/>
      <c r="I459" s="975"/>
      <c r="J459" s="975"/>
      <c r="K459" s="976"/>
      <c r="L459" s="41">
        <f t="shared" si="141"/>
        <v>338.51199596177491</v>
      </c>
      <c r="M459" s="41">
        <f t="shared" si="132"/>
        <v>-594.30354539632117</v>
      </c>
      <c r="N459" s="41">
        <f>(IF(C458&lt;='SOLLECITAZ NASCOSTO'!$P$12,IF(C458&lt;='SOLLECITAZ NASCOSTO'!$P$11,IF(C458&lt;='SOLLECITAZ NASCOSTO'!$P$10,IF(C458&lt;='SOLLECITAZ NASCOSTO'!$P$9,IF(C458&lt;='SOLLECITAZ NASCOSTO'!$P$8,IF(C458&lt;='SOLLECITAZ NASCOSTO'!$P$7,IF(C458&lt;='SOLLECITAZ NASCOSTO'!$P$6,IF(C458&lt;='SOLLECITAZ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paramento'!$G$111),55555)-IF(C458&lt;='SOLLECITAZ NASCOSTO'!$P$12,IF(C458&lt;='SOLLECITAZ NASCOSTO'!$P$11,IF(C458&lt;='SOLLECITAZ NASCOSTO'!$P$10,IF(C458&lt;='SOLLECITAZ NASCOSTO'!$P$9,IF(C458&lt;='SOLLECITAZ NASCOSTO'!$P$8,IF(C458&lt;='SOLLECITAZ NASCOSTO'!$P$7,IF(C458&lt;='SOLLECITAZ NASCOSTO'!$P$6,IF(C458&lt;='SOLLECITAZ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paramento'!$G$111))*(C458-IF(C458&lt;='SOLLECITAZ NASCOSTO'!$P$12,IF(C458&lt;='SOLLECITAZ NASCOSTO'!$P$11,IF(C458&lt;='SOLLECITAZ NASCOSTO'!$P$10,IF(C458&lt;='SOLLECITAZ NASCOSTO'!$P$9,IF(C458&lt;='SOLLECITAZ NASCOSTO'!$P$8,IF(C458&lt;='SOLLECITAZ NASCOSTO'!$P$7,IF(C458&lt;='SOLLECITAZ NASCOSTO'!$P$6,IF(C458&lt;='SOLLECITAZ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NASCOSTO'!$P$12))/IF(C458&lt;='SOLLECITAZ NASCOSTO'!$P$12,IF(C458&lt;='SOLLECITAZ NASCOSTO'!$P$11,IF(C458&lt;='SOLLECITAZ NASCOSTO'!$P$10,IF(C458&lt;='SOLLECITAZ NASCOSTO'!$P$9,IF(C458&lt;='SOLLECITAZ NASCOSTO'!$P$8,IF(C458&lt;='SOLLECITAZ NASCOSTO'!$P$7,IF(C458&lt;='SOLLECITAZ NASCOSTO'!$P$6,IF(C458&lt;='SOLLECITAZ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paramento'!$C$111)+IF(C458&lt;='SOLLECITAZ NASCOSTO'!$P$12,IF(C458&lt;='SOLLECITAZ NASCOSTO'!$P$11,IF(C458&lt;='SOLLECITAZ NASCOSTO'!$P$10,IF(C458&lt;='SOLLECITAZ NASCOSTO'!$P$9,IF(C458&lt;='SOLLECITAZ NASCOSTO'!$P$8,IF(C458&lt;='SOLLECITAZ NASCOSTO'!$P$7,IF(C458&lt;='SOLLECITAZ NASCOSTO'!$P$6,IF(C458&lt;='SOLLECITAZ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126.7747901727237</v>
      </c>
      <c r="O459" s="41">
        <f>IF(C459&lt;='SOLLECITAZ NASCOSTO'!$P$12,IF(C459&lt;='SOLLECITAZ NASCOSTO'!$P$11,IF(C459&lt;='SOLLECITAZ NASCOSTO'!$P$10,IF(C459&lt;='SOLLECITAZ NASCOSTO'!$P$9,IF(C459&lt;='SOLLECITAZ NASCOSTO'!$P$8,IF(C459&lt;='SOLLECITAZ NASCOSTO'!$P$7,IF(C459&lt;='SOLLECITAZ NASCOSTO'!$P$6,IF(C459&lt;='SOLLECITAZ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paramento'!$G$110),55555)*(C459-C458)/IF(C459&lt;='SOLLECITAZ NASCOSTO'!$P$12,IF(C459&lt;='SOLLECITAZ NASCOSTO'!$P$11,IF(C459&lt;='SOLLECITAZ NASCOSTO'!$P$10,IF(C459&lt;='SOLLECITAZ NASCOSTO'!$P$9,IF(C459&lt;='SOLLECITAZ NASCOSTO'!$P$8,IF(C459&lt;='SOLLECITAZ NASCOSTO'!$P$7,IF(C459&lt;='SOLLECITAZ NASCOSTO'!$P$6,IF(C459&lt;='SOLLECITAZ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0.59233053470808406</v>
      </c>
      <c r="P459" s="41">
        <f t="shared" si="137"/>
        <v>4.2600000000000385E-4</v>
      </c>
      <c r="Q459" s="41">
        <f t="shared" si="135"/>
        <v>4.2600000000000385E-4</v>
      </c>
      <c r="R459" s="434">
        <f t="shared" si="128"/>
        <v>4.8070615922608813</v>
      </c>
      <c r="S459" s="45" t="e">
        <f t="shared" si="136"/>
        <v>#N/A</v>
      </c>
      <c r="T459" s="205" t="e">
        <f t="shared" si="142"/>
        <v>#N/A</v>
      </c>
      <c r="U459" s="45">
        <f t="shared" si="133"/>
        <v>0</v>
      </c>
      <c r="V459" s="45">
        <f t="shared" si="134"/>
        <v>0</v>
      </c>
      <c r="W459" s="488"/>
    </row>
    <row r="460" spans="2:23" ht="18.75" customHeight="1" x14ac:dyDescent="0.25">
      <c r="B460" s="31">
        <f t="shared" si="112"/>
        <v>12</v>
      </c>
      <c r="C460" s="434">
        <f>$C$448+DATI!$E$74/'SOLLECITAZ NASCOSTO'!$B$468*'SOLLECITAZ NASCOSTO'!B460</f>
        <v>4.8320615922608807</v>
      </c>
      <c r="D460" s="974"/>
      <c r="E460" s="975"/>
      <c r="F460" s="975"/>
      <c r="G460" s="975"/>
      <c r="H460" s="975"/>
      <c r="I460" s="975"/>
      <c r="J460" s="975"/>
      <c r="K460" s="976"/>
      <c r="L460" s="41">
        <f t="shared" si="141"/>
        <v>341.70357811114451</v>
      </c>
      <c r="M460" s="41">
        <f t="shared" si="132"/>
        <v>-602.80624007223253</v>
      </c>
      <c r="N460" s="41">
        <f>(IF(C459&lt;='SOLLECITAZ NASCOSTO'!$P$12,IF(C459&lt;='SOLLECITAZ NASCOSTO'!$P$11,IF(C459&lt;='SOLLECITAZ NASCOSTO'!$P$10,IF(C459&lt;='SOLLECITAZ NASCOSTO'!$P$9,IF(C459&lt;='SOLLECITAZ NASCOSTO'!$P$8,IF(C459&lt;='SOLLECITAZ NASCOSTO'!$P$7,IF(C459&lt;='SOLLECITAZ NASCOSTO'!$P$6,IF(C459&lt;='SOLLECITAZ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paramento'!$G$111),55555)-IF(C459&lt;='SOLLECITAZ NASCOSTO'!$P$12,IF(C459&lt;='SOLLECITAZ NASCOSTO'!$P$11,IF(C459&lt;='SOLLECITAZ NASCOSTO'!$P$10,IF(C459&lt;='SOLLECITAZ NASCOSTO'!$P$9,IF(C459&lt;='SOLLECITAZ NASCOSTO'!$P$8,IF(C459&lt;='SOLLECITAZ NASCOSTO'!$P$7,IF(C459&lt;='SOLLECITAZ NASCOSTO'!$P$6,IF(C459&lt;='SOLLECITAZ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paramento'!$G$111))*(C459-IF(C459&lt;='SOLLECITAZ NASCOSTO'!$P$12,IF(C459&lt;='SOLLECITAZ NASCOSTO'!$P$11,IF(C459&lt;='SOLLECITAZ NASCOSTO'!$P$10,IF(C459&lt;='SOLLECITAZ NASCOSTO'!$P$9,IF(C459&lt;='SOLLECITAZ NASCOSTO'!$P$8,IF(C459&lt;='SOLLECITAZ NASCOSTO'!$P$7,IF(C459&lt;='SOLLECITAZ NASCOSTO'!$P$6,IF(C459&lt;='SOLLECITAZ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NASCOSTO'!$P$12))/IF(C459&lt;='SOLLECITAZ NASCOSTO'!$P$12,IF(C459&lt;='SOLLECITAZ NASCOSTO'!$P$11,IF(C459&lt;='SOLLECITAZ NASCOSTO'!$P$10,IF(C459&lt;='SOLLECITAZ NASCOSTO'!$P$9,IF(C459&lt;='SOLLECITAZ NASCOSTO'!$P$8,IF(C459&lt;='SOLLECITAZ NASCOSTO'!$P$7,IF(C459&lt;='SOLLECITAZ NASCOSTO'!$P$6,IF(C459&lt;='SOLLECITAZ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paramento'!$C$111)+IF(C459&lt;='SOLLECITAZ NASCOSTO'!$P$12,IF(C459&lt;='SOLLECITAZ NASCOSTO'!$P$11,IF(C459&lt;='SOLLECITAZ NASCOSTO'!$P$10,IF(C459&lt;='SOLLECITAZ NASCOSTO'!$P$9,IF(C459&lt;='SOLLECITAZ NASCOSTO'!$P$8,IF(C459&lt;='SOLLECITAZ NASCOSTO'!$P$7,IF(C459&lt;='SOLLECITAZ NASCOSTO'!$P$6,IF(C459&lt;='SOLLECITAZ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127.36712070743181</v>
      </c>
      <c r="O460" s="41">
        <f>IF(C460&lt;='SOLLECITAZ NASCOSTO'!$P$12,IF(C460&lt;='SOLLECITAZ NASCOSTO'!$P$11,IF(C460&lt;='SOLLECITAZ NASCOSTO'!$P$10,IF(C460&lt;='SOLLECITAZ NASCOSTO'!$P$9,IF(C460&lt;='SOLLECITAZ NASCOSTO'!$P$8,IF(C460&lt;='SOLLECITAZ NASCOSTO'!$P$7,IF(C460&lt;='SOLLECITAZ NASCOSTO'!$P$6,IF(C460&lt;='SOLLECITAZ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paramento'!$G$110),55555)*(C460-C459)/IF(C460&lt;='SOLLECITAZ NASCOSTO'!$P$12,IF(C460&lt;='SOLLECITAZ NASCOSTO'!$P$11,IF(C460&lt;='SOLLECITAZ NASCOSTO'!$P$10,IF(C460&lt;='SOLLECITAZ NASCOSTO'!$P$9,IF(C460&lt;='SOLLECITAZ NASCOSTO'!$P$8,IF(C460&lt;='SOLLECITAZ NASCOSTO'!$P$7,IF(C460&lt;='SOLLECITAZ NASCOSTO'!$P$6,IF(C460&lt;='SOLLECITAZ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0.59233053470806307</v>
      </c>
      <c r="P460" s="41">
        <f t="shared" si="137"/>
        <v>4.2700000000000387E-4</v>
      </c>
      <c r="Q460" s="41">
        <f t="shared" si="135"/>
        <v>4.2700000000000387E-4</v>
      </c>
      <c r="R460" s="434">
        <f t="shared" si="128"/>
        <v>4.8320615922608807</v>
      </c>
      <c r="S460" s="45" t="e">
        <f t="shared" si="136"/>
        <v>#N/A</v>
      </c>
      <c r="T460" s="205" t="e">
        <f t="shared" si="142"/>
        <v>#N/A</v>
      </c>
      <c r="U460" s="45">
        <f t="shared" si="133"/>
        <v>0</v>
      </c>
      <c r="V460" s="45">
        <f t="shared" si="134"/>
        <v>0</v>
      </c>
    </row>
    <row r="461" spans="2:23" ht="18.75" customHeight="1" x14ac:dyDescent="0.25">
      <c r="B461" s="31">
        <f t="shared" si="112"/>
        <v>13</v>
      </c>
      <c r="C461" s="434">
        <f>$C$448+DATI!$E$74/'SOLLECITAZ NASCOSTO'!$B$468*'SOLLECITAZ NASCOSTO'!B461</f>
        <v>4.8570615922608811</v>
      </c>
      <c r="D461" s="974"/>
      <c r="E461" s="975"/>
      <c r="F461" s="975"/>
      <c r="G461" s="975"/>
      <c r="H461" s="975"/>
      <c r="I461" s="975"/>
      <c r="J461" s="975"/>
      <c r="K461" s="976"/>
      <c r="L461" s="41">
        <f t="shared" si="141"/>
        <v>344.9099685238819</v>
      </c>
      <c r="M461" s="41">
        <f t="shared" si="132"/>
        <v>-611.38890940517047</v>
      </c>
      <c r="N461" s="41">
        <f>(IF(C460&lt;='SOLLECITAZ NASCOSTO'!$P$12,IF(C460&lt;='SOLLECITAZ NASCOSTO'!$P$11,IF(C460&lt;='SOLLECITAZ NASCOSTO'!$P$10,IF(C460&lt;='SOLLECITAZ NASCOSTO'!$P$9,IF(C460&lt;='SOLLECITAZ NASCOSTO'!$P$8,IF(C460&lt;='SOLLECITAZ NASCOSTO'!$P$7,IF(C460&lt;='SOLLECITAZ NASCOSTO'!$P$6,IF(C460&lt;='SOLLECITAZ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paramento'!$G$111),55555)-IF(C460&lt;='SOLLECITAZ NASCOSTO'!$P$12,IF(C460&lt;='SOLLECITAZ NASCOSTO'!$P$11,IF(C460&lt;='SOLLECITAZ NASCOSTO'!$P$10,IF(C460&lt;='SOLLECITAZ NASCOSTO'!$P$9,IF(C460&lt;='SOLLECITAZ NASCOSTO'!$P$8,IF(C460&lt;='SOLLECITAZ NASCOSTO'!$P$7,IF(C460&lt;='SOLLECITAZ NASCOSTO'!$P$6,IF(C460&lt;='SOLLECITAZ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paramento'!$G$111))*(C460-IF(C460&lt;='SOLLECITAZ NASCOSTO'!$P$12,IF(C460&lt;='SOLLECITAZ NASCOSTO'!$P$11,IF(C460&lt;='SOLLECITAZ NASCOSTO'!$P$10,IF(C460&lt;='SOLLECITAZ NASCOSTO'!$P$9,IF(C460&lt;='SOLLECITAZ NASCOSTO'!$P$8,IF(C460&lt;='SOLLECITAZ NASCOSTO'!$P$7,IF(C460&lt;='SOLLECITAZ NASCOSTO'!$P$6,IF(C460&lt;='SOLLECITAZ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NASCOSTO'!$P$12))/IF(C460&lt;='SOLLECITAZ NASCOSTO'!$P$12,IF(C460&lt;='SOLLECITAZ NASCOSTO'!$P$11,IF(C460&lt;='SOLLECITAZ NASCOSTO'!$P$10,IF(C460&lt;='SOLLECITAZ NASCOSTO'!$P$9,IF(C460&lt;='SOLLECITAZ NASCOSTO'!$P$8,IF(C460&lt;='SOLLECITAZ NASCOSTO'!$P$7,IF(C460&lt;='SOLLECITAZ NASCOSTO'!$P$6,IF(C460&lt;='SOLLECITAZ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paramento'!$C$111)+IF(C460&lt;='SOLLECITAZ NASCOSTO'!$P$12,IF(C460&lt;='SOLLECITAZ NASCOSTO'!$P$11,IF(C460&lt;='SOLLECITAZ NASCOSTO'!$P$10,IF(C460&lt;='SOLLECITAZ NASCOSTO'!$P$9,IF(C460&lt;='SOLLECITAZ NASCOSTO'!$P$8,IF(C460&lt;='SOLLECITAZ NASCOSTO'!$P$7,IF(C460&lt;='SOLLECITAZ NASCOSTO'!$P$6,IF(C460&lt;='SOLLECITAZ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127.95945124213986</v>
      </c>
      <c r="O461" s="41">
        <f>IF(C461&lt;='SOLLECITAZ NASCOSTO'!$P$12,IF(C461&lt;='SOLLECITAZ NASCOSTO'!$P$11,IF(C461&lt;='SOLLECITAZ NASCOSTO'!$P$10,IF(C461&lt;='SOLLECITAZ NASCOSTO'!$P$9,IF(C461&lt;='SOLLECITAZ NASCOSTO'!$P$8,IF(C461&lt;='SOLLECITAZ NASCOSTO'!$P$7,IF(C461&lt;='SOLLECITAZ NASCOSTO'!$P$6,IF(C461&lt;='SOLLECITAZ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paramento'!$G$110),55555)*(C461-C460)/IF(C461&lt;='SOLLECITAZ NASCOSTO'!$P$12,IF(C461&lt;='SOLLECITAZ NASCOSTO'!$P$11,IF(C461&lt;='SOLLECITAZ NASCOSTO'!$P$10,IF(C461&lt;='SOLLECITAZ NASCOSTO'!$P$9,IF(C461&lt;='SOLLECITAZ NASCOSTO'!$P$8,IF(C461&lt;='SOLLECITAZ NASCOSTO'!$P$7,IF(C461&lt;='SOLLECITAZ NASCOSTO'!$P$6,IF(C461&lt;='SOLLECITAZ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0.59233053470808406</v>
      </c>
      <c r="P461" s="41">
        <f t="shared" si="137"/>
        <v>4.280000000000039E-4</v>
      </c>
      <c r="Q461" s="41">
        <f t="shared" si="135"/>
        <v>4.280000000000039E-4</v>
      </c>
      <c r="R461" s="434">
        <f t="shared" si="128"/>
        <v>4.8570615922608811</v>
      </c>
      <c r="S461" s="45" t="e">
        <f t="shared" si="136"/>
        <v>#N/A</v>
      </c>
      <c r="T461" s="205" t="e">
        <f t="shared" si="142"/>
        <v>#N/A</v>
      </c>
      <c r="U461" s="45">
        <f t="shared" si="133"/>
        <v>0</v>
      </c>
      <c r="V461" s="45">
        <f t="shared" si="134"/>
        <v>0</v>
      </c>
    </row>
    <row r="462" spans="2:23" ht="18.75" customHeight="1" x14ac:dyDescent="0.25">
      <c r="B462" s="31">
        <f t="shared" si="112"/>
        <v>14</v>
      </c>
      <c r="C462" s="434">
        <f>$C$448+DATI!$E$74/'SOLLECITAZ NASCOSTO'!$B$468*'SOLLECITAZ NASCOSTO'!B462</f>
        <v>4.8820615922608805</v>
      </c>
      <c r="D462" s="974"/>
      <c r="E462" s="975"/>
      <c r="F462" s="975"/>
      <c r="G462" s="975"/>
      <c r="H462" s="975"/>
      <c r="I462" s="975"/>
      <c r="J462" s="975"/>
      <c r="K462" s="976"/>
      <c r="L462" s="41">
        <f t="shared" si="141"/>
        <v>348.13116719998692</v>
      </c>
      <c r="M462" s="41">
        <f t="shared" si="132"/>
        <v>-620.05192360171861</v>
      </c>
      <c r="N462" s="41">
        <f>(IF(C461&lt;='SOLLECITAZ NASCOSTO'!$P$12,IF(C461&lt;='SOLLECITAZ NASCOSTO'!$P$11,IF(C461&lt;='SOLLECITAZ NASCOSTO'!$P$10,IF(C461&lt;='SOLLECITAZ NASCOSTO'!$P$9,IF(C461&lt;='SOLLECITAZ NASCOSTO'!$P$8,IF(C461&lt;='SOLLECITAZ NASCOSTO'!$P$7,IF(C461&lt;='SOLLECITAZ NASCOSTO'!$P$6,IF(C461&lt;='SOLLECITAZ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paramento'!$G$111),55555)-IF(C461&lt;='SOLLECITAZ NASCOSTO'!$P$12,IF(C461&lt;='SOLLECITAZ NASCOSTO'!$P$11,IF(C461&lt;='SOLLECITAZ NASCOSTO'!$P$10,IF(C461&lt;='SOLLECITAZ NASCOSTO'!$P$9,IF(C461&lt;='SOLLECITAZ NASCOSTO'!$P$8,IF(C461&lt;='SOLLECITAZ NASCOSTO'!$P$7,IF(C461&lt;='SOLLECITAZ NASCOSTO'!$P$6,IF(C461&lt;='SOLLECITAZ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paramento'!$G$111))*(C461-IF(C461&lt;='SOLLECITAZ NASCOSTO'!$P$12,IF(C461&lt;='SOLLECITAZ NASCOSTO'!$P$11,IF(C461&lt;='SOLLECITAZ NASCOSTO'!$P$10,IF(C461&lt;='SOLLECITAZ NASCOSTO'!$P$9,IF(C461&lt;='SOLLECITAZ NASCOSTO'!$P$8,IF(C461&lt;='SOLLECITAZ NASCOSTO'!$P$7,IF(C461&lt;='SOLLECITAZ NASCOSTO'!$P$6,IF(C461&lt;='SOLLECITAZ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NASCOSTO'!$P$12))/IF(C461&lt;='SOLLECITAZ NASCOSTO'!$P$12,IF(C461&lt;='SOLLECITAZ NASCOSTO'!$P$11,IF(C461&lt;='SOLLECITAZ NASCOSTO'!$P$10,IF(C461&lt;='SOLLECITAZ NASCOSTO'!$P$9,IF(C461&lt;='SOLLECITAZ NASCOSTO'!$P$8,IF(C461&lt;='SOLLECITAZ NASCOSTO'!$P$7,IF(C461&lt;='SOLLECITAZ NASCOSTO'!$P$6,IF(C461&lt;='SOLLECITAZ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paramento'!$C$111)+IF(C461&lt;='SOLLECITAZ NASCOSTO'!$P$12,IF(C461&lt;='SOLLECITAZ NASCOSTO'!$P$11,IF(C461&lt;='SOLLECITAZ NASCOSTO'!$P$10,IF(C461&lt;='SOLLECITAZ NASCOSTO'!$P$9,IF(C461&lt;='SOLLECITAZ NASCOSTO'!$P$8,IF(C461&lt;='SOLLECITAZ NASCOSTO'!$P$7,IF(C461&lt;='SOLLECITAZ NASCOSTO'!$P$6,IF(C461&lt;='SOLLECITAZ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128.55178177684795</v>
      </c>
      <c r="O462" s="41">
        <f>IF(C462&lt;='SOLLECITAZ NASCOSTO'!$P$12,IF(C462&lt;='SOLLECITAZ NASCOSTO'!$P$11,IF(C462&lt;='SOLLECITAZ NASCOSTO'!$P$10,IF(C462&lt;='SOLLECITAZ NASCOSTO'!$P$9,IF(C462&lt;='SOLLECITAZ NASCOSTO'!$P$8,IF(C462&lt;='SOLLECITAZ NASCOSTO'!$P$7,IF(C462&lt;='SOLLECITAZ NASCOSTO'!$P$6,IF(C462&lt;='SOLLECITAZ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paramento'!$G$110),55555)*(C462-C461)/IF(C462&lt;='SOLLECITAZ NASCOSTO'!$P$12,IF(C462&lt;='SOLLECITAZ NASCOSTO'!$P$11,IF(C462&lt;='SOLLECITAZ NASCOSTO'!$P$10,IF(C462&lt;='SOLLECITAZ NASCOSTO'!$P$9,IF(C462&lt;='SOLLECITAZ NASCOSTO'!$P$8,IF(C462&lt;='SOLLECITAZ NASCOSTO'!$P$7,IF(C462&lt;='SOLLECITAZ NASCOSTO'!$P$6,IF(C462&lt;='SOLLECITAZ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0.59233053470806307</v>
      </c>
      <c r="P462" s="41">
        <f t="shared" si="137"/>
        <v>4.2900000000000392E-4</v>
      </c>
      <c r="Q462" s="41">
        <f t="shared" si="135"/>
        <v>4.2900000000000392E-4</v>
      </c>
      <c r="R462" s="434">
        <f t="shared" si="128"/>
        <v>4.8820615922608805</v>
      </c>
      <c r="S462" s="45" t="e">
        <f t="shared" si="136"/>
        <v>#N/A</v>
      </c>
      <c r="T462" s="205" t="e">
        <f t="shared" si="142"/>
        <v>#N/A</v>
      </c>
      <c r="U462" s="45">
        <f t="shared" si="133"/>
        <v>0</v>
      </c>
      <c r="V462" s="45">
        <f t="shared" si="134"/>
        <v>0</v>
      </c>
    </row>
    <row r="463" spans="2:23" ht="18.75" customHeight="1" x14ac:dyDescent="0.25">
      <c r="B463" s="31">
        <f t="shared" si="112"/>
        <v>15</v>
      </c>
      <c r="C463" s="434">
        <f>$C$448+DATI!$E$74/'SOLLECITAZ NASCOSTO'!$B$468*'SOLLECITAZ NASCOSTO'!B463</f>
        <v>4.9070615922608809</v>
      </c>
      <c r="D463" s="974"/>
      <c r="E463" s="975"/>
      <c r="F463" s="975"/>
      <c r="G463" s="975"/>
      <c r="H463" s="975"/>
      <c r="I463" s="975"/>
      <c r="J463" s="975"/>
      <c r="K463" s="976"/>
      <c r="L463" s="41">
        <f t="shared" si="141"/>
        <v>351.36717413945973</v>
      </c>
      <c r="M463" s="41">
        <f t="shared" si="132"/>
        <v>-628.79565286846184</v>
      </c>
      <c r="N463" s="41">
        <f>(IF(C462&lt;='SOLLECITAZ NASCOSTO'!$P$12,IF(C462&lt;='SOLLECITAZ NASCOSTO'!$P$11,IF(C462&lt;='SOLLECITAZ NASCOSTO'!$P$10,IF(C462&lt;='SOLLECITAZ NASCOSTO'!$P$9,IF(C462&lt;='SOLLECITAZ NASCOSTO'!$P$8,IF(C462&lt;='SOLLECITAZ NASCOSTO'!$P$7,IF(C462&lt;='SOLLECITAZ NASCOSTO'!$P$6,IF(C462&lt;='SOLLECITAZ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paramento'!$G$111),55555)-IF(C462&lt;='SOLLECITAZ NASCOSTO'!$P$12,IF(C462&lt;='SOLLECITAZ NASCOSTO'!$P$11,IF(C462&lt;='SOLLECITAZ NASCOSTO'!$P$10,IF(C462&lt;='SOLLECITAZ NASCOSTO'!$P$9,IF(C462&lt;='SOLLECITAZ NASCOSTO'!$P$8,IF(C462&lt;='SOLLECITAZ NASCOSTO'!$P$7,IF(C462&lt;='SOLLECITAZ NASCOSTO'!$P$6,IF(C462&lt;='SOLLECITAZ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paramento'!$G$111))*(C462-IF(C462&lt;='SOLLECITAZ NASCOSTO'!$P$12,IF(C462&lt;='SOLLECITAZ NASCOSTO'!$P$11,IF(C462&lt;='SOLLECITAZ NASCOSTO'!$P$10,IF(C462&lt;='SOLLECITAZ NASCOSTO'!$P$9,IF(C462&lt;='SOLLECITAZ NASCOSTO'!$P$8,IF(C462&lt;='SOLLECITAZ NASCOSTO'!$P$7,IF(C462&lt;='SOLLECITAZ NASCOSTO'!$P$6,IF(C462&lt;='SOLLECITAZ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NASCOSTO'!$P$12))/IF(C462&lt;='SOLLECITAZ NASCOSTO'!$P$12,IF(C462&lt;='SOLLECITAZ NASCOSTO'!$P$11,IF(C462&lt;='SOLLECITAZ NASCOSTO'!$P$10,IF(C462&lt;='SOLLECITAZ NASCOSTO'!$P$9,IF(C462&lt;='SOLLECITAZ NASCOSTO'!$P$8,IF(C462&lt;='SOLLECITAZ NASCOSTO'!$P$7,IF(C462&lt;='SOLLECITAZ NASCOSTO'!$P$6,IF(C462&lt;='SOLLECITAZ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paramento'!$C$111)+IF(C462&lt;='SOLLECITAZ NASCOSTO'!$P$12,IF(C462&lt;='SOLLECITAZ NASCOSTO'!$P$11,IF(C462&lt;='SOLLECITAZ NASCOSTO'!$P$10,IF(C462&lt;='SOLLECITAZ NASCOSTO'!$P$9,IF(C462&lt;='SOLLECITAZ NASCOSTO'!$P$8,IF(C462&lt;='SOLLECITAZ NASCOSTO'!$P$7,IF(C462&lt;='SOLLECITAZ NASCOSTO'!$P$6,IF(C462&lt;='SOLLECITAZ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129.144112311556</v>
      </c>
      <c r="O463" s="41">
        <f>IF(C463&lt;='SOLLECITAZ NASCOSTO'!$P$12,IF(C463&lt;='SOLLECITAZ NASCOSTO'!$P$11,IF(C463&lt;='SOLLECITAZ NASCOSTO'!$P$10,IF(C463&lt;='SOLLECITAZ NASCOSTO'!$P$9,IF(C463&lt;='SOLLECITAZ NASCOSTO'!$P$8,IF(C463&lt;='SOLLECITAZ NASCOSTO'!$P$7,IF(C463&lt;='SOLLECITAZ NASCOSTO'!$P$6,IF(C463&lt;='SOLLECITAZ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paramento'!$G$110),55555)*(C463-C462)/IF(C463&lt;='SOLLECITAZ NASCOSTO'!$P$12,IF(C463&lt;='SOLLECITAZ NASCOSTO'!$P$11,IF(C463&lt;='SOLLECITAZ NASCOSTO'!$P$10,IF(C463&lt;='SOLLECITAZ NASCOSTO'!$P$9,IF(C463&lt;='SOLLECITAZ NASCOSTO'!$P$8,IF(C463&lt;='SOLLECITAZ NASCOSTO'!$P$7,IF(C463&lt;='SOLLECITAZ NASCOSTO'!$P$6,IF(C463&lt;='SOLLECITAZ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0.59233053470808406</v>
      </c>
      <c r="P463" s="41">
        <f t="shared" si="137"/>
        <v>4.3000000000000395E-4</v>
      </c>
      <c r="Q463" s="41">
        <f t="shared" si="135"/>
        <v>4.3000000000000395E-4</v>
      </c>
      <c r="R463" s="434">
        <f t="shared" si="128"/>
        <v>4.9070615922608809</v>
      </c>
      <c r="S463" s="45" t="e">
        <f t="shared" si="136"/>
        <v>#N/A</v>
      </c>
      <c r="T463" s="205" t="e">
        <f t="shared" si="142"/>
        <v>#N/A</v>
      </c>
      <c r="U463" s="45">
        <f t="shared" si="133"/>
        <v>0</v>
      </c>
      <c r="V463" s="45">
        <f t="shared" si="134"/>
        <v>0</v>
      </c>
    </row>
    <row r="464" spans="2:23" ht="18.75" customHeight="1" x14ac:dyDescent="0.25">
      <c r="B464" s="31">
        <f t="shared" si="112"/>
        <v>16</v>
      </c>
      <c r="C464" s="434">
        <f>$C$448+DATI!$E$74/'SOLLECITAZ NASCOSTO'!$B$468*'SOLLECITAZ NASCOSTO'!B464</f>
        <v>4.9320615922608813</v>
      </c>
      <c r="D464" s="974"/>
      <c r="E464" s="975"/>
      <c r="F464" s="975"/>
      <c r="G464" s="975"/>
      <c r="H464" s="975"/>
      <c r="I464" s="975"/>
      <c r="J464" s="975"/>
      <c r="K464" s="976"/>
      <c r="L464" s="41">
        <f t="shared" si="141"/>
        <v>354.61798934230023</v>
      </c>
      <c r="M464" s="41">
        <f t="shared" si="132"/>
        <v>-637.62046741198401</v>
      </c>
      <c r="N464" s="41">
        <f>(IF(C463&lt;='SOLLECITAZ NASCOSTO'!$P$12,IF(C463&lt;='SOLLECITAZ NASCOSTO'!$P$11,IF(C463&lt;='SOLLECITAZ NASCOSTO'!$P$10,IF(C463&lt;='SOLLECITAZ NASCOSTO'!$P$9,IF(C463&lt;='SOLLECITAZ NASCOSTO'!$P$8,IF(C463&lt;='SOLLECITAZ NASCOSTO'!$P$7,IF(C463&lt;='SOLLECITAZ NASCOSTO'!$P$6,IF(C463&lt;='SOLLECITAZ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paramento'!$G$111),55555)-IF(C463&lt;='SOLLECITAZ NASCOSTO'!$P$12,IF(C463&lt;='SOLLECITAZ NASCOSTO'!$P$11,IF(C463&lt;='SOLLECITAZ NASCOSTO'!$P$10,IF(C463&lt;='SOLLECITAZ NASCOSTO'!$P$9,IF(C463&lt;='SOLLECITAZ NASCOSTO'!$P$8,IF(C463&lt;='SOLLECITAZ NASCOSTO'!$P$7,IF(C463&lt;='SOLLECITAZ NASCOSTO'!$P$6,IF(C463&lt;='SOLLECITAZ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paramento'!$G$111))*(C463-IF(C463&lt;='SOLLECITAZ NASCOSTO'!$P$12,IF(C463&lt;='SOLLECITAZ NASCOSTO'!$P$11,IF(C463&lt;='SOLLECITAZ NASCOSTO'!$P$10,IF(C463&lt;='SOLLECITAZ NASCOSTO'!$P$9,IF(C463&lt;='SOLLECITAZ NASCOSTO'!$P$8,IF(C463&lt;='SOLLECITAZ NASCOSTO'!$P$7,IF(C463&lt;='SOLLECITAZ NASCOSTO'!$P$6,IF(C463&lt;='SOLLECITAZ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NASCOSTO'!$P$12))/IF(C463&lt;='SOLLECITAZ NASCOSTO'!$P$12,IF(C463&lt;='SOLLECITAZ NASCOSTO'!$P$11,IF(C463&lt;='SOLLECITAZ NASCOSTO'!$P$10,IF(C463&lt;='SOLLECITAZ NASCOSTO'!$P$9,IF(C463&lt;='SOLLECITAZ NASCOSTO'!$P$8,IF(C463&lt;='SOLLECITAZ NASCOSTO'!$P$7,IF(C463&lt;='SOLLECITAZ NASCOSTO'!$P$6,IF(C463&lt;='SOLLECITAZ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paramento'!$C$111)+IF(C463&lt;='SOLLECITAZ NASCOSTO'!$P$12,IF(C463&lt;='SOLLECITAZ NASCOSTO'!$P$11,IF(C463&lt;='SOLLECITAZ NASCOSTO'!$P$10,IF(C463&lt;='SOLLECITAZ NASCOSTO'!$P$9,IF(C463&lt;='SOLLECITAZ NASCOSTO'!$P$8,IF(C463&lt;='SOLLECITAZ NASCOSTO'!$P$7,IF(C463&lt;='SOLLECITAZ NASCOSTO'!$P$6,IF(C463&lt;='SOLLECITAZ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129.73644284626408</v>
      </c>
      <c r="O464" s="41">
        <f>IF(C464&lt;='SOLLECITAZ NASCOSTO'!$P$12,IF(C464&lt;='SOLLECITAZ NASCOSTO'!$P$11,IF(C464&lt;='SOLLECITAZ NASCOSTO'!$P$10,IF(C464&lt;='SOLLECITAZ NASCOSTO'!$P$9,IF(C464&lt;='SOLLECITAZ NASCOSTO'!$P$8,IF(C464&lt;='SOLLECITAZ NASCOSTO'!$P$7,IF(C464&lt;='SOLLECITAZ NASCOSTO'!$P$6,IF(C464&lt;='SOLLECITAZ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paramento'!$G$110),55555)*(C464-C463)/IF(C464&lt;='SOLLECITAZ NASCOSTO'!$P$12,IF(C464&lt;='SOLLECITAZ NASCOSTO'!$P$11,IF(C464&lt;='SOLLECITAZ NASCOSTO'!$P$10,IF(C464&lt;='SOLLECITAZ NASCOSTO'!$P$9,IF(C464&lt;='SOLLECITAZ NASCOSTO'!$P$8,IF(C464&lt;='SOLLECITAZ NASCOSTO'!$P$7,IF(C464&lt;='SOLLECITAZ NASCOSTO'!$P$6,IF(C464&lt;='SOLLECITAZ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0.59233053470808406</v>
      </c>
      <c r="P464" s="41">
        <f t="shared" si="137"/>
        <v>4.3100000000000397E-4</v>
      </c>
      <c r="Q464" s="41">
        <f t="shared" si="135"/>
        <v>4.3100000000000397E-4</v>
      </c>
      <c r="R464" s="434">
        <f t="shared" si="128"/>
        <v>4.9320615922608813</v>
      </c>
      <c r="S464" s="45" t="e">
        <f t="shared" si="136"/>
        <v>#N/A</v>
      </c>
      <c r="T464" s="205" t="e">
        <f t="shared" si="142"/>
        <v>#N/A</v>
      </c>
      <c r="U464" s="45">
        <f t="shared" si="133"/>
        <v>0</v>
      </c>
      <c r="V464" s="45">
        <f t="shared" si="134"/>
        <v>0</v>
      </c>
    </row>
    <row r="465" spans="2:22" ht="18.75" customHeight="1" x14ac:dyDescent="0.25">
      <c r="B465" s="31">
        <f t="shared" si="112"/>
        <v>17</v>
      </c>
      <c r="C465" s="434">
        <f>$C$448+DATI!$E$74/'SOLLECITAZ NASCOSTO'!$B$468*'SOLLECITAZ NASCOSTO'!B465</f>
        <v>4.9570615922608807</v>
      </c>
      <c r="D465" s="974"/>
      <c r="E465" s="975"/>
      <c r="F465" s="975"/>
      <c r="G465" s="975"/>
      <c r="H465" s="975"/>
      <c r="I465" s="975"/>
      <c r="J465" s="975"/>
      <c r="K465" s="976"/>
      <c r="L465" s="41">
        <f t="shared" si="141"/>
        <v>357.88361280850836</v>
      </c>
      <c r="M465" s="41">
        <f t="shared" si="132"/>
        <v>-646.52673743886896</v>
      </c>
      <c r="N465" s="41">
        <f>(IF(C464&lt;='SOLLECITAZ NASCOSTO'!$P$12,IF(C464&lt;='SOLLECITAZ NASCOSTO'!$P$11,IF(C464&lt;='SOLLECITAZ NASCOSTO'!$P$10,IF(C464&lt;='SOLLECITAZ NASCOSTO'!$P$9,IF(C464&lt;='SOLLECITAZ NASCOSTO'!$P$8,IF(C464&lt;='SOLLECITAZ NASCOSTO'!$P$7,IF(C464&lt;='SOLLECITAZ NASCOSTO'!$P$6,IF(C464&lt;='SOLLECITAZ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paramento'!$G$111),55555)-IF(C464&lt;='SOLLECITAZ NASCOSTO'!$P$12,IF(C464&lt;='SOLLECITAZ NASCOSTO'!$P$11,IF(C464&lt;='SOLLECITAZ NASCOSTO'!$P$10,IF(C464&lt;='SOLLECITAZ NASCOSTO'!$P$9,IF(C464&lt;='SOLLECITAZ NASCOSTO'!$P$8,IF(C464&lt;='SOLLECITAZ NASCOSTO'!$P$7,IF(C464&lt;='SOLLECITAZ NASCOSTO'!$P$6,IF(C464&lt;='SOLLECITAZ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paramento'!$G$111))*(C464-IF(C464&lt;='SOLLECITAZ NASCOSTO'!$P$12,IF(C464&lt;='SOLLECITAZ NASCOSTO'!$P$11,IF(C464&lt;='SOLLECITAZ NASCOSTO'!$P$10,IF(C464&lt;='SOLLECITAZ NASCOSTO'!$P$9,IF(C464&lt;='SOLLECITAZ NASCOSTO'!$P$8,IF(C464&lt;='SOLLECITAZ NASCOSTO'!$P$7,IF(C464&lt;='SOLLECITAZ NASCOSTO'!$P$6,IF(C464&lt;='SOLLECITAZ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NASCOSTO'!$P$12))/IF(C464&lt;='SOLLECITAZ NASCOSTO'!$P$12,IF(C464&lt;='SOLLECITAZ NASCOSTO'!$P$11,IF(C464&lt;='SOLLECITAZ NASCOSTO'!$P$10,IF(C464&lt;='SOLLECITAZ NASCOSTO'!$P$9,IF(C464&lt;='SOLLECITAZ NASCOSTO'!$P$8,IF(C464&lt;='SOLLECITAZ NASCOSTO'!$P$7,IF(C464&lt;='SOLLECITAZ NASCOSTO'!$P$6,IF(C464&lt;='SOLLECITAZ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paramento'!$C$111)+IF(C464&lt;='SOLLECITAZ NASCOSTO'!$P$12,IF(C464&lt;='SOLLECITAZ NASCOSTO'!$P$11,IF(C464&lt;='SOLLECITAZ NASCOSTO'!$P$10,IF(C464&lt;='SOLLECITAZ NASCOSTO'!$P$9,IF(C464&lt;='SOLLECITAZ NASCOSTO'!$P$8,IF(C464&lt;='SOLLECITAZ NASCOSTO'!$P$7,IF(C464&lt;='SOLLECITAZ NASCOSTO'!$P$6,IF(C464&lt;='SOLLECITAZ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130.32877338097217</v>
      </c>
      <c r="O465" s="41">
        <f>IF(C465&lt;='SOLLECITAZ NASCOSTO'!$P$12,IF(C465&lt;='SOLLECITAZ NASCOSTO'!$P$11,IF(C465&lt;='SOLLECITAZ NASCOSTO'!$P$10,IF(C465&lt;='SOLLECITAZ NASCOSTO'!$P$9,IF(C465&lt;='SOLLECITAZ NASCOSTO'!$P$8,IF(C465&lt;='SOLLECITAZ NASCOSTO'!$P$7,IF(C465&lt;='SOLLECITAZ NASCOSTO'!$P$6,IF(C465&lt;='SOLLECITAZ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paramento'!$G$110),55555)*(C465-C464)/IF(C465&lt;='SOLLECITAZ NASCOSTO'!$P$12,IF(C465&lt;='SOLLECITAZ NASCOSTO'!$P$11,IF(C465&lt;='SOLLECITAZ NASCOSTO'!$P$10,IF(C465&lt;='SOLLECITAZ NASCOSTO'!$P$9,IF(C465&lt;='SOLLECITAZ NASCOSTO'!$P$8,IF(C465&lt;='SOLLECITAZ NASCOSTO'!$P$7,IF(C465&lt;='SOLLECITAZ NASCOSTO'!$P$6,IF(C465&lt;='SOLLECITAZ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0.59233053470806307</v>
      </c>
      <c r="P465" s="41">
        <f t="shared" si="137"/>
        <v>4.32000000000004E-4</v>
      </c>
      <c r="Q465" s="41">
        <f t="shared" si="135"/>
        <v>4.32000000000004E-4</v>
      </c>
      <c r="R465" s="434">
        <f t="shared" si="128"/>
        <v>4.9570615922608807</v>
      </c>
      <c r="S465" s="45" t="e">
        <f t="shared" si="136"/>
        <v>#N/A</v>
      </c>
      <c r="T465" s="205" t="e">
        <f t="shared" si="142"/>
        <v>#N/A</v>
      </c>
      <c r="U465" s="45">
        <f t="shared" si="133"/>
        <v>0</v>
      </c>
      <c r="V465" s="45">
        <f t="shared" si="134"/>
        <v>0</v>
      </c>
    </row>
    <row r="466" spans="2:22" ht="18.75" customHeight="1" x14ac:dyDescent="0.25">
      <c r="B466" s="31">
        <f t="shared" si="112"/>
        <v>18</v>
      </c>
      <c r="C466" s="434">
        <f>$C$448+DATI!$E$74/'SOLLECITAZ NASCOSTO'!$B$468*'SOLLECITAZ NASCOSTO'!B466</f>
        <v>4.9820615922608811</v>
      </c>
      <c r="D466" s="974"/>
      <c r="E466" s="975"/>
      <c r="F466" s="975"/>
      <c r="G466" s="975"/>
      <c r="H466" s="975"/>
      <c r="I466" s="975"/>
      <c r="J466" s="975"/>
      <c r="K466" s="976"/>
      <c r="L466" s="41">
        <f t="shared" si="141"/>
        <v>361.16404453808428</v>
      </c>
      <c r="M466" s="41">
        <f t="shared" si="132"/>
        <v>-655.51483315570147</v>
      </c>
      <c r="N466" s="41">
        <f>(IF(C465&lt;='SOLLECITAZ NASCOSTO'!$P$12,IF(C465&lt;='SOLLECITAZ NASCOSTO'!$P$11,IF(C465&lt;='SOLLECITAZ NASCOSTO'!$P$10,IF(C465&lt;='SOLLECITAZ NASCOSTO'!$P$9,IF(C465&lt;='SOLLECITAZ NASCOSTO'!$P$8,IF(C465&lt;='SOLLECITAZ NASCOSTO'!$P$7,IF(C465&lt;='SOLLECITAZ NASCOSTO'!$P$6,IF(C465&lt;='SOLLECITAZ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paramento'!$G$111),55555)-IF(C465&lt;='SOLLECITAZ NASCOSTO'!$P$12,IF(C465&lt;='SOLLECITAZ NASCOSTO'!$P$11,IF(C465&lt;='SOLLECITAZ NASCOSTO'!$P$10,IF(C465&lt;='SOLLECITAZ NASCOSTO'!$P$9,IF(C465&lt;='SOLLECITAZ NASCOSTO'!$P$8,IF(C465&lt;='SOLLECITAZ NASCOSTO'!$P$7,IF(C465&lt;='SOLLECITAZ NASCOSTO'!$P$6,IF(C465&lt;='SOLLECITAZ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paramento'!$G$111))*(C465-IF(C465&lt;='SOLLECITAZ NASCOSTO'!$P$12,IF(C465&lt;='SOLLECITAZ NASCOSTO'!$P$11,IF(C465&lt;='SOLLECITAZ NASCOSTO'!$P$10,IF(C465&lt;='SOLLECITAZ NASCOSTO'!$P$9,IF(C465&lt;='SOLLECITAZ NASCOSTO'!$P$8,IF(C465&lt;='SOLLECITAZ NASCOSTO'!$P$7,IF(C465&lt;='SOLLECITAZ NASCOSTO'!$P$6,IF(C465&lt;='SOLLECITAZ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NASCOSTO'!$P$12))/IF(C465&lt;='SOLLECITAZ NASCOSTO'!$P$12,IF(C465&lt;='SOLLECITAZ NASCOSTO'!$P$11,IF(C465&lt;='SOLLECITAZ NASCOSTO'!$P$10,IF(C465&lt;='SOLLECITAZ NASCOSTO'!$P$9,IF(C465&lt;='SOLLECITAZ NASCOSTO'!$P$8,IF(C465&lt;='SOLLECITAZ NASCOSTO'!$P$7,IF(C465&lt;='SOLLECITAZ NASCOSTO'!$P$6,IF(C465&lt;='SOLLECITAZ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paramento'!$C$111)+IF(C465&lt;='SOLLECITAZ NASCOSTO'!$P$12,IF(C465&lt;='SOLLECITAZ NASCOSTO'!$P$11,IF(C465&lt;='SOLLECITAZ NASCOSTO'!$P$10,IF(C465&lt;='SOLLECITAZ NASCOSTO'!$P$9,IF(C465&lt;='SOLLECITAZ NASCOSTO'!$P$8,IF(C465&lt;='SOLLECITAZ NASCOSTO'!$P$7,IF(C465&lt;='SOLLECITAZ NASCOSTO'!$P$6,IF(C465&lt;='SOLLECITAZ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130.92110391568022</v>
      </c>
      <c r="O466" s="41">
        <f>IF(C466&lt;='SOLLECITAZ NASCOSTO'!$P$12,IF(C466&lt;='SOLLECITAZ NASCOSTO'!$P$11,IF(C466&lt;='SOLLECITAZ NASCOSTO'!$P$10,IF(C466&lt;='SOLLECITAZ NASCOSTO'!$P$9,IF(C466&lt;='SOLLECITAZ NASCOSTO'!$P$8,IF(C466&lt;='SOLLECITAZ NASCOSTO'!$P$7,IF(C466&lt;='SOLLECITAZ NASCOSTO'!$P$6,IF(C466&lt;='SOLLECITAZ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paramento'!$G$110),55555)*(C466-C465)/IF(C466&lt;='SOLLECITAZ NASCOSTO'!$P$12,IF(C466&lt;='SOLLECITAZ NASCOSTO'!$P$11,IF(C466&lt;='SOLLECITAZ NASCOSTO'!$P$10,IF(C466&lt;='SOLLECITAZ NASCOSTO'!$P$9,IF(C466&lt;='SOLLECITAZ NASCOSTO'!$P$8,IF(C466&lt;='SOLLECITAZ NASCOSTO'!$P$7,IF(C466&lt;='SOLLECITAZ NASCOSTO'!$P$6,IF(C466&lt;='SOLLECITAZ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0.59233053470808406</v>
      </c>
      <c r="P466" s="41">
        <f t="shared" si="137"/>
        <v>4.3300000000000402E-4</v>
      </c>
      <c r="Q466" s="41">
        <f t="shared" si="135"/>
        <v>4.3300000000000402E-4</v>
      </c>
      <c r="R466" s="434">
        <f t="shared" si="128"/>
        <v>4.9820615922608811</v>
      </c>
      <c r="S466" s="45" t="e">
        <f t="shared" si="136"/>
        <v>#N/A</v>
      </c>
      <c r="T466" s="205" t="e">
        <f t="shared" si="142"/>
        <v>#N/A</v>
      </c>
      <c r="U466" s="45">
        <f t="shared" si="133"/>
        <v>0</v>
      </c>
      <c r="V466" s="45">
        <f t="shared" si="134"/>
        <v>0</v>
      </c>
    </row>
    <row r="467" spans="2:22" ht="18.75" customHeight="1" x14ac:dyDescent="0.25">
      <c r="B467" s="31">
        <f t="shared" si="112"/>
        <v>19</v>
      </c>
      <c r="C467" s="434">
        <f>$C$448+DATI!$E$74/'SOLLECITAZ NASCOSTO'!$B$468*'SOLLECITAZ NASCOSTO'!B467</f>
        <v>5.0070615922608805</v>
      </c>
      <c r="D467" s="974"/>
      <c r="E467" s="975"/>
      <c r="F467" s="975"/>
      <c r="G467" s="975"/>
      <c r="H467" s="975"/>
      <c r="I467" s="975"/>
      <c r="J467" s="975"/>
      <c r="K467" s="976"/>
      <c r="L467" s="41">
        <f t="shared" si="141"/>
        <v>364.45928453102778</v>
      </c>
      <c r="M467" s="41">
        <f t="shared" si="132"/>
        <v>-664.58512476906515</v>
      </c>
      <c r="N467" s="41">
        <f>(IF(C466&lt;='SOLLECITAZ NASCOSTO'!$P$12,IF(C466&lt;='SOLLECITAZ NASCOSTO'!$P$11,IF(C466&lt;='SOLLECITAZ NASCOSTO'!$P$10,IF(C466&lt;='SOLLECITAZ NASCOSTO'!$P$9,IF(C466&lt;='SOLLECITAZ NASCOSTO'!$P$8,IF(C466&lt;='SOLLECITAZ NASCOSTO'!$P$7,IF(C466&lt;='SOLLECITAZ NASCOSTO'!$P$6,IF(C466&lt;='SOLLECITAZ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paramento'!$G$111),55555)-IF(C466&lt;='SOLLECITAZ NASCOSTO'!$P$12,IF(C466&lt;='SOLLECITAZ NASCOSTO'!$P$11,IF(C466&lt;='SOLLECITAZ NASCOSTO'!$P$10,IF(C466&lt;='SOLLECITAZ NASCOSTO'!$P$9,IF(C466&lt;='SOLLECITAZ NASCOSTO'!$P$8,IF(C466&lt;='SOLLECITAZ NASCOSTO'!$P$7,IF(C466&lt;='SOLLECITAZ NASCOSTO'!$P$6,IF(C466&lt;='SOLLECITAZ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paramento'!$G$111))*(C466-IF(C466&lt;='SOLLECITAZ NASCOSTO'!$P$12,IF(C466&lt;='SOLLECITAZ NASCOSTO'!$P$11,IF(C466&lt;='SOLLECITAZ NASCOSTO'!$P$10,IF(C466&lt;='SOLLECITAZ NASCOSTO'!$P$9,IF(C466&lt;='SOLLECITAZ NASCOSTO'!$P$8,IF(C466&lt;='SOLLECITAZ NASCOSTO'!$P$7,IF(C466&lt;='SOLLECITAZ NASCOSTO'!$P$6,IF(C466&lt;='SOLLECITAZ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NASCOSTO'!$P$12))/IF(C466&lt;='SOLLECITAZ NASCOSTO'!$P$12,IF(C466&lt;='SOLLECITAZ NASCOSTO'!$P$11,IF(C466&lt;='SOLLECITAZ NASCOSTO'!$P$10,IF(C466&lt;='SOLLECITAZ NASCOSTO'!$P$9,IF(C466&lt;='SOLLECITAZ NASCOSTO'!$P$8,IF(C466&lt;='SOLLECITAZ NASCOSTO'!$P$7,IF(C466&lt;='SOLLECITAZ NASCOSTO'!$P$6,IF(C466&lt;='SOLLECITAZ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paramento'!$C$111)+IF(C466&lt;='SOLLECITAZ NASCOSTO'!$P$12,IF(C466&lt;='SOLLECITAZ NASCOSTO'!$P$11,IF(C466&lt;='SOLLECITAZ NASCOSTO'!$P$10,IF(C466&lt;='SOLLECITAZ NASCOSTO'!$P$9,IF(C466&lt;='SOLLECITAZ NASCOSTO'!$P$8,IF(C466&lt;='SOLLECITAZ NASCOSTO'!$P$7,IF(C466&lt;='SOLLECITAZ NASCOSTO'!$P$6,IF(C466&lt;='SOLLECITAZ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131.51343445038833</v>
      </c>
      <c r="O467" s="41">
        <f>IF(C467&lt;='SOLLECITAZ NASCOSTO'!$P$12,IF(C467&lt;='SOLLECITAZ NASCOSTO'!$P$11,IF(C467&lt;='SOLLECITAZ NASCOSTO'!$P$10,IF(C467&lt;='SOLLECITAZ NASCOSTO'!$P$9,IF(C467&lt;='SOLLECITAZ NASCOSTO'!$P$8,IF(C467&lt;='SOLLECITAZ NASCOSTO'!$P$7,IF(C467&lt;='SOLLECITAZ NASCOSTO'!$P$6,IF(C467&lt;='SOLLECITAZ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paramento'!$G$110),55555)*(C467-C466)/IF(C467&lt;='SOLLECITAZ NASCOSTO'!$P$12,IF(C467&lt;='SOLLECITAZ NASCOSTO'!$P$11,IF(C467&lt;='SOLLECITAZ NASCOSTO'!$P$10,IF(C467&lt;='SOLLECITAZ NASCOSTO'!$P$9,IF(C467&lt;='SOLLECITAZ NASCOSTO'!$P$8,IF(C467&lt;='SOLLECITAZ NASCOSTO'!$P$7,IF(C467&lt;='SOLLECITAZ NASCOSTO'!$P$6,IF(C467&lt;='SOLLECITAZ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0.59233053470806307</v>
      </c>
      <c r="P467" s="41">
        <f t="shared" si="137"/>
        <v>4.3400000000000404E-4</v>
      </c>
      <c r="Q467" s="41">
        <f t="shared" si="135"/>
        <v>4.3400000000000404E-4</v>
      </c>
      <c r="R467" s="434">
        <f t="shared" si="128"/>
        <v>5.0070615922608805</v>
      </c>
      <c r="S467" s="45" t="e">
        <f t="shared" si="136"/>
        <v>#N/A</v>
      </c>
      <c r="T467" s="205" t="e">
        <f t="shared" si="142"/>
        <v>#N/A</v>
      </c>
      <c r="U467" s="45">
        <f t="shared" si="133"/>
        <v>0</v>
      </c>
      <c r="V467" s="45">
        <f t="shared" si="134"/>
        <v>0</v>
      </c>
    </row>
    <row r="468" spans="2:22" ht="18.75" customHeight="1" x14ac:dyDescent="0.25">
      <c r="B468" s="31">
        <f t="shared" si="112"/>
        <v>20</v>
      </c>
      <c r="C468" s="434">
        <f>$C$448+DATI!$E$74/'SOLLECITAZ NASCOSTO'!$B$468*'SOLLECITAZ NASCOSTO'!B468</f>
        <v>5.0320615922608809</v>
      </c>
      <c r="D468" s="977"/>
      <c r="E468" s="978"/>
      <c r="F468" s="978"/>
      <c r="G468" s="978"/>
      <c r="H468" s="978"/>
      <c r="I468" s="978"/>
      <c r="J468" s="978"/>
      <c r="K468" s="979"/>
      <c r="L468" s="41">
        <f t="shared" si="141"/>
        <v>367.76933278733912</v>
      </c>
      <c r="M468" s="41">
        <f t="shared" si="132"/>
        <v>-673.73798248554488</v>
      </c>
      <c r="N468" s="41">
        <f>(IF(C467&lt;='SOLLECITAZ NASCOSTO'!$P$12,IF(C467&lt;='SOLLECITAZ NASCOSTO'!$P$11,IF(C467&lt;='SOLLECITAZ NASCOSTO'!$P$10,IF(C467&lt;='SOLLECITAZ NASCOSTO'!$P$9,IF(C467&lt;='SOLLECITAZ NASCOSTO'!$P$8,IF(C467&lt;='SOLLECITAZ NASCOSTO'!$P$7,IF(C467&lt;='SOLLECITAZ NASCOSTO'!$P$6,IF(C467&lt;='SOLLECITAZ NASCOSTO'!$P$5,'Sollecitazioni nel paramento'!$G$104,'Sollecitazioni nel paramento'!$G$105),'Sollecitazioni nel paramento'!$G$106),'Sollecitazioni nel paramento'!$G$107),'Sollecitazioni nel paramento'!$G$108),'Sollecitazioni nel paramento'!$G$109),'Sollecitazioni nel paramento'!$G$110),'Sollecitazioni nel paramento'!$G$111),55555)-IF(C467&lt;='SOLLECITAZ NASCOSTO'!$P$12,IF(C467&lt;='SOLLECITAZ NASCOSTO'!$P$11,IF(C467&lt;='SOLLECITAZ NASCOSTO'!$P$10,IF(C467&lt;='SOLLECITAZ NASCOSTO'!$P$9,IF(C467&lt;='SOLLECITAZ NASCOSTO'!$P$8,IF(C467&lt;='SOLLECITAZ NASCOSTO'!$P$7,IF(C467&lt;='SOLLECITAZ NASCOSTO'!$P$6,IF(C467&lt;='SOLLECITAZ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paramento'!$G$111))*(C467-IF(C467&lt;='SOLLECITAZ NASCOSTO'!$P$12,IF(C467&lt;='SOLLECITAZ NASCOSTO'!$P$11,IF(C467&lt;='SOLLECITAZ NASCOSTO'!$P$10,IF(C467&lt;='SOLLECITAZ NASCOSTO'!$P$9,IF(C467&lt;='SOLLECITAZ NASCOSTO'!$P$8,IF(C467&lt;='SOLLECITAZ NASCOSTO'!$P$7,IF(C467&lt;='SOLLECITAZ NASCOSTO'!$P$6,IF(C467&lt;='SOLLECITAZ NASCOSTO'!$P$5,'SOLLECITAZ NASCOSTO'!$P$3,'SOLLECITAZ NASCOSTO'!$P$5),'SOLLECITAZ NASCOSTO'!$P$5),'SOLLECITAZ NASCOSTO'!$P$7),'SOLLECITAZ NASCOSTO'!$P$8),'SOLLECITAZ NASCOSTO'!$P$9),'SOLLECITAZ NASCOSTO'!$P$10),'SOLLECITAZ NASCOSTO'!$P$11),'SOLLECITAZ NASCOSTO'!$P$12))/IF(C467&lt;='SOLLECITAZ NASCOSTO'!$P$12,IF(C467&lt;='SOLLECITAZ NASCOSTO'!$P$11,IF(C467&lt;='SOLLECITAZ NASCOSTO'!$P$10,IF(C467&lt;='SOLLECITAZ NASCOSTO'!$P$9,IF(C467&lt;='SOLLECITAZ NASCOSTO'!$P$8,IF(C467&lt;='SOLLECITAZ NASCOSTO'!$P$7,IF(C467&lt;='SOLLECITAZ NASCOSTO'!$P$6,IF(C467&lt;='SOLLECITAZ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paramento'!$C$111)+IF(C467&lt;='SOLLECITAZ NASCOSTO'!$P$12,IF(C467&lt;='SOLLECITAZ NASCOSTO'!$P$11,IF(C467&lt;='SOLLECITAZ NASCOSTO'!$P$10,IF(C467&lt;='SOLLECITAZ NASCOSTO'!$P$9,IF(C467&lt;='SOLLECITAZ NASCOSTO'!$P$8,IF(C467&lt;='SOLLECITAZ NASCOSTO'!$P$7,IF(C467&lt;='SOLLECITAZ NASCOSTO'!$P$6,IF(C467&lt;='SOLLECITAZ NASCOSTO'!$P$5,'Sollecitazioni nel paramento'!$G$103,'Sollecitazioni nel paramento'!$G$104),'Sollecitazioni nel paramento'!$G$104),'Sollecitazioni nel paramento'!$G$106),'Sollecitazioni nel paramento'!$G$107),'Sollecitazioni nel paramento'!$G$108),'Sollecitazioni nel paramento'!$G$109),'Sollecitazioni nel paramento'!$G$110),'Sollecitazioni nel paramento'!$G$111)</f>
        <v>132.10576498509639</v>
      </c>
      <c r="O468" s="41">
        <f>IF(C468&lt;='SOLLECITAZ NASCOSTO'!$P$12,IF(C468&lt;='SOLLECITAZ NASCOSTO'!$P$11,IF(C468&lt;='SOLLECITAZ NASCOSTO'!$P$10,IF(C468&lt;='SOLLECITAZ NASCOSTO'!$P$9,IF(C468&lt;='SOLLECITAZ NASCOSTO'!$P$8,IF(C468&lt;='SOLLECITAZ NASCOSTO'!$P$7,IF(C468&lt;='SOLLECITAZ NASCOSTO'!$P$6,IF(C468&lt;='SOLLECITAZ NASCOSTO'!$P$5,'Sollecitazioni nel paramento'!$G$104-'Sollecitazioni nel paramento'!$G$103,'Sollecitazioni nel paramento'!$G$105-'Sollecitazioni nel paramento'!$G$104),'Sollecitazioni nel paramento'!$G$106-'Sollecitazioni nel paramento'!$G$105),'Sollecitazioni nel paramento'!$G$107-'Sollecitazioni nel paramento'!$G$106),'Sollecitazioni nel paramento'!$G$108-'Sollecitazioni nel paramento'!$G$107),'Sollecitazioni nel paramento'!$G$109-'Sollecitazioni nel paramento'!$G$108),'Sollecitazioni nel paramento'!$G$110-'Sollecitazioni nel paramento'!$G$109),'Sollecitazioni nel paramento'!$G$111-'Sollecitazioni nel paramento'!$G$110),55555)*(C468-C467)/IF(C468&lt;='SOLLECITAZ NASCOSTO'!$P$12,IF(C468&lt;='SOLLECITAZ NASCOSTO'!$P$11,IF(C468&lt;='SOLLECITAZ NASCOSTO'!$P$10,IF(C468&lt;='SOLLECITAZ NASCOSTO'!$P$9,IF(C468&lt;='SOLLECITAZ NASCOSTO'!$P$8,IF(C468&lt;='SOLLECITAZ NASCOSTO'!$P$7,IF(C468&lt;='SOLLECITAZ NASCOSTO'!$P$6,IF(C468&lt;='SOLLECITAZ NASCOSTO'!$P$5,'Sollecitazioni nel paramento'!$C$104,'Sollecitazioni nel paramento'!$C$105),'Sollecitazioni nel paramento'!$C$106),'Sollecitazioni nel paramento'!$C$107),'Sollecitazioni nel paramento'!$C$108),'Sollecitazioni nel paramento'!$C$109),'Sollecitazioni nel paramento'!$C$110),'Sollecitazioni nel paramento'!$C$111),'Sollecitazioni nel paramento'!$C$111)</f>
        <v>0.59233053470808406</v>
      </c>
      <c r="P468" s="41">
        <f t="shared" si="137"/>
        <v>4.3500000000000407E-4</v>
      </c>
      <c r="Q468" s="41">
        <f t="shared" si="135"/>
        <v>4.3500000000000407E-4</v>
      </c>
      <c r="R468" s="434">
        <f t="shared" si="128"/>
        <v>5.0320615922608809</v>
      </c>
      <c r="S468" s="45" t="e">
        <f t="shared" si="136"/>
        <v>#N/A</v>
      </c>
      <c r="T468" s="205" t="e">
        <f t="shared" si="142"/>
        <v>#N/A</v>
      </c>
      <c r="U468" s="45">
        <f t="shared" si="133"/>
        <v>0</v>
      </c>
      <c r="V468" s="45">
        <f t="shared" si="134"/>
        <v>0</v>
      </c>
    </row>
  </sheetData>
  <customSheetViews>
    <customSheetView guid="{101D851C-E4EE-4443-B6A9-9040ACB2A650}" scale="93" state="hidden" topLeftCell="N1">
      <selection activeCell="C448" sqref="C447:R448"/>
      <pageMargins left="0.7" right="0.7" top="0.75" bottom="0.75" header="0.3" footer="0.3"/>
      <pageSetup paperSize="9" orientation="portrait" r:id="rId1"/>
    </customSheetView>
  </customSheetViews>
  <mergeCells count="12">
    <mergeCell ref="P1:P3"/>
    <mergeCell ref="S20:V20"/>
    <mergeCell ref="X81:Z81"/>
    <mergeCell ref="AA93:AA94"/>
    <mergeCell ref="Y96:Z96"/>
    <mergeCell ref="D449:K468"/>
    <mergeCell ref="D23:K31"/>
    <mergeCell ref="A7:A8"/>
    <mergeCell ref="B2:D2"/>
    <mergeCell ref="A20:O20"/>
    <mergeCell ref="K3:K5"/>
    <mergeCell ref="L3:L5"/>
  </mergeCells>
  <dataValidations disablePrompts="1" count="1">
    <dataValidation type="list" allowBlank="1" showInputMessage="1" showErrorMessage="1" sqref="H7 H9">
      <formula1>tfit</formula1>
    </dataValidation>
  </dataValidations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1"/>
  <sheetViews>
    <sheetView topLeftCell="A37" workbookViewId="0">
      <selection activeCell="P38" sqref="P38"/>
    </sheetView>
  </sheetViews>
  <sheetFormatPr defaultRowHeight="15" x14ac:dyDescent="0.25"/>
  <cols>
    <col min="1" max="1" width="2.85546875" customWidth="1"/>
    <col min="2" max="2" width="19" customWidth="1"/>
    <col min="3" max="3" width="10.5703125" customWidth="1"/>
    <col min="4" max="4" width="10" bestFit="1" customWidth="1"/>
    <col min="8" max="8" width="10" customWidth="1"/>
    <col min="9" max="9" width="9.85546875" bestFit="1" customWidth="1"/>
    <col min="10" max="10" width="10.5703125" bestFit="1" customWidth="1"/>
    <col min="11" max="11" width="10.42578125" customWidth="1"/>
    <col min="15" max="15" width="7.42578125" customWidth="1"/>
    <col min="16" max="16" width="12.7109375" customWidth="1"/>
    <col min="17" max="17" width="55.5703125" customWidth="1"/>
  </cols>
  <sheetData>
    <row r="1" spans="2:23" x14ac:dyDescent="0.25">
      <c r="V1" s="31"/>
      <c r="W1" s="31"/>
    </row>
    <row r="2" spans="2:23" x14ac:dyDescent="0.25">
      <c r="B2" s="857" t="s">
        <v>67</v>
      </c>
      <c r="C2" s="858"/>
      <c r="D2" s="858"/>
      <c r="E2" s="858"/>
      <c r="F2" s="858"/>
      <c r="G2" s="858"/>
      <c r="H2" s="858"/>
      <c r="I2" s="858"/>
      <c r="J2" s="858"/>
      <c r="K2" s="858"/>
      <c r="L2" s="858"/>
      <c r="M2" s="858"/>
      <c r="N2" s="859"/>
      <c r="V2" s="31"/>
      <c r="W2" s="31"/>
    </row>
    <row r="3" spans="2:23" x14ac:dyDescent="0.25">
      <c r="C3" s="384"/>
      <c r="D3" s="384" t="s">
        <v>22</v>
      </c>
      <c r="E3" s="384" t="s">
        <v>23</v>
      </c>
      <c r="F3" s="384" t="s">
        <v>24</v>
      </c>
      <c r="G3" s="384" t="s">
        <v>68</v>
      </c>
      <c r="H3" s="384" t="s">
        <v>69</v>
      </c>
      <c r="I3" s="384" t="s">
        <v>70</v>
      </c>
      <c r="J3" s="384" t="s">
        <v>71</v>
      </c>
      <c r="K3" s="384" t="s">
        <v>72</v>
      </c>
      <c r="L3" s="340" t="s">
        <v>73</v>
      </c>
      <c r="M3" s="384" t="s">
        <v>74</v>
      </c>
      <c r="N3" s="384" t="s">
        <v>75</v>
      </c>
      <c r="Q3" s="191" t="s">
        <v>1077</v>
      </c>
    </row>
    <row r="4" spans="2:23" x14ac:dyDescent="0.25">
      <c r="C4" s="31"/>
      <c r="D4" s="31" t="s">
        <v>2</v>
      </c>
      <c r="E4" s="31" t="s">
        <v>2</v>
      </c>
      <c r="F4" s="31" t="s">
        <v>2</v>
      </c>
      <c r="G4" s="31" t="s">
        <v>33</v>
      </c>
      <c r="H4" s="31" t="s">
        <v>34</v>
      </c>
      <c r="I4" s="192" t="s">
        <v>35</v>
      </c>
      <c r="J4" s="31" t="s">
        <v>35</v>
      </c>
      <c r="K4" s="31" t="s">
        <v>35</v>
      </c>
      <c r="L4" s="276" t="s">
        <v>2</v>
      </c>
      <c r="M4" s="31" t="s">
        <v>2</v>
      </c>
      <c r="N4" s="31" t="s">
        <v>2</v>
      </c>
      <c r="Q4" s="191" t="s">
        <v>76</v>
      </c>
    </row>
    <row r="5" spans="2:23" x14ac:dyDescent="0.25">
      <c r="B5" s="153" t="s">
        <v>1076</v>
      </c>
      <c r="C5" s="31"/>
      <c r="D5" s="31">
        <f>DATI!E89</f>
        <v>0.2</v>
      </c>
      <c r="E5" s="31"/>
      <c r="F5" s="31"/>
      <c r="G5" s="31">
        <f>DATI!E61*DATI!E62</f>
        <v>0.3</v>
      </c>
      <c r="H5" s="31">
        <f>G5*D5</f>
        <v>0.06</v>
      </c>
      <c r="I5" s="192">
        <f>H5*(DATI!E62/2)</f>
        <v>3.5999999999999999E-3</v>
      </c>
      <c r="J5" s="31">
        <v>0</v>
      </c>
      <c r="K5" s="31">
        <f>H5*(-D5/2)</f>
        <v>-6.0000000000000001E-3</v>
      </c>
      <c r="L5" s="269">
        <f>I5/H5</f>
        <v>0.06</v>
      </c>
      <c r="M5" s="127">
        <f>J5/H5</f>
        <v>0</v>
      </c>
      <c r="N5" s="127">
        <f>-K5/H5</f>
        <v>0.1</v>
      </c>
    </row>
    <row r="6" spans="2:23" x14ac:dyDescent="0.25">
      <c r="C6" s="31"/>
      <c r="D6" s="31"/>
      <c r="E6" s="31"/>
      <c r="F6" s="31"/>
      <c r="G6" s="31"/>
      <c r="H6" s="31"/>
      <c r="I6" s="192"/>
      <c r="J6" s="31"/>
      <c r="K6" s="31"/>
      <c r="L6" s="276"/>
      <c r="M6" s="31"/>
      <c r="N6" s="31"/>
    </row>
    <row r="7" spans="2:23" x14ac:dyDescent="0.25">
      <c r="B7" s="993" t="s">
        <v>20</v>
      </c>
      <c r="C7" s="149" t="s">
        <v>77</v>
      </c>
      <c r="D7" s="148">
        <f>'SOLLECITAZ NASCOSTO'!$D$5/'SOLLECITAZ NASCOSTO'!$B$448*'SOLLECITAZ NASCOSTO'!B32</f>
        <v>0</v>
      </c>
      <c r="E7" s="151">
        <f>DATI!E62+'FOGLIO DEPOSITO'!D209</f>
        <v>0.24</v>
      </c>
      <c r="F7" s="151">
        <f>E7-DATI!$E$62</f>
        <v>0.12</v>
      </c>
      <c r="G7" s="151">
        <f>F7*DATI!$E$64*DATI!$E$63+DATI!$E$61*DATI!$E$62</f>
        <v>0.33839999999999998</v>
      </c>
      <c r="I7" s="192"/>
      <c r="J7" s="31"/>
      <c r="K7" s="31"/>
      <c r="L7" s="341"/>
      <c r="N7" s="150"/>
    </row>
    <row r="8" spans="2:23" x14ac:dyDescent="0.25">
      <c r="B8" s="993"/>
      <c r="C8" s="149" t="s">
        <v>78</v>
      </c>
      <c r="D8" s="148">
        <f>DATI!E60</f>
        <v>4.3</v>
      </c>
      <c r="E8" s="151">
        <f>DATI!$E$62+'FOGLIO DEPOSITO'!$D$209+'FOGLIO DEPOSITO'!$D$198*D8</f>
        <v>0.86001000000000005</v>
      </c>
      <c r="F8" s="152">
        <f>E8-DATI!$E$62</f>
        <v>0.74001000000000006</v>
      </c>
      <c r="G8" s="151">
        <f>F8*DATI!$E$64*DATI!$E$63+DATI!$E$61*DATI!$E$62</f>
        <v>0.53680320000000004</v>
      </c>
      <c r="I8" s="192"/>
      <c r="J8" s="31"/>
      <c r="K8" s="31"/>
      <c r="L8" s="341"/>
      <c r="N8" s="150"/>
    </row>
    <row r="9" spans="2:23" x14ac:dyDescent="0.25">
      <c r="B9" s="993"/>
      <c r="C9" s="146" t="s">
        <v>79</v>
      </c>
      <c r="G9" s="128">
        <f>G7+G8</f>
        <v>0.87520320000000007</v>
      </c>
      <c r="H9" s="126">
        <f>(DATI!$E$62*DATI!$E$61)*(D8-D7)+DATI!$E$63*(F7*DATI!$E$64*(D8-D7)+(F8-F7)*DATI!$E$64*(D8-D7)/2)</f>
        <v>1.8816868799999997</v>
      </c>
      <c r="I9" s="193">
        <f>((DATI!$E$62*DATI!$E$61)*(D8-D7)*DATI!$E$62/2+(F7*DATI!$E$64*(D8-D7)*(F7/2+DATI!$E$62)+(F8-F7)*DATI!$E$64*(D8-D7)/2*((F8-F7)/3+F7+DATI!$E$62))*DATI!$E$63)</f>
        <v>0.29765622828959998</v>
      </c>
      <c r="J9" s="126">
        <v>0</v>
      </c>
      <c r="K9" s="31">
        <f>(DATI!$E$62*DATI!$E$61)*(D8-D7)*(D8-D7)/2+(F7*DATI!$E$64*(D8-D7)*(D8-D7)/2+(F8-F7)*DATI!$E$64*(D8-D7)/2*(D8-D7)*2/3)*DATI!$E$63</f>
        <v>4.3513330559999996</v>
      </c>
      <c r="L9" s="269">
        <f>I9/$H$9</f>
        <v>0.15818584454901446</v>
      </c>
      <c r="M9" s="127">
        <f>J9/$H$9</f>
        <v>0</v>
      </c>
      <c r="N9" s="127">
        <f>-K9/$H$9</f>
        <v>-2.3124639398027798</v>
      </c>
    </row>
    <row r="10" spans="2:23" x14ac:dyDescent="0.25">
      <c r="L10" s="222"/>
    </row>
    <row r="11" spans="2:23" x14ac:dyDescent="0.25">
      <c r="B11" s="993" t="s">
        <v>80</v>
      </c>
      <c r="C11" s="149" t="s">
        <v>81</v>
      </c>
      <c r="D11" s="148">
        <f>DATI!E74</f>
        <v>0.5</v>
      </c>
      <c r="E11" s="147">
        <f>DATI!E75</f>
        <v>0.65</v>
      </c>
      <c r="F11" s="147"/>
      <c r="G11" s="147">
        <f>E11*DATI!$E$61</f>
        <v>1.625</v>
      </c>
      <c r="H11" s="147">
        <f>G11*DATI!E74</f>
        <v>0.8125</v>
      </c>
      <c r="I11" s="147">
        <f>H11*(-E11/2)</f>
        <v>-0.26406250000000003</v>
      </c>
      <c r="J11" s="147">
        <v>0</v>
      </c>
      <c r="K11" s="147">
        <f>H11*(DATI!E60+DATI!E74/2)</f>
        <v>3.6968749999999999</v>
      </c>
      <c r="L11" s="222"/>
    </row>
    <row r="12" spans="2:23" x14ac:dyDescent="0.25">
      <c r="B12" s="993"/>
      <c r="C12" s="149" t="s">
        <v>82</v>
      </c>
      <c r="D12" s="148">
        <f>DATI!E74</f>
        <v>0.5</v>
      </c>
      <c r="E12" s="151">
        <f>'FOGLIO DEPOSITO'!D212+E8</f>
        <v>2.75</v>
      </c>
      <c r="F12" s="147"/>
      <c r="G12" s="147">
        <f>E12*DATI!$E$61</f>
        <v>6.875</v>
      </c>
      <c r="H12" s="147">
        <f>G12*DATI!E74</f>
        <v>3.4375</v>
      </c>
      <c r="I12" s="147">
        <f>H12*(E12/2)</f>
        <v>4.7265625</v>
      </c>
      <c r="J12" s="147">
        <v>0</v>
      </c>
      <c r="K12" s="147">
        <f>H12*(DATI!E60+DATI!E74/2)</f>
        <v>15.640625</v>
      </c>
      <c r="L12" s="222"/>
    </row>
    <row r="13" spans="2:23" x14ac:dyDescent="0.25">
      <c r="B13" s="993"/>
      <c r="C13" s="146" t="s">
        <v>79</v>
      </c>
      <c r="G13" s="31">
        <f>G11+G12</f>
        <v>8.5</v>
      </c>
      <c r="H13" s="31">
        <f>H11+H12</f>
        <v>4.25</v>
      </c>
      <c r="I13" s="31">
        <f>I11+I12</f>
        <v>4.4625000000000004</v>
      </c>
      <c r="J13" s="31">
        <f>J11+J12</f>
        <v>0</v>
      </c>
      <c r="K13" s="31">
        <f>K11+K12</f>
        <v>19.337499999999999</v>
      </c>
      <c r="L13" s="269">
        <f>I13/$H$13</f>
        <v>1.05</v>
      </c>
      <c r="M13" s="127">
        <f>J13/$H$13</f>
        <v>0</v>
      </c>
      <c r="N13" s="127">
        <f>-K13/$H$13</f>
        <v>-4.55</v>
      </c>
    </row>
    <row r="14" spans="2:23" x14ac:dyDescent="0.25">
      <c r="L14" s="222"/>
    </row>
    <row r="15" spans="2:23" x14ac:dyDescent="0.25">
      <c r="B15" s="383" t="s">
        <v>83</v>
      </c>
      <c r="C15" s="145"/>
      <c r="D15" s="145">
        <f>DATI!E82</f>
        <v>0.6</v>
      </c>
      <c r="E15" s="145">
        <f>DATI!E84</f>
        <v>0.6</v>
      </c>
      <c r="F15" s="145"/>
      <c r="G15" s="145">
        <f>DATI!E84*DATI!E61</f>
        <v>1.5</v>
      </c>
      <c r="H15" s="145">
        <f>G15*DATI!E82</f>
        <v>0.89999999999999991</v>
      </c>
      <c r="I15" s="145">
        <f>H15*Q15</f>
        <v>2.2049999999999996</v>
      </c>
      <c r="J15" s="145">
        <v>0</v>
      </c>
      <c r="K15" s="145">
        <f>H15*(D8+D12+D15/2)</f>
        <v>4.589999999999999</v>
      </c>
      <c r="L15" s="342">
        <f>I15/$H$15</f>
        <v>2.4499999999999997</v>
      </c>
      <c r="M15" s="144">
        <f>J15/$H$15</f>
        <v>0</v>
      </c>
      <c r="N15" s="144">
        <f>-K15/$H$15</f>
        <v>-5.0999999999999996</v>
      </c>
      <c r="Q15" s="140">
        <f>DATI!E85-S58</f>
        <v>2.4499999999999997</v>
      </c>
    </row>
    <row r="16" spans="2:23" x14ac:dyDescent="0.25">
      <c r="B16" s="171" t="s">
        <v>79</v>
      </c>
      <c r="H16" s="41">
        <f>H5+H9+H13+H15</f>
        <v>7.0916868799999992</v>
      </c>
      <c r="I16" s="41">
        <f>I5+I9+I13+I15</f>
        <v>6.9687562282895996</v>
      </c>
      <c r="J16" s="41">
        <f>J5+J9+J13+J15</f>
        <v>0</v>
      </c>
      <c r="K16" s="186">
        <f>K5+K9+K13+K15</f>
        <v>28.272833056</v>
      </c>
      <c r="L16" s="343">
        <f>I16/H16</f>
        <v>0.98266552742802438</v>
      </c>
      <c r="M16" s="41">
        <f>J16/H16</f>
        <v>0</v>
      </c>
      <c r="N16" s="41">
        <f>-K16/H16</f>
        <v>-3.9867571051021931</v>
      </c>
    </row>
    <row r="17" spans="2:17" x14ac:dyDescent="0.25">
      <c r="B17" s="171"/>
      <c r="H17" s="126"/>
      <c r="I17" s="31"/>
      <c r="J17" s="31"/>
      <c r="L17" s="269"/>
      <c r="M17" s="127"/>
      <c r="N17" s="127"/>
    </row>
    <row r="18" spans="2:17" x14ac:dyDescent="0.25">
      <c r="B18" s="994" t="s">
        <v>84</v>
      </c>
      <c r="C18" s="183" t="s">
        <v>85</v>
      </c>
      <c r="D18" s="45">
        <f>DATI!E60</f>
        <v>4.3</v>
      </c>
      <c r="E18" s="46">
        <f>IF(P19="sx",S58,IF(P21="muro a contrafforti",S59+'FOGLIO DEPOSITO'!D210,S59))</f>
        <v>2.63</v>
      </c>
      <c r="F18" s="46"/>
      <c r="G18" s="46"/>
      <c r="H18" s="45">
        <f>E18*D18*S45</f>
        <v>28.272499999999997</v>
      </c>
      <c r="I18" s="45">
        <f>IF(DATI!G211="dx",IF(P21="muro a contrafforti",H18*((E18)/2+DATI!E62),H18*('FOGLIO DEPOSITO'!D211+'geom masse muro+tensioni'!S59/2)),-H18*E18/2)</f>
        <v>40.571037499999996</v>
      </c>
      <c r="J18" s="45">
        <v>0</v>
      </c>
      <c r="K18" s="45">
        <f>H18*D18/2</f>
        <v>60.78587499999999</v>
      </c>
      <c r="L18" s="343">
        <f>I18/H18</f>
        <v>1.4350000000000001</v>
      </c>
      <c r="M18" s="45">
        <v>0</v>
      </c>
      <c r="N18" s="45">
        <f>-K18/H18</f>
        <v>-2.15</v>
      </c>
    </row>
    <row r="19" spans="2:17" x14ac:dyDescent="0.25">
      <c r="B19" s="994"/>
      <c r="C19" s="183" t="s">
        <v>86</v>
      </c>
      <c r="D19" s="45">
        <f>D18+E19*TAN(DATI!E162*PI()/180)</f>
        <v>4.6229233951746389</v>
      </c>
      <c r="E19" s="46">
        <f>IF(DATI!G211="sX",DATI!E75,IF(P21="muro a contrafforti",'FOGLIO DEPOSITO'!D212+'FOGLIO DEPOSITO'!D203,'FOGLIO DEPOSITO'!D212+'FOGLIO DEPOSITO'!D210-'FOGLIO DEPOSITO'!D209))</f>
        <v>2.63</v>
      </c>
      <c r="F19" s="46"/>
      <c r="G19" s="46"/>
      <c r="H19" s="184">
        <f>E19*(D19-D18)/2*S45</f>
        <v>1.0616106616366259</v>
      </c>
      <c r="I19" s="45">
        <f>IF(DATI!G211="dx",H19*(E19*2/3+DATI!E62),-H19*E19*2/3)</f>
        <v>1.9887506394659455</v>
      </c>
      <c r="J19" s="45">
        <v>0</v>
      </c>
      <c r="K19" s="45">
        <f>-H19*1/3*(D19-D18)</f>
        <v>-0.11427297306976474</v>
      </c>
      <c r="L19" s="343">
        <f>I19/H19</f>
        <v>1.8733333333333331</v>
      </c>
      <c r="M19" s="45">
        <v>0</v>
      </c>
      <c r="N19" s="45">
        <f>-K19/H19</f>
        <v>0.1076411317248797</v>
      </c>
      <c r="P19" s="140" t="str">
        <f>DATI!G211</f>
        <v>dx</v>
      </c>
    </row>
    <row r="20" spans="2:17" s="421" customFormat="1" x14ac:dyDescent="0.25">
      <c r="B20" s="994"/>
      <c r="C20" s="183" t="s">
        <v>87</v>
      </c>
      <c r="D20" s="45">
        <f>D18</f>
        <v>4.3</v>
      </c>
      <c r="E20" s="46">
        <f>IF(P21="muro a contrafforti",0,IF(P19="SX",0,'FOGLIO DEPOSITO'!D210-'FOGLIO DEPOSITO'!D209))</f>
        <v>0</v>
      </c>
      <c r="F20" s="32"/>
      <c r="G20" s="32"/>
      <c r="H20" s="44">
        <f>IF(P21="muro a contrafforti",0,E20*D20/2*S45)</f>
        <v>0</v>
      </c>
      <c r="I20" s="45">
        <f>IF(DATI!G211="dx",H20*(E20/3*2+DATI!E62+'FOGLIO DEPOSITO'!D209),0)</f>
        <v>0</v>
      </c>
      <c r="J20" s="45">
        <v>0</v>
      </c>
      <c r="K20" s="45">
        <f>H20*D20/3</f>
        <v>0</v>
      </c>
      <c r="L20" s="269" t="e">
        <f>I20/H20</f>
        <v>#DIV/0!</v>
      </c>
      <c r="M20" s="45">
        <v>0</v>
      </c>
      <c r="N20" s="45" t="e">
        <f>-K20/H20</f>
        <v>#DIV/0!</v>
      </c>
      <c r="P20" s="140"/>
    </row>
    <row r="21" spans="2:17" x14ac:dyDescent="0.25">
      <c r="B21" s="995"/>
      <c r="C21" s="185" t="s">
        <v>858</v>
      </c>
      <c r="D21" s="145">
        <f>IF((DATI!E250-DATI!E74)&lt;0,0,DATI!E250-DATI!E74)</f>
        <v>0.55000000000000004</v>
      </c>
      <c r="E21" s="145">
        <f>IF(P19="sx",IF(P21="muro a contrafforti",'FOGLIO DEPOSITO'!D211+'FOGLIO DEPOSITO'!D212-DATI!E62,'FOGLIO DEPOSITO'!D212),DATI!E75)</f>
        <v>0.65</v>
      </c>
      <c r="F21" s="42"/>
      <c r="G21" s="42"/>
      <c r="H21" s="145">
        <f>D21*E21*DATI!E61</f>
        <v>0.89375000000000004</v>
      </c>
      <c r="I21" s="145">
        <f>IF(P19="sx",'FOGLIO DEPOSITO'!D211+'FOGLIO DEPOSITO'!D212/2,-DATI!E75/2)*H21</f>
        <v>-0.29046875</v>
      </c>
      <c r="J21" s="145">
        <v>0</v>
      </c>
      <c r="K21" s="511">
        <f>(D20-D21/2)*H21</f>
        <v>3.5973437499999998</v>
      </c>
      <c r="L21" s="342">
        <f>I21/H21</f>
        <v>-0.32499999999999996</v>
      </c>
      <c r="M21" s="43">
        <v>0</v>
      </c>
      <c r="N21" s="43">
        <f>-K21/H21</f>
        <v>-4.0249999999999995</v>
      </c>
      <c r="P21" s="243" t="str">
        <f>DATI!C69</f>
        <v>muro a contrafforti</v>
      </c>
    </row>
    <row r="22" spans="2:17" x14ac:dyDescent="0.25">
      <c r="B22" s="171" t="s">
        <v>79</v>
      </c>
      <c r="H22" s="41">
        <f>H18+H19+H20+H21</f>
        <v>30.227860661636623</v>
      </c>
      <c r="I22" s="41">
        <f>I18+I19+I20+I21</f>
        <v>42.269319389465942</v>
      </c>
      <c r="J22" s="41">
        <f>J18+J19+J20+J21</f>
        <v>0</v>
      </c>
      <c r="K22" s="41">
        <f>K18+K19+K20+K21</f>
        <v>64.268945776930224</v>
      </c>
      <c r="L22" s="343">
        <f>I22/H22</f>
        <v>1.3983562999253736</v>
      </c>
      <c r="M22" s="45">
        <v>0</v>
      </c>
      <c r="N22" s="45">
        <f>-K22/H22</f>
        <v>-2.1261493327742009</v>
      </c>
    </row>
    <row r="23" spans="2:17" x14ac:dyDescent="0.25">
      <c r="B23" s="171"/>
      <c r="H23" s="126"/>
      <c r="I23" s="31"/>
      <c r="J23" s="31"/>
      <c r="L23" s="263" t="s">
        <v>73</v>
      </c>
      <c r="M23" s="384" t="s">
        <v>74</v>
      </c>
      <c r="N23" s="384" t="s">
        <v>75</v>
      </c>
    </row>
    <row r="24" spans="2:17" x14ac:dyDescent="0.25">
      <c r="B24" s="996" t="s">
        <v>88</v>
      </c>
      <c r="C24" s="32"/>
      <c r="D24" s="32"/>
      <c r="E24" s="32"/>
      <c r="F24" s="32"/>
      <c r="G24" s="32"/>
      <c r="H24" s="187"/>
      <c r="I24" s="46"/>
      <c r="J24" s="46"/>
      <c r="K24" s="32"/>
      <c r="L24" s="269"/>
      <c r="M24" s="184"/>
      <c r="N24" s="184"/>
    </row>
    <row r="25" spans="2:17" x14ac:dyDescent="0.25">
      <c r="B25" s="996"/>
      <c r="C25" s="32" t="s">
        <v>89</v>
      </c>
      <c r="D25" s="32"/>
      <c r="E25" s="32"/>
      <c r="F25" s="32"/>
      <c r="G25" s="32"/>
      <c r="H25" s="45">
        <f t="shared" ref="H25:N25" si="0">H16</f>
        <v>7.0916868799999992</v>
      </c>
      <c r="I25" s="45">
        <f t="shared" si="0"/>
        <v>6.9687562282895996</v>
      </c>
      <c r="J25" s="45">
        <f t="shared" si="0"/>
        <v>0</v>
      </c>
      <c r="K25" s="45">
        <f t="shared" si="0"/>
        <v>28.272833056</v>
      </c>
      <c r="L25" s="343">
        <f t="shared" si="0"/>
        <v>0.98266552742802438</v>
      </c>
      <c r="M25" s="45">
        <f t="shared" si="0"/>
        <v>0</v>
      </c>
      <c r="N25" s="45">
        <f t="shared" si="0"/>
        <v>-3.9867571051021931</v>
      </c>
    </row>
    <row r="26" spans="2:17" x14ac:dyDescent="0.25">
      <c r="B26" s="997"/>
      <c r="C26" s="42" t="s">
        <v>90</v>
      </c>
      <c r="D26" s="42"/>
      <c r="E26" s="42"/>
      <c r="F26" s="42"/>
      <c r="G26" s="42"/>
      <c r="H26" s="43">
        <f t="shared" ref="H26:N26" si="1">H22</f>
        <v>30.227860661636623</v>
      </c>
      <c r="I26" s="43">
        <f t="shared" si="1"/>
        <v>42.269319389465942</v>
      </c>
      <c r="J26" s="43">
        <f t="shared" si="1"/>
        <v>0</v>
      </c>
      <c r="K26" s="43">
        <f t="shared" si="1"/>
        <v>64.268945776930224</v>
      </c>
      <c r="L26" s="344">
        <f t="shared" si="1"/>
        <v>1.3983562999253736</v>
      </c>
      <c r="M26" s="43">
        <f t="shared" si="1"/>
        <v>0</v>
      </c>
      <c r="N26" s="43">
        <f t="shared" si="1"/>
        <v>-2.1261493327742009</v>
      </c>
      <c r="O26" s="127"/>
    </row>
    <row r="27" spans="2:17" x14ac:dyDescent="0.25">
      <c r="B27" s="171"/>
      <c r="H27" s="41">
        <f>H25+H26</f>
        <v>37.319547541636624</v>
      </c>
      <c r="I27" s="41">
        <f>I25+I26</f>
        <v>49.238075617755541</v>
      </c>
      <c r="J27" s="41">
        <f>J25+J26</f>
        <v>0</v>
      </c>
      <c r="K27" s="41">
        <f>K25+K26</f>
        <v>92.54177883293022</v>
      </c>
      <c r="L27" s="269">
        <f>I27/H27</f>
        <v>1.3193642169113029</v>
      </c>
      <c r="M27" s="184">
        <v>0</v>
      </c>
      <c r="N27" s="184">
        <f>-K27/H27</f>
        <v>-2.4797133118959529</v>
      </c>
    </row>
    <row r="28" spans="2:17" x14ac:dyDescent="0.25">
      <c r="B28" s="171"/>
      <c r="H28" s="126"/>
      <c r="I28" s="31"/>
      <c r="J28" s="31"/>
      <c r="L28" s="127"/>
      <c r="M28" s="127"/>
      <c r="N28" s="127"/>
    </row>
    <row r="29" spans="2:17" x14ac:dyDescent="0.25">
      <c r="B29" s="171"/>
      <c r="H29" s="126"/>
      <c r="I29" s="31"/>
      <c r="J29" s="31"/>
      <c r="L29" s="127"/>
      <c r="M29" s="127"/>
      <c r="N29" s="127"/>
    </row>
    <row r="30" spans="2:17" x14ac:dyDescent="0.25">
      <c r="B30" s="171"/>
      <c r="H30" s="126"/>
      <c r="I30" s="31"/>
      <c r="J30" s="31"/>
      <c r="L30" s="127"/>
      <c r="M30" s="127"/>
      <c r="N30" s="127"/>
    </row>
    <row r="31" spans="2:17" x14ac:dyDescent="0.25">
      <c r="B31" s="171"/>
      <c r="H31" s="126"/>
      <c r="I31" s="31"/>
      <c r="J31" s="31"/>
      <c r="L31" s="127"/>
      <c r="M31" s="127"/>
      <c r="N31" s="127"/>
    </row>
    <row r="32" spans="2:17" x14ac:dyDescent="0.25">
      <c r="B32" s="171" t="s">
        <v>91</v>
      </c>
      <c r="H32" s="41">
        <f>H22*Q32</f>
        <v>544.10149190945924</v>
      </c>
      <c r="I32" s="41">
        <f>I22*Q32</f>
        <v>760.84774901038691</v>
      </c>
      <c r="J32" s="41">
        <f>J22</f>
        <v>0</v>
      </c>
      <c r="K32" s="41">
        <f>K22*Q32</f>
        <v>1156.841023984744</v>
      </c>
      <c r="L32" s="41"/>
      <c r="M32" s="41"/>
      <c r="N32" s="41"/>
      <c r="Q32" s="41">
        <f>('FOGLIO DEPOSITO'!W224*'FOGLIO DEPOSITO'!W227+'FOGLIO DEPOSITO'!W230*'FOGLIO DEPOSITO'!W233+'FOGLIO DEPOSITO'!W236*'FOGLIO DEPOSITO'!W239+DATI!E248*'geom masse muro+tensioni'!D21)/('FOGLIO DEPOSITO'!W227+'FOGLIO DEPOSITO'!W233+'FOGLIO DEPOSITO'!W239+'geom masse muro+tensioni'!D21)</f>
        <v>18</v>
      </c>
    </row>
    <row r="33" spans="2:20" x14ac:dyDescent="0.25">
      <c r="B33" s="189" t="s">
        <v>92</v>
      </c>
      <c r="C33" s="42"/>
      <c r="D33" s="42"/>
      <c r="E33" s="42"/>
      <c r="F33" s="42"/>
      <c r="G33" s="42"/>
      <c r="H33" s="43">
        <f>H16*Q33</f>
        <v>177.29217199999999</v>
      </c>
      <c r="I33" s="43">
        <f>I16*Q33</f>
        <v>174.21890570724</v>
      </c>
      <c r="J33" s="43">
        <f>J16</f>
        <v>0</v>
      </c>
      <c r="K33" s="43">
        <f>K16*Q33</f>
        <v>706.82082639999999</v>
      </c>
      <c r="L33" s="190"/>
      <c r="M33" s="190"/>
      <c r="N33" s="190"/>
      <c r="Q33" s="41">
        <f>DATI!E8</f>
        <v>25</v>
      </c>
    </row>
    <row r="34" spans="2:20" x14ac:dyDescent="0.25">
      <c r="B34" s="171"/>
      <c r="H34" s="41">
        <f>H32+H33</f>
        <v>721.39366390945929</v>
      </c>
      <c r="I34" s="41">
        <f>I32+I33</f>
        <v>935.06665471762688</v>
      </c>
      <c r="J34" s="41">
        <f>J32+J33</f>
        <v>0</v>
      </c>
      <c r="K34" s="41">
        <f>K32+K33</f>
        <v>1863.661850384744</v>
      </c>
      <c r="L34" s="184">
        <f>I34/H34</f>
        <v>1.296194715171473</v>
      </c>
      <c r="M34" s="184">
        <v>0</v>
      </c>
      <c r="N34" s="184">
        <f>-K34/H34</f>
        <v>-2.5834186569992506</v>
      </c>
    </row>
    <row r="35" spans="2:20" x14ac:dyDescent="0.25">
      <c r="B35" s="171"/>
      <c r="H35" s="126"/>
      <c r="I35" s="31"/>
      <c r="J35" s="31"/>
      <c r="L35" s="127"/>
      <c r="M35" s="127"/>
      <c r="N35" s="127"/>
    </row>
    <row r="36" spans="2:20" x14ac:dyDescent="0.25">
      <c r="B36" s="171"/>
      <c r="I36" s="31"/>
      <c r="J36" s="31"/>
      <c r="L36" s="127"/>
      <c r="M36" s="127"/>
      <c r="N36" s="127"/>
    </row>
    <row r="37" spans="2:20" x14ac:dyDescent="0.25">
      <c r="B37" s="171"/>
      <c r="H37" s="126"/>
      <c r="I37" s="31"/>
      <c r="J37" s="31"/>
      <c r="L37" s="127"/>
      <c r="M37" s="127"/>
      <c r="N37" s="127"/>
    </row>
    <row r="38" spans="2:20" x14ac:dyDescent="0.25">
      <c r="B38" s="171"/>
      <c r="H38" s="126"/>
      <c r="I38" s="31"/>
      <c r="J38" s="31"/>
      <c r="L38" s="127"/>
      <c r="M38" s="127"/>
      <c r="N38" s="127"/>
    </row>
    <row r="41" spans="2:20" x14ac:dyDescent="0.25">
      <c r="C41" s="140" t="s">
        <v>9</v>
      </c>
      <c r="D41" s="407">
        <f>DATI!$E$63</f>
        <v>2</v>
      </c>
    </row>
    <row r="42" spans="2:20" ht="15.75" thickBot="1" x14ac:dyDescent="0.3">
      <c r="Q42" s="162" t="s">
        <v>0</v>
      </c>
      <c r="R42" s="161"/>
      <c r="S42" s="133"/>
      <c r="T42" s="2"/>
    </row>
    <row r="43" spans="2:20" x14ac:dyDescent="0.25">
      <c r="C43" s="844" t="s">
        <v>93</v>
      </c>
      <c r="D43" s="844"/>
      <c r="E43" s="32"/>
      <c r="F43" s="844" t="s">
        <v>94</v>
      </c>
      <c r="G43" s="844"/>
      <c r="I43" s="32"/>
      <c r="J43" s="844" t="s">
        <v>95</v>
      </c>
      <c r="K43" s="844"/>
      <c r="M43" s="143">
        <v>1</v>
      </c>
      <c r="T43" s="2"/>
    </row>
    <row r="44" spans="2:20" ht="18.75" thickBot="1" x14ac:dyDescent="0.3">
      <c r="C44" s="397">
        <v>0</v>
      </c>
      <c r="D44" s="400">
        <v>0</v>
      </c>
      <c r="E44" s="32"/>
      <c r="F44" s="400">
        <v>0</v>
      </c>
      <c r="G44" s="400">
        <v>0</v>
      </c>
      <c r="I44" s="32"/>
      <c r="J44" s="140">
        <v>0</v>
      </c>
      <c r="K44" s="140">
        <v>0</v>
      </c>
      <c r="M44" s="142">
        <v>2</v>
      </c>
      <c r="Q44" s="2" t="s">
        <v>96</v>
      </c>
      <c r="R44" s="62" t="s">
        <v>97</v>
      </c>
      <c r="S44" s="167">
        <f>DATI!E60</f>
        <v>4.3</v>
      </c>
      <c r="T44" s="31" t="s">
        <v>2</v>
      </c>
    </row>
    <row r="45" spans="2:20" ht="16.5" thickTop="1" thickBot="1" x14ac:dyDescent="0.3">
      <c r="C45" s="397">
        <f>DATI!E61/2</f>
        <v>1.25</v>
      </c>
      <c r="D45" s="400">
        <v>0</v>
      </c>
      <c r="E45" s="32"/>
      <c r="F45" s="400">
        <f>DATI!E61/2</f>
        <v>1.25</v>
      </c>
      <c r="G45" s="400">
        <v>0</v>
      </c>
      <c r="I45" s="32"/>
      <c r="J45" s="195">
        <f>M50</f>
        <v>2.8</v>
      </c>
      <c r="K45" s="140">
        <v>0</v>
      </c>
      <c r="M45" s="142">
        <v>3</v>
      </c>
      <c r="Q45" s="2" t="s">
        <v>98</v>
      </c>
      <c r="R45" s="159" t="s">
        <v>99</v>
      </c>
      <c r="S45" s="168">
        <f>DATI!E61</f>
        <v>2.5</v>
      </c>
      <c r="T45" s="31" t="s">
        <v>2</v>
      </c>
    </row>
    <row r="46" spans="2:20" ht="18.75" thickTop="1" x14ac:dyDescent="0.25">
      <c r="B46" s="135"/>
      <c r="C46" s="397">
        <f>C45</f>
        <v>1.25</v>
      </c>
      <c r="D46" s="400">
        <f>DATI!E62</f>
        <v>0.12</v>
      </c>
      <c r="E46" s="32"/>
      <c r="F46" s="400">
        <f>F45</f>
        <v>1.25</v>
      </c>
      <c r="G46" s="400">
        <f>DATI!E62</f>
        <v>0.12</v>
      </c>
      <c r="I46" s="45"/>
      <c r="J46" s="195">
        <f>J45</f>
        <v>2.8</v>
      </c>
      <c r="K46" s="140">
        <f>-S64</f>
        <v>-0.6</v>
      </c>
      <c r="M46" s="142">
        <v>4</v>
      </c>
      <c r="Q46" s="2" t="s">
        <v>100</v>
      </c>
      <c r="R46" s="62" t="s">
        <v>101</v>
      </c>
      <c r="S46" s="169">
        <f>DATI!E62</f>
        <v>0.12</v>
      </c>
      <c r="T46" s="31" t="s">
        <v>2</v>
      </c>
    </row>
    <row r="47" spans="2:20" ht="15.75" thickBot="1" x14ac:dyDescent="0.3">
      <c r="B47" s="135"/>
      <c r="C47" s="401">
        <f>IF(DATI!E63&gt;=2,C45-DATI!E65,C45-DATI!E61/2+DATI!E64/2)</f>
        <v>0.71</v>
      </c>
      <c r="D47" s="401">
        <f>DATI!E62</f>
        <v>0.12</v>
      </c>
      <c r="E47" s="32"/>
      <c r="F47" s="400">
        <f>IF(DATI!E63&gt;=2,F45-DATI!E65,F45-DATI!E61/2+DATI!E64/2)</f>
        <v>0.71</v>
      </c>
      <c r="G47" s="400">
        <f>DATI!E62</f>
        <v>0.12</v>
      </c>
      <c r="I47" s="45"/>
      <c r="J47" s="195">
        <f>J46+S63</f>
        <v>3.4</v>
      </c>
      <c r="K47" s="140">
        <f>K46</f>
        <v>-0.6</v>
      </c>
      <c r="M47" s="141">
        <v>5</v>
      </c>
      <c r="R47" s="158"/>
      <c r="S47" s="46"/>
    </row>
    <row r="48" spans="2:20" ht="15.75" thickBot="1" x14ac:dyDescent="0.3">
      <c r="B48" s="135"/>
      <c r="C48" s="401">
        <f>C47</f>
        <v>0.71</v>
      </c>
      <c r="D48" s="401">
        <f>D47+'FOGLIO DEPOSITO'!D209</f>
        <v>0.24</v>
      </c>
      <c r="E48" s="32"/>
      <c r="F48" s="400">
        <f>F47</f>
        <v>0.71</v>
      </c>
      <c r="G48" s="406">
        <f>G47+F8</f>
        <v>0.86001000000000005</v>
      </c>
      <c r="I48" s="32"/>
      <c r="J48" s="195">
        <f>J47</f>
        <v>3.4</v>
      </c>
      <c r="K48" s="140">
        <f>K47+S64</f>
        <v>0</v>
      </c>
      <c r="Q48" s="2" t="s">
        <v>102</v>
      </c>
      <c r="R48" s="384" t="s">
        <v>9</v>
      </c>
      <c r="S48" s="167">
        <f>DATI!E63</f>
        <v>2</v>
      </c>
      <c r="T48" s="31" t="s">
        <v>10</v>
      </c>
    </row>
    <row r="49" spans="2:20" ht="19.5" thickTop="1" thickBot="1" x14ac:dyDescent="0.3">
      <c r="B49" s="135"/>
      <c r="C49" s="401">
        <f>C48-DATI!E64</f>
        <v>0.54999999999999993</v>
      </c>
      <c r="D49" s="401">
        <f>D48</f>
        <v>0.24</v>
      </c>
      <c r="E49" s="32"/>
      <c r="F49" s="400">
        <f>F48-DATI!E64</f>
        <v>0.54999999999999993</v>
      </c>
      <c r="G49" s="406">
        <f>G48</f>
        <v>0.86001000000000005</v>
      </c>
      <c r="I49" s="32"/>
      <c r="J49" s="140">
        <f>S58+S59+'FOGLIO DEPOSITO'!$D$211</f>
        <v>3.4</v>
      </c>
      <c r="K49" s="140">
        <f>K48</f>
        <v>0</v>
      </c>
      <c r="M49" t="s">
        <v>103</v>
      </c>
      <c r="Q49" s="2" t="s">
        <v>104</v>
      </c>
      <c r="R49" s="62" t="s">
        <v>105</v>
      </c>
      <c r="S49" s="168">
        <f>DATI!E64</f>
        <v>0.16</v>
      </c>
      <c r="T49" s="31" t="s">
        <v>2</v>
      </c>
    </row>
    <row r="50" spans="2:20" ht="19.5" thickTop="1" thickBot="1" x14ac:dyDescent="0.3">
      <c r="B50" s="135"/>
      <c r="C50" s="401">
        <f>C49</f>
        <v>0.54999999999999993</v>
      </c>
      <c r="D50" s="401">
        <f>D49-'FOGLIO DEPOSITO'!D209</f>
        <v>0.12</v>
      </c>
      <c r="E50" s="32"/>
      <c r="F50" s="400">
        <f>F49</f>
        <v>0.54999999999999993</v>
      </c>
      <c r="G50" s="406">
        <f>G49-F8</f>
        <v>0.12</v>
      </c>
      <c r="I50" s="32"/>
      <c r="J50" s="170">
        <f>J49</f>
        <v>3.4</v>
      </c>
      <c r="K50" s="140">
        <f>K48+S57</f>
        <v>0.5</v>
      </c>
      <c r="M50" s="391">
        <f>DATI!E85-S63/2</f>
        <v>2.8</v>
      </c>
      <c r="Q50" s="2" t="s">
        <v>106</v>
      </c>
      <c r="R50" s="62" t="s">
        <v>107</v>
      </c>
      <c r="S50" s="168">
        <f>DATI!E65</f>
        <v>0.54</v>
      </c>
      <c r="T50" s="31" t="s">
        <v>2</v>
      </c>
    </row>
    <row r="51" spans="2:20" ht="19.5" thickTop="1" thickBot="1" x14ac:dyDescent="0.3">
      <c r="B51" s="135">
        <f>IF(DATI!E63&gt;2,1,0)</f>
        <v>0</v>
      </c>
      <c r="C51" s="402">
        <f>IF(D41=1,C50,B51*(C50-IF(DATI!E63&gt;=2,(((DATI!E61-2*DATI!E65)-2*DATI!E64)-(DATI!E63-2)*DATI!E64)/(DATI!E63-1),0)))</f>
        <v>0</v>
      </c>
      <c r="D51" s="402">
        <f>DATI!E62</f>
        <v>0.12</v>
      </c>
      <c r="E51" s="139"/>
      <c r="F51" s="400">
        <f>IF(D41=1,C50,B51*(F50-IF(DATI!E63&gt;=2,(((DATI!E61-2*DATI!E65)-2*DATI!E64)-(DATI!E63-2)*DATI!E64)/(DATI!E63-1),0)))</f>
        <v>0</v>
      </c>
      <c r="G51" s="400">
        <f>DATI!E62</f>
        <v>0.12</v>
      </c>
      <c r="I51" s="32"/>
      <c r="J51" s="170">
        <f>S58+E8</f>
        <v>1.5100100000000001</v>
      </c>
      <c r="K51" s="140">
        <f>K50</f>
        <v>0.5</v>
      </c>
      <c r="Q51" s="2" t="s">
        <v>108</v>
      </c>
      <c r="R51" s="62" t="s">
        <v>109</v>
      </c>
      <c r="S51" s="168">
        <f>'FOGLIO DEPOSITO'!D209</f>
        <v>0.12</v>
      </c>
      <c r="T51" s="31" t="s">
        <v>2</v>
      </c>
    </row>
    <row r="52" spans="2:20" ht="16.5" thickTop="1" thickBot="1" x14ac:dyDescent="0.3">
      <c r="B52" s="135"/>
      <c r="C52" s="402">
        <f>IF(D41=1,C50,B51*C51)</f>
        <v>0</v>
      </c>
      <c r="D52" s="402">
        <f>IF(B51=0,DATI!E62,D51+'FOGLIO DEPOSITO'!D209)</f>
        <v>0.12</v>
      </c>
      <c r="E52" s="139"/>
      <c r="F52" s="400">
        <f>IF(D41=1,C50,B51*F51)</f>
        <v>0</v>
      </c>
      <c r="G52" s="400">
        <f>IF(B51=0,DATI!E62,G51+F8)</f>
        <v>0.12</v>
      </c>
      <c r="I52" s="32"/>
      <c r="J52" s="170">
        <f>S58+E7</f>
        <v>0.89</v>
      </c>
      <c r="K52" s="140">
        <f>K51+S44</f>
        <v>4.8</v>
      </c>
      <c r="M52" s="32"/>
      <c r="Q52" s="2" t="s">
        <v>110</v>
      </c>
      <c r="R52" s="160" t="s">
        <v>111</v>
      </c>
      <c r="S52" s="168">
        <f>'FOGLIO DEPOSITO'!D196</f>
        <v>8.2048367238086399</v>
      </c>
      <c r="T52" s="31" t="s">
        <v>17</v>
      </c>
    </row>
    <row r="53" spans="2:20" ht="15.75" thickTop="1" x14ac:dyDescent="0.25">
      <c r="B53" s="135"/>
      <c r="C53" s="402">
        <f>IF(D41=1,C50,B51*(C52-DATI!E64))</f>
        <v>0</v>
      </c>
      <c r="D53" s="402">
        <f>D52</f>
        <v>0.12</v>
      </c>
      <c r="E53" s="137"/>
      <c r="F53" s="400">
        <f>IF(D41=1,C50,B51*(F52-DATI!E64))</f>
        <v>0</v>
      </c>
      <c r="G53" s="400">
        <f>G52</f>
        <v>0.12</v>
      </c>
      <c r="J53" s="170">
        <f>S58+S46</f>
        <v>0.77</v>
      </c>
      <c r="K53" s="140">
        <f>K52</f>
        <v>4.8</v>
      </c>
      <c r="R53" s="384" t="s">
        <v>112</v>
      </c>
      <c r="S53" s="169">
        <f>'FOGLIO DEPOSITO'!D198</f>
        <v>0.14418837209302326</v>
      </c>
      <c r="T53" s="31" t="s">
        <v>19</v>
      </c>
    </row>
    <row r="54" spans="2:20" x14ac:dyDescent="0.25">
      <c r="B54" s="135"/>
      <c r="C54" s="402">
        <f>IF(D41=1,C50,B51*C53)</f>
        <v>0</v>
      </c>
      <c r="D54" s="402">
        <f>IF(B51=0,DATI!E62,D53-'FOGLIO DEPOSITO'!D209)</f>
        <v>0.12</v>
      </c>
      <c r="E54" s="137"/>
      <c r="F54" s="400">
        <f>IF(D41=1,C50,B51*F53)</f>
        <v>0</v>
      </c>
      <c r="G54" s="400">
        <f>IF(B51=0,DATI!E62,G53-F8)</f>
        <v>0.12</v>
      </c>
      <c r="J54" s="170">
        <f>J53</f>
        <v>0.77</v>
      </c>
      <c r="K54" s="140">
        <f>K53+S68</f>
        <v>5</v>
      </c>
      <c r="R54" s="2"/>
      <c r="S54" s="46"/>
      <c r="T54" s="157"/>
    </row>
    <row r="55" spans="2:20" x14ac:dyDescent="0.25">
      <c r="B55" s="135">
        <f>IF(DATI!E63&gt;3,1,0)</f>
        <v>0</v>
      </c>
      <c r="C55" s="403">
        <f>IF(D41=1,C50,IF(D41=3,C54,B55*(C54-IF(DATI!E63&gt;=2,(((DATI!E61-2*DATI!E65)-2*DATI!E64)-(DATI!E63-2)*DATI!E64)/(DATI!E63-1),0))))</f>
        <v>0</v>
      </c>
      <c r="D55" s="403">
        <f>DATI!E62</f>
        <v>0.12</v>
      </c>
      <c r="E55" s="137"/>
      <c r="F55" s="400">
        <f>IF(D41=1,C50,IF(D41=3,C54,B55*(F54-IF(DATI!E63&gt;=2,(((DATI!E61-2*DATI!E65)-2*DATI!E64)-(DATI!E63-2)*DATI!E64)/(DATI!E63-1),0))))</f>
        <v>0</v>
      </c>
      <c r="G55" s="400">
        <f>DATI!E62</f>
        <v>0.12</v>
      </c>
      <c r="J55" s="170">
        <f>J54-S46</f>
        <v>0.65</v>
      </c>
      <c r="K55" s="140">
        <f>K54</f>
        <v>5</v>
      </c>
      <c r="Q55" s="162" t="s">
        <v>36</v>
      </c>
      <c r="R55" s="161"/>
      <c r="S55" s="46"/>
      <c r="T55" s="133"/>
    </row>
    <row r="56" spans="2:20" x14ac:dyDescent="0.25">
      <c r="B56" s="135"/>
      <c r="C56" s="403">
        <f>IF(D41=1,C50,IF(D41=3,C54,B55*C55))</f>
        <v>0</v>
      </c>
      <c r="D56" s="403">
        <f>IF(B55=0,DATI!E62,D55+'FOGLIO DEPOSITO'!D209)</f>
        <v>0.12</v>
      </c>
      <c r="F56" s="400">
        <f>IF(D41=1,C50,IF(D41=3,C54,B55*F55))</f>
        <v>0</v>
      </c>
      <c r="G56" s="400">
        <f>IF(B55=0,DATI!E62,G55+F8)</f>
        <v>0.12</v>
      </c>
      <c r="J56" s="170">
        <f>J55</f>
        <v>0.65</v>
      </c>
      <c r="K56" s="140">
        <f>K55-S44-S68</f>
        <v>0.50000000000000022</v>
      </c>
      <c r="S56" s="46"/>
    </row>
    <row r="57" spans="2:20" ht="18.75" thickBot="1" x14ac:dyDescent="0.3">
      <c r="B57" s="135"/>
      <c r="C57" s="403">
        <f>IF(D41=1,C50,IF(D41=3,C54,B55*(C56-DATI!E64)))</f>
        <v>0</v>
      </c>
      <c r="D57" s="403">
        <f>D56</f>
        <v>0.12</v>
      </c>
      <c r="F57" s="400">
        <f>IF(D41=1,C50,IF(D41=3,C54,B55*(F56-DATI!E64)))</f>
        <v>0</v>
      </c>
      <c r="G57" s="400">
        <f>G56</f>
        <v>0.12</v>
      </c>
      <c r="J57" s="170">
        <f>J56-S58</f>
        <v>0</v>
      </c>
      <c r="K57" s="140">
        <f>K56</f>
        <v>0.50000000000000022</v>
      </c>
      <c r="Q57" s="2" t="s">
        <v>113</v>
      </c>
      <c r="R57" s="62" t="s">
        <v>114</v>
      </c>
      <c r="S57" s="167">
        <f>DATI!E74</f>
        <v>0.5</v>
      </c>
      <c r="T57" s="31" t="s">
        <v>2</v>
      </c>
    </row>
    <row r="58" spans="2:20" ht="19.5" thickTop="1" thickBot="1" x14ac:dyDescent="0.3">
      <c r="B58" s="135"/>
      <c r="C58" s="403">
        <f>IF(D41=1,C50,IF(D41=3,C54,B55*C57))</f>
        <v>0</v>
      </c>
      <c r="D58" s="403">
        <f>IF(B55=0,DATI!E62,D57-'FOGLIO DEPOSITO'!D209)</f>
        <v>0.12</v>
      </c>
      <c r="F58" s="400">
        <f>IF(D41=1,C50,IF(D41=3,C54,B55*F57))</f>
        <v>0</v>
      </c>
      <c r="G58" s="400">
        <f>IF(B55=0,DATI!E62,G57-F8)</f>
        <v>0.12</v>
      </c>
      <c r="J58" s="170">
        <f>J57</f>
        <v>0</v>
      </c>
      <c r="K58" s="140">
        <f>K57-S57</f>
        <v>0</v>
      </c>
      <c r="Q58" s="2" t="s">
        <v>115</v>
      </c>
      <c r="R58" s="62" t="s">
        <v>116</v>
      </c>
      <c r="S58" s="168">
        <f>DATI!E75</f>
        <v>0.65</v>
      </c>
      <c r="T58" s="31" t="s">
        <v>2</v>
      </c>
    </row>
    <row r="59" spans="2:20" ht="18.75" thickTop="1" x14ac:dyDescent="0.25">
      <c r="B59" s="135">
        <f>IF(DATI!E63&gt;4,1,0)</f>
        <v>0</v>
      </c>
      <c r="C59" s="404">
        <f>IF(D41=4,C58,IF(D41=1,C50,IF(D41=3,C54,B59*(C58-IF(DATI!E63&gt;=2,(((DATI!E61-2*DATI!E65)-2*DATI!E64)-(DATI!E63-2)*DATI!E64)/(DATI!E63-1),0)))))</f>
        <v>0</v>
      </c>
      <c r="D59" s="404">
        <f>DATI!E62</f>
        <v>0.12</v>
      </c>
      <c r="F59" s="400">
        <f>IF(D41=4,C58,IF(D41=1,C50,IF(D41=3,C54,B59*(F58-IF(DATI!E63&gt;=2,(((DATI!E61-2*DATI!E65)-2*DATI!E64)-(DATI!E63-2)*DATI!E64)/(DATI!E63-1),0)))))</f>
        <v>0</v>
      </c>
      <c r="G59" s="400">
        <f>DATI!E62</f>
        <v>0.12</v>
      </c>
      <c r="Q59" s="2" t="s">
        <v>117</v>
      </c>
      <c r="R59" s="62" t="s">
        <v>118</v>
      </c>
      <c r="S59" s="169">
        <f>'FOGLIO DEPOSITO'!D212</f>
        <v>1.8899900000000001</v>
      </c>
      <c r="T59" s="31" t="s">
        <v>2</v>
      </c>
    </row>
    <row r="60" spans="2:20" x14ac:dyDescent="0.25">
      <c r="B60" s="135"/>
      <c r="C60" s="404">
        <f>IF(D41=4,C58,IF(D41=1,C50,IF(D41=3,C54,B59*C59)))</f>
        <v>0</v>
      </c>
      <c r="D60" s="404">
        <f>IF(B59=0,DATI!E62,D59+'FOGLIO DEPOSITO'!D209)</f>
        <v>0.12</v>
      </c>
      <c r="F60" s="400">
        <f>IF(D41=4,C58,IF(D41=1,C50,IF(D41=3,C54,B59*F59)))</f>
        <v>0</v>
      </c>
      <c r="G60" s="400">
        <f>IF(B59=0,DATI!E62,G59+F8)</f>
        <v>0.12</v>
      </c>
      <c r="J60" s="31">
        <f>S58+S46</f>
        <v>0.77</v>
      </c>
      <c r="K60" s="31">
        <f>S57</f>
        <v>0.5</v>
      </c>
      <c r="Q60" s="2"/>
      <c r="R60" s="62"/>
      <c r="S60" s="46"/>
      <c r="T60" s="2"/>
    </row>
    <row r="61" spans="2:20" x14ac:dyDescent="0.25">
      <c r="B61" s="135"/>
      <c r="C61" s="404">
        <f>IF(D41=4,C58,IF(D41=1,C50,IF(D41=3,C54,B59*(C60-DATI!E64))))</f>
        <v>0</v>
      </c>
      <c r="D61" s="404">
        <f>D60</f>
        <v>0.12</v>
      </c>
      <c r="F61" s="400">
        <f>IF(D41=4,C58,IF(D41=1,C50,IF(D41=3,C54,B59*(F60-DATI!E64))))</f>
        <v>0</v>
      </c>
      <c r="G61" s="400">
        <f>G60</f>
        <v>0.12</v>
      </c>
      <c r="J61" s="31">
        <f>J60</f>
        <v>0.77</v>
      </c>
      <c r="K61" s="31">
        <f>S44+S57</f>
        <v>4.8</v>
      </c>
      <c r="Q61" s="162" t="s">
        <v>119</v>
      </c>
      <c r="R61" s="161"/>
      <c r="S61" s="46"/>
      <c r="T61" s="2"/>
    </row>
    <row r="62" spans="2:20" x14ac:dyDescent="0.25">
      <c r="B62" s="135"/>
      <c r="C62" s="404">
        <f>IF(D41=4,C58,IF(D41=1,C50,IF(D41=3,C54,B59*(C61))))</f>
        <v>0</v>
      </c>
      <c r="D62" s="404">
        <f>IF(B59=0,DATI!E62,D61-'FOGLIO DEPOSITO'!D209)</f>
        <v>0.12</v>
      </c>
      <c r="F62" s="400">
        <f>IF(D41=4,C58,IF(D41=1,C50,IF(D41=3,C54,B59*(F61))))</f>
        <v>0</v>
      </c>
      <c r="G62" s="400">
        <f>IF(B59=0,DATI!E62,G61-F8)</f>
        <v>0.12</v>
      </c>
      <c r="J62" s="31">
        <f>J60</f>
        <v>0.77</v>
      </c>
      <c r="K62" s="31">
        <f>K60</f>
        <v>0.5</v>
      </c>
      <c r="Q62" s="2"/>
      <c r="R62" s="62"/>
      <c r="S62" s="46"/>
      <c r="T62" s="2"/>
    </row>
    <row r="63" spans="2:20" ht="15.75" thickBot="1" x14ac:dyDescent="0.3">
      <c r="B63" s="135"/>
      <c r="C63" s="405">
        <f>IF(D41=1,C50,IF(DATI!E63=1,0,IF(B59=0,IF(B55=0,IF(B51=0,C50-IF(DATI!E63&gt;=2,(((DATI!E61-2*DATI!E65)-2*DATI!E64)-(DATI!E63-2)*DATI!E64)/(DATI!E63-1),0),C54-IF(DATI!E63&gt;=2,(((DATI!E61-2*DATI!E65)-2*DATI!E64)-(DATI!E63-2)*DATI!E64)/(DATI!E63-1),0)),C58-IF(DATI!E63&gt;=2,(((DATI!E61-2*DATI!E65)-2*DATI!E64)-(DATI!E63-2)*DATI!E64)/(DATI!E63-1),0)),C62-IF(DATI!E63&gt;=2,(((DATI!E61-2*DATI!E65)-2*DATI!E64)-(DATI!E63-2)*DATI!E64)/(DATI!E63-1),0))))</f>
        <v>-0.54999999999999993</v>
      </c>
      <c r="D63" s="405">
        <f>DATI!E62</f>
        <v>0.12</v>
      </c>
      <c r="F63" s="400">
        <f>IF(D41=1,C50,IF(DATI!E63=1,0,IF(B59=0,IF(B55=0,IF(B51=0,F50-IF(DATI!E63&gt;=2,(((DATI!E61-2*DATI!E65)-2*DATI!E64)-(DATI!E63-2)*DATI!E64)/(DATI!E63-1),0),F54-IF(DATI!E63&gt;=2,(((DATI!E61-2*DATI!E65)-2*DATI!E64)-(DATI!E63-2)*DATI!E64)/(DATI!E63-1),0)),F58-IF(DATI!E63&gt;=2,(((DATI!E61-2*DATI!E65)-2*DATI!E64)-(DATI!E63-2)*DATI!E64)/(DATI!E63-1),0)),F62-IF(DATI!E63&gt;=2,(((DATI!E61-2*DATI!E65)-2*DATI!E64)-(DATI!E63-2)*DATI!E64)/(DATI!E63-1),0))))</f>
        <v>-0.54999999999999993</v>
      </c>
      <c r="G63" s="400">
        <f>DATI!E62</f>
        <v>0.12</v>
      </c>
      <c r="J63" s="128">
        <f>E8+S58</f>
        <v>1.5100100000000001</v>
      </c>
      <c r="K63" s="31">
        <f>K60</f>
        <v>0.5</v>
      </c>
      <c r="Q63" s="2" t="s">
        <v>120</v>
      </c>
      <c r="R63" t="s">
        <v>121</v>
      </c>
      <c r="S63" s="167">
        <f>DATI!E84</f>
        <v>0.6</v>
      </c>
      <c r="T63" s="31" t="s">
        <v>2</v>
      </c>
    </row>
    <row r="64" spans="2:20" ht="15.75" thickTop="1" x14ac:dyDescent="0.25">
      <c r="B64" s="135"/>
      <c r="C64" s="405">
        <f>C63</f>
        <v>-0.54999999999999993</v>
      </c>
      <c r="D64" s="405">
        <f>D63+'FOGLIO DEPOSITO'!D209</f>
        <v>0.24</v>
      </c>
      <c r="F64" s="400">
        <f>IF(D41=1,C50,F63)</f>
        <v>-0.54999999999999993</v>
      </c>
      <c r="G64" s="406">
        <f>G63+F8</f>
        <v>0.86001000000000005</v>
      </c>
      <c r="Q64" s="2" t="s">
        <v>122</v>
      </c>
      <c r="R64" t="s">
        <v>123</v>
      </c>
      <c r="S64" s="169">
        <f>DATI!E82</f>
        <v>0.6</v>
      </c>
      <c r="T64" s="31" t="s">
        <v>2</v>
      </c>
    </row>
    <row r="65" spans="1:20" x14ac:dyDescent="0.25">
      <c r="B65" s="135"/>
      <c r="C65" s="405">
        <f>IF(D41=1,C50,IF(DATI!E63=1,0,C64-DATI!E64))</f>
        <v>-0.71</v>
      </c>
      <c r="D65" s="405">
        <f>D64</f>
        <v>0.24</v>
      </c>
      <c r="F65" s="400">
        <f>IF(D41=1,C50,IF(DATI!E63=1,0,F64-DATI!E64))</f>
        <v>-0.71</v>
      </c>
      <c r="G65" s="406">
        <f>G64</f>
        <v>0.86001000000000005</v>
      </c>
      <c r="J65">
        <f>S58</f>
        <v>0.65</v>
      </c>
      <c r="K65">
        <f>S44+S57</f>
        <v>4.8</v>
      </c>
      <c r="Q65" s="2"/>
      <c r="R65" s="62"/>
      <c r="S65" s="46"/>
      <c r="T65" s="2"/>
    </row>
    <row r="66" spans="1:20" x14ac:dyDescent="0.25">
      <c r="B66" s="135"/>
      <c r="C66" s="405">
        <f>C65</f>
        <v>-0.71</v>
      </c>
      <c r="D66" s="405">
        <f>D65-'FOGLIO DEPOSITO'!D209</f>
        <v>0.12</v>
      </c>
      <c r="F66" s="400">
        <f>F65</f>
        <v>-0.71</v>
      </c>
      <c r="G66" s="406">
        <f>G65-F8</f>
        <v>0.12</v>
      </c>
      <c r="J66">
        <v>0</v>
      </c>
      <c r="K66">
        <v>0</v>
      </c>
      <c r="Q66" s="162" t="s">
        <v>124</v>
      </c>
      <c r="R66" s="163"/>
      <c r="S66" s="46"/>
      <c r="T66" s="2"/>
    </row>
    <row r="67" spans="1:20" x14ac:dyDescent="0.25">
      <c r="C67" s="397">
        <f>IF(DATI!E63=1,-DATI!E61/2,C66-DATI!E65)</f>
        <v>-1.25</v>
      </c>
      <c r="D67" s="397">
        <f>DATI!E62</f>
        <v>0.12</v>
      </c>
      <c r="F67" s="400">
        <f>IF(DATI!E63=1,-DATI!E61/2,F66-DATI!E65)</f>
        <v>-1.25</v>
      </c>
      <c r="G67" s="406">
        <f>DATI!E62</f>
        <v>0.12</v>
      </c>
      <c r="J67">
        <v>0</v>
      </c>
      <c r="K67">
        <v>0</v>
      </c>
      <c r="Q67" s="31"/>
      <c r="S67" s="46"/>
      <c r="T67" s="2"/>
    </row>
    <row r="68" spans="1:20" ht="18" x14ac:dyDescent="0.25">
      <c r="C68" s="397">
        <f>C67</f>
        <v>-1.25</v>
      </c>
      <c r="D68" s="397">
        <f>D67-DATI!E62</f>
        <v>0</v>
      </c>
      <c r="F68" s="400">
        <f>F67</f>
        <v>-1.25</v>
      </c>
      <c r="G68" s="406">
        <f>G67-DATI!E62</f>
        <v>0</v>
      </c>
      <c r="J68">
        <f>J65</f>
        <v>0.65</v>
      </c>
      <c r="K68">
        <f>S57</f>
        <v>0.5</v>
      </c>
      <c r="Q68" s="166" t="s">
        <v>125</v>
      </c>
      <c r="R68" s="62" t="s">
        <v>126</v>
      </c>
      <c r="S68" s="391">
        <f>DATI!E89</f>
        <v>0.2</v>
      </c>
      <c r="T68" s="31" t="s">
        <v>2</v>
      </c>
    </row>
    <row r="69" spans="1:20" x14ac:dyDescent="0.25">
      <c r="C69" s="397">
        <f>C68+DATI!E61/2</f>
        <v>0</v>
      </c>
      <c r="D69" s="397">
        <f>D68</f>
        <v>0</v>
      </c>
      <c r="F69" s="400">
        <f>F68+DATI!E61/2</f>
        <v>0</v>
      </c>
      <c r="G69" s="406">
        <f>G68</f>
        <v>0</v>
      </c>
      <c r="S69" s="46"/>
    </row>
    <row r="70" spans="1:20" x14ac:dyDescent="0.25">
      <c r="C70" s="31"/>
      <c r="D70" s="31"/>
      <c r="S70" s="46"/>
    </row>
    <row r="71" spans="1:20" x14ac:dyDescent="0.25">
      <c r="C71" s="998" t="s">
        <v>36</v>
      </c>
      <c r="D71" s="998"/>
      <c r="F71" s="998" t="s">
        <v>119</v>
      </c>
      <c r="G71" s="998"/>
      <c r="S71" s="46"/>
    </row>
    <row r="72" spans="1:20" x14ac:dyDescent="0.25">
      <c r="C72" s="397">
        <f>DATI!E61/2</f>
        <v>1.25</v>
      </c>
      <c r="D72" s="397">
        <v>0</v>
      </c>
      <c r="F72" s="397">
        <f>F73</f>
        <v>1.25</v>
      </c>
      <c r="G72" s="397">
        <f>(-DATI!E75+DATI!E85)-DATI!E84/2</f>
        <v>2.15</v>
      </c>
      <c r="S72" s="32"/>
    </row>
    <row r="73" spans="1:20" x14ac:dyDescent="0.25">
      <c r="C73" s="397">
        <f>C72</f>
        <v>1.25</v>
      </c>
      <c r="D73" s="397">
        <f>'FOGLIO DEPOSITO'!D212+'FOGLIO DEPOSITO'!D211</f>
        <v>2.75</v>
      </c>
      <c r="F73" s="397">
        <f>DATI!E61/2</f>
        <v>1.25</v>
      </c>
      <c r="G73" s="397">
        <f>(-DATI!E75+DATI!E85)+DATI!E84/2</f>
        <v>2.7499999999999996</v>
      </c>
    </row>
    <row r="74" spans="1:20" x14ac:dyDescent="0.25">
      <c r="C74" s="397">
        <f>-C73</f>
        <v>-1.25</v>
      </c>
      <c r="D74" s="397">
        <f>D73</f>
        <v>2.75</v>
      </c>
      <c r="F74" s="397">
        <f>-F73</f>
        <v>-1.25</v>
      </c>
      <c r="G74" s="397">
        <f>G73</f>
        <v>2.7499999999999996</v>
      </c>
    </row>
    <row r="75" spans="1:20" x14ac:dyDescent="0.25">
      <c r="C75" s="397">
        <f>C74</f>
        <v>-1.25</v>
      </c>
      <c r="D75" s="397">
        <f>-S58</f>
        <v>-0.65</v>
      </c>
      <c r="F75" s="397">
        <f>F74</f>
        <v>-1.25</v>
      </c>
      <c r="G75" s="397">
        <f>G72</f>
        <v>2.15</v>
      </c>
    </row>
    <row r="76" spans="1:20" x14ac:dyDescent="0.25">
      <c r="C76" s="397">
        <f>-C75</f>
        <v>1.25</v>
      </c>
      <c r="D76" s="397">
        <f>D75</f>
        <v>-0.65</v>
      </c>
      <c r="F76" s="397">
        <f>F72</f>
        <v>1.25</v>
      </c>
      <c r="G76" s="397">
        <f>G72</f>
        <v>2.15</v>
      </c>
    </row>
    <row r="77" spans="1:20" x14ac:dyDescent="0.25">
      <c r="C77" s="397">
        <f>C76</f>
        <v>1.25</v>
      </c>
      <c r="D77" s="397">
        <v>0</v>
      </c>
    </row>
    <row r="78" spans="1:20" x14ac:dyDescent="0.25">
      <c r="C78" s="31"/>
      <c r="D78" s="31"/>
    </row>
    <row r="79" spans="1:20" s="173" customFormat="1" x14ac:dyDescent="0.25">
      <c r="A79" s="172"/>
    </row>
    <row r="81" spans="2:17" x14ac:dyDescent="0.25">
      <c r="C81" s="999" t="s">
        <v>797</v>
      </c>
      <c r="D81" s="999"/>
      <c r="E81" s="999" t="s">
        <v>127</v>
      </c>
      <c r="F81" s="999"/>
      <c r="G81" s="801" t="s">
        <v>128</v>
      </c>
      <c r="H81" s="801"/>
      <c r="I81">
        <f>IF(H96="sx",-1,1)</f>
        <v>1</v>
      </c>
      <c r="J81" s="10" t="s">
        <v>129</v>
      </c>
      <c r="K81" s="2"/>
      <c r="M81" s="801" t="s">
        <v>861</v>
      </c>
      <c r="N81" s="801"/>
      <c r="O81" s="801" t="s">
        <v>862</v>
      </c>
      <c r="P81" s="801"/>
    </row>
    <row r="82" spans="2:17" x14ac:dyDescent="0.25">
      <c r="C82" s="434">
        <v>0</v>
      </c>
      <c r="D82" s="434">
        <v>0</v>
      </c>
      <c r="G82" s="9">
        <v>0</v>
      </c>
      <c r="H82" s="128">
        <v>0</v>
      </c>
      <c r="M82" s="194">
        <f>IF(DATI!$G$211="dx",'geom masse muro+tensioni'!M86,'geom masse muro+tensioni'!M91)</f>
        <v>0.77</v>
      </c>
      <c r="N82" s="194">
        <f>IF(DATI!$G$211="dx",'geom masse muro+tensioni'!N86,'geom masse muro+tensioni'!N91)</f>
        <v>4.8</v>
      </c>
      <c r="O82" s="512">
        <f>IF(DATI!$G$211="sx",O86,O90)</f>
        <v>0</v>
      </c>
      <c r="P82" s="512">
        <f>IF(DATI!$G$211="sx",P86,P90)</f>
        <v>0.5</v>
      </c>
    </row>
    <row r="83" spans="2:17" x14ac:dyDescent="0.25">
      <c r="C83" s="434">
        <v>0</v>
      </c>
      <c r="D83" s="434">
        <f>-'FOGLIO DEPOSITO'!G131*0.01</f>
        <v>-1.7572951659435294</v>
      </c>
      <c r="E83" s="31">
        <v>0</v>
      </c>
      <c r="F83" s="31">
        <v>0</v>
      </c>
      <c r="G83" s="9">
        <v>0</v>
      </c>
      <c r="H83" s="9">
        <f>'FOGLIO DEPOSITO'!G150*0.01</f>
        <v>1.264555151263814</v>
      </c>
      <c r="M83" s="194">
        <f>IF(DATI!$G$211="dx",'geom masse muro+tensioni'!M87,'geom masse muro+tensioni'!M92)</f>
        <v>3.4</v>
      </c>
      <c r="N83" s="194">
        <f>IF(DATI!$G$211="dx",'geom masse muro+tensioni'!N87,'geom masse muro+tensioni'!N92)</f>
        <v>5.0320615922608809</v>
      </c>
      <c r="O83" s="512">
        <f>IF(DATI!$G$211="sx",O87,O91)</f>
        <v>0</v>
      </c>
      <c r="P83" s="512">
        <f>IF(DATI!$G$211="sx",P87,P91)</f>
        <v>1.05</v>
      </c>
    </row>
    <row r="84" spans="2:17" x14ac:dyDescent="0.25">
      <c r="C84" s="170">
        <f>IF(F98&gt;0,C83,IF(H96&lt;=C85,F97,C83))</f>
        <v>0</v>
      </c>
      <c r="D84" s="170">
        <f>IF(C84=0,D83,0)</f>
        <v>-1.7572951659435294</v>
      </c>
      <c r="E84" s="31">
        <v>0</v>
      </c>
      <c r="F84" s="31">
        <f>-'FOGLIO DEPOSITO'!G144*0.01</f>
        <v>-1.7572951659435294</v>
      </c>
      <c r="G84" s="9">
        <f>DATI!E75+DATI!E62/2</f>
        <v>0.71</v>
      </c>
      <c r="H84" s="9">
        <f>'FOGLIO DEPOSITO'!E152*0.01</f>
        <v>0.83592438612003717</v>
      </c>
      <c r="I84">
        <f>IF('ANALISI DELLE SPINTE'!$J$46&gt;SPINTE!$H$93,'geom masse muro+tensioni'!J100,'geom masse muro+tensioni'!J113)</f>
        <v>6.7336022948540348</v>
      </c>
      <c r="J84" s="9">
        <f>$I$81*I84+IF(H96="dx",'Sollecitazioni nella zattera'!G131*1.1,-0.6)</f>
        <v>10.473602294854036</v>
      </c>
      <c r="K84" s="3">
        <f t="shared" ref="K84:K92" si="2">K100</f>
        <v>0</v>
      </c>
      <c r="M84" s="194">
        <f>IF(DATI!$G$211="dx",'geom masse muro+tensioni'!M88,'geom masse muro+tensioni'!M93)</f>
        <v>3.4</v>
      </c>
      <c r="N84" s="194">
        <f>IF(DATI!$G$211="dx",'geom masse muro+tensioni'!N88,'geom masse muro+tensioni'!N93)</f>
        <v>0.5</v>
      </c>
      <c r="O84" s="512">
        <f>IF(DATI!$G$211="sx",O88,O92)</f>
        <v>0.65</v>
      </c>
      <c r="P84" s="512">
        <f>IF(DATI!$G$211="sx",P88,P92)</f>
        <v>1.05</v>
      </c>
    </row>
    <row r="85" spans="2:17" x14ac:dyDescent="0.25">
      <c r="B85" s="158" t="s">
        <v>794</v>
      </c>
      <c r="C85" s="434">
        <f>DATI!E75+DATI!E62/2</f>
        <v>0.71</v>
      </c>
      <c r="D85" s="434">
        <f>IF(D84=0,IF(D86=0,0,-'FOGLIO DEPOSITO'!D129*0.01),-'FOGLIO DEPOSITO'!D129*0.01)</f>
        <v>-1.4653338779171841</v>
      </c>
      <c r="E85" s="31">
        <f>DATI!E75+DATI!E62/2</f>
        <v>0.71</v>
      </c>
      <c r="F85" s="31">
        <f>-'FOGLIO DEPOSITO'!D142*0.01</f>
        <v>-1.4653338779171841</v>
      </c>
      <c r="G85" s="9">
        <f>G84</f>
        <v>0.71</v>
      </c>
      <c r="H85" s="9">
        <f>'FOGLIO DEPOSITO'!F157*0.01</f>
        <v>-1.0298447529171841</v>
      </c>
      <c r="I85">
        <f>IF('ANALISI DELLE SPINTE'!$J$46&gt;SPINTE!$H$93,'geom masse muro+tensioni'!J101,'geom masse muro+tensioni'!J114)</f>
        <v>6.7336022948540348</v>
      </c>
      <c r="J85" s="9">
        <f>$I$81*I85+IF(H96="dx",'Sollecitazioni nella zattera'!G131*1.1,-0.6)</f>
        <v>10.473602294854036</v>
      </c>
      <c r="K85" s="3">
        <f t="shared" si="2"/>
        <v>0</v>
      </c>
      <c r="O85" s="512">
        <f>IF(DATI!$G$211="sx",O89,O93)</f>
        <v>0.65</v>
      </c>
      <c r="P85" s="512">
        <f>IF(DATI!$G$211="sx",P89,P93)</f>
        <v>0.5</v>
      </c>
    </row>
    <row r="86" spans="2:17" x14ac:dyDescent="0.25">
      <c r="C86" s="170">
        <f>IF(F98&gt;=0,C87,IF(H96&gt;=C85,F97,C87))</f>
        <v>3.4</v>
      </c>
      <c r="D86" s="170">
        <f>IF(C86=C87,D87,0)</f>
        <v>-0.35917068807088987</v>
      </c>
      <c r="E86" s="31">
        <f>'FOGLIO DEPOSITO'!D211+'FOGLIO DEPOSITO'!D212+'geom masse muro+tensioni'!S58</f>
        <v>3.4</v>
      </c>
      <c r="F86" s="31">
        <f>-'FOGLIO DEPOSITO'!B146*0.01</f>
        <v>-0.35917068807088987</v>
      </c>
      <c r="G86" s="9">
        <f>G85+'FOGLIO DEPOSITO'!D212+'FOGLIO DEPOSITO'!D211-S46/2</f>
        <v>3.4</v>
      </c>
      <c r="H86" s="9">
        <f>'FOGLIO DEPOSITO'!C159*0.01</f>
        <v>-1.9420875759663316</v>
      </c>
      <c r="I86">
        <f>IF('ANALISI DELLE SPINTE'!$J$46&gt;SPINTE!$H$93,'geom masse muro+tensioni'!J102,'geom masse muro+tensioni'!J115)</f>
        <v>6.7336022948540348</v>
      </c>
      <c r="J86" s="9">
        <f>$I$81*I86+IF(H96="dx",'Sollecitazioni nella zattera'!G131*1.1,-0.6)</f>
        <v>10.473602294854036</v>
      </c>
      <c r="K86" s="3">
        <f t="shared" si="2"/>
        <v>0</v>
      </c>
      <c r="M86" s="31">
        <f>IF(P21="muro a contrafforti",DATI!E75+DATI!E62,DATI!E75+DATI!E62+S51)</f>
        <v>0.77</v>
      </c>
      <c r="N86" s="203">
        <f>DATI!E60+DATI!E74</f>
        <v>4.8</v>
      </c>
      <c r="O86" s="31">
        <f>O87</f>
        <v>1.5100100000000001</v>
      </c>
      <c r="P86" s="31">
        <f>S57</f>
        <v>0.5</v>
      </c>
    </row>
    <row r="87" spans="2:17" x14ac:dyDescent="0.25">
      <c r="C87" s="434">
        <f>'FOGLIO DEPOSITO'!D211+'FOGLIO DEPOSITO'!D212+'geom masse muro+tensioni'!S58</f>
        <v>3.4</v>
      </c>
      <c r="D87" s="434">
        <f>-'FOGLIO DEPOSITO'!B133*0.01</f>
        <v>-0.35917068807088987</v>
      </c>
      <c r="E87" s="31">
        <f>E86</f>
        <v>3.4</v>
      </c>
      <c r="F87" s="31">
        <v>0</v>
      </c>
      <c r="G87" s="9">
        <f>G86</f>
        <v>3.4</v>
      </c>
      <c r="H87" s="9">
        <v>0</v>
      </c>
      <c r="I87">
        <f>IF('ANALISI DELLE SPINTE'!$J$46&gt;SPINTE!$H$93,'geom masse muro+tensioni'!J103,'geom masse muro+tensioni'!J116)</f>
        <v>6.7336022948540348</v>
      </c>
      <c r="J87" s="9">
        <f>$I$81*I87+IF(H96="dx",'Sollecitazioni nella zattera'!G131*1.1,-0.6)</f>
        <v>10.473602294854036</v>
      </c>
      <c r="K87" s="3">
        <f t="shared" si="2"/>
        <v>0</v>
      </c>
      <c r="L87" s="140" t="s">
        <v>132</v>
      </c>
      <c r="M87" s="41">
        <f>IF(P21="muro a contrafforti",M82+'FOGLIO DEPOSITO'!D212+'FOGLIO DEPOSITO'!D210,M82+'FOGLIO DEPOSITO'!D212+'FOGLIO DEPOSITO'!D210-S51)</f>
        <v>3.4</v>
      </c>
      <c r="N87" s="203">
        <f>N82+'FOGLIO DEPOSITO'!D212*TAN(DATI!E162*PI()/180)</f>
        <v>5.0320615922608809</v>
      </c>
      <c r="O87" s="46">
        <f>DATI!E75+'FOGLIO DEPOSITO'!D211</f>
        <v>1.5100100000000001</v>
      </c>
      <c r="P87" s="46">
        <f>S57+D21</f>
        <v>1.05</v>
      </c>
    </row>
    <row r="88" spans="2:17" x14ac:dyDescent="0.25">
      <c r="C88" s="434">
        <f>C87</f>
        <v>3.4</v>
      </c>
      <c r="D88" s="434">
        <v>0</v>
      </c>
      <c r="G88" s="9">
        <v>0</v>
      </c>
      <c r="H88" s="9">
        <v>0</v>
      </c>
      <c r="I88">
        <f>IF('ANALISI DELLE SPINTE'!$J$46&gt;SPINTE!$H$93,'geom masse muro+tensioni'!J104,'geom masse muro+tensioni'!J117)</f>
        <v>6.7336022948540348</v>
      </c>
      <c r="J88" s="9">
        <f>$I$81*I88+IF(H96="dx",'Sollecitazioni nella zattera'!G131*1.1,-0.6)</f>
        <v>10.473602294854036</v>
      </c>
      <c r="K88" s="3">
        <f t="shared" si="2"/>
        <v>0</v>
      </c>
      <c r="L88" s="140" t="s">
        <v>130</v>
      </c>
      <c r="M88" s="41">
        <f>M83</f>
        <v>3.4</v>
      </c>
      <c r="N88" s="203">
        <f>DATI!E74</f>
        <v>0.5</v>
      </c>
      <c r="O88" s="46">
        <f>DATI!E75+'FOGLIO DEPOSITO'!D211+'FOGLIO DEPOSITO'!D212</f>
        <v>3.4000000000000004</v>
      </c>
      <c r="P88" s="31">
        <f>P87</f>
        <v>1.05</v>
      </c>
    </row>
    <row r="89" spans="2:17" x14ac:dyDescent="0.25">
      <c r="I89">
        <f>IF('ANALISI DELLE SPINTE'!$J$46&gt;SPINTE!$H$93,'geom masse muro+tensioni'!J105,'geom masse muro+tensioni'!J118)</f>
        <v>6.7336022948540348</v>
      </c>
      <c r="J89" s="9">
        <f>$I$81*I89+IF(H96="dx",'Sollecitazioni nella zattera'!G131*1.1,-0.6)</f>
        <v>10.473602294854036</v>
      </c>
      <c r="K89" s="3">
        <f t="shared" si="2"/>
        <v>0</v>
      </c>
      <c r="N89" s="204"/>
      <c r="O89" s="216">
        <f>O88</f>
        <v>3.4000000000000004</v>
      </c>
      <c r="P89" s="145">
        <f>S57</f>
        <v>0.5</v>
      </c>
    </row>
    <row r="90" spans="2:17" x14ac:dyDescent="0.25">
      <c r="E90">
        <f>IF(D84=0,IF(D86=0,0,-'FOGLIO DEPOSITO'!D129*0.01),-'FOGLIO DEPOSITO'!D129*0.01)</f>
        <v>-1.4653338779171841</v>
      </c>
      <c r="I90">
        <f>IF('ANALISI DELLE SPINTE'!$J$46&gt;SPINTE!$H$93,'geom masse muro+tensioni'!J106,'geom masse muro+tensioni'!J119)</f>
        <v>6.7336022948540348</v>
      </c>
      <c r="J90" s="9">
        <f>$I$81*I90+IF(H96="dx",'Sollecitazioni nella zattera'!G131*1.1,-0.6)</f>
        <v>10.473602294854036</v>
      </c>
      <c r="K90" s="3">
        <f t="shared" si="2"/>
        <v>0</v>
      </c>
      <c r="N90" s="203"/>
      <c r="O90" s="46">
        <v>0</v>
      </c>
      <c r="P90" s="31">
        <f>S57</f>
        <v>0.5</v>
      </c>
    </row>
    <row r="91" spans="2:17" x14ac:dyDescent="0.25">
      <c r="I91">
        <f>IF('ANALISI DELLE SPINTE'!$J$46&gt;SPINTE!$H$93,'geom masse muro+tensioni'!J107,'geom masse muro+tensioni'!J120)</f>
        <v>6.7336022948540348</v>
      </c>
      <c r="J91" s="9">
        <f>$I$81*I91+IF(H96="dx",'Sollecitazioni nella zattera'!G131*1.1,-0.6)</f>
        <v>10.473602294854036</v>
      </c>
      <c r="K91" s="3">
        <f t="shared" si="2"/>
        <v>0</v>
      </c>
      <c r="M91" s="41">
        <v>0</v>
      </c>
      <c r="N91" s="275">
        <f>S57</f>
        <v>0.5</v>
      </c>
      <c r="O91" s="46">
        <v>0</v>
      </c>
      <c r="P91" s="31">
        <f>P90+D21</f>
        <v>1.05</v>
      </c>
    </row>
    <row r="92" spans="2:17" x14ac:dyDescent="0.25">
      <c r="I92">
        <f>IF('ANALISI DELLE SPINTE'!$J$46&gt;SPINTE!$H$93,'geom masse muro+tensioni'!J108,'geom masse muro+tensioni'!J121)</f>
        <v>2.4647143614628253</v>
      </c>
      <c r="J92" s="9">
        <f>$I$81*I92+IF(H96="dx",'Sollecitazioni nella zattera'!G131*1.1,-0.6)</f>
        <v>6.2047143614628251</v>
      </c>
      <c r="K92" s="3">
        <f t="shared" si="2"/>
        <v>5.0320615922608809</v>
      </c>
      <c r="M92" s="41">
        <v>0</v>
      </c>
      <c r="N92" s="275">
        <f>N91+DATI!E75*TAN(DATI!E162*PI()/180)+S44</f>
        <v>4.8798099645868875</v>
      </c>
      <c r="O92" s="46">
        <f>DATI!E75</f>
        <v>0.65</v>
      </c>
      <c r="P92" s="31">
        <f>P91</f>
        <v>1.05</v>
      </c>
    </row>
    <row r="93" spans="2:17" s="421" customFormat="1" x14ac:dyDescent="0.25">
      <c r="J93" s="9">
        <f>IF(I92=0,J92,J92+IF(H96="SX",1*I92,-1*I92))</f>
        <v>3.7399999999999998</v>
      </c>
      <c r="K93" s="3">
        <f>K92</f>
        <v>5.0320615922608809</v>
      </c>
      <c r="M93" s="41">
        <f>S58</f>
        <v>0.65</v>
      </c>
      <c r="N93" s="275">
        <f>S44+S57</f>
        <v>4.8</v>
      </c>
      <c r="O93" s="31">
        <f>O92</f>
        <v>0.65</v>
      </c>
      <c r="P93" s="31">
        <f>P90</f>
        <v>0.5</v>
      </c>
    </row>
    <row r="94" spans="2:17" x14ac:dyDescent="0.25">
      <c r="C94" s="999" t="s">
        <v>131</v>
      </c>
      <c r="D94" s="999"/>
      <c r="J94" s="9">
        <f>J93</f>
        <v>3.7399999999999998</v>
      </c>
      <c r="K94" s="3">
        <f>K84</f>
        <v>0</v>
      </c>
      <c r="M94" s="41"/>
      <c r="N94" s="41"/>
    </row>
    <row r="95" spans="2:17" x14ac:dyDescent="0.25">
      <c r="C95" s="31">
        <f>C85</f>
        <v>0.71</v>
      </c>
      <c r="D95" s="41">
        <f>D85</f>
        <v>-1.4653338779171841</v>
      </c>
      <c r="F95" s="838" t="s">
        <v>789</v>
      </c>
      <c r="G95" s="839"/>
      <c r="H95" s="457">
        <f>'FOGLIO DEPOSITO'!I138</f>
        <v>2.8230096662675921</v>
      </c>
      <c r="J95" s="128">
        <f>J84</f>
        <v>10.473602294854036</v>
      </c>
      <c r="K95" s="3">
        <f>K94</f>
        <v>0</v>
      </c>
      <c r="M95" s="999" t="s">
        <v>134</v>
      </c>
      <c r="N95" s="999"/>
      <c r="P95">
        <f>'FOGLIO DEPOSITO'!D198</f>
        <v>0.14418837209302326</v>
      </c>
    </row>
    <row r="96" spans="2:17" x14ac:dyDescent="0.25">
      <c r="C96" s="31">
        <f>DATI!E75+DATI!E62/2</f>
        <v>0.71</v>
      </c>
      <c r="D96" s="31">
        <f>DATI!E60+DATI!E74+DATI!E89</f>
        <v>5</v>
      </c>
      <c r="F96" s="838"/>
      <c r="G96" s="839"/>
      <c r="H96" s="392" t="str">
        <f>DATI!G211</f>
        <v>dx</v>
      </c>
      <c r="M96" s="136">
        <f>M86</f>
        <v>0.77</v>
      </c>
      <c r="N96" s="207">
        <f>P100-P96</f>
        <v>0</v>
      </c>
      <c r="P96" s="206">
        <f>'FOGLIO DEPOSITO'!W227</f>
        <v>5.03206159226088</v>
      </c>
      <c r="Q96" t="s">
        <v>136</v>
      </c>
    </row>
    <row r="97" spans="3:17" x14ac:dyDescent="0.25">
      <c r="C97" s="31"/>
      <c r="D97" s="31"/>
      <c r="F97" s="462">
        <f>'FOGLIO DEPOSITO'!I139</f>
        <v>2.8230096662675921</v>
      </c>
      <c r="G97" t="s">
        <v>795</v>
      </c>
      <c r="M97" s="207">
        <f>M87</f>
        <v>3.4</v>
      </c>
      <c r="N97" s="207">
        <f>N96</f>
        <v>0</v>
      </c>
      <c r="P97" s="206">
        <f>'FOGLIO DEPOSITO'!W233</f>
        <v>0</v>
      </c>
      <c r="Q97" t="s">
        <v>139</v>
      </c>
    </row>
    <row r="98" spans="3:17" x14ac:dyDescent="0.25">
      <c r="C98" s="999" t="s">
        <v>133</v>
      </c>
      <c r="D98" s="999"/>
      <c r="F98">
        <f>'FOGLIO DEPOSITO'!B146*'FOGLIO DEPOSITO'!G144</f>
        <v>6311.6891389558605</v>
      </c>
      <c r="G98" t="s">
        <v>796</v>
      </c>
      <c r="H98" s="186"/>
      <c r="J98" s="10" t="s">
        <v>135</v>
      </c>
      <c r="K98" s="2"/>
      <c r="L98" s="158" t="s">
        <v>140</v>
      </c>
      <c r="M98" s="136">
        <f>M96</f>
        <v>0.77</v>
      </c>
      <c r="N98" s="207">
        <f>P100-P96-P97</f>
        <v>8.8817841970012523E-16</v>
      </c>
      <c r="P98" s="206">
        <f>'FOGLIO DEPOSITO'!W239</f>
        <v>8.8817841970012523E-16</v>
      </c>
      <c r="Q98" t="s">
        <v>141</v>
      </c>
    </row>
    <row r="99" spans="3:17" x14ac:dyDescent="0.25">
      <c r="C99" s="31">
        <v>0</v>
      </c>
      <c r="D99" s="31">
        <f>DATI!E74*1.3</f>
        <v>0.65</v>
      </c>
      <c r="H99" s="186"/>
      <c r="I99" s="27">
        <v>10</v>
      </c>
      <c r="J99" s="389" t="s">
        <v>137</v>
      </c>
      <c r="K99" s="389" t="s">
        <v>138</v>
      </c>
      <c r="L99" s="158"/>
      <c r="M99" s="207">
        <f>M87</f>
        <v>3.4</v>
      </c>
      <c r="N99" s="207">
        <f>N98</f>
        <v>8.8817841970012523E-16</v>
      </c>
    </row>
    <row r="100" spans="3:17" x14ac:dyDescent="0.25">
      <c r="C100" s="31">
        <v>0</v>
      </c>
      <c r="D100" s="31">
        <f>'Sollecitazioni nella zattera'!G117*0.01+DATI!E74*1.5</f>
        <v>0.92419564999999992</v>
      </c>
      <c r="H100" s="186"/>
      <c r="I100" s="20">
        <f>'FOGLIO DEPOSITO'!X158</f>
        <v>67.336022948540347</v>
      </c>
      <c r="J100">
        <f t="shared" ref="J100:J108" si="3">I100/$I$99</f>
        <v>6.7336022948540348</v>
      </c>
      <c r="K100" s="2">
        <f>K113</f>
        <v>0</v>
      </c>
      <c r="L100" s="158"/>
      <c r="M100" s="136"/>
      <c r="N100" s="136"/>
      <c r="P100" s="206">
        <f>DATI!G209</f>
        <v>5.0320615922608809</v>
      </c>
      <c r="Q100" t="s">
        <v>142</v>
      </c>
    </row>
    <row r="101" spans="3:17" x14ac:dyDescent="0.25">
      <c r="C101" s="31">
        <f>'FOGLIO DEPOSITO'!D211+'FOGLIO DEPOSITO'!D212+'geom masse muro+tensioni'!S58</f>
        <v>3.4</v>
      </c>
      <c r="D101" s="31">
        <f>D100</f>
        <v>0.92419564999999992</v>
      </c>
      <c r="H101" s="186"/>
      <c r="I101" s="20">
        <f>'FOGLIO DEPOSITO'!X157</f>
        <v>67.336022948540347</v>
      </c>
      <c r="J101">
        <f t="shared" si="3"/>
        <v>6.7336022948540348</v>
      </c>
      <c r="K101" s="2">
        <f t="shared" ref="K101:K108" si="4">K114</f>
        <v>0</v>
      </c>
      <c r="L101" s="158"/>
      <c r="M101" s="136"/>
      <c r="N101" s="136"/>
      <c r="P101" s="186"/>
    </row>
    <row r="102" spans="3:17" x14ac:dyDescent="0.25">
      <c r="C102" s="31">
        <f>C101</f>
        <v>3.4</v>
      </c>
      <c r="D102" s="31">
        <f>DATI!E74*1.3</f>
        <v>0.65</v>
      </c>
      <c r="H102" s="186"/>
      <c r="I102" s="20">
        <f>'FOGLIO DEPOSITO'!X156</f>
        <v>67.336022948540347</v>
      </c>
      <c r="J102">
        <f t="shared" si="3"/>
        <v>6.7336022948540348</v>
      </c>
      <c r="K102" s="2">
        <f t="shared" si="4"/>
        <v>0</v>
      </c>
      <c r="L102" s="158"/>
      <c r="M102" s="138">
        <v>0</v>
      </c>
      <c r="N102" s="208">
        <f>N96</f>
        <v>0</v>
      </c>
      <c r="P102">
        <f>DATI!E60+DATI!E74</f>
        <v>4.8</v>
      </c>
    </row>
    <row r="103" spans="3:17" x14ac:dyDescent="0.25">
      <c r="C103" s="31">
        <v>0</v>
      </c>
      <c r="D103" s="31">
        <f>DATI!E74*1.3</f>
        <v>0.65</v>
      </c>
      <c r="H103" s="186"/>
      <c r="I103" s="20">
        <f>'FOGLIO DEPOSITO'!X155</f>
        <v>67.336022948540347</v>
      </c>
      <c r="J103">
        <f t="shared" si="3"/>
        <v>6.7336022948540348</v>
      </c>
      <c r="K103" s="2">
        <f t="shared" si="4"/>
        <v>0</v>
      </c>
      <c r="L103" s="158"/>
      <c r="M103" s="138">
        <f>DATI!E75</f>
        <v>0.65</v>
      </c>
      <c r="N103" s="208">
        <f>N97</f>
        <v>0</v>
      </c>
    </row>
    <row r="104" spans="3:17" x14ac:dyDescent="0.25">
      <c r="C104" s="999" t="s">
        <v>872</v>
      </c>
      <c r="D104" s="999"/>
      <c r="E104" s="999" t="s">
        <v>873</v>
      </c>
      <c r="F104" s="999"/>
      <c r="H104" s="186"/>
      <c r="I104" s="20">
        <f>'FOGLIO DEPOSITO'!X154</f>
        <v>67.336022948540347</v>
      </c>
      <c r="J104">
        <f t="shared" si="3"/>
        <v>6.7336022948540348</v>
      </c>
      <c r="K104" s="2">
        <f t="shared" si="4"/>
        <v>0</v>
      </c>
      <c r="L104" s="158" t="s">
        <v>144</v>
      </c>
      <c r="M104" s="138">
        <v>0</v>
      </c>
      <c r="N104" s="208">
        <f>N98</f>
        <v>8.8817841970012523E-16</v>
      </c>
    </row>
    <row r="105" spans="3:17" x14ac:dyDescent="0.25">
      <c r="C105" s="31">
        <f>IF(H96="sx",0,S58+S46)</f>
        <v>0.77</v>
      </c>
      <c r="D105" s="31">
        <f>D100*1.2</f>
        <v>1.1090347799999998</v>
      </c>
      <c r="E105" s="31">
        <f>O82</f>
        <v>0</v>
      </c>
      <c r="F105" s="31">
        <f>D105</f>
        <v>1.1090347799999998</v>
      </c>
      <c r="H105" s="186"/>
      <c r="I105" s="20">
        <f>'FOGLIO DEPOSITO'!X153</f>
        <v>67.336022948540347</v>
      </c>
      <c r="J105">
        <f t="shared" si="3"/>
        <v>6.7336022948540348</v>
      </c>
      <c r="K105" s="2">
        <f t="shared" si="4"/>
        <v>0</v>
      </c>
      <c r="L105" s="158"/>
      <c r="M105" s="138">
        <f>DATI!E75</f>
        <v>0.65</v>
      </c>
      <c r="N105" s="208">
        <f>N99</f>
        <v>8.8817841970012523E-16</v>
      </c>
    </row>
    <row r="106" spans="3:17" x14ac:dyDescent="0.25">
      <c r="C106" s="31">
        <f>C105</f>
        <v>0.77</v>
      </c>
      <c r="D106" s="41">
        <f>'Sollecitazioni nella zattera'!G115*0.01+D105</f>
        <v>1.8353424356148884</v>
      </c>
      <c r="E106" s="31">
        <f>O83</f>
        <v>0</v>
      </c>
      <c r="F106" s="31">
        <f>'Sollecitazioni nella zattera'!G116*0.01+F105</f>
        <v>1.1319351358718859</v>
      </c>
      <c r="H106" s="186"/>
      <c r="I106" s="20">
        <f>'FOGLIO DEPOSITO'!X152</f>
        <v>67.336022948540347</v>
      </c>
      <c r="J106">
        <f t="shared" si="3"/>
        <v>6.7336022948540348</v>
      </c>
      <c r="K106" s="2">
        <f t="shared" si="4"/>
        <v>0</v>
      </c>
      <c r="L106" s="158"/>
      <c r="M106" s="138"/>
      <c r="N106" s="138"/>
      <c r="P106" s="536"/>
    </row>
    <row r="107" spans="3:17" x14ac:dyDescent="0.25">
      <c r="C107" s="31">
        <f>IF(H96="sx",S58,'FOGLIO DEPOSITO'!D211+'FOGLIO DEPOSITO'!D212+'geom masse muro+tensioni'!S58)</f>
        <v>3.4</v>
      </c>
      <c r="D107" s="41">
        <f>D106</f>
        <v>1.8353424356148884</v>
      </c>
      <c r="E107" s="31">
        <f>O84</f>
        <v>0.65</v>
      </c>
      <c r="F107" s="31">
        <f>F106</f>
        <v>1.1319351358718859</v>
      </c>
      <c r="I107" s="20">
        <f>'FOGLIO DEPOSITO'!X151</f>
        <v>67.336022948540347</v>
      </c>
      <c r="J107">
        <f t="shared" si="3"/>
        <v>6.7336022948540348</v>
      </c>
      <c r="K107" s="2">
        <f t="shared" si="4"/>
        <v>0</v>
      </c>
      <c r="M107" s="138"/>
      <c r="N107" s="138"/>
      <c r="P107" s="536"/>
    </row>
    <row r="108" spans="3:17" x14ac:dyDescent="0.25">
      <c r="C108" s="31">
        <f>C107</f>
        <v>3.4</v>
      </c>
      <c r="D108" s="41">
        <f>D105</f>
        <v>1.1090347799999998</v>
      </c>
      <c r="E108" s="31">
        <f>O85</f>
        <v>0.65</v>
      </c>
      <c r="F108" s="31">
        <f>F105</f>
        <v>1.1090347799999998</v>
      </c>
      <c r="I108" s="20">
        <f>'FOGLIO DEPOSITO'!X150</f>
        <v>24.647143614628252</v>
      </c>
      <c r="J108">
        <f t="shared" si="3"/>
        <v>2.4647143614628253</v>
      </c>
      <c r="K108" s="2">
        <f t="shared" si="4"/>
        <v>5.0320615922608809</v>
      </c>
      <c r="M108" s="31"/>
      <c r="N108" s="31"/>
      <c r="P108" s="536"/>
    </row>
    <row r="109" spans="3:17" x14ac:dyDescent="0.25">
      <c r="C109" s="31">
        <f>C105</f>
        <v>0.77</v>
      </c>
      <c r="D109" s="31">
        <f>D105</f>
        <v>1.1090347799999998</v>
      </c>
      <c r="E109" s="31">
        <f>E105</f>
        <v>0</v>
      </c>
      <c r="F109" s="31">
        <f>F108</f>
        <v>1.1090347799999998</v>
      </c>
      <c r="J109" s="2"/>
      <c r="M109" s="209">
        <f>IF(DATI!$G$211="dx",M96,M102)</f>
        <v>0.77</v>
      </c>
      <c r="N109" s="210">
        <f>N102</f>
        <v>0</v>
      </c>
      <c r="P109" s="536"/>
    </row>
    <row r="110" spans="3:17" x14ac:dyDescent="0.25">
      <c r="C110" s="999" t="s">
        <v>143</v>
      </c>
      <c r="D110" s="999"/>
      <c r="J110" s="2"/>
      <c r="M110" s="211">
        <f>IF(DATI!$G$211="dx",M97,M103)</f>
        <v>3.4</v>
      </c>
      <c r="N110" s="212">
        <f>N103</f>
        <v>0</v>
      </c>
      <c r="P110" s="536"/>
    </row>
    <row r="111" spans="3:17" x14ac:dyDescent="0.25">
      <c r="C111" s="31">
        <f>C105</f>
        <v>0.77</v>
      </c>
      <c r="D111" s="31">
        <f>D106*1.2</f>
        <v>2.2024109227378661</v>
      </c>
      <c r="H111" s="186"/>
      <c r="J111" s="10" t="s">
        <v>145</v>
      </c>
      <c r="M111" s="211">
        <f>IF(DATI!$G$211="dx",M98,M104)</f>
        <v>0.77</v>
      </c>
      <c r="N111" s="212">
        <f>N104</f>
        <v>8.8817841970012523E-16</v>
      </c>
      <c r="P111" s="536"/>
    </row>
    <row r="112" spans="3:17" x14ac:dyDescent="0.25">
      <c r="C112" s="31">
        <f>C106</f>
        <v>0.77</v>
      </c>
      <c r="D112" s="41">
        <f>'Sollecitazioni nella zattera'!G114*0.01+D111</f>
        <v>2.2124109227378659</v>
      </c>
      <c r="H112" s="186"/>
      <c r="I112" s="27">
        <v>10</v>
      </c>
      <c r="J112" s="389" t="s">
        <v>137</v>
      </c>
      <c r="K112" s="389" t="s">
        <v>138</v>
      </c>
      <c r="M112" s="213">
        <f>IF(DATI!$G$211="dx",M99,M105)</f>
        <v>3.4</v>
      </c>
      <c r="N112" s="214">
        <f>N105</f>
        <v>8.8817841970012523E-16</v>
      </c>
      <c r="P112" s="536"/>
    </row>
    <row r="113" spans="3:16" x14ac:dyDescent="0.25">
      <c r="C113" s="31">
        <f>C107</f>
        <v>3.4</v>
      </c>
      <c r="D113" s="41">
        <f>D112</f>
        <v>2.2124109227378659</v>
      </c>
      <c r="H113" s="186"/>
      <c r="I113" s="20">
        <f>'FOGLIO DEPOSITO'!AB158</f>
        <v>67.336022948540347</v>
      </c>
      <c r="J113">
        <f t="shared" ref="J113:J121" si="5">I113/$I$99</f>
        <v>6.7336022948540348</v>
      </c>
      <c r="K113" s="20">
        <f>-'FOGLIO DEPOSITO'!Z174+$H$115</f>
        <v>0</v>
      </c>
      <c r="P113" s="536"/>
    </row>
    <row r="114" spans="3:16" x14ac:dyDescent="0.25">
      <c r="C114" s="31">
        <f>C108</f>
        <v>3.4</v>
      </c>
      <c r="D114" s="31">
        <f>D115</f>
        <v>2.2024109227378661</v>
      </c>
      <c r="H114" s="186"/>
      <c r="I114" s="20">
        <f>'FOGLIO DEPOSITO'!AB157</f>
        <v>67.336022948540347</v>
      </c>
      <c r="J114">
        <f t="shared" si="5"/>
        <v>6.7336022948540348</v>
      </c>
      <c r="K114" s="20">
        <f>-'FOGLIO DEPOSITO'!Z173+$H$115</f>
        <v>0</v>
      </c>
      <c r="M114" s="999" t="s">
        <v>147</v>
      </c>
      <c r="N114" s="999"/>
      <c r="P114" s="536"/>
    </row>
    <row r="115" spans="3:16" x14ac:dyDescent="0.25">
      <c r="C115" s="31">
        <f>C109</f>
        <v>0.77</v>
      </c>
      <c r="D115" s="31">
        <f>D111</f>
        <v>2.2024109227378661</v>
      </c>
      <c r="H115" s="186">
        <f>DATI!G209</f>
        <v>5.0320615922608809</v>
      </c>
      <c r="I115" s="20">
        <f>'FOGLIO DEPOSITO'!AB156</f>
        <v>67.336022948540347</v>
      </c>
      <c r="J115">
        <f t="shared" si="5"/>
        <v>6.7336022948540348</v>
      </c>
      <c r="K115" s="20">
        <f>-'FOGLIO DEPOSITO'!Z172+$H$115</f>
        <v>0</v>
      </c>
      <c r="M115" s="385" t="str">
        <f>IF(DATI!E187="no","",IF(DATI!$G$211="dx",M96,M102))</f>
        <v/>
      </c>
      <c r="N115" s="215" t="str">
        <f>IF(DATI!E187="no","",P100-DATI!E188)</f>
        <v/>
      </c>
    </row>
    <row r="116" spans="3:16" x14ac:dyDescent="0.25">
      <c r="C116" s="999" t="s">
        <v>146</v>
      </c>
      <c r="D116" s="999"/>
      <c r="H116" s="186"/>
      <c r="I116" s="20">
        <f>'FOGLIO DEPOSITO'!AB155</f>
        <v>67.336022948540347</v>
      </c>
      <c r="J116">
        <f t="shared" si="5"/>
        <v>6.7336022948540348</v>
      </c>
      <c r="K116" s="20">
        <f>-'FOGLIO DEPOSITO'!Z171+$H$115</f>
        <v>0</v>
      </c>
      <c r="M116" s="216" t="str">
        <f>IF(DATI!E187="no","",IF(DATI!$G$211="dx",M97,M103))</f>
        <v/>
      </c>
      <c r="N116" s="217" t="str">
        <f>N115</f>
        <v/>
      </c>
    </row>
    <row r="117" spans="3:16" x14ac:dyDescent="0.25">
      <c r="C117" s="31">
        <f>C111</f>
        <v>0.77</v>
      </c>
      <c r="D117" s="31">
        <f>D112*1.2</f>
        <v>2.6548931072854391</v>
      </c>
      <c r="H117" s="186"/>
      <c r="I117" s="20">
        <f>'FOGLIO DEPOSITO'!AB154</f>
        <v>67.336022948540347</v>
      </c>
      <c r="J117">
        <f t="shared" si="5"/>
        <v>6.7336022948540348</v>
      </c>
      <c r="K117" s="20">
        <f>-'FOGLIO DEPOSITO'!Z170+$H$115</f>
        <v>0</v>
      </c>
    </row>
    <row r="118" spans="3:16" x14ac:dyDescent="0.25">
      <c r="C118" s="31">
        <f>C112</f>
        <v>0.77</v>
      </c>
      <c r="D118" s="41">
        <f>'Sollecitazioni nella zattera'!G113*0.01+D117</f>
        <v>2.6648931072854389</v>
      </c>
      <c r="H118" s="186"/>
      <c r="I118" s="20">
        <f>'FOGLIO DEPOSITO'!AB153</f>
        <v>67.336022948540347</v>
      </c>
      <c r="J118">
        <f t="shared" si="5"/>
        <v>6.7336022948540348</v>
      </c>
      <c r="K118" s="20">
        <f>-'FOGLIO DEPOSITO'!Z169+$H$115</f>
        <v>0</v>
      </c>
    </row>
    <row r="119" spans="3:16" x14ac:dyDescent="0.25">
      <c r="C119" s="31">
        <f>C113</f>
        <v>3.4</v>
      </c>
      <c r="D119" s="41">
        <f>D118</f>
        <v>2.6648931072854389</v>
      </c>
      <c r="H119" s="186"/>
      <c r="I119" s="20">
        <f>'FOGLIO DEPOSITO'!AB152</f>
        <v>67.336022948540347</v>
      </c>
      <c r="J119">
        <f t="shared" si="5"/>
        <v>6.7336022948540348</v>
      </c>
      <c r="K119" s="20">
        <f>-'FOGLIO DEPOSITO'!Z168+$H$115</f>
        <v>0</v>
      </c>
    </row>
    <row r="120" spans="3:16" x14ac:dyDescent="0.25">
      <c r="C120" s="31">
        <f>C114</f>
        <v>3.4</v>
      </c>
      <c r="D120" s="31">
        <f>D121</f>
        <v>2.6548931072854391</v>
      </c>
      <c r="I120" s="20">
        <f>'FOGLIO DEPOSITO'!AB151</f>
        <v>67.336022948540347</v>
      </c>
      <c r="J120">
        <f t="shared" si="5"/>
        <v>6.7336022948540348</v>
      </c>
      <c r="K120" s="20">
        <f>-'FOGLIO DEPOSITO'!Z167+$H$115</f>
        <v>0</v>
      </c>
    </row>
    <row r="121" spans="3:16" x14ac:dyDescent="0.25">
      <c r="C121" s="31">
        <f>C115</f>
        <v>0.77</v>
      </c>
      <c r="D121" s="31">
        <f>D117</f>
        <v>2.6548931072854391</v>
      </c>
      <c r="I121" s="20">
        <f>'FOGLIO DEPOSITO'!AB150</f>
        <v>24.647143614628252</v>
      </c>
      <c r="J121">
        <f t="shared" si="5"/>
        <v>2.4647143614628253</v>
      </c>
      <c r="K121" s="20">
        <f>-'FOGLIO DEPOSITO'!Z166+$H$115</f>
        <v>5.0320615922608809</v>
      </c>
    </row>
  </sheetData>
  <customSheetViews>
    <customSheetView guid="{101D851C-E4EE-4443-B6A9-9040ACB2A650}" state="hidden" topLeftCell="A37">
      <selection activeCell="P38" sqref="P38"/>
      <pageMargins left="0.7" right="0.7" top="0.75" bottom="0.75" header="0.3" footer="0.3"/>
      <pageSetup paperSize="9" orientation="portrait" r:id="rId1"/>
    </customSheetView>
  </customSheetViews>
  <mergeCells count="24">
    <mergeCell ref="M95:N95"/>
    <mergeCell ref="M114:N114"/>
    <mergeCell ref="C110:D110"/>
    <mergeCell ref="C116:D116"/>
    <mergeCell ref="C81:D81"/>
    <mergeCell ref="C94:D94"/>
    <mergeCell ref="C98:D98"/>
    <mergeCell ref="C104:D104"/>
    <mergeCell ref="F95:G96"/>
    <mergeCell ref="E81:F81"/>
    <mergeCell ref="E104:F104"/>
    <mergeCell ref="O81:P81"/>
    <mergeCell ref="B11:B13"/>
    <mergeCell ref="B2:N2"/>
    <mergeCell ref="B7:B9"/>
    <mergeCell ref="M81:N81"/>
    <mergeCell ref="B18:B21"/>
    <mergeCell ref="B24:B26"/>
    <mergeCell ref="J43:K43"/>
    <mergeCell ref="C43:D43"/>
    <mergeCell ref="F43:G43"/>
    <mergeCell ref="G81:H81"/>
    <mergeCell ref="C71:D71"/>
    <mergeCell ref="F71:G71"/>
  </mergeCell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575"/>
  <sheetViews>
    <sheetView showGridLines="0" showRowColHeaders="0" zoomScale="90" zoomScaleNormal="90" workbookViewId="0">
      <selection activeCell="G46" sqref="G46:I46"/>
    </sheetView>
  </sheetViews>
  <sheetFormatPr defaultRowHeight="15" x14ac:dyDescent="0.25"/>
  <cols>
    <col min="1" max="1" width="2.85546875" customWidth="1"/>
    <col min="2" max="2" width="14.28515625" customWidth="1"/>
    <col min="3" max="3" width="14.5703125" customWidth="1"/>
    <col min="4" max="6" width="13.7109375" customWidth="1"/>
    <col min="7" max="7" width="14.28515625" customWidth="1"/>
    <col min="8" max="8" width="13.7109375" customWidth="1"/>
    <col min="9" max="9" width="14.42578125" style="421" customWidth="1"/>
    <col min="10" max="10" width="9.140625" style="421"/>
    <col min="13" max="13" width="11.85546875" bestFit="1" customWidth="1"/>
  </cols>
  <sheetData>
    <row r="1" spans="1:19" x14ac:dyDescent="0.25">
      <c r="A1" s="422"/>
      <c r="B1" s="422"/>
      <c r="C1" s="422"/>
      <c r="D1" s="422"/>
      <c r="E1" s="422"/>
      <c r="F1" s="422"/>
      <c r="G1" s="422"/>
      <c r="H1" s="422"/>
      <c r="I1" s="422"/>
      <c r="J1" s="422"/>
      <c r="K1" s="2"/>
      <c r="L1" s="2"/>
      <c r="M1" s="2"/>
      <c r="N1" s="2"/>
      <c r="O1" s="2"/>
      <c r="P1" s="2"/>
      <c r="Q1" s="2"/>
      <c r="R1" s="2"/>
      <c r="S1" s="2"/>
    </row>
    <row r="2" spans="1:19" ht="21" x14ac:dyDescent="0.35">
      <c r="A2" s="422"/>
      <c r="B2" s="456" t="s">
        <v>1102</v>
      </c>
      <c r="C2" s="422"/>
      <c r="D2" s="422"/>
      <c r="E2" s="422"/>
      <c r="F2" s="422"/>
      <c r="G2" s="422"/>
      <c r="H2" s="422"/>
      <c r="I2" s="422"/>
      <c r="J2" s="422"/>
      <c r="K2" s="2"/>
      <c r="L2" s="2"/>
      <c r="M2" s="2"/>
      <c r="N2" s="2"/>
      <c r="O2" s="2"/>
      <c r="P2" s="2"/>
      <c r="Q2" s="2"/>
      <c r="R2" s="2"/>
      <c r="S2" s="2"/>
    </row>
    <row r="3" spans="1:19" s="421" customFormat="1" ht="18.75" x14ac:dyDescent="0.3">
      <c r="A3" s="422"/>
      <c r="B3" s="71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</row>
    <row r="4" spans="1:19" s="421" customFormat="1" ht="15.75" x14ac:dyDescent="0.25">
      <c r="A4" s="422"/>
      <c r="B4" s="14" t="s">
        <v>783</v>
      </c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</row>
    <row r="5" spans="1:19" s="421" customFormat="1" ht="18.75" x14ac:dyDescent="0.3">
      <c r="A5" s="422"/>
      <c r="B5" s="71"/>
      <c r="C5" s="422"/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</row>
    <row r="6" spans="1:19" s="421" customFormat="1" x14ac:dyDescent="0.25">
      <c r="A6" s="422"/>
      <c r="B6" s="944" t="s">
        <v>331</v>
      </c>
      <c r="C6" s="944"/>
      <c r="D6" s="945" t="str">
        <f>IF('FOGLIO DEPOSITO'!I72='FOGLIO DEPOSITO'!I73,"SISMICA",'FOGLIO DEPOSITO'!B222)</f>
        <v>SISMICA</v>
      </c>
      <c r="E6" s="953"/>
      <c r="F6" s="23"/>
      <c r="G6" s="422"/>
      <c r="H6" s="422"/>
      <c r="I6" s="422"/>
      <c r="J6" s="422"/>
      <c r="K6" s="422"/>
      <c r="L6" s="422"/>
      <c r="M6" s="422"/>
      <c r="N6" s="422"/>
      <c r="O6" s="422"/>
      <c r="P6" s="422"/>
      <c r="Q6" s="422"/>
      <c r="R6" s="422"/>
      <c r="S6" s="422"/>
    </row>
    <row r="7" spans="1:19" s="421" customFormat="1" x14ac:dyDescent="0.25">
      <c r="A7" s="422"/>
      <c r="B7" s="944" t="s">
        <v>473</v>
      </c>
      <c r="C7" s="944"/>
      <c r="D7" s="425" t="str">
        <f>DATI!C260</f>
        <v>APPROCCIO 1 --- Combinazione (A1+M1+R1)</v>
      </c>
      <c r="E7" s="316"/>
      <c r="F7" s="23"/>
      <c r="G7" s="422"/>
      <c r="H7" s="422"/>
      <c r="I7" s="422"/>
      <c r="J7" s="422"/>
      <c r="K7" s="422"/>
      <c r="L7" s="422"/>
      <c r="M7" s="422"/>
      <c r="N7" s="422"/>
      <c r="O7" s="422"/>
      <c r="P7" s="422"/>
      <c r="Q7" s="422"/>
      <c r="R7" s="422"/>
      <c r="S7" s="422"/>
    </row>
    <row r="8" spans="1:19" s="421" customFormat="1" x14ac:dyDescent="0.25">
      <c r="A8" s="422"/>
      <c r="B8" s="422"/>
      <c r="C8" s="422"/>
      <c r="D8" s="422"/>
      <c r="E8" s="422"/>
      <c r="F8" s="422"/>
      <c r="G8" s="422"/>
      <c r="H8" s="422"/>
      <c r="I8" s="422"/>
      <c r="J8" s="422"/>
      <c r="K8" s="422"/>
      <c r="L8" s="422"/>
      <c r="M8" s="422"/>
      <c r="N8" s="422"/>
      <c r="O8" s="422"/>
      <c r="P8" s="422"/>
      <c r="Q8" s="422"/>
      <c r="R8" s="422"/>
      <c r="S8" s="422"/>
    </row>
    <row r="9" spans="1:19" s="421" customFormat="1" x14ac:dyDescent="0.25">
      <c r="A9" s="422"/>
      <c r="B9" s="422"/>
      <c r="C9" s="422"/>
      <c r="D9" s="422"/>
      <c r="E9" s="422"/>
      <c r="F9" s="438" t="s">
        <v>467</v>
      </c>
      <c r="G9" s="623" t="s">
        <v>25</v>
      </c>
      <c r="H9" s="422"/>
      <c r="I9" s="422"/>
      <c r="J9" s="422"/>
      <c r="K9" s="422"/>
      <c r="L9" s="422"/>
      <c r="M9" s="422"/>
      <c r="N9" s="422"/>
      <c r="O9" s="422"/>
      <c r="P9" s="422"/>
      <c r="Q9" s="422"/>
      <c r="R9" s="422"/>
      <c r="S9" s="422"/>
    </row>
    <row r="10" spans="1:19" s="421" customFormat="1" x14ac:dyDescent="0.25">
      <c r="A10" s="422"/>
      <c r="B10" s="422"/>
      <c r="C10" s="422"/>
      <c r="D10" s="422"/>
      <c r="E10" s="422"/>
      <c r="F10" s="623" t="s">
        <v>539</v>
      </c>
      <c r="G10" s="625">
        <f>DATI!E263</f>
        <v>1</v>
      </c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</row>
    <row r="11" spans="1:19" s="421" customFormat="1" x14ac:dyDescent="0.25">
      <c r="A11" s="422"/>
      <c r="B11" s="422"/>
      <c r="C11" s="422"/>
      <c r="D11" s="422"/>
      <c r="E11" s="422"/>
      <c r="F11" s="623" t="s">
        <v>556</v>
      </c>
      <c r="G11" s="625">
        <f>DATI!E264</f>
        <v>1</v>
      </c>
      <c r="H11" s="422"/>
      <c r="I11" s="422"/>
      <c r="J11" s="422"/>
      <c r="K11" s="422"/>
      <c r="L11" s="422"/>
      <c r="M11" s="422"/>
      <c r="N11" s="422"/>
      <c r="O11" s="422"/>
      <c r="P11" s="422"/>
      <c r="Q11" s="422"/>
      <c r="R11" s="422"/>
      <c r="S11" s="422"/>
    </row>
    <row r="12" spans="1:19" s="421" customFormat="1" x14ac:dyDescent="0.25">
      <c r="A12" s="422"/>
      <c r="B12" s="422"/>
      <c r="C12" s="422"/>
      <c r="D12" s="422"/>
      <c r="E12" s="422"/>
      <c r="F12" s="623" t="s">
        <v>557</v>
      </c>
      <c r="G12" s="625">
        <f>DATI!E265</f>
        <v>1</v>
      </c>
      <c r="H12" s="422"/>
      <c r="I12" s="422"/>
      <c r="J12" s="422"/>
      <c r="K12" s="422"/>
      <c r="L12" s="422"/>
      <c r="M12" s="422"/>
      <c r="N12" s="422"/>
      <c r="O12" s="422"/>
      <c r="P12" s="422"/>
      <c r="Q12" s="422"/>
      <c r="R12" s="422"/>
      <c r="S12" s="422"/>
    </row>
    <row r="13" spans="1:19" s="421" customFormat="1" x14ac:dyDescent="0.25">
      <c r="A13" s="422"/>
      <c r="B13" s="422"/>
      <c r="C13" s="422"/>
      <c r="D13" s="422"/>
      <c r="E13" s="422"/>
      <c r="F13" s="628"/>
      <c r="G13" s="628"/>
      <c r="H13" s="422"/>
      <c r="I13" s="422"/>
      <c r="J13" s="422"/>
      <c r="K13" s="422"/>
      <c r="L13" s="422"/>
      <c r="M13" s="422"/>
      <c r="N13" s="422"/>
      <c r="O13" s="422"/>
      <c r="P13" s="422"/>
      <c r="Q13" s="422"/>
      <c r="R13" s="422"/>
      <c r="S13" s="422"/>
    </row>
    <row r="14" spans="1:19" s="421" customFormat="1" x14ac:dyDescent="0.25">
      <c r="A14" s="422"/>
      <c r="B14" s="422"/>
      <c r="C14" s="422"/>
      <c r="D14" s="422"/>
      <c r="E14" s="422"/>
      <c r="F14" s="438" t="s">
        <v>468</v>
      </c>
      <c r="G14" s="623" t="s">
        <v>469</v>
      </c>
      <c r="H14" s="422"/>
      <c r="I14" s="422"/>
      <c r="J14" s="422"/>
      <c r="K14" s="422"/>
      <c r="L14" s="422"/>
      <c r="M14" s="422"/>
      <c r="N14" s="422"/>
      <c r="O14" s="422"/>
      <c r="P14" s="422"/>
      <c r="Q14" s="422"/>
      <c r="R14" s="422"/>
      <c r="S14" s="422"/>
    </row>
    <row r="15" spans="1:19" s="421" customFormat="1" x14ac:dyDescent="0.25">
      <c r="A15" s="422"/>
      <c r="B15" s="422"/>
      <c r="C15" s="422"/>
      <c r="D15" s="422"/>
      <c r="E15" s="422"/>
      <c r="F15" s="623" t="s">
        <v>201</v>
      </c>
      <c r="G15" s="625">
        <f>DATI!E268</f>
        <v>1</v>
      </c>
      <c r="H15" s="422"/>
      <c r="I15" s="422"/>
      <c r="J15" s="422"/>
      <c r="K15" s="422"/>
      <c r="L15" s="422"/>
      <c r="M15" s="422"/>
      <c r="N15" s="422"/>
      <c r="O15" s="422"/>
      <c r="P15" s="422"/>
      <c r="Q15" s="422"/>
      <c r="R15" s="422"/>
      <c r="S15" s="422"/>
    </row>
    <row r="16" spans="1:19" s="421" customFormat="1" x14ac:dyDescent="0.25">
      <c r="A16" s="422"/>
      <c r="B16" s="422"/>
      <c r="C16" s="422"/>
      <c r="D16" s="422"/>
      <c r="E16" s="422"/>
      <c r="F16" s="623" t="s">
        <v>202</v>
      </c>
      <c r="G16" s="625">
        <f>DATI!E269</f>
        <v>1</v>
      </c>
      <c r="H16" s="422"/>
      <c r="I16" s="422"/>
      <c r="J16" s="422"/>
      <c r="K16" s="422"/>
      <c r="L16" s="422"/>
      <c r="M16" s="422"/>
      <c r="N16" s="422"/>
      <c r="O16" s="422"/>
      <c r="P16" s="422"/>
      <c r="Q16" s="422"/>
      <c r="R16" s="422"/>
      <c r="S16" s="422"/>
    </row>
    <row r="17" spans="1:19" s="421" customFormat="1" x14ac:dyDescent="0.25">
      <c r="A17" s="422"/>
      <c r="B17" s="422"/>
      <c r="C17" s="422"/>
      <c r="D17" s="422"/>
      <c r="E17" s="422"/>
      <c r="F17" s="623" t="s">
        <v>204</v>
      </c>
      <c r="G17" s="625">
        <f>DATI!E270</f>
        <v>1</v>
      </c>
      <c r="H17" s="422"/>
      <c r="I17" s="422"/>
      <c r="J17" s="422"/>
      <c r="K17" s="422"/>
      <c r="L17" s="422"/>
      <c r="M17" s="422"/>
      <c r="N17" s="422"/>
      <c r="O17" s="422"/>
      <c r="P17" s="422"/>
      <c r="Q17" s="422"/>
      <c r="R17" s="422"/>
      <c r="S17" s="422"/>
    </row>
    <row r="18" spans="1:19" s="421" customFormat="1" x14ac:dyDescent="0.25">
      <c r="A18" s="422"/>
      <c r="B18" s="422"/>
      <c r="C18" s="422"/>
      <c r="D18" s="422"/>
      <c r="E18" s="422"/>
      <c r="F18" s="636" t="s">
        <v>205</v>
      </c>
      <c r="G18" s="625">
        <f>DATI!E271</f>
        <v>1</v>
      </c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</row>
    <row r="19" spans="1:19" s="421" customFormat="1" x14ac:dyDescent="0.25">
      <c r="A19" s="422"/>
      <c r="B19" s="422"/>
      <c r="C19" s="23"/>
      <c r="D19" s="23"/>
      <c r="E19" s="640"/>
      <c r="F19" s="57"/>
      <c r="G19" s="640"/>
      <c r="H19" s="422"/>
      <c r="I19" s="422"/>
      <c r="J19" s="422"/>
      <c r="K19" s="422"/>
      <c r="L19" s="422"/>
      <c r="M19" s="422"/>
      <c r="N19" s="422"/>
      <c r="O19" s="422"/>
      <c r="P19" s="422"/>
      <c r="Q19" s="422"/>
      <c r="R19" s="422"/>
      <c r="S19" s="422"/>
    </row>
    <row r="20" spans="1:19" s="421" customFormat="1" x14ac:dyDescent="0.25">
      <c r="A20" s="422"/>
      <c r="B20" s="23"/>
      <c r="C20" s="23"/>
      <c r="D20" s="640"/>
      <c r="E20" s="629"/>
      <c r="F20" s="422"/>
      <c r="G20" s="422"/>
      <c r="H20" s="632"/>
      <c r="I20" s="422"/>
      <c r="J20" s="422"/>
      <c r="K20" s="422"/>
      <c r="N20" s="422"/>
      <c r="O20" s="422"/>
      <c r="P20" s="422"/>
      <c r="Q20" s="422"/>
      <c r="R20" s="422"/>
      <c r="S20" s="422"/>
    </row>
    <row r="21" spans="1:19" s="421" customFormat="1" ht="18" x14ac:dyDescent="0.25">
      <c r="A21" s="422"/>
      <c r="B21" s="422" t="s">
        <v>363</v>
      </c>
      <c r="C21" s="422"/>
      <c r="D21" s="422"/>
      <c r="E21" s="422"/>
      <c r="F21" s="624" t="s">
        <v>364</v>
      </c>
      <c r="G21" s="646">
        <f>SPINTE!D21</f>
        <v>2.5554000000000001</v>
      </c>
      <c r="H21" s="422"/>
      <c r="I21" s="422"/>
      <c r="J21" s="422"/>
      <c r="K21" s="422"/>
      <c r="N21" s="422"/>
      <c r="O21" s="422"/>
      <c r="P21" s="422"/>
      <c r="Q21" s="422"/>
      <c r="R21" s="422"/>
      <c r="S21" s="422"/>
    </row>
    <row r="22" spans="1:19" s="421" customFormat="1" ht="18" x14ac:dyDescent="0.25">
      <c r="A22" s="422"/>
      <c r="B22" s="422" t="s">
        <v>365</v>
      </c>
      <c r="C22" s="422"/>
      <c r="D22" s="422"/>
      <c r="E22" s="422"/>
      <c r="F22" s="624" t="s">
        <v>366</v>
      </c>
      <c r="G22" s="643">
        <f>SPINTE!D22</f>
        <v>2.3653</v>
      </c>
      <c r="H22" s="422"/>
      <c r="I22" s="422"/>
      <c r="J22" s="422"/>
      <c r="K22" s="422"/>
      <c r="N22" s="422"/>
      <c r="O22" s="422"/>
      <c r="P22" s="422"/>
      <c r="Q22" s="422"/>
      <c r="R22" s="422"/>
      <c r="S22" s="422"/>
    </row>
    <row r="23" spans="1:19" s="421" customFormat="1" ht="18" x14ac:dyDescent="0.25">
      <c r="A23" s="422"/>
      <c r="B23" s="422" t="s">
        <v>367</v>
      </c>
      <c r="C23" s="422"/>
      <c r="D23" s="422"/>
      <c r="E23" s="422"/>
      <c r="F23" s="624" t="s">
        <v>368</v>
      </c>
      <c r="G23" s="647">
        <f>SPINTE!D23</f>
        <v>0.3468</v>
      </c>
      <c r="H23" s="422"/>
      <c r="I23" s="422"/>
      <c r="J23" s="422"/>
      <c r="K23" s="422"/>
      <c r="N23" s="422"/>
      <c r="O23" s="422"/>
      <c r="P23" s="422"/>
      <c r="Q23" s="422"/>
      <c r="R23" s="422"/>
      <c r="S23" s="422"/>
    </row>
    <row r="24" spans="1:19" s="421" customFormat="1" x14ac:dyDescent="0.25">
      <c r="A24" s="422"/>
      <c r="B24" s="422" t="s">
        <v>369</v>
      </c>
      <c r="C24" s="422"/>
      <c r="D24" s="422"/>
      <c r="E24" s="422"/>
      <c r="F24" s="422"/>
      <c r="G24" s="643" t="str">
        <f>SPINTE!D24</f>
        <v>E</v>
      </c>
      <c r="H24" s="422"/>
      <c r="I24" s="422"/>
      <c r="J24" s="422"/>
      <c r="K24" s="422"/>
      <c r="O24" s="422"/>
      <c r="P24" s="422"/>
      <c r="Q24" s="422"/>
      <c r="R24" s="422"/>
      <c r="S24" s="422"/>
    </row>
    <row r="25" spans="1:19" s="421" customFormat="1" x14ac:dyDescent="0.25">
      <c r="A25" s="422"/>
      <c r="B25" s="422" t="s">
        <v>370</v>
      </c>
      <c r="C25" s="422"/>
      <c r="D25" s="422"/>
      <c r="E25" s="422"/>
      <c r="F25" s="422"/>
      <c r="G25" s="643" t="str">
        <f>SPINTE!D25</f>
        <v>T2</v>
      </c>
      <c r="H25" s="422"/>
      <c r="I25" s="422"/>
      <c r="J25" s="422"/>
      <c r="K25" s="422"/>
      <c r="O25" s="422"/>
      <c r="P25" s="422"/>
      <c r="Q25" s="422"/>
      <c r="R25" s="422"/>
      <c r="S25" s="422"/>
    </row>
    <row r="26" spans="1:19" s="421" customFormat="1" x14ac:dyDescent="0.25">
      <c r="A26" s="422"/>
      <c r="B26" s="422" t="s">
        <v>782</v>
      </c>
      <c r="C26" s="422"/>
      <c r="D26" s="422"/>
      <c r="E26" s="422"/>
      <c r="F26" s="376" t="s">
        <v>395</v>
      </c>
      <c r="G26" s="638">
        <f>SPINTE!D26</f>
        <v>0.31</v>
      </c>
      <c r="H26" s="422"/>
      <c r="I26" s="422"/>
      <c r="J26" s="422"/>
      <c r="K26" s="422"/>
      <c r="O26" s="422"/>
      <c r="P26" s="422"/>
      <c r="Q26" s="422"/>
      <c r="R26" s="422"/>
      <c r="S26" s="422"/>
    </row>
    <row r="27" spans="1:19" s="421" customFormat="1" x14ac:dyDescent="0.25">
      <c r="A27" s="422"/>
      <c r="B27" s="422" t="s">
        <v>396</v>
      </c>
      <c r="C27" s="422"/>
      <c r="D27" s="422"/>
      <c r="E27" s="422"/>
      <c r="F27" s="800" t="s">
        <v>281</v>
      </c>
      <c r="G27" s="638">
        <f>SPINTE!D27</f>
        <v>0.12815426831174012</v>
      </c>
      <c r="H27" s="422"/>
      <c r="I27" s="422"/>
      <c r="J27" s="422"/>
      <c r="K27" s="422"/>
      <c r="P27" s="422"/>
      <c r="Q27" s="422"/>
      <c r="R27" s="422"/>
      <c r="S27" s="422"/>
    </row>
    <row r="28" spans="1:19" s="421" customFormat="1" x14ac:dyDescent="0.25">
      <c r="A28" s="422"/>
      <c r="B28" s="422" t="s">
        <v>397</v>
      </c>
      <c r="C28" s="422"/>
      <c r="D28" s="422"/>
      <c r="E28" s="422"/>
      <c r="F28" s="621" t="s">
        <v>282</v>
      </c>
      <c r="G28" s="638">
        <f>SPINTE!D28</f>
        <v>6.4077134155870061E-2</v>
      </c>
      <c r="H28" s="422"/>
      <c r="I28" s="422"/>
      <c r="J28" s="422"/>
      <c r="K28" s="422"/>
      <c r="P28" s="422"/>
      <c r="Q28" s="422"/>
      <c r="R28" s="422"/>
      <c r="S28" s="422"/>
    </row>
    <row r="29" spans="1:19" s="421" customFormat="1" x14ac:dyDescent="0.25">
      <c r="A29" s="422"/>
      <c r="B29" s="422"/>
      <c r="C29" s="422"/>
      <c r="D29" s="422"/>
      <c r="E29" s="422"/>
      <c r="F29" s="422"/>
      <c r="G29" s="422"/>
      <c r="H29" s="422"/>
      <c r="I29" s="422"/>
      <c r="J29" s="422"/>
      <c r="K29" s="422"/>
      <c r="P29" s="422"/>
      <c r="Q29" s="422"/>
      <c r="R29" s="422"/>
      <c r="S29" s="422"/>
    </row>
    <row r="30" spans="1:19" s="421" customFormat="1" x14ac:dyDescent="0.25">
      <c r="A30" s="422"/>
      <c r="B30" s="422"/>
      <c r="C30" s="422"/>
      <c r="D30" s="422"/>
      <c r="E30" s="422"/>
      <c r="F30" s="422"/>
      <c r="G30" s="422"/>
      <c r="H30" s="422"/>
      <c r="I30" s="422"/>
      <c r="J30" s="422"/>
      <c r="K30" s="422"/>
      <c r="P30" s="422"/>
      <c r="Q30" s="422"/>
      <c r="R30" s="422"/>
      <c r="S30" s="422"/>
    </row>
    <row r="31" spans="1:19" s="421" customFormat="1" ht="15.75" x14ac:dyDescent="0.25">
      <c r="A31" s="422"/>
      <c r="B31" s="14" t="s">
        <v>889</v>
      </c>
      <c r="C31" s="422"/>
      <c r="D31" s="422"/>
      <c r="E31" s="422"/>
      <c r="F31" s="422"/>
      <c r="G31" s="422"/>
      <c r="H31" s="422"/>
      <c r="I31" s="422"/>
      <c r="J31" s="422"/>
      <c r="K31" s="422"/>
      <c r="P31" s="422"/>
      <c r="Q31" s="422"/>
      <c r="R31" s="422"/>
      <c r="S31" s="422"/>
    </row>
    <row r="32" spans="1:19" s="421" customFormat="1" x14ac:dyDescent="0.25">
      <c r="A32" s="422"/>
      <c r="B32" s="1" t="s">
        <v>335</v>
      </c>
      <c r="C32" s="422"/>
      <c r="D32" s="422"/>
      <c r="E32" s="422"/>
      <c r="F32" s="422"/>
      <c r="G32" s="422"/>
      <c r="H32" s="422"/>
      <c r="I32" s="422"/>
      <c r="J32" s="422"/>
      <c r="K32" s="422"/>
      <c r="P32" s="422"/>
      <c r="Q32" s="422"/>
      <c r="R32" s="422"/>
      <c r="S32" s="422"/>
    </row>
    <row r="33" spans="1:19" s="421" customFormat="1" x14ac:dyDescent="0.25">
      <c r="A33" s="422"/>
      <c r="B33" s="1"/>
      <c r="C33" s="422"/>
      <c r="D33" s="422"/>
      <c r="E33" s="422"/>
      <c r="F33" s="422"/>
      <c r="G33" s="422"/>
      <c r="H33" s="422"/>
      <c r="I33" s="422"/>
      <c r="J33" s="422"/>
      <c r="K33" s="422"/>
      <c r="P33" s="422"/>
      <c r="Q33" s="422"/>
      <c r="R33" s="422"/>
      <c r="S33" s="422"/>
    </row>
    <row r="34" spans="1:19" s="421" customFormat="1" x14ac:dyDescent="0.25">
      <c r="A34" s="422"/>
      <c r="B34" s="422" t="s">
        <v>336</v>
      </c>
      <c r="C34" s="422"/>
      <c r="D34" s="422"/>
      <c r="E34" s="422"/>
      <c r="F34" s="422"/>
      <c r="G34" s="643" t="str">
        <f>DATI!E7</f>
        <v>C32/40</v>
      </c>
      <c r="H34" s="422"/>
      <c r="I34" s="422"/>
      <c r="J34" s="422"/>
      <c r="K34" s="422"/>
      <c r="P34" s="422"/>
      <c r="Q34" s="422"/>
      <c r="R34" s="422"/>
      <c r="S34" s="422"/>
    </row>
    <row r="35" spans="1:19" s="421" customFormat="1" ht="18" x14ac:dyDescent="0.25">
      <c r="A35" s="422"/>
      <c r="B35" s="422" t="s">
        <v>337</v>
      </c>
      <c r="C35" s="422"/>
      <c r="D35" s="422"/>
      <c r="E35" s="422"/>
      <c r="F35" s="67" t="s">
        <v>338</v>
      </c>
      <c r="G35" s="648">
        <f>DATI!E8</f>
        <v>25</v>
      </c>
      <c r="H35" s="422"/>
      <c r="I35" s="422"/>
      <c r="J35" s="422"/>
      <c r="K35" s="422"/>
      <c r="P35" s="422"/>
      <c r="Q35" s="422"/>
      <c r="R35" s="422"/>
      <c r="S35" s="422"/>
    </row>
    <row r="36" spans="1:19" s="421" customFormat="1" x14ac:dyDescent="0.25">
      <c r="A36" s="422"/>
      <c r="B36" s="422" t="s">
        <v>339</v>
      </c>
      <c r="C36" s="422"/>
      <c r="D36" s="422"/>
      <c r="E36" s="422"/>
      <c r="F36" s="624" t="s">
        <v>340</v>
      </c>
      <c r="G36" s="535">
        <f>DATI!E9</f>
        <v>0.1</v>
      </c>
      <c r="H36" s="422"/>
      <c r="I36" s="422"/>
      <c r="J36" s="422"/>
      <c r="K36" s="422"/>
      <c r="P36" s="422"/>
      <c r="Q36" s="422"/>
      <c r="R36" s="422"/>
      <c r="S36" s="422"/>
    </row>
    <row r="37" spans="1:19" s="421" customFormat="1" x14ac:dyDescent="0.25">
      <c r="A37" s="422"/>
      <c r="B37" s="422"/>
      <c r="C37" s="422"/>
      <c r="D37" s="422"/>
      <c r="E37" s="422"/>
      <c r="F37" s="624"/>
      <c r="G37" s="649"/>
      <c r="H37" s="422"/>
      <c r="I37" s="422"/>
      <c r="J37" s="422"/>
      <c r="K37" s="422"/>
      <c r="P37" s="422"/>
      <c r="Q37" s="422"/>
      <c r="R37" s="422"/>
      <c r="S37" s="422"/>
    </row>
    <row r="38" spans="1:19" s="421" customFormat="1" x14ac:dyDescent="0.25">
      <c r="A38" s="422"/>
      <c r="B38" s="422" t="s">
        <v>341</v>
      </c>
      <c r="C38" s="422"/>
      <c r="D38" s="422"/>
      <c r="E38" s="422"/>
      <c r="F38" s="621" t="s">
        <v>342</v>
      </c>
      <c r="G38" s="372">
        <f>DATI!E11</f>
        <v>40</v>
      </c>
      <c r="H38" s="422"/>
      <c r="I38" s="422"/>
      <c r="J38" s="422"/>
      <c r="K38" s="422"/>
      <c r="P38" s="422"/>
      <c r="Q38" s="422"/>
      <c r="R38" s="422"/>
      <c r="S38" s="422"/>
    </row>
    <row r="39" spans="1:19" s="421" customFormat="1" x14ac:dyDescent="0.25">
      <c r="A39" s="422"/>
      <c r="B39" s="422" t="s">
        <v>343</v>
      </c>
      <c r="C39" s="422"/>
      <c r="D39" s="422"/>
      <c r="E39" s="422"/>
      <c r="F39" s="621" t="s">
        <v>344</v>
      </c>
      <c r="G39" s="372">
        <f>DATI!E12</f>
        <v>41.199999999999996</v>
      </c>
      <c r="H39" s="422"/>
      <c r="I39" s="422"/>
      <c r="J39" s="422"/>
      <c r="K39" s="422"/>
      <c r="P39" s="422"/>
      <c r="Q39" s="422"/>
      <c r="R39" s="422"/>
      <c r="S39" s="422"/>
    </row>
    <row r="40" spans="1:19" s="421" customFormat="1" x14ac:dyDescent="0.25">
      <c r="A40" s="422"/>
      <c r="B40" s="422" t="s">
        <v>345</v>
      </c>
      <c r="C40" s="422"/>
      <c r="D40" s="422"/>
      <c r="E40" s="422"/>
      <c r="F40" s="621" t="s">
        <v>346</v>
      </c>
      <c r="G40" s="372">
        <f>DATI!E13</f>
        <v>33.199999999999996</v>
      </c>
      <c r="H40" s="422"/>
      <c r="I40" s="422"/>
      <c r="J40" s="422"/>
      <c r="K40" s="422"/>
      <c r="P40" s="422"/>
      <c r="Q40" s="422"/>
      <c r="R40" s="422"/>
      <c r="S40" s="422"/>
    </row>
    <row r="41" spans="1:19" s="421" customFormat="1" x14ac:dyDescent="0.25">
      <c r="A41" s="422"/>
      <c r="B41" s="422" t="s">
        <v>347</v>
      </c>
      <c r="C41" s="422"/>
      <c r="D41" s="422"/>
      <c r="E41" s="422"/>
      <c r="F41" s="621" t="s">
        <v>348</v>
      </c>
      <c r="G41" s="372">
        <f>DATI!E14</f>
        <v>22.133333333333329</v>
      </c>
      <c r="H41" s="422"/>
      <c r="I41" s="422"/>
      <c r="J41" s="422"/>
      <c r="K41" s="422"/>
      <c r="P41" s="422"/>
      <c r="Q41" s="422"/>
      <c r="R41" s="422"/>
      <c r="S41" s="422"/>
    </row>
    <row r="42" spans="1:19" s="421" customFormat="1" x14ac:dyDescent="0.25">
      <c r="A42" s="422"/>
      <c r="B42" s="422" t="s">
        <v>349</v>
      </c>
      <c r="C42" s="422"/>
      <c r="D42" s="422"/>
      <c r="E42" s="422"/>
      <c r="F42" s="78" t="s">
        <v>350</v>
      </c>
      <c r="G42" s="372">
        <f>DATI!E15</f>
        <v>3.098941018792384</v>
      </c>
      <c r="H42" s="422"/>
      <c r="I42" s="422"/>
      <c r="J42" s="422"/>
      <c r="K42" s="422"/>
      <c r="P42" s="422"/>
      <c r="Q42" s="422"/>
      <c r="R42" s="422"/>
      <c r="S42" s="422"/>
    </row>
    <row r="43" spans="1:19" s="421" customFormat="1" x14ac:dyDescent="0.25">
      <c r="A43" s="422"/>
      <c r="B43" s="422" t="s">
        <v>351</v>
      </c>
      <c r="C43" s="422"/>
      <c r="D43" s="422"/>
      <c r="E43" s="422"/>
      <c r="F43" s="621" t="s">
        <v>352</v>
      </c>
      <c r="G43" s="372">
        <f>DATI!E16</f>
        <v>2.1692587131546688</v>
      </c>
      <c r="H43" s="422"/>
      <c r="I43" s="422"/>
      <c r="J43" s="422"/>
      <c r="K43" s="422"/>
      <c r="P43" s="422"/>
      <c r="Q43" s="422"/>
      <c r="R43" s="422"/>
      <c r="S43" s="422"/>
    </row>
    <row r="44" spans="1:19" s="421" customFormat="1" x14ac:dyDescent="0.25">
      <c r="A44" s="422"/>
      <c r="B44" s="422" t="s">
        <v>353</v>
      </c>
      <c r="C44" s="422"/>
      <c r="D44" s="422"/>
      <c r="E44" s="422"/>
      <c r="F44" s="621" t="s">
        <v>354</v>
      </c>
      <c r="G44" s="372">
        <f>DATI!E17</f>
        <v>1.4461724754364458</v>
      </c>
      <c r="H44" s="422"/>
      <c r="I44" s="422"/>
      <c r="J44" s="422"/>
      <c r="K44" s="422"/>
      <c r="L44" s="422"/>
      <c r="P44" s="422"/>
      <c r="Q44" s="422"/>
      <c r="R44" s="422"/>
      <c r="S44" s="422"/>
    </row>
    <row r="45" spans="1:19" s="421" customFormat="1" x14ac:dyDescent="0.25">
      <c r="A45" s="422"/>
      <c r="B45" s="422" t="s">
        <v>355</v>
      </c>
      <c r="C45" s="422"/>
      <c r="D45" s="422"/>
      <c r="E45" s="422"/>
      <c r="F45" s="621" t="s">
        <v>356</v>
      </c>
      <c r="G45" s="372">
        <f>DATI!E18</f>
        <v>3.2538880697320032</v>
      </c>
      <c r="H45" s="422"/>
      <c r="I45" s="422"/>
      <c r="J45" s="422"/>
      <c r="K45" s="422"/>
      <c r="L45" s="422"/>
      <c r="P45" s="422"/>
      <c r="Q45" s="422"/>
      <c r="R45" s="422"/>
      <c r="S45" s="422"/>
    </row>
    <row r="46" spans="1:19" s="421" customFormat="1" x14ac:dyDescent="0.25">
      <c r="A46" s="422"/>
      <c r="B46" s="422" t="s">
        <v>357</v>
      </c>
      <c r="C46" s="422"/>
      <c r="D46" s="422"/>
      <c r="E46" s="422"/>
      <c r="F46" s="621" t="s">
        <v>358</v>
      </c>
      <c r="G46" s="373">
        <f>DATI!E19</f>
        <v>33642.777677364676</v>
      </c>
      <c r="H46" s="422"/>
      <c r="I46" s="422"/>
      <c r="J46" s="422"/>
      <c r="K46" s="422"/>
      <c r="L46" s="422"/>
      <c r="P46" s="422"/>
      <c r="Q46" s="422"/>
      <c r="R46" s="422"/>
      <c r="S46" s="422"/>
    </row>
    <row r="47" spans="1:19" s="421" customFormat="1" x14ac:dyDescent="0.25">
      <c r="A47" s="422"/>
      <c r="B47" s="422" t="s">
        <v>967</v>
      </c>
      <c r="C47" s="422"/>
      <c r="D47" s="422"/>
      <c r="E47" s="422"/>
      <c r="F47" s="423" t="s">
        <v>922</v>
      </c>
      <c r="G47" s="625">
        <v>0.85</v>
      </c>
      <c r="H47" s="422"/>
      <c r="I47" s="422"/>
      <c r="J47" s="422"/>
      <c r="K47" s="422"/>
      <c r="L47" s="422"/>
      <c r="P47" s="422"/>
      <c r="Q47" s="422"/>
      <c r="R47" s="422"/>
      <c r="S47" s="422"/>
    </row>
    <row r="48" spans="1:19" s="421" customFormat="1" x14ac:dyDescent="0.25">
      <c r="A48" s="422"/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P48" s="422"/>
      <c r="Q48" s="422"/>
      <c r="R48" s="422"/>
      <c r="S48" s="422"/>
    </row>
    <row r="49" spans="1:19" s="421" customFormat="1" x14ac:dyDescent="0.25">
      <c r="A49" s="422"/>
      <c r="B49" s="1" t="s">
        <v>359</v>
      </c>
      <c r="C49" s="422"/>
      <c r="D49" s="422"/>
      <c r="E49" s="422"/>
      <c r="F49" s="624"/>
      <c r="G49" s="649"/>
      <c r="H49" s="422"/>
      <c r="I49" s="422"/>
      <c r="J49" s="422"/>
      <c r="K49" s="422"/>
      <c r="L49" s="422"/>
      <c r="P49" s="422"/>
      <c r="Q49" s="422"/>
      <c r="R49" s="422"/>
      <c r="S49" s="422"/>
    </row>
    <row r="50" spans="1:19" s="421" customFormat="1" x14ac:dyDescent="0.25">
      <c r="A50" s="422"/>
      <c r="B50" s="422"/>
      <c r="C50" s="422"/>
      <c r="D50" s="422"/>
      <c r="E50" s="422"/>
      <c r="F50" s="624"/>
      <c r="G50" s="649"/>
      <c r="H50" s="422"/>
      <c r="I50" s="422"/>
      <c r="J50" s="422"/>
      <c r="K50" s="422"/>
      <c r="L50" s="422"/>
      <c r="P50" s="422"/>
      <c r="Q50" s="422"/>
      <c r="R50" s="422"/>
      <c r="S50" s="422"/>
    </row>
    <row r="51" spans="1:19" s="421" customFormat="1" x14ac:dyDescent="0.25">
      <c r="A51" s="422"/>
      <c r="B51" s="422" t="s">
        <v>360</v>
      </c>
      <c r="C51" s="422"/>
      <c r="D51" s="422"/>
      <c r="E51" s="422"/>
      <c r="F51" s="422"/>
      <c r="G51" s="643" t="str">
        <f>DATI!E23</f>
        <v>Fe B450C</v>
      </c>
      <c r="H51" s="422"/>
      <c r="I51" s="422"/>
      <c r="J51" s="422"/>
      <c r="K51" s="422"/>
      <c r="L51" s="422"/>
      <c r="P51" s="422"/>
      <c r="Q51" s="422"/>
      <c r="R51" s="422"/>
      <c r="S51" s="422"/>
    </row>
    <row r="52" spans="1:19" s="421" customFormat="1" x14ac:dyDescent="0.25">
      <c r="A52" s="422"/>
      <c r="B52" s="422"/>
      <c r="C52" s="422"/>
      <c r="D52" s="422"/>
      <c r="E52" s="422"/>
      <c r="F52" s="624"/>
      <c r="G52" s="649"/>
      <c r="H52" s="422"/>
      <c r="I52" s="422"/>
      <c r="J52" s="422"/>
      <c r="K52" s="422"/>
      <c r="L52" s="422"/>
      <c r="P52" s="422"/>
      <c r="Q52" s="422"/>
      <c r="R52" s="422"/>
      <c r="S52" s="422"/>
    </row>
    <row r="53" spans="1:19" s="421" customFormat="1" x14ac:dyDescent="0.25">
      <c r="A53" s="422"/>
      <c r="B53" s="422" t="s">
        <v>353</v>
      </c>
      <c r="C53" s="422"/>
      <c r="D53" s="422"/>
      <c r="E53" s="422"/>
      <c r="F53" s="621" t="s">
        <v>361</v>
      </c>
      <c r="G53" s="371">
        <f>DATI!E25</f>
        <v>391.304347826087</v>
      </c>
      <c r="H53" s="422"/>
      <c r="I53" s="422"/>
      <c r="J53" s="422"/>
      <c r="K53" s="422"/>
      <c r="L53" s="422"/>
      <c r="P53" s="422"/>
      <c r="Q53" s="422"/>
      <c r="R53" s="422"/>
      <c r="S53" s="422"/>
    </row>
    <row r="54" spans="1:19" s="421" customFormat="1" x14ac:dyDescent="0.25">
      <c r="A54" s="422"/>
      <c r="B54" s="422" t="s">
        <v>357</v>
      </c>
      <c r="C54" s="422"/>
      <c r="D54" s="422"/>
      <c r="E54" s="422"/>
      <c r="F54" s="621" t="s">
        <v>358</v>
      </c>
      <c r="G54" s="373">
        <f>DATI!E26</f>
        <v>206000</v>
      </c>
      <c r="H54" s="422"/>
      <c r="I54" s="422"/>
      <c r="J54" s="422"/>
      <c r="K54" s="422"/>
      <c r="L54" s="422"/>
      <c r="P54" s="422"/>
      <c r="Q54" s="422"/>
      <c r="R54" s="422"/>
      <c r="S54" s="422"/>
    </row>
    <row r="55" spans="1:19" s="421" customFormat="1" x14ac:dyDescent="0.25">
      <c r="A55" s="422"/>
      <c r="B55" s="1"/>
      <c r="C55" s="422"/>
      <c r="D55" s="422"/>
      <c r="E55" s="422"/>
      <c r="F55" s="422"/>
      <c r="G55" s="422"/>
      <c r="H55" s="422"/>
      <c r="I55" s="422"/>
      <c r="J55" s="422"/>
      <c r="K55" s="422"/>
      <c r="L55" s="422"/>
      <c r="P55" s="422"/>
      <c r="Q55" s="422"/>
      <c r="R55" s="422"/>
      <c r="S55" s="422"/>
    </row>
    <row r="56" spans="1:19" s="421" customFormat="1" x14ac:dyDescent="0.25">
      <c r="A56" s="422"/>
      <c r="B56" s="1" t="s">
        <v>964</v>
      </c>
      <c r="C56" s="422"/>
      <c r="D56" s="422"/>
      <c r="E56" s="422"/>
      <c r="F56" s="422"/>
      <c r="G56" s="422"/>
      <c r="H56" s="422"/>
      <c r="I56" s="422"/>
      <c r="J56" s="422"/>
      <c r="K56" s="422"/>
      <c r="L56" s="422"/>
      <c r="P56" s="422"/>
      <c r="Q56" s="422"/>
      <c r="R56" s="422"/>
      <c r="S56" s="422"/>
    </row>
    <row r="57" spans="1:19" s="421" customFormat="1" x14ac:dyDescent="0.25">
      <c r="A57" s="422"/>
      <c r="B57" s="1"/>
      <c r="C57" s="422"/>
      <c r="D57" s="422"/>
      <c r="E57" s="422"/>
      <c r="F57" s="422"/>
      <c r="G57" s="422"/>
      <c r="H57" s="422"/>
      <c r="I57" s="422"/>
      <c r="J57" s="422"/>
      <c r="K57" s="422"/>
      <c r="L57" s="422"/>
      <c r="P57" s="422"/>
      <c r="Q57" s="422"/>
      <c r="R57" s="422"/>
      <c r="S57" s="422"/>
    </row>
    <row r="58" spans="1:19" s="421" customFormat="1" x14ac:dyDescent="0.25">
      <c r="A58" s="422"/>
      <c r="B58" s="422" t="s">
        <v>965</v>
      </c>
      <c r="C58" s="422"/>
      <c r="D58" s="422"/>
      <c r="E58" s="422"/>
      <c r="F58" s="423" t="s">
        <v>1008</v>
      </c>
      <c r="G58" s="572">
        <v>1.8699999999999999E-3</v>
      </c>
      <c r="H58" s="422"/>
      <c r="I58" s="422"/>
      <c r="J58" s="422"/>
      <c r="K58" s="422"/>
      <c r="L58" s="422"/>
      <c r="P58" s="422"/>
      <c r="Q58" s="422"/>
      <c r="R58" s="422"/>
      <c r="S58" s="422"/>
    </row>
    <row r="59" spans="1:19" s="421" customFormat="1" x14ac:dyDescent="0.25">
      <c r="A59" s="422"/>
      <c r="B59" s="422" t="s">
        <v>965</v>
      </c>
      <c r="C59" s="422"/>
      <c r="D59" s="422"/>
      <c r="E59" s="422"/>
      <c r="F59" s="423" t="s">
        <v>1009</v>
      </c>
      <c r="G59" s="572">
        <v>6.5000000000000002E-2</v>
      </c>
      <c r="H59" s="422"/>
      <c r="I59" s="422"/>
      <c r="J59" s="422"/>
      <c r="K59" s="422"/>
      <c r="L59" s="422"/>
      <c r="P59" s="422"/>
      <c r="Q59" s="422"/>
      <c r="R59" s="422"/>
      <c r="S59" s="422"/>
    </row>
    <row r="60" spans="1:19" s="421" customFormat="1" x14ac:dyDescent="0.25">
      <c r="A60" s="422"/>
      <c r="B60" s="422" t="s">
        <v>966</v>
      </c>
      <c r="C60" s="422"/>
      <c r="D60" s="422"/>
      <c r="E60" s="422"/>
      <c r="F60" s="423" t="s">
        <v>923</v>
      </c>
      <c r="G60" s="572">
        <v>3.5000000000000001E-3</v>
      </c>
      <c r="H60" s="422"/>
      <c r="I60" s="422"/>
      <c r="J60" s="422"/>
      <c r="K60" s="422"/>
      <c r="L60" s="422"/>
      <c r="P60" s="422"/>
      <c r="Q60" s="422"/>
      <c r="R60" s="422"/>
      <c r="S60" s="422"/>
    </row>
    <row r="61" spans="1:19" s="421" customFormat="1" x14ac:dyDescent="0.25">
      <c r="A61" s="422"/>
      <c r="B61" s="422"/>
      <c r="C61" s="422"/>
      <c r="D61" s="422"/>
      <c r="E61" s="422"/>
      <c r="F61" s="422"/>
      <c r="G61" s="422"/>
      <c r="H61" s="422"/>
      <c r="I61" s="422"/>
      <c r="J61" s="422"/>
      <c r="K61" s="422"/>
      <c r="L61" s="422"/>
      <c r="P61" s="422"/>
      <c r="Q61" s="422"/>
      <c r="R61" s="422"/>
      <c r="S61" s="422"/>
    </row>
    <row r="62" spans="1:19" s="421" customFormat="1" ht="15.75" x14ac:dyDescent="0.25">
      <c r="A62" s="422"/>
      <c r="B62" s="14" t="s">
        <v>888</v>
      </c>
      <c r="C62" s="422"/>
      <c r="D62" s="422"/>
      <c r="E62" s="422"/>
      <c r="F62" s="422"/>
      <c r="G62" s="422"/>
      <c r="H62" s="422"/>
      <c r="I62" s="422"/>
      <c r="J62" s="422"/>
      <c r="K62" s="422"/>
      <c r="L62" s="422"/>
      <c r="P62" s="422"/>
      <c r="Q62" s="422"/>
      <c r="R62" s="422"/>
      <c r="S62" s="422"/>
    </row>
    <row r="63" spans="1:19" s="421" customFormat="1" x14ac:dyDescent="0.25">
      <c r="A63" s="422"/>
      <c r="B63" s="1"/>
      <c r="C63" s="422"/>
      <c r="D63" s="422"/>
      <c r="E63" s="422"/>
      <c r="F63" s="422"/>
      <c r="G63" s="422"/>
      <c r="H63" s="422"/>
      <c r="I63" s="422"/>
      <c r="J63" s="422"/>
      <c r="K63" s="422"/>
      <c r="L63" s="422"/>
      <c r="P63" s="422"/>
      <c r="Q63" s="422"/>
      <c r="R63" s="422"/>
      <c r="S63" s="422"/>
    </row>
    <row r="64" spans="1:19" s="421" customFormat="1" x14ac:dyDescent="0.25">
      <c r="A64" s="422"/>
      <c r="B64" s="422" t="s">
        <v>746</v>
      </c>
      <c r="C64" s="422"/>
      <c r="D64" s="422"/>
      <c r="E64" s="422"/>
      <c r="F64" s="801" t="str">
        <f>IF(SPINTE!H87&lt;=SPINTE!H93,"CONDIZIONI DRENATE","CONDIZIONI NON DRENATE")</f>
        <v>CONDIZIONI DRENATE</v>
      </c>
      <c r="G64" s="801"/>
      <c r="H64" s="422"/>
      <c r="I64" s="422"/>
      <c r="J64" s="422"/>
      <c r="K64" s="422"/>
      <c r="L64" s="422"/>
      <c r="P64" s="422"/>
      <c r="Q64" s="422"/>
      <c r="R64" s="422"/>
      <c r="S64" s="422"/>
    </row>
    <row r="65" spans="1:25" s="421" customFormat="1" x14ac:dyDescent="0.25">
      <c r="A65" s="422"/>
      <c r="B65" s="422"/>
      <c r="C65" s="422"/>
      <c r="D65" s="422"/>
      <c r="E65" s="422"/>
      <c r="F65" s="422"/>
      <c r="G65" s="422"/>
      <c r="H65" s="422"/>
      <c r="I65" s="422"/>
      <c r="J65" s="422"/>
      <c r="K65" s="422"/>
      <c r="L65" s="422"/>
      <c r="P65" s="422"/>
      <c r="Q65" s="422"/>
      <c r="R65" s="422"/>
      <c r="S65" s="422"/>
    </row>
    <row r="66" spans="1:25" s="421" customFormat="1" x14ac:dyDescent="0.25">
      <c r="A66" s="422"/>
      <c r="B66" s="422" t="s">
        <v>747</v>
      </c>
      <c r="C66" s="441"/>
      <c r="D66" s="422"/>
      <c r="E66" s="422"/>
      <c r="F66" s="432" t="s">
        <v>904</v>
      </c>
      <c r="G66" s="654">
        <f>MAXA(SPINTE!H87,SPINTE!H93)</f>
        <v>367.76933278733725</v>
      </c>
      <c r="H66" s="422"/>
      <c r="I66" s="422"/>
      <c r="J66" s="422"/>
      <c r="K66" s="422"/>
      <c r="L66" s="422"/>
      <c r="P66" s="422"/>
      <c r="Q66" s="422"/>
      <c r="R66" s="422"/>
      <c r="S66" s="422"/>
    </row>
    <row r="67" spans="1:25" x14ac:dyDescent="0.25">
      <c r="A67" s="422"/>
      <c r="B67" s="529" t="s">
        <v>748</v>
      </c>
      <c r="C67" s="529"/>
      <c r="D67" s="529"/>
      <c r="E67" s="529"/>
      <c r="F67" s="432" t="s">
        <v>560</v>
      </c>
      <c r="G67" s="354">
        <f>MAXA(SPINTE!H88,SPINTE!H94)</f>
        <v>673.73630342786589</v>
      </c>
      <c r="H67" s="422"/>
      <c r="I67" s="422"/>
      <c r="J67" s="422"/>
      <c r="K67" s="2"/>
      <c r="L67" s="2"/>
      <c r="P67" s="2"/>
      <c r="Q67" s="2"/>
      <c r="R67" s="2"/>
      <c r="S67" s="2"/>
    </row>
    <row r="68" spans="1:25" x14ac:dyDescent="0.25">
      <c r="A68" s="422"/>
      <c r="B68" s="529" t="s">
        <v>487</v>
      </c>
      <c r="C68" s="529"/>
      <c r="D68" s="529"/>
      <c r="E68" s="529"/>
      <c r="F68" s="624" t="s">
        <v>749</v>
      </c>
      <c r="G68" s="535">
        <f>DATI!G209</f>
        <v>5.0320615922608809</v>
      </c>
      <c r="H68" s="422"/>
      <c r="I68" s="422"/>
      <c r="J68" s="422"/>
      <c r="K68" s="2"/>
      <c r="L68" s="2"/>
      <c r="P68" s="2"/>
      <c r="Q68" s="2"/>
      <c r="R68" s="2"/>
      <c r="S68" s="2"/>
    </row>
    <row r="69" spans="1:25" x14ac:dyDescent="0.25">
      <c r="A69" s="422"/>
      <c r="B69" s="529" t="s">
        <v>750</v>
      </c>
      <c r="C69" s="529"/>
      <c r="D69" s="529"/>
      <c r="E69" s="529"/>
      <c r="F69" s="624" t="s">
        <v>751</v>
      </c>
      <c r="G69" s="535">
        <f>'FOGLIO DEPOSITO'!D123+'FOGLIO DEPOSITO'!D121</f>
        <v>4.8</v>
      </c>
      <c r="H69" s="422"/>
      <c r="I69" s="422"/>
      <c r="J69" s="422"/>
      <c r="K69" s="2"/>
      <c r="L69" s="2"/>
      <c r="P69" s="2"/>
      <c r="Q69" s="2"/>
      <c r="R69" s="2"/>
      <c r="S69" s="2"/>
    </row>
    <row r="70" spans="1:25" x14ac:dyDescent="0.25">
      <c r="A70" s="422"/>
      <c r="B70" s="1008" t="s">
        <v>1007</v>
      </c>
      <c r="C70" s="1008"/>
      <c r="D70" s="1008"/>
      <c r="E70" s="529"/>
      <c r="F70" s="624" t="s">
        <v>1006</v>
      </c>
      <c r="G70" s="535">
        <f>'SOLLECITAZ NASCOSTO'!D4</f>
        <v>4.3</v>
      </c>
      <c r="H70" s="422"/>
      <c r="I70" s="422"/>
      <c r="J70" s="422"/>
      <c r="K70" s="2"/>
      <c r="L70" s="2"/>
      <c r="P70" s="2"/>
      <c r="Q70" s="2"/>
      <c r="R70" s="2"/>
      <c r="S70" s="2"/>
    </row>
    <row r="71" spans="1:25" x14ac:dyDescent="0.25">
      <c r="A71" s="422"/>
      <c r="B71" s="422"/>
      <c r="C71" s="422"/>
      <c r="D71" s="422"/>
      <c r="E71" s="422"/>
      <c r="F71" s="422"/>
      <c r="G71" s="422"/>
      <c r="H71" s="422"/>
      <c r="I71" s="422"/>
      <c r="J71" s="422"/>
      <c r="K71" s="2"/>
      <c r="L71" s="2"/>
      <c r="P71" s="2"/>
      <c r="Q71" s="2"/>
      <c r="R71" s="2"/>
      <c r="S71" s="2"/>
    </row>
    <row r="72" spans="1:25" x14ac:dyDescent="0.25">
      <c r="A72" s="422"/>
      <c r="B72" s="422"/>
      <c r="C72" s="422"/>
      <c r="D72" s="422"/>
      <c r="E72" s="422"/>
      <c r="F72" s="422"/>
      <c r="G72" s="422"/>
      <c r="H72" s="422"/>
      <c r="I72" s="422"/>
      <c r="J72" s="422"/>
      <c r="K72" s="2"/>
      <c r="L72" s="2"/>
      <c r="P72" s="2"/>
      <c r="Q72" s="2"/>
      <c r="R72" s="2"/>
      <c r="S72" s="2"/>
    </row>
    <row r="73" spans="1:25" ht="15.75" x14ac:dyDescent="0.25">
      <c r="A73" s="422"/>
      <c r="B73" s="14" t="s">
        <v>887</v>
      </c>
      <c r="C73" s="422"/>
      <c r="D73" s="422"/>
      <c r="E73" s="422"/>
      <c r="F73" s="422"/>
      <c r="G73" s="422"/>
      <c r="H73" s="422"/>
      <c r="I73" s="422"/>
      <c r="J73" s="422"/>
      <c r="K73" s="2"/>
      <c r="L73" s="2"/>
      <c r="P73" s="2"/>
      <c r="Q73" s="2"/>
      <c r="R73" s="2"/>
      <c r="S73" s="2"/>
    </row>
    <row r="74" spans="1:25" x14ac:dyDescent="0.25">
      <c r="A74" s="422"/>
      <c r="B74" s="422"/>
      <c r="C74" s="422"/>
      <c r="D74" s="422"/>
      <c r="E74" s="422"/>
      <c r="F74" s="422"/>
      <c r="G74" s="422"/>
      <c r="H74" s="422"/>
      <c r="I74" s="422"/>
      <c r="J74" s="422"/>
      <c r="K74" s="2"/>
      <c r="L74" s="2"/>
      <c r="M74" s="2"/>
      <c r="N74" s="2"/>
      <c r="O74" s="2"/>
      <c r="P74" s="2"/>
      <c r="Q74" s="2"/>
      <c r="R74" s="2"/>
      <c r="S74" s="2"/>
    </row>
    <row r="75" spans="1:25" x14ac:dyDescent="0.25">
      <c r="A75" s="422"/>
      <c r="B75" s="422"/>
      <c r="C75" s="1001" t="str">
        <f>IF(SPINTE!B217='FOGLIO DEPOSITO'!AD174,"Accendi i grafici in analisi delle spinte per visualizzare correttamente l'andamento dei carichi",IF(SPINTE!B220='FOGLIO DEPOSITO'!AD171,"accendi i grafici in analisi delle spinte per visualizzare correttamente l'andamento dei carichi",""))</f>
        <v/>
      </c>
      <c r="D75" s="1001"/>
      <c r="E75" s="1001"/>
      <c r="F75" s="422"/>
      <c r="G75" s="422"/>
      <c r="H75" s="422"/>
      <c r="I75" s="422"/>
      <c r="J75" s="422"/>
      <c r="K75" s="2"/>
      <c r="L75" s="2"/>
      <c r="M75" s="2"/>
      <c r="N75" s="2"/>
      <c r="O75" s="2"/>
      <c r="P75" s="2"/>
      <c r="Q75" s="2"/>
      <c r="R75" s="2"/>
      <c r="S75" s="437"/>
      <c r="T75" s="435"/>
      <c r="U75" s="435"/>
      <c r="V75" s="435"/>
      <c r="W75" s="435"/>
      <c r="X75" s="435"/>
      <c r="Y75" s="435"/>
    </row>
    <row r="76" spans="1:25" x14ac:dyDescent="0.25">
      <c r="A76" s="422"/>
      <c r="B76" s="422"/>
      <c r="C76" s="1001"/>
      <c r="D76" s="1001"/>
      <c r="E76" s="1001"/>
      <c r="F76" s="422"/>
      <c r="G76" s="422"/>
      <c r="H76" s="422"/>
      <c r="I76" s="422"/>
      <c r="J76" s="422"/>
      <c r="K76" s="2"/>
      <c r="L76" s="2"/>
      <c r="P76" s="2"/>
      <c r="Q76" s="2"/>
      <c r="R76" s="2"/>
      <c r="S76" s="437"/>
      <c r="T76" s="435"/>
      <c r="U76" s="435"/>
      <c r="V76" s="435"/>
      <c r="W76" s="435"/>
      <c r="X76" s="435"/>
      <c r="Y76" s="435"/>
    </row>
    <row r="77" spans="1:25" x14ac:dyDescent="0.25">
      <c r="A77" s="422"/>
      <c r="B77" s="422"/>
      <c r="C77" s="1001"/>
      <c r="D77" s="1001"/>
      <c r="E77" s="1001"/>
      <c r="F77" s="422"/>
      <c r="G77" s="422"/>
      <c r="H77" s="422"/>
      <c r="I77" s="422"/>
      <c r="J77" s="422"/>
      <c r="K77" s="2"/>
      <c r="L77" s="2"/>
      <c r="P77" s="2"/>
      <c r="Q77" s="2"/>
      <c r="R77" s="2"/>
      <c r="S77" s="437"/>
      <c r="T77" s="435"/>
      <c r="U77" s="435"/>
      <c r="V77" s="435"/>
      <c r="W77" s="435"/>
      <c r="X77" s="435"/>
      <c r="Y77" s="435"/>
    </row>
    <row r="78" spans="1:25" x14ac:dyDescent="0.25">
      <c r="A78" s="422"/>
      <c r="B78" s="422"/>
      <c r="C78" s="1001"/>
      <c r="D78" s="1001"/>
      <c r="E78" s="1001"/>
      <c r="F78" s="422"/>
      <c r="G78" s="422"/>
      <c r="H78" s="422"/>
      <c r="I78" s="422"/>
      <c r="J78" s="422"/>
      <c r="K78" s="2"/>
      <c r="L78" s="2"/>
      <c r="P78" s="2"/>
      <c r="Q78" s="2"/>
      <c r="R78" s="2"/>
      <c r="S78" s="437"/>
      <c r="T78" s="435"/>
      <c r="U78" s="435"/>
      <c r="V78" s="435"/>
      <c r="W78" s="435"/>
      <c r="X78" s="435"/>
      <c r="Y78" s="435"/>
    </row>
    <row r="79" spans="1:25" x14ac:dyDescent="0.25">
      <c r="A79" s="422"/>
      <c r="B79" s="422"/>
      <c r="C79" s="1001"/>
      <c r="D79" s="1001"/>
      <c r="E79" s="1001"/>
      <c r="F79" s="422"/>
      <c r="G79" s="422"/>
      <c r="K79" s="2"/>
      <c r="L79" s="2"/>
      <c r="P79" s="2"/>
      <c r="Q79" s="2"/>
      <c r="R79" s="2"/>
      <c r="S79" s="437"/>
      <c r="T79" s="435"/>
      <c r="U79" s="435"/>
      <c r="V79" s="435"/>
      <c r="W79" s="435"/>
      <c r="X79" s="435"/>
      <c r="Y79" s="435"/>
    </row>
    <row r="80" spans="1:25" x14ac:dyDescent="0.25">
      <c r="A80" s="422"/>
      <c r="B80" s="422"/>
      <c r="C80" s="1001"/>
      <c r="D80" s="1001"/>
      <c r="E80" s="1001"/>
      <c r="F80" s="422"/>
      <c r="G80" s="422"/>
      <c r="K80" s="2"/>
      <c r="L80" s="2"/>
      <c r="P80" s="2"/>
      <c r="Q80" s="2"/>
      <c r="R80" s="2"/>
      <c r="S80" s="437"/>
      <c r="T80" s="435"/>
      <c r="U80" s="435"/>
      <c r="V80" s="435"/>
      <c r="W80" s="435"/>
      <c r="X80" s="435"/>
      <c r="Y80" s="435"/>
    </row>
    <row r="81" spans="1:19" ht="18.75" x14ac:dyDescent="0.3">
      <c r="A81" s="422"/>
      <c r="B81" s="429"/>
      <c r="C81" s="1001"/>
      <c r="D81" s="1001"/>
      <c r="E81" s="1001"/>
      <c r="F81" s="19"/>
      <c r="G81" s="23"/>
      <c r="K81" s="2"/>
      <c r="L81" s="2"/>
      <c r="P81" s="2"/>
      <c r="Q81" s="2"/>
      <c r="R81" s="2"/>
      <c r="S81" s="2"/>
    </row>
    <row r="82" spans="1:19" x14ac:dyDescent="0.25">
      <c r="A82" s="422"/>
      <c r="B82" s="422"/>
      <c r="C82" s="1001"/>
      <c r="D82" s="1001"/>
      <c r="E82" s="1001"/>
      <c r="F82" s="19"/>
      <c r="G82" s="23"/>
      <c r="K82" s="2"/>
      <c r="L82" s="2"/>
      <c r="P82" s="2"/>
      <c r="Q82" s="2"/>
      <c r="R82" s="2"/>
      <c r="S82" s="2"/>
    </row>
    <row r="83" spans="1:19" x14ac:dyDescent="0.25">
      <c r="A83" s="422"/>
      <c r="B83" s="441"/>
      <c r="C83" s="1001"/>
      <c r="D83" s="1001"/>
      <c r="E83" s="1001"/>
      <c r="F83" s="525"/>
      <c r="G83" s="525"/>
      <c r="K83" s="2"/>
      <c r="L83" s="2"/>
      <c r="P83" s="2"/>
      <c r="Q83" s="2"/>
      <c r="R83" s="2"/>
      <c r="S83" s="2"/>
    </row>
    <row r="84" spans="1:19" ht="15" customHeight="1" x14ac:dyDescent="0.25">
      <c r="A84" s="422"/>
      <c r="B84" s="441"/>
      <c r="C84" s="1001"/>
      <c r="D84" s="1001"/>
      <c r="E84" s="1001"/>
      <c r="F84" s="525"/>
      <c r="G84" s="525"/>
      <c r="K84" s="2"/>
      <c r="L84" s="2"/>
      <c r="P84" s="2"/>
      <c r="Q84" s="2"/>
      <c r="R84" s="2"/>
      <c r="S84" s="2"/>
    </row>
    <row r="85" spans="1:19" ht="15" customHeight="1" x14ac:dyDescent="0.25">
      <c r="A85" s="422"/>
      <c r="B85" s="441"/>
      <c r="C85" s="1001"/>
      <c r="D85" s="1001"/>
      <c r="E85" s="1001"/>
      <c r="F85" s="632"/>
      <c r="G85" s="422"/>
      <c r="K85" s="2"/>
      <c r="L85" s="2"/>
      <c r="P85" s="2"/>
      <c r="Q85" s="2"/>
      <c r="R85" s="2"/>
      <c r="S85" s="2"/>
    </row>
    <row r="86" spans="1:19" ht="15" customHeight="1" x14ac:dyDescent="0.25">
      <c r="A86" s="422"/>
      <c r="B86" s="441"/>
      <c r="C86" s="1001"/>
      <c r="D86" s="1001"/>
      <c r="E86" s="1001"/>
      <c r="F86" s="632"/>
      <c r="G86" s="422"/>
      <c r="K86" s="2"/>
      <c r="L86" s="2"/>
      <c r="P86" s="2"/>
      <c r="Q86" s="2"/>
      <c r="R86" s="2"/>
      <c r="S86" s="2"/>
    </row>
    <row r="87" spans="1:19" ht="15" customHeight="1" x14ac:dyDescent="0.25">
      <c r="A87" s="422"/>
      <c r="B87" s="422"/>
      <c r="C87" s="422"/>
      <c r="D87" s="422"/>
      <c r="E87" s="422"/>
      <c r="F87" s="422"/>
      <c r="G87" s="422"/>
      <c r="K87" s="2"/>
      <c r="L87" s="2"/>
      <c r="P87" s="2"/>
      <c r="Q87" s="2"/>
      <c r="R87" s="2"/>
      <c r="S87" s="2"/>
    </row>
    <row r="88" spans="1:19" ht="15" customHeight="1" x14ac:dyDescent="0.25">
      <c r="A88" s="422"/>
      <c r="B88" s="422"/>
      <c r="C88" s="422"/>
      <c r="D88" s="422"/>
      <c r="E88" s="422"/>
      <c r="F88" s="422"/>
      <c r="G88" s="422"/>
      <c r="K88" s="2"/>
      <c r="L88" s="2"/>
      <c r="P88" s="2"/>
      <c r="Q88" s="2"/>
      <c r="R88" s="2"/>
      <c r="S88" s="2"/>
    </row>
    <row r="89" spans="1:19" ht="15" customHeight="1" x14ac:dyDescent="0.25">
      <c r="A89" s="422"/>
      <c r="B89" s="422"/>
      <c r="C89" s="422"/>
      <c r="D89" s="422"/>
      <c r="E89" s="422"/>
      <c r="F89" s="422"/>
      <c r="G89" s="422"/>
      <c r="K89" s="2"/>
      <c r="L89" s="2"/>
      <c r="P89" s="2"/>
      <c r="Q89" s="2"/>
      <c r="R89" s="2"/>
      <c r="S89" s="2"/>
    </row>
    <row r="90" spans="1:19" ht="15" customHeight="1" x14ac:dyDescent="0.25">
      <c r="A90" s="422"/>
      <c r="B90" s="422"/>
      <c r="C90" s="422"/>
      <c r="D90" s="422"/>
      <c r="E90" s="422"/>
      <c r="F90" s="422"/>
      <c r="G90" s="422"/>
      <c r="K90" s="2"/>
      <c r="L90" s="2"/>
      <c r="P90" s="2"/>
      <c r="Q90" s="2"/>
      <c r="R90" s="2"/>
      <c r="S90" s="2"/>
    </row>
    <row r="91" spans="1:19" x14ac:dyDescent="0.25">
      <c r="A91" s="422"/>
      <c r="B91" s="432"/>
      <c r="C91" s="3"/>
      <c r="D91" s="422"/>
      <c r="E91" s="422"/>
      <c r="F91" s="422"/>
      <c r="G91" s="422"/>
      <c r="H91" s="422"/>
      <c r="I91" s="422"/>
      <c r="J91" s="422"/>
      <c r="K91" s="2"/>
      <c r="L91" s="2"/>
      <c r="P91" s="2"/>
      <c r="Q91" s="2"/>
      <c r="R91" s="2"/>
      <c r="S91" s="2"/>
    </row>
    <row r="92" spans="1:19" ht="15" customHeight="1" x14ac:dyDescent="0.25">
      <c r="A92" s="422"/>
      <c r="B92" s="432"/>
      <c r="C92" s="3"/>
      <c r="D92" s="68"/>
      <c r="E92" s="624"/>
      <c r="F92" s="632"/>
      <c r="G92" s="422"/>
      <c r="I92" s="558"/>
      <c r="J92" s="558"/>
      <c r="K92" s="558"/>
      <c r="L92" s="558"/>
      <c r="M92" s="558"/>
      <c r="N92" s="558"/>
      <c r="P92" s="2"/>
      <c r="Q92" s="2"/>
      <c r="R92" s="2"/>
      <c r="S92" s="2"/>
    </row>
    <row r="93" spans="1:19" ht="15" customHeight="1" x14ac:dyDescent="0.25">
      <c r="A93" s="422"/>
      <c r="B93" s="422"/>
      <c r="C93" s="422"/>
      <c r="D93" s="422"/>
      <c r="E93" s="422"/>
      <c r="F93" s="422"/>
      <c r="G93" s="422"/>
      <c r="I93" s="558"/>
      <c r="J93" s="558"/>
      <c r="K93" s="558"/>
      <c r="L93" s="558"/>
      <c r="M93" s="558"/>
      <c r="N93" s="558"/>
      <c r="P93" s="2"/>
      <c r="Q93" s="2"/>
      <c r="R93" s="2"/>
      <c r="S93" s="2"/>
    </row>
    <row r="94" spans="1:19" ht="15" customHeight="1" x14ac:dyDescent="0.25">
      <c r="A94" s="422"/>
      <c r="B94" s="422"/>
      <c r="C94" s="422"/>
      <c r="D94" s="422"/>
      <c r="E94" s="422"/>
      <c r="F94" s="422"/>
      <c r="G94" s="422"/>
      <c r="I94" s="558"/>
      <c r="J94" s="558"/>
      <c r="K94" s="558"/>
      <c r="L94" s="558"/>
      <c r="M94" s="558"/>
      <c r="N94" s="558"/>
      <c r="O94" s="435"/>
      <c r="P94" s="437"/>
      <c r="Q94" s="437"/>
      <c r="R94" s="437"/>
      <c r="S94" s="2"/>
    </row>
    <row r="95" spans="1:19" ht="15" customHeight="1" x14ac:dyDescent="0.25">
      <c r="A95" s="422"/>
      <c r="B95" s="422"/>
      <c r="C95" s="422"/>
      <c r="D95" s="422"/>
      <c r="E95" s="422"/>
      <c r="F95" s="422"/>
      <c r="G95" s="422"/>
      <c r="I95" s="558"/>
      <c r="J95" s="558"/>
      <c r="K95" s="558"/>
      <c r="L95" s="558"/>
      <c r="M95" s="558"/>
      <c r="N95" s="558"/>
      <c r="O95" s="435"/>
      <c r="P95" s="437"/>
      <c r="Q95" s="437"/>
      <c r="R95" s="437"/>
      <c r="S95" s="2"/>
    </row>
    <row r="96" spans="1:19" x14ac:dyDescent="0.25">
      <c r="A96" s="422"/>
      <c r="B96" s="422"/>
      <c r="C96" s="422"/>
      <c r="D96" s="422"/>
      <c r="E96" s="422"/>
      <c r="F96" s="422"/>
      <c r="G96" s="422"/>
      <c r="H96" s="422"/>
      <c r="I96" s="23"/>
      <c r="J96" s="23"/>
      <c r="K96" s="166"/>
      <c r="L96" s="166"/>
      <c r="M96" s="166"/>
      <c r="N96" s="166"/>
      <c r="O96" s="437"/>
      <c r="P96" s="437"/>
      <c r="Q96" s="437"/>
      <c r="R96" s="437"/>
      <c r="S96" s="2"/>
    </row>
    <row r="97" spans="1:19" s="421" customFormat="1" x14ac:dyDescent="0.25">
      <c r="A97" s="422"/>
      <c r="B97" s="422"/>
      <c r="C97" s="422"/>
      <c r="D97" s="422"/>
      <c r="E97" s="422"/>
      <c r="F97" s="422"/>
      <c r="G97" s="422"/>
      <c r="H97" s="422"/>
      <c r="I97" s="422"/>
      <c r="J97" s="422"/>
      <c r="K97" s="437"/>
      <c r="L97" s="437"/>
      <c r="M97" s="437"/>
      <c r="N97" s="437"/>
      <c r="O97" s="437"/>
      <c r="P97" s="437"/>
      <c r="Q97" s="437"/>
      <c r="R97" s="437"/>
      <c r="S97" s="422"/>
    </row>
    <row r="98" spans="1:19" s="421" customFormat="1" x14ac:dyDescent="0.25">
      <c r="A98" s="422"/>
      <c r="B98" s="422"/>
      <c r="C98" s="422"/>
      <c r="D98" s="422"/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</row>
    <row r="99" spans="1:19" s="421" customFormat="1" x14ac:dyDescent="0.25">
      <c r="A99" s="422"/>
      <c r="B99" s="422"/>
      <c r="C99" s="422"/>
      <c r="D99" s="422"/>
      <c r="E99" s="422"/>
      <c r="F99" s="422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422"/>
      <c r="S99" s="422"/>
    </row>
    <row r="100" spans="1:19" s="421" customFormat="1" ht="21" customHeight="1" x14ac:dyDescent="0.25">
      <c r="A100" s="422"/>
      <c r="B100" s="1009" t="s">
        <v>22</v>
      </c>
      <c r="C100" s="1010" t="s">
        <v>893</v>
      </c>
      <c r="D100" s="942" t="s">
        <v>891</v>
      </c>
      <c r="E100" s="1012" t="s">
        <v>892</v>
      </c>
      <c r="F100" s="1012" t="s">
        <v>890</v>
      </c>
      <c r="G100" s="1000" t="s">
        <v>837</v>
      </c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</row>
    <row r="101" spans="1:19" s="421" customFormat="1" ht="21" customHeight="1" x14ac:dyDescent="0.25">
      <c r="A101" s="422"/>
      <c r="B101" s="1009"/>
      <c r="C101" s="1010"/>
      <c r="D101" s="942"/>
      <c r="E101" s="1012"/>
      <c r="F101" s="1012"/>
      <c r="G101" s="1000"/>
      <c r="H101" s="422"/>
      <c r="I101" s="422"/>
      <c r="J101" s="422"/>
      <c r="K101" s="422"/>
      <c r="L101" s="422"/>
      <c r="M101" s="422"/>
      <c r="N101" s="422"/>
      <c r="O101" s="422"/>
      <c r="P101" s="422"/>
      <c r="Q101" s="422"/>
      <c r="R101" s="422"/>
      <c r="S101" s="422"/>
    </row>
    <row r="102" spans="1:19" s="421" customFormat="1" x14ac:dyDescent="0.25">
      <c r="A102" s="422"/>
      <c r="B102" s="1009"/>
      <c r="C102" s="1010"/>
      <c r="D102" s="942"/>
      <c r="E102" s="1012"/>
      <c r="F102" s="1012"/>
      <c r="G102" s="1000"/>
      <c r="H102" s="422"/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2"/>
    </row>
    <row r="103" spans="1:19" s="421" customFormat="1" x14ac:dyDescent="0.25">
      <c r="A103" s="422"/>
      <c r="B103" s="535">
        <f>'SOLLECITAZ NASCOSTO'!$D$7-'SOLLECITAZ NASCOSTO'!P3</f>
        <v>5.0320615922608809</v>
      </c>
      <c r="C103" s="535">
        <f>'ANALISI DELLE SPINTE'!D8</f>
        <v>0</v>
      </c>
      <c r="D103" s="638">
        <f>COS(RADIANS(SPINTE!D37+IF(DATI!G211="SX",0,'FOGLIO DEPOSITO'!D196)))</f>
        <v>0.87002745361256884</v>
      </c>
      <c r="E103" s="625">
        <f>'SOLLECITAZ NASCOSTO'!$Y$100*'SOLLECITAZ NASCOSTO'!P3+'SOLLECITAZ NASCOSTO'!$Y$101</f>
        <v>11.257756890696893</v>
      </c>
      <c r="F103" s="625">
        <f>IF(SPINTE!G82="",0,('ANALISI DELLE SPINTE'!C59)/'SOLLECITAZ NASCOSTO'!D7)</f>
        <v>0</v>
      </c>
      <c r="G103" s="528">
        <f>IF(SPINTE!$H$87&gt;=SPINTE!$H$93,'FOGLIO DEPOSITO'!K225,'FOGLIO DEPOSITO'!K242)*DATI!$E$61*D103+F103+E103</f>
        <v>13.472346174690138</v>
      </c>
      <c r="H103" s="422"/>
      <c r="K103" s="422"/>
      <c r="L103" s="422"/>
      <c r="M103" s="422"/>
      <c r="N103" s="422"/>
      <c r="O103" s="422"/>
      <c r="P103" s="422"/>
      <c r="Q103" s="422"/>
      <c r="R103" s="422"/>
      <c r="S103" s="422"/>
    </row>
    <row r="104" spans="1:19" s="421" customFormat="1" x14ac:dyDescent="0.25">
      <c r="A104" s="422"/>
      <c r="B104" s="535">
        <f>'SOLLECITAZ NASCOSTO'!$D$7-'SOLLECITAZ NASCOSTO'!P5</f>
        <v>0</v>
      </c>
      <c r="C104" s="535">
        <f>'ANALISI DELLE SPINTE'!D9</f>
        <v>5.03206159226088</v>
      </c>
      <c r="D104" s="638">
        <f>COS(RADIANS(SPINTE!D37+IF(DATI!G211="SX",0,'FOGLIO DEPOSITO'!D196)))</f>
        <v>0.87002745361256884</v>
      </c>
      <c r="E104" s="625">
        <f>'SOLLECITAZ NASCOSTO'!$Y$100*'SOLLECITAZ NASCOSTO'!P5+'SOLLECITAZ NASCOSTO'!$Y$101</f>
        <v>23.761307901030953</v>
      </c>
      <c r="F104" s="625">
        <f>F103</f>
        <v>0</v>
      </c>
      <c r="G104" s="528">
        <f>IF(SPINTE!$H$87&gt;=SPINTE!$H$93,'FOGLIO DEPOSITO'!K226,'FOGLIO DEPOSITO'!K243)*DATI!$E$61*D104+F104+E104</f>
        <v>132.69809551980444</v>
      </c>
      <c r="H104" s="422"/>
      <c r="K104" s="422"/>
      <c r="L104" s="422"/>
      <c r="M104" s="422"/>
      <c r="N104" s="422"/>
      <c r="O104" s="422"/>
      <c r="P104" s="422"/>
      <c r="Q104" s="422"/>
      <c r="R104" s="422"/>
      <c r="S104" s="422"/>
    </row>
    <row r="105" spans="1:19" s="421" customFormat="1" x14ac:dyDescent="0.25">
      <c r="A105" s="422"/>
      <c r="B105" s="535">
        <f>'SOLLECITAZ NASCOSTO'!$D$7-'SOLLECITAZ NASCOSTO'!P6</f>
        <v>0</v>
      </c>
      <c r="C105" s="535">
        <f>'ANALISI DELLE SPINTE'!D10-C104</f>
        <v>0</v>
      </c>
      <c r="D105" s="638">
        <f>COS(RADIANS(SPINTE!D37+IF(DATI!G211="SX",0,'FOGLIO DEPOSITO'!D196)))</f>
        <v>0.87002745361256884</v>
      </c>
      <c r="E105" s="625">
        <f>'SOLLECITAZ NASCOSTO'!$Y$100*'SOLLECITAZ NASCOSTO'!P6+'SOLLECITAZ NASCOSTO'!$Y$101</f>
        <v>23.761307901030953</v>
      </c>
      <c r="F105" s="625">
        <f>F104</f>
        <v>0</v>
      </c>
      <c r="G105" s="528">
        <f>IF(SPINTE!$H$87&gt;=SPINTE!$H$93,'FOGLIO DEPOSITO'!K227,'FOGLIO DEPOSITO'!K244)*DATI!$E$61*D105+F105+E105</f>
        <v>132.69809551980444</v>
      </c>
      <c r="H105" s="422"/>
      <c r="K105" s="422"/>
      <c r="L105" s="422"/>
      <c r="M105" s="422"/>
      <c r="N105" s="422"/>
      <c r="O105" s="422"/>
      <c r="P105" s="422"/>
      <c r="Q105" s="422"/>
      <c r="R105" s="422"/>
      <c r="S105" s="422"/>
    </row>
    <row r="106" spans="1:19" s="421" customFormat="1" x14ac:dyDescent="0.25">
      <c r="A106" s="422"/>
      <c r="B106" s="535" t="str">
        <f>IF(C106="","",'SOLLECITAZ NASCOSTO'!$D$7-'SOLLECITAZ NASCOSTO'!P7)</f>
        <v/>
      </c>
      <c r="C106" s="535" t="str">
        <f>'ANALISI DELLE SPINTE'!D11</f>
        <v/>
      </c>
      <c r="D106" s="638" t="str">
        <f>IF(C106="","",COS(RADIANS(SPINTE!D44+IF(DATI!G211="SX",0,'FOGLIO DEPOSITO'!D196))))</f>
        <v/>
      </c>
      <c r="E106" s="625" t="str">
        <f>IF(C106="","",'SOLLECITAZ NASCOSTO'!$Y$100*'SOLLECITAZ NASCOSTO'!P7+'SOLLECITAZ NASCOSTO'!$Y$101)</f>
        <v/>
      </c>
      <c r="F106" s="625" t="str">
        <f>IF(C106="","",F105)</f>
        <v/>
      </c>
      <c r="G106" s="528" t="str">
        <f>IF(C106="","",IF(SPINTE!$H$87&gt;=SPINTE!$H$93,'FOGLIO DEPOSITO'!K228,'FOGLIO DEPOSITO'!K245)*DATI!$E$61*D106+F106+E106)</f>
        <v/>
      </c>
      <c r="H106" s="422"/>
      <c r="K106" s="422"/>
      <c r="L106" s="422"/>
      <c r="M106" s="422"/>
      <c r="N106" s="422"/>
      <c r="O106" s="422"/>
      <c r="P106" s="422"/>
      <c r="Q106" s="422"/>
      <c r="R106" s="422"/>
      <c r="S106" s="422"/>
    </row>
    <row r="107" spans="1:19" s="421" customFormat="1" x14ac:dyDescent="0.25">
      <c r="A107" s="422"/>
      <c r="B107" s="535" t="str">
        <f>IF(C107="","",'SOLLECITAZ NASCOSTO'!$D$7-'SOLLECITAZ NASCOSTO'!P8)</f>
        <v/>
      </c>
      <c r="C107" s="535" t="str">
        <f>'ANALISI DELLE SPINTE'!D12</f>
        <v/>
      </c>
      <c r="D107" s="638" t="str">
        <f>IF(C107="","",COS(RADIANS(SPINTE!D44+IF(DATI!G211="SX",0,'FOGLIO DEPOSITO'!D196))))</f>
        <v/>
      </c>
      <c r="E107" s="625" t="str">
        <f>IF(C107="","",'SOLLECITAZ NASCOSTO'!$Y$100*'SOLLECITAZ NASCOSTO'!P8+'SOLLECITAZ NASCOSTO'!$Y$101)</f>
        <v/>
      </c>
      <c r="F107" s="625" t="str">
        <f>IF(C107="","",F106)</f>
        <v/>
      </c>
      <c r="G107" s="528" t="str">
        <f>IF(C107="","",IF(SPINTE!$H$87&gt;=SPINTE!$H$93,'FOGLIO DEPOSITO'!K229,'FOGLIO DEPOSITO'!K246)*DATI!$E$61*D107+F107+E107)</f>
        <v/>
      </c>
      <c r="H107" s="422"/>
      <c r="K107" s="422"/>
      <c r="L107" s="422"/>
      <c r="M107" s="422"/>
      <c r="N107" s="422"/>
      <c r="O107" s="422"/>
      <c r="P107" s="422"/>
      <c r="Q107" s="422"/>
      <c r="R107" s="422"/>
      <c r="S107" s="422"/>
    </row>
    <row r="108" spans="1:19" s="421" customFormat="1" x14ac:dyDescent="0.25">
      <c r="A108" s="422"/>
      <c r="B108" s="535" t="str">
        <f>IF(C108="","",'SOLLECITAZ NASCOSTO'!$D$7-'SOLLECITAZ NASCOSTO'!P9)</f>
        <v/>
      </c>
      <c r="C108" s="535" t="str">
        <f>IF(C107="","",'ANALISI DELLE SPINTE'!D13-C107)</f>
        <v/>
      </c>
      <c r="D108" s="638" t="str">
        <f>IF(C108="","",COS(RADIANS(SPINTE!D44+IF(DATI!G211="SX",0,'FOGLIO DEPOSITO'!D196))))</f>
        <v/>
      </c>
      <c r="E108" s="625" t="str">
        <f>IF(C108="","",'SOLLECITAZ NASCOSTO'!$Y$100*'SOLLECITAZ NASCOSTO'!P9+'SOLLECITAZ NASCOSTO'!$Y$101)</f>
        <v/>
      </c>
      <c r="F108" s="625" t="str">
        <f>IF(C108="","",F107)</f>
        <v/>
      </c>
      <c r="G108" s="528" t="str">
        <f>IF(C108="","",IF(SPINTE!$H$87&gt;=SPINTE!$H$93,'FOGLIO DEPOSITO'!K230,'FOGLIO DEPOSITO'!K247)*DATI!$E$61*D108+F108+E108)</f>
        <v/>
      </c>
      <c r="H108" s="422"/>
      <c r="K108" s="422"/>
      <c r="L108" s="422"/>
      <c r="M108" s="422"/>
      <c r="N108" s="422"/>
      <c r="O108" s="422"/>
      <c r="P108" s="422"/>
      <c r="Q108" s="422"/>
      <c r="R108" s="422"/>
      <c r="S108" s="422"/>
    </row>
    <row r="109" spans="1:19" s="421" customFormat="1" x14ac:dyDescent="0.25">
      <c r="A109" s="422"/>
      <c r="B109" s="535" t="str">
        <f>IF(C109="","",'SOLLECITAZ NASCOSTO'!$D$7-'SOLLECITAZ NASCOSTO'!P10)</f>
        <v/>
      </c>
      <c r="C109" s="535" t="str">
        <f>'ANALISI DELLE SPINTE'!D14</f>
        <v/>
      </c>
      <c r="D109" s="638" t="str">
        <f>IF(C109="","",COS(RADIANS(SPINTE!D51+IF(DATI!G211="SX",0,'FOGLIO DEPOSITO'!D196))))</f>
        <v/>
      </c>
      <c r="E109" s="625" t="str">
        <f>IF(C109="","",'SOLLECITAZ NASCOSTO'!$Y$100*'SOLLECITAZ NASCOSTO'!P10+'SOLLECITAZ NASCOSTO'!$Y$101)</f>
        <v/>
      </c>
      <c r="F109" s="625" t="str">
        <f>IF(C109="","",F108)</f>
        <v/>
      </c>
      <c r="G109" s="528" t="str">
        <f>IF(C109="","",IF(SPINTE!$H$87&gt;=SPINTE!$H$93,'FOGLIO DEPOSITO'!K231,'FOGLIO DEPOSITO'!K248)*DATI!$E$61*D109+F109+E109)</f>
        <v/>
      </c>
      <c r="H109" s="422"/>
      <c r="K109" s="422"/>
      <c r="L109" s="422"/>
      <c r="M109" s="422"/>
      <c r="N109" s="422"/>
      <c r="O109" s="422"/>
      <c r="P109" s="422"/>
      <c r="Q109" s="422"/>
      <c r="R109" s="422"/>
      <c r="S109" s="422"/>
    </row>
    <row r="110" spans="1:19" s="421" customFormat="1" x14ac:dyDescent="0.25">
      <c r="A110" s="422"/>
      <c r="B110" s="535" t="str">
        <f>IF(C110="","",'SOLLECITAZ NASCOSTO'!$D$7-'SOLLECITAZ NASCOSTO'!P11)</f>
        <v/>
      </c>
      <c r="C110" s="535" t="str">
        <f>'ANALISI DELLE SPINTE'!D15</f>
        <v/>
      </c>
      <c r="D110" s="638" t="str">
        <f>IF(C110="","",COS(RADIANS(SPINTE!D51+IF(DATI!G211="SX",0,'FOGLIO DEPOSITO'!D196))))</f>
        <v/>
      </c>
      <c r="E110" s="625" t="str">
        <f>IF(C110="","",'SOLLECITAZ NASCOSTO'!$Y$100*'SOLLECITAZ NASCOSTO'!P11+'SOLLECITAZ NASCOSTO'!$Y$101)</f>
        <v/>
      </c>
      <c r="F110" s="625" t="str">
        <f>F109</f>
        <v/>
      </c>
      <c r="G110" s="528" t="str">
        <f>IF(C110="","",IF(SPINTE!$H$87&gt;=SPINTE!$H$93,'FOGLIO DEPOSITO'!K232,'FOGLIO DEPOSITO'!K249)*DATI!$E$61*D110+F110+E110)</f>
        <v/>
      </c>
      <c r="H110" s="422"/>
      <c r="K110" s="422"/>
      <c r="L110" s="422"/>
      <c r="M110" s="422"/>
      <c r="N110" s="422"/>
      <c r="O110" s="422"/>
      <c r="P110" s="422"/>
      <c r="Q110" s="422"/>
      <c r="R110" s="422"/>
      <c r="S110" s="422"/>
    </row>
    <row r="111" spans="1:19" s="421" customFormat="1" x14ac:dyDescent="0.25">
      <c r="A111" s="422"/>
      <c r="B111" s="535" t="str">
        <f>IF(C111="","",'SOLLECITAZ NASCOSTO'!$D$7-'SOLLECITAZ NASCOSTO'!P12)</f>
        <v/>
      </c>
      <c r="C111" s="535" t="str">
        <f>IF(C110="","",'ANALISI DELLE SPINTE'!D16-C110)</f>
        <v/>
      </c>
      <c r="D111" s="638" t="str">
        <f>IF(C111="","",COS(RADIANS(SPINTE!D51+IF(DATI!G211="SX",0,'FOGLIO DEPOSITO'!D196))))</f>
        <v/>
      </c>
      <c r="E111" s="625" t="str">
        <f>IF(C111="","",'SOLLECITAZ NASCOSTO'!$Y$100*'SOLLECITAZ NASCOSTO'!P12+'SOLLECITAZ NASCOSTO'!$Y$101)</f>
        <v/>
      </c>
      <c r="F111" s="625" t="str">
        <f>F110</f>
        <v/>
      </c>
      <c r="G111" s="528" t="str">
        <f>IF(C111="","",IF(SPINTE!$H$87&gt;=SPINTE!$H$93,'FOGLIO DEPOSITO'!K233,'FOGLIO DEPOSITO'!K250)*DATI!$E$61*D111+F111+E111)</f>
        <v/>
      </c>
      <c r="H111" s="422"/>
      <c r="K111" s="422"/>
      <c r="L111" s="422"/>
      <c r="M111" s="422"/>
      <c r="N111" s="422"/>
      <c r="O111" s="422"/>
      <c r="P111" s="422"/>
      <c r="Q111" s="422"/>
      <c r="R111" s="422"/>
      <c r="S111" s="422"/>
    </row>
    <row r="112" spans="1:19" s="421" customFormat="1" x14ac:dyDescent="0.25">
      <c r="A112" s="422"/>
      <c r="B112" s="422"/>
      <c r="C112" s="422"/>
      <c r="D112" s="422"/>
      <c r="E112" s="422"/>
      <c r="F112" s="422"/>
      <c r="G112" s="422"/>
      <c r="H112" s="534"/>
      <c r="I112" s="422"/>
      <c r="J112" s="422"/>
      <c r="K112" s="422"/>
      <c r="L112" s="422"/>
      <c r="M112" s="422"/>
      <c r="N112" s="422"/>
      <c r="O112" s="422"/>
      <c r="P112" s="422"/>
      <c r="Q112" s="422"/>
      <c r="R112" s="422"/>
      <c r="S112" s="422"/>
    </row>
    <row r="113" spans="1:19" s="421" customFormat="1" x14ac:dyDescent="0.25">
      <c r="A113" s="422"/>
      <c r="B113" s="422"/>
      <c r="C113" s="422"/>
      <c r="D113" s="422"/>
      <c r="E113" s="422"/>
      <c r="F113" s="422"/>
      <c r="G113" s="422"/>
      <c r="H113" s="422"/>
      <c r="I113" s="422"/>
      <c r="J113" s="422"/>
      <c r="K113" s="422"/>
      <c r="L113" s="422"/>
      <c r="M113" s="422"/>
      <c r="N113" s="422"/>
      <c r="O113" s="422"/>
      <c r="P113" s="422"/>
      <c r="Q113" s="422"/>
      <c r="R113" s="422"/>
      <c r="S113" s="422"/>
    </row>
    <row r="114" spans="1:19" s="421" customFormat="1" ht="15.75" x14ac:dyDescent="0.25">
      <c r="A114" s="422"/>
      <c r="B114" s="14" t="s">
        <v>894</v>
      </c>
      <c r="C114" s="422"/>
      <c r="D114" s="422"/>
      <c r="E114" s="422"/>
      <c r="F114" s="422"/>
      <c r="G114" s="422"/>
      <c r="H114" s="422"/>
      <c r="I114" s="422"/>
      <c r="J114" s="422"/>
      <c r="K114" s="422"/>
      <c r="L114" s="422"/>
      <c r="M114" s="422"/>
      <c r="N114" s="422"/>
      <c r="O114" s="422"/>
      <c r="P114" s="422"/>
      <c r="Q114" s="422"/>
      <c r="R114" s="422"/>
      <c r="S114" s="422"/>
    </row>
    <row r="115" spans="1:19" s="421" customFormat="1" x14ac:dyDescent="0.25">
      <c r="A115" s="422"/>
      <c r="B115" s="1011" t="s">
        <v>985</v>
      </c>
      <c r="C115" s="1011"/>
      <c r="D115" s="1011"/>
      <c r="E115" s="1011"/>
      <c r="F115" s="1011"/>
      <c r="G115" s="422"/>
      <c r="H115" s="422"/>
      <c r="I115" s="422"/>
      <c r="J115" s="422"/>
      <c r="K115" s="422"/>
      <c r="L115" s="422"/>
      <c r="M115" s="422"/>
      <c r="N115" s="422"/>
      <c r="O115" s="422"/>
      <c r="P115" s="422"/>
      <c r="Q115" s="422"/>
      <c r="R115" s="422"/>
      <c r="S115" s="422"/>
    </row>
    <row r="116" spans="1:19" s="421" customFormat="1" x14ac:dyDescent="0.25">
      <c r="A116" s="422"/>
      <c r="B116" s="422"/>
      <c r="C116" s="422"/>
      <c r="D116" s="422"/>
      <c r="E116" s="422"/>
      <c r="F116" s="422"/>
      <c r="G116" s="422"/>
      <c r="H116" s="422"/>
      <c r="I116" s="422"/>
      <c r="J116" s="422"/>
      <c r="K116" s="422"/>
      <c r="L116" s="422"/>
      <c r="M116" s="422"/>
      <c r="N116" s="422"/>
      <c r="O116" s="422"/>
      <c r="P116" s="422"/>
      <c r="Q116" s="422"/>
      <c r="R116" s="422"/>
      <c r="S116" s="422"/>
    </row>
    <row r="117" spans="1:19" s="421" customFormat="1" x14ac:dyDescent="0.25">
      <c r="A117" s="422"/>
      <c r="B117" s="422"/>
      <c r="C117" s="422"/>
      <c r="D117" s="422"/>
      <c r="E117" s="422"/>
      <c r="F117" s="422"/>
      <c r="G117" s="422"/>
      <c r="H117" s="422"/>
      <c r="I117" s="422"/>
      <c r="J117" s="422"/>
      <c r="K117" s="422"/>
      <c r="L117" s="422"/>
      <c r="M117" s="422"/>
      <c r="N117" s="422"/>
      <c r="O117" s="422"/>
      <c r="P117" s="422"/>
      <c r="Q117" s="422"/>
      <c r="R117" s="422"/>
      <c r="S117" s="422"/>
    </row>
    <row r="118" spans="1:19" s="421" customFormat="1" x14ac:dyDescent="0.25">
      <c r="A118" s="422"/>
      <c r="B118" s="422"/>
      <c r="C118" s="422"/>
      <c r="D118" s="422"/>
      <c r="E118" s="1013" t="str">
        <f>IF(ABS('SOLLECITAZ NASCOSTO'!S6)&lt;=0.01,"","IL FOGLIO COMMETTE UN ERRORE TROPPO GRANDE NEL CALCOLO DELLE SOLLECITAZIONI, E' CONSIGLIABILE NON PROSEGUIRE AL PROEGETTO DELLE ARMATURE")</f>
        <v/>
      </c>
      <c r="F118" s="422"/>
      <c r="G118" s="422"/>
      <c r="I118" s="422"/>
      <c r="J118" s="422"/>
      <c r="K118" s="422"/>
      <c r="L118" s="422"/>
      <c r="M118" s="422"/>
      <c r="N118" s="422"/>
      <c r="O118" s="422"/>
      <c r="P118" s="422"/>
      <c r="Q118" s="422"/>
      <c r="R118" s="422"/>
      <c r="S118" s="422"/>
    </row>
    <row r="119" spans="1:19" s="421" customFormat="1" x14ac:dyDescent="0.25">
      <c r="A119" s="422"/>
      <c r="B119" s="422"/>
      <c r="C119" s="422"/>
      <c r="D119" s="422"/>
      <c r="E119" s="1013"/>
      <c r="F119" s="422"/>
      <c r="G119" s="422"/>
      <c r="I119" s="422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</row>
    <row r="120" spans="1:19" s="421" customFormat="1" x14ac:dyDescent="0.25">
      <c r="A120" s="422"/>
      <c r="B120" s="422"/>
      <c r="C120" s="422"/>
      <c r="D120" s="422"/>
      <c r="E120" s="1013"/>
      <c r="F120" s="422"/>
      <c r="G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</row>
    <row r="121" spans="1:19" s="421" customFormat="1" x14ac:dyDescent="0.25">
      <c r="A121" s="422"/>
      <c r="B121" s="422"/>
      <c r="C121" s="422"/>
      <c r="D121" s="422"/>
      <c r="E121" s="1013"/>
      <c r="F121" s="422"/>
      <c r="G121" s="422"/>
      <c r="I121" s="422"/>
      <c r="J121" s="422"/>
      <c r="K121" s="422"/>
      <c r="L121" s="422"/>
      <c r="M121" s="422"/>
      <c r="N121" s="422"/>
      <c r="O121" s="422"/>
      <c r="P121" s="422"/>
      <c r="Q121" s="422"/>
      <c r="R121" s="422"/>
      <c r="S121" s="422"/>
    </row>
    <row r="122" spans="1:19" s="421" customFormat="1" x14ac:dyDescent="0.25">
      <c r="A122" s="422"/>
      <c r="B122" s="422"/>
      <c r="C122" s="422"/>
      <c r="D122" s="422"/>
      <c r="E122" s="1013"/>
      <c r="F122" s="422"/>
      <c r="G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</row>
    <row r="123" spans="1:19" s="421" customFormat="1" x14ac:dyDescent="0.25">
      <c r="A123" s="422"/>
      <c r="B123" s="422"/>
      <c r="C123" s="422"/>
      <c r="D123" s="422"/>
      <c r="E123" s="1013"/>
      <c r="F123" s="422"/>
      <c r="G123" s="422"/>
      <c r="I123" s="422"/>
      <c r="J123" s="422"/>
      <c r="K123" s="422"/>
      <c r="L123" s="422"/>
      <c r="M123" s="422"/>
      <c r="N123" s="422"/>
      <c r="O123" s="422"/>
      <c r="P123" s="422"/>
      <c r="Q123" s="422"/>
      <c r="R123" s="422"/>
      <c r="S123" s="422"/>
    </row>
    <row r="124" spans="1:19" s="421" customFormat="1" x14ac:dyDescent="0.25">
      <c r="A124" s="422"/>
      <c r="B124" s="422"/>
      <c r="C124" s="422"/>
      <c r="D124" s="422"/>
      <c r="E124" s="1013"/>
      <c r="F124" s="422"/>
      <c r="G124" s="422"/>
      <c r="I124" s="422"/>
      <c r="J124" s="422"/>
      <c r="K124" s="422"/>
      <c r="L124" s="422"/>
      <c r="M124" s="422"/>
      <c r="N124" s="422"/>
      <c r="O124" s="422"/>
      <c r="P124" s="422"/>
      <c r="Q124" s="422"/>
      <c r="R124" s="422"/>
      <c r="S124" s="422"/>
    </row>
    <row r="125" spans="1:19" s="421" customFormat="1" x14ac:dyDescent="0.25">
      <c r="A125" s="422"/>
      <c r="B125" s="422"/>
      <c r="C125" s="422"/>
      <c r="D125" s="422"/>
      <c r="E125" s="1013"/>
      <c r="F125" s="422"/>
      <c r="G125" s="422"/>
      <c r="I125" s="422"/>
      <c r="J125" s="422"/>
      <c r="K125" s="422"/>
      <c r="L125" s="422"/>
      <c r="M125" s="422"/>
      <c r="N125" s="422"/>
      <c r="O125" s="422"/>
      <c r="P125" s="422"/>
      <c r="Q125" s="422"/>
      <c r="R125" s="422"/>
      <c r="S125" s="422"/>
    </row>
    <row r="126" spans="1:19" s="421" customFormat="1" x14ac:dyDescent="0.25">
      <c r="A126" s="422"/>
      <c r="B126" s="422"/>
      <c r="C126" s="422"/>
      <c r="D126" s="422"/>
      <c r="E126" s="1013"/>
      <c r="F126" s="422"/>
      <c r="G126" s="422"/>
      <c r="I126" s="422"/>
      <c r="J126" s="422"/>
      <c r="K126" s="422"/>
      <c r="L126" s="422"/>
      <c r="M126" s="422"/>
      <c r="N126" s="422"/>
      <c r="O126" s="422"/>
      <c r="P126" s="422"/>
      <c r="Q126" s="422"/>
      <c r="R126" s="422"/>
      <c r="S126" s="422"/>
    </row>
    <row r="127" spans="1:19" s="421" customFormat="1" x14ac:dyDescent="0.25">
      <c r="A127" s="422"/>
      <c r="B127" s="422"/>
      <c r="C127" s="422"/>
      <c r="D127" s="422"/>
      <c r="E127" s="1013"/>
      <c r="F127" s="422"/>
      <c r="G127" s="422"/>
      <c r="I127" s="422"/>
      <c r="J127" s="422"/>
      <c r="K127" s="422"/>
      <c r="L127" s="422"/>
      <c r="M127" s="422"/>
      <c r="N127" s="422"/>
      <c r="O127" s="422"/>
      <c r="P127" s="422"/>
      <c r="Q127" s="422"/>
      <c r="R127" s="422"/>
      <c r="S127" s="422"/>
    </row>
    <row r="128" spans="1:19" s="421" customFormat="1" x14ac:dyDescent="0.25">
      <c r="A128" s="422"/>
      <c r="B128" s="422"/>
      <c r="C128" s="422"/>
      <c r="D128" s="422"/>
      <c r="E128" s="1013"/>
      <c r="F128" s="422"/>
      <c r="G128" s="422"/>
      <c r="K128" s="422"/>
      <c r="L128" s="422"/>
      <c r="M128" s="422"/>
      <c r="N128" s="422"/>
      <c r="O128" s="422"/>
      <c r="P128" s="422"/>
      <c r="Q128" s="422"/>
      <c r="R128" s="422"/>
      <c r="S128" s="422"/>
    </row>
    <row r="129" spans="1:19" s="421" customFormat="1" x14ac:dyDescent="0.25">
      <c r="A129" s="422"/>
      <c r="B129" s="422"/>
      <c r="C129" s="422"/>
      <c r="D129" s="422"/>
      <c r="E129" s="422"/>
      <c r="F129" s="422"/>
      <c r="G129" s="422"/>
      <c r="K129" s="422"/>
      <c r="L129" s="422"/>
      <c r="M129" s="422"/>
      <c r="N129" s="422"/>
      <c r="O129" s="422"/>
      <c r="P129" s="422"/>
      <c r="Q129" s="422"/>
      <c r="R129" s="422"/>
      <c r="S129" s="422"/>
    </row>
    <row r="130" spans="1:19" s="421" customFormat="1" x14ac:dyDescent="0.25">
      <c r="A130" s="422"/>
      <c r="B130" s="422"/>
      <c r="C130" s="422"/>
      <c r="D130" s="422"/>
      <c r="E130" s="422"/>
      <c r="F130" s="422"/>
      <c r="G130" s="422"/>
      <c r="K130" s="422"/>
      <c r="L130" s="422"/>
      <c r="M130" s="422"/>
      <c r="N130" s="422"/>
      <c r="O130" s="422"/>
      <c r="P130" s="422"/>
      <c r="Q130" s="422"/>
      <c r="R130" s="422"/>
      <c r="S130" s="422"/>
    </row>
    <row r="131" spans="1:19" s="421" customFormat="1" x14ac:dyDescent="0.25">
      <c r="A131" s="422"/>
      <c r="B131" s="422"/>
      <c r="C131" s="422"/>
      <c r="D131" s="422"/>
      <c r="E131" s="422"/>
      <c r="F131" s="422"/>
      <c r="G131" s="422"/>
      <c r="K131" s="422"/>
      <c r="L131" s="422"/>
      <c r="M131" s="422"/>
      <c r="N131" s="422"/>
      <c r="O131" s="422"/>
      <c r="P131" s="422"/>
      <c r="Q131" s="422"/>
      <c r="R131" s="422"/>
      <c r="S131" s="422"/>
    </row>
    <row r="132" spans="1:19" s="421" customFormat="1" x14ac:dyDescent="0.25">
      <c r="A132" s="422"/>
      <c r="B132" s="422"/>
      <c r="C132" s="422"/>
      <c r="D132" s="422"/>
      <c r="E132" s="422"/>
      <c r="F132" s="422"/>
      <c r="G132" s="422"/>
      <c r="K132" s="422"/>
      <c r="L132" s="422"/>
      <c r="M132" s="422"/>
      <c r="N132" s="422"/>
      <c r="O132" s="422"/>
      <c r="P132" s="422"/>
      <c r="Q132" s="422"/>
      <c r="R132" s="422"/>
      <c r="S132" s="422"/>
    </row>
    <row r="133" spans="1:19" s="421" customFormat="1" x14ac:dyDescent="0.25">
      <c r="A133" s="422"/>
      <c r="B133" s="422"/>
      <c r="C133" s="422"/>
      <c r="D133" s="422"/>
      <c r="E133" s="1014" t="str">
        <f>IF('SOLLECITAZ NASCOSTO'!S9="","",IF('SOLLECITAZ NASCOSTO'!S9&lt;0.03,"","IL FOGLIO COMMETTE UN ERRORE TROPPO GRANDE NEL CALCOLO DELLE SOLLECITAZIONI, E' CONSIGLIABILE NON PROSEGUIRE AL PROEGETTO DELLE ARMATURE"))</f>
        <v/>
      </c>
      <c r="F133" s="422"/>
      <c r="G133" s="422"/>
      <c r="K133" s="422"/>
      <c r="L133" s="422"/>
      <c r="M133" s="422"/>
      <c r="N133" s="422"/>
      <c r="O133" s="422"/>
      <c r="P133" s="422"/>
      <c r="Q133" s="422"/>
      <c r="R133" s="422"/>
      <c r="S133" s="422"/>
    </row>
    <row r="134" spans="1:19" s="421" customFormat="1" x14ac:dyDescent="0.25">
      <c r="A134" s="422"/>
      <c r="B134" s="422"/>
      <c r="C134" s="422"/>
      <c r="D134" s="422"/>
      <c r="E134" s="1014"/>
      <c r="F134" s="422"/>
      <c r="G134" s="422"/>
      <c r="K134" s="422"/>
      <c r="L134" s="422"/>
      <c r="M134" s="422"/>
      <c r="N134" s="422"/>
      <c r="O134" s="422"/>
      <c r="P134" s="422"/>
      <c r="Q134" s="422"/>
      <c r="R134" s="422"/>
      <c r="S134" s="422"/>
    </row>
    <row r="135" spans="1:19" s="421" customFormat="1" x14ac:dyDescent="0.25">
      <c r="A135" s="422"/>
      <c r="B135" s="422"/>
      <c r="C135" s="422"/>
      <c r="D135" s="422"/>
      <c r="E135" s="1014"/>
      <c r="F135" s="422"/>
      <c r="G135" s="422"/>
      <c r="K135" s="422"/>
      <c r="L135" s="422"/>
      <c r="M135" s="422"/>
      <c r="N135" s="422"/>
      <c r="O135" s="422"/>
      <c r="P135" s="422"/>
      <c r="Q135" s="422"/>
      <c r="R135" s="422"/>
      <c r="S135" s="422"/>
    </row>
    <row r="136" spans="1:19" s="421" customFormat="1" x14ac:dyDescent="0.25">
      <c r="A136" s="422"/>
      <c r="B136" s="422"/>
      <c r="C136" s="422"/>
      <c r="D136" s="422"/>
      <c r="E136" s="1014"/>
      <c r="F136" s="422"/>
      <c r="G136" s="422"/>
      <c r="K136" s="422"/>
      <c r="L136" s="422"/>
      <c r="M136" s="422"/>
      <c r="N136" s="422"/>
      <c r="O136" s="422"/>
      <c r="P136" s="422"/>
      <c r="Q136" s="422"/>
      <c r="R136" s="422"/>
      <c r="S136" s="422"/>
    </row>
    <row r="137" spans="1:19" s="421" customFormat="1" x14ac:dyDescent="0.25">
      <c r="A137" s="422"/>
      <c r="B137" s="422"/>
      <c r="C137" s="422"/>
      <c r="D137" s="422"/>
      <c r="E137" s="1014"/>
      <c r="F137" s="422"/>
      <c r="G137" s="422"/>
      <c r="K137" s="422"/>
      <c r="L137" s="422"/>
      <c r="M137" s="422"/>
      <c r="N137" s="422"/>
      <c r="O137" s="422"/>
      <c r="P137" s="422"/>
      <c r="Q137" s="422"/>
      <c r="R137" s="422"/>
      <c r="S137" s="422"/>
    </row>
    <row r="138" spans="1:19" s="421" customFormat="1" x14ac:dyDescent="0.25">
      <c r="A138" s="422"/>
      <c r="B138" s="422"/>
      <c r="C138" s="422"/>
      <c r="D138" s="422"/>
      <c r="E138" s="1014"/>
      <c r="F138" s="422"/>
      <c r="G138" s="422"/>
      <c r="K138" s="422"/>
      <c r="L138" s="422"/>
      <c r="M138" s="422"/>
      <c r="N138" s="422"/>
      <c r="O138" s="422"/>
      <c r="P138" s="422"/>
      <c r="Q138" s="422"/>
      <c r="R138" s="422"/>
      <c r="S138" s="422"/>
    </row>
    <row r="139" spans="1:19" s="421" customFormat="1" x14ac:dyDescent="0.25">
      <c r="A139" s="422"/>
      <c r="B139" s="422"/>
      <c r="C139" s="422"/>
      <c r="D139" s="422"/>
      <c r="E139" s="1014"/>
      <c r="F139" s="422"/>
      <c r="G139" s="422"/>
      <c r="K139" s="422"/>
      <c r="L139" s="422"/>
      <c r="M139" s="422"/>
      <c r="N139" s="422"/>
      <c r="O139" s="422"/>
      <c r="P139" s="422"/>
      <c r="Q139" s="422"/>
      <c r="R139" s="422"/>
      <c r="S139" s="422"/>
    </row>
    <row r="140" spans="1:19" s="421" customFormat="1" x14ac:dyDescent="0.25">
      <c r="A140" s="422"/>
      <c r="B140" s="422"/>
      <c r="C140" s="422"/>
      <c r="D140" s="422"/>
      <c r="E140" s="1014"/>
      <c r="F140" s="422"/>
      <c r="G140" s="422"/>
      <c r="K140" s="422"/>
      <c r="L140" s="422"/>
      <c r="M140" s="422"/>
      <c r="N140" s="422"/>
      <c r="O140" s="422"/>
      <c r="P140" s="422"/>
      <c r="Q140" s="422"/>
      <c r="R140" s="422"/>
      <c r="S140" s="422"/>
    </row>
    <row r="141" spans="1:19" s="421" customFormat="1" x14ac:dyDescent="0.25">
      <c r="A141" s="422"/>
      <c r="B141" s="422"/>
      <c r="C141" s="422"/>
      <c r="D141" s="422"/>
      <c r="E141" s="1014"/>
      <c r="F141" s="422"/>
      <c r="G141" s="422"/>
      <c r="K141" s="422"/>
      <c r="L141" s="422"/>
      <c r="M141" s="422"/>
      <c r="N141" s="422"/>
      <c r="O141" s="422"/>
      <c r="P141" s="422"/>
      <c r="Q141" s="422"/>
      <c r="R141" s="422"/>
      <c r="S141" s="422"/>
    </row>
    <row r="142" spans="1:19" s="421" customFormat="1" x14ac:dyDescent="0.25">
      <c r="A142" s="422"/>
      <c r="B142" s="422"/>
      <c r="C142" s="422"/>
      <c r="D142" s="422"/>
      <c r="E142" s="1014"/>
      <c r="F142" s="422"/>
      <c r="G142" s="422"/>
      <c r="K142" s="422"/>
      <c r="L142" s="422"/>
      <c r="M142" s="422"/>
      <c r="N142" s="422"/>
      <c r="O142" s="422"/>
      <c r="P142" s="422"/>
      <c r="Q142" s="422"/>
      <c r="R142" s="422"/>
      <c r="S142" s="422"/>
    </row>
    <row r="143" spans="1:19" s="421" customFormat="1" x14ac:dyDescent="0.25">
      <c r="A143" s="422"/>
      <c r="B143" s="422"/>
      <c r="C143" s="422"/>
      <c r="D143" s="422"/>
      <c r="E143" s="1014"/>
      <c r="F143" s="422"/>
      <c r="G143" s="422"/>
      <c r="I143" s="422"/>
      <c r="J143" s="422"/>
      <c r="K143" s="422"/>
      <c r="L143" s="422"/>
      <c r="M143" s="422"/>
      <c r="N143" s="422"/>
      <c r="O143" s="422"/>
      <c r="P143" s="422"/>
      <c r="Q143" s="422"/>
      <c r="R143" s="422"/>
      <c r="S143" s="422"/>
    </row>
    <row r="144" spans="1:19" s="421" customFormat="1" x14ac:dyDescent="0.25">
      <c r="A144" s="422"/>
      <c r="B144" s="422"/>
      <c r="C144" s="422"/>
      <c r="D144" s="422"/>
      <c r="E144" s="1014"/>
      <c r="F144" s="422"/>
      <c r="G144" s="422"/>
      <c r="I144" s="422"/>
      <c r="J144" s="422"/>
      <c r="K144" s="422"/>
      <c r="L144" s="422"/>
      <c r="M144" s="422"/>
      <c r="N144" s="422"/>
      <c r="O144" s="422"/>
      <c r="P144" s="422"/>
      <c r="Q144" s="422"/>
      <c r="R144" s="422"/>
      <c r="S144" s="422"/>
    </row>
    <row r="145" spans="1:19" s="421" customFormat="1" x14ac:dyDescent="0.25">
      <c r="A145" s="422"/>
      <c r="B145" s="422"/>
      <c r="C145" s="422"/>
      <c r="D145" s="422"/>
      <c r="E145" s="422"/>
      <c r="F145" s="422"/>
      <c r="G145" s="422"/>
      <c r="H145" s="437"/>
      <c r="I145" s="422"/>
      <c r="J145" s="422"/>
      <c r="K145" s="422"/>
      <c r="L145" s="422"/>
      <c r="M145" s="422"/>
      <c r="N145" s="422"/>
      <c r="O145" s="422"/>
      <c r="P145" s="422"/>
      <c r="Q145" s="422"/>
      <c r="R145" s="422"/>
      <c r="S145" s="422"/>
    </row>
    <row r="146" spans="1:19" s="421" customFormat="1" x14ac:dyDescent="0.25">
      <c r="A146" s="422"/>
      <c r="B146" s="422"/>
      <c r="C146" s="422"/>
      <c r="D146" s="422"/>
      <c r="E146" s="422"/>
      <c r="F146" s="422"/>
      <c r="G146" s="422"/>
      <c r="H146" s="437"/>
      <c r="I146" s="422"/>
      <c r="J146" s="422"/>
      <c r="K146" s="422"/>
      <c r="L146" s="422"/>
      <c r="M146" s="422"/>
      <c r="N146" s="422"/>
      <c r="O146" s="422"/>
      <c r="P146" s="422"/>
      <c r="Q146" s="422"/>
      <c r="R146" s="422"/>
      <c r="S146" s="422"/>
    </row>
    <row r="147" spans="1:19" s="421" customFormat="1" x14ac:dyDescent="0.25">
      <c r="A147" s="422"/>
      <c r="B147" s="422"/>
      <c r="C147" s="422"/>
      <c r="D147" s="422"/>
      <c r="E147" s="422"/>
      <c r="F147" s="422"/>
      <c r="G147" s="422"/>
      <c r="H147" s="422"/>
      <c r="I147" s="422"/>
      <c r="J147" s="422"/>
      <c r="K147" s="422"/>
      <c r="L147" s="422"/>
      <c r="M147" s="422"/>
      <c r="N147" s="422"/>
      <c r="O147" s="422"/>
      <c r="P147" s="422"/>
      <c r="Q147" s="422"/>
      <c r="R147" s="422"/>
      <c r="S147" s="422"/>
    </row>
    <row r="148" spans="1:19" s="421" customFormat="1" x14ac:dyDescent="0.25">
      <c r="A148" s="422"/>
      <c r="B148" s="422"/>
      <c r="C148" s="422"/>
      <c r="D148" s="422"/>
      <c r="E148" s="422"/>
      <c r="F148" s="422"/>
      <c r="G148" s="422"/>
      <c r="H148" s="422"/>
      <c r="I148" s="422"/>
      <c r="J148" s="422"/>
      <c r="K148" s="422"/>
      <c r="L148" s="422"/>
      <c r="M148" s="422"/>
      <c r="N148" s="422"/>
      <c r="O148" s="422"/>
      <c r="P148" s="422"/>
      <c r="Q148" s="422"/>
      <c r="R148" s="422"/>
      <c r="S148" s="422"/>
    </row>
    <row r="149" spans="1:19" s="421" customFormat="1" x14ac:dyDescent="0.25">
      <c r="A149" s="422"/>
      <c r="B149" s="1006" t="s">
        <v>21</v>
      </c>
      <c r="C149" s="1004" t="s">
        <v>994</v>
      </c>
      <c r="D149" s="881" t="s">
        <v>23</v>
      </c>
      <c r="E149" s="1002" t="s">
        <v>31</v>
      </c>
      <c r="F149" s="1002" t="s">
        <v>932</v>
      </c>
      <c r="G149" s="422"/>
      <c r="H149" s="422"/>
      <c r="I149" s="546"/>
      <c r="J149" s="546"/>
      <c r="K149" s="422"/>
      <c r="O149" s="422"/>
      <c r="P149" s="422"/>
      <c r="Q149" s="422"/>
      <c r="R149" s="422"/>
      <c r="S149" s="422"/>
    </row>
    <row r="150" spans="1:19" s="421" customFormat="1" x14ac:dyDescent="0.25">
      <c r="A150" s="422"/>
      <c r="B150" s="1007"/>
      <c r="C150" s="1005"/>
      <c r="D150" s="881"/>
      <c r="E150" s="1003"/>
      <c r="F150" s="1003"/>
      <c r="G150" s="422"/>
      <c r="H150" s="422"/>
      <c r="I150" s="546"/>
      <c r="J150" s="546"/>
      <c r="K150" s="422"/>
      <c r="O150" s="422"/>
      <c r="P150" s="422"/>
      <c r="Q150" s="422"/>
      <c r="R150" s="422"/>
      <c r="S150" s="422"/>
    </row>
    <row r="151" spans="1:19" s="421" customFormat="1" x14ac:dyDescent="0.25">
      <c r="A151" s="422"/>
      <c r="B151" s="643">
        <v>0</v>
      </c>
      <c r="C151" s="535">
        <f>VLOOKUP(sezione!AG47,'SOLLECITAZ NASCOSTO'!$S$32:$T$448,2,TRUE)</f>
        <v>4.5320615922608809</v>
      </c>
      <c r="D151" s="655">
        <f>VLOOKUP(sezione!AG47,'SOLLECITAZ NASCOSTO'!$C$32:$M$448,2,FALSE)</f>
        <v>0.23952711449688102</v>
      </c>
      <c r="E151" s="353">
        <f>VLOOKUP(sezione!AG47,'SOLLECITAZ NASCOSTO'!$C$23:$M$468,10,TRUE)</f>
        <v>3.7022953209208862</v>
      </c>
      <c r="F151" s="354">
        <f>VLOOKUP(sezione!AG47,'SOLLECITAZ NASCOSTO'!$C$23:$M$468,11,TRUE)</f>
        <v>-0.39991949023898499</v>
      </c>
      <c r="G151" s="422"/>
      <c r="H151" s="422"/>
      <c r="I151" s="546"/>
      <c r="J151" s="546"/>
      <c r="K151" s="422"/>
      <c r="O151" s="422"/>
      <c r="P151" s="422"/>
      <c r="Q151" s="422"/>
      <c r="R151" s="422"/>
      <c r="S151" s="422"/>
    </row>
    <row r="152" spans="1:19" s="421" customFormat="1" x14ac:dyDescent="0.25">
      <c r="A152" s="422"/>
      <c r="B152" s="643">
        <f t="shared" ref="B152:B161" si="0">B151+1</f>
        <v>1</v>
      </c>
      <c r="C152" s="535">
        <f>VLOOKUP(sezione!AG48,'SOLLECITAZ NASCOSTO'!$S$32:$T$448,2,TRUE)</f>
        <v>4.3783988626078694</v>
      </c>
      <c r="D152" s="655">
        <f>VLOOKUP(sezione!AG48,'SOLLECITAZ NASCOSTO'!$C$32:$M$448,2,TRUE)</f>
        <v>0.30078998167313836</v>
      </c>
      <c r="E152" s="353">
        <f>VLOOKUP(sezione!AG48,'SOLLECITAZ NASCOSTO'!$C$23:$M$468,10,TRUE)</f>
        <v>13.868130734876193</v>
      </c>
      <c r="F152" s="354">
        <f>VLOOKUP(sezione!AG48,'SOLLECITAZ NASCOSTO'!$C$23:$M$468,11,TRUE)</f>
        <v>-3.9812459483673748</v>
      </c>
      <c r="G152" s="422"/>
      <c r="H152" s="422"/>
      <c r="I152" s="546"/>
      <c r="J152" s="546"/>
      <c r="K152" s="422"/>
      <c r="O152" s="422"/>
      <c r="P152" s="422"/>
      <c r="Q152" s="422"/>
      <c r="R152" s="422"/>
      <c r="S152" s="422"/>
    </row>
    <row r="153" spans="1:19" s="421" customFormat="1" x14ac:dyDescent="0.25">
      <c r="A153" s="422"/>
      <c r="B153" s="643">
        <f t="shared" si="0"/>
        <v>2</v>
      </c>
      <c r="C153" s="535">
        <f>VLOOKUP(sezione!AG49,'SOLLECITAZ NASCOSTO'!$S$32:$T$448,2,TRUE)</f>
        <v>3.9535180883334116</v>
      </c>
      <c r="D153" s="655">
        <f>VLOOKUP(sezione!AG49,'SOLLECITAZ NASCOSTO'!$C$32:$M$448,2,TRUE)</f>
        <v>0.3620528488493957</v>
      </c>
      <c r="E153" s="353">
        <f>VLOOKUP(sezione!AG49,'SOLLECITAZ NASCOSTO'!$C$23:$M$468,10,TRUE)</f>
        <v>28.311153483607232</v>
      </c>
      <c r="F153" s="354">
        <f>VLOOKUP(sezione!AG49,'SOLLECITAZ NASCOSTO'!$C$23:$M$468,11,TRUE)</f>
        <v>-12.790487761582009</v>
      </c>
      <c r="G153" s="422"/>
      <c r="H153" s="422"/>
      <c r="I153" s="435"/>
      <c r="J153" s="435"/>
      <c r="K153" s="422"/>
      <c r="O153" s="422"/>
      <c r="P153" s="422"/>
      <c r="Q153" s="422"/>
      <c r="R153" s="422"/>
      <c r="S153" s="422"/>
    </row>
    <row r="154" spans="1:19" s="421" customFormat="1" x14ac:dyDescent="0.25">
      <c r="A154" s="422"/>
      <c r="B154" s="643">
        <f t="shared" si="0"/>
        <v>3</v>
      </c>
      <c r="C154" s="535">
        <f>VLOOKUP(sezione!AG50,'SOLLECITAZ NASCOSTO'!$S$32:$T$448,2,TRUE)</f>
        <v>3.5177429352314036</v>
      </c>
      <c r="D154" s="655">
        <f>VLOOKUP(sezione!AG50,'SOLLECITAZ NASCOSTO'!$C$32:$M$448,2,TRUE)</f>
        <v>0.42488655877376214</v>
      </c>
      <c r="E154" s="353">
        <f>VLOOKUP(sezione!AG50,'SOLLECITAZ NASCOSTO'!$C$23:$M$468,10,TRUE)</f>
        <v>47.567610733420466</v>
      </c>
      <c r="F154" s="354">
        <f>VLOOKUP(sezione!AG50,'SOLLECITAZ NASCOSTO'!$C$23:$M$468,11,TRUE)</f>
        <v>-29.16023812776313</v>
      </c>
      <c r="G154" s="422"/>
      <c r="H154" s="422"/>
      <c r="I154" s="547"/>
      <c r="J154" s="547"/>
      <c r="K154" s="422"/>
      <c r="L154" s="422"/>
      <c r="M154" s="422"/>
      <c r="N154" s="422"/>
      <c r="O154" s="422"/>
      <c r="P154" s="422"/>
      <c r="Q154" s="422"/>
      <c r="R154" s="422"/>
      <c r="S154" s="422"/>
    </row>
    <row r="155" spans="1:19" s="421" customFormat="1" x14ac:dyDescent="0.25">
      <c r="A155" s="422"/>
      <c r="B155" s="643">
        <f t="shared" si="0"/>
        <v>4</v>
      </c>
      <c r="C155" s="535">
        <f>VLOOKUP(sezione!AG51,'SOLLECITAZ NASCOSTO'!$S$32:$T$448,2,TRUE)</f>
        <v>3.0928621609569462</v>
      </c>
      <c r="D155" s="655">
        <f>VLOOKUP(sezione!AG51,'SOLLECITAZ NASCOSTO'!$C$32:$M$448,2,TRUE)</f>
        <v>0.48614942595001942</v>
      </c>
      <c r="E155" s="353">
        <f>VLOOKUP(sezione!AG51,'SOLLECITAZ NASCOSTO'!$C$23:$M$468,10,TRUE)</f>
        <v>70.674679621825291</v>
      </c>
      <c r="F155" s="354">
        <f>VLOOKUP(sezione!AG51,'SOLLECITAZ NASCOSTO'!$C$23:$M$468,11,TRUE)</f>
        <v>-54.128334411492943</v>
      </c>
      <c r="G155" s="422"/>
      <c r="H155" s="422"/>
      <c r="I155" s="547"/>
      <c r="J155" s="547"/>
      <c r="K155" s="422"/>
      <c r="L155" s="422"/>
      <c r="M155" s="422"/>
      <c r="N155" s="422"/>
      <c r="O155" s="422"/>
      <c r="P155" s="422"/>
      <c r="Q155" s="422"/>
      <c r="R155" s="422"/>
      <c r="S155" s="422"/>
    </row>
    <row r="156" spans="1:19" s="421" customFormat="1" x14ac:dyDescent="0.25">
      <c r="A156" s="422"/>
      <c r="B156" s="643">
        <f t="shared" si="0"/>
        <v>5</v>
      </c>
      <c r="C156" s="535">
        <f>VLOOKUP(sezione!AG52,'SOLLECITAZ NASCOSTO'!$S$32:$T$448,2,TRUE)</f>
        <v>2.6570870078549382</v>
      </c>
      <c r="D156" s="655">
        <f>VLOOKUP(sezione!AG52,'SOLLECITAZ NASCOSTO'!$C$32:$M$448,2,TRUE)</f>
        <v>0.54898313587438596</v>
      </c>
      <c r="E156" s="353">
        <f>VLOOKUP(sezione!AG52,'SOLLECITAZ NASCOSTO'!$C$23:$M$468,10,TRUE)</f>
        <v>98.817338040534864</v>
      </c>
      <c r="F156" s="354">
        <f>VLOOKUP(sezione!AG52,'SOLLECITAZ NASCOSTO'!$C$23:$M$468,11,TRUE)</f>
        <v>-90.895249703932464</v>
      </c>
      <c r="G156" s="422"/>
      <c r="H156" s="422"/>
      <c r="I156" s="547"/>
      <c r="J156" s="547"/>
      <c r="K156" s="422"/>
      <c r="L156" s="422"/>
      <c r="M156" s="422"/>
      <c r="N156" s="422"/>
      <c r="O156" s="422"/>
      <c r="P156" s="422"/>
      <c r="Q156" s="422"/>
      <c r="R156" s="422"/>
      <c r="S156" s="422"/>
    </row>
    <row r="157" spans="1:19" s="421" customFormat="1" x14ac:dyDescent="0.25">
      <c r="A157" s="422"/>
      <c r="B157" s="643">
        <f t="shared" si="0"/>
        <v>6</v>
      </c>
      <c r="C157" s="535">
        <f>VLOOKUP(sezione!AG53,'SOLLECITAZ NASCOSTO'!$S$32:$T$448,2,TRUE)</f>
        <v>2.2322062335804809</v>
      </c>
      <c r="D157" s="655">
        <f>VLOOKUP(sezione!AG53,'SOLLECITAZ NASCOSTO'!$C$32:$M$448,2,TRUE)</f>
        <v>0.61024600305064325</v>
      </c>
      <c r="E157" s="353">
        <f>VLOOKUP(sezione!AG53,'SOLLECITAZ NASCOSTO'!$C$23:$M$468,10,TRUE)</f>
        <v>130.58845306861363</v>
      </c>
      <c r="F157" s="354">
        <f>VLOOKUP(sezione!AG53,'SOLLECITAZ NASCOSTO'!$C$23:$M$468,11,TRUE)</f>
        <v>-139.47896312335092</v>
      </c>
      <c r="G157" s="422"/>
      <c r="H157" s="422"/>
      <c r="I157" s="547"/>
      <c r="J157" s="547"/>
      <c r="K157" s="422"/>
      <c r="L157" s="422"/>
      <c r="M157" s="422"/>
      <c r="N157" s="422"/>
      <c r="O157" s="422"/>
      <c r="P157" s="422"/>
      <c r="Q157" s="422"/>
      <c r="R157" s="422"/>
      <c r="S157" s="422"/>
    </row>
    <row r="158" spans="1:19" s="421" customFormat="1" x14ac:dyDescent="0.25">
      <c r="A158" s="422"/>
      <c r="B158" s="643">
        <f t="shared" si="0"/>
        <v>7</v>
      </c>
      <c r="C158" s="535">
        <f>VLOOKUP(sezione!AG54,'SOLLECITAZ NASCOSTO'!$S$32:$T$448,2,TRUE)</f>
        <v>1.7964310804784729</v>
      </c>
      <c r="D158" s="655">
        <f>VLOOKUP(sezione!AG54,'SOLLECITAZ NASCOSTO'!$C$32:$M$448,2,TRUE)</f>
        <v>0.67307971297500979</v>
      </c>
      <c r="E158" s="353">
        <f>VLOOKUP(sezione!AG54,'SOLLECITAZ NASCOSTO'!$C$23:$M$468,10,TRUE)</f>
        <v>167.61731265622004</v>
      </c>
      <c r="F158" s="354">
        <f>VLOOKUP(sezione!AG54,'SOLLECITAZ NASCOSTO'!$C$23:$M$468,11,TRUE)</f>
        <v>-204.29100504991928</v>
      </c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</row>
    <row r="159" spans="1:19" s="421" customFormat="1" x14ac:dyDescent="0.25">
      <c r="A159" s="422"/>
      <c r="B159" s="643">
        <f t="shared" si="0"/>
        <v>8</v>
      </c>
      <c r="C159" s="535">
        <f>VLOOKUP(sezione!AG55,'SOLLECITAZ NASCOSTO'!$S$32:$T$448,2,TRUE)</f>
        <v>1.3715503062040155</v>
      </c>
      <c r="D159" s="655">
        <f>VLOOKUP(sezione!AG55,'SOLLECITAZ NASCOSTO'!$C$32:$M$448,2,TRUE)</f>
        <v>0.73434258015126708</v>
      </c>
      <c r="E159" s="353">
        <f>VLOOKUP(sezione!AG55,'SOLLECITAZ NASCOSTO'!$C$23:$M$468,10,TRUE)</f>
        <v>208.0524738239732</v>
      </c>
      <c r="F159" s="354">
        <f>VLOOKUP(sezione!AG55,'SOLLECITAZ NASCOSTO'!$C$23:$M$468,11,TRUE)</f>
        <v>-283.94709827020034</v>
      </c>
      <c r="G159" s="422"/>
      <c r="H159" s="422"/>
      <c r="I159" s="422"/>
      <c r="J159" s="422"/>
      <c r="K159" s="422"/>
      <c r="L159" s="422"/>
      <c r="M159" s="422"/>
      <c r="N159" s="422"/>
      <c r="O159" s="422"/>
      <c r="P159" s="422"/>
      <c r="Q159" s="422"/>
      <c r="R159" s="422"/>
      <c r="S159" s="422"/>
    </row>
    <row r="160" spans="1:19" s="421" customFormat="1" x14ac:dyDescent="0.25">
      <c r="A160" s="422"/>
      <c r="B160" s="643">
        <f t="shared" si="0"/>
        <v>9</v>
      </c>
      <c r="C160" s="535">
        <f>VLOOKUP(sezione!AG56,'SOLLECITAZ NASCOSTO'!$S$32:$T$448,2,TRUE)</f>
        <v>0.93577515310200798</v>
      </c>
      <c r="D160" s="655">
        <f>VLOOKUP(sezione!AG56,'SOLLECITAZ NASCOSTO'!$C$32:$M$448,2,TRUE)</f>
        <v>0.79717629007563351</v>
      </c>
      <c r="E160" s="353">
        <f>VLOOKUP(sezione!AG56,'SOLLECITAZ NASCOSTO'!$C$23:$M$468,10,TRUE)</f>
        <v>253.96753458047593</v>
      </c>
      <c r="F160" s="354">
        <f>VLOOKUP(sezione!AG56,'SOLLECITAZ NASCOSTO'!$C$23:$M$468,11,TRUE)</f>
        <v>-384.45222853876811</v>
      </c>
      <c r="G160" s="422"/>
      <c r="H160" s="422"/>
      <c r="Q160" s="422"/>
      <c r="R160" s="422"/>
      <c r="S160" s="422"/>
    </row>
    <row r="161" spans="1:19" s="421" customFormat="1" x14ac:dyDescent="0.25">
      <c r="A161" s="422"/>
      <c r="B161" s="643">
        <f t="shared" si="0"/>
        <v>10</v>
      </c>
      <c r="C161" s="535">
        <f>VLOOKUP(sezione!AG57,'SOLLECITAZ NASCOSTO'!$S$32:$T$448,2,TRUE)</f>
        <v>0.51089437882755018</v>
      </c>
      <c r="D161" s="655">
        <f>VLOOKUP(sezione!AG57,'SOLLECITAZ NASCOSTO'!$C$32:$M$448,2,TRUE)</f>
        <v>0.85843915725189079</v>
      </c>
      <c r="E161" s="353">
        <f>VLOOKUP(sezione!AG57,'SOLLECITAZ NASCOSTO'!$C$23:$M$468,10,TRUE)</f>
        <v>303.06674188790316</v>
      </c>
      <c r="F161" s="354">
        <f>VLOOKUP(sezione!AG57,'SOLLECITAZ NASCOSTO'!$C$23:$M$468,11,TRUE)</f>
        <v>-502.63746422508564</v>
      </c>
      <c r="G161" s="422"/>
      <c r="H161" s="422"/>
      <c r="Q161" s="422"/>
      <c r="R161" s="422"/>
      <c r="S161" s="422"/>
    </row>
    <row r="162" spans="1:19" s="421" customFormat="1" x14ac:dyDescent="0.25">
      <c r="A162" s="422"/>
      <c r="B162" s="19"/>
      <c r="C162" s="649"/>
      <c r="D162" s="656"/>
      <c r="E162" s="651"/>
      <c r="F162" s="359"/>
      <c r="G162" s="422"/>
      <c r="H162" s="422"/>
      <c r="Q162" s="422"/>
      <c r="R162" s="422"/>
      <c r="S162" s="422"/>
    </row>
    <row r="163" spans="1:19" s="421" customFormat="1" x14ac:dyDescent="0.25">
      <c r="A163" s="422"/>
      <c r="B163" s="422"/>
      <c r="C163" s="422"/>
      <c r="D163" s="422"/>
      <c r="E163" s="422"/>
      <c r="F163" s="422"/>
      <c r="G163" s="422"/>
      <c r="H163" s="422"/>
      <c r="Q163" s="422"/>
      <c r="R163" s="422"/>
      <c r="S163" s="422"/>
    </row>
    <row r="164" spans="1:19" s="421" customFormat="1" x14ac:dyDescent="0.25">
      <c r="A164" s="422"/>
      <c r="B164" s="422"/>
      <c r="C164" s="422"/>
      <c r="D164" s="422"/>
      <c r="E164" s="422"/>
      <c r="F164" s="422"/>
      <c r="G164" s="422"/>
      <c r="H164" s="422"/>
      <c r="Q164" s="422"/>
      <c r="R164" s="422"/>
      <c r="S164" s="422"/>
    </row>
    <row r="165" spans="1:19" s="421" customFormat="1" x14ac:dyDescent="0.25">
      <c r="A165" s="422"/>
      <c r="I165" s="32"/>
    </row>
    <row r="166" spans="1:19" s="421" customFormat="1" x14ac:dyDescent="0.25">
      <c r="A166" s="422"/>
      <c r="I166" s="32"/>
    </row>
    <row r="167" spans="1:19" s="421" customFormat="1" x14ac:dyDescent="0.25">
      <c r="A167" s="422"/>
      <c r="I167" s="32"/>
    </row>
    <row r="168" spans="1:19" s="421" customFormat="1" x14ac:dyDescent="0.25">
      <c r="A168" s="422"/>
      <c r="I168" s="32"/>
    </row>
    <row r="169" spans="1:19" s="421" customFormat="1" x14ac:dyDescent="0.25">
      <c r="A169" s="422"/>
      <c r="I169" s="32"/>
    </row>
    <row r="170" spans="1:19" s="421" customFormat="1" x14ac:dyDescent="0.25">
      <c r="A170" s="422"/>
      <c r="I170" s="32"/>
    </row>
    <row r="171" spans="1:19" s="421" customFormat="1" x14ac:dyDescent="0.25">
      <c r="A171" s="422"/>
      <c r="I171" s="32"/>
    </row>
    <row r="172" spans="1:19" s="421" customFormat="1" x14ac:dyDescent="0.25">
      <c r="A172" s="422"/>
      <c r="I172" s="32"/>
    </row>
    <row r="173" spans="1:19" s="421" customFormat="1" x14ac:dyDescent="0.25">
      <c r="A173" s="422"/>
      <c r="I173" s="32"/>
    </row>
    <row r="174" spans="1:19" s="421" customFormat="1" x14ac:dyDescent="0.25">
      <c r="A174" s="422"/>
      <c r="I174" s="32"/>
    </row>
    <row r="175" spans="1:19" s="421" customFormat="1" x14ac:dyDescent="0.25">
      <c r="A175" s="422"/>
      <c r="I175" s="32"/>
    </row>
    <row r="176" spans="1:19" s="421" customFormat="1" x14ac:dyDescent="0.25">
      <c r="A176" s="422"/>
      <c r="I176" s="32"/>
    </row>
    <row r="177" spans="1:22" s="421" customFormat="1" x14ac:dyDescent="0.25">
      <c r="A177" s="422"/>
      <c r="I177" s="32"/>
      <c r="R177" s="422"/>
      <c r="S177" s="422"/>
      <c r="T177" s="422"/>
      <c r="U177" s="422"/>
      <c r="V177" s="422"/>
    </row>
    <row r="178" spans="1:22" s="421" customFormat="1" x14ac:dyDescent="0.25">
      <c r="A178" s="422"/>
      <c r="I178" s="32"/>
      <c r="R178" s="422"/>
      <c r="S178" s="422"/>
      <c r="T178" s="422"/>
      <c r="U178" s="422"/>
      <c r="V178" s="422"/>
    </row>
    <row r="179" spans="1:22" s="421" customFormat="1" x14ac:dyDescent="0.25">
      <c r="A179" s="422"/>
      <c r="I179" s="32"/>
      <c r="R179" s="422"/>
      <c r="S179" s="422"/>
      <c r="T179" s="422"/>
      <c r="U179" s="422"/>
      <c r="V179" s="422"/>
    </row>
    <row r="180" spans="1:22" s="421" customFormat="1" x14ac:dyDescent="0.25">
      <c r="A180" s="422"/>
      <c r="I180" s="32"/>
      <c r="R180" s="422"/>
      <c r="S180" s="422"/>
      <c r="T180" s="422"/>
      <c r="U180" s="422"/>
      <c r="V180" s="422"/>
    </row>
    <row r="181" spans="1:22" s="421" customFormat="1" x14ac:dyDescent="0.25">
      <c r="A181" s="422"/>
      <c r="R181" s="422"/>
      <c r="S181" s="422"/>
      <c r="T181" s="422"/>
      <c r="U181" s="422"/>
      <c r="V181" s="422"/>
    </row>
    <row r="182" spans="1:22" s="421" customFormat="1" x14ac:dyDescent="0.25">
      <c r="A182" s="422"/>
      <c r="R182" s="422"/>
      <c r="S182" s="422"/>
      <c r="T182" s="422"/>
      <c r="U182" s="422"/>
      <c r="V182" s="422"/>
    </row>
    <row r="183" spans="1:22" s="421" customFormat="1" x14ac:dyDescent="0.25">
      <c r="A183" s="422"/>
      <c r="R183" s="422"/>
      <c r="S183" s="422"/>
      <c r="T183" s="422"/>
      <c r="U183" s="422"/>
      <c r="V183" s="422"/>
    </row>
    <row r="184" spans="1:22" s="421" customFormat="1" x14ac:dyDescent="0.25">
      <c r="A184" s="422"/>
      <c r="I184" s="32"/>
      <c r="R184" s="422"/>
      <c r="S184" s="422"/>
      <c r="T184" s="422"/>
      <c r="U184" s="422"/>
      <c r="V184" s="422"/>
    </row>
    <row r="185" spans="1:22" s="421" customFormat="1" x14ac:dyDescent="0.25">
      <c r="A185" s="422"/>
      <c r="I185" s="32"/>
      <c r="R185" s="422"/>
      <c r="S185" s="422"/>
      <c r="T185" s="422"/>
      <c r="U185" s="422"/>
      <c r="V185" s="422"/>
    </row>
    <row r="186" spans="1:22" s="421" customFormat="1" x14ac:dyDescent="0.25">
      <c r="A186" s="422"/>
      <c r="I186" s="32"/>
      <c r="R186" s="422"/>
      <c r="S186" s="422"/>
      <c r="T186" s="422"/>
      <c r="U186" s="422"/>
      <c r="V186" s="422"/>
    </row>
    <row r="187" spans="1:22" s="421" customFormat="1" x14ac:dyDescent="0.25">
      <c r="A187" s="422"/>
      <c r="I187" s="32"/>
      <c r="R187" s="422"/>
      <c r="S187" s="422"/>
      <c r="T187" s="422"/>
      <c r="U187" s="422"/>
      <c r="V187" s="422"/>
    </row>
    <row r="188" spans="1:22" s="421" customFormat="1" x14ac:dyDescent="0.25">
      <c r="A188" s="422"/>
      <c r="I188" s="32"/>
      <c r="R188" s="422"/>
      <c r="S188" s="422"/>
      <c r="T188" s="422"/>
      <c r="U188" s="422"/>
      <c r="V188" s="422"/>
    </row>
    <row r="189" spans="1:22" s="421" customFormat="1" x14ac:dyDescent="0.25">
      <c r="A189" s="422"/>
      <c r="I189" s="32"/>
      <c r="R189" s="422"/>
      <c r="S189" s="422"/>
      <c r="T189" s="422"/>
      <c r="U189" s="422"/>
      <c r="V189" s="422"/>
    </row>
    <row r="190" spans="1:22" s="421" customFormat="1" x14ac:dyDescent="0.25">
      <c r="A190" s="422"/>
      <c r="I190" s="32"/>
      <c r="R190" s="422"/>
      <c r="S190" s="422"/>
      <c r="T190" s="422"/>
      <c r="U190" s="422"/>
      <c r="V190" s="422"/>
    </row>
    <row r="191" spans="1:22" s="421" customFormat="1" x14ac:dyDescent="0.25">
      <c r="A191" s="422"/>
      <c r="I191" s="32"/>
      <c r="R191" s="422"/>
      <c r="S191" s="422"/>
      <c r="T191" s="422"/>
      <c r="U191" s="422"/>
      <c r="V191" s="422"/>
    </row>
    <row r="192" spans="1:22" s="421" customFormat="1" x14ac:dyDescent="0.25">
      <c r="A192" s="422"/>
      <c r="I192" s="32"/>
      <c r="R192" s="422"/>
      <c r="S192" s="422"/>
      <c r="T192" s="422"/>
      <c r="U192" s="422"/>
      <c r="V192" s="422"/>
    </row>
    <row r="193" spans="1:22" s="421" customFormat="1" x14ac:dyDescent="0.25">
      <c r="A193" s="422"/>
      <c r="I193" s="32"/>
      <c r="R193" s="422"/>
      <c r="S193" s="422"/>
      <c r="T193" s="422"/>
      <c r="U193" s="422"/>
      <c r="V193" s="422"/>
    </row>
    <row r="194" spans="1:22" s="421" customFormat="1" x14ac:dyDescent="0.25">
      <c r="A194" s="422"/>
      <c r="I194" s="32"/>
      <c r="R194" s="422"/>
      <c r="S194" s="422"/>
      <c r="T194" s="422"/>
      <c r="U194" s="422"/>
      <c r="V194" s="422"/>
    </row>
    <row r="195" spans="1:22" s="421" customFormat="1" x14ac:dyDescent="0.25">
      <c r="A195" s="422"/>
      <c r="I195" s="32"/>
      <c r="R195" s="422"/>
      <c r="S195" s="422"/>
      <c r="T195" s="422"/>
      <c r="U195" s="422"/>
      <c r="V195" s="422"/>
    </row>
    <row r="196" spans="1:22" s="421" customFormat="1" x14ac:dyDescent="0.25">
      <c r="A196" s="422"/>
      <c r="I196" s="32"/>
      <c r="R196" s="422"/>
      <c r="S196" s="422"/>
      <c r="T196" s="422"/>
      <c r="U196" s="422"/>
      <c r="V196" s="422"/>
    </row>
    <row r="197" spans="1:22" s="421" customFormat="1" x14ac:dyDescent="0.25">
      <c r="A197" s="422"/>
      <c r="I197" s="32"/>
      <c r="R197" s="422"/>
      <c r="S197" s="422"/>
      <c r="T197" s="422"/>
      <c r="U197" s="422"/>
      <c r="V197" s="422"/>
    </row>
    <row r="198" spans="1:22" s="421" customFormat="1" x14ac:dyDescent="0.25">
      <c r="A198" s="422"/>
      <c r="I198" s="32"/>
      <c r="R198" s="422"/>
      <c r="S198" s="422"/>
      <c r="T198" s="422"/>
      <c r="U198" s="422"/>
      <c r="V198" s="422"/>
    </row>
    <row r="199" spans="1:22" s="421" customFormat="1" x14ac:dyDescent="0.25">
      <c r="A199" s="422"/>
      <c r="I199" s="32"/>
      <c r="R199" s="422"/>
      <c r="S199" s="422"/>
      <c r="T199" s="422"/>
      <c r="U199" s="422"/>
      <c r="V199" s="422"/>
    </row>
    <row r="200" spans="1:22" s="421" customFormat="1" x14ac:dyDescent="0.25">
      <c r="A200" s="422"/>
      <c r="I200" s="32"/>
      <c r="R200" s="422"/>
      <c r="S200" s="422"/>
      <c r="T200" s="422"/>
      <c r="U200" s="422"/>
      <c r="V200" s="422"/>
    </row>
    <row r="201" spans="1:22" s="421" customFormat="1" x14ac:dyDescent="0.25">
      <c r="A201" s="422"/>
      <c r="I201" s="32"/>
      <c r="R201" s="422"/>
      <c r="S201" s="422"/>
      <c r="T201" s="422"/>
      <c r="U201" s="422"/>
      <c r="V201" s="422"/>
    </row>
    <row r="202" spans="1:22" s="421" customFormat="1" x14ac:dyDescent="0.25">
      <c r="A202" s="422"/>
      <c r="I202" s="32"/>
      <c r="R202" s="422"/>
      <c r="S202" s="422"/>
      <c r="T202" s="422"/>
      <c r="U202" s="422"/>
      <c r="V202" s="422"/>
    </row>
    <row r="203" spans="1:22" s="421" customFormat="1" x14ac:dyDescent="0.25">
      <c r="A203" s="422"/>
      <c r="I203" s="32"/>
      <c r="R203" s="422"/>
      <c r="S203" s="422"/>
      <c r="T203" s="422"/>
      <c r="U203" s="422"/>
      <c r="V203" s="422"/>
    </row>
    <row r="204" spans="1:22" s="421" customFormat="1" x14ac:dyDescent="0.25">
      <c r="A204" s="422"/>
      <c r="I204" s="32"/>
      <c r="R204" s="422"/>
      <c r="S204" s="422"/>
      <c r="T204" s="422"/>
      <c r="U204" s="422"/>
      <c r="V204" s="422"/>
    </row>
    <row r="205" spans="1:22" s="421" customFormat="1" x14ac:dyDescent="0.25">
      <c r="A205" s="422"/>
      <c r="I205" s="32"/>
      <c r="R205" s="422"/>
      <c r="S205" s="422"/>
      <c r="T205" s="422"/>
      <c r="U205" s="422"/>
      <c r="V205" s="422"/>
    </row>
    <row r="206" spans="1:22" s="421" customFormat="1" x14ac:dyDescent="0.25">
      <c r="A206" s="422"/>
      <c r="I206" s="32"/>
      <c r="R206" s="422"/>
      <c r="S206" s="422"/>
      <c r="T206" s="422"/>
      <c r="U206" s="422"/>
      <c r="V206" s="422"/>
    </row>
    <row r="207" spans="1:22" s="421" customFormat="1" x14ac:dyDescent="0.25">
      <c r="A207" s="422"/>
      <c r="I207" s="32"/>
      <c r="V207" s="2"/>
    </row>
    <row r="208" spans="1:22" s="421" customFormat="1" x14ac:dyDescent="0.25">
      <c r="A208" s="422"/>
      <c r="I208" s="32"/>
      <c r="U208" s="83"/>
      <c r="V208" s="107"/>
    </row>
    <row r="209" spans="1:22" s="421" customFormat="1" x14ac:dyDescent="0.25">
      <c r="A209" s="422"/>
      <c r="I209" s="32"/>
      <c r="P209" s="422"/>
      <c r="U209" s="2"/>
      <c r="V209" s="2"/>
    </row>
    <row r="210" spans="1:22" s="421" customFormat="1" x14ac:dyDescent="0.25">
      <c r="A210" s="422"/>
      <c r="I210" s="32"/>
      <c r="P210" s="422"/>
    </row>
    <row r="211" spans="1:22" s="421" customFormat="1" x14ac:dyDescent="0.25">
      <c r="A211" s="422"/>
      <c r="I211" s="32"/>
      <c r="P211" s="422"/>
      <c r="Q211" s="57"/>
      <c r="R211" s="111"/>
      <c r="S211" s="112"/>
      <c r="T211" s="112"/>
      <c r="U211" s="57"/>
      <c r="V211" s="111"/>
    </row>
    <row r="212" spans="1:22" s="421" customFormat="1" x14ac:dyDescent="0.25">
      <c r="A212" s="422"/>
      <c r="I212" s="32"/>
      <c r="P212" s="422"/>
      <c r="Q212" s="57"/>
      <c r="R212" s="111"/>
      <c r="S212" s="112"/>
      <c r="T212" s="112"/>
      <c r="U212" s="57"/>
      <c r="V212" s="111"/>
    </row>
    <row r="213" spans="1:22" s="421" customFormat="1" x14ac:dyDescent="0.25">
      <c r="A213" s="422"/>
      <c r="P213" s="422"/>
      <c r="Q213" s="57"/>
      <c r="R213" s="111"/>
      <c r="S213" s="112"/>
      <c r="T213" s="112"/>
      <c r="U213" s="57"/>
      <c r="V213" s="111"/>
    </row>
    <row r="214" spans="1:22" s="421" customFormat="1" x14ac:dyDescent="0.25">
      <c r="A214" s="422"/>
      <c r="P214" s="422"/>
      <c r="Q214" s="57"/>
      <c r="R214" s="111"/>
      <c r="S214" s="112"/>
      <c r="T214" s="112"/>
      <c r="U214" s="57"/>
      <c r="V214" s="111"/>
    </row>
    <row r="215" spans="1:22" s="421" customFormat="1" x14ac:dyDescent="0.25">
      <c r="A215" s="422"/>
      <c r="P215" s="422"/>
      <c r="Q215" s="57"/>
      <c r="R215" s="111"/>
      <c r="S215" s="112"/>
      <c r="T215" s="112"/>
      <c r="U215" s="57"/>
      <c r="V215" s="111"/>
    </row>
    <row r="216" spans="1:22" s="421" customFormat="1" x14ac:dyDescent="0.25">
      <c r="A216" s="422"/>
      <c r="P216" s="422"/>
      <c r="Q216" s="57"/>
      <c r="R216" s="111"/>
      <c r="S216" s="112"/>
      <c r="T216" s="112"/>
      <c r="U216" s="57"/>
      <c r="V216" s="111"/>
    </row>
    <row r="217" spans="1:22" s="421" customFormat="1" x14ac:dyDescent="0.25">
      <c r="A217" s="422"/>
      <c r="P217" s="422"/>
      <c r="Q217" s="57"/>
      <c r="R217" s="111"/>
      <c r="S217" s="112"/>
      <c r="T217" s="112"/>
      <c r="U217" s="57"/>
      <c r="V217" s="111"/>
    </row>
    <row r="218" spans="1:22" s="421" customFormat="1" x14ac:dyDescent="0.25">
      <c r="A218" s="422"/>
      <c r="P218" s="422"/>
      <c r="Q218" s="57"/>
      <c r="R218" s="111"/>
      <c r="S218" s="112"/>
      <c r="T218" s="112"/>
      <c r="U218" s="57"/>
      <c r="V218" s="111"/>
    </row>
    <row r="219" spans="1:22" s="421" customFormat="1" x14ac:dyDescent="0.25">
      <c r="A219" s="422"/>
      <c r="P219" s="422"/>
      <c r="Q219" s="57"/>
      <c r="R219" s="111"/>
      <c r="S219" s="112"/>
      <c r="T219" s="112"/>
      <c r="U219" s="57"/>
      <c r="V219" s="111"/>
    </row>
    <row r="220" spans="1:22" s="421" customFormat="1" x14ac:dyDescent="0.25">
      <c r="A220" s="422"/>
      <c r="P220" s="422"/>
      <c r="Q220" s="57"/>
      <c r="R220" s="111"/>
      <c r="S220" s="112"/>
      <c r="T220" s="112"/>
      <c r="U220" s="57"/>
      <c r="V220" s="111"/>
    </row>
    <row r="221" spans="1:22" s="421" customFormat="1" x14ac:dyDescent="0.25">
      <c r="A221" s="422"/>
      <c r="P221" s="422"/>
      <c r="Q221" s="57"/>
      <c r="R221" s="111"/>
      <c r="S221" s="112"/>
      <c r="T221" s="112"/>
      <c r="U221" s="57"/>
      <c r="V221" s="111"/>
    </row>
    <row r="222" spans="1:22" s="421" customFormat="1" x14ac:dyDescent="0.25">
      <c r="A222" s="422"/>
      <c r="P222" s="422"/>
      <c r="Q222" s="57"/>
      <c r="R222" s="111"/>
      <c r="S222" s="112"/>
      <c r="T222" s="112"/>
      <c r="U222" s="57"/>
      <c r="V222" s="111"/>
    </row>
    <row r="223" spans="1:22" s="421" customFormat="1" x14ac:dyDescent="0.25">
      <c r="A223" s="422"/>
      <c r="P223" s="422"/>
      <c r="Q223" s="57"/>
      <c r="R223" s="111"/>
      <c r="S223" s="112"/>
      <c r="T223" s="112"/>
      <c r="U223" s="57"/>
      <c r="V223" s="111"/>
    </row>
    <row r="224" spans="1:22" s="421" customFormat="1" x14ac:dyDescent="0.25">
      <c r="A224" s="422"/>
      <c r="P224" s="422"/>
      <c r="Q224" s="57"/>
      <c r="R224" s="111"/>
      <c r="S224" s="112"/>
      <c r="T224" s="112"/>
      <c r="U224" s="57"/>
      <c r="V224" s="111"/>
    </row>
    <row r="225" spans="1:22" s="421" customFormat="1" x14ac:dyDescent="0.25">
      <c r="A225" s="422"/>
      <c r="P225" s="422"/>
      <c r="Q225" s="57"/>
      <c r="R225" s="111"/>
      <c r="S225" s="112"/>
      <c r="T225" s="112"/>
      <c r="U225" s="57"/>
      <c r="V225" s="111"/>
    </row>
    <row r="226" spans="1:22" s="421" customFormat="1" x14ac:dyDescent="0.25">
      <c r="A226" s="422"/>
      <c r="P226" s="422"/>
      <c r="Q226" s="57"/>
      <c r="R226" s="111"/>
      <c r="S226" s="112"/>
      <c r="T226" s="112"/>
      <c r="U226" s="57"/>
      <c r="V226" s="111"/>
    </row>
    <row r="227" spans="1:22" s="421" customFormat="1" x14ac:dyDescent="0.25">
      <c r="A227" s="422"/>
      <c r="P227" s="422"/>
      <c r="Q227" s="57"/>
      <c r="R227" s="111"/>
      <c r="S227" s="112"/>
      <c r="T227" s="112"/>
      <c r="U227" s="57"/>
      <c r="V227" s="111"/>
    </row>
    <row r="228" spans="1:22" s="421" customFormat="1" x14ac:dyDescent="0.25">
      <c r="A228" s="422"/>
      <c r="P228" s="422"/>
      <c r="Q228" s="57"/>
      <c r="R228" s="111"/>
      <c r="S228" s="112"/>
      <c r="T228" s="112"/>
      <c r="U228" s="57"/>
      <c r="V228" s="111"/>
    </row>
    <row r="229" spans="1:22" s="421" customFormat="1" x14ac:dyDescent="0.25">
      <c r="A229" s="422"/>
      <c r="P229" s="422"/>
      <c r="Q229" s="57"/>
      <c r="R229" s="111"/>
      <c r="S229" s="112"/>
      <c r="T229" s="112"/>
      <c r="U229" s="57"/>
      <c r="V229" s="111"/>
    </row>
    <row r="230" spans="1:22" s="421" customFormat="1" x14ac:dyDescent="0.25">
      <c r="A230" s="422"/>
      <c r="P230" s="422"/>
      <c r="Q230" s="57"/>
      <c r="R230" s="111"/>
      <c r="S230" s="112"/>
      <c r="T230" s="112"/>
      <c r="U230" s="57"/>
      <c r="V230" s="111"/>
    </row>
    <row r="231" spans="1:22" s="421" customFormat="1" x14ac:dyDescent="0.25">
      <c r="A231" s="422"/>
      <c r="P231" s="422"/>
      <c r="Q231" s="57"/>
      <c r="R231" s="111"/>
      <c r="S231" s="112"/>
      <c r="T231" s="112"/>
      <c r="U231" s="57"/>
      <c r="V231" s="111"/>
    </row>
    <row r="232" spans="1:22" s="421" customFormat="1" x14ac:dyDescent="0.25">
      <c r="A232" s="422"/>
      <c r="P232" s="422"/>
      <c r="Q232" s="57"/>
      <c r="R232" s="111"/>
      <c r="S232" s="112"/>
      <c r="T232" s="112"/>
      <c r="U232" s="57"/>
      <c r="V232" s="111"/>
    </row>
    <row r="233" spans="1:22" s="421" customFormat="1" x14ac:dyDescent="0.25">
      <c r="A233" s="422"/>
      <c r="P233" s="422"/>
      <c r="Q233" s="57"/>
      <c r="R233" s="111"/>
      <c r="S233" s="112"/>
      <c r="T233" s="112"/>
      <c r="U233" s="57"/>
      <c r="V233" s="111"/>
    </row>
    <row r="234" spans="1:22" s="421" customFormat="1" x14ac:dyDescent="0.25">
      <c r="A234" s="422"/>
      <c r="P234" s="422"/>
      <c r="Q234" s="57"/>
      <c r="R234" s="111"/>
      <c r="S234" s="112"/>
      <c r="T234" s="112"/>
      <c r="U234" s="57"/>
      <c r="V234" s="111"/>
    </row>
    <row r="235" spans="1:22" s="421" customFormat="1" x14ac:dyDescent="0.25">
      <c r="A235" s="422"/>
      <c r="P235" s="422"/>
      <c r="Q235" s="57"/>
      <c r="R235" s="111"/>
      <c r="S235" s="112"/>
      <c r="T235" s="112"/>
      <c r="U235" s="57"/>
      <c r="V235" s="111"/>
    </row>
    <row r="236" spans="1:22" s="421" customFormat="1" x14ac:dyDescent="0.25">
      <c r="A236" s="422"/>
      <c r="P236" s="422"/>
      <c r="Q236" s="57"/>
      <c r="R236" s="111"/>
      <c r="S236" s="112"/>
      <c r="T236" s="112"/>
      <c r="U236" s="57"/>
      <c r="V236" s="111"/>
    </row>
    <row r="237" spans="1:22" s="421" customFormat="1" x14ac:dyDescent="0.25">
      <c r="A237" s="422"/>
      <c r="P237" s="422"/>
      <c r="Q237" s="57"/>
      <c r="R237" s="111"/>
      <c r="S237" s="112"/>
      <c r="T237" s="112"/>
      <c r="U237" s="57"/>
      <c r="V237" s="111"/>
    </row>
    <row r="238" spans="1:22" s="421" customFormat="1" x14ac:dyDescent="0.25">
      <c r="A238" s="422"/>
      <c r="P238" s="422"/>
      <c r="Q238" s="57"/>
      <c r="R238" s="111"/>
      <c r="S238" s="112"/>
      <c r="T238" s="112"/>
      <c r="U238" s="57"/>
      <c r="V238" s="111"/>
    </row>
    <row r="239" spans="1:22" s="421" customFormat="1" x14ac:dyDescent="0.25">
      <c r="A239" s="422"/>
      <c r="P239" s="422"/>
      <c r="Q239" s="57"/>
      <c r="R239" s="111"/>
      <c r="S239" s="112"/>
      <c r="T239" s="112"/>
      <c r="U239" s="57"/>
      <c r="V239" s="111"/>
    </row>
    <row r="240" spans="1:22" s="421" customFormat="1" x14ac:dyDescent="0.25">
      <c r="A240" s="422"/>
      <c r="P240" s="422"/>
      <c r="Q240" s="57"/>
      <c r="R240" s="111"/>
      <c r="S240" s="112"/>
      <c r="T240" s="112"/>
      <c r="U240" s="57"/>
      <c r="V240" s="111"/>
    </row>
    <row r="241" spans="1:22" s="421" customFormat="1" x14ac:dyDescent="0.25">
      <c r="A241" s="422"/>
      <c r="P241" s="422"/>
      <c r="Q241" s="57"/>
      <c r="R241" s="111"/>
      <c r="S241" s="112"/>
      <c r="T241" s="112"/>
      <c r="U241" s="57"/>
      <c r="V241" s="111"/>
    </row>
    <row r="242" spans="1:22" s="421" customFormat="1" x14ac:dyDescent="0.25">
      <c r="A242" s="422"/>
      <c r="P242" s="422"/>
      <c r="Q242" s="57"/>
      <c r="R242" s="111"/>
      <c r="S242" s="112"/>
      <c r="T242" s="112"/>
      <c r="U242" s="57"/>
      <c r="V242" s="111"/>
    </row>
    <row r="243" spans="1:22" s="421" customFormat="1" x14ac:dyDescent="0.25">
      <c r="A243" s="422"/>
      <c r="P243" s="422"/>
      <c r="Q243" s="57"/>
      <c r="R243" s="111"/>
      <c r="S243" s="112"/>
      <c r="T243" s="112"/>
      <c r="U243" s="57"/>
      <c r="V243" s="111"/>
    </row>
    <row r="244" spans="1:22" s="421" customFormat="1" x14ac:dyDescent="0.25">
      <c r="A244" s="422"/>
      <c r="P244" s="422"/>
      <c r="Q244" s="57"/>
      <c r="R244" s="111"/>
      <c r="S244" s="112"/>
      <c r="T244" s="112"/>
      <c r="U244" s="57"/>
      <c r="V244" s="111"/>
    </row>
    <row r="245" spans="1:22" s="421" customFormat="1" x14ac:dyDescent="0.25">
      <c r="A245" s="422"/>
      <c r="P245" s="422"/>
      <c r="Q245" s="57"/>
      <c r="R245" s="111"/>
      <c r="S245" s="112"/>
      <c r="T245" s="112"/>
      <c r="U245" s="57"/>
      <c r="V245" s="111"/>
    </row>
    <row r="246" spans="1:22" s="421" customFormat="1" x14ac:dyDescent="0.25">
      <c r="A246" s="422"/>
      <c r="P246" s="422"/>
      <c r="Q246" s="57"/>
      <c r="R246" s="111"/>
      <c r="S246" s="112"/>
      <c r="T246" s="112"/>
      <c r="U246" s="57"/>
      <c r="V246" s="111"/>
    </row>
    <row r="247" spans="1:22" s="421" customFormat="1" x14ac:dyDescent="0.25">
      <c r="A247" s="422"/>
      <c r="P247" s="422"/>
      <c r="Q247" s="57"/>
      <c r="R247" s="111"/>
      <c r="S247" s="112"/>
      <c r="T247" s="112"/>
      <c r="U247" s="57"/>
      <c r="V247" s="111"/>
    </row>
    <row r="248" spans="1:22" s="421" customFormat="1" x14ac:dyDescent="0.25">
      <c r="A248" s="422"/>
      <c r="P248" s="422"/>
      <c r="Q248" s="57"/>
      <c r="R248" s="111"/>
      <c r="S248" s="112"/>
      <c r="T248" s="112"/>
      <c r="U248" s="57"/>
      <c r="V248" s="111"/>
    </row>
    <row r="249" spans="1:22" s="421" customFormat="1" x14ac:dyDescent="0.25">
      <c r="A249" s="422"/>
      <c r="P249" s="422"/>
      <c r="Q249" s="57"/>
      <c r="R249" s="111"/>
      <c r="S249" s="112"/>
      <c r="T249" s="112"/>
      <c r="U249" s="57"/>
      <c r="V249" s="111"/>
    </row>
    <row r="250" spans="1:22" s="421" customFormat="1" x14ac:dyDescent="0.25">
      <c r="A250" s="422"/>
      <c r="P250" s="422"/>
      <c r="Q250" s="57"/>
      <c r="R250" s="111"/>
      <c r="S250" s="112"/>
      <c r="T250" s="112"/>
      <c r="U250" s="57"/>
      <c r="V250" s="111"/>
    </row>
    <row r="251" spans="1:22" s="421" customFormat="1" x14ac:dyDescent="0.25">
      <c r="A251" s="422"/>
      <c r="P251" s="422"/>
      <c r="Q251" s="57"/>
      <c r="R251" s="111"/>
      <c r="S251" s="112"/>
      <c r="T251" s="112"/>
      <c r="U251" s="57"/>
      <c r="V251" s="111"/>
    </row>
    <row r="252" spans="1:22" s="421" customFormat="1" x14ac:dyDescent="0.25">
      <c r="A252" s="422"/>
      <c r="P252" s="422"/>
      <c r="Q252" s="57"/>
      <c r="R252" s="111"/>
      <c r="S252" s="112"/>
      <c r="T252" s="112"/>
      <c r="U252" s="57"/>
      <c r="V252" s="111"/>
    </row>
    <row r="253" spans="1:22" s="421" customFormat="1" x14ac:dyDescent="0.25">
      <c r="A253" s="422"/>
      <c r="P253" s="422"/>
    </row>
    <row r="254" spans="1:22" s="421" customFormat="1" x14ac:dyDescent="0.25">
      <c r="A254" s="422"/>
      <c r="P254" s="422"/>
    </row>
    <row r="255" spans="1:22" s="421" customFormat="1" x14ac:dyDescent="0.25">
      <c r="A255" s="422"/>
      <c r="P255" s="422"/>
    </row>
    <row r="256" spans="1:22" s="421" customFormat="1" x14ac:dyDescent="0.25">
      <c r="A256" s="422"/>
      <c r="P256" s="422"/>
    </row>
    <row r="257" spans="1:16" s="421" customFormat="1" ht="10.5" customHeight="1" x14ac:dyDescent="0.25">
      <c r="A257" s="422"/>
      <c r="P257" s="422"/>
    </row>
    <row r="258" spans="1:16" s="421" customFormat="1" x14ac:dyDescent="0.25">
      <c r="A258" s="422"/>
      <c r="P258" s="422"/>
    </row>
    <row r="259" spans="1:16" s="421" customFormat="1" ht="9" customHeight="1" x14ac:dyDescent="0.25">
      <c r="A259" s="422"/>
      <c r="P259" s="422"/>
    </row>
    <row r="260" spans="1:16" s="421" customFormat="1" x14ac:dyDescent="0.25">
      <c r="P260" s="422"/>
    </row>
    <row r="261" spans="1:16" s="421" customFormat="1" x14ac:dyDescent="0.25">
      <c r="P261" s="422"/>
    </row>
    <row r="262" spans="1:16" s="421" customFormat="1" x14ac:dyDescent="0.25">
      <c r="P262" s="422"/>
    </row>
    <row r="263" spans="1:16" s="421" customFormat="1" x14ac:dyDescent="0.25">
      <c r="P263" s="422"/>
    </row>
    <row r="264" spans="1:16" s="421" customFormat="1" x14ac:dyDescent="0.25">
      <c r="P264" s="422"/>
    </row>
    <row r="265" spans="1:16" s="421" customFormat="1" x14ac:dyDescent="0.25">
      <c r="P265" s="422"/>
    </row>
    <row r="266" spans="1:16" s="421" customFormat="1" x14ac:dyDescent="0.25">
      <c r="P266" s="422"/>
    </row>
    <row r="267" spans="1:16" s="421" customFormat="1" x14ac:dyDescent="0.25">
      <c r="P267" s="422"/>
    </row>
    <row r="268" spans="1:16" s="421" customFormat="1" x14ac:dyDescent="0.25">
      <c r="P268" s="422"/>
    </row>
    <row r="269" spans="1:16" s="421" customFormat="1" x14ac:dyDescent="0.25">
      <c r="P269" s="422"/>
    </row>
    <row r="270" spans="1:16" s="421" customFormat="1" x14ac:dyDescent="0.25">
      <c r="P270" s="422"/>
    </row>
    <row r="271" spans="1:16" s="421" customFormat="1" x14ac:dyDescent="0.25">
      <c r="P271" s="422"/>
    </row>
    <row r="272" spans="1:16" s="421" customFormat="1" x14ac:dyDescent="0.25">
      <c r="P272" s="422"/>
    </row>
    <row r="273" spans="16:16" s="421" customFormat="1" x14ac:dyDescent="0.25">
      <c r="P273" s="422"/>
    </row>
    <row r="274" spans="16:16" s="421" customFormat="1" x14ac:dyDescent="0.25">
      <c r="P274" s="422"/>
    </row>
    <row r="275" spans="16:16" s="421" customFormat="1" x14ac:dyDescent="0.25">
      <c r="P275" s="422"/>
    </row>
    <row r="276" spans="16:16" s="421" customFormat="1" x14ac:dyDescent="0.25">
      <c r="P276" s="422"/>
    </row>
    <row r="277" spans="16:16" s="421" customFormat="1" x14ac:dyDescent="0.25">
      <c r="P277" s="422"/>
    </row>
    <row r="278" spans="16:16" s="421" customFormat="1" x14ac:dyDescent="0.25">
      <c r="P278" s="422"/>
    </row>
    <row r="279" spans="16:16" s="421" customFormat="1" x14ac:dyDescent="0.25">
      <c r="P279" s="422"/>
    </row>
    <row r="280" spans="16:16" s="421" customFormat="1" x14ac:dyDescent="0.25">
      <c r="P280" s="422"/>
    </row>
    <row r="281" spans="16:16" s="421" customFormat="1" x14ac:dyDescent="0.25">
      <c r="P281" s="422"/>
    </row>
    <row r="282" spans="16:16" s="421" customFormat="1" x14ac:dyDescent="0.25">
      <c r="P282" s="422"/>
    </row>
    <row r="283" spans="16:16" s="421" customFormat="1" x14ac:dyDescent="0.25">
      <c r="P283" s="422"/>
    </row>
    <row r="284" spans="16:16" s="421" customFormat="1" x14ac:dyDescent="0.25">
      <c r="P284" s="422"/>
    </row>
    <row r="285" spans="16:16" s="421" customFormat="1" x14ac:dyDescent="0.25">
      <c r="P285" s="422"/>
    </row>
    <row r="286" spans="16:16" s="421" customFormat="1" x14ac:dyDescent="0.25">
      <c r="P286" s="422"/>
    </row>
    <row r="287" spans="16:16" s="421" customFormat="1" x14ac:dyDescent="0.25">
      <c r="P287" s="422"/>
    </row>
    <row r="288" spans="16:16" s="421" customFormat="1" x14ac:dyDescent="0.25">
      <c r="P288" s="422"/>
    </row>
    <row r="289" spans="16:22" s="421" customFormat="1" x14ac:dyDescent="0.25">
      <c r="P289" s="422"/>
    </row>
    <row r="290" spans="16:22" s="421" customFormat="1" x14ac:dyDescent="0.25">
      <c r="P290" s="422"/>
    </row>
    <row r="291" spans="16:22" s="421" customFormat="1" x14ac:dyDescent="0.25">
      <c r="P291" s="422"/>
      <c r="Q291" s="32"/>
      <c r="R291" s="32"/>
      <c r="S291" s="32"/>
    </row>
    <row r="292" spans="16:22" s="421" customFormat="1" ht="6" customHeight="1" x14ac:dyDescent="0.25">
      <c r="P292" s="422"/>
      <c r="Q292" s="32"/>
      <c r="R292" s="32"/>
      <c r="S292" s="32"/>
      <c r="T292" s="422"/>
      <c r="U292" s="422"/>
      <c r="V292" s="422"/>
    </row>
    <row r="293" spans="16:22" s="421" customFormat="1" x14ac:dyDescent="0.25">
      <c r="P293" s="422"/>
      <c r="Q293" s="19"/>
      <c r="R293" s="300"/>
      <c r="S293" s="300"/>
      <c r="T293" s="422"/>
      <c r="U293" s="422"/>
      <c r="V293" s="422"/>
    </row>
    <row r="294" spans="16:22" s="421" customFormat="1" x14ac:dyDescent="0.25">
      <c r="P294" s="422"/>
      <c r="Q294" s="19"/>
      <c r="R294" s="300"/>
      <c r="S294" s="300"/>
      <c r="T294" s="422"/>
      <c r="U294" s="422"/>
      <c r="V294" s="422"/>
    </row>
    <row r="295" spans="16:22" s="421" customFormat="1" x14ac:dyDescent="0.25">
      <c r="P295" s="422"/>
      <c r="Q295" s="19"/>
      <c r="R295" s="300"/>
      <c r="S295" s="300"/>
      <c r="T295" s="422"/>
      <c r="U295" s="422"/>
      <c r="V295" s="422"/>
    </row>
    <row r="296" spans="16:22" s="421" customFormat="1" x14ac:dyDescent="0.25">
      <c r="P296" s="422"/>
      <c r="Q296" s="19"/>
      <c r="R296" s="300"/>
      <c r="S296" s="300"/>
      <c r="T296" s="422"/>
      <c r="U296" s="422"/>
      <c r="V296" s="422"/>
    </row>
    <row r="297" spans="16:22" s="421" customFormat="1" x14ac:dyDescent="0.25">
      <c r="P297" s="422"/>
      <c r="Q297" s="19"/>
      <c r="R297" s="300"/>
      <c r="S297" s="300"/>
      <c r="T297" s="422"/>
      <c r="U297" s="422"/>
      <c r="V297" s="422"/>
    </row>
    <row r="298" spans="16:22" s="421" customFormat="1" x14ac:dyDescent="0.25">
      <c r="P298" s="422"/>
      <c r="Q298" s="19"/>
      <c r="R298" s="300"/>
      <c r="S298" s="300"/>
      <c r="T298" s="422"/>
      <c r="U298" s="422"/>
      <c r="V298" s="422"/>
    </row>
    <row r="299" spans="16:22" s="421" customFormat="1" x14ac:dyDescent="0.25">
      <c r="P299" s="422"/>
      <c r="Q299" s="19"/>
      <c r="R299" s="300"/>
      <c r="S299" s="300"/>
      <c r="T299" s="422"/>
      <c r="U299" s="422"/>
      <c r="V299" s="422"/>
    </row>
    <row r="300" spans="16:22" s="421" customFormat="1" x14ac:dyDescent="0.25">
      <c r="P300" s="422"/>
      <c r="Q300" s="19"/>
      <c r="R300" s="300"/>
      <c r="S300" s="300"/>
      <c r="T300" s="422"/>
      <c r="U300" s="422"/>
      <c r="V300" s="422"/>
    </row>
    <row r="301" spans="16:22" s="421" customFormat="1" x14ac:dyDescent="0.25">
      <c r="P301" s="422"/>
      <c r="Q301" s="19"/>
      <c r="R301" s="300"/>
      <c r="S301" s="300"/>
      <c r="T301" s="422"/>
      <c r="U301" s="422"/>
      <c r="V301" s="422"/>
    </row>
    <row r="302" spans="16:22" s="421" customFormat="1" x14ac:dyDescent="0.25">
      <c r="P302" s="422"/>
      <c r="Q302" s="19"/>
      <c r="R302" s="300"/>
      <c r="S302" s="300"/>
      <c r="T302" s="422"/>
      <c r="U302" s="422"/>
      <c r="V302" s="422"/>
    </row>
    <row r="303" spans="16:22" s="421" customFormat="1" x14ac:dyDescent="0.25">
      <c r="P303" s="422"/>
      <c r="Q303" s="19"/>
      <c r="R303" s="300"/>
      <c r="S303" s="300"/>
      <c r="T303" s="422"/>
      <c r="U303" s="422"/>
      <c r="V303" s="422"/>
    </row>
    <row r="304" spans="16:22" s="421" customFormat="1" x14ac:dyDescent="0.25">
      <c r="P304" s="422"/>
      <c r="Q304" s="19"/>
      <c r="R304" s="300"/>
      <c r="S304" s="300"/>
      <c r="T304" s="422"/>
      <c r="U304" s="422"/>
      <c r="V304" s="422"/>
    </row>
    <row r="305" spans="16:22" s="421" customFormat="1" x14ac:dyDescent="0.25">
      <c r="P305" s="422"/>
      <c r="Q305" s="19"/>
      <c r="R305" s="300"/>
      <c r="S305" s="300"/>
      <c r="T305" s="422"/>
      <c r="U305" s="422"/>
      <c r="V305" s="422"/>
    </row>
    <row r="306" spans="16:22" s="421" customFormat="1" x14ac:dyDescent="0.25">
      <c r="P306" s="422"/>
      <c r="Q306" s="19"/>
      <c r="R306" s="300"/>
      <c r="S306" s="300"/>
      <c r="T306" s="422"/>
      <c r="U306" s="422"/>
      <c r="V306" s="422"/>
    </row>
    <row r="307" spans="16:22" s="421" customFormat="1" x14ac:dyDescent="0.25">
      <c r="P307" s="422"/>
      <c r="Q307" s="19"/>
      <c r="R307" s="300"/>
      <c r="S307" s="300"/>
      <c r="T307" s="422"/>
      <c r="U307" s="422"/>
      <c r="V307" s="422"/>
    </row>
    <row r="308" spans="16:22" s="421" customFormat="1" x14ac:dyDescent="0.25">
      <c r="P308" s="422"/>
      <c r="Q308" s="19"/>
      <c r="R308" s="300"/>
      <c r="S308" s="300"/>
      <c r="T308" s="422"/>
      <c r="U308" s="422"/>
      <c r="V308" s="422"/>
    </row>
    <row r="309" spans="16:22" s="421" customFormat="1" x14ac:dyDescent="0.25">
      <c r="P309" s="422"/>
      <c r="Q309" s="19"/>
      <c r="R309" s="300"/>
      <c r="S309" s="300"/>
      <c r="T309" s="422"/>
      <c r="U309" s="422"/>
      <c r="V309" s="422"/>
    </row>
    <row r="310" spans="16:22" s="421" customFormat="1" x14ac:dyDescent="0.25">
      <c r="P310" s="422"/>
      <c r="Q310" s="19"/>
      <c r="R310" s="300"/>
      <c r="S310" s="300"/>
      <c r="T310" s="422"/>
      <c r="U310" s="422"/>
      <c r="V310" s="422"/>
    </row>
    <row r="311" spans="16:22" s="421" customFormat="1" x14ac:dyDescent="0.25">
      <c r="P311" s="422"/>
      <c r="Q311" s="19"/>
      <c r="R311" s="300"/>
      <c r="S311" s="300"/>
      <c r="T311" s="422"/>
      <c r="U311" s="422"/>
      <c r="V311" s="422"/>
    </row>
    <row r="312" spans="16:22" s="421" customFormat="1" x14ac:dyDescent="0.25">
      <c r="P312" s="422"/>
      <c r="Q312" s="19"/>
      <c r="R312" s="300"/>
      <c r="S312" s="300"/>
      <c r="T312" s="422"/>
      <c r="U312" s="422"/>
      <c r="V312" s="422"/>
    </row>
    <row r="313" spans="16:22" s="421" customFormat="1" x14ac:dyDescent="0.25">
      <c r="P313" s="422"/>
      <c r="Q313" s="19"/>
      <c r="R313" s="300"/>
      <c r="S313" s="300"/>
      <c r="T313" s="422"/>
      <c r="U313" s="422"/>
      <c r="V313" s="422"/>
    </row>
    <row r="314" spans="16:22" s="421" customFormat="1" x14ac:dyDescent="0.25">
      <c r="P314" s="422"/>
      <c r="Q314" s="19"/>
      <c r="R314" s="300"/>
      <c r="S314" s="300"/>
      <c r="T314" s="422"/>
      <c r="U314" s="422"/>
      <c r="V314" s="422"/>
    </row>
    <row r="315" spans="16:22" s="421" customFormat="1" x14ac:dyDescent="0.25">
      <c r="P315" s="422"/>
      <c r="Q315" s="19"/>
      <c r="R315" s="300"/>
      <c r="S315" s="300"/>
      <c r="T315" s="422"/>
      <c r="U315" s="422"/>
      <c r="V315" s="422"/>
    </row>
    <row r="316" spans="16:22" s="421" customFormat="1" x14ac:dyDescent="0.25">
      <c r="P316" s="422"/>
      <c r="Q316" s="19"/>
      <c r="R316" s="300"/>
      <c r="S316" s="300"/>
      <c r="T316" s="422"/>
      <c r="U316" s="422"/>
      <c r="V316" s="422"/>
    </row>
    <row r="317" spans="16:22" s="421" customFormat="1" x14ac:dyDescent="0.25">
      <c r="P317" s="422"/>
      <c r="Q317" s="19"/>
      <c r="R317" s="300"/>
      <c r="S317" s="300"/>
      <c r="T317" s="422"/>
      <c r="U317" s="422"/>
      <c r="V317" s="422"/>
    </row>
    <row r="318" spans="16:22" s="421" customFormat="1" x14ac:dyDescent="0.25">
      <c r="P318" s="422"/>
      <c r="Q318" s="19"/>
      <c r="R318" s="300"/>
      <c r="S318" s="300"/>
      <c r="T318" s="422"/>
      <c r="U318" s="422"/>
      <c r="V318" s="422"/>
    </row>
    <row r="319" spans="16:22" s="421" customFormat="1" x14ac:dyDescent="0.25">
      <c r="P319" s="422"/>
      <c r="Q319" s="19"/>
      <c r="R319" s="300"/>
      <c r="S319" s="300"/>
      <c r="T319" s="422"/>
      <c r="U319" s="422"/>
      <c r="V319" s="422"/>
    </row>
    <row r="320" spans="16:22" s="421" customFormat="1" x14ac:dyDescent="0.25">
      <c r="P320" s="422"/>
      <c r="Q320" s="19"/>
      <c r="R320" s="300"/>
      <c r="S320" s="300"/>
      <c r="T320" s="422"/>
      <c r="U320" s="422"/>
      <c r="V320" s="422"/>
    </row>
    <row r="321" spans="16:22" s="421" customFormat="1" x14ac:dyDescent="0.25">
      <c r="P321" s="422"/>
      <c r="Q321" s="19"/>
      <c r="R321" s="300"/>
      <c r="S321" s="300"/>
      <c r="T321" s="422"/>
      <c r="U321" s="422"/>
      <c r="V321" s="422"/>
    </row>
    <row r="322" spans="16:22" s="421" customFormat="1" x14ac:dyDescent="0.25">
      <c r="P322" s="422"/>
      <c r="Q322" s="19"/>
      <c r="R322" s="300"/>
      <c r="S322" s="300"/>
      <c r="T322" s="422"/>
      <c r="U322" s="422"/>
      <c r="V322" s="422"/>
    </row>
    <row r="323" spans="16:22" s="421" customFormat="1" x14ac:dyDescent="0.25">
      <c r="P323" s="422"/>
      <c r="Q323" s="19"/>
      <c r="R323" s="300"/>
      <c r="S323" s="300"/>
      <c r="T323" s="422"/>
      <c r="U323" s="422"/>
      <c r="V323" s="422"/>
    </row>
    <row r="324" spans="16:22" s="421" customFormat="1" x14ac:dyDescent="0.25">
      <c r="P324" s="422"/>
      <c r="Q324" s="19"/>
      <c r="R324" s="300"/>
      <c r="S324" s="300"/>
      <c r="T324" s="422"/>
      <c r="U324" s="422"/>
      <c r="V324" s="422"/>
    </row>
    <row r="325" spans="16:22" s="421" customFormat="1" x14ac:dyDescent="0.25">
      <c r="P325" s="422"/>
      <c r="Q325" s="19"/>
      <c r="R325" s="300"/>
      <c r="S325" s="300"/>
      <c r="T325" s="422"/>
      <c r="U325" s="422"/>
      <c r="V325" s="422"/>
    </row>
    <row r="326" spans="16:22" s="421" customFormat="1" x14ac:dyDescent="0.25">
      <c r="P326" s="422"/>
      <c r="Q326" s="19"/>
      <c r="R326" s="300"/>
      <c r="S326" s="300"/>
      <c r="T326" s="422"/>
      <c r="U326" s="422"/>
      <c r="V326" s="422"/>
    </row>
    <row r="327" spans="16:22" s="421" customFormat="1" x14ac:dyDescent="0.25">
      <c r="P327" s="422"/>
      <c r="Q327" s="19"/>
      <c r="R327" s="300"/>
      <c r="S327" s="300"/>
      <c r="T327" s="422"/>
      <c r="U327" s="422"/>
      <c r="V327" s="422"/>
    </row>
    <row r="328" spans="16:22" s="421" customFormat="1" ht="9.75" customHeight="1" x14ac:dyDescent="0.25">
      <c r="P328" s="422"/>
      <c r="Q328" s="19"/>
      <c r="R328" s="300"/>
      <c r="S328" s="300"/>
      <c r="T328" s="422"/>
      <c r="U328" s="422"/>
      <c r="V328" s="422"/>
    </row>
    <row r="329" spans="16:22" s="421" customFormat="1" x14ac:dyDescent="0.25">
      <c r="P329" s="422"/>
      <c r="Q329" s="19"/>
      <c r="R329" s="300"/>
      <c r="S329" s="300"/>
      <c r="T329" s="422"/>
      <c r="U329" s="422"/>
      <c r="V329" s="422"/>
    </row>
    <row r="330" spans="16:22" s="421" customFormat="1" x14ac:dyDescent="0.25">
      <c r="P330" s="422"/>
      <c r="Q330" s="19"/>
      <c r="R330" s="300"/>
      <c r="S330" s="300"/>
      <c r="T330" s="422"/>
      <c r="U330" s="422"/>
      <c r="V330" s="422"/>
    </row>
    <row r="331" spans="16:22" s="421" customFormat="1" x14ac:dyDescent="0.25">
      <c r="P331" s="422"/>
      <c r="T331" s="2"/>
      <c r="U331" s="2"/>
      <c r="V331" s="2"/>
    </row>
    <row r="332" spans="16:22" s="421" customFormat="1" x14ac:dyDescent="0.25">
      <c r="P332" s="422"/>
      <c r="Q332" s="19"/>
      <c r="R332" s="523"/>
      <c r="S332" s="523"/>
      <c r="T332" s="422"/>
      <c r="U332" s="422"/>
      <c r="V332" s="422"/>
    </row>
    <row r="333" spans="16:22" s="421" customFormat="1" x14ac:dyDescent="0.25">
      <c r="P333" s="422"/>
      <c r="Q333" s="19"/>
      <c r="R333" s="523"/>
      <c r="S333" s="523"/>
      <c r="T333" s="422"/>
      <c r="U333" s="422"/>
      <c r="V333" s="422"/>
    </row>
    <row r="334" spans="16:22" s="421" customFormat="1" x14ac:dyDescent="0.25">
      <c r="P334" s="422"/>
      <c r="Q334" s="19"/>
      <c r="R334" s="523"/>
      <c r="S334" s="523"/>
      <c r="T334" s="422"/>
      <c r="U334" s="422"/>
      <c r="V334" s="422"/>
    </row>
    <row r="335" spans="16:22" s="421" customFormat="1" x14ac:dyDescent="0.25">
      <c r="P335" s="422"/>
      <c r="Q335" s="19"/>
      <c r="R335" s="523"/>
      <c r="S335" s="523"/>
      <c r="T335" s="422"/>
      <c r="U335" s="422"/>
      <c r="V335" s="422"/>
    </row>
    <row r="336" spans="16:22" s="421" customFormat="1" x14ac:dyDescent="0.25">
      <c r="P336" s="422"/>
      <c r="Q336" s="19"/>
      <c r="R336" s="523"/>
      <c r="S336" s="523"/>
      <c r="T336" s="422"/>
      <c r="U336" s="422"/>
      <c r="V336" s="422"/>
    </row>
    <row r="337" spans="9:22" s="421" customFormat="1" x14ac:dyDescent="0.25">
      <c r="P337" s="422"/>
      <c r="Q337" s="19"/>
      <c r="R337" s="523"/>
      <c r="S337" s="523"/>
      <c r="T337" s="422"/>
      <c r="U337" s="422"/>
      <c r="V337" s="422"/>
    </row>
    <row r="338" spans="9:22" s="421" customFormat="1" x14ac:dyDescent="0.25">
      <c r="P338" s="422"/>
      <c r="Q338" s="19"/>
      <c r="R338" s="523"/>
      <c r="S338" s="523"/>
      <c r="T338" s="422"/>
      <c r="U338" s="422"/>
      <c r="V338" s="422"/>
    </row>
    <row r="339" spans="9:22" s="421" customFormat="1" x14ac:dyDescent="0.25">
      <c r="P339" s="422"/>
      <c r="Q339" s="19"/>
      <c r="R339" s="523"/>
      <c r="S339" s="523"/>
      <c r="T339" s="422"/>
      <c r="U339" s="422"/>
      <c r="V339" s="422"/>
    </row>
    <row r="340" spans="9:22" s="421" customFormat="1" x14ac:dyDescent="0.25">
      <c r="P340" s="422"/>
      <c r="Q340" s="19"/>
      <c r="R340" s="523"/>
      <c r="S340" s="523"/>
      <c r="T340" s="422"/>
      <c r="U340" s="422"/>
      <c r="V340" s="422"/>
    </row>
    <row r="341" spans="9:22" s="421" customFormat="1" x14ac:dyDescent="0.25">
      <c r="P341" s="422"/>
      <c r="Q341" s="19"/>
      <c r="R341" s="523"/>
      <c r="S341" s="523"/>
      <c r="T341" s="422"/>
      <c r="U341" s="422"/>
      <c r="V341" s="422"/>
    </row>
    <row r="342" spans="9:22" s="421" customFormat="1" x14ac:dyDescent="0.25">
      <c r="I342" s="313"/>
      <c r="P342" s="422"/>
      <c r="Q342" s="19"/>
      <c r="R342" s="523"/>
      <c r="S342" s="523"/>
      <c r="T342" s="422"/>
      <c r="U342" s="422"/>
      <c r="V342" s="422"/>
    </row>
    <row r="343" spans="9:22" s="421" customFormat="1" x14ac:dyDescent="0.25">
      <c r="P343" s="422"/>
      <c r="Q343" s="19"/>
      <c r="R343" s="523"/>
      <c r="S343" s="523"/>
      <c r="T343" s="422"/>
      <c r="U343" s="422"/>
      <c r="V343" s="422"/>
    </row>
    <row r="344" spans="9:22" s="421" customFormat="1" x14ac:dyDescent="0.25">
      <c r="P344" s="422"/>
      <c r="Q344" s="19"/>
      <c r="R344" s="523"/>
      <c r="S344" s="523"/>
      <c r="T344" s="422"/>
      <c r="U344" s="422"/>
      <c r="V344" s="422"/>
    </row>
    <row r="345" spans="9:22" s="421" customFormat="1" x14ac:dyDescent="0.25">
      <c r="P345" s="422"/>
      <c r="Q345" s="19"/>
      <c r="R345" s="523"/>
      <c r="S345" s="523"/>
      <c r="T345" s="422"/>
      <c r="U345" s="422"/>
      <c r="V345" s="422"/>
    </row>
    <row r="346" spans="9:22" s="421" customFormat="1" x14ac:dyDescent="0.25">
      <c r="P346" s="422"/>
      <c r="Q346" s="19"/>
      <c r="R346" s="523"/>
      <c r="S346" s="523"/>
      <c r="T346" s="422"/>
      <c r="U346" s="422"/>
      <c r="V346" s="422"/>
    </row>
    <row r="347" spans="9:22" s="421" customFormat="1" x14ac:dyDescent="0.25">
      <c r="P347" s="422"/>
      <c r="Q347" s="19"/>
      <c r="R347" s="523"/>
      <c r="S347" s="523"/>
      <c r="T347" s="422"/>
      <c r="U347" s="422"/>
      <c r="V347" s="422"/>
    </row>
    <row r="348" spans="9:22" s="421" customFormat="1" x14ac:dyDescent="0.25">
      <c r="P348" s="422"/>
      <c r="Q348" s="19"/>
      <c r="R348" s="523"/>
      <c r="S348" s="523"/>
      <c r="T348" s="422"/>
      <c r="U348" s="422"/>
      <c r="V348" s="422"/>
    </row>
    <row r="349" spans="9:22" s="421" customFormat="1" x14ac:dyDescent="0.25">
      <c r="P349" s="422"/>
      <c r="Q349" s="19"/>
      <c r="R349" s="523"/>
      <c r="S349" s="523"/>
      <c r="T349" s="422"/>
      <c r="U349" s="422"/>
      <c r="V349" s="422"/>
    </row>
    <row r="350" spans="9:22" s="421" customFormat="1" x14ac:dyDescent="0.25">
      <c r="P350" s="422"/>
      <c r="Q350" s="19"/>
      <c r="R350" s="523"/>
      <c r="S350" s="523"/>
      <c r="T350" s="422"/>
      <c r="U350" s="422"/>
      <c r="V350" s="422"/>
    </row>
    <row r="351" spans="9:22" s="421" customFormat="1" x14ac:dyDescent="0.25">
      <c r="P351" s="422"/>
      <c r="Q351" s="19"/>
      <c r="R351" s="523"/>
      <c r="S351" s="523"/>
      <c r="T351" s="422"/>
      <c r="U351" s="422"/>
      <c r="V351" s="422"/>
    </row>
    <row r="352" spans="9:22" s="421" customFormat="1" x14ac:dyDescent="0.25">
      <c r="P352" s="422"/>
      <c r="Q352" s="19"/>
      <c r="R352" s="523"/>
      <c r="S352" s="523"/>
      <c r="T352" s="422"/>
      <c r="U352" s="422"/>
      <c r="V352" s="422"/>
    </row>
    <row r="353" spans="16:22" s="421" customFormat="1" x14ac:dyDescent="0.25">
      <c r="P353" s="422"/>
      <c r="Q353" s="19"/>
      <c r="R353" s="523"/>
      <c r="S353" s="523"/>
      <c r="T353" s="422"/>
      <c r="U353" s="422"/>
      <c r="V353" s="422"/>
    </row>
    <row r="354" spans="16:22" s="421" customFormat="1" x14ac:dyDescent="0.25">
      <c r="P354" s="422"/>
      <c r="Q354" s="19"/>
      <c r="R354" s="523"/>
      <c r="S354" s="523"/>
      <c r="T354" s="422"/>
      <c r="U354" s="422"/>
      <c r="V354" s="422"/>
    </row>
    <row r="355" spans="16:22" s="421" customFormat="1" x14ac:dyDescent="0.25">
      <c r="P355" s="422"/>
      <c r="Q355" s="19"/>
      <c r="R355" s="523"/>
      <c r="S355" s="523"/>
      <c r="T355" s="422"/>
      <c r="U355" s="422"/>
      <c r="V355" s="422"/>
    </row>
    <row r="356" spans="16:22" s="421" customFormat="1" x14ac:dyDescent="0.25">
      <c r="P356" s="422"/>
      <c r="Q356" s="19"/>
      <c r="R356" s="523"/>
      <c r="S356" s="523"/>
      <c r="T356" s="422"/>
      <c r="U356" s="422"/>
      <c r="V356" s="422"/>
    </row>
    <row r="357" spans="16:22" s="421" customFormat="1" x14ac:dyDescent="0.25">
      <c r="P357" s="422"/>
      <c r="Q357" s="19"/>
      <c r="R357" s="523"/>
      <c r="S357" s="523"/>
      <c r="T357" s="422"/>
      <c r="U357" s="422"/>
      <c r="V357" s="422"/>
    </row>
    <row r="358" spans="16:22" s="421" customFormat="1" x14ac:dyDescent="0.25">
      <c r="P358" s="422"/>
      <c r="Q358" s="19"/>
      <c r="R358" s="523"/>
      <c r="S358" s="523"/>
      <c r="T358" s="422"/>
      <c r="U358" s="422"/>
      <c r="V358" s="422"/>
    </row>
    <row r="359" spans="16:22" s="421" customFormat="1" x14ac:dyDescent="0.25">
      <c r="P359" s="422"/>
      <c r="Q359" s="19"/>
      <c r="R359" s="523"/>
      <c r="S359" s="523"/>
      <c r="T359" s="422"/>
      <c r="U359" s="422"/>
      <c r="V359" s="422"/>
    </row>
    <row r="360" spans="16:22" s="421" customFormat="1" ht="18" customHeight="1" x14ac:dyDescent="0.25">
      <c r="P360" s="422"/>
      <c r="Q360" s="19"/>
      <c r="R360" s="523"/>
      <c r="S360" s="523"/>
      <c r="T360" s="422"/>
      <c r="U360" s="422"/>
      <c r="V360" s="422"/>
    </row>
    <row r="361" spans="16:22" s="421" customFormat="1" x14ac:dyDescent="0.25">
      <c r="P361" s="422"/>
      <c r="Q361" s="19"/>
      <c r="R361" s="523"/>
      <c r="S361" s="523"/>
      <c r="T361" s="422"/>
      <c r="U361" s="422"/>
      <c r="V361" s="422"/>
    </row>
    <row r="362" spans="16:22" s="421" customFormat="1" x14ac:dyDescent="0.25">
      <c r="P362" s="422"/>
      <c r="Q362" s="19"/>
      <c r="R362" s="523"/>
      <c r="S362" s="523"/>
      <c r="T362" s="422"/>
      <c r="U362" s="422"/>
      <c r="V362" s="422"/>
    </row>
    <row r="363" spans="16:22" s="421" customFormat="1" x14ac:dyDescent="0.25">
      <c r="P363" s="422"/>
      <c r="Q363" s="19"/>
      <c r="R363" s="523"/>
      <c r="S363" s="523"/>
      <c r="T363" s="422"/>
      <c r="U363" s="422"/>
      <c r="V363" s="422"/>
    </row>
    <row r="364" spans="16:22" s="421" customFormat="1" x14ac:dyDescent="0.25">
      <c r="P364" s="422"/>
      <c r="Q364" s="19"/>
      <c r="R364" s="523"/>
      <c r="S364" s="523"/>
      <c r="T364" s="422"/>
      <c r="U364" s="422"/>
      <c r="V364" s="422"/>
    </row>
    <row r="365" spans="16:22" s="421" customFormat="1" x14ac:dyDescent="0.25">
      <c r="P365" s="422"/>
      <c r="Q365" s="19"/>
      <c r="R365" s="523"/>
      <c r="S365" s="523"/>
      <c r="T365" s="422"/>
      <c r="U365" s="422"/>
      <c r="V365" s="422"/>
    </row>
    <row r="366" spans="16:22" s="421" customFormat="1" x14ac:dyDescent="0.25">
      <c r="P366" s="422"/>
      <c r="Q366" s="19"/>
      <c r="R366" s="523"/>
      <c r="S366" s="523"/>
      <c r="T366" s="422"/>
      <c r="U366" s="422"/>
      <c r="V366" s="422"/>
    </row>
    <row r="367" spans="16:22" s="421" customFormat="1" x14ac:dyDescent="0.25">
      <c r="P367" s="422"/>
      <c r="Q367" s="19"/>
      <c r="R367" s="523"/>
      <c r="S367" s="523"/>
      <c r="T367" s="422"/>
      <c r="U367" s="422"/>
      <c r="V367" s="422"/>
    </row>
    <row r="368" spans="16:22" s="421" customFormat="1" x14ac:dyDescent="0.25">
      <c r="P368" s="422"/>
      <c r="Q368" s="19"/>
      <c r="R368" s="523"/>
      <c r="S368" s="523"/>
      <c r="T368" s="422"/>
      <c r="U368" s="422"/>
      <c r="V368" s="422"/>
    </row>
    <row r="369" spans="16:22" s="421" customFormat="1" x14ac:dyDescent="0.25">
      <c r="P369" s="422"/>
      <c r="Q369" s="19"/>
      <c r="R369" s="523"/>
      <c r="S369" s="523"/>
      <c r="T369" s="422"/>
      <c r="U369" s="422"/>
      <c r="V369" s="422"/>
    </row>
    <row r="370" spans="16:22" s="421" customFormat="1" x14ac:dyDescent="0.25">
      <c r="P370" s="422"/>
      <c r="Q370" s="19"/>
      <c r="R370" s="523"/>
      <c r="S370" s="523"/>
      <c r="T370" s="422"/>
      <c r="U370" s="422"/>
      <c r="V370" s="422"/>
    </row>
    <row r="371" spans="16:22" s="421" customFormat="1" x14ac:dyDescent="0.25">
      <c r="P371" s="422"/>
      <c r="Q371" s="19"/>
      <c r="R371" s="523"/>
      <c r="S371" s="523"/>
      <c r="T371" s="422"/>
      <c r="U371" s="422"/>
      <c r="V371" s="422"/>
    </row>
    <row r="372" spans="16:22" s="421" customFormat="1" x14ac:dyDescent="0.25">
      <c r="P372" s="422"/>
      <c r="Q372" s="19"/>
      <c r="R372" s="523"/>
      <c r="S372" s="523"/>
      <c r="T372" s="422"/>
      <c r="U372" s="422"/>
      <c r="V372" s="422"/>
    </row>
    <row r="373" spans="16:22" s="421" customFormat="1" x14ac:dyDescent="0.25">
      <c r="P373" s="422"/>
      <c r="Q373" s="19"/>
      <c r="R373" s="523"/>
      <c r="S373" s="523"/>
      <c r="T373" s="422"/>
      <c r="U373" s="422"/>
      <c r="V373" s="422"/>
    </row>
    <row r="374" spans="16:22" s="421" customFormat="1" x14ac:dyDescent="0.25">
      <c r="P374" s="422"/>
      <c r="Q374" s="19"/>
      <c r="R374" s="523"/>
      <c r="S374" s="523"/>
      <c r="T374" s="422"/>
      <c r="U374" s="422"/>
      <c r="V374" s="422"/>
    </row>
    <row r="375" spans="16:22" s="421" customFormat="1" x14ac:dyDescent="0.25">
      <c r="P375" s="422"/>
      <c r="Q375" s="19"/>
      <c r="R375" s="523"/>
      <c r="S375" s="523"/>
      <c r="T375" s="422"/>
      <c r="U375" s="422"/>
      <c r="V375" s="422"/>
    </row>
    <row r="376" spans="16:22" s="421" customFormat="1" x14ac:dyDescent="0.25">
      <c r="P376" s="422"/>
      <c r="Q376" s="19"/>
      <c r="R376" s="523"/>
      <c r="S376" s="523"/>
      <c r="T376" s="422"/>
      <c r="U376" s="422"/>
      <c r="V376" s="422"/>
    </row>
    <row r="377" spans="16:22" s="421" customFormat="1" x14ac:dyDescent="0.25">
      <c r="P377" s="422"/>
      <c r="Q377" s="19"/>
      <c r="R377" s="523"/>
      <c r="S377" s="523"/>
      <c r="T377" s="422"/>
      <c r="U377" s="422"/>
      <c r="V377" s="422"/>
    </row>
    <row r="378" spans="16:22" s="421" customFormat="1" x14ac:dyDescent="0.25">
      <c r="P378" s="422"/>
      <c r="Q378" s="19"/>
      <c r="R378" s="523"/>
      <c r="S378" s="523"/>
      <c r="T378" s="422"/>
      <c r="U378" s="422"/>
      <c r="V378" s="422"/>
    </row>
    <row r="379" spans="16:22" s="421" customFormat="1" x14ac:dyDescent="0.25">
      <c r="P379" s="422"/>
      <c r="Q379" s="19"/>
      <c r="R379" s="523"/>
      <c r="S379" s="523"/>
      <c r="T379" s="422"/>
      <c r="U379" s="422"/>
      <c r="V379" s="422"/>
    </row>
    <row r="380" spans="16:22" s="421" customFormat="1" x14ac:dyDescent="0.25">
      <c r="P380" s="422"/>
      <c r="Q380" s="19"/>
      <c r="R380" s="523"/>
      <c r="S380" s="523"/>
      <c r="T380" s="422"/>
      <c r="U380" s="422"/>
      <c r="V380" s="422"/>
    </row>
    <row r="381" spans="16:22" s="421" customFormat="1" x14ac:dyDescent="0.25">
      <c r="P381" s="422"/>
      <c r="Q381" s="19"/>
      <c r="R381" s="523"/>
      <c r="S381" s="523"/>
      <c r="T381" s="422"/>
      <c r="U381" s="422"/>
      <c r="V381" s="422"/>
    </row>
    <row r="382" spans="16:22" s="421" customFormat="1" x14ac:dyDescent="0.25">
      <c r="P382" s="422"/>
      <c r="Q382" s="19"/>
      <c r="R382" s="523"/>
      <c r="S382" s="523"/>
      <c r="T382" s="422"/>
      <c r="U382" s="422"/>
      <c r="V382" s="422"/>
    </row>
    <row r="383" spans="16:22" s="421" customFormat="1" x14ac:dyDescent="0.25">
      <c r="P383" s="422"/>
      <c r="Q383" s="19"/>
      <c r="R383" s="523"/>
      <c r="S383" s="523"/>
      <c r="T383" s="422"/>
      <c r="U383" s="422"/>
      <c r="V383" s="422"/>
    </row>
    <row r="384" spans="16:22" s="421" customFormat="1" x14ac:dyDescent="0.25">
      <c r="P384" s="422"/>
      <c r="Q384" s="19"/>
      <c r="R384" s="523"/>
      <c r="S384" s="523"/>
      <c r="T384" s="422"/>
      <c r="U384" s="422"/>
      <c r="V384" s="422"/>
    </row>
    <row r="385" spans="16:22" s="421" customFormat="1" x14ac:dyDescent="0.25">
      <c r="P385" s="422"/>
      <c r="Q385" s="19"/>
      <c r="R385" s="523"/>
      <c r="S385" s="523"/>
      <c r="T385" s="422"/>
      <c r="U385" s="422"/>
      <c r="V385" s="422"/>
    </row>
    <row r="386" spans="16:22" s="421" customFormat="1" x14ac:dyDescent="0.25">
      <c r="P386" s="422"/>
      <c r="Q386" s="19"/>
      <c r="R386" s="523"/>
      <c r="S386" s="523"/>
      <c r="T386" s="422"/>
      <c r="U386" s="422"/>
      <c r="V386" s="422"/>
    </row>
    <row r="387" spans="16:22" s="421" customFormat="1" x14ac:dyDescent="0.25">
      <c r="P387" s="422"/>
      <c r="Q387" s="19"/>
      <c r="R387" s="523"/>
      <c r="S387" s="523"/>
      <c r="T387" s="422"/>
      <c r="U387" s="422"/>
      <c r="V387" s="422"/>
    </row>
    <row r="388" spans="16:22" s="421" customFormat="1" x14ac:dyDescent="0.25">
      <c r="P388" s="422"/>
      <c r="Q388" s="19"/>
      <c r="R388" s="523"/>
      <c r="S388" s="523"/>
      <c r="T388" s="422"/>
      <c r="U388" s="422"/>
      <c r="V388" s="422"/>
    </row>
    <row r="389" spans="16:22" s="421" customFormat="1" x14ac:dyDescent="0.25">
      <c r="P389" s="422"/>
      <c r="Q389" s="19"/>
      <c r="R389" s="523"/>
      <c r="S389" s="523"/>
      <c r="T389" s="422"/>
      <c r="U389" s="422"/>
      <c r="V389" s="422"/>
    </row>
    <row r="390" spans="16:22" s="421" customFormat="1" x14ac:dyDescent="0.25">
      <c r="P390" s="422"/>
      <c r="Q390" s="19"/>
      <c r="R390" s="523"/>
      <c r="S390" s="523"/>
      <c r="T390" s="422"/>
      <c r="U390" s="422"/>
      <c r="V390" s="422"/>
    </row>
    <row r="391" spans="16:22" s="421" customFormat="1" x14ac:dyDescent="0.25">
      <c r="P391" s="422"/>
      <c r="Q391" s="19"/>
      <c r="R391" s="523"/>
      <c r="S391" s="523"/>
      <c r="T391" s="422"/>
      <c r="U391" s="422"/>
      <c r="V391" s="422"/>
    </row>
    <row r="392" spans="16:22" s="421" customFormat="1" x14ac:dyDescent="0.25">
      <c r="P392" s="422"/>
      <c r="Q392" s="19"/>
      <c r="R392" s="523"/>
      <c r="S392" s="523"/>
      <c r="T392" s="422"/>
      <c r="U392" s="422"/>
      <c r="V392" s="422"/>
    </row>
    <row r="393" spans="16:22" s="421" customFormat="1" x14ac:dyDescent="0.25">
      <c r="P393" s="422"/>
      <c r="Q393" s="19"/>
      <c r="R393" s="523"/>
      <c r="S393" s="523"/>
      <c r="T393" s="422"/>
      <c r="U393" s="422"/>
      <c r="V393" s="422"/>
    </row>
    <row r="394" spans="16:22" s="421" customFormat="1" x14ac:dyDescent="0.25">
      <c r="P394" s="422"/>
      <c r="Q394" s="19"/>
      <c r="R394" s="523"/>
      <c r="S394" s="523"/>
      <c r="T394" s="422"/>
      <c r="U394" s="422"/>
      <c r="V394" s="422"/>
    </row>
    <row r="395" spans="16:22" s="421" customFormat="1" x14ac:dyDescent="0.25">
      <c r="P395" s="422"/>
      <c r="Q395" s="19"/>
      <c r="R395" s="523"/>
      <c r="S395" s="523"/>
      <c r="T395" s="422"/>
      <c r="U395" s="422"/>
      <c r="V395" s="422"/>
    </row>
    <row r="396" spans="16:22" s="421" customFormat="1" x14ac:dyDescent="0.25">
      <c r="P396" s="422"/>
      <c r="Q396" s="19"/>
      <c r="R396" s="523"/>
      <c r="S396" s="523"/>
      <c r="T396" s="422"/>
      <c r="U396" s="422"/>
      <c r="V396" s="422"/>
    </row>
    <row r="397" spans="16:22" s="421" customFormat="1" x14ac:dyDescent="0.25">
      <c r="P397" s="422"/>
      <c r="Q397" s="19"/>
      <c r="R397" s="523"/>
      <c r="S397" s="523"/>
      <c r="T397" s="422"/>
      <c r="U397" s="422"/>
      <c r="V397" s="422"/>
    </row>
    <row r="398" spans="16:22" s="421" customFormat="1" x14ac:dyDescent="0.25">
      <c r="P398" s="422"/>
      <c r="Q398" s="19"/>
      <c r="R398" s="523"/>
      <c r="S398" s="523"/>
      <c r="T398" s="422"/>
      <c r="U398" s="422"/>
      <c r="V398" s="422"/>
    </row>
    <row r="399" spans="16:22" s="421" customFormat="1" x14ac:dyDescent="0.25">
      <c r="P399" s="422"/>
      <c r="Q399" s="19"/>
      <c r="R399" s="523"/>
      <c r="S399" s="523"/>
      <c r="T399" s="422"/>
      <c r="U399" s="422"/>
      <c r="V399" s="422"/>
    </row>
    <row r="400" spans="16:22" s="421" customFormat="1" x14ac:dyDescent="0.25">
      <c r="P400" s="422"/>
      <c r="Q400" s="19"/>
      <c r="R400" s="523"/>
      <c r="S400" s="523"/>
      <c r="T400" s="422"/>
      <c r="U400" s="422"/>
      <c r="V400" s="422"/>
    </row>
    <row r="401" spans="16:22" s="421" customFormat="1" x14ac:dyDescent="0.25">
      <c r="P401" s="422"/>
      <c r="Q401" s="19"/>
      <c r="R401" s="523"/>
      <c r="S401" s="523"/>
      <c r="T401" s="422"/>
      <c r="U401" s="422"/>
      <c r="V401" s="422"/>
    </row>
    <row r="402" spans="16:22" s="421" customFormat="1" x14ac:dyDescent="0.25">
      <c r="P402" s="422"/>
      <c r="Q402" s="19"/>
      <c r="R402" s="523"/>
      <c r="S402" s="523"/>
      <c r="T402" s="422"/>
      <c r="U402" s="422"/>
      <c r="V402" s="422"/>
    </row>
    <row r="403" spans="16:22" s="421" customFormat="1" x14ac:dyDescent="0.25">
      <c r="P403" s="422"/>
      <c r="Q403" s="19"/>
      <c r="R403" s="523"/>
      <c r="S403" s="523"/>
      <c r="T403" s="422"/>
      <c r="U403" s="422"/>
      <c r="V403" s="422"/>
    </row>
    <row r="404" spans="16:22" s="421" customFormat="1" x14ac:dyDescent="0.25">
      <c r="P404" s="422"/>
      <c r="Q404" s="19"/>
      <c r="R404" s="523"/>
      <c r="S404" s="523"/>
      <c r="T404" s="422"/>
      <c r="U404" s="422"/>
      <c r="V404" s="422"/>
    </row>
    <row r="405" spans="16:22" s="421" customFormat="1" x14ac:dyDescent="0.25">
      <c r="P405" s="422"/>
      <c r="Q405" s="19"/>
      <c r="R405" s="523"/>
      <c r="S405" s="523"/>
      <c r="T405" s="422"/>
      <c r="U405" s="422"/>
      <c r="V405" s="422"/>
    </row>
    <row r="406" spans="16:22" s="421" customFormat="1" x14ac:dyDescent="0.25">
      <c r="P406" s="422"/>
      <c r="Q406" s="19"/>
      <c r="R406" s="523"/>
      <c r="S406" s="523"/>
      <c r="T406" s="422"/>
      <c r="U406" s="422"/>
      <c r="V406" s="422"/>
    </row>
    <row r="407" spans="16:22" s="421" customFormat="1" x14ac:dyDescent="0.25">
      <c r="P407" s="422"/>
      <c r="Q407" s="19"/>
      <c r="R407" s="523"/>
      <c r="S407" s="523"/>
      <c r="T407" s="422"/>
      <c r="U407" s="422"/>
      <c r="V407" s="422"/>
    </row>
    <row r="408" spans="16:22" s="421" customFormat="1" x14ac:dyDescent="0.25">
      <c r="P408" s="422"/>
      <c r="Q408" s="19"/>
      <c r="R408" s="523"/>
      <c r="S408" s="523"/>
      <c r="T408" s="422"/>
      <c r="U408" s="422"/>
      <c r="V408" s="422"/>
    </row>
    <row r="409" spans="16:22" s="421" customFormat="1" x14ac:dyDescent="0.25">
      <c r="P409" s="422"/>
      <c r="Q409" s="19"/>
      <c r="R409" s="523"/>
      <c r="S409" s="523"/>
      <c r="T409" s="422"/>
      <c r="U409" s="422"/>
      <c r="V409" s="422"/>
    </row>
    <row r="410" spans="16:22" s="421" customFormat="1" x14ac:dyDescent="0.25">
      <c r="P410" s="422"/>
      <c r="Q410" s="19"/>
      <c r="R410" s="523"/>
      <c r="S410" s="523"/>
      <c r="T410" s="422"/>
      <c r="U410" s="422"/>
      <c r="V410" s="422"/>
    </row>
    <row r="411" spans="16:22" s="421" customFormat="1" x14ac:dyDescent="0.25">
      <c r="P411" s="422"/>
      <c r="Q411" s="19"/>
      <c r="R411" s="523"/>
      <c r="S411" s="523"/>
      <c r="T411" s="422"/>
      <c r="U411" s="422"/>
      <c r="V411" s="422"/>
    </row>
    <row r="412" spans="16:22" s="421" customFormat="1" x14ac:dyDescent="0.25">
      <c r="P412" s="422"/>
      <c r="Q412" s="19"/>
      <c r="R412" s="523"/>
      <c r="S412" s="523"/>
      <c r="T412" s="422"/>
      <c r="U412" s="422"/>
      <c r="V412" s="422"/>
    </row>
    <row r="413" spans="16:22" s="421" customFormat="1" x14ac:dyDescent="0.25">
      <c r="P413" s="422"/>
      <c r="Q413" s="19"/>
      <c r="R413" s="523"/>
      <c r="S413" s="523"/>
      <c r="T413" s="422"/>
      <c r="U413" s="422"/>
      <c r="V413" s="422"/>
    </row>
    <row r="414" spans="16:22" s="421" customFormat="1" x14ac:dyDescent="0.25">
      <c r="P414" s="422"/>
      <c r="Q414" s="19"/>
      <c r="R414" s="523"/>
      <c r="S414" s="523"/>
      <c r="T414" s="422"/>
      <c r="U414" s="422"/>
      <c r="V414" s="422"/>
    </row>
    <row r="415" spans="16:22" s="421" customFormat="1" x14ac:dyDescent="0.25">
      <c r="P415" s="422"/>
      <c r="Q415" s="19"/>
      <c r="R415" s="523"/>
      <c r="S415" s="523"/>
      <c r="T415" s="422"/>
      <c r="U415" s="422"/>
      <c r="V415" s="422"/>
    </row>
    <row r="416" spans="16:22" s="421" customFormat="1" x14ac:dyDescent="0.25">
      <c r="P416" s="422"/>
      <c r="Q416" s="19"/>
      <c r="R416" s="523"/>
      <c r="S416" s="523"/>
      <c r="T416" s="422"/>
      <c r="U416" s="422"/>
      <c r="V416" s="422"/>
    </row>
    <row r="417" spans="16:22" s="421" customFormat="1" x14ac:dyDescent="0.25">
      <c r="P417" s="422"/>
      <c r="Q417" s="19"/>
      <c r="R417" s="523"/>
      <c r="S417" s="523"/>
      <c r="T417" s="422"/>
      <c r="U417" s="422"/>
      <c r="V417" s="422"/>
    </row>
    <row r="418" spans="16:22" s="421" customFormat="1" x14ac:dyDescent="0.25">
      <c r="P418" s="422"/>
      <c r="Q418" s="19"/>
      <c r="R418" s="523"/>
      <c r="S418" s="523"/>
      <c r="T418" s="422"/>
      <c r="U418" s="422"/>
      <c r="V418" s="422"/>
    </row>
    <row r="419" spans="16:22" s="421" customFormat="1" x14ac:dyDescent="0.25">
      <c r="P419" s="422"/>
      <c r="Q419" s="19"/>
      <c r="R419" s="523"/>
      <c r="S419" s="523"/>
      <c r="T419" s="422"/>
      <c r="U419" s="422"/>
      <c r="V419" s="422"/>
    </row>
    <row r="420" spans="16:22" s="421" customFormat="1" x14ac:dyDescent="0.25">
      <c r="P420" s="422"/>
      <c r="Q420" s="19"/>
      <c r="R420" s="523"/>
      <c r="S420" s="523"/>
      <c r="T420" s="422"/>
      <c r="U420" s="422"/>
      <c r="V420" s="422"/>
    </row>
    <row r="421" spans="16:22" s="421" customFormat="1" x14ac:dyDescent="0.25">
      <c r="P421" s="422"/>
      <c r="Q421" s="19"/>
      <c r="R421" s="523"/>
      <c r="S421" s="523"/>
      <c r="T421" s="422"/>
      <c r="U421" s="422"/>
      <c r="V421" s="422"/>
    </row>
    <row r="422" spans="16:22" s="421" customFormat="1" x14ac:dyDescent="0.25">
      <c r="P422" s="422"/>
      <c r="Q422" s="19"/>
      <c r="R422" s="523"/>
      <c r="S422" s="523"/>
      <c r="T422" s="422"/>
      <c r="U422" s="422"/>
      <c r="V422" s="422"/>
    </row>
    <row r="423" spans="16:22" s="421" customFormat="1" x14ac:dyDescent="0.25">
      <c r="P423" s="422"/>
      <c r="Q423" s="19"/>
      <c r="R423" s="523"/>
      <c r="S423" s="523"/>
      <c r="T423" s="422"/>
      <c r="U423" s="422"/>
      <c r="V423" s="422"/>
    </row>
    <row r="424" spans="16:22" s="421" customFormat="1" x14ac:dyDescent="0.25">
      <c r="P424" s="422"/>
      <c r="Q424" s="19"/>
      <c r="R424" s="523"/>
      <c r="S424" s="523"/>
      <c r="T424" s="422"/>
      <c r="U424" s="422"/>
      <c r="V424" s="422"/>
    </row>
    <row r="425" spans="16:22" s="421" customFormat="1" x14ac:dyDescent="0.25">
      <c r="P425" s="422"/>
      <c r="Q425" s="19"/>
      <c r="R425" s="523"/>
      <c r="S425" s="523"/>
      <c r="T425" s="422"/>
      <c r="U425" s="422"/>
      <c r="V425" s="422"/>
    </row>
    <row r="426" spans="16:22" s="421" customFormat="1" x14ac:dyDescent="0.25">
      <c r="P426" s="422"/>
      <c r="Q426" s="19"/>
      <c r="R426" s="523"/>
      <c r="S426" s="523"/>
      <c r="T426" s="422"/>
      <c r="U426" s="422"/>
      <c r="V426" s="422"/>
    </row>
    <row r="427" spans="16:22" s="421" customFormat="1" x14ac:dyDescent="0.25">
      <c r="P427" s="422"/>
      <c r="Q427" s="19"/>
      <c r="R427" s="523"/>
      <c r="S427" s="523"/>
      <c r="T427" s="422"/>
      <c r="U427" s="422"/>
      <c r="V427" s="422"/>
    </row>
    <row r="428" spans="16:22" s="421" customFormat="1" x14ac:dyDescent="0.25">
      <c r="P428" s="422"/>
      <c r="Q428" s="19"/>
      <c r="R428" s="523"/>
      <c r="S428" s="523"/>
      <c r="T428" s="422"/>
      <c r="U428" s="422"/>
      <c r="V428" s="422"/>
    </row>
    <row r="429" spans="16:22" s="421" customFormat="1" x14ac:dyDescent="0.25">
      <c r="P429" s="422"/>
      <c r="Q429" s="19"/>
      <c r="R429" s="523"/>
      <c r="S429" s="523"/>
      <c r="T429" s="422"/>
      <c r="U429" s="422"/>
      <c r="V429" s="422"/>
    </row>
    <row r="430" spans="16:22" s="421" customFormat="1" x14ac:dyDescent="0.25">
      <c r="P430" s="422"/>
      <c r="Q430" s="19"/>
      <c r="R430" s="523"/>
      <c r="S430" s="523"/>
      <c r="T430" s="422"/>
      <c r="U430" s="422"/>
      <c r="V430" s="422"/>
    </row>
    <row r="431" spans="16:22" s="421" customFormat="1" x14ac:dyDescent="0.25">
      <c r="P431" s="422"/>
      <c r="Q431" s="19"/>
      <c r="R431" s="523"/>
      <c r="S431" s="523"/>
      <c r="T431" s="422"/>
      <c r="U431" s="422"/>
      <c r="V431" s="422"/>
    </row>
    <row r="432" spans="16:22" s="421" customFormat="1" x14ac:dyDescent="0.25">
      <c r="P432" s="422"/>
      <c r="Q432" s="19"/>
      <c r="R432" s="523"/>
      <c r="S432" s="523"/>
      <c r="T432" s="422"/>
      <c r="U432" s="422"/>
      <c r="V432" s="422"/>
    </row>
    <row r="433" spans="16:22" s="421" customFormat="1" x14ac:dyDescent="0.25">
      <c r="P433" s="422"/>
      <c r="Q433" s="19"/>
      <c r="R433" s="523"/>
      <c r="S433" s="523"/>
      <c r="T433" s="422"/>
      <c r="U433" s="422"/>
      <c r="V433" s="422"/>
    </row>
    <row r="434" spans="16:22" s="421" customFormat="1" x14ac:dyDescent="0.25">
      <c r="P434" s="422"/>
      <c r="Q434" s="19"/>
      <c r="R434" s="523"/>
      <c r="S434" s="523"/>
      <c r="T434" s="422"/>
      <c r="U434" s="422"/>
      <c r="V434" s="422"/>
    </row>
    <row r="435" spans="16:22" s="421" customFormat="1" x14ac:dyDescent="0.25">
      <c r="P435" s="422"/>
      <c r="Q435" s="19"/>
      <c r="R435" s="523"/>
      <c r="S435" s="523"/>
      <c r="T435" s="422"/>
      <c r="U435" s="422"/>
      <c r="V435" s="422"/>
    </row>
    <row r="436" spans="16:22" s="421" customFormat="1" x14ac:dyDescent="0.25">
      <c r="P436" s="422"/>
      <c r="Q436" s="19"/>
      <c r="R436" s="523"/>
      <c r="S436" s="523"/>
      <c r="T436" s="422"/>
      <c r="U436" s="422"/>
      <c r="V436" s="422"/>
    </row>
    <row r="437" spans="16:22" s="421" customFormat="1" x14ac:dyDescent="0.25">
      <c r="P437" s="422"/>
      <c r="Q437" s="19"/>
      <c r="R437" s="523"/>
      <c r="S437" s="523"/>
      <c r="T437" s="422"/>
      <c r="U437" s="422"/>
      <c r="V437" s="422"/>
    </row>
    <row r="438" spans="16:22" s="421" customFormat="1" x14ac:dyDescent="0.25">
      <c r="P438" s="422"/>
      <c r="Q438" s="19"/>
      <c r="R438" s="523"/>
      <c r="S438" s="523"/>
      <c r="T438" s="422"/>
      <c r="U438" s="422"/>
      <c r="V438" s="422"/>
    </row>
    <row r="439" spans="16:22" s="421" customFormat="1" x14ac:dyDescent="0.25">
      <c r="P439" s="422"/>
      <c r="Q439" s="19"/>
      <c r="R439" s="523"/>
      <c r="S439" s="523"/>
      <c r="T439" s="422"/>
      <c r="U439" s="422"/>
      <c r="V439" s="422"/>
    </row>
    <row r="440" spans="16:22" s="421" customFormat="1" x14ac:dyDescent="0.25">
      <c r="P440" s="422"/>
      <c r="Q440" s="19"/>
      <c r="R440" s="523"/>
      <c r="S440" s="523"/>
      <c r="T440" s="422"/>
      <c r="U440" s="422"/>
      <c r="V440" s="422"/>
    </row>
    <row r="441" spans="16:22" s="421" customFormat="1" x14ac:dyDescent="0.25">
      <c r="P441" s="422"/>
      <c r="Q441" s="19"/>
      <c r="R441" s="523"/>
      <c r="S441" s="523"/>
      <c r="T441" s="422"/>
      <c r="U441" s="422"/>
      <c r="V441" s="422"/>
    </row>
    <row r="442" spans="16:22" s="421" customFormat="1" x14ac:dyDescent="0.25">
      <c r="P442" s="422"/>
      <c r="Q442" s="19"/>
      <c r="R442" s="523"/>
      <c r="S442" s="523"/>
      <c r="T442" s="422"/>
      <c r="U442" s="422"/>
      <c r="V442" s="422"/>
    </row>
    <row r="443" spans="16:22" s="421" customFormat="1" x14ac:dyDescent="0.25">
      <c r="P443" s="422"/>
      <c r="Q443" s="19"/>
      <c r="R443" s="523"/>
      <c r="S443" s="523"/>
      <c r="T443" s="422"/>
      <c r="U443" s="422"/>
      <c r="V443" s="422"/>
    </row>
    <row r="444" spans="16:22" s="421" customFormat="1" x14ac:dyDescent="0.25">
      <c r="P444" s="422"/>
      <c r="Q444" s="19"/>
      <c r="R444" s="523"/>
      <c r="S444" s="523"/>
      <c r="T444" s="422"/>
      <c r="U444" s="422"/>
      <c r="V444" s="422"/>
    </row>
    <row r="445" spans="16:22" s="421" customFormat="1" x14ac:dyDescent="0.25">
      <c r="P445" s="422"/>
      <c r="Q445" s="19"/>
      <c r="R445" s="523"/>
      <c r="S445" s="523"/>
      <c r="T445" s="422"/>
      <c r="U445" s="422"/>
      <c r="V445" s="422"/>
    </row>
    <row r="446" spans="16:22" s="421" customFormat="1" x14ac:dyDescent="0.25">
      <c r="P446" s="422"/>
      <c r="Q446" s="19"/>
      <c r="R446" s="523"/>
      <c r="S446" s="523"/>
      <c r="T446" s="422"/>
      <c r="U446" s="422"/>
      <c r="V446" s="422"/>
    </row>
    <row r="447" spans="16:22" s="421" customFormat="1" x14ac:dyDescent="0.25">
      <c r="P447" s="422"/>
      <c r="Q447" s="19"/>
      <c r="R447" s="523"/>
      <c r="S447" s="523"/>
      <c r="T447" s="422"/>
      <c r="U447" s="422"/>
      <c r="V447" s="422"/>
    </row>
    <row r="448" spans="16:22" s="421" customFormat="1" x14ac:dyDescent="0.25">
      <c r="P448" s="422"/>
      <c r="Q448" s="19"/>
      <c r="R448" s="523"/>
      <c r="S448" s="523"/>
      <c r="T448" s="422"/>
      <c r="U448" s="422"/>
      <c r="V448" s="422"/>
    </row>
    <row r="449" spans="16:22" s="421" customFormat="1" x14ac:dyDescent="0.25">
      <c r="P449" s="422"/>
      <c r="Q449" s="19"/>
      <c r="R449" s="523"/>
      <c r="S449" s="523"/>
      <c r="T449" s="422"/>
      <c r="U449" s="422"/>
      <c r="V449" s="422"/>
    </row>
    <row r="450" spans="16:22" s="421" customFormat="1" x14ac:dyDescent="0.25">
      <c r="P450" s="422"/>
      <c r="Q450" s="19"/>
      <c r="R450" s="523"/>
      <c r="S450" s="523"/>
      <c r="T450" s="422"/>
      <c r="U450" s="422"/>
      <c r="V450" s="422"/>
    </row>
    <row r="451" spans="16:22" s="421" customFormat="1" x14ac:dyDescent="0.25">
      <c r="P451" s="422"/>
      <c r="Q451" s="19"/>
      <c r="R451" s="523"/>
      <c r="S451" s="523"/>
      <c r="T451" s="422"/>
      <c r="U451" s="422"/>
      <c r="V451" s="422"/>
    </row>
    <row r="452" spans="16:22" s="421" customFormat="1" x14ac:dyDescent="0.25">
      <c r="P452" s="422"/>
      <c r="Q452" s="19"/>
      <c r="R452" s="523"/>
      <c r="S452" s="523"/>
      <c r="T452" s="422"/>
      <c r="U452" s="422"/>
      <c r="V452" s="422"/>
    </row>
    <row r="453" spans="16:22" s="421" customFormat="1" x14ac:dyDescent="0.25">
      <c r="P453" s="422"/>
      <c r="Q453" s="19"/>
      <c r="R453" s="523"/>
      <c r="S453" s="523"/>
      <c r="T453" s="422"/>
      <c r="U453" s="422"/>
      <c r="V453" s="422"/>
    </row>
    <row r="454" spans="16:22" s="421" customFormat="1" x14ac:dyDescent="0.25">
      <c r="P454" s="422"/>
      <c r="Q454" s="19"/>
      <c r="R454" s="523"/>
      <c r="S454" s="523"/>
      <c r="T454" s="422"/>
      <c r="U454" s="422"/>
      <c r="V454" s="422"/>
    </row>
    <row r="455" spans="16:22" s="421" customFormat="1" x14ac:dyDescent="0.25">
      <c r="P455" s="422"/>
      <c r="Q455" s="19"/>
      <c r="R455" s="523"/>
      <c r="S455" s="523"/>
      <c r="T455" s="422"/>
      <c r="U455" s="422"/>
      <c r="V455" s="422"/>
    </row>
    <row r="456" spans="16:22" s="421" customFormat="1" x14ac:dyDescent="0.25">
      <c r="P456" s="422"/>
      <c r="Q456" s="19"/>
      <c r="R456" s="523"/>
      <c r="S456" s="523"/>
      <c r="T456" s="422"/>
      <c r="U456" s="422"/>
      <c r="V456" s="422"/>
    </row>
    <row r="457" spans="16:22" s="421" customFormat="1" x14ac:dyDescent="0.25">
      <c r="P457" s="422"/>
      <c r="Q457" s="19"/>
      <c r="R457" s="523"/>
      <c r="S457" s="523"/>
      <c r="T457" s="422"/>
      <c r="U457" s="422"/>
      <c r="V457" s="422"/>
    </row>
    <row r="458" spans="16:22" s="421" customFormat="1" x14ac:dyDescent="0.25">
      <c r="P458" s="422"/>
      <c r="Q458" s="19"/>
      <c r="R458" s="523"/>
      <c r="S458" s="523"/>
      <c r="T458" s="422"/>
      <c r="U458" s="422"/>
      <c r="V458" s="422"/>
    </row>
    <row r="459" spans="16:22" s="421" customFormat="1" x14ac:dyDescent="0.25">
      <c r="P459" s="422"/>
      <c r="Q459" s="19"/>
      <c r="R459" s="523"/>
      <c r="S459" s="523"/>
      <c r="T459" s="422"/>
      <c r="U459" s="422"/>
      <c r="V459" s="422"/>
    </row>
    <row r="460" spans="16:22" s="421" customFormat="1" x14ac:dyDescent="0.25">
      <c r="P460" s="422"/>
      <c r="Q460" s="19"/>
      <c r="R460" s="523"/>
      <c r="S460" s="523"/>
      <c r="T460" s="422"/>
      <c r="U460" s="422"/>
      <c r="V460" s="422"/>
    </row>
    <row r="461" spans="16:22" s="421" customFormat="1" x14ac:dyDescent="0.25">
      <c r="P461" s="422"/>
      <c r="Q461" s="19"/>
      <c r="R461" s="523"/>
      <c r="S461" s="523"/>
      <c r="T461" s="422"/>
      <c r="U461" s="422"/>
      <c r="V461" s="422"/>
    </row>
    <row r="462" spans="16:22" s="421" customFormat="1" x14ac:dyDescent="0.25">
      <c r="P462" s="422"/>
      <c r="Q462" s="19"/>
      <c r="R462" s="523"/>
      <c r="S462" s="523"/>
      <c r="T462" s="422"/>
      <c r="U462" s="422"/>
      <c r="V462" s="422"/>
    </row>
    <row r="463" spans="16:22" s="421" customFormat="1" x14ac:dyDescent="0.25">
      <c r="P463" s="422"/>
      <c r="Q463" s="19"/>
      <c r="R463" s="523"/>
      <c r="S463" s="523"/>
      <c r="T463" s="422"/>
      <c r="U463" s="422"/>
      <c r="V463" s="422"/>
    </row>
    <row r="464" spans="16:22" s="421" customFormat="1" x14ac:dyDescent="0.25">
      <c r="P464" s="422"/>
      <c r="Q464" s="19"/>
      <c r="R464" s="523"/>
      <c r="S464" s="523"/>
      <c r="T464" s="422"/>
      <c r="U464" s="422"/>
      <c r="V464" s="422"/>
    </row>
    <row r="465" spans="16:22" s="421" customFormat="1" x14ac:dyDescent="0.25">
      <c r="P465" s="422"/>
      <c r="Q465" s="19"/>
      <c r="R465" s="523"/>
      <c r="S465" s="523"/>
      <c r="T465" s="422"/>
      <c r="U465" s="422"/>
      <c r="V465" s="422"/>
    </row>
    <row r="466" spans="16:22" s="421" customFormat="1" x14ac:dyDescent="0.25">
      <c r="P466" s="422"/>
      <c r="Q466" s="19"/>
      <c r="R466" s="523"/>
      <c r="S466" s="523"/>
      <c r="T466" s="422"/>
      <c r="U466" s="422"/>
      <c r="V466" s="422"/>
    </row>
    <row r="467" spans="16:22" s="421" customFormat="1" x14ac:dyDescent="0.25">
      <c r="P467" s="422"/>
      <c r="Q467" s="19"/>
      <c r="R467" s="523"/>
      <c r="S467" s="523"/>
      <c r="T467" s="422"/>
      <c r="U467" s="422"/>
      <c r="V467" s="422"/>
    </row>
    <row r="468" spans="16:22" s="421" customFormat="1" x14ac:dyDescent="0.25">
      <c r="P468" s="422"/>
      <c r="Q468" s="19"/>
      <c r="R468" s="523"/>
      <c r="S468" s="523"/>
      <c r="T468" s="422"/>
      <c r="U468" s="422"/>
      <c r="V468" s="422"/>
    </row>
    <row r="469" spans="16:22" s="421" customFormat="1" x14ac:dyDescent="0.25">
      <c r="P469" s="422"/>
      <c r="Q469" s="19"/>
      <c r="R469" s="523"/>
      <c r="S469" s="523"/>
      <c r="T469" s="422"/>
      <c r="U469" s="422"/>
      <c r="V469" s="422"/>
    </row>
    <row r="470" spans="16:22" s="421" customFormat="1" x14ac:dyDescent="0.25">
      <c r="P470" s="422"/>
      <c r="Q470" s="19"/>
      <c r="R470" s="523"/>
      <c r="S470" s="523"/>
      <c r="T470" s="422"/>
      <c r="U470" s="422"/>
      <c r="V470" s="422"/>
    </row>
    <row r="471" spans="16:22" s="421" customFormat="1" x14ac:dyDescent="0.25">
      <c r="P471" s="422"/>
      <c r="Q471" s="19"/>
      <c r="R471" s="523"/>
      <c r="S471" s="523"/>
      <c r="T471" s="422"/>
      <c r="U471" s="422"/>
      <c r="V471" s="422"/>
    </row>
    <row r="472" spans="16:22" s="421" customFormat="1" x14ac:dyDescent="0.25">
      <c r="P472" s="422"/>
      <c r="Q472" s="19"/>
      <c r="R472" s="523"/>
      <c r="S472" s="523"/>
      <c r="T472" s="422"/>
      <c r="U472" s="422"/>
      <c r="V472" s="422"/>
    </row>
    <row r="473" spans="16:22" s="421" customFormat="1" x14ac:dyDescent="0.25">
      <c r="P473" s="422"/>
      <c r="Q473" s="19"/>
      <c r="R473" s="523"/>
      <c r="S473" s="523"/>
      <c r="T473" s="422"/>
      <c r="U473" s="422"/>
      <c r="V473" s="422"/>
    </row>
    <row r="474" spans="16:22" s="421" customFormat="1" x14ac:dyDescent="0.25">
      <c r="P474" s="422"/>
      <c r="Q474" s="19"/>
      <c r="R474" s="523"/>
      <c r="S474" s="523"/>
      <c r="T474" s="422"/>
      <c r="U474" s="422"/>
      <c r="V474" s="422"/>
    </row>
    <row r="475" spans="16:22" s="421" customFormat="1" x14ac:dyDescent="0.25">
      <c r="P475" s="422"/>
      <c r="Q475" s="19"/>
      <c r="R475" s="523"/>
      <c r="S475" s="523"/>
      <c r="T475" s="422"/>
      <c r="U475" s="422"/>
      <c r="V475" s="422"/>
    </row>
    <row r="476" spans="16:22" s="421" customFormat="1" x14ac:dyDescent="0.25">
      <c r="P476" s="422"/>
      <c r="Q476" s="19"/>
      <c r="R476" s="523"/>
      <c r="S476" s="523"/>
      <c r="T476" s="422"/>
      <c r="U476" s="422"/>
      <c r="V476" s="422"/>
    </row>
    <row r="477" spans="16:22" s="421" customFormat="1" x14ac:dyDescent="0.25">
      <c r="P477" s="422"/>
      <c r="Q477" s="19"/>
      <c r="R477" s="523"/>
      <c r="S477" s="523"/>
      <c r="T477" s="422"/>
      <c r="U477" s="422"/>
      <c r="V477" s="422"/>
    </row>
    <row r="478" spans="16:22" s="421" customFormat="1" x14ac:dyDescent="0.25">
      <c r="P478" s="422"/>
      <c r="Q478" s="19"/>
      <c r="R478" s="523"/>
      <c r="S478" s="523"/>
      <c r="T478" s="422"/>
      <c r="U478" s="422"/>
      <c r="V478" s="422"/>
    </row>
    <row r="479" spans="16:22" s="421" customFormat="1" x14ac:dyDescent="0.25">
      <c r="P479" s="422"/>
      <c r="Q479" s="19"/>
      <c r="R479" s="523"/>
      <c r="S479" s="523"/>
      <c r="T479" s="422"/>
      <c r="U479" s="422"/>
      <c r="V479" s="422"/>
    </row>
    <row r="480" spans="16:22" s="421" customFormat="1" x14ac:dyDescent="0.25">
      <c r="P480" s="422"/>
      <c r="Q480" s="19"/>
      <c r="R480" s="523"/>
      <c r="S480" s="523"/>
      <c r="T480" s="422"/>
      <c r="U480" s="422"/>
      <c r="V480" s="422"/>
    </row>
    <row r="481" spans="16:22" s="421" customFormat="1" x14ac:dyDescent="0.25">
      <c r="P481" s="422"/>
      <c r="Q481" s="19"/>
      <c r="R481" s="523"/>
      <c r="S481" s="523"/>
      <c r="T481" s="422"/>
      <c r="U481" s="422"/>
      <c r="V481" s="422"/>
    </row>
    <row r="482" spans="16:22" s="421" customFormat="1" x14ac:dyDescent="0.25">
      <c r="P482" s="422"/>
      <c r="Q482" s="19"/>
      <c r="R482" s="523"/>
      <c r="S482" s="523"/>
      <c r="T482" s="422"/>
      <c r="U482" s="422"/>
      <c r="V482" s="422"/>
    </row>
    <row r="483" spans="16:22" s="421" customFormat="1" x14ac:dyDescent="0.25">
      <c r="P483" s="422"/>
      <c r="Q483" s="19"/>
      <c r="R483" s="523"/>
      <c r="S483" s="523"/>
      <c r="T483" s="422"/>
      <c r="U483" s="422"/>
      <c r="V483" s="422"/>
    </row>
    <row r="484" spans="16:22" s="421" customFormat="1" x14ac:dyDescent="0.25">
      <c r="P484" s="422"/>
      <c r="Q484" s="19"/>
      <c r="R484" s="523"/>
      <c r="S484" s="523"/>
      <c r="T484" s="422"/>
      <c r="U484" s="422"/>
      <c r="V484" s="422"/>
    </row>
    <row r="485" spans="16:22" s="421" customFormat="1" x14ac:dyDescent="0.25">
      <c r="P485" s="422"/>
      <c r="Q485" s="19"/>
      <c r="R485" s="523"/>
      <c r="S485" s="523"/>
      <c r="T485" s="422"/>
      <c r="U485" s="422"/>
      <c r="V485" s="422"/>
    </row>
    <row r="486" spans="16:22" s="421" customFormat="1" x14ac:dyDescent="0.25">
      <c r="P486" s="422"/>
      <c r="Q486" s="19"/>
      <c r="R486" s="523"/>
      <c r="S486" s="523"/>
      <c r="T486" s="422"/>
      <c r="U486" s="422"/>
      <c r="V486" s="422"/>
    </row>
    <row r="487" spans="16:22" s="421" customFormat="1" x14ac:dyDescent="0.25">
      <c r="P487" s="422"/>
      <c r="Q487" s="19"/>
      <c r="R487" s="523"/>
      <c r="S487" s="523"/>
      <c r="T487" s="422"/>
      <c r="U487" s="422"/>
      <c r="V487" s="422"/>
    </row>
    <row r="488" spans="16:22" s="421" customFormat="1" x14ac:dyDescent="0.25">
      <c r="P488" s="422"/>
      <c r="Q488" s="19"/>
      <c r="R488" s="523"/>
      <c r="S488" s="523"/>
      <c r="T488" s="422"/>
      <c r="U488" s="422"/>
      <c r="V488" s="422"/>
    </row>
    <row r="489" spans="16:22" s="421" customFormat="1" x14ac:dyDescent="0.25">
      <c r="P489" s="422"/>
      <c r="Q489" s="19"/>
      <c r="R489" s="523"/>
      <c r="S489" s="523"/>
      <c r="T489" s="422"/>
      <c r="U489" s="422"/>
      <c r="V489" s="422"/>
    </row>
    <row r="490" spans="16:22" s="421" customFormat="1" x14ac:dyDescent="0.25">
      <c r="P490" s="422"/>
      <c r="Q490" s="19"/>
      <c r="R490" s="523"/>
      <c r="S490" s="523"/>
      <c r="T490" s="422"/>
      <c r="U490" s="422"/>
      <c r="V490" s="422"/>
    </row>
    <row r="491" spans="16:22" s="421" customFormat="1" x14ac:dyDescent="0.25">
      <c r="P491" s="422"/>
      <c r="Q491" s="19"/>
      <c r="R491" s="523"/>
      <c r="S491" s="523"/>
      <c r="T491" s="422"/>
      <c r="U491" s="422"/>
      <c r="V491" s="422"/>
    </row>
    <row r="492" spans="16:22" s="421" customFormat="1" x14ac:dyDescent="0.25">
      <c r="P492" s="422"/>
      <c r="Q492" s="19"/>
      <c r="R492" s="523"/>
      <c r="S492" s="523"/>
      <c r="T492" s="422"/>
      <c r="U492" s="422"/>
      <c r="V492" s="422"/>
    </row>
    <row r="493" spans="16:22" s="421" customFormat="1" x14ac:dyDescent="0.25">
      <c r="P493" s="422"/>
      <c r="Q493" s="19"/>
      <c r="R493" s="523"/>
      <c r="S493" s="523"/>
      <c r="T493" s="422"/>
      <c r="U493" s="422"/>
      <c r="V493" s="422"/>
    </row>
    <row r="494" spans="16:22" s="421" customFormat="1" x14ac:dyDescent="0.25">
      <c r="P494" s="422"/>
      <c r="Q494" s="19"/>
      <c r="R494" s="523"/>
      <c r="S494" s="523"/>
      <c r="T494" s="422"/>
      <c r="U494" s="422"/>
      <c r="V494" s="422"/>
    </row>
    <row r="495" spans="16:22" s="421" customFormat="1" x14ac:dyDescent="0.25">
      <c r="P495" s="422"/>
      <c r="Q495" s="19"/>
      <c r="R495" s="523"/>
      <c r="S495" s="523"/>
      <c r="T495" s="422"/>
      <c r="U495" s="422"/>
      <c r="V495" s="422"/>
    </row>
    <row r="496" spans="16:22" s="421" customFormat="1" x14ac:dyDescent="0.25">
      <c r="P496" s="422"/>
      <c r="Q496" s="19"/>
      <c r="R496" s="523"/>
      <c r="S496" s="523"/>
      <c r="T496" s="422"/>
      <c r="U496" s="422"/>
      <c r="V496" s="422"/>
    </row>
    <row r="497" spans="16:22" s="421" customFormat="1" x14ac:dyDescent="0.25">
      <c r="P497" s="422"/>
      <c r="Q497" s="19"/>
      <c r="R497" s="523"/>
      <c r="S497" s="523"/>
      <c r="T497" s="422"/>
      <c r="U497" s="422"/>
      <c r="V497" s="422"/>
    </row>
    <row r="498" spans="16:22" s="421" customFormat="1" x14ac:dyDescent="0.25">
      <c r="P498" s="422"/>
      <c r="Q498" s="19"/>
      <c r="R498" s="523"/>
      <c r="S498" s="523"/>
      <c r="T498" s="422"/>
      <c r="U498" s="422"/>
      <c r="V498" s="422"/>
    </row>
    <row r="499" spans="16:22" s="421" customFormat="1" x14ac:dyDescent="0.25">
      <c r="P499" s="422"/>
      <c r="Q499" s="19"/>
      <c r="R499" s="523"/>
      <c r="S499" s="523"/>
      <c r="T499" s="422"/>
      <c r="U499" s="422"/>
      <c r="V499" s="422"/>
    </row>
    <row r="500" spans="16:22" s="421" customFormat="1" x14ac:dyDescent="0.25">
      <c r="P500" s="422"/>
      <c r="Q500" s="19"/>
      <c r="R500" s="523"/>
      <c r="S500" s="523"/>
      <c r="T500" s="422"/>
      <c r="U500" s="422"/>
      <c r="V500" s="422"/>
    </row>
    <row r="501" spans="16:22" s="421" customFormat="1" x14ac:dyDescent="0.25">
      <c r="P501" s="422"/>
      <c r="Q501" s="19"/>
      <c r="R501" s="523"/>
      <c r="S501" s="523"/>
      <c r="T501" s="422"/>
      <c r="U501" s="422"/>
      <c r="V501" s="422"/>
    </row>
    <row r="502" spans="16:22" s="421" customFormat="1" x14ac:dyDescent="0.25">
      <c r="P502" s="422"/>
      <c r="Q502" s="19"/>
      <c r="R502" s="523"/>
      <c r="S502" s="523"/>
      <c r="T502" s="422"/>
      <c r="U502" s="422"/>
      <c r="V502" s="422"/>
    </row>
    <row r="503" spans="16:22" s="421" customFormat="1" x14ac:dyDescent="0.25">
      <c r="P503" s="422"/>
      <c r="Q503" s="19"/>
      <c r="R503" s="523"/>
      <c r="S503" s="523"/>
      <c r="T503" s="422"/>
      <c r="U503" s="422"/>
      <c r="V503" s="422"/>
    </row>
    <row r="504" spans="16:22" s="421" customFormat="1" x14ac:dyDescent="0.25">
      <c r="P504" s="422"/>
      <c r="Q504" s="19"/>
      <c r="R504" s="523"/>
      <c r="S504" s="523"/>
      <c r="T504" s="422"/>
      <c r="U504" s="422"/>
      <c r="V504" s="422"/>
    </row>
    <row r="505" spans="16:22" s="421" customFormat="1" x14ac:dyDescent="0.25">
      <c r="P505" s="422"/>
      <c r="Q505" s="19"/>
      <c r="R505" s="523"/>
      <c r="S505" s="523"/>
      <c r="T505" s="422"/>
      <c r="U505" s="422"/>
      <c r="V505" s="422"/>
    </row>
    <row r="506" spans="16:22" s="421" customFormat="1" x14ac:dyDescent="0.25">
      <c r="P506" s="422"/>
      <c r="Q506" s="19"/>
      <c r="R506" s="523"/>
      <c r="S506" s="523"/>
      <c r="T506" s="422"/>
      <c r="U506" s="422"/>
      <c r="V506" s="422"/>
    </row>
    <row r="507" spans="16:22" s="421" customFormat="1" x14ac:dyDescent="0.25">
      <c r="P507" s="422"/>
      <c r="Q507" s="19"/>
      <c r="R507" s="523"/>
      <c r="S507" s="523"/>
      <c r="T507" s="422"/>
      <c r="U507" s="422"/>
      <c r="V507" s="422"/>
    </row>
    <row r="508" spans="16:22" s="421" customFormat="1" x14ac:dyDescent="0.25">
      <c r="P508" s="422"/>
      <c r="Q508" s="19"/>
      <c r="R508" s="523"/>
      <c r="S508" s="523"/>
      <c r="T508" s="422"/>
      <c r="U508" s="422"/>
      <c r="V508" s="422"/>
    </row>
    <row r="509" spans="16:22" s="421" customFormat="1" x14ac:dyDescent="0.25">
      <c r="P509" s="422"/>
      <c r="Q509" s="19"/>
      <c r="R509" s="523"/>
      <c r="S509" s="523"/>
      <c r="T509" s="422"/>
      <c r="U509" s="422"/>
      <c r="V509" s="422"/>
    </row>
    <row r="510" spans="16:22" s="421" customFormat="1" x14ac:dyDescent="0.25">
      <c r="P510" s="422"/>
      <c r="Q510" s="19"/>
      <c r="R510" s="523"/>
      <c r="S510" s="523"/>
      <c r="T510" s="422"/>
      <c r="U510" s="422"/>
      <c r="V510" s="422"/>
    </row>
    <row r="511" spans="16:22" s="421" customFormat="1" x14ac:dyDescent="0.25">
      <c r="P511" s="422"/>
      <c r="Q511" s="19"/>
      <c r="R511" s="523"/>
      <c r="S511" s="523"/>
      <c r="T511" s="422"/>
      <c r="U511" s="422"/>
      <c r="V511" s="422"/>
    </row>
    <row r="512" spans="16:22" s="421" customFormat="1" x14ac:dyDescent="0.25">
      <c r="P512" s="422"/>
      <c r="Q512" s="19"/>
      <c r="R512" s="523"/>
      <c r="S512" s="523"/>
      <c r="T512" s="422"/>
      <c r="U512" s="422"/>
      <c r="V512" s="422"/>
    </row>
    <row r="513" spans="10:22" s="421" customFormat="1" x14ac:dyDescent="0.25">
      <c r="P513" s="422"/>
      <c r="Q513" s="19"/>
      <c r="R513" s="523"/>
      <c r="S513" s="523"/>
      <c r="T513" s="422"/>
      <c r="U513" s="422"/>
      <c r="V513" s="422"/>
    </row>
    <row r="514" spans="10:22" s="421" customFormat="1" x14ac:dyDescent="0.25">
      <c r="P514" s="422"/>
      <c r="Q514" s="19"/>
      <c r="R514" s="523"/>
      <c r="S514" s="523"/>
      <c r="T514" s="422"/>
      <c r="U514" s="422"/>
      <c r="V514" s="422"/>
    </row>
    <row r="515" spans="10:22" s="421" customFormat="1" x14ac:dyDescent="0.25">
      <c r="P515" s="422"/>
      <c r="Q515" s="19"/>
      <c r="R515" s="523"/>
      <c r="S515" s="523"/>
      <c r="T515" s="422"/>
      <c r="U515" s="422"/>
      <c r="V515" s="422"/>
    </row>
    <row r="516" spans="10:22" s="421" customFormat="1" x14ac:dyDescent="0.25">
      <c r="P516" s="422"/>
      <c r="Q516" s="19"/>
      <c r="R516" s="523"/>
      <c r="S516" s="523"/>
      <c r="T516" s="422"/>
      <c r="U516" s="422"/>
      <c r="V516" s="422"/>
    </row>
    <row r="517" spans="10:22" s="421" customFormat="1" x14ac:dyDescent="0.25">
      <c r="P517" s="422"/>
      <c r="Q517" s="19"/>
      <c r="R517" s="523"/>
      <c r="S517" s="523"/>
      <c r="T517" s="422"/>
      <c r="U517" s="422"/>
      <c r="V517" s="422"/>
    </row>
    <row r="518" spans="10:22" s="421" customFormat="1" x14ac:dyDescent="0.25">
      <c r="P518" s="422"/>
      <c r="Q518" s="19"/>
      <c r="R518" s="523"/>
      <c r="S518" s="523"/>
      <c r="T518" s="422"/>
      <c r="U518" s="422"/>
      <c r="V518" s="422"/>
    </row>
    <row r="519" spans="10:22" s="421" customFormat="1" x14ac:dyDescent="0.25">
      <c r="P519" s="422"/>
      <c r="Q519" s="19"/>
      <c r="R519" s="523"/>
      <c r="S519" s="523"/>
      <c r="T519" s="422"/>
      <c r="U519" s="422"/>
      <c r="V519" s="422"/>
    </row>
    <row r="520" spans="10:22" s="421" customFormat="1" x14ac:dyDescent="0.25">
      <c r="P520" s="422"/>
      <c r="Q520" s="19"/>
      <c r="R520" s="523"/>
      <c r="S520" s="523"/>
      <c r="T520" s="422"/>
      <c r="U520" s="422"/>
      <c r="V520" s="422"/>
    </row>
    <row r="521" spans="10:22" s="421" customFormat="1" x14ac:dyDescent="0.25">
      <c r="P521" s="422"/>
      <c r="Q521" s="19"/>
      <c r="R521" s="523"/>
      <c r="S521" s="523"/>
      <c r="T521" s="422"/>
      <c r="U521" s="422"/>
      <c r="V521" s="422"/>
    </row>
    <row r="522" spans="10:22" s="421" customFormat="1" x14ac:dyDescent="0.25">
      <c r="J522" s="422"/>
      <c r="K522" s="422"/>
      <c r="L522" s="422"/>
      <c r="M522" s="422"/>
      <c r="N522" s="422"/>
      <c r="O522" s="422"/>
      <c r="P522" s="422"/>
      <c r="Q522" s="422"/>
      <c r="R522" s="422"/>
      <c r="S522" s="422"/>
    </row>
    <row r="523" spans="10:22" s="421" customFormat="1" x14ac:dyDescent="0.25">
      <c r="J523" s="422"/>
      <c r="K523" s="422"/>
      <c r="L523" s="422"/>
      <c r="M523" s="422"/>
      <c r="N523" s="422"/>
      <c r="O523" s="422"/>
      <c r="P523" s="422"/>
      <c r="Q523" s="422"/>
      <c r="R523" s="422"/>
      <c r="S523" s="422"/>
    </row>
    <row r="524" spans="10:22" s="421" customFormat="1" x14ac:dyDescent="0.25">
      <c r="J524" s="422"/>
      <c r="K524" s="422"/>
      <c r="L524" s="422"/>
      <c r="M524" s="422"/>
      <c r="N524" s="422"/>
      <c r="O524" s="422"/>
      <c r="P524" s="422"/>
      <c r="Q524" s="422"/>
      <c r="R524" s="422"/>
      <c r="S524" s="422"/>
    </row>
    <row r="525" spans="10:22" s="421" customFormat="1" x14ac:dyDescent="0.25">
      <c r="J525" s="422"/>
      <c r="K525" s="422"/>
      <c r="L525" s="422"/>
      <c r="M525" s="422"/>
      <c r="N525" s="422"/>
      <c r="O525" s="422"/>
      <c r="P525" s="422"/>
      <c r="Q525" s="422"/>
      <c r="R525" s="422"/>
      <c r="S525" s="422"/>
    </row>
    <row r="526" spans="10:22" s="421" customFormat="1" x14ac:dyDescent="0.25">
      <c r="J526" s="422"/>
      <c r="K526" s="422"/>
      <c r="L526" s="422"/>
      <c r="M526" s="422"/>
      <c r="N526" s="422"/>
      <c r="O526" s="422"/>
      <c r="P526" s="422"/>
      <c r="Q526" s="422"/>
      <c r="R526" s="422"/>
      <c r="S526" s="422"/>
    </row>
    <row r="527" spans="10:22" s="421" customFormat="1" x14ac:dyDescent="0.25">
      <c r="J527" s="422"/>
      <c r="K527" s="422"/>
      <c r="L527" s="422"/>
      <c r="M527" s="422"/>
      <c r="N527" s="422"/>
      <c r="O527" s="422"/>
      <c r="P527" s="422"/>
      <c r="Q527" s="422"/>
      <c r="R527" s="422"/>
      <c r="S527" s="422"/>
    </row>
    <row r="528" spans="10:22" s="421" customFormat="1" x14ac:dyDescent="0.25"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</row>
    <row r="529" spans="10:19" s="421" customFormat="1" x14ac:dyDescent="0.25">
      <c r="J529" s="422"/>
      <c r="K529" s="422"/>
      <c r="L529" s="422"/>
      <c r="M529" s="422"/>
      <c r="N529" s="422"/>
      <c r="O529" s="422"/>
      <c r="P529" s="422"/>
      <c r="Q529" s="422"/>
      <c r="R529" s="422"/>
      <c r="S529" s="422"/>
    </row>
    <row r="530" spans="10:19" s="421" customFormat="1" x14ac:dyDescent="0.25">
      <c r="J530" s="422"/>
      <c r="K530" s="422"/>
      <c r="L530" s="422"/>
      <c r="M530" s="422"/>
      <c r="N530" s="422"/>
      <c r="O530" s="422"/>
      <c r="P530" s="422"/>
      <c r="Q530" s="422"/>
      <c r="R530" s="422"/>
      <c r="S530" s="422"/>
    </row>
    <row r="531" spans="10:19" s="421" customFormat="1" x14ac:dyDescent="0.25">
      <c r="J531" s="422"/>
      <c r="K531" s="422"/>
      <c r="L531" s="422"/>
      <c r="M531" s="422"/>
      <c r="N531" s="422"/>
      <c r="O531" s="422"/>
      <c r="P531" s="422"/>
      <c r="Q531" s="422"/>
      <c r="R531" s="422"/>
      <c r="S531" s="422"/>
    </row>
    <row r="532" spans="10:19" s="421" customFormat="1" x14ac:dyDescent="0.25">
      <c r="J532" s="422"/>
      <c r="K532" s="422"/>
      <c r="L532" s="422"/>
      <c r="M532" s="422"/>
      <c r="N532" s="422"/>
      <c r="O532" s="422"/>
      <c r="P532" s="422"/>
      <c r="Q532" s="422"/>
      <c r="R532" s="422"/>
      <c r="S532" s="422"/>
    </row>
    <row r="533" spans="10:19" s="421" customFormat="1" x14ac:dyDescent="0.25">
      <c r="J533" s="422"/>
      <c r="K533" s="422"/>
      <c r="L533" s="422"/>
      <c r="M533" s="422"/>
      <c r="N533" s="422"/>
      <c r="O533" s="422"/>
      <c r="P533" s="422"/>
      <c r="Q533" s="422"/>
      <c r="R533" s="422"/>
      <c r="S533" s="422"/>
    </row>
    <row r="534" spans="10:19" s="421" customFormat="1" x14ac:dyDescent="0.25">
      <c r="J534" s="422"/>
      <c r="K534" s="422"/>
      <c r="L534" s="422"/>
      <c r="M534" s="422"/>
      <c r="N534" s="422"/>
      <c r="O534" s="422"/>
      <c r="P534" s="422"/>
      <c r="Q534" s="422"/>
      <c r="R534" s="422"/>
      <c r="S534" s="422"/>
    </row>
    <row r="535" spans="10:19" s="421" customFormat="1" x14ac:dyDescent="0.25">
      <c r="J535" s="422"/>
      <c r="K535" s="422"/>
      <c r="L535" s="422"/>
      <c r="M535" s="422"/>
      <c r="N535" s="422"/>
      <c r="O535" s="422"/>
      <c r="P535" s="422"/>
      <c r="Q535" s="422"/>
      <c r="R535" s="422"/>
      <c r="S535" s="422"/>
    </row>
    <row r="536" spans="10:19" s="421" customFormat="1" x14ac:dyDescent="0.25">
      <c r="J536" s="422"/>
      <c r="K536" s="422"/>
      <c r="L536" s="422"/>
      <c r="M536" s="422"/>
      <c r="N536" s="422"/>
      <c r="O536" s="422"/>
      <c r="P536" s="422"/>
      <c r="Q536" s="422"/>
      <c r="R536" s="422"/>
      <c r="S536" s="422"/>
    </row>
    <row r="537" spans="10:19" s="421" customFormat="1" x14ac:dyDescent="0.25">
      <c r="J537" s="422"/>
      <c r="K537" s="422"/>
      <c r="L537" s="422"/>
      <c r="M537" s="422"/>
      <c r="N537" s="422"/>
      <c r="O537" s="422"/>
      <c r="P537" s="422"/>
      <c r="Q537" s="422"/>
      <c r="R537" s="422"/>
      <c r="S537" s="422"/>
    </row>
    <row r="538" spans="10:19" s="421" customFormat="1" x14ac:dyDescent="0.25">
      <c r="J538" s="422"/>
      <c r="K538" s="422"/>
      <c r="L538" s="422"/>
      <c r="M538" s="422"/>
      <c r="N538" s="422"/>
      <c r="O538" s="422"/>
      <c r="P538" s="422"/>
      <c r="Q538" s="422"/>
      <c r="R538" s="422"/>
      <c r="S538" s="422"/>
    </row>
    <row r="539" spans="10:19" s="421" customFormat="1" x14ac:dyDescent="0.25">
      <c r="J539" s="422"/>
      <c r="K539" s="422"/>
      <c r="L539" s="422"/>
      <c r="M539" s="422"/>
      <c r="N539" s="422"/>
      <c r="O539" s="422"/>
      <c r="P539" s="422"/>
      <c r="Q539" s="422"/>
      <c r="R539" s="422"/>
      <c r="S539" s="422"/>
    </row>
    <row r="540" spans="10:19" s="421" customFormat="1" x14ac:dyDescent="0.25">
      <c r="J540" s="422"/>
      <c r="K540" s="422"/>
      <c r="L540" s="422"/>
      <c r="M540" s="422"/>
      <c r="N540" s="422"/>
      <c r="O540" s="422"/>
      <c r="P540" s="422"/>
      <c r="Q540" s="422"/>
      <c r="R540" s="422"/>
      <c r="S540" s="422"/>
    </row>
    <row r="541" spans="10:19" s="421" customFormat="1" x14ac:dyDescent="0.25">
      <c r="J541" s="422"/>
      <c r="K541" s="422"/>
      <c r="L541" s="422"/>
      <c r="M541" s="422"/>
      <c r="N541" s="422"/>
      <c r="O541" s="422"/>
      <c r="P541" s="422"/>
      <c r="Q541" s="422"/>
      <c r="R541" s="422"/>
      <c r="S541" s="422"/>
    </row>
    <row r="542" spans="10:19" s="421" customFormat="1" x14ac:dyDescent="0.25">
      <c r="J542" s="422"/>
      <c r="K542" s="422"/>
      <c r="L542" s="422"/>
      <c r="M542" s="422"/>
      <c r="N542" s="422"/>
      <c r="O542" s="422"/>
      <c r="P542" s="422"/>
      <c r="Q542" s="422"/>
      <c r="R542" s="422"/>
      <c r="S542" s="422"/>
    </row>
    <row r="543" spans="10:19" s="421" customFormat="1" x14ac:dyDescent="0.25">
      <c r="J543" s="422"/>
      <c r="K543" s="422"/>
      <c r="L543" s="422"/>
      <c r="M543" s="422"/>
      <c r="N543" s="422"/>
      <c r="O543" s="422"/>
      <c r="P543" s="422"/>
      <c r="Q543" s="422"/>
      <c r="R543" s="422"/>
      <c r="S543" s="422"/>
    </row>
    <row r="544" spans="10:19" s="421" customFormat="1" x14ac:dyDescent="0.25">
      <c r="J544" s="422"/>
      <c r="K544" s="422"/>
      <c r="L544" s="422"/>
      <c r="M544" s="422"/>
      <c r="N544" s="422"/>
      <c r="O544" s="422"/>
      <c r="P544" s="422"/>
      <c r="Q544" s="422"/>
      <c r="R544" s="422"/>
      <c r="S544" s="422"/>
    </row>
    <row r="545" spans="9:19" s="421" customFormat="1" x14ac:dyDescent="0.25">
      <c r="J545" s="422"/>
      <c r="K545" s="422"/>
      <c r="L545" s="422"/>
      <c r="M545" s="422"/>
      <c r="N545" s="422"/>
      <c r="O545" s="422"/>
      <c r="P545" s="422"/>
      <c r="Q545" s="422"/>
      <c r="R545" s="422"/>
      <c r="S545" s="422"/>
    </row>
    <row r="546" spans="9:19" s="421" customFormat="1" x14ac:dyDescent="0.25">
      <c r="J546" s="422"/>
      <c r="K546" s="422"/>
      <c r="L546" s="422"/>
      <c r="M546" s="422"/>
      <c r="N546" s="422"/>
      <c r="O546" s="422"/>
      <c r="P546" s="422"/>
      <c r="Q546" s="422"/>
      <c r="R546" s="422"/>
      <c r="S546" s="422"/>
    </row>
    <row r="547" spans="9:19" s="421" customFormat="1" x14ac:dyDescent="0.25">
      <c r="J547" s="422"/>
      <c r="K547" s="422"/>
      <c r="L547" s="422"/>
      <c r="M547" s="422"/>
      <c r="N547" s="422"/>
      <c r="O547" s="422"/>
      <c r="P547" s="422"/>
      <c r="Q547" s="422"/>
      <c r="R547" s="422"/>
      <c r="S547" s="422"/>
    </row>
    <row r="548" spans="9:19" s="421" customFormat="1" x14ac:dyDescent="0.25">
      <c r="I548" s="422"/>
      <c r="J548" s="422"/>
      <c r="K548" s="422"/>
      <c r="L548" s="422"/>
      <c r="M548" s="422"/>
      <c r="N548" s="422"/>
      <c r="O548" s="422"/>
      <c r="P548" s="422"/>
      <c r="Q548" s="422"/>
      <c r="R548" s="422"/>
      <c r="S548" s="422"/>
    </row>
    <row r="549" spans="9:19" s="421" customFormat="1" x14ac:dyDescent="0.25">
      <c r="I549" s="422"/>
      <c r="J549" s="422"/>
      <c r="K549" s="422"/>
      <c r="L549" s="422"/>
      <c r="M549" s="422"/>
      <c r="N549" s="422"/>
      <c r="O549" s="422"/>
      <c r="P549" s="422"/>
      <c r="Q549" s="422"/>
      <c r="R549" s="422"/>
      <c r="S549" s="422"/>
    </row>
    <row r="550" spans="9:19" s="421" customFormat="1" x14ac:dyDescent="0.25">
      <c r="I550" s="422"/>
      <c r="J550" s="422"/>
      <c r="K550" s="422"/>
      <c r="L550" s="422"/>
      <c r="M550" s="422"/>
      <c r="N550" s="422"/>
      <c r="O550" s="422"/>
      <c r="P550" s="422"/>
      <c r="Q550" s="422"/>
      <c r="R550" s="422"/>
      <c r="S550" s="422"/>
    </row>
    <row r="551" spans="9:19" s="421" customFormat="1" x14ac:dyDescent="0.25">
      <c r="I551" s="422"/>
      <c r="J551" s="422"/>
      <c r="K551" s="422"/>
      <c r="L551" s="422"/>
      <c r="M551" s="422"/>
      <c r="N551" s="422"/>
      <c r="O551" s="422"/>
      <c r="P551" s="422"/>
      <c r="Q551" s="422"/>
      <c r="R551" s="422"/>
      <c r="S551" s="422"/>
    </row>
    <row r="552" spans="9:19" s="421" customFormat="1" x14ac:dyDescent="0.25">
      <c r="I552" s="422"/>
      <c r="J552" s="422"/>
      <c r="K552" s="422"/>
      <c r="L552" s="422"/>
      <c r="M552" s="422"/>
      <c r="N552" s="422"/>
      <c r="O552" s="422"/>
      <c r="P552" s="422"/>
      <c r="Q552" s="422"/>
      <c r="R552" s="422"/>
      <c r="S552" s="422"/>
    </row>
    <row r="553" spans="9:19" s="421" customFormat="1" x14ac:dyDescent="0.25">
      <c r="I553" s="422"/>
      <c r="J553" s="422"/>
      <c r="K553" s="422"/>
      <c r="L553" s="422"/>
      <c r="M553" s="422"/>
      <c r="N553" s="422"/>
      <c r="O553" s="422"/>
      <c r="P553" s="422"/>
      <c r="Q553" s="422"/>
      <c r="R553" s="422"/>
      <c r="S553" s="422"/>
    </row>
    <row r="554" spans="9:19" s="421" customFormat="1" x14ac:dyDescent="0.25">
      <c r="I554" s="422"/>
      <c r="J554" s="422"/>
      <c r="K554" s="422"/>
      <c r="L554" s="422"/>
      <c r="M554" s="422"/>
      <c r="N554" s="422"/>
      <c r="O554" s="422"/>
      <c r="P554" s="422"/>
      <c r="Q554" s="422"/>
      <c r="R554" s="422"/>
      <c r="S554" s="422"/>
    </row>
    <row r="555" spans="9:19" s="421" customFormat="1" x14ac:dyDescent="0.25">
      <c r="I555" s="422"/>
      <c r="J555" s="422"/>
      <c r="K555" s="422"/>
      <c r="L555" s="422"/>
      <c r="M555" s="422"/>
      <c r="N555" s="422"/>
      <c r="O555" s="422"/>
      <c r="P555" s="422"/>
      <c r="Q555" s="422"/>
      <c r="R555" s="422"/>
      <c r="S555" s="422"/>
    </row>
    <row r="556" spans="9:19" s="421" customFormat="1" x14ac:dyDescent="0.25">
      <c r="I556" s="422"/>
      <c r="J556" s="422"/>
      <c r="K556" s="422"/>
      <c r="L556" s="422"/>
      <c r="M556" s="422"/>
      <c r="N556" s="422"/>
      <c r="O556" s="422"/>
      <c r="P556" s="422"/>
      <c r="Q556" s="422"/>
      <c r="R556" s="422"/>
      <c r="S556" s="422"/>
    </row>
    <row r="557" spans="9:19" s="421" customFormat="1" x14ac:dyDescent="0.25">
      <c r="I557" s="422"/>
      <c r="J557" s="422"/>
      <c r="K557" s="422"/>
      <c r="L557" s="422"/>
      <c r="M557" s="422"/>
      <c r="N557" s="422"/>
      <c r="O557" s="422"/>
      <c r="P557" s="422"/>
      <c r="Q557" s="422"/>
      <c r="R557" s="422"/>
      <c r="S557" s="422"/>
    </row>
    <row r="558" spans="9:19" s="421" customFormat="1" x14ac:dyDescent="0.25">
      <c r="I558" s="422"/>
      <c r="J558" s="422"/>
      <c r="K558" s="422"/>
      <c r="L558" s="422"/>
      <c r="M558" s="422"/>
      <c r="N558" s="422"/>
      <c r="O558" s="422"/>
      <c r="P558" s="422"/>
      <c r="Q558" s="422"/>
      <c r="R558" s="422"/>
      <c r="S558" s="422"/>
    </row>
    <row r="559" spans="9:19" s="421" customFormat="1" x14ac:dyDescent="0.25">
      <c r="I559" s="422"/>
      <c r="J559" s="422"/>
      <c r="K559" s="422"/>
      <c r="L559" s="422"/>
      <c r="M559" s="422"/>
      <c r="N559" s="422"/>
      <c r="O559" s="422"/>
      <c r="P559" s="422"/>
      <c r="Q559" s="422"/>
      <c r="R559" s="422"/>
      <c r="S559" s="422"/>
    </row>
    <row r="560" spans="9:19" s="421" customFormat="1" x14ac:dyDescent="0.25">
      <c r="I560" s="422"/>
      <c r="J560" s="422"/>
      <c r="K560" s="422"/>
      <c r="L560" s="422"/>
      <c r="M560" s="422"/>
      <c r="N560" s="422"/>
      <c r="O560" s="422"/>
      <c r="P560" s="422"/>
      <c r="Q560" s="422"/>
      <c r="R560" s="422"/>
      <c r="S560" s="422"/>
    </row>
    <row r="561" spans="9:19" s="421" customFormat="1" x14ac:dyDescent="0.25">
      <c r="I561" s="422"/>
      <c r="J561" s="422"/>
      <c r="K561" s="422"/>
      <c r="L561" s="422"/>
      <c r="M561" s="422"/>
      <c r="N561" s="422"/>
      <c r="O561" s="422"/>
      <c r="P561" s="422"/>
      <c r="Q561" s="422"/>
      <c r="R561" s="422"/>
      <c r="S561" s="422"/>
    </row>
    <row r="562" spans="9:19" s="421" customFormat="1" x14ac:dyDescent="0.25">
      <c r="I562" s="422"/>
      <c r="J562" s="422"/>
      <c r="K562" s="422"/>
      <c r="L562" s="422"/>
      <c r="M562" s="422"/>
      <c r="N562" s="422"/>
      <c r="O562" s="422"/>
      <c r="P562" s="422"/>
      <c r="Q562" s="422"/>
      <c r="R562" s="422"/>
      <c r="S562" s="422"/>
    </row>
    <row r="563" spans="9:19" s="421" customFormat="1" x14ac:dyDescent="0.25">
      <c r="I563" s="422"/>
      <c r="J563" s="422"/>
      <c r="K563" s="422"/>
      <c r="L563" s="422"/>
      <c r="M563" s="422"/>
      <c r="N563" s="422"/>
      <c r="O563" s="422"/>
      <c r="P563" s="422"/>
      <c r="Q563" s="422"/>
      <c r="R563" s="422"/>
      <c r="S563" s="422"/>
    </row>
    <row r="564" spans="9:19" s="421" customFormat="1" x14ac:dyDescent="0.25">
      <c r="I564" s="422"/>
      <c r="J564" s="422"/>
      <c r="K564" s="422"/>
      <c r="L564" s="422"/>
      <c r="M564" s="422"/>
      <c r="N564" s="422"/>
      <c r="O564" s="422"/>
      <c r="P564" s="422"/>
      <c r="Q564" s="422"/>
      <c r="R564" s="422"/>
      <c r="S564" s="422"/>
    </row>
    <row r="565" spans="9:19" s="421" customFormat="1" x14ac:dyDescent="0.25">
      <c r="I565" s="422"/>
      <c r="J565" s="422"/>
      <c r="K565" s="422"/>
      <c r="L565" s="422"/>
      <c r="M565" s="422"/>
      <c r="N565" s="422"/>
      <c r="O565" s="422"/>
      <c r="P565" s="422"/>
      <c r="Q565" s="422"/>
      <c r="R565" s="422"/>
      <c r="S565" s="422"/>
    </row>
    <row r="566" spans="9:19" s="421" customFormat="1" x14ac:dyDescent="0.25">
      <c r="I566" s="422"/>
      <c r="J566" s="422"/>
      <c r="K566" s="422"/>
      <c r="L566" s="422"/>
      <c r="M566" s="422"/>
      <c r="N566" s="422"/>
      <c r="O566" s="422"/>
      <c r="P566" s="422"/>
      <c r="Q566" s="422"/>
      <c r="R566" s="422"/>
      <c r="S566" s="422"/>
    </row>
    <row r="567" spans="9:19" s="421" customFormat="1" x14ac:dyDescent="0.25">
      <c r="I567" s="422"/>
      <c r="J567" s="422"/>
      <c r="K567" s="422"/>
      <c r="L567" s="422"/>
      <c r="M567" s="422"/>
      <c r="N567" s="422"/>
      <c r="O567" s="422"/>
      <c r="P567" s="422"/>
      <c r="Q567" s="422"/>
      <c r="R567" s="422"/>
      <c r="S567" s="422"/>
    </row>
    <row r="568" spans="9:19" s="421" customFormat="1" x14ac:dyDescent="0.25">
      <c r="I568" s="422"/>
      <c r="J568" s="422"/>
      <c r="K568" s="422"/>
      <c r="L568" s="422"/>
      <c r="M568" s="422"/>
      <c r="N568" s="422"/>
      <c r="O568" s="422"/>
      <c r="P568" s="422"/>
      <c r="Q568" s="422"/>
      <c r="R568" s="422"/>
      <c r="S568" s="422"/>
    </row>
    <row r="569" spans="9:19" s="421" customFormat="1" x14ac:dyDescent="0.25">
      <c r="I569" s="422"/>
      <c r="J569" s="422"/>
      <c r="K569" s="422"/>
      <c r="L569" s="422"/>
      <c r="M569" s="422"/>
      <c r="N569" s="422"/>
      <c r="O569" s="422"/>
      <c r="P569" s="422"/>
      <c r="Q569" s="422"/>
      <c r="R569" s="422"/>
      <c r="S569" s="422"/>
    </row>
    <row r="570" spans="9:19" s="421" customFormat="1" x14ac:dyDescent="0.25">
      <c r="I570" s="422"/>
      <c r="J570" s="422"/>
      <c r="K570" s="422"/>
      <c r="L570" s="422"/>
      <c r="M570" s="422"/>
      <c r="N570" s="422"/>
      <c r="O570" s="422"/>
      <c r="P570" s="422"/>
      <c r="Q570" s="422"/>
      <c r="R570" s="422"/>
      <c r="S570" s="422"/>
    </row>
    <row r="571" spans="9:19" s="421" customFormat="1" x14ac:dyDescent="0.25">
      <c r="I571" s="422"/>
      <c r="J571" s="422"/>
      <c r="K571" s="422"/>
      <c r="L571" s="422"/>
      <c r="M571" s="422"/>
      <c r="N571" s="422"/>
      <c r="O571" s="422"/>
      <c r="P571" s="422"/>
      <c r="Q571" s="422"/>
      <c r="R571" s="422"/>
      <c r="S571" s="422"/>
    </row>
    <row r="572" spans="9:19" s="421" customFormat="1" x14ac:dyDescent="0.25">
      <c r="I572" s="422"/>
      <c r="J572" s="422"/>
      <c r="K572" s="422"/>
      <c r="L572" s="422"/>
      <c r="M572" s="422"/>
      <c r="N572" s="422"/>
      <c r="O572" s="422"/>
      <c r="P572" s="422"/>
      <c r="Q572" s="422"/>
      <c r="R572" s="422"/>
      <c r="S572" s="422"/>
    </row>
    <row r="573" spans="9:19" s="421" customFormat="1" x14ac:dyDescent="0.25">
      <c r="I573" s="422"/>
      <c r="J573" s="422"/>
      <c r="K573" s="422"/>
      <c r="L573" s="422"/>
      <c r="M573" s="422"/>
      <c r="N573" s="422"/>
      <c r="O573" s="422"/>
      <c r="P573" s="422"/>
      <c r="Q573" s="422"/>
      <c r="R573" s="422"/>
      <c r="S573" s="422"/>
    </row>
    <row r="574" spans="9:19" s="421" customFormat="1" x14ac:dyDescent="0.25">
      <c r="I574" s="422"/>
      <c r="J574" s="422"/>
      <c r="K574" s="422"/>
      <c r="L574" s="422"/>
      <c r="M574" s="422"/>
      <c r="N574" s="422"/>
      <c r="O574" s="422"/>
      <c r="P574" s="422"/>
      <c r="Q574" s="422"/>
      <c r="R574" s="422"/>
      <c r="S574" s="422"/>
    </row>
    <row r="575" spans="9:19" s="421" customFormat="1" x14ac:dyDescent="0.25">
      <c r="I575" s="422"/>
      <c r="J575" s="422"/>
      <c r="K575" s="422"/>
      <c r="L575" s="422"/>
      <c r="M575" s="422"/>
      <c r="N575" s="422"/>
      <c r="O575" s="422"/>
      <c r="P575" s="422"/>
      <c r="Q575" s="422"/>
      <c r="R575" s="422"/>
      <c r="S575" s="422"/>
    </row>
  </sheetData>
  <sheetProtection algorithmName="SHA-512" hashValue="CDfNYf8rWBIYqimF8kOwg8XDD7P0Tof1xM+3hcV0P2sB29gR8sRuo9PIX7buc8BqvOK+MWxXBTHNvPeaEobLrw==" saltValue="Gp6NIRWl/WddHpbiisbefA==" spinCount="100000" sheet="1" objects="1" scenarios="1" selectLockedCells="1" selectUnlockedCells="1"/>
  <protectedRanges>
    <protectedRange sqref="V211:V252" name="Intervallo1"/>
    <protectedRange sqref="U208" name="Intervallo2_3"/>
    <protectedRange sqref="G49:G50 G52 G36:G37" name="Intervallo1_5_1"/>
  </protectedRanges>
  <customSheetViews>
    <customSheetView guid="{101D851C-E4EE-4443-B6A9-9040ACB2A650}" scale="90" showGridLines="0" showRowCol="0" fitToPage="1">
      <selection activeCell="G46" sqref="G46:I46"/>
      <pageMargins left="0.7" right="0.7" top="0.75" bottom="0.75" header="0.3" footer="0.3"/>
      <pageSetup paperSize="9" scale="86" fitToHeight="0" orientation="portrait" r:id="rId1"/>
    </customSheetView>
  </customSheetViews>
  <mergeCells count="20">
    <mergeCell ref="D149:D150"/>
    <mergeCell ref="E149:E150"/>
    <mergeCell ref="C149:C150"/>
    <mergeCell ref="B149:B150"/>
    <mergeCell ref="B70:D70"/>
    <mergeCell ref="B100:B102"/>
    <mergeCell ref="C100:C102"/>
    <mergeCell ref="D100:D102"/>
    <mergeCell ref="B115:F115"/>
    <mergeCell ref="E100:E102"/>
    <mergeCell ref="F100:F102"/>
    <mergeCell ref="F149:F150"/>
    <mergeCell ref="E118:E128"/>
    <mergeCell ref="E133:E144"/>
    <mergeCell ref="G100:G102"/>
    <mergeCell ref="B6:C6"/>
    <mergeCell ref="D6:E6"/>
    <mergeCell ref="B7:C7"/>
    <mergeCell ref="F64:G64"/>
    <mergeCell ref="C75:E86"/>
  </mergeCells>
  <conditionalFormatting sqref="S211:T252">
    <cfRule type="cellIs" dxfId="13" priority="14" operator="equal">
      <formula>"VERIFICATO"</formula>
    </cfRule>
  </conditionalFormatting>
  <pageMargins left="0.7" right="0.7" top="0.75" bottom="0.75" header="0.3" footer="0.3"/>
  <pageSetup paperSize="9" scale="86" fitToHeight="0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45"/>
  <sheetViews>
    <sheetView topLeftCell="A109" workbookViewId="0">
      <selection activeCell="B246" sqref="B246"/>
    </sheetView>
  </sheetViews>
  <sheetFormatPr defaultRowHeight="15" x14ac:dyDescent="0.25"/>
  <sheetData>
    <row r="2" spans="2:13" ht="15.75" x14ac:dyDescent="0.25">
      <c r="B2" s="14" t="s">
        <v>997</v>
      </c>
      <c r="C2" s="422"/>
      <c r="D2" s="421"/>
      <c r="E2" s="421"/>
      <c r="F2" s="421"/>
      <c r="G2" s="421"/>
      <c r="H2" s="422"/>
      <c r="I2" s="422"/>
      <c r="J2" s="422"/>
      <c r="K2" s="422"/>
      <c r="L2" s="422"/>
      <c r="M2" s="421"/>
    </row>
    <row r="3" spans="2:13" x14ac:dyDescent="0.25"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</row>
    <row r="4" spans="2:13" x14ac:dyDescent="0.25">
      <c r="B4" s="424" t="s">
        <v>996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</row>
    <row r="5" spans="2:13" x14ac:dyDescent="0.25"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</row>
    <row r="6" spans="2:13" ht="15.75" thickBot="1" x14ac:dyDescent="0.3">
      <c r="B6" s="421"/>
      <c r="C6" s="566" t="s">
        <v>949</v>
      </c>
      <c r="D6" s="431" t="s">
        <v>986</v>
      </c>
      <c r="E6" s="421"/>
      <c r="F6" s="421"/>
      <c r="G6" s="421"/>
      <c r="H6" s="421"/>
      <c r="I6" s="421"/>
      <c r="J6" s="421"/>
      <c r="K6" s="421"/>
      <c r="L6" s="421"/>
      <c r="M6" s="421"/>
    </row>
    <row r="7" spans="2:13" ht="17.25" thickTop="1" thickBot="1" x14ac:dyDescent="0.3">
      <c r="B7" s="518" t="s">
        <v>909</v>
      </c>
      <c r="C7" s="589" t="s">
        <v>158</v>
      </c>
      <c r="D7" s="260" t="s">
        <v>963</v>
      </c>
      <c r="E7" s="421"/>
      <c r="F7" s="421"/>
      <c r="G7" s="421"/>
      <c r="H7" s="421"/>
      <c r="I7" s="421"/>
      <c r="J7" s="421"/>
      <c r="K7" s="421"/>
      <c r="L7" s="421"/>
      <c r="M7" s="421"/>
    </row>
    <row r="8" spans="2:13" ht="17.25" thickTop="1" thickBot="1" x14ac:dyDescent="0.3">
      <c r="B8" s="518" t="s">
        <v>908</v>
      </c>
      <c r="C8" s="589" t="s">
        <v>161</v>
      </c>
      <c r="D8" s="260" t="s">
        <v>962</v>
      </c>
      <c r="E8" s="421"/>
      <c r="F8" s="421"/>
      <c r="G8" s="421"/>
      <c r="H8" s="421"/>
      <c r="I8" s="421"/>
      <c r="J8" s="421"/>
      <c r="K8" s="421"/>
      <c r="L8" s="421"/>
      <c r="M8" s="421"/>
    </row>
    <row r="9" spans="2:13" ht="17.25" thickTop="1" thickBot="1" x14ac:dyDescent="0.3">
      <c r="B9" s="518" t="s">
        <v>905</v>
      </c>
      <c r="C9" s="589" t="s">
        <v>158</v>
      </c>
      <c r="D9" s="260" t="s">
        <v>962</v>
      </c>
      <c r="E9" s="421"/>
      <c r="F9" s="421"/>
      <c r="G9" s="421"/>
      <c r="H9" s="421"/>
      <c r="I9" s="421"/>
      <c r="J9" s="421"/>
      <c r="K9" s="421"/>
      <c r="L9" s="421"/>
      <c r="M9" s="421"/>
    </row>
    <row r="10" spans="2:13" ht="17.25" thickTop="1" thickBot="1" x14ac:dyDescent="0.3">
      <c r="B10" s="518" t="s">
        <v>906</v>
      </c>
      <c r="C10" s="589" t="s">
        <v>161</v>
      </c>
      <c r="D10" s="260" t="s">
        <v>963</v>
      </c>
      <c r="E10" s="421"/>
      <c r="F10" s="421"/>
      <c r="G10" s="421"/>
      <c r="H10" s="421"/>
      <c r="I10" s="421"/>
      <c r="J10" s="421"/>
      <c r="K10" s="421"/>
      <c r="L10" s="421"/>
      <c r="M10" s="421"/>
    </row>
    <row r="11" spans="2:13" ht="17.25" thickTop="1" thickBot="1" x14ac:dyDescent="0.3">
      <c r="B11" s="518" t="s">
        <v>907</v>
      </c>
      <c r="C11" s="589" t="s">
        <v>161</v>
      </c>
      <c r="D11" s="260" t="s">
        <v>963</v>
      </c>
      <c r="E11" s="421"/>
      <c r="F11" s="421"/>
      <c r="G11" s="421"/>
      <c r="H11" s="421"/>
      <c r="I11" s="421"/>
      <c r="J11" s="421"/>
      <c r="K11" s="421"/>
      <c r="L11" s="421"/>
      <c r="M11" s="421"/>
    </row>
    <row r="12" spans="2:13" ht="16.5" thickTop="1" x14ac:dyDescent="0.25">
      <c r="B12" s="577"/>
      <c r="C12" s="595"/>
      <c r="D12" s="129"/>
      <c r="E12" s="421"/>
      <c r="F12" s="421"/>
      <c r="G12" s="421"/>
      <c r="H12" s="421"/>
      <c r="I12" s="421"/>
      <c r="J12" s="421"/>
      <c r="K12" s="421"/>
      <c r="L12" s="421"/>
      <c r="M12" s="421"/>
    </row>
    <row r="13" spans="2:13" ht="15.75" x14ac:dyDescent="0.25">
      <c r="B13" s="577"/>
      <c r="C13" s="595"/>
      <c r="D13" s="129"/>
      <c r="E13" s="421"/>
      <c r="F13" s="421"/>
      <c r="G13" s="421"/>
      <c r="H13" s="421"/>
      <c r="I13" s="421"/>
      <c r="J13" s="421"/>
      <c r="K13" s="421"/>
      <c r="L13" s="421"/>
      <c r="M13" s="421"/>
    </row>
    <row r="14" spans="2:13" x14ac:dyDescent="0.25"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</row>
    <row r="15" spans="2:13" ht="15.75" x14ac:dyDescent="0.25">
      <c r="B15" s="529"/>
      <c r="C15" s="529"/>
      <c r="D15" s="575"/>
      <c r="E15" s="574"/>
      <c r="F15" s="569"/>
      <c r="G15" s="421"/>
      <c r="H15" s="421"/>
      <c r="I15" s="421"/>
      <c r="J15" s="588"/>
      <c r="K15" s="421"/>
      <c r="L15" s="421"/>
      <c r="M15" s="587"/>
    </row>
    <row r="16" spans="2:13" ht="15.75" x14ac:dyDescent="0.25">
      <c r="B16" s="529"/>
      <c r="C16" s="529"/>
      <c r="D16" s="575"/>
      <c r="E16" s="574"/>
      <c r="F16" s="569"/>
      <c r="G16" s="421"/>
      <c r="H16" s="421"/>
      <c r="I16" s="587" t="str">
        <f>IF(DATI!$G$211="sx","←POS 1","←POS 5")</f>
        <v>←POS 5</v>
      </c>
      <c r="J16" s="588" t="str">
        <f>IF(I16="←POS 5",IF(C11="NO","SPENTA",""),IF(C7="NO","SPENTA",""))</f>
        <v/>
      </c>
      <c r="K16" s="421" t="str">
        <f>IF(DATI!C69="muro a contrafforti","estremo esterno della costola","")</f>
        <v>estremo esterno della costola</v>
      </c>
      <c r="L16" s="421"/>
      <c r="M16" s="587"/>
    </row>
    <row r="17" spans="2:13" ht="15.75" x14ac:dyDescent="0.25">
      <c r="B17" s="529"/>
      <c r="C17" s="529"/>
      <c r="D17" s="575"/>
      <c r="E17" s="574"/>
      <c r="F17" s="569"/>
      <c r="G17" s="421"/>
      <c r="H17" s="421"/>
      <c r="I17" s="421"/>
      <c r="J17" s="421"/>
      <c r="K17" s="421"/>
      <c r="L17" s="421"/>
      <c r="M17" s="587"/>
    </row>
    <row r="18" spans="2:13" ht="15.75" x14ac:dyDescent="0.25">
      <c r="B18" s="529"/>
      <c r="C18" s="529"/>
      <c r="D18" s="575"/>
      <c r="E18" s="574"/>
      <c r="F18" s="569"/>
      <c r="G18" s="421"/>
      <c r="H18" s="421"/>
      <c r="I18" s="587"/>
      <c r="J18" s="421"/>
      <c r="K18" s="421"/>
      <c r="L18" s="421"/>
      <c r="M18" s="587"/>
    </row>
    <row r="19" spans="2:13" ht="15.75" x14ac:dyDescent="0.25">
      <c r="B19" s="529"/>
      <c r="C19" s="529"/>
      <c r="D19" s="575"/>
      <c r="E19" s="574"/>
      <c r="F19" s="569"/>
      <c r="G19" s="421"/>
      <c r="H19" s="421"/>
      <c r="I19" s="587"/>
      <c r="J19" s="421"/>
      <c r="K19" s="421"/>
      <c r="L19" s="421"/>
      <c r="M19" s="587"/>
    </row>
    <row r="20" spans="2:13" ht="15.75" x14ac:dyDescent="0.25">
      <c r="B20" s="529"/>
      <c r="C20" s="529"/>
      <c r="D20" s="575"/>
      <c r="E20" s="574"/>
      <c r="F20" s="569"/>
      <c r="G20" s="421"/>
      <c r="H20" s="421"/>
      <c r="I20" s="421"/>
      <c r="J20" s="421"/>
      <c r="K20" s="421"/>
      <c r="L20" s="421"/>
      <c r="M20" s="587"/>
    </row>
    <row r="21" spans="2:13" ht="15.75" x14ac:dyDescent="0.25">
      <c r="B21" s="529"/>
      <c r="C21" s="529"/>
      <c r="D21" s="575"/>
      <c r="E21" s="574"/>
      <c r="F21" s="569"/>
      <c r="G21" s="421"/>
      <c r="H21" s="421"/>
      <c r="I21" s="587" t="str">
        <f>IF(DATI!$G$211="sx","←POS 2","←POS 4")</f>
        <v>←POS 4</v>
      </c>
      <c r="J21" s="588" t="str">
        <f>IF(I21="←POS 4",IF(C10="NO","SPENTA",""),IF(C8="NO","SPENTA",""))</f>
        <v/>
      </c>
      <c r="K21" s="421" t="str">
        <f>IF(DATI!C69="muro a contrafforti","estremo interno della costola","")</f>
        <v>estremo interno della costola</v>
      </c>
      <c r="L21" s="421"/>
      <c r="M21" s="587"/>
    </row>
    <row r="22" spans="2:13" ht="15.75" x14ac:dyDescent="0.25">
      <c r="B22" s="529"/>
      <c r="C22" s="529"/>
      <c r="D22" s="575"/>
      <c r="E22" s="574"/>
      <c r="F22" s="569"/>
      <c r="G22" s="421"/>
      <c r="H22" s="421"/>
      <c r="I22" s="587" t="s">
        <v>987</v>
      </c>
      <c r="J22" s="588" t="str">
        <f>IF(C9="NO","SPENTA","")</f>
        <v>SPENTA</v>
      </c>
      <c r="K22" s="421" t="str">
        <f>IF(DATI!C69="muro a contrafforti","Bordo interno del paramento","")</f>
        <v>Bordo interno del paramento</v>
      </c>
      <c r="L22" s="421"/>
      <c r="M22" s="587"/>
    </row>
    <row r="23" spans="2:13" ht="15.75" x14ac:dyDescent="0.25">
      <c r="B23" s="529"/>
      <c r="C23" s="529"/>
      <c r="D23" s="575"/>
      <c r="E23" s="574"/>
      <c r="F23" s="569"/>
      <c r="G23" s="421"/>
      <c r="H23" s="421"/>
      <c r="I23" s="587" t="str">
        <f>IF(DATI!$G$211="sx","←POS 4","←POS 2")</f>
        <v>←POS 2</v>
      </c>
      <c r="J23" s="588" t="str">
        <f>IF(I23="←POS 2",IF(C8="NO","SPENTA",""),IF(C10="NO","SPENTA",""))</f>
        <v/>
      </c>
      <c r="K23" s="421" t="str">
        <f>IF(DATI!C69="muro a contrafforti","al centro del parmento","")</f>
        <v>al centro del parmento</v>
      </c>
      <c r="L23" s="421"/>
      <c r="M23" s="587"/>
    </row>
    <row r="24" spans="2:13" ht="15.75" x14ac:dyDescent="0.25">
      <c r="B24" s="529"/>
      <c r="C24" s="529"/>
      <c r="D24" s="575"/>
      <c r="E24" s="574"/>
      <c r="F24" s="569"/>
      <c r="G24" s="421"/>
      <c r="H24" s="421"/>
      <c r="I24" s="587" t="str">
        <f>IF(DATI!$G$211="sx","←POS 5","←POS 1")</f>
        <v>←POS 1</v>
      </c>
      <c r="J24" s="588" t="str">
        <f>IF(I24="←POS 1",IF(C7="NO","SPENTA",""),IF(C11="NO","SPENTA",""))</f>
        <v>SPENTA</v>
      </c>
      <c r="K24" s="421" t="str">
        <f>IF(DATI!C69="muro a contrafforti","Bordo esterno del paramento","")</f>
        <v>Bordo esterno del paramento</v>
      </c>
      <c r="L24" s="421"/>
      <c r="M24" s="587"/>
    </row>
    <row r="25" spans="2:13" ht="15.75" x14ac:dyDescent="0.25">
      <c r="B25" s="529"/>
      <c r="C25" s="529"/>
      <c r="D25" s="575"/>
      <c r="E25" s="574"/>
      <c r="F25" s="569"/>
      <c r="G25" s="421"/>
      <c r="H25" s="421"/>
      <c r="I25" s="587"/>
      <c r="J25" s="588"/>
      <c r="K25" s="421"/>
      <c r="L25" s="421"/>
      <c r="M25" s="587"/>
    </row>
    <row r="26" spans="2:13" ht="15.75" x14ac:dyDescent="0.25">
      <c r="B26" s="529"/>
      <c r="C26" s="529"/>
      <c r="D26" s="575"/>
      <c r="E26" s="574"/>
      <c r="F26" s="569"/>
      <c r="G26" s="421"/>
      <c r="H26" s="421"/>
      <c r="I26" s="587"/>
      <c r="J26" s="588"/>
      <c r="K26" s="421"/>
      <c r="L26" s="421"/>
      <c r="M26" s="587"/>
    </row>
    <row r="27" spans="2:13" ht="15.75" x14ac:dyDescent="0.25">
      <c r="B27" s="529"/>
      <c r="C27" s="529"/>
      <c r="D27" s="575"/>
      <c r="E27" s="574"/>
      <c r="F27" s="569"/>
      <c r="G27" s="421"/>
      <c r="H27" s="421"/>
      <c r="I27" s="421"/>
      <c r="J27" s="421"/>
      <c r="K27" s="421"/>
      <c r="L27" s="421"/>
      <c r="M27" s="587"/>
    </row>
    <row r="28" spans="2:13" ht="15.75" x14ac:dyDescent="0.25">
      <c r="B28" s="529"/>
      <c r="C28" s="529"/>
      <c r="D28" s="575"/>
      <c r="E28" s="574"/>
      <c r="F28" s="569"/>
      <c r="G28" s="421"/>
      <c r="H28" s="421"/>
      <c r="I28" s="421"/>
      <c r="J28" s="421"/>
      <c r="K28" s="421"/>
      <c r="L28" s="421"/>
      <c r="M28" s="587"/>
    </row>
    <row r="29" spans="2:13" ht="15.75" x14ac:dyDescent="0.25">
      <c r="B29" s="529"/>
      <c r="C29" s="529"/>
      <c r="D29" s="575"/>
      <c r="E29" s="574"/>
      <c r="F29" s="569"/>
      <c r="G29" s="421"/>
      <c r="H29" s="421"/>
      <c r="I29" s="421"/>
      <c r="J29" s="421"/>
      <c r="K29" s="421"/>
      <c r="L29" s="421"/>
      <c r="M29" s="587"/>
    </row>
    <row r="30" spans="2:13" ht="15.75" x14ac:dyDescent="0.25">
      <c r="B30" s="529"/>
      <c r="C30" s="529"/>
      <c r="D30" s="575"/>
      <c r="E30" s="574"/>
      <c r="F30" s="569"/>
      <c r="G30" s="421"/>
      <c r="H30" s="421"/>
      <c r="I30" s="587" t="str">
        <f>IF(DATI!$G$211="sx","←POS 1","←POS 5")</f>
        <v>←POS 5</v>
      </c>
      <c r="J30" s="588" t="str">
        <f>IF(I16="←POS 5",IF(C11="NO","SPENTA",""),IF(C7="NO","SPENTA",""))</f>
        <v/>
      </c>
      <c r="K30" s="421" t="str">
        <f>IF(DATI!C69="muro a contrafforti","estremo esterno della costola","")</f>
        <v>estremo esterno della costola</v>
      </c>
      <c r="L30" s="421"/>
      <c r="M30" s="587"/>
    </row>
    <row r="31" spans="2:13" ht="15.75" x14ac:dyDescent="0.25">
      <c r="B31" s="529"/>
      <c r="C31" s="529"/>
      <c r="D31" s="575"/>
      <c r="E31" s="574"/>
      <c r="F31" s="569"/>
      <c r="G31" s="421"/>
      <c r="H31" s="421"/>
      <c r="I31" s="421"/>
      <c r="J31" s="421"/>
      <c r="K31" s="421"/>
      <c r="L31" s="421"/>
      <c r="M31" s="587"/>
    </row>
    <row r="32" spans="2:13" ht="15.75" x14ac:dyDescent="0.25">
      <c r="B32" s="529"/>
      <c r="C32" s="529"/>
      <c r="D32" s="575"/>
      <c r="E32" s="574"/>
      <c r="F32" s="569"/>
      <c r="G32" s="421"/>
      <c r="H32" s="421"/>
      <c r="I32" s="587" t="str">
        <f>IF(DATI!$G$211="sx","←POS 2","←POS 4")</f>
        <v>←POS 4</v>
      </c>
      <c r="J32" s="588" t="str">
        <f>IF(I21="←POS 4",IF(C10="NO","SPENTA",""),IF(C8="NO","SPENTA",""))</f>
        <v/>
      </c>
      <c r="K32" s="421" t="str">
        <f>IF(DATI!C69="muro a contrafforti","estremo interno della costola","")</f>
        <v>estremo interno della costola</v>
      </c>
      <c r="L32" s="421"/>
      <c r="M32" s="587"/>
    </row>
    <row r="33" spans="2:13" ht="15.75" x14ac:dyDescent="0.25">
      <c r="B33" s="529"/>
      <c r="C33" s="529"/>
      <c r="D33" s="575"/>
      <c r="E33" s="574"/>
      <c r="F33" s="569"/>
      <c r="G33" s="421"/>
      <c r="H33" s="421"/>
      <c r="I33" s="587" t="s">
        <v>987</v>
      </c>
      <c r="J33" s="588" t="str">
        <f>IF(C9="NO","SPENTA","")</f>
        <v>SPENTA</v>
      </c>
      <c r="K33" s="421" t="str">
        <f>IF(DATI!C69="muro a contrafforti","Bordo interno del paramento","")</f>
        <v>Bordo interno del paramento</v>
      </c>
      <c r="L33" s="421"/>
      <c r="M33" s="587"/>
    </row>
    <row r="34" spans="2:13" ht="15.75" x14ac:dyDescent="0.25">
      <c r="B34" s="529"/>
      <c r="C34" s="529"/>
      <c r="D34" s="575"/>
      <c r="E34" s="574"/>
      <c r="F34" s="569"/>
      <c r="G34" s="421"/>
      <c r="H34" s="421"/>
      <c r="I34" s="587" t="str">
        <f>IF(DATI!$G$211="sx","←POS 4","←POS 2")</f>
        <v>←POS 2</v>
      </c>
      <c r="J34" s="588" t="str">
        <f>IF(I23="←POS 2",IF(C8="NO","SPENTA",""),IF(C10="NO","SPENTA",""))</f>
        <v/>
      </c>
      <c r="K34" s="421" t="str">
        <f>IF(DATI!C69="muro a contrafforti","al centro del parmento","")</f>
        <v>al centro del parmento</v>
      </c>
      <c r="L34" s="421"/>
      <c r="M34" s="587"/>
    </row>
    <row r="35" spans="2:13" ht="15.75" x14ac:dyDescent="0.25">
      <c r="B35" s="529"/>
      <c r="C35" s="529"/>
      <c r="D35" s="575"/>
      <c r="E35" s="574"/>
      <c r="F35" s="569"/>
      <c r="G35" s="421"/>
      <c r="H35" s="421"/>
      <c r="I35" s="587" t="str">
        <f>IF(DATI!$G$211="sx","←POS 5","←POS 1")</f>
        <v>←POS 1</v>
      </c>
      <c r="J35" s="588" t="str">
        <f>IF(I24="←POS 1",IF(C7="NO","SPENTA",""),IF(C11="NO","SPENTA",""))</f>
        <v>SPENTA</v>
      </c>
      <c r="K35" s="421" t="str">
        <f>IF(DATI!C69="muro a contrafforti","Bordo esterno del paramento","")</f>
        <v>Bordo esterno del paramento</v>
      </c>
      <c r="L35" s="421"/>
      <c r="M35" s="587"/>
    </row>
    <row r="36" spans="2:13" ht="15.75" x14ac:dyDescent="0.25">
      <c r="B36" s="529"/>
      <c r="C36" s="529"/>
      <c r="D36" s="575"/>
      <c r="E36" s="574"/>
      <c r="F36" s="569"/>
      <c r="G36" s="421"/>
      <c r="H36" s="421"/>
      <c r="I36" s="587"/>
      <c r="J36" s="588"/>
      <c r="K36" s="421"/>
      <c r="L36" s="421"/>
      <c r="M36" s="587"/>
    </row>
    <row r="37" spans="2:13" ht="15.75" x14ac:dyDescent="0.25">
      <c r="B37" s="529"/>
      <c r="C37" s="529"/>
      <c r="D37" s="575"/>
      <c r="E37" s="574"/>
      <c r="F37" s="569"/>
      <c r="G37" s="421"/>
      <c r="H37" s="421"/>
      <c r="I37" s="587"/>
      <c r="J37" s="588"/>
      <c r="K37" s="421"/>
      <c r="L37" s="421"/>
      <c r="M37" s="587"/>
    </row>
    <row r="38" spans="2:13" ht="15.75" x14ac:dyDescent="0.25">
      <c r="B38" s="424" t="s">
        <v>998</v>
      </c>
      <c r="C38" s="421"/>
      <c r="D38" s="421"/>
      <c r="E38" s="421"/>
      <c r="F38" s="569"/>
      <c r="G38" s="421"/>
      <c r="H38" s="421"/>
      <c r="I38" s="587"/>
      <c r="J38" s="588"/>
      <c r="K38" s="421"/>
      <c r="L38" s="421"/>
      <c r="M38" s="587"/>
    </row>
    <row r="39" spans="2:13" ht="16.5" thickBot="1" x14ac:dyDescent="0.3">
      <c r="B39" s="421"/>
      <c r="C39" s="421"/>
      <c r="D39" s="421"/>
      <c r="E39" s="421"/>
      <c r="F39" s="569"/>
      <c r="G39" s="421"/>
      <c r="H39" s="421"/>
      <c r="I39" s="587"/>
      <c r="J39" s="588"/>
      <c r="K39" s="421"/>
      <c r="L39" s="421"/>
      <c r="M39" s="587"/>
    </row>
    <row r="40" spans="2:13" ht="17.25" thickTop="1" thickBot="1" x14ac:dyDescent="0.3">
      <c r="B40" s="529" t="s">
        <v>945</v>
      </c>
      <c r="C40" s="529"/>
      <c r="D40" s="520" t="s">
        <v>443</v>
      </c>
      <c r="E40" s="544">
        <v>40</v>
      </c>
      <c r="F40" s="569"/>
      <c r="G40" s="421"/>
      <c r="H40" s="421"/>
      <c r="I40" s="587"/>
      <c r="J40" s="588"/>
      <c r="K40" s="421"/>
      <c r="L40" s="421"/>
      <c r="M40" s="587"/>
    </row>
    <row r="41" spans="2:13" ht="16.5" thickTop="1" x14ac:dyDescent="0.25">
      <c r="B41" s="529"/>
      <c r="C41" s="529"/>
      <c r="D41" s="575"/>
      <c r="E41" s="574"/>
      <c r="F41" s="569"/>
      <c r="G41" s="421"/>
      <c r="H41" s="421"/>
      <c r="I41" s="587"/>
      <c r="J41" s="588"/>
      <c r="K41" s="421"/>
      <c r="L41" s="421"/>
      <c r="M41" s="587"/>
    </row>
    <row r="42" spans="2:13" ht="15.75" x14ac:dyDescent="0.25">
      <c r="B42" s="424" t="s">
        <v>999</v>
      </c>
      <c r="C42" s="529"/>
      <c r="D42" s="575"/>
      <c r="E42" s="574"/>
      <c r="F42" s="569"/>
      <c r="G42" s="421"/>
      <c r="H42" s="421"/>
      <c r="I42" s="587"/>
      <c r="J42" s="588"/>
      <c r="K42" s="421"/>
      <c r="L42" s="421"/>
      <c r="M42" s="587"/>
    </row>
    <row r="43" spans="2:13" ht="15.75" x14ac:dyDescent="0.25">
      <c r="B43" s="591" t="s">
        <v>995</v>
      </c>
      <c r="C43" s="529"/>
      <c r="D43" s="575"/>
      <c r="E43" s="574"/>
      <c r="F43" s="569"/>
      <c r="G43" s="421"/>
      <c r="H43" s="421"/>
      <c r="I43" s="587"/>
      <c r="J43" s="588"/>
      <c r="K43" s="421"/>
      <c r="L43" s="421"/>
      <c r="M43" s="587"/>
    </row>
    <row r="44" spans="2:13" ht="15.75" x14ac:dyDescent="0.25">
      <c r="B44" s="529"/>
      <c r="C44" s="529"/>
      <c r="D44" s="575"/>
      <c r="E44" s="574"/>
      <c r="F44" s="569"/>
      <c r="G44" s="421"/>
      <c r="H44" s="421"/>
      <c r="I44" s="421"/>
      <c r="J44" s="421"/>
      <c r="K44" s="421"/>
      <c r="L44" s="421"/>
      <c r="M44" s="587"/>
    </row>
    <row r="45" spans="2:13" ht="15.75" x14ac:dyDescent="0.25">
      <c r="B45" s="559" t="s">
        <v>941</v>
      </c>
      <c r="C45" s="421"/>
      <c r="D45" s="592" t="s">
        <v>992</v>
      </c>
      <c r="E45" s="594">
        <f>'Sollecitazioni nel paramento'!C151</f>
        <v>4.5320615922608809</v>
      </c>
      <c r="F45" s="593" t="s">
        <v>993</v>
      </c>
      <c r="G45" s="594">
        <f>'Sollecitazioni nel paramento'!C153</f>
        <v>3.9535180883334116</v>
      </c>
      <c r="H45" s="422"/>
      <c r="I45" s="421"/>
      <c r="J45" s="421"/>
      <c r="K45" s="421"/>
      <c r="L45" s="421"/>
      <c r="M45" s="421"/>
    </row>
    <row r="46" spans="2:13" x14ac:dyDescent="0.25">
      <c r="B46" s="421"/>
      <c r="C46" s="421"/>
      <c r="D46" s="421"/>
      <c r="E46" s="421"/>
      <c r="F46" s="421"/>
      <c r="G46" s="421"/>
      <c r="H46" s="422"/>
      <c r="I46" s="421"/>
      <c r="J46" s="421"/>
      <c r="K46" s="421"/>
      <c r="L46" s="421"/>
      <c r="M46" s="421"/>
    </row>
    <row r="47" spans="2:13" ht="15.75" thickBot="1" x14ac:dyDescent="0.3">
      <c r="B47" s="421"/>
      <c r="C47" s="421"/>
      <c r="D47" s="421"/>
      <c r="E47" s="421"/>
      <c r="F47" s="61" t="s">
        <v>910</v>
      </c>
      <c r="G47" s="421"/>
      <c r="H47" s="422"/>
      <c r="I47" s="421"/>
      <c r="J47" s="421"/>
      <c r="K47" s="421"/>
      <c r="L47" s="421"/>
      <c r="M47" s="421"/>
    </row>
    <row r="48" spans="2:13" ht="16.5" thickTop="1" thickBot="1" x14ac:dyDescent="0.3">
      <c r="B48" s="518" t="str">
        <f>IF($C$7="NO","SPENTO","POS 1")</f>
        <v>SPENTO</v>
      </c>
      <c r="C48" s="81">
        <v>10</v>
      </c>
      <c r="D48" s="571">
        <v>4</v>
      </c>
      <c r="E48" s="580" t="str">
        <f>IF($D$7=sezione!$AC$2,"passo in cm","numero ferri")</f>
        <v>numero ferri</v>
      </c>
      <c r="F48" s="542">
        <f>IF($C$7="no",0,IF(D7=sezione!$AC$2,100/D48*(C48/2)^2*PI(),D48*(C48/2)^2*PI()))</f>
        <v>0</v>
      </c>
      <c r="G48" s="421"/>
      <c r="H48" s="422"/>
      <c r="I48" s="422"/>
      <c r="J48" s="421"/>
      <c r="K48" s="421"/>
      <c r="L48" s="421"/>
      <c r="M48" s="421"/>
    </row>
    <row r="49" spans="2:13" ht="16.5" thickTop="1" thickBot="1" x14ac:dyDescent="0.3">
      <c r="B49" s="518" t="str">
        <f>IF($C$8="NO","SPENTO","POS 2")</f>
        <v>POS 2</v>
      </c>
      <c r="C49" s="81">
        <v>10</v>
      </c>
      <c r="D49" s="571">
        <v>15</v>
      </c>
      <c r="E49" s="580" t="str">
        <f>IF($D$8=sezione!$AC$2,"passo in cm","numero ferri")</f>
        <v>passo in cm</v>
      </c>
      <c r="F49" s="542">
        <f>IF($C$8="no",0,IF(D8=sezione!$AC$2,100/D49*(C49/2)^2*PI(),D49*(C49/2)^2*PI()))</f>
        <v>523.59877559829886</v>
      </c>
      <c r="G49" s="421"/>
      <c r="H49" s="422"/>
      <c r="I49" s="421"/>
      <c r="J49" s="421"/>
      <c r="K49" s="421"/>
      <c r="L49" s="421"/>
      <c r="M49" s="421"/>
    </row>
    <row r="50" spans="2:13" ht="16.5" thickTop="1" thickBot="1" x14ac:dyDescent="0.3">
      <c r="B50" s="518" t="str">
        <f>IF($C$9="NO","SPENTO","POS 3")</f>
        <v>SPENTO</v>
      </c>
      <c r="C50" s="81">
        <v>10</v>
      </c>
      <c r="D50" s="571">
        <v>20</v>
      </c>
      <c r="E50" s="580" t="str">
        <f>IF($D$9=sezione!$AC$2,"passo in cm","numero ferri")</f>
        <v>passo in cm</v>
      </c>
      <c r="F50" s="542">
        <f>IF($C$9="no",0,IF(D9=sezione!$AC$2,100/D50*(C50/2)^2*PI(),D50*(C50/2)^2*PI()))</f>
        <v>0</v>
      </c>
      <c r="G50" s="557"/>
      <c r="H50" s="422"/>
      <c r="I50" s="421"/>
      <c r="J50" s="421"/>
      <c r="K50" s="421"/>
      <c r="L50" s="421"/>
      <c r="M50" s="421"/>
    </row>
    <row r="51" spans="2:13" ht="16.5" thickTop="1" thickBot="1" x14ac:dyDescent="0.3">
      <c r="B51" s="518" t="str">
        <f>IF($C$10="NO","SPENTO","POS 4")</f>
        <v>POS 4</v>
      </c>
      <c r="C51" s="81">
        <v>14</v>
      </c>
      <c r="D51" s="571">
        <v>4</v>
      </c>
      <c r="E51" s="580" t="str">
        <f>IF($D$10=sezione!$AC$2,"passo in cm","numero ferri")</f>
        <v>numero ferri</v>
      </c>
      <c r="F51" s="542">
        <f>IF($C$10="no",0,IF(D10=sezione!$AC$2,100/D51*(C51/2)^2*PI(),D51*(C51/2)^2*PI()))</f>
        <v>615.75216010359941</v>
      </c>
      <c r="G51" s="557"/>
      <c r="H51" s="422"/>
      <c r="I51" s="421"/>
      <c r="J51" s="421"/>
      <c r="K51" s="421"/>
      <c r="L51" s="421"/>
      <c r="M51" s="421"/>
    </row>
    <row r="52" spans="2:13" ht="16.5" thickTop="1" thickBot="1" x14ac:dyDescent="0.3">
      <c r="B52" s="518" t="str">
        <f>IF($C$11="NO","SPENTO","POS 5")</f>
        <v>POS 5</v>
      </c>
      <c r="C52" s="81">
        <v>14</v>
      </c>
      <c r="D52" s="571">
        <v>4</v>
      </c>
      <c r="E52" s="580" t="str">
        <f>IF($D$11=sezione!$AC$2,"passo in cm","numero ferri")</f>
        <v>numero ferri</v>
      </c>
      <c r="F52" s="542">
        <f>IF($C$11="no",0,IF(D11=sezione!$AC$2,100/D52*(C52/2)^2*PI(),D52*(C52/2)^2*PI()))</f>
        <v>615.75216010359941</v>
      </c>
      <c r="G52" s="557"/>
      <c r="H52" s="422"/>
      <c r="I52" s="421"/>
      <c r="J52" s="421"/>
      <c r="K52" s="421"/>
      <c r="L52" s="421"/>
      <c r="M52" s="421"/>
    </row>
    <row r="53" spans="2:13" ht="15.75" thickTop="1" x14ac:dyDescent="0.25">
      <c r="B53" s="518"/>
      <c r="C53" s="442"/>
      <c r="D53" s="330"/>
      <c r="E53" s="555"/>
      <c r="F53" s="556"/>
      <c r="G53" s="557"/>
      <c r="H53" s="422"/>
      <c r="I53" s="421"/>
      <c r="J53" s="421"/>
      <c r="K53" s="421"/>
      <c r="L53" s="421"/>
      <c r="M53" s="421"/>
    </row>
    <row r="54" spans="2:13" x14ac:dyDescent="0.25">
      <c r="B54" s="518"/>
      <c r="C54" s="442"/>
      <c r="D54" s="330"/>
      <c r="E54" s="555"/>
      <c r="F54" s="556"/>
      <c r="G54" s="557"/>
      <c r="H54" s="422"/>
      <c r="I54" s="421"/>
      <c r="J54" s="421"/>
      <c r="K54" s="421"/>
      <c r="L54" s="421"/>
      <c r="M54" s="421"/>
    </row>
    <row r="55" spans="2:13" ht="15.75" x14ac:dyDescent="0.25">
      <c r="B55" s="559" t="s">
        <v>942</v>
      </c>
      <c r="C55" s="421"/>
      <c r="D55" s="592" t="s">
        <v>992</v>
      </c>
      <c r="E55" s="594">
        <f>'Sollecitazioni nel paramento'!C153</f>
        <v>3.9535180883334116</v>
      </c>
      <c r="F55" s="593" t="s">
        <v>993</v>
      </c>
      <c r="G55" s="594">
        <f>'Sollecitazioni nel paramento'!C155</f>
        <v>3.0928621609569462</v>
      </c>
      <c r="H55" s="422"/>
      <c r="I55" s="421"/>
      <c r="J55" s="421"/>
      <c r="K55" s="421"/>
      <c r="L55" s="421"/>
      <c r="M55" s="421"/>
    </row>
    <row r="56" spans="2:13" x14ac:dyDescent="0.25">
      <c r="B56" s="421"/>
      <c r="C56" s="421"/>
      <c r="D56" s="421"/>
      <c r="E56" s="421"/>
      <c r="F56" s="556"/>
      <c r="G56" s="557"/>
      <c r="H56" s="422"/>
      <c r="I56" s="421"/>
      <c r="J56" s="421"/>
      <c r="K56" s="421"/>
      <c r="L56" s="421"/>
      <c r="M56" s="421"/>
    </row>
    <row r="57" spans="2:13" ht="15.75" thickBot="1" x14ac:dyDescent="0.3">
      <c r="B57" s="421"/>
      <c r="C57" s="421"/>
      <c r="D57" s="421"/>
      <c r="E57" s="421"/>
      <c r="F57" s="431" t="s">
        <v>910</v>
      </c>
      <c r="G57" s="557"/>
      <c r="H57" s="422"/>
      <c r="I57" s="421"/>
      <c r="J57" s="421"/>
      <c r="K57" s="421"/>
      <c r="L57" s="421"/>
      <c r="M57" s="421"/>
    </row>
    <row r="58" spans="2:13" ht="16.5" thickTop="1" thickBot="1" x14ac:dyDescent="0.3">
      <c r="B58" s="518" t="str">
        <f>IF($C$7="NO","SPENTO","POS 1")</f>
        <v>SPENTO</v>
      </c>
      <c r="C58" s="81">
        <v>10</v>
      </c>
      <c r="D58" s="571">
        <v>4</v>
      </c>
      <c r="E58" s="580" t="str">
        <f>IF($D$7=sezione!$AC$2,"passo in cm","numero ferri")</f>
        <v>numero ferri</v>
      </c>
      <c r="F58" s="542">
        <f>IF($C$7="no",0,IF(D7=sezione!$AC$2,100/D58*(C58/2)^2*PI(),D58*(C58/2)^2*PI()))</f>
        <v>0</v>
      </c>
      <c r="G58" s="557"/>
      <c r="H58" s="422"/>
      <c r="I58" s="421"/>
      <c r="J58" s="421"/>
      <c r="K58" s="421"/>
      <c r="L58" s="421"/>
      <c r="M58" s="421"/>
    </row>
    <row r="59" spans="2:13" ht="16.5" thickTop="1" thickBot="1" x14ac:dyDescent="0.3">
      <c r="B59" s="518" t="str">
        <f>IF($C$8="NO","SPENTO","POS 2")</f>
        <v>POS 2</v>
      </c>
      <c r="C59" s="81">
        <v>10</v>
      </c>
      <c r="D59" s="571">
        <v>20</v>
      </c>
      <c r="E59" s="580" t="str">
        <f>IF($D$8=sezione!$AC$2,"passo in cm","numero ferri")</f>
        <v>passo in cm</v>
      </c>
      <c r="F59" s="542">
        <f>IF($C$8="no",0,IF(D8=sezione!$AC$2,100/D59*(C59/2)^2*PI(),D59*(C59/2)^2*PI()))</f>
        <v>392.69908169872411</v>
      </c>
      <c r="G59" s="557"/>
      <c r="H59" s="422"/>
      <c r="I59" s="421"/>
      <c r="J59" s="421"/>
      <c r="K59" s="421"/>
      <c r="L59" s="421"/>
      <c r="M59" s="421"/>
    </row>
    <row r="60" spans="2:13" ht="16.5" thickTop="1" thickBot="1" x14ac:dyDescent="0.3">
      <c r="B60" s="518" t="str">
        <f>IF($C$9="NO","SPENTO","POS 3")</f>
        <v>SPENTO</v>
      </c>
      <c r="C60" s="81">
        <v>10</v>
      </c>
      <c r="D60" s="571">
        <v>20</v>
      </c>
      <c r="E60" s="580" t="str">
        <f>IF($D$9=sezione!$AC$2,"passo in cm","numero ferri")</f>
        <v>passo in cm</v>
      </c>
      <c r="F60" s="542">
        <f>IF($C$9="no",0,IF(D9=sezione!$AC$2,100/D60*(C60/2)^2*PI(),D60*(C60/2)^2*PI()))</f>
        <v>0</v>
      </c>
      <c r="G60" s="557"/>
      <c r="H60" s="422"/>
      <c r="I60" s="421"/>
      <c r="J60" s="421"/>
      <c r="K60" s="421"/>
      <c r="L60" s="421"/>
      <c r="M60" s="421"/>
    </row>
    <row r="61" spans="2:13" ht="16.5" thickTop="1" thickBot="1" x14ac:dyDescent="0.3">
      <c r="B61" s="518" t="str">
        <f>IF($C$10="NO","SPENTO","POS 4")</f>
        <v>POS 4</v>
      </c>
      <c r="C61" s="81">
        <v>14</v>
      </c>
      <c r="D61" s="571">
        <v>4</v>
      </c>
      <c r="E61" s="580" t="str">
        <f>IF($D$10=sezione!$AC$2,"passo in cm","numero ferri")</f>
        <v>numero ferri</v>
      </c>
      <c r="F61" s="542">
        <f>IF($C$10="no",0,IF(D10=sezione!$AC$2,100/D61*(C61/2)^2*PI(),D61*(C61/2)^2*PI()))</f>
        <v>615.75216010359941</v>
      </c>
      <c r="G61" s="557"/>
      <c r="H61" s="422"/>
      <c r="I61" s="421"/>
      <c r="J61" s="421"/>
      <c r="K61" s="421"/>
      <c r="L61" s="421"/>
      <c r="M61" s="421"/>
    </row>
    <row r="62" spans="2:13" ht="16.5" thickTop="1" thickBot="1" x14ac:dyDescent="0.3">
      <c r="B62" s="518" t="str">
        <f>IF($C$11="NO","SPENTO","POS 5")</f>
        <v>POS 5</v>
      </c>
      <c r="C62" s="81">
        <v>16</v>
      </c>
      <c r="D62" s="571">
        <v>4</v>
      </c>
      <c r="E62" s="580" t="str">
        <f>IF($D$11=sezione!$AC$2,"passo in cm","numero ferri")</f>
        <v>numero ferri</v>
      </c>
      <c r="F62" s="542">
        <f>IF($C$11="no",0,IF(D11=sezione!$AC$2,100/D62*(C62/2)^2*PI(),D62*(C62/2)^2*PI()))</f>
        <v>804.24771931898704</v>
      </c>
      <c r="G62" s="557"/>
      <c r="H62" s="422"/>
      <c r="I62" s="421"/>
      <c r="J62" s="421"/>
      <c r="K62" s="421"/>
      <c r="L62" s="421"/>
      <c r="M62" s="421"/>
    </row>
    <row r="63" spans="2:13" ht="15.75" thickTop="1" x14ac:dyDescent="0.25">
      <c r="B63" s="518"/>
      <c r="C63" s="442"/>
      <c r="D63" s="330"/>
      <c r="E63" s="421"/>
      <c r="F63" s="555"/>
      <c r="G63" s="557"/>
      <c r="H63" s="422"/>
      <c r="I63" s="421"/>
      <c r="J63" s="421"/>
      <c r="K63" s="421"/>
      <c r="L63" s="421"/>
      <c r="M63" s="421"/>
    </row>
    <row r="64" spans="2:13" x14ac:dyDescent="0.25">
      <c r="B64" s="518"/>
      <c r="C64" s="442"/>
      <c r="D64" s="330"/>
      <c r="E64" s="421"/>
      <c r="F64" s="555"/>
      <c r="G64" s="557"/>
      <c r="H64" s="422"/>
      <c r="I64" s="421"/>
      <c r="J64" s="421"/>
      <c r="K64" s="421"/>
      <c r="L64" s="421"/>
      <c r="M64" s="421"/>
    </row>
    <row r="65" spans="2:13" ht="15.75" x14ac:dyDescent="0.25">
      <c r="B65" s="559" t="s">
        <v>943</v>
      </c>
      <c r="C65" s="421"/>
      <c r="D65" s="592" t="s">
        <v>992</v>
      </c>
      <c r="E65" s="594">
        <f>'Sollecitazioni nel paramento'!C155</f>
        <v>3.0928621609569462</v>
      </c>
      <c r="F65" s="593" t="s">
        <v>993</v>
      </c>
      <c r="G65" s="594">
        <f>'Sollecitazioni nel paramento'!C157</f>
        <v>2.2322062335804809</v>
      </c>
      <c r="H65" s="422"/>
      <c r="I65" s="421"/>
      <c r="J65" s="421"/>
      <c r="K65" s="421"/>
      <c r="L65" s="421"/>
      <c r="M65" s="421"/>
    </row>
    <row r="66" spans="2:13" x14ac:dyDescent="0.25">
      <c r="B66" s="421"/>
      <c r="C66" s="421"/>
      <c r="D66" s="421"/>
      <c r="E66" s="421"/>
      <c r="F66" s="421"/>
      <c r="G66" s="557"/>
      <c r="H66" s="422"/>
      <c r="I66" s="421"/>
      <c r="J66" s="421"/>
      <c r="K66" s="421"/>
      <c r="L66" s="421"/>
      <c r="M66" s="421"/>
    </row>
    <row r="67" spans="2:13" ht="15.75" thickBot="1" x14ac:dyDescent="0.3">
      <c r="B67" s="421"/>
      <c r="C67" s="421"/>
      <c r="D67" s="421"/>
      <c r="E67" s="421"/>
      <c r="F67" s="431" t="s">
        <v>910</v>
      </c>
      <c r="G67" s="557"/>
      <c r="H67" s="422"/>
      <c r="I67" s="421"/>
      <c r="J67" s="421"/>
      <c r="K67" s="421"/>
      <c r="L67" s="421"/>
      <c r="M67" s="421"/>
    </row>
    <row r="68" spans="2:13" ht="16.5" thickTop="1" thickBot="1" x14ac:dyDescent="0.3">
      <c r="B68" s="518" t="str">
        <f>IF($C$7="NO","SPENTO","POS 1")</f>
        <v>SPENTO</v>
      </c>
      <c r="C68" s="81">
        <v>10</v>
      </c>
      <c r="D68" s="571">
        <v>4</v>
      </c>
      <c r="E68" s="580" t="str">
        <f>IF($D$7=sezione!$AC$2,"passo in cm","numero ferri")</f>
        <v>numero ferri</v>
      </c>
      <c r="F68" s="542">
        <f>IF($C$7="no",0,IF(D7=sezione!$AC$2,100/D68*(C68/2)^2*PI(),D68*(C68/2)^2*PI()))</f>
        <v>0</v>
      </c>
      <c r="G68" s="557"/>
      <c r="H68" s="422"/>
      <c r="I68" s="421"/>
      <c r="J68" s="422"/>
      <c r="K68" s="422"/>
      <c r="L68" s="421"/>
      <c r="M68" s="421"/>
    </row>
    <row r="69" spans="2:13" ht="16.5" thickTop="1" thickBot="1" x14ac:dyDescent="0.3">
      <c r="B69" s="518" t="str">
        <f>IF($C$8="NO","SPENTO","POS 2")</f>
        <v>POS 2</v>
      </c>
      <c r="C69" s="81">
        <v>10</v>
      </c>
      <c r="D69" s="571">
        <v>20</v>
      </c>
      <c r="E69" s="580" t="str">
        <f>IF($D$8=sezione!$AC$2,"passo in cm","numero ferri")</f>
        <v>passo in cm</v>
      </c>
      <c r="F69" s="542">
        <f>IF($C$8="no",0,IF(D8=sezione!$AC$2,100/D69*(C69/2)^2*PI(),D69*(C69/2)^2*PI()))</f>
        <v>392.69908169872411</v>
      </c>
      <c r="G69" s="557"/>
      <c r="H69" s="422"/>
      <c r="I69" s="421"/>
      <c r="J69" s="422"/>
      <c r="K69" s="422"/>
      <c r="L69" s="421"/>
      <c r="M69" s="421"/>
    </row>
    <row r="70" spans="2:13" ht="16.5" thickTop="1" thickBot="1" x14ac:dyDescent="0.3">
      <c r="B70" s="518" t="str">
        <f>IF($C$9="NO","SPENTO","POS 3")</f>
        <v>SPENTO</v>
      </c>
      <c r="C70" s="81">
        <v>10</v>
      </c>
      <c r="D70" s="571">
        <v>20</v>
      </c>
      <c r="E70" s="580" t="str">
        <f>IF($D$9=sezione!$AC$2,"passo in cm","numero ferri")</f>
        <v>passo in cm</v>
      </c>
      <c r="F70" s="542">
        <f>IF($C$9="no",0,IF(D9=sezione!$AC$2,100/D70*(C70/2)^2*PI(),D70*(C70/2)^2*PI()))</f>
        <v>0</v>
      </c>
      <c r="G70" s="557"/>
      <c r="H70" s="422"/>
      <c r="I70" s="421"/>
      <c r="J70" s="422"/>
      <c r="K70" s="422"/>
      <c r="L70" s="421"/>
      <c r="M70" s="421"/>
    </row>
    <row r="71" spans="2:13" ht="16.5" thickTop="1" thickBot="1" x14ac:dyDescent="0.3">
      <c r="B71" s="518" t="str">
        <f>IF($C$10="NO","SPENTO","POS 4")</f>
        <v>POS 4</v>
      </c>
      <c r="C71" s="81">
        <v>16</v>
      </c>
      <c r="D71" s="571">
        <v>4</v>
      </c>
      <c r="E71" s="580" t="str">
        <f>IF($D$10=sezione!$AC$2,"passo in cm","numero ferri")</f>
        <v>numero ferri</v>
      </c>
      <c r="F71" s="542">
        <f>IF($C$10="no",0,IF(D10=sezione!$AC$2,100/D71*(C71/2)^2*PI(),D71*(C71/2)^2*PI()))</f>
        <v>804.24771931898704</v>
      </c>
      <c r="G71" s="557"/>
      <c r="H71" s="422"/>
      <c r="I71" s="421"/>
      <c r="J71" s="422"/>
      <c r="K71" s="422"/>
      <c r="L71" s="421"/>
      <c r="M71" s="421"/>
    </row>
    <row r="72" spans="2:13" ht="16.5" thickTop="1" thickBot="1" x14ac:dyDescent="0.3">
      <c r="B72" s="518" t="str">
        <f>IF($C$11="NO","SPENTO","POS 5")</f>
        <v>POS 5</v>
      </c>
      <c r="C72" s="81">
        <v>20</v>
      </c>
      <c r="D72" s="571">
        <v>4</v>
      </c>
      <c r="E72" s="580" t="str">
        <f>IF($D$11=sezione!$AC$2,"passo in cm","numero ferri")</f>
        <v>numero ferri</v>
      </c>
      <c r="F72" s="542">
        <f>IF($C$11="no",0,IF(D11=sezione!$AC$2,100/D72*(C72/2)^2*PI(),D72*(C72/2)^2*PI()))</f>
        <v>1256.6370614359173</v>
      </c>
      <c r="G72" s="557"/>
      <c r="H72" s="422"/>
      <c r="I72" s="421"/>
      <c r="J72" s="422"/>
      <c r="K72" s="422"/>
      <c r="L72" s="421"/>
      <c r="M72" s="421"/>
    </row>
    <row r="73" spans="2:13" ht="15.75" thickTop="1" x14ac:dyDescent="0.25">
      <c r="B73" s="518"/>
      <c r="C73" s="442"/>
      <c r="D73" s="330"/>
      <c r="E73" s="421"/>
      <c r="F73" s="555"/>
      <c r="G73" s="557"/>
      <c r="H73" s="422"/>
      <c r="I73" s="421"/>
      <c r="J73" s="422"/>
      <c r="K73" s="422"/>
      <c r="L73" s="421"/>
      <c r="M73" s="421"/>
    </row>
    <row r="74" spans="2:13" x14ac:dyDescent="0.25">
      <c r="B74" s="518"/>
      <c r="C74" s="442"/>
      <c r="D74" s="330"/>
      <c r="E74" s="421"/>
      <c r="F74" s="555"/>
      <c r="G74" s="557"/>
      <c r="H74" s="422"/>
      <c r="I74" s="421"/>
      <c r="J74" s="422"/>
      <c r="K74" s="422"/>
      <c r="L74" s="421"/>
      <c r="M74" s="421"/>
    </row>
    <row r="75" spans="2:13" ht="15.75" x14ac:dyDescent="0.25">
      <c r="B75" s="559" t="s">
        <v>944</v>
      </c>
      <c r="C75" s="421"/>
      <c r="D75" s="592" t="s">
        <v>992</v>
      </c>
      <c r="E75" s="594">
        <f>'Sollecitazioni nel paramento'!C157</f>
        <v>2.2322062335804809</v>
      </c>
      <c r="F75" s="593" t="s">
        <v>993</v>
      </c>
      <c r="G75" s="594">
        <f>'Sollecitazioni nel paramento'!C159</f>
        <v>1.3715503062040155</v>
      </c>
      <c r="H75" s="422"/>
      <c r="I75" s="421"/>
      <c r="J75" s="422"/>
      <c r="K75" s="422"/>
      <c r="L75" s="421"/>
      <c r="M75" s="421"/>
    </row>
    <row r="76" spans="2:13" x14ac:dyDescent="0.25">
      <c r="B76" s="421"/>
      <c r="C76" s="421"/>
      <c r="D76" s="421"/>
      <c r="E76" s="421"/>
      <c r="F76" s="421"/>
      <c r="G76" s="557"/>
      <c r="H76" s="422"/>
      <c r="I76" s="421"/>
      <c r="J76" s="422"/>
      <c r="K76" s="422"/>
      <c r="L76" s="421"/>
      <c r="M76" s="421"/>
    </row>
    <row r="77" spans="2:13" ht="15.75" thickBot="1" x14ac:dyDescent="0.3">
      <c r="B77" s="421"/>
      <c r="C77" s="421"/>
      <c r="D77" s="421"/>
      <c r="E77" s="421"/>
      <c r="F77" s="431" t="s">
        <v>910</v>
      </c>
      <c r="G77" s="557"/>
      <c r="H77" s="422"/>
      <c r="I77" s="421"/>
      <c r="J77" s="422"/>
      <c r="K77" s="422"/>
      <c r="L77" s="421"/>
      <c r="M77" s="421"/>
    </row>
    <row r="78" spans="2:13" ht="16.5" thickTop="1" thickBot="1" x14ac:dyDescent="0.3">
      <c r="B78" s="518" t="str">
        <f>IF($C$7="NO","SPENTO","POS 1")</f>
        <v>SPENTO</v>
      </c>
      <c r="C78" s="81">
        <v>10</v>
      </c>
      <c r="D78" s="571">
        <v>4</v>
      </c>
      <c r="E78" s="580" t="str">
        <f>IF($D$7=sezione!$AC$2,"passo in cm","numero ferri")</f>
        <v>numero ferri</v>
      </c>
      <c r="F78" s="542">
        <f>IF($C$7="no",0,IF(D7=sezione!$AC$2,100/D78*(C78/2)^2*PI(),D78*(C78/2)^2*PI()))</f>
        <v>0</v>
      </c>
      <c r="G78" s="557"/>
      <c r="H78" s="422"/>
      <c r="I78" s="421"/>
      <c r="J78" s="422"/>
      <c r="K78" s="422"/>
      <c r="L78" s="421"/>
      <c r="M78" s="421"/>
    </row>
    <row r="79" spans="2:13" ht="16.5" thickTop="1" thickBot="1" x14ac:dyDescent="0.3">
      <c r="B79" s="518" t="str">
        <f>IF($C$8="NO","SPENTO","POS 2")</f>
        <v>POS 2</v>
      </c>
      <c r="C79" s="81">
        <v>10</v>
      </c>
      <c r="D79" s="571">
        <v>20</v>
      </c>
      <c r="E79" s="580" t="str">
        <f>IF($D$8=sezione!$AC$2,"passo in cm","numero ferri")</f>
        <v>passo in cm</v>
      </c>
      <c r="F79" s="542">
        <f>IF($C$8="no",0,IF(D8=sezione!$AC$2,100/D79*(C79/2)^2*PI(),D79*(C79/2)^2*PI()))</f>
        <v>392.69908169872411</v>
      </c>
      <c r="G79" s="557"/>
      <c r="H79" s="422"/>
      <c r="I79" s="421"/>
      <c r="J79" s="422"/>
      <c r="K79" s="422"/>
      <c r="L79" s="421"/>
      <c r="M79" s="421"/>
    </row>
    <row r="80" spans="2:13" ht="16.5" thickTop="1" thickBot="1" x14ac:dyDescent="0.3">
      <c r="B80" s="518" t="str">
        <f>IF($C$9="NO","SPENTO","POS 3")</f>
        <v>SPENTO</v>
      </c>
      <c r="C80" s="81">
        <v>10</v>
      </c>
      <c r="D80" s="571">
        <v>20</v>
      </c>
      <c r="E80" s="580" t="str">
        <f>IF($D$9=sezione!$AC$2,"passo in cm","numero ferri")</f>
        <v>passo in cm</v>
      </c>
      <c r="F80" s="542">
        <f>IF($C$9="no",0,IF(D9=sezione!$AC$2,100/D80*(C80/2)^2*PI(),D80*(C80/2)^2*PI()))</f>
        <v>0</v>
      </c>
      <c r="G80" s="557"/>
      <c r="H80" s="422"/>
      <c r="I80" s="421"/>
      <c r="J80" s="422"/>
      <c r="K80" s="422"/>
      <c r="L80" s="421"/>
      <c r="M80" s="421"/>
    </row>
    <row r="81" spans="2:13" ht="16.5" thickTop="1" thickBot="1" x14ac:dyDescent="0.3">
      <c r="B81" s="518" t="str">
        <f>IF($C$10="NO","SPENTO","POS 4")</f>
        <v>POS 4</v>
      </c>
      <c r="C81" s="81">
        <v>18</v>
      </c>
      <c r="D81" s="571">
        <v>4</v>
      </c>
      <c r="E81" s="580" t="str">
        <f>IF($D$10=sezione!$AC$2,"passo in cm","numero ferri")</f>
        <v>numero ferri</v>
      </c>
      <c r="F81" s="542">
        <f>IF($C$10="no",0,IF(D10=sezione!$AC$2,100/D81*(C81/2)^2*PI(),D81*(C81/2)^2*PI()))</f>
        <v>1017.8760197630929</v>
      </c>
      <c r="G81" s="557"/>
      <c r="H81" s="422"/>
      <c r="I81" s="421"/>
      <c r="J81" s="422"/>
      <c r="K81" s="422"/>
      <c r="L81" s="421"/>
      <c r="M81" s="421"/>
    </row>
    <row r="82" spans="2:13" ht="16.5" thickTop="1" thickBot="1" x14ac:dyDescent="0.3">
      <c r="B82" s="518" t="str">
        <f>IF($C$11="NO","SPENTO","POS 5")</f>
        <v>POS 5</v>
      </c>
      <c r="C82" s="81">
        <v>22</v>
      </c>
      <c r="D82" s="571">
        <v>6</v>
      </c>
      <c r="E82" s="580" t="str">
        <f>IF($D$11=sezione!$AC$2,"passo in cm","numero ferri")</f>
        <v>numero ferri</v>
      </c>
      <c r="F82" s="542">
        <f>IF($C$11="no",0,IF(D11=sezione!$AC$2,100/D82*(C82/2)^2*PI(),D82*(C82/2)^2*PI()))</f>
        <v>2280.79626650619</v>
      </c>
      <c r="G82" s="557"/>
      <c r="H82" s="422"/>
      <c r="I82" s="421"/>
      <c r="J82" s="422"/>
      <c r="K82" s="422"/>
      <c r="L82" s="421"/>
      <c r="M82" s="421"/>
    </row>
    <row r="83" spans="2:13" ht="15.75" thickTop="1" x14ac:dyDescent="0.25">
      <c r="B83" s="532"/>
      <c r="C83" s="555"/>
      <c r="D83" s="556"/>
      <c r="E83" s="421"/>
      <c r="F83" s="557"/>
      <c r="G83" s="557"/>
      <c r="H83" s="422"/>
      <c r="I83" s="421"/>
      <c r="J83" s="422"/>
      <c r="K83" s="422"/>
      <c r="L83" s="421"/>
      <c r="M83" s="421"/>
    </row>
    <row r="84" spans="2:13" x14ac:dyDescent="0.25">
      <c r="B84" s="532"/>
      <c r="C84" s="555"/>
      <c r="D84" s="556"/>
      <c r="E84" s="421"/>
      <c r="F84" s="557"/>
      <c r="G84" s="557"/>
      <c r="H84" s="422"/>
      <c r="I84" s="421"/>
      <c r="J84" s="422"/>
      <c r="K84" s="422"/>
      <c r="L84" s="421"/>
      <c r="M84" s="421"/>
    </row>
    <row r="85" spans="2:13" ht="15.75" x14ac:dyDescent="0.25">
      <c r="B85" s="559" t="s">
        <v>956</v>
      </c>
      <c r="C85" s="421"/>
      <c r="D85" s="592" t="s">
        <v>992</v>
      </c>
      <c r="E85" s="594">
        <f>'Sollecitazioni nel paramento'!C159</f>
        <v>1.3715503062040155</v>
      </c>
      <c r="F85" s="593" t="s">
        <v>993</v>
      </c>
      <c r="G85" s="594">
        <f>'Sollecitazioni nel paramento'!C161</f>
        <v>0.51089437882755018</v>
      </c>
      <c r="H85" s="422"/>
      <c r="I85" s="421"/>
      <c r="J85" s="422"/>
      <c r="K85" s="421"/>
      <c r="L85" s="421"/>
      <c r="M85" s="421"/>
    </row>
    <row r="86" spans="2:13" x14ac:dyDescent="0.25">
      <c r="B86" s="421"/>
      <c r="C86" s="421"/>
      <c r="D86" s="421"/>
      <c r="E86" s="421"/>
      <c r="F86" s="421"/>
      <c r="G86" s="557"/>
      <c r="H86" s="422"/>
      <c r="I86" s="421"/>
      <c r="J86" s="422"/>
      <c r="K86" s="422"/>
      <c r="L86" s="421"/>
      <c r="M86" s="421"/>
    </row>
    <row r="87" spans="2:13" ht="15.75" thickBot="1" x14ac:dyDescent="0.3">
      <c r="B87" s="421"/>
      <c r="C87" s="421"/>
      <c r="D87" s="421"/>
      <c r="E87" s="421"/>
      <c r="F87" s="553" t="s">
        <v>910</v>
      </c>
      <c r="G87" s="557"/>
      <c r="H87" s="422"/>
      <c r="I87" s="421"/>
      <c r="J87" s="422"/>
      <c r="K87" s="422"/>
      <c r="L87" s="421"/>
      <c r="M87" s="421"/>
    </row>
    <row r="88" spans="2:13" ht="16.5" thickTop="1" thickBot="1" x14ac:dyDescent="0.3">
      <c r="B88" s="532" t="str">
        <f>IF($C$7="NO","SPENTO","POS 1")</f>
        <v>SPENTO</v>
      </c>
      <c r="C88" s="81">
        <v>10</v>
      </c>
      <c r="D88" s="571">
        <v>4</v>
      </c>
      <c r="E88" s="580" t="str">
        <f>IF($D$7=sezione!$AC$2,"passo in cm","numero ferri")</f>
        <v>numero ferri</v>
      </c>
      <c r="F88" s="542">
        <f>IF($C$7="no",0,IF(D7=sezione!$AC$2,100/D88*(C88/2)^2*PI(),D88*(C88/2)^2*PI()))</f>
        <v>0</v>
      </c>
      <c r="G88" s="557"/>
      <c r="H88" s="422"/>
      <c r="I88" s="421"/>
      <c r="J88" s="422"/>
      <c r="K88" s="422"/>
      <c r="L88" s="421"/>
      <c r="M88" s="421"/>
    </row>
    <row r="89" spans="2:13" ht="16.5" thickTop="1" thickBot="1" x14ac:dyDescent="0.3">
      <c r="B89" s="532" t="str">
        <f>IF($C$8="NO","SPENTO","POS 2")</f>
        <v>POS 2</v>
      </c>
      <c r="C89" s="81">
        <v>10</v>
      </c>
      <c r="D89" s="571">
        <v>20</v>
      </c>
      <c r="E89" s="580" t="str">
        <f>IF($D$8=sezione!$AC$2,"passo in cm","numero ferri")</f>
        <v>passo in cm</v>
      </c>
      <c r="F89" s="542">
        <f>IF($C$8="no",0,IF(D8=sezione!$AC$2,100/D89*(C89/2)^2*PI(),D89*(C89/2)^2*PI()))</f>
        <v>392.69908169872411</v>
      </c>
      <c r="G89" s="557"/>
      <c r="H89" s="422"/>
      <c r="I89" s="421"/>
      <c r="J89" s="422"/>
      <c r="K89" s="422"/>
      <c r="L89" s="421"/>
      <c r="M89" s="421"/>
    </row>
    <row r="90" spans="2:13" ht="16.5" thickTop="1" thickBot="1" x14ac:dyDescent="0.3">
      <c r="B90" s="532" t="str">
        <f>IF($C$9="NO","SPENTO","POS 3")</f>
        <v>SPENTO</v>
      </c>
      <c r="C90" s="81">
        <v>10</v>
      </c>
      <c r="D90" s="571">
        <v>20</v>
      </c>
      <c r="E90" s="580" t="str">
        <f>IF($D$9=sezione!$AC$2,"passo in cm","numero ferri")</f>
        <v>passo in cm</v>
      </c>
      <c r="F90" s="542">
        <f>IF($C$9="no",0,IF(D9=sezione!$AC$2,100/D90*(C90/2)^2*PI(),D90*(C90/2)^2*PI()))</f>
        <v>0</v>
      </c>
      <c r="G90" s="557"/>
      <c r="H90" s="422"/>
      <c r="I90" s="421"/>
      <c r="J90" s="422"/>
      <c r="K90" s="422"/>
      <c r="L90" s="421"/>
      <c r="M90" s="421"/>
    </row>
    <row r="91" spans="2:13" ht="16.5" thickTop="1" thickBot="1" x14ac:dyDescent="0.3">
      <c r="B91" s="532" t="str">
        <f>IF($C$10="NO","SPENTO","POS 4")</f>
        <v>POS 4</v>
      </c>
      <c r="C91" s="81">
        <v>22</v>
      </c>
      <c r="D91" s="571">
        <v>6</v>
      </c>
      <c r="E91" s="580" t="str">
        <f>IF($D$10=sezione!$AC$2,"passo in cm","numero ferri")</f>
        <v>numero ferri</v>
      </c>
      <c r="F91" s="542">
        <f>IF($C$10="no",0,IF(D10=sezione!$AC$2,100/D91*(C91/2)^2*PI(),D91*(C91/2)^2*PI()))</f>
        <v>2280.79626650619</v>
      </c>
      <c r="G91" s="557"/>
      <c r="H91" s="422"/>
      <c r="I91" s="421"/>
      <c r="J91" s="422"/>
      <c r="K91" s="422"/>
      <c r="L91" s="421"/>
      <c r="M91" s="421"/>
    </row>
    <row r="92" spans="2:13" ht="16.5" thickTop="1" thickBot="1" x14ac:dyDescent="0.3">
      <c r="B92" s="532" t="str">
        <f>IF($C$11="NO","SPENTO","POS 5")</f>
        <v>POS 5</v>
      </c>
      <c r="C92" s="81">
        <v>26</v>
      </c>
      <c r="D92" s="571">
        <v>8</v>
      </c>
      <c r="E92" s="580" t="str">
        <f>IF($D$11=sezione!$AC$2,"passo in cm","numero ferri")</f>
        <v>numero ferri</v>
      </c>
      <c r="F92" s="542">
        <f>IF($C$11="no",0,IF(D11=sezione!$AC$2,100/D92*(C92/2)^2*PI(),D92*(C92/2)^2*PI()))</f>
        <v>4247.4332676534004</v>
      </c>
      <c r="G92" s="557"/>
      <c r="H92" s="422"/>
      <c r="I92" s="421"/>
      <c r="J92" s="422"/>
      <c r="K92" s="422"/>
      <c r="L92" s="421"/>
      <c r="M92" s="421"/>
    </row>
    <row r="93" spans="2:13" ht="15.75" thickTop="1" x14ac:dyDescent="0.25">
      <c r="B93" s="532"/>
      <c r="C93" s="442"/>
      <c r="D93" s="330"/>
      <c r="E93" s="555"/>
      <c r="F93" s="556"/>
      <c r="G93" s="557"/>
      <c r="H93" s="422"/>
      <c r="I93" s="421"/>
      <c r="J93" s="422"/>
      <c r="K93" s="422"/>
      <c r="L93" s="421"/>
      <c r="M93" s="421"/>
    </row>
    <row r="94" spans="2:13" x14ac:dyDescent="0.25">
      <c r="B94" s="424" t="s">
        <v>1000</v>
      </c>
      <c r="C94" s="442"/>
      <c r="D94" s="330"/>
      <c r="E94" s="555"/>
      <c r="F94" s="556"/>
      <c r="G94" s="557"/>
      <c r="H94" s="421"/>
      <c r="I94" s="421"/>
      <c r="J94" s="422"/>
      <c r="K94" s="422"/>
      <c r="L94" s="421"/>
      <c r="M94" s="421"/>
    </row>
    <row r="95" spans="2:13" x14ac:dyDescent="0.25">
      <c r="B95" s="424"/>
      <c r="C95" s="442"/>
      <c r="D95" s="330"/>
      <c r="E95" s="555"/>
      <c r="F95" s="556"/>
      <c r="G95" s="557"/>
      <c r="H95" s="422"/>
      <c r="I95" s="421"/>
      <c r="J95" s="422"/>
      <c r="K95" s="422"/>
      <c r="L95" s="421"/>
      <c r="M95" s="421"/>
    </row>
    <row r="96" spans="2:13" x14ac:dyDescent="0.25">
      <c r="B96" s="424" t="s">
        <v>1001</v>
      </c>
      <c r="C96" s="442"/>
      <c r="D96" s="330"/>
      <c r="E96" s="555"/>
      <c r="F96" s="556"/>
      <c r="G96" s="557"/>
      <c r="H96" s="422"/>
      <c r="I96" s="421"/>
      <c r="J96" s="422"/>
      <c r="K96" s="422"/>
      <c r="L96" s="421"/>
      <c r="M96" s="421"/>
    </row>
    <row r="97" spans="2:13" x14ac:dyDescent="0.25">
      <c r="B97" s="518"/>
      <c r="C97" s="442"/>
      <c r="D97" s="330"/>
      <c r="E97" s="555"/>
      <c r="F97" s="556"/>
      <c r="G97" s="557"/>
      <c r="H97" s="422"/>
      <c r="I97" s="421"/>
      <c r="J97" s="422"/>
      <c r="K97" s="422"/>
      <c r="L97" s="421"/>
      <c r="M97" s="421"/>
    </row>
    <row r="98" spans="2:13" x14ac:dyDescent="0.25">
      <c r="B98" s="1029" t="s">
        <v>21</v>
      </c>
      <c r="C98" s="1031" t="s">
        <v>994</v>
      </c>
      <c r="D98" s="1025" t="s">
        <v>23</v>
      </c>
      <c r="E98" s="1027" t="s">
        <v>31</v>
      </c>
      <c r="F98" s="1027" t="s">
        <v>932</v>
      </c>
      <c r="G98" s="1027" t="s">
        <v>931</v>
      </c>
      <c r="H98" s="1027" t="s">
        <v>939</v>
      </c>
      <c r="I98" s="1027" t="s">
        <v>990</v>
      </c>
      <c r="J98" s="421"/>
      <c r="K98" s="421"/>
      <c r="L98" s="421"/>
      <c r="M98" s="421"/>
    </row>
    <row r="99" spans="2:13" x14ac:dyDescent="0.25">
      <c r="B99" s="1030"/>
      <c r="C99" s="1032"/>
      <c r="D99" s="1025"/>
      <c r="E99" s="1028"/>
      <c r="F99" s="1028"/>
      <c r="G99" s="1028"/>
      <c r="H99" s="1028"/>
      <c r="I99" s="1028"/>
      <c r="J99" s="421"/>
      <c r="K99" s="421"/>
      <c r="L99" s="421"/>
      <c r="M99" s="421"/>
    </row>
    <row r="100" spans="2:13" x14ac:dyDescent="0.25">
      <c r="B100" s="521">
        <v>0</v>
      </c>
      <c r="C100" s="524">
        <f>'Sollecitazioni nel paramento'!C151</f>
        <v>4.5320615922608809</v>
      </c>
      <c r="D100" s="543">
        <f>VLOOKUP(C100,'SOLLECITAZ NASCOSTO'!$C$23:$M$468,2,TRUE)</f>
        <v>0.86000999999999994</v>
      </c>
      <c r="E100" s="165">
        <f>'Sollecitazioni nel paramento'!E151</f>
        <v>3.7022953209208862</v>
      </c>
      <c r="F100" s="354">
        <f>IF('Sollecitazioni nel paramento'!F151=0,IF(F101&lt;0,-0.0001,0.0001),'Sollecitazioni nel paramento'!F151)</f>
        <v>-0.39991949023898499</v>
      </c>
      <c r="G100" s="410">
        <f>IF(G101&lt;0,-K133,K133)</f>
        <v>-93.747409917364664</v>
      </c>
      <c r="H100" s="522" t="str">
        <f>IF(sezione!AA47&gt;=sezione!Z47,"Verificato","NON VERIFICATO")</f>
        <v>Verificato</v>
      </c>
      <c r="I100" s="590">
        <f t="shared" ref="I100:I110" si="0">G100/F100</f>
        <v>234.41570667471802</v>
      </c>
      <c r="J100" s="421"/>
      <c r="K100" s="421"/>
      <c r="L100" s="421"/>
      <c r="M100" s="421"/>
    </row>
    <row r="101" spans="2:13" x14ac:dyDescent="0.25">
      <c r="B101" s="521">
        <f t="shared" ref="B101:B110" si="1">B100+1</f>
        <v>1</v>
      </c>
      <c r="C101" s="524">
        <f>'Sollecitazioni nel paramento'!C152</f>
        <v>4.3783988626078694</v>
      </c>
      <c r="D101" s="543">
        <f>VLOOKUP(C101,'SOLLECITAZ NASCOSTO'!$C$23:$M$468,2,TRUE)</f>
        <v>0.83644735877836263</v>
      </c>
      <c r="E101" s="165">
        <f>'Sollecitazioni nel paramento'!E152</f>
        <v>13.868130734876193</v>
      </c>
      <c r="F101" s="354">
        <f>'Sollecitazioni nel paramento'!F152</f>
        <v>-3.9812459483673748</v>
      </c>
      <c r="G101" s="410">
        <f t="shared" ref="G101:G110" si="2">IF(F101&lt;0,-K134,K134)</f>
        <v>-108.54072094306069</v>
      </c>
      <c r="H101" s="586" t="str">
        <f>IF(sezione!AA48&gt;=sezione!Z48,"Verificato","NON VERIFICATO")</f>
        <v>Verificato</v>
      </c>
      <c r="I101" s="590">
        <f t="shared" si="0"/>
        <v>27.263003178080712</v>
      </c>
      <c r="J101" s="421"/>
      <c r="K101" s="421"/>
      <c r="L101" s="421"/>
      <c r="M101" s="421"/>
    </row>
    <row r="102" spans="2:13" x14ac:dyDescent="0.25">
      <c r="B102" s="521">
        <f t="shared" si="1"/>
        <v>2</v>
      </c>
      <c r="C102" s="524">
        <f>'Sollecitazioni nel paramento'!C153</f>
        <v>3.9535180883334116</v>
      </c>
      <c r="D102" s="543">
        <f>VLOOKUP(C102,'SOLLECITAZ NASCOSTO'!$C$23:$M$468,2,TRUE)</f>
        <v>0.77518449160210523</v>
      </c>
      <c r="E102" s="165">
        <f>'Sollecitazioni nel paramento'!E153</f>
        <v>28.311153483607232</v>
      </c>
      <c r="F102" s="354">
        <f>'Sollecitazioni nel paramento'!F153</f>
        <v>-12.790487761582009</v>
      </c>
      <c r="G102" s="410">
        <f t="shared" si="2"/>
        <v>-123.30354088199832</v>
      </c>
      <c r="H102" s="586" t="str">
        <f>IF(sezione!AA49&gt;=sezione!Z49,"Verificato","NON VERIFICATO")</f>
        <v>Verificato</v>
      </c>
      <c r="I102" s="590">
        <f t="shared" si="0"/>
        <v>9.6402532241465781</v>
      </c>
      <c r="J102" s="421"/>
      <c r="K102" s="421"/>
      <c r="L102" s="421"/>
      <c r="M102" s="421"/>
    </row>
    <row r="103" spans="2:13" x14ac:dyDescent="0.25">
      <c r="B103" s="521">
        <f t="shared" si="1"/>
        <v>3</v>
      </c>
      <c r="C103" s="524">
        <f>'Sollecitazioni nel paramento'!C154</f>
        <v>3.5177429352314036</v>
      </c>
      <c r="D103" s="543">
        <f>VLOOKUP(C103,'SOLLECITAZ NASCOSTO'!$C$23:$M$468,2,TRUE)</f>
        <v>0.7123507816777388</v>
      </c>
      <c r="E103" s="165">
        <f>'Sollecitazioni nel paramento'!E154</f>
        <v>47.567610733420466</v>
      </c>
      <c r="F103" s="354">
        <f>'Sollecitazioni nel paramento'!F154</f>
        <v>-29.16023812776313</v>
      </c>
      <c r="G103" s="410">
        <f t="shared" si="2"/>
        <v>-163.41146198946615</v>
      </c>
      <c r="H103" s="586" t="str">
        <f>IF(sezione!AA50&gt;=sezione!Z50,"Verificato","NON VERIFICATO")</f>
        <v>Verificato</v>
      </c>
      <c r="I103" s="590">
        <f t="shared" si="0"/>
        <v>5.6039138388888521</v>
      </c>
      <c r="J103" s="421"/>
      <c r="K103" s="421"/>
      <c r="L103" s="421"/>
      <c r="M103" s="421"/>
    </row>
    <row r="104" spans="2:13" x14ac:dyDescent="0.25">
      <c r="B104" s="521">
        <f t="shared" si="1"/>
        <v>4</v>
      </c>
      <c r="C104" s="524">
        <f>'Sollecitazioni nel paramento'!C155</f>
        <v>3.0928621609569462</v>
      </c>
      <c r="D104" s="543">
        <f>VLOOKUP(C104,'SOLLECITAZ NASCOSTO'!$C$23:$M$468,2,TRUE)</f>
        <v>0.65108791450148151</v>
      </c>
      <c r="E104" s="165">
        <f>'Sollecitazioni nel paramento'!E155</f>
        <v>70.674679621825291</v>
      </c>
      <c r="F104" s="354">
        <f>'Sollecitazioni nel paramento'!F155</f>
        <v>-54.128334411492943</v>
      </c>
      <c r="G104" s="410">
        <f t="shared" si="2"/>
        <v>-182.69899611916856</v>
      </c>
      <c r="H104" s="586" t="str">
        <f>IF(sezione!AA51&gt;=sezione!Z51,"Verificato","NON VERIFICATO")</f>
        <v>Verificato</v>
      </c>
      <c r="I104" s="590">
        <f t="shared" si="0"/>
        <v>3.3752931455503368</v>
      </c>
      <c r="J104" s="421"/>
      <c r="K104" s="421"/>
      <c r="L104" s="421"/>
      <c r="M104" s="421"/>
    </row>
    <row r="105" spans="2:13" x14ac:dyDescent="0.25">
      <c r="B105" s="521">
        <f t="shared" si="1"/>
        <v>5</v>
      </c>
      <c r="C105" s="524">
        <f>'Sollecitazioni nel paramento'!C156</f>
        <v>2.6570870078549382</v>
      </c>
      <c r="D105" s="543">
        <f>VLOOKUP(C105,'SOLLECITAZ NASCOSTO'!$C$23:$M$468,2,TRUE)</f>
        <v>0.58825420457711497</v>
      </c>
      <c r="E105" s="165">
        <f>'Sollecitazioni nel paramento'!E156</f>
        <v>98.817338040534864</v>
      </c>
      <c r="F105" s="354">
        <f>'Sollecitazioni nel paramento'!F156</f>
        <v>-90.895249703932464</v>
      </c>
      <c r="G105" s="410">
        <f t="shared" si="2"/>
        <v>-299.79750564035527</v>
      </c>
      <c r="H105" s="586" t="str">
        <f>IF(sezione!AA52&gt;=sezione!Z52,"Verificato","NON VERIFICATO")</f>
        <v>Verificato</v>
      </c>
      <c r="I105" s="590">
        <f t="shared" si="0"/>
        <v>3.2982747351139619</v>
      </c>
      <c r="J105" s="421"/>
      <c r="K105" s="421"/>
      <c r="L105" s="421"/>
      <c r="M105" s="421"/>
    </row>
    <row r="106" spans="2:13" x14ac:dyDescent="0.25">
      <c r="B106" s="521">
        <f t="shared" si="1"/>
        <v>6</v>
      </c>
      <c r="C106" s="524">
        <f>'Sollecitazioni nel paramento'!C157</f>
        <v>2.2322062335804809</v>
      </c>
      <c r="D106" s="543">
        <f>VLOOKUP(C106,'SOLLECITAZ NASCOSTO'!$C$23:$M$468,2,TRUE)</f>
        <v>0.52699133740085768</v>
      </c>
      <c r="E106" s="165">
        <f>'Sollecitazioni nel paramento'!E157</f>
        <v>130.58845306861363</v>
      </c>
      <c r="F106" s="354">
        <f>'Sollecitazioni nel paramento'!F157</f>
        <v>-139.47896312335092</v>
      </c>
      <c r="G106" s="410">
        <f t="shared" si="2"/>
        <v>-329.91052848955826</v>
      </c>
      <c r="H106" s="586" t="str">
        <f>IF(sezione!AA53&gt;=sezione!Z53,"Verificato","NON VERIFICATO")</f>
        <v>Verificato</v>
      </c>
      <c r="I106" s="590">
        <f t="shared" si="0"/>
        <v>2.3653067179585747</v>
      </c>
      <c r="J106" s="421"/>
      <c r="K106" s="421"/>
      <c r="L106" s="421"/>
      <c r="M106" s="421"/>
    </row>
    <row r="107" spans="2:13" x14ac:dyDescent="0.25">
      <c r="B107" s="521">
        <f t="shared" si="1"/>
        <v>7</v>
      </c>
      <c r="C107" s="524">
        <f>'Sollecitazioni nel paramento'!C158</f>
        <v>1.7964310804784729</v>
      </c>
      <c r="D107" s="543">
        <f>VLOOKUP(C107,'SOLLECITAZ NASCOSTO'!$C$23:$M$468,2,TRUE)</f>
        <v>0.46415762747649125</v>
      </c>
      <c r="E107" s="165">
        <f>'Sollecitazioni nel paramento'!E158</f>
        <v>167.61731265622004</v>
      </c>
      <c r="F107" s="354">
        <f>'Sollecitazioni nel paramento'!F158</f>
        <v>-204.29100504991928</v>
      </c>
      <c r="G107" s="410">
        <f t="shared" si="2"/>
        <v>-615.1513562977126</v>
      </c>
      <c r="H107" s="586" t="str">
        <f>IF(sezione!AA54&gt;=sezione!Z54,"Verificato","NON VERIFICATO")</f>
        <v>Verificato</v>
      </c>
      <c r="I107" s="590">
        <f t="shared" si="0"/>
        <v>3.011152430071006</v>
      </c>
      <c r="J107" s="421"/>
      <c r="K107" s="421"/>
      <c r="L107" s="421"/>
      <c r="M107" s="421"/>
    </row>
    <row r="108" spans="2:13" x14ac:dyDescent="0.25">
      <c r="B108" s="521">
        <f t="shared" si="1"/>
        <v>8</v>
      </c>
      <c r="C108" s="524">
        <f>'Sollecitazioni nel paramento'!C159</f>
        <v>1.3715503062040155</v>
      </c>
      <c r="D108" s="543">
        <f>VLOOKUP(C108,'SOLLECITAZ NASCOSTO'!$C$23:$M$468,2,TRUE)</f>
        <v>0.40289476030023386</v>
      </c>
      <c r="E108" s="165">
        <f>'Sollecitazioni nel paramento'!E159</f>
        <v>208.0524738239732</v>
      </c>
      <c r="F108" s="354">
        <f>'Sollecitazioni nel paramento'!F159</f>
        <v>-283.94709827020034</v>
      </c>
      <c r="G108" s="410">
        <f t="shared" si="2"/>
        <v>-669.818678304581</v>
      </c>
      <c r="H108" s="586" t="str">
        <f>IF(sezione!AA55&gt;=sezione!Z55,"Verificato","NON VERIFICATO")</f>
        <v>Verificato</v>
      </c>
      <c r="I108" s="590">
        <f t="shared" si="0"/>
        <v>2.3589558843358573</v>
      </c>
      <c r="J108" s="421"/>
      <c r="K108" s="421"/>
      <c r="L108" s="421"/>
      <c r="M108" s="421"/>
    </row>
    <row r="109" spans="2:13" x14ac:dyDescent="0.25">
      <c r="B109" s="521">
        <f t="shared" si="1"/>
        <v>9</v>
      </c>
      <c r="C109" s="524">
        <f>'Sollecitazioni nel paramento'!C160</f>
        <v>0.93577515310200798</v>
      </c>
      <c r="D109" s="543">
        <f>VLOOKUP(C109,'SOLLECITAZ NASCOSTO'!$C$23:$M$468,2,TRUE)</f>
        <v>0.34006105037586742</v>
      </c>
      <c r="E109" s="165">
        <f>'Sollecitazioni nel paramento'!E160</f>
        <v>253.96753458047593</v>
      </c>
      <c r="F109" s="354">
        <f>'Sollecitazioni nel paramento'!F160</f>
        <v>-384.45222853876811</v>
      </c>
      <c r="G109" s="410">
        <f t="shared" si="2"/>
        <v>-1329.6408378987776</v>
      </c>
      <c r="H109" s="586" t="str">
        <f>IF(sezione!AA56&gt;=sezione!Z56,"Verificato","NON VERIFICATO")</f>
        <v>Verificato</v>
      </c>
      <c r="I109" s="590">
        <f t="shared" si="0"/>
        <v>3.4585333084229912</v>
      </c>
      <c r="J109" s="421"/>
      <c r="K109" s="421"/>
      <c r="L109" s="421"/>
      <c r="M109" s="421"/>
    </row>
    <row r="110" spans="2:13" x14ac:dyDescent="0.25">
      <c r="B110" s="521">
        <f t="shared" si="1"/>
        <v>10</v>
      </c>
      <c r="C110" s="524">
        <f>'Sollecitazioni nel paramento'!C161</f>
        <v>0.51089437882755018</v>
      </c>
      <c r="D110" s="543">
        <f>VLOOKUP(C110,'SOLLECITAZ NASCOSTO'!$C$23:$M$468,2,TRUE)</f>
        <v>0.27879818319961008</v>
      </c>
      <c r="E110" s="165">
        <f>'Sollecitazioni nel paramento'!E161</f>
        <v>303.06674188790316</v>
      </c>
      <c r="F110" s="354">
        <f>'Sollecitazioni nel paramento'!F161</f>
        <v>-502.63746422508564</v>
      </c>
      <c r="G110" s="410">
        <f t="shared" si="2"/>
        <v>-1431.6393295351243</v>
      </c>
      <c r="H110" s="586" t="str">
        <f>IF(sezione!AA57&gt;=sezione!Z57,"Verificato","NON VERIFICATO")</f>
        <v>Verificato</v>
      </c>
      <c r="I110" s="590">
        <f t="shared" si="0"/>
        <v>2.8482543213174081</v>
      </c>
      <c r="J110" s="421"/>
      <c r="K110" s="421"/>
      <c r="L110" s="421"/>
      <c r="M110" s="421"/>
    </row>
    <row r="111" spans="2:13" x14ac:dyDescent="0.25">
      <c r="B111" s="46"/>
      <c r="C111" s="221"/>
      <c r="D111" s="330"/>
      <c r="E111" s="188"/>
      <c r="F111" s="359"/>
      <c r="G111" s="287"/>
      <c r="H111" s="112"/>
      <c r="I111" s="604"/>
      <c r="J111" s="421"/>
      <c r="K111" s="421"/>
      <c r="L111" s="421"/>
      <c r="M111" s="421"/>
    </row>
    <row r="112" spans="2:13" x14ac:dyDescent="0.25">
      <c r="B112" s="46"/>
      <c r="C112" s="221"/>
      <c r="D112" s="330"/>
      <c r="E112" s="188"/>
      <c r="F112" s="359"/>
      <c r="G112" s="287"/>
      <c r="H112" s="112"/>
      <c r="I112" s="604"/>
      <c r="J112" s="421"/>
      <c r="K112" s="421"/>
      <c r="L112" s="421"/>
      <c r="M112" s="421"/>
    </row>
    <row r="113" spans="2:13" x14ac:dyDescent="0.25">
      <c r="B113" s="46"/>
      <c r="C113" s="221"/>
      <c r="D113" s="330"/>
      <c r="E113" s="188"/>
      <c r="F113" s="359"/>
      <c r="G113" s="287"/>
      <c r="H113" s="112"/>
      <c r="I113" s="604"/>
      <c r="J113" s="421"/>
      <c r="K113" s="421"/>
      <c r="L113" s="421"/>
      <c r="M113" s="421"/>
    </row>
    <row r="114" spans="2:13" x14ac:dyDescent="0.25">
      <c r="B114" s="46"/>
      <c r="C114" s="221"/>
      <c r="D114" s="330"/>
      <c r="E114" s="188"/>
      <c r="F114" s="359"/>
      <c r="G114" s="287"/>
      <c r="H114" s="112"/>
      <c r="I114" s="604"/>
      <c r="J114" s="421"/>
      <c r="K114" s="421"/>
      <c r="L114" s="421"/>
      <c r="M114" s="421"/>
    </row>
    <row r="115" spans="2:13" x14ac:dyDescent="0.25">
      <c r="B115" s="46"/>
      <c r="C115" s="221"/>
      <c r="D115" s="330"/>
      <c r="E115" s="188"/>
      <c r="F115" s="359"/>
      <c r="G115" s="287"/>
      <c r="H115" s="112"/>
      <c r="I115" s="604"/>
      <c r="J115" s="421"/>
      <c r="K115" s="421"/>
      <c r="L115" s="421"/>
      <c r="M115" s="421"/>
    </row>
    <row r="116" spans="2:13" x14ac:dyDescent="0.25">
      <c r="B116" s="46"/>
      <c r="C116" s="221"/>
      <c r="D116" s="330"/>
      <c r="E116" s="188"/>
      <c r="F116" s="359"/>
      <c r="G116" s="287"/>
      <c r="H116" s="112"/>
      <c r="I116" s="604"/>
      <c r="J116" s="421"/>
      <c r="K116" s="421"/>
      <c r="L116" s="421"/>
      <c r="M116" s="421"/>
    </row>
    <row r="117" spans="2:13" x14ac:dyDescent="0.25">
      <c r="B117" s="46"/>
      <c r="C117" s="221"/>
      <c r="D117" s="330"/>
      <c r="E117" s="188"/>
      <c r="F117" s="359"/>
      <c r="G117" s="287"/>
      <c r="H117" s="112"/>
      <c r="I117" s="604"/>
      <c r="J117" s="421"/>
      <c r="K117" s="421"/>
      <c r="L117" s="421"/>
      <c r="M117" s="421"/>
    </row>
    <row r="118" spans="2:13" x14ac:dyDescent="0.25">
      <c r="B118" s="46"/>
      <c r="C118" s="221"/>
      <c r="D118" s="330"/>
      <c r="E118" s="188"/>
      <c r="F118" s="359"/>
      <c r="G118" s="287"/>
      <c r="H118" s="112"/>
      <c r="I118" s="604"/>
      <c r="J118" s="421"/>
      <c r="K118" s="421"/>
      <c r="L118" s="421"/>
      <c r="M118" s="421"/>
    </row>
    <row r="119" spans="2:13" x14ac:dyDescent="0.25">
      <c r="B119" s="46"/>
      <c r="C119" s="221"/>
      <c r="D119" s="330"/>
      <c r="E119" s="188"/>
      <c r="F119" s="359"/>
      <c r="G119" s="287"/>
      <c r="H119" s="112"/>
      <c r="I119" s="604"/>
      <c r="J119" s="421"/>
      <c r="K119" s="421"/>
      <c r="L119" s="421"/>
      <c r="M119" s="421"/>
    </row>
    <row r="120" spans="2:13" x14ac:dyDescent="0.25">
      <c r="B120" s="46"/>
      <c r="C120" s="221"/>
      <c r="D120" s="330"/>
      <c r="E120" s="188"/>
      <c r="F120" s="359"/>
      <c r="G120" s="287"/>
      <c r="H120" s="112"/>
      <c r="I120" s="604"/>
      <c r="J120" s="421"/>
      <c r="K120" s="421"/>
      <c r="L120" s="421"/>
      <c r="M120" s="421"/>
    </row>
    <row r="121" spans="2:13" x14ac:dyDescent="0.25">
      <c r="B121" s="46"/>
      <c r="C121" s="221"/>
      <c r="D121" s="330"/>
      <c r="E121" s="188"/>
      <c r="F121" s="359"/>
      <c r="G121" s="287"/>
      <c r="H121" s="112"/>
      <c r="I121" s="604"/>
      <c r="J121" s="421"/>
      <c r="K121" s="421"/>
      <c r="L121" s="421"/>
      <c r="M121" s="421"/>
    </row>
    <row r="122" spans="2:13" x14ac:dyDescent="0.25">
      <c r="B122" s="46"/>
      <c r="C122" s="221"/>
      <c r="D122" s="330"/>
      <c r="E122" s="188"/>
      <c r="F122" s="359"/>
      <c r="G122" s="287"/>
      <c r="H122" s="112"/>
      <c r="I122" s="604"/>
      <c r="J122" s="421"/>
      <c r="K122" s="421"/>
      <c r="L122" s="421"/>
      <c r="M122" s="421"/>
    </row>
    <row r="123" spans="2:13" x14ac:dyDescent="0.25">
      <c r="B123" s="46"/>
      <c r="C123" s="221"/>
      <c r="D123" s="330"/>
      <c r="E123" s="188"/>
      <c r="F123" s="359"/>
      <c r="G123" s="287"/>
      <c r="H123" s="112"/>
      <c r="I123" s="604"/>
      <c r="J123" s="421"/>
      <c r="K123" s="421"/>
      <c r="L123" s="421"/>
      <c r="M123" s="421"/>
    </row>
    <row r="124" spans="2:13" x14ac:dyDescent="0.25">
      <c r="B124" s="46"/>
      <c r="C124" s="221"/>
      <c r="D124" s="330"/>
      <c r="E124" s="188"/>
      <c r="F124" s="359"/>
      <c r="G124" s="287"/>
      <c r="H124" s="112"/>
      <c r="I124" s="604"/>
      <c r="J124" s="421"/>
      <c r="K124" s="421"/>
      <c r="L124" s="421"/>
      <c r="M124" s="421"/>
    </row>
    <row r="125" spans="2:13" x14ac:dyDescent="0.25">
      <c r="B125" s="46"/>
      <c r="C125" s="221"/>
      <c r="D125" s="330"/>
      <c r="E125" s="188"/>
      <c r="F125" s="359"/>
      <c r="G125" s="287"/>
      <c r="H125" s="112"/>
      <c r="I125" s="604"/>
      <c r="J125" s="421"/>
      <c r="K125" s="421"/>
      <c r="L125" s="421"/>
      <c r="M125" s="421"/>
    </row>
    <row r="126" spans="2:13" x14ac:dyDescent="0.25">
      <c r="B126" s="46"/>
      <c r="C126" s="221"/>
      <c r="D126" s="330"/>
      <c r="E126" s="188"/>
      <c r="F126" s="359"/>
      <c r="G126" s="287"/>
      <c r="H126" s="112"/>
      <c r="I126" s="604"/>
      <c r="J126" s="421"/>
      <c r="K126" s="421"/>
      <c r="L126" s="421"/>
      <c r="M126" s="421"/>
    </row>
    <row r="127" spans="2:13" x14ac:dyDescent="0.25">
      <c r="B127" s="46"/>
      <c r="C127" s="221"/>
      <c r="D127" s="330"/>
      <c r="E127" s="188"/>
      <c r="F127" s="359"/>
      <c r="G127" s="287"/>
      <c r="H127" s="112"/>
      <c r="I127" s="604"/>
      <c r="J127" s="421"/>
      <c r="K127" s="421"/>
      <c r="L127" s="421"/>
      <c r="M127" s="421"/>
    </row>
    <row r="128" spans="2:13" x14ac:dyDescent="0.25">
      <c r="B128" s="421"/>
      <c r="C128" s="421"/>
      <c r="D128" s="421"/>
      <c r="E128" s="421"/>
      <c r="F128" s="421"/>
      <c r="G128" s="421"/>
      <c r="H128" s="421"/>
      <c r="I128" s="421"/>
      <c r="J128" s="421"/>
      <c r="K128" s="421"/>
      <c r="L128" s="421"/>
      <c r="M128" s="421"/>
    </row>
    <row r="129" spans="2:13" x14ac:dyDescent="0.25">
      <c r="B129" s="424" t="s">
        <v>1002</v>
      </c>
      <c r="C129" s="421"/>
      <c r="D129" s="421"/>
      <c r="E129" s="421"/>
      <c r="F129" s="421"/>
      <c r="G129" s="421"/>
      <c r="H129" s="421"/>
      <c r="I129" s="421"/>
      <c r="J129" s="421"/>
      <c r="K129" s="421"/>
      <c r="L129" s="421"/>
      <c r="M129" s="421"/>
    </row>
    <row r="130" spans="2:13" x14ac:dyDescent="0.25">
      <c r="B130" s="421"/>
      <c r="C130" s="421"/>
      <c r="D130" s="421"/>
      <c r="E130" s="421"/>
      <c r="F130" s="421"/>
      <c r="G130" s="421"/>
      <c r="H130" s="421"/>
      <c r="I130" s="421"/>
      <c r="J130" s="421"/>
      <c r="K130" s="421"/>
      <c r="L130" s="421"/>
      <c r="M130" s="421"/>
    </row>
    <row r="131" spans="2:13" x14ac:dyDescent="0.25">
      <c r="B131" s="1029" t="s">
        <v>21</v>
      </c>
      <c r="C131" s="1031" t="s">
        <v>994</v>
      </c>
      <c r="D131" s="1025" t="s">
        <v>137</v>
      </c>
      <c r="E131" s="1025" t="s">
        <v>957</v>
      </c>
      <c r="F131" s="1025" t="s">
        <v>934</v>
      </c>
      <c r="G131" s="1025" t="s">
        <v>935</v>
      </c>
      <c r="H131" s="1025" t="s">
        <v>936</v>
      </c>
      <c r="I131" s="1025" t="s">
        <v>937</v>
      </c>
      <c r="J131" s="1025" t="s">
        <v>938</v>
      </c>
      <c r="K131" s="1034" t="s">
        <v>1024</v>
      </c>
      <c r="L131" s="421"/>
      <c r="M131" s="421"/>
    </row>
    <row r="132" spans="2:13" x14ac:dyDescent="0.25">
      <c r="B132" s="1030"/>
      <c r="C132" s="1032"/>
      <c r="D132" s="1025"/>
      <c r="E132" s="1025"/>
      <c r="F132" s="1025"/>
      <c r="G132" s="1025"/>
      <c r="H132" s="1025"/>
      <c r="I132" s="1025"/>
      <c r="J132" s="1025"/>
      <c r="K132" s="1034"/>
      <c r="L132" s="421"/>
      <c r="M132" s="421"/>
    </row>
    <row r="133" spans="2:13" ht="15.75" x14ac:dyDescent="0.25">
      <c r="B133" s="521">
        <v>0</v>
      </c>
      <c r="C133" s="524">
        <f t="shared" ref="C133:C143" si="3">C100</f>
        <v>4.5320615922608809</v>
      </c>
      <c r="D133" s="607">
        <f>VLOOKUP(sezione!$AA$4,sezione!$A$5:$O$247,3,FALSE)</f>
        <v>17.826781187183276</v>
      </c>
      <c r="E133" s="354">
        <f>ABS(VLOOKUP(sezione!$AA$4,sezione!$A$5:$O$247,4,FALSE)*10^-6)</f>
        <v>7.0704896791192073</v>
      </c>
      <c r="F133" s="354" t="str">
        <f>IF(C7="no","",VLOOKUP(sezione!$AA$4,sezione!$A$5:$O$247,5,FALSE)*10^-6)</f>
        <v/>
      </c>
      <c r="G133" s="354">
        <f>IF(C8="no","",VLOOKUP(sezione!$AA$4,sezione!$A$5:$O$247,6,FALSE)*10^-6)</f>
        <v>8.6407222435160804</v>
      </c>
      <c r="H133" s="354" t="str">
        <f>IF(C9="no","",VLOOKUP(sezione!$AA$4,sezione!$A$5:$O$247,7,FALSE)*10^-6)</f>
        <v/>
      </c>
      <c r="I133" s="354">
        <f>IF(C10="no","",VLOOKUP(sezione!$AA$4,sezione!$A$5:$O$247,8,FALSE)*10^-6)</f>
        <v>34.256139101559235</v>
      </c>
      <c r="J133" s="354">
        <f>IF(C11="no","",VLOOKUP(sezione!$AA$4,sezione!$A$5:$O$247,9,FALSE)*10^-6)</f>
        <v>43.780058893170143</v>
      </c>
      <c r="K133" s="33">
        <f t="shared" ref="K133:K143" si="4">IF(F133="",0,ABS(F133))+IF(G133="",0,ABS(G133))+IF(H133="",0,ABS(H133))+IF(I133="",0,ABS(I133))+IF(J133="",0,ABS(J133))+ABS(E133)</f>
        <v>93.747409917364664</v>
      </c>
      <c r="L133" s="569" t="str">
        <f>IF(DATI!$C$69="muro a contrafforti",IF(DATI!$G$211="dx",IF(D133&lt;=DATI!$E$62*1000,"","Aumenta spessore del paramento"),IF(sezione!AB4&lt;=((sezione!AQ27)),"","Aumenta lunghezza delle costole")),"")</f>
        <v/>
      </c>
      <c r="M133" s="421"/>
    </row>
    <row r="134" spans="2:13" ht="15.75" x14ac:dyDescent="0.25">
      <c r="B134" s="521">
        <f t="shared" ref="B134:B143" si="5">B133+1</f>
        <v>1</v>
      </c>
      <c r="C134" s="524">
        <f t="shared" si="3"/>
        <v>4.3783988626078694</v>
      </c>
      <c r="D134" s="607">
        <f>VLOOKUP(sezione!$AA$5,sezione!A253:O495,3,FALSE)</f>
        <v>18.112522577069882</v>
      </c>
      <c r="E134" s="354">
        <f>ABS(VLOOKUP(sezione!$AA$5,sezione!A253:O495,4,FALSE)*10^-6)</f>
        <v>7.298968757016282</v>
      </c>
      <c r="F134" s="354" t="str">
        <f>IF(C7="no","",VLOOKUP(sezione!$AA$5,sezione!A253:O495,5,FALSE)*10^-6)</f>
        <v/>
      </c>
      <c r="G134" s="354">
        <f>IF(C8="no","",VLOOKUP(sezione!$AA$5,sezione!A253:O495,6,FALSE)*10^-6)</f>
        <v>8.5821776966925363</v>
      </c>
      <c r="H134" s="354" t="str">
        <f>IF(C9="no","",VLOOKUP(sezione!$AA$5,sezione!A253:O495,7,FALSE)*10^-6)</f>
        <v/>
      </c>
      <c r="I134" s="354">
        <f>IF(C10="no","",IF(C10="no","",VLOOKUP(sezione!$AA$5,sezione!A253:O495,8,FALSE)*10^-6))</f>
        <v>34.18729071449475</v>
      </c>
      <c r="J134" s="354">
        <f>IF(C11="no","",VLOOKUP(sezione!$AA$5,sezione!A253:O495,9,FALSE)*10^-6)</f>
        <v>58.472283774857111</v>
      </c>
      <c r="K134" s="33">
        <f t="shared" si="4"/>
        <v>108.54072094306069</v>
      </c>
      <c r="L134" s="569" t="str">
        <f>IF(DATI!$C$69="muro a contrafforti",IF(DATI!$G$211="dx",IF(D134&lt;=DATI!$E$62*1000,"","Aumenta spessore del paramento"),IF(sezione!AB5&lt;=((sezione!AQ28)),"","Aumenta lunghezza delle costole")),"")</f>
        <v/>
      </c>
      <c r="M134" s="421"/>
    </row>
    <row r="135" spans="2:13" ht="15.75" x14ac:dyDescent="0.25">
      <c r="B135" s="521">
        <f t="shared" si="5"/>
        <v>2</v>
      </c>
      <c r="C135" s="524">
        <f t="shared" si="3"/>
        <v>3.9535180883334116</v>
      </c>
      <c r="D135" s="607">
        <f>VLOOKUP(sezione!$AA$6,sezione!A501:O743,3,FALSE)</f>
        <v>18.127138575680153</v>
      </c>
      <c r="E135" s="354">
        <f>ABS(VLOOKUP(sezione!$AA$6,sezione!A501:O743,4,FALSE)*10^-6)</f>
        <v>7.3107533950147516</v>
      </c>
      <c r="F135" s="354" t="str">
        <f>IF(C7="no","",VLOOKUP(sezione!$AA$6,sezione!A501:O743,5,FALSE)*10^-6)</f>
        <v/>
      </c>
      <c r="G135" s="354">
        <f>IF(C8="no","",VLOOKUP(sezione!$AA$6,sezione!A501:O743,6,FALSE)*10^-6)</f>
        <v>8.5791830762234813</v>
      </c>
      <c r="H135" s="354" t="str">
        <f>IF(C9="no","",VLOOKUP(sezione!$AA$6,sezione!A501:O743,7,FALSE)*10^-6)</f>
        <v/>
      </c>
      <c r="I135" s="354">
        <f>IF(C10="no","",VLOOKUP(sezione!$AA$6,sezione!A501:O743,8,FALSE)*10^-6)</f>
        <v>34.183769040823137</v>
      </c>
      <c r="J135" s="354">
        <f>IF(C11="no","",VLOOKUP(sezione!$AA$6,sezione!A501:O743,9,FALSE)*10^-6)</f>
        <v>73.22983536993695</v>
      </c>
      <c r="K135" s="33">
        <f t="shared" si="4"/>
        <v>123.30354088199832</v>
      </c>
      <c r="L135" s="569" t="str">
        <f>IF(DATI!$C$69="muro a contrafforti",IF(DATI!$G$211="dx",IF(D135&lt;=DATI!$E$62*1000,"","Aumenta spessore del paramento"),IF(sezione!AB6&lt;=((sezione!AQ29)),"","Aumenta lunghezza delle costole")),"")</f>
        <v/>
      </c>
      <c r="M135" s="421"/>
    </row>
    <row r="136" spans="2:13" ht="15.75" x14ac:dyDescent="0.25">
      <c r="B136" s="521">
        <f t="shared" si="5"/>
        <v>3</v>
      </c>
      <c r="C136" s="524">
        <f t="shared" si="3"/>
        <v>3.5177429352314036</v>
      </c>
      <c r="D136" s="607">
        <f>VLOOKUP(sezione!$AA$7,sezione!A749:O991,3,FALSE)</f>
        <v>18.685809418331889</v>
      </c>
      <c r="E136" s="354">
        <f>ABS(VLOOKUP(sezione!$AA$7,sezione!A749:O991,4,FALSE)*10^-6)</f>
        <v>7.7683262243970779</v>
      </c>
      <c r="F136" s="354" t="str">
        <f>IF(C7="no","",VLOOKUP(sezione!$AA$7,sezione!A749:O991,5,FALSE)*10^-6)</f>
        <v/>
      </c>
      <c r="G136" s="354">
        <f>IF(C8="no","",VLOOKUP(sezione!$AA$7,sezione!A749:O991,6,FALSE)*10^-6)</f>
        <v>6.3485392314314923</v>
      </c>
      <c r="H136" s="354" t="str">
        <f>IF(C9="no","",VLOOKUP(sezione!$AA$7,sezione!A749:O991,7,FALSE)*10^-6)</f>
        <v/>
      </c>
      <c r="I136" s="354">
        <f>IF(C10="no","",VLOOKUP(sezione!$AA$7,sezione!A749:O991,8,FALSE)*10^-6)</f>
        <v>34.049159258068904</v>
      </c>
      <c r="J136" s="354">
        <f>IF(C11="no","",VLOOKUP(sezione!$AA$7,sezione!A749:O991,9,FALSE)*10^-6)</f>
        <v>115.24543727556868</v>
      </c>
      <c r="K136" s="33">
        <f t="shared" si="4"/>
        <v>163.41146198946615</v>
      </c>
      <c r="L136" s="569" t="str">
        <f>IF(DATI!$C$69="muro a contrafforti",IF(DATI!$G$211="dx",IF(D136&lt;=DATI!$E$62*1000,"","Aumenta spessore del paramento"),IF(sezione!AB7&lt;=((sezione!AQ30)),"","Aumenta lunghezza delle costole")),"")</f>
        <v/>
      </c>
      <c r="M136" s="421"/>
    </row>
    <row r="137" spans="2:13" ht="15.75" x14ac:dyDescent="0.25">
      <c r="B137" s="521">
        <f t="shared" si="5"/>
        <v>4</v>
      </c>
      <c r="C137" s="524">
        <f t="shared" si="3"/>
        <v>3.0928621609569462</v>
      </c>
      <c r="D137" s="607">
        <f>VLOOKUP(sezione!$AA$8,sezione!A997:O1239,3,FALSE)</f>
        <v>18.748658510927676</v>
      </c>
      <c r="E137" s="354">
        <f>ABS(VLOOKUP(sezione!$AA$8,sezione!A997:O1239,4,FALSE)*10^-6)</f>
        <v>7.8206711156072846</v>
      </c>
      <c r="F137" s="354" t="str">
        <f>IF(C7="no","",VLOOKUP(sezione!$AA$8,sezione!A997:O1239,5,FALSE)*10^-6)</f>
        <v/>
      </c>
      <c r="G137" s="354">
        <f>IF(C8="no","",VLOOKUP(sezione!$AA$8,sezione!A997:O1239,6,FALSE)*10^-6)</f>
        <v>6.3388815345388094</v>
      </c>
      <c r="H137" s="354" t="str">
        <f>IF(C9="no","",VLOOKUP(sezione!$AA$8,sezione!A997:O1239,7,FALSE)*10^-6)</f>
        <v/>
      </c>
      <c r="I137" s="354">
        <f>IF(C10="no","",VLOOKUP(sezione!$AA$8,sezione!A997:O1239,8,FALSE)*10^-6)</f>
        <v>34.034015989341178</v>
      </c>
      <c r="J137" s="354">
        <f>IF(C11="no","",VLOOKUP(sezione!$AA$8,sezione!A997:O1239,9,FALSE)*10^-6)</f>
        <v>134.50542747968126</v>
      </c>
      <c r="K137" s="33">
        <f t="shared" si="4"/>
        <v>182.69899611916856</v>
      </c>
      <c r="L137" s="569" t="str">
        <f>IF(DATI!$C$69="muro a contrafforti",IF(DATI!$G$211="dx",IF(D137&lt;=DATI!$E$62*1000,"","Aumenta spessore del paramento"),IF(sezione!AB8&lt;=((sezione!AQ31)),"","Aumenta lunghezza delle costole")),"")</f>
        <v/>
      </c>
      <c r="M137" s="421"/>
    </row>
    <row r="138" spans="2:13" ht="15.75" x14ac:dyDescent="0.25">
      <c r="B138" s="521">
        <f t="shared" si="5"/>
        <v>5</v>
      </c>
      <c r="C138" s="524">
        <f t="shared" si="3"/>
        <v>2.6570870078549382</v>
      </c>
      <c r="D138" s="607">
        <f>VLOOKUP(sezione!$AA$9,sezione!A1245:O1487,3,FALSE)</f>
        <v>25.257681488131414</v>
      </c>
      <c r="E138" s="354">
        <f>ABS(VLOOKUP(sezione!$AA$9,sezione!A1245:O1487,4,FALSE)*10^-6)</f>
        <v>14.193535540927632</v>
      </c>
      <c r="F138" s="354" t="str">
        <f>IF(C7="no","",VLOOKUP(sezione!$AA$9,sezione!A1245:O1487,5,FALSE)*10^-6)</f>
        <v/>
      </c>
      <c r="G138" s="354">
        <f>IF(C8="no","",VLOOKUP(sezione!$AA$9,sezione!A1245:O1487,6,FALSE)*10^-6)</f>
        <v>5.3386734426634082</v>
      </c>
      <c r="H138" s="354" t="str">
        <f>IF(C9="no","",VLOOKUP(sezione!$AA$9,sezione!A1245:O1487,7,FALSE)*10^-6)</f>
        <v/>
      </c>
      <c r="I138" s="354">
        <f>IF(C10="no","",VLOOKUP(sezione!$AA$9,sezione!A1245:O1487,8,FALSE)*10^-6)</f>
        <v>42.404166140448069</v>
      </c>
      <c r="J138" s="354">
        <f>IF(C11="no","",VLOOKUP(sezione!$AA$9,sezione!A1245:O1487,9,FALSE)*10^-6)</f>
        <v>237.86113051631614</v>
      </c>
      <c r="K138" s="33">
        <f t="shared" si="4"/>
        <v>299.79750564035527</v>
      </c>
      <c r="L138" s="569" t="str">
        <f>IF(DATI!$C$69="muro a contrafforti",IF(DATI!$G$211="dx",IF(D138&lt;=DATI!$E$62*1000,"","Aumenta spessore del paramento"),IF(sezione!AB9&lt;=((sezione!AQ32)),"","Aumenta lunghezza delle costole")),"")</f>
        <v/>
      </c>
      <c r="M138" s="421"/>
    </row>
    <row r="139" spans="2:13" ht="15.75" x14ac:dyDescent="0.25">
      <c r="B139" s="521">
        <f t="shared" si="5"/>
        <v>6</v>
      </c>
      <c r="C139" s="524">
        <f t="shared" si="3"/>
        <v>2.2322062335804809</v>
      </c>
      <c r="D139" s="607">
        <f>VLOOKUP(sezione!$AA$10,sezione!A1493:O1735,3,FALSE)</f>
        <v>25.186066431724786</v>
      </c>
      <c r="E139" s="354">
        <f>ABS(VLOOKUP(sezione!$AA$10,sezione!A1493:O1735,4,FALSE)*10^-6)</f>
        <v>14.113161591349407</v>
      </c>
      <c r="F139" s="354" t="str">
        <f>IF(C7="no","",VLOOKUP(sezione!$AA$10,sezione!A1493:O1735,5,FALSE)*10^-6)</f>
        <v/>
      </c>
      <c r="G139" s="354">
        <f>IF(C8="no","",VLOOKUP(sezione!$AA$10,sezione!A1493:O1735,6,FALSE)*10^-6)</f>
        <v>5.3496781601408072</v>
      </c>
      <c r="H139" s="354" t="str">
        <f>IF(C9="no","",VLOOKUP(sezione!$AA$10,sezione!A1493:O1735,7,FALSE)*10^-6)</f>
        <v/>
      </c>
      <c r="I139" s="354">
        <f>IF(C10="no","",VLOOKUP(sezione!$AA$10,sezione!A1493:O1735,8,FALSE)*10^-6)</f>
        <v>42.426703801841782</v>
      </c>
      <c r="J139" s="354">
        <f>IF(C11="no","",VLOOKUP(sezione!$AA$10,sezione!A1493:O1735,9,FALSE)*10^-6)</f>
        <v>268.02098493622628</v>
      </c>
      <c r="K139" s="33">
        <f t="shared" si="4"/>
        <v>329.91052848955826</v>
      </c>
      <c r="L139" s="569" t="str">
        <f>IF(DATI!$C$69="muro a contrafforti",IF(DATI!$G$211="dx",IF(D139&lt;=DATI!$E$62*1000,"","Aumenta spessore del paramento"),IF(sezione!AB10&lt;=((sezione!AQ33)),"","Aumenta lunghezza delle costole")),"")</f>
        <v/>
      </c>
      <c r="M139" s="421"/>
    </row>
    <row r="140" spans="2:13" ht="15.75" x14ac:dyDescent="0.25">
      <c r="B140" s="521">
        <f t="shared" si="5"/>
        <v>7</v>
      </c>
      <c r="C140" s="524">
        <f t="shared" si="3"/>
        <v>1.7964310804784729</v>
      </c>
      <c r="D140" s="607">
        <f>VLOOKUP(sezione!$AA$11,sezione!A1741:O1983,3,FALSE)</f>
        <v>37.798116493183869</v>
      </c>
      <c r="E140" s="354">
        <f>ABS(VLOOKUP(sezione!$AA$11,sezione!A1741:O1983,4,FALSE)*10^-6)</f>
        <v>31.78659023294933</v>
      </c>
      <c r="F140" s="354" t="str">
        <f>IF(C7="no","",VLOOKUP(sezione!$AA$11,sezione!A1741:O1983,5,FALSE)*10^-6)</f>
        <v/>
      </c>
      <c r="G140" s="354">
        <f>IF(C8="no","",VLOOKUP(sezione!$AA$11,sezione!A1741:O1983,6,FALSE)*10^-6)</f>
        <v>3.4116492776512475</v>
      </c>
      <c r="H140" s="354" t="str">
        <f>IF(C9="no","",VLOOKUP(sezione!$AA$11,sezione!A1741:O1983,7,FALSE)*10^-6)</f>
        <v/>
      </c>
      <c r="I140" s="354">
        <f>IF(C10="no","",VLOOKUP(sezione!$AA$11,sezione!A1741:O1983,8,FALSE)*10^-6)</f>
        <v>48.672926135793062</v>
      </c>
      <c r="J140" s="354">
        <f>IF(C11="no","",VLOOKUP(sezione!$AA$11,sezione!A1741:O1983,9,FALSE)*10^-6)</f>
        <v>531.28019065131889</v>
      </c>
      <c r="K140" s="33">
        <f t="shared" si="4"/>
        <v>615.1513562977126</v>
      </c>
      <c r="L140" s="569" t="str">
        <f>IF(DATI!$C$69="muro a contrafforti",IF(DATI!$G$211="dx",IF(D140&lt;=DATI!$E$62*1000,"","Aumenta spessore del paramento"),IF(sezione!AB11&lt;=((sezione!AQ34)),"","Aumenta lunghezza delle costole")),"")</f>
        <v/>
      </c>
      <c r="M140" s="421"/>
    </row>
    <row r="141" spans="2:13" ht="15.75" x14ac:dyDescent="0.25">
      <c r="B141" s="521">
        <f t="shared" si="5"/>
        <v>8</v>
      </c>
      <c r="C141" s="524">
        <f t="shared" si="3"/>
        <v>1.3715503062040155</v>
      </c>
      <c r="D141" s="607">
        <f>VLOOKUP(sezione!$AA$12,sezione!A1989:O2231,3,FALSE)</f>
        <v>37.760511563935218</v>
      </c>
      <c r="E141" s="354">
        <f>ABS(VLOOKUP(sezione!$AA$12,sezione!A1989:O2231,4,FALSE)*10^-6)</f>
        <v>31.723373439306606</v>
      </c>
      <c r="F141" s="354" t="str">
        <f>IF(C7="no","",VLOOKUP(sezione!$AA$12,sezione!A1989:O2231,5,FALSE)*10^-6)</f>
        <v/>
      </c>
      <c r="G141" s="354">
        <f>IF(C8="no","",VLOOKUP(sezione!$AA$12,sezione!A1989:O2231,6,FALSE)*10^-6)</f>
        <v>3.4174278337664483</v>
      </c>
      <c r="H141" s="354" t="str">
        <f>IF(C9="no","",VLOOKUP(sezione!$AA$12,sezione!A1989:O2231,7,FALSE)*10^-6)</f>
        <v/>
      </c>
      <c r="I141" s="354">
        <f>IF(C10="no","",VLOOKUP(sezione!$AA$12,sezione!A1989:O2231,8,FALSE)*10^-6)</f>
        <v>48.687904153243664</v>
      </c>
      <c r="J141" s="354">
        <f>IF(C11="no","",VLOOKUP(sezione!$AA$12,sezione!A1989:O2231,9,FALSE)*10^-6)</f>
        <v>585.98997287826433</v>
      </c>
      <c r="K141" s="33">
        <f t="shared" si="4"/>
        <v>669.818678304581</v>
      </c>
      <c r="L141" s="569" t="str">
        <f>IF(DATI!$C$69="muro a contrafforti",IF(DATI!$G$211="dx",IF(D141&lt;=DATI!$E$62*1000,"","Aumenta spessore del paramento"),IF(sezione!AB12&lt;=((sezione!AQ35)),"","Aumenta lunghezza delle costole")),"")</f>
        <v/>
      </c>
      <c r="M141" s="421"/>
    </row>
    <row r="142" spans="2:13" ht="15.75" x14ac:dyDescent="0.25">
      <c r="B142" s="521">
        <f t="shared" si="5"/>
        <v>9</v>
      </c>
      <c r="C142" s="524">
        <f t="shared" si="3"/>
        <v>0.93577515310200798</v>
      </c>
      <c r="D142" s="607">
        <f>VLOOKUP(sezione!$AA$13,sezione!A2237:O2479,3,FALSE)</f>
        <v>65.802102428435177</v>
      </c>
      <c r="E142" s="354">
        <f>ABS(VLOOKUP(sezione!$AA$13,sezione!A2237:O2479,4,FALSE)*10^-6)</f>
        <v>96.33479217169382</v>
      </c>
      <c r="F142" s="354" t="str">
        <f>IF(C7="no","",VLOOKUP(sezione!$AA$13,sezione!A2237:O2479,5,FALSE)*10^-6)</f>
        <v/>
      </c>
      <c r="G142" s="354">
        <f>IF(C8="no","",VLOOKUP(sezione!$AA$13,sezione!A2237:O2479,6,FALSE)*10^-6)</f>
        <v>-0.14485255614416115</v>
      </c>
      <c r="H142" s="354" t="str">
        <f>IF(C9="no","",VLOOKUP(sezione!$AA$13,sezione!A2237:O2479,7,FALSE)*10^-6)</f>
        <v/>
      </c>
      <c r="I142" s="354">
        <f>IF(C10="no","",VLOOKUP(sezione!$AA$13,sezione!A2237:O2479,8,FALSE)*10^-6)</f>
        <v>84.070257297635564</v>
      </c>
      <c r="J142" s="354">
        <f>IF(C11="no","",VLOOKUP(sezione!$AA$13,sezione!A2237:O2479,9,FALSE)*10^-6)</f>
        <v>1149.090935873304</v>
      </c>
      <c r="K142" s="33">
        <f t="shared" si="4"/>
        <v>1329.6408378987776</v>
      </c>
      <c r="L142" s="569" t="str">
        <f>IF(DATI!$C$69="muro a contrafforti",IF(DATI!$G$211="dx",IF(D142&lt;=DATI!$E$62*1000,"","Aumenta spessore del paramento"),IF(sezione!AB13&lt;=((sezione!AQ36)),"","Aumenta lunghezza delle costole")),"")</f>
        <v/>
      </c>
      <c r="M142" s="421"/>
    </row>
    <row r="143" spans="2:13" ht="15.75" x14ac:dyDescent="0.25">
      <c r="B143" s="521">
        <f t="shared" si="5"/>
        <v>10</v>
      </c>
      <c r="C143" s="524">
        <f t="shared" si="3"/>
        <v>0.51089437882755018</v>
      </c>
      <c r="D143" s="607">
        <f>VLOOKUP(sezione!$AA$14,sezione!A2485:O2727,3,FALSE)</f>
        <v>66.212492507926555</v>
      </c>
      <c r="E143" s="354">
        <f>ABS(VLOOKUP(sezione!$AA$14,sezione!A2485:O2727,4,FALSE)*10^-6)</f>
        <v>97.540167856187225</v>
      </c>
      <c r="F143" s="354" t="str">
        <f>IF(C7="no","",VLOOKUP(sezione!$AA$14,sezione!A2485:O2727,5,FALSE)*10^-6)</f>
        <v/>
      </c>
      <c r="G143" s="354">
        <f>IF(C8="no","",VLOOKUP(sezione!$AA$14,sezione!A2485:O2727,6,FALSE)*10^-6)</f>
        <v>-0.16503914672589048</v>
      </c>
      <c r="H143" s="354" t="str">
        <f>IF(C9="no","",VLOOKUP(sezione!$AA$14,sezione!A2485:O2727,7,FALSE)*10^-6)</f>
        <v/>
      </c>
      <c r="I143" s="354">
        <f>IF(C10="no","",VLOOKUP(sezione!$AA$14,sezione!A2485:O2727,8,FALSE)*10^-6)</f>
        <v>83.70399010415575</v>
      </c>
      <c r="J143" s="354">
        <f>IF(C11="no","",VLOOKUP(sezione!$AA$14,sezione!A2485:O2727,9,FALSE)*10^-6)</f>
        <v>1250.2301324280554</v>
      </c>
      <c r="K143" s="33">
        <f t="shared" si="4"/>
        <v>1431.6393295351243</v>
      </c>
      <c r="L143" s="569" t="str">
        <f>IF(DATI!$C$69="muro a contrafforti",IF(DATI!$G$211="dx",IF(D143&lt;=DATI!$E$62*1000,"","Aumenta spessore del paramento"),IF(sezione!AB14&lt;=((sezione!AQ37)),"","Aumenta lunghezza delle costole")),"")</f>
        <v/>
      </c>
      <c r="M143" s="421"/>
    </row>
    <row r="144" spans="2:13" x14ac:dyDescent="0.25">
      <c r="B144" s="421"/>
      <c r="C144" s="421"/>
      <c r="D144" s="421"/>
      <c r="E144" s="421"/>
      <c r="F144" s="421"/>
      <c r="G144" s="421"/>
      <c r="H144" s="421"/>
      <c r="I144" s="421"/>
      <c r="J144" s="421"/>
      <c r="K144" s="421"/>
      <c r="L144" s="421"/>
      <c r="M144" s="421"/>
    </row>
    <row r="145" spans="2:13" x14ac:dyDescent="0.25">
      <c r="B145" s="424" t="s">
        <v>1003</v>
      </c>
      <c r="C145" s="421"/>
      <c r="D145" s="421"/>
      <c r="E145" s="421"/>
      <c r="F145" s="421"/>
      <c r="G145" s="421"/>
      <c r="H145" s="421"/>
      <c r="I145" s="421"/>
      <c r="J145" s="421"/>
      <c r="K145" s="421"/>
      <c r="L145" s="421"/>
      <c r="M145" s="421"/>
    </row>
    <row r="146" spans="2:13" x14ac:dyDescent="0.25">
      <c r="B146" s="591" t="s">
        <v>991</v>
      </c>
      <c r="C146" s="421"/>
      <c r="D146" s="421"/>
      <c r="E146" s="421"/>
      <c r="F146" s="421"/>
      <c r="G146" s="421"/>
      <c r="H146" s="421"/>
      <c r="I146" s="421"/>
      <c r="J146" s="421"/>
      <c r="K146" s="421"/>
      <c r="L146" s="421"/>
      <c r="M146" s="421"/>
    </row>
    <row r="147" spans="2:13" x14ac:dyDescent="0.25">
      <c r="B147" s="591" t="s">
        <v>989</v>
      </c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</row>
    <row r="148" spans="2:13" x14ac:dyDescent="0.25">
      <c r="B148" s="591" t="s">
        <v>988</v>
      </c>
      <c r="C148" s="421"/>
      <c r="D148" s="421"/>
      <c r="E148" s="421"/>
      <c r="F148" s="421"/>
      <c r="G148" s="421"/>
      <c r="H148" s="421"/>
      <c r="I148" s="421"/>
      <c r="J148" s="421"/>
      <c r="K148" s="421"/>
      <c r="L148" s="421"/>
      <c r="M148" s="421"/>
    </row>
    <row r="149" spans="2:13" x14ac:dyDescent="0.25">
      <c r="B149" s="591" t="s">
        <v>1025</v>
      </c>
      <c r="C149" s="421"/>
      <c r="D149" s="421"/>
      <c r="E149" s="421"/>
      <c r="F149" s="421"/>
      <c r="G149" s="421"/>
      <c r="H149" s="421"/>
      <c r="I149" s="421"/>
      <c r="J149" s="421"/>
      <c r="K149" s="421"/>
      <c r="L149" s="421"/>
      <c r="M149" s="421"/>
    </row>
    <row r="150" spans="2:13" x14ac:dyDescent="0.25">
      <c r="B150" s="421"/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139"/>
    </row>
    <row r="151" spans="2:13" x14ac:dyDescent="0.25">
      <c r="B151" s="1029" t="s">
        <v>21</v>
      </c>
      <c r="C151" s="1031" t="s">
        <v>994</v>
      </c>
      <c r="D151" s="1025" t="s">
        <v>137</v>
      </c>
      <c r="E151" s="1025" t="s">
        <v>23</v>
      </c>
      <c r="F151" s="1025" t="s">
        <v>929</v>
      </c>
      <c r="G151" s="1033" t="s">
        <v>924</v>
      </c>
      <c r="H151" s="1033" t="s">
        <v>925</v>
      </c>
      <c r="I151" s="1033" t="s">
        <v>926</v>
      </c>
      <c r="J151" s="1033" t="s">
        <v>927</v>
      </c>
      <c r="K151" s="1033" t="s">
        <v>928</v>
      </c>
      <c r="L151" s="421"/>
      <c r="M151" s="561"/>
    </row>
    <row r="152" spans="2:13" x14ac:dyDescent="0.25">
      <c r="B152" s="1030"/>
      <c r="C152" s="1032"/>
      <c r="D152" s="1025"/>
      <c r="E152" s="1025"/>
      <c r="F152" s="1025"/>
      <c r="G152" s="1033"/>
      <c r="H152" s="1033"/>
      <c r="I152" s="1033"/>
      <c r="J152" s="1033"/>
      <c r="K152" s="1033"/>
      <c r="L152" s="421"/>
      <c r="M152" s="562"/>
    </row>
    <row r="153" spans="2:13" x14ac:dyDescent="0.25">
      <c r="B153" s="521">
        <v>0</v>
      </c>
      <c r="C153" s="524">
        <f t="shared" ref="C153:D163" si="6">C133</f>
        <v>4.5320615922608809</v>
      </c>
      <c r="D153" s="606">
        <f t="shared" si="6"/>
        <v>17.826781187183276</v>
      </c>
      <c r="E153" s="548">
        <f>'Sollecitazioni nel paramento'!D151*1000</f>
        <v>239.52711449688101</v>
      </c>
      <c r="F153" s="548">
        <f t="shared" ref="F153:F163" si="7">E153-$E$40</f>
        <v>199.52711449688101</v>
      </c>
      <c r="G153" s="567" t="str">
        <f>IF(C7="no","",VLOOKUP(sezione!$AA$4,sezione!$A$5:$O$247,11,FALSE))</f>
        <v/>
      </c>
      <c r="H153" s="567">
        <f>IF(C8="no","",VLOOKUP(sezione!$AA$4,sezione!$A$5:$O$247,12,FALSE))</f>
        <v>8.280029035807171E-3</v>
      </c>
      <c r="I153" s="567" t="str">
        <f>IF(C9="no","",VLOOKUP(sezione!$AA$4,sezione!$A$5:$O$247,13,FALSE))</f>
        <v/>
      </c>
      <c r="J153" s="567">
        <f>IF(C10="no","",VLOOKUP(sezione!$AA$4,sezione!$A$5:$O$247,14,FALSE))</f>
        <v>2.7913410762152452E-2</v>
      </c>
      <c r="K153" s="567">
        <f>IF(C11="no","",VLOOKUP(sezione!$AA$4,sezione!$A$5:$O$247,15,FALSE))</f>
        <v>3.5673920036734662E-2</v>
      </c>
      <c r="L153" s="31"/>
      <c r="M153" s="134"/>
    </row>
    <row r="154" spans="2:13" x14ac:dyDescent="0.25">
      <c r="B154" s="521">
        <f t="shared" ref="B154:B163" si="8">B153+1</f>
        <v>1</v>
      </c>
      <c r="C154" s="524">
        <f t="shared" si="6"/>
        <v>4.3783988626078694</v>
      </c>
      <c r="D154" s="607">
        <f t="shared" si="6"/>
        <v>18.112522577069882</v>
      </c>
      <c r="E154" s="548">
        <f>'Sollecitazioni nel paramento'!D152*1000</f>
        <v>300.78998167313836</v>
      </c>
      <c r="F154" s="548">
        <f t="shared" si="7"/>
        <v>260.78998167313836</v>
      </c>
      <c r="G154" s="567" t="str">
        <f>IF(C7="no","",VLOOKUP(sezione!$AA$5,sezione!A253:O495,11,FALSE))</f>
        <v/>
      </c>
      <c r="H154" s="567">
        <f>IF(C8="no","",VLOOKUP(sezione!$AA$5,sezione!A253:O495,12,FALSE))</f>
        <v>8.0941884464981219E-3</v>
      </c>
      <c r="I154" s="567" t="str">
        <f>IF(C9="no","",VLOOKUP(sezione!$AA$5,sezione!A253:O495,13,FALSE))</f>
        <v/>
      </c>
      <c r="J154" s="567">
        <f>IF(C10="no","",VLOOKUP(sezione!$AA$5,sezione!A253:O495,14,FALSE))</f>
        <v>2.7417835857328324E-2</v>
      </c>
      <c r="K154" s="567">
        <f>IF(C11="no","",VLOOKUP(sezione!$AA$5,sezione!A253:O495,15,FALSE))</f>
        <v>4.6894136541285963E-2</v>
      </c>
      <c r="L154" s="31"/>
      <c r="M154" s="134"/>
    </row>
    <row r="155" spans="2:13" x14ac:dyDescent="0.25">
      <c r="B155" s="521">
        <f t="shared" si="8"/>
        <v>2</v>
      </c>
      <c r="C155" s="524">
        <f t="shared" si="6"/>
        <v>3.9535180883334116</v>
      </c>
      <c r="D155" s="607">
        <f t="shared" si="6"/>
        <v>18.127138575680153</v>
      </c>
      <c r="E155" s="548">
        <f>'Sollecitazioni nel paramento'!D153*1000</f>
        <v>362.05284884939573</v>
      </c>
      <c r="F155" s="548">
        <f t="shared" si="7"/>
        <v>322.05284884939573</v>
      </c>
      <c r="G155" s="567" t="str">
        <f>IF(C7="no","",VLOOKUP(sezione!$AA$6,sezione!A501:O743,11,FALSE))</f>
        <v/>
      </c>
      <c r="H155" s="567">
        <f>IF(C8="no","",VLOOKUP(sezione!$AA$6,sezione!A501:O743,12,FALSE))</f>
        <v>8.084839996850994E-3</v>
      </c>
      <c r="I155" s="567" t="str">
        <f>IF(C9="no","",VLOOKUP(sezione!$AA$6,sezione!A501:O743,13,FALSE))</f>
        <v/>
      </c>
      <c r="J155" s="567">
        <f>IF(C10="no","",VLOOKUP(sezione!$AA$6,sezione!A501:O743,14,FALSE))</f>
        <v>2.7392906658269316E-2</v>
      </c>
      <c r="K155" s="567">
        <f>IF(C11="no","",VLOOKUP(sezione!$AA$6,sezione!A501:O743,15,FALSE))</f>
        <v>5.8682178740838128E-2</v>
      </c>
      <c r="L155" s="421"/>
      <c r="M155" s="421"/>
    </row>
    <row r="156" spans="2:13" x14ac:dyDescent="0.25">
      <c r="B156" s="521">
        <f t="shared" si="8"/>
        <v>3</v>
      </c>
      <c r="C156" s="524">
        <f t="shared" si="6"/>
        <v>3.5177429352314036</v>
      </c>
      <c r="D156" s="607">
        <f t="shared" si="6"/>
        <v>18.685809418331889</v>
      </c>
      <c r="E156" s="548">
        <f>'Sollecitazioni nel paramento'!D154*1000</f>
        <v>424.88655877376215</v>
      </c>
      <c r="F156" s="548">
        <f t="shared" si="7"/>
        <v>384.88655877376215</v>
      </c>
      <c r="G156" s="567" t="str">
        <f>IF(C7="no","",VLOOKUP(sezione!$AA$7,sezione!A749:O991,11,FALSE))</f>
        <v/>
      </c>
      <c r="H156" s="567">
        <f>IF(C8="no","",IF(C8="no","",VLOOKUP(sezione!$AA$7,sezione!A749:O991,12,FALSE)))</f>
        <v>7.7384748928230824E-3</v>
      </c>
      <c r="I156" s="567" t="str">
        <f>IF(C9="no","",VLOOKUP(sezione!$AA$7,sezione!A749:O991,13,FALSE))</f>
        <v/>
      </c>
      <c r="J156" s="567">
        <f>IF(C10="no","",VLOOKUP(sezione!$AA$7,sezione!A749:O991,14,FALSE))</f>
        <v>2.6469266380861549E-2</v>
      </c>
      <c r="K156" s="567">
        <f>IF(C11="no","",VLOOKUP(sezione!$AA$7,sezione!A749:O991,15,FALSE))</f>
        <v>6.8592298789400027E-2</v>
      </c>
      <c r="L156" s="421"/>
      <c r="M156" s="421"/>
    </row>
    <row r="157" spans="2:13" x14ac:dyDescent="0.25">
      <c r="B157" s="521">
        <f t="shared" si="8"/>
        <v>4</v>
      </c>
      <c r="C157" s="524">
        <f t="shared" si="6"/>
        <v>3.0928621609569462</v>
      </c>
      <c r="D157" s="607">
        <f t="shared" si="6"/>
        <v>18.748658510927676</v>
      </c>
      <c r="E157" s="548">
        <f>'Sollecitazioni nel paramento'!D155*1000</f>
        <v>486.14942595001941</v>
      </c>
      <c r="F157" s="548">
        <f t="shared" si="7"/>
        <v>446.14942595001941</v>
      </c>
      <c r="G157" s="567" t="str">
        <f>IF(C7="no","",VLOOKUP(sezione!$AA$8,sezione!A997:O1239,11,FALSE))</f>
        <v/>
      </c>
      <c r="H157" s="567">
        <f>IF(C8="no","",VLOOKUP(sezione!$AA$8,sezione!A997:O1239,12,FALSE))</f>
        <v>7.7008013734743358E-3</v>
      </c>
      <c r="I157" s="567" t="str">
        <f>IF(C9="no","",VLOOKUP(sezione!$AA$8,sezione!A997:O1239,13,FALSE))</f>
        <v/>
      </c>
      <c r="J157" s="567">
        <f>IF(C10="no","",VLOOKUP(sezione!$AA$8,sezione!A997:O1239,14,FALSE))</f>
        <v>2.6368803662598229E-2</v>
      </c>
      <c r="K157" s="567">
        <f>IF(C11="no","",VLOOKUP(sezione!$AA$8,sezione!A997:O1239,15,FALSE))</f>
        <v>7.9787185049262729E-2</v>
      </c>
      <c r="L157" s="421"/>
      <c r="M157" s="421"/>
    </row>
    <row r="158" spans="2:13" x14ac:dyDescent="0.25">
      <c r="B158" s="521">
        <f t="shared" si="8"/>
        <v>5</v>
      </c>
      <c r="C158" s="524">
        <f t="shared" si="6"/>
        <v>2.6570870078549382</v>
      </c>
      <c r="D158" s="607">
        <f t="shared" si="6"/>
        <v>25.257681488131414</v>
      </c>
      <c r="E158" s="548">
        <f>'Sollecitazioni nel paramento'!D156*1000</f>
        <v>548.98313587438599</v>
      </c>
      <c r="F158" s="548">
        <f t="shared" si="7"/>
        <v>508.98313587438599</v>
      </c>
      <c r="G158" s="567" t="str">
        <f>IF(C7="no","",VLOOKUP(sezione!$AA$9,sezione!A1245:O1487,11,FALSE))</f>
        <v/>
      </c>
      <c r="H158" s="567">
        <f>IF(C8="no","",VLOOKUP(sezione!$AA$9,sezione!A1245:O1487,12,FALSE))</f>
        <v>4.8143023281324937E-3</v>
      </c>
      <c r="I158" s="567" t="str">
        <f>IF(C9="no","",VLOOKUP(sezione!$AA$9,sezione!A1245:O1487,13,FALSE))</f>
        <v/>
      </c>
      <c r="J158" s="567">
        <f>IF(C10="no","",VLOOKUP(sezione!$AA$9,sezione!A1245:O1487,14,FALSE))</f>
        <v>1.8671472875019982E-2</v>
      </c>
      <c r="K158" s="567">
        <f>IF(C11="no","",VLOOKUP(sezione!$AA$9,sezione!A1245:O1487,15,FALSE))</f>
        <v>6.7030661193009752E-2</v>
      </c>
      <c r="L158" s="421"/>
      <c r="M158" s="421"/>
    </row>
    <row r="159" spans="2:13" x14ac:dyDescent="0.25">
      <c r="B159" s="521">
        <f t="shared" si="8"/>
        <v>6</v>
      </c>
      <c r="C159" s="524">
        <f t="shared" si="6"/>
        <v>2.2322062335804809</v>
      </c>
      <c r="D159" s="607">
        <f t="shared" si="6"/>
        <v>25.186066431724786</v>
      </c>
      <c r="E159" s="548">
        <f>'Sollecitazioni nel paramento'!D157*1000</f>
        <v>610.24600305064325</v>
      </c>
      <c r="F159" s="548">
        <f t="shared" si="7"/>
        <v>570.24600305064325</v>
      </c>
      <c r="G159" s="567" t="str">
        <f>IF(C7="no","",VLOOKUP(sezione!$AA$10,sezione!A1493:O1735,11,FALSE))</f>
        <v/>
      </c>
      <c r="H159" s="567">
        <f>IF(C8="no","",VLOOKUP(sezione!$AA$10,sezione!A1493:O1735,12,FALSE))</f>
        <v>4.8379435438747412E-3</v>
      </c>
      <c r="I159" s="567" t="str">
        <f>IF(C9="no","",VLOOKUP(sezione!$AA$10,sezione!A1493:O1735,13,FALSE))</f>
        <v/>
      </c>
      <c r="J159" s="567">
        <f>IF(C10="no","",VLOOKUP(sezione!$AA$10,sezione!A1493:O1735,14,FALSE))</f>
        <v>1.8734516116999309E-2</v>
      </c>
      <c r="K159" s="567">
        <f>IF(C11="no","",VLOOKUP(sezione!$AA$10,sezione!A1493:O1735,15,FALSE))</f>
        <v>7.5744649659274771E-2</v>
      </c>
      <c r="L159" s="421"/>
      <c r="M159" s="421"/>
    </row>
    <row r="160" spans="2:13" x14ac:dyDescent="0.25">
      <c r="B160" s="521">
        <f t="shared" si="8"/>
        <v>7</v>
      </c>
      <c r="C160" s="524">
        <f t="shared" si="6"/>
        <v>1.7964310804784729</v>
      </c>
      <c r="D160" s="607">
        <f t="shared" si="6"/>
        <v>37.798116493183869</v>
      </c>
      <c r="E160" s="548">
        <f>'Sollecitazioni nel paramento'!D158*1000</f>
        <v>673.07971297500978</v>
      </c>
      <c r="F160" s="548">
        <f t="shared" si="7"/>
        <v>633.07971297500978</v>
      </c>
      <c r="G160" s="567" t="str">
        <f>IF(C7="no","",VLOOKUP(sezione!$AA$11,sezione!A1741:O1983,11,FALSE))</f>
        <v/>
      </c>
      <c r="H160" s="567">
        <f>IF(C8="no","",VLOOKUP(sezione!$AA$11,sezione!A1741:O1983,12,FALSE))</f>
        <v>2.0558323928090245E-3</v>
      </c>
      <c r="I160" s="567" t="str">
        <f>IF(C9="no","",VLOOKUP(sezione!$AA$11,sezione!A1741:O1983,13,FALSE))</f>
        <v/>
      </c>
      <c r="J160" s="567">
        <f>IF(C10="no","",VLOOKUP(sezione!$AA$11,sezione!A1741:O1983,14,FALSE))</f>
        <v>1.1315553047490734E-2</v>
      </c>
      <c r="K160" s="567">
        <f>IF(C11="no","",VLOOKUP(sezione!$AA$11,sezione!A1741:O1983,15,FALSE))</f>
        <v>5.5121412942946653E-2</v>
      </c>
      <c r="L160" s="421"/>
      <c r="M160" s="421"/>
    </row>
    <row r="161" spans="2:13" x14ac:dyDescent="0.25">
      <c r="B161" s="521">
        <f t="shared" si="8"/>
        <v>8</v>
      </c>
      <c r="C161" s="524">
        <f t="shared" si="6"/>
        <v>1.3715503062040155</v>
      </c>
      <c r="D161" s="607">
        <f t="shared" si="6"/>
        <v>37.760511563935218</v>
      </c>
      <c r="E161" s="548">
        <f>'Sollecitazioni nel paramento'!D159*1000</f>
        <v>734.34258015126704</v>
      </c>
      <c r="F161" s="548">
        <f t="shared" si="7"/>
        <v>694.34258015126704</v>
      </c>
      <c r="G161" s="567" t="str">
        <f>IF(C7="no","",VLOOKUP(sezione!$AA$12,sezione!A1989:O2231,11,FALSE))</f>
        <v/>
      </c>
      <c r="H161" s="567">
        <f>IF(C8="no","",VLOOKUP(sezione!$AA$12,sezione!A1989:O2231,12,FALSE))</f>
        <v>2.0613653338470506E-3</v>
      </c>
      <c r="I161" s="567" t="str">
        <f>IF(C9="no","",VLOOKUP(sezione!$AA$12,sezione!A1989:O2231,13,FALSE))</f>
        <v/>
      </c>
      <c r="J161" s="567">
        <f>IF(C10="no","",VLOOKUP(sezione!$AA$12,sezione!A1989:O2231,14,FALSE))</f>
        <v>1.1330307556925469E-2</v>
      </c>
      <c r="K161" s="567">
        <f>IF(C11="no","",VLOOKUP(sezione!$AA$12,sezione!A1989:O2231,15,FALSE))</f>
        <v>6.0858212584452898E-2</v>
      </c>
      <c r="L161" s="421"/>
      <c r="M161" s="421"/>
    </row>
    <row r="162" spans="2:13" x14ac:dyDescent="0.25">
      <c r="B162" s="521">
        <f t="shared" si="8"/>
        <v>9</v>
      </c>
      <c r="C162" s="524">
        <f t="shared" si="6"/>
        <v>0.93577515310200798</v>
      </c>
      <c r="D162" s="607">
        <f t="shared" si="6"/>
        <v>65.802102428435177</v>
      </c>
      <c r="E162" s="548">
        <f>'Sollecitazioni nel paramento'!D160*1000</f>
        <v>797.17629007563346</v>
      </c>
      <c r="F162" s="548">
        <f t="shared" si="7"/>
        <v>757.17629007563346</v>
      </c>
      <c r="G162" s="567" t="str">
        <f>IF(C7="no","",VLOOKUP(sezione!$AA$13,sezione!A2237:O2479,11,FALSE))</f>
        <v/>
      </c>
      <c r="H162" s="567">
        <f>IF(C8="no","",VLOOKUP(sezione!$AA$13,sezione!A2237:O2479,12,FALSE))</f>
        <v>-3.0861260886928235E-4</v>
      </c>
      <c r="I162" s="567" t="str">
        <f>IF(C9="no","",VLOOKUP(sezione!$AA$13,sezione!A2237:O2479,13,FALSE))</f>
        <v/>
      </c>
      <c r="J162" s="567">
        <f>IF(C10="no","",VLOOKUP(sezione!$AA$13,sezione!A2237:O2479,14,FALSE))</f>
        <v>5.0103663763485804E-3</v>
      </c>
      <c r="K162" s="567">
        <f>IF(C11="no","",VLOOKUP(sezione!$AA$13,sezione!A2237:O2479,15,FALSE))</f>
        <v>3.677404775017519E-2</v>
      </c>
      <c r="L162" s="421"/>
      <c r="M162" s="421"/>
    </row>
    <row r="163" spans="2:13" x14ac:dyDescent="0.25">
      <c r="B163" s="521">
        <f t="shared" si="8"/>
        <v>10</v>
      </c>
      <c r="C163" s="524">
        <f t="shared" si="6"/>
        <v>0.51089437882755018</v>
      </c>
      <c r="D163" s="607">
        <f t="shared" si="6"/>
        <v>66.212492507926555</v>
      </c>
      <c r="E163" s="548">
        <f>'Sollecitazioni nel paramento'!D161*1000</f>
        <v>858.43915725189083</v>
      </c>
      <c r="F163" s="548">
        <f t="shared" si="7"/>
        <v>818.43915725189083</v>
      </c>
      <c r="G163" s="567" t="str">
        <f>IF(C7="no","",VLOOKUP(sezione!$AA$14,sezione!A2485:O2727,11,FALSE))</f>
        <v/>
      </c>
      <c r="H163" s="567">
        <f>IF(C8="no","",VLOOKUP(sezione!$AA$14,sezione!A2485:O2727,12,FALSE))</f>
        <v>-3.2839307137002758E-4</v>
      </c>
      <c r="I163" s="567" t="str">
        <f>IF(C9="no","",VLOOKUP(sezione!$AA$14,sezione!A2485:O2727,13,FALSE))</f>
        <v/>
      </c>
      <c r="J163" s="567">
        <f>IF(C10="no","",VLOOKUP(sezione!$AA$14,sezione!A2485:O2727,14,FALSE))</f>
        <v>4.9576184763465928E-3</v>
      </c>
      <c r="K163" s="567">
        <f>IF(C11="no","",VLOOKUP(sezione!$AA$14,sezione!A2485:O2727,15,FALSE))</f>
        <v>3.9762788363369543E-2</v>
      </c>
      <c r="L163" s="421"/>
      <c r="M163" s="421"/>
    </row>
    <row r="164" spans="2:13" x14ac:dyDescent="0.25"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21"/>
    </row>
    <row r="165" spans="2:13" x14ac:dyDescent="0.25">
      <c r="B165" s="421"/>
      <c r="C165" s="421"/>
      <c r="D165" s="421"/>
      <c r="E165" s="421"/>
      <c r="F165" s="421"/>
      <c r="G165" s="421"/>
      <c r="H165" s="421"/>
      <c r="I165" s="421"/>
      <c r="J165" s="421"/>
      <c r="K165" s="421"/>
      <c r="L165" s="421"/>
      <c r="M165" s="421"/>
    </row>
    <row r="166" spans="2:13" x14ac:dyDescent="0.25"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421"/>
    </row>
    <row r="167" spans="2:13" x14ac:dyDescent="0.25">
      <c r="B167" s="421"/>
      <c r="C167" s="421"/>
      <c r="D167" s="421"/>
      <c r="E167" s="421"/>
      <c r="F167" s="421"/>
      <c r="G167" s="421"/>
      <c r="H167" s="421"/>
      <c r="I167" s="421"/>
      <c r="J167" s="421"/>
      <c r="K167" s="421"/>
      <c r="L167" s="421"/>
      <c r="M167" s="421"/>
    </row>
    <row r="168" spans="2:13" x14ac:dyDescent="0.25">
      <c r="B168" s="421"/>
      <c r="C168" s="421"/>
      <c r="D168" s="421"/>
      <c r="E168" s="421"/>
      <c r="F168" s="421"/>
      <c r="G168" s="421"/>
      <c r="H168" s="421"/>
      <c r="I168" s="421"/>
      <c r="J168" s="421"/>
      <c r="K168" s="421"/>
      <c r="L168" s="421"/>
      <c r="M168" s="421"/>
    </row>
    <row r="169" spans="2:13" x14ac:dyDescent="0.25">
      <c r="B169" s="421"/>
      <c r="C169" s="421"/>
      <c r="D169" s="421"/>
      <c r="E169" s="421"/>
      <c r="F169" s="421"/>
      <c r="G169" s="421"/>
      <c r="H169" s="421"/>
      <c r="I169" s="421"/>
      <c r="J169" s="421"/>
      <c r="K169" s="421"/>
      <c r="L169" s="421"/>
      <c r="M169" s="421"/>
    </row>
    <row r="170" spans="2:13" x14ac:dyDescent="0.25">
      <c r="B170" s="421"/>
      <c r="C170" s="421"/>
      <c r="D170" s="421"/>
      <c r="E170" s="421"/>
      <c r="F170" s="421"/>
      <c r="G170" s="421"/>
      <c r="H170" s="421"/>
      <c r="I170" s="421"/>
      <c r="J170" s="421"/>
      <c r="K170" s="421"/>
      <c r="L170" s="421"/>
      <c r="M170" s="421"/>
    </row>
    <row r="171" spans="2:13" x14ac:dyDescent="0.25">
      <c r="B171" s="421"/>
      <c r="C171" s="421"/>
      <c r="D171" s="421"/>
      <c r="E171" s="421"/>
      <c r="F171" s="421"/>
      <c r="G171" s="421"/>
      <c r="H171" s="427" t="str">
        <f>IF(DATI!$G$211="sx",IF('Foglio deposito bis'!$F100&lt;=0,"← ZONA COMPRESSA( lato libero )","← ZONA TESA ( lato libero )"),IF('Foglio deposito bis'!$F100&gt;0,"← ZONA COMPRESSA( lato libero )","← ZONA TESA ( lato terreno )"))</f>
        <v>← ZONA TESA ( lato terreno )</v>
      </c>
      <c r="I171" s="421"/>
      <c r="J171" s="421"/>
      <c r="K171" s="421"/>
      <c r="L171" s="421"/>
      <c r="M171" s="421"/>
    </row>
    <row r="172" spans="2:13" x14ac:dyDescent="0.25">
      <c r="B172" s="421"/>
      <c r="C172" s="421"/>
      <c r="D172" s="421"/>
      <c r="E172" s="421"/>
      <c r="F172" s="421"/>
      <c r="G172" s="421"/>
      <c r="H172" s="421"/>
      <c r="I172" s="421"/>
      <c r="J172" s="421"/>
      <c r="K172" s="421"/>
      <c r="L172" s="421"/>
      <c r="M172" s="421"/>
    </row>
    <row r="173" spans="2:13" x14ac:dyDescent="0.25">
      <c r="B173" s="421"/>
      <c r="C173" s="421"/>
      <c r="D173" s="421"/>
      <c r="E173" s="421"/>
      <c r="F173" s="421"/>
      <c r="G173" s="421"/>
      <c r="H173" s="421"/>
      <c r="I173" s="421"/>
      <c r="J173" s="421"/>
      <c r="K173" s="421"/>
      <c r="L173" s="421"/>
      <c r="M173" s="421"/>
    </row>
    <row r="174" spans="2:13" x14ac:dyDescent="0.25">
      <c r="B174" s="421"/>
      <c r="C174" s="421"/>
      <c r="D174" s="421"/>
      <c r="E174" s="421"/>
      <c r="F174" s="421"/>
      <c r="G174" s="421"/>
      <c r="H174" s="421"/>
      <c r="I174" s="421"/>
      <c r="J174" s="421"/>
      <c r="K174" s="421"/>
      <c r="L174" s="421"/>
      <c r="M174" s="421"/>
    </row>
    <row r="175" spans="2:13" x14ac:dyDescent="0.25">
      <c r="B175" s="421"/>
      <c r="C175" s="421"/>
      <c r="D175" s="421"/>
      <c r="E175" s="421"/>
      <c r="F175" s="421"/>
      <c r="G175" s="421"/>
      <c r="H175" s="421"/>
      <c r="I175" s="421"/>
      <c r="J175" s="421"/>
      <c r="K175" s="421"/>
      <c r="L175" s="421"/>
      <c r="M175" s="421"/>
    </row>
    <row r="176" spans="2:13" x14ac:dyDescent="0.25">
      <c r="B176" s="421"/>
      <c r="C176" s="421"/>
      <c r="D176" s="421"/>
      <c r="E176" s="421"/>
      <c r="F176" s="421"/>
      <c r="G176" s="421"/>
      <c r="H176" s="427" t="str">
        <f>IF(DATI!$G$211="dx",IF('Foglio deposito bis'!$F100&lt;=0,"← ZONA COMPRESSA ( lato libero )","← ZONA TESA ( lato terreno )"),IF('Foglio deposito bis'!$F100&gt;0,"← ZONA COMPRESSA ( lato terreno )","← ZONA TESA ( lato terreno )"))</f>
        <v>← ZONA COMPRESSA ( lato libero )</v>
      </c>
      <c r="I176" s="421"/>
      <c r="J176" s="421"/>
      <c r="K176" s="421"/>
      <c r="L176" s="421"/>
      <c r="M176" s="421"/>
    </row>
    <row r="177" spans="2:13" x14ac:dyDescent="0.25">
      <c r="B177" s="421"/>
      <c r="C177" s="421"/>
      <c r="D177" s="421"/>
      <c r="E177" s="421"/>
      <c r="F177" s="421"/>
      <c r="G177" s="421"/>
      <c r="H177" s="421"/>
      <c r="I177" s="421"/>
      <c r="J177" s="421"/>
      <c r="K177" s="421"/>
      <c r="L177" s="421"/>
      <c r="M177" s="421"/>
    </row>
    <row r="178" spans="2:13" x14ac:dyDescent="0.25">
      <c r="B178" s="421"/>
      <c r="C178" s="421"/>
      <c r="D178" s="421"/>
      <c r="E178" s="421"/>
      <c r="F178" s="421"/>
      <c r="G178" s="421"/>
      <c r="H178" s="421"/>
      <c r="I178" s="421"/>
      <c r="J178" s="421"/>
      <c r="K178" s="421"/>
      <c r="L178" s="421"/>
      <c r="M178" s="421"/>
    </row>
    <row r="179" spans="2:13" x14ac:dyDescent="0.25">
      <c r="B179" s="421"/>
      <c r="C179" s="421"/>
      <c r="D179" s="421"/>
      <c r="E179" s="421"/>
      <c r="F179" s="421"/>
      <c r="G179" s="421"/>
      <c r="H179" s="421"/>
      <c r="I179" s="421"/>
      <c r="J179" s="421"/>
      <c r="K179" s="421"/>
      <c r="L179" s="421"/>
      <c r="M179" s="421"/>
    </row>
    <row r="180" spans="2:13" x14ac:dyDescent="0.25">
      <c r="B180" s="421"/>
      <c r="C180" s="421"/>
      <c r="D180" s="421"/>
      <c r="E180" s="421"/>
      <c r="F180" s="421"/>
      <c r="G180" s="421"/>
      <c r="H180" s="421"/>
      <c r="I180" s="421"/>
      <c r="J180" s="421"/>
      <c r="K180" s="421"/>
      <c r="L180" s="421"/>
      <c r="M180" s="421"/>
    </row>
    <row r="181" spans="2:13" x14ac:dyDescent="0.25">
      <c r="B181" s="421"/>
      <c r="C181" s="421"/>
      <c r="D181" s="421"/>
      <c r="E181" s="421"/>
      <c r="F181" s="421"/>
      <c r="G181" s="421"/>
      <c r="H181" s="421"/>
      <c r="I181" s="421"/>
      <c r="J181" s="421"/>
      <c r="K181" s="421"/>
      <c r="L181" s="421"/>
      <c r="M181" s="421"/>
    </row>
    <row r="182" spans="2:13" x14ac:dyDescent="0.25">
      <c r="B182" s="421"/>
      <c r="C182" s="421"/>
      <c r="D182" s="421"/>
      <c r="E182" s="421"/>
      <c r="F182" s="421"/>
      <c r="G182" s="421"/>
      <c r="H182" s="421"/>
      <c r="I182" s="421"/>
      <c r="J182" s="421"/>
      <c r="K182" s="421"/>
      <c r="L182" s="421"/>
      <c r="M182" s="421"/>
    </row>
    <row r="183" spans="2:13" x14ac:dyDescent="0.25">
      <c r="B183" s="421"/>
      <c r="C183" s="421"/>
      <c r="D183" s="421"/>
      <c r="E183" s="421"/>
      <c r="F183" s="421"/>
      <c r="G183" s="421"/>
      <c r="H183" s="427" t="str">
        <f>IF(DATI!$G$211="sx","← ZONA COMPRESSA( lato libero )","← ZONA TESA ( lato terreno )")</f>
        <v>← ZONA TESA ( lato terreno )</v>
      </c>
      <c r="I183" s="421"/>
      <c r="J183" s="421"/>
      <c r="K183" s="421"/>
      <c r="L183" s="421"/>
      <c r="M183" s="421"/>
    </row>
    <row r="184" spans="2:13" x14ac:dyDescent="0.25">
      <c r="B184" s="421"/>
      <c r="C184" s="421"/>
      <c r="D184" s="421"/>
      <c r="E184" s="421"/>
      <c r="F184" s="421"/>
      <c r="G184" s="421"/>
      <c r="H184" s="421"/>
      <c r="I184" s="421"/>
      <c r="J184" s="421"/>
      <c r="K184" s="421"/>
      <c r="L184" s="421"/>
      <c r="M184" s="421"/>
    </row>
    <row r="185" spans="2:13" x14ac:dyDescent="0.25">
      <c r="B185" s="421"/>
      <c r="C185" s="421"/>
      <c r="D185" s="421"/>
      <c r="E185" s="421"/>
      <c r="F185" s="421"/>
      <c r="G185" s="421"/>
      <c r="H185" s="421"/>
      <c r="I185" s="421"/>
      <c r="J185" s="421"/>
      <c r="K185" s="421"/>
      <c r="L185" s="421"/>
      <c r="M185" s="421"/>
    </row>
    <row r="186" spans="2:13" x14ac:dyDescent="0.25">
      <c r="B186" s="421"/>
      <c r="C186" s="421"/>
      <c r="D186" s="421"/>
      <c r="E186" s="421"/>
      <c r="F186" s="421"/>
      <c r="G186" s="421"/>
      <c r="H186" s="421"/>
      <c r="I186" s="421"/>
      <c r="J186" s="421"/>
      <c r="K186" s="421"/>
      <c r="L186" s="421"/>
      <c r="M186" s="421"/>
    </row>
    <row r="187" spans="2:13" x14ac:dyDescent="0.25">
      <c r="B187" s="421"/>
      <c r="C187" s="421"/>
      <c r="D187" s="421"/>
      <c r="E187" s="421"/>
      <c r="F187" s="421"/>
      <c r="G187" s="421"/>
      <c r="H187" s="421"/>
      <c r="I187" s="421"/>
      <c r="J187" s="421"/>
      <c r="K187" s="421"/>
      <c r="L187" s="421"/>
      <c r="M187" s="421"/>
    </row>
    <row r="188" spans="2:13" x14ac:dyDescent="0.25">
      <c r="B188" s="421"/>
      <c r="C188" s="421"/>
      <c r="D188" s="421"/>
      <c r="E188" s="421"/>
      <c r="F188" s="421"/>
      <c r="G188" s="421"/>
      <c r="H188" s="427" t="str">
        <f>IF(DATI!$G$211="dx","← ZONA COMPRESSA ( lato libero )","← ZONA TESA ( lato terreno )")</f>
        <v>← ZONA COMPRESSA ( lato libero )</v>
      </c>
      <c r="I188" s="421"/>
      <c r="J188" s="421"/>
      <c r="K188" s="421"/>
      <c r="L188" s="421"/>
      <c r="M188" s="421"/>
    </row>
    <row r="189" spans="2:13" x14ac:dyDescent="0.25">
      <c r="B189" s="421"/>
      <c r="C189" s="421"/>
      <c r="D189" s="421"/>
      <c r="E189" s="421"/>
      <c r="F189" s="421"/>
      <c r="G189" s="421"/>
      <c r="H189" s="421"/>
      <c r="I189" s="421"/>
      <c r="J189" s="421"/>
      <c r="K189" s="421"/>
      <c r="L189" s="421"/>
      <c r="M189" s="421"/>
    </row>
    <row r="190" spans="2:13" x14ac:dyDescent="0.25">
      <c r="B190" s="421"/>
      <c r="C190" s="421"/>
      <c r="D190" s="421"/>
      <c r="E190" s="421"/>
      <c r="F190" s="421"/>
      <c r="G190" s="421"/>
      <c r="H190" s="421"/>
      <c r="I190" s="421"/>
      <c r="J190" s="421"/>
      <c r="K190" s="421"/>
      <c r="L190" s="421"/>
      <c r="M190" s="421"/>
    </row>
    <row r="191" spans="2:13" x14ac:dyDescent="0.25">
      <c r="B191" s="421"/>
      <c r="C191" s="421"/>
      <c r="D191" s="421"/>
      <c r="E191" s="421"/>
      <c r="F191" s="421"/>
      <c r="G191" s="421"/>
      <c r="H191" s="421"/>
      <c r="I191" s="421"/>
      <c r="J191" s="421"/>
      <c r="K191" s="421"/>
      <c r="L191" s="421"/>
      <c r="M191" s="421"/>
    </row>
    <row r="192" spans="2:13" x14ac:dyDescent="0.25">
      <c r="B192" s="421"/>
      <c r="C192" s="421"/>
      <c r="D192" s="421"/>
      <c r="E192" s="421"/>
      <c r="F192" s="421"/>
      <c r="G192" s="421"/>
      <c r="H192" s="421"/>
      <c r="I192" s="421"/>
      <c r="J192" s="421"/>
      <c r="K192" s="421"/>
      <c r="L192" s="421"/>
      <c r="M192" s="421"/>
    </row>
    <row r="193" spans="2:13" ht="15.75" x14ac:dyDescent="0.25">
      <c r="B193" s="14" t="s">
        <v>1005</v>
      </c>
      <c r="C193" s="421"/>
      <c r="D193" s="421"/>
      <c r="E193" s="421"/>
      <c r="F193" s="421"/>
      <c r="G193" s="421"/>
      <c r="H193" s="421"/>
      <c r="I193" s="421"/>
      <c r="J193" s="421"/>
      <c r="K193" s="421"/>
      <c r="L193" s="421"/>
      <c r="M193" s="421"/>
    </row>
    <row r="194" spans="2:13" x14ac:dyDescent="0.25">
      <c r="B194" s="421"/>
      <c r="C194" s="421"/>
      <c r="D194" s="421"/>
      <c r="E194" s="421"/>
      <c r="F194" s="421"/>
      <c r="G194" s="421"/>
      <c r="H194" s="421"/>
      <c r="I194" s="421"/>
      <c r="J194" s="421"/>
      <c r="K194" s="421"/>
      <c r="L194" s="421"/>
      <c r="M194" s="421"/>
    </row>
    <row r="195" spans="2:13" x14ac:dyDescent="0.25">
      <c r="B195" s="421" t="s">
        <v>1029</v>
      </c>
      <c r="C195" s="421"/>
      <c r="D195" s="421"/>
      <c r="E195" s="421"/>
      <c r="F195" s="421"/>
      <c r="G195" s="421"/>
      <c r="H195" s="421"/>
      <c r="I195" s="421"/>
      <c r="J195" s="421"/>
      <c r="K195" s="421"/>
      <c r="L195" s="421"/>
      <c r="M195" s="421"/>
    </row>
    <row r="196" spans="2:13" x14ac:dyDescent="0.25">
      <c r="B196" s="421"/>
      <c r="C196" s="421"/>
      <c r="D196" s="421"/>
      <c r="E196" s="421"/>
      <c r="F196" s="421"/>
      <c r="G196" s="421"/>
      <c r="H196" s="421"/>
      <c r="I196" s="421"/>
      <c r="J196" s="421"/>
      <c r="K196" s="421"/>
      <c r="L196" s="421"/>
      <c r="M196" s="421"/>
    </row>
    <row r="197" spans="2:13" x14ac:dyDescent="0.25">
      <c r="B197" s="421"/>
      <c r="C197" s="421"/>
      <c r="D197" s="421"/>
      <c r="E197" s="421"/>
      <c r="F197" s="421"/>
      <c r="G197" s="421"/>
      <c r="H197" s="421"/>
      <c r="I197" s="421"/>
      <c r="J197" s="421"/>
      <c r="K197" s="421"/>
      <c r="L197" s="421"/>
      <c r="M197" s="421"/>
    </row>
    <row r="198" spans="2:13" x14ac:dyDescent="0.25">
      <c r="B198" s="1029" t="s">
        <v>21</v>
      </c>
      <c r="C198" s="1031" t="s">
        <v>994</v>
      </c>
      <c r="D198" s="1025" t="s">
        <v>23</v>
      </c>
      <c r="E198" s="1025" t="s">
        <v>929</v>
      </c>
      <c r="F198" s="1027" t="s">
        <v>31</v>
      </c>
      <c r="G198" s="1026" t="s">
        <v>1030</v>
      </c>
      <c r="H198" s="1026" t="s">
        <v>690</v>
      </c>
      <c r="I198" s="934" t="s">
        <v>691</v>
      </c>
      <c r="J198" s="934" t="s">
        <v>692</v>
      </c>
      <c r="K198" s="1024" t="s">
        <v>687</v>
      </c>
      <c r="L198" s="1024" t="s">
        <v>689</v>
      </c>
      <c r="M198" s="421"/>
    </row>
    <row r="199" spans="2:13" x14ac:dyDescent="0.25">
      <c r="B199" s="1030"/>
      <c r="C199" s="1032"/>
      <c r="D199" s="1025"/>
      <c r="E199" s="1025"/>
      <c r="F199" s="1028"/>
      <c r="G199" s="1026"/>
      <c r="H199" s="1026"/>
      <c r="I199" s="934"/>
      <c r="J199" s="934"/>
      <c r="K199" s="1024"/>
      <c r="L199" s="1024"/>
      <c r="M199" s="421"/>
    </row>
    <row r="200" spans="2:13" x14ac:dyDescent="0.25">
      <c r="B200" s="610">
        <v>0</v>
      </c>
      <c r="C200" s="524">
        <f>'Sollecitazioni nel paramento'!C151</f>
        <v>4.5320615922608809</v>
      </c>
      <c r="D200" s="548">
        <f t="shared" ref="D200:E210" si="9">E153</f>
        <v>239.52711449688101</v>
      </c>
      <c r="E200" s="548">
        <f t="shared" si="9"/>
        <v>199.52711449688101</v>
      </c>
      <c r="F200" s="165">
        <f>'Sollecitazioni nel paramento'!E151</f>
        <v>3.7022953209208862</v>
      </c>
      <c r="G200" s="421"/>
      <c r="H200" s="611">
        <f>G200/(1000*('FOGLIO DEPOSITO'!D124*1000+'Foglio deposito bis'!E40))</f>
        <v>0</v>
      </c>
      <c r="I200" s="611">
        <f>1+(200/('FOGLIO DEPOSITO'!D124*1000-E40))^0.5</f>
        <v>2.58113883008419</v>
      </c>
      <c r="J200" s="609" t="e">
        <f>(0.035*I200^(3/2)*(#REF!*0.83)^0.5*1000*('FOGLIO DEPOSITO'!D124*1000-'Foglio deposito bis'!E40))/1000</f>
        <v>#REF!</v>
      </c>
      <c r="K200" s="610"/>
      <c r="L200" s="612" t="e">
        <f>IF(C238&gt;=J200,IF(C238&gt;=ABS(C239),"VERIFICATO","NON VERIFICATO"),"NON VERIFICATO")</f>
        <v>#REF!</v>
      </c>
      <c r="M200" s="421"/>
    </row>
    <row r="201" spans="2:13" x14ac:dyDescent="0.25">
      <c r="B201" s="610">
        <f t="shared" ref="B201:B210" si="10">B200+1</f>
        <v>1</v>
      </c>
      <c r="C201" s="524">
        <f>'Sollecitazioni nel paramento'!C152</f>
        <v>4.3783988626078694</v>
      </c>
      <c r="D201" s="548">
        <f t="shared" si="9"/>
        <v>300.78998167313836</v>
      </c>
      <c r="E201" s="548">
        <f t="shared" si="9"/>
        <v>260.78998167313836</v>
      </c>
      <c r="F201" s="165">
        <f>'Sollecitazioni nel paramento'!E152</f>
        <v>13.868130734876193</v>
      </c>
      <c r="G201" s="421"/>
      <c r="H201" s="421"/>
      <c r="I201" s="421"/>
      <c r="J201" s="421"/>
      <c r="K201" s="421"/>
      <c r="L201" s="421"/>
      <c r="M201" s="421"/>
    </row>
    <row r="202" spans="2:13" x14ac:dyDescent="0.25">
      <c r="B202" s="610">
        <f t="shared" si="10"/>
        <v>2</v>
      </c>
      <c r="C202" s="524">
        <f>'Sollecitazioni nel paramento'!C153</f>
        <v>3.9535180883334116</v>
      </c>
      <c r="D202" s="548">
        <f t="shared" si="9"/>
        <v>362.05284884939573</v>
      </c>
      <c r="E202" s="548">
        <f t="shared" si="9"/>
        <v>322.05284884939573</v>
      </c>
      <c r="F202" s="165">
        <f>'Sollecitazioni nel paramento'!E153</f>
        <v>28.311153483607232</v>
      </c>
      <c r="G202" s="421"/>
      <c r="H202" s="421"/>
      <c r="I202" s="421"/>
      <c r="J202" s="421"/>
      <c r="K202" s="421"/>
      <c r="L202" s="421"/>
      <c r="M202" s="421"/>
    </row>
    <row r="203" spans="2:13" x14ac:dyDescent="0.25">
      <c r="B203" s="610">
        <f t="shared" si="10"/>
        <v>3</v>
      </c>
      <c r="C203" s="524">
        <f>'Sollecitazioni nel paramento'!C154</f>
        <v>3.5177429352314036</v>
      </c>
      <c r="D203" s="548">
        <f t="shared" si="9"/>
        <v>424.88655877376215</v>
      </c>
      <c r="E203" s="548">
        <f t="shared" si="9"/>
        <v>384.88655877376215</v>
      </c>
      <c r="F203" s="165">
        <f>'Sollecitazioni nel paramento'!E154</f>
        <v>47.567610733420466</v>
      </c>
      <c r="G203" s="421"/>
      <c r="H203" s="421"/>
      <c r="I203" s="421"/>
      <c r="J203" s="421"/>
      <c r="K203" s="421"/>
      <c r="L203" s="421"/>
      <c r="M203" s="421"/>
    </row>
    <row r="204" spans="2:13" x14ac:dyDescent="0.25">
      <c r="B204" s="610">
        <f t="shared" si="10"/>
        <v>4</v>
      </c>
      <c r="C204" s="524">
        <f>'Sollecitazioni nel paramento'!C155</f>
        <v>3.0928621609569462</v>
      </c>
      <c r="D204" s="548">
        <f t="shared" si="9"/>
        <v>486.14942595001941</v>
      </c>
      <c r="E204" s="548">
        <f t="shared" si="9"/>
        <v>446.14942595001941</v>
      </c>
      <c r="F204" s="165">
        <f>'Sollecitazioni nel paramento'!E155</f>
        <v>70.674679621825291</v>
      </c>
      <c r="G204" s="421"/>
      <c r="H204" s="421"/>
      <c r="I204" s="421"/>
      <c r="J204" s="421"/>
      <c r="K204" s="421"/>
      <c r="L204" s="421"/>
      <c r="M204" s="421"/>
    </row>
    <row r="205" spans="2:13" x14ac:dyDescent="0.25">
      <c r="B205" s="610">
        <f t="shared" si="10"/>
        <v>5</v>
      </c>
      <c r="C205" s="524">
        <f>'Sollecitazioni nel paramento'!C156</f>
        <v>2.6570870078549382</v>
      </c>
      <c r="D205" s="548">
        <f t="shared" si="9"/>
        <v>548.98313587438599</v>
      </c>
      <c r="E205" s="548">
        <f t="shared" si="9"/>
        <v>508.98313587438599</v>
      </c>
      <c r="F205" s="165">
        <f>'Sollecitazioni nel paramento'!E156</f>
        <v>98.817338040534864</v>
      </c>
      <c r="G205" s="421"/>
      <c r="H205" s="421"/>
      <c r="I205" s="421"/>
      <c r="J205" s="421"/>
      <c r="K205" s="421"/>
      <c r="L205" s="421"/>
      <c r="M205" s="421"/>
    </row>
    <row r="206" spans="2:13" x14ac:dyDescent="0.25">
      <c r="B206" s="610">
        <f t="shared" si="10"/>
        <v>6</v>
      </c>
      <c r="C206" s="524">
        <f>'Sollecitazioni nel paramento'!C157</f>
        <v>2.2322062335804809</v>
      </c>
      <c r="D206" s="548">
        <f t="shared" si="9"/>
        <v>610.24600305064325</v>
      </c>
      <c r="E206" s="548">
        <f t="shared" si="9"/>
        <v>570.24600305064325</v>
      </c>
      <c r="F206" s="165">
        <f>'Sollecitazioni nel paramento'!E157</f>
        <v>130.58845306861363</v>
      </c>
      <c r="G206" s="421"/>
      <c r="H206" s="421"/>
      <c r="I206" s="421"/>
      <c r="J206" s="421"/>
      <c r="K206" s="421"/>
      <c r="L206" s="421"/>
      <c r="M206" s="421"/>
    </row>
    <row r="207" spans="2:13" x14ac:dyDescent="0.25">
      <c r="B207" s="610">
        <f t="shared" si="10"/>
        <v>7</v>
      </c>
      <c r="C207" s="524">
        <f>'Sollecitazioni nel paramento'!C158</f>
        <v>1.7964310804784729</v>
      </c>
      <c r="D207" s="548">
        <f t="shared" si="9"/>
        <v>673.07971297500978</v>
      </c>
      <c r="E207" s="548">
        <f t="shared" si="9"/>
        <v>633.07971297500978</v>
      </c>
      <c r="F207" s="165">
        <f>'Sollecitazioni nel paramento'!E158</f>
        <v>167.61731265622004</v>
      </c>
      <c r="G207" s="421"/>
      <c r="H207" s="421"/>
      <c r="I207" s="421"/>
      <c r="J207" s="421"/>
      <c r="K207" s="421"/>
      <c r="L207" s="421"/>
      <c r="M207" s="421"/>
    </row>
    <row r="208" spans="2:13" x14ac:dyDescent="0.25">
      <c r="B208" s="610">
        <f t="shared" si="10"/>
        <v>8</v>
      </c>
      <c r="C208" s="524">
        <f>'Sollecitazioni nel paramento'!C159</f>
        <v>1.3715503062040155</v>
      </c>
      <c r="D208" s="548">
        <f t="shared" si="9"/>
        <v>734.34258015126704</v>
      </c>
      <c r="E208" s="548">
        <f t="shared" si="9"/>
        <v>694.34258015126704</v>
      </c>
      <c r="F208" s="165">
        <f>'Sollecitazioni nel paramento'!E159</f>
        <v>208.0524738239732</v>
      </c>
      <c r="G208" s="421"/>
      <c r="H208" s="421"/>
      <c r="I208" s="421"/>
      <c r="J208" s="421"/>
      <c r="K208" s="421"/>
      <c r="L208" s="421"/>
      <c r="M208" s="421"/>
    </row>
    <row r="209" spans="2:13" x14ac:dyDescent="0.25">
      <c r="B209" s="610">
        <f t="shared" si="10"/>
        <v>9</v>
      </c>
      <c r="C209" s="524">
        <f>'Sollecitazioni nel paramento'!C160</f>
        <v>0.93577515310200798</v>
      </c>
      <c r="D209" s="548">
        <f t="shared" si="9"/>
        <v>797.17629007563346</v>
      </c>
      <c r="E209" s="548">
        <f t="shared" si="9"/>
        <v>757.17629007563346</v>
      </c>
      <c r="F209" s="165">
        <f>'Sollecitazioni nel paramento'!E160</f>
        <v>253.96753458047593</v>
      </c>
      <c r="G209" s="421"/>
      <c r="H209" s="421"/>
      <c r="I209" s="421"/>
      <c r="J209" s="421"/>
      <c r="K209" s="421"/>
      <c r="L209" s="421"/>
      <c r="M209" s="421"/>
    </row>
    <row r="210" spans="2:13" x14ac:dyDescent="0.25">
      <c r="B210" s="610">
        <f t="shared" si="10"/>
        <v>10</v>
      </c>
      <c r="C210" s="524">
        <f>'Sollecitazioni nel paramento'!C161</f>
        <v>0.51089437882755018</v>
      </c>
      <c r="D210" s="548">
        <f t="shared" si="9"/>
        <v>858.43915725189083</v>
      </c>
      <c r="E210" s="548">
        <f t="shared" si="9"/>
        <v>818.43915725189083</v>
      </c>
      <c r="F210" s="165">
        <f>'Sollecitazioni nel paramento'!E161</f>
        <v>303.06674188790316</v>
      </c>
      <c r="G210" s="421"/>
      <c r="H210" s="421"/>
      <c r="I210" s="421"/>
      <c r="J210" s="421"/>
      <c r="K210" s="421"/>
      <c r="L210" s="421"/>
      <c r="M210" s="421"/>
    </row>
    <row r="211" spans="2:13" x14ac:dyDescent="0.25">
      <c r="B211" s="421"/>
      <c r="C211" s="421"/>
      <c r="D211" s="421"/>
      <c r="E211" s="421"/>
      <c r="F211" s="421"/>
      <c r="G211" s="421"/>
      <c r="H211" s="421"/>
      <c r="I211" s="421"/>
      <c r="J211" s="421"/>
      <c r="K211" s="421"/>
      <c r="L211" s="421"/>
      <c r="M211" s="421"/>
    </row>
    <row r="212" spans="2:13" x14ac:dyDescent="0.25">
      <c r="B212" s="421"/>
      <c r="C212" s="421"/>
      <c r="D212" s="421"/>
      <c r="E212" s="421"/>
      <c r="F212" s="421"/>
      <c r="G212" s="421"/>
      <c r="H212" s="421"/>
      <c r="I212" s="421"/>
      <c r="J212" s="421"/>
      <c r="K212" s="421"/>
      <c r="L212" s="421"/>
      <c r="M212" s="421"/>
    </row>
    <row r="213" spans="2:13" x14ac:dyDescent="0.25">
      <c r="B213" s="421"/>
      <c r="C213" s="421"/>
      <c r="D213" s="421"/>
      <c r="E213" s="421"/>
      <c r="F213" s="421"/>
      <c r="G213" s="421"/>
      <c r="H213" s="421"/>
      <c r="I213" s="421"/>
      <c r="J213" s="421"/>
      <c r="K213" s="421"/>
      <c r="L213" s="421"/>
      <c r="M213" s="421"/>
    </row>
    <row r="214" spans="2:13" x14ac:dyDescent="0.25">
      <c r="B214" s="421"/>
      <c r="C214" s="421"/>
      <c r="D214" s="421"/>
      <c r="E214" s="421"/>
      <c r="F214" s="421"/>
      <c r="G214" s="421"/>
      <c r="H214" s="421"/>
      <c r="I214" s="421"/>
      <c r="J214" s="421"/>
      <c r="K214" s="421"/>
      <c r="L214" s="421"/>
      <c r="M214" s="421"/>
    </row>
    <row r="215" spans="2:13" x14ac:dyDescent="0.25">
      <c r="B215" s="421"/>
      <c r="C215" s="421"/>
      <c r="D215" s="421"/>
      <c r="E215" s="421"/>
      <c r="F215" s="421"/>
      <c r="G215" s="421"/>
      <c r="H215" s="421"/>
      <c r="I215" s="421"/>
      <c r="J215" s="421"/>
      <c r="K215" s="421"/>
      <c r="L215" s="421"/>
      <c r="M215" s="421"/>
    </row>
    <row r="216" spans="2:13" x14ac:dyDescent="0.25">
      <c r="B216" s="421"/>
      <c r="C216" s="421"/>
      <c r="D216" s="421"/>
      <c r="E216" s="421"/>
      <c r="F216" s="421"/>
      <c r="G216" s="421"/>
      <c r="H216" s="421"/>
      <c r="I216" s="421"/>
      <c r="J216" s="421"/>
      <c r="K216" s="421"/>
      <c r="L216" s="421"/>
      <c r="M216" s="421"/>
    </row>
    <row r="217" spans="2:13" x14ac:dyDescent="0.25">
      <c r="B217" s="421"/>
      <c r="C217" s="421"/>
      <c r="D217" s="421"/>
      <c r="E217" s="421"/>
      <c r="F217" s="421"/>
      <c r="G217" s="421"/>
      <c r="H217" s="421"/>
      <c r="I217" s="421"/>
      <c r="J217" s="421"/>
      <c r="K217" s="421"/>
      <c r="L217" s="421"/>
      <c r="M217" s="421"/>
    </row>
    <row r="218" spans="2:13" x14ac:dyDescent="0.25">
      <c r="B218" s="421"/>
      <c r="C218" s="421"/>
      <c r="D218" s="421"/>
      <c r="E218" s="421"/>
      <c r="F218" s="421"/>
      <c r="G218" s="421"/>
      <c r="H218" s="421"/>
      <c r="I218" s="421"/>
      <c r="J218" s="421"/>
      <c r="K218" s="421"/>
      <c r="L218" s="421"/>
      <c r="M218" s="421"/>
    </row>
    <row r="219" spans="2:13" x14ac:dyDescent="0.25"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</row>
    <row r="220" spans="2:13" x14ac:dyDescent="0.25">
      <c r="B220" s="421"/>
      <c r="C220" s="421"/>
      <c r="D220" s="421"/>
      <c r="E220" s="421"/>
      <c r="F220" s="421"/>
      <c r="G220" s="421"/>
      <c r="H220" s="421"/>
      <c r="I220" s="421"/>
      <c r="J220" s="421"/>
      <c r="K220" s="421"/>
      <c r="L220" s="421"/>
      <c r="M220" s="421"/>
    </row>
    <row r="221" spans="2:13" x14ac:dyDescent="0.25">
      <c r="B221" s="421"/>
      <c r="C221" s="421"/>
      <c r="D221" s="421"/>
      <c r="E221" s="421"/>
      <c r="F221" s="421"/>
      <c r="G221" s="421"/>
      <c r="H221" s="421"/>
      <c r="I221" s="421"/>
      <c r="J221" s="421"/>
      <c r="K221" s="421"/>
      <c r="L221" s="421"/>
      <c r="M221" s="421"/>
    </row>
    <row r="222" spans="2:13" x14ac:dyDescent="0.25">
      <c r="B222" s="1015" t="s">
        <v>681</v>
      </c>
      <c r="C222" s="1015"/>
      <c r="D222" s="1015"/>
      <c r="E222" s="421"/>
      <c r="F222" s="57"/>
      <c r="G222" s="111"/>
      <c r="H222" s="421"/>
      <c r="I222" s="421"/>
      <c r="J222" s="421"/>
      <c r="K222" s="421"/>
      <c r="L222" s="421"/>
      <c r="M222" s="421"/>
    </row>
    <row r="223" spans="2:13" x14ac:dyDescent="0.25">
      <c r="B223" s="84"/>
      <c r="C223" s="84"/>
      <c r="D223" s="83"/>
      <c r="E223" s="83"/>
      <c r="F223" s="57"/>
      <c r="G223" s="111"/>
      <c r="H223" s="421"/>
      <c r="I223" s="421"/>
      <c r="J223" s="421"/>
      <c r="K223" s="421"/>
      <c r="L223" s="421"/>
      <c r="M223" s="421"/>
    </row>
    <row r="224" spans="2:13" x14ac:dyDescent="0.25">
      <c r="B224" s="2"/>
      <c r="C224" s="2"/>
      <c r="D224" s="2"/>
      <c r="E224" s="2"/>
      <c r="F224" s="57"/>
      <c r="G224" s="111"/>
      <c r="H224" s="421"/>
      <c r="I224" s="421"/>
      <c r="J224" s="421"/>
      <c r="K224" s="421"/>
      <c r="L224" s="421"/>
      <c r="M224" s="421"/>
    </row>
    <row r="225" spans="2:13" ht="17.25" x14ac:dyDescent="0.25">
      <c r="B225" s="108" t="s">
        <v>682</v>
      </c>
      <c r="C225" s="109" t="e">
        <f>'Sollecitazioni nel paramento'!G67*10^6/(0.9*#REF!/1.15*('FOGLIO DEPOSITO'!D124*1000-E40))</f>
        <v>#REF!</v>
      </c>
      <c r="D225" s="1016" t="e">
        <f>IF(F48&gt;=C225,"VERIFICATO","NON VERIFICATO")</f>
        <v>#REF!</v>
      </c>
      <c r="E225" s="1017"/>
      <c r="F225" s="57"/>
      <c r="G225" s="111"/>
      <c r="H225" s="421"/>
      <c r="I225" s="421"/>
      <c r="J225" s="421"/>
      <c r="K225" s="421"/>
      <c r="L225" s="421"/>
      <c r="M225" s="421"/>
    </row>
    <row r="226" spans="2:13" x14ac:dyDescent="0.25">
      <c r="B226" s="57"/>
      <c r="C226" s="111"/>
      <c r="D226" s="112"/>
      <c r="E226" s="112"/>
      <c r="F226" s="57"/>
      <c r="G226" s="111"/>
      <c r="H226" s="421"/>
      <c r="I226" s="421"/>
      <c r="J226" s="421"/>
      <c r="K226" s="421"/>
      <c r="L226" s="421"/>
      <c r="M226" s="421"/>
    </row>
    <row r="227" spans="2:13" x14ac:dyDescent="0.25">
      <c r="B227" s="57"/>
      <c r="C227" s="111"/>
      <c r="D227" s="112"/>
      <c r="E227" s="112"/>
      <c r="F227" s="57"/>
      <c r="G227" s="111"/>
      <c r="H227" s="421"/>
      <c r="I227" s="421"/>
      <c r="J227" s="421"/>
      <c r="K227" s="421"/>
      <c r="L227" s="421"/>
      <c r="M227" s="421"/>
    </row>
    <row r="228" spans="2:13" x14ac:dyDescent="0.25">
      <c r="B228" s="57"/>
      <c r="C228" s="111"/>
      <c r="D228" s="112"/>
      <c r="E228" s="112"/>
      <c r="F228" s="57"/>
      <c r="G228" s="111"/>
      <c r="H228" s="421"/>
      <c r="I228" s="421"/>
      <c r="J228" s="421"/>
      <c r="K228" s="421"/>
      <c r="L228" s="421"/>
      <c r="M228" s="421"/>
    </row>
    <row r="229" spans="2:13" ht="15.75" thickBot="1" x14ac:dyDescent="0.3">
      <c r="B229" s="2"/>
      <c r="C229" s="2"/>
      <c r="D229" s="2"/>
      <c r="E229" s="2"/>
      <c r="F229" s="2"/>
      <c r="G229" s="2"/>
      <c r="H229" s="421"/>
      <c r="I229" s="421"/>
      <c r="J229" s="421"/>
      <c r="K229" s="421"/>
      <c r="L229" s="421"/>
      <c r="M229" s="421"/>
    </row>
    <row r="230" spans="2:13" ht="16.5" thickTop="1" thickBot="1" x14ac:dyDescent="0.3">
      <c r="B230" s="1015" t="s">
        <v>684</v>
      </c>
      <c r="C230" s="1015"/>
      <c r="D230" s="1015"/>
      <c r="E230" s="81">
        <v>8</v>
      </c>
      <c r="F230" s="82">
        <v>15</v>
      </c>
      <c r="G230" s="2"/>
      <c r="H230" s="421"/>
      <c r="I230" s="421"/>
      <c r="J230" s="421"/>
      <c r="K230" s="421"/>
      <c r="L230" s="421"/>
      <c r="M230" s="421"/>
    </row>
    <row r="231" spans="2:13" ht="15.75" thickTop="1" x14ac:dyDescent="0.25">
      <c r="B231" s="2"/>
      <c r="C231" s="2"/>
      <c r="D231" s="2"/>
      <c r="E231" s="2"/>
      <c r="F231" s="2"/>
      <c r="G231" s="2"/>
      <c r="H231" s="421"/>
      <c r="I231" s="421"/>
      <c r="J231" s="421"/>
      <c r="K231" s="421"/>
      <c r="L231" s="421"/>
      <c r="M231" s="421"/>
    </row>
    <row r="232" spans="2:13" ht="17.25" x14ac:dyDescent="0.25">
      <c r="B232" s="396" t="s">
        <v>685</v>
      </c>
      <c r="C232" s="110">
        <f>F48*0.2</f>
        <v>0</v>
      </c>
      <c r="D232" s="1019" t="str">
        <f>IF(G232&gt;=C232,"VERIFICATO","NON VERIFICATO")</f>
        <v>VERIFICATO</v>
      </c>
      <c r="E232" s="1017"/>
      <c r="F232" s="108" t="s">
        <v>683</v>
      </c>
      <c r="G232" s="110">
        <f>100/F230*(E230/2)^2*PI()</f>
        <v>335.10321638291128</v>
      </c>
      <c r="H232" s="421"/>
      <c r="I232" s="421"/>
      <c r="J232" s="421"/>
      <c r="K232" s="421"/>
      <c r="L232" s="421"/>
      <c r="M232" s="421"/>
    </row>
    <row r="233" spans="2:13" x14ac:dyDescent="0.25">
      <c r="B233" s="113"/>
      <c r="C233" s="111"/>
      <c r="D233" s="112"/>
      <c r="E233" s="112"/>
      <c r="F233" s="57"/>
      <c r="G233" s="111"/>
      <c r="H233" s="421"/>
      <c r="I233" s="421"/>
      <c r="J233" s="421"/>
      <c r="K233" s="421"/>
      <c r="L233" s="421"/>
      <c r="M233" s="421"/>
    </row>
    <row r="234" spans="2:13" ht="15.75" x14ac:dyDescent="0.25">
      <c r="B234" s="14"/>
      <c r="C234" s="2"/>
      <c r="D234" s="2"/>
      <c r="E234" s="2"/>
      <c r="F234" s="2"/>
      <c r="G234" s="2"/>
      <c r="H234" s="421"/>
      <c r="I234" s="421"/>
      <c r="J234" s="421"/>
      <c r="K234" s="421"/>
      <c r="L234" s="421"/>
      <c r="M234" s="421"/>
    </row>
    <row r="235" spans="2:13" ht="15.75" x14ac:dyDescent="0.25">
      <c r="B235" s="14" t="s">
        <v>686</v>
      </c>
      <c r="C235" s="2"/>
      <c r="D235" s="2"/>
      <c r="E235" s="2"/>
      <c r="F235" s="2"/>
      <c r="G235" s="2"/>
      <c r="H235" s="421"/>
      <c r="I235" s="421"/>
      <c r="J235" s="421"/>
      <c r="K235" s="421"/>
      <c r="L235" s="421"/>
      <c r="M235" s="421"/>
    </row>
    <row r="236" spans="2:13" x14ac:dyDescent="0.25">
      <c r="B236" s="2"/>
      <c r="C236" s="2"/>
      <c r="D236" s="2"/>
      <c r="E236" s="2"/>
      <c r="F236" s="2"/>
      <c r="G236" s="2"/>
      <c r="H236" s="421"/>
      <c r="I236" s="421"/>
      <c r="J236" s="421"/>
      <c r="K236" s="421"/>
      <c r="L236" s="421"/>
      <c r="M236" s="421"/>
    </row>
    <row r="237" spans="2:13" x14ac:dyDescent="0.25">
      <c r="B237" s="2"/>
      <c r="C237" s="2"/>
      <c r="D237" s="2"/>
      <c r="E237" s="2"/>
      <c r="F237" s="2"/>
      <c r="G237" s="2"/>
      <c r="H237" s="421"/>
      <c r="I237" s="421"/>
      <c r="J237" s="421"/>
      <c r="K237" s="421"/>
      <c r="L237" s="421"/>
      <c r="M237" s="421"/>
    </row>
    <row r="238" spans="2:13" x14ac:dyDescent="0.25">
      <c r="B238" s="421"/>
      <c r="C238" s="882" t="e">
        <f>(0.18*I200*(100*H200*#REF!*0.83)^(1/3)/1.5*1000*('FOGLIO DEPOSITO'!D124*1000-'Foglio deposito bis'!E40))/1000</f>
        <v>#REF!</v>
      </c>
      <c r="D238" s="882"/>
      <c r="E238" s="2"/>
      <c r="F238" s="2"/>
      <c r="G238" s="2"/>
      <c r="H238" s="421"/>
      <c r="I238" s="421"/>
      <c r="J238" s="421"/>
      <c r="K238" s="421"/>
      <c r="L238" s="421"/>
      <c r="M238" s="421"/>
    </row>
    <row r="239" spans="2:13" ht="18" x14ac:dyDescent="0.25">
      <c r="B239" s="114" t="s">
        <v>688</v>
      </c>
      <c r="C239" s="882">
        <f>ABS('Sollecitazioni nel paramento'!G66)</f>
        <v>367.76933278733725</v>
      </c>
      <c r="D239" s="882"/>
      <c r="E239" s="2"/>
      <c r="F239" s="2"/>
      <c r="G239" s="2"/>
      <c r="H239" s="421"/>
      <c r="I239" s="421"/>
      <c r="J239" s="421"/>
      <c r="K239" s="421"/>
      <c r="L239" s="421"/>
      <c r="M239" s="421"/>
    </row>
    <row r="240" spans="2:13" x14ac:dyDescent="0.25">
      <c r="B240" s="421"/>
      <c r="C240" s="421"/>
      <c r="D240" s="421"/>
      <c r="E240" s="2"/>
      <c r="F240" s="2"/>
      <c r="G240" s="2"/>
      <c r="H240" s="421"/>
      <c r="I240" s="421"/>
      <c r="J240" s="421"/>
      <c r="K240" s="421"/>
      <c r="L240" s="421"/>
      <c r="M240" s="421"/>
    </row>
    <row r="241" spans="2:17" x14ac:dyDescent="0.25">
      <c r="B241" s="421"/>
      <c r="C241" s="421"/>
      <c r="D241" s="421"/>
      <c r="E241" s="2"/>
      <c r="F241" s="2"/>
      <c r="G241" s="2"/>
      <c r="H241" s="421"/>
      <c r="I241" s="421"/>
      <c r="J241" s="421"/>
      <c r="K241" s="421"/>
      <c r="L241" s="421"/>
      <c r="M241" s="421"/>
    </row>
    <row r="242" spans="2:17" x14ac:dyDescent="0.25">
      <c r="B242" s="421"/>
      <c r="C242" s="421"/>
      <c r="D242" s="644"/>
      <c r="E242" s="2"/>
      <c r="F242" s="2"/>
      <c r="G242" s="2"/>
      <c r="H242" s="421"/>
      <c r="I242" s="421"/>
      <c r="J242" s="421"/>
      <c r="K242" s="421"/>
      <c r="L242" s="421"/>
      <c r="M242" s="421"/>
    </row>
    <row r="243" spans="2:17" x14ac:dyDescent="0.25">
      <c r="B243" s="80"/>
      <c r="C243" s="579"/>
      <c r="D243" s="579"/>
      <c r="E243" s="422"/>
      <c r="F243" s="422"/>
      <c r="G243" s="422"/>
      <c r="H243" s="421"/>
      <c r="I243" s="421"/>
      <c r="J243" s="421"/>
      <c r="K243" s="421"/>
      <c r="L243" s="421"/>
      <c r="M243" s="421"/>
    </row>
    <row r="244" spans="2:17" x14ac:dyDescent="0.25">
      <c r="B244" s="421"/>
      <c r="C244" s="421"/>
      <c r="D244" s="645"/>
      <c r="E244" s="421"/>
      <c r="F244" s="421"/>
      <c r="G244" s="421"/>
      <c r="H244" s="421"/>
      <c r="I244" s="421"/>
      <c r="J244" s="421"/>
      <c r="K244" s="421"/>
      <c r="L244" s="421"/>
      <c r="M244" s="421"/>
    </row>
    <row r="245" spans="2:17" x14ac:dyDescent="0.25">
      <c r="B245" s="421"/>
      <c r="C245" s="421"/>
      <c r="D245" s="421"/>
      <c r="E245" s="421"/>
      <c r="F245" s="421"/>
      <c r="G245" s="421"/>
      <c r="H245" s="421"/>
      <c r="I245" s="421"/>
      <c r="J245" s="421"/>
      <c r="K245" s="421"/>
      <c r="L245" s="421"/>
      <c r="M245" s="421"/>
    </row>
    <row r="246" spans="2:17" x14ac:dyDescent="0.25">
      <c r="B246" s="421"/>
      <c r="C246" s="421"/>
      <c r="D246" s="421"/>
      <c r="E246" s="421"/>
      <c r="F246" s="421"/>
      <c r="G246" s="421"/>
      <c r="H246" s="421"/>
      <c r="I246" s="421"/>
      <c r="J246" s="421"/>
      <c r="K246" s="421"/>
      <c r="L246" s="421"/>
      <c r="M246" s="421"/>
    </row>
    <row r="247" spans="2:17" x14ac:dyDescent="0.25"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</row>
    <row r="249" spans="2:17" ht="15.75" x14ac:dyDescent="0.25">
      <c r="B249" s="14" t="s">
        <v>662</v>
      </c>
      <c r="C249" s="2"/>
      <c r="D249" s="2"/>
      <c r="E249" s="2"/>
      <c r="F249" s="2"/>
      <c r="G249" s="2"/>
      <c r="H249" s="2"/>
      <c r="I249" s="2"/>
      <c r="J249" s="2"/>
      <c r="K249" s="4"/>
      <c r="L249" s="4"/>
    </row>
    <row r="250" spans="2:17" x14ac:dyDescent="0.25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</row>
    <row r="251" spans="2:17" ht="15.75" x14ac:dyDescent="0.25">
      <c r="B251" s="14" t="s">
        <v>693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</row>
    <row r="252" spans="2:17" x14ac:dyDescent="0.25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</row>
    <row r="253" spans="2:17" x14ac:dyDescent="0.25">
      <c r="B253" s="117" t="s">
        <v>663</v>
      </c>
      <c r="C253" s="23"/>
      <c r="D253" s="23"/>
      <c r="E253" s="2"/>
      <c r="F253" s="117" t="s">
        <v>664</v>
      </c>
      <c r="G253" s="23"/>
      <c r="H253" s="23"/>
      <c r="I253" s="2"/>
      <c r="J253" s="117" t="s">
        <v>665</v>
      </c>
      <c r="K253" s="2"/>
      <c r="L253" s="2"/>
    </row>
    <row r="254" spans="2:17" x14ac:dyDescent="0.25">
      <c r="B254" s="23"/>
      <c r="C254" s="23"/>
      <c r="D254" s="23"/>
      <c r="E254" s="2"/>
      <c r="F254" s="23"/>
      <c r="G254" s="23"/>
      <c r="H254" s="23"/>
      <c r="I254" s="2"/>
      <c r="J254" s="2"/>
      <c r="K254" s="2"/>
      <c r="L254" s="2"/>
    </row>
    <row r="255" spans="2:17" ht="18.75" x14ac:dyDescent="0.25">
      <c r="B255" s="80" t="s">
        <v>666</v>
      </c>
      <c r="C255" s="390">
        <f>-C260*C261^2/6</f>
        <v>-114.98060582181961</v>
      </c>
      <c r="D255" s="80" t="s">
        <v>667</v>
      </c>
      <c r="E255" s="4"/>
      <c r="F255" s="80" t="s">
        <v>666</v>
      </c>
      <c r="G255" s="390">
        <f>-G260*G261^2/2</f>
        <v>-389.41004719681024</v>
      </c>
      <c r="H255" s="80" t="s">
        <v>667</v>
      </c>
      <c r="I255" s="4"/>
      <c r="J255" s="80" t="s">
        <v>666</v>
      </c>
      <c r="K255" s="390">
        <f>C255+G255</f>
        <v>-504.39065301862985</v>
      </c>
      <c r="L255" s="80" t="s">
        <v>667</v>
      </c>
    </row>
    <row r="256" spans="2:17" ht="18.75" x14ac:dyDescent="0.25">
      <c r="B256" s="80" t="s">
        <v>668</v>
      </c>
      <c r="C256" s="390">
        <f>-C260*C261/2</f>
        <v>-125.43338816925777</v>
      </c>
      <c r="D256" s="80" t="s">
        <v>669</v>
      </c>
      <c r="E256" s="4"/>
      <c r="F256" s="80" t="s">
        <v>668</v>
      </c>
      <c r="G256" s="390">
        <f>-G260*G261</f>
        <v>-283.20730705222564</v>
      </c>
      <c r="H256" s="80" t="s">
        <v>669</v>
      </c>
      <c r="I256" s="4"/>
      <c r="J256" s="80" t="s">
        <v>668</v>
      </c>
      <c r="K256" s="390">
        <f>C256+G256</f>
        <v>-408.64069522148338</v>
      </c>
      <c r="L256" s="80" t="s">
        <v>669</v>
      </c>
    </row>
    <row r="257" spans="2:12" x14ac:dyDescent="0.25">
      <c r="B257" s="80"/>
      <c r="C257" s="390"/>
      <c r="D257" s="80"/>
      <c r="E257" s="4"/>
      <c r="F257" s="80"/>
      <c r="G257" s="390"/>
      <c r="H257" s="80"/>
      <c r="I257" s="4"/>
      <c r="J257" s="80"/>
      <c r="K257" s="390"/>
      <c r="L257" s="80"/>
    </row>
    <row r="258" spans="2:12" ht="18.75" x14ac:dyDescent="0.25">
      <c r="B258" s="80" t="s">
        <v>694</v>
      </c>
      <c r="C258" s="390">
        <f>-C256</f>
        <v>125.43338816925777</v>
      </c>
      <c r="D258" s="80" t="s">
        <v>669</v>
      </c>
      <c r="E258" s="4"/>
      <c r="F258" s="80" t="s">
        <v>694</v>
      </c>
      <c r="G258" s="390">
        <f>-G256</f>
        <v>283.20730705222564</v>
      </c>
      <c r="H258" s="80" t="s">
        <v>669</v>
      </c>
      <c r="I258" s="4"/>
      <c r="J258" s="80" t="s">
        <v>694</v>
      </c>
      <c r="K258" s="390">
        <f>C258+G258</f>
        <v>408.64069522148338</v>
      </c>
      <c r="L258" s="80" t="s">
        <v>669</v>
      </c>
    </row>
    <row r="259" spans="2:12" x14ac:dyDescent="0.25"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2:12" ht="18.75" x14ac:dyDescent="0.25">
      <c r="B260" s="80" t="s">
        <v>671</v>
      </c>
      <c r="C260" s="104">
        <f>ABS(MAX('FOGLIO DEPOSITO'!C159,'FOGLIO DEPOSITO'!F157)-MIN('FOGLIO DEPOSITO'!C159,'FOGLIO DEPOSITO'!F157))</f>
        <v>91.224282304914738</v>
      </c>
      <c r="D260" s="80" t="s">
        <v>661</v>
      </c>
      <c r="E260" s="4"/>
      <c r="F260" s="80" t="s">
        <v>672</v>
      </c>
      <c r="G260" s="104">
        <f>ABS(IF('FOGLIO DEPOSITO'!F157&lt;0,MAX('FOGLIO DEPOSITO'!C159,'FOGLIO DEPOSITO'!F157),MIN('FOGLIO DEPOSITO'!C159,'FOGLIO DEPOSITO'!F157)))</f>
        <v>102.98447529171841</v>
      </c>
      <c r="H260" s="80" t="s">
        <v>661</v>
      </c>
      <c r="I260" s="4"/>
      <c r="J260" s="4"/>
      <c r="K260" s="4"/>
      <c r="L260" s="4"/>
    </row>
    <row r="261" spans="2:12" ht="18.75" x14ac:dyDescent="0.25">
      <c r="B261" s="105" t="s">
        <v>673</v>
      </c>
      <c r="C261" s="104">
        <f>'FOGLIO DEPOSITO'!D120-'FOGLIO DEPOSITO'!D124/2</f>
        <v>2.75</v>
      </c>
      <c r="D261" s="80" t="s">
        <v>236</v>
      </c>
      <c r="E261" s="4"/>
      <c r="F261" s="105" t="s">
        <v>673</v>
      </c>
      <c r="G261" s="104">
        <f>C261</f>
        <v>2.75</v>
      </c>
      <c r="H261" s="80" t="s">
        <v>236</v>
      </c>
      <c r="I261" s="4"/>
      <c r="J261" s="4"/>
      <c r="K261" s="4"/>
      <c r="L261" s="4"/>
    </row>
    <row r="262" spans="2:12" ht="18.75" x14ac:dyDescent="0.25">
      <c r="B262" s="105" t="s">
        <v>304</v>
      </c>
      <c r="C262" s="106">
        <f>22000*((0.83*C283+8)/10)^0.3*1000</f>
        <v>31447161.439943485</v>
      </c>
      <c r="D262" s="80" t="s">
        <v>674</v>
      </c>
      <c r="E262" s="4"/>
      <c r="F262" s="105" t="s">
        <v>304</v>
      </c>
      <c r="G262" s="106">
        <f>C262</f>
        <v>31447161.439943485</v>
      </c>
      <c r="H262" s="80" t="s">
        <v>674</v>
      </c>
      <c r="I262" s="4"/>
      <c r="J262" s="4"/>
      <c r="K262" s="4"/>
      <c r="L262" s="4"/>
    </row>
    <row r="263" spans="2:12" ht="18.75" x14ac:dyDescent="0.25">
      <c r="B263" s="105" t="s">
        <v>675</v>
      </c>
      <c r="C263" s="104">
        <f>'FOGLIO DEPOSITO'!D121^3*1/12</f>
        <v>1.0416666666666666E-2</v>
      </c>
      <c r="D263" s="80" t="s">
        <v>676</v>
      </c>
      <c r="E263" s="4"/>
      <c r="F263" s="105" t="s">
        <v>675</v>
      </c>
      <c r="G263" s="104">
        <f>C263</f>
        <v>1.0416666666666666E-2</v>
      </c>
      <c r="H263" s="80" t="s">
        <v>676</v>
      </c>
      <c r="I263" s="4"/>
      <c r="J263" s="4"/>
      <c r="K263" s="4"/>
      <c r="L263" s="4"/>
    </row>
    <row r="264" spans="2:12" x14ac:dyDescent="0.25"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2:12" x14ac:dyDescent="0.25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</row>
    <row r="266" spans="2:12" ht="15.75" x14ac:dyDescent="0.25">
      <c r="B266" s="14" t="s">
        <v>695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</row>
    <row r="267" spans="2:12" x14ac:dyDescent="0.25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</row>
    <row r="268" spans="2:12" x14ac:dyDescent="0.25">
      <c r="B268" s="117" t="s">
        <v>663</v>
      </c>
      <c r="C268" s="23"/>
      <c r="D268" s="23"/>
      <c r="E268" s="2"/>
      <c r="F268" s="117" t="s">
        <v>664</v>
      </c>
      <c r="G268" s="23"/>
      <c r="H268" s="23"/>
      <c r="I268" s="2"/>
      <c r="J268" s="117" t="s">
        <v>665</v>
      </c>
      <c r="K268" s="2"/>
      <c r="L268" s="2"/>
    </row>
    <row r="269" spans="2:12" x14ac:dyDescent="0.25">
      <c r="B269" s="23"/>
      <c r="C269" s="23"/>
      <c r="D269" s="23"/>
      <c r="E269" s="2"/>
      <c r="F269" s="23"/>
      <c r="G269" s="23"/>
      <c r="H269" s="23"/>
      <c r="I269" s="2"/>
      <c r="J269" s="2"/>
      <c r="K269" s="2"/>
      <c r="L269" s="2"/>
    </row>
    <row r="270" spans="2:12" ht="18.75" x14ac:dyDescent="0.25">
      <c r="B270" s="80" t="s">
        <v>666</v>
      </c>
      <c r="C270" s="390">
        <f>-C275*C276^2/6</f>
        <v>-3.0182749712207606</v>
      </c>
      <c r="D270" s="80" t="s">
        <v>667</v>
      </c>
      <c r="E270" s="2"/>
      <c r="F270" s="80" t="s">
        <v>666</v>
      </c>
      <c r="G270" s="390">
        <f>-G275*G276^2/2</f>
        <v>-17.658902656785781</v>
      </c>
      <c r="H270" s="80" t="s">
        <v>667</v>
      </c>
      <c r="I270" s="2"/>
      <c r="J270" s="80" t="s">
        <v>666</v>
      </c>
      <c r="K270" s="390">
        <f>C270+G270</f>
        <v>-20.67717762800654</v>
      </c>
      <c r="L270" s="80" t="s">
        <v>667</v>
      </c>
    </row>
    <row r="271" spans="2:12" ht="18.75" x14ac:dyDescent="0.25">
      <c r="B271" s="80" t="s">
        <v>668</v>
      </c>
      <c r="C271" s="390">
        <f>-C275*C276/2</f>
        <v>-13.930499867172745</v>
      </c>
      <c r="D271" s="80" t="s">
        <v>669</v>
      </c>
      <c r="E271" s="2"/>
      <c r="F271" s="80" t="s">
        <v>668</v>
      </c>
      <c r="G271" s="390">
        <f>-G275*G276</f>
        <v>-54.335085097802413</v>
      </c>
      <c r="H271" s="80" t="s">
        <v>669</v>
      </c>
      <c r="I271" s="2"/>
      <c r="J271" s="80" t="s">
        <v>668</v>
      </c>
      <c r="K271" s="390">
        <f>C271+G271</f>
        <v>-68.265584964975162</v>
      </c>
      <c r="L271" s="80" t="s">
        <v>669</v>
      </c>
    </row>
    <row r="272" spans="2:12" x14ac:dyDescent="0.25">
      <c r="B272" s="80"/>
      <c r="C272" s="390"/>
      <c r="D272" s="80"/>
      <c r="E272" s="2"/>
      <c r="F272" s="80"/>
      <c r="G272" s="390"/>
      <c r="H272" s="80"/>
      <c r="I272" s="2"/>
      <c r="J272" s="80"/>
      <c r="K272" s="390"/>
      <c r="L272" s="80"/>
    </row>
    <row r="273" spans="2:12" ht="18.75" x14ac:dyDescent="0.25">
      <c r="B273" s="80" t="s">
        <v>694</v>
      </c>
      <c r="C273" s="390">
        <f>-C271</f>
        <v>13.930499867172745</v>
      </c>
      <c r="D273" s="80" t="s">
        <v>669</v>
      </c>
      <c r="E273" s="2"/>
      <c r="F273" s="80" t="s">
        <v>694</v>
      </c>
      <c r="G273" s="390">
        <f>-G271</f>
        <v>54.335085097802413</v>
      </c>
      <c r="H273" s="80" t="s">
        <v>669</v>
      </c>
      <c r="I273" s="2"/>
      <c r="J273" s="80" t="s">
        <v>694</v>
      </c>
      <c r="K273" s="390">
        <f>C273+G273</f>
        <v>68.265584964975162</v>
      </c>
      <c r="L273" s="80" t="s">
        <v>669</v>
      </c>
    </row>
    <row r="274" spans="2:12" x14ac:dyDescent="0.25">
      <c r="B274" s="2"/>
      <c r="C274" s="2"/>
      <c r="D274" s="2"/>
      <c r="E274" s="2"/>
      <c r="F274" s="2"/>
      <c r="G274" s="2"/>
      <c r="H274" s="2"/>
      <c r="I274" s="2"/>
      <c r="J274" s="23"/>
      <c r="K274" s="393"/>
      <c r="L274" s="23"/>
    </row>
    <row r="275" spans="2:12" ht="18.75" x14ac:dyDescent="0.25">
      <c r="B275" s="80" t="s">
        <v>671</v>
      </c>
      <c r="C275" s="104">
        <f>ABS(MAX('FOGLIO DEPOSITO'!E152,'FOGLIO DEPOSITO'!G150)-MIN('FOGLIO DEPOSITO'!E152,'FOGLIO DEPOSITO'!G150))</f>
        <v>42.863076514377681</v>
      </c>
      <c r="D275" s="60" t="s">
        <v>661</v>
      </c>
      <c r="E275" s="2"/>
      <c r="F275" s="80" t="s">
        <v>672</v>
      </c>
      <c r="G275" s="104">
        <f>ABS(IF('FOGLIO DEPOSITO'!E152&lt;0,MAX('FOGLIO DEPOSITO'!E152,'FOGLIO DEPOSITO'!G150),MIN('FOGLIO DEPOSITO'!E152,'FOGLIO DEPOSITO'!G150)))</f>
        <v>83.592438612003718</v>
      </c>
      <c r="H275" s="60" t="s">
        <v>661</v>
      </c>
      <c r="I275" s="2"/>
      <c r="J275" s="23"/>
      <c r="K275" s="393"/>
      <c r="L275" s="23"/>
    </row>
    <row r="276" spans="2:12" ht="18.75" x14ac:dyDescent="0.25">
      <c r="B276" s="105" t="s">
        <v>673</v>
      </c>
      <c r="C276" s="104">
        <f>'FOGLIO DEPOSITO'!D119-'FOGLIO DEPOSITO'!D124/2</f>
        <v>0.64999999999999991</v>
      </c>
      <c r="D276" s="60" t="s">
        <v>236</v>
      </c>
      <c r="E276" s="2"/>
      <c r="F276" s="105" t="s">
        <v>673</v>
      </c>
      <c r="G276" s="104">
        <f>C276</f>
        <v>0.64999999999999991</v>
      </c>
      <c r="H276" s="60" t="s">
        <v>236</v>
      </c>
      <c r="I276" s="2"/>
      <c r="J276" s="2"/>
      <c r="K276" s="2"/>
      <c r="L276" s="2"/>
    </row>
    <row r="277" spans="2:12" ht="18.75" x14ac:dyDescent="0.25">
      <c r="B277" s="105" t="s">
        <v>304</v>
      </c>
      <c r="C277" s="106">
        <f>22000*((0.83*C283+8)/10)^0.3*1000</f>
        <v>31447161.439943485</v>
      </c>
      <c r="D277" s="60" t="s">
        <v>674</v>
      </c>
      <c r="E277" s="2"/>
      <c r="F277" s="105" t="s">
        <v>304</v>
      </c>
      <c r="G277" s="106">
        <f>C277</f>
        <v>31447161.439943485</v>
      </c>
      <c r="H277" s="60" t="s">
        <v>674</v>
      </c>
      <c r="I277" s="2"/>
      <c r="J277" s="2"/>
      <c r="K277" s="2"/>
      <c r="L277" s="2"/>
    </row>
    <row r="278" spans="2:12" ht="18.75" x14ac:dyDescent="0.25">
      <c r="B278" s="105" t="s">
        <v>675</v>
      </c>
      <c r="C278" s="118">
        <f>G263</f>
        <v>1.0416666666666666E-2</v>
      </c>
      <c r="D278" s="60" t="s">
        <v>676</v>
      </c>
      <c r="E278" s="2"/>
      <c r="F278" s="105" t="s">
        <v>675</v>
      </c>
      <c r="G278" s="118">
        <f>G263</f>
        <v>1.0416666666666666E-2</v>
      </c>
      <c r="H278" s="60" t="s">
        <v>676</v>
      </c>
      <c r="I278" s="2"/>
      <c r="J278" s="2"/>
      <c r="K278" s="2"/>
      <c r="L278" s="2"/>
    </row>
    <row r="279" spans="2:12" x14ac:dyDescent="0.25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</row>
    <row r="280" spans="2:12" x14ac:dyDescent="0.25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</row>
    <row r="281" spans="2:12" ht="15.75" x14ac:dyDescent="0.25">
      <c r="B281" s="14" t="s">
        <v>696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</row>
    <row r="282" spans="2:12" ht="15.75" thickBot="1" x14ac:dyDescent="0.3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</row>
    <row r="283" spans="2:12" ht="18.75" thickTop="1" thickBot="1" x14ac:dyDescent="0.3">
      <c r="B283" s="381" t="s">
        <v>677</v>
      </c>
      <c r="C283" s="66">
        <v>30</v>
      </c>
      <c r="D283" s="4" t="s">
        <v>678</v>
      </c>
      <c r="E283" s="2"/>
      <c r="F283" s="2"/>
      <c r="G283" s="2"/>
      <c r="H283" s="2"/>
      <c r="I283" s="2"/>
      <c r="J283" s="2"/>
      <c r="K283" s="2"/>
      <c r="L283" s="2"/>
    </row>
    <row r="284" spans="2:12" ht="18.75" thickTop="1" thickBot="1" x14ac:dyDescent="0.3">
      <c r="B284" s="381" t="s">
        <v>679</v>
      </c>
      <c r="C284" s="66">
        <v>450</v>
      </c>
      <c r="D284" s="4" t="s">
        <v>678</v>
      </c>
      <c r="E284" s="2"/>
      <c r="F284" s="2"/>
      <c r="G284" s="2"/>
      <c r="H284" s="2"/>
      <c r="I284" s="2"/>
      <c r="J284" s="2"/>
      <c r="K284" s="2"/>
      <c r="L284" s="2"/>
    </row>
    <row r="285" spans="2:12" ht="16.5" thickTop="1" thickBot="1" x14ac:dyDescent="0.3">
      <c r="B285" s="389" t="s">
        <v>680</v>
      </c>
      <c r="C285" s="66">
        <v>60</v>
      </c>
      <c r="D285" s="4" t="s">
        <v>670</v>
      </c>
      <c r="E285" s="2"/>
      <c r="F285" s="2"/>
      <c r="G285" s="2"/>
      <c r="H285" s="2"/>
      <c r="I285" s="2"/>
      <c r="J285" s="2"/>
      <c r="K285" s="2"/>
      <c r="L285" s="2"/>
    </row>
    <row r="286" spans="2:12" ht="15.75" thickTop="1" x14ac:dyDescent="0.25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</row>
    <row r="287" spans="2:12" x14ac:dyDescent="0.25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</row>
    <row r="288" spans="2:12" ht="15.75" x14ac:dyDescent="0.25">
      <c r="B288" s="14" t="s">
        <v>697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</row>
    <row r="289" spans="2:12" ht="15.75" thickBot="1" x14ac:dyDescent="0.3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</row>
    <row r="290" spans="2:12" ht="16.5" thickTop="1" thickBot="1" x14ac:dyDescent="0.3">
      <c r="B290" s="1015" t="s">
        <v>681</v>
      </c>
      <c r="C290" s="1015"/>
      <c r="D290" s="1015"/>
      <c r="E290" s="81">
        <v>16</v>
      </c>
      <c r="F290" s="82">
        <v>10</v>
      </c>
      <c r="G290" s="2"/>
      <c r="H290" s="2"/>
      <c r="I290" s="2"/>
      <c r="J290" s="2"/>
      <c r="K290" s="2"/>
      <c r="L290" s="2"/>
    </row>
    <row r="291" spans="2:12" ht="15.75" thickTop="1" x14ac:dyDescent="0.25">
      <c r="B291" s="84"/>
      <c r="C291" s="84"/>
      <c r="D291" s="83"/>
      <c r="E291" s="83"/>
      <c r="F291" s="83"/>
      <c r="G291" s="107"/>
      <c r="H291" s="2"/>
      <c r="I291" s="2"/>
      <c r="J291" s="2"/>
      <c r="K291" s="2"/>
      <c r="L291" s="2"/>
    </row>
    <row r="292" spans="2:12" x14ac:dyDescent="0.25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</row>
    <row r="293" spans="2:12" ht="17.25" x14ac:dyDescent="0.25">
      <c r="B293" s="108" t="s">
        <v>682</v>
      </c>
      <c r="C293" s="109">
        <f>-K255*10^6/(0.9*C284/1.15*('FOGLIO DEPOSITO'!D124*1000-C285))</f>
        <v>23870.339546149145</v>
      </c>
      <c r="D293" s="1016" t="str">
        <f>IF(G293&gt;=C293,"VERIFICATO","NON VERIFICATO")</f>
        <v>NON VERIFICATO</v>
      </c>
      <c r="E293" s="1017"/>
      <c r="F293" s="61" t="s">
        <v>683</v>
      </c>
      <c r="G293" s="110">
        <f>(C261*100)/F290*(E290/2)^2*PI()</f>
        <v>5529.2030703180362</v>
      </c>
      <c r="H293" s="2"/>
      <c r="I293" s="2"/>
      <c r="J293" s="2"/>
      <c r="K293" s="2"/>
      <c r="L293" s="2"/>
    </row>
    <row r="294" spans="2:12" x14ac:dyDescent="0.25">
      <c r="B294" s="57"/>
      <c r="C294" s="111"/>
      <c r="D294" s="112"/>
      <c r="E294" s="112"/>
      <c r="F294" s="57"/>
      <c r="G294" s="111"/>
      <c r="H294" s="2"/>
      <c r="I294" s="2"/>
      <c r="J294" s="2"/>
      <c r="K294" s="2"/>
      <c r="L294" s="2"/>
    </row>
    <row r="295" spans="2:12" x14ac:dyDescent="0.25">
      <c r="B295" s="2"/>
      <c r="C295" s="2"/>
      <c r="D295" s="2"/>
      <c r="E295" s="2"/>
      <c r="F295" s="7"/>
      <c r="G295" s="2"/>
      <c r="H295" s="2"/>
      <c r="I295" s="2"/>
      <c r="J295" s="2"/>
      <c r="K295" s="2"/>
      <c r="L295" s="2"/>
    </row>
    <row r="296" spans="2:12" ht="15.75" x14ac:dyDescent="0.25">
      <c r="B296" s="14" t="s">
        <v>698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</row>
    <row r="297" spans="2:12" ht="15.75" thickBot="1" x14ac:dyDescent="0.3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</row>
    <row r="298" spans="2:12" ht="16.5" thickTop="1" thickBot="1" x14ac:dyDescent="0.3">
      <c r="B298" s="1015" t="s">
        <v>684</v>
      </c>
      <c r="C298" s="1015"/>
      <c r="D298" s="1015"/>
      <c r="E298" s="81">
        <v>12</v>
      </c>
      <c r="F298" s="82">
        <v>20</v>
      </c>
      <c r="G298" s="2"/>
      <c r="H298" s="2"/>
      <c r="I298" s="2"/>
      <c r="J298" s="2"/>
      <c r="K298" s="2"/>
      <c r="L298" s="2"/>
    </row>
    <row r="299" spans="2:12" ht="15.75" thickTop="1" x14ac:dyDescent="0.25"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</row>
    <row r="300" spans="2:12" ht="17.25" x14ac:dyDescent="0.25">
      <c r="B300" s="396" t="s">
        <v>685</v>
      </c>
      <c r="C300" s="110">
        <f>G293*0.2</f>
        <v>1105.8406140636073</v>
      </c>
      <c r="D300" s="1019" t="str">
        <f>IF(G300&gt;=C300,"VERIFICATO","NON VERIFICATO")</f>
        <v>VERIFICATO</v>
      </c>
      <c r="E300" s="1017"/>
      <c r="F300" s="108" t="s">
        <v>683</v>
      </c>
      <c r="G300" s="110">
        <f>(C261*100)/F298*(E298/2)^2*PI()</f>
        <v>1555.0883635269477</v>
      </c>
      <c r="H300" s="2"/>
      <c r="I300" s="2"/>
      <c r="J300" s="2"/>
      <c r="K300" s="2"/>
      <c r="L300" s="2"/>
    </row>
    <row r="301" spans="2:12" x14ac:dyDescent="0.25">
      <c r="B301" s="113"/>
      <c r="C301" s="111"/>
      <c r="D301" s="112"/>
      <c r="E301" s="112"/>
      <c r="F301" s="57"/>
      <c r="G301" s="111"/>
      <c r="H301" s="2"/>
      <c r="I301" s="2"/>
      <c r="J301" s="2"/>
      <c r="K301" s="2"/>
      <c r="L301" s="2"/>
    </row>
    <row r="302" spans="2:12" ht="15.75" x14ac:dyDescent="0.25">
      <c r="B302" s="14"/>
      <c r="C302" s="2"/>
      <c r="D302" s="2"/>
      <c r="E302" s="2"/>
      <c r="F302" s="2"/>
      <c r="G302" s="2"/>
      <c r="H302" s="2"/>
      <c r="I302" s="2"/>
      <c r="J302" s="2"/>
      <c r="K302" s="2"/>
      <c r="L302" s="2"/>
    </row>
    <row r="303" spans="2:12" ht="15.75" x14ac:dyDescent="0.25">
      <c r="B303" s="14" t="s">
        <v>699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</row>
    <row r="304" spans="2:12" x14ac:dyDescent="0.25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</row>
    <row r="305" spans="2:12" x14ac:dyDescent="0.25">
      <c r="B305" s="2"/>
      <c r="C305" s="2"/>
      <c r="D305" s="2"/>
      <c r="E305" s="2"/>
      <c r="F305" s="57"/>
      <c r="G305" s="2"/>
      <c r="H305" s="2"/>
      <c r="I305" s="2"/>
      <c r="J305" s="2"/>
      <c r="K305" s="2"/>
      <c r="L305" s="2"/>
    </row>
    <row r="306" spans="2:12" x14ac:dyDescent="0.25">
      <c r="B306" s="2"/>
      <c r="C306" s="2"/>
      <c r="D306" s="2"/>
      <c r="E306" s="2"/>
      <c r="F306" s="57"/>
      <c r="G306" s="2"/>
      <c r="H306" s="2"/>
      <c r="I306" s="2"/>
      <c r="J306" s="2"/>
      <c r="K306" s="2"/>
      <c r="L306" s="2"/>
    </row>
    <row r="307" spans="2:12" x14ac:dyDescent="0.25">
      <c r="B307" s="2"/>
      <c r="C307" s="2"/>
      <c r="D307" s="2"/>
      <c r="E307" s="2"/>
      <c r="F307" s="57"/>
      <c r="G307" s="2"/>
      <c r="H307" s="2"/>
      <c r="I307" s="2"/>
      <c r="J307" s="2"/>
      <c r="K307" s="2"/>
      <c r="L307" s="2"/>
    </row>
    <row r="308" spans="2:12" x14ac:dyDescent="0.25">
      <c r="B308" s="2"/>
      <c r="C308" s="2"/>
      <c r="D308" s="2"/>
      <c r="E308" s="2"/>
      <c r="F308" s="113"/>
      <c r="G308" s="23"/>
      <c r="H308" s="23"/>
      <c r="I308" s="2"/>
      <c r="J308" s="2"/>
      <c r="K308" s="2"/>
      <c r="L308" s="2"/>
    </row>
    <row r="309" spans="2:12" x14ac:dyDescent="0.25">
      <c r="B309" s="2"/>
      <c r="C309" s="2"/>
      <c r="D309" s="2"/>
      <c r="E309" s="2"/>
      <c r="F309" s="2"/>
      <c r="G309" s="119"/>
      <c r="H309" s="119"/>
      <c r="I309" s="2"/>
      <c r="J309" s="2"/>
      <c r="K309" s="2"/>
      <c r="L309" s="2"/>
    </row>
    <row r="310" spans="2:12" ht="18" x14ac:dyDescent="0.25">
      <c r="B310" s="114" t="s">
        <v>687</v>
      </c>
      <c r="C310" s="882">
        <f>(0.18*C314*(100*C313*C283*0.83)^(1/3)/1.5*1000*('FOGLIO DEPOSITO'!D124*1000-C285))/1000</f>
        <v>89.821220026180342</v>
      </c>
      <c r="D310" s="882"/>
      <c r="E310" s="2"/>
      <c r="F310" s="2"/>
      <c r="G310" s="120"/>
      <c r="H310" s="393"/>
      <c r="I310" s="2"/>
      <c r="J310" s="2"/>
      <c r="K310" s="2"/>
      <c r="L310" s="2"/>
    </row>
    <row r="311" spans="2:12" ht="18" x14ac:dyDescent="0.25">
      <c r="B311" s="114" t="s">
        <v>688</v>
      </c>
      <c r="C311" s="882">
        <f>ABS(K256)</f>
        <v>408.64069522148338</v>
      </c>
      <c r="D311" s="882"/>
      <c r="E311" s="2"/>
      <c r="F311" s="2"/>
      <c r="G311" s="120"/>
      <c r="H311" s="393"/>
      <c r="I311" s="2"/>
      <c r="J311" s="2"/>
      <c r="K311" s="2"/>
      <c r="L311" s="2"/>
    </row>
    <row r="312" spans="2:12" ht="18" x14ac:dyDescent="0.25">
      <c r="B312" s="114" t="s">
        <v>689</v>
      </c>
      <c r="C312" s="1020" t="str">
        <f>IF(C310&gt;=C315,IF(C310&gt;=-K256,"VERIFICATO","NON VERIFICATO"),"NON VERIFICATO")</f>
        <v>NON VERIFICATO</v>
      </c>
      <c r="D312" s="1020"/>
      <c r="E312" s="2"/>
      <c r="F312" s="2"/>
      <c r="G312" s="120"/>
      <c r="H312" s="393"/>
      <c r="I312" s="2"/>
      <c r="J312" s="2"/>
      <c r="K312" s="2"/>
      <c r="L312" s="2"/>
    </row>
    <row r="313" spans="2:12" ht="18" x14ac:dyDescent="0.25">
      <c r="B313" s="115" t="s">
        <v>690</v>
      </c>
      <c r="C313" s="1018">
        <f>G293/(1000*('FOGLIO DEPOSITO'!D124*1000+'Foglio deposito bis'!E40))</f>
        <v>3.4557519189487726E-2</v>
      </c>
      <c r="D313" s="1018"/>
      <c r="E313" s="2"/>
      <c r="F313" s="2"/>
      <c r="G313" s="120"/>
      <c r="H313" s="393"/>
      <c r="I313" s="2"/>
      <c r="J313" s="2"/>
      <c r="K313" s="2"/>
      <c r="L313" s="2"/>
    </row>
    <row r="314" spans="2:12" x14ac:dyDescent="0.25">
      <c r="B314" s="80" t="s">
        <v>691</v>
      </c>
      <c r="C314" s="1018">
        <f>1+(200/('FOGLIO DEPOSITO'!D124*1000-C285))^0.5</f>
        <v>2.825741858350554</v>
      </c>
      <c r="D314" s="1018"/>
      <c r="E314" s="2"/>
      <c r="F314" s="2"/>
      <c r="G314" s="120"/>
      <c r="H314" s="393"/>
      <c r="I314" s="2"/>
      <c r="J314" s="2"/>
      <c r="K314" s="2"/>
      <c r="L314" s="2"/>
    </row>
    <row r="315" spans="2:12" ht="18" x14ac:dyDescent="0.25">
      <c r="B315" s="80" t="s">
        <v>692</v>
      </c>
      <c r="C315" s="882">
        <f>(0.035*C314^(3/2)*(C283*0.83)^0.5*1000*('FOGLIO DEPOSITO'!D124*1000-C285))/1000</f>
        <v>49.775736615171269</v>
      </c>
      <c r="D315" s="882"/>
      <c r="E315" s="2"/>
      <c r="F315" s="2"/>
      <c r="G315" s="120"/>
      <c r="H315" s="393"/>
      <c r="I315" s="2"/>
      <c r="J315" s="2"/>
      <c r="K315" s="2"/>
      <c r="L315" s="2"/>
    </row>
    <row r="316" spans="2:12" x14ac:dyDescent="0.25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</row>
    <row r="317" spans="2:12" x14ac:dyDescent="0.25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</row>
    <row r="318" spans="2:12" ht="15.75" x14ac:dyDescent="0.25">
      <c r="B318" s="14" t="s">
        <v>700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</row>
    <row r="319" spans="2:12" ht="15.75" thickBot="1" x14ac:dyDescent="0.3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</row>
    <row r="320" spans="2:12" ht="16.5" thickTop="1" thickBot="1" x14ac:dyDescent="0.3">
      <c r="B320" s="1015" t="s">
        <v>681</v>
      </c>
      <c r="C320" s="1015"/>
      <c r="D320" s="1023"/>
      <c r="E320" s="81">
        <v>16</v>
      </c>
      <c r="F320" s="82">
        <v>10</v>
      </c>
      <c r="G320" s="2"/>
      <c r="H320" s="2"/>
      <c r="I320" s="23"/>
      <c r="J320" s="23"/>
      <c r="K320" s="23"/>
      <c r="L320" s="23"/>
    </row>
    <row r="321" spans="2:12" ht="15.75" thickTop="1" x14ac:dyDescent="0.25">
      <c r="B321" s="84"/>
      <c r="C321" s="84"/>
      <c r="D321" s="83"/>
      <c r="E321" s="83"/>
      <c r="F321" s="83"/>
      <c r="G321" s="107"/>
      <c r="H321" s="2"/>
      <c r="I321" s="2"/>
      <c r="J321" s="2"/>
      <c r="K321" s="2"/>
      <c r="L321" s="23"/>
    </row>
    <row r="322" spans="2:12" x14ac:dyDescent="0.25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3"/>
    </row>
    <row r="323" spans="2:12" ht="17.25" x14ac:dyDescent="0.25">
      <c r="B323" s="108" t="s">
        <v>682</v>
      </c>
      <c r="C323" s="109">
        <f>-K270*10^6/(0.9*C284/1.15*('FOGLIO DEPOSITO'!D124*1000-C285))</f>
        <v>978.54955852705825</v>
      </c>
      <c r="D323" s="1016" t="str">
        <f>IF(G323&gt;=C323,"VERIFICATO","NON VERIFICATO")</f>
        <v>VERIFICATO</v>
      </c>
      <c r="E323" s="1017"/>
      <c r="F323" s="61" t="s">
        <v>683</v>
      </c>
      <c r="G323" s="110">
        <f>(C276*100)/F320*(E320/2)^2*PI()</f>
        <v>1306.9025438933536</v>
      </c>
      <c r="H323" s="2"/>
      <c r="I323" s="23"/>
      <c r="J323" s="393"/>
      <c r="K323" s="23"/>
      <c r="L323" s="23"/>
    </row>
    <row r="324" spans="2:12" x14ac:dyDescent="0.25">
      <c r="B324" s="57"/>
      <c r="C324" s="111"/>
      <c r="D324" s="112"/>
      <c r="E324" s="112"/>
      <c r="F324" s="57"/>
      <c r="G324" s="111"/>
      <c r="H324" s="2"/>
      <c r="I324" s="23"/>
      <c r="J324" s="393"/>
      <c r="K324" s="23"/>
      <c r="L324" s="23"/>
    </row>
    <row r="325" spans="2:12" x14ac:dyDescent="0.25">
      <c r="B325" s="2"/>
      <c r="C325" s="2"/>
      <c r="D325" s="2"/>
      <c r="E325" s="2"/>
      <c r="F325" s="7"/>
      <c r="G325" s="2"/>
      <c r="H325" s="2"/>
      <c r="I325" s="2"/>
      <c r="J325" s="2"/>
      <c r="K325" s="2"/>
      <c r="L325" s="2"/>
    </row>
    <row r="326" spans="2:12" ht="15.75" x14ac:dyDescent="0.25">
      <c r="B326" s="14" t="s">
        <v>701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</row>
    <row r="327" spans="2:12" ht="15.75" thickBot="1" x14ac:dyDescent="0.3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</row>
    <row r="328" spans="2:12" ht="16.5" thickTop="1" thickBot="1" x14ac:dyDescent="0.3">
      <c r="B328" s="1015" t="s">
        <v>684</v>
      </c>
      <c r="C328" s="1015"/>
      <c r="D328" s="1023"/>
      <c r="E328" s="81">
        <v>12</v>
      </c>
      <c r="F328" s="82">
        <v>20</v>
      </c>
      <c r="G328" s="2"/>
      <c r="H328" s="2"/>
      <c r="I328" s="2"/>
      <c r="J328" s="2"/>
      <c r="K328" s="2"/>
      <c r="L328" s="2"/>
    </row>
    <row r="329" spans="2:12" ht="15.75" thickTop="1" x14ac:dyDescent="0.25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</row>
    <row r="330" spans="2:12" ht="17.25" x14ac:dyDescent="0.25">
      <c r="B330" s="396" t="s">
        <v>685</v>
      </c>
      <c r="C330" s="110">
        <f>G323*0.2</f>
        <v>261.38050877867073</v>
      </c>
      <c r="D330" s="1016" t="str">
        <f>IF(G330&gt;=C330,"VERIFICATO","NON VERIFICATO")</f>
        <v>VERIFICATO</v>
      </c>
      <c r="E330" s="1017"/>
      <c r="F330" s="108" t="s">
        <v>683</v>
      </c>
      <c r="G330" s="110">
        <f>(C276*100)/F328*(E328/2)^2*PI()</f>
        <v>367.56634047000568</v>
      </c>
      <c r="H330" s="2"/>
      <c r="I330" s="2"/>
      <c r="J330" s="2"/>
      <c r="K330" s="2"/>
      <c r="L330" s="2"/>
    </row>
    <row r="331" spans="2:12" x14ac:dyDescent="0.25">
      <c r="B331" s="113"/>
      <c r="C331" s="111"/>
      <c r="D331" s="112"/>
      <c r="E331" s="112"/>
      <c r="F331" s="57"/>
      <c r="G331" s="111"/>
      <c r="H331" s="2"/>
      <c r="I331" s="2"/>
      <c r="J331" s="2"/>
      <c r="K331" s="2"/>
      <c r="L331" s="2"/>
    </row>
    <row r="332" spans="2:12" ht="15.75" x14ac:dyDescent="0.25">
      <c r="B332" s="14"/>
      <c r="C332" s="2"/>
      <c r="D332" s="2"/>
      <c r="E332" s="2"/>
      <c r="F332" s="2"/>
      <c r="G332" s="2"/>
      <c r="H332" s="2"/>
      <c r="I332" s="2"/>
      <c r="J332" s="2"/>
      <c r="K332" s="2"/>
      <c r="L332" s="2"/>
    </row>
    <row r="333" spans="2:12" ht="15.75" x14ac:dyDescent="0.25">
      <c r="B333" s="14" t="s">
        <v>702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</row>
    <row r="334" spans="2:12" x14ac:dyDescent="0.25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</row>
    <row r="335" spans="2:12" x14ac:dyDescent="0.25">
      <c r="B335" s="2"/>
      <c r="C335" s="2"/>
      <c r="D335" s="2"/>
      <c r="E335" s="2"/>
      <c r="F335" s="57"/>
      <c r="G335" s="2"/>
      <c r="H335" s="2"/>
      <c r="I335" s="2"/>
      <c r="J335" s="2"/>
      <c r="K335" s="2"/>
      <c r="L335" s="2"/>
    </row>
    <row r="336" spans="2:12" x14ac:dyDescent="0.25">
      <c r="B336" s="2"/>
      <c r="C336" s="2"/>
      <c r="D336" s="2"/>
      <c r="E336" s="2"/>
      <c r="F336" s="57"/>
      <c r="G336" s="2"/>
      <c r="H336" s="2"/>
      <c r="I336" s="2"/>
      <c r="J336" s="2"/>
      <c r="K336" s="2"/>
      <c r="L336" s="2"/>
    </row>
    <row r="337" spans="2:12" x14ac:dyDescent="0.25">
      <c r="B337" s="2"/>
      <c r="C337" s="2"/>
      <c r="D337" s="2"/>
      <c r="E337" s="2"/>
      <c r="F337" s="57"/>
      <c r="G337" s="2"/>
      <c r="H337" s="2"/>
      <c r="I337" s="2"/>
      <c r="J337" s="2"/>
      <c r="K337" s="2"/>
      <c r="L337" s="2"/>
    </row>
    <row r="338" spans="2:12" x14ac:dyDescent="0.25">
      <c r="B338" s="2"/>
      <c r="C338" s="2"/>
      <c r="D338" s="2"/>
      <c r="E338" s="2"/>
      <c r="F338" s="113"/>
      <c r="G338" s="2"/>
      <c r="H338" s="2"/>
      <c r="I338" s="2"/>
      <c r="J338" s="2"/>
      <c r="K338" s="2"/>
      <c r="L338" s="2"/>
    </row>
    <row r="339" spans="2:12" x14ac:dyDescent="0.25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</row>
    <row r="340" spans="2:12" ht="18" x14ac:dyDescent="0.25">
      <c r="B340" s="114" t="s">
        <v>687</v>
      </c>
      <c r="C340" s="883">
        <f>(0.18*C344*(100*C343*C283*0.83)^(1/3)/1.5*1000*('FOGLIO DEPOSITO'!D124*1000-C285))/1000</f>
        <v>55.535732439493003</v>
      </c>
      <c r="D340" s="884"/>
      <c r="E340" s="2"/>
      <c r="F340" s="2"/>
      <c r="G340" s="2"/>
      <c r="H340" s="2"/>
      <c r="I340" s="2"/>
      <c r="J340" s="2"/>
      <c r="K340" s="2"/>
      <c r="L340" s="2"/>
    </row>
    <row r="341" spans="2:12" ht="18" x14ac:dyDescent="0.25">
      <c r="B341" s="114" t="s">
        <v>688</v>
      </c>
      <c r="C341" s="883">
        <f>ABS(K271)</f>
        <v>68.265584964975162</v>
      </c>
      <c r="D341" s="884"/>
      <c r="E341" s="2"/>
      <c r="F341" s="2"/>
      <c r="G341" s="2"/>
      <c r="H341" s="2"/>
      <c r="I341" s="2"/>
      <c r="J341" s="2"/>
      <c r="K341" s="2"/>
      <c r="L341" s="2"/>
    </row>
    <row r="342" spans="2:12" ht="18" x14ac:dyDescent="0.25">
      <c r="B342" s="114" t="s">
        <v>689</v>
      </c>
      <c r="C342" s="1016" t="str">
        <f>IF(C340&gt;=C345,IF(C340&gt;=-K286,"VERIFICATO","NON VERIFICATO"),"NON VERIFICATO")</f>
        <v>VERIFICATO</v>
      </c>
      <c r="D342" s="1017"/>
      <c r="E342" s="2"/>
      <c r="F342" s="2"/>
      <c r="G342" s="2"/>
      <c r="H342" s="2"/>
      <c r="I342" s="2"/>
      <c r="J342" s="2"/>
      <c r="K342" s="2"/>
      <c r="L342" s="2"/>
    </row>
    <row r="343" spans="2:12" ht="18" x14ac:dyDescent="0.25">
      <c r="B343" s="115" t="s">
        <v>690</v>
      </c>
      <c r="C343" s="1021">
        <f>G323/(1000*('FOGLIO DEPOSITO'!D124*1000+'Foglio deposito bis'!E40))</f>
        <v>8.1681408993334592E-3</v>
      </c>
      <c r="D343" s="1022"/>
      <c r="E343" s="2"/>
      <c r="F343" s="2"/>
      <c r="G343" s="2"/>
      <c r="H343" s="2"/>
      <c r="I343" s="2"/>
      <c r="J343" s="2"/>
      <c r="K343" s="2"/>
      <c r="L343" s="2"/>
    </row>
    <row r="344" spans="2:12" x14ac:dyDescent="0.25">
      <c r="B344" s="80" t="s">
        <v>691</v>
      </c>
      <c r="C344" s="1021">
        <f>1+(200/('FOGLIO DEPOSITO'!D124*1000-C285))^0.5</f>
        <v>2.825741858350554</v>
      </c>
      <c r="D344" s="1022"/>
      <c r="E344" s="2"/>
      <c r="F344" s="2"/>
      <c r="G344" s="2"/>
      <c r="H344" s="2"/>
      <c r="I344" s="23"/>
      <c r="J344" s="23"/>
      <c r="K344" s="23"/>
      <c r="L344" s="23"/>
    </row>
    <row r="345" spans="2:12" ht="18" x14ac:dyDescent="0.25">
      <c r="B345" s="80" t="s">
        <v>692</v>
      </c>
      <c r="C345" s="883">
        <f>(0.035*C344^(3/2)*(C283*0.83)^0.5*1000*('FOGLIO DEPOSITO'!D124*1000-C285))/1000</f>
        <v>49.775736615171269</v>
      </c>
      <c r="D345" s="884"/>
      <c r="E345" s="2"/>
      <c r="F345" s="2"/>
      <c r="G345" s="2"/>
      <c r="H345" s="2"/>
      <c r="I345" s="23"/>
      <c r="J345" s="23"/>
      <c r="K345" s="23"/>
      <c r="L345" s="23"/>
    </row>
  </sheetData>
  <protectedRanges>
    <protectedRange sqref="F88:F92 G232:G233 F48:F52 F78:F84 F58:F62 F68:F72 E40:E44 G50:G54 G222:G228 G56:G64 G66:G74 G76:G84 G86:G97 E15:E37" name="Intervallo1"/>
    <protectedRange sqref="D223:E223 B223" name="Intervallo2_3"/>
    <protectedRange sqref="C7:C13 C53:C54 C63:C64 C73:C74 C93:C97" name="Intervallo1_4_1"/>
    <protectedRange sqref="C283:C285" name="Intervallo1_2"/>
    <protectedRange sqref="G300:G301 G293:G294 G330:G331 G323:G324" name="Intervallo1_5_1"/>
    <protectedRange sqref="D291:F291 B291 D321:F321 B321" name="Intervallo2_3_4_1"/>
  </protectedRanges>
  <customSheetViews>
    <customSheetView guid="{101D851C-E4EE-4443-B6A9-9040ACB2A650}" state="hidden" topLeftCell="A109">
      <selection activeCell="B246" sqref="B246"/>
      <pageMargins left="0.7" right="0.7" top="0.75" bottom="0.75" header="0.3" footer="0.3"/>
    </customSheetView>
  </customSheetViews>
  <mergeCells count="65">
    <mergeCell ref="I151:I152"/>
    <mergeCell ref="J151:J152"/>
    <mergeCell ref="K151:K152"/>
    <mergeCell ref="J131:J132"/>
    <mergeCell ref="D151:D152"/>
    <mergeCell ref="E151:E152"/>
    <mergeCell ref="F151:F152"/>
    <mergeCell ref="K131:K132"/>
    <mergeCell ref="D131:D132"/>
    <mergeCell ref="G151:G152"/>
    <mergeCell ref="H151:H152"/>
    <mergeCell ref="F131:F132"/>
    <mergeCell ref="G131:G132"/>
    <mergeCell ref="H131:H132"/>
    <mergeCell ref="I131:I132"/>
    <mergeCell ref="B98:B99"/>
    <mergeCell ref="G98:G99"/>
    <mergeCell ref="I98:I99"/>
    <mergeCell ref="H98:H99"/>
    <mergeCell ref="C98:C99"/>
    <mergeCell ref="D98:D99"/>
    <mergeCell ref="E98:E99"/>
    <mergeCell ref="F98:F99"/>
    <mergeCell ref="C238:D238"/>
    <mergeCell ref="C239:D239"/>
    <mergeCell ref="B131:B132"/>
    <mergeCell ref="C131:C132"/>
    <mergeCell ref="B198:B199"/>
    <mergeCell ref="C198:C199"/>
    <mergeCell ref="D198:D199"/>
    <mergeCell ref="B222:D222"/>
    <mergeCell ref="D225:E225"/>
    <mergeCell ref="B230:D230"/>
    <mergeCell ref="E131:E132"/>
    <mergeCell ref="B151:B152"/>
    <mergeCell ref="C151:C152"/>
    <mergeCell ref="D232:E232"/>
    <mergeCell ref="L198:L199"/>
    <mergeCell ref="E198:E199"/>
    <mergeCell ref="G198:G199"/>
    <mergeCell ref="F198:F199"/>
    <mergeCell ref="H198:H199"/>
    <mergeCell ref="I198:I199"/>
    <mergeCell ref="J198:J199"/>
    <mergeCell ref="K198:K199"/>
    <mergeCell ref="C314:D314"/>
    <mergeCell ref="C345:D345"/>
    <mergeCell ref="C340:D340"/>
    <mergeCell ref="C341:D341"/>
    <mergeCell ref="C342:D342"/>
    <mergeCell ref="C343:D343"/>
    <mergeCell ref="C344:D344"/>
    <mergeCell ref="C315:D315"/>
    <mergeCell ref="B320:D320"/>
    <mergeCell ref="D323:E323"/>
    <mergeCell ref="B328:D328"/>
    <mergeCell ref="D330:E330"/>
    <mergeCell ref="B290:D290"/>
    <mergeCell ref="D293:E293"/>
    <mergeCell ref="B298:D298"/>
    <mergeCell ref="C313:D313"/>
    <mergeCell ref="D300:E300"/>
    <mergeCell ref="C310:D310"/>
    <mergeCell ref="C311:D311"/>
    <mergeCell ref="C312:D312"/>
  </mergeCells>
  <conditionalFormatting sqref="D225:E228 L200">
    <cfRule type="cellIs" dxfId="12" priority="17" operator="equal">
      <formula>"VERIFICATO"</formula>
    </cfRule>
  </conditionalFormatting>
  <conditionalFormatting sqref="D232:E233">
    <cfRule type="cellIs" dxfId="11" priority="16" operator="equal">
      <formula>"VERIFICATO"</formula>
    </cfRule>
  </conditionalFormatting>
  <conditionalFormatting sqref="H100">
    <cfRule type="cellIs" dxfId="10" priority="15" operator="equal">
      <formula>"VERIFICATO"</formula>
    </cfRule>
  </conditionalFormatting>
  <conditionalFormatting sqref="C7:C13">
    <cfRule type="cellIs" dxfId="9" priority="10" operator="equal">
      <formula>"si"</formula>
    </cfRule>
  </conditionalFormatting>
  <conditionalFormatting sqref="I101:I127">
    <cfRule type="cellIs" dxfId="8" priority="9" operator="equal">
      <formula>"VERIFICATO"</formula>
    </cfRule>
  </conditionalFormatting>
  <conditionalFormatting sqref="I100">
    <cfRule type="cellIs" dxfId="7" priority="8" operator="equal">
      <formula>"VERIFICATO"</formula>
    </cfRule>
  </conditionalFormatting>
  <conditionalFormatting sqref="H101:H127">
    <cfRule type="cellIs" dxfId="6" priority="7" operator="equal">
      <formula>"VERIFICATO"</formula>
    </cfRule>
  </conditionalFormatting>
  <conditionalFormatting sqref="D330:E331">
    <cfRule type="cellIs" dxfId="5" priority="1" operator="equal">
      <formula>"VERIFICATO"</formula>
    </cfRule>
  </conditionalFormatting>
  <conditionalFormatting sqref="C312:D312">
    <cfRule type="cellIs" dxfId="4" priority="6" operator="equal">
      <formula>"VERIFICATO"</formula>
    </cfRule>
  </conditionalFormatting>
  <conditionalFormatting sqref="D293:E294">
    <cfRule type="cellIs" dxfId="3" priority="5" operator="equal">
      <formula>"VERIFICATO"</formula>
    </cfRule>
  </conditionalFormatting>
  <conditionalFormatting sqref="D300:E301">
    <cfRule type="cellIs" dxfId="2" priority="4" operator="equal">
      <formula>"VERIFICATO"</formula>
    </cfRule>
  </conditionalFormatting>
  <conditionalFormatting sqref="C342">
    <cfRule type="cellIs" dxfId="1" priority="3" operator="equal">
      <formula>"VERIFICATO"</formula>
    </cfRule>
  </conditionalFormatting>
  <conditionalFormatting sqref="D323:E324">
    <cfRule type="cellIs" dxfId="0" priority="2" operator="equal">
      <formula>"VERIFICATO"</formula>
    </cfRule>
  </conditionalFormatting>
  <dataValidations count="2">
    <dataValidation type="list" allowBlank="1" showInputMessage="1" showErrorMessage="1" sqref="D7:D13">
      <formula1>dis</formula1>
    </dataValidation>
    <dataValidation type="list" allowBlank="1" showInputMessage="1" showErrorMessage="1" sqref="C94:C97 C7:C11">
      <formula1>sn</formula1>
    </dataValidation>
  </dataValidation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V2739"/>
  <sheetViews>
    <sheetView topLeftCell="AC1" workbookViewId="0">
      <selection activeCell="Z18" sqref="Z18"/>
    </sheetView>
  </sheetViews>
  <sheetFormatPr defaultRowHeight="15" x14ac:dyDescent="0.25"/>
  <cols>
    <col min="1" max="9" width="11.28515625" customWidth="1"/>
    <col min="10" max="10" width="12.140625" customWidth="1"/>
    <col min="11" max="15" width="11.28515625" customWidth="1"/>
    <col min="16" max="22" width="14.85546875" style="421" customWidth="1"/>
    <col min="23" max="24" width="11.28515625" style="421" customWidth="1"/>
    <col min="28" max="28" width="12.85546875" customWidth="1"/>
    <col min="30" max="30" width="12.5703125" customWidth="1"/>
  </cols>
  <sheetData>
    <row r="2" spans="1:48" ht="15.75" x14ac:dyDescent="0.25">
      <c r="A2" s="1035" t="s">
        <v>919</v>
      </c>
      <c r="B2" s="1036"/>
      <c r="C2" s="1036"/>
      <c r="D2" s="1036"/>
      <c r="E2" s="1036"/>
      <c r="F2" s="1036"/>
      <c r="G2" s="1036"/>
      <c r="H2" s="1036"/>
      <c r="I2" s="1036"/>
      <c r="J2" s="1036"/>
      <c r="K2" s="1036"/>
      <c r="L2" s="1036"/>
      <c r="M2" s="1036"/>
      <c r="N2" s="1036"/>
      <c r="O2" s="1037"/>
      <c r="P2" s="605"/>
      <c r="Q2" s="605"/>
      <c r="R2" s="605"/>
      <c r="S2" s="605"/>
      <c r="T2" s="605"/>
      <c r="U2" s="605"/>
      <c r="V2" s="605"/>
      <c r="W2" s="605"/>
      <c r="X2" s="605"/>
      <c r="Z2" s="1029" t="s">
        <v>21</v>
      </c>
      <c r="AA2" s="1038" t="s">
        <v>933</v>
      </c>
      <c r="AB2" s="1025" t="s">
        <v>137</v>
      </c>
      <c r="AC2" s="421" t="s">
        <v>962</v>
      </c>
      <c r="AH2" s="1042" t="s">
        <v>979</v>
      </c>
      <c r="AI2" s="1042"/>
      <c r="AJ2" s="1042"/>
      <c r="AK2" s="1042"/>
      <c r="AL2" s="1042"/>
      <c r="AM2" s="1042"/>
      <c r="AN2" s="1042"/>
      <c r="AP2" s="1042" t="s">
        <v>980</v>
      </c>
      <c r="AQ2" s="1042"/>
      <c r="AR2" s="1042"/>
      <c r="AS2" s="1042"/>
      <c r="AT2" s="1042"/>
      <c r="AU2" s="1042"/>
      <c r="AV2" s="1042"/>
    </row>
    <row r="3" spans="1:48" x14ac:dyDescent="0.25">
      <c r="A3" s="521">
        <v>1</v>
      </c>
      <c r="B3" s="521">
        <v>2</v>
      </c>
      <c r="C3" s="521">
        <v>3</v>
      </c>
      <c r="D3" s="521">
        <v>4</v>
      </c>
      <c r="E3" s="521">
        <v>5</v>
      </c>
      <c r="F3" s="521">
        <v>6</v>
      </c>
      <c r="G3" s="521">
        <v>7</v>
      </c>
      <c r="H3" s="521">
        <v>8</v>
      </c>
      <c r="I3" s="521">
        <v>9</v>
      </c>
      <c r="J3" s="521">
        <v>10</v>
      </c>
      <c r="K3" s="521">
        <v>11</v>
      </c>
      <c r="L3" s="521">
        <v>12</v>
      </c>
      <c r="M3" s="521">
        <v>13</v>
      </c>
      <c r="N3" s="521">
        <v>14</v>
      </c>
      <c r="O3" s="521">
        <v>15</v>
      </c>
      <c r="P3" s="598">
        <v>4</v>
      </c>
      <c r="Q3" s="598">
        <v>5</v>
      </c>
      <c r="R3" s="598">
        <v>6</v>
      </c>
      <c r="S3" s="598">
        <v>7</v>
      </c>
      <c r="T3" s="598">
        <v>8</v>
      </c>
      <c r="U3" s="598">
        <v>9</v>
      </c>
      <c r="V3" s="598">
        <v>10</v>
      </c>
      <c r="W3" s="46"/>
      <c r="X3" s="46"/>
      <c r="Z3" s="1030"/>
      <c r="AA3" s="1039"/>
      <c r="AB3" s="1025"/>
      <c r="AC3" s="421" t="s">
        <v>963</v>
      </c>
      <c r="AH3" s="1042"/>
      <c r="AI3" s="1042"/>
      <c r="AJ3" s="1042"/>
      <c r="AK3" s="1042"/>
      <c r="AL3" s="1042"/>
      <c r="AM3" s="1042"/>
      <c r="AN3" s="1042"/>
      <c r="AP3" s="1042"/>
      <c r="AQ3" s="1042"/>
      <c r="AR3" s="1042"/>
      <c r="AS3" s="1042"/>
      <c r="AT3" s="1042"/>
      <c r="AU3" s="1042"/>
      <c r="AV3" s="1042"/>
    </row>
    <row r="4" spans="1:48" x14ac:dyDescent="0.25">
      <c r="A4" s="431" t="s">
        <v>930</v>
      </c>
      <c r="B4" s="80" t="s">
        <v>1023</v>
      </c>
      <c r="C4" s="521" t="s">
        <v>137</v>
      </c>
      <c r="D4" s="521" t="s">
        <v>912</v>
      </c>
      <c r="E4" s="521" t="s">
        <v>913</v>
      </c>
      <c r="F4" s="521" t="s">
        <v>914</v>
      </c>
      <c r="G4" s="521" t="s">
        <v>915</v>
      </c>
      <c r="H4" s="521" t="s">
        <v>916</v>
      </c>
      <c r="I4" s="521" t="s">
        <v>917</v>
      </c>
      <c r="J4" s="552" t="s">
        <v>911</v>
      </c>
      <c r="K4" s="431" t="s">
        <v>924</v>
      </c>
      <c r="L4" s="431" t="s">
        <v>925</v>
      </c>
      <c r="M4" s="431" t="s">
        <v>926</v>
      </c>
      <c r="N4" s="431" t="s">
        <v>927</v>
      </c>
      <c r="O4" s="431" t="s">
        <v>928</v>
      </c>
      <c r="P4" s="598" t="s">
        <v>296</v>
      </c>
      <c r="Q4" s="598" t="s">
        <v>969</v>
      </c>
      <c r="R4" s="598" t="s">
        <v>970</v>
      </c>
      <c r="S4" s="598" t="s">
        <v>971</v>
      </c>
      <c r="T4" s="598" t="s">
        <v>972</v>
      </c>
      <c r="U4" s="598" t="s">
        <v>973</v>
      </c>
      <c r="V4" s="599" t="s">
        <v>1022</v>
      </c>
      <c r="W4" s="57"/>
      <c r="X4" s="57"/>
      <c r="Z4" s="563">
        <v>0</v>
      </c>
      <c r="AA4" s="538">
        <f>MINA(sezione!A5:A247)</f>
        <v>7632.5893835955067</v>
      </c>
      <c r="AB4" s="538">
        <f>VLOOKUP(sezione!$AA$4,sezione!$A$5:$O$247,3,FALSE)</f>
        <v>17.826781187183276</v>
      </c>
      <c r="AH4" s="1043"/>
      <c r="AI4" s="1043"/>
      <c r="AJ4" s="1043"/>
      <c r="AK4" s="1043"/>
      <c r="AL4" s="1043"/>
      <c r="AM4" s="1043"/>
      <c r="AN4" s="1043"/>
      <c r="AP4" s="1043"/>
      <c r="AQ4" s="1043"/>
      <c r="AR4" s="1043"/>
      <c r="AS4" s="1043"/>
      <c r="AT4" s="1043"/>
      <c r="AU4" s="1043"/>
      <c r="AV4" s="1043"/>
    </row>
    <row r="5" spans="1:48" x14ac:dyDescent="0.25">
      <c r="A5" s="545">
        <f>ABS(V5)</f>
        <v>686398.5022717166</v>
      </c>
      <c r="B5" s="3">
        <v>0</v>
      </c>
      <c r="C5" s="41">
        <v>0.01</v>
      </c>
      <c r="D5" s="603">
        <f>-'Sollecitazioni nel paramento'!$G$47*'Sollecitazioni nel paramento'!$G$41*IF(DATI!$G$211="dx",DATI!$E$61,DATI!$E$64*DATI!$E$63)*1000*C5^2*sezione!$AD$5*(1-sezione!$AD$6)</f>
        <v>-2.2248647999999998</v>
      </c>
      <c r="E5" s="545">
        <f>-'Foglio deposito bis'!$F$48*(C5-sezione!$AL$27)*IF(ABS(K5)&lt;'Sollecitazioni nel paramento'!$G$58,ABS(K5)*'Sollecitazioni nel paramento'!$G$54,'Sollecitazioni nel paramento'!$G$53)</f>
        <v>0</v>
      </c>
      <c r="F5" s="545">
        <f>-'Foglio deposito bis'!$F$49*(C5-sezione!$AM$27)*IF(ABS(L5)&lt;'Sollecitazioni nel paramento'!$G$58,ABS(L5)*'Sollecitazioni nel paramento'!$G$54,'Sollecitazioni nel paramento'!$G$53)</f>
        <v>12291139.779707721</v>
      </c>
      <c r="G5" s="545">
        <f>-'Foglio deposito bis'!$F$50*(C5-sezione!$AN$27)*IF(ABS(M5)&lt;'Sollecitazioni nel paramento'!$G$58,ABS(M5)*'Sollecitazioni nel paramento'!$G$54,'Sollecitazioni nel paramento'!$G$53)</f>
        <v>0</v>
      </c>
      <c r="H5" s="545">
        <f>-'Foglio deposito bis'!$F$51*(C5-sezione!$AO$27)*IF(ABS(N5)&lt;'Sollecitazioni nel paramento'!$G$58,ABS(N5)*'Sollecitazioni nel paramento'!$G$54,'Sollecitazioni nel paramento'!$G$53)</f>
        <v>38549030.124120608</v>
      </c>
      <c r="I5" s="472">
        <f>-'Foglio deposito bis'!$F$52*(C5-sezione!$AP$27)*IF(ABS(O5)&lt;'Sollecitazioni nel paramento'!$G$58,ABS(O5)*'Sollecitazioni nel paramento'!$G$54,'Sollecitazioni nel paramento'!$G$53)</f>
        <v>48072949.915731519</v>
      </c>
      <c r="J5" s="472">
        <f t="shared" ref="J5:J68" si="0">D5+E5+F5+G5+H5+I5</f>
        <v>98913117.594695047</v>
      </c>
      <c r="K5" s="550">
        <f>'Sollecitazioni nel paramento'!$G$60*(sezione!$AL$27-C5)/C5</f>
        <v>13.996500000000001</v>
      </c>
      <c r="L5" s="550">
        <f>'Sollecitazioni nel paramento'!$G$60*(sezione!$AM$27-C5)/C5</f>
        <v>20.996500000000001</v>
      </c>
      <c r="M5" s="551">
        <f>'Sollecitazioni nel paramento'!$G$60*(sezione!$AN$27-C5)/C5</f>
        <v>27.996499999999997</v>
      </c>
      <c r="N5" s="551">
        <f>'Sollecitazioni nel paramento'!$G$60*(sezione!$AO$27-C5)/C5</f>
        <v>55.996500000000005</v>
      </c>
      <c r="O5" s="551">
        <f>'Sollecitazioni nel paramento'!$G$60*(sezione!$AP$27-C5)/C5</f>
        <v>69.830990073908353</v>
      </c>
      <c r="P5" s="545">
        <f>-'Sollecitazioni nel paramento'!$G$47*'Sollecitazioni nel paramento'!$G$41*IF(DATI!$G$211="dx",DATI!$E$61,DATI!$E$64*DATI!$E$63)*1000*C5*sezione!$AD$5</f>
        <v>-380.96999999999991</v>
      </c>
      <c r="Q5" s="545">
        <f>'Foglio deposito bis'!$F$48*IF(ABS(K5)&lt;'Sollecitazioni nel paramento'!$G$58,ABS(K5)*'Sollecitazioni nel paramento'!$G$54,'Sollecitazioni nel paramento'!$G$53)*IF(K5&lt;0,-1,1)</f>
        <v>0</v>
      </c>
      <c r="R5" s="545">
        <f>'Foglio deposito bis'!$F$49*IF(ABS(L5)&lt;'Sollecitazioni nel paramento'!$G$58,ABS(L5)*'Sollecitazioni nel paramento'!$G$54,'Sollecitazioni nel paramento'!$G$53)*IF(L5&lt;0,-1,1)</f>
        <v>204886.47740803001</v>
      </c>
      <c r="S5" s="545">
        <f>'Foglio deposito bis'!$F$50*IF(ABS(M5)&lt;'Sollecitazioni nel paramento'!$G$58,ABS(M5)*'Sollecitazioni nel paramento'!$G$54,'Sollecitazioni nel paramento'!$G$53)*IF(M5&lt;0,-1,1)</f>
        <v>0</v>
      </c>
      <c r="T5" s="545">
        <f>'Foglio deposito bis'!$F$51*IF(ABS(N5)&lt;'Sollecitazioni nel paramento'!$G$58,ABS(N5)*'Sollecitazioni nel paramento'!$G$54,'Sollecitazioni nel paramento'!$G$53)*IF(N5&lt;0,-1,1)</f>
        <v>240946.49743184328</v>
      </c>
      <c r="U5" s="545">
        <f>'Foglio deposito bis'!$F$52*IF(ABS(O5)&lt;'Sollecitazioni nel paramento'!$G$58,ABS(O5)*'Sollecitazioni nel paramento'!$G$54,'Sollecitazioni nel paramento'!$G$53)*IF(O5&lt;0,-1,1)</f>
        <v>240946.49743184328</v>
      </c>
      <c r="V5" s="472">
        <f>P5+Q5+R5+S5+T5+U5</f>
        <v>686398.5022717166</v>
      </c>
      <c r="W5" s="551"/>
      <c r="X5" s="551"/>
      <c r="Z5" s="563">
        <f t="shared" ref="Z5:Z14" si="1">Z4+1</f>
        <v>1</v>
      </c>
      <c r="AA5" s="538">
        <f>MINA(sezione!A253:A495)</f>
        <v>3253.3003469145624</v>
      </c>
      <c r="AB5" s="538">
        <f>VLOOKUP(sezione!$AA$5,sezione!A253:O495,3,FALSE)</f>
        <v>18.112522577069882</v>
      </c>
      <c r="AC5" s="423" t="s">
        <v>921</v>
      </c>
      <c r="AD5" s="9">
        <v>0.81</v>
      </c>
      <c r="AH5" s="1029" t="s">
        <v>21</v>
      </c>
      <c r="AI5" s="1025" t="s">
        <v>23</v>
      </c>
      <c r="AJ5" s="1041" t="s">
        <v>974</v>
      </c>
      <c r="AK5" s="1041" t="s">
        <v>975</v>
      </c>
      <c r="AL5" s="1041" t="s">
        <v>976</v>
      </c>
      <c r="AM5" s="1044" t="s">
        <v>977</v>
      </c>
      <c r="AN5" s="1041" t="s">
        <v>978</v>
      </c>
      <c r="AP5" s="1029" t="s">
        <v>21</v>
      </c>
      <c r="AQ5" s="1025" t="s">
        <v>23</v>
      </c>
      <c r="AR5" s="1041" t="s">
        <v>974</v>
      </c>
      <c r="AS5" s="1041" t="s">
        <v>975</v>
      </c>
      <c r="AT5" s="1041" t="s">
        <v>976</v>
      </c>
      <c r="AU5" s="1044" t="s">
        <v>977</v>
      </c>
      <c r="AV5" s="1041" t="s">
        <v>978</v>
      </c>
    </row>
    <row r="6" spans="1:48" x14ac:dyDescent="0.25">
      <c r="A6" s="545">
        <f t="shared" ref="A6:A69" si="2">ABS(V6)</f>
        <v>680605.40970000636</v>
      </c>
      <c r="B6" s="3">
        <f>B5+0.05</f>
        <v>0.05</v>
      </c>
      <c r="C6" s="41">
        <f>'Foglio deposito bis'!$E$153/$B$247*B6</f>
        <v>0.16206164715621191</v>
      </c>
      <c r="D6" s="603">
        <f>-'Sollecitazioni nel paramento'!$G$47*'Sollecitazioni nel paramento'!$G$41*IF(DATI!$G$211="dx",DATI!$E$61,DATI!$E$64*DATI!$E$63)*1000*C6^2*sezione!$AD$5*(1-sezione!$AD$6)</f>
        <v>-584.33799000985414</v>
      </c>
      <c r="E6" s="545">
        <f>-'Foglio deposito bis'!$F$48*(C6-sezione!$AL$27)*IF(ABS(K6)&lt;'Sollecitazioni nel paramento'!$G$58,ABS(K6)*'Sollecitazioni nel paramento'!$G$54,'Sollecitazioni nel paramento'!$G$53)</f>
        <v>0</v>
      </c>
      <c r="F6" s="545">
        <f>-'Foglio deposito bis'!$F$49*(C6-sezione!$AM$27)*IF(ABS(L6)&lt;'Sollecitazioni nel paramento'!$G$58,ABS(L6)*'Sollecitazioni nel paramento'!$G$54,'Sollecitazioni nel paramento'!$G$53)</f>
        <v>12259984.40447302</v>
      </c>
      <c r="G6" s="545">
        <f>-'Foglio deposito bis'!$F$50*(C6-sezione!$AN$27)*IF(ABS(M6)&lt;'Sollecitazioni nel paramento'!$G$58,ABS(M6)*'Sollecitazioni nel paramento'!$G$54,'Sollecitazioni nel paramento'!$G$53)</f>
        <v>0</v>
      </c>
      <c r="H6" s="545">
        <f>-'Foglio deposito bis'!$F$51*(C6-sezione!$AO$27)*IF(ABS(N6)&lt;'Sollecitazioni nel paramento'!$G$58,ABS(N6)*'Sollecitazioni nel paramento'!$G$54,'Sollecitazioni nel paramento'!$G$53)</f>
        <v>38512391.4028446</v>
      </c>
      <c r="I6" s="472">
        <f>-'Foglio deposito bis'!$F$52*(C6-sezione!$AP$27)*IF(ABS(O6)&lt;'Sollecitazioni nel paramento'!$G$58,ABS(O6)*'Sollecitazioni nel paramento'!$G$54,'Sollecitazioni nel paramento'!$G$53)</f>
        <v>48036311.194455519</v>
      </c>
      <c r="J6" s="472">
        <f t="shared" si="0"/>
        <v>98808102.663783133</v>
      </c>
      <c r="K6" s="550">
        <f>'Sollecitazioni nel paramento'!$G$60*(sezione!$AL$27-C6)/C6</f>
        <v>0.8603687959591908</v>
      </c>
      <c r="L6" s="550">
        <f>'Sollecitazioni nel paramento'!$G$60*(sezione!$AM$27-C6)/C6</f>
        <v>1.2923031939387863</v>
      </c>
      <c r="M6" s="551">
        <f>'Sollecitazioni nel paramento'!$G$60*(sezione!$AN$27-C6)/C6</f>
        <v>1.7242375919183817</v>
      </c>
      <c r="N6" s="551">
        <f>'Sollecitazioni nel paramento'!$G$60*(sezione!$AO$27-C6)/C6</f>
        <v>3.4519751838367632</v>
      </c>
      <c r="O6" s="551">
        <f>'Sollecitazioni nel paramento'!$G$60*(sezione!$AP$27-C6)/C6</f>
        <v>4.3056312040408056</v>
      </c>
      <c r="P6" s="545">
        <f>-'Sollecitazioni nel paramento'!$G$47*'Sollecitazioni nel paramento'!$G$41*IF(DATI!$G$211="dx",DATI!$E$61,DATI!$E$64*DATI!$E$63)*1000*C6*sezione!$AD$5</f>
        <v>-6174.0625717102039</v>
      </c>
      <c r="Q6" s="545">
        <f>'Foglio deposito bis'!$F$48*IF(ABS(K6)&lt;'Sollecitazioni nel paramento'!$G$58,ABS(K6)*'Sollecitazioni nel paramento'!$G$54,'Sollecitazioni nel paramento'!$G$53)*IF(K6&lt;0,-1,1)</f>
        <v>0</v>
      </c>
      <c r="R6" s="545">
        <f>'Foglio deposito bis'!$F$49*IF(ABS(L6)&lt;'Sollecitazioni nel paramento'!$G$58,ABS(L6)*'Sollecitazioni nel paramento'!$G$54,'Sollecitazioni nel paramento'!$G$53)*IF(L6&lt;0,-1,1)</f>
        <v>204886.47740803001</v>
      </c>
      <c r="S6" s="545">
        <f>'Foglio deposito bis'!$F$50*IF(ABS(M6)&lt;'Sollecitazioni nel paramento'!$G$58,ABS(M6)*'Sollecitazioni nel paramento'!$G$54,'Sollecitazioni nel paramento'!$G$53)*IF(M6&lt;0,-1,1)</f>
        <v>0</v>
      </c>
      <c r="T6" s="545">
        <f>'Foglio deposito bis'!$F$51*IF(ABS(N6)&lt;'Sollecitazioni nel paramento'!$G$58,ABS(N6)*'Sollecitazioni nel paramento'!$G$54,'Sollecitazioni nel paramento'!$G$53)*IF(N6&lt;0,-1,1)</f>
        <v>240946.49743184328</v>
      </c>
      <c r="U6" s="545">
        <f>'Foglio deposito bis'!$F$52*IF(ABS(O6)&lt;'Sollecitazioni nel paramento'!$G$58,ABS(O6)*'Sollecitazioni nel paramento'!$G$54,'Sollecitazioni nel paramento'!$G$53)*IF(O6&lt;0,-1,1)</f>
        <v>240946.49743184328</v>
      </c>
      <c r="V6" s="472">
        <f t="shared" ref="V6:V69" si="3">P6+Q6+R6+S6+T6+U6</f>
        <v>680605.40970000636</v>
      </c>
      <c r="W6" s="551"/>
      <c r="X6" s="551"/>
      <c r="Z6" s="563">
        <f t="shared" si="1"/>
        <v>2</v>
      </c>
      <c r="AA6" s="538">
        <f>MINA(sezione!A501:A743)</f>
        <v>3810.1260459701298</v>
      </c>
      <c r="AB6" s="538">
        <f>VLOOKUP(sezione!$AA$6,sezione!A501:O743,3,FALSE)</f>
        <v>18.127138575680153</v>
      </c>
      <c r="AC6" s="423" t="s">
        <v>920</v>
      </c>
      <c r="AD6" s="9">
        <v>0.41599999999999998</v>
      </c>
      <c r="AH6" s="1030"/>
      <c r="AI6" s="1025"/>
      <c r="AJ6" s="1041"/>
      <c r="AK6" s="1041"/>
      <c r="AL6" s="1041"/>
      <c r="AM6" s="1044"/>
      <c r="AN6" s="1041"/>
      <c r="AP6" s="1030"/>
      <c r="AQ6" s="1025"/>
      <c r="AR6" s="1041"/>
      <c r="AS6" s="1041"/>
      <c r="AT6" s="1041"/>
      <c r="AU6" s="1044"/>
      <c r="AV6" s="1041"/>
    </row>
    <row r="7" spans="1:48" x14ac:dyDescent="0.25">
      <c r="A7" s="545">
        <f t="shared" si="2"/>
        <v>674431.34712829615</v>
      </c>
      <c r="B7" s="3">
        <f t="shared" ref="B7:B70" si="4">B6+0.05</f>
        <v>0.1</v>
      </c>
      <c r="C7" s="41">
        <f>'Foglio deposito bis'!$E$153/$B$247*B7</f>
        <v>0.32412329431242382</v>
      </c>
      <c r="D7" s="603">
        <f>-'Sollecitazioni nel paramento'!$G$47*'Sollecitazioni nel paramento'!$G$41*IF(DATI!$G$211="dx",DATI!$E$61,DATI!$E$64*DATI!$E$63)*1000*C7^2*sezione!$AD$5*(1-sezione!$AD$6)</f>
        <v>-2337.3519600394166</v>
      </c>
      <c r="E7" s="545">
        <f>-'Foglio deposito bis'!$F$48*(C7-sezione!$AL$27)*IF(ABS(K7)&lt;'Sollecitazioni nel paramento'!$G$58,ABS(K7)*'Sollecitazioni nel paramento'!$G$54,'Sollecitazioni nel paramento'!$G$53)</f>
        <v>0</v>
      </c>
      <c r="F7" s="545">
        <f>-'Foglio deposito bis'!$F$49*(C7-sezione!$AM$27)*IF(ABS(L7)&lt;'Sollecitazioni nel paramento'!$G$58,ABS(L7)*'Sollecitazioni nel paramento'!$G$54,'Sollecitazioni nel paramento'!$G$53)</f>
        <v>12226780.164464243</v>
      </c>
      <c r="G7" s="545">
        <f>-'Foglio deposito bis'!$F$50*(C7-sezione!$AN$27)*IF(ABS(M7)&lt;'Sollecitazioni nel paramento'!$G$58,ABS(M7)*'Sollecitazioni nel paramento'!$G$54,'Sollecitazioni nel paramento'!$G$53)</f>
        <v>0</v>
      </c>
      <c r="H7" s="545">
        <f>-'Foglio deposito bis'!$F$51*(C7-sezione!$AO$27)*IF(ABS(N7)&lt;'Sollecitazioni nel paramento'!$G$58,ABS(N7)*'Sollecitazioni nel paramento'!$G$54,'Sollecitazioni nel paramento'!$G$53)</f>
        <v>38473343.216594279</v>
      </c>
      <c r="I7" s="472">
        <f>-'Foglio deposito bis'!$F$52*(C7-sezione!$AP$27)*IF(ABS(O7)&lt;'Sollecitazioni nel paramento'!$G$58,ABS(O7)*'Sollecitazioni nel paramento'!$G$54,'Sollecitazioni nel paramento'!$G$53)</f>
        <v>47997263.00820519</v>
      </c>
      <c r="J7" s="472">
        <f t="shared" si="0"/>
        <v>98695049.037303671</v>
      </c>
      <c r="K7" s="550">
        <f>'Sollecitazioni nel paramento'!$G$60*(sezione!$AL$27-C7)/C7</f>
        <v>0.42843439797959543</v>
      </c>
      <c r="L7" s="550">
        <f>'Sollecitazioni nel paramento'!$G$60*(sezione!$AM$27-C7)/C7</f>
        <v>0.64440159696939314</v>
      </c>
      <c r="M7" s="551">
        <f>'Sollecitazioni nel paramento'!$G$60*(sezione!$AN$27-C7)/C7</f>
        <v>0.8603687959591908</v>
      </c>
      <c r="N7" s="551">
        <f>'Sollecitazioni nel paramento'!$G$60*(sezione!$AO$27-C7)/C7</f>
        <v>1.7242375919183817</v>
      </c>
      <c r="O7" s="551">
        <f>'Sollecitazioni nel paramento'!$G$60*(sezione!$AP$27-C7)/C7</f>
        <v>2.1510656020204029</v>
      </c>
      <c r="P7" s="545">
        <f>-'Sollecitazioni nel paramento'!$G$47*'Sollecitazioni nel paramento'!$G$41*IF(DATI!$G$211="dx",DATI!$E$61,DATI!$E$64*DATI!$E$63)*1000*C7*sezione!$AD$5</f>
        <v>-12348.125143420408</v>
      </c>
      <c r="Q7" s="545">
        <f>'Foglio deposito bis'!$F$48*IF(ABS(K7)&lt;'Sollecitazioni nel paramento'!$G$58,ABS(K7)*'Sollecitazioni nel paramento'!$G$54,'Sollecitazioni nel paramento'!$G$53)*IF(K7&lt;0,-1,1)</f>
        <v>0</v>
      </c>
      <c r="R7" s="545">
        <f>'Foglio deposito bis'!$F$49*IF(ABS(L7)&lt;'Sollecitazioni nel paramento'!$G$58,ABS(L7)*'Sollecitazioni nel paramento'!$G$54,'Sollecitazioni nel paramento'!$G$53)*IF(L7&lt;0,-1,1)</f>
        <v>204886.47740803001</v>
      </c>
      <c r="S7" s="545">
        <f>'Foglio deposito bis'!$F$50*IF(ABS(M7)&lt;'Sollecitazioni nel paramento'!$G$58,ABS(M7)*'Sollecitazioni nel paramento'!$G$54,'Sollecitazioni nel paramento'!$G$53)*IF(M7&lt;0,-1,1)</f>
        <v>0</v>
      </c>
      <c r="T7" s="545">
        <f>'Foglio deposito bis'!$F$51*IF(ABS(N7)&lt;'Sollecitazioni nel paramento'!$G$58,ABS(N7)*'Sollecitazioni nel paramento'!$G$54,'Sollecitazioni nel paramento'!$G$53)*IF(N7&lt;0,-1,1)</f>
        <v>240946.49743184328</v>
      </c>
      <c r="U7" s="545">
        <f>'Foglio deposito bis'!$F$52*IF(ABS(O7)&lt;'Sollecitazioni nel paramento'!$G$58,ABS(O7)*'Sollecitazioni nel paramento'!$G$54,'Sollecitazioni nel paramento'!$G$53)*IF(O7&lt;0,-1,1)</f>
        <v>240946.49743184328</v>
      </c>
      <c r="V7" s="472">
        <f t="shared" si="3"/>
        <v>674431.34712829615</v>
      </c>
      <c r="W7" s="551"/>
      <c r="X7" s="551"/>
      <c r="Z7" s="563">
        <f t="shared" si="1"/>
        <v>3</v>
      </c>
      <c r="AA7" s="538">
        <f>MINA(sezione!A749:A991)</f>
        <v>2556.2966235898784</v>
      </c>
      <c r="AB7" s="538">
        <f>VLOOKUP(sezione!$AA$7,sezione!A749:O991,3,FALSE)</f>
        <v>18.685809418331889</v>
      </c>
      <c r="AH7" s="568">
        <v>0</v>
      </c>
      <c r="AI7" s="548">
        <f>'Foglio deposito bis'!E153</f>
        <v>239.52711449688101</v>
      </c>
      <c r="AJ7" s="548">
        <f>AI7-sezione!$AH$20</f>
        <v>199.52711449688101</v>
      </c>
      <c r="AK7" s="548">
        <f>AI7-sezione!$AI$20</f>
        <v>179.52711449688101</v>
      </c>
      <c r="AL7" s="548">
        <f>AI7-sezione!$AJ$20</f>
        <v>159.52711449688101</v>
      </c>
      <c r="AM7" s="548">
        <f>AI7-sezione!$AK$20</f>
        <v>79.527114496881012</v>
      </c>
      <c r="AN7" s="548">
        <f>AI7-sezione!AV7</f>
        <v>40</v>
      </c>
      <c r="AP7" s="568">
        <v>0</v>
      </c>
      <c r="AQ7" s="548">
        <f>sezione!AI7</f>
        <v>239.52711449688101</v>
      </c>
      <c r="AR7" s="548">
        <f>sezione!$AH$20</f>
        <v>40</v>
      </c>
      <c r="AS7" s="548">
        <f>sezione!$AI$20</f>
        <v>60</v>
      </c>
      <c r="AT7" s="548">
        <f>sezione!$AJ$20</f>
        <v>80</v>
      </c>
      <c r="AU7" s="548">
        <f>sezione!$AK$20</f>
        <v>160</v>
      </c>
      <c r="AV7" s="548">
        <f>'Sollecitazioni nel paramento'!D151*1000-'Foglio deposito bis'!$E$40</f>
        <v>199.52711449688101</v>
      </c>
    </row>
    <row r="8" spans="1:48" x14ac:dyDescent="0.25">
      <c r="A8" s="545">
        <f t="shared" si="2"/>
        <v>668257.28455658595</v>
      </c>
      <c r="B8" s="3">
        <f t="shared" si="4"/>
        <v>0.15000000000000002</v>
      </c>
      <c r="C8" s="41">
        <f>'Foglio deposito bis'!$E$153/$B$247*B8</f>
        <v>0.48618494146863578</v>
      </c>
      <c r="D8" s="603">
        <f>-'Sollecitazioni nel paramento'!$G$47*'Sollecitazioni nel paramento'!$G$41*IF(DATI!$G$211="dx",DATI!$E$61,DATI!$E$64*DATI!$E$63)*1000*C8^2*sezione!$AD$5*(1-sezione!$AD$6)</f>
        <v>-5259.0419100886893</v>
      </c>
      <c r="E8" s="545">
        <f>-'Foglio deposito bis'!$F$48*(C8-sezione!$AL$27)*IF(ABS(K8)&lt;'Sollecitazioni nel paramento'!$G$58,ABS(K8)*'Sollecitazioni nel paramento'!$G$54,'Sollecitazioni nel paramento'!$G$53)</f>
        <v>0</v>
      </c>
      <c r="F8" s="545">
        <f>-'Foglio deposito bis'!$F$49*(C8-sezione!$AM$27)*IF(ABS(L8)&lt;'Sollecitazioni nel paramento'!$G$58,ABS(L8)*'Sollecitazioni nel paramento'!$G$54,'Sollecitazioni nel paramento'!$G$53)</f>
        <v>12193575.924455462</v>
      </c>
      <c r="G8" s="545">
        <f>-'Foglio deposito bis'!$F$50*(C8-sezione!$AN$27)*IF(ABS(M8)&lt;'Sollecitazioni nel paramento'!$G$58,ABS(M8)*'Sollecitazioni nel paramento'!$G$54,'Sollecitazioni nel paramento'!$G$53)</f>
        <v>0</v>
      </c>
      <c r="H8" s="545">
        <f>-'Foglio deposito bis'!$F$51*(C8-sezione!$AO$27)*IF(ABS(N8)&lt;'Sollecitazioni nel paramento'!$G$58,ABS(N8)*'Sollecitazioni nel paramento'!$G$54,'Sollecitazioni nel paramento'!$G$53)</f>
        <v>38434295.03034395</v>
      </c>
      <c r="I8" s="472">
        <f>-'Foglio deposito bis'!$F$52*(C8-sezione!$AP$27)*IF(ABS(O8)&lt;'Sollecitazioni nel paramento'!$G$58,ABS(O8)*'Sollecitazioni nel paramento'!$G$54,'Sollecitazioni nel paramento'!$G$53)</f>
        <v>47958214.821954869</v>
      </c>
      <c r="J8" s="472">
        <f t="shared" si="0"/>
        <v>98580826.734844193</v>
      </c>
      <c r="K8" s="550">
        <f>'Sollecitazioni nel paramento'!$G$60*(sezione!$AL$27-C8)/C8</f>
        <v>0.28445626531973023</v>
      </c>
      <c r="L8" s="550">
        <f>'Sollecitazioni nel paramento'!$G$60*(sezione!$AM$27-C8)/C8</f>
        <v>0.42843439797959537</v>
      </c>
      <c r="M8" s="551">
        <f>'Sollecitazioni nel paramento'!$G$60*(sezione!$AN$27-C8)/C8</f>
        <v>0.5724125306394604</v>
      </c>
      <c r="N8" s="551">
        <f>'Sollecitazioni nel paramento'!$G$60*(sezione!$AO$27-C8)/C8</f>
        <v>1.1483250612789211</v>
      </c>
      <c r="O8" s="551">
        <f>'Sollecitazioni nel paramento'!$G$60*(sezione!$AP$27-C8)/C8</f>
        <v>1.4328770680136018</v>
      </c>
      <c r="P8" s="545">
        <f>-'Sollecitazioni nel paramento'!$G$47*'Sollecitazioni nel paramento'!$G$41*IF(DATI!$G$211="dx",DATI!$E$61,DATI!$E$64*DATI!$E$63)*1000*C8*sezione!$AD$5</f>
        <v>-18522.187715130611</v>
      </c>
      <c r="Q8" s="545">
        <f>'Foglio deposito bis'!$F$48*IF(ABS(K8)&lt;'Sollecitazioni nel paramento'!$G$58,ABS(K8)*'Sollecitazioni nel paramento'!$G$54,'Sollecitazioni nel paramento'!$G$53)*IF(K8&lt;0,-1,1)</f>
        <v>0</v>
      </c>
      <c r="R8" s="545">
        <f>'Foglio deposito bis'!$F$49*IF(ABS(L8)&lt;'Sollecitazioni nel paramento'!$G$58,ABS(L8)*'Sollecitazioni nel paramento'!$G$54,'Sollecitazioni nel paramento'!$G$53)*IF(L8&lt;0,-1,1)</f>
        <v>204886.47740803001</v>
      </c>
      <c r="S8" s="545">
        <f>'Foglio deposito bis'!$F$50*IF(ABS(M8)&lt;'Sollecitazioni nel paramento'!$G$58,ABS(M8)*'Sollecitazioni nel paramento'!$G$54,'Sollecitazioni nel paramento'!$G$53)*IF(M8&lt;0,-1,1)</f>
        <v>0</v>
      </c>
      <c r="T8" s="545">
        <f>'Foglio deposito bis'!$F$51*IF(ABS(N8)&lt;'Sollecitazioni nel paramento'!$G$58,ABS(N8)*'Sollecitazioni nel paramento'!$G$54,'Sollecitazioni nel paramento'!$G$53)*IF(N8&lt;0,-1,1)</f>
        <v>240946.49743184328</v>
      </c>
      <c r="U8" s="545">
        <f>'Foglio deposito bis'!$F$52*IF(ABS(O8)&lt;'Sollecitazioni nel paramento'!$G$58,ABS(O8)*'Sollecitazioni nel paramento'!$G$54,'Sollecitazioni nel paramento'!$G$53)*IF(O8&lt;0,-1,1)</f>
        <v>240946.49743184328</v>
      </c>
      <c r="V8" s="472">
        <f t="shared" si="3"/>
        <v>668257.28455658595</v>
      </c>
      <c r="W8" s="551"/>
      <c r="X8" s="551"/>
      <c r="Z8" s="563">
        <f t="shared" si="1"/>
        <v>4</v>
      </c>
      <c r="AA8" s="538">
        <f>MINA(sezione!A997:A1239)</f>
        <v>4950.6585042115184</v>
      </c>
      <c r="AB8" s="538">
        <f>VLOOKUP(sezione!$AA$8,sezione!A997:O1239,3,FALSE)</f>
        <v>18.748658510927676</v>
      </c>
      <c r="AH8" s="568">
        <f t="shared" ref="AH8:AH17" si="5">AH7+1</f>
        <v>1</v>
      </c>
      <c r="AI8" s="548">
        <f>'Foglio deposito bis'!E154</f>
        <v>300.78998167313836</v>
      </c>
      <c r="AJ8" s="548">
        <f>AI8-sezione!$AH$20</f>
        <v>260.78998167313836</v>
      </c>
      <c r="AK8" s="548">
        <f>AI8-sezione!$AI$20</f>
        <v>240.78998167313836</v>
      </c>
      <c r="AL8" s="548">
        <f>AI8-sezione!$AJ$20</f>
        <v>220.78998167313836</v>
      </c>
      <c r="AM8" s="548">
        <f>AI8-sezione!$AK$20</f>
        <v>140.78998167313836</v>
      </c>
      <c r="AN8" s="548">
        <f>AI8-sezione!AV8</f>
        <v>40</v>
      </c>
      <c r="AP8" s="568">
        <f t="shared" ref="AP8:AP17" si="6">AP7+1</f>
        <v>1</v>
      </c>
      <c r="AQ8" s="548">
        <f>sezione!AI8</f>
        <v>300.78998167313836</v>
      </c>
      <c r="AR8" s="548">
        <f>sezione!$AH$20</f>
        <v>40</v>
      </c>
      <c r="AS8" s="548">
        <f>sezione!$AI$20</f>
        <v>60</v>
      </c>
      <c r="AT8" s="548">
        <f>sezione!$AJ$20</f>
        <v>80</v>
      </c>
      <c r="AU8" s="548">
        <f>sezione!$AK$20</f>
        <v>160</v>
      </c>
      <c r="AV8" s="548">
        <f>'Sollecitazioni nel paramento'!D152*1000-'Foglio deposito bis'!$E$40</f>
        <v>260.78998167313836</v>
      </c>
    </row>
    <row r="9" spans="1:48" x14ac:dyDescent="0.25">
      <c r="A9" s="545">
        <f t="shared" si="2"/>
        <v>662083.22198487574</v>
      </c>
      <c r="B9" s="3">
        <f t="shared" si="4"/>
        <v>0.2</v>
      </c>
      <c r="C9" s="41">
        <f>'Foglio deposito bis'!$E$153/$B$247*B9</f>
        <v>0.64824658862484763</v>
      </c>
      <c r="D9" s="603">
        <f>-'Sollecitazioni nel paramento'!$G$47*'Sollecitazioni nel paramento'!$G$41*IF(DATI!$G$211="dx",DATI!$E$61,DATI!$E$64*DATI!$E$63)*1000*C9^2*sezione!$AD$5*(1-sezione!$AD$6)</f>
        <v>-9349.4078401576662</v>
      </c>
      <c r="E9" s="545">
        <f>-'Foglio deposito bis'!$F$48*(C9-sezione!$AL$27)*IF(ABS(K9)&lt;'Sollecitazioni nel paramento'!$G$58,ABS(K9)*'Sollecitazioni nel paramento'!$G$54,'Sollecitazioni nel paramento'!$G$53)</f>
        <v>0</v>
      </c>
      <c r="F9" s="545">
        <f>-'Foglio deposito bis'!$F$49*(C9-sezione!$AM$27)*IF(ABS(L9)&lt;'Sollecitazioni nel paramento'!$G$58,ABS(L9)*'Sollecitazioni nel paramento'!$G$54,'Sollecitazioni nel paramento'!$G$53)</f>
        <v>12160371.684446681</v>
      </c>
      <c r="G9" s="545">
        <f>-'Foglio deposito bis'!$F$50*(C9-sezione!$AN$27)*IF(ABS(M9)&lt;'Sollecitazioni nel paramento'!$G$58,ABS(M9)*'Sollecitazioni nel paramento'!$G$54,'Sollecitazioni nel paramento'!$G$53)</f>
        <v>0</v>
      </c>
      <c r="H9" s="545">
        <f>-'Foglio deposito bis'!$F$51*(C9-sezione!$AO$27)*IF(ABS(N9)&lt;'Sollecitazioni nel paramento'!$G$58,ABS(N9)*'Sollecitazioni nel paramento'!$G$54,'Sollecitazioni nel paramento'!$G$53)</f>
        <v>38395246.844093621</v>
      </c>
      <c r="I9" s="472">
        <f>-'Foglio deposito bis'!$F$52*(C9-sezione!$AP$27)*IF(ABS(O9)&lt;'Sollecitazioni nel paramento'!$G$58,ABS(O9)*'Sollecitazioni nel paramento'!$G$54,'Sollecitazioni nel paramento'!$G$53)</f>
        <v>47919166.63570454</v>
      </c>
      <c r="J9" s="472">
        <f t="shared" si="0"/>
        <v>98465435.756404683</v>
      </c>
      <c r="K9" s="550">
        <f>'Sollecitazioni nel paramento'!$G$60*(sezione!$AL$27-C9)/C9</f>
        <v>0.21246719898979771</v>
      </c>
      <c r="L9" s="550">
        <f>'Sollecitazioni nel paramento'!$G$60*(sezione!$AM$27-C9)/C9</f>
        <v>0.32045079848469654</v>
      </c>
      <c r="M9" s="551">
        <f>'Sollecitazioni nel paramento'!$G$60*(sezione!$AN$27-C9)/C9</f>
        <v>0.42843439797959543</v>
      </c>
      <c r="N9" s="551">
        <f>'Sollecitazioni nel paramento'!$G$60*(sezione!$AO$27-C9)/C9</f>
        <v>0.8603687959591908</v>
      </c>
      <c r="O9" s="551">
        <f>'Sollecitazioni nel paramento'!$G$60*(sezione!$AP$27-C9)/C9</f>
        <v>1.0737828010102013</v>
      </c>
      <c r="P9" s="545">
        <f>-'Sollecitazioni nel paramento'!$G$47*'Sollecitazioni nel paramento'!$G$41*IF(DATI!$G$211="dx",DATI!$E$61,DATI!$E$64*DATI!$E$63)*1000*C9*sezione!$AD$5</f>
        <v>-24696.250286840816</v>
      </c>
      <c r="Q9" s="545">
        <f>'Foglio deposito bis'!$F$48*IF(ABS(K9)&lt;'Sollecitazioni nel paramento'!$G$58,ABS(K9)*'Sollecitazioni nel paramento'!$G$54,'Sollecitazioni nel paramento'!$G$53)*IF(K9&lt;0,-1,1)</f>
        <v>0</v>
      </c>
      <c r="R9" s="545">
        <f>'Foglio deposito bis'!$F$49*IF(ABS(L9)&lt;'Sollecitazioni nel paramento'!$G$58,ABS(L9)*'Sollecitazioni nel paramento'!$G$54,'Sollecitazioni nel paramento'!$G$53)*IF(L9&lt;0,-1,1)</f>
        <v>204886.47740803001</v>
      </c>
      <c r="S9" s="545">
        <f>'Foglio deposito bis'!$F$50*IF(ABS(M9)&lt;'Sollecitazioni nel paramento'!$G$58,ABS(M9)*'Sollecitazioni nel paramento'!$G$54,'Sollecitazioni nel paramento'!$G$53)*IF(M9&lt;0,-1,1)</f>
        <v>0</v>
      </c>
      <c r="T9" s="545">
        <f>'Foglio deposito bis'!$F$51*IF(ABS(N9)&lt;'Sollecitazioni nel paramento'!$G$58,ABS(N9)*'Sollecitazioni nel paramento'!$G$54,'Sollecitazioni nel paramento'!$G$53)*IF(N9&lt;0,-1,1)</f>
        <v>240946.49743184328</v>
      </c>
      <c r="U9" s="545">
        <f>'Foglio deposito bis'!$F$52*IF(ABS(O9)&lt;'Sollecitazioni nel paramento'!$G$58,ABS(O9)*'Sollecitazioni nel paramento'!$G$54,'Sollecitazioni nel paramento'!$G$53)*IF(O9&lt;0,-1,1)</f>
        <v>240946.49743184328</v>
      </c>
      <c r="V9" s="472">
        <f t="shared" si="3"/>
        <v>662083.22198487574</v>
      </c>
      <c r="W9" s="551"/>
      <c r="X9" s="551"/>
      <c r="Z9" s="563">
        <f t="shared" si="1"/>
        <v>5</v>
      </c>
      <c r="AA9" s="538">
        <f>MINA(sezione!A1245:A1487)</f>
        <v>2143.8585193137405</v>
      </c>
      <c r="AB9" s="538">
        <f>VLOOKUP(sezione!$AA$9,sezione!A1245:O1487,3,FALSE)</f>
        <v>25.257681488131414</v>
      </c>
      <c r="AH9" s="568">
        <f t="shared" si="5"/>
        <v>2</v>
      </c>
      <c r="AI9" s="548">
        <f>'Foglio deposito bis'!E155</f>
        <v>362.05284884939573</v>
      </c>
      <c r="AJ9" s="548">
        <f>AI9-sezione!$AH$20</f>
        <v>322.05284884939573</v>
      </c>
      <c r="AK9" s="548">
        <f>AI9-sezione!$AI$20</f>
        <v>302.05284884939573</v>
      </c>
      <c r="AL9" s="548">
        <f>AI9-sezione!$AJ$20</f>
        <v>282.05284884939573</v>
      </c>
      <c r="AM9" s="548">
        <f>AI9-sezione!$AK$20</f>
        <v>202.05284884939573</v>
      </c>
      <c r="AN9" s="548">
        <f>AI9-sezione!AV9</f>
        <v>40</v>
      </c>
      <c r="AP9" s="568">
        <f t="shared" si="6"/>
        <v>2</v>
      </c>
      <c r="AQ9" s="548">
        <f>sezione!AI9</f>
        <v>362.05284884939573</v>
      </c>
      <c r="AR9" s="548">
        <f>sezione!$AH$20</f>
        <v>40</v>
      </c>
      <c r="AS9" s="548">
        <f>sezione!$AI$20</f>
        <v>60</v>
      </c>
      <c r="AT9" s="548">
        <f>sezione!$AJ$20</f>
        <v>80</v>
      </c>
      <c r="AU9" s="548">
        <f>sezione!$AK$20</f>
        <v>160</v>
      </c>
      <c r="AV9" s="548">
        <f>'Sollecitazioni nel paramento'!D153*1000-'Foglio deposito bis'!$E$40</f>
        <v>322.05284884939573</v>
      </c>
    </row>
    <row r="10" spans="1:48" x14ac:dyDescent="0.25">
      <c r="A10" s="545">
        <f t="shared" si="2"/>
        <v>655909.15941316553</v>
      </c>
      <c r="B10" s="3">
        <f t="shared" si="4"/>
        <v>0.25</v>
      </c>
      <c r="C10" s="41">
        <f>'Foglio deposito bis'!$E$153/$B$247*B10</f>
        <v>0.81030823578105948</v>
      </c>
      <c r="D10" s="603">
        <f>-'Sollecitazioni nel paramento'!$G$47*'Sollecitazioni nel paramento'!$G$41*IF(DATI!$G$211="dx",DATI!$E$61,DATI!$E$64*DATI!$E$63)*1000*C10^2*sezione!$AD$5*(1-sezione!$AD$6)</f>
        <v>-14608.449750246351</v>
      </c>
      <c r="E10" s="545">
        <f>-'Foglio deposito bis'!$F$48*(C10-sezione!$AL$27)*IF(ABS(K10)&lt;'Sollecitazioni nel paramento'!$G$58,ABS(K10)*'Sollecitazioni nel paramento'!$G$54,'Sollecitazioni nel paramento'!$G$53)</f>
        <v>0</v>
      </c>
      <c r="F10" s="545">
        <f>-'Foglio deposito bis'!$F$49*(C10-sezione!$AM$27)*IF(ABS(L10)&lt;'Sollecitazioni nel paramento'!$G$58,ABS(L10)*'Sollecitazioni nel paramento'!$G$54,'Sollecitazioni nel paramento'!$G$53)</f>
        <v>12127167.444437904</v>
      </c>
      <c r="G10" s="545">
        <f>-'Foglio deposito bis'!$F$50*(C10-sezione!$AN$27)*IF(ABS(M10)&lt;'Sollecitazioni nel paramento'!$G$58,ABS(M10)*'Sollecitazioni nel paramento'!$G$54,'Sollecitazioni nel paramento'!$G$53)</f>
        <v>0</v>
      </c>
      <c r="H10" s="545">
        <f>-'Foglio deposito bis'!$F$51*(C10-sezione!$AO$27)*IF(ABS(N10)&lt;'Sollecitazioni nel paramento'!$G$58,ABS(N10)*'Sollecitazioni nel paramento'!$G$54,'Sollecitazioni nel paramento'!$G$53)</f>
        <v>38356198.657843299</v>
      </c>
      <c r="I10" s="472">
        <f>-'Foglio deposito bis'!$F$52*(C10-sezione!$AP$27)*IF(ABS(O10)&lt;'Sollecitazioni nel paramento'!$G$58,ABS(O10)*'Sollecitazioni nel paramento'!$G$54,'Sollecitazioni nel paramento'!$G$53)</f>
        <v>47880118.449454211</v>
      </c>
      <c r="J10" s="472">
        <f t="shared" si="0"/>
        <v>98348876.101985157</v>
      </c>
      <c r="K10" s="550">
        <f>'Sollecitazioni nel paramento'!$G$60*(sezione!$AL$27-C10)/C10</f>
        <v>0.16927375919183818</v>
      </c>
      <c r="L10" s="550">
        <f>'Sollecitazioni nel paramento'!$G$60*(sezione!$AM$27-C10)/C10</f>
        <v>0.2556606387877573</v>
      </c>
      <c r="M10" s="551">
        <f>'Sollecitazioni nel paramento'!$G$60*(sezione!$AN$27-C10)/C10</f>
        <v>0.34204751838367636</v>
      </c>
      <c r="N10" s="551">
        <f>'Sollecitazioni nel paramento'!$G$60*(sezione!$AO$27-C10)/C10</f>
        <v>0.68759503676735267</v>
      </c>
      <c r="O10" s="551">
        <f>'Sollecitazioni nel paramento'!$G$60*(sezione!$AP$27-C10)/C10</f>
        <v>0.85832624080816111</v>
      </c>
      <c r="P10" s="545">
        <f>-'Sollecitazioni nel paramento'!$G$47*'Sollecitazioni nel paramento'!$G$41*IF(DATI!$G$211="dx",DATI!$E$61,DATI!$E$64*DATI!$E$63)*1000*C10*sezione!$AD$5</f>
        <v>-30870.312858551017</v>
      </c>
      <c r="Q10" s="545">
        <f>'Foglio deposito bis'!$F$48*IF(ABS(K10)&lt;'Sollecitazioni nel paramento'!$G$58,ABS(K10)*'Sollecitazioni nel paramento'!$G$54,'Sollecitazioni nel paramento'!$G$53)*IF(K10&lt;0,-1,1)</f>
        <v>0</v>
      </c>
      <c r="R10" s="545">
        <f>'Foglio deposito bis'!$F$49*IF(ABS(L10)&lt;'Sollecitazioni nel paramento'!$G$58,ABS(L10)*'Sollecitazioni nel paramento'!$G$54,'Sollecitazioni nel paramento'!$G$53)*IF(L10&lt;0,-1,1)</f>
        <v>204886.47740803001</v>
      </c>
      <c r="S10" s="545">
        <f>'Foglio deposito bis'!$F$50*IF(ABS(M10)&lt;'Sollecitazioni nel paramento'!$G$58,ABS(M10)*'Sollecitazioni nel paramento'!$G$54,'Sollecitazioni nel paramento'!$G$53)*IF(M10&lt;0,-1,1)</f>
        <v>0</v>
      </c>
      <c r="T10" s="545">
        <f>'Foglio deposito bis'!$F$51*IF(ABS(N10)&lt;'Sollecitazioni nel paramento'!$G$58,ABS(N10)*'Sollecitazioni nel paramento'!$G$54,'Sollecitazioni nel paramento'!$G$53)*IF(N10&lt;0,-1,1)</f>
        <v>240946.49743184328</v>
      </c>
      <c r="U10" s="545">
        <f>'Foglio deposito bis'!$F$52*IF(ABS(O10)&lt;'Sollecitazioni nel paramento'!$G$58,ABS(O10)*'Sollecitazioni nel paramento'!$G$54,'Sollecitazioni nel paramento'!$G$53)*IF(O10&lt;0,-1,1)</f>
        <v>240946.49743184328</v>
      </c>
      <c r="V10" s="472">
        <f t="shared" si="3"/>
        <v>655909.15941316553</v>
      </c>
      <c r="W10" s="551"/>
      <c r="X10" s="551"/>
      <c r="Z10" s="563">
        <f t="shared" si="1"/>
        <v>6</v>
      </c>
      <c r="AA10" s="538">
        <f>MINA(sezione!A1493:A1735)</f>
        <v>584.46028460969683</v>
      </c>
      <c r="AB10" s="538">
        <f>VLOOKUP(sezione!$AA$10,sezione!A1493:O1735,3,FALSE)</f>
        <v>25.186066431724786</v>
      </c>
      <c r="AH10" s="568">
        <f t="shared" si="5"/>
        <v>3</v>
      </c>
      <c r="AI10" s="548">
        <f>'Foglio deposito bis'!E156</f>
        <v>424.88655877376215</v>
      </c>
      <c r="AJ10" s="548">
        <f>AI10-sezione!$AH$20</f>
        <v>384.88655877376215</v>
      </c>
      <c r="AK10" s="548">
        <f>AI10-sezione!$AI$20</f>
        <v>364.88655877376215</v>
      </c>
      <c r="AL10" s="548">
        <f>AI10-sezione!$AJ$20</f>
        <v>344.88655877376215</v>
      </c>
      <c r="AM10" s="548">
        <f>AI10-sezione!$AK$20</f>
        <v>264.88655877376215</v>
      </c>
      <c r="AN10" s="548">
        <f>AI10-sezione!AV10</f>
        <v>40</v>
      </c>
      <c r="AP10" s="568">
        <f t="shared" si="6"/>
        <v>3</v>
      </c>
      <c r="AQ10" s="548">
        <f>sezione!AI10</f>
        <v>424.88655877376215</v>
      </c>
      <c r="AR10" s="548">
        <f>sezione!$AH$20</f>
        <v>40</v>
      </c>
      <c r="AS10" s="548">
        <f>sezione!$AI$20</f>
        <v>60</v>
      </c>
      <c r="AT10" s="548">
        <f>sezione!$AJ$20</f>
        <v>80</v>
      </c>
      <c r="AU10" s="548">
        <f>sezione!$AK$20</f>
        <v>160</v>
      </c>
      <c r="AV10" s="548">
        <f>'Sollecitazioni nel paramento'!D154*1000-'Foglio deposito bis'!$E$40</f>
        <v>384.88655877376215</v>
      </c>
    </row>
    <row r="11" spans="1:48" x14ac:dyDescent="0.25">
      <c r="A11" s="545">
        <f t="shared" si="2"/>
        <v>649735.09684145532</v>
      </c>
      <c r="B11" s="3">
        <f t="shared" si="4"/>
        <v>0.3</v>
      </c>
      <c r="C11" s="41">
        <f>'Foglio deposito bis'!$E$153/$B$247*B11</f>
        <v>0.97236988293727133</v>
      </c>
      <c r="D11" s="603">
        <f>-'Sollecitazioni nel paramento'!$G$47*'Sollecitazioni nel paramento'!$G$41*IF(DATI!$G$211="dx",DATI!$E$61,DATI!$E$64*DATI!$E$63)*1000*C11^2*sezione!$AD$5*(1-sezione!$AD$6)</f>
        <v>-21036.167640354743</v>
      </c>
      <c r="E11" s="545">
        <f>-'Foglio deposito bis'!$F$48*(C11-sezione!$AL$27)*IF(ABS(K11)&lt;'Sollecitazioni nel paramento'!$G$58,ABS(K11)*'Sollecitazioni nel paramento'!$G$54,'Sollecitazioni nel paramento'!$G$53)</f>
        <v>0</v>
      </c>
      <c r="F11" s="545">
        <f>-'Foglio deposito bis'!$F$49*(C11-sezione!$AM$27)*IF(ABS(L11)&lt;'Sollecitazioni nel paramento'!$G$58,ABS(L11)*'Sollecitazioni nel paramento'!$G$54,'Sollecitazioni nel paramento'!$G$53)</f>
        <v>12093963.204429124</v>
      </c>
      <c r="G11" s="545">
        <f>-'Foglio deposito bis'!$F$50*(C11-sezione!$AN$27)*IF(ABS(M11)&lt;'Sollecitazioni nel paramento'!$G$58,ABS(M11)*'Sollecitazioni nel paramento'!$G$54,'Sollecitazioni nel paramento'!$G$53)</f>
        <v>0</v>
      </c>
      <c r="H11" s="545">
        <f>-'Foglio deposito bis'!$F$51*(C11-sezione!$AO$27)*IF(ABS(N11)&lt;'Sollecitazioni nel paramento'!$G$58,ABS(N11)*'Sollecitazioni nel paramento'!$G$54,'Sollecitazioni nel paramento'!$G$53)</f>
        <v>38317150.471592978</v>
      </c>
      <c r="I11" s="472">
        <f>-'Foglio deposito bis'!$F$52*(C11-sezione!$AP$27)*IF(ABS(O11)&lt;'Sollecitazioni nel paramento'!$G$58,ABS(O11)*'Sollecitazioni nel paramento'!$G$54,'Sollecitazioni nel paramento'!$G$53)</f>
        <v>47841070.263203889</v>
      </c>
      <c r="J11" s="472">
        <f t="shared" si="0"/>
        <v>98231147.771585643</v>
      </c>
      <c r="K11" s="550">
        <f>'Sollecitazioni nel paramento'!$G$60*(sezione!$AL$27-C11)/C11</f>
        <v>0.14047813265986514</v>
      </c>
      <c r="L11" s="550">
        <f>'Sollecitazioni nel paramento'!$G$60*(sezione!$AM$27-C11)/C11</f>
        <v>0.21246719898979774</v>
      </c>
      <c r="M11" s="551">
        <f>'Sollecitazioni nel paramento'!$G$60*(sezione!$AN$27-C11)/C11</f>
        <v>0.28445626531973028</v>
      </c>
      <c r="N11" s="551">
        <f>'Sollecitazioni nel paramento'!$G$60*(sezione!$AO$27-C11)/C11</f>
        <v>0.57241253063946052</v>
      </c>
      <c r="O11" s="551">
        <f>'Sollecitazioni nel paramento'!$G$60*(sezione!$AP$27-C11)/C11</f>
        <v>0.71468853400680088</v>
      </c>
      <c r="P11" s="545">
        <f>-'Sollecitazioni nel paramento'!$G$47*'Sollecitazioni nel paramento'!$G$41*IF(DATI!$G$211="dx",DATI!$E$61,DATI!$E$64*DATI!$E$63)*1000*C11*sezione!$AD$5</f>
        <v>-37044.375430261221</v>
      </c>
      <c r="Q11" s="545">
        <f>'Foglio deposito bis'!$F$48*IF(ABS(K11)&lt;'Sollecitazioni nel paramento'!$G$58,ABS(K11)*'Sollecitazioni nel paramento'!$G$54,'Sollecitazioni nel paramento'!$G$53)*IF(K11&lt;0,-1,1)</f>
        <v>0</v>
      </c>
      <c r="R11" s="545">
        <f>'Foglio deposito bis'!$F$49*IF(ABS(L11)&lt;'Sollecitazioni nel paramento'!$G$58,ABS(L11)*'Sollecitazioni nel paramento'!$G$54,'Sollecitazioni nel paramento'!$G$53)*IF(L11&lt;0,-1,1)</f>
        <v>204886.47740803001</v>
      </c>
      <c r="S11" s="545">
        <f>'Foglio deposito bis'!$F$50*IF(ABS(M11)&lt;'Sollecitazioni nel paramento'!$G$58,ABS(M11)*'Sollecitazioni nel paramento'!$G$54,'Sollecitazioni nel paramento'!$G$53)*IF(M11&lt;0,-1,1)</f>
        <v>0</v>
      </c>
      <c r="T11" s="545">
        <f>'Foglio deposito bis'!$F$51*IF(ABS(N11)&lt;'Sollecitazioni nel paramento'!$G$58,ABS(N11)*'Sollecitazioni nel paramento'!$G$54,'Sollecitazioni nel paramento'!$G$53)*IF(N11&lt;0,-1,1)</f>
        <v>240946.49743184328</v>
      </c>
      <c r="U11" s="545">
        <f>'Foglio deposito bis'!$F$52*IF(ABS(O11)&lt;'Sollecitazioni nel paramento'!$G$58,ABS(O11)*'Sollecitazioni nel paramento'!$G$54,'Sollecitazioni nel paramento'!$G$53)*IF(O11&lt;0,-1,1)</f>
        <v>240946.49743184328</v>
      </c>
      <c r="V11" s="472">
        <f t="shared" si="3"/>
        <v>649735.09684145532</v>
      </c>
      <c r="W11" s="551"/>
      <c r="X11" s="551"/>
      <c r="Z11" s="563">
        <f t="shared" si="1"/>
        <v>7</v>
      </c>
      <c r="AA11" s="538">
        <f>MINA(sezione!A1741:A1983)</f>
        <v>4454.8216857861262</v>
      </c>
      <c r="AB11" s="538">
        <f>VLOOKUP(sezione!$AA$11,sezione!A1741:O1983,3,FALSE)</f>
        <v>37.798116493183869</v>
      </c>
      <c r="AH11" s="568">
        <f t="shared" si="5"/>
        <v>4</v>
      </c>
      <c r="AI11" s="548">
        <f>'Foglio deposito bis'!E157</f>
        <v>486.14942595001941</v>
      </c>
      <c r="AJ11" s="548">
        <f>AI11-sezione!$AH$20</f>
        <v>446.14942595001941</v>
      </c>
      <c r="AK11" s="548">
        <f>AI11-sezione!$AI$20</f>
        <v>426.14942595001941</v>
      </c>
      <c r="AL11" s="548">
        <f>AI11-sezione!$AJ$20</f>
        <v>406.14942595001941</v>
      </c>
      <c r="AM11" s="548">
        <f>AI11-sezione!$AK$20</f>
        <v>326.14942595001941</v>
      </c>
      <c r="AN11" s="548">
        <f>AI11-sezione!AV11</f>
        <v>40</v>
      </c>
      <c r="AP11" s="568">
        <f t="shared" si="6"/>
        <v>4</v>
      </c>
      <c r="AQ11" s="548">
        <f>sezione!AI11</f>
        <v>486.14942595001941</v>
      </c>
      <c r="AR11" s="548">
        <f>sezione!$AH$20</f>
        <v>40</v>
      </c>
      <c r="AS11" s="548">
        <f>sezione!$AI$20</f>
        <v>60</v>
      </c>
      <c r="AT11" s="548">
        <f>sezione!$AJ$20</f>
        <v>80</v>
      </c>
      <c r="AU11" s="548">
        <f>sezione!$AK$20</f>
        <v>160</v>
      </c>
      <c r="AV11" s="548">
        <f>'Sollecitazioni nel paramento'!D155*1000-'Foglio deposito bis'!$E$40</f>
        <v>446.14942595001941</v>
      </c>
    </row>
    <row r="12" spans="1:48" x14ac:dyDescent="0.25">
      <c r="A12" s="545">
        <f t="shared" si="2"/>
        <v>643561.03426974511</v>
      </c>
      <c r="B12" s="3">
        <f t="shared" si="4"/>
        <v>0.35</v>
      </c>
      <c r="C12" s="41">
        <f>'Foglio deposito bis'!$E$153/$B$247*B12</f>
        <v>1.1344315300934833</v>
      </c>
      <c r="D12" s="603">
        <f>-'Sollecitazioni nel paramento'!$G$47*'Sollecitazioni nel paramento'!$G$41*IF(DATI!$G$211="dx",DATI!$E$61,DATI!$E$64*DATI!$E$63)*1000*C12^2*sezione!$AD$5*(1-sezione!$AD$6)</f>
        <v>-28632.561510482843</v>
      </c>
      <c r="E12" s="545">
        <f>-'Foglio deposito bis'!$F$48*(C12-sezione!$AL$27)*IF(ABS(K12)&lt;'Sollecitazioni nel paramento'!$G$58,ABS(K12)*'Sollecitazioni nel paramento'!$G$54,'Sollecitazioni nel paramento'!$G$53)</f>
        <v>0</v>
      </c>
      <c r="F12" s="545">
        <f>-'Foglio deposito bis'!$F$49*(C12-sezione!$AM$27)*IF(ABS(L12)&lt;'Sollecitazioni nel paramento'!$G$58,ABS(L12)*'Sollecitazioni nel paramento'!$G$54,'Sollecitazioni nel paramento'!$G$53)</f>
        <v>12060758.964420345</v>
      </c>
      <c r="G12" s="545">
        <f>-'Foglio deposito bis'!$F$50*(C12-sezione!$AN$27)*IF(ABS(M12)&lt;'Sollecitazioni nel paramento'!$G$58,ABS(M12)*'Sollecitazioni nel paramento'!$G$54,'Sollecitazioni nel paramento'!$G$53)</f>
        <v>0</v>
      </c>
      <c r="H12" s="545">
        <f>-'Foglio deposito bis'!$F$51*(C12-sezione!$AO$27)*IF(ABS(N12)&lt;'Sollecitazioni nel paramento'!$G$58,ABS(N12)*'Sollecitazioni nel paramento'!$G$54,'Sollecitazioni nel paramento'!$G$53)</f>
        <v>38278102.285342656</v>
      </c>
      <c r="I12" s="472">
        <f>-'Foglio deposito bis'!$F$52*(C12-sezione!$AP$27)*IF(ABS(O12)&lt;'Sollecitazioni nel paramento'!$G$58,ABS(O12)*'Sollecitazioni nel paramento'!$G$54,'Sollecitazioni nel paramento'!$G$53)</f>
        <v>47802022.076953568</v>
      </c>
      <c r="J12" s="472">
        <f t="shared" si="0"/>
        <v>98112250.765206084</v>
      </c>
      <c r="K12" s="550">
        <f>'Sollecitazioni nel paramento'!$G$60*(sezione!$AL$27-C12)/C12</f>
        <v>0.1199098279941701</v>
      </c>
      <c r="L12" s="550">
        <f>'Sollecitazioni nel paramento'!$G$60*(sezione!$AM$27-C12)/C12</f>
        <v>0.18161474199125519</v>
      </c>
      <c r="M12" s="551">
        <f>'Sollecitazioni nel paramento'!$G$60*(sezione!$AN$27-C12)/C12</f>
        <v>0.24331965598834027</v>
      </c>
      <c r="N12" s="551">
        <f>'Sollecitazioni nel paramento'!$G$60*(sezione!$AO$27-C12)/C12</f>
        <v>0.49013931197668048</v>
      </c>
      <c r="O12" s="551">
        <f>'Sollecitazioni nel paramento'!$G$60*(sezione!$AP$27-C12)/C12</f>
        <v>0.61209017200582938</v>
      </c>
      <c r="P12" s="545">
        <f>-'Sollecitazioni nel paramento'!$G$47*'Sollecitazioni nel paramento'!$G$41*IF(DATI!$G$211="dx",DATI!$E$61,DATI!$E$64*DATI!$E$63)*1000*C12*sezione!$AD$5</f>
        <v>-43218.43800197143</v>
      </c>
      <c r="Q12" s="545">
        <f>'Foglio deposito bis'!$F$48*IF(ABS(K12)&lt;'Sollecitazioni nel paramento'!$G$58,ABS(K12)*'Sollecitazioni nel paramento'!$G$54,'Sollecitazioni nel paramento'!$G$53)*IF(K12&lt;0,-1,1)</f>
        <v>0</v>
      </c>
      <c r="R12" s="545">
        <f>'Foglio deposito bis'!$F$49*IF(ABS(L12)&lt;'Sollecitazioni nel paramento'!$G$58,ABS(L12)*'Sollecitazioni nel paramento'!$G$54,'Sollecitazioni nel paramento'!$G$53)*IF(L12&lt;0,-1,1)</f>
        <v>204886.47740803001</v>
      </c>
      <c r="S12" s="545">
        <f>'Foglio deposito bis'!$F$50*IF(ABS(M12)&lt;'Sollecitazioni nel paramento'!$G$58,ABS(M12)*'Sollecitazioni nel paramento'!$G$54,'Sollecitazioni nel paramento'!$G$53)*IF(M12&lt;0,-1,1)</f>
        <v>0</v>
      </c>
      <c r="T12" s="545">
        <f>'Foglio deposito bis'!$F$51*IF(ABS(N12)&lt;'Sollecitazioni nel paramento'!$G$58,ABS(N12)*'Sollecitazioni nel paramento'!$G$54,'Sollecitazioni nel paramento'!$G$53)*IF(N12&lt;0,-1,1)</f>
        <v>240946.49743184328</v>
      </c>
      <c r="U12" s="545">
        <f>'Foglio deposito bis'!$F$52*IF(ABS(O12)&lt;'Sollecitazioni nel paramento'!$G$58,ABS(O12)*'Sollecitazioni nel paramento'!$G$54,'Sollecitazioni nel paramento'!$G$53)*IF(O12&lt;0,-1,1)</f>
        <v>240946.49743184328</v>
      </c>
      <c r="V12" s="472">
        <f t="shared" si="3"/>
        <v>643561.03426974511</v>
      </c>
      <c r="W12" s="551"/>
      <c r="X12" s="551"/>
      <c r="Z12" s="563">
        <f t="shared" si="1"/>
        <v>8</v>
      </c>
      <c r="AA12" s="538">
        <f>MINA(sezione!A1989:A2231)</f>
        <v>5887.4566753720865</v>
      </c>
      <c r="AB12" s="538">
        <f>VLOOKUP(sezione!$AA$12,sezione!A1989:O2231,3,FALSE)</f>
        <v>37.760511563935218</v>
      </c>
      <c r="AH12" s="568">
        <f t="shared" si="5"/>
        <v>5</v>
      </c>
      <c r="AI12" s="548">
        <f>'Foglio deposito bis'!E158</f>
        <v>548.98313587438599</v>
      </c>
      <c r="AJ12" s="548">
        <f>AI12-sezione!$AH$20</f>
        <v>508.98313587438599</v>
      </c>
      <c r="AK12" s="548">
        <f>AI12-sezione!$AI$20</f>
        <v>488.98313587438599</v>
      </c>
      <c r="AL12" s="548">
        <f>AI12-sezione!$AJ$20</f>
        <v>468.98313587438599</v>
      </c>
      <c r="AM12" s="548">
        <f>AI12-sezione!$AK$20</f>
        <v>388.98313587438599</v>
      </c>
      <c r="AN12" s="548">
        <f>AI12-sezione!AV12</f>
        <v>40</v>
      </c>
      <c r="AP12" s="568">
        <f t="shared" si="6"/>
        <v>5</v>
      </c>
      <c r="AQ12" s="548">
        <f>sezione!AI12</f>
        <v>548.98313587438599</v>
      </c>
      <c r="AR12" s="548">
        <f>sezione!$AH$20</f>
        <v>40</v>
      </c>
      <c r="AS12" s="548">
        <f>sezione!$AI$20</f>
        <v>60</v>
      </c>
      <c r="AT12" s="548">
        <f>sezione!$AJ$20</f>
        <v>80</v>
      </c>
      <c r="AU12" s="548">
        <f>sezione!$AK$20</f>
        <v>160</v>
      </c>
      <c r="AV12" s="548">
        <f>'Sollecitazioni nel paramento'!D156*1000-'Foglio deposito bis'!$E$40</f>
        <v>508.98313587438599</v>
      </c>
    </row>
    <row r="13" spans="1:48" x14ac:dyDescent="0.25">
      <c r="A13" s="545">
        <f t="shared" si="2"/>
        <v>637386.97169803502</v>
      </c>
      <c r="B13" s="3">
        <f t="shared" si="4"/>
        <v>0.39999999999999997</v>
      </c>
      <c r="C13" s="41">
        <f>'Foglio deposito bis'!$E$153/$B$247*B13</f>
        <v>1.296493177249695</v>
      </c>
      <c r="D13" s="603">
        <f>-'Sollecitazioni nel paramento'!$G$47*'Sollecitazioni nel paramento'!$G$41*IF(DATI!$G$211="dx",DATI!$E$61,DATI!$E$64*DATI!$E$63)*1000*C13^2*sezione!$AD$5*(1-sezione!$AD$6)</f>
        <v>-37397.63136063065</v>
      </c>
      <c r="E13" s="545">
        <f>-'Foglio deposito bis'!$F$48*(C13-sezione!$AL$27)*IF(ABS(K13)&lt;'Sollecitazioni nel paramento'!$G$58,ABS(K13)*'Sollecitazioni nel paramento'!$G$54,'Sollecitazioni nel paramento'!$G$53)</f>
        <v>0</v>
      </c>
      <c r="F13" s="545">
        <f>-'Foglio deposito bis'!$F$49*(C13-sezione!$AM$27)*IF(ABS(L13)&lt;'Sollecitazioni nel paramento'!$G$58,ABS(L13)*'Sollecitazioni nel paramento'!$G$54,'Sollecitazioni nel paramento'!$G$53)</f>
        <v>12027554.724411566</v>
      </c>
      <c r="G13" s="545">
        <f>-'Foglio deposito bis'!$F$50*(C13-sezione!$AN$27)*IF(ABS(M13)&lt;'Sollecitazioni nel paramento'!$G$58,ABS(M13)*'Sollecitazioni nel paramento'!$G$54,'Sollecitazioni nel paramento'!$G$53)</f>
        <v>0</v>
      </c>
      <c r="H13" s="545">
        <f>-'Foglio deposito bis'!$F$51*(C13-sezione!$AO$27)*IF(ABS(N13)&lt;'Sollecitazioni nel paramento'!$G$58,ABS(N13)*'Sollecitazioni nel paramento'!$G$54,'Sollecitazioni nel paramento'!$G$53)</f>
        <v>38239054.099092327</v>
      </c>
      <c r="I13" s="472">
        <f>-'Foglio deposito bis'!$F$52*(C13-sezione!$AP$27)*IF(ABS(O13)&lt;'Sollecitazioni nel paramento'!$G$58,ABS(O13)*'Sollecitazioni nel paramento'!$G$54,'Sollecitazioni nel paramento'!$G$53)</f>
        <v>47762973.890703246</v>
      </c>
      <c r="J13" s="472">
        <f t="shared" si="0"/>
        <v>97992185.082846507</v>
      </c>
      <c r="K13" s="550">
        <f>'Sollecitazioni nel paramento'!$G$60*(sezione!$AL$27-C13)/C13</f>
        <v>0.10448359949489887</v>
      </c>
      <c r="L13" s="550">
        <f>'Sollecitazioni nel paramento'!$G$60*(sezione!$AM$27-C13)/C13</f>
        <v>0.1584753992423483</v>
      </c>
      <c r="M13" s="551">
        <f>'Sollecitazioni nel paramento'!$G$60*(sezione!$AN$27-C13)/C13</f>
        <v>0.21246719898979774</v>
      </c>
      <c r="N13" s="551">
        <f>'Sollecitazioni nel paramento'!$G$60*(sezione!$AO$27-C13)/C13</f>
        <v>0.42843439797959548</v>
      </c>
      <c r="O13" s="551">
        <f>'Sollecitazioni nel paramento'!$G$60*(sezione!$AP$27-C13)/C13</f>
        <v>0.53514140050510073</v>
      </c>
      <c r="P13" s="545">
        <f>-'Sollecitazioni nel paramento'!$G$47*'Sollecitazioni nel paramento'!$G$41*IF(DATI!$G$211="dx",DATI!$E$61,DATI!$E$64*DATI!$E$63)*1000*C13*sezione!$AD$5</f>
        <v>-49392.500573681624</v>
      </c>
      <c r="Q13" s="545">
        <f>'Foglio deposito bis'!$F$48*IF(ABS(K13)&lt;'Sollecitazioni nel paramento'!$G$58,ABS(K13)*'Sollecitazioni nel paramento'!$G$54,'Sollecitazioni nel paramento'!$G$53)*IF(K13&lt;0,-1,1)</f>
        <v>0</v>
      </c>
      <c r="R13" s="545">
        <f>'Foglio deposito bis'!$F$49*IF(ABS(L13)&lt;'Sollecitazioni nel paramento'!$G$58,ABS(L13)*'Sollecitazioni nel paramento'!$G$54,'Sollecitazioni nel paramento'!$G$53)*IF(L13&lt;0,-1,1)</f>
        <v>204886.47740803001</v>
      </c>
      <c r="S13" s="545">
        <f>'Foglio deposito bis'!$F$50*IF(ABS(M13)&lt;'Sollecitazioni nel paramento'!$G$58,ABS(M13)*'Sollecitazioni nel paramento'!$G$54,'Sollecitazioni nel paramento'!$G$53)*IF(M13&lt;0,-1,1)</f>
        <v>0</v>
      </c>
      <c r="T13" s="545">
        <f>'Foglio deposito bis'!$F$51*IF(ABS(N13)&lt;'Sollecitazioni nel paramento'!$G$58,ABS(N13)*'Sollecitazioni nel paramento'!$G$54,'Sollecitazioni nel paramento'!$G$53)*IF(N13&lt;0,-1,1)</f>
        <v>240946.49743184328</v>
      </c>
      <c r="U13" s="545">
        <f>'Foglio deposito bis'!$F$52*IF(ABS(O13)&lt;'Sollecitazioni nel paramento'!$G$58,ABS(O13)*'Sollecitazioni nel paramento'!$G$54,'Sollecitazioni nel paramento'!$G$53)*IF(O13&lt;0,-1,1)</f>
        <v>240946.49743184328</v>
      </c>
      <c r="V13" s="472">
        <f t="shared" si="3"/>
        <v>637386.97169803502</v>
      </c>
      <c r="W13" s="551"/>
      <c r="X13" s="551"/>
      <c r="Z13" s="563">
        <f t="shared" si="1"/>
        <v>9</v>
      </c>
      <c r="AA13" s="538">
        <f>MINA(sezione!A2237:A2479)</f>
        <v>22696.375157879433</v>
      </c>
      <c r="AB13" s="538">
        <f>VLOOKUP(sezione!$AA$13,sezione!A2237:O2479,3,FALSE)</f>
        <v>65.802102428435177</v>
      </c>
      <c r="AH13" s="568">
        <f t="shared" si="5"/>
        <v>6</v>
      </c>
      <c r="AI13" s="548">
        <f>'Foglio deposito bis'!E159</f>
        <v>610.24600305064325</v>
      </c>
      <c r="AJ13" s="548">
        <f>AI13-sezione!$AH$20</f>
        <v>570.24600305064325</v>
      </c>
      <c r="AK13" s="548">
        <f>AI13-sezione!$AI$20</f>
        <v>550.24600305064325</v>
      </c>
      <c r="AL13" s="548">
        <f>AI13-sezione!$AJ$20</f>
        <v>530.24600305064325</v>
      </c>
      <c r="AM13" s="548">
        <f>AI13-sezione!$AK$20</f>
        <v>450.24600305064325</v>
      </c>
      <c r="AN13" s="548">
        <f>AI13-sezione!AV13</f>
        <v>40</v>
      </c>
      <c r="AP13" s="568">
        <f t="shared" si="6"/>
        <v>6</v>
      </c>
      <c r="AQ13" s="548">
        <f>sezione!AI13</f>
        <v>610.24600305064325</v>
      </c>
      <c r="AR13" s="548">
        <f>sezione!$AH$20</f>
        <v>40</v>
      </c>
      <c r="AS13" s="548">
        <f>sezione!$AI$20</f>
        <v>60</v>
      </c>
      <c r="AT13" s="548">
        <f>sezione!$AJ$20</f>
        <v>80</v>
      </c>
      <c r="AU13" s="548">
        <f>sezione!$AK$20</f>
        <v>160</v>
      </c>
      <c r="AV13" s="548">
        <f>'Sollecitazioni nel paramento'!D157*1000-'Foglio deposito bis'!$E$40</f>
        <v>570.24600305064325</v>
      </c>
    </row>
    <row r="14" spans="1:48" x14ac:dyDescent="0.25">
      <c r="A14" s="545">
        <f t="shared" si="2"/>
        <v>631212.90912632481</v>
      </c>
      <c r="B14" s="3">
        <f t="shared" si="4"/>
        <v>0.44999999999999996</v>
      </c>
      <c r="C14" s="41">
        <f>'Foglio deposito bis'!$E$153/$B$247*B14</f>
        <v>1.458554824405907</v>
      </c>
      <c r="D14" s="603">
        <f>-'Sollecitazioni nel paramento'!$G$47*'Sollecitazioni nel paramento'!$G$41*IF(DATI!$G$211="dx",DATI!$E$61,DATI!$E$64*DATI!$E$63)*1000*C14^2*sezione!$AD$5*(1-sezione!$AD$6)</f>
        <v>-47331.377190798172</v>
      </c>
      <c r="E14" s="545">
        <f>-'Foglio deposito bis'!$F$48*(C14-sezione!$AL$27)*IF(ABS(K14)&lt;'Sollecitazioni nel paramento'!$G$58,ABS(K14)*'Sollecitazioni nel paramento'!$G$54,'Sollecitazioni nel paramento'!$G$53)</f>
        <v>0</v>
      </c>
      <c r="F14" s="545">
        <f>-'Foglio deposito bis'!$F$49*(C14-sezione!$AM$27)*IF(ABS(L14)&lt;'Sollecitazioni nel paramento'!$G$58,ABS(L14)*'Sollecitazioni nel paramento'!$G$54,'Sollecitazioni nel paramento'!$G$53)</f>
        <v>11994350.484402785</v>
      </c>
      <c r="G14" s="545">
        <f>-'Foglio deposito bis'!$F$50*(C14-sezione!$AN$27)*IF(ABS(M14)&lt;'Sollecitazioni nel paramento'!$G$58,ABS(M14)*'Sollecitazioni nel paramento'!$G$54,'Sollecitazioni nel paramento'!$G$53)</f>
        <v>0</v>
      </c>
      <c r="H14" s="545">
        <f>-'Foglio deposito bis'!$F$51*(C14-sezione!$AO$27)*IF(ABS(N14)&lt;'Sollecitazioni nel paramento'!$G$58,ABS(N14)*'Sollecitazioni nel paramento'!$G$54,'Sollecitazioni nel paramento'!$G$53)</f>
        <v>38200005.912842005</v>
      </c>
      <c r="I14" s="472">
        <f>-'Foglio deposito bis'!$F$52*(C14-sezione!$AP$27)*IF(ABS(O14)&lt;'Sollecitazioni nel paramento'!$G$58,ABS(O14)*'Sollecitazioni nel paramento'!$G$54,'Sollecitazioni nel paramento'!$G$53)</f>
        <v>47723925.704452924</v>
      </c>
      <c r="J14" s="472">
        <f t="shared" si="0"/>
        <v>97870950.724506915</v>
      </c>
      <c r="K14" s="550">
        <f>'Sollecitazioni nel paramento'!$G$60*(sezione!$AL$27-C14)/C14</f>
        <v>9.248542177324344E-2</v>
      </c>
      <c r="L14" s="550">
        <f>'Sollecitazioni nel paramento'!$G$60*(sezione!$AM$27-C14)/C14</f>
        <v>0.14047813265986517</v>
      </c>
      <c r="M14" s="551">
        <f>'Sollecitazioni nel paramento'!$G$60*(sezione!$AN$27-C14)/C14</f>
        <v>0.18847084354648685</v>
      </c>
      <c r="N14" s="551">
        <f>'Sollecitazioni nel paramento'!$G$60*(sezione!$AO$27-C14)/C14</f>
        <v>0.38044168709297377</v>
      </c>
      <c r="O14" s="551">
        <f>'Sollecitazioni nel paramento'!$G$60*(sezione!$AP$27-C14)/C14</f>
        <v>0.47529235600453401</v>
      </c>
      <c r="P14" s="545">
        <f>-'Sollecitazioni nel paramento'!$G$47*'Sollecitazioni nel paramento'!$G$41*IF(DATI!$G$211="dx",DATI!$E$61,DATI!$E$64*DATI!$E$63)*1000*C14*sezione!$AD$5</f>
        <v>-55566.563145391825</v>
      </c>
      <c r="Q14" s="545">
        <f>'Foglio deposito bis'!$F$48*IF(ABS(K14)&lt;'Sollecitazioni nel paramento'!$G$58,ABS(K14)*'Sollecitazioni nel paramento'!$G$54,'Sollecitazioni nel paramento'!$G$53)*IF(K14&lt;0,-1,1)</f>
        <v>0</v>
      </c>
      <c r="R14" s="545">
        <f>'Foglio deposito bis'!$F$49*IF(ABS(L14)&lt;'Sollecitazioni nel paramento'!$G$58,ABS(L14)*'Sollecitazioni nel paramento'!$G$54,'Sollecitazioni nel paramento'!$G$53)*IF(L14&lt;0,-1,1)</f>
        <v>204886.47740803001</v>
      </c>
      <c r="S14" s="545">
        <f>'Foglio deposito bis'!$F$50*IF(ABS(M14)&lt;'Sollecitazioni nel paramento'!$G$58,ABS(M14)*'Sollecitazioni nel paramento'!$G$54,'Sollecitazioni nel paramento'!$G$53)*IF(M14&lt;0,-1,1)</f>
        <v>0</v>
      </c>
      <c r="T14" s="545">
        <f>'Foglio deposito bis'!$F$51*IF(ABS(N14)&lt;'Sollecitazioni nel paramento'!$G$58,ABS(N14)*'Sollecitazioni nel paramento'!$G$54,'Sollecitazioni nel paramento'!$G$53)*IF(N14&lt;0,-1,1)</f>
        <v>240946.49743184328</v>
      </c>
      <c r="U14" s="545">
        <f>'Foglio deposito bis'!$F$52*IF(ABS(O14)&lt;'Sollecitazioni nel paramento'!$G$58,ABS(O14)*'Sollecitazioni nel paramento'!$G$54,'Sollecitazioni nel paramento'!$G$53)*IF(O14&lt;0,-1,1)</f>
        <v>240946.49743184328</v>
      </c>
      <c r="V14" s="472">
        <f t="shared" si="3"/>
        <v>631212.90912632481</v>
      </c>
      <c r="W14" s="551"/>
      <c r="X14" s="551"/>
      <c r="Z14" s="563">
        <f t="shared" si="1"/>
        <v>10</v>
      </c>
      <c r="AA14" s="538">
        <f>MINA(sezione!A2485:A2727)</f>
        <v>5461.5837908147369</v>
      </c>
      <c r="AB14" s="538">
        <f>VLOOKUP(sezione!$AA$14,sezione!A2485:O2727,3,FALSE)</f>
        <v>66.212492507926555</v>
      </c>
      <c r="AH14" s="568">
        <f t="shared" si="5"/>
        <v>7</v>
      </c>
      <c r="AI14" s="548">
        <f>'Foglio deposito bis'!E160</f>
        <v>673.07971297500978</v>
      </c>
      <c r="AJ14" s="548">
        <f>AI14-sezione!$AH$20</f>
        <v>633.07971297500978</v>
      </c>
      <c r="AK14" s="548">
        <f>AI14-sezione!$AI$20</f>
        <v>613.07971297500978</v>
      </c>
      <c r="AL14" s="548">
        <f>AI14-sezione!$AJ$20</f>
        <v>593.07971297500978</v>
      </c>
      <c r="AM14" s="548">
        <f>AI14-sezione!$AK$20</f>
        <v>513.07971297500978</v>
      </c>
      <c r="AN14" s="548">
        <f>AI14-sezione!AV14</f>
        <v>40</v>
      </c>
      <c r="AP14" s="568">
        <f t="shared" si="6"/>
        <v>7</v>
      </c>
      <c r="AQ14" s="548">
        <f>sezione!AI14</f>
        <v>673.07971297500978</v>
      </c>
      <c r="AR14" s="548">
        <f>sezione!$AH$20</f>
        <v>40</v>
      </c>
      <c r="AS14" s="548">
        <f>sezione!$AI$20</f>
        <v>60</v>
      </c>
      <c r="AT14" s="548">
        <f>sezione!$AJ$20</f>
        <v>80</v>
      </c>
      <c r="AU14" s="548">
        <f>sezione!$AK$20</f>
        <v>160</v>
      </c>
      <c r="AV14" s="548">
        <f>'Sollecitazioni nel paramento'!D158*1000-'Foglio deposito bis'!$E$40</f>
        <v>633.07971297500978</v>
      </c>
    </row>
    <row r="15" spans="1:48" x14ac:dyDescent="0.25">
      <c r="A15" s="545">
        <f t="shared" si="2"/>
        <v>625038.8465546146</v>
      </c>
      <c r="B15" s="3">
        <f t="shared" si="4"/>
        <v>0.49999999999999994</v>
      </c>
      <c r="C15" s="41">
        <f>'Foglio deposito bis'!$E$153/$B$247*B15</f>
        <v>1.6206164715621187</v>
      </c>
      <c r="D15" s="603">
        <f>-'Sollecitazioni nel paramento'!$G$47*'Sollecitazioni nel paramento'!$G$41*IF(DATI!$G$211="dx",DATI!$E$61,DATI!$E$64*DATI!$E$63)*1000*C15^2*sezione!$AD$5*(1-sezione!$AD$6)</f>
        <v>-58433.799000985389</v>
      </c>
      <c r="E15" s="545">
        <f>-'Foglio deposito bis'!$F$48*(C15-sezione!$AL$27)*IF(ABS(K15)&lt;'Sollecitazioni nel paramento'!$G$58,ABS(K15)*'Sollecitazioni nel paramento'!$G$54,'Sollecitazioni nel paramento'!$G$53)</f>
        <v>0</v>
      </c>
      <c r="F15" s="545">
        <f>-'Foglio deposito bis'!$F$49*(C15-sezione!$AM$27)*IF(ABS(L15)&lt;'Sollecitazioni nel paramento'!$G$58,ABS(L15)*'Sollecitazioni nel paramento'!$G$54,'Sollecitazioni nel paramento'!$G$53)</f>
        <v>11961146.244394008</v>
      </c>
      <c r="G15" s="545">
        <f>-'Foglio deposito bis'!$F$50*(C15-sezione!$AN$27)*IF(ABS(M15)&lt;'Sollecitazioni nel paramento'!$G$58,ABS(M15)*'Sollecitazioni nel paramento'!$G$54,'Sollecitazioni nel paramento'!$G$53)</f>
        <v>0</v>
      </c>
      <c r="H15" s="545">
        <f>-'Foglio deposito bis'!$F$51*(C15-sezione!$AO$27)*IF(ABS(N15)&lt;'Sollecitazioni nel paramento'!$G$58,ABS(N15)*'Sollecitazioni nel paramento'!$G$54,'Sollecitazioni nel paramento'!$G$53)</f>
        <v>38160957.726591676</v>
      </c>
      <c r="I15" s="472">
        <f>-'Foglio deposito bis'!$F$52*(C15-sezione!$AP$27)*IF(ABS(O15)&lt;'Sollecitazioni nel paramento'!$G$58,ABS(O15)*'Sollecitazioni nel paramento'!$G$54,'Sollecitazioni nel paramento'!$G$53)</f>
        <v>47684877.518202588</v>
      </c>
      <c r="J15" s="472">
        <f t="shared" si="0"/>
        <v>97748547.69018729</v>
      </c>
      <c r="K15" s="550">
        <f>'Sollecitazioni nel paramento'!$G$60*(sezione!$AL$27-C15)/C15</f>
        <v>8.2886879595919102E-2</v>
      </c>
      <c r="L15" s="550">
        <f>'Sollecitazioni nel paramento'!$G$60*(sezione!$AM$27-C15)/C15</f>
        <v>0.12608031939387865</v>
      </c>
      <c r="M15" s="551">
        <f>'Sollecitazioni nel paramento'!$G$60*(sezione!$AN$27-C15)/C15</f>
        <v>0.16927375919183821</v>
      </c>
      <c r="N15" s="551">
        <f>'Sollecitazioni nel paramento'!$G$60*(sezione!$AO$27-C15)/C15</f>
        <v>0.34204751838367642</v>
      </c>
      <c r="O15" s="551">
        <f>'Sollecitazioni nel paramento'!$G$60*(sezione!$AP$27-C15)/C15</f>
        <v>0.42741312040408064</v>
      </c>
      <c r="P15" s="545">
        <f>-'Sollecitazioni nel paramento'!$G$47*'Sollecitazioni nel paramento'!$G$41*IF(DATI!$G$211="dx",DATI!$E$61,DATI!$E$64*DATI!$E$63)*1000*C15*sezione!$AD$5</f>
        <v>-61740.625717102019</v>
      </c>
      <c r="Q15" s="545">
        <f>'Foglio deposito bis'!$F$48*IF(ABS(K15)&lt;'Sollecitazioni nel paramento'!$G$58,ABS(K15)*'Sollecitazioni nel paramento'!$G$54,'Sollecitazioni nel paramento'!$G$53)*IF(K15&lt;0,-1,1)</f>
        <v>0</v>
      </c>
      <c r="R15" s="545">
        <f>'Foglio deposito bis'!$F$49*IF(ABS(L15)&lt;'Sollecitazioni nel paramento'!$G$58,ABS(L15)*'Sollecitazioni nel paramento'!$G$54,'Sollecitazioni nel paramento'!$G$53)*IF(L15&lt;0,-1,1)</f>
        <v>204886.47740803001</v>
      </c>
      <c r="S15" s="545">
        <f>'Foglio deposito bis'!$F$50*IF(ABS(M15)&lt;'Sollecitazioni nel paramento'!$G$58,ABS(M15)*'Sollecitazioni nel paramento'!$G$54,'Sollecitazioni nel paramento'!$G$53)*IF(M15&lt;0,-1,1)</f>
        <v>0</v>
      </c>
      <c r="T15" s="545">
        <f>'Foglio deposito bis'!$F$51*IF(ABS(N15)&lt;'Sollecitazioni nel paramento'!$G$58,ABS(N15)*'Sollecitazioni nel paramento'!$G$54,'Sollecitazioni nel paramento'!$G$53)*IF(N15&lt;0,-1,1)</f>
        <v>240946.49743184328</v>
      </c>
      <c r="U15" s="545">
        <f>'Foglio deposito bis'!$F$52*IF(ABS(O15)&lt;'Sollecitazioni nel paramento'!$G$58,ABS(O15)*'Sollecitazioni nel paramento'!$G$54,'Sollecitazioni nel paramento'!$G$53)*IF(O15&lt;0,-1,1)</f>
        <v>240946.49743184328</v>
      </c>
      <c r="V15" s="472">
        <f t="shared" si="3"/>
        <v>625038.8465546146</v>
      </c>
      <c r="W15" s="551"/>
      <c r="X15" s="551"/>
      <c r="AH15" s="568">
        <f t="shared" si="5"/>
        <v>8</v>
      </c>
      <c r="AI15" s="548">
        <f>'Foglio deposito bis'!E161</f>
        <v>734.34258015126704</v>
      </c>
      <c r="AJ15" s="548">
        <f>AI15-sezione!$AH$20</f>
        <v>694.34258015126704</v>
      </c>
      <c r="AK15" s="548">
        <f>AI15-sezione!$AI$20</f>
        <v>674.34258015126704</v>
      </c>
      <c r="AL15" s="548">
        <f>AI15-sezione!$AJ$20</f>
        <v>654.34258015126704</v>
      </c>
      <c r="AM15" s="548">
        <f>AI15-sezione!$AK$20</f>
        <v>574.34258015126704</v>
      </c>
      <c r="AN15" s="548">
        <f>AI15-sezione!AV15</f>
        <v>40</v>
      </c>
      <c r="AP15" s="568">
        <f t="shared" si="6"/>
        <v>8</v>
      </c>
      <c r="AQ15" s="548">
        <f>sezione!AI15</f>
        <v>734.34258015126704</v>
      </c>
      <c r="AR15" s="548">
        <f>sezione!$AH$20</f>
        <v>40</v>
      </c>
      <c r="AS15" s="548">
        <f>sezione!$AI$20</f>
        <v>60</v>
      </c>
      <c r="AT15" s="548">
        <f>sezione!$AJ$20</f>
        <v>80</v>
      </c>
      <c r="AU15" s="548">
        <f>sezione!$AK$20</f>
        <v>160</v>
      </c>
      <c r="AV15" s="548">
        <f>'Sollecitazioni nel paramento'!D159*1000-'Foglio deposito bis'!$E$40</f>
        <v>694.34258015126704</v>
      </c>
    </row>
    <row r="16" spans="1:48" x14ac:dyDescent="0.25">
      <c r="A16" s="545">
        <f t="shared" si="2"/>
        <v>618864.7839829044</v>
      </c>
      <c r="B16" s="3">
        <f t="shared" si="4"/>
        <v>0.54999999999999993</v>
      </c>
      <c r="C16" s="41">
        <f>'Foglio deposito bis'!$E$153/$B$247*B16</f>
        <v>1.7826781187183307</v>
      </c>
      <c r="D16" s="603">
        <f>-'Sollecitazioni nel paramento'!$G$47*'Sollecitazioni nel paramento'!$G$41*IF(DATI!$G$211="dx",DATI!$E$61,DATI!$E$64*DATI!$E$63)*1000*C16^2*sezione!$AD$5*(1-sezione!$AD$6)</f>
        <v>-70704.896791192325</v>
      </c>
      <c r="E16" s="545">
        <f>-'Foglio deposito bis'!$F$48*(C16-sezione!$AL$27)*IF(ABS(K16)&lt;'Sollecitazioni nel paramento'!$G$58,ABS(K16)*'Sollecitazioni nel paramento'!$G$54,'Sollecitazioni nel paramento'!$G$53)</f>
        <v>0</v>
      </c>
      <c r="F16" s="545">
        <f>-'Foglio deposito bis'!$F$49*(C16-sezione!$AM$27)*IF(ABS(L16)&lt;'Sollecitazioni nel paramento'!$G$58,ABS(L16)*'Sollecitazioni nel paramento'!$G$54,'Sollecitazioni nel paramento'!$G$53)</f>
        <v>11927942.004385227</v>
      </c>
      <c r="G16" s="545">
        <f>-'Foglio deposito bis'!$F$50*(C16-sezione!$AN$27)*IF(ABS(M16)&lt;'Sollecitazioni nel paramento'!$G$58,ABS(M16)*'Sollecitazioni nel paramento'!$G$54,'Sollecitazioni nel paramento'!$G$53)</f>
        <v>0</v>
      </c>
      <c r="H16" s="545">
        <f>-'Foglio deposito bis'!$F$51*(C16-sezione!$AO$27)*IF(ABS(N16)&lt;'Sollecitazioni nel paramento'!$G$58,ABS(N16)*'Sollecitazioni nel paramento'!$G$54,'Sollecitazioni nel paramento'!$G$53)</f>
        <v>38121909.540341347</v>
      </c>
      <c r="I16" s="472">
        <f>-'Foglio deposito bis'!$F$52*(C16-sezione!$AP$27)*IF(ABS(O16)&lt;'Sollecitazioni nel paramento'!$G$58,ABS(O16)*'Sollecitazioni nel paramento'!$G$54,'Sollecitazioni nel paramento'!$G$53)</f>
        <v>47645829.331952266</v>
      </c>
      <c r="J16" s="472">
        <f t="shared" si="0"/>
        <v>97624975.979887649</v>
      </c>
      <c r="K16" s="550">
        <f>'Sollecitazioni nel paramento'!$G$60*(sezione!$AL$27-C16)/C16</f>
        <v>7.5033526905380996E-2</v>
      </c>
      <c r="L16" s="550">
        <f>'Sollecitazioni nel paramento'!$G$60*(sezione!$AM$27-C16)/C16</f>
        <v>0.1143002903580715</v>
      </c>
      <c r="M16" s="551">
        <f>'Sollecitazioni nel paramento'!$G$60*(sezione!$AN$27-C16)/C16</f>
        <v>0.15356705381076197</v>
      </c>
      <c r="N16" s="551">
        <f>'Sollecitazioni nel paramento'!$G$60*(sezione!$AO$27-C16)/C16</f>
        <v>0.31063410762152399</v>
      </c>
      <c r="O16" s="551">
        <f>'Sollecitazioni nel paramento'!$G$60*(sezione!$AP$27-C16)/C16</f>
        <v>0.38823920036734594</v>
      </c>
      <c r="P16" s="545">
        <f>-'Sollecitazioni nel paramento'!$G$47*'Sollecitazioni nel paramento'!$G$41*IF(DATI!$G$211="dx",DATI!$E$61,DATI!$E$64*DATI!$E$63)*1000*C16*sezione!$AD$5</f>
        <v>-67914.688288812235</v>
      </c>
      <c r="Q16" s="545">
        <f>'Foglio deposito bis'!$F$48*IF(ABS(K16)&lt;'Sollecitazioni nel paramento'!$G$58,ABS(K16)*'Sollecitazioni nel paramento'!$G$54,'Sollecitazioni nel paramento'!$G$53)*IF(K16&lt;0,-1,1)</f>
        <v>0</v>
      </c>
      <c r="R16" s="545">
        <f>'Foglio deposito bis'!$F$49*IF(ABS(L16)&lt;'Sollecitazioni nel paramento'!$G$58,ABS(L16)*'Sollecitazioni nel paramento'!$G$54,'Sollecitazioni nel paramento'!$G$53)*IF(L16&lt;0,-1,1)</f>
        <v>204886.47740803001</v>
      </c>
      <c r="S16" s="545">
        <f>'Foglio deposito bis'!$F$50*IF(ABS(M16)&lt;'Sollecitazioni nel paramento'!$G$58,ABS(M16)*'Sollecitazioni nel paramento'!$G$54,'Sollecitazioni nel paramento'!$G$53)*IF(M16&lt;0,-1,1)</f>
        <v>0</v>
      </c>
      <c r="T16" s="545">
        <f>'Foglio deposito bis'!$F$51*IF(ABS(N16)&lt;'Sollecitazioni nel paramento'!$G$58,ABS(N16)*'Sollecitazioni nel paramento'!$G$54,'Sollecitazioni nel paramento'!$G$53)*IF(N16&lt;0,-1,1)</f>
        <v>240946.49743184328</v>
      </c>
      <c r="U16" s="545">
        <f>'Foglio deposito bis'!$F$52*IF(ABS(O16)&lt;'Sollecitazioni nel paramento'!$G$58,ABS(O16)*'Sollecitazioni nel paramento'!$G$54,'Sollecitazioni nel paramento'!$G$53)*IF(O16&lt;0,-1,1)</f>
        <v>240946.49743184328</v>
      </c>
      <c r="V16" s="472">
        <f t="shared" si="3"/>
        <v>618864.7839829044</v>
      </c>
      <c r="W16" s="551"/>
      <c r="X16" s="551"/>
      <c r="Z16" t="s">
        <v>1010</v>
      </c>
      <c r="AC16" t="s">
        <v>1011</v>
      </c>
      <c r="AH16" s="568">
        <f t="shared" si="5"/>
        <v>9</v>
      </c>
      <c r="AI16" s="548">
        <f>'Foglio deposito bis'!E162</f>
        <v>797.17629007563346</v>
      </c>
      <c r="AJ16" s="548">
        <f>AI16-sezione!$AH$20</f>
        <v>757.17629007563346</v>
      </c>
      <c r="AK16" s="548">
        <f>AI16-sezione!$AI$20</f>
        <v>737.17629007563346</v>
      </c>
      <c r="AL16" s="548">
        <f>AI16-sezione!$AJ$20</f>
        <v>717.17629007563346</v>
      </c>
      <c r="AM16" s="548">
        <f>AI16-sezione!$AK$20</f>
        <v>637.17629007563346</v>
      </c>
      <c r="AN16" s="548">
        <f>AI16-sezione!AV16</f>
        <v>40</v>
      </c>
      <c r="AP16" s="568">
        <f t="shared" si="6"/>
        <v>9</v>
      </c>
      <c r="AQ16" s="548">
        <f>sezione!AI16</f>
        <v>797.17629007563346</v>
      </c>
      <c r="AR16" s="548">
        <f>sezione!$AH$20</f>
        <v>40</v>
      </c>
      <c r="AS16" s="548">
        <f>sezione!$AI$20</f>
        <v>60</v>
      </c>
      <c r="AT16" s="548">
        <f>sezione!$AJ$20</f>
        <v>80</v>
      </c>
      <c r="AU16" s="548">
        <f>sezione!$AK$20</f>
        <v>160</v>
      </c>
      <c r="AV16" s="548">
        <f>'Sollecitazioni nel paramento'!D160*1000-'Foglio deposito bis'!$E$40</f>
        <v>757.17629007563346</v>
      </c>
    </row>
    <row r="17" spans="1:48" x14ac:dyDescent="0.25">
      <c r="A17" s="545">
        <f t="shared" si="2"/>
        <v>612690.72141119419</v>
      </c>
      <c r="B17" s="3">
        <f t="shared" si="4"/>
        <v>0.6</v>
      </c>
      <c r="C17" s="41">
        <f>'Foglio deposito bis'!$E$153/$B$247*B17</f>
        <v>1.9447397658745427</v>
      </c>
      <c r="D17" s="603">
        <f>-'Sollecitazioni nel paramento'!$G$47*'Sollecitazioni nel paramento'!$G$41*IF(DATI!$G$211="dx",DATI!$E$61,DATI!$E$64*DATI!$E$63)*1000*C17^2*sezione!$AD$5*(1-sezione!$AD$6)</f>
        <v>-84144.67056141897</v>
      </c>
      <c r="E17" s="545">
        <f>-'Foglio deposito bis'!$F$48*(C17-sezione!$AL$27)*IF(ABS(K17)&lt;'Sollecitazioni nel paramento'!$G$58,ABS(K17)*'Sollecitazioni nel paramento'!$G$54,'Sollecitazioni nel paramento'!$G$53)</f>
        <v>0</v>
      </c>
      <c r="F17" s="545">
        <f>-'Foglio deposito bis'!$F$49*(C17-sezione!$AM$27)*IF(ABS(L17)&lt;'Sollecitazioni nel paramento'!$G$58,ABS(L17)*'Sollecitazioni nel paramento'!$G$54,'Sollecitazioni nel paramento'!$G$53)</f>
        <v>11894737.764376448</v>
      </c>
      <c r="G17" s="545">
        <f>-'Foglio deposito bis'!$F$50*(C17-sezione!$AN$27)*IF(ABS(M17)&lt;'Sollecitazioni nel paramento'!$G$58,ABS(M17)*'Sollecitazioni nel paramento'!$G$54,'Sollecitazioni nel paramento'!$G$53)</f>
        <v>0</v>
      </c>
      <c r="H17" s="545">
        <f>-'Foglio deposito bis'!$F$51*(C17-sezione!$AO$27)*IF(ABS(N17)&lt;'Sollecitazioni nel paramento'!$G$58,ABS(N17)*'Sollecitazioni nel paramento'!$G$54,'Sollecitazioni nel paramento'!$G$53)</f>
        <v>38082861.354091033</v>
      </c>
      <c r="I17" s="472">
        <f>-'Foglio deposito bis'!$F$52*(C17-sezione!$AP$27)*IF(ABS(O17)&lt;'Sollecitazioni nel paramento'!$G$58,ABS(O17)*'Sollecitazioni nel paramento'!$G$54,'Sollecitazioni nel paramento'!$G$53)</f>
        <v>47606781.145701945</v>
      </c>
      <c r="J17" s="472">
        <f t="shared" si="0"/>
        <v>97500235.593608007</v>
      </c>
      <c r="K17" s="550">
        <f>'Sollecitazioni nel paramento'!$G$60*(sezione!$AL$27-C17)/C17</f>
        <v>6.8489066329932569E-2</v>
      </c>
      <c r="L17" s="550">
        <f>'Sollecitazioni nel paramento'!$G$60*(sezione!$AM$27-C17)/C17</f>
        <v>0.10448359949489885</v>
      </c>
      <c r="M17" s="551">
        <f>'Sollecitazioni nel paramento'!$G$60*(sezione!$AN$27-C17)/C17</f>
        <v>0.14047813265986514</v>
      </c>
      <c r="N17" s="551">
        <f>'Sollecitazioni nel paramento'!$G$60*(sezione!$AO$27-C17)/C17</f>
        <v>0.28445626531973028</v>
      </c>
      <c r="O17" s="551">
        <f>'Sollecitazioni nel paramento'!$G$60*(sezione!$AP$27-C17)/C17</f>
        <v>0.35559426700340047</v>
      </c>
      <c r="P17" s="545">
        <f>-'Sollecitazioni nel paramento'!$G$47*'Sollecitazioni nel paramento'!$G$41*IF(DATI!$G$211="dx",DATI!$E$61,DATI!$E$64*DATI!$E$63)*1000*C17*sezione!$AD$5</f>
        <v>-74088.750860522443</v>
      </c>
      <c r="Q17" s="545">
        <f>'Foglio deposito bis'!$F$48*IF(ABS(K17)&lt;'Sollecitazioni nel paramento'!$G$58,ABS(K17)*'Sollecitazioni nel paramento'!$G$54,'Sollecitazioni nel paramento'!$G$53)*IF(K17&lt;0,-1,1)</f>
        <v>0</v>
      </c>
      <c r="R17" s="545">
        <f>'Foglio deposito bis'!$F$49*IF(ABS(L17)&lt;'Sollecitazioni nel paramento'!$G$58,ABS(L17)*'Sollecitazioni nel paramento'!$G$54,'Sollecitazioni nel paramento'!$G$53)*IF(L17&lt;0,-1,1)</f>
        <v>204886.47740803001</v>
      </c>
      <c r="S17" s="545">
        <f>'Foglio deposito bis'!$F$50*IF(ABS(M17)&lt;'Sollecitazioni nel paramento'!$G$58,ABS(M17)*'Sollecitazioni nel paramento'!$G$54,'Sollecitazioni nel paramento'!$G$53)*IF(M17&lt;0,-1,1)</f>
        <v>0</v>
      </c>
      <c r="T17" s="545">
        <f>'Foglio deposito bis'!$F$51*IF(ABS(N17)&lt;'Sollecitazioni nel paramento'!$G$58,ABS(N17)*'Sollecitazioni nel paramento'!$G$54,'Sollecitazioni nel paramento'!$G$53)*IF(N17&lt;0,-1,1)</f>
        <v>240946.49743184328</v>
      </c>
      <c r="U17" s="545">
        <f>'Foglio deposito bis'!$F$52*IF(ABS(O17)&lt;'Sollecitazioni nel paramento'!$G$58,ABS(O17)*'Sollecitazioni nel paramento'!$G$54,'Sollecitazioni nel paramento'!$G$53)*IF(O17&lt;0,-1,1)</f>
        <v>240946.49743184328</v>
      </c>
      <c r="V17" s="472">
        <f t="shared" si="3"/>
        <v>612690.72141119419</v>
      </c>
      <c r="W17" s="551"/>
      <c r="X17" s="551"/>
      <c r="Z17" s="837" t="s">
        <v>968</v>
      </c>
      <c r="AA17" s="837"/>
      <c r="AC17" s="837" t="s">
        <v>968</v>
      </c>
      <c r="AD17" s="837"/>
      <c r="AH17" s="568">
        <f t="shared" si="5"/>
        <v>10</v>
      </c>
      <c r="AI17" s="548">
        <f>'Foglio deposito bis'!E163</f>
        <v>858.43915725189083</v>
      </c>
      <c r="AJ17" s="548">
        <f>AI17-sezione!$AH$20</f>
        <v>818.43915725189083</v>
      </c>
      <c r="AK17" s="548">
        <f>AI17-sezione!$AI$20</f>
        <v>798.43915725189083</v>
      </c>
      <c r="AL17" s="548">
        <f>AI17-sezione!$AJ$20</f>
        <v>778.43915725189083</v>
      </c>
      <c r="AM17" s="548">
        <f>AI17-sezione!$AK$20</f>
        <v>698.43915725189083</v>
      </c>
      <c r="AN17" s="548">
        <f>AI17-sezione!AV17</f>
        <v>40</v>
      </c>
      <c r="AP17" s="568">
        <f t="shared" si="6"/>
        <v>10</v>
      </c>
      <c r="AQ17" s="548">
        <f>sezione!AI17</f>
        <v>858.43915725189083</v>
      </c>
      <c r="AR17" s="548">
        <f>sezione!$AH$20</f>
        <v>40</v>
      </c>
      <c r="AS17" s="548">
        <f>sezione!$AI$20</f>
        <v>60</v>
      </c>
      <c r="AT17" s="548">
        <f>sezione!$AJ$20</f>
        <v>80</v>
      </c>
      <c r="AU17" s="548">
        <f>sezione!$AK$20</f>
        <v>160</v>
      </c>
      <c r="AV17" s="548">
        <f>'Sollecitazioni nel paramento'!D161*1000-'Foglio deposito bis'!$E$40</f>
        <v>818.43915725189083</v>
      </c>
    </row>
    <row r="18" spans="1:48" x14ac:dyDescent="0.25">
      <c r="A18" s="545">
        <f t="shared" si="2"/>
        <v>606516.65883948398</v>
      </c>
      <c r="B18" s="3">
        <f t="shared" si="4"/>
        <v>0.65</v>
      </c>
      <c r="C18" s="41">
        <f>'Foglio deposito bis'!$E$153/$B$247*B18</f>
        <v>2.1068014130307549</v>
      </c>
      <c r="D18" s="603">
        <f>-'Sollecitazioni nel paramento'!$G$47*'Sollecitazioni nel paramento'!$G$41*IF(DATI!$G$211="dx",DATI!$E$61,DATI!$E$64*DATI!$E$63)*1000*C18^2*sezione!$AD$5*(1-sezione!$AD$6)</f>
        <v>-98753.120311665363</v>
      </c>
      <c r="E18" s="545">
        <f>-'Foglio deposito bis'!$F$48*(C18-sezione!$AL$27)*IF(ABS(K18)&lt;'Sollecitazioni nel paramento'!$G$58,ABS(K18)*'Sollecitazioni nel paramento'!$G$54,'Sollecitazioni nel paramento'!$G$53)</f>
        <v>0</v>
      </c>
      <c r="F18" s="545">
        <f>-'Foglio deposito bis'!$F$49*(C18-sezione!$AM$27)*IF(ABS(L18)&lt;'Sollecitazioni nel paramento'!$G$58,ABS(L18)*'Sollecitazioni nel paramento'!$G$54,'Sollecitazioni nel paramento'!$G$53)</f>
        <v>11861533.52436767</v>
      </c>
      <c r="G18" s="545">
        <f>-'Foglio deposito bis'!$F$50*(C18-sezione!$AN$27)*IF(ABS(M18)&lt;'Sollecitazioni nel paramento'!$G$58,ABS(M18)*'Sollecitazioni nel paramento'!$G$54,'Sollecitazioni nel paramento'!$G$53)</f>
        <v>0</v>
      </c>
      <c r="H18" s="545">
        <f>-'Foglio deposito bis'!$F$51*(C18-sezione!$AO$27)*IF(ABS(N18)&lt;'Sollecitazioni nel paramento'!$G$58,ABS(N18)*'Sollecitazioni nel paramento'!$G$54,'Sollecitazioni nel paramento'!$G$53)</f>
        <v>38043813.167840704</v>
      </c>
      <c r="I18" s="472">
        <f>-'Foglio deposito bis'!$F$52*(C18-sezione!$AP$27)*IF(ABS(O18)&lt;'Sollecitazioni nel paramento'!$G$58,ABS(O18)*'Sollecitazioni nel paramento'!$G$54,'Sollecitazioni nel paramento'!$G$53)</f>
        <v>47567732.959451623</v>
      </c>
      <c r="J18" s="472">
        <f t="shared" si="0"/>
        <v>97374326.531348333</v>
      </c>
      <c r="K18" s="550">
        <f>'Sollecitazioni nel paramento'!$G$60*(sezione!$AL$27-C18)/C18</f>
        <v>6.2951445843014681E-2</v>
      </c>
      <c r="L18" s="550">
        <f>'Sollecitazioni nel paramento'!$G$60*(sezione!$AM$27-C18)/C18</f>
        <v>9.6177168764522009E-2</v>
      </c>
      <c r="M18" s="551">
        <f>'Sollecitazioni nel paramento'!$G$60*(sezione!$AN$27-C18)/C18</f>
        <v>0.12940289168602936</v>
      </c>
      <c r="N18" s="551">
        <f>'Sollecitazioni nel paramento'!$G$60*(sezione!$AO$27-C18)/C18</f>
        <v>0.26230578337205873</v>
      </c>
      <c r="O18" s="551">
        <f>'Sollecitazioni nel paramento'!$G$60*(sezione!$AP$27-C18)/C18</f>
        <v>0.32797163108006194</v>
      </c>
      <c r="P18" s="545">
        <f>-'Sollecitazioni nel paramento'!$G$47*'Sollecitazioni nel paramento'!$G$41*IF(DATI!$G$211="dx",DATI!$E$61,DATI!$E$64*DATI!$E$63)*1000*C18*sezione!$AD$5</f>
        <v>-80262.813432232651</v>
      </c>
      <c r="Q18" s="545">
        <f>'Foglio deposito bis'!$F$48*IF(ABS(K18)&lt;'Sollecitazioni nel paramento'!$G$58,ABS(K18)*'Sollecitazioni nel paramento'!$G$54,'Sollecitazioni nel paramento'!$G$53)*IF(K18&lt;0,-1,1)</f>
        <v>0</v>
      </c>
      <c r="R18" s="545">
        <f>'Foglio deposito bis'!$F$49*IF(ABS(L18)&lt;'Sollecitazioni nel paramento'!$G$58,ABS(L18)*'Sollecitazioni nel paramento'!$G$54,'Sollecitazioni nel paramento'!$G$53)*IF(L18&lt;0,-1,1)</f>
        <v>204886.47740803001</v>
      </c>
      <c r="S18" s="545">
        <f>'Foglio deposito bis'!$F$50*IF(ABS(M18)&lt;'Sollecitazioni nel paramento'!$G$58,ABS(M18)*'Sollecitazioni nel paramento'!$G$54,'Sollecitazioni nel paramento'!$G$53)*IF(M18&lt;0,-1,1)</f>
        <v>0</v>
      </c>
      <c r="T18" s="545">
        <f>'Foglio deposito bis'!$F$51*IF(ABS(N18)&lt;'Sollecitazioni nel paramento'!$G$58,ABS(N18)*'Sollecitazioni nel paramento'!$G$54,'Sollecitazioni nel paramento'!$G$53)*IF(N18&lt;0,-1,1)</f>
        <v>240946.49743184328</v>
      </c>
      <c r="U18" s="545">
        <f>'Foglio deposito bis'!$F$52*IF(ABS(O18)&lt;'Sollecitazioni nel paramento'!$G$58,ABS(O18)*'Sollecitazioni nel paramento'!$G$54,'Sollecitazioni nel paramento'!$G$53)*IF(O18&lt;0,-1,1)</f>
        <v>240946.49743184328</v>
      </c>
      <c r="V18" s="472">
        <f t="shared" si="3"/>
        <v>606516.65883948398</v>
      </c>
      <c r="W18" s="551"/>
      <c r="X18" s="551"/>
      <c r="Z18" s="563">
        <f>DATI!E61/2*1.2</f>
        <v>1.5</v>
      </c>
      <c r="AA18" s="274">
        <f>'Foglio deposito bis'!D143/1000</f>
        <v>6.621249250792656E-2</v>
      </c>
      <c r="AC18" s="576">
        <f>sezione!Z18</f>
        <v>1.5</v>
      </c>
      <c r="AD18" s="274">
        <f>IF(SPINTE!C75="wood",DATI!E66-'Foglio deposito bis'!D133/1000,'Foglio deposito bis'!D133/1000)</f>
        <v>1.7826781187183276E-2</v>
      </c>
    </row>
    <row r="19" spans="1:48" x14ac:dyDescent="0.25">
      <c r="A19" s="545">
        <f t="shared" si="2"/>
        <v>600342.59626777377</v>
      </c>
      <c r="B19" s="3">
        <f t="shared" si="4"/>
        <v>0.70000000000000007</v>
      </c>
      <c r="C19" s="41">
        <f>'Foglio deposito bis'!$E$153/$B$247*B19</f>
        <v>2.2688630601869666</v>
      </c>
      <c r="D19" s="603">
        <f>-'Sollecitazioni nel paramento'!$G$47*'Sollecitazioni nel paramento'!$G$41*IF(DATI!$G$211="dx",DATI!$E$61,DATI!$E$64*DATI!$E$63)*1000*C19^2*sezione!$AD$5*(1-sezione!$AD$6)</f>
        <v>-114530.24604193137</v>
      </c>
      <c r="E19" s="545">
        <f>-'Foglio deposito bis'!$F$48*(C19-sezione!$AL$27)*IF(ABS(K19)&lt;'Sollecitazioni nel paramento'!$G$58,ABS(K19)*'Sollecitazioni nel paramento'!$G$54,'Sollecitazioni nel paramento'!$G$53)</f>
        <v>0</v>
      </c>
      <c r="F19" s="545">
        <f>-'Foglio deposito bis'!$F$49*(C19-sezione!$AM$27)*IF(ABS(L19)&lt;'Sollecitazioni nel paramento'!$G$58,ABS(L19)*'Sollecitazioni nel paramento'!$G$54,'Sollecitazioni nel paramento'!$G$53)</f>
        <v>11828329.284358889</v>
      </c>
      <c r="G19" s="545">
        <f>-'Foglio deposito bis'!$F$50*(C19-sezione!$AN$27)*IF(ABS(M19)&lt;'Sollecitazioni nel paramento'!$G$58,ABS(M19)*'Sollecitazioni nel paramento'!$G$54,'Sollecitazioni nel paramento'!$G$53)</f>
        <v>0</v>
      </c>
      <c r="H19" s="545">
        <f>-'Foglio deposito bis'!$F$51*(C19-sezione!$AO$27)*IF(ABS(N19)&lt;'Sollecitazioni nel paramento'!$G$58,ABS(N19)*'Sollecitazioni nel paramento'!$G$54,'Sollecitazioni nel paramento'!$G$53)</f>
        <v>38004764.981590383</v>
      </c>
      <c r="I19" s="472">
        <f>-'Foglio deposito bis'!$F$52*(C19-sezione!$AP$27)*IF(ABS(O19)&lt;'Sollecitazioni nel paramento'!$G$58,ABS(O19)*'Sollecitazioni nel paramento'!$G$54,'Sollecitazioni nel paramento'!$G$53)</f>
        <v>47528684.773201302</v>
      </c>
      <c r="J19" s="472">
        <f t="shared" si="0"/>
        <v>97247248.793108642</v>
      </c>
      <c r="K19" s="550">
        <f>'Sollecitazioni nel paramento'!$G$60*(sezione!$AL$27-C19)/C19</f>
        <v>5.8204913997085064E-2</v>
      </c>
      <c r="L19" s="550">
        <f>'Sollecitazioni nel paramento'!$G$60*(sezione!$AM$27-C19)/C19</f>
        <v>8.9057370995627591E-2</v>
      </c>
      <c r="M19" s="551">
        <f>'Sollecitazioni nel paramento'!$G$60*(sezione!$AN$27-C19)/C19</f>
        <v>0.1199098279941701</v>
      </c>
      <c r="N19" s="551">
        <f>'Sollecitazioni nel paramento'!$G$60*(sezione!$AO$27-C19)/C19</f>
        <v>0.24331965598834027</v>
      </c>
      <c r="O19" s="551">
        <f>'Sollecitazioni nel paramento'!$G$60*(sezione!$AP$27-C19)/C19</f>
        <v>0.30429508600291472</v>
      </c>
      <c r="P19" s="545">
        <f>-'Sollecitazioni nel paramento'!$G$47*'Sollecitazioni nel paramento'!$G$41*IF(DATI!$G$211="dx",DATI!$E$61,DATI!$E$64*DATI!$E$63)*1000*C19*sezione!$AD$5</f>
        <v>-86436.87600394286</v>
      </c>
      <c r="Q19" s="545">
        <f>'Foglio deposito bis'!$F$48*IF(ABS(K19)&lt;'Sollecitazioni nel paramento'!$G$58,ABS(K19)*'Sollecitazioni nel paramento'!$G$54,'Sollecitazioni nel paramento'!$G$53)*IF(K19&lt;0,-1,1)</f>
        <v>0</v>
      </c>
      <c r="R19" s="545">
        <f>'Foglio deposito bis'!$F$49*IF(ABS(L19)&lt;'Sollecitazioni nel paramento'!$G$58,ABS(L19)*'Sollecitazioni nel paramento'!$G$54,'Sollecitazioni nel paramento'!$G$53)*IF(L19&lt;0,-1,1)</f>
        <v>204886.47740803001</v>
      </c>
      <c r="S19" s="545">
        <f>'Foglio deposito bis'!$F$50*IF(ABS(M19)&lt;'Sollecitazioni nel paramento'!$G$58,ABS(M19)*'Sollecitazioni nel paramento'!$G$54,'Sollecitazioni nel paramento'!$G$53)*IF(M19&lt;0,-1,1)</f>
        <v>0</v>
      </c>
      <c r="T19" s="545">
        <f>'Foglio deposito bis'!$F$51*IF(ABS(N19)&lt;'Sollecitazioni nel paramento'!$G$58,ABS(N19)*'Sollecitazioni nel paramento'!$G$54,'Sollecitazioni nel paramento'!$G$53)*IF(N19&lt;0,-1,1)</f>
        <v>240946.49743184328</v>
      </c>
      <c r="U19" s="545">
        <f>'Foglio deposito bis'!$F$52*IF(ABS(O19)&lt;'Sollecitazioni nel paramento'!$G$58,ABS(O19)*'Sollecitazioni nel paramento'!$G$54,'Sollecitazioni nel paramento'!$G$53)*IF(O19&lt;0,-1,1)</f>
        <v>240946.49743184328</v>
      </c>
      <c r="V19" s="472">
        <f t="shared" si="3"/>
        <v>600342.59626777377</v>
      </c>
      <c r="W19" s="551"/>
      <c r="X19" s="551"/>
      <c r="Z19" s="563">
        <f>-Z18</f>
        <v>-1.5</v>
      </c>
      <c r="AA19" s="274">
        <f>AA18</f>
        <v>6.621249250792656E-2</v>
      </c>
      <c r="AC19" s="576">
        <f>-AC18</f>
        <v>-1.5</v>
      </c>
      <c r="AD19" s="274">
        <f>AD18</f>
        <v>1.7826781187183276E-2</v>
      </c>
    </row>
    <row r="20" spans="1:48" x14ac:dyDescent="0.25">
      <c r="A20" s="545">
        <f t="shared" si="2"/>
        <v>594168.53369606356</v>
      </c>
      <c r="B20" s="3">
        <f t="shared" si="4"/>
        <v>0.75000000000000011</v>
      </c>
      <c r="C20" s="41">
        <f>'Foglio deposito bis'!$E$153/$B$247*B20</f>
        <v>2.4309247073431788</v>
      </c>
      <c r="D20" s="603">
        <f>-'Sollecitazioni nel paramento'!$G$47*'Sollecitazioni nel paramento'!$G$41*IF(DATI!$G$211="dx",DATI!$E$61,DATI!$E$64*DATI!$E$63)*1000*C20^2*sezione!$AD$5*(1-sezione!$AD$6)</f>
        <v>-131476.04775221719</v>
      </c>
      <c r="E20" s="545">
        <f>-'Foglio deposito bis'!$F$48*(C20-sezione!$AL$27)*IF(ABS(K20)&lt;'Sollecitazioni nel paramento'!$G$58,ABS(K20)*'Sollecitazioni nel paramento'!$G$54,'Sollecitazioni nel paramento'!$G$53)</f>
        <v>0</v>
      </c>
      <c r="F20" s="545">
        <f>-'Foglio deposito bis'!$F$49*(C20-sezione!$AM$27)*IF(ABS(L20)&lt;'Sollecitazioni nel paramento'!$G$58,ABS(L20)*'Sollecitazioni nel paramento'!$G$54,'Sollecitazioni nel paramento'!$G$53)</f>
        <v>11795125.04435011</v>
      </c>
      <c r="G20" s="545">
        <f>-'Foglio deposito bis'!$F$50*(C20-sezione!$AN$27)*IF(ABS(M20)&lt;'Sollecitazioni nel paramento'!$G$58,ABS(M20)*'Sollecitazioni nel paramento'!$G$54,'Sollecitazioni nel paramento'!$G$53)</f>
        <v>0</v>
      </c>
      <c r="H20" s="545">
        <f>-'Foglio deposito bis'!$F$51*(C20-sezione!$AO$27)*IF(ABS(N20)&lt;'Sollecitazioni nel paramento'!$G$58,ABS(N20)*'Sollecitazioni nel paramento'!$G$54,'Sollecitazioni nel paramento'!$G$53)</f>
        <v>37965716.795340061</v>
      </c>
      <c r="I20" s="472">
        <f>-'Foglio deposito bis'!$F$52*(C20-sezione!$AP$27)*IF(ABS(O20)&lt;'Sollecitazioni nel paramento'!$G$58,ABS(O20)*'Sollecitazioni nel paramento'!$G$54,'Sollecitazioni nel paramento'!$G$53)</f>
        <v>47489636.586950973</v>
      </c>
      <c r="J20" s="472">
        <f t="shared" si="0"/>
        <v>97119002.378888935</v>
      </c>
      <c r="K20" s="550">
        <f>'Sollecitazioni nel paramento'!$G$60*(sezione!$AL$27-C20)/C20</f>
        <v>5.4091253063946049E-2</v>
      </c>
      <c r="L20" s="550">
        <f>'Sollecitazioni nel paramento'!$G$60*(sezione!$AM$27-C20)/C20</f>
        <v>8.2886879595919075E-2</v>
      </c>
      <c r="M20" s="551">
        <f>'Sollecitazioni nel paramento'!$G$60*(sezione!$AN$27-C20)/C20</f>
        <v>0.1116825061278921</v>
      </c>
      <c r="N20" s="551">
        <f>'Sollecitazioni nel paramento'!$G$60*(sezione!$AO$27-C20)/C20</f>
        <v>0.22686501225578423</v>
      </c>
      <c r="O20" s="551">
        <f>'Sollecitazioni nel paramento'!$G$60*(sezione!$AP$27-C20)/C20</f>
        <v>0.28377541360272035</v>
      </c>
      <c r="P20" s="545">
        <f>-'Sollecitazioni nel paramento'!$G$47*'Sollecitazioni nel paramento'!$G$41*IF(DATI!$G$211="dx",DATI!$E$61,DATI!$E$64*DATI!$E$63)*1000*C20*sezione!$AD$5</f>
        <v>-92610.938575653068</v>
      </c>
      <c r="Q20" s="545">
        <f>'Foglio deposito bis'!$F$48*IF(ABS(K20)&lt;'Sollecitazioni nel paramento'!$G$58,ABS(K20)*'Sollecitazioni nel paramento'!$G$54,'Sollecitazioni nel paramento'!$G$53)*IF(K20&lt;0,-1,1)</f>
        <v>0</v>
      </c>
      <c r="R20" s="545">
        <f>'Foglio deposito bis'!$F$49*IF(ABS(L20)&lt;'Sollecitazioni nel paramento'!$G$58,ABS(L20)*'Sollecitazioni nel paramento'!$G$54,'Sollecitazioni nel paramento'!$G$53)*IF(L20&lt;0,-1,1)</f>
        <v>204886.47740803001</v>
      </c>
      <c r="S20" s="545">
        <f>'Foglio deposito bis'!$F$50*IF(ABS(M20)&lt;'Sollecitazioni nel paramento'!$G$58,ABS(M20)*'Sollecitazioni nel paramento'!$G$54,'Sollecitazioni nel paramento'!$G$53)*IF(M20&lt;0,-1,1)</f>
        <v>0</v>
      </c>
      <c r="T20" s="545">
        <f>'Foglio deposito bis'!$F$51*IF(ABS(N20)&lt;'Sollecitazioni nel paramento'!$G$58,ABS(N20)*'Sollecitazioni nel paramento'!$G$54,'Sollecitazioni nel paramento'!$G$53)*IF(N20&lt;0,-1,1)</f>
        <v>240946.49743184328</v>
      </c>
      <c r="U20" s="545">
        <f>'Foglio deposito bis'!$F$52*IF(ABS(O20)&lt;'Sollecitazioni nel paramento'!$G$58,ABS(O20)*'Sollecitazioni nel paramento'!$G$54,'Sollecitazioni nel paramento'!$G$53)*IF(O20&lt;0,-1,1)</f>
        <v>240946.49743184328</v>
      </c>
      <c r="V20" s="472">
        <f t="shared" si="3"/>
        <v>594168.53369606356</v>
      </c>
      <c r="W20" s="551"/>
      <c r="X20" s="551"/>
      <c r="Z20" s="421"/>
      <c r="AA20" s="421"/>
      <c r="AC20" s="421"/>
      <c r="AD20" s="421"/>
      <c r="AH20" s="549">
        <f>'Foglio deposito bis'!E40</f>
        <v>40</v>
      </c>
      <c r="AI20" s="549">
        <f>DATI!E62/2*1000</f>
        <v>60</v>
      </c>
      <c r="AJ20" s="549">
        <f>DATI!E62*1000-AH20</f>
        <v>80</v>
      </c>
      <c r="AK20" s="549">
        <f>DATI!E62*1000+AH20</f>
        <v>160</v>
      </c>
    </row>
    <row r="21" spans="1:48" x14ac:dyDescent="0.25">
      <c r="A21" s="545">
        <f>ABS(V21)</f>
        <v>587994.47112435335</v>
      </c>
      <c r="B21" s="3">
        <f t="shared" si="4"/>
        <v>0.80000000000000016</v>
      </c>
      <c r="C21" s="41">
        <f>'Foglio deposito bis'!$E$153/$B$247*B21</f>
        <v>2.592986354499391</v>
      </c>
      <c r="D21" s="603">
        <f>-'Sollecitazioni nel paramento'!$G$47*'Sollecitazioni nel paramento'!$G$41*IF(DATI!$G$211="dx",DATI!$E$61,DATI!$E$64*DATI!$E$63)*1000*C21^2*sezione!$AD$5*(1-sezione!$AD$6)</f>
        <v>-149590.52544252272</v>
      </c>
      <c r="E21" s="545">
        <f>-'Foglio deposito bis'!$F$48*(C21-sezione!$AL$27)*IF(ABS(K21)&lt;'Sollecitazioni nel paramento'!$G$58,ABS(K21)*'Sollecitazioni nel paramento'!$G$54,'Sollecitazioni nel paramento'!$G$53)</f>
        <v>0</v>
      </c>
      <c r="F21" s="545">
        <f>-'Foglio deposito bis'!$F$49*(C21-sezione!$AM$27)*IF(ABS(L21)&lt;'Sollecitazioni nel paramento'!$G$58,ABS(L21)*'Sollecitazioni nel paramento'!$G$54,'Sollecitazioni nel paramento'!$G$53)</f>
        <v>11761920.804341331</v>
      </c>
      <c r="G21" s="545">
        <f>-'Foglio deposito bis'!$F$50*(C21-sezione!$AN$27)*IF(ABS(M21)&lt;'Sollecitazioni nel paramento'!$G$58,ABS(M21)*'Sollecitazioni nel paramento'!$G$54,'Sollecitazioni nel paramento'!$G$53)</f>
        <v>0</v>
      </c>
      <c r="H21" s="545">
        <f>-'Foglio deposito bis'!$F$51*(C21-sezione!$AO$27)*IF(ABS(N21)&lt;'Sollecitazioni nel paramento'!$G$58,ABS(N21)*'Sollecitazioni nel paramento'!$G$54,'Sollecitazioni nel paramento'!$G$53)</f>
        <v>37926668.609089725</v>
      </c>
      <c r="I21" s="472">
        <f>-'Foglio deposito bis'!$F$52*(C21-sezione!$AP$27)*IF(ABS(O21)&lt;'Sollecitazioni nel paramento'!$G$58,ABS(O21)*'Sollecitazioni nel paramento'!$G$54,'Sollecitazioni nel paramento'!$G$53)</f>
        <v>47450588.400700644</v>
      </c>
      <c r="J21" s="472">
        <f t="shared" si="0"/>
        <v>96989587.288689181</v>
      </c>
      <c r="K21" s="550">
        <f>'Sollecitazioni nel paramento'!$G$60*(sezione!$AL$27-C21)/C21</f>
        <v>5.0491799747449419E-2</v>
      </c>
      <c r="L21" s="550">
        <f>'Sollecitazioni nel paramento'!$G$60*(sezione!$AM$27-C21)/C21</f>
        <v>7.7487699621174133E-2</v>
      </c>
      <c r="M21" s="551">
        <f>'Sollecitazioni nel paramento'!$G$60*(sezione!$AN$27-C21)/C21</f>
        <v>0.10448359949489883</v>
      </c>
      <c r="N21" s="551">
        <f>'Sollecitazioni nel paramento'!$G$60*(sezione!$AO$27-C21)/C21</f>
        <v>0.21246719898979768</v>
      </c>
      <c r="O21" s="551">
        <f>'Sollecitazioni nel paramento'!$G$60*(sezione!$AP$27-C21)/C21</f>
        <v>0.26582070025255022</v>
      </c>
      <c r="P21" s="545">
        <f>-'Sollecitazioni nel paramento'!$G$47*'Sollecitazioni nel paramento'!$G$41*IF(DATI!$G$211="dx",DATI!$E$61,DATI!$E$64*DATI!$E$63)*1000*C21*sezione!$AD$5</f>
        <v>-98785.001147363277</v>
      </c>
      <c r="Q21" s="545">
        <f>'Foglio deposito bis'!$F$48*IF(ABS(K21)&lt;'Sollecitazioni nel paramento'!$G$58,ABS(K21)*'Sollecitazioni nel paramento'!$G$54,'Sollecitazioni nel paramento'!$G$53)*IF(K21&lt;0,-1,1)</f>
        <v>0</v>
      </c>
      <c r="R21" s="545">
        <f>'Foglio deposito bis'!$F$49*IF(ABS(L21)&lt;'Sollecitazioni nel paramento'!$G$58,ABS(L21)*'Sollecitazioni nel paramento'!$G$54,'Sollecitazioni nel paramento'!$G$53)*IF(L21&lt;0,-1,1)</f>
        <v>204886.47740803001</v>
      </c>
      <c r="S21" s="545">
        <f>'Foglio deposito bis'!$F$50*IF(ABS(M21)&lt;'Sollecitazioni nel paramento'!$G$58,ABS(M21)*'Sollecitazioni nel paramento'!$G$54,'Sollecitazioni nel paramento'!$G$53)*IF(M21&lt;0,-1,1)</f>
        <v>0</v>
      </c>
      <c r="T21" s="545">
        <f>'Foglio deposito bis'!$F$51*IF(ABS(N21)&lt;'Sollecitazioni nel paramento'!$G$58,ABS(N21)*'Sollecitazioni nel paramento'!$G$54,'Sollecitazioni nel paramento'!$G$53)*IF(N21&lt;0,-1,1)</f>
        <v>240946.49743184328</v>
      </c>
      <c r="U21" s="545">
        <f>'Foglio deposito bis'!$F$52*IF(ABS(O21)&lt;'Sollecitazioni nel paramento'!$G$58,ABS(O21)*'Sollecitazioni nel paramento'!$G$54,'Sollecitazioni nel paramento'!$G$53)*IF(O21&lt;0,-1,1)</f>
        <v>240946.49743184328</v>
      </c>
      <c r="V21" s="472">
        <f t="shared" si="3"/>
        <v>587994.47112435335</v>
      </c>
      <c r="W21" s="551"/>
      <c r="X21" s="551"/>
      <c r="Z21" s="1041" t="s">
        <v>969</v>
      </c>
      <c r="AA21" s="1041"/>
      <c r="AC21" s="1041" t="s">
        <v>969</v>
      </c>
      <c r="AD21" s="1041"/>
    </row>
    <row r="22" spans="1:48" x14ac:dyDescent="0.25">
      <c r="A22" s="545">
        <f t="shared" si="2"/>
        <v>581820.40855264314</v>
      </c>
      <c r="B22" s="3">
        <f t="shared" si="4"/>
        <v>0.8500000000000002</v>
      </c>
      <c r="C22" s="41">
        <f>'Foglio deposito bis'!$E$153/$B$247*B22</f>
        <v>2.7550480016556027</v>
      </c>
      <c r="D22" s="603">
        <f>-'Sollecitazioni nel paramento'!$G$47*'Sollecitazioni nel paramento'!$G$41*IF(DATI!$G$211="dx",DATI!$E$61,DATI!$E$64*DATI!$E$63)*1000*C22^2*sezione!$AD$5*(1-sezione!$AD$6)</f>
        <v>-168873.67911284787</v>
      </c>
      <c r="E22" s="545">
        <f>-'Foglio deposito bis'!$F$48*(C22-sezione!$AL$27)*IF(ABS(K22)&lt;'Sollecitazioni nel paramento'!$G$58,ABS(K22)*'Sollecitazioni nel paramento'!$G$54,'Sollecitazioni nel paramento'!$G$53)</f>
        <v>0</v>
      </c>
      <c r="F22" s="545">
        <f>-'Foglio deposito bis'!$F$49*(C22-sezione!$AM$27)*IF(ABS(L22)&lt;'Sollecitazioni nel paramento'!$G$58,ABS(L22)*'Sollecitazioni nel paramento'!$G$54,'Sollecitazioni nel paramento'!$G$53)</f>
        <v>11728716.564332552</v>
      </c>
      <c r="G22" s="545">
        <f>-'Foglio deposito bis'!$F$50*(C22-sezione!$AN$27)*IF(ABS(M22)&lt;'Sollecitazioni nel paramento'!$G$58,ABS(M22)*'Sollecitazioni nel paramento'!$G$54,'Sollecitazioni nel paramento'!$G$53)</f>
        <v>0</v>
      </c>
      <c r="H22" s="545">
        <f>-'Foglio deposito bis'!$F$51*(C22-sezione!$AO$27)*IF(ABS(N22)&lt;'Sollecitazioni nel paramento'!$G$58,ABS(N22)*'Sollecitazioni nel paramento'!$G$54,'Sollecitazioni nel paramento'!$G$53)</f>
        <v>37887620.422839403</v>
      </c>
      <c r="I22" s="472">
        <f>-'Foglio deposito bis'!$F$52*(C22-sezione!$AP$27)*IF(ABS(O22)&lt;'Sollecitazioni nel paramento'!$G$58,ABS(O22)*'Sollecitazioni nel paramento'!$G$54,'Sollecitazioni nel paramento'!$G$53)</f>
        <v>47411540.214450322</v>
      </c>
      <c r="J22" s="472">
        <f t="shared" si="0"/>
        <v>96859003.522509426</v>
      </c>
      <c r="K22" s="550">
        <f>'Sollecitazioni nel paramento'!$G$60*(sezione!$AL$27-C22)/C22</f>
        <v>4.7315811527011226E-2</v>
      </c>
      <c r="L22" s="550">
        <f>'Sollecitazioni nel paramento'!$G$60*(sezione!$AM$27-C22)/C22</f>
        <v>7.2723717290516826E-2</v>
      </c>
      <c r="M22" s="551">
        <f>'Sollecitazioni nel paramento'!$G$60*(sezione!$AN$27-C22)/C22</f>
        <v>9.8131623054022427E-2</v>
      </c>
      <c r="N22" s="551">
        <f>'Sollecitazioni nel paramento'!$G$60*(sezione!$AO$27-C22)/C22</f>
        <v>0.19976324610804486</v>
      </c>
      <c r="O22" s="551">
        <f>'Sollecitazioni nel paramento'!$G$60*(sezione!$AP$27-C22)/C22</f>
        <v>0.24997830612004732</v>
      </c>
      <c r="P22" s="545">
        <f>-'Sollecitazioni nel paramento'!$G$47*'Sollecitazioni nel paramento'!$G$41*IF(DATI!$G$211="dx",DATI!$E$61,DATI!$E$64*DATI!$E$63)*1000*C22*sezione!$AD$5</f>
        <v>-104959.06371907349</v>
      </c>
      <c r="Q22" s="545">
        <f>'Foglio deposito bis'!$F$48*IF(ABS(K22)&lt;'Sollecitazioni nel paramento'!$G$58,ABS(K22)*'Sollecitazioni nel paramento'!$G$54,'Sollecitazioni nel paramento'!$G$53)*IF(K22&lt;0,-1,1)</f>
        <v>0</v>
      </c>
      <c r="R22" s="545">
        <f>'Foglio deposito bis'!$F$49*IF(ABS(L22)&lt;'Sollecitazioni nel paramento'!$G$58,ABS(L22)*'Sollecitazioni nel paramento'!$G$54,'Sollecitazioni nel paramento'!$G$53)*IF(L22&lt;0,-1,1)</f>
        <v>204886.47740803001</v>
      </c>
      <c r="S22" s="545">
        <f>'Foglio deposito bis'!$F$50*IF(ABS(M22)&lt;'Sollecitazioni nel paramento'!$G$58,ABS(M22)*'Sollecitazioni nel paramento'!$G$54,'Sollecitazioni nel paramento'!$G$53)*IF(M22&lt;0,-1,1)</f>
        <v>0</v>
      </c>
      <c r="T22" s="545">
        <f>'Foglio deposito bis'!$F$51*IF(ABS(N22)&lt;'Sollecitazioni nel paramento'!$G$58,ABS(N22)*'Sollecitazioni nel paramento'!$G$54,'Sollecitazioni nel paramento'!$G$53)*IF(N22&lt;0,-1,1)</f>
        <v>240946.49743184328</v>
      </c>
      <c r="U22" s="545">
        <f>'Foglio deposito bis'!$F$52*IF(ABS(O22)&lt;'Sollecitazioni nel paramento'!$G$58,ABS(O22)*'Sollecitazioni nel paramento'!$G$54,'Sollecitazioni nel paramento'!$G$53)*IF(O22&lt;0,-1,1)</f>
        <v>240946.49743184328</v>
      </c>
      <c r="V22" s="472">
        <f t="shared" si="3"/>
        <v>581820.40855264314</v>
      </c>
      <c r="W22" s="551"/>
      <c r="X22" s="551"/>
      <c r="Z22" s="483">
        <f>DATI!E61/2*1.2</f>
        <v>1.5</v>
      </c>
      <c r="AA22" s="483">
        <f>sezione!AH20/1000</f>
        <v>0.04</v>
      </c>
      <c r="AC22" s="578">
        <f>Z22</f>
        <v>1.5</v>
      </c>
      <c r="AD22" s="578">
        <f>Z22</f>
        <v>1.5</v>
      </c>
    </row>
    <row r="23" spans="1:48" x14ac:dyDescent="0.25">
      <c r="A23" s="545">
        <f t="shared" si="2"/>
        <v>575646.34598093294</v>
      </c>
      <c r="B23" s="3">
        <f t="shared" si="4"/>
        <v>0.90000000000000024</v>
      </c>
      <c r="C23" s="41">
        <f>'Foglio deposito bis'!$E$153/$B$247*B23</f>
        <v>2.9171096488118149</v>
      </c>
      <c r="D23" s="603">
        <f>-'Sollecitazioni nel paramento'!$G$47*'Sollecitazioni nel paramento'!$G$41*IF(DATI!$G$211="dx",DATI!$E$61,DATI!$E$64*DATI!$E$63)*1000*C23^2*sezione!$AD$5*(1-sezione!$AD$6)</f>
        <v>-189325.50876319277</v>
      </c>
      <c r="E23" s="545">
        <f>-'Foglio deposito bis'!$F$48*(C23-sezione!$AL$27)*IF(ABS(K23)&lt;'Sollecitazioni nel paramento'!$G$58,ABS(K23)*'Sollecitazioni nel paramento'!$G$54,'Sollecitazioni nel paramento'!$G$53)</f>
        <v>0</v>
      </c>
      <c r="F23" s="545">
        <f>-'Foglio deposito bis'!$F$49*(C23-sezione!$AM$27)*IF(ABS(L23)&lt;'Sollecitazioni nel paramento'!$G$58,ABS(L23)*'Sollecitazioni nel paramento'!$G$54,'Sollecitazioni nel paramento'!$G$53)</f>
        <v>11695512.324323772</v>
      </c>
      <c r="G23" s="545">
        <f>-'Foglio deposito bis'!$F$50*(C23-sezione!$AN$27)*IF(ABS(M23)&lt;'Sollecitazioni nel paramento'!$G$58,ABS(M23)*'Sollecitazioni nel paramento'!$G$54,'Sollecitazioni nel paramento'!$G$53)</f>
        <v>0</v>
      </c>
      <c r="H23" s="545">
        <f>-'Foglio deposito bis'!$F$51*(C23-sezione!$AO$27)*IF(ABS(N23)&lt;'Sollecitazioni nel paramento'!$G$58,ABS(N23)*'Sollecitazioni nel paramento'!$G$54,'Sollecitazioni nel paramento'!$G$53)</f>
        <v>37848572.236589082</v>
      </c>
      <c r="I23" s="472">
        <f>-'Foglio deposito bis'!$F$52*(C23-sezione!$AP$27)*IF(ABS(O23)&lt;'Sollecitazioni nel paramento'!$G$58,ABS(O23)*'Sollecitazioni nel paramento'!$G$54,'Sollecitazioni nel paramento'!$G$53)</f>
        <v>47372492.028200001</v>
      </c>
      <c r="J23" s="472">
        <f t="shared" si="0"/>
        <v>96727251.080349654</v>
      </c>
      <c r="K23" s="550">
        <f>'Sollecitazioni nel paramento'!$G$60*(sezione!$AL$27-C23)/C23</f>
        <v>4.4492710886621704E-2</v>
      </c>
      <c r="L23" s="550">
        <f>'Sollecitazioni nel paramento'!$G$60*(sezione!$AM$27-C23)/C23</f>
        <v>6.8489066329932555E-2</v>
      </c>
      <c r="M23" s="551">
        <f>'Sollecitazioni nel paramento'!$G$60*(sezione!$AN$27-C23)/C23</f>
        <v>9.2485421773243412E-2</v>
      </c>
      <c r="N23" s="551">
        <f>'Sollecitazioni nel paramento'!$G$60*(sezione!$AO$27-C23)/C23</f>
        <v>0.1884708435464868</v>
      </c>
      <c r="O23" s="551">
        <f>'Sollecitazioni nel paramento'!$G$60*(sezione!$AP$27-C23)/C23</f>
        <v>0.23589617800226692</v>
      </c>
      <c r="P23" s="545">
        <f>-'Sollecitazioni nel paramento'!$G$47*'Sollecitazioni nel paramento'!$G$41*IF(DATI!$G$211="dx",DATI!$E$61,DATI!$E$64*DATI!$E$63)*1000*C23*sezione!$AD$5</f>
        <v>-111133.12629078369</v>
      </c>
      <c r="Q23" s="545">
        <f>'Foglio deposito bis'!$F$48*IF(ABS(K23)&lt;'Sollecitazioni nel paramento'!$G$58,ABS(K23)*'Sollecitazioni nel paramento'!$G$54,'Sollecitazioni nel paramento'!$G$53)*IF(K23&lt;0,-1,1)</f>
        <v>0</v>
      </c>
      <c r="R23" s="545">
        <f>'Foglio deposito bis'!$F$49*IF(ABS(L23)&lt;'Sollecitazioni nel paramento'!$G$58,ABS(L23)*'Sollecitazioni nel paramento'!$G$54,'Sollecitazioni nel paramento'!$G$53)*IF(L23&lt;0,-1,1)</f>
        <v>204886.47740803001</v>
      </c>
      <c r="S23" s="545">
        <f>'Foglio deposito bis'!$F$50*IF(ABS(M23)&lt;'Sollecitazioni nel paramento'!$G$58,ABS(M23)*'Sollecitazioni nel paramento'!$G$54,'Sollecitazioni nel paramento'!$G$53)*IF(M23&lt;0,-1,1)</f>
        <v>0</v>
      </c>
      <c r="T23" s="545">
        <f>'Foglio deposito bis'!$F$51*IF(ABS(N23)&lt;'Sollecitazioni nel paramento'!$G$58,ABS(N23)*'Sollecitazioni nel paramento'!$G$54,'Sollecitazioni nel paramento'!$G$53)*IF(N23&lt;0,-1,1)</f>
        <v>240946.49743184328</v>
      </c>
      <c r="U23" s="545">
        <f>'Foglio deposito bis'!$F$52*IF(ABS(O23)&lt;'Sollecitazioni nel paramento'!$G$58,ABS(O23)*'Sollecitazioni nel paramento'!$G$54,'Sollecitazioni nel paramento'!$G$53)*IF(O23&lt;0,-1,1)</f>
        <v>240946.49743184328</v>
      </c>
      <c r="V23" s="472">
        <f t="shared" si="3"/>
        <v>575646.34598093294</v>
      </c>
      <c r="W23" s="551"/>
      <c r="X23" s="551"/>
      <c r="Z23" s="483">
        <f>-DATI!E61/2</f>
        <v>-1.25</v>
      </c>
      <c r="AA23" s="483">
        <f>AA22</f>
        <v>0.04</v>
      </c>
      <c r="AC23" s="578">
        <f>-DATI!H61/2</f>
        <v>0</v>
      </c>
      <c r="AD23" s="578">
        <f>AD22</f>
        <v>1.5</v>
      </c>
      <c r="AH23" s="424" t="s">
        <v>1004</v>
      </c>
      <c r="AI23" s="421"/>
      <c r="AJ23" s="421"/>
      <c r="AK23" s="421"/>
      <c r="AL23" s="421"/>
      <c r="AM23" s="421"/>
      <c r="AN23" s="421"/>
      <c r="AO23" s="421"/>
      <c r="AP23" s="421"/>
      <c r="AQ23" s="421"/>
    </row>
    <row r="24" spans="1:48" x14ac:dyDescent="0.25">
      <c r="A24" s="545">
        <f t="shared" si="2"/>
        <v>569472.28340922273</v>
      </c>
      <c r="B24" s="3">
        <f t="shared" si="4"/>
        <v>0.95000000000000029</v>
      </c>
      <c r="C24" s="41">
        <f>'Foglio deposito bis'!$E$153/$B$247*B24</f>
        <v>3.0791712959680271</v>
      </c>
      <c r="D24" s="603">
        <f>-'Sollecitazioni nel paramento'!$G$47*'Sollecitazioni nel paramento'!$G$41*IF(DATI!$G$211="dx",DATI!$E$61,DATI!$E$64*DATI!$E$63)*1000*C24^2*sezione!$AD$5*(1-sezione!$AD$6)</f>
        <v>-210946.01439355745</v>
      </c>
      <c r="E24" s="545">
        <f>-'Foglio deposito bis'!$F$48*(C24-sezione!$AL$27)*IF(ABS(K24)&lt;'Sollecitazioni nel paramento'!$G$58,ABS(K24)*'Sollecitazioni nel paramento'!$G$54,'Sollecitazioni nel paramento'!$G$53)</f>
        <v>0</v>
      </c>
      <c r="F24" s="545">
        <f>-'Foglio deposito bis'!$F$49*(C24-sezione!$AM$27)*IF(ABS(L24)&lt;'Sollecitazioni nel paramento'!$G$58,ABS(L24)*'Sollecitazioni nel paramento'!$G$54,'Sollecitazioni nel paramento'!$G$53)</f>
        <v>11662308.084314993</v>
      </c>
      <c r="G24" s="545">
        <f>-'Foglio deposito bis'!$F$50*(C24-sezione!$AN$27)*IF(ABS(M24)&lt;'Sollecitazioni nel paramento'!$G$58,ABS(M24)*'Sollecitazioni nel paramento'!$G$54,'Sollecitazioni nel paramento'!$G$53)</f>
        <v>0</v>
      </c>
      <c r="H24" s="545">
        <f>-'Foglio deposito bis'!$F$51*(C24-sezione!$AO$27)*IF(ABS(N24)&lt;'Sollecitazioni nel paramento'!$G$58,ABS(N24)*'Sollecitazioni nel paramento'!$G$54,'Sollecitazioni nel paramento'!$G$53)</f>
        <v>37809524.05033876</v>
      </c>
      <c r="I24" s="472">
        <f>-'Foglio deposito bis'!$F$52*(C24-sezione!$AP$27)*IF(ABS(O24)&lt;'Sollecitazioni nel paramento'!$G$58,ABS(O24)*'Sollecitazioni nel paramento'!$G$54,'Sollecitazioni nel paramento'!$G$53)</f>
        <v>47333443.841949679</v>
      </c>
      <c r="J24" s="472">
        <f t="shared" si="0"/>
        <v>96594329.96220988</v>
      </c>
      <c r="K24" s="550">
        <f>'Sollecitazioni nel paramento'!$G$60*(sezione!$AL$27-C24)/C24</f>
        <v>4.1966778734694246E-2</v>
      </c>
      <c r="L24" s="550">
        <f>'Sollecitazioni nel paramento'!$G$60*(sezione!$AM$27-C24)/C24</f>
        <v>6.4700168102041364E-2</v>
      </c>
      <c r="M24" s="551">
        <f>'Sollecitazioni nel paramento'!$G$60*(sezione!$AN$27-C24)/C24</f>
        <v>8.7433557469388481E-2</v>
      </c>
      <c r="N24" s="551">
        <f>'Sollecitazioni nel paramento'!$G$60*(sezione!$AO$27-C24)/C24</f>
        <v>0.17836711493877697</v>
      </c>
      <c r="O24" s="551">
        <f>'Sollecitazioni nel paramento'!$G$60*(sezione!$AP$27-C24)/C24</f>
        <v>0.22329637916004233</v>
      </c>
      <c r="P24" s="545">
        <f>-'Sollecitazioni nel paramento'!$G$47*'Sollecitazioni nel paramento'!$G$41*IF(DATI!$G$211="dx",DATI!$E$61,DATI!$E$64*DATI!$E$63)*1000*C24*sezione!$AD$5</f>
        <v>-117307.1888624939</v>
      </c>
      <c r="Q24" s="545">
        <f>'Foglio deposito bis'!$F$48*IF(ABS(K24)&lt;'Sollecitazioni nel paramento'!$G$58,ABS(K24)*'Sollecitazioni nel paramento'!$G$54,'Sollecitazioni nel paramento'!$G$53)*IF(K24&lt;0,-1,1)</f>
        <v>0</v>
      </c>
      <c r="R24" s="545">
        <f>'Foglio deposito bis'!$F$49*IF(ABS(L24)&lt;'Sollecitazioni nel paramento'!$G$58,ABS(L24)*'Sollecitazioni nel paramento'!$G$54,'Sollecitazioni nel paramento'!$G$53)*IF(L24&lt;0,-1,1)</f>
        <v>204886.47740803001</v>
      </c>
      <c r="S24" s="545">
        <f>'Foglio deposito bis'!$F$50*IF(ABS(M24)&lt;'Sollecitazioni nel paramento'!$G$58,ABS(M24)*'Sollecitazioni nel paramento'!$G$54,'Sollecitazioni nel paramento'!$G$53)*IF(M24&lt;0,-1,1)</f>
        <v>0</v>
      </c>
      <c r="T24" s="545">
        <f>'Foglio deposito bis'!$F$51*IF(ABS(N24)&lt;'Sollecitazioni nel paramento'!$G$58,ABS(N24)*'Sollecitazioni nel paramento'!$G$54,'Sollecitazioni nel paramento'!$G$53)*IF(N24&lt;0,-1,1)</f>
        <v>240946.49743184328</v>
      </c>
      <c r="U24" s="545">
        <f>'Foglio deposito bis'!$F$52*IF(ABS(O24)&lt;'Sollecitazioni nel paramento'!$G$58,ABS(O24)*'Sollecitazioni nel paramento'!$G$54,'Sollecitazioni nel paramento'!$G$53)*IF(O24&lt;0,-1,1)</f>
        <v>240946.49743184328</v>
      </c>
      <c r="V24" s="472">
        <f t="shared" si="3"/>
        <v>569472.28340922273</v>
      </c>
      <c r="W24" s="551"/>
      <c r="X24" s="551"/>
      <c r="Z24" s="41"/>
      <c r="AA24" s="41"/>
      <c r="AC24" s="41"/>
      <c r="AD24" s="41"/>
      <c r="AH24" s="421"/>
      <c r="AI24" s="421"/>
      <c r="AJ24" s="421"/>
      <c r="AK24" s="421"/>
      <c r="AL24" s="421"/>
      <c r="AM24" s="421"/>
      <c r="AN24" s="421"/>
      <c r="AO24" s="421"/>
      <c r="AP24" s="421"/>
      <c r="AQ24" s="421"/>
    </row>
    <row r="25" spans="1:48" x14ac:dyDescent="0.25">
      <c r="A25" s="545">
        <f t="shared" si="2"/>
        <v>563298.22083751252</v>
      </c>
      <c r="B25" s="3">
        <f t="shared" si="4"/>
        <v>1.0000000000000002</v>
      </c>
      <c r="C25" s="41">
        <f>'Foglio deposito bis'!$E$153/$B$247*B25</f>
        <v>3.2412329431242388</v>
      </c>
      <c r="D25" s="603">
        <f>-'Sollecitazioni nel paramento'!$G$47*'Sollecitazioni nel paramento'!$G$41*IF(DATI!$G$211="dx",DATI!$E$61,DATI!$E$64*DATI!$E$63)*1000*C25^2*sezione!$AD$5*(1-sezione!$AD$6)</f>
        <v>-233735.19600394173</v>
      </c>
      <c r="E25" s="545">
        <f>-'Foglio deposito bis'!$F$48*(C25-sezione!$AL$27)*IF(ABS(K25)&lt;'Sollecitazioni nel paramento'!$G$58,ABS(K25)*'Sollecitazioni nel paramento'!$G$54,'Sollecitazioni nel paramento'!$G$53)</f>
        <v>0</v>
      </c>
      <c r="F25" s="545">
        <f>-'Foglio deposito bis'!$F$49*(C25-sezione!$AM$27)*IF(ABS(L25)&lt;'Sollecitazioni nel paramento'!$G$58,ABS(L25)*'Sollecitazioni nel paramento'!$G$54,'Sollecitazioni nel paramento'!$G$53)</f>
        <v>11629103.844306214</v>
      </c>
      <c r="G25" s="545">
        <f>-'Foglio deposito bis'!$F$50*(C25-sezione!$AN$27)*IF(ABS(M25)&lt;'Sollecitazioni nel paramento'!$G$58,ABS(M25)*'Sollecitazioni nel paramento'!$G$54,'Sollecitazioni nel paramento'!$G$53)</f>
        <v>0</v>
      </c>
      <c r="H25" s="545">
        <f>-'Foglio deposito bis'!$F$51*(C25-sezione!$AO$27)*IF(ABS(N25)&lt;'Sollecitazioni nel paramento'!$G$58,ABS(N25)*'Sollecitazioni nel paramento'!$G$54,'Sollecitazioni nel paramento'!$G$53)</f>
        <v>37770475.864088438</v>
      </c>
      <c r="I25" s="472">
        <f>-'Foglio deposito bis'!$F$52*(C25-sezione!$AP$27)*IF(ABS(O25)&lt;'Sollecitazioni nel paramento'!$G$58,ABS(O25)*'Sollecitazioni nel paramento'!$G$54,'Sollecitazioni nel paramento'!$G$53)</f>
        <v>47294395.65569935</v>
      </c>
      <c r="J25" s="472">
        <f t="shared" si="0"/>
        <v>96460240.16809006</v>
      </c>
      <c r="K25" s="550">
        <f>'Sollecitazioni nel paramento'!$G$60*(sezione!$AL$27-C25)/C25</f>
        <v>3.9693439797959529E-2</v>
      </c>
      <c r="L25" s="550">
        <f>'Sollecitazioni nel paramento'!$G$60*(sezione!$AM$27-C25)/C25</f>
        <v>6.1290159696939295E-2</v>
      </c>
      <c r="M25" s="551">
        <f>'Sollecitazioni nel paramento'!$G$60*(sezione!$AN$27-C25)/C25</f>
        <v>8.2886879595919061E-2</v>
      </c>
      <c r="N25" s="551">
        <f>'Sollecitazioni nel paramento'!$G$60*(sezione!$AO$27-C25)/C25</f>
        <v>0.16927375919183815</v>
      </c>
      <c r="O25" s="551">
        <f>'Sollecitazioni nel paramento'!$G$60*(sezione!$AP$27-C25)/C25</f>
        <v>0.21195656020204023</v>
      </c>
      <c r="P25" s="545">
        <f>-'Sollecitazioni nel paramento'!$G$47*'Sollecitazioni nel paramento'!$G$41*IF(DATI!$G$211="dx",DATI!$E$61,DATI!$E$64*DATI!$E$63)*1000*C25*sezione!$AD$5</f>
        <v>-123481.2514342041</v>
      </c>
      <c r="Q25" s="545">
        <f>'Foglio deposito bis'!$F$48*IF(ABS(K25)&lt;'Sollecitazioni nel paramento'!$G$58,ABS(K25)*'Sollecitazioni nel paramento'!$G$54,'Sollecitazioni nel paramento'!$G$53)*IF(K25&lt;0,-1,1)</f>
        <v>0</v>
      </c>
      <c r="R25" s="545">
        <f>'Foglio deposito bis'!$F$49*IF(ABS(L25)&lt;'Sollecitazioni nel paramento'!$G$58,ABS(L25)*'Sollecitazioni nel paramento'!$G$54,'Sollecitazioni nel paramento'!$G$53)*IF(L25&lt;0,-1,1)</f>
        <v>204886.47740803001</v>
      </c>
      <c r="S25" s="545">
        <f>'Foglio deposito bis'!$F$50*IF(ABS(M25)&lt;'Sollecitazioni nel paramento'!$G$58,ABS(M25)*'Sollecitazioni nel paramento'!$G$54,'Sollecitazioni nel paramento'!$G$53)*IF(M25&lt;0,-1,1)</f>
        <v>0</v>
      </c>
      <c r="T25" s="545">
        <f>'Foglio deposito bis'!$F$51*IF(ABS(N25)&lt;'Sollecitazioni nel paramento'!$G$58,ABS(N25)*'Sollecitazioni nel paramento'!$G$54,'Sollecitazioni nel paramento'!$G$53)*IF(N25&lt;0,-1,1)</f>
        <v>240946.49743184328</v>
      </c>
      <c r="U25" s="545">
        <f>'Foglio deposito bis'!$F$52*IF(ABS(O25)&lt;'Sollecitazioni nel paramento'!$G$58,ABS(O25)*'Sollecitazioni nel paramento'!$G$54,'Sollecitazioni nel paramento'!$G$53)*IF(O25&lt;0,-1,1)</f>
        <v>240946.49743184328</v>
      </c>
      <c r="V25" s="472">
        <f t="shared" si="3"/>
        <v>563298.22083751252</v>
      </c>
      <c r="W25" s="551"/>
      <c r="X25" s="551"/>
      <c r="Z25" s="1040" t="s">
        <v>970</v>
      </c>
      <c r="AA25" s="1040"/>
      <c r="AC25" s="1040" t="s">
        <v>970</v>
      </c>
      <c r="AD25" s="1040"/>
      <c r="AH25" s="1029" t="s">
        <v>21</v>
      </c>
      <c r="AI25" s="1031" t="s">
        <v>994</v>
      </c>
      <c r="AJ25" s="1025" t="s">
        <v>137</v>
      </c>
      <c r="AK25" s="1025" t="s">
        <v>23</v>
      </c>
      <c r="AL25" s="1025" t="s">
        <v>981</v>
      </c>
      <c r="AM25" s="1025" t="s">
        <v>982</v>
      </c>
      <c r="AN25" s="1029" t="s">
        <v>983</v>
      </c>
      <c r="AO25" s="1029" t="s">
        <v>984</v>
      </c>
      <c r="AP25" s="1029" t="s">
        <v>940</v>
      </c>
      <c r="AQ25" s="515" t="str">
        <f>IF(DATI!$C$69="muro a contrafforti","hc(z)","")</f>
        <v>hc(z)</v>
      </c>
    </row>
    <row r="26" spans="1:48" x14ac:dyDescent="0.25">
      <c r="A26" s="545">
        <f t="shared" si="2"/>
        <v>557124.15826580231</v>
      </c>
      <c r="B26" s="3">
        <f t="shared" si="4"/>
        <v>1.0500000000000003</v>
      </c>
      <c r="C26" s="41">
        <f>'Foglio deposito bis'!$E$153/$B$247*B26</f>
        <v>3.4032945902804506</v>
      </c>
      <c r="D26" s="603">
        <f>-'Sollecitazioni nel paramento'!$G$47*'Sollecitazioni nel paramento'!$G$41*IF(DATI!$G$211="dx",DATI!$E$61,DATI!$E$64*DATI!$E$63)*1000*C26^2*sezione!$AD$5*(1-sezione!$AD$6)</f>
        <v>-257693.05359434569</v>
      </c>
      <c r="E26" s="545">
        <f>-'Foglio deposito bis'!$F$48*(C26-sezione!$AL$27)*IF(ABS(K26)&lt;'Sollecitazioni nel paramento'!$G$58,ABS(K26)*'Sollecitazioni nel paramento'!$G$54,'Sollecitazioni nel paramento'!$G$53)</f>
        <v>0</v>
      </c>
      <c r="F26" s="545">
        <f>-'Foglio deposito bis'!$F$49*(C26-sezione!$AM$27)*IF(ABS(L26)&lt;'Sollecitazioni nel paramento'!$G$58,ABS(L26)*'Sollecitazioni nel paramento'!$G$54,'Sollecitazioni nel paramento'!$G$53)</f>
        <v>11595899.604297433</v>
      </c>
      <c r="G26" s="545">
        <f>-'Foglio deposito bis'!$F$50*(C26-sezione!$AN$27)*IF(ABS(M26)&lt;'Sollecitazioni nel paramento'!$G$58,ABS(M26)*'Sollecitazioni nel paramento'!$G$54,'Sollecitazioni nel paramento'!$G$53)</f>
        <v>0</v>
      </c>
      <c r="H26" s="545">
        <f>-'Foglio deposito bis'!$F$51*(C26-sezione!$AO$27)*IF(ABS(N26)&lt;'Sollecitazioni nel paramento'!$G$58,ABS(N26)*'Sollecitazioni nel paramento'!$G$54,'Sollecitazioni nel paramento'!$G$53)</f>
        <v>37731427.677838109</v>
      </c>
      <c r="I26" s="472">
        <f>-'Foglio deposito bis'!$F$52*(C26-sezione!$AP$27)*IF(ABS(O26)&lt;'Sollecitazioni nel paramento'!$G$58,ABS(O26)*'Sollecitazioni nel paramento'!$G$54,'Sollecitazioni nel paramento'!$G$53)</f>
        <v>47255347.469449028</v>
      </c>
      <c r="J26" s="472">
        <f t="shared" si="0"/>
        <v>96324981.697990224</v>
      </c>
      <c r="K26" s="550">
        <f>'Sollecitazioni nel paramento'!$G$60*(sezione!$AL$27-C26)/C26</f>
        <v>3.7636609331390035E-2</v>
      </c>
      <c r="L26" s="550">
        <f>'Sollecitazioni nel paramento'!$G$60*(sezione!$AM$27-C26)/C26</f>
        <v>5.8204913997085043E-2</v>
      </c>
      <c r="M26" s="551">
        <f>'Sollecitazioni nel paramento'!$G$60*(sezione!$AN$27-C26)/C26</f>
        <v>7.8773218662780073E-2</v>
      </c>
      <c r="N26" s="551">
        <f>'Sollecitazioni nel paramento'!$G$60*(sezione!$AO$27-C26)/C26</f>
        <v>0.16104643732556015</v>
      </c>
      <c r="O26" s="551">
        <f>'Sollecitazioni nel paramento'!$G$60*(sezione!$AP$27-C26)/C26</f>
        <v>0.20169672400194308</v>
      </c>
      <c r="P26" s="545">
        <f>-'Sollecitazioni nel paramento'!$G$47*'Sollecitazioni nel paramento'!$G$41*IF(DATI!$G$211="dx",DATI!$E$61,DATI!$E$64*DATI!$E$63)*1000*C26*sezione!$AD$5</f>
        <v>-129655.3140059143</v>
      </c>
      <c r="Q26" s="545">
        <f>'Foglio deposito bis'!$F$48*IF(ABS(K26)&lt;'Sollecitazioni nel paramento'!$G$58,ABS(K26)*'Sollecitazioni nel paramento'!$G$54,'Sollecitazioni nel paramento'!$G$53)*IF(K26&lt;0,-1,1)</f>
        <v>0</v>
      </c>
      <c r="R26" s="545">
        <f>'Foglio deposito bis'!$F$49*IF(ABS(L26)&lt;'Sollecitazioni nel paramento'!$G$58,ABS(L26)*'Sollecitazioni nel paramento'!$G$54,'Sollecitazioni nel paramento'!$G$53)*IF(L26&lt;0,-1,1)</f>
        <v>204886.47740803001</v>
      </c>
      <c r="S26" s="545">
        <f>'Foglio deposito bis'!$F$50*IF(ABS(M26)&lt;'Sollecitazioni nel paramento'!$G$58,ABS(M26)*'Sollecitazioni nel paramento'!$G$54,'Sollecitazioni nel paramento'!$G$53)*IF(M26&lt;0,-1,1)</f>
        <v>0</v>
      </c>
      <c r="T26" s="545">
        <f>'Foglio deposito bis'!$F$51*IF(ABS(N26)&lt;'Sollecitazioni nel paramento'!$G$58,ABS(N26)*'Sollecitazioni nel paramento'!$G$54,'Sollecitazioni nel paramento'!$G$53)*IF(N26&lt;0,-1,1)</f>
        <v>240946.49743184328</v>
      </c>
      <c r="U26" s="545">
        <f>'Foglio deposito bis'!$F$52*IF(ABS(O26)&lt;'Sollecitazioni nel paramento'!$G$58,ABS(O26)*'Sollecitazioni nel paramento'!$G$54,'Sollecitazioni nel paramento'!$G$53)*IF(O26&lt;0,-1,1)</f>
        <v>240946.49743184328</v>
      </c>
      <c r="V26" s="472">
        <f t="shared" si="3"/>
        <v>557124.15826580231</v>
      </c>
      <c r="W26" s="551"/>
      <c r="X26" s="551"/>
      <c r="Z26" s="483">
        <f>DATI!E61/2*1.2</f>
        <v>1.5</v>
      </c>
      <c r="AA26" s="483">
        <f>sezione!AI20/1000</f>
        <v>0.06</v>
      </c>
      <c r="AC26" s="578">
        <f>Z26</f>
        <v>1.5</v>
      </c>
      <c r="AD26" s="578">
        <f>Z26</f>
        <v>1.5</v>
      </c>
      <c r="AH26" s="1030"/>
      <c r="AI26" s="1032"/>
      <c r="AJ26" s="1025"/>
      <c r="AK26" s="1025"/>
      <c r="AL26" s="1025"/>
      <c r="AM26" s="1025"/>
      <c r="AN26" s="1030"/>
      <c r="AO26" s="1030"/>
      <c r="AP26" s="1030"/>
      <c r="AQ26" s="515" t="s">
        <v>961</v>
      </c>
    </row>
    <row r="27" spans="1:48" x14ac:dyDescent="0.25">
      <c r="A27" s="545">
        <f t="shared" si="2"/>
        <v>550950.0956940921</v>
      </c>
      <c r="B27" s="3">
        <f t="shared" si="4"/>
        <v>1.1000000000000003</v>
      </c>
      <c r="C27" s="41">
        <f>'Foglio deposito bis'!$E$153/$B$247*B27</f>
        <v>3.5653562374366627</v>
      </c>
      <c r="D27" s="603">
        <f>-'Sollecitazioni nel paramento'!$G$47*'Sollecitazioni nel paramento'!$G$41*IF(DATI!$G$211="dx",DATI!$E$61,DATI!$E$64*DATI!$E$63)*1000*C27^2*sezione!$AD$5*(1-sezione!$AD$6)</f>
        <v>-282819.58716476953</v>
      </c>
      <c r="E27" s="545">
        <f>-'Foglio deposito bis'!$F$48*(C27-sezione!$AL$27)*IF(ABS(K27)&lt;'Sollecitazioni nel paramento'!$G$58,ABS(K27)*'Sollecitazioni nel paramento'!$G$54,'Sollecitazioni nel paramento'!$G$53)</f>
        <v>0</v>
      </c>
      <c r="F27" s="545">
        <f>-'Foglio deposito bis'!$F$49*(C27-sezione!$AM$27)*IF(ABS(L27)&lt;'Sollecitazioni nel paramento'!$G$58,ABS(L27)*'Sollecitazioni nel paramento'!$G$54,'Sollecitazioni nel paramento'!$G$53)</f>
        <v>11562695.364288656</v>
      </c>
      <c r="G27" s="545">
        <f>-'Foglio deposito bis'!$F$50*(C27-sezione!$AN$27)*IF(ABS(M27)&lt;'Sollecitazioni nel paramento'!$G$58,ABS(M27)*'Sollecitazioni nel paramento'!$G$54,'Sollecitazioni nel paramento'!$G$53)</f>
        <v>0</v>
      </c>
      <c r="H27" s="545">
        <f>-'Foglio deposito bis'!$F$51*(C27-sezione!$AO$27)*IF(ABS(N27)&lt;'Sollecitazioni nel paramento'!$G$58,ABS(N27)*'Sollecitazioni nel paramento'!$G$54,'Sollecitazioni nel paramento'!$G$53)</f>
        <v>37692379.49158778</v>
      </c>
      <c r="I27" s="472">
        <f>-'Foglio deposito bis'!$F$52*(C27-sezione!$AP$27)*IF(ABS(O27)&lt;'Sollecitazioni nel paramento'!$G$58,ABS(O27)*'Sollecitazioni nel paramento'!$G$54,'Sollecitazioni nel paramento'!$G$53)</f>
        <v>47216299.283198699</v>
      </c>
      <c r="J27" s="472">
        <f t="shared" si="0"/>
        <v>96188554.551910371</v>
      </c>
      <c r="K27" s="550">
        <f>'Sollecitazioni nel paramento'!$G$60*(sezione!$AL$27-C27)/C27</f>
        <v>3.5766763452690489E-2</v>
      </c>
      <c r="L27" s="550">
        <f>'Sollecitazioni nel paramento'!$G$60*(sezione!$AM$27-C27)/C27</f>
        <v>5.5400145179035729E-2</v>
      </c>
      <c r="M27" s="551">
        <f>'Sollecitazioni nel paramento'!$G$60*(sezione!$AN$27-C27)/C27</f>
        <v>7.5033526905380968E-2</v>
      </c>
      <c r="N27" s="551">
        <f>'Sollecitazioni nel paramento'!$G$60*(sezione!$AO$27-C27)/C27</f>
        <v>0.15356705381076191</v>
      </c>
      <c r="O27" s="551">
        <f>'Sollecitazioni nel paramento'!$G$60*(sezione!$AP$27-C27)/C27</f>
        <v>0.19236960018367291</v>
      </c>
      <c r="P27" s="545">
        <f>-'Sollecitazioni nel paramento'!$G$47*'Sollecitazioni nel paramento'!$G$41*IF(DATI!$G$211="dx",DATI!$E$61,DATI!$E$64*DATI!$E$63)*1000*C27*sezione!$AD$5</f>
        <v>-135829.3765776245</v>
      </c>
      <c r="Q27" s="545">
        <f>'Foglio deposito bis'!$F$48*IF(ABS(K27)&lt;'Sollecitazioni nel paramento'!$G$58,ABS(K27)*'Sollecitazioni nel paramento'!$G$54,'Sollecitazioni nel paramento'!$G$53)*IF(K27&lt;0,-1,1)</f>
        <v>0</v>
      </c>
      <c r="R27" s="545">
        <f>'Foglio deposito bis'!$F$49*IF(ABS(L27)&lt;'Sollecitazioni nel paramento'!$G$58,ABS(L27)*'Sollecitazioni nel paramento'!$G$54,'Sollecitazioni nel paramento'!$G$53)*IF(L27&lt;0,-1,1)</f>
        <v>204886.47740803001</v>
      </c>
      <c r="S27" s="545">
        <f>'Foglio deposito bis'!$F$50*IF(ABS(M27)&lt;'Sollecitazioni nel paramento'!$G$58,ABS(M27)*'Sollecitazioni nel paramento'!$G$54,'Sollecitazioni nel paramento'!$G$53)*IF(M27&lt;0,-1,1)</f>
        <v>0</v>
      </c>
      <c r="T27" s="545">
        <f>'Foglio deposito bis'!$F$51*IF(ABS(N27)&lt;'Sollecitazioni nel paramento'!$G$58,ABS(N27)*'Sollecitazioni nel paramento'!$G$54,'Sollecitazioni nel paramento'!$G$53)*IF(N27&lt;0,-1,1)</f>
        <v>240946.49743184328</v>
      </c>
      <c r="U27" s="545">
        <f>'Foglio deposito bis'!$F$52*IF(ABS(O27)&lt;'Sollecitazioni nel paramento'!$G$58,ABS(O27)*'Sollecitazioni nel paramento'!$G$54,'Sollecitazioni nel paramento'!$G$53)*IF(O27&lt;0,-1,1)</f>
        <v>240946.49743184328</v>
      </c>
      <c r="V27" s="472">
        <f t="shared" si="3"/>
        <v>550950.0956940921</v>
      </c>
      <c r="W27" s="551"/>
      <c r="X27" s="551"/>
      <c r="Z27" s="483">
        <f>-DATI!E61/2</f>
        <v>-1.25</v>
      </c>
      <c r="AA27" s="483">
        <f>AA26</f>
        <v>0.06</v>
      </c>
      <c r="AC27" s="578">
        <f>-DATI!H61/2</f>
        <v>0</v>
      </c>
      <c r="AD27" s="578">
        <f>AD26</f>
        <v>1.5</v>
      </c>
      <c r="AH27" s="568">
        <v>0</v>
      </c>
      <c r="AI27" s="524">
        <f>'Foglio deposito bis'!C153</f>
        <v>4.5320615922608809</v>
      </c>
      <c r="AJ27" s="548">
        <f>'Foglio deposito bis'!D153</f>
        <v>17.826781187183276</v>
      </c>
      <c r="AK27" s="548">
        <f>sezione!AI7</f>
        <v>239.52711449688101</v>
      </c>
      <c r="AL27" s="583">
        <f>IF(DATI!$G$211="sx",IF('Foglio deposito bis'!$F100&lt;=0,sezione!AJ7,sezione!AR7),IF('Foglio deposito bis'!$F100&lt;=0,sezione!AR7,sezione!AJ7))</f>
        <v>40</v>
      </c>
      <c r="AM27" s="583">
        <f>IF(DATI!$G$211="sx",IF('Foglio deposito bis'!$F100&lt;=0,sezione!AK7,sezione!AS7),IF('Foglio deposito bis'!$F100&lt;=0,sezione!AS7,sezione!AK7))</f>
        <v>60</v>
      </c>
      <c r="AN27" s="583">
        <f>IF(DATI!$G$211="sx",IF('Foglio deposito bis'!$F100&lt;=0,sezione!AL7,sezione!AT7),IF('Foglio deposito bis'!$F100&lt;=0,sezione!AT7,sezione!AL7))</f>
        <v>80</v>
      </c>
      <c r="AO27" s="583">
        <f>IF(DATI!$G$211="sx",IF('Foglio deposito bis'!$F100&lt;=0,sezione!AM7,sezione!AU7),IF('Foglio deposito bis'!$F100&lt;=0,sezione!AU7,sezione!AM7))</f>
        <v>160</v>
      </c>
      <c r="AP27" s="583">
        <f>IF(DATI!$G$211="sx",IF('Foglio deposito bis'!$F100&lt;=0,sezione!AN7,sezione!AV7),IF('Foglio deposito bis'!$F100&lt;=0,sezione!AV7,sezione!AN7))</f>
        <v>199.52711449688101</v>
      </c>
      <c r="AQ27" s="570">
        <f>IF(DATI!$C$69="muro a contrafforti",VLOOKUP(sezione!AG47,'SOLLECITAZ NASCOSTO'!$C$23:$M$468,3,TRUE)*1000,"")</f>
        <v>119.52711449688103</v>
      </c>
    </row>
    <row r="28" spans="1:48" x14ac:dyDescent="0.25">
      <c r="A28" s="545">
        <f t="shared" si="2"/>
        <v>544776.03312238189</v>
      </c>
      <c r="B28" s="3">
        <f t="shared" si="4"/>
        <v>1.1500000000000004</v>
      </c>
      <c r="C28" s="41">
        <f>'Foglio deposito bis'!$E$153/$B$247*B28</f>
        <v>3.7274178845928749</v>
      </c>
      <c r="D28" s="603">
        <f>-'Sollecitazioni nel paramento'!$G$47*'Sollecitazioni nel paramento'!$G$41*IF(DATI!$G$211="dx",DATI!$E$61,DATI!$E$64*DATI!$E$63)*1000*C28^2*sezione!$AD$5*(1-sezione!$AD$6)</f>
        <v>-309114.79671521299</v>
      </c>
      <c r="E28" s="545">
        <f>-'Foglio deposito bis'!$F$48*(C28-sezione!$AL$27)*IF(ABS(K28)&lt;'Sollecitazioni nel paramento'!$G$58,ABS(K28)*'Sollecitazioni nel paramento'!$G$54,'Sollecitazioni nel paramento'!$G$53)</f>
        <v>0</v>
      </c>
      <c r="F28" s="545">
        <f>-'Foglio deposito bis'!$F$49*(C28-sezione!$AM$27)*IF(ABS(L28)&lt;'Sollecitazioni nel paramento'!$G$58,ABS(L28)*'Sollecitazioni nel paramento'!$G$54,'Sollecitazioni nel paramento'!$G$53)</f>
        <v>11529491.124279875</v>
      </c>
      <c r="G28" s="545">
        <f>-'Foglio deposito bis'!$F$50*(C28-sezione!$AN$27)*IF(ABS(M28)&lt;'Sollecitazioni nel paramento'!$G$58,ABS(M28)*'Sollecitazioni nel paramento'!$G$54,'Sollecitazioni nel paramento'!$G$53)</f>
        <v>0</v>
      </c>
      <c r="H28" s="545">
        <f>-'Foglio deposito bis'!$F$51*(C28-sezione!$AO$27)*IF(ABS(N28)&lt;'Sollecitazioni nel paramento'!$G$58,ABS(N28)*'Sollecitazioni nel paramento'!$G$54,'Sollecitazioni nel paramento'!$G$53)</f>
        <v>37653331.305337459</v>
      </c>
      <c r="I28" s="472">
        <f>-'Foglio deposito bis'!$F$52*(C28-sezione!$AP$27)*IF(ABS(O28)&lt;'Sollecitazioni nel paramento'!$G$58,ABS(O28)*'Sollecitazioni nel paramento'!$G$54,'Sollecitazioni nel paramento'!$G$53)</f>
        <v>47177251.09694837</v>
      </c>
      <c r="J28" s="472">
        <f t="shared" si="0"/>
        <v>96050958.729850501</v>
      </c>
      <c r="K28" s="550">
        <f>'Sollecitazioni nel paramento'!$G$60*(sezione!$AL$27-C28)/C28</f>
        <v>3.4059512867790895E-2</v>
      </c>
      <c r="L28" s="550">
        <f>'Sollecitazioni nel paramento'!$G$60*(sezione!$AM$27-C28)/C28</f>
        <v>5.2839269301686344E-2</v>
      </c>
      <c r="M28" s="551">
        <f>'Sollecitazioni nel paramento'!$G$60*(sezione!$AN$27-C28)/C28</f>
        <v>7.1619025735581779E-2</v>
      </c>
      <c r="N28" s="551">
        <f>'Sollecitazioni nel paramento'!$G$60*(sezione!$AO$27-C28)/C28</f>
        <v>0.14673805147116356</v>
      </c>
      <c r="O28" s="551">
        <f>'Sollecitazioni nel paramento'!$G$60*(sezione!$AP$27-C28)/C28</f>
        <v>0.18385353061046972</v>
      </c>
      <c r="P28" s="545">
        <f>-'Sollecitazioni nel paramento'!$G$47*'Sollecitazioni nel paramento'!$G$41*IF(DATI!$G$211="dx",DATI!$E$61,DATI!$E$64*DATI!$E$63)*1000*C28*sezione!$AD$5</f>
        <v>-142003.43914933474</v>
      </c>
      <c r="Q28" s="545">
        <f>'Foglio deposito bis'!$F$48*IF(ABS(K28)&lt;'Sollecitazioni nel paramento'!$G$58,ABS(K28)*'Sollecitazioni nel paramento'!$G$54,'Sollecitazioni nel paramento'!$G$53)*IF(K28&lt;0,-1,1)</f>
        <v>0</v>
      </c>
      <c r="R28" s="545">
        <f>'Foglio deposito bis'!$F$49*IF(ABS(L28)&lt;'Sollecitazioni nel paramento'!$G$58,ABS(L28)*'Sollecitazioni nel paramento'!$G$54,'Sollecitazioni nel paramento'!$G$53)*IF(L28&lt;0,-1,1)</f>
        <v>204886.47740803001</v>
      </c>
      <c r="S28" s="545">
        <f>'Foglio deposito bis'!$F$50*IF(ABS(M28)&lt;'Sollecitazioni nel paramento'!$G$58,ABS(M28)*'Sollecitazioni nel paramento'!$G$54,'Sollecitazioni nel paramento'!$G$53)*IF(M28&lt;0,-1,1)</f>
        <v>0</v>
      </c>
      <c r="T28" s="545">
        <f>'Foglio deposito bis'!$F$51*IF(ABS(N28)&lt;'Sollecitazioni nel paramento'!$G$58,ABS(N28)*'Sollecitazioni nel paramento'!$G$54,'Sollecitazioni nel paramento'!$G$53)*IF(N28&lt;0,-1,1)</f>
        <v>240946.49743184328</v>
      </c>
      <c r="U28" s="545">
        <f>'Foglio deposito bis'!$F$52*IF(ABS(O28)&lt;'Sollecitazioni nel paramento'!$G$58,ABS(O28)*'Sollecitazioni nel paramento'!$G$54,'Sollecitazioni nel paramento'!$G$53)*IF(O28&lt;0,-1,1)</f>
        <v>240946.49743184328</v>
      </c>
      <c r="V28" s="472">
        <f>P28+Q28+R28+S28+T28+U28</f>
        <v>544776.03312238189</v>
      </c>
      <c r="W28" s="551"/>
      <c r="X28" s="551"/>
      <c r="Z28" s="41"/>
      <c r="AA28" s="41"/>
      <c r="AC28" s="41"/>
      <c r="AD28" s="41"/>
      <c r="AH28" s="568">
        <f t="shared" ref="AH28:AH37" si="7">AH27+1</f>
        <v>1</v>
      </c>
      <c r="AI28" s="524">
        <f>'Foglio deposito bis'!C154</f>
        <v>4.3783988626078694</v>
      </c>
      <c r="AJ28" s="548">
        <f>'Foglio deposito bis'!D154</f>
        <v>18.112522577069882</v>
      </c>
      <c r="AK28" s="548">
        <f>sezione!AI8</f>
        <v>300.78998167313836</v>
      </c>
      <c r="AL28" s="583">
        <f>IF(DATI!$G$211="sx",IF('Foglio deposito bis'!$F101&lt;=0,sezione!AJ8,sezione!AR8),IF('Foglio deposito bis'!$F101&lt;=0,sezione!AR8,sezione!AJ8))</f>
        <v>40</v>
      </c>
      <c r="AM28" s="583">
        <f>IF(DATI!$G$211="sx",IF('Foglio deposito bis'!$F101&lt;=0,sezione!AK8,sezione!AS8),IF('Foglio deposito bis'!$F101&lt;=0,sezione!AS8,sezione!AK8))</f>
        <v>60</v>
      </c>
      <c r="AN28" s="583">
        <f>IF(DATI!$G$211="sx",IF('Foglio deposito bis'!$F101&lt;=0,sezione!AL8,sezione!AT8),IF('Foglio deposito bis'!$F101&lt;=0,sezione!AT8,sezione!AL8))</f>
        <v>80</v>
      </c>
      <c r="AO28" s="583">
        <f>IF(DATI!$G$211="sx",IF('Foglio deposito bis'!$F101&lt;=0,sezione!AM8,sezione!AU8),IF('Foglio deposito bis'!$F101&lt;=0,sezione!AU8,sezione!AM8))</f>
        <v>160</v>
      </c>
      <c r="AP28" s="583">
        <f>IF(DATI!$G$211="sx",IF('Foglio deposito bis'!$F101&lt;=0,sezione!AN8,sezione!AV8),IF('Foglio deposito bis'!$F101&lt;=0,sezione!AV8,sezione!AN8))</f>
        <v>260.78998167313836</v>
      </c>
      <c r="AQ28" s="570">
        <f>IF(DATI!$C$69="muro a contrafforti",VLOOKUP(sezione!AG48,'SOLLECITAZ NASCOSTO'!$C$23:$M$468,3,TRUE)*1000,"")</f>
        <v>180.78998167313836</v>
      </c>
    </row>
    <row r="29" spans="1:48" x14ac:dyDescent="0.25">
      <c r="A29" s="545">
        <f t="shared" si="2"/>
        <v>538601.97055067169</v>
      </c>
      <c r="B29" s="3">
        <f t="shared" si="4"/>
        <v>1.2000000000000004</v>
      </c>
      <c r="C29" s="41">
        <f>'Foglio deposito bis'!$E$153/$B$247*B29</f>
        <v>3.8894795317490867</v>
      </c>
      <c r="D29" s="603">
        <f>-'Sollecitazioni nel paramento'!$G$47*'Sollecitazioni nel paramento'!$G$41*IF(DATI!$G$211="dx",DATI!$E$61,DATI!$E$64*DATI!$E$63)*1000*C29^2*sezione!$AD$5*(1-sezione!$AD$6)</f>
        <v>-336578.68224567611</v>
      </c>
      <c r="E29" s="545">
        <f>-'Foglio deposito bis'!$F$48*(C29-sezione!$AL$27)*IF(ABS(K29)&lt;'Sollecitazioni nel paramento'!$G$58,ABS(K29)*'Sollecitazioni nel paramento'!$G$54,'Sollecitazioni nel paramento'!$G$53)</f>
        <v>0</v>
      </c>
      <c r="F29" s="545">
        <f>-'Foglio deposito bis'!$F$49*(C29-sezione!$AM$27)*IF(ABS(L29)&lt;'Sollecitazioni nel paramento'!$G$58,ABS(L29)*'Sollecitazioni nel paramento'!$G$54,'Sollecitazioni nel paramento'!$G$53)</f>
        <v>11496286.884271095</v>
      </c>
      <c r="G29" s="545">
        <f>-'Foglio deposito bis'!$F$50*(C29-sezione!$AN$27)*IF(ABS(M29)&lt;'Sollecitazioni nel paramento'!$G$58,ABS(M29)*'Sollecitazioni nel paramento'!$G$54,'Sollecitazioni nel paramento'!$G$53)</f>
        <v>0</v>
      </c>
      <c r="H29" s="545">
        <f>-'Foglio deposito bis'!$F$51*(C29-sezione!$AO$27)*IF(ABS(N29)&lt;'Sollecitazioni nel paramento'!$G$58,ABS(N29)*'Sollecitazioni nel paramento'!$G$54,'Sollecitazioni nel paramento'!$G$53)</f>
        <v>37614283.119087137</v>
      </c>
      <c r="I29" s="472">
        <f>-'Foglio deposito bis'!$F$52*(C29-sezione!$AP$27)*IF(ABS(O29)&lt;'Sollecitazioni nel paramento'!$G$58,ABS(O29)*'Sollecitazioni nel paramento'!$G$54,'Sollecitazioni nel paramento'!$G$53)</f>
        <v>47138202.910698056</v>
      </c>
      <c r="J29" s="472">
        <f t="shared" si="0"/>
        <v>95912194.231810614</v>
      </c>
      <c r="K29" s="550">
        <f>'Sollecitazioni nel paramento'!$G$60*(sezione!$AL$27-C29)/C29</f>
        <v>3.2494533164966269E-2</v>
      </c>
      <c r="L29" s="550">
        <f>'Sollecitazioni nel paramento'!$G$60*(sezione!$AM$27-C29)/C29</f>
        <v>5.0491799747449412E-2</v>
      </c>
      <c r="M29" s="551">
        <f>'Sollecitazioni nel paramento'!$G$60*(sezione!$AN$27-C29)/C29</f>
        <v>6.8489066329932541E-2</v>
      </c>
      <c r="N29" s="551">
        <f>'Sollecitazioni nel paramento'!$G$60*(sezione!$AO$27-C29)/C29</f>
        <v>0.14047813265986511</v>
      </c>
      <c r="O29" s="551">
        <f>'Sollecitazioni nel paramento'!$G$60*(sezione!$AP$27-C29)/C29</f>
        <v>0.17604713350170018</v>
      </c>
      <c r="P29" s="545">
        <f>-'Sollecitazioni nel paramento'!$G$47*'Sollecitazioni nel paramento'!$G$41*IF(DATI!$G$211="dx",DATI!$E$61,DATI!$E$64*DATI!$E$63)*1000*C29*sezione!$AD$5</f>
        <v>-148177.50172104492</v>
      </c>
      <c r="Q29" s="545">
        <f>'Foglio deposito bis'!$F$48*IF(ABS(K29)&lt;'Sollecitazioni nel paramento'!$G$58,ABS(K29)*'Sollecitazioni nel paramento'!$G$54,'Sollecitazioni nel paramento'!$G$53)*IF(K29&lt;0,-1,1)</f>
        <v>0</v>
      </c>
      <c r="R29" s="545">
        <f>'Foglio deposito bis'!$F$49*IF(ABS(L29)&lt;'Sollecitazioni nel paramento'!$G$58,ABS(L29)*'Sollecitazioni nel paramento'!$G$54,'Sollecitazioni nel paramento'!$G$53)*IF(L29&lt;0,-1,1)</f>
        <v>204886.47740803001</v>
      </c>
      <c r="S29" s="545">
        <f>'Foglio deposito bis'!$F$50*IF(ABS(M29)&lt;'Sollecitazioni nel paramento'!$G$58,ABS(M29)*'Sollecitazioni nel paramento'!$G$54,'Sollecitazioni nel paramento'!$G$53)*IF(M29&lt;0,-1,1)</f>
        <v>0</v>
      </c>
      <c r="T29" s="545">
        <f>'Foglio deposito bis'!$F$51*IF(ABS(N29)&lt;'Sollecitazioni nel paramento'!$G$58,ABS(N29)*'Sollecitazioni nel paramento'!$G$54,'Sollecitazioni nel paramento'!$G$53)*IF(N29&lt;0,-1,1)</f>
        <v>240946.49743184328</v>
      </c>
      <c r="U29" s="545">
        <f>'Foglio deposito bis'!$F$52*IF(ABS(O29)&lt;'Sollecitazioni nel paramento'!$G$58,ABS(O29)*'Sollecitazioni nel paramento'!$G$54,'Sollecitazioni nel paramento'!$G$53)*IF(O29&lt;0,-1,1)</f>
        <v>240946.49743184328</v>
      </c>
      <c r="V29" s="472">
        <f t="shared" si="3"/>
        <v>538601.97055067169</v>
      </c>
      <c r="W29" s="551"/>
      <c r="X29" s="551"/>
      <c r="Z29" s="1040" t="s">
        <v>971</v>
      </c>
      <c r="AA29" s="1040"/>
      <c r="AC29" s="1040" t="s">
        <v>971</v>
      </c>
      <c r="AD29" s="1040"/>
      <c r="AH29" s="568">
        <f t="shared" si="7"/>
        <v>2</v>
      </c>
      <c r="AI29" s="524">
        <f>'Foglio deposito bis'!C155</f>
        <v>3.9535180883334116</v>
      </c>
      <c r="AJ29" s="548">
        <f>'Foglio deposito bis'!D155</f>
        <v>18.127138575680153</v>
      </c>
      <c r="AK29" s="548">
        <f>sezione!AI9</f>
        <v>362.05284884939573</v>
      </c>
      <c r="AL29" s="583">
        <f>IF(DATI!$G$211="sx",IF('Foglio deposito bis'!$F102&lt;=0,sezione!AJ9,sezione!AR9),IF('Foglio deposito bis'!$F102&lt;=0,sezione!AR9,sezione!AJ9))</f>
        <v>40</v>
      </c>
      <c r="AM29" s="583">
        <f>IF(DATI!$G$211="sx",IF('Foglio deposito bis'!$F102&lt;=0,sezione!AK9,sezione!AS9),IF('Foglio deposito bis'!$F102&lt;=0,sezione!AS9,sezione!AK9))</f>
        <v>60</v>
      </c>
      <c r="AN29" s="583">
        <f>IF(DATI!$G$211="sx",IF('Foglio deposito bis'!$F102&lt;=0,sezione!AL9,sezione!AT9),IF('Foglio deposito bis'!$F102&lt;=0,sezione!AT9,sezione!AL9))</f>
        <v>80</v>
      </c>
      <c r="AO29" s="583">
        <f>IF(DATI!$G$211="sx",IF('Foglio deposito bis'!$F102&lt;=0,sezione!AM9,sezione!AU9),IF('Foglio deposito bis'!$F102&lt;=0,sezione!AU9,sezione!AM9))</f>
        <v>160</v>
      </c>
      <c r="AP29" s="583">
        <f>IF(DATI!$G$211="sx",IF('Foglio deposito bis'!$F102&lt;=0,sezione!AN9,sezione!AV9),IF('Foglio deposito bis'!$F102&lt;=0,sezione!AV9,sezione!AN9))</f>
        <v>322.05284884939573</v>
      </c>
      <c r="AQ29" s="570">
        <f>IF(DATI!$C$69="muro a contrafforti",VLOOKUP(sezione!AG49,'SOLLECITAZ NASCOSTO'!$C$23:$M$468,3,TRUE)*1000,"")</f>
        <v>242.0528488493957</v>
      </c>
    </row>
    <row r="30" spans="1:48" x14ac:dyDescent="0.25">
      <c r="A30" s="545">
        <f t="shared" si="2"/>
        <v>532427.90797896148</v>
      </c>
      <c r="B30" s="3">
        <f t="shared" si="4"/>
        <v>1.2500000000000004</v>
      </c>
      <c r="C30" s="545">
        <f>'Foglio deposito bis'!$E$153/$B$247*B30</f>
        <v>4.0515411789052989</v>
      </c>
      <c r="D30" s="603">
        <f>-'Sollecitazioni nel paramento'!$G$47*'Sollecitazioni nel paramento'!$G$41*IF(DATI!$G$211="dx",DATI!$E$61,DATI!$E$64*DATI!$E$63)*1000*C30^2*sezione!$AD$5*(1-sezione!$AD$6)</f>
        <v>-365211.24375615903</v>
      </c>
      <c r="E30" s="545">
        <f>-'Foglio deposito bis'!$F$48*(C30-sezione!$AL$27)*IF(ABS(K30)&lt;'Sollecitazioni nel paramento'!$G$58,ABS(K30)*'Sollecitazioni nel paramento'!$G$54,'Sollecitazioni nel paramento'!$G$53)</f>
        <v>0</v>
      </c>
      <c r="F30" s="545">
        <f>-'Foglio deposito bis'!$F$49*(C30-sezione!$AM$27)*IF(ABS(L30)&lt;'Sollecitazioni nel paramento'!$G$58,ABS(L30)*'Sollecitazioni nel paramento'!$G$54,'Sollecitazioni nel paramento'!$G$53)</f>
        <v>11463082.644262318</v>
      </c>
      <c r="G30" s="545">
        <f>-'Foglio deposito bis'!$F$50*(C30-sezione!$AN$27)*IF(ABS(M30)&lt;'Sollecitazioni nel paramento'!$G$58,ABS(M30)*'Sollecitazioni nel paramento'!$G$54,'Sollecitazioni nel paramento'!$G$53)</f>
        <v>0</v>
      </c>
      <c r="H30" s="545">
        <f>-'Foglio deposito bis'!$F$51*(C30-sezione!$AO$27)*IF(ABS(N30)&lt;'Sollecitazioni nel paramento'!$G$58,ABS(N30)*'Sollecitazioni nel paramento'!$G$54,'Sollecitazioni nel paramento'!$G$53)</f>
        <v>37575234.932836816</v>
      </c>
      <c r="I30" s="472">
        <f>-'Foglio deposito bis'!$F$52*(C30-sezione!$AP$27)*IF(ABS(O30)&lt;'Sollecitazioni nel paramento'!$G$58,ABS(O30)*'Sollecitazioni nel paramento'!$G$54,'Sollecitazioni nel paramento'!$G$53)</f>
        <v>47099154.724447727</v>
      </c>
      <c r="J30" s="472">
        <f t="shared" si="0"/>
        <v>95772261.057790697</v>
      </c>
      <c r="K30" s="550">
        <f>'Sollecitazioni nel paramento'!$G$60*(sezione!$AL$27-C30)/C30</f>
        <v>3.1054751838367624E-2</v>
      </c>
      <c r="L30" s="550">
        <f>'Sollecitazioni nel paramento'!$G$60*(sezione!$AM$27-C30)/C30</f>
        <v>4.8332127757551434E-2</v>
      </c>
      <c r="M30" s="551">
        <f>'Sollecitazioni nel paramento'!$G$60*(sezione!$AN$27-C30)/C30</f>
        <v>6.5609503676735251E-2</v>
      </c>
      <c r="N30" s="551">
        <f>'Sollecitazioni nel paramento'!$G$60*(sezione!$AO$27-C30)/C30</f>
        <v>0.1347190073534705</v>
      </c>
      <c r="O30" s="551">
        <f>'Sollecitazioni nel paramento'!$G$60*(sezione!$AP$27-C30)/C30</f>
        <v>0.16886524816163218</v>
      </c>
      <c r="P30" s="545">
        <f>-'Sollecitazioni nel paramento'!$G$47*'Sollecitazioni nel paramento'!$G$41*IF(DATI!$G$211="dx",DATI!$E$61,DATI!$E$64*DATI!$E$63)*1000*C30*sezione!$AD$5</f>
        <v>-154351.56429275515</v>
      </c>
      <c r="Q30" s="545">
        <f>'Foglio deposito bis'!$F$48*IF(ABS(K30)&lt;'Sollecitazioni nel paramento'!$G$58,ABS(K30)*'Sollecitazioni nel paramento'!$G$54,'Sollecitazioni nel paramento'!$G$53)*IF(K30&lt;0,-1,1)</f>
        <v>0</v>
      </c>
      <c r="R30" s="545">
        <f>'Foglio deposito bis'!$F$49*IF(ABS(L30)&lt;'Sollecitazioni nel paramento'!$G$58,ABS(L30)*'Sollecitazioni nel paramento'!$G$54,'Sollecitazioni nel paramento'!$G$53)*IF(L30&lt;0,-1,1)</f>
        <v>204886.47740803001</v>
      </c>
      <c r="S30" s="545">
        <f>'Foglio deposito bis'!$F$50*IF(ABS(M30)&lt;'Sollecitazioni nel paramento'!$G$58,ABS(M30)*'Sollecitazioni nel paramento'!$G$54,'Sollecitazioni nel paramento'!$G$53)*IF(M30&lt;0,-1,1)</f>
        <v>0</v>
      </c>
      <c r="T30" s="545">
        <f>'Foglio deposito bis'!$F$51*IF(ABS(N30)&lt;'Sollecitazioni nel paramento'!$G$58,ABS(N30)*'Sollecitazioni nel paramento'!$G$54,'Sollecitazioni nel paramento'!$G$53)*IF(N30&lt;0,-1,1)</f>
        <v>240946.49743184328</v>
      </c>
      <c r="U30" s="545">
        <f>'Foglio deposito bis'!$F$52*IF(ABS(O30)&lt;'Sollecitazioni nel paramento'!$G$58,ABS(O30)*'Sollecitazioni nel paramento'!$G$54,'Sollecitazioni nel paramento'!$G$53)*IF(O30&lt;0,-1,1)</f>
        <v>240946.49743184328</v>
      </c>
      <c r="V30" s="472">
        <f t="shared" si="3"/>
        <v>532427.90797896148</v>
      </c>
      <c r="W30" s="551"/>
      <c r="X30" s="551"/>
      <c r="Z30" s="483">
        <f>DATI!E61/2*1.2</f>
        <v>1.5</v>
      </c>
      <c r="AA30" s="483">
        <f>sezione!AJ20/1000</f>
        <v>0.08</v>
      </c>
      <c r="AC30" s="578">
        <f>Z30</f>
        <v>1.5</v>
      </c>
      <c r="AD30" s="578">
        <f>Z30</f>
        <v>1.5</v>
      </c>
      <c r="AH30" s="568">
        <f t="shared" si="7"/>
        <v>3</v>
      </c>
      <c r="AI30" s="524">
        <f>'Foglio deposito bis'!C156</f>
        <v>3.5177429352314036</v>
      </c>
      <c r="AJ30" s="548">
        <f>'Foglio deposito bis'!D156</f>
        <v>18.685809418331889</v>
      </c>
      <c r="AK30" s="548">
        <f>sezione!AI10</f>
        <v>424.88655877376215</v>
      </c>
      <c r="AL30" s="583">
        <f>IF(DATI!$G$211="sx",IF('Foglio deposito bis'!$F103&lt;=0,sezione!AJ10,sezione!AR10),IF('Foglio deposito bis'!$F103&lt;=0,sezione!AR10,sezione!AJ10))</f>
        <v>40</v>
      </c>
      <c r="AM30" s="583">
        <f>IF(DATI!$G$211="sx",IF('Foglio deposito bis'!$F103&lt;=0,sezione!AK10,sezione!AS10),IF('Foglio deposito bis'!$F103&lt;=0,sezione!AS10,sezione!AK10))</f>
        <v>60</v>
      </c>
      <c r="AN30" s="583">
        <f>IF(DATI!$G$211="sx",IF('Foglio deposito bis'!$F103&lt;=0,sezione!AL10,sezione!AT10),IF('Foglio deposito bis'!$F103&lt;=0,sezione!AT10,sezione!AL10))</f>
        <v>80</v>
      </c>
      <c r="AO30" s="583">
        <f>IF(DATI!$G$211="sx",IF('Foglio deposito bis'!$F103&lt;=0,sezione!AM10,sezione!AU10),IF('Foglio deposito bis'!$F103&lt;=0,sezione!AU10,sezione!AM10))</f>
        <v>160</v>
      </c>
      <c r="AP30" s="583">
        <f>IF(DATI!$G$211="sx",IF('Foglio deposito bis'!$F103&lt;=0,sezione!AN10,sezione!AV10),IF('Foglio deposito bis'!$F103&lt;=0,sezione!AV10,sezione!AN10))</f>
        <v>384.88655877376215</v>
      </c>
      <c r="AQ30" s="570">
        <f>IF(DATI!$C$69="muro a contrafforti",VLOOKUP(sezione!AG50,'SOLLECITAZ NASCOSTO'!$C$23:$M$468,3,TRUE)*1000,"")</f>
        <v>304.88655877376215</v>
      </c>
    </row>
    <row r="31" spans="1:48" x14ac:dyDescent="0.25">
      <c r="A31" s="545">
        <f t="shared" si="2"/>
        <v>526253.84540725127</v>
      </c>
      <c r="B31" s="3">
        <f t="shared" si="4"/>
        <v>1.3000000000000005</v>
      </c>
      <c r="C31" s="545">
        <f>'Foglio deposito bis'!$E$153/$B$247*B31</f>
        <v>4.2136028260615106</v>
      </c>
      <c r="D31" s="603">
        <f>-'Sollecitazioni nel paramento'!$G$47*'Sollecitazioni nel paramento'!$G$41*IF(DATI!$G$211="dx",DATI!$E$61,DATI!$E$64*DATI!$E$63)*1000*C31^2*sezione!$AD$5*(1-sezione!$AD$6)</f>
        <v>-395012.48124666157</v>
      </c>
      <c r="E31" s="545">
        <f>-'Foglio deposito bis'!$F$48*(C31-sezione!$AL$27)*IF(ABS(K31)&lt;'Sollecitazioni nel paramento'!$G$58,ABS(K31)*'Sollecitazioni nel paramento'!$G$54,'Sollecitazioni nel paramento'!$G$53)</f>
        <v>0</v>
      </c>
      <c r="F31" s="545">
        <f>-'Foglio deposito bis'!$F$49*(C31-sezione!$AM$27)*IF(ABS(L31)&lt;'Sollecitazioni nel paramento'!$G$58,ABS(L31)*'Sollecitazioni nel paramento'!$G$54,'Sollecitazioni nel paramento'!$G$53)</f>
        <v>11429878.404253537</v>
      </c>
      <c r="G31" s="545">
        <f>-'Foglio deposito bis'!$F$50*(C31-sezione!$AN$27)*IF(ABS(M31)&lt;'Sollecitazioni nel paramento'!$G$58,ABS(M31)*'Sollecitazioni nel paramento'!$G$54,'Sollecitazioni nel paramento'!$G$53)</f>
        <v>0</v>
      </c>
      <c r="H31" s="545">
        <f>-'Foglio deposito bis'!$F$51*(C31-sezione!$AO$27)*IF(ABS(N31)&lt;'Sollecitazioni nel paramento'!$G$58,ABS(N31)*'Sollecitazioni nel paramento'!$G$54,'Sollecitazioni nel paramento'!$G$53)</f>
        <v>37536186.746586487</v>
      </c>
      <c r="I31" s="472">
        <f>-'Foglio deposito bis'!$F$52*(C31-sezione!$AP$27)*IF(ABS(O31)&lt;'Sollecitazioni nel paramento'!$G$58,ABS(O31)*'Sollecitazioni nel paramento'!$G$54,'Sollecitazioni nel paramento'!$G$53)</f>
        <v>47060106.538197406</v>
      </c>
      <c r="J31" s="472">
        <f t="shared" si="0"/>
        <v>95631159.207790762</v>
      </c>
      <c r="K31" s="550">
        <f>'Sollecitazioni nel paramento'!$G$60*(sezione!$AL$27-C31)/C31</f>
        <v>2.9725722921507332E-2</v>
      </c>
      <c r="L31" s="550">
        <f>'Sollecitazioni nel paramento'!$G$60*(sezione!$AM$27-C31)/C31</f>
        <v>4.6338584382261003E-2</v>
      </c>
      <c r="M31" s="551">
        <f>'Sollecitazioni nel paramento'!$G$60*(sezione!$AN$27-C31)/C31</f>
        <v>6.2951445843014681E-2</v>
      </c>
      <c r="N31" s="551">
        <f>'Sollecitazioni nel paramento'!$G$60*(sezione!$AO$27-C31)/C31</f>
        <v>0.12940289168602934</v>
      </c>
      <c r="O31" s="551">
        <f>'Sollecitazioni nel paramento'!$G$60*(sezione!$AP$27-C31)/C31</f>
        <v>0.16223581554003091</v>
      </c>
      <c r="P31" s="545">
        <f>-'Sollecitazioni nel paramento'!$G$47*'Sollecitazioni nel paramento'!$G$41*IF(DATI!$G$211="dx",DATI!$E$61,DATI!$E$64*DATI!$E$63)*1000*C31*sezione!$AD$5</f>
        <v>-160525.62686446533</v>
      </c>
      <c r="Q31" s="545">
        <f>'Foglio deposito bis'!$F$48*IF(ABS(K31)&lt;'Sollecitazioni nel paramento'!$G$58,ABS(K31)*'Sollecitazioni nel paramento'!$G$54,'Sollecitazioni nel paramento'!$G$53)*IF(K31&lt;0,-1,1)</f>
        <v>0</v>
      </c>
      <c r="R31" s="545">
        <f>'Foglio deposito bis'!$F$49*IF(ABS(L31)&lt;'Sollecitazioni nel paramento'!$G$58,ABS(L31)*'Sollecitazioni nel paramento'!$G$54,'Sollecitazioni nel paramento'!$G$53)*IF(L31&lt;0,-1,1)</f>
        <v>204886.47740803001</v>
      </c>
      <c r="S31" s="545">
        <f>'Foglio deposito bis'!$F$50*IF(ABS(M31)&lt;'Sollecitazioni nel paramento'!$G$58,ABS(M31)*'Sollecitazioni nel paramento'!$G$54,'Sollecitazioni nel paramento'!$G$53)*IF(M31&lt;0,-1,1)</f>
        <v>0</v>
      </c>
      <c r="T31" s="545">
        <f>'Foglio deposito bis'!$F$51*IF(ABS(N31)&lt;'Sollecitazioni nel paramento'!$G$58,ABS(N31)*'Sollecitazioni nel paramento'!$G$54,'Sollecitazioni nel paramento'!$G$53)*IF(N31&lt;0,-1,1)</f>
        <v>240946.49743184328</v>
      </c>
      <c r="U31" s="545">
        <f>'Foglio deposito bis'!$F$52*IF(ABS(O31)&lt;'Sollecitazioni nel paramento'!$G$58,ABS(O31)*'Sollecitazioni nel paramento'!$G$54,'Sollecitazioni nel paramento'!$G$53)*IF(O31&lt;0,-1,1)</f>
        <v>240946.49743184328</v>
      </c>
      <c r="V31" s="472">
        <f t="shared" si="3"/>
        <v>526253.84540725127</v>
      </c>
      <c r="W31" s="551"/>
      <c r="X31" s="551"/>
      <c r="Z31" s="483">
        <f>-DATI!E61/2</f>
        <v>-1.25</v>
      </c>
      <c r="AA31" s="483">
        <f>AA30</f>
        <v>0.08</v>
      </c>
      <c r="AC31" s="578">
        <f>-DATI!H61/2</f>
        <v>0</v>
      </c>
      <c r="AD31" s="578">
        <f>AD30</f>
        <v>1.5</v>
      </c>
      <c r="AH31" s="568">
        <f t="shared" si="7"/>
        <v>4</v>
      </c>
      <c r="AI31" s="524">
        <f>'Foglio deposito bis'!C157</f>
        <v>3.0928621609569462</v>
      </c>
      <c r="AJ31" s="548">
        <f>'Foglio deposito bis'!D157</f>
        <v>18.748658510927676</v>
      </c>
      <c r="AK31" s="548">
        <f>sezione!AI11</f>
        <v>486.14942595001941</v>
      </c>
      <c r="AL31" s="583">
        <f>IF(DATI!$G$211="sx",IF('Foglio deposito bis'!$F104&lt;=0,sezione!AJ11,sezione!AR11),IF('Foglio deposito bis'!$F104&lt;=0,sezione!AR11,sezione!AJ11))</f>
        <v>40</v>
      </c>
      <c r="AM31" s="583">
        <f>IF(DATI!$G$211="sx",IF('Foglio deposito bis'!$F104&lt;=0,sezione!AK11,sezione!AS11),IF('Foglio deposito bis'!$F104&lt;=0,sezione!AS11,sezione!AK11))</f>
        <v>60</v>
      </c>
      <c r="AN31" s="583">
        <f>IF(DATI!$G$211="sx",IF('Foglio deposito bis'!$F104&lt;=0,sezione!AL11,sezione!AT11),IF('Foglio deposito bis'!$F104&lt;=0,sezione!AT11,sezione!AL11))</f>
        <v>80</v>
      </c>
      <c r="AO31" s="583">
        <f>IF(DATI!$G$211="sx",IF('Foglio deposito bis'!$F104&lt;=0,sezione!AM11,sezione!AU11),IF('Foglio deposito bis'!$F104&lt;=0,sezione!AU11,sezione!AM11))</f>
        <v>160</v>
      </c>
      <c r="AP31" s="583">
        <f>IF(DATI!$G$211="sx",IF('Foglio deposito bis'!$F104&lt;=0,sezione!AN11,sezione!AV11),IF('Foglio deposito bis'!$F104&lt;=0,sezione!AV11,sezione!AN11))</f>
        <v>446.14942595001941</v>
      </c>
      <c r="AQ31" s="570">
        <f>IF(DATI!$C$69="muro a contrafforti",VLOOKUP(sezione!AG51,'SOLLECITAZ NASCOSTO'!$C$23:$M$468,3,TRUE)*1000,"")</f>
        <v>366.14942595001941</v>
      </c>
    </row>
    <row r="32" spans="1:48" x14ac:dyDescent="0.25">
      <c r="A32" s="545">
        <f t="shared" si="2"/>
        <v>520079.78283554106</v>
      </c>
      <c r="B32" s="3">
        <f t="shared" si="4"/>
        <v>1.3500000000000005</v>
      </c>
      <c r="C32" s="545">
        <f>'Foglio deposito bis'!$E$153/$B$247*B32</f>
        <v>4.3756644732177232</v>
      </c>
      <c r="D32" s="603">
        <f>-'Sollecitazioni nel paramento'!$G$47*'Sollecitazioni nel paramento'!$G$41*IF(DATI!$G$211="dx",DATI!$E$61,DATI!$E$64*DATI!$E$63)*1000*C32^2*sezione!$AD$5*(1-sezione!$AD$6)</f>
        <v>-425982.39471718395</v>
      </c>
      <c r="E32" s="545">
        <f>-'Foglio deposito bis'!$F$48*(C32-sezione!$AL$27)*IF(ABS(K32)&lt;'Sollecitazioni nel paramento'!$G$58,ABS(K32)*'Sollecitazioni nel paramento'!$G$54,'Sollecitazioni nel paramento'!$G$53)</f>
        <v>0</v>
      </c>
      <c r="F32" s="545">
        <f>-'Foglio deposito bis'!$F$49*(C32-sezione!$AM$27)*IF(ABS(L32)&lt;'Sollecitazioni nel paramento'!$G$58,ABS(L32)*'Sollecitazioni nel paramento'!$G$54,'Sollecitazioni nel paramento'!$G$53)</f>
        <v>11396674.164244758</v>
      </c>
      <c r="G32" s="545">
        <f>-'Foglio deposito bis'!$F$50*(C32-sezione!$AN$27)*IF(ABS(M32)&lt;'Sollecitazioni nel paramento'!$G$58,ABS(M32)*'Sollecitazioni nel paramento'!$G$54,'Sollecitazioni nel paramento'!$G$53)</f>
        <v>0</v>
      </c>
      <c r="H32" s="545">
        <f>-'Foglio deposito bis'!$F$51*(C32-sezione!$AO$27)*IF(ABS(N32)&lt;'Sollecitazioni nel paramento'!$G$58,ABS(N32)*'Sollecitazioni nel paramento'!$G$54,'Sollecitazioni nel paramento'!$G$53)</f>
        <v>37497138.560336165</v>
      </c>
      <c r="I32" s="472">
        <f>-'Foglio deposito bis'!$F$52*(C32-sezione!$AP$27)*IF(ABS(O32)&lt;'Sollecitazioni nel paramento'!$G$58,ABS(O32)*'Sollecitazioni nel paramento'!$G$54,'Sollecitazioni nel paramento'!$G$53)</f>
        <v>47021058.351947077</v>
      </c>
      <c r="J32" s="472">
        <f t="shared" si="0"/>
        <v>95488888.681810826</v>
      </c>
      <c r="K32" s="550">
        <f>'Sollecitazioni nel paramento'!$G$60*(sezione!$AL$27-C32)/C32</f>
        <v>2.8495140591081127E-2</v>
      </c>
      <c r="L32" s="550">
        <f>'Sollecitazioni nel paramento'!$G$60*(sezione!$AM$27-C32)/C32</f>
        <v>4.4492710886621691E-2</v>
      </c>
      <c r="M32" s="551">
        <f>'Sollecitazioni nel paramento'!$G$60*(sezione!$AN$27-C32)/C32</f>
        <v>6.049028118216225E-2</v>
      </c>
      <c r="N32" s="551">
        <f>'Sollecitazioni nel paramento'!$G$60*(sezione!$AO$27-C32)/C32</f>
        <v>0.12448056236432452</v>
      </c>
      <c r="O32" s="551">
        <f>'Sollecitazioni nel paramento'!$G$60*(sezione!$AP$27-C32)/C32</f>
        <v>0.15609745200151123</v>
      </c>
      <c r="P32" s="545">
        <f>-'Sollecitazioni nel paramento'!$G$47*'Sollecitazioni nel paramento'!$G$41*IF(DATI!$G$211="dx",DATI!$E$61,DATI!$E$64*DATI!$E$63)*1000*C32*sezione!$AD$5</f>
        <v>-166699.68943617557</v>
      </c>
      <c r="Q32" s="407">
        <f>'Foglio deposito bis'!$F$48*IF(ABS(K32)&lt;'Sollecitazioni nel paramento'!$G$58,ABS(K32)*'Sollecitazioni nel paramento'!$G$54,'Sollecitazioni nel paramento'!$G$53)*IF(K32&lt;0,-1,1)</f>
        <v>0</v>
      </c>
      <c r="R32" s="407">
        <f>'Foglio deposito bis'!$F$49*IF(ABS(L32)&lt;'Sollecitazioni nel paramento'!$G$58,ABS(L32)*'Sollecitazioni nel paramento'!$G$54,'Sollecitazioni nel paramento'!$G$53)*IF(L32&lt;0,-1,1)</f>
        <v>204886.47740803001</v>
      </c>
      <c r="S32" s="407">
        <f>'Foglio deposito bis'!$F$50*IF(ABS(M32)&lt;'Sollecitazioni nel paramento'!$G$58,ABS(M32)*'Sollecitazioni nel paramento'!$G$54,'Sollecitazioni nel paramento'!$G$53)*IF(M32&lt;0,-1,1)</f>
        <v>0</v>
      </c>
      <c r="T32" s="407">
        <f>'Foglio deposito bis'!$F$51*IF(ABS(N32)&lt;'Sollecitazioni nel paramento'!$G$58,ABS(N32)*'Sollecitazioni nel paramento'!$G$54,'Sollecitazioni nel paramento'!$G$53)*IF(N32&lt;0,-1,1)</f>
        <v>240946.49743184328</v>
      </c>
      <c r="U32" s="407">
        <f>'Foglio deposito bis'!$F$52*IF(ABS(O32)&lt;'Sollecitazioni nel paramento'!$G$58,ABS(O32)*'Sollecitazioni nel paramento'!$G$54,'Sollecitazioni nel paramento'!$G$53)*IF(O32&lt;0,-1,1)</f>
        <v>240946.49743184328</v>
      </c>
      <c r="V32" s="608">
        <f>P32+Q32+R32+S32+T32+U32</f>
        <v>520079.78283554106</v>
      </c>
      <c r="W32" s="551"/>
      <c r="X32" s="551"/>
      <c r="Z32" s="41"/>
      <c r="AA32" s="41"/>
      <c r="AC32" s="41"/>
      <c r="AD32" s="41"/>
      <c r="AH32" s="568">
        <f t="shared" si="7"/>
        <v>5</v>
      </c>
      <c r="AI32" s="524">
        <f>'Foglio deposito bis'!C158</f>
        <v>2.6570870078549382</v>
      </c>
      <c r="AJ32" s="548">
        <f>'Foglio deposito bis'!D158</f>
        <v>25.257681488131414</v>
      </c>
      <c r="AK32" s="548">
        <f>sezione!AI12</f>
        <v>548.98313587438599</v>
      </c>
      <c r="AL32" s="583">
        <f>IF(DATI!$G$211="sx",IF('Foglio deposito bis'!$F105&lt;=0,sezione!AJ12,sezione!AR12),IF('Foglio deposito bis'!$F105&lt;=0,sezione!AR12,sezione!AJ12))</f>
        <v>40</v>
      </c>
      <c r="AM32" s="583">
        <f>IF(DATI!$G$211="sx",IF('Foglio deposito bis'!$F105&lt;=0,sezione!AK12,sezione!AS12),IF('Foglio deposito bis'!$F105&lt;=0,sezione!AS12,sezione!AK12))</f>
        <v>60</v>
      </c>
      <c r="AN32" s="583">
        <f>IF(DATI!$G$211="sx",IF('Foglio deposito bis'!$F105&lt;=0,sezione!AL12,sezione!AT12),IF('Foglio deposito bis'!$F105&lt;=0,sezione!AT12,sezione!AL12))</f>
        <v>80</v>
      </c>
      <c r="AO32" s="583">
        <f>IF(DATI!$G$211="sx",IF('Foglio deposito bis'!$F105&lt;=0,sezione!AM12,sezione!AU12),IF('Foglio deposito bis'!$F105&lt;=0,sezione!AU12,sezione!AM12))</f>
        <v>160</v>
      </c>
      <c r="AP32" s="583">
        <f>IF(DATI!$G$211="sx",IF('Foglio deposito bis'!$F105&lt;=0,sezione!AN12,sezione!AV12),IF('Foglio deposito bis'!$F105&lt;=0,sezione!AV12,sezione!AN12))</f>
        <v>508.98313587438599</v>
      </c>
      <c r="AQ32" s="570">
        <f>IF(DATI!$C$69="muro a contrafforti",VLOOKUP(sezione!AG52,'SOLLECITAZ NASCOSTO'!$C$23:$M$468,3,TRUE)*1000,"")</f>
        <v>428.98313587438599</v>
      </c>
    </row>
    <row r="33" spans="1:43" x14ac:dyDescent="0.25">
      <c r="A33" s="545">
        <f t="shared" si="2"/>
        <v>513905.72026383085</v>
      </c>
      <c r="B33" s="3">
        <f t="shared" si="4"/>
        <v>1.4000000000000006</v>
      </c>
      <c r="C33" s="545">
        <f>'Foglio deposito bis'!$E$153/$B$247*B33</f>
        <v>4.537726120373935</v>
      </c>
      <c r="D33" s="603">
        <f>-'Sollecitazioni nel paramento'!$G$47*'Sollecitazioni nel paramento'!$G$41*IF(DATI!$G$211="dx",DATI!$E$61,DATI!$E$64*DATI!$E$63)*1000*C33^2*sezione!$AD$5*(1-sezione!$AD$6)</f>
        <v>-458120.98416772595</v>
      </c>
      <c r="E33" s="545">
        <f>-'Foglio deposito bis'!$F$48*(C33-sezione!$AL$27)*IF(ABS(K33)&lt;'Sollecitazioni nel paramento'!$G$58,ABS(K33)*'Sollecitazioni nel paramento'!$G$54,'Sollecitazioni nel paramento'!$G$53)</f>
        <v>0</v>
      </c>
      <c r="F33" s="545">
        <f>-'Foglio deposito bis'!$F$49*(C33-sezione!$AM$27)*IF(ABS(L33)&lt;'Sollecitazioni nel paramento'!$G$58,ABS(L33)*'Sollecitazioni nel paramento'!$G$54,'Sollecitazioni nel paramento'!$G$53)</f>
        <v>11363469.924235979</v>
      </c>
      <c r="G33" s="545">
        <f>-'Foglio deposito bis'!$F$50*(C33-sezione!$AN$27)*IF(ABS(M33)&lt;'Sollecitazioni nel paramento'!$G$58,ABS(M33)*'Sollecitazioni nel paramento'!$G$54,'Sollecitazioni nel paramento'!$G$53)</f>
        <v>0</v>
      </c>
      <c r="H33" s="545">
        <f>-'Foglio deposito bis'!$F$51*(C33-sezione!$AO$27)*IF(ABS(N33)&lt;'Sollecitazioni nel paramento'!$G$58,ABS(N33)*'Sollecitazioni nel paramento'!$G$54,'Sollecitazioni nel paramento'!$G$53)</f>
        <v>37458090.374085836</v>
      </c>
      <c r="I33" s="472">
        <f>-'Foglio deposito bis'!$F$52*(C33-sezione!$AP$27)*IF(ABS(O33)&lt;'Sollecitazioni nel paramento'!$G$58,ABS(O33)*'Sollecitazioni nel paramento'!$G$54,'Sollecitazioni nel paramento'!$G$53)</f>
        <v>46982010.165696748</v>
      </c>
      <c r="J33" s="472">
        <f t="shared" si="0"/>
        <v>95345449.479850829</v>
      </c>
      <c r="K33" s="550">
        <f>'Sollecitazioni nel paramento'!$G$60*(sezione!$AL$27-C33)/C33</f>
        <v>2.735245699854252E-2</v>
      </c>
      <c r="L33" s="550">
        <f>'Sollecitazioni nel paramento'!$G$60*(sezione!$AM$27-C33)/C33</f>
        <v>4.277868549781378E-2</v>
      </c>
      <c r="M33" s="551">
        <f>'Sollecitazioni nel paramento'!$G$60*(sezione!$AN$27-C33)/C33</f>
        <v>5.8204913997085043E-2</v>
      </c>
      <c r="N33" s="551">
        <f>'Sollecitazioni nel paramento'!$G$60*(sezione!$AO$27-C33)/C33</f>
        <v>0.11990982799417006</v>
      </c>
      <c r="O33" s="551">
        <f>'Sollecitazioni nel paramento'!$G$60*(sezione!$AP$27-C33)/C33</f>
        <v>0.15039754300145727</v>
      </c>
      <c r="P33" s="545">
        <f>-'Sollecitazioni nel paramento'!$G$47*'Sollecitazioni nel paramento'!$G$41*IF(DATI!$G$211="dx",DATI!$E$61,DATI!$E$64*DATI!$E$63)*1000*C33*sezione!$AD$5</f>
        <v>-172873.75200788575</v>
      </c>
      <c r="Q33" s="545">
        <f>'Foglio deposito bis'!$F$48*IF(ABS(K33)&lt;'Sollecitazioni nel paramento'!$G$58,ABS(K33)*'Sollecitazioni nel paramento'!$G$54,'Sollecitazioni nel paramento'!$G$53)*IF(K33&lt;0,-1,1)</f>
        <v>0</v>
      </c>
      <c r="R33" s="545">
        <f>'Foglio deposito bis'!$F$49*IF(ABS(L33)&lt;'Sollecitazioni nel paramento'!$G$58,ABS(L33)*'Sollecitazioni nel paramento'!$G$54,'Sollecitazioni nel paramento'!$G$53)*IF(L33&lt;0,-1,1)</f>
        <v>204886.47740803001</v>
      </c>
      <c r="S33" s="545">
        <f>'Foglio deposito bis'!$F$50*IF(ABS(M33)&lt;'Sollecitazioni nel paramento'!$G$58,ABS(M33)*'Sollecitazioni nel paramento'!$G$54,'Sollecitazioni nel paramento'!$G$53)*IF(M33&lt;0,-1,1)</f>
        <v>0</v>
      </c>
      <c r="T33" s="545">
        <f>'Foglio deposito bis'!$F$51*IF(ABS(N33)&lt;'Sollecitazioni nel paramento'!$G$58,ABS(N33)*'Sollecitazioni nel paramento'!$G$54,'Sollecitazioni nel paramento'!$G$53)*IF(N33&lt;0,-1,1)</f>
        <v>240946.49743184328</v>
      </c>
      <c r="U33" s="545">
        <f>'Foglio deposito bis'!$F$52*IF(ABS(O33)&lt;'Sollecitazioni nel paramento'!$G$58,ABS(O33)*'Sollecitazioni nel paramento'!$G$54,'Sollecitazioni nel paramento'!$G$53)*IF(O33&lt;0,-1,1)</f>
        <v>240946.49743184328</v>
      </c>
      <c r="V33" s="472">
        <f t="shared" si="3"/>
        <v>513905.72026383085</v>
      </c>
      <c r="W33" s="551"/>
      <c r="X33" s="551"/>
      <c r="Z33" s="41"/>
      <c r="AA33" s="41"/>
      <c r="AC33" s="41"/>
      <c r="AD33" s="41"/>
      <c r="AH33" s="568">
        <f t="shared" si="7"/>
        <v>6</v>
      </c>
      <c r="AI33" s="524">
        <f>'Foglio deposito bis'!C159</f>
        <v>2.2322062335804809</v>
      </c>
      <c r="AJ33" s="548">
        <f>'Foglio deposito bis'!D159</f>
        <v>25.186066431724786</v>
      </c>
      <c r="AK33" s="548">
        <f>sezione!AI13</f>
        <v>610.24600305064325</v>
      </c>
      <c r="AL33" s="583">
        <f>IF(DATI!$G$211="sx",IF('Foglio deposito bis'!$F106&lt;=0,sezione!AJ13,sezione!AR13),IF('Foglio deposito bis'!$F106&lt;=0,sezione!AR13,sezione!AJ13))</f>
        <v>40</v>
      </c>
      <c r="AM33" s="583">
        <f>IF(DATI!$G$211="sx",IF('Foglio deposito bis'!$F106&lt;=0,sezione!AK13,sezione!AS13),IF('Foglio deposito bis'!$F106&lt;=0,sezione!AS13,sezione!AK13))</f>
        <v>60</v>
      </c>
      <c r="AN33" s="583">
        <f>IF(DATI!$G$211="sx",IF('Foglio deposito bis'!$F106&lt;=0,sezione!AL13,sezione!AT13),IF('Foglio deposito bis'!$F106&lt;=0,sezione!AT13,sezione!AL13))</f>
        <v>80</v>
      </c>
      <c r="AO33" s="583">
        <f>IF(DATI!$G$211="sx",IF('Foglio deposito bis'!$F106&lt;=0,sezione!AM13,sezione!AU13),IF('Foglio deposito bis'!$F106&lt;=0,sezione!AU13,sezione!AM13))</f>
        <v>160</v>
      </c>
      <c r="AP33" s="583">
        <f>IF(DATI!$G$211="sx",IF('Foglio deposito bis'!$F106&lt;=0,sezione!AN13,sezione!AV13),IF('Foglio deposito bis'!$F106&lt;=0,sezione!AV13,sezione!AN13))</f>
        <v>570.24600305064325</v>
      </c>
      <c r="AQ33" s="570">
        <f>IF(DATI!$C$69="muro a contrafforti",VLOOKUP(sezione!AG53,'SOLLECITAZ NASCOSTO'!$C$23:$M$468,3,TRUE)*1000,"")</f>
        <v>490.24600305064325</v>
      </c>
    </row>
    <row r="34" spans="1:43" x14ac:dyDescent="0.25">
      <c r="A34" s="545">
        <f t="shared" si="2"/>
        <v>507731.65769212064</v>
      </c>
      <c r="B34" s="3">
        <f t="shared" si="4"/>
        <v>1.4500000000000006</v>
      </c>
      <c r="C34" s="545">
        <f>'Foglio deposito bis'!$E$153/$B$247*B34</f>
        <v>4.6997877675301467</v>
      </c>
      <c r="D34" s="603">
        <f>-'Sollecitazioni nel paramento'!$G$47*'Sollecitazioni nel paramento'!$G$41*IF(DATI!$G$211="dx",DATI!$E$61,DATI!$E$64*DATI!$E$63)*1000*C34^2*sezione!$AD$5*(1-sezione!$AD$6)</f>
        <v>-491428.24959828757</v>
      </c>
      <c r="E34" s="545">
        <f>-'Foglio deposito bis'!$F$48*(C34-sezione!$AL$27)*IF(ABS(K34)&lt;'Sollecitazioni nel paramento'!$G$58,ABS(K34)*'Sollecitazioni nel paramento'!$G$54,'Sollecitazioni nel paramento'!$G$53)</f>
        <v>0</v>
      </c>
      <c r="F34" s="545">
        <f>-'Foglio deposito bis'!$F$49*(C34-sezione!$AM$27)*IF(ABS(L34)&lt;'Sollecitazioni nel paramento'!$G$58,ABS(L34)*'Sollecitazioni nel paramento'!$G$54,'Sollecitazioni nel paramento'!$G$53)</f>
        <v>11330265.684227198</v>
      </c>
      <c r="G34" s="545">
        <f>-'Foglio deposito bis'!$F$50*(C34-sezione!$AN$27)*IF(ABS(M34)&lt;'Sollecitazioni nel paramento'!$G$58,ABS(M34)*'Sollecitazioni nel paramento'!$G$54,'Sollecitazioni nel paramento'!$G$53)</f>
        <v>0</v>
      </c>
      <c r="H34" s="545">
        <f>-'Foglio deposito bis'!$F$51*(C34-sezione!$AO$27)*IF(ABS(N34)&lt;'Sollecitazioni nel paramento'!$G$58,ABS(N34)*'Sollecitazioni nel paramento'!$G$54,'Sollecitazioni nel paramento'!$G$53)</f>
        <v>37419042.187835507</v>
      </c>
      <c r="I34" s="472">
        <f>-'Foglio deposito bis'!$F$52*(C34-sezione!$AP$27)*IF(ABS(O34)&lt;'Sollecitazioni nel paramento'!$G$58,ABS(O34)*'Sollecitazioni nel paramento'!$G$54,'Sollecitazioni nel paramento'!$G$53)</f>
        <v>46942961.979446426</v>
      </c>
      <c r="J34" s="472">
        <f t="shared" si="0"/>
        <v>95200841.601910844</v>
      </c>
      <c r="K34" s="550">
        <f>'Sollecitazioni nel paramento'!$G$60*(sezione!$AL$27-C34)/C34</f>
        <v>2.6288579171006573E-2</v>
      </c>
      <c r="L34" s="550">
        <f>'Sollecitazioni nel paramento'!$G$60*(sezione!$AM$27-C34)/C34</f>
        <v>4.1182868756509852E-2</v>
      </c>
      <c r="M34" s="551">
        <f>'Sollecitazioni nel paramento'!$G$60*(sezione!$AN$27-C34)/C34</f>
        <v>5.6077158342013142E-2</v>
      </c>
      <c r="N34" s="551">
        <f>'Sollecitazioni nel paramento'!$G$60*(sezione!$AO$27-C34)/C34</f>
        <v>0.11565431668402627</v>
      </c>
      <c r="O34" s="551">
        <f>'Sollecitazioni nel paramento'!$G$60*(sezione!$AP$27-C34)/C34</f>
        <v>0.14509073117382082</v>
      </c>
      <c r="P34" s="545">
        <f>-'Sollecitazioni nel paramento'!$G$47*'Sollecitazioni nel paramento'!$G$41*IF(DATI!$G$211="dx",DATI!$E$61,DATI!$E$64*DATI!$E$63)*1000*C34*sezione!$AD$5</f>
        <v>-179047.81457959599</v>
      </c>
      <c r="Q34" s="545">
        <f>'Foglio deposito bis'!$F$48*IF(ABS(K34)&lt;'Sollecitazioni nel paramento'!$G$58,ABS(K34)*'Sollecitazioni nel paramento'!$G$54,'Sollecitazioni nel paramento'!$G$53)*IF(K34&lt;0,-1,1)</f>
        <v>0</v>
      </c>
      <c r="R34" s="545">
        <f>'Foglio deposito bis'!$F$49*IF(ABS(L34)&lt;'Sollecitazioni nel paramento'!$G$58,ABS(L34)*'Sollecitazioni nel paramento'!$G$54,'Sollecitazioni nel paramento'!$G$53)*IF(L34&lt;0,-1,1)</f>
        <v>204886.47740803001</v>
      </c>
      <c r="S34" s="545">
        <f>'Foglio deposito bis'!$F$50*IF(ABS(M34)&lt;'Sollecitazioni nel paramento'!$G$58,ABS(M34)*'Sollecitazioni nel paramento'!$G$54,'Sollecitazioni nel paramento'!$G$53)*IF(M34&lt;0,-1,1)</f>
        <v>0</v>
      </c>
      <c r="T34" s="545">
        <f>'Foglio deposito bis'!$F$51*IF(ABS(N34)&lt;'Sollecitazioni nel paramento'!$G$58,ABS(N34)*'Sollecitazioni nel paramento'!$G$54,'Sollecitazioni nel paramento'!$G$53)*IF(N34&lt;0,-1,1)</f>
        <v>240946.49743184328</v>
      </c>
      <c r="U34" s="545">
        <f>'Foglio deposito bis'!$F$52*IF(ABS(O34)&lt;'Sollecitazioni nel paramento'!$G$58,ABS(O34)*'Sollecitazioni nel paramento'!$G$54,'Sollecitazioni nel paramento'!$G$53)*IF(O34&lt;0,-1,1)</f>
        <v>240946.49743184328</v>
      </c>
      <c r="V34" s="472">
        <f t="shared" si="3"/>
        <v>507731.65769212064</v>
      </c>
      <c r="W34" s="551"/>
      <c r="X34" s="551"/>
      <c r="Z34" s="1040" t="s">
        <v>972</v>
      </c>
      <c r="AA34" s="1040"/>
      <c r="AC34" s="1040" t="s">
        <v>972</v>
      </c>
      <c r="AD34" s="1040"/>
      <c r="AH34" s="568">
        <f t="shared" si="7"/>
        <v>7</v>
      </c>
      <c r="AI34" s="524">
        <f>'Foglio deposito bis'!C160</f>
        <v>1.7964310804784729</v>
      </c>
      <c r="AJ34" s="548">
        <f>'Foglio deposito bis'!D160</f>
        <v>37.798116493183869</v>
      </c>
      <c r="AK34" s="548">
        <f>sezione!AI14</f>
        <v>673.07971297500978</v>
      </c>
      <c r="AL34" s="583">
        <f>IF(DATI!$G$211="sx",IF('Foglio deposito bis'!$F107&lt;=0,sezione!AJ14,sezione!AR14),IF('Foglio deposito bis'!$F107&lt;=0,sezione!AR14,sezione!AJ14))</f>
        <v>40</v>
      </c>
      <c r="AM34" s="583">
        <f>IF(DATI!$G$211="sx",IF('Foglio deposito bis'!$F107&lt;=0,sezione!AK14,sezione!AS14),IF('Foglio deposito bis'!$F107&lt;=0,sezione!AS14,sezione!AK14))</f>
        <v>60</v>
      </c>
      <c r="AN34" s="583">
        <f>IF(DATI!$G$211="sx",IF('Foglio deposito bis'!$F107&lt;=0,sezione!AL14,sezione!AT14),IF('Foglio deposito bis'!$F107&lt;=0,sezione!AT14,sezione!AL14))</f>
        <v>80</v>
      </c>
      <c r="AO34" s="583">
        <f>IF(DATI!$G$211="sx",IF('Foglio deposito bis'!$F107&lt;=0,sezione!AM14,sezione!AU14),IF('Foglio deposito bis'!$F107&lt;=0,sezione!AU14,sezione!AM14))</f>
        <v>160</v>
      </c>
      <c r="AP34" s="583">
        <f>IF(DATI!$G$211="sx",IF('Foglio deposito bis'!$F107&lt;=0,sezione!AN14,sezione!AV14),IF('Foglio deposito bis'!$F107&lt;=0,sezione!AV14,sezione!AN14))</f>
        <v>633.07971297500978</v>
      </c>
      <c r="AQ34" s="570">
        <f>IF(DATI!$C$69="muro a contrafforti",VLOOKUP(sezione!AG54,'SOLLECITAZ NASCOSTO'!$C$23:$M$468,3,TRUE)*1000,"")</f>
        <v>553.07971297500978</v>
      </c>
    </row>
    <row r="35" spans="1:43" x14ac:dyDescent="0.25">
      <c r="A35" s="545">
        <f t="shared" si="2"/>
        <v>501557.59512041038</v>
      </c>
      <c r="B35" s="3">
        <f t="shared" si="4"/>
        <v>1.5000000000000007</v>
      </c>
      <c r="C35" s="545">
        <f>'Foglio deposito bis'!$E$153/$B$247*B35</f>
        <v>4.8618494146863593</v>
      </c>
      <c r="D35" s="603">
        <f>-'Sollecitazioni nel paramento'!$G$47*'Sollecitazioni nel paramento'!$G$41*IF(DATI!$G$211="dx",DATI!$E$61,DATI!$E$64*DATI!$E$63)*1000*C35^2*sezione!$AD$5*(1-sezione!$AD$6)</f>
        <v>-525904.19100886909</v>
      </c>
      <c r="E35" s="545">
        <f>-'Foglio deposito bis'!$F$48*(C35-sezione!$AL$27)*IF(ABS(K35)&lt;'Sollecitazioni nel paramento'!$G$58,ABS(K35)*'Sollecitazioni nel paramento'!$G$54,'Sollecitazioni nel paramento'!$G$53)</f>
        <v>0</v>
      </c>
      <c r="F35" s="545">
        <f>-'Foglio deposito bis'!$F$49*(C35-sezione!$AM$27)*IF(ABS(L35)&lt;'Sollecitazioni nel paramento'!$G$58,ABS(L35)*'Sollecitazioni nel paramento'!$G$54,'Sollecitazioni nel paramento'!$G$53)</f>
        <v>11297061.444218419</v>
      </c>
      <c r="G35" s="545">
        <f>-'Foglio deposito bis'!$F$50*(C35-sezione!$AN$27)*IF(ABS(M35)&lt;'Sollecitazioni nel paramento'!$G$58,ABS(M35)*'Sollecitazioni nel paramento'!$G$54,'Sollecitazioni nel paramento'!$G$53)</f>
        <v>0</v>
      </c>
      <c r="H35" s="545">
        <f>-'Foglio deposito bis'!$F$51*(C35-sezione!$AO$27)*IF(ABS(N35)&lt;'Sollecitazioni nel paramento'!$G$58,ABS(N35)*'Sollecitazioni nel paramento'!$G$54,'Sollecitazioni nel paramento'!$G$53)</f>
        <v>37379994.001585186</v>
      </c>
      <c r="I35" s="472">
        <f>-'Foglio deposito bis'!$F$52*(C35-sezione!$AP$27)*IF(ABS(O35)&lt;'Sollecitazioni nel paramento'!$G$58,ABS(O35)*'Sollecitazioni nel paramento'!$G$54,'Sollecitazioni nel paramento'!$G$53)</f>
        <v>46903913.793196104</v>
      </c>
      <c r="J35" s="472">
        <f t="shared" si="0"/>
        <v>95055065.047990829</v>
      </c>
      <c r="K35" s="550">
        <f>'Sollecitazioni nel paramento'!$G$60*(sezione!$AL$27-C35)/C35</f>
        <v>2.5295626531973012E-2</v>
      </c>
      <c r="L35" s="550">
        <f>'Sollecitazioni nel paramento'!$G$60*(sezione!$AM$27-C35)/C35</f>
        <v>3.9693439797959522E-2</v>
      </c>
      <c r="M35" s="551">
        <f>'Sollecitazioni nel paramento'!$G$60*(sezione!$AN$27-C35)/C35</f>
        <v>5.4091253063946028E-2</v>
      </c>
      <c r="N35" s="551">
        <f>'Sollecitazioni nel paramento'!$G$60*(sezione!$AO$27-C35)/C35</f>
        <v>0.11168250612789206</v>
      </c>
      <c r="O35" s="551">
        <f>'Sollecitazioni nel paramento'!$G$60*(sezione!$AP$27-C35)/C35</f>
        <v>0.14013770680136012</v>
      </c>
      <c r="P35" s="545">
        <f>-'Sollecitazioni nel paramento'!$G$47*'Sollecitazioni nel paramento'!$G$41*IF(DATI!$G$211="dx",DATI!$E$61,DATI!$E$64*DATI!$E$63)*1000*C35*sezione!$AD$5</f>
        <v>-185221.87715130619</v>
      </c>
      <c r="Q35" s="545">
        <f>'Foglio deposito bis'!$F$48*IF(ABS(K35)&lt;'Sollecitazioni nel paramento'!$G$58,ABS(K35)*'Sollecitazioni nel paramento'!$G$54,'Sollecitazioni nel paramento'!$G$53)*IF(K35&lt;0,-1,1)</f>
        <v>0</v>
      </c>
      <c r="R35" s="545">
        <f>'Foglio deposito bis'!$F$49*IF(ABS(L35)&lt;'Sollecitazioni nel paramento'!$G$58,ABS(L35)*'Sollecitazioni nel paramento'!$G$54,'Sollecitazioni nel paramento'!$G$53)*IF(L35&lt;0,-1,1)</f>
        <v>204886.47740803001</v>
      </c>
      <c r="S35" s="545">
        <f>'Foglio deposito bis'!$F$50*IF(ABS(M35)&lt;'Sollecitazioni nel paramento'!$G$58,ABS(M35)*'Sollecitazioni nel paramento'!$G$54,'Sollecitazioni nel paramento'!$G$53)*IF(M35&lt;0,-1,1)</f>
        <v>0</v>
      </c>
      <c r="T35" s="545">
        <f>'Foglio deposito bis'!$F$51*IF(ABS(N35)&lt;'Sollecitazioni nel paramento'!$G$58,ABS(N35)*'Sollecitazioni nel paramento'!$G$54,'Sollecitazioni nel paramento'!$G$53)*IF(N35&lt;0,-1,1)</f>
        <v>240946.49743184328</v>
      </c>
      <c r="U35" s="545">
        <f>'Foglio deposito bis'!$F$52*IF(ABS(O35)&lt;'Sollecitazioni nel paramento'!$G$58,ABS(O35)*'Sollecitazioni nel paramento'!$G$54,'Sollecitazioni nel paramento'!$G$53)*IF(O35&lt;0,-1,1)</f>
        <v>240946.49743184328</v>
      </c>
      <c r="V35" s="472">
        <f t="shared" si="3"/>
        <v>501557.59512041038</v>
      </c>
      <c r="W35" s="551"/>
      <c r="X35" s="551"/>
      <c r="Z35" s="483">
        <f>DATI!E61/2*1.2</f>
        <v>1.5</v>
      </c>
      <c r="AA35" s="483">
        <f>sezione!AK20/1000</f>
        <v>0.16</v>
      </c>
      <c r="AC35" s="578">
        <f>Z35</f>
        <v>1.5</v>
      </c>
      <c r="AD35" s="578">
        <f>AA35</f>
        <v>0.16</v>
      </c>
      <c r="AH35" s="568">
        <f t="shared" si="7"/>
        <v>8</v>
      </c>
      <c r="AI35" s="524">
        <f>'Foglio deposito bis'!C161</f>
        <v>1.3715503062040155</v>
      </c>
      <c r="AJ35" s="548">
        <f>'Foglio deposito bis'!D161</f>
        <v>37.760511563935218</v>
      </c>
      <c r="AK35" s="548">
        <f>sezione!AI15</f>
        <v>734.34258015126704</v>
      </c>
      <c r="AL35" s="583">
        <f>IF(DATI!$G$211="sx",IF('Foglio deposito bis'!$F108&lt;=0,sezione!AJ15,sezione!AR15),IF('Foglio deposito bis'!$F108&lt;=0,sezione!AR15,sezione!AJ15))</f>
        <v>40</v>
      </c>
      <c r="AM35" s="583">
        <f>IF(DATI!$G$211="sx",IF('Foglio deposito bis'!$F108&lt;=0,sezione!AK15,sezione!AS15),IF('Foglio deposito bis'!$F108&lt;=0,sezione!AS15,sezione!AK15))</f>
        <v>60</v>
      </c>
      <c r="AN35" s="583">
        <f>IF(DATI!$G$211="sx",IF('Foglio deposito bis'!$F108&lt;=0,sezione!AL15,sezione!AT15),IF('Foglio deposito bis'!$F108&lt;=0,sezione!AT15,sezione!AL15))</f>
        <v>80</v>
      </c>
      <c r="AO35" s="583">
        <f>IF(DATI!$G$211="sx",IF('Foglio deposito bis'!$F108&lt;=0,sezione!AM15,sezione!AU15),IF('Foglio deposito bis'!$F108&lt;=0,sezione!AU15,sezione!AM15))</f>
        <v>160</v>
      </c>
      <c r="AP35" s="583">
        <f>IF(DATI!$G$211="sx",IF('Foglio deposito bis'!$F108&lt;=0,sezione!AN15,sezione!AV15),IF('Foglio deposito bis'!$F108&lt;=0,sezione!AV15,sezione!AN15))</f>
        <v>694.34258015126704</v>
      </c>
      <c r="AQ35" s="570">
        <f>IF(DATI!$C$69="muro a contrafforti",VLOOKUP(sezione!AG55,'SOLLECITAZ NASCOSTO'!$C$23:$M$468,3,TRUE)*1000,"")</f>
        <v>614.34258015126704</v>
      </c>
    </row>
    <row r="36" spans="1:43" x14ac:dyDescent="0.25">
      <c r="A36" s="545">
        <f t="shared" si="2"/>
        <v>495383.53254870017</v>
      </c>
      <c r="B36" s="3">
        <f t="shared" si="4"/>
        <v>1.5500000000000007</v>
      </c>
      <c r="C36" s="545">
        <f>'Foglio deposito bis'!$E$153/$B$247*B36</f>
        <v>5.0239110618425711</v>
      </c>
      <c r="D36" s="603">
        <f>-'Sollecitazioni nel paramento'!$G$47*'Sollecitazioni nel paramento'!$G$41*IF(DATI!$G$211="dx",DATI!$E$61,DATI!$E$64*DATI!$E$63)*1000*C36^2*sezione!$AD$5*(1-sezione!$AD$6)</f>
        <v>-561548.80839947029</v>
      </c>
      <c r="E36" s="545">
        <f>-'Foglio deposito bis'!$F$48*(C36-sezione!$AL$27)*IF(ABS(K36)&lt;'Sollecitazioni nel paramento'!$G$58,ABS(K36)*'Sollecitazioni nel paramento'!$G$54,'Sollecitazioni nel paramento'!$G$53)</f>
        <v>0</v>
      </c>
      <c r="F36" s="545">
        <f>-'Foglio deposito bis'!$F$49*(C36-sezione!$AM$27)*IF(ABS(L36)&lt;'Sollecitazioni nel paramento'!$G$58,ABS(L36)*'Sollecitazioni nel paramento'!$G$54,'Sollecitazioni nel paramento'!$G$53)</f>
        <v>11263857.204209641</v>
      </c>
      <c r="G36" s="545">
        <f>-'Foglio deposito bis'!$F$50*(C36-sezione!$AN$27)*IF(ABS(M36)&lt;'Sollecitazioni nel paramento'!$G$58,ABS(M36)*'Sollecitazioni nel paramento'!$G$54,'Sollecitazioni nel paramento'!$G$53)</f>
        <v>0</v>
      </c>
      <c r="H36" s="545">
        <f>-'Foglio deposito bis'!$F$51*(C36-sezione!$AO$27)*IF(ABS(N36)&lt;'Sollecitazioni nel paramento'!$G$58,ABS(N36)*'Sollecitazioni nel paramento'!$G$54,'Sollecitazioni nel paramento'!$G$53)</f>
        <v>37340945.815334864</v>
      </c>
      <c r="I36" s="472">
        <f>-'Foglio deposito bis'!$F$52*(C36-sezione!$AP$27)*IF(ABS(O36)&lt;'Sollecitazioni nel paramento'!$G$58,ABS(O36)*'Sollecitazioni nel paramento'!$G$54,'Sollecitazioni nel paramento'!$G$53)</f>
        <v>46864865.606945783</v>
      </c>
      <c r="J36" s="472">
        <f t="shared" si="0"/>
        <v>94908119.818090826</v>
      </c>
      <c r="K36" s="550">
        <f>'Sollecitazioni nel paramento'!$G$60*(sezione!$AL$27-C36)/C36</f>
        <v>2.4366735353522278E-2</v>
      </c>
      <c r="L36" s="550">
        <f>'Sollecitazioni nel paramento'!$G$60*(sezione!$AM$27-C36)/C36</f>
        <v>3.8300103030283417E-2</v>
      </c>
      <c r="M36" s="551">
        <f>'Sollecitazioni nel paramento'!$G$60*(sezione!$AN$27-C36)/C36</f>
        <v>5.2233470707044552E-2</v>
      </c>
      <c r="N36" s="551">
        <f>'Sollecitazioni nel paramento'!$G$60*(sezione!$AO$27-C36)/C36</f>
        <v>0.10796694141408911</v>
      </c>
      <c r="O36" s="551">
        <f>'Sollecitazioni nel paramento'!$G$60*(sezione!$AP$27-C36)/C36</f>
        <v>0.13550423238841303</v>
      </c>
      <c r="P36" s="545">
        <f>-'Sollecitazioni nel paramento'!$G$47*'Sollecitazioni nel paramento'!$G$41*IF(DATI!$G$211="dx",DATI!$E$61,DATI!$E$64*DATI!$E$63)*1000*C36*sezione!$AD$5</f>
        <v>-191395.9397230164</v>
      </c>
      <c r="Q36" s="545">
        <f>'Foglio deposito bis'!$F$48*IF(ABS(K36)&lt;'Sollecitazioni nel paramento'!$G$58,ABS(K36)*'Sollecitazioni nel paramento'!$G$54,'Sollecitazioni nel paramento'!$G$53)*IF(K36&lt;0,-1,1)</f>
        <v>0</v>
      </c>
      <c r="R36" s="545">
        <f>'Foglio deposito bis'!$F$49*IF(ABS(L36)&lt;'Sollecitazioni nel paramento'!$G$58,ABS(L36)*'Sollecitazioni nel paramento'!$G$54,'Sollecitazioni nel paramento'!$G$53)*IF(L36&lt;0,-1,1)</f>
        <v>204886.47740803001</v>
      </c>
      <c r="S36" s="545">
        <f>'Foglio deposito bis'!$F$50*IF(ABS(M36)&lt;'Sollecitazioni nel paramento'!$G$58,ABS(M36)*'Sollecitazioni nel paramento'!$G$54,'Sollecitazioni nel paramento'!$G$53)*IF(M36&lt;0,-1,1)</f>
        <v>0</v>
      </c>
      <c r="T36" s="545">
        <f>'Foglio deposito bis'!$F$51*IF(ABS(N36)&lt;'Sollecitazioni nel paramento'!$G$58,ABS(N36)*'Sollecitazioni nel paramento'!$G$54,'Sollecitazioni nel paramento'!$G$53)*IF(N36&lt;0,-1,1)</f>
        <v>240946.49743184328</v>
      </c>
      <c r="U36" s="545">
        <f>'Foglio deposito bis'!$F$52*IF(ABS(O36)&lt;'Sollecitazioni nel paramento'!$G$58,ABS(O36)*'Sollecitazioni nel paramento'!$G$54,'Sollecitazioni nel paramento'!$G$53)*IF(O36&lt;0,-1,1)</f>
        <v>240946.49743184328</v>
      </c>
      <c r="V36" s="472">
        <f t="shared" si="3"/>
        <v>495383.53254870017</v>
      </c>
      <c r="W36" s="551"/>
      <c r="X36" s="551"/>
      <c r="Z36" s="483">
        <f>-DATI!E61/2</f>
        <v>-1.25</v>
      </c>
      <c r="AA36" s="483">
        <f>AA35</f>
        <v>0.16</v>
      </c>
      <c r="AC36" s="578">
        <f>-DATI!H61/2</f>
        <v>0</v>
      </c>
      <c r="AD36" s="578">
        <f>AD35</f>
        <v>0.16</v>
      </c>
      <c r="AH36" s="568">
        <f t="shared" si="7"/>
        <v>9</v>
      </c>
      <c r="AI36" s="524">
        <f>'Foglio deposito bis'!C162</f>
        <v>0.93577515310200798</v>
      </c>
      <c r="AJ36" s="548">
        <f>'Foglio deposito bis'!D162</f>
        <v>65.802102428435177</v>
      </c>
      <c r="AK36" s="548">
        <f>sezione!AI16</f>
        <v>797.17629007563346</v>
      </c>
      <c r="AL36" s="583">
        <f>IF(DATI!$G$211="sx",IF('Foglio deposito bis'!$F109&lt;=0,sezione!AJ16,sezione!AR16),IF('Foglio deposito bis'!$F109&lt;=0,sezione!AR16,sezione!AJ16))</f>
        <v>40</v>
      </c>
      <c r="AM36" s="583">
        <f>IF(DATI!$G$211="sx",IF('Foglio deposito bis'!$F109&lt;=0,sezione!AK16,sezione!AS16),IF('Foglio deposito bis'!$F109&lt;=0,sezione!AS16,sezione!AK16))</f>
        <v>60</v>
      </c>
      <c r="AN36" s="583">
        <f>IF(DATI!$G$211="sx",IF('Foglio deposito bis'!$F109&lt;=0,sezione!AL16,sezione!AT16),IF('Foglio deposito bis'!$F109&lt;=0,sezione!AT16,sezione!AL16))</f>
        <v>80</v>
      </c>
      <c r="AO36" s="583">
        <f>IF(DATI!$G$211="sx",IF('Foglio deposito bis'!$F109&lt;=0,sezione!AM16,sezione!AU16),IF('Foglio deposito bis'!$F109&lt;=0,sezione!AU16,sezione!AM16))</f>
        <v>160</v>
      </c>
      <c r="AP36" s="583">
        <f>IF(DATI!$G$211="sx",IF('Foglio deposito bis'!$F109&lt;=0,sezione!AN16,sezione!AV16),IF('Foglio deposito bis'!$F109&lt;=0,sezione!AV16,sezione!AN16))</f>
        <v>757.17629007563346</v>
      </c>
      <c r="AQ36" s="570">
        <f>IF(DATI!$C$69="muro a contrafforti",VLOOKUP(sezione!AG56,'SOLLECITAZ NASCOSTO'!$C$23:$M$468,3,TRUE)*1000,"")</f>
        <v>677.17629007563346</v>
      </c>
    </row>
    <row r="37" spans="1:43" x14ac:dyDescent="0.25">
      <c r="A37" s="545">
        <f t="shared" si="2"/>
        <v>489209.46997699002</v>
      </c>
      <c r="B37" s="3">
        <f t="shared" si="4"/>
        <v>1.6000000000000008</v>
      </c>
      <c r="C37" s="545">
        <f>'Foglio deposito bis'!$E$153/$B$247*B37</f>
        <v>5.1859727089987828</v>
      </c>
      <c r="D37" s="603">
        <f>-'Sollecitazioni nel paramento'!$G$47*'Sollecitazioni nel paramento'!$G$41*IF(DATI!$G$211="dx",DATI!$E$61,DATI!$E$64*DATI!$E$63)*1000*C37^2*sezione!$AD$5*(1-sezione!$AD$6)</f>
        <v>-598362.10177009099</v>
      </c>
      <c r="E37" s="545">
        <f>-'Foglio deposito bis'!$F$48*(C37-sezione!$AL$27)*IF(ABS(K37)&lt;'Sollecitazioni nel paramento'!$G$58,ABS(K37)*'Sollecitazioni nel paramento'!$G$54,'Sollecitazioni nel paramento'!$G$53)</f>
        <v>0</v>
      </c>
      <c r="F37" s="545">
        <f>-'Foglio deposito bis'!$F$49*(C37-sezione!$AM$27)*IF(ABS(L37)&lt;'Sollecitazioni nel paramento'!$G$58,ABS(L37)*'Sollecitazioni nel paramento'!$G$54,'Sollecitazioni nel paramento'!$G$53)</f>
        <v>11230652.964200862</v>
      </c>
      <c r="G37" s="545">
        <f>-'Foglio deposito bis'!$F$50*(C37-sezione!$AN$27)*IF(ABS(M37)&lt;'Sollecitazioni nel paramento'!$G$58,ABS(M37)*'Sollecitazioni nel paramento'!$G$54,'Sollecitazioni nel paramento'!$G$53)</f>
        <v>0</v>
      </c>
      <c r="H37" s="545">
        <f>-'Foglio deposito bis'!$F$51*(C37-sezione!$AO$27)*IF(ABS(N37)&lt;'Sollecitazioni nel paramento'!$G$58,ABS(N37)*'Sollecitazioni nel paramento'!$G$54,'Sollecitazioni nel paramento'!$G$53)</f>
        <v>37301897.629084542</v>
      </c>
      <c r="I37" s="472">
        <f>-'Foglio deposito bis'!$F$52*(C37-sezione!$AP$27)*IF(ABS(O37)&lt;'Sollecitazioni nel paramento'!$G$58,ABS(O37)*'Sollecitazioni nel paramento'!$G$54,'Sollecitazioni nel paramento'!$G$53)</f>
        <v>46825817.420695454</v>
      </c>
      <c r="J37" s="472">
        <f t="shared" si="0"/>
        <v>94760005.912210763</v>
      </c>
      <c r="K37" s="550">
        <f>'Sollecitazioni nel paramento'!$G$60*(sezione!$AL$27-C37)/C37</f>
        <v>2.3495899873724704E-2</v>
      </c>
      <c r="L37" s="550">
        <f>'Sollecitazioni nel paramento'!$G$60*(sezione!$AM$27-C37)/C37</f>
        <v>3.6993849810587058E-2</v>
      </c>
      <c r="M37" s="551">
        <f>'Sollecitazioni nel paramento'!$G$60*(sezione!$AN$27-C37)/C37</f>
        <v>5.0491799747449412E-2</v>
      </c>
      <c r="N37" s="551">
        <f>'Sollecitazioni nel paramento'!$G$60*(sezione!$AO$27-C37)/C37</f>
        <v>0.10448359949489881</v>
      </c>
      <c r="O37" s="551">
        <f>'Sollecitazioni nel paramento'!$G$60*(sezione!$AP$27-C37)/C37</f>
        <v>0.13116035012627511</v>
      </c>
      <c r="P37" s="545">
        <f>-'Sollecitazioni nel paramento'!$G$47*'Sollecitazioni nel paramento'!$G$41*IF(DATI!$G$211="dx",DATI!$E$61,DATI!$E$64*DATI!$E$63)*1000*C37*sezione!$AD$5</f>
        <v>-197570.00229472658</v>
      </c>
      <c r="Q37" s="545">
        <f>'Foglio deposito bis'!$F$48*IF(ABS(K37)&lt;'Sollecitazioni nel paramento'!$G$58,ABS(K37)*'Sollecitazioni nel paramento'!$G$54,'Sollecitazioni nel paramento'!$G$53)*IF(K37&lt;0,-1,1)</f>
        <v>0</v>
      </c>
      <c r="R37" s="545">
        <f>'Foglio deposito bis'!$F$49*IF(ABS(L37)&lt;'Sollecitazioni nel paramento'!$G$58,ABS(L37)*'Sollecitazioni nel paramento'!$G$54,'Sollecitazioni nel paramento'!$G$53)*IF(L37&lt;0,-1,1)</f>
        <v>204886.47740803001</v>
      </c>
      <c r="S37" s="545">
        <f>'Foglio deposito bis'!$F$50*IF(ABS(M37)&lt;'Sollecitazioni nel paramento'!$G$58,ABS(M37)*'Sollecitazioni nel paramento'!$G$54,'Sollecitazioni nel paramento'!$G$53)*IF(M37&lt;0,-1,1)</f>
        <v>0</v>
      </c>
      <c r="T37" s="545">
        <f>'Foglio deposito bis'!$F$51*IF(ABS(N37)&lt;'Sollecitazioni nel paramento'!$G$58,ABS(N37)*'Sollecitazioni nel paramento'!$G$54,'Sollecitazioni nel paramento'!$G$53)*IF(N37&lt;0,-1,1)</f>
        <v>240946.49743184328</v>
      </c>
      <c r="U37" s="545">
        <f>'Foglio deposito bis'!$F$52*IF(ABS(O37)&lt;'Sollecitazioni nel paramento'!$G$58,ABS(O37)*'Sollecitazioni nel paramento'!$G$54,'Sollecitazioni nel paramento'!$G$53)*IF(O37&lt;0,-1,1)</f>
        <v>240946.49743184328</v>
      </c>
      <c r="V37" s="472">
        <f t="shared" si="3"/>
        <v>489209.46997699002</v>
      </c>
      <c r="W37" s="551"/>
      <c r="X37" s="551"/>
      <c r="Z37" s="41"/>
      <c r="AA37" s="41"/>
      <c r="AC37" s="41"/>
      <c r="AD37" s="41"/>
      <c r="AH37" s="568">
        <f t="shared" si="7"/>
        <v>10</v>
      </c>
      <c r="AI37" s="524">
        <f>'Foglio deposito bis'!C163</f>
        <v>0.51089437882755018</v>
      </c>
      <c r="AJ37" s="548">
        <f>'Foglio deposito bis'!D163</f>
        <v>66.212492507926555</v>
      </c>
      <c r="AK37" s="548">
        <f>sezione!AI17</f>
        <v>858.43915725189083</v>
      </c>
      <c r="AL37" s="583">
        <f>IF(DATI!$G$211="sx",IF('Foglio deposito bis'!$F110&lt;=0,sezione!AJ17,sezione!AR17),IF('Foglio deposito bis'!$F110&lt;=0,sezione!AR17,sezione!AJ17))</f>
        <v>40</v>
      </c>
      <c r="AM37" s="583">
        <f>IF(DATI!$G$211="sx",IF('Foglio deposito bis'!$F110&lt;=0,sezione!AK17,sezione!AS17),IF('Foglio deposito bis'!$F110&lt;=0,sezione!AS17,sezione!AK17))</f>
        <v>60</v>
      </c>
      <c r="AN37" s="583">
        <f>IF(DATI!$G$211="sx",IF('Foglio deposito bis'!$F110&lt;=0,sezione!AL17,sezione!AT17),IF('Foglio deposito bis'!$F110&lt;=0,sezione!AT17,sezione!AL17))</f>
        <v>80</v>
      </c>
      <c r="AO37" s="583">
        <f>IF(DATI!$G$211="sx",IF('Foglio deposito bis'!$F110&lt;=0,sezione!AM17,sezione!AU17),IF('Foglio deposito bis'!$F110&lt;=0,sezione!AU17,sezione!AM17))</f>
        <v>160</v>
      </c>
      <c r="AP37" s="583">
        <f>IF(DATI!$G$211="sx",IF('Foglio deposito bis'!$F110&lt;=0,sezione!AN17,sezione!AV17),IF('Foglio deposito bis'!$F110&lt;=0,sezione!AV17,sezione!AN17))</f>
        <v>818.43915725189083</v>
      </c>
      <c r="AQ37" s="570">
        <f>IF(DATI!$C$69="muro a contrafforti",VLOOKUP(sezione!AG57,'SOLLECITAZ NASCOSTO'!$C$23:$M$468,3,TRUE)*1000,"")</f>
        <v>738.43915725189083</v>
      </c>
    </row>
    <row r="38" spans="1:43" x14ac:dyDescent="0.25">
      <c r="A38" s="545">
        <f t="shared" si="2"/>
        <v>483035.40740527975</v>
      </c>
      <c r="B38" s="3">
        <f t="shared" si="4"/>
        <v>1.6500000000000008</v>
      </c>
      <c r="C38" s="545">
        <f>'Foglio deposito bis'!$E$153/$B$247*B38</f>
        <v>5.3480343561549955</v>
      </c>
      <c r="D38" s="603">
        <f>-'Sollecitazioni nel paramento'!$G$47*'Sollecitazioni nel paramento'!$G$41*IF(DATI!$G$211="dx",DATI!$E$61,DATI!$E$64*DATI!$E$63)*1000*C38^2*sezione!$AD$5*(1-sezione!$AD$6)</f>
        <v>-636344.07112073165</v>
      </c>
      <c r="E38" s="545">
        <f>-'Foglio deposito bis'!$F$48*(C38-sezione!$AL$27)*IF(ABS(K38)&lt;'Sollecitazioni nel paramento'!$G$58,ABS(K38)*'Sollecitazioni nel paramento'!$G$54,'Sollecitazioni nel paramento'!$G$53)</f>
        <v>0</v>
      </c>
      <c r="F38" s="545">
        <f>-'Foglio deposito bis'!$F$49*(C38-sezione!$AM$27)*IF(ABS(L38)&lt;'Sollecitazioni nel paramento'!$G$58,ABS(L38)*'Sollecitazioni nel paramento'!$G$54,'Sollecitazioni nel paramento'!$G$53)</f>
        <v>11197448.724192081</v>
      </c>
      <c r="G38" s="545">
        <f>-'Foglio deposito bis'!$F$50*(C38-sezione!$AN$27)*IF(ABS(M38)&lt;'Sollecitazioni nel paramento'!$G$58,ABS(M38)*'Sollecitazioni nel paramento'!$G$54,'Sollecitazioni nel paramento'!$G$53)</f>
        <v>0</v>
      </c>
      <c r="H38" s="545">
        <f>-'Foglio deposito bis'!$F$51*(C38-sezione!$AO$27)*IF(ABS(N38)&lt;'Sollecitazioni nel paramento'!$G$58,ABS(N38)*'Sollecitazioni nel paramento'!$G$54,'Sollecitazioni nel paramento'!$G$53)</f>
        <v>37262849.442834213</v>
      </c>
      <c r="I38" s="472">
        <f>-'Foglio deposito bis'!$F$52*(C38-sezione!$AP$27)*IF(ABS(O38)&lt;'Sollecitazioni nel paramento'!$G$58,ABS(O38)*'Sollecitazioni nel paramento'!$G$54,'Sollecitazioni nel paramento'!$G$53)</f>
        <v>46786769.234445132</v>
      </c>
      <c r="J38" s="472">
        <f t="shared" si="0"/>
        <v>94610723.330350697</v>
      </c>
      <c r="K38" s="550">
        <f>'Sollecitazioni nel paramento'!$G$60*(sezione!$AL$27-C38)/C38</f>
        <v>2.2677842301793649E-2</v>
      </c>
      <c r="L38" s="550">
        <f>'Sollecitazioni nel paramento'!$G$60*(sezione!$AM$27-C38)/C38</f>
        <v>3.5766763452690468E-2</v>
      </c>
      <c r="M38" s="551">
        <f>'Sollecitazioni nel paramento'!$G$60*(sezione!$AN$27-C38)/C38</f>
        <v>4.8855684603587295E-2</v>
      </c>
      <c r="N38" s="551">
        <f>'Sollecitazioni nel paramento'!$G$60*(sezione!$AO$27-C38)/C38</f>
        <v>0.10121136920717459</v>
      </c>
      <c r="O38" s="551">
        <f>'Sollecitazioni nel paramento'!$G$60*(sezione!$AP$27-C38)/C38</f>
        <v>0.12707973345578191</v>
      </c>
      <c r="P38" s="545">
        <f>-'Sollecitazioni nel paramento'!$G$47*'Sollecitazioni nel paramento'!$G$41*IF(DATI!$G$211="dx",DATI!$E$61,DATI!$E$64*DATI!$E$63)*1000*C38*sezione!$AD$5</f>
        <v>-203744.06486643682</v>
      </c>
      <c r="Q38" s="545">
        <f>'Foglio deposito bis'!$F$48*IF(ABS(K38)&lt;'Sollecitazioni nel paramento'!$G$58,ABS(K38)*'Sollecitazioni nel paramento'!$G$54,'Sollecitazioni nel paramento'!$G$53)*IF(K38&lt;0,-1,1)</f>
        <v>0</v>
      </c>
      <c r="R38" s="545">
        <f>'Foglio deposito bis'!$F$49*IF(ABS(L38)&lt;'Sollecitazioni nel paramento'!$G$58,ABS(L38)*'Sollecitazioni nel paramento'!$G$54,'Sollecitazioni nel paramento'!$G$53)*IF(L38&lt;0,-1,1)</f>
        <v>204886.47740803001</v>
      </c>
      <c r="S38" s="545">
        <f>'Foglio deposito bis'!$F$50*IF(ABS(M38)&lt;'Sollecitazioni nel paramento'!$G$58,ABS(M38)*'Sollecitazioni nel paramento'!$G$54,'Sollecitazioni nel paramento'!$G$53)*IF(M38&lt;0,-1,1)</f>
        <v>0</v>
      </c>
      <c r="T38" s="545">
        <f>'Foglio deposito bis'!$F$51*IF(ABS(N38)&lt;'Sollecitazioni nel paramento'!$G$58,ABS(N38)*'Sollecitazioni nel paramento'!$G$54,'Sollecitazioni nel paramento'!$G$53)*IF(N38&lt;0,-1,1)</f>
        <v>240946.49743184328</v>
      </c>
      <c r="U38" s="545">
        <f>'Foglio deposito bis'!$F$52*IF(ABS(O38)&lt;'Sollecitazioni nel paramento'!$G$58,ABS(O38)*'Sollecitazioni nel paramento'!$G$54,'Sollecitazioni nel paramento'!$G$53)*IF(O38&lt;0,-1,1)</f>
        <v>240946.49743184328</v>
      </c>
      <c r="V38" s="472">
        <f t="shared" si="3"/>
        <v>483035.40740527975</v>
      </c>
      <c r="W38" s="551"/>
      <c r="X38" s="551"/>
      <c r="Z38" s="41"/>
      <c r="AA38" s="41"/>
      <c r="AC38" s="41"/>
      <c r="AD38" s="41"/>
    </row>
    <row r="39" spans="1:43" x14ac:dyDescent="0.25">
      <c r="A39" s="545">
        <f t="shared" si="2"/>
        <v>476861.34483356954</v>
      </c>
      <c r="B39" s="3">
        <f t="shared" si="4"/>
        <v>1.7000000000000008</v>
      </c>
      <c r="C39" s="545">
        <f>'Foglio deposito bis'!$E$153/$B$247*B39</f>
        <v>5.5100960033112072</v>
      </c>
      <c r="D39" s="603">
        <f>-'Sollecitazioni nel paramento'!$G$47*'Sollecitazioni nel paramento'!$G$41*IF(DATI!$G$211="dx",DATI!$E$61,DATI!$E$64*DATI!$E$63)*1000*C39^2*sezione!$AD$5*(1-sezione!$AD$6)</f>
        <v>-675494.71645139181</v>
      </c>
      <c r="E39" s="545">
        <f>-'Foglio deposito bis'!$F$48*(C39-sezione!$AL$27)*IF(ABS(K39)&lt;'Sollecitazioni nel paramento'!$G$58,ABS(K39)*'Sollecitazioni nel paramento'!$G$54,'Sollecitazioni nel paramento'!$G$53)</f>
        <v>0</v>
      </c>
      <c r="F39" s="545">
        <f>-'Foglio deposito bis'!$F$49*(C39-sezione!$AM$27)*IF(ABS(L39)&lt;'Sollecitazioni nel paramento'!$G$58,ABS(L39)*'Sollecitazioni nel paramento'!$G$54,'Sollecitazioni nel paramento'!$G$53)</f>
        <v>11164244.484183302</v>
      </c>
      <c r="G39" s="545">
        <f>-'Foglio deposito bis'!$F$50*(C39-sezione!$AN$27)*IF(ABS(M39)&lt;'Sollecitazioni nel paramento'!$G$58,ABS(M39)*'Sollecitazioni nel paramento'!$G$54,'Sollecitazioni nel paramento'!$G$53)</f>
        <v>0</v>
      </c>
      <c r="H39" s="545">
        <f>-'Foglio deposito bis'!$F$51*(C39-sezione!$AO$27)*IF(ABS(N39)&lt;'Sollecitazioni nel paramento'!$G$58,ABS(N39)*'Sollecitazioni nel paramento'!$G$54,'Sollecitazioni nel paramento'!$G$53)</f>
        <v>37223801.256583884</v>
      </c>
      <c r="I39" s="472">
        <f>-'Foglio deposito bis'!$F$52*(C39-sezione!$AP$27)*IF(ABS(O39)&lt;'Sollecitazioni nel paramento'!$G$58,ABS(O39)*'Sollecitazioni nel paramento'!$G$54,'Sollecitazioni nel paramento'!$G$53)</f>
        <v>46747721.048194803</v>
      </c>
      <c r="J39" s="472">
        <f t="shared" si="0"/>
        <v>94460272.0725106</v>
      </c>
      <c r="K39" s="550">
        <f>'Sollecitazioni nel paramento'!$G$60*(sezione!$AL$27-C39)/C39</f>
        <v>2.1907905763505604E-2</v>
      </c>
      <c r="L39" s="550">
        <f>'Sollecitazioni nel paramento'!$G$60*(sezione!$AM$27-C39)/C39</f>
        <v>3.4611858645258405E-2</v>
      </c>
      <c r="M39" s="551">
        <f>'Sollecitazioni nel paramento'!$G$60*(sezione!$AN$27-C39)/C39</f>
        <v>4.7315811527011212E-2</v>
      </c>
      <c r="N39" s="551">
        <f>'Sollecitazioni nel paramento'!$G$60*(sezione!$AO$27-C39)/C39</f>
        <v>9.8131623054022399E-2</v>
      </c>
      <c r="O39" s="551">
        <f>'Sollecitazioni nel paramento'!$G$60*(sezione!$AP$27-C39)/C39</f>
        <v>0.12323915306002363</v>
      </c>
      <c r="P39" s="545">
        <f>-'Sollecitazioni nel paramento'!$G$47*'Sollecitazioni nel paramento'!$G$41*IF(DATI!$G$211="dx",DATI!$E$61,DATI!$E$64*DATI!$E$63)*1000*C39*sezione!$AD$5</f>
        <v>-209918.12743814703</v>
      </c>
      <c r="Q39" s="545">
        <f>'Foglio deposito bis'!$F$48*IF(ABS(K39)&lt;'Sollecitazioni nel paramento'!$G$58,ABS(K39)*'Sollecitazioni nel paramento'!$G$54,'Sollecitazioni nel paramento'!$G$53)*IF(K39&lt;0,-1,1)</f>
        <v>0</v>
      </c>
      <c r="R39" s="545">
        <f>'Foglio deposito bis'!$F$49*IF(ABS(L39)&lt;'Sollecitazioni nel paramento'!$G$58,ABS(L39)*'Sollecitazioni nel paramento'!$G$54,'Sollecitazioni nel paramento'!$G$53)*IF(L39&lt;0,-1,1)</f>
        <v>204886.47740803001</v>
      </c>
      <c r="S39" s="545">
        <f>'Foglio deposito bis'!$F$50*IF(ABS(M39)&lt;'Sollecitazioni nel paramento'!$G$58,ABS(M39)*'Sollecitazioni nel paramento'!$G$54,'Sollecitazioni nel paramento'!$G$53)*IF(M39&lt;0,-1,1)</f>
        <v>0</v>
      </c>
      <c r="T39" s="545">
        <f>'Foglio deposito bis'!$F$51*IF(ABS(N39)&lt;'Sollecitazioni nel paramento'!$G$58,ABS(N39)*'Sollecitazioni nel paramento'!$G$54,'Sollecitazioni nel paramento'!$G$53)*IF(N39&lt;0,-1,1)</f>
        <v>240946.49743184328</v>
      </c>
      <c r="U39" s="545">
        <f>'Foglio deposito bis'!$F$52*IF(ABS(O39)&lt;'Sollecitazioni nel paramento'!$G$58,ABS(O39)*'Sollecitazioni nel paramento'!$G$54,'Sollecitazioni nel paramento'!$G$53)*IF(O39&lt;0,-1,1)</f>
        <v>240946.49743184328</v>
      </c>
      <c r="V39" s="472">
        <f t="shared" si="3"/>
        <v>476861.34483356954</v>
      </c>
      <c r="W39" s="551"/>
      <c r="X39" s="551"/>
      <c r="Z39" s="1040" t="s">
        <v>973</v>
      </c>
      <c r="AA39" s="1040"/>
      <c r="AC39" s="1040" t="s">
        <v>973</v>
      </c>
      <c r="AD39" s="1040"/>
    </row>
    <row r="40" spans="1:43" x14ac:dyDescent="0.25">
      <c r="A40" s="545">
        <f t="shared" si="2"/>
        <v>470687.28226185933</v>
      </c>
      <c r="B40" s="3">
        <f t="shared" si="4"/>
        <v>1.7500000000000009</v>
      </c>
      <c r="C40" s="545">
        <f>'Foglio deposito bis'!$E$153/$B$247*B40</f>
        <v>5.6721576504674189</v>
      </c>
      <c r="D40" s="603">
        <f>-'Sollecitazioni nel paramento'!$G$47*'Sollecitazioni nel paramento'!$G$41*IF(DATI!$G$211="dx",DATI!$E$61,DATI!$E$64*DATI!$E$63)*1000*C40^2*sezione!$AD$5*(1-sezione!$AD$6)</f>
        <v>-715814.03776207182</v>
      </c>
      <c r="E40" s="545">
        <f>-'Foglio deposito bis'!$F$48*(C40-sezione!$AL$27)*IF(ABS(K40)&lt;'Sollecitazioni nel paramento'!$G$58,ABS(K40)*'Sollecitazioni nel paramento'!$G$54,'Sollecitazioni nel paramento'!$G$53)</f>
        <v>0</v>
      </c>
      <c r="F40" s="545">
        <f>-'Foglio deposito bis'!$F$49*(C40-sezione!$AM$27)*IF(ABS(L40)&lt;'Sollecitazioni nel paramento'!$G$58,ABS(L40)*'Sollecitazioni nel paramento'!$G$54,'Sollecitazioni nel paramento'!$G$53)</f>
        <v>11131040.244174523</v>
      </c>
      <c r="G40" s="545">
        <f>-'Foglio deposito bis'!$F$50*(C40-sezione!$AN$27)*IF(ABS(M40)&lt;'Sollecitazioni nel paramento'!$G$58,ABS(M40)*'Sollecitazioni nel paramento'!$G$54,'Sollecitazioni nel paramento'!$G$53)</f>
        <v>0</v>
      </c>
      <c r="H40" s="545">
        <f>-'Foglio deposito bis'!$F$51*(C40-sezione!$AO$27)*IF(ABS(N40)&lt;'Sollecitazioni nel paramento'!$G$58,ABS(N40)*'Sollecitazioni nel paramento'!$G$54,'Sollecitazioni nel paramento'!$G$53)</f>
        <v>37184753.070333563</v>
      </c>
      <c r="I40" s="472">
        <f>-'Foglio deposito bis'!$F$52*(C40-sezione!$AP$27)*IF(ABS(O40)&lt;'Sollecitazioni nel paramento'!$G$58,ABS(O40)*'Sollecitazioni nel paramento'!$G$54,'Sollecitazioni nel paramento'!$G$53)</f>
        <v>46708672.861944474</v>
      </c>
      <c r="J40" s="472">
        <f t="shared" si="0"/>
        <v>94308652.138690487</v>
      </c>
      <c r="K40" s="550">
        <f>'Sollecitazioni nel paramento'!$G$60*(sezione!$AL$27-C40)/C40</f>
        <v>2.1181965598834014E-2</v>
      </c>
      <c r="L40" s="550">
        <f>'Sollecitazioni nel paramento'!$G$60*(sezione!$AM$27-C40)/C40</f>
        <v>3.3522948398251026E-2</v>
      </c>
      <c r="M40" s="551">
        <f>'Sollecitazioni nel paramento'!$G$60*(sezione!$AN$27-C40)/C40</f>
        <v>4.5863931197668024E-2</v>
      </c>
      <c r="N40" s="551">
        <f>'Sollecitazioni nel paramento'!$G$60*(sezione!$AO$27-C40)/C40</f>
        <v>9.5227862395336052E-2</v>
      </c>
      <c r="O40" s="551">
        <f>'Sollecitazioni nel paramento'!$G$60*(sezione!$AP$27-C40)/C40</f>
        <v>0.11961803440116582</v>
      </c>
      <c r="P40" s="545">
        <f>-'Sollecitazioni nel paramento'!$G$47*'Sollecitazioni nel paramento'!$G$41*IF(DATI!$G$211="dx",DATI!$E$61,DATI!$E$64*DATI!$E$63)*1000*C40*sezione!$AD$5</f>
        <v>-216092.19000985724</v>
      </c>
      <c r="Q40" s="545">
        <f>'Foglio deposito bis'!$F$48*IF(ABS(K40)&lt;'Sollecitazioni nel paramento'!$G$58,ABS(K40)*'Sollecitazioni nel paramento'!$G$54,'Sollecitazioni nel paramento'!$G$53)*IF(K40&lt;0,-1,1)</f>
        <v>0</v>
      </c>
      <c r="R40" s="545">
        <f>'Foglio deposito bis'!$F$49*IF(ABS(L40)&lt;'Sollecitazioni nel paramento'!$G$58,ABS(L40)*'Sollecitazioni nel paramento'!$G$54,'Sollecitazioni nel paramento'!$G$53)*IF(L40&lt;0,-1,1)</f>
        <v>204886.47740803001</v>
      </c>
      <c r="S40" s="545">
        <f>'Foglio deposito bis'!$F$50*IF(ABS(M40)&lt;'Sollecitazioni nel paramento'!$G$58,ABS(M40)*'Sollecitazioni nel paramento'!$G$54,'Sollecitazioni nel paramento'!$G$53)*IF(M40&lt;0,-1,1)</f>
        <v>0</v>
      </c>
      <c r="T40" s="545">
        <f>'Foglio deposito bis'!$F$51*IF(ABS(N40)&lt;'Sollecitazioni nel paramento'!$G$58,ABS(N40)*'Sollecitazioni nel paramento'!$G$54,'Sollecitazioni nel paramento'!$G$53)*IF(N40&lt;0,-1,1)</f>
        <v>240946.49743184328</v>
      </c>
      <c r="U40" s="545">
        <f>'Foglio deposito bis'!$F$52*IF(ABS(O40)&lt;'Sollecitazioni nel paramento'!$G$58,ABS(O40)*'Sollecitazioni nel paramento'!$G$54,'Sollecitazioni nel paramento'!$G$53)*IF(O40&lt;0,-1,1)</f>
        <v>240946.49743184328</v>
      </c>
      <c r="V40" s="472">
        <f t="shared" si="3"/>
        <v>470687.28226185933</v>
      </c>
      <c r="W40" s="551"/>
      <c r="X40" s="551"/>
      <c r="Z40" s="483">
        <f>DATI!E61/2*1.2</f>
        <v>1.5</v>
      </c>
      <c r="AA40" s="483">
        <f>sezione!AV17/1000</f>
        <v>0.81843915725189087</v>
      </c>
      <c r="AC40" s="578">
        <f>Z40</f>
        <v>1.5</v>
      </c>
      <c r="AD40" s="578">
        <f>sezione!AV7/1000</f>
        <v>0.19952711449688101</v>
      </c>
    </row>
    <row r="41" spans="1:43" x14ac:dyDescent="0.25">
      <c r="A41" s="545">
        <f t="shared" si="2"/>
        <v>464513.21969014913</v>
      </c>
      <c r="B41" s="3">
        <f t="shared" si="4"/>
        <v>1.8000000000000009</v>
      </c>
      <c r="C41" s="545">
        <f>'Foglio deposito bis'!$E$153/$B$247*B41</f>
        <v>5.8342192976236316</v>
      </c>
      <c r="D41" s="603">
        <f>-'Sollecitazioni nel paramento'!$G$47*'Sollecitazioni nel paramento'!$G$41*IF(DATI!$G$211="dx",DATI!$E$61,DATI!$E$64*DATI!$E$63)*1000*C41^2*sezione!$AD$5*(1-sezione!$AD$6)</f>
        <v>-757302.03505277168</v>
      </c>
      <c r="E41" s="545">
        <f>-'Foglio deposito bis'!$F$48*(C41-sezione!$AL$27)*IF(ABS(K41)&lt;'Sollecitazioni nel paramento'!$G$58,ABS(K41)*'Sollecitazioni nel paramento'!$G$54,'Sollecitazioni nel paramento'!$G$53)</f>
        <v>0</v>
      </c>
      <c r="F41" s="545">
        <f>-'Foglio deposito bis'!$F$49*(C41-sezione!$AM$27)*IF(ABS(L41)&lt;'Sollecitazioni nel paramento'!$G$58,ABS(L41)*'Sollecitazioni nel paramento'!$G$54,'Sollecitazioni nel paramento'!$G$53)</f>
        <v>11097836.004165743</v>
      </c>
      <c r="G41" s="545">
        <f>-'Foglio deposito bis'!$F$50*(C41-sezione!$AN$27)*IF(ABS(M41)&lt;'Sollecitazioni nel paramento'!$G$58,ABS(M41)*'Sollecitazioni nel paramento'!$G$54,'Sollecitazioni nel paramento'!$G$53)</f>
        <v>0</v>
      </c>
      <c r="H41" s="545">
        <f>-'Foglio deposito bis'!$F$51*(C41-sezione!$AO$27)*IF(ABS(N41)&lt;'Sollecitazioni nel paramento'!$G$58,ABS(N41)*'Sollecitazioni nel paramento'!$G$54,'Sollecitazioni nel paramento'!$G$53)</f>
        <v>37145704.884083241</v>
      </c>
      <c r="I41" s="472">
        <f>-'Foglio deposito bis'!$F$52*(C41-sezione!$AP$27)*IF(ABS(O41)&lt;'Sollecitazioni nel paramento'!$G$58,ABS(O41)*'Sollecitazioni nel paramento'!$G$54,'Sollecitazioni nel paramento'!$G$53)</f>
        <v>46669624.67569416</v>
      </c>
      <c r="J41" s="472">
        <f t="shared" si="0"/>
        <v>94155863.528890371</v>
      </c>
      <c r="K41" s="550">
        <f>'Sollecitazioni nel paramento'!$G$60*(sezione!$AL$27-C41)/C41</f>
        <v>2.0496355443310844E-2</v>
      </c>
      <c r="L41" s="550">
        <f>'Sollecitazioni nel paramento'!$G$60*(sezione!$AM$27-C41)/C41</f>
        <v>3.2494533164966269E-2</v>
      </c>
      <c r="M41" s="551">
        <f>'Sollecitazioni nel paramento'!$G$60*(sezione!$AN$27-C41)/C41</f>
        <v>4.4492710886621691E-2</v>
      </c>
      <c r="N41" s="551">
        <f>'Sollecitazioni nel paramento'!$G$60*(sezione!$AO$27-C41)/C41</f>
        <v>9.2485421773243384E-2</v>
      </c>
      <c r="O41" s="551">
        <f>'Sollecitazioni nel paramento'!$G$60*(sezione!$AP$27-C41)/C41</f>
        <v>0.11619808900113343</v>
      </c>
      <c r="P41" s="545">
        <f>-'Sollecitazioni nel paramento'!$G$47*'Sollecitazioni nel paramento'!$G$41*IF(DATI!$G$211="dx",DATI!$E$61,DATI!$E$64*DATI!$E$63)*1000*C41*sezione!$AD$5</f>
        <v>-222266.25258156745</v>
      </c>
      <c r="Q41" s="545">
        <f>'Foglio deposito bis'!$F$48*IF(ABS(K41)&lt;'Sollecitazioni nel paramento'!$G$58,ABS(K41)*'Sollecitazioni nel paramento'!$G$54,'Sollecitazioni nel paramento'!$G$53)*IF(K41&lt;0,-1,1)</f>
        <v>0</v>
      </c>
      <c r="R41" s="545">
        <f>'Foglio deposito bis'!$F$49*IF(ABS(L41)&lt;'Sollecitazioni nel paramento'!$G$58,ABS(L41)*'Sollecitazioni nel paramento'!$G$54,'Sollecitazioni nel paramento'!$G$53)*IF(L41&lt;0,-1,1)</f>
        <v>204886.47740803001</v>
      </c>
      <c r="S41" s="545">
        <f>'Foglio deposito bis'!$F$50*IF(ABS(M41)&lt;'Sollecitazioni nel paramento'!$G$58,ABS(M41)*'Sollecitazioni nel paramento'!$G$54,'Sollecitazioni nel paramento'!$G$53)*IF(M41&lt;0,-1,1)</f>
        <v>0</v>
      </c>
      <c r="T41" s="545">
        <f>'Foglio deposito bis'!$F$51*IF(ABS(N41)&lt;'Sollecitazioni nel paramento'!$G$58,ABS(N41)*'Sollecitazioni nel paramento'!$G$54,'Sollecitazioni nel paramento'!$G$53)*IF(N41&lt;0,-1,1)</f>
        <v>240946.49743184328</v>
      </c>
      <c r="U41" s="545">
        <f>'Foglio deposito bis'!$F$52*IF(ABS(O41)&lt;'Sollecitazioni nel paramento'!$G$58,ABS(O41)*'Sollecitazioni nel paramento'!$G$54,'Sollecitazioni nel paramento'!$G$53)*IF(O41&lt;0,-1,1)</f>
        <v>240946.49743184328</v>
      </c>
      <c r="V41" s="472">
        <f t="shared" si="3"/>
        <v>464513.21969014913</v>
      </c>
      <c r="W41" s="551"/>
      <c r="X41" s="551"/>
      <c r="Z41" s="483">
        <f>-DATI!E61/2</f>
        <v>-1.25</v>
      </c>
      <c r="AA41" s="483">
        <f>AA40</f>
        <v>0.81843915725189087</v>
      </c>
      <c r="AC41" s="578">
        <f>-DATI!H61/2</f>
        <v>0</v>
      </c>
      <c r="AD41" s="578">
        <f>AD40</f>
        <v>0.19952711449688101</v>
      </c>
    </row>
    <row r="42" spans="1:43" x14ac:dyDescent="0.25">
      <c r="A42" s="545">
        <f t="shared" si="2"/>
        <v>458339.15711843892</v>
      </c>
      <c r="B42" s="3">
        <f t="shared" si="4"/>
        <v>1.850000000000001</v>
      </c>
      <c r="C42" s="545">
        <f>'Foglio deposito bis'!$E$153/$B$247*B42</f>
        <v>5.9962809447798433</v>
      </c>
      <c r="D42" s="603">
        <f>-'Sollecitazioni nel paramento'!$G$47*'Sollecitazioni nel paramento'!$G$41*IF(DATI!$G$211="dx",DATI!$E$61,DATI!$E$64*DATI!$E$63)*1000*C42^2*sezione!$AD$5*(1-sezione!$AD$6)</f>
        <v>-799958.70832349104</v>
      </c>
      <c r="E42" s="545">
        <f>-'Foglio deposito bis'!$F$48*(C42-sezione!$AL$27)*IF(ABS(K42)&lt;'Sollecitazioni nel paramento'!$G$58,ABS(K42)*'Sollecitazioni nel paramento'!$G$54,'Sollecitazioni nel paramento'!$G$53)</f>
        <v>0</v>
      </c>
      <c r="F42" s="545">
        <f>-'Foglio deposito bis'!$F$49*(C42-sezione!$AM$27)*IF(ABS(L42)&lt;'Sollecitazioni nel paramento'!$G$58,ABS(L42)*'Sollecitazioni nel paramento'!$G$54,'Sollecitazioni nel paramento'!$G$53)</f>
        <v>11064631.764156966</v>
      </c>
      <c r="G42" s="545">
        <f>-'Foglio deposito bis'!$F$50*(C42-sezione!$AN$27)*IF(ABS(M42)&lt;'Sollecitazioni nel paramento'!$G$58,ABS(M42)*'Sollecitazioni nel paramento'!$G$54,'Sollecitazioni nel paramento'!$G$53)</f>
        <v>0</v>
      </c>
      <c r="H42" s="545">
        <f>-'Foglio deposito bis'!$F$51*(C42-sezione!$AO$27)*IF(ABS(N42)&lt;'Sollecitazioni nel paramento'!$G$58,ABS(N42)*'Sollecitazioni nel paramento'!$G$54,'Sollecitazioni nel paramento'!$G$53)</f>
        <v>37106656.69783292</v>
      </c>
      <c r="I42" s="472">
        <f>-'Foglio deposito bis'!$F$52*(C42-sezione!$AP$27)*IF(ABS(O42)&lt;'Sollecitazioni nel paramento'!$G$58,ABS(O42)*'Sollecitazioni nel paramento'!$G$54,'Sollecitazioni nel paramento'!$G$53)</f>
        <v>46630576.489443831</v>
      </c>
      <c r="J42" s="472">
        <f t="shared" si="0"/>
        <v>94001906.243110225</v>
      </c>
      <c r="K42" s="550">
        <f>'Sollecitazioni nel paramento'!$G$60*(sezione!$AL$27-C42)/C42</f>
        <v>1.984780529619434E-2</v>
      </c>
      <c r="L42" s="550">
        <f>'Sollecitazioni nel paramento'!$G$60*(sezione!$AM$27-C42)/C42</f>
        <v>3.1521707944291502E-2</v>
      </c>
      <c r="M42" s="551">
        <f>'Sollecitazioni nel paramento'!$G$60*(sezione!$AN$27-C42)/C42</f>
        <v>4.3195610592388668E-2</v>
      </c>
      <c r="N42" s="551">
        <f>'Sollecitazioni nel paramento'!$G$60*(sezione!$AO$27-C42)/C42</f>
        <v>8.9891221184777353E-2</v>
      </c>
      <c r="O42" s="551">
        <f>'Sollecitazioni nel paramento'!$G$60*(sezione!$AP$27-C42)/C42</f>
        <v>0.1129630055146163</v>
      </c>
      <c r="P42" s="545">
        <f>-'Sollecitazioni nel paramento'!$G$47*'Sollecitazioni nel paramento'!$G$41*IF(DATI!$G$211="dx",DATI!$E$61,DATI!$E$64*DATI!$E$63)*1000*C42*sezione!$AD$5</f>
        <v>-228440.31515327765</v>
      </c>
      <c r="Q42" s="545">
        <f>'Foglio deposito bis'!$F$48*IF(ABS(K42)&lt;'Sollecitazioni nel paramento'!$G$58,ABS(K42)*'Sollecitazioni nel paramento'!$G$54,'Sollecitazioni nel paramento'!$G$53)*IF(K42&lt;0,-1,1)</f>
        <v>0</v>
      </c>
      <c r="R42" s="545">
        <f>'Foglio deposito bis'!$F$49*IF(ABS(L42)&lt;'Sollecitazioni nel paramento'!$G$58,ABS(L42)*'Sollecitazioni nel paramento'!$G$54,'Sollecitazioni nel paramento'!$G$53)*IF(L42&lt;0,-1,1)</f>
        <v>204886.47740803001</v>
      </c>
      <c r="S42" s="545">
        <f>'Foglio deposito bis'!$F$50*IF(ABS(M42)&lt;'Sollecitazioni nel paramento'!$G$58,ABS(M42)*'Sollecitazioni nel paramento'!$G$54,'Sollecitazioni nel paramento'!$G$53)*IF(M42&lt;0,-1,1)</f>
        <v>0</v>
      </c>
      <c r="T42" s="545">
        <f>'Foglio deposito bis'!$F$51*IF(ABS(N42)&lt;'Sollecitazioni nel paramento'!$G$58,ABS(N42)*'Sollecitazioni nel paramento'!$G$54,'Sollecitazioni nel paramento'!$G$53)*IF(N42&lt;0,-1,1)</f>
        <v>240946.49743184328</v>
      </c>
      <c r="U42" s="545">
        <f>'Foglio deposito bis'!$F$52*IF(ABS(O42)&lt;'Sollecitazioni nel paramento'!$G$58,ABS(O42)*'Sollecitazioni nel paramento'!$G$54,'Sollecitazioni nel paramento'!$G$53)*IF(O42&lt;0,-1,1)</f>
        <v>240946.49743184328</v>
      </c>
      <c r="V42" s="472">
        <f t="shared" si="3"/>
        <v>458339.15711843892</v>
      </c>
      <c r="W42" s="551"/>
      <c r="X42" s="551"/>
    </row>
    <row r="43" spans="1:43" x14ac:dyDescent="0.25">
      <c r="A43" s="545">
        <f t="shared" si="2"/>
        <v>452165.09454672877</v>
      </c>
      <c r="B43" s="3">
        <f t="shared" si="4"/>
        <v>1.900000000000001</v>
      </c>
      <c r="C43" s="545">
        <f>'Foglio deposito bis'!$E$153/$B$247*B43</f>
        <v>6.158342591936055</v>
      </c>
      <c r="D43" s="603">
        <f>-'Sollecitazioni nel paramento'!$G$47*'Sollecitazioni nel paramento'!$G$41*IF(DATI!$G$211="dx",DATI!$E$61,DATI!$E$64*DATI!$E$63)*1000*C43^2*sezione!$AD$5*(1-sezione!$AD$6)</f>
        <v>-843784.05757423001</v>
      </c>
      <c r="E43" s="545">
        <f>-'Foglio deposito bis'!$F$48*(C43-sezione!$AL$27)*IF(ABS(K43)&lt;'Sollecitazioni nel paramento'!$G$58,ABS(K43)*'Sollecitazioni nel paramento'!$G$54,'Sollecitazioni nel paramento'!$G$53)</f>
        <v>0</v>
      </c>
      <c r="F43" s="545">
        <f>-'Foglio deposito bis'!$F$49*(C43-sezione!$AM$27)*IF(ABS(L43)&lt;'Sollecitazioni nel paramento'!$G$58,ABS(L43)*'Sollecitazioni nel paramento'!$G$54,'Sollecitazioni nel paramento'!$G$53)</f>
        <v>11031427.524148185</v>
      </c>
      <c r="G43" s="545">
        <f>-'Foglio deposito bis'!$F$50*(C43-sezione!$AN$27)*IF(ABS(M43)&lt;'Sollecitazioni nel paramento'!$G$58,ABS(M43)*'Sollecitazioni nel paramento'!$G$54,'Sollecitazioni nel paramento'!$G$53)</f>
        <v>0</v>
      </c>
      <c r="H43" s="545">
        <f>-'Foglio deposito bis'!$F$51*(C43-sezione!$AO$27)*IF(ABS(N43)&lt;'Sollecitazioni nel paramento'!$G$58,ABS(N43)*'Sollecitazioni nel paramento'!$G$54,'Sollecitazioni nel paramento'!$G$53)</f>
        <v>37067608.511582591</v>
      </c>
      <c r="I43" s="472">
        <f>-'Foglio deposito bis'!$F$52*(C43-sezione!$AP$27)*IF(ABS(O43)&lt;'Sollecitazioni nel paramento'!$G$58,ABS(O43)*'Sollecitazioni nel paramento'!$G$54,'Sollecitazioni nel paramento'!$G$53)</f>
        <v>46591528.30319351</v>
      </c>
      <c r="J43" s="472">
        <f t="shared" si="0"/>
        <v>93846780.281350046</v>
      </c>
      <c r="K43" s="550">
        <f>'Sollecitazioni nel paramento'!$G$60*(sezione!$AL$27-C43)/C43</f>
        <v>1.9233389367347118E-2</v>
      </c>
      <c r="L43" s="550">
        <f>'Sollecitazioni nel paramento'!$G$60*(sezione!$AM$27-C43)/C43</f>
        <v>3.0600084051020673E-2</v>
      </c>
      <c r="M43" s="551">
        <f>'Sollecitazioni nel paramento'!$G$60*(sezione!$AN$27-C43)/C43</f>
        <v>4.1966778734694239E-2</v>
      </c>
      <c r="N43" s="551">
        <f>'Sollecitazioni nel paramento'!$G$60*(sezione!$AO$27-C43)/C43</f>
        <v>8.7433557469388468E-2</v>
      </c>
      <c r="O43" s="551">
        <f>'Sollecitazioni nel paramento'!$G$60*(sezione!$AP$27-C43)/C43</f>
        <v>0.10989818958002115</v>
      </c>
      <c r="P43" s="545">
        <f>-'Sollecitazioni nel paramento'!$G$47*'Sollecitazioni nel paramento'!$G$41*IF(DATI!$G$211="dx",DATI!$E$61,DATI!$E$64*DATI!$E$63)*1000*C43*sezione!$AD$5</f>
        <v>-234614.37772498783</v>
      </c>
      <c r="Q43" s="545">
        <f>'Foglio deposito bis'!$F$48*IF(ABS(K43)&lt;'Sollecitazioni nel paramento'!$G$58,ABS(K43)*'Sollecitazioni nel paramento'!$G$54,'Sollecitazioni nel paramento'!$G$53)*IF(K43&lt;0,-1,1)</f>
        <v>0</v>
      </c>
      <c r="R43" s="545">
        <f>'Foglio deposito bis'!$F$49*IF(ABS(L43)&lt;'Sollecitazioni nel paramento'!$G$58,ABS(L43)*'Sollecitazioni nel paramento'!$G$54,'Sollecitazioni nel paramento'!$G$53)*IF(L43&lt;0,-1,1)</f>
        <v>204886.47740803001</v>
      </c>
      <c r="S43" s="545">
        <f>'Foglio deposito bis'!$F$50*IF(ABS(M43)&lt;'Sollecitazioni nel paramento'!$G$58,ABS(M43)*'Sollecitazioni nel paramento'!$G$54,'Sollecitazioni nel paramento'!$G$53)*IF(M43&lt;0,-1,1)</f>
        <v>0</v>
      </c>
      <c r="T43" s="545">
        <f>'Foglio deposito bis'!$F$51*IF(ABS(N43)&lt;'Sollecitazioni nel paramento'!$G$58,ABS(N43)*'Sollecitazioni nel paramento'!$G$54,'Sollecitazioni nel paramento'!$G$53)*IF(N43&lt;0,-1,1)</f>
        <v>240946.49743184328</v>
      </c>
      <c r="U43" s="545">
        <f>'Foglio deposito bis'!$F$52*IF(ABS(O43)&lt;'Sollecitazioni nel paramento'!$G$58,ABS(O43)*'Sollecitazioni nel paramento'!$G$54,'Sollecitazioni nel paramento'!$G$53)*IF(O43&lt;0,-1,1)</f>
        <v>240946.49743184328</v>
      </c>
      <c r="V43" s="472">
        <f t="shared" si="3"/>
        <v>452165.09454672877</v>
      </c>
      <c r="W43" s="551"/>
      <c r="X43" s="551"/>
    </row>
    <row r="44" spans="1:43" x14ac:dyDescent="0.25">
      <c r="A44" s="545">
        <f t="shared" si="2"/>
        <v>445991.0319750185</v>
      </c>
      <c r="B44" s="3">
        <f t="shared" si="4"/>
        <v>1.9500000000000011</v>
      </c>
      <c r="C44" s="545">
        <f>'Foglio deposito bis'!$E$153/$B$247*B44</f>
        <v>6.3204042390922677</v>
      </c>
      <c r="D44" s="603">
        <f>-'Sollecitazioni nel paramento'!$G$47*'Sollecitazioni nel paramento'!$G$41*IF(DATI!$G$211="dx",DATI!$E$61,DATI!$E$64*DATI!$E$63)*1000*C44^2*sezione!$AD$5*(1-sezione!$AD$6)</f>
        <v>-888778.08280498895</v>
      </c>
      <c r="E44" s="545">
        <f>-'Foglio deposito bis'!$F$48*(C44-sezione!$AL$27)*IF(ABS(K44)&lt;'Sollecitazioni nel paramento'!$G$58,ABS(K44)*'Sollecitazioni nel paramento'!$G$54,'Sollecitazioni nel paramento'!$G$53)</f>
        <v>0</v>
      </c>
      <c r="F44" s="545">
        <f>-'Foglio deposito bis'!$F$49*(C44-sezione!$AM$27)*IF(ABS(L44)&lt;'Sollecitazioni nel paramento'!$G$58,ABS(L44)*'Sollecitazioni nel paramento'!$G$54,'Sollecitazioni nel paramento'!$G$53)</f>
        <v>10998223.284139404</v>
      </c>
      <c r="G44" s="545">
        <f>-'Foglio deposito bis'!$F$50*(C44-sezione!$AN$27)*IF(ABS(M44)&lt;'Sollecitazioni nel paramento'!$G$58,ABS(M44)*'Sollecitazioni nel paramento'!$G$54,'Sollecitazioni nel paramento'!$G$53)</f>
        <v>0</v>
      </c>
      <c r="H44" s="545">
        <f>-'Foglio deposito bis'!$F$51*(C44-sezione!$AO$27)*IF(ABS(N44)&lt;'Sollecitazioni nel paramento'!$G$58,ABS(N44)*'Sollecitazioni nel paramento'!$G$54,'Sollecitazioni nel paramento'!$G$53)</f>
        <v>37028560.325332269</v>
      </c>
      <c r="I44" s="472">
        <f>-'Foglio deposito bis'!$F$52*(C44-sezione!$AP$27)*IF(ABS(O44)&lt;'Sollecitazioni nel paramento'!$G$58,ABS(O44)*'Sollecitazioni nel paramento'!$G$54,'Sollecitazioni nel paramento'!$G$53)</f>
        <v>46552480.116943188</v>
      </c>
      <c r="J44" s="472">
        <f t="shared" si="0"/>
        <v>93690485.643609881</v>
      </c>
      <c r="K44" s="550">
        <f>'Sollecitazioni nel paramento'!$G$60*(sezione!$AL$27-C44)/C44</f>
        <v>1.8650481947671549E-2</v>
      </c>
      <c r="L44" s="550">
        <f>'Sollecitazioni nel paramento'!$G$60*(sezione!$AM$27-C44)/C44</f>
        <v>2.9725722921507321E-2</v>
      </c>
      <c r="M44" s="551">
        <f>'Sollecitazioni nel paramento'!$G$60*(sezione!$AN$27-C44)/C44</f>
        <v>4.0800963895343101E-2</v>
      </c>
      <c r="N44" s="551">
        <f>'Sollecitazioni nel paramento'!$G$60*(sezione!$AO$27-C44)/C44</f>
        <v>8.5101927790686191E-2</v>
      </c>
      <c r="O44" s="551">
        <f>'Sollecitazioni nel paramento'!$G$60*(sezione!$AP$27-C44)/C44</f>
        <v>0.10699054369335394</v>
      </c>
      <c r="P44" s="545">
        <f>-'Sollecitazioni nel paramento'!$G$47*'Sollecitazioni nel paramento'!$G$41*IF(DATI!$G$211="dx",DATI!$E$61,DATI!$E$64*DATI!$E$63)*1000*C44*sezione!$AD$5</f>
        <v>-240788.44029669807</v>
      </c>
      <c r="Q44" s="545">
        <f>'Foglio deposito bis'!$F$48*IF(ABS(K44)&lt;'Sollecitazioni nel paramento'!$G$58,ABS(K44)*'Sollecitazioni nel paramento'!$G$54,'Sollecitazioni nel paramento'!$G$53)*IF(K44&lt;0,-1,1)</f>
        <v>0</v>
      </c>
      <c r="R44" s="545">
        <f>'Foglio deposito bis'!$F$49*IF(ABS(L44)&lt;'Sollecitazioni nel paramento'!$G$58,ABS(L44)*'Sollecitazioni nel paramento'!$G$54,'Sollecitazioni nel paramento'!$G$53)*IF(L44&lt;0,-1,1)</f>
        <v>204886.47740803001</v>
      </c>
      <c r="S44" s="545">
        <f>'Foglio deposito bis'!$F$50*IF(ABS(M44)&lt;'Sollecitazioni nel paramento'!$G$58,ABS(M44)*'Sollecitazioni nel paramento'!$G$54,'Sollecitazioni nel paramento'!$G$53)*IF(M44&lt;0,-1,1)</f>
        <v>0</v>
      </c>
      <c r="T44" s="545">
        <f>'Foglio deposito bis'!$F$51*IF(ABS(N44)&lt;'Sollecitazioni nel paramento'!$G$58,ABS(N44)*'Sollecitazioni nel paramento'!$G$54,'Sollecitazioni nel paramento'!$G$53)*IF(N44&lt;0,-1,1)</f>
        <v>240946.49743184328</v>
      </c>
      <c r="U44" s="545">
        <f>'Foglio deposito bis'!$F$52*IF(ABS(O44)&lt;'Sollecitazioni nel paramento'!$G$58,ABS(O44)*'Sollecitazioni nel paramento'!$G$54,'Sollecitazioni nel paramento'!$G$53)*IF(O44&lt;0,-1,1)</f>
        <v>240946.49743184328</v>
      </c>
      <c r="V44" s="472">
        <f t="shared" si="3"/>
        <v>445991.0319750185</v>
      </c>
      <c r="W44" s="551"/>
      <c r="X44" s="551"/>
    </row>
    <row r="45" spans="1:43" x14ac:dyDescent="0.25">
      <c r="A45" s="545">
        <f t="shared" si="2"/>
        <v>439816.96940330835</v>
      </c>
      <c r="B45" s="3">
        <f t="shared" si="4"/>
        <v>2.0000000000000009</v>
      </c>
      <c r="C45" s="545">
        <f>'Foglio deposito bis'!$E$153/$B$247*B45</f>
        <v>6.4824658862484785</v>
      </c>
      <c r="D45" s="603">
        <f>-'Sollecitazioni nel paramento'!$G$47*'Sollecitazioni nel paramento'!$G$41*IF(DATI!$G$211="dx",DATI!$E$61,DATI!$E$64*DATI!$E$63)*1000*C45^2*sezione!$AD$5*(1-sezione!$AD$6)</f>
        <v>-934940.78401576728</v>
      </c>
      <c r="E45" s="545">
        <f>-'Foglio deposito bis'!$F$48*(C45-sezione!$AL$27)*IF(ABS(K45)&lt;'Sollecitazioni nel paramento'!$G$58,ABS(K45)*'Sollecitazioni nel paramento'!$G$54,'Sollecitazioni nel paramento'!$G$53)</f>
        <v>0</v>
      </c>
      <c r="F45" s="545">
        <f>-'Foglio deposito bis'!$F$49*(C45-sezione!$AM$27)*IF(ABS(L45)&lt;'Sollecitazioni nel paramento'!$G$58,ABS(L45)*'Sollecitazioni nel paramento'!$G$54,'Sollecitazioni nel paramento'!$G$53)</f>
        <v>10965019.044130627</v>
      </c>
      <c r="G45" s="545">
        <f>-'Foglio deposito bis'!$F$50*(C45-sezione!$AN$27)*IF(ABS(M45)&lt;'Sollecitazioni nel paramento'!$G$58,ABS(M45)*'Sollecitazioni nel paramento'!$G$54,'Sollecitazioni nel paramento'!$G$53)</f>
        <v>0</v>
      </c>
      <c r="H45" s="545">
        <f>-'Foglio deposito bis'!$F$51*(C45-sezione!$AO$27)*IF(ABS(N45)&lt;'Sollecitazioni nel paramento'!$G$58,ABS(N45)*'Sollecitazioni nel paramento'!$G$54,'Sollecitazioni nel paramento'!$G$53)</f>
        <v>36989512.13908194</v>
      </c>
      <c r="I45" s="472">
        <f>-'Foglio deposito bis'!$F$52*(C45-sezione!$AP$27)*IF(ABS(O45)&lt;'Sollecitazioni nel paramento'!$G$58,ABS(O45)*'Sollecitazioni nel paramento'!$G$54,'Sollecitazioni nel paramento'!$G$53)</f>
        <v>46513431.930692852</v>
      </c>
      <c r="J45" s="472">
        <f t="shared" si="0"/>
        <v>93533022.329889655</v>
      </c>
      <c r="K45" s="550">
        <f>'Sollecitazioni nel paramento'!$G$60*(sezione!$AL$27-C45)/C45</f>
        <v>1.8096719898979763E-2</v>
      </c>
      <c r="L45" s="550">
        <f>'Sollecitazioni nel paramento'!$G$60*(sezione!$AM$27-C45)/C45</f>
        <v>2.8895079848469646E-2</v>
      </c>
      <c r="M45" s="551">
        <f>'Sollecitazioni nel paramento'!$G$60*(sezione!$AN$27-C45)/C45</f>
        <v>3.9693439797959522E-2</v>
      </c>
      <c r="N45" s="551">
        <f>'Sollecitazioni nel paramento'!$G$60*(sezione!$AO$27-C45)/C45</f>
        <v>8.2886879595919047E-2</v>
      </c>
      <c r="O45" s="551">
        <f>'Sollecitazioni nel paramento'!$G$60*(sezione!$AP$27-C45)/C45</f>
        <v>0.10422828010102009</v>
      </c>
      <c r="P45" s="545">
        <f>-'Sollecitazioni nel paramento'!$G$47*'Sollecitazioni nel paramento'!$G$41*IF(DATI!$G$211="dx",DATI!$E$61,DATI!$E$64*DATI!$E$63)*1000*C45*sezione!$AD$5</f>
        <v>-246962.50286840822</v>
      </c>
      <c r="Q45" s="545">
        <f>'Foglio deposito bis'!$F$48*IF(ABS(K45)&lt;'Sollecitazioni nel paramento'!$G$58,ABS(K45)*'Sollecitazioni nel paramento'!$G$54,'Sollecitazioni nel paramento'!$G$53)*IF(K45&lt;0,-1,1)</f>
        <v>0</v>
      </c>
      <c r="R45" s="545">
        <f>'Foglio deposito bis'!$F$49*IF(ABS(L45)&lt;'Sollecitazioni nel paramento'!$G$58,ABS(L45)*'Sollecitazioni nel paramento'!$G$54,'Sollecitazioni nel paramento'!$G$53)*IF(L45&lt;0,-1,1)</f>
        <v>204886.47740803001</v>
      </c>
      <c r="S45" s="545">
        <f>'Foglio deposito bis'!$F$50*IF(ABS(M45)&lt;'Sollecitazioni nel paramento'!$G$58,ABS(M45)*'Sollecitazioni nel paramento'!$G$54,'Sollecitazioni nel paramento'!$G$53)*IF(M45&lt;0,-1,1)</f>
        <v>0</v>
      </c>
      <c r="T45" s="545">
        <f>'Foglio deposito bis'!$F$51*IF(ABS(N45)&lt;'Sollecitazioni nel paramento'!$G$58,ABS(N45)*'Sollecitazioni nel paramento'!$G$54,'Sollecitazioni nel paramento'!$G$53)*IF(N45&lt;0,-1,1)</f>
        <v>240946.49743184328</v>
      </c>
      <c r="U45" s="545">
        <f>'Foglio deposito bis'!$F$52*IF(ABS(O45)&lt;'Sollecitazioni nel paramento'!$G$58,ABS(O45)*'Sollecitazioni nel paramento'!$G$54,'Sollecitazioni nel paramento'!$G$53)*IF(O45&lt;0,-1,1)</f>
        <v>240946.49743184328</v>
      </c>
      <c r="V45" s="472">
        <f t="shared" si="3"/>
        <v>439816.96940330835</v>
      </c>
      <c r="W45" s="551"/>
      <c r="X45" s="551"/>
      <c r="Z45" s="1027" t="s">
        <v>932</v>
      </c>
      <c r="AA45" s="1027" t="s">
        <v>931</v>
      </c>
      <c r="AB45" s="837" t="s">
        <v>1014</v>
      </c>
      <c r="AC45" s="837"/>
      <c r="AD45" s="837"/>
      <c r="AG45" s="1046" t="s">
        <v>22</v>
      </c>
    </row>
    <row r="46" spans="1:43" x14ac:dyDescent="0.25">
      <c r="A46" s="545">
        <f t="shared" si="2"/>
        <v>433642.90683159814</v>
      </c>
      <c r="B46" s="3">
        <f t="shared" si="4"/>
        <v>2.0500000000000007</v>
      </c>
      <c r="C46" s="545">
        <f>'Foglio deposito bis'!$E$153/$B$247*B46</f>
        <v>6.6445275334046903</v>
      </c>
      <c r="D46" s="603">
        <f>-'Sollecitazioni nel paramento'!$G$47*'Sollecitazioni nel paramento'!$G$41*IF(DATI!$G$211="dx",DATI!$E$61,DATI!$E$64*DATI!$E$63)*1000*C46^2*sezione!$AD$5*(1-sezione!$AD$6)</f>
        <v>-982272.16120656522</v>
      </c>
      <c r="E46" s="545">
        <f>-'Foglio deposito bis'!$F$48*(C46-sezione!$AL$27)*IF(ABS(K46)&lt;'Sollecitazioni nel paramento'!$G$58,ABS(K46)*'Sollecitazioni nel paramento'!$G$54,'Sollecitazioni nel paramento'!$G$53)</f>
        <v>0</v>
      </c>
      <c r="F46" s="545">
        <f>-'Foglio deposito bis'!$F$49*(C46-sezione!$AM$27)*IF(ABS(L46)&lt;'Sollecitazioni nel paramento'!$G$58,ABS(L46)*'Sollecitazioni nel paramento'!$G$54,'Sollecitazioni nel paramento'!$G$53)</f>
        <v>10931814.804121846</v>
      </c>
      <c r="G46" s="545">
        <f>-'Foglio deposito bis'!$F$50*(C46-sezione!$AN$27)*IF(ABS(M46)&lt;'Sollecitazioni nel paramento'!$G$58,ABS(M46)*'Sollecitazioni nel paramento'!$G$54,'Sollecitazioni nel paramento'!$G$53)</f>
        <v>0</v>
      </c>
      <c r="H46" s="545">
        <f>-'Foglio deposito bis'!$F$51*(C46-sezione!$AO$27)*IF(ABS(N46)&lt;'Sollecitazioni nel paramento'!$G$58,ABS(N46)*'Sollecitazioni nel paramento'!$G$54,'Sollecitazioni nel paramento'!$G$53)</f>
        <v>36950463.952831618</v>
      </c>
      <c r="I46" s="472">
        <f>-'Foglio deposito bis'!$F$52*(C46-sezione!$AP$27)*IF(ABS(O46)&lt;'Sollecitazioni nel paramento'!$G$58,ABS(O46)*'Sollecitazioni nel paramento'!$G$54,'Sollecitazioni nel paramento'!$G$53)</f>
        <v>46474383.74444253</v>
      </c>
      <c r="J46" s="472">
        <f t="shared" si="0"/>
        <v>93374390.340189427</v>
      </c>
      <c r="K46" s="550">
        <f>'Sollecitazioni nel paramento'!$G$60*(sezione!$AL$27-C46)/C46</f>
        <v>1.7569970633150991E-2</v>
      </c>
      <c r="L46" s="550">
        <f>'Sollecitazioni nel paramento'!$G$60*(sezione!$AM$27-C46)/C46</f>
        <v>2.8104955949726482E-2</v>
      </c>
      <c r="M46" s="551">
        <f>'Sollecitazioni nel paramento'!$G$60*(sezione!$AN$27-C46)/C46</f>
        <v>3.8639941266301985E-2</v>
      </c>
      <c r="N46" s="551">
        <f>'Sollecitazioni nel paramento'!$G$60*(sezione!$AO$27-C46)/C46</f>
        <v>8.0779882532603958E-2</v>
      </c>
      <c r="O46" s="551">
        <f>'Sollecitazioni nel paramento'!$G$60*(sezione!$AP$27-C46)/C46</f>
        <v>0.10160076107416595</v>
      </c>
      <c r="P46" s="545">
        <f>-'Sollecitazioni nel paramento'!$G$47*'Sollecitazioni nel paramento'!$G$41*IF(DATI!$G$211="dx",DATI!$E$61,DATI!$E$64*DATI!$E$63)*1000*C46*sezione!$AD$5</f>
        <v>-253136.56544011846</v>
      </c>
      <c r="Q46" s="545">
        <f>'Foglio deposito bis'!$F$48*IF(ABS(K46)&lt;'Sollecitazioni nel paramento'!$G$58,ABS(K46)*'Sollecitazioni nel paramento'!$G$54,'Sollecitazioni nel paramento'!$G$53)*IF(K46&lt;0,-1,1)</f>
        <v>0</v>
      </c>
      <c r="R46" s="545">
        <f>'Foglio deposito bis'!$F$49*IF(ABS(L46)&lt;'Sollecitazioni nel paramento'!$G$58,ABS(L46)*'Sollecitazioni nel paramento'!$G$54,'Sollecitazioni nel paramento'!$G$53)*IF(L46&lt;0,-1,1)</f>
        <v>204886.47740803001</v>
      </c>
      <c r="S46" s="545">
        <f>'Foglio deposito bis'!$F$50*IF(ABS(M46)&lt;'Sollecitazioni nel paramento'!$G$58,ABS(M46)*'Sollecitazioni nel paramento'!$G$54,'Sollecitazioni nel paramento'!$G$53)*IF(M46&lt;0,-1,1)</f>
        <v>0</v>
      </c>
      <c r="T46" s="545">
        <f>'Foglio deposito bis'!$F$51*IF(ABS(N46)&lt;'Sollecitazioni nel paramento'!$G$58,ABS(N46)*'Sollecitazioni nel paramento'!$G$54,'Sollecitazioni nel paramento'!$G$53)*IF(N46&lt;0,-1,1)</f>
        <v>240946.49743184328</v>
      </c>
      <c r="U46" s="545">
        <f>'Foglio deposito bis'!$F$52*IF(ABS(O46)&lt;'Sollecitazioni nel paramento'!$G$58,ABS(O46)*'Sollecitazioni nel paramento'!$G$54,'Sollecitazioni nel paramento'!$G$53)*IF(O46&lt;0,-1,1)</f>
        <v>240946.49743184328</v>
      </c>
      <c r="V46" s="472">
        <f t="shared" si="3"/>
        <v>433642.90683159814</v>
      </c>
      <c r="W46" s="551"/>
      <c r="X46" s="551"/>
      <c r="Z46" s="1028"/>
      <c r="AA46" s="1045"/>
      <c r="AB46" s="585">
        <v>0</v>
      </c>
      <c r="AC46" s="524">
        <f>AC47</f>
        <v>4.5320615922608809</v>
      </c>
      <c r="AD46" s="584">
        <v>0</v>
      </c>
      <c r="AG46" s="1047"/>
    </row>
    <row r="47" spans="1:43" x14ac:dyDescent="0.25">
      <c r="A47" s="545">
        <f t="shared" si="2"/>
        <v>427468.84425988793</v>
      </c>
      <c r="B47" s="3">
        <f t="shared" si="4"/>
        <v>2.1000000000000005</v>
      </c>
      <c r="C47" s="545">
        <f>'Foglio deposito bis'!$E$153/$B$247*B47</f>
        <v>6.8065891805609011</v>
      </c>
      <c r="D47" s="603">
        <f>-'Sollecitazioni nel paramento'!$G$47*'Sollecitazioni nel paramento'!$G$41*IF(DATI!$G$211="dx",DATI!$E$61,DATI!$E$64*DATI!$E$63)*1000*C47^2*sezione!$AD$5*(1-sezione!$AD$6)</f>
        <v>-1030772.2143773828</v>
      </c>
      <c r="E47" s="545">
        <f>-'Foglio deposito bis'!$F$48*(C47-sezione!$AL$27)*IF(ABS(K47)&lt;'Sollecitazioni nel paramento'!$G$58,ABS(K47)*'Sollecitazioni nel paramento'!$G$54,'Sollecitazioni nel paramento'!$G$53)</f>
        <v>0</v>
      </c>
      <c r="F47" s="545">
        <f>-'Foglio deposito bis'!$F$49*(C47-sezione!$AM$27)*IF(ABS(L47)&lt;'Sollecitazioni nel paramento'!$G$58,ABS(L47)*'Sollecitazioni nel paramento'!$G$54,'Sollecitazioni nel paramento'!$G$53)</f>
        <v>10898610.564113069</v>
      </c>
      <c r="G47" s="545">
        <f>-'Foglio deposito bis'!$F$50*(C47-sezione!$AN$27)*IF(ABS(M47)&lt;'Sollecitazioni nel paramento'!$G$58,ABS(M47)*'Sollecitazioni nel paramento'!$G$54,'Sollecitazioni nel paramento'!$G$53)</f>
        <v>0</v>
      </c>
      <c r="H47" s="545">
        <f>-'Foglio deposito bis'!$F$51*(C47-sezione!$AO$27)*IF(ABS(N47)&lt;'Sollecitazioni nel paramento'!$G$58,ABS(N47)*'Sollecitazioni nel paramento'!$G$54,'Sollecitazioni nel paramento'!$G$53)</f>
        <v>36911415.766581297</v>
      </c>
      <c r="I47" s="472">
        <f>-'Foglio deposito bis'!$F$52*(C47-sezione!$AP$27)*IF(ABS(O47)&lt;'Sollecitazioni nel paramento'!$G$58,ABS(O47)*'Sollecitazioni nel paramento'!$G$54,'Sollecitazioni nel paramento'!$G$53)</f>
        <v>46435335.558192208</v>
      </c>
      <c r="J47" s="472">
        <f t="shared" si="0"/>
        <v>93214589.674509197</v>
      </c>
      <c r="K47" s="550">
        <f>'Sollecitazioni nel paramento'!$G$60*(sezione!$AL$27-C47)/C47</f>
        <v>1.7068304665695019E-2</v>
      </c>
      <c r="L47" s="550">
        <f>'Sollecitazioni nel paramento'!$G$60*(sezione!$AM$27-C47)/C47</f>
        <v>2.7352456998542524E-2</v>
      </c>
      <c r="M47" s="551">
        <f>'Sollecitazioni nel paramento'!$G$60*(sezione!$AN$27-C47)/C47</f>
        <v>3.7636609331390035E-2</v>
      </c>
      <c r="N47" s="551">
        <f>'Sollecitazioni nel paramento'!$G$60*(sezione!$AO$27-C47)/C47</f>
        <v>7.8773218662780073E-2</v>
      </c>
      <c r="O47" s="551">
        <f>'Sollecitazioni nel paramento'!$G$60*(sezione!$AP$27-C47)/C47</f>
        <v>9.9098362000971524E-2</v>
      </c>
      <c r="P47" s="545">
        <f>-'Sollecitazioni nel paramento'!$G$47*'Sollecitazioni nel paramento'!$G$41*IF(DATI!$G$211="dx",DATI!$E$61,DATI!$E$64*DATI!$E$63)*1000*C47*sezione!$AD$5</f>
        <v>-259310.62801182861</v>
      </c>
      <c r="Q47" s="545">
        <f>'Foglio deposito bis'!$F$48*IF(ABS(K47)&lt;'Sollecitazioni nel paramento'!$G$58,ABS(K47)*'Sollecitazioni nel paramento'!$G$54,'Sollecitazioni nel paramento'!$G$53)*IF(K47&lt;0,-1,1)</f>
        <v>0</v>
      </c>
      <c r="R47" s="545">
        <f>'Foglio deposito bis'!$F$49*IF(ABS(L47)&lt;'Sollecitazioni nel paramento'!$G$58,ABS(L47)*'Sollecitazioni nel paramento'!$G$54,'Sollecitazioni nel paramento'!$G$53)*IF(L47&lt;0,-1,1)</f>
        <v>204886.47740803001</v>
      </c>
      <c r="S47" s="545">
        <f>'Foglio deposito bis'!$F$50*IF(ABS(M47)&lt;'Sollecitazioni nel paramento'!$G$58,ABS(M47)*'Sollecitazioni nel paramento'!$G$54,'Sollecitazioni nel paramento'!$G$53)*IF(M47&lt;0,-1,1)</f>
        <v>0</v>
      </c>
      <c r="T47" s="545">
        <f>'Foglio deposito bis'!$F$51*IF(ABS(N47)&lt;'Sollecitazioni nel paramento'!$G$58,ABS(N47)*'Sollecitazioni nel paramento'!$G$54,'Sollecitazioni nel paramento'!$G$53)*IF(N47&lt;0,-1,1)</f>
        <v>240946.49743184328</v>
      </c>
      <c r="U47" s="545">
        <f>'Foglio deposito bis'!$F$52*IF(ABS(O47)&lt;'Sollecitazioni nel paramento'!$G$58,ABS(O47)*'Sollecitazioni nel paramento'!$G$54,'Sollecitazioni nel paramento'!$G$53)*IF(O47&lt;0,-1,1)</f>
        <v>240946.49743184328</v>
      </c>
      <c r="V47" s="472">
        <f t="shared" si="3"/>
        <v>427468.84425988793</v>
      </c>
      <c r="W47" s="551"/>
      <c r="X47" s="551"/>
      <c r="Z47" s="585">
        <f>ABS('Foglio deposito bis'!F100)</f>
        <v>0.39991949023898499</v>
      </c>
      <c r="AA47" s="77">
        <f>ABS('Foglio deposito bis'!G100)</f>
        <v>93.747409917364664</v>
      </c>
      <c r="AB47" s="410">
        <f>'Foglio deposito bis'!G100</f>
        <v>-93.747409917364664</v>
      </c>
      <c r="AC47" s="524">
        <f>'Foglio deposito bis'!C100</f>
        <v>4.5320615922608809</v>
      </c>
      <c r="AD47" s="597">
        <f>'Foglio deposito bis'!F100</f>
        <v>-0.39991949023898499</v>
      </c>
      <c r="AG47" s="560">
        <f>VLOOKUP('SOLLECITAZ NASCOSTO'!J15,'SOLLECITAZ NASCOSTO'!A32:C448,3,TRUE)</f>
        <v>0.22878195537855409</v>
      </c>
    </row>
    <row r="48" spans="1:43" x14ac:dyDescent="0.25">
      <c r="A48" s="545">
        <f t="shared" si="2"/>
        <v>421294.78168817778</v>
      </c>
      <c r="B48" s="3">
        <f t="shared" si="4"/>
        <v>2.1500000000000004</v>
      </c>
      <c r="C48" s="545">
        <f>'Foglio deposito bis'!$E$153/$B$247*B48</f>
        <v>6.9686508277171129</v>
      </c>
      <c r="D48" s="603">
        <f>-'Sollecitazioni nel paramento'!$G$47*'Sollecitazioni nel paramento'!$G$41*IF(DATI!$G$211="dx",DATI!$E$61,DATI!$E$64*DATI!$E$63)*1000*C48^2*sezione!$AD$5*(1-sezione!$AD$6)</f>
        <v>-1080440.9435282205</v>
      </c>
      <c r="E48" s="545">
        <f>-'Foglio deposito bis'!$F$48*(C48-sezione!$AL$27)*IF(ABS(K48)&lt;'Sollecitazioni nel paramento'!$G$58,ABS(K48)*'Sollecitazioni nel paramento'!$G$54,'Sollecitazioni nel paramento'!$G$53)</f>
        <v>0</v>
      </c>
      <c r="F48" s="545">
        <f>-'Foglio deposito bis'!$F$49*(C48-sezione!$AM$27)*IF(ABS(L48)&lt;'Sollecitazioni nel paramento'!$G$58,ABS(L48)*'Sollecitazioni nel paramento'!$G$54,'Sollecitazioni nel paramento'!$G$53)</f>
        <v>10865406.324104289</v>
      </c>
      <c r="G48" s="545">
        <f>-'Foglio deposito bis'!$F$50*(C48-sezione!$AN$27)*IF(ABS(M48)&lt;'Sollecitazioni nel paramento'!$G$58,ABS(M48)*'Sollecitazioni nel paramento'!$G$54,'Sollecitazioni nel paramento'!$G$53)</f>
        <v>0</v>
      </c>
      <c r="H48" s="545">
        <f>-'Foglio deposito bis'!$F$51*(C48-sezione!$AO$27)*IF(ABS(N48)&lt;'Sollecitazioni nel paramento'!$G$58,ABS(N48)*'Sollecitazioni nel paramento'!$G$54,'Sollecitazioni nel paramento'!$G$53)</f>
        <v>36872367.580330968</v>
      </c>
      <c r="I48" s="472">
        <f>-'Foglio deposito bis'!$F$52*(C48-sezione!$AP$27)*IF(ABS(O48)&lt;'Sollecitazioni nel paramento'!$G$58,ABS(O48)*'Sollecitazioni nel paramento'!$G$54,'Sollecitazioni nel paramento'!$G$53)</f>
        <v>46396287.371941887</v>
      </c>
      <c r="J48" s="472">
        <f t="shared" si="0"/>
        <v>93053620.332848921</v>
      </c>
      <c r="K48" s="550">
        <f>'Sollecitazioni nel paramento'!$G$60*(sezione!$AL$27-C48)/C48</f>
        <v>1.6589971999050945E-2</v>
      </c>
      <c r="L48" s="550">
        <f>'Sollecitazioni nel paramento'!$G$60*(sezione!$AM$27-C48)/C48</f>
        <v>2.6634957998576424E-2</v>
      </c>
      <c r="M48" s="551">
        <f>'Sollecitazioni nel paramento'!$G$60*(sezione!$AN$27-C48)/C48</f>
        <v>3.6679943998101892E-2</v>
      </c>
      <c r="N48" s="551">
        <f>'Sollecitazioni nel paramento'!$G$60*(sezione!$AO$27-C48)/C48</f>
        <v>7.6859887996203788E-2</v>
      </c>
      <c r="O48" s="551">
        <f>'Sollecitazioni nel paramento'!$G$60*(sezione!$AP$27-C48)/C48</f>
        <v>9.6712353582344299E-2</v>
      </c>
      <c r="P48" s="545">
        <f>-'Sollecitazioni nel paramento'!$G$47*'Sollecitazioni nel paramento'!$G$41*IF(DATI!$G$211="dx",DATI!$E$61,DATI!$E$64*DATI!$E$63)*1000*C48*sezione!$AD$5</f>
        <v>-265484.69058353879</v>
      </c>
      <c r="Q48" s="545">
        <f>'Foglio deposito bis'!$F$48*IF(ABS(K48)&lt;'Sollecitazioni nel paramento'!$G$58,ABS(K48)*'Sollecitazioni nel paramento'!$G$54,'Sollecitazioni nel paramento'!$G$53)*IF(K48&lt;0,-1,1)</f>
        <v>0</v>
      </c>
      <c r="R48" s="545">
        <f>'Foglio deposito bis'!$F$49*IF(ABS(L48)&lt;'Sollecitazioni nel paramento'!$G$58,ABS(L48)*'Sollecitazioni nel paramento'!$G$54,'Sollecitazioni nel paramento'!$G$53)*IF(L48&lt;0,-1,1)</f>
        <v>204886.47740803001</v>
      </c>
      <c r="S48" s="545">
        <f>'Foglio deposito bis'!$F$50*IF(ABS(M48)&lt;'Sollecitazioni nel paramento'!$G$58,ABS(M48)*'Sollecitazioni nel paramento'!$G$54,'Sollecitazioni nel paramento'!$G$53)*IF(M48&lt;0,-1,1)</f>
        <v>0</v>
      </c>
      <c r="T48" s="545">
        <f>'Foglio deposito bis'!$F$51*IF(ABS(N48)&lt;'Sollecitazioni nel paramento'!$G$58,ABS(N48)*'Sollecitazioni nel paramento'!$G$54,'Sollecitazioni nel paramento'!$G$53)*IF(N48&lt;0,-1,1)</f>
        <v>240946.49743184328</v>
      </c>
      <c r="U48" s="545">
        <f>'Foglio deposito bis'!$F$52*IF(ABS(O48)&lt;'Sollecitazioni nel paramento'!$G$58,ABS(O48)*'Sollecitazioni nel paramento'!$G$54,'Sollecitazioni nel paramento'!$G$53)*IF(O48&lt;0,-1,1)</f>
        <v>240946.49743184328</v>
      </c>
      <c r="V48" s="472">
        <f t="shared" si="3"/>
        <v>421294.78168817778</v>
      </c>
      <c r="W48" s="551"/>
      <c r="X48" s="551"/>
      <c r="Z48" s="585">
        <f>ABS('Foglio deposito bis'!F101)</f>
        <v>3.9812459483673748</v>
      </c>
      <c r="AA48" s="77">
        <f>ABS('Foglio deposito bis'!G101)</f>
        <v>108.54072094306069</v>
      </c>
      <c r="AB48" s="410">
        <f>'Foglio deposito bis'!G101</f>
        <v>-108.54072094306069</v>
      </c>
      <c r="AC48" s="524">
        <f>'Foglio deposito bis'!C101</f>
        <v>4.3783988626078694</v>
      </c>
      <c r="AD48" s="597">
        <f>'Foglio deposito bis'!F101</f>
        <v>-3.9812459483673748</v>
      </c>
      <c r="AG48" s="560">
        <f>'SOLLECITAZ NASCOSTO'!$D$4/'Sollecitazioni nel paramento'!$B$161*'Sollecitazioni nel paramento'!B152+VLOOKUP('SOLLECITAZ NASCOSTO'!$J$15,'SOLLECITAZ NASCOSTO'!$A$32:$C$448,3,TRUE)</f>
        <v>0.65878195537855411</v>
      </c>
    </row>
    <row r="49" spans="1:33" x14ac:dyDescent="0.25">
      <c r="A49" s="545">
        <f t="shared" si="2"/>
        <v>415120.71911646758</v>
      </c>
      <c r="B49" s="3">
        <f t="shared" si="4"/>
        <v>2.2000000000000002</v>
      </c>
      <c r="C49" s="545">
        <f>'Foglio deposito bis'!$E$153/$B$247*B49</f>
        <v>7.1307124748733237</v>
      </c>
      <c r="D49" s="603">
        <f>-'Sollecitazioni nel paramento'!$G$47*'Sollecitazioni nel paramento'!$G$41*IF(DATI!$G$211="dx",DATI!$E$61,DATI!$E$64*DATI!$E$63)*1000*C49^2*sezione!$AD$5*(1-sezione!$AD$6)</f>
        <v>-1131278.3486590774</v>
      </c>
      <c r="E49" s="545">
        <f>-'Foglio deposito bis'!$F$48*(C49-sezione!$AL$27)*IF(ABS(K49)&lt;'Sollecitazioni nel paramento'!$G$58,ABS(K49)*'Sollecitazioni nel paramento'!$G$54,'Sollecitazioni nel paramento'!$G$53)</f>
        <v>0</v>
      </c>
      <c r="F49" s="545">
        <f>-'Foglio deposito bis'!$F$49*(C49-sezione!$AM$27)*IF(ABS(L49)&lt;'Sollecitazioni nel paramento'!$G$58,ABS(L49)*'Sollecitazioni nel paramento'!$G$54,'Sollecitazioni nel paramento'!$G$53)</f>
        <v>10832202.08409551</v>
      </c>
      <c r="G49" s="545">
        <f>-'Foglio deposito bis'!$F$50*(C49-sezione!$AN$27)*IF(ABS(M49)&lt;'Sollecitazioni nel paramento'!$G$58,ABS(M49)*'Sollecitazioni nel paramento'!$G$54,'Sollecitazioni nel paramento'!$G$53)</f>
        <v>0</v>
      </c>
      <c r="H49" s="545">
        <f>-'Foglio deposito bis'!$F$51*(C49-sezione!$AO$27)*IF(ABS(N49)&lt;'Sollecitazioni nel paramento'!$G$58,ABS(N49)*'Sollecitazioni nel paramento'!$G$54,'Sollecitazioni nel paramento'!$G$53)</f>
        <v>36833319.394080646</v>
      </c>
      <c r="I49" s="472">
        <f>-'Foglio deposito bis'!$F$52*(C49-sezione!$AP$27)*IF(ABS(O49)&lt;'Sollecitazioni nel paramento'!$G$58,ABS(O49)*'Sollecitazioni nel paramento'!$G$54,'Sollecitazioni nel paramento'!$G$53)</f>
        <v>46357239.185691558</v>
      </c>
      <c r="J49" s="472">
        <f t="shared" si="0"/>
        <v>92891482.315208644</v>
      </c>
      <c r="K49" s="550">
        <f>'Sollecitazioni nel paramento'!$G$60*(sezione!$AL$27-C49)/C49</f>
        <v>1.613338172634525E-2</v>
      </c>
      <c r="L49" s="550">
        <f>'Sollecitazioni nel paramento'!$G$60*(sezione!$AM$27-C49)/C49</f>
        <v>2.5950072589517873E-2</v>
      </c>
      <c r="M49" s="551">
        <f>'Sollecitazioni nel paramento'!$G$60*(sezione!$AN$27-C49)/C49</f>
        <v>3.5766763452690496E-2</v>
      </c>
      <c r="N49" s="551">
        <f>'Sollecitazioni nel paramento'!$G$60*(sezione!$AO$27-C49)/C49</f>
        <v>7.5033526905380982E-2</v>
      </c>
      <c r="O49" s="551">
        <f>'Sollecitazioni nel paramento'!$G$60*(sezione!$AP$27-C49)/C49</f>
        <v>9.4434800091836482E-2</v>
      </c>
      <c r="P49" s="545">
        <f>-'Sollecitazioni nel paramento'!$G$47*'Sollecitazioni nel paramento'!$G$41*IF(DATI!$G$211="dx",DATI!$E$61,DATI!$E$64*DATI!$E$63)*1000*C49*sezione!$AD$5</f>
        <v>-271658.753155249</v>
      </c>
      <c r="Q49" s="545">
        <f>'Foglio deposito bis'!$F$48*IF(ABS(K49)&lt;'Sollecitazioni nel paramento'!$G$58,ABS(K49)*'Sollecitazioni nel paramento'!$G$54,'Sollecitazioni nel paramento'!$G$53)*IF(K49&lt;0,-1,1)</f>
        <v>0</v>
      </c>
      <c r="R49" s="545">
        <f>'Foglio deposito bis'!$F$49*IF(ABS(L49)&lt;'Sollecitazioni nel paramento'!$G$58,ABS(L49)*'Sollecitazioni nel paramento'!$G$54,'Sollecitazioni nel paramento'!$G$53)*IF(L49&lt;0,-1,1)</f>
        <v>204886.47740803001</v>
      </c>
      <c r="S49" s="545">
        <f>'Foglio deposito bis'!$F$50*IF(ABS(M49)&lt;'Sollecitazioni nel paramento'!$G$58,ABS(M49)*'Sollecitazioni nel paramento'!$G$54,'Sollecitazioni nel paramento'!$G$53)*IF(M49&lt;0,-1,1)</f>
        <v>0</v>
      </c>
      <c r="T49" s="545">
        <f>'Foglio deposito bis'!$F$51*IF(ABS(N49)&lt;'Sollecitazioni nel paramento'!$G$58,ABS(N49)*'Sollecitazioni nel paramento'!$G$54,'Sollecitazioni nel paramento'!$G$53)*IF(N49&lt;0,-1,1)</f>
        <v>240946.49743184328</v>
      </c>
      <c r="U49" s="545">
        <f>'Foglio deposito bis'!$F$52*IF(ABS(O49)&lt;'Sollecitazioni nel paramento'!$G$58,ABS(O49)*'Sollecitazioni nel paramento'!$G$54,'Sollecitazioni nel paramento'!$G$53)*IF(O49&lt;0,-1,1)</f>
        <v>240946.49743184328</v>
      </c>
      <c r="V49" s="472">
        <f t="shared" si="3"/>
        <v>415120.71911646758</v>
      </c>
      <c r="W49" s="551"/>
      <c r="X49" s="551"/>
      <c r="Z49" s="585">
        <f>ABS('Foglio deposito bis'!F102)</f>
        <v>12.790487761582009</v>
      </c>
      <c r="AA49" s="77">
        <f>ABS('Foglio deposito bis'!G102)</f>
        <v>123.30354088199832</v>
      </c>
      <c r="AB49" s="410">
        <f>'Foglio deposito bis'!G102</f>
        <v>-123.30354088199832</v>
      </c>
      <c r="AC49" s="524">
        <f>'Foglio deposito bis'!C102</f>
        <v>3.9535180883334116</v>
      </c>
      <c r="AD49" s="597">
        <f>'Foglio deposito bis'!F102</f>
        <v>-12.790487761582009</v>
      </c>
      <c r="AG49" s="560">
        <f>'SOLLECITAZ NASCOSTO'!$D$4/'Sollecitazioni nel paramento'!$B$161*'Sollecitazioni nel paramento'!B153+VLOOKUP('SOLLECITAZ NASCOSTO'!$J$15,'SOLLECITAZ NASCOSTO'!$A$32:$C$448,3,TRUE)</f>
        <v>1.088781955378554</v>
      </c>
    </row>
    <row r="50" spans="1:33" x14ac:dyDescent="0.25">
      <c r="A50" s="545">
        <f t="shared" si="2"/>
        <v>408946.65654475742</v>
      </c>
      <c r="B50" s="3">
        <f t="shared" si="4"/>
        <v>2.25</v>
      </c>
      <c r="C50" s="545">
        <f>'Foglio deposito bis'!$E$153/$B$247*B50</f>
        <v>7.2927741220295355</v>
      </c>
      <c r="D50" s="603">
        <f>-'Sollecitazioni nel paramento'!$G$47*'Sollecitazioni nel paramento'!$G$41*IF(DATI!$G$211="dx",DATI!$E$61,DATI!$E$64*DATI!$E$63)*1000*C50^2*sezione!$AD$5*(1-sezione!$AD$6)</f>
        <v>-1183284.4297699544</v>
      </c>
      <c r="E50" s="545">
        <f>-'Foglio deposito bis'!$F$48*(C50-sezione!$AL$27)*IF(ABS(K50)&lt;'Sollecitazioni nel paramento'!$G$58,ABS(K50)*'Sollecitazioni nel paramento'!$G$54,'Sollecitazioni nel paramento'!$G$53)</f>
        <v>0</v>
      </c>
      <c r="F50" s="545">
        <f>-'Foglio deposito bis'!$F$49*(C50-sezione!$AM$27)*IF(ABS(L50)&lt;'Sollecitazioni nel paramento'!$G$58,ABS(L50)*'Sollecitazioni nel paramento'!$G$54,'Sollecitazioni nel paramento'!$G$53)</f>
        <v>10798997.844086731</v>
      </c>
      <c r="G50" s="545">
        <f>-'Foglio deposito bis'!$F$50*(C50-sezione!$AN$27)*IF(ABS(M50)&lt;'Sollecitazioni nel paramento'!$G$58,ABS(M50)*'Sollecitazioni nel paramento'!$G$54,'Sollecitazioni nel paramento'!$G$53)</f>
        <v>0</v>
      </c>
      <c r="H50" s="545">
        <f>-'Foglio deposito bis'!$F$51*(C50-sezione!$AO$27)*IF(ABS(N50)&lt;'Sollecitazioni nel paramento'!$G$58,ABS(N50)*'Sollecitazioni nel paramento'!$G$54,'Sollecitazioni nel paramento'!$G$53)</f>
        <v>36794271.207830317</v>
      </c>
      <c r="I50" s="472">
        <f>-'Foglio deposito bis'!$F$52*(C50-sezione!$AP$27)*IF(ABS(O50)&lt;'Sollecitazioni nel paramento'!$G$58,ABS(O50)*'Sollecitazioni nel paramento'!$G$54,'Sollecitazioni nel paramento'!$G$53)</f>
        <v>46318190.999441236</v>
      </c>
      <c r="J50" s="472">
        <f t="shared" si="0"/>
        <v>92728175.621588334</v>
      </c>
      <c r="K50" s="550">
        <f>'Sollecitazioni nel paramento'!$G$60*(sezione!$AL$27-C50)/C50</f>
        <v>1.5697084354648685E-2</v>
      </c>
      <c r="L50" s="550">
        <f>'Sollecitazioni nel paramento'!$G$60*(sezione!$AM$27-C50)/C50</f>
        <v>2.529562653197303E-2</v>
      </c>
      <c r="M50" s="551">
        <f>'Sollecitazioni nel paramento'!$G$60*(sezione!$AN$27-C50)/C50</f>
        <v>3.4894168709297367E-2</v>
      </c>
      <c r="N50" s="551">
        <f>'Sollecitazioni nel paramento'!$G$60*(sezione!$AO$27-C50)/C50</f>
        <v>7.3288337418594751E-2</v>
      </c>
      <c r="O50" s="551">
        <f>'Sollecitazioni nel paramento'!$G$60*(sezione!$AP$27-C50)/C50</f>
        <v>9.22584712009068E-2</v>
      </c>
      <c r="P50" s="545">
        <f>-'Sollecitazioni nel paramento'!$G$47*'Sollecitazioni nel paramento'!$G$41*IF(DATI!$G$211="dx",DATI!$E$61,DATI!$E$64*DATI!$E$63)*1000*C50*sezione!$AD$5</f>
        <v>-277832.81572695915</v>
      </c>
      <c r="Q50" s="545">
        <f>'Foglio deposito bis'!$F$48*IF(ABS(K50)&lt;'Sollecitazioni nel paramento'!$G$58,ABS(K50)*'Sollecitazioni nel paramento'!$G$54,'Sollecitazioni nel paramento'!$G$53)*IF(K50&lt;0,-1,1)</f>
        <v>0</v>
      </c>
      <c r="R50" s="545">
        <f>'Foglio deposito bis'!$F$49*IF(ABS(L50)&lt;'Sollecitazioni nel paramento'!$G$58,ABS(L50)*'Sollecitazioni nel paramento'!$G$54,'Sollecitazioni nel paramento'!$G$53)*IF(L50&lt;0,-1,1)</f>
        <v>204886.47740803001</v>
      </c>
      <c r="S50" s="545">
        <f>'Foglio deposito bis'!$F$50*IF(ABS(M50)&lt;'Sollecitazioni nel paramento'!$G$58,ABS(M50)*'Sollecitazioni nel paramento'!$G$54,'Sollecitazioni nel paramento'!$G$53)*IF(M50&lt;0,-1,1)</f>
        <v>0</v>
      </c>
      <c r="T50" s="545">
        <f>'Foglio deposito bis'!$F$51*IF(ABS(N50)&lt;'Sollecitazioni nel paramento'!$G$58,ABS(N50)*'Sollecitazioni nel paramento'!$G$54,'Sollecitazioni nel paramento'!$G$53)*IF(N50&lt;0,-1,1)</f>
        <v>240946.49743184328</v>
      </c>
      <c r="U50" s="545">
        <f>'Foglio deposito bis'!$F$52*IF(ABS(O50)&lt;'Sollecitazioni nel paramento'!$G$58,ABS(O50)*'Sollecitazioni nel paramento'!$G$54,'Sollecitazioni nel paramento'!$G$53)*IF(O50&lt;0,-1,1)</f>
        <v>240946.49743184328</v>
      </c>
      <c r="V50" s="472">
        <f t="shared" si="3"/>
        <v>408946.65654475742</v>
      </c>
      <c r="W50" s="551"/>
      <c r="X50" s="551"/>
      <c r="Z50" s="585">
        <f>ABS('Foglio deposito bis'!F103)</f>
        <v>29.16023812776313</v>
      </c>
      <c r="AA50" s="77">
        <f>ABS('Foglio deposito bis'!G103)</f>
        <v>163.41146198946615</v>
      </c>
      <c r="AB50" s="410">
        <f>'Foglio deposito bis'!G103</f>
        <v>-163.41146198946615</v>
      </c>
      <c r="AC50" s="524">
        <f>'Foglio deposito bis'!C103</f>
        <v>3.5177429352314036</v>
      </c>
      <c r="AD50" s="597">
        <f>'Foglio deposito bis'!F103</f>
        <v>-29.16023812776313</v>
      </c>
      <c r="AG50" s="560">
        <f>'SOLLECITAZ NASCOSTO'!$D$4/'Sollecitazioni nel paramento'!$B$161*'Sollecitazioni nel paramento'!B154+VLOOKUP('SOLLECITAZ NASCOSTO'!$J$15,'SOLLECITAZ NASCOSTO'!$A$32:$C$448,3,TRUE)</f>
        <v>1.5187819553785542</v>
      </c>
    </row>
    <row r="51" spans="1:33" x14ac:dyDescent="0.25">
      <c r="A51" s="545">
        <f t="shared" si="2"/>
        <v>402772.59397304727</v>
      </c>
      <c r="B51" s="3">
        <f t="shared" si="4"/>
        <v>2.2999999999999998</v>
      </c>
      <c r="C51" s="545">
        <f>'Foglio deposito bis'!$E$153/$B$247*B51</f>
        <v>7.4548357691857463</v>
      </c>
      <c r="D51" s="603">
        <f>-'Sollecitazioni nel paramento'!$G$47*'Sollecitazioni nel paramento'!$G$41*IF(DATI!$G$211="dx",DATI!$E$61,DATI!$E$64*DATI!$E$63)*1000*C51^2*sezione!$AD$5*(1-sezione!$AD$6)</f>
        <v>-1236459.1868608508</v>
      </c>
      <c r="E51" s="545">
        <f>-'Foglio deposito bis'!$F$48*(C51-sezione!$AL$27)*IF(ABS(K51)&lt;'Sollecitazioni nel paramento'!$G$58,ABS(K51)*'Sollecitazioni nel paramento'!$G$54,'Sollecitazioni nel paramento'!$G$53)</f>
        <v>0</v>
      </c>
      <c r="F51" s="545">
        <f>-'Foglio deposito bis'!$F$49*(C51-sezione!$AM$27)*IF(ABS(L51)&lt;'Sollecitazioni nel paramento'!$G$58,ABS(L51)*'Sollecitazioni nel paramento'!$G$54,'Sollecitazioni nel paramento'!$G$53)</f>
        <v>10765793.60407795</v>
      </c>
      <c r="G51" s="545">
        <f>-'Foglio deposito bis'!$F$50*(C51-sezione!$AN$27)*IF(ABS(M51)&lt;'Sollecitazioni nel paramento'!$G$58,ABS(M51)*'Sollecitazioni nel paramento'!$G$54,'Sollecitazioni nel paramento'!$G$53)</f>
        <v>0</v>
      </c>
      <c r="H51" s="545">
        <f>-'Foglio deposito bis'!$F$51*(C51-sezione!$AO$27)*IF(ABS(N51)&lt;'Sollecitazioni nel paramento'!$G$58,ABS(N51)*'Sollecitazioni nel paramento'!$G$54,'Sollecitazioni nel paramento'!$G$53)</f>
        <v>36755223.021580003</v>
      </c>
      <c r="I51" s="472">
        <f>-'Foglio deposito bis'!$F$52*(C51-sezione!$AP$27)*IF(ABS(O51)&lt;'Sollecitazioni nel paramento'!$G$58,ABS(O51)*'Sollecitazioni nel paramento'!$G$54,'Sollecitazioni nel paramento'!$G$53)</f>
        <v>46279142.813190915</v>
      </c>
      <c r="J51" s="472">
        <f t="shared" si="0"/>
        <v>92563700.251988024</v>
      </c>
      <c r="K51" s="550">
        <f>'Sollecitazioni nel paramento'!$G$60*(sezione!$AL$27-C51)/C51</f>
        <v>1.5279756433895455E-2</v>
      </c>
      <c r="L51" s="550">
        <f>'Sollecitazioni nel paramento'!$G$60*(sezione!$AM$27-C51)/C51</f>
        <v>2.4669634650843181E-2</v>
      </c>
      <c r="M51" s="551">
        <f>'Sollecitazioni nel paramento'!$G$60*(sezione!$AN$27-C51)/C51</f>
        <v>3.4059512867790909E-2</v>
      </c>
      <c r="N51" s="551">
        <f>'Sollecitazioni nel paramento'!$G$60*(sezione!$AO$27-C51)/C51</f>
        <v>7.1619025735581834E-2</v>
      </c>
      <c r="O51" s="551">
        <f>'Sollecitazioni nel paramento'!$G$60*(sezione!$AP$27-C51)/C51</f>
        <v>9.0176765305234927E-2</v>
      </c>
      <c r="P51" s="545">
        <f>-'Sollecitazioni nel paramento'!$G$47*'Sollecitazioni nel paramento'!$G$41*IF(DATI!$G$211="dx",DATI!$E$61,DATI!$E$64*DATI!$E$63)*1000*C51*sezione!$AD$5</f>
        <v>-284006.8782986693</v>
      </c>
      <c r="Q51" s="545">
        <f>'Foglio deposito bis'!$F$48*IF(ABS(K51)&lt;'Sollecitazioni nel paramento'!$G$58,ABS(K51)*'Sollecitazioni nel paramento'!$G$54,'Sollecitazioni nel paramento'!$G$53)*IF(K51&lt;0,-1,1)</f>
        <v>0</v>
      </c>
      <c r="R51" s="545">
        <f>'Foglio deposito bis'!$F$49*IF(ABS(L51)&lt;'Sollecitazioni nel paramento'!$G$58,ABS(L51)*'Sollecitazioni nel paramento'!$G$54,'Sollecitazioni nel paramento'!$G$53)*IF(L51&lt;0,-1,1)</f>
        <v>204886.47740803001</v>
      </c>
      <c r="S51" s="545">
        <f>'Foglio deposito bis'!$F$50*IF(ABS(M51)&lt;'Sollecitazioni nel paramento'!$G$58,ABS(M51)*'Sollecitazioni nel paramento'!$G$54,'Sollecitazioni nel paramento'!$G$53)*IF(M51&lt;0,-1,1)</f>
        <v>0</v>
      </c>
      <c r="T51" s="545">
        <f>'Foglio deposito bis'!$F$51*IF(ABS(N51)&lt;'Sollecitazioni nel paramento'!$G$58,ABS(N51)*'Sollecitazioni nel paramento'!$G$54,'Sollecitazioni nel paramento'!$G$53)*IF(N51&lt;0,-1,1)</f>
        <v>240946.49743184328</v>
      </c>
      <c r="U51" s="545">
        <f>'Foglio deposito bis'!$F$52*IF(ABS(O51)&lt;'Sollecitazioni nel paramento'!$G$58,ABS(O51)*'Sollecitazioni nel paramento'!$G$54,'Sollecitazioni nel paramento'!$G$53)*IF(O51&lt;0,-1,1)</f>
        <v>240946.49743184328</v>
      </c>
      <c r="V51" s="472">
        <f t="shared" si="3"/>
        <v>402772.59397304727</v>
      </c>
      <c r="W51" s="551"/>
      <c r="X51" s="551"/>
      <c r="Z51" s="585">
        <f>ABS('Foglio deposito bis'!F104)</f>
        <v>54.128334411492943</v>
      </c>
      <c r="AA51" s="77">
        <f>ABS('Foglio deposito bis'!G104)</f>
        <v>182.69899611916856</v>
      </c>
      <c r="AB51" s="410">
        <f>'Foglio deposito bis'!G104</f>
        <v>-182.69899611916856</v>
      </c>
      <c r="AC51" s="524">
        <f>'Foglio deposito bis'!C104</f>
        <v>3.0928621609569462</v>
      </c>
      <c r="AD51" s="597">
        <f>'Foglio deposito bis'!F104</f>
        <v>-54.128334411492943</v>
      </c>
      <c r="AG51" s="560">
        <f>'SOLLECITAZ NASCOSTO'!$D$4/'Sollecitazioni nel paramento'!$B$161*'Sollecitazioni nel paramento'!B155+VLOOKUP('SOLLECITAZ NASCOSTO'!$J$15,'SOLLECITAZ NASCOSTO'!$A$32:$C$448,3,TRUE)</f>
        <v>1.9487819553785541</v>
      </c>
    </row>
    <row r="52" spans="1:33" x14ac:dyDescent="0.25">
      <c r="A52" s="545">
        <f t="shared" si="2"/>
        <v>396598.53140133707</v>
      </c>
      <c r="B52" s="3">
        <f t="shared" si="4"/>
        <v>2.3499999999999996</v>
      </c>
      <c r="C52" s="545">
        <f>'Foglio deposito bis'!$E$153/$B$247*B52</f>
        <v>7.616897416341958</v>
      </c>
      <c r="D52" s="603">
        <f>-'Sollecitazioni nel paramento'!$G$47*'Sollecitazioni nel paramento'!$G$41*IF(DATI!$G$211="dx",DATI!$E$61,DATI!$E$64*DATI!$E$63)*1000*C52^2*sezione!$AD$5*(1-sezione!$AD$6)</f>
        <v>-1290802.6199317672</v>
      </c>
      <c r="E52" s="545">
        <f>-'Foglio deposito bis'!$F$48*(C52-sezione!$AL$27)*IF(ABS(K52)&lt;'Sollecitazioni nel paramento'!$G$58,ABS(K52)*'Sollecitazioni nel paramento'!$G$54,'Sollecitazioni nel paramento'!$G$53)</f>
        <v>0</v>
      </c>
      <c r="F52" s="545">
        <f>-'Foglio deposito bis'!$F$49*(C52-sezione!$AM$27)*IF(ABS(L52)&lt;'Sollecitazioni nel paramento'!$G$58,ABS(L52)*'Sollecitazioni nel paramento'!$G$54,'Sollecitazioni nel paramento'!$G$53)</f>
        <v>10732589.364069173</v>
      </c>
      <c r="G52" s="545">
        <f>-'Foglio deposito bis'!$F$50*(C52-sezione!$AN$27)*IF(ABS(M52)&lt;'Sollecitazioni nel paramento'!$G$58,ABS(M52)*'Sollecitazioni nel paramento'!$G$54,'Sollecitazioni nel paramento'!$G$53)</f>
        <v>0</v>
      </c>
      <c r="H52" s="545">
        <f>-'Foglio deposito bis'!$F$51*(C52-sezione!$AO$27)*IF(ABS(N52)&lt;'Sollecitazioni nel paramento'!$G$58,ABS(N52)*'Sollecitazioni nel paramento'!$G$54,'Sollecitazioni nel paramento'!$G$53)</f>
        <v>36716174.835329674</v>
      </c>
      <c r="I52" s="472">
        <f>-'Foglio deposito bis'!$F$52*(C52-sezione!$AP$27)*IF(ABS(O52)&lt;'Sollecitazioni nel paramento'!$G$58,ABS(O52)*'Sollecitazioni nel paramento'!$G$54,'Sollecitazioni nel paramento'!$G$53)</f>
        <v>46240094.626940586</v>
      </c>
      <c r="J52" s="472">
        <f t="shared" si="0"/>
        <v>92398056.206407666</v>
      </c>
      <c r="K52" s="550">
        <f>'Sollecitazioni nel paramento'!$G$60*(sezione!$AL$27-C52)/C52</f>
        <v>1.4880187148067894E-2</v>
      </c>
      <c r="L52" s="550">
        <f>'Sollecitazioni nel paramento'!$G$60*(sezione!$AM$27-C52)/C52</f>
        <v>2.407028072210184E-2</v>
      </c>
      <c r="M52" s="551">
        <f>'Sollecitazioni nel paramento'!$G$60*(sezione!$AN$27-C52)/C52</f>
        <v>3.3260374296135792E-2</v>
      </c>
      <c r="N52" s="551">
        <f>'Sollecitazioni nel paramento'!$G$60*(sezione!$AO$27-C52)/C52</f>
        <v>7.0020748592271573E-2</v>
      </c>
      <c r="O52" s="551">
        <f>'Sollecitazioni nel paramento'!$G$60*(sezione!$AP$27-C52)/C52</f>
        <v>8.8183642639166074E-2</v>
      </c>
      <c r="P52" s="545">
        <f>-'Sollecitazioni nel paramento'!$G$47*'Sollecitazioni nel paramento'!$G$41*IF(DATI!$G$211="dx",DATI!$E$61,DATI!$E$64*DATI!$E$63)*1000*C52*sezione!$AD$5</f>
        <v>-290180.94087037951</v>
      </c>
      <c r="Q52" s="545">
        <f>'Foglio deposito bis'!$F$48*IF(ABS(K52)&lt;'Sollecitazioni nel paramento'!$G$58,ABS(K52)*'Sollecitazioni nel paramento'!$G$54,'Sollecitazioni nel paramento'!$G$53)*IF(K52&lt;0,-1,1)</f>
        <v>0</v>
      </c>
      <c r="R52" s="545">
        <f>'Foglio deposito bis'!$F$49*IF(ABS(L52)&lt;'Sollecitazioni nel paramento'!$G$58,ABS(L52)*'Sollecitazioni nel paramento'!$G$54,'Sollecitazioni nel paramento'!$G$53)*IF(L52&lt;0,-1,1)</f>
        <v>204886.47740803001</v>
      </c>
      <c r="S52" s="545">
        <f>'Foglio deposito bis'!$F$50*IF(ABS(M52)&lt;'Sollecitazioni nel paramento'!$G$58,ABS(M52)*'Sollecitazioni nel paramento'!$G$54,'Sollecitazioni nel paramento'!$G$53)*IF(M52&lt;0,-1,1)</f>
        <v>0</v>
      </c>
      <c r="T52" s="545">
        <f>'Foglio deposito bis'!$F$51*IF(ABS(N52)&lt;'Sollecitazioni nel paramento'!$G$58,ABS(N52)*'Sollecitazioni nel paramento'!$G$54,'Sollecitazioni nel paramento'!$G$53)*IF(N52&lt;0,-1,1)</f>
        <v>240946.49743184328</v>
      </c>
      <c r="U52" s="545">
        <f>'Foglio deposito bis'!$F$52*IF(ABS(O52)&lt;'Sollecitazioni nel paramento'!$G$58,ABS(O52)*'Sollecitazioni nel paramento'!$G$54,'Sollecitazioni nel paramento'!$G$53)*IF(O52&lt;0,-1,1)</f>
        <v>240946.49743184328</v>
      </c>
      <c r="V52" s="472">
        <f t="shared" si="3"/>
        <v>396598.53140133707</v>
      </c>
      <c r="W52" s="551"/>
      <c r="X52" s="551"/>
      <c r="Z52" s="585">
        <f>ABS('Foglio deposito bis'!F105)</f>
        <v>90.895249703932464</v>
      </c>
      <c r="AA52" s="77">
        <f>ABS('Foglio deposito bis'!G105)</f>
        <v>299.79750564035527</v>
      </c>
      <c r="AB52" s="410">
        <f>'Foglio deposito bis'!G105</f>
        <v>-299.79750564035527</v>
      </c>
      <c r="AC52" s="524">
        <f>'Foglio deposito bis'!C105</f>
        <v>2.6570870078549382</v>
      </c>
      <c r="AD52" s="597">
        <f>'Foglio deposito bis'!F105</f>
        <v>-90.895249703932464</v>
      </c>
      <c r="AG52" s="560">
        <f>'SOLLECITAZ NASCOSTO'!$D$4/'Sollecitazioni nel paramento'!$B$161*'Sollecitazioni nel paramento'!B156+VLOOKUP('SOLLECITAZ NASCOSTO'!$J$15,'SOLLECITAZ NASCOSTO'!$A$32:$C$448,3,TRUE)</f>
        <v>2.3787819553785541</v>
      </c>
    </row>
    <row r="53" spans="1:33" x14ac:dyDescent="0.25">
      <c r="A53" s="545">
        <f t="shared" si="2"/>
        <v>390424.46882962686</v>
      </c>
      <c r="B53" s="3">
        <f t="shared" si="4"/>
        <v>2.3999999999999995</v>
      </c>
      <c r="C53" s="545">
        <f>'Foglio deposito bis'!$E$153/$B$247*B53</f>
        <v>7.7789590634981689</v>
      </c>
      <c r="D53" s="603">
        <f>-'Sollecitazioni nel paramento'!$G$47*'Sollecitazioni nel paramento'!$G$41*IF(DATI!$G$211="dx",DATI!$E$61,DATI!$E$64*DATI!$E$63)*1000*C53^2*sezione!$AD$5*(1-sezione!$AD$6)</f>
        <v>-1346314.7289827031</v>
      </c>
      <c r="E53" s="545">
        <f>-'Foglio deposito bis'!$F$48*(C53-sezione!$AL$27)*IF(ABS(K53)&lt;'Sollecitazioni nel paramento'!$G$58,ABS(K53)*'Sollecitazioni nel paramento'!$G$54,'Sollecitazioni nel paramento'!$G$53)</f>
        <v>0</v>
      </c>
      <c r="F53" s="545">
        <f>-'Foglio deposito bis'!$F$49*(C53-sezione!$AM$27)*IF(ABS(L53)&lt;'Sollecitazioni nel paramento'!$G$58,ABS(L53)*'Sollecitazioni nel paramento'!$G$54,'Sollecitazioni nel paramento'!$G$53)</f>
        <v>10699385.124060392</v>
      </c>
      <c r="G53" s="545">
        <f>-'Foglio deposito bis'!$F$50*(C53-sezione!$AN$27)*IF(ABS(M53)&lt;'Sollecitazioni nel paramento'!$G$58,ABS(M53)*'Sollecitazioni nel paramento'!$G$54,'Sollecitazioni nel paramento'!$G$53)</f>
        <v>0</v>
      </c>
      <c r="H53" s="545">
        <f>-'Foglio deposito bis'!$F$51*(C53-sezione!$AO$27)*IF(ABS(N53)&lt;'Sollecitazioni nel paramento'!$G$58,ABS(N53)*'Sollecitazioni nel paramento'!$G$54,'Sollecitazioni nel paramento'!$G$53)</f>
        <v>36677126.649079345</v>
      </c>
      <c r="I53" s="472">
        <f>-'Foglio deposito bis'!$F$52*(C53-sezione!$AP$27)*IF(ABS(O53)&lt;'Sollecitazioni nel paramento'!$G$58,ABS(O53)*'Sollecitazioni nel paramento'!$G$54,'Sollecitazioni nel paramento'!$G$53)</f>
        <v>46201046.440690264</v>
      </c>
      <c r="J53" s="472">
        <f t="shared" si="0"/>
        <v>92231243.484847307</v>
      </c>
      <c r="K53" s="550">
        <f>'Sollecitazioni nel paramento'!$G$60*(sezione!$AL$27-C53)/C53</f>
        <v>1.4497266582483148E-2</v>
      </c>
      <c r="L53" s="550">
        <f>'Sollecitazioni nel paramento'!$G$60*(sezione!$AM$27-C53)/C53</f>
        <v>2.3495899873724722E-2</v>
      </c>
      <c r="M53" s="551">
        <f>'Sollecitazioni nel paramento'!$G$60*(sezione!$AN$27-C53)/C53</f>
        <v>3.2494533164966297E-2</v>
      </c>
      <c r="N53" s="551">
        <f>'Sollecitazioni nel paramento'!$G$60*(sezione!$AO$27-C53)/C53</f>
        <v>6.8489066329932582E-2</v>
      </c>
      <c r="O53" s="551">
        <f>'Sollecitazioni nel paramento'!$G$60*(sezione!$AP$27-C53)/C53</f>
        <v>8.6273566750850128E-2</v>
      </c>
      <c r="P53" s="545">
        <f>-'Sollecitazioni nel paramento'!$G$47*'Sollecitazioni nel paramento'!$G$41*IF(DATI!$G$211="dx",DATI!$E$61,DATI!$E$64*DATI!$E$63)*1000*C53*sezione!$AD$5</f>
        <v>-296355.00344208971</v>
      </c>
      <c r="Q53" s="545">
        <f>'Foglio deposito bis'!$F$48*IF(ABS(K53)&lt;'Sollecitazioni nel paramento'!$G$58,ABS(K53)*'Sollecitazioni nel paramento'!$G$54,'Sollecitazioni nel paramento'!$G$53)*IF(K53&lt;0,-1,1)</f>
        <v>0</v>
      </c>
      <c r="R53" s="545">
        <f>'Foglio deposito bis'!$F$49*IF(ABS(L53)&lt;'Sollecitazioni nel paramento'!$G$58,ABS(L53)*'Sollecitazioni nel paramento'!$G$54,'Sollecitazioni nel paramento'!$G$53)*IF(L53&lt;0,-1,1)</f>
        <v>204886.47740803001</v>
      </c>
      <c r="S53" s="545">
        <f>'Foglio deposito bis'!$F$50*IF(ABS(M53)&lt;'Sollecitazioni nel paramento'!$G$58,ABS(M53)*'Sollecitazioni nel paramento'!$G$54,'Sollecitazioni nel paramento'!$G$53)*IF(M53&lt;0,-1,1)</f>
        <v>0</v>
      </c>
      <c r="T53" s="545">
        <f>'Foglio deposito bis'!$F$51*IF(ABS(N53)&lt;'Sollecitazioni nel paramento'!$G$58,ABS(N53)*'Sollecitazioni nel paramento'!$G$54,'Sollecitazioni nel paramento'!$G$53)*IF(N53&lt;0,-1,1)</f>
        <v>240946.49743184328</v>
      </c>
      <c r="U53" s="545">
        <f>'Foglio deposito bis'!$F$52*IF(ABS(O53)&lt;'Sollecitazioni nel paramento'!$G$58,ABS(O53)*'Sollecitazioni nel paramento'!$G$54,'Sollecitazioni nel paramento'!$G$53)*IF(O53&lt;0,-1,1)</f>
        <v>240946.49743184328</v>
      </c>
      <c r="V53" s="472">
        <f t="shared" si="3"/>
        <v>390424.46882962686</v>
      </c>
      <c r="W53" s="551"/>
      <c r="X53" s="551"/>
      <c r="Z53" s="585">
        <f>ABS('Foglio deposito bis'!F106)</f>
        <v>139.47896312335092</v>
      </c>
      <c r="AA53" s="77">
        <f>ABS('Foglio deposito bis'!G106)</f>
        <v>329.91052848955826</v>
      </c>
      <c r="AB53" s="410">
        <f>'Foglio deposito bis'!G106</f>
        <v>-329.91052848955826</v>
      </c>
      <c r="AC53" s="524">
        <f>'Foglio deposito bis'!C106</f>
        <v>2.2322062335804809</v>
      </c>
      <c r="AD53" s="597">
        <f>'Foglio deposito bis'!F106</f>
        <v>-139.47896312335092</v>
      </c>
      <c r="AG53" s="560">
        <f>'SOLLECITAZ NASCOSTO'!$D$4/'Sollecitazioni nel paramento'!$B$161*'Sollecitazioni nel paramento'!B157+VLOOKUP('SOLLECITAZ NASCOSTO'!$J$15,'SOLLECITAZ NASCOSTO'!$A$32:$C$448,3,TRUE)</f>
        <v>2.8087819553785542</v>
      </c>
    </row>
    <row r="54" spans="1:33" x14ac:dyDescent="0.25">
      <c r="A54" s="545">
        <f t="shared" si="2"/>
        <v>384250.40625791671</v>
      </c>
      <c r="B54" s="3">
        <f t="shared" si="4"/>
        <v>2.4499999999999993</v>
      </c>
      <c r="C54" s="545">
        <f>'Foglio deposito bis'!$E$153/$B$247*B54</f>
        <v>7.9410207106543806</v>
      </c>
      <c r="D54" s="603">
        <f>-'Sollecitazioni nel paramento'!$G$47*'Sollecitazioni nel paramento'!$G$41*IF(DATI!$G$211="dx",DATI!$E$61,DATI!$E$64*DATI!$E$63)*1000*C54^2*sezione!$AD$5*(1-sezione!$AD$6)</f>
        <v>-1402995.5140136585</v>
      </c>
      <c r="E54" s="545">
        <f>-'Foglio deposito bis'!$F$48*(C54-sezione!$AL$27)*IF(ABS(K54)&lt;'Sollecitazioni nel paramento'!$G$58,ABS(K54)*'Sollecitazioni nel paramento'!$G$54,'Sollecitazioni nel paramento'!$G$53)</f>
        <v>0</v>
      </c>
      <c r="F54" s="545">
        <f>-'Foglio deposito bis'!$F$49*(C54-sezione!$AM$27)*IF(ABS(L54)&lt;'Sollecitazioni nel paramento'!$G$58,ABS(L54)*'Sollecitazioni nel paramento'!$G$54,'Sollecitazioni nel paramento'!$G$53)</f>
        <v>10666180.884051614</v>
      </c>
      <c r="G54" s="545">
        <f>-'Foglio deposito bis'!$F$50*(C54-sezione!$AN$27)*IF(ABS(M54)&lt;'Sollecitazioni nel paramento'!$G$58,ABS(M54)*'Sollecitazioni nel paramento'!$G$54,'Sollecitazioni nel paramento'!$G$53)</f>
        <v>0</v>
      </c>
      <c r="H54" s="545">
        <f>-'Foglio deposito bis'!$F$51*(C54-sezione!$AO$27)*IF(ABS(N54)&lt;'Sollecitazioni nel paramento'!$G$58,ABS(N54)*'Sollecitazioni nel paramento'!$G$54,'Sollecitazioni nel paramento'!$G$53)</f>
        <v>36638078.462829024</v>
      </c>
      <c r="I54" s="472">
        <f>-'Foglio deposito bis'!$F$52*(C54-sezione!$AP$27)*IF(ABS(O54)&lt;'Sollecitazioni nel paramento'!$G$58,ABS(O54)*'Sollecitazioni nel paramento'!$G$54,'Sollecitazioni nel paramento'!$G$53)</f>
        <v>46161998.254439935</v>
      </c>
      <c r="J54" s="472">
        <f t="shared" si="0"/>
        <v>92063262.087306917</v>
      </c>
      <c r="K54" s="550">
        <f>'Sollecitazioni nel paramento'!$G$60*(sezione!$AL$27-C54)/C54</f>
        <v>1.4129975427738596E-2</v>
      </c>
      <c r="L54" s="550">
        <f>'Sollecitazioni nel paramento'!$G$60*(sezione!$AM$27-C54)/C54</f>
        <v>2.2944963141607894E-2</v>
      </c>
      <c r="M54" s="551">
        <f>'Sollecitazioni nel paramento'!$G$60*(sezione!$AN$27-C54)/C54</f>
        <v>3.1759950855477191E-2</v>
      </c>
      <c r="N54" s="551">
        <f>'Sollecitazioni nel paramento'!$G$60*(sezione!$AO$27-C54)/C54</f>
        <v>6.7019901710954372E-2</v>
      </c>
      <c r="O54" s="551">
        <f>'Sollecitazioni nel paramento'!$G$60*(sezione!$AP$27-C54)/C54</f>
        <v>8.4441453143689935E-2</v>
      </c>
      <c r="P54" s="545">
        <f>-'Sollecitazioni nel paramento'!$G$47*'Sollecitazioni nel paramento'!$G$41*IF(DATI!$G$211="dx",DATI!$E$61,DATI!$E$64*DATI!$E$63)*1000*C54*sezione!$AD$5</f>
        <v>-302529.06601379986</v>
      </c>
      <c r="Q54" s="545">
        <f>'Foglio deposito bis'!$F$48*IF(ABS(K54)&lt;'Sollecitazioni nel paramento'!$G$58,ABS(K54)*'Sollecitazioni nel paramento'!$G$54,'Sollecitazioni nel paramento'!$G$53)*IF(K54&lt;0,-1,1)</f>
        <v>0</v>
      </c>
      <c r="R54" s="545">
        <f>'Foglio deposito bis'!$F$49*IF(ABS(L54)&lt;'Sollecitazioni nel paramento'!$G$58,ABS(L54)*'Sollecitazioni nel paramento'!$G$54,'Sollecitazioni nel paramento'!$G$53)*IF(L54&lt;0,-1,1)</f>
        <v>204886.47740803001</v>
      </c>
      <c r="S54" s="545">
        <f>'Foglio deposito bis'!$F$50*IF(ABS(M54)&lt;'Sollecitazioni nel paramento'!$G$58,ABS(M54)*'Sollecitazioni nel paramento'!$G$54,'Sollecitazioni nel paramento'!$G$53)*IF(M54&lt;0,-1,1)</f>
        <v>0</v>
      </c>
      <c r="T54" s="545">
        <f>'Foglio deposito bis'!$F$51*IF(ABS(N54)&lt;'Sollecitazioni nel paramento'!$G$58,ABS(N54)*'Sollecitazioni nel paramento'!$G$54,'Sollecitazioni nel paramento'!$G$53)*IF(N54&lt;0,-1,1)</f>
        <v>240946.49743184328</v>
      </c>
      <c r="U54" s="545">
        <f>'Foglio deposito bis'!$F$52*IF(ABS(O54)&lt;'Sollecitazioni nel paramento'!$G$58,ABS(O54)*'Sollecitazioni nel paramento'!$G$54,'Sollecitazioni nel paramento'!$G$53)*IF(O54&lt;0,-1,1)</f>
        <v>240946.49743184328</v>
      </c>
      <c r="V54" s="472">
        <f t="shared" si="3"/>
        <v>384250.40625791671</v>
      </c>
      <c r="W54" s="551"/>
      <c r="X54" s="551"/>
      <c r="Z54" s="585">
        <f>ABS('Foglio deposito bis'!F107)</f>
        <v>204.29100504991928</v>
      </c>
      <c r="AA54" s="77">
        <f>ABS('Foglio deposito bis'!G107)</f>
        <v>615.1513562977126</v>
      </c>
      <c r="AB54" s="410">
        <f>'Foglio deposito bis'!G107</f>
        <v>-615.1513562977126</v>
      </c>
      <c r="AC54" s="524">
        <f>'Foglio deposito bis'!C107</f>
        <v>1.7964310804784729</v>
      </c>
      <c r="AD54" s="597">
        <f>'Foglio deposito bis'!F107</f>
        <v>-204.29100504991928</v>
      </c>
      <c r="AG54" s="560">
        <f>'SOLLECITAZ NASCOSTO'!$D$4/'Sollecitazioni nel paramento'!$B$161*'Sollecitazioni nel paramento'!B158+VLOOKUP('SOLLECITAZ NASCOSTO'!$J$15,'SOLLECITAZ NASCOSTO'!$A$32:$C$448,3,TRUE)</f>
        <v>3.238781955378554</v>
      </c>
    </row>
    <row r="55" spans="1:33" x14ac:dyDescent="0.25">
      <c r="A55" s="545">
        <f t="shared" si="2"/>
        <v>378076.3436862065</v>
      </c>
      <c r="B55" s="3">
        <f t="shared" si="4"/>
        <v>2.4999999999999991</v>
      </c>
      <c r="C55" s="545">
        <f>'Foglio deposito bis'!$E$153/$B$247*B55</f>
        <v>8.1030823578105924</v>
      </c>
      <c r="D55" s="603">
        <f>-'Sollecitazioni nel paramento'!$G$47*'Sollecitazioni nel paramento'!$G$41*IF(DATI!$G$211="dx",DATI!$E$61,DATI!$E$64*DATI!$E$63)*1000*C55^2*sezione!$AD$5*(1-sezione!$AD$6)</f>
        <v>-1460844.9750246345</v>
      </c>
      <c r="E55" s="545">
        <f>-'Foglio deposito bis'!$F$48*(C55-sezione!$AL$27)*IF(ABS(K55)&lt;'Sollecitazioni nel paramento'!$G$58,ABS(K55)*'Sollecitazioni nel paramento'!$G$54,'Sollecitazioni nel paramento'!$G$53)</f>
        <v>0</v>
      </c>
      <c r="F55" s="545">
        <f>-'Foglio deposito bis'!$F$49*(C55-sezione!$AM$27)*IF(ABS(L55)&lt;'Sollecitazioni nel paramento'!$G$58,ABS(L55)*'Sollecitazioni nel paramento'!$G$54,'Sollecitazioni nel paramento'!$G$53)</f>
        <v>10632976.644042835</v>
      </c>
      <c r="G55" s="545">
        <f>-'Foglio deposito bis'!$F$50*(C55-sezione!$AN$27)*IF(ABS(M55)&lt;'Sollecitazioni nel paramento'!$G$58,ABS(M55)*'Sollecitazioni nel paramento'!$G$54,'Sollecitazioni nel paramento'!$G$53)</f>
        <v>0</v>
      </c>
      <c r="H55" s="545">
        <f>-'Foglio deposito bis'!$F$51*(C55-sezione!$AO$27)*IF(ABS(N55)&lt;'Sollecitazioni nel paramento'!$G$58,ABS(N55)*'Sollecitazioni nel paramento'!$G$54,'Sollecitazioni nel paramento'!$G$53)</f>
        <v>36599030.276578695</v>
      </c>
      <c r="I55" s="472">
        <f>-'Foglio deposito bis'!$F$52*(C55-sezione!$AP$27)*IF(ABS(O55)&lt;'Sollecitazioni nel paramento'!$G$58,ABS(O55)*'Sollecitazioni nel paramento'!$G$54,'Sollecitazioni nel paramento'!$G$53)</f>
        <v>46122950.068189614</v>
      </c>
      <c r="J55" s="472">
        <f t="shared" si="0"/>
        <v>91894112.01378651</v>
      </c>
      <c r="K55" s="550">
        <f>'Sollecitazioni nel paramento'!$G$60*(sezione!$AL$27-C55)/C55</f>
        <v>1.3777375919183824E-2</v>
      </c>
      <c r="L55" s="550">
        <f>'Sollecitazioni nel paramento'!$G$60*(sezione!$AM$27-C55)/C55</f>
        <v>2.2416063878775733E-2</v>
      </c>
      <c r="M55" s="551">
        <f>'Sollecitazioni nel paramento'!$G$60*(sezione!$AN$27-C55)/C55</f>
        <v>3.1054751838367641E-2</v>
      </c>
      <c r="N55" s="551">
        <f>'Sollecitazioni nel paramento'!$G$60*(sezione!$AO$27-C55)/C55</f>
        <v>6.5609503676735292E-2</v>
      </c>
      <c r="O55" s="551">
        <f>'Sollecitazioni nel paramento'!$G$60*(sezione!$AP$27-C55)/C55</f>
        <v>8.2682624080816142E-2</v>
      </c>
      <c r="P55" s="545">
        <f>-'Sollecitazioni nel paramento'!$G$47*'Sollecitazioni nel paramento'!$G$41*IF(DATI!$G$211="dx",DATI!$E$61,DATI!$E$64*DATI!$E$63)*1000*C55*sezione!$AD$5</f>
        <v>-308703.12858551007</v>
      </c>
      <c r="Q55" s="545">
        <f>'Foglio deposito bis'!$F$48*IF(ABS(K55)&lt;'Sollecitazioni nel paramento'!$G$58,ABS(K55)*'Sollecitazioni nel paramento'!$G$54,'Sollecitazioni nel paramento'!$G$53)*IF(K55&lt;0,-1,1)</f>
        <v>0</v>
      </c>
      <c r="R55" s="545">
        <f>'Foglio deposito bis'!$F$49*IF(ABS(L55)&lt;'Sollecitazioni nel paramento'!$G$58,ABS(L55)*'Sollecitazioni nel paramento'!$G$54,'Sollecitazioni nel paramento'!$G$53)*IF(L55&lt;0,-1,1)</f>
        <v>204886.47740803001</v>
      </c>
      <c r="S55" s="545">
        <f>'Foglio deposito bis'!$F$50*IF(ABS(M55)&lt;'Sollecitazioni nel paramento'!$G$58,ABS(M55)*'Sollecitazioni nel paramento'!$G$54,'Sollecitazioni nel paramento'!$G$53)*IF(M55&lt;0,-1,1)</f>
        <v>0</v>
      </c>
      <c r="T55" s="545">
        <f>'Foglio deposito bis'!$F$51*IF(ABS(N55)&lt;'Sollecitazioni nel paramento'!$G$58,ABS(N55)*'Sollecitazioni nel paramento'!$G$54,'Sollecitazioni nel paramento'!$G$53)*IF(N55&lt;0,-1,1)</f>
        <v>240946.49743184328</v>
      </c>
      <c r="U55" s="545">
        <f>'Foglio deposito bis'!$F$52*IF(ABS(O55)&lt;'Sollecitazioni nel paramento'!$G$58,ABS(O55)*'Sollecitazioni nel paramento'!$G$54,'Sollecitazioni nel paramento'!$G$53)*IF(O55&lt;0,-1,1)</f>
        <v>240946.49743184328</v>
      </c>
      <c r="V55" s="472">
        <f t="shared" si="3"/>
        <v>378076.3436862065</v>
      </c>
      <c r="W55" s="551"/>
      <c r="X55" s="551"/>
      <c r="Z55" s="585">
        <f>ABS('Foglio deposito bis'!F108)</f>
        <v>283.94709827020034</v>
      </c>
      <c r="AA55" s="77">
        <f>ABS('Foglio deposito bis'!G108)</f>
        <v>669.818678304581</v>
      </c>
      <c r="AB55" s="410">
        <f>'Foglio deposito bis'!G108</f>
        <v>-669.818678304581</v>
      </c>
      <c r="AC55" s="524">
        <f>'Foglio deposito bis'!C108</f>
        <v>1.3715503062040155</v>
      </c>
      <c r="AD55" s="597">
        <f>'Foglio deposito bis'!F108</f>
        <v>-283.94709827020034</v>
      </c>
      <c r="AG55" s="560">
        <f>'SOLLECITAZ NASCOSTO'!$D$4/'Sollecitazioni nel paramento'!$B$161*'Sollecitazioni nel paramento'!B159+VLOOKUP('SOLLECITAZ NASCOSTO'!$J$15,'SOLLECITAZ NASCOSTO'!$A$32:$C$448,3,TRUE)</f>
        <v>3.6687819553785541</v>
      </c>
    </row>
    <row r="56" spans="1:33" x14ac:dyDescent="0.25">
      <c r="A56" s="545">
        <f t="shared" si="2"/>
        <v>371902.28111449635</v>
      </c>
      <c r="B56" s="3">
        <f t="shared" si="4"/>
        <v>2.5499999999999989</v>
      </c>
      <c r="C56" s="545">
        <f>'Foglio deposito bis'!$E$153/$B$247*B56</f>
        <v>8.2651440049668032</v>
      </c>
      <c r="D56" s="603">
        <f>-'Sollecitazioni nel paramento'!$G$47*'Sollecitazioni nel paramento'!$G$41*IF(DATI!$G$211="dx",DATI!$E$61,DATI!$E$64*DATI!$E$63)*1000*C56^2*sezione!$AD$5*(1-sezione!$AD$6)</f>
        <v>-1519863.112015629</v>
      </c>
      <c r="E56" s="545">
        <f>-'Foglio deposito bis'!$F$48*(C56-sezione!$AL$27)*IF(ABS(K56)&lt;'Sollecitazioni nel paramento'!$G$58,ABS(K56)*'Sollecitazioni nel paramento'!$G$54,'Sollecitazioni nel paramento'!$G$53)</f>
        <v>0</v>
      </c>
      <c r="F56" s="545">
        <f>-'Foglio deposito bis'!$F$49*(C56-sezione!$AM$27)*IF(ABS(L56)&lt;'Sollecitazioni nel paramento'!$G$58,ABS(L56)*'Sollecitazioni nel paramento'!$G$54,'Sollecitazioni nel paramento'!$G$53)</f>
        <v>10599772.404034056</v>
      </c>
      <c r="G56" s="545">
        <f>-'Foglio deposito bis'!$F$50*(C56-sezione!$AN$27)*IF(ABS(M56)&lt;'Sollecitazioni nel paramento'!$G$58,ABS(M56)*'Sollecitazioni nel paramento'!$G$54,'Sollecitazioni nel paramento'!$G$53)</f>
        <v>0</v>
      </c>
      <c r="H56" s="545">
        <f>-'Foglio deposito bis'!$F$51*(C56-sezione!$AO$27)*IF(ABS(N56)&lt;'Sollecitazioni nel paramento'!$G$58,ABS(N56)*'Sollecitazioni nel paramento'!$G$54,'Sollecitazioni nel paramento'!$G$53)</f>
        <v>36559982.090328373</v>
      </c>
      <c r="I56" s="472">
        <f>-'Foglio deposito bis'!$F$52*(C56-sezione!$AP$27)*IF(ABS(O56)&lt;'Sollecitazioni nel paramento'!$G$58,ABS(O56)*'Sollecitazioni nel paramento'!$G$54,'Sollecitazioni nel paramento'!$G$53)</f>
        <v>46083901.881939292</v>
      </c>
      <c r="J56" s="472">
        <f t="shared" si="0"/>
        <v>91723793.264286101</v>
      </c>
      <c r="K56" s="550">
        <f>'Sollecitazioni nel paramento'!$G$60*(sezione!$AL$27-C56)/C56</f>
        <v>1.3438603842337082E-2</v>
      </c>
      <c r="L56" s="550">
        <f>'Sollecitazioni nel paramento'!$G$60*(sezione!$AM$27-C56)/C56</f>
        <v>2.1907905763505625E-2</v>
      </c>
      <c r="M56" s="551">
        <f>'Sollecitazioni nel paramento'!$G$60*(sezione!$AN$27-C56)/C56</f>
        <v>3.0377207684674168E-2</v>
      </c>
      <c r="N56" s="551">
        <f>'Sollecitazioni nel paramento'!$G$60*(sezione!$AO$27-C56)/C56</f>
        <v>6.4254415369348339E-2</v>
      </c>
      <c r="O56" s="551">
        <f>'Sollecitazioni nel paramento'!$G$60*(sezione!$AP$27-C56)/C56</f>
        <v>8.0992768706682497E-2</v>
      </c>
      <c r="P56" s="545">
        <f>-'Sollecitazioni nel paramento'!$G$47*'Sollecitazioni nel paramento'!$G$41*IF(DATI!$G$211="dx",DATI!$E$61,DATI!$E$64*DATI!$E$63)*1000*C56*sezione!$AD$5</f>
        <v>-314877.19115722022</v>
      </c>
      <c r="Q56" s="545">
        <f>'Foglio deposito bis'!$F$48*IF(ABS(K56)&lt;'Sollecitazioni nel paramento'!$G$58,ABS(K56)*'Sollecitazioni nel paramento'!$G$54,'Sollecitazioni nel paramento'!$G$53)*IF(K56&lt;0,-1,1)</f>
        <v>0</v>
      </c>
      <c r="R56" s="545">
        <f>'Foglio deposito bis'!$F$49*IF(ABS(L56)&lt;'Sollecitazioni nel paramento'!$G$58,ABS(L56)*'Sollecitazioni nel paramento'!$G$54,'Sollecitazioni nel paramento'!$G$53)*IF(L56&lt;0,-1,1)</f>
        <v>204886.47740803001</v>
      </c>
      <c r="S56" s="545">
        <f>'Foglio deposito bis'!$F$50*IF(ABS(M56)&lt;'Sollecitazioni nel paramento'!$G$58,ABS(M56)*'Sollecitazioni nel paramento'!$G$54,'Sollecitazioni nel paramento'!$G$53)*IF(M56&lt;0,-1,1)</f>
        <v>0</v>
      </c>
      <c r="T56" s="545">
        <f>'Foglio deposito bis'!$F$51*IF(ABS(N56)&lt;'Sollecitazioni nel paramento'!$G$58,ABS(N56)*'Sollecitazioni nel paramento'!$G$54,'Sollecitazioni nel paramento'!$G$53)*IF(N56&lt;0,-1,1)</f>
        <v>240946.49743184328</v>
      </c>
      <c r="U56" s="545">
        <f>'Foglio deposito bis'!$F$52*IF(ABS(O56)&lt;'Sollecitazioni nel paramento'!$G$58,ABS(O56)*'Sollecitazioni nel paramento'!$G$54,'Sollecitazioni nel paramento'!$G$53)*IF(O56&lt;0,-1,1)</f>
        <v>240946.49743184328</v>
      </c>
      <c r="V56" s="472">
        <f t="shared" si="3"/>
        <v>371902.28111449635</v>
      </c>
      <c r="W56" s="551"/>
      <c r="X56" s="551"/>
      <c r="Z56" s="585">
        <f>ABS('Foglio deposito bis'!F109)</f>
        <v>384.45222853876811</v>
      </c>
      <c r="AA56" s="77">
        <f>ABS('Foglio deposito bis'!G109)</f>
        <v>1329.6408378987776</v>
      </c>
      <c r="AB56" s="410">
        <f>'Foglio deposito bis'!G109</f>
        <v>-1329.6408378987776</v>
      </c>
      <c r="AC56" s="524">
        <f>'Foglio deposito bis'!C109</f>
        <v>0.93577515310200798</v>
      </c>
      <c r="AD56" s="597">
        <f>'Foglio deposito bis'!F109</f>
        <v>-384.45222853876811</v>
      </c>
      <c r="AG56" s="560">
        <f>'SOLLECITAZ NASCOSTO'!$D$4/'Sollecitazioni nel paramento'!$B$161*'Sollecitazioni nel paramento'!B160+VLOOKUP('SOLLECITAZ NASCOSTO'!$J$15,'SOLLECITAZ NASCOSTO'!$A$32:$C$448,3,TRUE)</f>
        <v>4.0987819553785538</v>
      </c>
    </row>
    <row r="57" spans="1:33" x14ac:dyDescent="0.25">
      <c r="A57" s="545">
        <f t="shared" si="2"/>
        <v>365728.2185427862</v>
      </c>
      <c r="B57" s="3">
        <f t="shared" si="4"/>
        <v>2.5999999999999988</v>
      </c>
      <c r="C57" s="545">
        <f>'Foglio deposito bis'!$E$153/$B$247*B57</f>
        <v>8.4272056521230141</v>
      </c>
      <c r="D57" s="603">
        <f>-'Sollecitazioni nel paramento'!$G$47*'Sollecitazioni nel paramento'!$G$41*IF(DATI!$G$211="dx",DATI!$E$61,DATI!$E$64*DATI!$E$63)*1000*C57^2*sezione!$AD$5*(1-sezione!$AD$6)</f>
        <v>-1580049.9249866435</v>
      </c>
      <c r="E57" s="545">
        <f>-'Foglio deposito bis'!$F$48*(C57-sezione!$AL$27)*IF(ABS(K57)&lt;'Sollecitazioni nel paramento'!$G$58,ABS(K57)*'Sollecitazioni nel paramento'!$G$54,'Sollecitazioni nel paramento'!$G$53)</f>
        <v>0</v>
      </c>
      <c r="F57" s="545">
        <f>-'Foglio deposito bis'!$F$49*(C57-sezione!$AM$27)*IF(ABS(L57)&lt;'Sollecitazioni nel paramento'!$G$58,ABS(L57)*'Sollecitazioni nel paramento'!$G$54,'Sollecitazioni nel paramento'!$G$53)</f>
        <v>10566568.164025277</v>
      </c>
      <c r="G57" s="545">
        <f>-'Foglio deposito bis'!$F$50*(C57-sezione!$AN$27)*IF(ABS(M57)&lt;'Sollecitazioni nel paramento'!$G$58,ABS(M57)*'Sollecitazioni nel paramento'!$G$54,'Sollecitazioni nel paramento'!$G$53)</f>
        <v>0</v>
      </c>
      <c r="H57" s="545">
        <f>-'Foglio deposito bis'!$F$51*(C57-sezione!$AO$27)*IF(ABS(N57)&lt;'Sollecitazioni nel paramento'!$G$58,ABS(N57)*'Sollecitazioni nel paramento'!$G$54,'Sollecitazioni nel paramento'!$G$53)</f>
        <v>36520933.904078051</v>
      </c>
      <c r="I57" s="472">
        <f>-'Foglio deposito bis'!$F$52*(C57-sezione!$AP$27)*IF(ABS(O57)&lt;'Sollecitazioni nel paramento'!$G$58,ABS(O57)*'Sollecitazioni nel paramento'!$G$54,'Sollecitazioni nel paramento'!$G$53)</f>
        <v>46044853.69568897</v>
      </c>
      <c r="J57" s="472">
        <f t="shared" si="0"/>
        <v>91552305.838805646</v>
      </c>
      <c r="K57" s="550">
        <f>'Sollecitazioni nel paramento'!$G$60*(sezione!$AL$27-C57)/C57</f>
        <v>1.311286146075368E-2</v>
      </c>
      <c r="L57" s="550">
        <f>'Sollecitazioni nel paramento'!$G$60*(sezione!$AM$27-C57)/C57</f>
        <v>2.1419292191130521E-2</v>
      </c>
      <c r="M57" s="551">
        <f>'Sollecitazioni nel paramento'!$G$60*(sezione!$AN$27-C57)/C57</f>
        <v>2.9725722921507367E-2</v>
      </c>
      <c r="N57" s="551">
        <f>'Sollecitazioni nel paramento'!$G$60*(sezione!$AO$27-C57)/C57</f>
        <v>6.2951445843014722E-2</v>
      </c>
      <c r="O57" s="551">
        <f>'Sollecitazioni nel paramento'!$G$60*(sezione!$AP$27-C57)/C57</f>
        <v>7.9367907770015539E-2</v>
      </c>
      <c r="P57" s="545">
        <f>-'Sollecitazioni nel paramento'!$G$47*'Sollecitazioni nel paramento'!$G$41*IF(DATI!$G$211="dx",DATI!$E$61,DATI!$E$64*DATI!$E$63)*1000*C57*sezione!$AD$5</f>
        <v>-321051.25372893037</v>
      </c>
      <c r="Q57" s="545">
        <f>'Foglio deposito bis'!$F$48*IF(ABS(K57)&lt;'Sollecitazioni nel paramento'!$G$58,ABS(K57)*'Sollecitazioni nel paramento'!$G$54,'Sollecitazioni nel paramento'!$G$53)*IF(K57&lt;0,-1,1)</f>
        <v>0</v>
      </c>
      <c r="R57" s="545">
        <f>'Foglio deposito bis'!$F$49*IF(ABS(L57)&lt;'Sollecitazioni nel paramento'!$G$58,ABS(L57)*'Sollecitazioni nel paramento'!$G$54,'Sollecitazioni nel paramento'!$G$53)*IF(L57&lt;0,-1,1)</f>
        <v>204886.47740803001</v>
      </c>
      <c r="S57" s="545">
        <f>'Foglio deposito bis'!$F$50*IF(ABS(M57)&lt;'Sollecitazioni nel paramento'!$G$58,ABS(M57)*'Sollecitazioni nel paramento'!$G$54,'Sollecitazioni nel paramento'!$G$53)*IF(M57&lt;0,-1,1)</f>
        <v>0</v>
      </c>
      <c r="T57" s="545">
        <f>'Foglio deposito bis'!$F$51*IF(ABS(N57)&lt;'Sollecitazioni nel paramento'!$G$58,ABS(N57)*'Sollecitazioni nel paramento'!$G$54,'Sollecitazioni nel paramento'!$G$53)*IF(N57&lt;0,-1,1)</f>
        <v>240946.49743184328</v>
      </c>
      <c r="U57" s="545">
        <f>'Foglio deposito bis'!$F$52*IF(ABS(O57)&lt;'Sollecitazioni nel paramento'!$G$58,ABS(O57)*'Sollecitazioni nel paramento'!$G$54,'Sollecitazioni nel paramento'!$G$53)*IF(O57&lt;0,-1,1)</f>
        <v>240946.49743184328</v>
      </c>
      <c r="V57" s="472">
        <f t="shared" si="3"/>
        <v>365728.2185427862</v>
      </c>
      <c r="W57" s="551"/>
      <c r="X57" s="551"/>
      <c r="Z57" s="585">
        <f>ABS('Foglio deposito bis'!F110)</f>
        <v>502.63746422508564</v>
      </c>
      <c r="AA57" s="77">
        <f>ABS('Foglio deposito bis'!G110)</f>
        <v>1431.6393295351243</v>
      </c>
      <c r="AB57" s="410">
        <f>'Foglio deposito bis'!G110</f>
        <v>-1431.6393295351243</v>
      </c>
      <c r="AC57" s="524">
        <f>'Foglio deposito bis'!C110</f>
        <v>0.51089437882755018</v>
      </c>
      <c r="AD57" s="597">
        <f>'Foglio deposito bis'!F110</f>
        <v>-502.63746422508564</v>
      </c>
      <c r="AG57" s="560">
        <f>'SOLLECITAZ NASCOSTO'!$D$4/'Sollecitazioni nel paramento'!$B$161*'Sollecitazioni nel paramento'!B161+VLOOKUP('SOLLECITAZ NASCOSTO'!$J$15,'SOLLECITAZ NASCOSTO'!$A$32:$C$448,3,TRUE)</f>
        <v>4.5287819553785535</v>
      </c>
    </row>
    <row r="58" spans="1:33" x14ac:dyDescent="0.25">
      <c r="A58" s="545">
        <f t="shared" si="2"/>
        <v>359554.15597107593</v>
      </c>
      <c r="B58" s="3">
        <f t="shared" si="4"/>
        <v>2.6499999999999986</v>
      </c>
      <c r="C58" s="545">
        <f>'Foglio deposito bis'!$E$153/$B$247*B58</f>
        <v>8.5892672992792267</v>
      </c>
      <c r="D58" s="603">
        <f>-'Sollecitazioni nel paramento'!$G$47*'Sollecitazioni nel paramento'!$G$41*IF(DATI!$G$211="dx",DATI!$E$61,DATI!$E$64*DATI!$E$63)*1000*C58^2*sezione!$AD$5*(1-sezione!$AD$6)</f>
        <v>-1641405.4139376786</v>
      </c>
      <c r="E58" s="545">
        <f>-'Foglio deposito bis'!$F$48*(C58-sezione!$AL$27)*IF(ABS(K58)&lt;'Sollecitazioni nel paramento'!$G$58,ABS(K58)*'Sollecitazioni nel paramento'!$G$54,'Sollecitazioni nel paramento'!$G$53)</f>
        <v>0</v>
      </c>
      <c r="F58" s="545">
        <f>-'Foglio deposito bis'!$F$49*(C58-sezione!$AM$27)*IF(ABS(L58)&lt;'Sollecitazioni nel paramento'!$G$58,ABS(L58)*'Sollecitazioni nel paramento'!$G$54,'Sollecitazioni nel paramento'!$G$53)</f>
        <v>10533363.924016496</v>
      </c>
      <c r="G58" s="545">
        <f>-'Foglio deposito bis'!$F$50*(C58-sezione!$AN$27)*IF(ABS(M58)&lt;'Sollecitazioni nel paramento'!$G$58,ABS(M58)*'Sollecitazioni nel paramento'!$G$54,'Sollecitazioni nel paramento'!$G$53)</f>
        <v>0</v>
      </c>
      <c r="H58" s="545">
        <f>-'Foglio deposito bis'!$F$51*(C58-sezione!$AO$27)*IF(ABS(N58)&lt;'Sollecitazioni nel paramento'!$G$58,ABS(N58)*'Sollecitazioni nel paramento'!$G$54,'Sollecitazioni nel paramento'!$G$53)</f>
        <v>36481885.71782773</v>
      </c>
      <c r="I58" s="472">
        <f>-'Foglio deposito bis'!$F$52*(C58-sezione!$AP$27)*IF(ABS(O58)&lt;'Sollecitazioni nel paramento'!$G$58,ABS(O58)*'Sollecitazioni nel paramento'!$G$54,'Sollecitazioni nel paramento'!$G$53)</f>
        <v>46005805.509438649</v>
      </c>
      <c r="J58" s="472">
        <f t="shared" si="0"/>
        <v>91379649.737345189</v>
      </c>
      <c r="K58" s="550">
        <f>'Sollecitazioni nel paramento'!$G$60*(sezione!$AL$27-C58)/C58</f>
        <v>1.2799411244513042E-2</v>
      </c>
      <c r="L58" s="550">
        <f>'Sollecitazioni nel paramento'!$G$60*(sezione!$AM$27-C58)/C58</f>
        <v>2.0949116866769563E-2</v>
      </c>
      <c r="M58" s="551">
        <f>'Sollecitazioni nel paramento'!$G$60*(sezione!$AN$27-C58)/C58</f>
        <v>2.9098822489026087E-2</v>
      </c>
      <c r="N58" s="551">
        <f>'Sollecitazioni nel paramento'!$G$60*(sezione!$AO$27-C58)/C58</f>
        <v>6.169764497805217E-2</v>
      </c>
      <c r="O58" s="551">
        <f>'Sollecitazioni nel paramento'!$G$60*(sezione!$AP$27-C58)/C58</f>
        <v>7.7804362340392591E-2</v>
      </c>
      <c r="P58" s="545">
        <f>-'Sollecitazioni nel paramento'!$G$47*'Sollecitazioni nel paramento'!$G$41*IF(DATI!$G$211="dx",DATI!$E$61,DATI!$E$64*DATI!$E$63)*1000*C58*sezione!$AD$5</f>
        <v>-327225.31630064064</v>
      </c>
      <c r="Q58" s="545">
        <f>'Foglio deposito bis'!$F$48*IF(ABS(K58)&lt;'Sollecitazioni nel paramento'!$G$58,ABS(K58)*'Sollecitazioni nel paramento'!$G$54,'Sollecitazioni nel paramento'!$G$53)*IF(K58&lt;0,-1,1)</f>
        <v>0</v>
      </c>
      <c r="R58" s="545">
        <f>'Foglio deposito bis'!$F$49*IF(ABS(L58)&lt;'Sollecitazioni nel paramento'!$G$58,ABS(L58)*'Sollecitazioni nel paramento'!$G$54,'Sollecitazioni nel paramento'!$G$53)*IF(L58&lt;0,-1,1)</f>
        <v>204886.47740803001</v>
      </c>
      <c r="S58" s="545">
        <f>'Foglio deposito bis'!$F$50*IF(ABS(M58)&lt;'Sollecitazioni nel paramento'!$G$58,ABS(M58)*'Sollecitazioni nel paramento'!$G$54,'Sollecitazioni nel paramento'!$G$53)*IF(M58&lt;0,-1,1)</f>
        <v>0</v>
      </c>
      <c r="T58" s="545">
        <f>'Foglio deposito bis'!$F$51*IF(ABS(N58)&lt;'Sollecitazioni nel paramento'!$G$58,ABS(N58)*'Sollecitazioni nel paramento'!$G$54,'Sollecitazioni nel paramento'!$G$53)*IF(N58&lt;0,-1,1)</f>
        <v>240946.49743184328</v>
      </c>
      <c r="U58" s="545">
        <f>'Foglio deposito bis'!$F$52*IF(ABS(O58)&lt;'Sollecitazioni nel paramento'!$G$58,ABS(O58)*'Sollecitazioni nel paramento'!$G$54,'Sollecitazioni nel paramento'!$G$53)*IF(O58&lt;0,-1,1)</f>
        <v>240946.49743184328</v>
      </c>
      <c r="V58" s="472">
        <f t="shared" si="3"/>
        <v>359554.15597107593</v>
      </c>
      <c r="W58" s="551"/>
      <c r="X58" s="551"/>
      <c r="Z58" s="421"/>
      <c r="AA58" s="421"/>
      <c r="AB58" s="585">
        <v>0</v>
      </c>
      <c r="AC58" s="524">
        <f>AC57</f>
        <v>0.51089437882755018</v>
      </c>
      <c r="AD58" s="597">
        <f>'Foglio deposito bis'!F129</f>
        <v>0</v>
      </c>
    </row>
    <row r="59" spans="1:33" x14ac:dyDescent="0.25">
      <c r="A59" s="545">
        <f t="shared" si="2"/>
        <v>353380.09339936578</v>
      </c>
      <c r="B59" s="3">
        <f t="shared" si="4"/>
        <v>2.6999999999999984</v>
      </c>
      <c r="C59" s="545">
        <f>'Foglio deposito bis'!$E$153/$B$247*B59</f>
        <v>8.7513289464354376</v>
      </c>
      <c r="D59" s="603">
        <f>-'Sollecitazioni nel paramento'!$G$47*'Sollecitazioni nel paramento'!$G$41*IF(DATI!$G$211="dx",DATI!$E$61,DATI!$E$64*DATI!$E$63)*1000*C59^2*sezione!$AD$5*(1-sezione!$AD$6)</f>
        <v>-1703929.5788687323</v>
      </c>
      <c r="E59" s="545">
        <f>-'Foglio deposito bis'!$F$48*(C59-sezione!$AL$27)*IF(ABS(K59)&lt;'Sollecitazioni nel paramento'!$G$58,ABS(K59)*'Sollecitazioni nel paramento'!$G$54,'Sollecitazioni nel paramento'!$G$53)</f>
        <v>0</v>
      </c>
      <c r="F59" s="545">
        <f>-'Foglio deposito bis'!$F$49*(C59-sezione!$AM$27)*IF(ABS(L59)&lt;'Sollecitazioni nel paramento'!$G$58,ABS(L59)*'Sollecitazioni nel paramento'!$G$54,'Sollecitazioni nel paramento'!$G$53)</f>
        <v>10500159.684007717</v>
      </c>
      <c r="G59" s="545">
        <f>-'Foglio deposito bis'!$F$50*(C59-sezione!$AN$27)*IF(ABS(M59)&lt;'Sollecitazioni nel paramento'!$G$58,ABS(M59)*'Sollecitazioni nel paramento'!$G$54,'Sollecitazioni nel paramento'!$G$53)</f>
        <v>0</v>
      </c>
      <c r="H59" s="545">
        <f>-'Foglio deposito bis'!$F$51*(C59-sezione!$AO$27)*IF(ABS(N59)&lt;'Sollecitazioni nel paramento'!$G$58,ABS(N59)*'Sollecitazioni nel paramento'!$G$54,'Sollecitazioni nel paramento'!$G$53)</f>
        <v>36442837.531577401</v>
      </c>
      <c r="I59" s="472">
        <f>-'Foglio deposito bis'!$F$52*(C59-sezione!$AP$27)*IF(ABS(O59)&lt;'Sollecitazioni nel paramento'!$G$58,ABS(O59)*'Sollecitazioni nel paramento'!$G$54,'Sollecitazioni nel paramento'!$G$53)</f>
        <v>45966757.323188312</v>
      </c>
      <c r="J59" s="472">
        <f t="shared" si="0"/>
        <v>91205824.959904701</v>
      </c>
      <c r="K59" s="550">
        <f>'Sollecitazioni nel paramento'!$G$60*(sezione!$AL$27-C59)/C59</f>
        <v>1.2497570295540581E-2</v>
      </c>
      <c r="L59" s="550">
        <f>'Sollecitazioni nel paramento'!$G$60*(sezione!$AM$27-C59)/C59</f>
        <v>2.0496355443310871E-2</v>
      </c>
      <c r="M59" s="551">
        <f>'Sollecitazioni nel paramento'!$G$60*(sezione!$AN$27-C59)/C59</f>
        <v>2.8495140591081162E-2</v>
      </c>
      <c r="N59" s="551">
        <f>'Sollecitazioni nel paramento'!$G$60*(sezione!$AO$27-C59)/C59</f>
        <v>6.0490281182162313E-2</v>
      </c>
      <c r="O59" s="551">
        <f>'Sollecitazioni nel paramento'!$G$60*(sezione!$AP$27-C59)/C59</f>
        <v>7.6298726000755698E-2</v>
      </c>
      <c r="P59" s="545">
        <f>-'Sollecitazioni nel paramento'!$G$47*'Sollecitazioni nel paramento'!$G$41*IF(DATI!$G$211="dx",DATI!$E$61,DATI!$E$64*DATI!$E$63)*1000*C59*sezione!$AD$5</f>
        <v>-333399.37887235079</v>
      </c>
      <c r="Q59" s="545">
        <f>'Foglio deposito bis'!$F$48*IF(ABS(K59)&lt;'Sollecitazioni nel paramento'!$G$58,ABS(K59)*'Sollecitazioni nel paramento'!$G$54,'Sollecitazioni nel paramento'!$G$53)*IF(K59&lt;0,-1,1)</f>
        <v>0</v>
      </c>
      <c r="R59" s="545">
        <f>'Foglio deposito bis'!$F$49*IF(ABS(L59)&lt;'Sollecitazioni nel paramento'!$G$58,ABS(L59)*'Sollecitazioni nel paramento'!$G$54,'Sollecitazioni nel paramento'!$G$53)*IF(L59&lt;0,-1,1)</f>
        <v>204886.47740803001</v>
      </c>
      <c r="S59" s="545">
        <f>'Foglio deposito bis'!$F$50*IF(ABS(M59)&lt;'Sollecitazioni nel paramento'!$G$58,ABS(M59)*'Sollecitazioni nel paramento'!$G$54,'Sollecitazioni nel paramento'!$G$53)*IF(M59&lt;0,-1,1)</f>
        <v>0</v>
      </c>
      <c r="T59" s="545">
        <f>'Foglio deposito bis'!$F$51*IF(ABS(N59)&lt;'Sollecitazioni nel paramento'!$G$58,ABS(N59)*'Sollecitazioni nel paramento'!$G$54,'Sollecitazioni nel paramento'!$G$53)*IF(N59&lt;0,-1,1)</f>
        <v>240946.49743184328</v>
      </c>
      <c r="U59" s="545">
        <f>'Foglio deposito bis'!$F$52*IF(ABS(O59)&lt;'Sollecitazioni nel paramento'!$G$58,ABS(O59)*'Sollecitazioni nel paramento'!$G$54,'Sollecitazioni nel paramento'!$G$53)*IF(O59&lt;0,-1,1)</f>
        <v>240946.49743184328</v>
      </c>
      <c r="V59" s="472">
        <f t="shared" si="3"/>
        <v>353380.09339936578</v>
      </c>
      <c r="W59" s="551"/>
      <c r="X59" s="551"/>
    </row>
    <row r="60" spans="1:33" x14ac:dyDescent="0.25">
      <c r="A60" s="545">
        <f t="shared" si="2"/>
        <v>347206.03082765563</v>
      </c>
      <c r="B60" s="3">
        <f t="shared" si="4"/>
        <v>2.7499999999999982</v>
      </c>
      <c r="C60" s="545">
        <f>'Foglio deposito bis'!$E$153/$B$247*B60</f>
        <v>8.9133905935916484</v>
      </c>
      <c r="D60" s="603">
        <f>-'Sollecitazioni nel paramento'!$G$47*'Sollecitazioni nel paramento'!$G$41*IF(DATI!$G$211="dx",DATI!$E$61,DATI!$E$64*DATI!$E$63)*1000*C60^2*sezione!$AD$5*(1-sezione!$AD$6)</f>
        <v>-1767622.4197798062</v>
      </c>
      <c r="E60" s="545">
        <f>-'Foglio deposito bis'!$F$48*(C60-sezione!$AL$27)*IF(ABS(K60)&lt;'Sollecitazioni nel paramento'!$G$58,ABS(K60)*'Sollecitazioni nel paramento'!$G$54,'Sollecitazioni nel paramento'!$G$53)</f>
        <v>0</v>
      </c>
      <c r="F60" s="545">
        <f>-'Foglio deposito bis'!$F$49*(C60-sezione!$AM$27)*IF(ABS(L60)&lt;'Sollecitazioni nel paramento'!$G$58,ABS(L60)*'Sollecitazioni nel paramento'!$G$54,'Sollecitazioni nel paramento'!$G$53)</f>
        <v>10466955.443998938</v>
      </c>
      <c r="G60" s="545">
        <f>-'Foglio deposito bis'!$F$50*(C60-sezione!$AN$27)*IF(ABS(M60)&lt;'Sollecitazioni nel paramento'!$G$58,ABS(M60)*'Sollecitazioni nel paramento'!$G$54,'Sollecitazioni nel paramento'!$G$53)</f>
        <v>0</v>
      </c>
      <c r="H60" s="545">
        <f>-'Foglio deposito bis'!$F$51*(C60-sezione!$AO$27)*IF(ABS(N60)&lt;'Sollecitazioni nel paramento'!$G$58,ABS(N60)*'Sollecitazioni nel paramento'!$G$54,'Sollecitazioni nel paramento'!$G$53)</f>
        <v>36403789.345327072</v>
      </c>
      <c r="I60" s="472">
        <f>-'Foglio deposito bis'!$F$52*(C60-sezione!$AP$27)*IF(ABS(O60)&lt;'Sollecitazioni nel paramento'!$G$58,ABS(O60)*'Sollecitazioni nel paramento'!$G$54,'Sollecitazioni nel paramento'!$G$53)</f>
        <v>45927709.136937991</v>
      </c>
      <c r="J60" s="472">
        <f t="shared" si="0"/>
        <v>91030831.506484196</v>
      </c>
      <c r="K60" s="550">
        <f>'Sollecitazioni nel paramento'!$G$60*(sezione!$AL$27-C60)/C60</f>
        <v>1.2206705381076207E-2</v>
      </c>
      <c r="L60" s="550">
        <f>'Sollecitazioni nel paramento'!$G$60*(sezione!$AM$27-C60)/C60</f>
        <v>2.006005807161431E-2</v>
      </c>
      <c r="M60" s="551">
        <f>'Sollecitazioni nel paramento'!$G$60*(sezione!$AN$27-C60)/C60</f>
        <v>2.7913410762152417E-2</v>
      </c>
      <c r="N60" s="551">
        <f>'Sollecitazioni nel paramento'!$G$60*(sezione!$AO$27-C60)/C60</f>
        <v>5.9326821524304831E-2</v>
      </c>
      <c r="O60" s="551">
        <f>'Sollecitazioni nel paramento'!$G$60*(sezione!$AP$27-C60)/C60</f>
        <v>7.4847840073469243E-2</v>
      </c>
      <c r="P60" s="545">
        <f>-'Sollecitazioni nel paramento'!$G$47*'Sollecitazioni nel paramento'!$G$41*IF(DATI!$G$211="dx",DATI!$E$61,DATI!$E$64*DATI!$E$63)*1000*C60*sezione!$AD$5</f>
        <v>-339573.44144406094</v>
      </c>
      <c r="Q60" s="545">
        <f>'Foglio deposito bis'!$F$48*IF(ABS(K60)&lt;'Sollecitazioni nel paramento'!$G$58,ABS(K60)*'Sollecitazioni nel paramento'!$G$54,'Sollecitazioni nel paramento'!$G$53)*IF(K60&lt;0,-1,1)</f>
        <v>0</v>
      </c>
      <c r="R60" s="545">
        <f>'Foglio deposito bis'!$F$49*IF(ABS(L60)&lt;'Sollecitazioni nel paramento'!$G$58,ABS(L60)*'Sollecitazioni nel paramento'!$G$54,'Sollecitazioni nel paramento'!$G$53)*IF(L60&lt;0,-1,1)</f>
        <v>204886.47740803001</v>
      </c>
      <c r="S60" s="545">
        <f>'Foglio deposito bis'!$F$50*IF(ABS(M60)&lt;'Sollecitazioni nel paramento'!$G$58,ABS(M60)*'Sollecitazioni nel paramento'!$G$54,'Sollecitazioni nel paramento'!$G$53)*IF(M60&lt;0,-1,1)</f>
        <v>0</v>
      </c>
      <c r="T60" s="545">
        <f>'Foglio deposito bis'!$F$51*IF(ABS(N60)&lt;'Sollecitazioni nel paramento'!$G$58,ABS(N60)*'Sollecitazioni nel paramento'!$G$54,'Sollecitazioni nel paramento'!$G$53)*IF(N60&lt;0,-1,1)</f>
        <v>240946.49743184328</v>
      </c>
      <c r="U60" s="545">
        <f>'Foglio deposito bis'!$F$52*IF(ABS(O60)&lt;'Sollecitazioni nel paramento'!$G$58,ABS(O60)*'Sollecitazioni nel paramento'!$G$54,'Sollecitazioni nel paramento'!$G$53)*IF(O60&lt;0,-1,1)</f>
        <v>240946.49743184328</v>
      </c>
      <c r="V60" s="472">
        <f t="shared" si="3"/>
        <v>347206.03082765563</v>
      </c>
      <c r="W60" s="551"/>
      <c r="X60" s="551"/>
    </row>
    <row r="61" spans="1:33" x14ac:dyDescent="0.25">
      <c r="A61" s="545">
        <f t="shared" si="2"/>
        <v>341031.96825594542</v>
      </c>
      <c r="B61" s="3">
        <f t="shared" si="4"/>
        <v>2.799999999999998</v>
      </c>
      <c r="C61" s="545">
        <f>'Foglio deposito bis'!$E$153/$B$247*B61</f>
        <v>9.0754522407478593</v>
      </c>
      <c r="D61" s="603">
        <f>-'Sollecitazioni nel paramento'!$G$47*'Sollecitazioni nel paramento'!$G$41*IF(DATI!$G$211="dx",DATI!$E$61,DATI!$E$64*DATI!$E$63)*1000*C61^2*sezione!$AD$5*(1-sezione!$AD$6)</f>
        <v>-1832483.9366708996</v>
      </c>
      <c r="E61" s="545">
        <f>-'Foglio deposito bis'!$F$48*(C61-sezione!$AL$27)*IF(ABS(K61)&lt;'Sollecitazioni nel paramento'!$G$58,ABS(K61)*'Sollecitazioni nel paramento'!$G$54,'Sollecitazioni nel paramento'!$G$53)</f>
        <v>0</v>
      </c>
      <c r="F61" s="545">
        <f>-'Foglio deposito bis'!$F$49*(C61-sezione!$AM$27)*IF(ABS(L61)&lt;'Sollecitazioni nel paramento'!$G$58,ABS(L61)*'Sollecitazioni nel paramento'!$G$54,'Sollecitazioni nel paramento'!$G$53)</f>
        <v>10433751.20399016</v>
      </c>
      <c r="G61" s="545">
        <f>-'Foglio deposito bis'!$F$50*(C61-sezione!$AN$27)*IF(ABS(M61)&lt;'Sollecitazioni nel paramento'!$G$58,ABS(M61)*'Sollecitazioni nel paramento'!$G$54,'Sollecitazioni nel paramento'!$G$53)</f>
        <v>0</v>
      </c>
      <c r="H61" s="545">
        <f>-'Foglio deposito bis'!$F$51*(C61-sezione!$AO$27)*IF(ABS(N61)&lt;'Sollecitazioni nel paramento'!$G$58,ABS(N61)*'Sollecitazioni nel paramento'!$G$54,'Sollecitazioni nel paramento'!$G$53)</f>
        <v>36364741.15907675</v>
      </c>
      <c r="I61" s="472">
        <f>-'Foglio deposito bis'!$F$52*(C61-sezione!$AP$27)*IF(ABS(O61)&lt;'Sollecitazioni nel paramento'!$G$58,ABS(O61)*'Sollecitazioni nel paramento'!$G$54,'Sollecitazioni nel paramento'!$G$53)</f>
        <v>45888660.950687669</v>
      </c>
      <c r="J61" s="472">
        <f t="shared" si="0"/>
        <v>90854669.377083689</v>
      </c>
      <c r="K61" s="550">
        <f>'Sollecitazioni nel paramento'!$G$60*(sezione!$AL$27-C61)/C61</f>
        <v>1.1926228499271278E-2</v>
      </c>
      <c r="L61" s="550">
        <f>'Sollecitazioni nel paramento'!$G$60*(sezione!$AM$27-C61)/C61</f>
        <v>1.9639342748906916E-2</v>
      </c>
      <c r="M61" s="551">
        <f>'Sollecitazioni nel paramento'!$G$60*(sezione!$AN$27-C61)/C61</f>
        <v>2.7352456998542551E-2</v>
      </c>
      <c r="N61" s="551">
        <f>'Sollecitazioni nel paramento'!$G$60*(sezione!$AO$27-C61)/C61</f>
        <v>5.8204913997085113E-2</v>
      </c>
      <c r="O61" s="551">
        <f>'Sollecitazioni nel paramento'!$G$60*(sezione!$AP$27-C61)/C61</f>
        <v>7.3448771500728732E-2</v>
      </c>
      <c r="P61" s="545">
        <f>-'Sollecitazioni nel paramento'!$G$47*'Sollecitazioni nel paramento'!$G$41*IF(DATI!$G$211="dx",DATI!$E$61,DATI!$E$64*DATI!$E$63)*1000*C61*sezione!$AD$5</f>
        <v>-345747.50401577115</v>
      </c>
      <c r="Q61" s="545">
        <f>'Foglio deposito bis'!$F$48*IF(ABS(K61)&lt;'Sollecitazioni nel paramento'!$G$58,ABS(K61)*'Sollecitazioni nel paramento'!$G$54,'Sollecitazioni nel paramento'!$G$53)*IF(K61&lt;0,-1,1)</f>
        <v>0</v>
      </c>
      <c r="R61" s="545">
        <f>'Foglio deposito bis'!$F$49*IF(ABS(L61)&lt;'Sollecitazioni nel paramento'!$G$58,ABS(L61)*'Sollecitazioni nel paramento'!$G$54,'Sollecitazioni nel paramento'!$G$53)*IF(L61&lt;0,-1,1)</f>
        <v>204886.47740803001</v>
      </c>
      <c r="S61" s="545">
        <f>'Foglio deposito bis'!$F$50*IF(ABS(M61)&lt;'Sollecitazioni nel paramento'!$G$58,ABS(M61)*'Sollecitazioni nel paramento'!$G$54,'Sollecitazioni nel paramento'!$G$53)*IF(M61&lt;0,-1,1)</f>
        <v>0</v>
      </c>
      <c r="T61" s="545">
        <f>'Foglio deposito bis'!$F$51*IF(ABS(N61)&lt;'Sollecitazioni nel paramento'!$G$58,ABS(N61)*'Sollecitazioni nel paramento'!$G$54,'Sollecitazioni nel paramento'!$G$53)*IF(N61&lt;0,-1,1)</f>
        <v>240946.49743184328</v>
      </c>
      <c r="U61" s="545">
        <f>'Foglio deposito bis'!$F$52*IF(ABS(O61)&lt;'Sollecitazioni nel paramento'!$G$58,ABS(O61)*'Sollecitazioni nel paramento'!$G$54,'Sollecitazioni nel paramento'!$G$53)*IF(O61&lt;0,-1,1)</f>
        <v>240946.49743184328</v>
      </c>
      <c r="V61" s="472">
        <f t="shared" si="3"/>
        <v>341031.96825594542</v>
      </c>
      <c r="W61" s="551"/>
      <c r="X61" s="551"/>
    </row>
    <row r="62" spans="1:33" x14ac:dyDescent="0.25">
      <c r="A62" s="545">
        <f t="shared" si="2"/>
        <v>334857.90568423521</v>
      </c>
      <c r="B62" s="3">
        <f t="shared" si="4"/>
        <v>2.8499999999999979</v>
      </c>
      <c r="C62" s="545">
        <f>'Foglio deposito bis'!$E$153/$B$247*B62</f>
        <v>9.2375138879040719</v>
      </c>
      <c r="D62" s="603">
        <f>-'Sollecitazioni nel paramento'!$G$47*'Sollecitazioni nel paramento'!$G$41*IF(DATI!$G$211="dx",DATI!$E$61,DATI!$E$64*DATI!$E$63)*1000*C62^2*sezione!$AD$5*(1-sezione!$AD$6)</f>
        <v>-1898514.1295420132</v>
      </c>
      <c r="E62" s="545">
        <f>-'Foglio deposito bis'!$F$48*(C62-sezione!$AL$27)*IF(ABS(K62)&lt;'Sollecitazioni nel paramento'!$G$58,ABS(K62)*'Sollecitazioni nel paramento'!$G$54,'Sollecitazioni nel paramento'!$G$53)</f>
        <v>0</v>
      </c>
      <c r="F62" s="545">
        <f>-'Foglio deposito bis'!$F$49*(C62-sezione!$AM$27)*IF(ABS(L62)&lt;'Sollecitazioni nel paramento'!$G$58,ABS(L62)*'Sollecitazioni nel paramento'!$G$54,'Sollecitazioni nel paramento'!$G$53)</f>
        <v>10400546.963981381</v>
      </c>
      <c r="G62" s="545">
        <f>-'Foglio deposito bis'!$F$50*(C62-sezione!$AN$27)*IF(ABS(M62)&lt;'Sollecitazioni nel paramento'!$G$58,ABS(M62)*'Sollecitazioni nel paramento'!$G$54,'Sollecitazioni nel paramento'!$G$53)</f>
        <v>0</v>
      </c>
      <c r="H62" s="545">
        <f>-'Foglio deposito bis'!$F$51*(C62-sezione!$AO$27)*IF(ABS(N62)&lt;'Sollecitazioni nel paramento'!$G$58,ABS(N62)*'Sollecitazioni nel paramento'!$G$54,'Sollecitazioni nel paramento'!$G$53)</f>
        <v>36325692.972826429</v>
      </c>
      <c r="I62" s="472">
        <f>-'Foglio deposito bis'!$F$52*(C62-sezione!$AP$27)*IF(ABS(O62)&lt;'Sollecitazioni nel paramento'!$G$58,ABS(O62)*'Sollecitazioni nel paramento'!$G$54,'Sollecitazioni nel paramento'!$G$53)</f>
        <v>45849612.76443734</v>
      </c>
      <c r="J62" s="472">
        <f t="shared" si="0"/>
        <v>90677338.571703136</v>
      </c>
      <c r="K62" s="550">
        <f>'Sollecitazioni nel paramento'!$G$60*(sezione!$AL$27-C62)/C62</f>
        <v>1.1655592911564762E-2</v>
      </c>
      <c r="L62" s="550">
        <f>'Sollecitazioni nel paramento'!$G$60*(sezione!$AM$27-C62)/C62</f>
        <v>1.9233389367347146E-2</v>
      </c>
      <c r="M62" s="551">
        <f>'Sollecitazioni nel paramento'!$G$60*(sezione!$AN$27-C62)/C62</f>
        <v>2.6811185823129528E-2</v>
      </c>
      <c r="N62" s="551">
        <f>'Sollecitazioni nel paramento'!$G$60*(sezione!$AO$27-C62)/C62</f>
        <v>5.7122371646259051E-2</v>
      </c>
      <c r="O62" s="551">
        <f>'Sollecitazioni nel paramento'!$G$60*(sezione!$AP$27-C62)/C62</f>
        <v>7.2098793053347515E-2</v>
      </c>
      <c r="P62" s="545">
        <f>-'Sollecitazioni nel paramento'!$G$47*'Sollecitazioni nel paramento'!$G$41*IF(DATI!$G$211="dx",DATI!$E$61,DATI!$E$64*DATI!$E$63)*1000*C62*sezione!$AD$5</f>
        <v>-351921.56658748136</v>
      </c>
      <c r="Q62" s="545">
        <f>'Foglio deposito bis'!$F$48*IF(ABS(K62)&lt;'Sollecitazioni nel paramento'!$G$58,ABS(K62)*'Sollecitazioni nel paramento'!$G$54,'Sollecitazioni nel paramento'!$G$53)*IF(K62&lt;0,-1,1)</f>
        <v>0</v>
      </c>
      <c r="R62" s="545">
        <f>'Foglio deposito bis'!$F$49*IF(ABS(L62)&lt;'Sollecitazioni nel paramento'!$G$58,ABS(L62)*'Sollecitazioni nel paramento'!$G$54,'Sollecitazioni nel paramento'!$G$53)*IF(L62&lt;0,-1,1)</f>
        <v>204886.47740803001</v>
      </c>
      <c r="S62" s="545">
        <f>'Foglio deposito bis'!$F$50*IF(ABS(M62)&lt;'Sollecitazioni nel paramento'!$G$58,ABS(M62)*'Sollecitazioni nel paramento'!$G$54,'Sollecitazioni nel paramento'!$G$53)*IF(M62&lt;0,-1,1)</f>
        <v>0</v>
      </c>
      <c r="T62" s="545">
        <f>'Foglio deposito bis'!$F$51*IF(ABS(N62)&lt;'Sollecitazioni nel paramento'!$G$58,ABS(N62)*'Sollecitazioni nel paramento'!$G$54,'Sollecitazioni nel paramento'!$G$53)*IF(N62&lt;0,-1,1)</f>
        <v>240946.49743184328</v>
      </c>
      <c r="U62" s="545">
        <f>'Foglio deposito bis'!$F$52*IF(ABS(O62)&lt;'Sollecitazioni nel paramento'!$G$58,ABS(O62)*'Sollecitazioni nel paramento'!$G$54,'Sollecitazioni nel paramento'!$G$53)*IF(O62&lt;0,-1,1)</f>
        <v>240946.49743184328</v>
      </c>
      <c r="V62" s="472">
        <f t="shared" si="3"/>
        <v>334857.90568423521</v>
      </c>
      <c r="W62" s="551"/>
      <c r="X62" s="551"/>
    </row>
    <row r="63" spans="1:33" x14ac:dyDescent="0.25">
      <c r="A63" s="545">
        <f t="shared" si="2"/>
        <v>328683.84311252506</v>
      </c>
      <c r="B63" s="3">
        <f t="shared" si="4"/>
        <v>2.8999999999999977</v>
      </c>
      <c r="C63" s="545">
        <f>'Foglio deposito bis'!$E$153/$B$247*B63</f>
        <v>9.3995755350602828</v>
      </c>
      <c r="D63" s="603">
        <f>-'Sollecitazioni nel paramento'!$G$47*'Sollecitazioni nel paramento'!$G$41*IF(DATI!$G$211="dx",DATI!$E$61,DATI!$E$64*DATI!$E$63)*1000*C63^2*sezione!$AD$5*(1-sezione!$AD$6)</f>
        <v>-1965712.9983931459</v>
      </c>
      <c r="E63" s="545">
        <f>-'Foglio deposito bis'!$F$48*(C63-sezione!$AL$27)*IF(ABS(K63)&lt;'Sollecitazioni nel paramento'!$G$58,ABS(K63)*'Sollecitazioni nel paramento'!$G$54,'Sollecitazioni nel paramento'!$G$53)</f>
        <v>0</v>
      </c>
      <c r="F63" s="545">
        <f>-'Foglio deposito bis'!$F$49*(C63-sezione!$AM$27)*IF(ABS(L63)&lt;'Sollecitazioni nel paramento'!$G$58,ABS(L63)*'Sollecitazioni nel paramento'!$G$54,'Sollecitazioni nel paramento'!$G$53)</f>
        <v>10367342.723972602</v>
      </c>
      <c r="G63" s="545">
        <f>-'Foglio deposito bis'!$F$50*(C63-sezione!$AN$27)*IF(ABS(M63)&lt;'Sollecitazioni nel paramento'!$G$58,ABS(M63)*'Sollecitazioni nel paramento'!$G$54,'Sollecitazioni nel paramento'!$G$53)</f>
        <v>0</v>
      </c>
      <c r="H63" s="545">
        <f>-'Foglio deposito bis'!$F$51*(C63-sezione!$AO$27)*IF(ABS(N63)&lt;'Sollecitazioni nel paramento'!$G$58,ABS(N63)*'Sollecitazioni nel paramento'!$G$54,'Sollecitazioni nel paramento'!$G$53)</f>
        <v>36286644.786576107</v>
      </c>
      <c r="I63" s="472">
        <f>-'Foglio deposito bis'!$F$52*(C63-sezione!$AP$27)*IF(ABS(O63)&lt;'Sollecitazioni nel paramento'!$G$58,ABS(O63)*'Sollecitazioni nel paramento'!$G$54,'Sollecitazioni nel paramento'!$G$53)</f>
        <v>45810564.578187026</v>
      </c>
      <c r="J63" s="472">
        <f t="shared" si="0"/>
        <v>90498839.090342581</v>
      </c>
      <c r="K63" s="550">
        <f>'Sollecitazioni nel paramento'!$G$60*(sezione!$AL$27-C63)/C63</f>
        <v>1.1394289585503302E-2</v>
      </c>
      <c r="L63" s="550">
        <f>'Sollecitazioni nel paramento'!$G$60*(sezione!$AM$27-C63)/C63</f>
        <v>1.8841434378254956E-2</v>
      </c>
      <c r="M63" s="551">
        <f>'Sollecitazioni nel paramento'!$G$60*(sezione!$AN$27-C63)/C63</f>
        <v>2.6288579171006608E-2</v>
      </c>
      <c r="N63" s="551">
        <f>'Sollecitazioni nel paramento'!$G$60*(sezione!$AO$27-C63)/C63</f>
        <v>5.6077158342013204E-2</v>
      </c>
      <c r="O63" s="551">
        <f>'Sollecitazioni nel paramento'!$G$60*(sezione!$AP$27-C63)/C63</f>
        <v>7.0795365586910491E-2</v>
      </c>
      <c r="P63" s="545">
        <f>-'Sollecitazioni nel paramento'!$G$47*'Sollecitazioni nel paramento'!$G$41*IF(DATI!$G$211="dx",DATI!$E$61,DATI!$E$64*DATI!$E$63)*1000*C63*sezione!$AD$5</f>
        <v>-358095.62915919151</v>
      </c>
      <c r="Q63" s="545">
        <f>'Foglio deposito bis'!$F$48*IF(ABS(K63)&lt;'Sollecitazioni nel paramento'!$G$58,ABS(K63)*'Sollecitazioni nel paramento'!$G$54,'Sollecitazioni nel paramento'!$G$53)*IF(K63&lt;0,-1,1)</f>
        <v>0</v>
      </c>
      <c r="R63" s="545">
        <f>'Foglio deposito bis'!$F$49*IF(ABS(L63)&lt;'Sollecitazioni nel paramento'!$G$58,ABS(L63)*'Sollecitazioni nel paramento'!$G$54,'Sollecitazioni nel paramento'!$G$53)*IF(L63&lt;0,-1,1)</f>
        <v>204886.47740803001</v>
      </c>
      <c r="S63" s="545">
        <f>'Foglio deposito bis'!$F$50*IF(ABS(M63)&lt;'Sollecitazioni nel paramento'!$G$58,ABS(M63)*'Sollecitazioni nel paramento'!$G$54,'Sollecitazioni nel paramento'!$G$53)*IF(M63&lt;0,-1,1)</f>
        <v>0</v>
      </c>
      <c r="T63" s="545">
        <f>'Foglio deposito bis'!$F$51*IF(ABS(N63)&lt;'Sollecitazioni nel paramento'!$G$58,ABS(N63)*'Sollecitazioni nel paramento'!$G$54,'Sollecitazioni nel paramento'!$G$53)*IF(N63&lt;0,-1,1)</f>
        <v>240946.49743184328</v>
      </c>
      <c r="U63" s="545">
        <f>'Foglio deposito bis'!$F$52*IF(ABS(O63)&lt;'Sollecitazioni nel paramento'!$G$58,ABS(O63)*'Sollecitazioni nel paramento'!$G$54,'Sollecitazioni nel paramento'!$G$53)*IF(O63&lt;0,-1,1)</f>
        <v>240946.49743184328</v>
      </c>
      <c r="V63" s="472">
        <f t="shared" si="3"/>
        <v>328683.84311252506</v>
      </c>
      <c r="W63" s="551"/>
      <c r="X63" s="551"/>
    </row>
    <row r="64" spans="1:33" x14ac:dyDescent="0.25">
      <c r="A64" s="545">
        <f t="shared" si="2"/>
        <v>322509.78054081486</v>
      </c>
      <c r="B64" s="3">
        <f t="shared" si="4"/>
        <v>2.9499999999999975</v>
      </c>
      <c r="C64" s="545">
        <f>'Foglio deposito bis'!$E$153/$B$247*B64</f>
        <v>9.5616371822164936</v>
      </c>
      <c r="D64" s="603">
        <f>-'Sollecitazioni nel paramento'!$G$47*'Sollecitazioni nel paramento'!$G$41*IF(DATI!$G$211="dx",DATI!$E$61,DATI!$E$64*DATI!$E$63)*1000*C64^2*sezione!$AD$5*(1-sezione!$AD$6)</f>
        <v>-2034080.5432242984</v>
      </c>
      <c r="E64" s="545">
        <f>-'Foglio deposito bis'!$F$48*(C64-sezione!$AL$27)*IF(ABS(K64)&lt;'Sollecitazioni nel paramento'!$G$58,ABS(K64)*'Sollecitazioni nel paramento'!$G$54,'Sollecitazioni nel paramento'!$G$53)</f>
        <v>0</v>
      </c>
      <c r="F64" s="545">
        <f>-'Foglio deposito bis'!$F$49*(C64-sezione!$AM$27)*IF(ABS(L64)&lt;'Sollecitazioni nel paramento'!$G$58,ABS(L64)*'Sollecitazioni nel paramento'!$G$54,'Sollecitazioni nel paramento'!$G$53)</f>
        <v>10334138.483963821</v>
      </c>
      <c r="G64" s="545">
        <f>-'Foglio deposito bis'!$F$50*(C64-sezione!$AN$27)*IF(ABS(M64)&lt;'Sollecitazioni nel paramento'!$G$58,ABS(M64)*'Sollecitazioni nel paramento'!$G$54,'Sollecitazioni nel paramento'!$G$53)</f>
        <v>0</v>
      </c>
      <c r="H64" s="545">
        <f>-'Foglio deposito bis'!$F$51*(C64-sezione!$AO$27)*IF(ABS(N64)&lt;'Sollecitazioni nel paramento'!$G$58,ABS(N64)*'Sollecitazioni nel paramento'!$G$54,'Sollecitazioni nel paramento'!$G$53)</f>
        <v>36247596.600325786</v>
      </c>
      <c r="I64" s="472">
        <f>-'Foglio deposito bis'!$F$52*(C64-sezione!$AP$27)*IF(ABS(O64)&lt;'Sollecitazioni nel paramento'!$G$58,ABS(O64)*'Sollecitazioni nel paramento'!$G$54,'Sollecitazioni nel paramento'!$G$53)</f>
        <v>45771516.391936697</v>
      </c>
      <c r="J64" s="472">
        <f t="shared" si="0"/>
        <v>90319170.933001995</v>
      </c>
      <c r="K64" s="550">
        <f>'Sollecitazioni nel paramento'!$G$60*(sezione!$AL$27-C64)/C64</f>
        <v>1.1141843999308332E-2</v>
      </c>
      <c r="L64" s="550">
        <f>'Sollecitazioni nel paramento'!$G$60*(sezione!$AM$27-C64)/C64</f>
        <v>1.8462765998962499E-2</v>
      </c>
      <c r="M64" s="551">
        <f>'Sollecitazioni nel paramento'!$G$60*(sezione!$AN$27-C64)/C64</f>
        <v>2.5783687998616668E-2</v>
      </c>
      <c r="N64" s="551">
        <f>'Sollecitazioni nel paramento'!$G$60*(sezione!$AO$27-C64)/C64</f>
        <v>5.5067375997233332E-2</v>
      </c>
      <c r="O64" s="551">
        <f>'Sollecitazioni nel paramento'!$G$60*(sezione!$AP$27-C64)/C64</f>
        <v>6.9536122102386605E-2</v>
      </c>
      <c r="P64" s="545">
        <f>-'Sollecitazioni nel paramento'!$G$47*'Sollecitazioni nel paramento'!$G$41*IF(DATI!$G$211="dx",DATI!$E$61,DATI!$E$64*DATI!$E$63)*1000*C64*sezione!$AD$5</f>
        <v>-364269.69173090172</v>
      </c>
      <c r="Q64" s="545">
        <f>'Foglio deposito bis'!$F$48*IF(ABS(K64)&lt;'Sollecitazioni nel paramento'!$G$58,ABS(K64)*'Sollecitazioni nel paramento'!$G$54,'Sollecitazioni nel paramento'!$G$53)*IF(K64&lt;0,-1,1)</f>
        <v>0</v>
      </c>
      <c r="R64" s="545">
        <f>'Foglio deposito bis'!$F$49*IF(ABS(L64)&lt;'Sollecitazioni nel paramento'!$G$58,ABS(L64)*'Sollecitazioni nel paramento'!$G$54,'Sollecitazioni nel paramento'!$G$53)*IF(L64&lt;0,-1,1)</f>
        <v>204886.47740803001</v>
      </c>
      <c r="S64" s="545">
        <f>'Foglio deposito bis'!$F$50*IF(ABS(M64)&lt;'Sollecitazioni nel paramento'!$G$58,ABS(M64)*'Sollecitazioni nel paramento'!$G$54,'Sollecitazioni nel paramento'!$G$53)*IF(M64&lt;0,-1,1)</f>
        <v>0</v>
      </c>
      <c r="T64" s="545">
        <f>'Foglio deposito bis'!$F$51*IF(ABS(N64)&lt;'Sollecitazioni nel paramento'!$G$58,ABS(N64)*'Sollecitazioni nel paramento'!$G$54,'Sollecitazioni nel paramento'!$G$53)*IF(N64&lt;0,-1,1)</f>
        <v>240946.49743184328</v>
      </c>
      <c r="U64" s="545">
        <f>'Foglio deposito bis'!$F$52*IF(ABS(O64)&lt;'Sollecitazioni nel paramento'!$G$58,ABS(O64)*'Sollecitazioni nel paramento'!$G$54,'Sollecitazioni nel paramento'!$G$53)*IF(O64&lt;0,-1,1)</f>
        <v>240946.49743184328</v>
      </c>
      <c r="V64" s="472">
        <f t="shared" si="3"/>
        <v>322509.78054081486</v>
      </c>
      <c r="W64" s="551"/>
      <c r="X64" s="551"/>
    </row>
    <row r="65" spans="1:24" x14ac:dyDescent="0.25">
      <c r="A65" s="545">
        <f t="shared" si="2"/>
        <v>316335.71796910471</v>
      </c>
      <c r="B65" s="3">
        <f t="shared" si="4"/>
        <v>2.9999999999999973</v>
      </c>
      <c r="C65" s="545">
        <f>'Foglio deposito bis'!$E$153/$B$247*B65</f>
        <v>9.7236988293727045</v>
      </c>
      <c r="D65" s="603">
        <f>-'Sollecitazioni nel paramento'!$G$47*'Sollecitazioni nel paramento'!$G$41*IF(DATI!$G$211="dx",DATI!$E$61,DATI!$E$64*DATI!$E$63)*1000*C65^2*sezione!$AD$5*(1-sezione!$AD$6)</f>
        <v>-2103616.7640354703</v>
      </c>
      <c r="E65" s="545">
        <f>-'Foglio deposito bis'!$F$48*(C65-sezione!$AL$27)*IF(ABS(K65)&lt;'Sollecitazioni nel paramento'!$G$58,ABS(K65)*'Sollecitazioni nel paramento'!$G$54,'Sollecitazioni nel paramento'!$G$53)</f>
        <v>0</v>
      </c>
      <c r="F65" s="545">
        <f>-'Foglio deposito bis'!$F$49*(C65-sezione!$AM$27)*IF(ABS(L65)&lt;'Sollecitazioni nel paramento'!$G$58,ABS(L65)*'Sollecitazioni nel paramento'!$G$54,'Sollecitazioni nel paramento'!$G$53)</f>
        <v>10300934.243955042</v>
      </c>
      <c r="G65" s="545">
        <f>-'Foglio deposito bis'!$F$50*(C65-sezione!$AN$27)*IF(ABS(M65)&lt;'Sollecitazioni nel paramento'!$G$58,ABS(M65)*'Sollecitazioni nel paramento'!$G$54,'Sollecitazioni nel paramento'!$G$53)</f>
        <v>0</v>
      </c>
      <c r="H65" s="545">
        <f>-'Foglio deposito bis'!$F$51*(C65-sezione!$AO$27)*IF(ABS(N65)&lt;'Sollecitazioni nel paramento'!$G$58,ABS(N65)*'Sollecitazioni nel paramento'!$G$54,'Sollecitazioni nel paramento'!$G$53)</f>
        <v>36208548.414075457</v>
      </c>
      <c r="I65" s="472">
        <f>-'Foglio deposito bis'!$F$52*(C65-sezione!$AP$27)*IF(ABS(O65)&lt;'Sollecitazioni nel paramento'!$G$58,ABS(O65)*'Sollecitazioni nel paramento'!$G$54,'Sollecitazioni nel paramento'!$G$53)</f>
        <v>45732468.205686375</v>
      </c>
      <c r="J65" s="472">
        <f t="shared" si="0"/>
        <v>90138334.099681407</v>
      </c>
      <c r="K65" s="550">
        <f>'Sollecitazioni nel paramento'!$G$60*(sezione!$AL$27-C65)/C65</f>
        <v>1.0897813265986529E-2</v>
      </c>
      <c r="L65" s="550">
        <f>'Sollecitazioni nel paramento'!$G$60*(sezione!$AM$27-C65)/C65</f>
        <v>1.8096719898979791E-2</v>
      </c>
      <c r="M65" s="551">
        <f>'Sollecitazioni nel paramento'!$G$60*(sezione!$AN$27-C65)/C65</f>
        <v>2.5295626531973054E-2</v>
      </c>
      <c r="N65" s="551">
        <f>'Sollecitazioni nel paramento'!$G$60*(sezione!$AO$27-C65)/C65</f>
        <v>5.4091253063946118E-2</v>
      </c>
      <c r="O65" s="551">
        <f>'Sollecitazioni nel paramento'!$G$60*(sezione!$AP$27-C65)/C65</f>
        <v>6.8318853400680168E-2</v>
      </c>
      <c r="P65" s="545">
        <f>-'Sollecitazioni nel paramento'!$G$47*'Sollecitazioni nel paramento'!$G$41*IF(DATI!$G$211="dx",DATI!$E$61,DATI!$E$64*DATI!$E$63)*1000*C65*sezione!$AD$5</f>
        <v>-370443.75430261187</v>
      </c>
      <c r="Q65" s="545">
        <f>'Foglio deposito bis'!$F$48*IF(ABS(K65)&lt;'Sollecitazioni nel paramento'!$G$58,ABS(K65)*'Sollecitazioni nel paramento'!$G$54,'Sollecitazioni nel paramento'!$G$53)*IF(K65&lt;0,-1,1)</f>
        <v>0</v>
      </c>
      <c r="R65" s="545">
        <f>'Foglio deposito bis'!$F$49*IF(ABS(L65)&lt;'Sollecitazioni nel paramento'!$G$58,ABS(L65)*'Sollecitazioni nel paramento'!$G$54,'Sollecitazioni nel paramento'!$G$53)*IF(L65&lt;0,-1,1)</f>
        <v>204886.47740803001</v>
      </c>
      <c r="S65" s="545">
        <f>'Foglio deposito bis'!$F$50*IF(ABS(M65)&lt;'Sollecitazioni nel paramento'!$G$58,ABS(M65)*'Sollecitazioni nel paramento'!$G$54,'Sollecitazioni nel paramento'!$G$53)*IF(M65&lt;0,-1,1)</f>
        <v>0</v>
      </c>
      <c r="T65" s="545">
        <f>'Foglio deposito bis'!$F$51*IF(ABS(N65)&lt;'Sollecitazioni nel paramento'!$G$58,ABS(N65)*'Sollecitazioni nel paramento'!$G$54,'Sollecitazioni nel paramento'!$G$53)*IF(N65&lt;0,-1,1)</f>
        <v>240946.49743184328</v>
      </c>
      <c r="U65" s="545">
        <f>'Foglio deposito bis'!$F$52*IF(ABS(O65)&lt;'Sollecitazioni nel paramento'!$G$58,ABS(O65)*'Sollecitazioni nel paramento'!$G$54,'Sollecitazioni nel paramento'!$G$53)*IF(O65&lt;0,-1,1)</f>
        <v>240946.49743184328</v>
      </c>
      <c r="V65" s="472">
        <f t="shared" si="3"/>
        <v>316335.71796910471</v>
      </c>
      <c r="W65" s="551"/>
      <c r="X65" s="551"/>
    </row>
    <row r="66" spans="1:24" x14ac:dyDescent="0.25">
      <c r="A66" s="545">
        <f t="shared" si="2"/>
        <v>310161.6553973945</v>
      </c>
      <c r="B66" s="3">
        <f t="shared" si="4"/>
        <v>3.0499999999999972</v>
      </c>
      <c r="C66" s="545">
        <f>'Foglio deposito bis'!$E$153/$B$247*B66</f>
        <v>9.8857604765289171</v>
      </c>
      <c r="D66" s="603">
        <f>-'Sollecitazioni nel paramento'!$G$47*'Sollecitazioni nel paramento'!$G$41*IF(DATI!$G$211="dx",DATI!$E$61,DATI!$E$64*DATI!$E$63)*1000*C66^2*sezione!$AD$5*(1-sezione!$AD$6)</f>
        <v>-2174321.660826663</v>
      </c>
      <c r="E66" s="545">
        <f>-'Foglio deposito bis'!$F$48*(C66-sezione!$AL$27)*IF(ABS(K66)&lt;'Sollecitazioni nel paramento'!$G$58,ABS(K66)*'Sollecitazioni nel paramento'!$G$54,'Sollecitazioni nel paramento'!$G$53)</f>
        <v>0</v>
      </c>
      <c r="F66" s="545">
        <f>-'Foglio deposito bis'!$F$49*(C66-sezione!$AM$27)*IF(ABS(L66)&lt;'Sollecitazioni nel paramento'!$G$58,ABS(L66)*'Sollecitazioni nel paramento'!$G$54,'Sollecitazioni nel paramento'!$G$53)</f>
        <v>10267730.003946263</v>
      </c>
      <c r="G66" s="545">
        <f>-'Foglio deposito bis'!$F$50*(C66-sezione!$AN$27)*IF(ABS(M66)&lt;'Sollecitazioni nel paramento'!$G$58,ABS(M66)*'Sollecitazioni nel paramento'!$G$54,'Sollecitazioni nel paramento'!$G$53)</f>
        <v>0</v>
      </c>
      <c r="H66" s="545">
        <f>-'Foglio deposito bis'!$F$51*(C66-sezione!$AO$27)*IF(ABS(N66)&lt;'Sollecitazioni nel paramento'!$G$58,ABS(N66)*'Sollecitazioni nel paramento'!$G$54,'Sollecitazioni nel paramento'!$G$53)</f>
        <v>36169500.227825128</v>
      </c>
      <c r="I66" s="472">
        <f>-'Foglio deposito bis'!$F$52*(C66-sezione!$AP$27)*IF(ABS(O66)&lt;'Sollecitazioni nel paramento'!$G$58,ABS(O66)*'Sollecitazioni nel paramento'!$G$54,'Sollecitazioni nel paramento'!$G$53)</f>
        <v>45693420.019436046</v>
      </c>
      <c r="J66" s="472">
        <f t="shared" si="0"/>
        <v>89956328.590380773</v>
      </c>
      <c r="K66" s="550">
        <f>'Sollecitazioni nel paramento'!$G$60*(sezione!$AL$27-C66)/C66</f>
        <v>1.0661783540314619E-2</v>
      </c>
      <c r="L66" s="550">
        <f>'Sollecitazioni nel paramento'!$G$60*(sezione!$AM$27-C66)/C66</f>
        <v>1.7742675310471929E-2</v>
      </c>
      <c r="M66" s="551">
        <f>'Sollecitazioni nel paramento'!$G$60*(sezione!$AN$27-C66)/C66</f>
        <v>2.4823567080629234E-2</v>
      </c>
      <c r="N66" s="551">
        <f>'Sollecitazioni nel paramento'!$G$60*(sezione!$AO$27-C66)/C66</f>
        <v>5.3147134161258464E-2</v>
      </c>
      <c r="O66" s="551">
        <f>'Sollecitazioni nel paramento'!$G$60*(sezione!$AP$27-C66)/C66</f>
        <v>6.7141495148209981E-2</v>
      </c>
      <c r="P66" s="545">
        <f>-'Sollecitazioni nel paramento'!$G$47*'Sollecitazioni nel paramento'!$G$41*IF(DATI!$G$211="dx",DATI!$E$61,DATI!$E$64*DATI!$E$63)*1000*C66*sezione!$AD$5</f>
        <v>-376617.81687432207</v>
      </c>
      <c r="Q66" s="545">
        <f>'Foglio deposito bis'!$F$48*IF(ABS(K66)&lt;'Sollecitazioni nel paramento'!$G$58,ABS(K66)*'Sollecitazioni nel paramento'!$G$54,'Sollecitazioni nel paramento'!$G$53)*IF(K66&lt;0,-1,1)</f>
        <v>0</v>
      </c>
      <c r="R66" s="545">
        <f>'Foglio deposito bis'!$F$49*IF(ABS(L66)&lt;'Sollecitazioni nel paramento'!$G$58,ABS(L66)*'Sollecitazioni nel paramento'!$G$54,'Sollecitazioni nel paramento'!$G$53)*IF(L66&lt;0,-1,1)</f>
        <v>204886.47740803001</v>
      </c>
      <c r="S66" s="545">
        <f>'Foglio deposito bis'!$F$50*IF(ABS(M66)&lt;'Sollecitazioni nel paramento'!$G$58,ABS(M66)*'Sollecitazioni nel paramento'!$G$54,'Sollecitazioni nel paramento'!$G$53)*IF(M66&lt;0,-1,1)</f>
        <v>0</v>
      </c>
      <c r="T66" s="545">
        <f>'Foglio deposito bis'!$F$51*IF(ABS(N66)&lt;'Sollecitazioni nel paramento'!$G$58,ABS(N66)*'Sollecitazioni nel paramento'!$G$54,'Sollecitazioni nel paramento'!$G$53)*IF(N66&lt;0,-1,1)</f>
        <v>240946.49743184328</v>
      </c>
      <c r="U66" s="545">
        <f>'Foglio deposito bis'!$F$52*IF(ABS(O66)&lt;'Sollecitazioni nel paramento'!$G$58,ABS(O66)*'Sollecitazioni nel paramento'!$G$54,'Sollecitazioni nel paramento'!$G$53)*IF(O66&lt;0,-1,1)</f>
        <v>240946.49743184328</v>
      </c>
      <c r="V66" s="472">
        <f t="shared" si="3"/>
        <v>310161.6553973945</v>
      </c>
      <c r="W66" s="551"/>
      <c r="X66" s="551"/>
    </row>
    <row r="67" spans="1:24" x14ac:dyDescent="0.25">
      <c r="A67" s="545">
        <f t="shared" si="2"/>
        <v>303987.59282568429</v>
      </c>
      <c r="B67" s="3">
        <f t="shared" si="4"/>
        <v>3.099999999999997</v>
      </c>
      <c r="C67" s="545">
        <f>'Foglio deposito bis'!$E$153/$B$247*B67</f>
        <v>10.047822123685128</v>
      </c>
      <c r="D67" s="603">
        <f>-'Sollecitazioni nel paramento'!$G$47*'Sollecitazioni nel paramento'!$G$41*IF(DATI!$G$211="dx",DATI!$E$61,DATI!$E$64*DATI!$E$63)*1000*C67^2*sezione!$AD$5*(1-sezione!$AD$6)</f>
        <v>-2246195.2335978746</v>
      </c>
      <c r="E67" s="545">
        <f>-'Foglio deposito bis'!$F$48*(C67-sezione!$AL$27)*IF(ABS(K67)&lt;'Sollecitazioni nel paramento'!$G$58,ABS(K67)*'Sollecitazioni nel paramento'!$G$54,'Sollecitazioni nel paramento'!$G$53)</f>
        <v>0</v>
      </c>
      <c r="F67" s="545">
        <f>-'Foglio deposito bis'!$F$49*(C67-sezione!$AM$27)*IF(ABS(L67)&lt;'Sollecitazioni nel paramento'!$G$58,ABS(L67)*'Sollecitazioni nel paramento'!$G$54,'Sollecitazioni nel paramento'!$G$53)</f>
        <v>10234525.763937483</v>
      </c>
      <c r="G67" s="545">
        <f>-'Foglio deposito bis'!$F$50*(C67-sezione!$AN$27)*IF(ABS(M67)&lt;'Sollecitazioni nel paramento'!$G$58,ABS(M67)*'Sollecitazioni nel paramento'!$G$54,'Sollecitazioni nel paramento'!$G$53)</f>
        <v>0</v>
      </c>
      <c r="H67" s="545">
        <f>-'Foglio deposito bis'!$F$51*(C67-sezione!$AO$27)*IF(ABS(N67)&lt;'Sollecitazioni nel paramento'!$G$58,ABS(N67)*'Sollecitazioni nel paramento'!$G$54,'Sollecitazioni nel paramento'!$G$53)</f>
        <v>36130452.041574806</v>
      </c>
      <c r="I67" s="472">
        <f>-'Foglio deposito bis'!$F$52*(C67-sezione!$AP$27)*IF(ABS(O67)&lt;'Sollecitazioni nel paramento'!$G$58,ABS(O67)*'Sollecitazioni nel paramento'!$G$54,'Sollecitazioni nel paramento'!$G$53)</f>
        <v>45654371.833185717</v>
      </c>
      <c r="J67" s="472">
        <f t="shared" si="0"/>
        <v>89773154.405100137</v>
      </c>
      <c r="K67" s="550">
        <f>'Sollecitazioni nel paramento'!$G$60*(sezione!$AL$27-C67)/C67</f>
        <v>1.0433367676761156E-2</v>
      </c>
      <c r="L67" s="550">
        <f>'Sollecitazioni nel paramento'!$G$60*(sezione!$AM$27-C67)/C67</f>
        <v>1.7400051515141735E-2</v>
      </c>
      <c r="M67" s="551">
        <f>'Sollecitazioni nel paramento'!$G$60*(sezione!$AN$27-C67)/C67</f>
        <v>2.4366735353522316E-2</v>
      </c>
      <c r="N67" s="551">
        <f>'Sollecitazioni nel paramento'!$G$60*(sezione!$AO$27-C67)/C67</f>
        <v>5.2233470707044628E-2</v>
      </c>
      <c r="O67" s="551">
        <f>'Sollecitazioni nel paramento'!$G$60*(sezione!$AP$27-C67)/C67</f>
        <v>6.6002116194206609E-2</v>
      </c>
      <c r="P67" s="545">
        <f>-'Sollecitazioni nel paramento'!$G$47*'Sollecitazioni nel paramento'!$G$41*IF(DATI!$G$211="dx",DATI!$E$61,DATI!$E$64*DATI!$E$63)*1000*C67*sezione!$AD$5</f>
        <v>-382791.87944603228</v>
      </c>
      <c r="Q67" s="545">
        <f>'Foglio deposito bis'!$F$48*IF(ABS(K67)&lt;'Sollecitazioni nel paramento'!$G$58,ABS(K67)*'Sollecitazioni nel paramento'!$G$54,'Sollecitazioni nel paramento'!$G$53)*IF(K67&lt;0,-1,1)</f>
        <v>0</v>
      </c>
      <c r="R67" s="545">
        <f>'Foglio deposito bis'!$F$49*IF(ABS(L67)&lt;'Sollecitazioni nel paramento'!$G$58,ABS(L67)*'Sollecitazioni nel paramento'!$G$54,'Sollecitazioni nel paramento'!$G$53)*IF(L67&lt;0,-1,1)</f>
        <v>204886.47740803001</v>
      </c>
      <c r="S67" s="545">
        <f>'Foglio deposito bis'!$F$50*IF(ABS(M67)&lt;'Sollecitazioni nel paramento'!$G$58,ABS(M67)*'Sollecitazioni nel paramento'!$G$54,'Sollecitazioni nel paramento'!$G$53)*IF(M67&lt;0,-1,1)</f>
        <v>0</v>
      </c>
      <c r="T67" s="545">
        <f>'Foglio deposito bis'!$F$51*IF(ABS(N67)&lt;'Sollecitazioni nel paramento'!$G$58,ABS(N67)*'Sollecitazioni nel paramento'!$G$54,'Sollecitazioni nel paramento'!$G$53)*IF(N67&lt;0,-1,1)</f>
        <v>240946.49743184328</v>
      </c>
      <c r="U67" s="545">
        <f>'Foglio deposito bis'!$F$52*IF(ABS(O67)&lt;'Sollecitazioni nel paramento'!$G$58,ABS(O67)*'Sollecitazioni nel paramento'!$G$54,'Sollecitazioni nel paramento'!$G$53)*IF(O67&lt;0,-1,1)</f>
        <v>240946.49743184328</v>
      </c>
      <c r="V67" s="472">
        <f t="shared" si="3"/>
        <v>303987.59282568429</v>
      </c>
      <c r="W67" s="551"/>
      <c r="X67" s="551"/>
    </row>
    <row r="68" spans="1:24" x14ac:dyDescent="0.25">
      <c r="A68" s="545">
        <f t="shared" si="2"/>
        <v>297813.5302539742</v>
      </c>
      <c r="B68" s="3">
        <f t="shared" si="4"/>
        <v>3.1499999999999968</v>
      </c>
      <c r="C68" s="545">
        <f>'Foglio deposito bis'!$E$153/$B$247*B68</f>
        <v>10.209883770841339</v>
      </c>
      <c r="D68" s="603">
        <f>-'Sollecitazioni nel paramento'!$G$47*'Sollecitazioni nel paramento'!$G$41*IF(DATI!$G$211="dx",DATI!$E$61,DATI!$E$64*DATI!$E$63)*1000*C68^2*sezione!$AD$5*(1-sezione!$AD$6)</f>
        <v>-2319237.4823491056</v>
      </c>
      <c r="E68" s="545">
        <f>-'Foglio deposito bis'!$F$48*(C68-sezione!$AL$27)*IF(ABS(K68)&lt;'Sollecitazioni nel paramento'!$G$58,ABS(K68)*'Sollecitazioni nel paramento'!$G$54,'Sollecitazioni nel paramento'!$G$53)</f>
        <v>0</v>
      </c>
      <c r="F68" s="545">
        <f>-'Foglio deposito bis'!$F$49*(C68-sezione!$AM$27)*IF(ABS(L68)&lt;'Sollecitazioni nel paramento'!$G$58,ABS(L68)*'Sollecitazioni nel paramento'!$G$54,'Sollecitazioni nel paramento'!$G$53)</f>
        <v>10201321.523928704</v>
      </c>
      <c r="G68" s="545">
        <f>-'Foglio deposito bis'!$F$50*(C68-sezione!$AN$27)*IF(ABS(M68)&lt;'Sollecitazioni nel paramento'!$G$58,ABS(M68)*'Sollecitazioni nel paramento'!$G$54,'Sollecitazioni nel paramento'!$G$53)</f>
        <v>0</v>
      </c>
      <c r="H68" s="545">
        <f>-'Foglio deposito bis'!$F$51*(C68-sezione!$AO$27)*IF(ABS(N68)&lt;'Sollecitazioni nel paramento'!$G$58,ABS(N68)*'Sollecitazioni nel paramento'!$G$54,'Sollecitazioni nel paramento'!$G$53)</f>
        <v>36091403.855324477</v>
      </c>
      <c r="I68" s="472">
        <f>-'Foglio deposito bis'!$F$52*(C68-sezione!$AP$27)*IF(ABS(O68)&lt;'Sollecitazioni nel paramento'!$G$58,ABS(O68)*'Sollecitazioni nel paramento'!$G$54,'Sollecitazioni nel paramento'!$G$53)</f>
        <v>45615323.646935396</v>
      </c>
      <c r="J68" s="472">
        <f t="shared" si="0"/>
        <v>89588811.54383947</v>
      </c>
      <c r="K68" s="550">
        <f>'Sollecitazioni nel paramento'!$G$60*(sezione!$AL$27-C68)/C68</f>
        <v>1.0212203110463362E-2</v>
      </c>
      <c r="L68" s="550">
        <f>'Sollecitazioni nel paramento'!$G$60*(sezione!$AM$27-C68)/C68</f>
        <v>1.7068304665695044E-2</v>
      </c>
      <c r="M68" s="551">
        <f>'Sollecitazioni nel paramento'!$G$60*(sezione!$AN$27-C68)/C68</f>
        <v>2.392440622092672E-2</v>
      </c>
      <c r="N68" s="551">
        <f>'Sollecitazioni nel paramento'!$G$60*(sezione!$AO$27-C68)/C68</f>
        <v>5.134881244185345E-2</v>
      </c>
      <c r="O68" s="551">
        <f>'Sollecitazioni nel paramento'!$G$60*(sezione!$AP$27-C68)/C68</f>
        <v>6.4898908000647779E-2</v>
      </c>
      <c r="P68" s="545">
        <f>-'Sollecitazioni nel paramento'!$G$47*'Sollecitazioni nel paramento'!$G$41*IF(DATI!$G$211="dx",DATI!$E$61,DATI!$E$64*DATI!$E$63)*1000*C68*sezione!$AD$5</f>
        <v>-388965.94201774237</v>
      </c>
      <c r="Q68" s="545">
        <f>'Foglio deposito bis'!$F$48*IF(ABS(K68)&lt;'Sollecitazioni nel paramento'!$G$58,ABS(K68)*'Sollecitazioni nel paramento'!$G$54,'Sollecitazioni nel paramento'!$G$53)*IF(K68&lt;0,-1,1)</f>
        <v>0</v>
      </c>
      <c r="R68" s="545">
        <f>'Foglio deposito bis'!$F$49*IF(ABS(L68)&lt;'Sollecitazioni nel paramento'!$G$58,ABS(L68)*'Sollecitazioni nel paramento'!$G$54,'Sollecitazioni nel paramento'!$G$53)*IF(L68&lt;0,-1,1)</f>
        <v>204886.47740803001</v>
      </c>
      <c r="S68" s="545">
        <f>'Foglio deposito bis'!$F$50*IF(ABS(M68)&lt;'Sollecitazioni nel paramento'!$G$58,ABS(M68)*'Sollecitazioni nel paramento'!$G$54,'Sollecitazioni nel paramento'!$G$53)*IF(M68&lt;0,-1,1)</f>
        <v>0</v>
      </c>
      <c r="T68" s="545">
        <f>'Foglio deposito bis'!$F$51*IF(ABS(N68)&lt;'Sollecitazioni nel paramento'!$G$58,ABS(N68)*'Sollecitazioni nel paramento'!$G$54,'Sollecitazioni nel paramento'!$G$53)*IF(N68&lt;0,-1,1)</f>
        <v>240946.49743184328</v>
      </c>
      <c r="U68" s="545">
        <f>'Foglio deposito bis'!$F$52*IF(ABS(O68)&lt;'Sollecitazioni nel paramento'!$G$58,ABS(O68)*'Sollecitazioni nel paramento'!$G$54,'Sollecitazioni nel paramento'!$G$53)*IF(O68&lt;0,-1,1)</f>
        <v>240946.49743184328</v>
      </c>
      <c r="V68" s="472">
        <f t="shared" si="3"/>
        <v>297813.5302539742</v>
      </c>
      <c r="W68" s="551"/>
      <c r="X68" s="551"/>
    </row>
    <row r="69" spans="1:24" x14ac:dyDescent="0.25">
      <c r="A69" s="545">
        <f t="shared" si="2"/>
        <v>291639.46768226399</v>
      </c>
      <c r="B69" s="3">
        <f t="shared" si="4"/>
        <v>3.1999999999999966</v>
      </c>
      <c r="C69" s="545">
        <f>'Foglio deposito bis'!$E$153/$B$247*B69</f>
        <v>10.37194541799755</v>
      </c>
      <c r="D69" s="603">
        <f>-'Sollecitazioni nel paramento'!$G$47*'Sollecitazioni nel paramento'!$G$41*IF(DATI!$G$211="dx",DATI!$E$61,DATI!$E$64*DATI!$E$63)*1000*C69^2*sezione!$AD$5*(1-sezione!$AD$6)</f>
        <v>-2393448.407080357</v>
      </c>
      <c r="E69" s="545">
        <f>-'Foglio deposito bis'!$F$48*(C69-sezione!$AL$27)*IF(ABS(K69)&lt;'Sollecitazioni nel paramento'!$G$58,ABS(K69)*'Sollecitazioni nel paramento'!$G$54,'Sollecitazioni nel paramento'!$G$53)</f>
        <v>0</v>
      </c>
      <c r="F69" s="545">
        <f>-'Foglio deposito bis'!$F$49*(C69-sezione!$AM$27)*IF(ABS(L69)&lt;'Sollecitazioni nel paramento'!$G$58,ABS(L69)*'Sollecitazioni nel paramento'!$G$54,'Sollecitazioni nel paramento'!$G$53)</f>
        <v>10168117.283919925</v>
      </c>
      <c r="G69" s="545">
        <f>-'Foglio deposito bis'!$F$50*(C69-sezione!$AN$27)*IF(ABS(M69)&lt;'Sollecitazioni nel paramento'!$G$58,ABS(M69)*'Sollecitazioni nel paramento'!$G$54,'Sollecitazioni nel paramento'!$G$53)</f>
        <v>0</v>
      </c>
      <c r="H69" s="545">
        <f>-'Foglio deposito bis'!$F$51*(C69-sezione!$AO$27)*IF(ABS(N69)&lt;'Sollecitazioni nel paramento'!$G$58,ABS(N69)*'Sollecitazioni nel paramento'!$G$54,'Sollecitazioni nel paramento'!$G$53)</f>
        <v>36052355.669074163</v>
      </c>
      <c r="I69" s="472">
        <f>-'Foglio deposito bis'!$F$52*(C69-sezione!$AP$27)*IF(ABS(O69)&lt;'Sollecitazioni nel paramento'!$G$58,ABS(O69)*'Sollecitazioni nel paramento'!$G$54,'Sollecitazioni nel paramento'!$G$53)</f>
        <v>45576275.460685074</v>
      </c>
      <c r="J69" s="472">
        <f t="shared" ref="J69:J132" si="8">D69+E69+F69+G69+H69+I69</f>
        <v>89403300.0065988</v>
      </c>
      <c r="K69" s="550">
        <f>'Sollecitazioni nel paramento'!$G$60*(sezione!$AL$27-C69)/C69</f>
        <v>9.9979499368623714E-3</v>
      </c>
      <c r="L69" s="550">
        <f>'Sollecitazioni nel paramento'!$G$60*(sezione!$AM$27-C69)/C69</f>
        <v>1.6746924905293559E-2</v>
      </c>
      <c r="M69" s="551">
        <f>'Sollecitazioni nel paramento'!$G$60*(sezione!$AN$27-C69)/C69</f>
        <v>2.3495899873724746E-2</v>
      </c>
      <c r="N69" s="551">
        <f>'Sollecitazioni nel paramento'!$G$60*(sezione!$AO$27-C69)/C69</f>
        <v>5.0491799747449488E-2</v>
      </c>
      <c r="O69" s="551">
        <f>'Sollecitazioni nel paramento'!$G$60*(sezione!$AP$27-C69)/C69</f>
        <v>6.3830175063137665E-2</v>
      </c>
      <c r="P69" s="545">
        <f>-'Sollecitazioni nel paramento'!$G$47*'Sollecitazioni nel paramento'!$G$41*IF(DATI!$G$211="dx",DATI!$E$61,DATI!$E$64*DATI!$E$63)*1000*C69*sezione!$AD$5</f>
        <v>-395140.00458945258</v>
      </c>
      <c r="Q69" s="545">
        <f>'Foglio deposito bis'!$F$48*IF(ABS(K69)&lt;'Sollecitazioni nel paramento'!$G$58,ABS(K69)*'Sollecitazioni nel paramento'!$G$54,'Sollecitazioni nel paramento'!$G$53)*IF(K69&lt;0,-1,1)</f>
        <v>0</v>
      </c>
      <c r="R69" s="545">
        <f>'Foglio deposito bis'!$F$49*IF(ABS(L69)&lt;'Sollecitazioni nel paramento'!$G$58,ABS(L69)*'Sollecitazioni nel paramento'!$G$54,'Sollecitazioni nel paramento'!$G$53)*IF(L69&lt;0,-1,1)</f>
        <v>204886.47740803001</v>
      </c>
      <c r="S69" s="545">
        <f>'Foglio deposito bis'!$F$50*IF(ABS(M69)&lt;'Sollecitazioni nel paramento'!$G$58,ABS(M69)*'Sollecitazioni nel paramento'!$G$54,'Sollecitazioni nel paramento'!$G$53)*IF(M69&lt;0,-1,1)</f>
        <v>0</v>
      </c>
      <c r="T69" s="545">
        <f>'Foglio deposito bis'!$F$51*IF(ABS(N69)&lt;'Sollecitazioni nel paramento'!$G$58,ABS(N69)*'Sollecitazioni nel paramento'!$G$54,'Sollecitazioni nel paramento'!$G$53)*IF(N69&lt;0,-1,1)</f>
        <v>240946.49743184328</v>
      </c>
      <c r="U69" s="545">
        <f>'Foglio deposito bis'!$F$52*IF(ABS(O69)&lt;'Sollecitazioni nel paramento'!$G$58,ABS(O69)*'Sollecitazioni nel paramento'!$G$54,'Sollecitazioni nel paramento'!$G$53)*IF(O69&lt;0,-1,1)</f>
        <v>240946.49743184328</v>
      </c>
      <c r="V69" s="472">
        <f t="shared" si="3"/>
        <v>291639.46768226399</v>
      </c>
      <c r="W69" s="551"/>
      <c r="X69" s="551"/>
    </row>
    <row r="70" spans="1:24" x14ac:dyDescent="0.25">
      <c r="A70" s="545">
        <f t="shared" ref="A70:A133" si="9">ABS(V70)</f>
        <v>285465.40511055378</v>
      </c>
      <c r="B70" s="3">
        <f t="shared" si="4"/>
        <v>3.2499999999999964</v>
      </c>
      <c r="C70" s="545">
        <f>'Foglio deposito bis'!$E$153/$B$247*B70</f>
        <v>10.534007065153762</v>
      </c>
      <c r="D70" s="603">
        <f>-'Sollecitazioni nel paramento'!$G$47*'Sollecitazioni nel paramento'!$G$41*IF(DATI!$G$211="dx",DATI!$E$61,DATI!$E$64*DATI!$E$63)*1000*C70^2*sezione!$AD$5*(1-sezione!$AD$6)</f>
        <v>-2468828.0077916281</v>
      </c>
      <c r="E70" s="545">
        <f>-'Foglio deposito bis'!$F$48*(C70-sezione!$AL$27)*IF(ABS(K70)&lt;'Sollecitazioni nel paramento'!$G$58,ABS(K70)*'Sollecitazioni nel paramento'!$G$54,'Sollecitazioni nel paramento'!$G$53)</f>
        <v>0</v>
      </c>
      <c r="F70" s="545">
        <f>-'Foglio deposito bis'!$F$49*(C70-sezione!$AM$27)*IF(ABS(L70)&lt;'Sollecitazioni nel paramento'!$G$58,ABS(L70)*'Sollecitazioni nel paramento'!$G$54,'Sollecitazioni nel paramento'!$G$53)</f>
        <v>10134913.043911146</v>
      </c>
      <c r="G70" s="545">
        <f>-'Foglio deposito bis'!$F$50*(C70-sezione!$AN$27)*IF(ABS(M70)&lt;'Sollecitazioni nel paramento'!$G$58,ABS(M70)*'Sollecitazioni nel paramento'!$G$54,'Sollecitazioni nel paramento'!$G$53)</f>
        <v>0</v>
      </c>
      <c r="H70" s="545">
        <f>-'Foglio deposito bis'!$F$51*(C70-sezione!$AO$27)*IF(ABS(N70)&lt;'Sollecitazioni nel paramento'!$G$58,ABS(N70)*'Sollecitazioni nel paramento'!$G$54,'Sollecitazioni nel paramento'!$G$53)</f>
        <v>36013307.482823834</v>
      </c>
      <c r="I70" s="472">
        <f>-'Foglio deposito bis'!$F$52*(C70-sezione!$AP$27)*IF(ABS(O70)&lt;'Sollecitazioni nel paramento'!$G$58,ABS(O70)*'Sollecitazioni nel paramento'!$G$54,'Sollecitazioni nel paramento'!$G$53)</f>
        <v>45537227.274434753</v>
      </c>
      <c r="J70" s="472">
        <f t="shared" si="8"/>
        <v>89216619.793378115</v>
      </c>
      <c r="K70" s="550">
        <f>'Sollecitazioni nel paramento'!$G$60*(sezione!$AL$27-C70)/C70</f>
        <v>9.7902891686029499E-3</v>
      </c>
      <c r="L70" s="550">
        <f>'Sollecitazioni nel paramento'!$G$60*(sezione!$AM$27-C70)/C70</f>
        <v>1.6435433752904426E-2</v>
      </c>
      <c r="M70" s="551">
        <f>'Sollecitazioni nel paramento'!$G$60*(sezione!$AN$27-C70)/C70</f>
        <v>2.3080578337205903E-2</v>
      </c>
      <c r="N70" s="551">
        <f>'Sollecitazioni nel paramento'!$G$60*(sezione!$AO$27-C70)/C70</f>
        <v>4.9661156674411802E-2</v>
      </c>
      <c r="O70" s="551">
        <f>'Sollecitazioni nel paramento'!$G$60*(sezione!$AP$27-C70)/C70</f>
        <v>6.2794326216012469E-2</v>
      </c>
      <c r="P70" s="545">
        <f>-'Sollecitazioni nel paramento'!$G$47*'Sollecitazioni nel paramento'!$G$41*IF(DATI!$G$211="dx",DATI!$E$61,DATI!$E$64*DATI!$E$63)*1000*C70*sezione!$AD$5</f>
        <v>-401314.06716116279</v>
      </c>
      <c r="Q70" s="545">
        <f>'Foglio deposito bis'!$F$48*IF(ABS(K70)&lt;'Sollecitazioni nel paramento'!$G$58,ABS(K70)*'Sollecitazioni nel paramento'!$G$54,'Sollecitazioni nel paramento'!$G$53)*IF(K70&lt;0,-1,1)</f>
        <v>0</v>
      </c>
      <c r="R70" s="545">
        <f>'Foglio deposito bis'!$F$49*IF(ABS(L70)&lt;'Sollecitazioni nel paramento'!$G$58,ABS(L70)*'Sollecitazioni nel paramento'!$G$54,'Sollecitazioni nel paramento'!$G$53)*IF(L70&lt;0,-1,1)</f>
        <v>204886.47740803001</v>
      </c>
      <c r="S70" s="545">
        <f>'Foglio deposito bis'!$F$50*IF(ABS(M70)&lt;'Sollecitazioni nel paramento'!$G$58,ABS(M70)*'Sollecitazioni nel paramento'!$G$54,'Sollecitazioni nel paramento'!$G$53)*IF(M70&lt;0,-1,1)</f>
        <v>0</v>
      </c>
      <c r="T70" s="545">
        <f>'Foglio deposito bis'!$F$51*IF(ABS(N70)&lt;'Sollecitazioni nel paramento'!$G$58,ABS(N70)*'Sollecitazioni nel paramento'!$G$54,'Sollecitazioni nel paramento'!$G$53)*IF(N70&lt;0,-1,1)</f>
        <v>240946.49743184328</v>
      </c>
      <c r="U70" s="545">
        <f>'Foglio deposito bis'!$F$52*IF(ABS(O70)&lt;'Sollecitazioni nel paramento'!$G$58,ABS(O70)*'Sollecitazioni nel paramento'!$G$54,'Sollecitazioni nel paramento'!$G$53)*IF(O70&lt;0,-1,1)</f>
        <v>240946.49743184328</v>
      </c>
      <c r="V70" s="472">
        <f t="shared" ref="V70:V133" si="10">P70+Q70+R70+S70+T70+U70</f>
        <v>285465.40511055378</v>
      </c>
      <c r="W70" s="551"/>
      <c r="X70" s="551"/>
    </row>
    <row r="71" spans="1:24" x14ac:dyDescent="0.25">
      <c r="A71" s="545">
        <f t="shared" si="9"/>
        <v>279291.34253884363</v>
      </c>
      <c r="B71" s="3">
        <f t="shared" ref="B71:B107" si="11">B70+0.05</f>
        <v>3.2999999999999963</v>
      </c>
      <c r="C71" s="545">
        <f>'Foglio deposito bis'!$E$153/$B$247*B71</f>
        <v>10.696068712309973</v>
      </c>
      <c r="D71" s="603">
        <f>-'Sollecitazioni nel paramento'!$G$47*'Sollecitazioni nel paramento'!$G$41*IF(DATI!$G$211="dx",DATI!$E$61,DATI!$E$64*DATI!$E$63)*1000*C71^2*sezione!$AD$5*(1-sezione!$AD$6)</f>
        <v>-2545376.2844829182</v>
      </c>
      <c r="E71" s="545">
        <f>-'Foglio deposito bis'!$F$48*(C71-sezione!$AL$27)*IF(ABS(K71)&lt;'Sollecitazioni nel paramento'!$G$58,ABS(K71)*'Sollecitazioni nel paramento'!$G$54,'Sollecitazioni nel paramento'!$G$53)</f>
        <v>0</v>
      </c>
      <c r="F71" s="545">
        <f>-'Foglio deposito bis'!$F$49*(C71-sezione!$AM$27)*IF(ABS(L71)&lt;'Sollecitazioni nel paramento'!$G$58,ABS(L71)*'Sollecitazioni nel paramento'!$G$54,'Sollecitazioni nel paramento'!$G$53)</f>
        <v>10101708.803902365</v>
      </c>
      <c r="G71" s="545">
        <f>-'Foglio deposito bis'!$F$50*(C71-sezione!$AN$27)*IF(ABS(M71)&lt;'Sollecitazioni nel paramento'!$G$58,ABS(M71)*'Sollecitazioni nel paramento'!$G$54,'Sollecitazioni nel paramento'!$G$53)</f>
        <v>0</v>
      </c>
      <c r="H71" s="545">
        <f>-'Foglio deposito bis'!$F$51*(C71-sezione!$AO$27)*IF(ABS(N71)&lt;'Sollecitazioni nel paramento'!$G$58,ABS(N71)*'Sollecitazioni nel paramento'!$G$54,'Sollecitazioni nel paramento'!$G$53)</f>
        <v>35974259.296573512</v>
      </c>
      <c r="I71" s="472">
        <f>-'Foglio deposito bis'!$F$52*(C71-sezione!$AP$27)*IF(ABS(O71)&lt;'Sollecitazioni nel paramento'!$G$58,ABS(O71)*'Sollecitazioni nel paramento'!$G$54,'Sollecitazioni nel paramento'!$G$53)</f>
        <v>45498179.088184424</v>
      </c>
      <c r="J71" s="472">
        <f t="shared" si="8"/>
        <v>89028770.904177383</v>
      </c>
      <c r="K71" s="550">
        <f>'Sollecitazioni nel paramento'!$G$60*(sezione!$AL$27-C71)/C71</f>
        <v>9.5889211508968456E-3</v>
      </c>
      <c r="L71" s="550">
        <f>'Sollecitazioni nel paramento'!$G$60*(sezione!$AM$27-C71)/C71</f>
        <v>1.6133381726345271E-2</v>
      </c>
      <c r="M71" s="551">
        <f>'Sollecitazioni nel paramento'!$G$60*(sezione!$AN$27-C71)/C71</f>
        <v>2.2677842301793694E-2</v>
      </c>
      <c r="N71" s="551">
        <f>'Sollecitazioni nel paramento'!$G$60*(sezione!$AO$27-C71)/C71</f>
        <v>4.8855684603587392E-2</v>
      </c>
      <c r="O71" s="551">
        <f>'Sollecitazioni nel paramento'!$G$60*(sezione!$AP$27-C71)/C71</f>
        <v>6.1789866727891073E-2</v>
      </c>
      <c r="P71" s="545">
        <f>-'Sollecitazioni nel paramento'!$G$47*'Sollecitazioni nel paramento'!$G$41*IF(DATI!$G$211="dx",DATI!$E$61,DATI!$E$64*DATI!$E$63)*1000*C71*sezione!$AD$5</f>
        <v>-407488.12973287294</v>
      </c>
      <c r="Q71" s="545">
        <f>'Foglio deposito bis'!$F$48*IF(ABS(K71)&lt;'Sollecitazioni nel paramento'!$G$58,ABS(K71)*'Sollecitazioni nel paramento'!$G$54,'Sollecitazioni nel paramento'!$G$53)*IF(K71&lt;0,-1,1)</f>
        <v>0</v>
      </c>
      <c r="R71" s="545">
        <f>'Foglio deposito bis'!$F$49*IF(ABS(L71)&lt;'Sollecitazioni nel paramento'!$G$58,ABS(L71)*'Sollecitazioni nel paramento'!$G$54,'Sollecitazioni nel paramento'!$G$53)*IF(L71&lt;0,-1,1)</f>
        <v>204886.47740803001</v>
      </c>
      <c r="S71" s="545">
        <f>'Foglio deposito bis'!$F$50*IF(ABS(M71)&lt;'Sollecitazioni nel paramento'!$G$58,ABS(M71)*'Sollecitazioni nel paramento'!$G$54,'Sollecitazioni nel paramento'!$G$53)*IF(M71&lt;0,-1,1)</f>
        <v>0</v>
      </c>
      <c r="T71" s="545">
        <f>'Foglio deposito bis'!$F$51*IF(ABS(N71)&lt;'Sollecitazioni nel paramento'!$G$58,ABS(N71)*'Sollecitazioni nel paramento'!$G$54,'Sollecitazioni nel paramento'!$G$53)*IF(N71&lt;0,-1,1)</f>
        <v>240946.49743184328</v>
      </c>
      <c r="U71" s="545">
        <f>'Foglio deposito bis'!$F$52*IF(ABS(O71)&lt;'Sollecitazioni nel paramento'!$G$58,ABS(O71)*'Sollecitazioni nel paramento'!$G$54,'Sollecitazioni nel paramento'!$G$53)*IF(O71&lt;0,-1,1)</f>
        <v>240946.49743184328</v>
      </c>
      <c r="V71" s="472">
        <f t="shared" si="10"/>
        <v>279291.34253884363</v>
      </c>
      <c r="W71" s="551"/>
      <c r="X71" s="551"/>
    </row>
    <row r="72" spans="1:24" x14ac:dyDescent="0.25">
      <c r="A72" s="545">
        <f t="shared" si="9"/>
        <v>273117.27996713342</v>
      </c>
      <c r="B72" s="3">
        <f t="shared" si="11"/>
        <v>3.3499999999999961</v>
      </c>
      <c r="C72" s="545">
        <f>'Foglio deposito bis'!$E$153/$B$247*B72</f>
        <v>10.858130359466184</v>
      </c>
      <c r="D72" s="603">
        <f>-'Sollecitazioni nel paramento'!$G$47*'Sollecitazioni nel paramento'!$G$41*IF(DATI!$G$211="dx",DATI!$E$61,DATI!$E$64*DATI!$E$63)*1000*C72^2*sezione!$AD$5*(1-sezione!$AD$6)</f>
        <v>-2623093.2371542286</v>
      </c>
      <c r="E72" s="545">
        <f>-'Foglio deposito bis'!$F$48*(C72-sezione!$AL$27)*IF(ABS(K72)&lt;'Sollecitazioni nel paramento'!$G$58,ABS(K72)*'Sollecitazioni nel paramento'!$G$54,'Sollecitazioni nel paramento'!$G$53)</f>
        <v>0</v>
      </c>
      <c r="F72" s="545">
        <f>-'Foglio deposito bis'!$F$49*(C72-sezione!$AM$27)*IF(ABS(L72)&lt;'Sollecitazioni nel paramento'!$G$58,ABS(L72)*'Sollecitazioni nel paramento'!$G$54,'Sollecitazioni nel paramento'!$G$53)</f>
        <v>10068504.563893586</v>
      </c>
      <c r="G72" s="545">
        <f>-'Foglio deposito bis'!$F$50*(C72-sezione!$AN$27)*IF(ABS(M72)&lt;'Sollecitazioni nel paramento'!$G$58,ABS(M72)*'Sollecitazioni nel paramento'!$G$54,'Sollecitazioni nel paramento'!$G$53)</f>
        <v>0</v>
      </c>
      <c r="H72" s="545">
        <f>-'Foglio deposito bis'!$F$51*(C72-sezione!$AO$27)*IF(ABS(N72)&lt;'Sollecitazioni nel paramento'!$G$58,ABS(N72)*'Sollecitazioni nel paramento'!$G$54,'Sollecitazioni nel paramento'!$G$53)</f>
        <v>35935211.110323183</v>
      </c>
      <c r="I72" s="472">
        <f>-'Foglio deposito bis'!$F$52*(C72-sezione!$AP$27)*IF(ABS(O72)&lt;'Sollecitazioni nel paramento'!$G$58,ABS(O72)*'Sollecitazioni nel paramento'!$G$54,'Sollecitazioni nel paramento'!$G$53)</f>
        <v>45459130.901934102</v>
      </c>
      <c r="J72" s="472">
        <f t="shared" si="8"/>
        <v>88839753.338996649</v>
      </c>
      <c r="K72" s="550">
        <f>'Sollecitazioni nel paramento'!$G$60*(sezione!$AL$27-C72)/C72</f>
        <v>9.3935641187939088E-3</v>
      </c>
      <c r="L72" s="550">
        <f>'Sollecitazioni nel paramento'!$G$60*(sezione!$AM$27-C72)/C72</f>
        <v>1.5840346178190863E-2</v>
      </c>
      <c r="M72" s="551">
        <f>'Sollecitazioni nel paramento'!$G$60*(sezione!$AN$27-C72)/C72</f>
        <v>2.2287128237587817E-2</v>
      </c>
      <c r="N72" s="551">
        <f>'Sollecitazioni nel paramento'!$G$60*(sezione!$AO$27-C72)/C72</f>
        <v>4.8074256475175645E-2</v>
      </c>
      <c r="O72" s="551">
        <f>'Sollecitazioni nel paramento'!$G$60*(sezione!$AP$27-C72)/C72</f>
        <v>6.0815391105086734E-2</v>
      </c>
      <c r="P72" s="545">
        <f>-'Sollecitazioni nel paramento'!$G$47*'Sollecitazioni nel paramento'!$G$41*IF(DATI!$G$211="dx",DATI!$E$61,DATI!$E$64*DATI!$E$63)*1000*C72*sezione!$AD$5</f>
        <v>-413662.19230458315</v>
      </c>
      <c r="Q72" s="545">
        <f>'Foglio deposito bis'!$F$48*IF(ABS(K72)&lt;'Sollecitazioni nel paramento'!$G$58,ABS(K72)*'Sollecitazioni nel paramento'!$G$54,'Sollecitazioni nel paramento'!$G$53)*IF(K72&lt;0,-1,1)</f>
        <v>0</v>
      </c>
      <c r="R72" s="545">
        <f>'Foglio deposito bis'!$F$49*IF(ABS(L72)&lt;'Sollecitazioni nel paramento'!$G$58,ABS(L72)*'Sollecitazioni nel paramento'!$G$54,'Sollecitazioni nel paramento'!$G$53)*IF(L72&lt;0,-1,1)</f>
        <v>204886.47740803001</v>
      </c>
      <c r="S72" s="545">
        <f>'Foglio deposito bis'!$F$50*IF(ABS(M72)&lt;'Sollecitazioni nel paramento'!$G$58,ABS(M72)*'Sollecitazioni nel paramento'!$G$54,'Sollecitazioni nel paramento'!$G$53)*IF(M72&lt;0,-1,1)</f>
        <v>0</v>
      </c>
      <c r="T72" s="545">
        <f>'Foglio deposito bis'!$F$51*IF(ABS(N72)&lt;'Sollecitazioni nel paramento'!$G$58,ABS(N72)*'Sollecitazioni nel paramento'!$G$54,'Sollecitazioni nel paramento'!$G$53)*IF(N72&lt;0,-1,1)</f>
        <v>240946.49743184328</v>
      </c>
      <c r="U72" s="545">
        <f>'Foglio deposito bis'!$F$52*IF(ABS(O72)&lt;'Sollecitazioni nel paramento'!$G$58,ABS(O72)*'Sollecitazioni nel paramento'!$G$54,'Sollecitazioni nel paramento'!$G$53)*IF(O72&lt;0,-1,1)</f>
        <v>240946.49743184328</v>
      </c>
      <c r="V72" s="472">
        <f t="shared" si="10"/>
        <v>273117.27996713342</v>
      </c>
      <c r="W72" s="551"/>
      <c r="X72" s="551"/>
    </row>
    <row r="73" spans="1:24" x14ac:dyDescent="0.25">
      <c r="A73" s="545">
        <f t="shared" si="9"/>
        <v>266943.21739542327</v>
      </c>
      <c r="B73" s="3">
        <f t="shared" si="11"/>
        <v>3.3999999999999959</v>
      </c>
      <c r="C73" s="545">
        <f>'Foglio deposito bis'!$E$153/$B$247*B73</f>
        <v>11.020192006622395</v>
      </c>
      <c r="D73" s="603">
        <f>-'Sollecitazioni nel paramento'!$G$47*'Sollecitazioni nel paramento'!$G$41*IF(DATI!$G$211="dx",DATI!$E$61,DATI!$E$64*DATI!$E$63)*1000*C73^2*sezione!$AD$5*(1-sezione!$AD$6)</f>
        <v>-2701978.8658055584</v>
      </c>
      <c r="E73" s="545">
        <f>-'Foglio deposito bis'!$F$48*(C73-sezione!$AL$27)*IF(ABS(K73)&lt;'Sollecitazioni nel paramento'!$G$58,ABS(K73)*'Sollecitazioni nel paramento'!$G$54,'Sollecitazioni nel paramento'!$G$53)</f>
        <v>0</v>
      </c>
      <c r="F73" s="545">
        <f>-'Foglio deposito bis'!$F$49*(C73-sezione!$AM$27)*IF(ABS(L73)&lt;'Sollecitazioni nel paramento'!$G$58,ABS(L73)*'Sollecitazioni nel paramento'!$G$54,'Sollecitazioni nel paramento'!$G$53)</f>
        <v>10035300.323884808</v>
      </c>
      <c r="G73" s="545">
        <f>-'Foglio deposito bis'!$F$50*(C73-sezione!$AN$27)*IF(ABS(M73)&lt;'Sollecitazioni nel paramento'!$G$58,ABS(M73)*'Sollecitazioni nel paramento'!$G$54,'Sollecitazioni nel paramento'!$G$53)</f>
        <v>0</v>
      </c>
      <c r="H73" s="545">
        <f>-'Foglio deposito bis'!$F$51*(C73-sezione!$AO$27)*IF(ABS(N73)&lt;'Sollecitazioni nel paramento'!$G$58,ABS(N73)*'Sollecitazioni nel paramento'!$G$54,'Sollecitazioni nel paramento'!$G$53)</f>
        <v>35896162.924072869</v>
      </c>
      <c r="I73" s="472">
        <f>-'Foglio deposito bis'!$F$52*(C73-sezione!$AP$27)*IF(ABS(O73)&lt;'Sollecitazioni nel paramento'!$G$58,ABS(O73)*'Sollecitazioni nel paramento'!$G$54,'Sollecitazioni nel paramento'!$G$53)</f>
        <v>45420082.715683773</v>
      </c>
      <c r="J73" s="472">
        <f t="shared" si="8"/>
        <v>88649567.097835898</v>
      </c>
      <c r="K73" s="550">
        <f>'Sollecitazioni nel paramento'!$G$60*(sezione!$AL$27-C73)/C73</f>
        <v>9.2039528817528232E-3</v>
      </c>
      <c r="L73" s="550">
        <f>'Sollecitazioni nel paramento'!$G$60*(sezione!$AM$27-C73)/C73</f>
        <v>1.5555929322629235E-2</v>
      </c>
      <c r="M73" s="551">
        <f>'Sollecitazioni nel paramento'!$G$60*(sezione!$AN$27-C73)/C73</f>
        <v>2.1907905763505646E-2</v>
      </c>
      <c r="N73" s="551">
        <f>'Sollecitazioni nel paramento'!$G$60*(sezione!$AO$27-C73)/C73</f>
        <v>4.7315811527011302E-2</v>
      </c>
      <c r="O73" s="551">
        <f>'Sollecitazioni nel paramento'!$G$60*(sezione!$AP$27-C73)/C73</f>
        <v>5.9869576530011917E-2</v>
      </c>
      <c r="P73" s="545">
        <f>-'Sollecitazioni nel paramento'!$G$47*'Sollecitazioni nel paramento'!$G$41*IF(DATI!$G$211="dx",DATI!$E$61,DATI!$E$64*DATI!$E$63)*1000*C73*sezione!$AD$5</f>
        <v>-419836.2548762933</v>
      </c>
      <c r="Q73" s="545">
        <f>'Foglio deposito bis'!$F$48*IF(ABS(K73)&lt;'Sollecitazioni nel paramento'!$G$58,ABS(K73)*'Sollecitazioni nel paramento'!$G$54,'Sollecitazioni nel paramento'!$G$53)*IF(K73&lt;0,-1,1)</f>
        <v>0</v>
      </c>
      <c r="R73" s="545">
        <f>'Foglio deposito bis'!$F$49*IF(ABS(L73)&lt;'Sollecitazioni nel paramento'!$G$58,ABS(L73)*'Sollecitazioni nel paramento'!$G$54,'Sollecitazioni nel paramento'!$G$53)*IF(L73&lt;0,-1,1)</f>
        <v>204886.47740803001</v>
      </c>
      <c r="S73" s="545">
        <f>'Foglio deposito bis'!$F$50*IF(ABS(M73)&lt;'Sollecitazioni nel paramento'!$G$58,ABS(M73)*'Sollecitazioni nel paramento'!$G$54,'Sollecitazioni nel paramento'!$G$53)*IF(M73&lt;0,-1,1)</f>
        <v>0</v>
      </c>
      <c r="T73" s="545">
        <f>'Foglio deposito bis'!$F$51*IF(ABS(N73)&lt;'Sollecitazioni nel paramento'!$G$58,ABS(N73)*'Sollecitazioni nel paramento'!$G$54,'Sollecitazioni nel paramento'!$G$53)*IF(N73&lt;0,-1,1)</f>
        <v>240946.49743184328</v>
      </c>
      <c r="U73" s="545">
        <f>'Foglio deposito bis'!$F$52*IF(ABS(O73)&lt;'Sollecitazioni nel paramento'!$G$58,ABS(O73)*'Sollecitazioni nel paramento'!$G$54,'Sollecitazioni nel paramento'!$G$53)*IF(O73&lt;0,-1,1)</f>
        <v>240946.49743184328</v>
      </c>
      <c r="V73" s="472">
        <f t="shared" si="10"/>
        <v>266943.21739542327</v>
      </c>
      <c r="W73" s="551"/>
      <c r="X73" s="551"/>
    </row>
    <row r="74" spans="1:24" x14ac:dyDescent="0.25">
      <c r="A74" s="545">
        <f t="shared" si="9"/>
        <v>260769.15482371306</v>
      </c>
      <c r="B74" s="3">
        <f t="shared" si="11"/>
        <v>3.4499999999999957</v>
      </c>
      <c r="C74" s="545">
        <f>'Foglio deposito bis'!$E$153/$B$247*B74</f>
        <v>11.182253653778607</v>
      </c>
      <c r="D74" s="603">
        <f>-'Sollecitazioni nel paramento'!$G$47*'Sollecitazioni nel paramento'!$G$41*IF(DATI!$G$211="dx",DATI!$E$61,DATI!$E$64*DATI!$E$63)*1000*C74^2*sezione!$AD$5*(1-sezione!$AD$6)</f>
        <v>-2782033.1704369085</v>
      </c>
      <c r="E74" s="545">
        <f>-'Foglio deposito bis'!$F$48*(C74-sezione!$AL$27)*IF(ABS(K74)&lt;'Sollecitazioni nel paramento'!$G$58,ABS(K74)*'Sollecitazioni nel paramento'!$G$54,'Sollecitazioni nel paramento'!$G$53)</f>
        <v>0</v>
      </c>
      <c r="F74" s="545">
        <f>-'Foglio deposito bis'!$F$49*(C74-sezione!$AM$27)*IF(ABS(L74)&lt;'Sollecitazioni nel paramento'!$G$58,ABS(L74)*'Sollecitazioni nel paramento'!$G$54,'Sollecitazioni nel paramento'!$G$53)</f>
        <v>10002096.083876029</v>
      </c>
      <c r="G74" s="545">
        <f>-'Foglio deposito bis'!$F$50*(C74-sezione!$AN$27)*IF(ABS(M74)&lt;'Sollecitazioni nel paramento'!$G$58,ABS(M74)*'Sollecitazioni nel paramento'!$G$54,'Sollecitazioni nel paramento'!$G$53)</f>
        <v>0</v>
      </c>
      <c r="H74" s="545">
        <f>-'Foglio deposito bis'!$F$51*(C74-sezione!$AO$27)*IF(ABS(N74)&lt;'Sollecitazioni nel paramento'!$G$58,ABS(N74)*'Sollecitazioni nel paramento'!$G$54,'Sollecitazioni nel paramento'!$G$53)</f>
        <v>35857114.73782254</v>
      </c>
      <c r="I74" s="472">
        <f>-'Foglio deposito bis'!$F$52*(C74-sezione!$AP$27)*IF(ABS(O74)&lt;'Sollecitazioni nel paramento'!$G$58,ABS(O74)*'Sollecitazioni nel paramento'!$G$54,'Sollecitazioni nel paramento'!$G$53)</f>
        <v>45381034.529433444</v>
      </c>
      <c r="J74" s="472">
        <f t="shared" si="8"/>
        <v>88458212.180695102</v>
      </c>
      <c r="K74" s="550">
        <f>'Sollecitazioni nel paramento'!$G$60*(sezione!$AL$27-C74)/C74</f>
        <v>9.0198376225969837E-3</v>
      </c>
      <c r="L74" s="550">
        <f>'Sollecitazioni nel paramento'!$G$60*(sezione!$AM$27-C74)/C74</f>
        <v>1.5279756433895475E-2</v>
      </c>
      <c r="M74" s="551">
        <f>'Sollecitazioni nel paramento'!$G$60*(sezione!$AN$27-C74)/C74</f>
        <v>2.153967524519397E-2</v>
      </c>
      <c r="N74" s="551">
        <f>'Sollecitazioni nel paramento'!$G$60*(sezione!$AO$27-C74)/C74</f>
        <v>4.657935049038793E-2</v>
      </c>
      <c r="O74" s="551">
        <f>'Sollecitazioni nel paramento'!$G$60*(sezione!$AP$27-C74)/C74</f>
        <v>5.895117687015667E-2</v>
      </c>
      <c r="P74" s="545">
        <f>-'Sollecitazioni nel paramento'!$G$47*'Sollecitazioni nel paramento'!$G$41*IF(DATI!$G$211="dx",DATI!$E$61,DATI!$E$64*DATI!$E$63)*1000*C74*sezione!$AD$5</f>
        <v>-426010.31744800351</v>
      </c>
      <c r="Q74" s="545">
        <f>'Foglio deposito bis'!$F$48*IF(ABS(K74)&lt;'Sollecitazioni nel paramento'!$G$58,ABS(K74)*'Sollecitazioni nel paramento'!$G$54,'Sollecitazioni nel paramento'!$G$53)*IF(K74&lt;0,-1,1)</f>
        <v>0</v>
      </c>
      <c r="R74" s="545">
        <f>'Foglio deposito bis'!$F$49*IF(ABS(L74)&lt;'Sollecitazioni nel paramento'!$G$58,ABS(L74)*'Sollecitazioni nel paramento'!$G$54,'Sollecitazioni nel paramento'!$G$53)*IF(L74&lt;0,-1,1)</f>
        <v>204886.47740803001</v>
      </c>
      <c r="S74" s="545">
        <f>'Foglio deposito bis'!$F$50*IF(ABS(M74)&lt;'Sollecitazioni nel paramento'!$G$58,ABS(M74)*'Sollecitazioni nel paramento'!$G$54,'Sollecitazioni nel paramento'!$G$53)*IF(M74&lt;0,-1,1)</f>
        <v>0</v>
      </c>
      <c r="T74" s="545">
        <f>'Foglio deposito bis'!$F$51*IF(ABS(N74)&lt;'Sollecitazioni nel paramento'!$G$58,ABS(N74)*'Sollecitazioni nel paramento'!$G$54,'Sollecitazioni nel paramento'!$G$53)*IF(N74&lt;0,-1,1)</f>
        <v>240946.49743184328</v>
      </c>
      <c r="U74" s="545">
        <f>'Foglio deposito bis'!$F$52*IF(ABS(O74)&lt;'Sollecitazioni nel paramento'!$G$58,ABS(O74)*'Sollecitazioni nel paramento'!$G$54,'Sollecitazioni nel paramento'!$G$53)*IF(O74&lt;0,-1,1)</f>
        <v>240946.49743184328</v>
      </c>
      <c r="V74" s="472">
        <f t="shared" si="10"/>
        <v>260769.15482371306</v>
      </c>
      <c r="W74" s="551"/>
      <c r="X74" s="551"/>
    </row>
    <row r="75" spans="1:24" x14ac:dyDescent="0.25">
      <c r="A75" s="545">
        <f t="shared" si="9"/>
        <v>254595.09225200285</v>
      </c>
      <c r="B75" s="3">
        <f t="shared" si="11"/>
        <v>3.4999999999999956</v>
      </c>
      <c r="C75" s="545">
        <f>'Foglio deposito bis'!$E$153/$B$247*B75</f>
        <v>11.344315300934818</v>
      </c>
      <c r="D75" s="603">
        <f>-'Sollecitazioni nel paramento'!$G$47*'Sollecitazioni nel paramento'!$G$41*IF(DATI!$G$211="dx",DATI!$E$61,DATI!$E$64*DATI!$E$63)*1000*C75^2*sezione!$AD$5*(1-sezione!$AD$6)</f>
        <v>-2863256.1510482766</v>
      </c>
      <c r="E75" s="545">
        <f>-'Foglio deposito bis'!$F$48*(C75-sezione!$AL$27)*IF(ABS(K75)&lt;'Sollecitazioni nel paramento'!$G$58,ABS(K75)*'Sollecitazioni nel paramento'!$G$54,'Sollecitazioni nel paramento'!$G$53)</f>
        <v>0</v>
      </c>
      <c r="F75" s="545">
        <f>-'Foglio deposito bis'!$F$49*(C75-sezione!$AM$27)*IF(ABS(L75)&lt;'Sollecitazioni nel paramento'!$G$58,ABS(L75)*'Sollecitazioni nel paramento'!$G$54,'Sollecitazioni nel paramento'!$G$53)</f>
        <v>9968891.8438672498</v>
      </c>
      <c r="G75" s="545">
        <f>-'Foglio deposito bis'!$F$50*(C75-sezione!$AN$27)*IF(ABS(M75)&lt;'Sollecitazioni nel paramento'!$G$58,ABS(M75)*'Sollecitazioni nel paramento'!$G$54,'Sollecitazioni nel paramento'!$G$53)</f>
        <v>0</v>
      </c>
      <c r="H75" s="545">
        <f>-'Foglio deposito bis'!$F$51*(C75-sezione!$AO$27)*IF(ABS(N75)&lt;'Sollecitazioni nel paramento'!$G$58,ABS(N75)*'Sollecitazioni nel paramento'!$G$54,'Sollecitazioni nel paramento'!$G$53)</f>
        <v>35818066.551572211</v>
      </c>
      <c r="I75" s="472">
        <f>-'Foglio deposito bis'!$F$52*(C75-sezione!$AP$27)*IF(ABS(O75)&lt;'Sollecitazioni nel paramento'!$G$58,ABS(O75)*'Sollecitazioni nel paramento'!$G$54,'Sollecitazioni nel paramento'!$G$53)</f>
        <v>45341986.34318313</v>
      </c>
      <c r="J75" s="472">
        <f t="shared" si="8"/>
        <v>88265688.587574318</v>
      </c>
      <c r="K75" s="550">
        <f>'Sollecitazioni nel paramento'!$G$60*(sezione!$AL$27-C75)/C75</f>
        <v>8.8409827994170298E-3</v>
      </c>
      <c r="L75" s="550">
        <f>'Sollecitazioni nel paramento'!$G$60*(sezione!$AM$27-C75)/C75</f>
        <v>1.5011474199125545E-2</v>
      </c>
      <c r="M75" s="551">
        <f>'Sollecitazioni nel paramento'!$G$60*(sezione!$AN$27-C75)/C75</f>
        <v>2.1181965598834056E-2</v>
      </c>
      <c r="N75" s="551">
        <f>'Sollecitazioni nel paramento'!$G$60*(sezione!$AO$27-C75)/C75</f>
        <v>4.5863931197668108E-2</v>
      </c>
      <c r="O75" s="551">
        <f>'Sollecitazioni nel paramento'!$G$60*(sezione!$AP$27-C75)/C75</f>
        <v>5.8059017200583013E-2</v>
      </c>
      <c r="P75" s="545">
        <f>-'Sollecitazioni nel paramento'!$G$47*'Sollecitazioni nel paramento'!$G$41*IF(DATI!$G$211="dx",DATI!$E$61,DATI!$E$64*DATI!$E$63)*1000*C75*sezione!$AD$5</f>
        <v>-432184.38001971372</v>
      </c>
      <c r="Q75" s="545">
        <f>'Foglio deposito bis'!$F$48*IF(ABS(K75)&lt;'Sollecitazioni nel paramento'!$G$58,ABS(K75)*'Sollecitazioni nel paramento'!$G$54,'Sollecitazioni nel paramento'!$G$53)*IF(K75&lt;0,-1,1)</f>
        <v>0</v>
      </c>
      <c r="R75" s="545">
        <f>'Foglio deposito bis'!$F$49*IF(ABS(L75)&lt;'Sollecitazioni nel paramento'!$G$58,ABS(L75)*'Sollecitazioni nel paramento'!$G$54,'Sollecitazioni nel paramento'!$G$53)*IF(L75&lt;0,-1,1)</f>
        <v>204886.47740803001</v>
      </c>
      <c r="S75" s="545">
        <f>'Foglio deposito bis'!$F$50*IF(ABS(M75)&lt;'Sollecitazioni nel paramento'!$G$58,ABS(M75)*'Sollecitazioni nel paramento'!$G$54,'Sollecitazioni nel paramento'!$G$53)*IF(M75&lt;0,-1,1)</f>
        <v>0</v>
      </c>
      <c r="T75" s="545">
        <f>'Foglio deposito bis'!$F$51*IF(ABS(N75)&lt;'Sollecitazioni nel paramento'!$G$58,ABS(N75)*'Sollecitazioni nel paramento'!$G$54,'Sollecitazioni nel paramento'!$G$53)*IF(N75&lt;0,-1,1)</f>
        <v>240946.49743184328</v>
      </c>
      <c r="U75" s="545">
        <f>'Foglio deposito bis'!$F$52*IF(ABS(O75)&lt;'Sollecitazioni nel paramento'!$G$58,ABS(O75)*'Sollecitazioni nel paramento'!$G$54,'Sollecitazioni nel paramento'!$G$53)*IF(O75&lt;0,-1,1)</f>
        <v>240946.49743184328</v>
      </c>
      <c r="V75" s="472">
        <f t="shared" si="10"/>
        <v>254595.09225200285</v>
      </c>
      <c r="W75" s="551"/>
      <c r="X75" s="551"/>
    </row>
    <row r="76" spans="1:24" x14ac:dyDescent="0.25">
      <c r="A76" s="545">
        <f t="shared" si="9"/>
        <v>248421.0296802927</v>
      </c>
      <c r="B76" s="3">
        <f t="shared" si="11"/>
        <v>3.5499999999999954</v>
      </c>
      <c r="C76" s="545">
        <f>'Foglio deposito bis'!$E$153/$B$247*B76</f>
        <v>11.506376948091029</v>
      </c>
      <c r="D76" s="603">
        <f>-'Sollecitazioni nel paramento'!$G$47*'Sollecitazioni nel paramento'!$G$41*IF(DATI!$G$211="dx",DATI!$E$61,DATI!$E$64*DATI!$E$63)*1000*C76^2*sezione!$AD$5*(1-sezione!$AD$6)</f>
        <v>-2945647.8076396664</v>
      </c>
      <c r="E76" s="545">
        <f>-'Foglio deposito bis'!$F$48*(C76-sezione!$AL$27)*IF(ABS(K76)&lt;'Sollecitazioni nel paramento'!$G$58,ABS(K76)*'Sollecitazioni nel paramento'!$G$54,'Sollecitazioni nel paramento'!$G$53)</f>
        <v>0</v>
      </c>
      <c r="F76" s="545">
        <f>-'Foglio deposito bis'!$F$49*(C76-sezione!$AM$27)*IF(ABS(L76)&lt;'Sollecitazioni nel paramento'!$G$58,ABS(L76)*'Sollecitazioni nel paramento'!$G$54,'Sollecitazioni nel paramento'!$G$53)</f>
        <v>9935687.6038584691</v>
      </c>
      <c r="G76" s="545">
        <f>-'Foglio deposito bis'!$F$50*(C76-sezione!$AN$27)*IF(ABS(M76)&lt;'Sollecitazioni nel paramento'!$G$58,ABS(M76)*'Sollecitazioni nel paramento'!$G$54,'Sollecitazioni nel paramento'!$G$53)</f>
        <v>0</v>
      </c>
      <c r="H76" s="545">
        <f>-'Foglio deposito bis'!$F$51*(C76-sezione!$AO$27)*IF(ABS(N76)&lt;'Sollecitazioni nel paramento'!$G$58,ABS(N76)*'Sollecitazioni nel paramento'!$G$54,'Sollecitazioni nel paramento'!$G$53)</f>
        <v>35779018.36532189</v>
      </c>
      <c r="I76" s="472">
        <f>-'Foglio deposito bis'!$F$52*(C76-sezione!$AP$27)*IF(ABS(O76)&lt;'Sollecitazioni nel paramento'!$G$58,ABS(O76)*'Sollecitazioni nel paramento'!$G$54,'Sollecitazioni nel paramento'!$G$53)</f>
        <v>45302938.156932801</v>
      </c>
      <c r="J76" s="472">
        <f t="shared" si="8"/>
        <v>88071996.318473488</v>
      </c>
      <c r="K76" s="550">
        <f>'Sollecitazioni nel paramento'!$G$60*(sezione!$AL$27-C76)/C76</f>
        <v>8.6671661402703097E-3</v>
      </c>
      <c r="L76" s="550">
        <f>'Sollecitazioni nel paramento'!$G$60*(sezione!$AM$27-C76)/C76</f>
        <v>1.4750749210405466E-2</v>
      </c>
      <c r="M76" s="551">
        <f>'Sollecitazioni nel paramento'!$G$60*(sezione!$AN$27-C76)/C76</f>
        <v>2.0834332280540623E-2</v>
      </c>
      <c r="N76" s="551">
        <f>'Sollecitazioni nel paramento'!$G$60*(sezione!$AO$27-C76)/C76</f>
        <v>4.5168664561081241E-2</v>
      </c>
      <c r="O76" s="551">
        <f>'Sollecitazioni nel paramento'!$G$60*(sezione!$AP$27-C76)/C76</f>
        <v>5.7191988789307202E-2</v>
      </c>
      <c r="P76" s="545">
        <f>-'Sollecitazioni nel paramento'!$G$47*'Sollecitazioni nel paramento'!$G$41*IF(DATI!$G$211="dx",DATI!$E$61,DATI!$E$64*DATI!$E$63)*1000*C76*sezione!$AD$5</f>
        <v>-438358.44259142387</v>
      </c>
      <c r="Q76" s="545">
        <f>'Foglio deposito bis'!$F$48*IF(ABS(K76)&lt;'Sollecitazioni nel paramento'!$G$58,ABS(K76)*'Sollecitazioni nel paramento'!$G$54,'Sollecitazioni nel paramento'!$G$53)*IF(K76&lt;0,-1,1)</f>
        <v>0</v>
      </c>
      <c r="R76" s="545">
        <f>'Foglio deposito bis'!$F$49*IF(ABS(L76)&lt;'Sollecitazioni nel paramento'!$G$58,ABS(L76)*'Sollecitazioni nel paramento'!$G$54,'Sollecitazioni nel paramento'!$G$53)*IF(L76&lt;0,-1,1)</f>
        <v>204886.47740803001</v>
      </c>
      <c r="S76" s="545">
        <f>'Foglio deposito bis'!$F$50*IF(ABS(M76)&lt;'Sollecitazioni nel paramento'!$G$58,ABS(M76)*'Sollecitazioni nel paramento'!$G$54,'Sollecitazioni nel paramento'!$G$53)*IF(M76&lt;0,-1,1)</f>
        <v>0</v>
      </c>
      <c r="T76" s="545">
        <f>'Foglio deposito bis'!$F$51*IF(ABS(N76)&lt;'Sollecitazioni nel paramento'!$G$58,ABS(N76)*'Sollecitazioni nel paramento'!$G$54,'Sollecitazioni nel paramento'!$G$53)*IF(N76&lt;0,-1,1)</f>
        <v>240946.49743184328</v>
      </c>
      <c r="U76" s="545">
        <f>'Foglio deposito bis'!$F$52*IF(ABS(O76)&lt;'Sollecitazioni nel paramento'!$G$58,ABS(O76)*'Sollecitazioni nel paramento'!$G$54,'Sollecitazioni nel paramento'!$G$53)*IF(O76&lt;0,-1,1)</f>
        <v>240946.49743184328</v>
      </c>
      <c r="V76" s="472">
        <f t="shared" si="10"/>
        <v>248421.0296802927</v>
      </c>
      <c r="W76" s="551"/>
      <c r="X76" s="551"/>
    </row>
    <row r="77" spans="1:24" x14ac:dyDescent="0.25">
      <c r="A77" s="545">
        <f t="shared" si="9"/>
        <v>242246.96710858255</v>
      </c>
      <c r="B77" s="3">
        <f t="shared" si="11"/>
        <v>3.5999999999999952</v>
      </c>
      <c r="C77" s="545">
        <f>'Foglio deposito bis'!$E$153/$B$247*B77</f>
        <v>11.668438595247242</v>
      </c>
      <c r="D77" s="603">
        <f>-'Sollecitazioni nel paramento'!$G$47*'Sollecitazioni nel paramento'!$G$41*IF(DATI!$G$211="dx",DATI!$E$61,DATI!$E$64*DATI!$E$63)*1000*C77^2*sezione!$AD$5*(1-sezione!$AD$6)</f>
        <v>-3029208.140211076</v>
      </c>
      <c r="E77" s="545">
        <f>-'Foglio deposito bis'!$F$48*(C77-sezione!$AL$27)*IF(ABS(K77)&lt;'Sollecitazioni nel paramento'!$G$58,ABS(K77)*'Sollecitazioni nel paramento'!$G$54,'Sollecitazioni nel paramento'!$G$53)</f>
        <v>0</v>
      </c>
      <c r="F77" s="545">
        <f>-'Foglio deposito bis'!$F$49*(C77-sezione!$AM$27)*IF(ABS(L77)&lt;'Sollecitazioni nel paramento'!$G$58,ABS(L77)*'Sollecitazioni nel paramento'!$G$54,'Sollecitazioni nel paramento'!$G$53)</f>
        <v>9902483.363849692</v>
      </c>
      <c r="G77" s="545">
        <f>-'Foglio deposito bis'!$F$50*(C77-sezione!$AN$27)*IF(ABS(M77)&lt;'Sollecitazioni nel paramento'!$G$58,ABS(M77)*'Sollecitazioni nel paramento'!$G$54,'Sollecitazioni nel paramento'!$G$53)</f>
        <v>0</v>
      </c>
      <c r="H77" s="545">
        <f>-'Foglio deposito bis'!$F$51*(C77-sezione!$AO$27)*IF(ABS(N77)&lt;'Sollecitazioni nel paramento'!$G$58,ABS(N77)*'Sollecitazioni nel paramento'!$G$54,'Sollecitazioni nel paramento'!$G$53)</f>
        <v>35739970.179071561</v>
      </c>
      <c r="I77" s="472">
        <f>-'Foglio deposito bis'!$F$52*(C77-sezione!$AP$27)*IF(ABS(O77)&lt;'Sollecitazioni nel paramento'!$G$58,ABS(O77)*'Sollecitazioni nel paramento'!$G$54,'Sollecitazioni nel paramento'!$G$53)</f>
        <v>45263889.970682479</v>
      </c>
      <c r="J77" s="472">
        <f t="shared" si="8"/>
        <v>87877135.373392656</v>
      </c>
      <c r="K77" s="550">
        <f>'Sollecitazioni nel paramento'!$G$60*(sezione!$AL$27-C77)/C77</f>
        <v>8.4981777216554446E-3</v>
      </c>
      <c r="L77" s="550">
        <f>'Sollecitazioni nel paramento'!$G$60*(sezione!$AM$27-C77)/C77</f>
        <v>1.4497266582483168E-2</v>
      </c>
      <c r="M77" s="551">
        <f>'Sollecitazioni nel paramento'!$G$60*(sezione!$AN$27-C77)/C77</f>
        <v>2.0496355443310889E-2</v>
      </c>
      <c r="N77" s="551">
        <f>'Sollecitazioni nel paramento'!$G$60*(sezione!$AO$27-C77)/C77</f>
        <v>4.4492710886621781E-2</v>
      </c>
      <c r="O77" s="551">
        <f>'Sollecitazioni nel paramento'!$G$60*(sezione!$AP$27-C77)/C77</f>
        <v>5.6349044500566825E-2</v>
      </c>
      <c r="P77" s="545">
        <f>-'Sollecitazioni nel paramento'!$G$47*'Sollecitazioni nel paramento'!$G$41*IF(DATI!$G$211="dx",DATI!$E$61,DATI!$E$64*DATI!$E$63)*1000*C77*sezione!$AD$5</f>
        <v>-444532.50516313402</v>
      </c>
      <c r="Q77" s="545">
        <f>'Foglio deposito bis'!$F$48*IF(ABS(K77)&lt;'Sollecitazioni nel paramento'!$G$58,ABS(K77)*'Sollecitazioni nel paramento'!$G$54,'Sollecitazioni nel paramento'!$G$53)*IF(K77&lt;0,-1,1)</f>
        <v>0</v>
      </c>
      <c r="R77" s="545">
        <f>'Foglio deposito bis'!$F$49*IF(ABS(L77)&lt;'Sollecitazioni nel paramento'!$G$58,ABS(L77)*'Sollecitazioni nel paramento'!$G$54,'Sollecitazioni nel paramento'!$G$53)*IF(L77&lt;0,-1,1)</f>
        <v>204886.47740803001</v>
      </c>
      <c r="S77" s="545">
        <f>'Foglio deposito bis'!$F$50*IF(ABS(M77)&lt;'Sollecitazioni nel paramento'!$G$58,ABS(M77)*'Sollecitazioni nel paramento'!$G$54,'Sollecitazioni nel paramento'!$G$53)*IF(M77&lt;0,-1,1)</f>
        <v>0</v>
      </c>
      <c r="T77" s="545">
        <f>'Foglio deposito bis'!$F$51*IF(ABS(N77)&lt;'Sollecitazioni nel paramento'!$G$58,ABS(N77)*'Sollecitazioni nel paramento'!$G$54,'Sollecitazioni nel paramento'!$G$53)*IF(N77&lt;0,-1,1)</f>
        <v>240946.49743184328</v>
      </c>
      <c r="U77" s="545">
        <f>'Foglio deposito bis'!$F$52*IF(ABS(O77)&lt;'Sollecitazioni nel paramento'!$G$58,ABS(O77)*'Sollecitazioni nel paramento'!$G$54,'Sollecitazioni nel paramento'!$G$53)*IF(O77&lt;0,-1,1)</f>
        <v>240946.49743184328</v>
      </c>
      <c r="V77" s="472">
        <f t="shared" si="10"/>
        <v>242246.96710858255</v>
      </c>
      <c r="W77" s="551"/>
      <c r="X77" s="551"/>
    </row>
    <row r="78" spans="1:24" x14ac:dyDescent="0.25">
      <c r="A78" s="545">
        <f t="shared" si="9"/>
        <v>236072.90453687235</v>
      </c>
      <c r="B78" s="3">
        <f t="shared" si="11"/>
        <v>3.649999999999995</v>
      </c>
      <c r="C78" s="545">
        <f>'Foglio deposito bis'!$E$153/$B$247*B78</f>
        <v>11.830500242403453</v>
      </c>
      <c r="D78" s="603">
        <f>-'Sollecitazioni nel paramento'!$G$47*'Sollecitazioni nel paramento'!$G$41*IF(DATI!$G$211="dx",DATI!$E$61,DATI!$E$64*DATI!$E$63)*1000*C78^2*sezione!$AD$5*(1-sezione!$AD$6)</f>
        <v>-3113937.1487625041</v>
      </c>
      <c r="E78" s="545">
        <f>-'Foglio deposito bis'!$F$48*(C78-sezione!$AL$27)*IF(ABS(K78)&lt;'Sollecitazioni nel paramento'!$G$58,ABS(K78)*'Sollecitazioni nel paramento'!$G$54,'Sollecitazioni nel paramento'!$G$53)</f>
        <v>0</v>
      </c>
      <c r="F78" s="545">
        <f>-'Foglio deposito bis'!$F$49*(C78-sezione!$AM$27)*IF(ABS(L78)&lt;'Sollecitazioni nel paramento'!$G$58,ABS(L78)*'Sollecitazioni nel paramento'!$G$54,'Sollecitazioni nel paramento'!$G$53)</f>
        <v>9869279.1238409113</v>
      </c>
      <c r="G78" s="545">
        <f>-'Foglio deposito bis'!$F$50*(C78-sezione!$AN$27)*IF(ABS(M78)&lt;'Sollecitazioni nel paramento'!$G$58,ABS(M78)*'Sollecitazioni nel paramento'!$G$54,'Sollecitazioni nel paramento'!$G$53)</f>
        <v>0</v>
      </c>
      <c r="H78" s="545">
        <f>-'Foglio deposito bis'!$F$51*(C78-sezione!$AO$27)*IF(ABS(N78)&lt;'Sollecitazioni nel paramento'!$G$58,ABS(N78)*'Sollecitazioni nel paramento'!$G$54,'Sollecitazioni nel paramento'!$G$53)</f>
        <v>35700921.992821239</v>
      </c>
      <c r="I78" s="472">
        <f>-'Foglio deposito bis'!$F$52*(C78-sezione!$AP$27)*IF(ABS(O78)&lt;'Sollecitazioni nel paramento'!$G$58,ABS(O78)*'Sollecitazioni nel paramento'!$G$54,'Sollecitazioni nel paramento'!$G$53)</f>
        <v>45224841.784432158</v>
      </c>
      <c r="J78" s="472">
        <f t="shared" si="8"/>
        <v>87681105.752331808</v>
      </c>
      <c r="K78" s="550">
        <f>'Sollecitazioni nel paramento'!$G$60*(sezione!$AL$27-C78)/C78</f>
        <v>8.3338191227286581E-3</v>
      </c>
      <c r="L78" s="550">
        <f>'Sollecitazioni nel paramento'!$G$60*(sezione!$AM$27-C78)/C78</f>
        <v>1.4250728684092986E-2</v>
      </c>
      <c r="M78" s="551">
        <f>'Sollecitazioni nel paramento'!$G$60*(sezione!$AN$27-C78)/C78</f>
        <v>2.0167638245457319E-2</v>
      </c>
      <c r="N78" s="551">
        <f>'Sollecitazioni nel paramento'!$G$60*(sezione!$AO$27-C78)/C78</f>
        <v>4.3835276490914642E-2</v>
      </c>
      <c r="O78" s="551">
        <f>'Sollecitazioni nel paramento'!$G$60*(sezione!$AP$27-C78)/C78</f>
        <v>5.5529194575901525E-2</v>
      </c>
      <c r="P78" s="545">
        <f>-'Sollecitazioni nel paramento'!$G$47*'Sollecitazioni nel paramento'!$G$41*IF(DATI!$G$211="dx",DATI!$E$61,DATI!$E$64*DATI!$E$63)*1000*C78*sezione!$AD$5</f>
        <v>-450706.56773484423</v>
      </c>
      <c r="Q78" s="545">
        <f>'Foglio deposito bis'!$F$48*IF(ABS(K78)&lt;'Sollecitazioni nel paramento'!$G$58,ABS(K78)*'Sollecitazioni nel paramento'!$G$54,'Sollecitazioni nel paramento'!$G$53)*IF(K78&lt;0,-1,1)</f>
        <v>0</v>
      </c>
      <c r="R78" s="545">
        <f>'Foglio deposito bis'!$F$49*IF(ABS(L78)&lt;'Sollecitazioni nel paramento'!$G$58,ABS(L78)*'Sollecitazioni nel paramento'!$G$54,'Sollecitazioni nel paramento'!$G$53)*IF(L78&lt;0,-1,1)</f>
        <v>204886.47740803001</v>
      </c>
      <c r="S78" s="545">
        <f>'Foglio deposito bis'!$F$50*IF(ABS(M78)&lt;'Sollecitazioni nel paramento'!$G$58,ABS(M78)*'Sollecitazioni nel paramento'!$G$54,'Sollecitazioni nel paramento'!$G$53)*IF(M78&lt;0,-1,1)</f>
        <v>0</v>
      </c>
      <c r="T78" s="545">
        <f>'Foglio deposito bis'!$F$51*IF(ABS(N78)&lt;'Sollecitazioni nel paramento'!$G$58,ABS(N78)*'Sollecitazioni nel paramento'!$G$54,'Sollecitazioni nel paramento'!$G$53)*IF(N78&lt;0,-1,1)</f>
        <v>240946.49743184328</v>
      </c>
      <c r="U78" s="545">
        <f>'Foglio deposito bis'!$F$52*IF(ABS(O78)&lt;'Sollecitazioni nel paramento'!$G$58,ABS(O78)*'Sollecitazioni nel paramento'!$G$54,'Sollecitazioni nel paramento'!$G$53)*IF(O78&lt;0,-1,1)</f>
        <v>240946.49743184328</v>
      </c>
      <c r="V78" s="472">
        <f t="shared" si="10"/>
        <v>236072.90453687235</v>
      </c>
      <c r="W78" s="551"/>
      <c r="X78" s="551"/>
    </row>
    <row r="79" spans="1:24" x14ac:dyDescent="0.25">
      <c r="A79" s="545">
        <f t="shared" si="9"/>
        <v>229898.8419651622</v>
      </c>
      <c r="B79" s="3">
        <f t="shared" si="11"/>
        <v>3.6999999999999948</v>
      </c>
      <c r="C79" s="545">
        <f>'Foglio deposito bis'!$E$153/$B$247*B79</f>
        <v>11.992561889559664</v>
      </c>
      <c r="D79" s="603">
        <f>-'Sollecitazioni nel paramento'!$G$47*'Sollecitazioni nel paramento'!$G$41*IF(DATI!$G$211="dx",DATI!$E$61,DATI!$E$64*DATI!$E$63)*1000*C79^2*sezione!$AD$5*(1-sezione!$AD$6)</f>
        <v>-3199834.833293952</v>
      </c>
      <c r="E79" s="545">
        <f>-'Foglio deposito bis'!$F$48*(C79-sezione!$AL$27)*IF(ABS(K79)&lt;'Sollecitazioni nel paramento'!$G$58,ABS(K79)*'Sollecitazioni nel paramento'!$G$54,'Sollecitazioni nel paramento'!$G$53)</f>
        <v>0</v>
      </c>
      <c r="F79" s="545">
        <f>-'Foglio deposito bis'!$F$49*(C79-sezione!$AM$27)*IF(ABS(L79)&lt;'Sollecitazioni nel paramento'!$G$58,ABS(L79)*'Sollecitazioni nel paramento'!$G$54,'Sollecitazioni nel paramento'!$G$53)</f>
        <v>9836074.8838321306</v>
      </c>
      <c r="G79" s="545">
        <f>-'Foglio deposito bis'!$F$50*(C79-sezione!$AN$27)*IF(ABS(M79)&lt;'Sollecitazioni nel paramento'!$G$58,ABS(M79)*'Sollecitazioni nel paramento'!$G$54,'Sollecitazioni nel paramento'!$G$53)</f>
        <v>0</v>
      </c>
      <c r="H79" s="545">
        <f>-'Foglio deposito bis'!$F$51*(C79-sezione!$AO$27)*IF(ABS(N79)&lt;'Sollecitazioni nel paramento'!$G$58,ABS(N79)*'Sollecitazioni nel paramento'!$G$54,'Sollecitazioni nel paramento'!$G$53)</f>
        <v>35661873.806570917</v>
      </c>
      <c r="I79" s="472">
        <f>-'Foglio deposito bis'!$F$52*(C79-sezione!$AP$27)*IF(ABS(O79)&lt;'Sollecitazioni nel paramento'!$G$58,ABS(O79)*'Sollecitazioni nel paramento'!$G$54,'Sollecitazioni nel paramento'!$G$53)</f>
        <v>45185793.598181829</v>
      </c>
      <c r="J79" s="472">
        <f t="shared" si="8"/>
        <v>87483907.455290928</v>
      </c>
      <c r="K79" s="550">
        <f>'Sollecitazioni nel paramento'!$G$60*(sezione!$AL$27-C79)/C79</f>
        <v>8.1739026480971907E-3</v>
      </c>
      <c r="L79" s="550">
        <f>'Sollecitazioni nel paramento'!$G$60*(sezione!$AM$27-C79)/C79</f>
        <v>1.4010853972145786E-2</v>
      </c>
      <c r="M79" s="551">
        <f>'Sollecitazioni nel paramento'!$G$60*(sezione!$AN$27-C79)/C79</f>
        <v>1.9847805296194378E-2</v>
      </c>
      <c r="N79" s="551">
        <f>'Sollecitazioni nel paramento'!$G$60*(sezione!$AO$27-C79)/C79</f>
        <v>4.3195610592388758E-2</v>
      </c>
      <c r="O79" s="551">
        <f>'Sollecitazioni nel paramento'!$G$60*(sezione!$AP$27-C79)/C79</f>
        <v>5.4731502757308266E-2</v>
      </c>
      <c r="P79" s="545">
        <f>-'Sollecitazioni nel paramento'!$G$47*'Sollecitazioni nel paramento'!$G$41*IF(DATI!$G$211="dx",DATI!$E$61,DATI!$E$64*DATI!$E$63)*1000*C79*sezione!$AD$5</f>
        <v>-456880.63030655438</v>
      </c>
      <c r="Q79" s="545">
        <f>'Foglio deposito bis'!$F$48*IF(ABS(K79)&lt;'Sollecitazioni nel paramento'!$G$58,ABS(K79)*'Sollecitazioni nel paramento'!$G$54,'Sollecitazioni nel paramento'!$G$53)*IF(K79&lt;0,-1,1)</f>
        <v>0</v>
      </c>
      <c r="R79" s="545">
        <f>'Foglio deposito bis'!$F$49*IF(ABS(L79)&lt;'Sollecitazioni nel paramento'!$G$58,ABS(L79)*'Sollecitazioni nel paramento'!$G$54,'Sollecitazioni nel paramento'!$G$53)*IF(L79&lt;0,-1,1)</f>
        <v>204886.47740803001</v>
      </c>
      <c r="S79" s="545">
        <f>'Foglio deposito bis'!$F$50*IF(ABS(M79)&lt;'Sollecitazioni nel paramento'!$G$58,ABS(M79)*'Sollecitazioni nel paramento'!$G$54,'Sollecitazioni nel paramento'!$G$53)*IF(M79&lt;0,-1,1)</f>
        <v>0</v>
      </c>
      <c r="T79" s="545">
        <f>'Foglio deposito bis'!$F$51*IF(ABS(N79)&lt;'Sollecitazioni nel paramento'!$G$58,ABS(N79)*'Sollecitazioni nel paramento'!$G$54,'Sollecitazioni nel paramento'!$G$53)*IF(N79&lt;0,-1,1)</f>
        <v>240946.49743184328</v>
      </c>
      <c r="U79" s="545">
        <f>'Foglio deposito bis'!$F$52*IF(ABS(O79)&lt;'Sollecitazioni nel paramento'!$G$58,ABS(O79)*'Sollecitazioni nel paramento'!$G$54,'Sollecitazioni nel paramento'!$G$53)*IF(O79&lt;0,-1,1)</f>
        <v>240946.49743184328</v>
      </c>
      <c r="V79" s="472">
        <f t="shared" si="10"/>
        <v>229898.8419651622</v>
      </c>
      <c r="W79" s="551"/>
      <c r="X79" s="551"/>
    </row>
    <row r="80" spans="1:24" x14ac:dyDescent="0.25">
      <c r="A80" s="545">
        <f t="shared" si="9"/>
        <v>223724.77939345199</v>
      </c>
      <c r="B80" s="3">
        <f t="shared" si="11"/>
        <v>3.7499999999999947</v>
      </c>
      <c r="C80" s="545">
        <f>'Foglio deposito bis'!$E$153/$B$247*B80</f>
        <v>12.154623536715874</v>
      </c>
      <c r="D80" s="603">
        <f>-'Sollecitazioni nel paramento'!$G$47*'Sollecitazioni nel paramento'!$G$41*IF(DATI!$G$211="dx",DATI!$E$61,DATI!$E$64*DATI!$E$63)*1000*C80^2*sezione!$AD$5*(1-sezione!$AD$6)</f>
        <v>-3286901.1938054194</v>
      </c>
      <c r="E80" s="545">
        <f>-'Foglio deposito bis'!$F$48*(C80-sezione!$AL$27)*IF(ABS(K80)&lt;'Sollecitazioni nel paramento'!$G$58,ABS(K80)*'Sollecitazioni nel paramento'!$G$54,'Sollecitazioni nel paramento'!$G$53)</f>
        <v>0</v>
      </c>
      <c r="F80" s="545">
        <f>-'Foglio deposito bis'!$F$49*(C80-sezione!$AM$27)*IF(ABS(L80)&lt;'Sollecitazioni nel paramento'!$G$58,ABS(L80)*'Sollecitazioni nel paramento'!$G$54,'Sollecitazioni nel paramento'!$G$53)</f>
        <v>9802870.6438233536</v>
      </c>
      <c r="G80" s="545">
        <f>-'Foglio deposito bis'!$F$50*(C80-sezione!$AN$27)*IF(ABS(M80)&lt;'Sollecitazioni nel paramento'!$G$58,ABS(M80)*'Sollecitazioni nel paramento'!$G$54,'Sollecitazioni nel paramento'!$G$53)</f>
        <v>0</v>
      </c>
      <c r="H80" s="545">
        <f>-'Foglio deposito bis'!$F$51*(C80-sezione!$AO$27)*IF(ABS(N80)&lt;'Sollecitazioni nel paramento'!$G$58,ABS(N80)*'Sollecitazioni nel paramento'!$G$54,'Sollecitazioni nel paramento'!$G$53)</f>
        <v>35622825.620320596</v>
      </c>
      <c r="I80" s="472">
        <f>-'Foglio deposito bis'!$F$52*(C80-sezione!$AP$27)*IF(ABS(O80)&lt;'Sollecitazioni nel paramento'!$G$58,ABS(O80)*'Sollecitazioni nel paramento'!$G$54,'Sollecitazioni nel paramento'!$G$53)</f>
        <v>45146745.4119315</v>
      </c>
      <c r="J80" s="472">
        <f t="shared" si="8"/>
        <v>87285540.482270032</v>
      </c>
      <c r="K80" s="550">
        <f>'Sollecitazioni nel paramento'!$G$60*(sezione!$AL$27-C80)/C80</f>
        <v>8.0182506127892284E-3</v>
      </c>
      <c r="L80" s="550">
        <f>'Sollecitazioni nel paramento'!$G$60*(sezione!$AM$27-C80)/C80</f>
        <v>1.3777375919183843E-2</v>
      </c>
      <c r="M80" s="551">
        <f>'Sollecitazioni nel paramento'!$G$60*(sezione!$AN$27-C80)/C80</f>
        <v>1.953650122557846E-2</v>
      </c>
      <c r="N80" s="551">
        <f>'Sollecitazioni nel paramento'!$G$60*(sezione!$AO$27-C80)/C80</f>
        <v>4.2573002451156916E-2</v>
      </c>
      <c r="O80" s="551">
        <f>'Sollecitazioni nel paramento'!$G$60*(sezione!$AP$27-C80)/C80</f>
        <v>5.3955082720544154E-2</v>
      </c>
      <c r="P80" s="545">
        <f>-'Sollecitazioni nel paramento'!$G$47*'Sollecitazioni nel paramento'!$G$41*IF(DATI!$G$211="dx",DATI!$E$61,DATI!$E$64*DATI!$E$63)*1000*C80*sezione!$AD$5</f>
        <v>-463054.69287826458</v>
      </c>
      <c r="Q80" s="545">
        <f>'Foglio deposito bis'!$F$48*IF(ABS(K80)&lt;'Sollecitazioni nel paramento'!$G$58,ABS(K80)*'Sollecitazioni nel paramento'!$G$54,'Sollecitazioni nel paramento'!$G$53)*IF(K80&lt;0,-1,1)</f>
        <v>0</v>
      </c>
      <c r="R80" s="545">
        <f>'Foglio deposito bis'!$F$49*IF(ABS(L80)&lt;'Sollecitazioni nel paramento'!$G$58,ABS(L80)*'Sollecitazioni nel paramento'!$G$54,'Sollecitazioni nel paramento'!$G$53)*IF(L80&lt;0,-1,1)</f>
        <v>204886.47740803001</v>
      </c>
      <c r="S80" s="545">
        <f>'Foglio deposito bis'!$F$50*IF(ABS(M80)&lt;'Sollecitazioni nel paramento'!$G$58,ABS(M80)*'Sollecitazioni nel paramento'!$G$54,'Sollecitazioni nel paramento'!$G$53)*IF(M80&lt;0,-1,1)</f>
        <v>0</v>
      </c>
      <c r="T80" s="545">
        <f>'Foglio deposito bis'!$F$51*IF(ABS(N80)&lt;'Sollecitazioni nel paramento'!$G$58,ABS(N80)*'Sollecitazioni nel paramento'!$G$54,'Sollecitazioni nel paramento'!$G$53)*IF(N80&lt;0,-1,1)</f>
        <v>240946.49743184328</v>
      </c>
      <c r="U80" s="545">
        <f>'Foglio deposito bis'!$F$52*IF(ABS(O80)&lt;'Sollecitazioni nel paramento'!$G$58,ABS(O80)*'Sollecitazioni nel paramento'!$G$54,'Sollecitazioni nel paramento'!$G$53)*IF(O80&lt;0,-1,1)</f>
        <v>240946.49743184328</v>
      </c>
      <c r="V80" s="472">
        <f t="shared" si="10"/>
        <v>223724.77939345199</v>
      </c>
      <c r="W80" s="551"/>
      <c r="X80" s="551"/>
    </row>
    <row r="81" spans="1:24" x14ac:dyDescent="0.25">
      <c r="A81" s="545">
        <f t="shared" si="9"/>
        <v>217550.71682174172</v>
      </c>
      <c r="B81" s="3">
        <f t="shared" si="11"/>
        <v>3.7999999999999945</v>
      </c>
      <c r="C81" s="545">
        <f>'Foglio deposito bis'!$E$153/$B$247*B81</f>
        <v>12.316685183872087</v>
      </c>
      <c r="D81" s="603">
        <f>-'Sollecitazioni nel paramento'!$G$47*'Sollecitazioni nel paramento'!$G$41*IF(DATI!$G$211="dx",DATI!$E$61,DATI!$E$64*DATI!$E$63)*1000*C81^2*sezione!$AD$5*(1-sezione!$AD$6)</f>
        <v>-3375136.2302969075</v>
      </c>
      <c r="E81" s="545">
        <f>-'Foglio deposito bis'!$F$48*(C81-sezione!$AL$27)*IF(ABS(K81)&lt;'Sollecitazioni nel paramento'!$G$58,ABS(K81)*'Sollecitazioni nel paramento'!$G$54,'Sollecitazioni nel paramento'!$G$53)</f>
        <v>0</v>
      </c>
      <c r="F81" s="545">
        <f>-'Foglio deposito bis'!$F$49*(C81-sezione!$AM$27)*IF(ABS(L81)&lt;'Sollecitazioni nel paramento'!$G$58,ABS(L81)*'Sollecitazioni nel paramento'!$G$54,'Sollecitazioni nel paramento'!$G$53)</f>
        <v>9769666.4038145728</v>
      </c>
      <c r="G81" s="545">
        <f>-'Foglio deposito bis'!$F$50*(C81-sezione!$AN$27)*IF(ABS(M81)&lt;'Sollecitazioni nel paramento'!$G$58,ABS(M81)*'Sollecitazioni nel paramento'!$G$54,'Sollecitazioni nel paramento'!$G$53)</f>
        <v>0</v>
      </c>
      <c r="H81" s="545">
        <f>-'Foglio deposito bis'!$F$51*(C81-sezione!$AO$27)*IF(ABS(N81)&lt;'Sollecitazioni nel paramento'!$G$58,ABS(N81)*'Sollecitazioni nel paramento'!$G$54,'Sollecitazioni nel paramento'!$G$53)</f>
        <v>35583777.434070267</v>
      </c>
      <c r="I81" s="472">
        <f>-'Foglio deposito bis'!$F$52*(C81-sezione!$AP$27)*IF(ABS(O81)&lt;'Sollecitazioni nel paramento'!$G$58,ABS(O81)*'Sollecitazioni nel paramento'!$G$54,'Sollecitazioni nel paramento'!$G$53)</f>
        <v>45107697.225681178</v>
      </c>
      <c r="J81" s="472">
        <f t="shared" si="8"/>
        <v>87086004.833269119</v>
      </c>
      <c r="K81" s="550">
        <f>'Sollecitazioni nel paramento'!$G$60*(sezione!$AL$27-C81)/C81</f>
        <v>7.8666946836735783E-3</v>
      </c>
      <c r="L81" s="550">
        <f>'Sollecitazioni nel paramento'!$G$60*(sezione!$AM$27-C81)/C81</f>
        <v>1.355004202551037E-2</v>
      </c>
      <c r="M81" s="551">
        <f>'Sollecitazioni nel paramento'!$G$60*(sezione!$AN$27-C81)/C81</f>
        <v>1.9233389367347163E-2</v>
      </c>
      <c r="N81" s="551">
        <f>'Sollecitazioni nel paramento'!$G$60*(sezione!$AO$27-C81)/C81</f>
        <v>4.1966778734694316E-2</v>
      </c>
      <c r="O81" s="551">
        <f>'Sollecitazioni nel paramento'!$G$60*(sezione!$AP$27-C81)/C81</f>
        <v>5.3199094790010677E-2</v>
      </c>
      <c r="P81" s="545">
        <f>-'Sollecitazioni nel paramento'!$G$47*'Sollecitazioni nel paramento'!$G$41*IF(DATI!$G$211="dx",DATI!$E$61,DATI!$E$64*DATI!$E$63)*1000*C81*sezione!$AD$5</f>
        <v>-469228.75544997485</v>
      </c>
      <c r="Q81" s="545">
        <f>'Foglio deposito bis'!$F$48*IF(ABS(K81)&lt;'Sollecitazioni nel paramento'!$G$58,ABS(K81)*'Sollecitazioni nel paramento'!$G$54,'Sollecitazioni nel paramento'!$G$53)*IF(K81&lt;0,-1,1)</f>
        <v>0</v>
      </c>
      <c r="R81" s="545">
        <f>'Foglio deposito bis'!$F$49*IF(ABS(L81)&lt;'Sollecitazioni nel paramento'!$G$58,ABS(L81)*'Sollecitazioni nel paramento'!$G$54,'Sollecitazioni nel paramento'!$G$53)*IF(L81&lt;0,-1,1)</f>
        <v>204886.47740803001</v>
      </c>
      <c r="S81" s="545">
        <f>'Foglio deposito bis'!$F$50*IF(ABS(M81)&lt;'Sollecitazioni nel paramento'!$G$58,ABS(M81)*'Sollecitazioni nel paramento'!$G$54,'Sollecitazioni nel paramento'!$G$53)*IF(M81&lt;0,-1,1)</f>
        <v>0</v>
      </c>
      <c r="T81" s="545">
        <f>'Foglio deposito bis'!$F$51*IF(ABS(N81)&lt;'Sollecitazioni nel paramento'!$G$58,ABS(N81)*'Sollecitazioni nel paramento'!$G$54,'Sollecitazioni nel paramento'!$G$53)*IF(N81&lt;0,-1,1)</f>
        <v>240946.49743184328</v>
      </c>
      <c r="U81" s="545">
        <f>'Foglio deposito bis'!$F$52*IF(ABS(O81)&lt;'Sollecitazioni nel paramento'!$G$58,ABS(O81)*'Sollecitazioni nel paramento'!$G$54,'Sollecitazioni nel paramento'!$G$53)*IF(O81&lt;0,-1,1)</f>
        <v>240946.49743184328</v>
      </c>
      <c r="V81" s="472">
        <f t="shared" si="10"/>
        <v>217550.71682174172</v>
      </c>
      <c r="W81" s="551"/>
      <c r="X81" s="551"/>
    </row>
    <row r="82" spans="1:24" x14ac:dyDescent="0.25">
      <c r="A82" s="545">
        <f t="shared" si="9"/>
        <v>211376.65425003157</v>
      </c>
      <c r="B82" s="3">
        <f t="shared" si="11"/>
        <v>3.8499999999999943</v>
      </c>
      <c r="C82" s="545">
        <f>'Foglio deposito bis'!$E$153/$B$247*B82</f>
        <v>12.478746831028298</v>
      </c>
      <c r="D82" s="603">
        <f>-'Sollecitazioni nel paramento'!$G$47*'Sollecitazioni nel paramento'!$G$41*IF(DATI!$G$211="dx",DATI!$E$61,DATI!$E$64*DATI!$E$63)*1000*C82^2*sezione!$AD$5*(1-sezione!$AD$6)</f>
        <v>-3464539.9427684145</v>
      </c>
      <c r="E82" s="545">
        <f>-'Foglio deposito bis'!$F$48*(C82-sezione!$AL$27)*IF(ABS(K82)&lt;'Sollecitazioni nel paramento'!$G$58,ABS(K82)*'Sollecitazioni nel paramento'!$G$54,'Sollecitazioni nel paramento'!$G$53)</f>
        <v>0</v>
      </c>
      <c r="F82" s="545">
        <f>-'Foglio deposito bis'!$F$49*(C82-sezione!$AM$27)*IF(ABS(L82)&lt;'Sollecitazioni nel paramento'!$G$58,ABS(L82)*'Sollecitazioni nel paramento'!$G$54,'Sollecitazioni nel paramento'!$G$53)</f>
        <v>9736462.1638057958</v>
      </c>
      <c r="G82" s="545">
        <f>-'Foglio deposito bis'!$F$50*(C82-sezione!$AN$27)*IF(ABS(M82)&lt;'Sollecitazioni nel paramento'!$G$58,ABS(M82)*'Sollecitazioni nel paramento'!$G$54,'Sollecitazioni nel paramento'!$G$53)</f>
        <v>0</v>
      </c>
      <c r="H82" s="545">
        <f>-'Foglio deposito bis'!$F$51*(C82-sezione!$AO$27)*IF(ABS(N82)&lt;'Sollecitazioni nel paramento'!$G$58,ABS(N82)*'Sollecitazioni nel paramento'!$G$54,'Sollecitazioni nel paramento'!$G$53)</f>
        <v>35544729.247819938</v>
      </c>
      <c r="I82" s="472">
        <f>-'Foglio deposito bis'!$F$52*(C82-sezione!$AP$27)*IF(ABS(O82)&lt;'Sollecitazioni nel paramento'!$G$58,ABS(O82)*'Sollecitazioni nel paramento'!$G$54,'Sollecitazioni nel paramento'!$G$53)</f>
        <v>45068649.039430857</v>
      </c>
      <c r="J82" s="472">
        <f t="shared" si="8"/>
        <v>86885300.508288175</v>
      </c>
      <c r="K82" s="550">
        <f>'Sollecitazioni nel paramento'!$G$60*(sezione!$AL$27-C82)/C82</f>
        <v>7.7190752721973009E-3</v>
      </c>
      <c r="L82" s="550">
        <f>'Sollecitazioni nel paramento'!$G$60*(sezione!$AM$27-C82)/C82</f>
        <v>1.3328612908295951E-2</v>
      </c>
      <c r="M82" s="551">
        <f>'Sollecitazioni nel paramento'!$G$60*(sezione!$AN$27-C82)/C82</f>
        <v>1.89381505443946E-2</v>
      </c>
      <c r="N82" s="551">
        <f>'Sollecitazioni nel paramento'!$G$60*(sezione!$AO$27-C82)/C82</f>
        <v>4.1376301088789202E-2</v>
      </c>
      <c r="O82" s="551">
        <f>'Sollecitazioni nel paramento'!$G$60*(sezione!$AP$27-C82)/C82</f>
        <v>5.2462742909620934E-2</v>
      </c>
      <c r="P82" s="545">
        <f>-'Sollecitazioni nel paramento'!$G$47*'Sollecitazioni nel paramento'!$G$41*IF(DATI!$G$211="dx",DATI!$E$61,DATI!$E$64*DATI!$E$63)*1000*C82*sezione!$AD$5</f>
        <v>-475402.818021685</v>
      </c>
      <c r="Q82" s="545">
        <f>'Foglio deposito bis'!$F$48*IF(ABS(K82)&lt;'Sollecitazioni nel paramento'!$G$58,ABS(K82)*'Sollecitazioni nel paramento'!$G$54,'Sollecitazioni nel paramento'!$G$53)*IF(K82&lt;0,-1,1)</f>
        <v>0</v>
      </c>
      <c r="R82" s="545">
        <f>'Foglio deposito bis'!$F$49*IF(ABS(L82)&lt;'Sollecitazioni nel paramento'!$G$58,ABS(L82)*'Sollecitazioni nel paramento'!$G$54,'Sollecitazioni nel paramento'!$G$53)*IF(L82&lt;0,-1,1)</f>
        <v>204886.47740803001</v>
      </c>
      <c r="S82" s="545">
        <f>'Foglio deposito bis'!$F$50*IF(ABS(M82)&lt;'Sollecitazioni nel paramento'!$G$58,ABS(M82)*'Sollecitazioni nel paramento'!$G$54,'Sollecitazioni nel paramento'!$G$53)*IF(M82&lt;0,-1,1)</f>
        <v>0</v>
      </c>
      <c r="T82" s="545">
        <f>'Foglio deposito bis'!$F$51*IF(ABS(N82)&lt;'Sollecitazioni nel paramento'!$G$58,ABS(N82)*'Sollecitazioni nel paramento'!$G$54,'Sollecitazioni nel paramento'!$G$53)*IF(N82&lt;0,-1,1)</f>
        <v>240946.49743184328</v>
      </c>
      <c r="U82" s="545">
        <f>'Foglio deposito bis'!$F$52*IF(ABS(O82)&lt;'Sollecitazioni nel paramento'!$G$58,ABS(O82)*'Sollecitazioni nel paramento'!$G$54,'Sollecitazioni nel paramento'!$G$53)*IF(O82&lt;0,-1,1)</f>
        <v>240946.49743184328</v>
      </c>
      <c r="V82" s="472">
        <f t="shared" si="10"/>
        <v>211376.65425003157</v>
      </c>
      <c r="W82" s="551"/>
      <c r="X82" s="551"/>
    </row>
    <row r="83" spans="1:24" x14ac:dyDescent="0.25">
      <c r="A83" s="545">
        <f t="shared" si="9"/>
        <v>205202.59167832142</v>
      </c>
      <c r="B83" s="3">
        <f t="shared" si="11"/>
        <v>3.8999999999999941</v>
      </c>
      <c r="C83" s="545">
        <f>'Foglio deposito bis'!$E$153/$B$247*B83</f>
        <v>12.640808478184509</v>
      </c>
      <c r="D83" s="603">
        <f>-'Sollecitazioni nel paramento'!$G$47*'Sollecitazioni nel paramento'!$G$41*IF(DATI!$G$211="dx",DATI!$E$61,DATI!$E$64*DATI!$E$63)*1000*C83^2*sezione!$AD$5*(1-sezione!$AD$6)</f>
        <v>-3555112.3312199414</v>
      </c>
      <c r="E83" s="545">
        <f>-'Foglio deposito bis'!$F$48*(C83-sezione!$AL$27)*IF(ABS(K83)&lt;'Sollecitazioni nel paramento'!$G$58,ABS(K83)*'Sollecitazioni nel paramento'!$G$54,'Sollecitazioni nel paramento'!$G$53)</f>
        <v>0</v>
      </c>
      <c r="F83" s="545">
        <f>-'Foglio deposito bis'!$F$49*(C83-sezione!$AM$27)*IF(ABS(L83)&lt;'Sollecitazioni nel paramento'!$G$58,ABS(L83)*'Sollecitazioni nel paramento'!$G$54,'Sollecitazioni nel paramento'!$G$53)</f>
        <v>9703257.9237970151</v>
      </c>
      <c r="G83" s="545">
        <f>-'Foglio deposito bis'!$F$50*(C83-sezione!$AN$27)*IF(ABS(M83)&lt;'Sollecitazioni nel paramento'!$G$58,ABS(M83)*'Sollecitazioni nel paramento'!$G$54,'Sollecitazioni nel paramento'!$G$53)</f>
        <v>0</v>
      </c>
      <c r="H83" s="545">
        <f>-'Foglio deposito bis'!$F$51*(C83-sezione!$AO$27)*IF(ABS(N83)&lt;'Sollecitazioni nel paramento'!$G$58,ABS(N83)*'Sollecitazioni nel paramento'!$G$54,'Sollecitazioni nel paramento'!$G$53)</f>
        <v>35505681.061569616</v>
      </c>
      <c r="I83" s="472">
        <f>-'Foglio deposito bis'!$F$52*(C83-sezione!$AP$27)*IF(ABS(O83)&lt;'Sollecitazioni nel paramento'!$G$58,ABS(O83)*'Sollecitazioni nel paramento'!$G$54,'Sollecitazioni nel paramento'!$G$53)</f>
        <v>45029600.853180535</v>
      </c>
      <c r="J83" s="472">
        <f t="shared" si="8"/>
        <v>86683427.507327229</v>
      </c>
      <c r="K83" s="550">
        <f>'Sollecitazioni nel paramento'!$G$60*(sezione!$AL$27-C83)/C83</f>
        <v>7.5752409738357963E-3</v>
      </c>
      <c r="L83" s="550">
        <f>'Sollecitazioni nel paramento'!$G$60*(sezione!$AM$27-C83)/C83</f>
        <v>1.3112861460753697E-2</v>
      </c>
      <c r="M83" s="551">
        <f>'Sollecitazioni nel paramento'!$G$60*(sezione!$AN$27-C83)/C83</f>
        <v>1.8650481947671594E-2</v>
      </c>
      <c r="N83" s="551">
        <f>'Sollecitazioni nel paramento'!$G$60*(sezione!$AO$27-C83)/C83</f>
        <v>4.0800963895343191E-2</v>
      </c>
      <c r="O83" s="551">
        <f>'Sollecitazioni nel paramento'!$G$60*(sezione!$AP$27-C83)/C83</f>
        <v>5.1745271846677071E-2</v>
      </c>
      <c r="P83" s="545">
        <f>-'Sollecitazioni nel paramento'!$G$47*'Sollecitazioni nel paramento'!$G$41*IF(DATI!$G$211="dx",DATI!$E$61,DATI!$E$64*DATI!$E$63)*1000*C83*sezione!$AD$5</f>
        <v>-481576.88059339515</v>
      </c>
      <c r="Q83" s="545">
        <f>'Foglio deposito bis'!$F$48*IF(ABS(K83)&lt;'Sollecitazioni nel paramento'!$G$58,ABS(K83)*'Sollecitazioni nel paramento'!$G$54,'Sollecitazioni nel paramento'!$G$53)*IF(K83&lt;0,-1,1)</f>
        <v>0</v>
      </c>
      <c r="R83" s="545">
        <f>'Foglio deposito bis'!$F$49*IF(ABS(L83)&lt;'Sollecitazioni nel paramento'!$G$58,ABS(L83)*'Sollecitazioni nel paramento'!$G$54,'Sollecitazioni nel paramento'!$G$53)*IF(L83&lt;0,-1,1)</f>
        <v>204886.47740803001</v>
      </c>
      <c r="S83" s="545">
        <f>'Foglio deposito bis'!$F$50*IF(ABS(M83)&lt;'Sollecitazioni nel paramento'!$G$58,ABS(M83)*'Sollecitazioni nel paramento'!$G$54,'Sollecitazioni nel paramento'!$G$53)*IF(M83&lt;0,-1,1)</f>
        <v>0</v>
      </c>
      <c r="T83" s="545">
        <f>'Foglio deposito bis'!$F$51*IF(ABS(N83)&lt;'Sollecitazioni nel paramento'!$G$58,ABS(N83)*'Sollecitazioni nel paramento'!$G$54,'Sollecitazioni nel paramento'!$G$53)*IF(N83&lt;0,-1,1)</f>
        <v>240946.49743184328</v>
      </c>
      <c r="U83" s="545">
        <f>'Foglio deposito bis'!$F$52*IF(ABS(O83)&lt;'Sollecitazioni nel paramento'!$G$58,ABS(O83)*'Sollecitazioni nel paramento'!$G$54,'Sollecitazioni nel paramento'!$G$53)*IF(O83&lt;0,-1,1)</f>
        <v>240946.49743184328</v>
      </c>
      <c r="V83" s="472">
        <f t="shared" si="10"/>
        <v>205202.59167832142</v>
      </c>
      <c r="W83" s="551"/>
      <c r="X83" s="551"/>
    </row>
    <row r="84" spans="1:24" x14ac:dyDescent="0.25">
      <c r="A84" s="545">
        <f t="shared" si="9"/>
        <v>199028.52910661121</v>
      </c>
      <c r="B84" s="3">
        <f t="shared" si="11"/>
        <v>3.949999999999994</v>
      </c>
      <c r="C84" s="545">
        <f>'Foglio deposito bis'!$E$153/$B$247*B84</f>
        <v>12.80287012534072</v>
      </c>
      <c r="D84" s="603">
        <f>-'Sollecitazioni nel paramento'!$G$47*'Sollecitazioni nel paramento'!$G$41*IF(DATI!$G$211="dx",DATI!$E$61,DATI!$E$64*DATI!$E$63)*1000*C84^2*sezione!$AD$5*(1-sezione!$AD$6)</f>
        <v>-3646853.3956514881</v>
      </c>
      <c r="E84" s="545">
        <f>-'Foglio deposito bis'!$F$48*(C84-sezione!$AL$27)*IF(ABS(K84)&lt;'Sollecitazioni nel paramento'!$G$58,ABS(K84)*'Sollecitazioni nel paramento'!$G$54,'Sollecitazioni nel paramento'!$G$53)</f>
        <v>0</v>
      </c>
      <c r="F84" s="545">
        <f>-'Foglio deposito bis'!$F$49*(C84-sezione!$AM$27)*IF(ABS(L84)&lt;'Sollecitazioni nel paramento'!$G$58,ABS(L84)*'Sollecitazioni nel paramento'!$G$54,'Sollecitazioni nel paramento'!$G$53)</f>
        <v>9670053.6837882381</v>
      </c>
      <c r="G84" s="545">
        <f>-'Foglio deposito bis'!$F$50*(C84-sezione!$AN$27)*IF(ABS(M84)&lt;'Sollecitazioni nel paramento'!$G$58,ABS(M84)*'Sollecitazioni nel paramento'!$G$54,'Sollecitazioni nel paramento'!$G$53)</f>
        <v>0</v>
      </c>
      <c r="H84" s="545">
        <f>-'Foglio deposito bis'!$F$51*(C84-sezione!$AO$27)*IF(ABS(N84)&lt;'Sollecitazioni nel paramento'!$G$58,ABS(N84)*'Sollecitazioni nel paramento'!$G$54,'Sollecitazioni nel paramento'!$G$53)</f>
        <v>35466632.875319295</v>
      </c>
      <c r="I84" s="472">
        <f>-'Foglio deposito bis'!$F$52*(C84-sezione!$AP$27)*IF(ABS(O84)&lt;'Sollecitazioni nel paramento'!$G$58,ABS(O84)*'Sollecitazioni nel paramento'!$G$54,'Sollecitazioni nel paramento'!$G$53)</f>
        <v>44990552.666930206</v>
      </c>
      <c r="J84" s="472">
        <f t="shared" si="8"/>
        <v>86480385.830386251</v>
      </c>
      <c r="K84" s="550">
        <f>'Sollecitazioni nel paramento'!$G$60*(sezione!$AL$27-C84)/C84</f>
        <v>7.4350480501163586E-3</v>
      </c>
      <c r="L84" s="550">
        <f>'Sollecitazioni nel paramento'!$G$60*(sezione!$AM$27-C84)/C84</f>
        <v>1.2902572075174538E-2</v>
      </c>
      <c r="M84" s="551">
        <f>'Sollecitazioni nel paramento'!$G$60*(sezione!$AN$27-C84)/C84</f>
        <v>1.8370096100232713E-2</v>
      </c>
      <c r="N84" s="551">
        <f>'Sollecitazioni nel paramento'!$G$60*(sezione!$AO$27-C84)/C84</f>
        <v>4.024019220046543E-2</v>
      </c>
      <c r="O84" s="551">
        <f>'Sollecitazioni nel paramento'!$G$60*(sezione!$AP$27-C84)/C84</f>
        <v>5.1045964608111546E-2</v>
      </c>
      <c r="P84" s="545">
        <f>-'Sollecitazioni nel paramento'!$G$47*'Sollecitazioni nel paramento'!$G$41*IF(DATI!$G$211="dx",DATI!$E$61,DATI!$E$64*DATI!$E$63)*1000*C84*sezione!$AD$5</f>
        <v>-487750.94316510536</v>
      </c>
      <c r="Q84" s="545">
        <f>'Foglio deposito bis'!$F$48*IF(ABS(K84)&lt;'Sollecitazioni nel paramento'!$G$58,ABS(K84)*'Sollecitazioni nel paramento'!$G$54,'Sollecitazioni nel paramento'!$G$53)*IF(K84&lt;0,-1,1)</f>
        <v>0</v>
      </c>
      <c r="R84" s="545">
        <f>'Foglio deposito bis'!$F$49*IF(ABS(L84)&lt;'Sollecitazioni nel paramento'!$G$58,ABS(L84)*'Sollecitazioni nel paramento'!$G$54,'Sollecitazioni nel paramento'!$G$53)*IF(L84&lt;0,-1,1)</f>
        <v>204886.47740803001</v>
      </c>
      <c r="S84" s="545">
        <f>'Foglio deposito bis'!$F$50*IF(ABS(M84)&lt;'Sollecitazioni nel paramento'!$G$58,ABS(M84)*'Sollecitazioni nel paramento'!$G$54,'Sollecitazioni nel paramento'!$G$53)*IF(M84&lt;0,-1,1)</f>
        <v>0</v>
      </c>
      <c r="T84" s="545">
        <f>'Foglio deposito bis'!$F$51*IF(ABS(N84)&lt;'Sollecitazioni nel paramento'!$G$58,ABS(N84)*'Sollecitazioni nel paramento'!$G$54,'Sollecitazioni nel paramento'!$G$53)*IF(N84&lt;0,-1,1)</f>
        <v>240946.49743184328</v>
      </c>
      <c r="U84" s="545">
        <f>'Foglio deposito bis'!$F$52*IF(ABS(O84)&lt;'Sollecitazioni nel paramento'!$G$58,ABS(O84)*'Sollecitazioni nel paramento'!$G$54,'Sollecitazioni nel paramento'!$G$53)*IF(O84&lt;0,-1,1)</f>
        <v>240946.49743184328</v>
      </c>
      <c r="V84" s="472">
        <f t="shared" si="10"/>
        <v>199028.52910661121</v>
      </c>
      <c r="W84" s="551"/>
      <c r="X84" s="551"/>
    </row>
    <row r="85" spans="1:24" x14ac:dyDescent="0.25">
      <c r="A85" s="545">
        <f t="shared" si="9"/>
        <v>192854.46653490106</v>
      </c>
      <c r="B85" s="3">
        <f t="shared" si="11"/>
        <v>3.9999999999999938</v>
      </c>
      <c r="C85" s="545">
        <f>'Foglio deposito bis'!$E$153/$B$247*B85</f>
        <v>12.964931772496932</v>
      </c>
      <c r="D85" s="603">
        <f>-'Sollecitazioni nel paramento'!$G$47*'Sollecitazioni nel paramento'!$G$41*IF(DATI!$G$211="dx",DATI!$E$61,DATI!$E$64*DATI!$E$63)*1000*C85^2*sezione!$AD$5*(1-sezione!$AD$6)</f>
        <v>-3739763.1360630547</v>
      </c>
      <c r="E85" s="545">
        <f>-'Foglio deposito bis'!$F$48*(C85-sezione!$AL$27)*IF(ABS(K85)&lt;'Sollecitazioni nel paramento'!$G$58,ABS(K85)*'Sollecitazioni nel paramento'!$G$54,'Sollecitazioni nel paramento'!$G$53)</f>
        <v>0</v>
      </c>
      <c r="F85" s="545">
        <f>-'Foglio deposito bis'!$F$49*(C85-sezione!$AM$27)*IF(ABS(L85)&lt;'Sollecitazioni nel paramento'!$G$58,ABS(L85)*'Sollecitazioni nel paramento'!$G$54,'Sollecitazioni nel paramento'!$G$53)</f>
        <v>9636849.4437794574</v>
      </c>
      <c r="G85" s="545">
        <f>-'Foglio deposito bis'!$F$50*(C85-sezione!$AN$27)*IF(ABS(M85)&lt;'Sollecitazioni nel paramento'!$G$58,ABS(M85)*'Sollecitazioni nel paramento'!$G$54,'Sollecitazioni nel paramento'!$G$53)</f>
        <v>0</v>
      </c>
      <c r="H85" s="545">
        <f>-'Foglio deposito bis'!$F$51*(C85-sezione!$AO$27)*IF(ABS(N85)&lt;'Sollecitazioni nel paramento'!$G$58,ABS(N85)*'Sollecitazioni nel paramento'!$G$54,'Sollecitazioni nel paramento'!$G$53)</f>
        <v>35427584.689068973</v>
      </c>
      <c r="I85" s="472">
        <f>-'Foglio deposito bis'!$F$52*(C85-sezione!$AP$27)*IF(ABS(O85)&lt;'Sollecitazioni nel paramento'!$G$58,ABS(O85)*'Sollecitazioni nel paramento'!$G$54,'Sollecitazioni nel paramento'!$G$53)</f>
        <v>44951504.480679885</v>
      </c>
      <c r="J85" s="472">
        <f t="shared" si="8"/>
        <v>86276175.477465257</v>
      </c>
      <c r="K85" s="550">
        <f>'Sollecitazioni nel paramento'!$G$60*(sezione!$AL$27-C85)/C85</f>
        <v>7.2983599494899024E-3</v>
      </c>
      <c r="L85" s="550">
        <f>'Sollecitazioni nel paramento'!$G$60*(sezione!$AM$27-C85)/C85</f>
        <v>1.2697539924234854E-2</v>
      </c>
      <c r="M85" s="551">
        <f>'Sollecitazioni nel paramento'!$G$60*(sezione!$AN$27-C85)/C85</f>
        <v>1.8096719898979808E-2</v>
      </c>
      <c r="N85" s="551">
        <f>'Sollecitazioni nel paramento'!$G$60*(sezione!$AO$27-C85)/C85</f>
        <v>3.9693439797959612E-2</v>
      </c>
      <c r="O85" s="551">
        <f>'Sollecitazioni nel paramento'!$G$60*(sezione!$AP$27-C85)/C85</f>
        <v>5.0364140050510153E-2</v>
      </c>
      <c r="P85" s="545">
        <f>-'Sollecitazioni nel paramento'!$G$47*'Sollecitazioni nel paramento'!$G$41*IF(DATI!$G$211="dx",DATI!$E$61,DATI!$E$64*DATI!$E$63)*1000*C85*sezione!$AD$5</f>
        <v>-493925.00573681551</v>
      </c>
      <c r="Q85" s="545">
        <f>'Foglio deposito bis'!$F$48*IF(ABS(K85)&lt;'Sollecitazioni nel paramento'!$G$58,ABS(K85)*'Sollecitazioni nel paramento'!$G$54,'Sollecitazioni nel paramento'!$G$53)*IF(K85&lt;0,-1,1)</f>
        <v>0</v>
      </c>
      <c r="R85" s="545">
        <f>'Foglio deposito bis'!$F$49*IF(ABS(L85)&lt;'Sollecitazioni nel paramento'!$G$58,ABS(L85)*'Sollecitazioni nel paramento'!$G$54,'Sollecitazioni nel paramento'!$G$53)*IF(L85&lt;0,-1,1)</f>
        <v>204886.47740803001</v>
      </c>
      <c r="S85" s="545">
        <f>'Foglio deposito bis'!$F$50*IF(ABS(M85)&lt;'Sollecitazioni nel paramento'!$G$58,ABS(M85)*'Sollecitazioni nel paramento'!$G$54,'Sollecitazioni nel paramento'!$G$53)*IF(M85&lt;0,-1,1)</f>
        <v>0</v>
      </c>
      <c r="T85" s="545">
        <f>'Foglio deposito bis'!$F$51*IF(ABS(N85)&lt;'Sollecitazioni nel paramento'!$G$58,ABS(N85)*'Sollecitazioni nel paramento'!$G$54,'Sollecitazioni nel paramento'!$G$53)*IF(N85&lt;0,-1,1)</f>
        <v>240946.49743184328</v>
      </c>
      <c r="U85" s="545">
        <f>'Foglio deposito bis'!$F$52*IF(ABS(O85)&lt;'Sollecitazioni nel paramento'!$G$58,ABS(O85)*'Sollecitazioni nel paramento'!$G$54,'Sollecitazioni nel paramento'!$G$53)*IF(O85&lt;0,-1,1)</f>
        <v>240946.49743184328</v>
      </c>
      <c r="V85" s="472">
        <f t="shared" si="10"/>
        <v>192854.46653490106</v>
      </c>
      <c r="W85" s="551"/>
      <c r="X85" s="551"/>
    </row>
    <row r="86" spans="1:24" x14ac:dyDescent="0.25">
      <c r="A86" s="545">
        <f t="shared" si="9"/>
        <v>186680.40396319085</v>
      </c>
      <c r="B86" s="3">
        <f t="shared" si="11"/>
        <v>4.0499999999999936</v>
      </c>
      <c r="C86" s="545">
        <f>'Foglio deposito bis'!$E$153/$B$247*B86</f>
        <v>13.126993419653143</v>
      </c>
      <c r="D86" s="603">
        <f>-'Sollecitazioni nel paramento'!$G$47*'Sollecitazioni nel paramento'!$G$41*IF(DATI!$G$211="dx",DATI!$E$61,DATI!$E$64*DATI!$E$63)*1000*C86^2*sezione!$AD$5*(1-sezione!$AD$6)</f>
        <v>-3833841.5524546397</v>
      </c>
      <c r="E86" s="545">
        <f>-'Foglio deposito bis'!$F$48*(C86-sezione!$AL$27)*IF(ABS(K86)&lt;'Sollecitazioni nel paramento'!$G$58,ABS(K86)*'Sollecitazioni nel paramento'!$G$54,'Sollecitazioni nel paramento'!$G$53)</f>
        <v>0</v>
      </c>
      <c r="F86" s="545">
        <f>-'Foglio deposito bis'!$F$49*(C86-sezione!$AM$27)*IF(ABS(L86)&lt;'Sollecitazioni nel paramento'!$G$58,ABS(L86)*'Sollecitazioni nel paramento'!$G$54,'Sollecitazioni nel paramento'!$G$53)</f>
        <v>9603645.2037706766</v>
      </c>
      <c r="G86" s="545">
        <f>-'Foglio deposito bis'!$F$50*(C86-sezione!$AN$27)*IF(ABS(M86)&lt;'Sollecitazioni nel paramento'!$G$58,ABS(M86)*'Sollecitazioni nel paramento'!$G$54,'Sollecitazioni nel paramento'!$G$53)</f>
        <v>0</v>
      </c>
      <c r="H86" s="545">
        <f>-'Foglio deposito bis'!$F$51*(C86-sezione!$AO$27)*IF(ABS(N86)&lt;'Sollecitazioni nel paramento'!$G$58,ABS(N86)*'Sollecitazioni nel paramento'!$G$54,'Sollecitazioni nel paramento'!$G$53)</f>
        <v>35388536.502818644</v>
      </c>
      <c r="I86" s="472">
        <f>-'Foglio deposito bis'!$F$52*(C86-sezione!$AP$27)*IF(ABS(O86)&lt;'Sollecitazioni nel paramento'!$G$58,ABS(O86)*'Sollecitazioni nel paramento'!$G$54,'Sollecitazioni nel paramento'!$G$53)</f>
        <v>44912456.294429563</v>
      </c>
      <c r="J86" s="472">
        <f t="shared" si="8"/>
        <v>86070796.448564246</v>
      </c>
      <c r="K86" s="550">
        <f>'Sollecitazioni nel paramento'!$G$60*(sezione!$AL$27-C86)/C86</f>
        <v>7.1650468636937316E-3</v>
      </c>
      <c r="L86" s="550">
        <f>'Sollecitazioni nel paramento'!$G$60*(sezione!$AM$27-C86)/C86</f>
        <v>1.2497570295540595E-2</v>
      </c>
      <c r="M86" s="551">
        <f>'Sollecitazioni nel paramento'!$G$60*(sezione!$AN$27-C86)/C86</f>
        <v>1.7830093727387461E-2</v>
      </c>
      <c r="N86" s="551">
        <f>'Sollecitazioni nel paramento'!$G$60*(sezione!$AO$27-C86)/C86</f>
        <v>3.9160187454774925E-2</v>
      </c>
      <c r="O86" s="551">
        <f>'Sollecitazioni nel paramento'!$G$60*(sezione!$AP$27-C86)/C86</f>
        <v>4.9699150667170525E-2</v>
      </c>
      <c r="P86" s="545">
        <f>-'Sollecitazioni nel paramento'!$G$47*'Sollecitazioni nel paramento'!$G$41*IF(DATI!$G$211="dx",DATI!$E$61,DATI!$E$64*DATI!$E$63)*1000*C86*sezione!$AD$5</f>
        <v>-500099.06830852572</v>
      </c>
      <c r="Q86" s="545">
        <f>'Foglio deposito bis'!$F$48*IF(ABS(K86)&lt;'Sollecitazioni nel paramento'!$G$58,ABS(K86)*'Sollecitazioni nel paramento'!$G$54,'Sollecitazioni nel paramento'!$G$53)*IF(K86&lt;0,-1,1)</f>
        <v>0</v>
      </c>
      <c r="R86" s="545">
        <f>'Foglio deposito bis'!$F$49*IF(ABS(L86)&lt;'Sollecitazioni nel paramento'!$G$58,ABS(L86)*'Sollecitazioni nel paramento'!$G$54,'Sollecitazioni nel paramento'!$G$53)*IF(L86&lt;0,-1,1)</f>
        <v>204886.47740803001</v>
      </c>
      <c r="S86" s="545">
        <f>'Foglio deposito bis'!$F$50*IF(ABS(M86)&lt;'Sollecitazioni nel paramento'!$G$58,ABS(M86)*'Sollecitazioni nel paramento'!$G$54,'Sollecitazioni nel paramento'!$G$53)*IF(M86&lt;0,-1,1)</f>
        <v>0</v>
      </c>
      <c r="T86" s="545">
        <f>'Foglio deposito bis'!$F$51*IF(ABS(N86)&lt;'Sollecitazioni nel paramento'!$G$58,ABS(N86)*'Sollecitazioni nel paramento'!$G$54,'Sollecitazioni nel paramento'!$G$53)*IF(N86&lt;0,-1,1)</f>
        <v>240946.49743184328</v>
      </c>
      <c r="U86" s="545">
        <f>'Foglio deposito bis'!$F$52*IF(ABS(O86)&lt;'Sollecitazioni nel paramento'!$G$58,ABS(O86)*'Sollecitazioni nel paramento'!$G$54,'Sollecitazioni nel paramento'!$G$53)*IF(O86&lt;0,-1,1)</f>
        <v>240946.49743184328</v>
      </c>
      <c r="V86" s="472">
        <f t="shared" si="10"/>
        <v>186680.40396319085</v>
      </c>
      <c r="W86" s="551"/>
      <c r="X86" s="551"/>
    </row>
    <row r="87" spans="1:24" x14ac:dyDescent="0.25">
      <c r="A87" s="545">
        <f t="shared" si="9"/>
        <v>180506.3413914807</v>
      </c>
      <c r="B87" s="3">
        <f t="shared" si="11"/>
        <v>4.0999999999999934</v>
      </c>
      <c r="C87" s="545">
        <f>'Foglio deposito bis'!$E$153/$B$247*B87</f>
        <v>13.289055066809354</v>
      </c>
      <c r="D87" s="603">
        <f>-'Sollecitazioni nel paramento'!$G$47*'Sollecitazioni nel paramento'!$G$41*IF(DATI!$G$211="dx",DATI!$E$61,DATI!$E$64*DATI!$E$63)*1000*C87^2*sezione!$AD$5*(1-sezione!$AD$6)</f>
        <v>-3929088.6448262455</v>
      </c>
      <c r="E87" s="545">
        <f>-'Foglio deposito bis'!$F$48*(C87-sezione!$AL$27)*IF(ABS(K87)&lt;'Sollecitazioni nel paramento'!$G$58,ABS(K87)*'Sollecitazioni nel paramento'!$G$54,'Sollecitazioni nel paramento'!$G$53)</f>
        <v>0</v>
      </c>
      <c r="F87" s="545">
        <f>-'Foglio deposito bis'!$F$49*(C87-sezione!$AM$27)*IF(ABS(L87)&lt;'Sollecitazioni nel paramento'!$G$58,ABS(L87)*'Sollecitazioni nel paramento'!$G$54,'Sollecitazioni nel paramento'!$G$53)</f>
        <v>9570440.9637618996</v>
      </c>
      <c r="G87" s="545">
        <f>-'Foglio deposito bis'!$F$50*(C87-sezione!$AN$27)*IF(ABS(M87)&lt;'Sollecitazioni nel paramento'!$G$58,ABS(M87)*'Sollecitazioni nel paramento'!$G$54,'Sollecitazioni nel paramento'!$G$53)</f>
        <v>0</v>
      </c>
      <c r="H87" s="545">
        <f>-'Foglio deposito bis'!$F$51*(C87-sezione!$AO$27)*IF(ABS(N87)&lt;'Sollecitazioni nel paramento'!$G$58,ABS(N87)*'Sollecitazioni nel paramento'!$G$54,'Sollecitazioni nel paramento'!$G$53)</f>
        <v>35349488.316568322</v>
      </c>
      <c r="I87" s="472">
        <f>-'Foglio deposito bis'!$F$52*(C87-sezione!$AP$27)*IF(ABS(O87)&lt;'Sollecitazioni nel paramento'!$G$58,ABS(O87)*'Sollecitazioni nel paramento'!$G$54,'Sollecitazioni nel paramento'!$G$53)</f>
        <v>44873408.108179234</v>
      </c>
      <c r="J87" s="472">
        <f t="shared" si="8"/>
        <v>85864248.743683219</v>
      </c>
      <c r="K87" s="550">
        <f>'Sollecitazioni nel paramento'!$G$60*(sezione!$AL$27-C87)/C87</f>
        <v>7.0349853165755155E-3</v>
      </c>
      <c r="L87" s="550">
        <f>'Sollecitazioni nel paramento'!$G$60*(sezione!$AM$27-C87)/C87</f>
        <v>1.2302477974863273E-2</v>
      </c>
      <c r="M87" s="551">
        <f>'Sollecitazioni nel paramento'!$G$60*(sezione!$AN$27-C87)/C87</f>
        <v>1.7569970633151032E-2</v>
      </c>
      <c r="N87" s="551">
        <f>'Sollecitazioni nel paramento'!$G$60*(sezione!$AO$27-C87)/C87</f>
        <v>3.8639941266302068E-2</v>
      </c>
      <c r="O87" s="551">
        <f>'Sollecitazioni nel paramento'!$G$60*(sezione!$AP$27-C87)/C87</f>
        <v>4.9050380537083077E-2</v>
      </c>
      <c r="P87" s="545">
        <f>-'Sollecitazioni nel paramento'!$G$47*'Sollecitazioni nel paramento'!$G$41*IF(DATI!$G$211="dx",DATI!$E$61,DATI!$E$64*DATI!$E$63)*1000*C87*sezione!$AD$5</f>
        <v>-506273.13088023587</v>
      </c>
      <c r="Q87" s="545">
        <f>'Foglio deposito bis'!$F$48*IF(ABS(K87)&lt;'Sollecitazioni nel paramento'!$G$58,ABS(K87)*'Sollecitazioni nel paramento'!$G$54,'Sollecitazioni nel paramento'!$G$53)*IF(K87&lt;0,-1,1)</f>
        <v>0</v>
      </c>
      <c r="R87" s="545">
        <f>'Foglio deposito bis'!$F$49*IF(ABS(L87)&lt;'Sollecitazioni nel paramento'!$G$58,ABS(L87)*'Sollecitazioni nel paramento'!$G$54,'Sollecitazioni nel paramento'!$G$53)*IF(L87&lt;0,-1,1)</f>
        <v>204886.47740803001</v>
      </c>
      <c r="S87" s="545">
        <f>'Foglio deposito bis'!$F$50*IF(ABS(M87)&lt;'Sollecitazioni nel paramento'!$G$58,ABS(M87)*'Sollecitazioni nel paramento'!$G$54,'Sollecitazioni nel paramento'!$G$53)*IF(M87&lt;0,-1,1)</f>
        <v>0</v>
      </c>
      <c r="T87" s="545">
        <f>'Foglio deposito bis'!$F$51*IF(ABS(N87)&lt;'Sollecitazioni nel paramento'!$G$58,ABS(N87)*'Sollecitazioni nel paramento'!$G$54,'Sollecitazioni nel paramento'!$G$53)*IF(N87&lt;0,-1,1)</f>
        <v>240946.49743184328</v>
      </c>
      <c r="U87" s="545">
        <f>'Foglio deposito bis'!$F$52*IF(ABS(O87)&lt;'Sollecitazioni nel paramento'!$G$58,ABS(O87)*'Sollecitazioni nel paramento'!$G$54,'Sollecitazioni nel paramento'!$G$53)*IF(O87&lt;0,-1,1)</f>
        <v>240946.49743184328</v>
      </c>
      <c r="V87" s="472">
        <f t="shared" si="10"/>
        <v>180506.3413914807</v>
      </c>
      <c r="W87" s="551"/>
      <c r="X87" s="551"/>
    </row>
    <row r="88" spans="1:24" x14ac:dyDescent="0.25">
      <c r="A88" s="545">
        <f t="shared" si="9"/>
        <v>174332.27881977055</v>
      </c>
      <c r="B88" s="3">
        <f t="shared" si="11"/>
        <v>4.1499999999999932</v>
      </c>
      <c r="C88" s="545">
        <f>'Foglio deposito bis'!$E$153/$B$247*B88</f>
        <v>13.451116713965565</v>
      </c>
      <c r="D88" s="603">
        <f>-'Sollecitazioni nel paramento'!$G$47*'Sollecitazioni nel paramento'!$G$41*IF(DATI!$G$211="dx",DATI!$E$61,DATI!$E$64*DATI!$E$63)*1000*C88^2*sezione!$AD$5*(1-sezione!$AD$6)</f>
        <v>-4025504.4131778711</v>
      </c>
      <c r="E88" s="545">
        <f>-'Foglio deposito bis'!$F$48*(C88-sezione!$AL$27)*IF(ABS(K88)&lt;'Sollecitazioni nel paramento'!$G$58,ABS(K88)*'Sollecitazioni nel paramento'!$G$54,'Sollecitazioni nel paramento'!$G$53)</f>
        <v>0</v>
      </c>
      <c r="F88" s="545">
        <f>-'Foglio deposito bis'!$F$49*(C88-sezione!$AM$27)*IF(ABS(L88)&lt;'Sollecitazioni nel paramento'!$G$58,ABS(L88)*'Sollecitazioni nel paramento'!$G$54,'Sollecitazioni nel paramento'!$G$53)</f>
        <v>9537236.7237531208</v>
      </c>
      <c r="G88" s="545">
        <f>-'Foglio deposito bis'!$F$50*(C88-sezione!$AN$27)*IF(ABS(M88)&lt;'Sollecitazioni nel paramento'!$G$58,ABS(M88)*'Sollecitazioni nel paramento'!$G$54,'Sollecitazioni nel paramento'!$G$53)</f>
        <v>0</v>
      </c>
      <c r="H88" s="545">
        <f>-'Foglio deposito bis'!$F$51*(C88-sezione!$AO$27)*IF(ABS(N88)&lt;'Sollecitazioni nel paramento'!$G$58,ABS(N88)*'Sollecitazioni nel paramento'!$G$54,'Sollecitazioni nel paramento'!$G$53)</f>
        <v>35310440.130317993</v>
      </c>
      <c r="I88" s="472">
        <f>-'Foglio deposito bis'!$F$52*(C88-sezione!$AP$27)*IF(ABS(O88)&lt;'Sollecitazioni nel paramento'!$G$58,ABS(O88)*'Sollecitazioni nel paramento'!$G$54,'Sollecitazioni nel paramento'!$G$53)</f>
        <v>44834359.921928912</v>
      </c>
      <c r="J88" s="472">
        <f t="shared" si="8"/>
        <v>85656532.362822145</v>
      </c>
      <c r="K88" s="550">
        <f>'Sollecitazioni nel paramento'!$G$60*(sezione!$AL$27-C88)/C88</f>
        <v>6.9080577826408718E-3</v>
      </c>
      <c r="L88" s="550">
        <f>'Sollecitazioni nel paramento'!$G$60*(sezione!$AM$27-C88)/C88</f>
        <v>1.211208667396131E-2</v>
      </c>
      <c r="M88" s="551">
        <f>'Sollecitazioni nel paramento'!$G$60*(sezione!$AN$27-C88)/C88</f>
        <v>1.7316115565281745E-2</v>
      </c>
      <c r="N88" s="551">
        <f>'Sollecitazioni nel paramento'!$G$60*(sezione!$AO$27-C88)/C88</f>
        <v>3.8132231130563486E-2</v>
      </c>
      <c r="O88" s="551">
        <f>'Sollecitazioni nel paramento'!$G$60*(sezione!$AP$27-C88)/C88</f>
        <v>4.8417243422178471E-2</v>
      </c>
      <c r="P88" s="545">
        <f>-'Sollecitazioni nel paramento'!$G$47*'Sollecitazioni nel paramento'!$G$41*IF(DATI!$G$211="dx",DATI!$E$61,DATI!$E$64*DATI!$E$63)*1000*C88*sezione!$AD$5</f>
        <v>-512447.19345194602</v>
      </c>
      <c r="Q88" s="545">
        <f>'Foglio deposito bis'!$F$48*IF(ABS(K88)&lt;'Sollecitazioni nel paramento'!$G$58,ABS(K88)*'Sollecitazioni nel paramento'!$G$54,'Sollecitazioni nel paramento'!$G$53)*IF(K88&lt;0,-1,1)</f>
        <v>0</v>
      </c>
      <c r="R88" s="545">
        <f>'Foglio deposito bis'!$F$49*IF(ABS(L88)&lt;'Sollecitazioni nel paramento'!$G$58,ABS(L88)*'Sollecitazioni nel paramento'!$G$54,'Sollecitazioni nel paramento'!$G$53)*IF(L88&lt;0,-1,1)</f>
        <v>204886.47740803001</v>
      </c>
      <c r="S88" s="545">
        <f>'Foglio deposito bis'!$F$50*IF(ABS(M88)&lt;'Sollecitazioni nel paramento'!$G$58,ABS(M88)*'Sollecitazioni nel paramento'!$G$54,'Sollecitazioni nel paramento'!$G$53)*IF(M88&lt;0,-1,1)</f>
        <v>0</v>
      </c>
      <c r="T88" s="545">
        <f>'Foglio deposito bis'!$F$51*IF(ABS(N88)&lt;'Sollecitazioni nel paramento'!$G$58,ABS(N88)*'Sollecitazioni nel paramento'!$G$54,'Sollecitazioni nel paramento'!$G$53)*IF(N88&lt;0,-1,1)</f>
        <v>240946.49743184328</v>
      </c>
      <c r="U88" s="545">
        <f>'Foglio deposito bis'!$F$52*IF(ABS(O88)&lt;'Sollecitazioni nel paramento'!$G$58,ABS(O88)*'Sollecitazioni nel paramento'!$G$54,'Sollecitazioni nel paramento'!$G$53)*IF(O88&lt;0,-1,1)</f>
        <v>240946.49743184328</v>
      </c>
      <c r="V88" s="472">
        <f t="shared" si="10"/>
        <v>174332.27881977055</v>
      </c>
      <c r="W88" s="551"/>
      <c r="X88" s="551"/>
    </row>
    <row r="89" spans="1:24" x14ac:dyDescent="0.25">
      <c r="A89" s="545">
        <f t="shared" si="9"/>
        <v>168158.21624806034</v>
      </c>
      <c r="B89" s="3">
        <f t="shared" si="11"/>
        <v>4.1999999999999931</v>
      </c>
      <c r="C89" s="545">
        <f>'Foglio deposito bis'!$E$153/$B$247*B89</f>
        <v>13.613178361121777</v>
      </c>
      <c r="D89" s="603">
        <f>-'Sollecitazioni nel paramento'!$G$47*'Sollecitazioni nel paramento'!$G$41*IF(DATI!$G$211="dx",DATI!$E$61,DATI!$E$64*DATI!$E$63)*1000*C89^2*sezione!$AD$5*(1-sezione!$AD$6)</f>
        <v>-4123088.8575095171</v>
      </c>
      <c r="E89" s="545">
        <f>-'Foglio deposito bis'!$F$48*(C89-sezione!$AL$27)*IF(ABS(K89)&lt;'Sollecitazioni nel paramento'!$G$58,ABS(K89)*'Sollecitazioni nel paramento'!$G$54,'Sollecitazioni nel paramento'!$G$53)</f>
        <v>0</v>
      </c>
      <c r="F89" s="545">
        <f>-'Foglio deposito bis'!$F$49*(C89-sezione!$AM$27)*IF(ABS(L89)&lt;'Sollecitazioni nel paramento'!$G$58,ABS(L89)*'Sollecitazioni nel paramento'!$G$54,'Sollecitazioni nel paramento'!$G$53)</f>
        <v>9504032.4837443419</v>
      </c>
      <c r="G89" s="545">
        <f>-'Foglio deposito bis'!$F$50*(C89-sezione!$AN$27)*IF(ABS(M89)&lt;'Sollecitazioni nel paramento'!$G$58,ABS(M89)*'Sollecitazioni nel paramento'!$G$54,'Sollecitazioni nel paramento'!$G$53)</f>
        <v>0</v>
      </c>
      <c r="H89" s="545">
        <f>-'Foglio deposito bis'!$F$51*(C89-sezione!$AO$27)*IF(ABS(N89)&lt;'Sollecitazioni nel paramento'!$G$58,ABS(N89)*'Sollecitazioni nel paramento'!$G$54,'Sollecitazioni nel paramento'!$G$53)</f>
        <v>35271391.944067672</v>
      </c>
      <c r="I89" s="472">
        <f>-'Foglio deposito bis'!$F$52*(C89-sezione!$AP$27)*IF(ABS(O89)&lt;'Sollecitazioni nel paramento'!$G$58,ABS(O89)*'Sollecitazioni nel paramento'!$G$54,'Sollecitazioni nel paramento'!$G$53)</f>
        <v>44795311.735678583</v>
      </c>
      <c r="J89" s="472">
        <f t="shared" si="8"/>
        <v>85447647.30598107</v>
      </c>
      <c r="K89" s="550">
        <f>'Sollecitazioni nel paramento'!$G$60*(sezione!$AL$27-C89)/C89</f>
        <v>6.7841523328475272E-3</v>
      </c>
      <c r="L89" s="550">
        <f>'Sollecitazioni nel paramento'!$G$60*(sezione!$AM$27-C89)/C89</f>
        <v>1.1926228499271291E-2</v>
      </c>
      <c r="M89" s="551">
        <f>'Sollecitazioni nel paramento'!$G$60*(sezione!$AN$27-C89)/C89</f>
        <v>1.7068304665695054E-2</v>
      </c>
      <c r="N89" s="551">
        <f>'Sollecitazioni nel paramento'!$G$60*(sezione!$AO$27-C89)/C89</f>
        <v>3.7636609331390104E-2</v>
      </c>
      <c r="O89" s="551">
        <f>'Sollecitazioni nel paramento'!$G$60*(sezione!$AP$27-C89)/C89</f>
        <v>4.7799181000485857E-2</v>
      </c>
      <c r="P89" s="545">
        <f>-'Sollecitazioni nel paramento'!$G$47*'Sollecitazioni nel paramento'!$G$41*IF(DATI!$G$211="dx",DATI!$E$61,DATI!$E$64*DATI!$E$63)*1000*C89*sezione!$AD$5</f>
        <v>-518621.25602365623</v>
      </c>
      <c r="Q89" s="545">
        <f>'Foglio deposito bis'!$F$48*IF(ABS(K89)&lt;'Sollecitazioni nel paramento'!$G$58,ABS(K89)*'Sollecitazioni nel paramento'!$G$54,'Sollecitazioni nel paramento'!$G$53)*IF(K89&lt;0,-1,1)</f>
        <v>0</v>
      </c>
      <c r="R89" s="545">
        <f>'Foglio deposito bis'!$F$49*IF(ABS(L89)&lt;'Sollecitazioni nel paramento'!$G$58,ABS(L89)*'Sollecitazioni nel paramento'!$G$54,'Sollecitazioni nel paramento'!$G$53)*IF(L89&lt;0,-1,1)</f>
        <v>204886.47740803001</v>
      </c>
      <c r="S89" s="545">
        <f>'Foglio deposito bis'!$F$50*IF(ABS(M89)&lt;'Sollecitazioni nel paramento'!$G$58,ABS(M89)*'Sollecitazioni nel paramento'!$G$54,'Sollecitazioni nel paramento'!$G$53)*IF(M89&lt;0,-1,1)</f>
        <v>0</v>
      </c>
      <c r="T89" s="545">
        <f>'Foglio deposito bis'!$F$51*IF(ABS(N89)&lt;'Sollecitazioni nel paramento'!$G$58,ABS(N89)*'Sollecitazioni nel paramento'!$G$54,'Sollecitazioni nel paramento'!$G$53)*IF(N89&lt;0,-1,1)</f>
        <v>240946.49743184328</v>
      </c>
      <c r="U89" s="545">
        <f>'Foglio deposito bis'!$F$52*IF(ABS(O89)&lt;'Sollecitazioni nel paramento'!$G$58,ABS(O89)*'Sollecitazioni nel paramento'!$G$54,'Sollecitazioni nel paramento'!$G$53)*IF(O89&lt;0,-1,1)</f>
        <v>240946.49743184328</v>
      </c>
      <c r="V89" s="472">
        <f t="shared" si="10"/>
        <v>168158.21624806034</v>
      </c>
      <c r="W89" s="551"/>
      <c r="X89" s="551"/>
    </row>
    <row r="90" spans="1:24" x14ac:dyDescent="0.25">
      <c r="A90" s="545">
        <f t="shared" si="9"/>
        <v>161984.15367635014</v>
      </c>
      <c r="B90" s="3">
        <f t="shared" si="11"/>
        <v>4.2499999999999929</v>
      </c>
      <c r="C90" s="545">
        <f>'Foglio deposito bis'!$E$153/$B$247*B90</f>
        <v>13.775240008277988</v>
      </c>
      <c r="D90" s="603">
        <f>-'Sollecitazioni nel paramento'!$G$47*'Sollecitazioni nel paramento'!$G$41*IF(DATI!$G$211="dx",DATI!$E$61,DATI!$E$64*DATI!$E$63)*1000*C90^2*sezione!$AD$5*(1-sezione!$AD$6)</f>
        <v>-4221841.9778211806</v>
      </c>
      <c r="E90" s="545">
        <f>-'Foglio deposito bis'!$F$48*(C90-sezione!$AL$27)*IF(ABS(K90)&lt;'Sollecitazioni nel paramento'!$G$58,ABS(K90)*'Sollecitazioni nel paramento'!$G$54,'Sollecitazioni nel paramento'!$G$53)</f>
        <v>0</v>
      </c>
      <c r="F90" s="545">
        <f>-'Foglio deposito bis'!$F$49*(C90-sezione!$AM$27)*IF(ABS(L90)&lt;'Sollecitazioni nel paramento'!$G$58,ABS(L90)*'Sollecitazioni nel paramento'!$G$54,'Sollecitazioni nel paramento'!$G$53)</f>
        <v>9470828.2437355611</v>
      </c>
      <c r="G90" s="545">
        <f>-'Foglio deposito bis'!$F$50*(C90-sezione!$AN$27)*IF(ABS(M90)&lt;'Sollecitazioni nel paramento'!$G$58,ABS(M90)*'Sollecitazioni nel paramento'!$G$54,'Sollecitazioni nel paramento'!$G$53)</f>
        <v>0</v>
      </c>
      <c r="H90" s="545">
        <f>-'Foglio deposito bis'!$F$51*(C90-sezione!$AO$27)*IF(ABS(N90)&lt;'Sollecitazioni nel paramento'!$G$58,ABS(N90)*'Sollecitazioni nel paramento'!$G$54,'Sollecitazioni nel paramento'!$G$53)</f>
        <v>35232343.757817343</v>
      </c>
      <c r="I90" s="472">
        <f>-'Foglio deposito bis'!$F$52*(C90-sezione!$AP$27)*IF(ABS(O90)&lt;'Sollecitazioni nel paramento'!$G$58,ABS(O90)*'Sollecitazioni nel paramento'!$G$54,'Sollecitazioni nel paramento'!$G$53)</f>
        <v>44756263.549428262</v>
      </c>
      <c r="J90" s="472">
        <f t="shared" si="8"/>
        <v>85237593.573159993</v>
      </c>
      <c r="K90" s="550">
        <f>'Sollecitazioni nel paramento'!$G$60*(sezione!$AL$27-C90)/C90</f>
        <v>6.6631623054022628E-3</v>
      </c>
      <c r="L90" s="550">
        <f>'Sollecitazioni nel paramento'!$G$60*(sezione!$AM$27-C90)/C90</f>
        <v>1.1744743458103394E-2</v>
      </c>
      <c r="M90" s="551">
        <f>'Sollecitazioni nel paramento'!$G$60*(sezione!$AN$27-C90)/C90</f>
        <v>1.6826324610804525E-2</v>
      </c>
      <c r="N90" s="551">
        <f>'Sollecitazioni nel paramento'!$G$60*(sezione!$AO$27-C90)/C90</f>
        <v>3.7152649221609046E-2</v>
      </c>
      <c r="O90" s="551">
        <f>'Sollecitazioni nel paramento'!$G$60*(sezione!$AP$27-C90)/C90</f>
        <v>4.7195661224009561E-2</v>
      </c>
      <c r="P90" s="545">
        <f>-'Sollecitazioni nel paramento'!$G$47*'Sollecitazioni nel paramento'!$G$41*IF(DATI!$G$211="dx",DATI!$E$61,DATI!$E$64*DATI!$E$63)*1000*C90*sezione!$AD$5</f>
        <v>-524795.31859536644</v>
      </c>
      <c r="Q90" s="545">
        <f>'Foglio deposito bis'!$F$48*IF(ABS(K90)&lt;'Sollecitazioni nel paramento'!$G$58,ABS(K90)*'Sollecitazioni nel paramento'!$G$54,'Sollecitazioni nel paramento'!$G$53)*IF(K90&lt;0,-1,1)</f>
        <v>0</v>
      </c>
      <c r="R90" s="545">
        <f>'Foglio deposito bis'!$F$49*IF(ABS(L90)&lt;'Sollecitazioni nel paramento'!$G$58,ABS(L90)*'Sollecitazioni nel paramento'!$G$54,'Sollecitazioni nel paramento'!$G$53)*IF(L90&lt;0,-1,1)</f>
        <v>204886.47740803001</v>
      </c>
      <c r="S90" s="545">
        <f>'Foglio deposito bis'!$F$50*IF(ABS(M90)&lt;'Sollecitazioni nel paramento'!$G$58,ABS(M90)*'Sollecitazioni nel paramento'!$G$54,'Sollecitazioni nel paramento'!$G$53)*IF(M90&lt;0,-1,1)</f>
        <v>0</v>
      </c>
      <c r="T90" s="545">
        <f>'Foglio deposito bis'!$F$51*IF(ABS(N90)&lt;'Sollecitazioni nel paramento'!$G$58,ABS(N90)*'Sollecitazioni nel paramento'!$G$54,'Sollecitazioni nel paramento'!$G$53)*IF(N90&lt;0,-1,1)</f>
        <v>240946.49743184328</v>
      </c>
      <c r="U90" s="545">
        <f>'Foglio deposito bis'!$F$52*IF(ABS(O90)&lt;'Sollecitazioni nel paramento'!$G$58,ABS(O90)*'Sollecitazioni nel paramento'!$G$54,'Sollecitazioni nel paramento'!$G$53)*IF(O90&lt;0,-1,1)</f>
        <v>240946.49743184328</v>
      </c>
      <c r="V90" s="472">
        <f t="shared" si="10"/>
        <v>161984.15367635014</v>
      </c>
      <c r="W90" s="551"/>
      <c r="X90" s="551"/>
    </row>
    <row r="91" spans="1:24" x14ac:dyDescent="0.25">
      <c r="A91" s="545">
        <f t="shared" si="9"/>
        <v>155810.09110464004</v>
      </c>
      <c r="B91" s="3">
        <f t="shared" si="11"/>
        <v>4.2999999999999927</v>
      </c>
      <c r="C91" s="545">
        <f>'Foglio deposito bis'!$E$153/$B$247*B91</f>
        <v>13.937301655434199</v>
      </c>
      <c r="D91" s="603">
        <f>-'Sollecitazioni nel paramento'!$G$47*'Sollecitazioni nel paramento'!$G$41*IF(DATI!$G$211="dx",DATI!$E$61,DATI!$E$64*DATI!$E$63)*1000*C91^2*sezione!$AD$5*(1-sezione!$AD$6)</f>
        <v>-4321763.7741128653</v>
      </c>
      <c r="E91" s="545">
        <f>-'Foglio deposito bis'!$F$48*(C91-sezione!$AL$27)*IF(ABS(K91)&lt;'Sollecitazioni nel paramento'!$G$58,ABS(K91)*'Sollecitazioni nel paramento'!$G$54,'Sollecitazioni nel paramento'!$G$53)</f>
        <v>0</v>
      </c>
      <c r="F91" s="545">
        <f>-'Foglio deposito bis'!$F$49*(C91-sezione!$AM$27)*IF(ABS(L91)&lt;'Sollecitazioni nel paramento'!$G$58,ABS(L91)*'Sollecitazioni nel paramento'!$G$54,'Sollecitazioni nel paramento'!$G$53)</f>
        <v>9437624.0037267823</v>
      </c>
      <c r="G91" s="545">
        <f>-'Foglio deposito bis'!$F$50*(C91-sezione!$AN$27)*IF(ABS(M91)&lt;'Sollecitazioni nel paramento'!$G$58,ABS(M91)*'Sollecitazioni nel paramento'!$G$54,'Sollecitazioni nel paramento'!$G$53)</f>
        <v>0</v>
      </c>
      <c r="H91" s="545">
        <f>-'Foglio deposito bis'!$F$51*(C91-sezione!$AO$27)*IF(ABS(N91)&lt;'Sollecitazioni nel paramento'!$G$58,ABS(N91)*'Sollecitazioni nel paramento'!$G$54,'Sollecitazioni nel paramento'!$G$53)</f>
        <v>35193295.571567021</v>
      </c>
      <c r="I91" s="472">
        <f>-'Foglio deposito bis'!$F$52*(C91-sezione!$AP$27)*IF(ABS(O91)&lt;'Sollecitazioni nel paramento'!$G$58,ABS(O91)*'Sollecitazioni nel paramento'!$G$54,'Sollecitazioni nel paramento'!$G$53)</f>
        <v>44717215.36317794</v>
      </c>
      <c r="J91" s="472">
        <f t="shared" si="8"/>
        <v>85026371.164358884</v>
      </c>
      <c r="K91" s="550">
        <f>'Sollecitazioni nel paramento'!$G$60*(sezione!$AL$27-C91)/C91</f>
        <v>6.5449859995254933E-3</v>
      </c>
      <c r="L91" s="550">
        <f>'Sollecitazioni nel paramento'!$G$60*(sezione!$AM$27-C91)/C91</f>
        <v>1.156747899928824E-2</v>
      </c>
      <c r="M91" s="551">
        <f>'Sollecitazioni nel paramento'!$G$60*(sezione!$AN$27-C91)/C91</f>
        <v>1.6589971999050986E-2</v>
      </c>
      <c r="N91" s="551">
        <f>'Sollecitazioni nel paramento'!$G$60*(sezione!$AO$27-C91)/C91</f>
        <v>3.6679943998101969E-2</v>
      </c>
      <c r="O91" s="551">
        <f>'Sollecitazioni nel paramento'!$G$60*(sezione!$AP$27-C91)/C91</f>
        <v>4.6606176791172245E-2</v>
      </c>
      <c r="P91" s="545">
        <f>-'Sollecitazioni nel paramento'!$G$47*'Sollecitazioni nel paramento'!$G$41*IF(DATI!$G$211="dx",DATI!$E$61,DATI!$E$64*DATI!$E$63)*1000*C91*sezione!$AD$5</f>
        <v>-530969.38116707653</v>
      </c>
      <c r="Q91" s="545">
        <f>'Foglio deposito bis'!$F$48*IF(ABS(K91)&lt;'Sollecitazioni nel paramento'!$G$58,ABS(K91)*'Sollecitazioni nel paramento'!$G$54,'Sollecitazioni nel paramento'!$G$53)*IF(K91&lt;0,-1,1)</f>
        <v>0</v>
      </c>
      <c r="R91" s="545">
        <f>'Foglio deposito bis'!$F$49*IF(ABS(L91)&lt;'Sollecitazioni nel paramento'!$G$58,ABS(L91)*'Sollecitazioni nel paramento'!$G$54,'Sollecitazioni nel paramento'!$G$53)*IF(L91&lt;0,-1,1)</f>
        <v>204886.47740803001</v>
      </c>
      <c r="S91" s="545">
        <f>'Foglio deposito bis'!$F$50*IF(ABS(M91)&lt;'Sollecitazioni nel paramento'!$G$58,ABS(M91)*'Sollecitazioni nel paramento'!$G$54,'Sollecitazioni nel paramento'!$G$53)*IF(M91&lt;0,-1,1)</f>
        <v>0</v>
      </c>
      <c r="T91" s="545">
        <f>'Foglio deposito bis'!$F$51*IF(ABS(N91)&lt;'Sollecitazioni nel paramento'!$G$58,ABS(N91)*'Sollecitazioni nel paramento'!$G$54,'Sollecitazioni nel paramento'!$G$53)*IF(N91&lt;0,-1,1)</f>
        <v>240946.49743184328</v>
      </c>
      <c r="U91" s="545">
        <f>'Foglio deposito bis'!$F$52*IF(ABS(O91)&lt;'Sollecitazioni nel paramento'!$G$58,ABS(O91)*'Sollecitazioni nel paramento'!$G$54,'Sollecitazioni nel paramento'!$G$53)*IF(O91&lt;0,-1,1)</f>
        <v>240946.49743184328</v>
      </c>
      <c r="V91" s="472">
        <f t="shared" si="10"/>
        <v>155810.09110464004</v>
      </c>
      <c r="W91" s="551"/>
      <c r="X91" s="551"/>
    </row>
    <row r="92" spans="1:24" x14ac:dyDescent="0.25">
      <c r="A92" s="545">
        <f t="shared" si="9"/>
        <v>149636.02853292983</v>
      </c>
      <c r="B92" s="3">
        <f t="shared" si="11"/>
        <v>4.3499999999999925</v>
      </c>
      <c r="C92" s="545">
        <f>'Foglio deposito bis'!$E$153/$B$247*B92</f>
        <v>14.09936330259041</v>
      </c>
      <c r="D92" s="603">
        <f>-'Sollecitazioni nel paramento'!$G$47*'Sollecitazioni nel paramento'!$G$41*IF(DATI!$G$211="dx",DATI!$E$61,DATI!$E$64*DATI!$E$63)*1000*C92^2*sezione!$AD$5*(1-sezione!$AD$6)</f>
        <v>-4422854.2463845694</v>
      </c>
      <c r="E92" s="545">
        <f>-'Foglio deposito bis'!$F$48*(C92-sezione!$AL$27)*IF(ABS(K92)&lt;'Sollecitazioni nel paramento'!$G$58,ABS(K92)*'Sollecitazioni nel paramento'!$G$54,'Sollecitazioni nel paramento'!$G$53)</f>
        <v>0</v>
      </c>
      <c r="F92" s="545">
        <f>-'Foglio deposito bis'!$F$49*(C92-sezione!$AM$27)*IF(ABS(L92)&lt;'Sollecitazioni nel paramento'!$G$58,ABS(L92)*'Sollecitazioni nel paramento'!$G$54,'Sollecitazioni nel paramento'!$G$53)</f>
        <v>9404419.7637180034</v>
      </c>
      <c r="G92" s="545">
        <f>-'Foglio deposito bis'!$F$50*(C92-sezione!$AN$27)*IF(ABS(M92)&lt;'Sollecitazioni nel paramento'!$G$58,ABS(M92)*'Sollecitazioni nel paramento'!$G$54,'Sollecitazioni nel paramento'!$G$53)</f>
        <v>0</v>
      </c>
      <c r="H92" s="545">
        <f>-'Foglio deposito bis'!$F$51*(C92-sezione!$AO$27)*IF(ABS(N92)&lt;'Sollecitazioni nel paramento'!$G$58,ABS(N92)*'Sollecitazioni nel paramento'!$G$54,'Sollecitazioni nel paramento'!$G$53)</f>
        <v>35154247.3853167</v>
      </c>
      <c r="I92" s="472">
        <f>-'Foglio deposito bis'!$F$52*(C92-sezione!$AP$27)*IF(ABS(O92)&lt;'Sollecitazioni nel paramento'!$G$58,ABS(O92)*'Sollecitazioni nel paramento'!$G$54,'Sollecitazioni nel paramento'!$G$53)</f>
        <v>44678167.176927619</v>
      </c>
      <c r="J92" s="472">
        <f t="shared" si="8"/>
        <v>84813980.079577744</v>
      </c>
      <c r="K92" s="550">
        <f>'Sollecitazioni nel paramento'!$G$60*(sezione!$AL$27-C92)/C92</f>
        <v>6.4295263903355439E-3</v>
      </c>
      <c r="L92" s="550">
        <f>'Sollecitazioni nel paramento'!$G$60*(sezione!$AM$27-C92)/C92</f>
        <v>1.1394289585503318E-2</v>
      </c>
      <c r="M92" s="551">
        <f>'Sollecitazioni nel paramento'!$G$60*(sezione!$AN$27-C92)/C92</f>
        <v>1.6359052780671093E-2</v>
      </c>
      <c r="N92" s="551">
        <f>'Sollecitazioni nel paramento'!$G$60*(sezione!$AO$27-C92)/C92</f>
        <v>3.6218105561342182E-2</v>
      </c>
      <c r="O92" s="551">
        <f>'Sollecitazioni nel paramento'!$G$60*(sezione!$AP$27-C92)/C92</f>
        <v>4.6030243724607053E-2</v>
      </c>
      <c r="P92" s="545">
        <f>-'Sollecitazioni nel paramento'!$G$47*'Sollecitazioni nel paramento'!$G$41*IF(DATI!$G$211="dx",DATI!$E$61,DATI!$E$64*DATI!$E$63)*1000*C92*sezione!$AD$5</f>
        <v>-537143.44373878674</v>
      </c>
      <c r="Q92" s="545">
        <f>'Foglio deposito bis'!$F$48*IF(ABS(K92)&lt;'Sollecitazioni nel paramento'!$G$58,ABS(K92)*'Sollecitazioni nel paramento'!$G$54,'Sollecitazioni nel paramento'!$G$53)*IF(K92&lt;0,-1,1)</f>
        <v>0</v>
      </c>
      <c r="R92" s="545">
        <f>'Foglio deposito bis'!$F$49*IF(ABS(L92)&lt;'Sollecitazioni nel paramento'!$G$58,ABS(L92)*'Sollecitazioni nel paramento'!$G$54,'Sollecitazioni nel paramento'!$G$53)*IF(L92&lt;0,-1,1)</f>
        <v>204886.47740803001</v>
      </c>
      <c r="S92" s="545">
        <f>'Foglio deposito bis'!$F$50*IF(ABS(M92)&lt;'Sollecitazioni nel paramento'!$G$58,ABS(M92)*'Sollecitazioni nel paramento'!$G$54,'Sollecitazioni nel paramento'!$G$53)*IF(M92&lt;0,-1,1)</f>
        <v>0</v>
      </c>
      <c r="T92" s="545">
        <f>'Foglio deposito bis'!$F$51*IF(ABS(N92)&lt;'Sollecitazioni nel paramento'!$G$58,ABS(N92)*'Sollecitazioni nel paramento'!$G$54,'Sollecitazioni nel paramento'!$G$53)*IF(N92&lt;0,-1,1)</f>
        <v>240946.49743184328</v>
      </c>
      <c r="U92" s="545">
        <f>'Foglio deposito bis'!$F$52*IF(ABS(O92)&lt;'Sollecitazioni nel paramento'!$G$58,ABS(O92)*'Sollecitazioni nel paramento'!$G$54,'Sollecitazioni nel paramento'!$G$53)*IF(O92&lt;0,-1,1)</f>
        <v>240946.49743184328</v>
      </c>
      <c r="V92" s="472">
        <f t="shared" si="10"/>
        <v>149636.02853292983</v>
      </c>
      <c r="W92" s="551"/>
      <c r="X92" s="551"/>
    </row>
    <row r="93" spans="1:24" x14ac:dyDescent="0.25">
      <c r="A93" s="545">
        <f t="shared" si="9"/>
        <v>143461.96596121963</v>
      </c>
      <c r="B93" s="3">
        <f t="shared" si="11"/>
        <v>4.3999999999999924</v>
      </c>
      <c r="C93" s="545">
        <f>'Foglio deposito bis'!$E$153/$B$247*B93</f>
        <v>14.261424949746623</v>
      </c>
      <c r="D93" s="603">
        <f>-'Sollecitazioni nel paramento'!$G$47*'Sollecitazioni nel paramento'!$G$41*IF(DATI!$G$211="dx",DATI!$E$61,DATI!$E$64*DATI!$E$63)*1000*C93^2*sezione!$AD$5*(1-sezione!$AD$6)</f>
        <v>-4525113.3946362939</v>
      </c>
      <c r="E93" s="545">
        <f>-'Foglio deposito bis'!$F$48*(C93-sezione!$AL$27)*IF(ABS(K93)&lt;'Sollecitazioni nel paramento'!$G$58,ABS(K93)*'Sollecitazioni nel paramento'!$G$54,'Sollecitazioni nel paramento'!$G$53)</f>
        <v>0</v>
      </c>
      <c r="F93" s="545">
        <f>-'Foglio deposito bis'!$F$49*(C93-sezione!$AM$27)*IF(ABS(L93)&lt;'Sollecitazioni nel paramento'!$G$58,ABS(L93)*'Sollecitazioni nel paramento'!$G$54,'Sollecitazioni nel paramento'!$G$53)</f>
        <v>9371215.5237092227</v>
      </c>
      <c r="G93" s="545">
        <f>-'Foglio deposito bis'!$F$50*(C93-sezione!$AN$27)*IF(ABS(M93)&lt;'Sollecitazioni nel paramento'!$G$58,ABS(M93)*'Sollecitazioni nel paramento'!$G$54,'Sollecitazioni nel paramento'!$G$53)</f>
        <v>0</v>
      </c>
      <c r="H93" s="545">
        <f>-'Foglio deposito bis'!$F$51*(C93-sezione!$AO$27)*IF(ABS(N93)&lt;'Sollecitazioni nel paramento'!$G$58,ABS(N93)*'Sollecitazioni nel paramento'!$G$54,'Sollecitazioni nel paramento'!$G$53)</f>
        <v>35115199.199066378</v>
      </c>
      <c r="I93" s="472">
        <f>-'Foglio deposito bis'!$F$52*(C93-sezione!$AP$27)*IF(ABS(O93)&lt;'Sollecitazioni nel paramento'!$G$58,ABS(O93)*'Sollecitazioni nel paramento'!$G$54,'Sollecitazioni nel paramento'!$G$53)</f>
        <v>44639118.99067729</v>
      </c>
      <c r="J93" s="472">
        <f t="shared" si="8"/>
        <v>84600420.318816602</v>
      </c>
      <c r="K93" s="550">
        <f>'Sollecitazioni nel paramento'!$G$60*(sezione!$AL$27-C93)/C93</f>
        <v>6.3166908631726408E-3</v>
      </c>
      <c r="L93" s="550">
        <f>'Sollecitazioni nel paramento'!$G$60*(sezione!$AM$27-C93)/C93</f>
        <v>1.1225036294758959E-2</v>
      </c>
      <c r="M93" s="551">
        <f>'Sollecitazioni nel paramento'!$G$60*(sezione!$AN$27-C93)/C93</f>
        <v>1.6133381726345281E-2</v>
      </c>
      <c r="N93" s="551">
        <f>'Sollecitazioni nel paramento'!$G$60*(sezione!$AO$27-C93)/C93</f>
        <v>3.5766763452690566E-2</v>
      </c>
      <c r="O93" s="551">
        <f>'Sollecitazioni nel paramento'!$G$60*(sezione!$AP$27-C93)/C93</f>
        <v>4.546740004591833E-2</v>
      </c>
      <c r="P93" s="545">
        <f>-'Sollecitazioni nel paramento'!$G$47*'Sollecitazioni nel paramento'!$G$41*IF(DATI!$G$211="dx",DATI!$E$61,DATI!$E$64*DATI!$E$63)*1000*C93*sezione!$AD$5</f>
        <v>-543317.50631049694</v>
      </c>
      <c r="Q93" s="545">
        <f>'Foglio deposito bis'!$F$48*IF(ABS(K93)&lt;'Sollecitazioni nel paramento'!$G$58,ABS(K93)*'Sollecitazioni nel paramento'!$G$54,'Sollecitazioni nel paramento'!$G$53)*IF(K93&lt;0,-1,1)</f>
        <v>0</v>
      </c>
      <c r="R93" s="545">
        <f>'Foglio deposito bis'!$F$49*IF(ABS(L93)&lt;'Sollecitazioni nel paramento'!$G$58,ABS(L93)*'Sollecitazioni nel paramento'!$G$54,'Sollecitazioni nel paramento'!$G$53)*IF(L93&lt;0,-1,1)</f>
        <v>204886.47740803001</v>
      </c>
      <c r="S93" s="545">
        <f>'Foglio deposito bis'!$F$50*IF(ABS(M93)&lt;'Sollecitazioni nel paramento'!$G$58,ABS(M93)*'Sollecitazioni nel paramento'!$G$54,'Sollecitazioni nel paramento'!$G$53)*IF(M93&lt;0,-1,1)</f>
        <v>0</v>
      </c>
      <c r="T93" s="545">
        <f>'Foglio deposito bis'!$F$51*IF(ABS(N93)&lt;'Sollecitazioni nel paramento'!$G$58,ABS(N93)*'Sollecitazioni nel paramento'!$G$54,'Sollecitazioni nel paramento'!$G$53)*IF(N93&lt;0,-1,1)</f>
        <v>240946.49743184328</v>
      </c>
      <c r="U93" s="545">
        <f>'Foglio deposito bis'!$F$52*IF(ABS(O93)&lt;'Sollecitazioni nel paramento'!$G$58,ABS(O93)*'Sollecitazioni nel paramento'!$G$54,'Sollecitazioni nel paramento'!$G$53)*IF(O93&lt;0,-1,1)</f>
        <v>240946.49743184328</v>
      </c>
      <c r="V93" s="472">
        <f t="shared" si="10"/>
        <v>143461.96596121963</v>
      </c>
      <c r="W93" s="551"/>
      <c r="X93" s="551"/>
    </row>
    <row r="94" spans="1:24" x14ac:dyDescent="0.25">
      <c r="A94" s="545">
        <f t="shared" si="9"/>
        <v>137287.90338950942</v>
      </c>
      <c r="B94" s="3">
        <f t="shared" si="11"/>
        <v>4.4499999999999922</v>
      </c>
      <c r="C94" s="545">
        <f>'Foglio deposito bis'!$E$153/$B$247*B94</f>
        <v>14.423486596902833</v>
      </c>
      <c r="D94" s="603">
        <f>-'Sollecitazioni nel paramento'!$G$47*'Sollecitazioni nel paramento'!$G$41*IF(DATI!$G$211="dx",DATI!$E$61,DATI!$E$64*DATI!$E$63)*1000*C94^2*sezione!$AD$5*(1-sezione!$AD$6)</f>
        <v>-4628541.2188680368</v>
      </c>
      <c r="E94" s="545">
        <f>-'Foglio deposito bis'!$F$48*(C94-sezione!$AL$27)*IF(ABS(K94)&lt;'Sollecitazioni nel paramento'!$G$58,ABS(K94)*'Sollecitazioni nel paramento'!$G$54,'Sollecitazioni nel paramento'!$G$53)</f>
        <v>0</v>
      </c>
      <c r="F94" s="545">
        <f>-'Foglio deposito bis'!$F$49*(C94-sezione!$AM$27)*IF(ABS(L94)&lt;'Sollecitazioni nel paramento'!$G$58,ABS(L94)*'Sollecitazioni nel paramento'!$G$54,'Sollecitazioni nel paramento'!$G$53)</f>
        <v>9338011.2837004457</v>
      </c>
      <c r="G94" s="545">
        <f>-'Foglio deposito bis'!$F$50*(C94-sezione!$AN$27)*IF(ABS(M94)&lt;'Sollecitazioni nel paramento'!$G$58,ABS(M94)*'Sollecitazioni nel paramento'!$G$54,'Sollecitazioni nel paramento'!$G$53)</f>
        <v>0</v>
      </c>
      <c r="H94" s="545">
        <f>-'Foglio deposito bis'!$F$51*(C94-sezione!$AO$27)*IF(ABS(N94)&lt;'Sollecitazioni nel paramento'!$G$58,ABS(N94)*'Sollecitazioni nel paramento'!$G$54,'Sollecitazioni nel paramento'!$G$53)</f>
        <v>35076151.012816049</v>
      </c>
      <c r="I94" s="472">
        <f>-'Foglio deposito bis'!$F$52*(C94-sezione!$AP$27)*IF(ABS(O94)&lt;'Sollecitazioni nel paramento'!$G$58,ABS(O94)*'Sollecitazioni nel paramento'!$G$54,'Sollecitazioni nel paramento'!$G$53)</f>
        <v>44600070.804426961</v>
      </c>
      <c r="J94" s="472">
        <f t="shared" si="8"/>
        <v>84385691.882075429</v>
      </c>
      <c r="K94" s="550">
        <f>'Sollecitazioni nel paramento'!$G$60*(sezione!$AL$27-C94)/C94</f>
        <v>6.2063909658336223E-3</v>
      </c>
      <c r="L94" s="550">
        <f>'Sollecitazioni nel paramento'!$G$60*(sezione!$AM$27-C94)/C94</f>
        <v>1.1059586448750434E-2</v>
      </c>
      <c r="M94" s="551">
        <f>'Sollecitazioni nel paramento'!$G$60*(sezione!$AN$27-C94)/C94</f>
        <v>1.5912781931667244E-2</v>
      </c>
      <c r="N94" s="551">
        <f>'Sollecitazioni nel paramento'!$G$60*(sezione!$AO$27-C94)/C94</f>
        <v>3.5325563863334491E-2</v>
      </c>
      <c r="O94" s="551">
        <f>'Sollecitazioni nel paramento'!$G$60*(sezione!$AP$27-C94)/C94</f>
        <v>4.4917204539784414E-2</v>
      </c>
      <c r="P94" s="545">
        <f>-'Sollecitazioni nel paramento'!$G$47*'Sollecitazioni nel paramento'!$G$41*IF(DATI!$G$211="dx",DATI!$E$61,DATI!$E$64*DATI!$E$63)*1000*C94*sezione!$AD$5</f>
        <v>-549491.56888220715</v>
      </c>
      <c r="Q94" s="545">
        <f>'Foglio deposito bis'!$F$48*IF(ABS(K94)&lt;'Sollecitazioni nel paramento'!$G$58,ABS(K94)*'Sollecitazioni nel paramento'!$G$54,'Sollecitazioni nel paramento'!$G$53)*IF(K94&lt;0,-1,1)</f>
        <v>0</v>
      </c>
      <c r="R94" s="545">
        <f>'Foglio deposito bis'!$F$49*IF(ABS(L94)&lt;'Sollecitazioni nel paramento'!$G$58,ABS(L94)*'Sollecitazioni nel paramento'!$G$54,'Sollecitazioni nel paramento'!$G$53)*IF(L94&lt;0,-1,1)</f>
        <v>204886.47740803001</v>
      </c>
      <c r="S94" s="545">
        <f>'Foglio deposito bis'!$F$50*IF(ABS(M94)&lt;'Sollecitazioni nel paramento'!$G$58,ABS(M94)*'Sollecitazioni nel paramento'!$G$54,'Sollecitazioni nel paramento'!$G$53)*IF(M94&lt;0,-1,1)</f>
        <v>0</v>
      </c>
      <c r="T94" s="545">
        <f>'Foglio deposito bis'!$F$51*IF(ABS(N94)&lt;'Sollecitazioni nel paramento'!$G$58,ABS(N94)*'Sollecitazioni nel paramento'!$G$54,'Sollecitazioni nel paramento'!$G$53)*IF(N94&lt;0,-1,1)</f>
        <v>240946.49743184328</v>
      </c>
      <c r="U94" s="545">
        <f>'Foglio deposito bis'!$F$52*IF(ABS(O94)&lt;'Sollecitazioni nel paramento'!$G$58,ABS(O94)*'Sollecitazioni nel paramento'!$G$54,'Sollecitazioni nel paramento'!$G$53)*IF(O94&lt;0,-1,1)</f>
        <v>240946.49743184328</v>
      </c>
      <c r="V94" s="472">
        <f t="shared" si="10"/>
        <v>137287.90338950942</v>
      </c>
      <c r="W94" s="551"/>
      <c r="X94" s="551"/>
    </row>
    <row r="95" spans="1:24" x14ac:dyDescent="0.25">
      <c r="A95" s="545">
        <f t="shared" si="9"/>
        <v>131113.84081779921</v>
      </c>
      <c r="B95" s="3">
        <f t="shared" si="11"/>
        <v>4.499999999999992</v>
      </c>
      <c r="C95" s="545">
        <f>'Foglio deposito bis'!$E$153/$B$247*B95</f>
        <v>14.585548244059044</v>
      </c>
      <c r="D95" s="603">
        <f>-'Sollecitazioni nel paramento'!$G$47*'Sollecitazioni nel paramento'!$G$41*IF(DATI!$G$211="dx",DATI!$E$61,DATI!$E$64*DATI!$E$63)*1000*C95^2*sezione!$AD$5*(1-sezione!$AD$6)</f>
        <v>-4733137.7190798009</v>
      </c>
      <c r="E95" s="545">
        <f>-'Foglio deposito bis'!$F$48*(C95-sezione!$AL$27)*IF(ABS(K95)&lt;'Sollecitazioni nel paramento'!$G$58,ABS(K95)*'Sollecitazioni nel paramento'!$G$54,'Sollecitazioni nel paramento'!$G$53)</f>
        <v>0</v>
      </c>
      <c r="F95" s="545">
        <f>-'Foglio deposito bis'!$F$49*(C95-sezione!$AM$27)*IF(ABS(L95)&lt;'Sollecitazioni nel paramento'!$G$58,ABS(L95)*'Sollecitazioni nel paramento'!$G$54,'Sollecitazioni nel paramento'!$G$53)</f>
        <v>9304807.0436916668</v>
      </c>
      <c r="G95" s="545">
        <f>-'Foglio deposito bis'!$F$50*(C95-sezione!$AN$27)*IF(ABS(M95)&lt;'Sollecitazioni nel paramento'!$G$58,ABS(M95)*'Sollecitazioni nel paramento'!$G$54,'Sollecitazioni nel paramento'!$G$53)</f>
        <v>0</v>
      </c>
      <c r="H95" s="545">
        <f>-'Foglio deposito bis'!$F$51*(C95-sezione!$AO$27)*IF(ABS(N95)&lt;'Sollecitazioni nel paramento'!$G$58,ABS(N95)*'Sollecitazioni nel paramento'!$G$54,'Sollecitazioni nel paramento'!$G$53)</f>
        <v>35037102.82656572</v>
      </c>
      <c r="I95" s="472">
        <f>-'Foglio deposito bis'!$F$52*(C95-sezione!$AP$27)*IF(ABS(O95)&lt;'Sollecitazioni nel paramento'!$G$58,ABS(O95)*'Sollecitazioni nel paramento'!$G$54,'Sollecitazioni nel paramento'!$G$53)</f>
        <v>44561022.618176639</v>
      </c>
      <c r="J95" s="472">
        <f t="shared" si="8"/>
        <v>84169794.769354224</v>
      </c>
      <c r="K95" s="550">
        <f>'Sollecitazioni nel paramento'!$G$60*(sezione!$AL$27-C95)/C95</f>
        <v>6.0985421773243611E-3</v>
      </c>
      <c r="L95" s="550">
        <f>'Sollecitazioni nel paramento'!$G$60*(sezione!$AM$27-C95)/C95</f>
        <v>1.0897813265986541E-2</v>
      </c>
      <c r="M95" s="551">
        <f>'Sollecitazioni nel paramento'!$G$60*(sezione!$AN$27-C95)/C95</f>
        <v>1.5697084354648724E-2</v>
      </c>
      <c r="N95" s="551">
        <f>'Sollecitazioni nel paramento'!$G$60*(sezione!$AO$27-C95)/C95</f>
        <v>3.4894168709297436E-2</v>
      </c>
      <c r="O95" s="551">
        <f>'Sollecitazioni nel paramento'!$G$60*(sezione!$AP$27-C95)/C95</f>
        <v>4.4379235600453475E-2</v>
      </c>
      <c r="P95" s="545">
        <f>-'Sollecitazioni nel paramento'!$G$47*'Sollecitazioni nel paramento'!$G$41*IF(DATI!$G$211="dx",DATI!$E$61,DATI!$E$64*DATI!$E$63)*1000*C95*sezione!$AD$5</f>
        <v>-555665.63145391736</v>
      </c>
      <c r="Q95" s="545">
        <f>'Foglio deposito bis'!$F$48*IF(ABS(K95)&lt;'Sollecitazioni nel paramento'!$G$58,ABS(K95)*'Sollecitazioni nel paramento'!$G$54,'Sollecitazioni nel paramento'!$G$53)*IF(K95&lt;0,-1,1)</f>
        <v>0</v>
      </c>
      <c r="R95" s="545">
        <f>'Foglio deposito bis'!$F$49*IF(ABS(L95)&lt;'Sollecitazioni nel paramento'!$G$58,ABS(L95)*'Sollecitazioni nel paramento'!$G$54,'Sollecitazioni nel paramento'!$G$53)*IF(L95&lt;0,-1,1)</f>
        <v>204886.47740803001</v>
      </c>
      <c r="S95" s="545">
        <f>'Foglio deposito bis'!$F$50*IF(ABS(M95)&lt;'Sollecitazioni nel paramento'!$G$58,ABS(M95)*'Sollecitazioni nel paramento'!$G$54,'Sollecitazioni nel paramento'!$G$53)*IF(M95&lt;0,-1,1)</f>
        <v>0</v>
      </c>
      <c r="T95" s="545">
        <f>'Foglio deposito bis'!$F$51*IF(ABS(N95)&lt;'Sollecitazioni nel paramento'!$G$58,ABS(N95)*'Sollecitazioni nel paramento'!$G$54,'Sollecitazioni nel paramento'!$G$53)*IF(N95&lt;0,-1,1)</f>
        <v>240946.49743184328</v>
      </c>
      <c r="U95" s="545">
        <f>'Foglio deposito bis'!$F$52*IF(ABS(O95)&lt;'Sollecitazioni nel paramento'!$G$58,ABS(O95)*'Sollecitazioni nel paramento'!$G$54,'Sollecitazioni nel paramento'!$G$53)*IF(O95&lt;0,-1,1)</f>
        <v>240946.49743184328</v>
      </c>
      <c r="V95" s="472">
        <f t="shared" si="10"/>
        <v>131113.84081779921</v>
      </c>
      <c r="W95" s="551"/>
      <c r="X95" s="551"/>
    </row>
    <row r="96" spans="1:24" x14ac:dyDescent="0.25">
      <c r="A96" s="545">
        <f t="shared" si="9"/>
        <v>124939.77824608912</v>
      </c>
      <c r="B96" s="3">
        <f t="shared" si="11"/>
        <v>4.5499999999999918</v>
      </c>
      <c r="C96" s="545">
        <f>'Foglio deposito bis'!$E$153/$B$247*B96</f>
        <v>14.747609891215257</v>
      </c>
      <c r="D96" s="603">
        <f>-'Sollecitazioni nel paramento'!$G$47*'Sollecitazioni nel paramento'!$G$41*IF(DATI!$G$211="dx",DATI!$E$61,DATI!$E$64*DATI!$E$63)*1000*C96^2*sezione!$AD$5*(1-sezione!$AD$6)</f>
        <v>-4838902.8952715844</v>
      </c>
      <c r="E96" s="545">
        <f>-'Foglio deposito bis'!$F$48*(C96-sezione!$AL$27)*IF(ABS(K96)&lt;'Sollecitazioni nel paramento'!$G$58,ABS(K96)*'Sollecitazioni nel paramento'!$G$54,'Sollecitazioni nel paramento'!$G$53)</f>
        <v>0</v>
      </c>
      <c r="F96" s="545">
        <f>-'Foglio deposito bis'!$F$49*(C96-sezione!$AM$27)*IF(ABS(L96)&lt;'Sollecitazioni nel paramento'!$G$58,ABS(L96)*'Sollecitazioni nel paramento'!$G$54,'Sollecitazioni nel paramento'!$G$53)</f>
        <v>9271602.8036828861</v>
      </c>
      <c r="G96" s="545">
        <f>-'Foglio deposito bis'!$F$50*(C96-sezione!$AN$27)*IF(ABS(M96)&lt;'Sollecitazioni nel paramento'!$G$58,ABS(M96)*'Sollecitazioni nel paramento'!$G$54,'Sollecitazioni nel paramento'!$G$53)</f>
        <v>0</v>
      </c>
      <c r="H96" s="545">
        <f>-'Foglio deposito bis'!$F$51*(C96-sezione!$AO$27)*IF(ABS(N96)&lt;'Sollecitazioni nel paramento'!$G$58,ABS(N96)*'Sollecitazioni nel paramento'!$G$54,'Sollecitazioni nel paramento'!$G$53)</f>
        <v>34998054.640315399</v>
      </c>
      <c r="I96" s="472">
        <f>-'Foglio deposito bis'!$F$52*(C96-sezione!$AP$27)*IF(ABS(O96)&lt;'Sollecitazioni nel paramento'!$G$58,ABS(O96)*'Sollecitazioni nel paramento'!$G$54,'Sollecitazioni nel paramento'!$G$53)</f>
        <v>44521974.43192631</v>
      </c>
      <c r="J96" s="472">
        <f t="shared" si="8"/>
        <v>83952728.980653018</v>
      </c>
      <c r="K96" s="550">
        <f>'Sollecitazioni nel paramento'!$G$60*(sezione!$AL$27-C96)/C96</f>
        <v>5.9930636918592572E-3</v>
      </c>
      <c r="L96" s="550">
        <f>'Sollecitazioni nel paramento'!$G$60*(sezione!$AM$27-C96)/C96</f>
        <v>1.0739595537788886E-2</v>
      </c>
      <c r="M96" s="551">
        <f>'Sollecitazioni nel paramento'!$G$60*(sezione!$AN$27-C96)/C96</f>
        <v>1.5486127383718512E-2</v>
      </c>
      <c r="N96" s="551">
        <f>'Sollecitazioni nel paramento'!$G$60*(sezione!$AO$27-C96)/C96</f>
        <v>3.4472254767437024E-2</v>
      </c>
      <c r="O96" s="551">
        <f>'Sollecitazioni nel paramento'!$G$60*(sezione!$AP$27-C96)/C96</f>
        <v>4.3853090154294651E-2</v>
      </c>
      <c r="P96" s="545">
        <f>-'Sollecitazioni nel paramento'!$G$47*'Sollecitazioni nel paramento'!$G$41*IF(DATI!$G$211="dx",DATI!$E$61,DATI!$E$64*DATI!$E$63)*1000*C96*sezione!$AD$5</f>
        <v>-561839.69402562745</v>
      </c>
      <c r="Q96" s="545">
        <f>'Foglio deposito bis'!$F$48*IF(ABS(K96)&lt;'Sollecitazioni nel paramento'!$G$58,ABS(K96)*'Sollecitazioni nel paramento'!$G$54,'Sollecitazioni nel paramento'!$G$53)*IF(K96&lt;0,-1,1)</f>
        <v>0</v>
      </c>
      <c r="R96" s="545">
        <f>'Foglio deposito bis'!$F$49*IF(ABS(L96)&lt;'Sollecitazioni nel paramento'!$G$58,ABS(L96)*'Sollecitazioni nel paramento'!$G$54,'Sollecitazioni nel paramento'!$G$53)*IF(L96&lt;0,-1,1)</f>
        <v>204886.47740803001</v>
      </c>
      <c r="S96" s="545">
        <f>'Foglio deposito bis'!$F$50*IF(ABS(M96)&lt;'Sollecitazioni nel paramento'!$G$58,ABS(M96)*'Sollecitazioni nel paramento'!$G$54,'Sollecitazioni nel paramento'!$G$53)*IF(M96&lt;0,-1,1)</f>
        <v>0</v>
      </c>
      <c r="T96" s="545">
        <f>'Foglio deposito bis'!$F$51*IF(ABS(N96)&lt;'Sollecitazioni nel paramento'!$G$58,ABS(N96)*'Sollecitazioni nel paramento'!$G$54,'Sollecitazioni nel paramento'!$G$53)*IF(N96&lt;0,-1,1)</f>
        <v>240946.49743184328</v>
      </c>
      <c r="U96" s="545">
        <f>'Foglio deposito bis'!$F$52*IF(ABS(O96)&lt;'Sollecitazioni nel paramento'!$G$58,ABS(O96)*'Sollecitazioni nel paramento'!$G$54,'Sollecitazioni nel paramento'!$G$53)*IF(O96&lt;0,-1,1)</f>
        <v>240946.49743184328</v>
      </c>
      <c r="V96" s="472">
        <f t="shared" si="10"/>
        <v>124939.77824608912</v>
      </c>
      <c r="W96" s="551"/>
      <c r="X96" s="551"/>
    </row>
    <row r="97" spans="1:24" x14ac:dyDescent="0.25">
      <c r="A97" s="545">
        <f t="shared" si="9"/>
        <v>118765.71567437891</v>
      </c>
      <c r="B97" s="3">
        <f t="shared" si="11"/>
        <v>4.5999999999999917</v>
      </c>
      <c r="C97" s="545">
        <f>'Foglio deposito bis'!$E$153/$B$247*B97</f>
        <v>14.909671538371468</v>
      </c>
      <c r="D97" s="603">
        <f>-'Sollecitazioni nel paramento'!$G$47*'Sollecitazioni nel paramento'!$G$41*IF(DATI!$G$211="dx",DATI!$E$61,DATI!$E$64*DATI!$E$63)*1000*C97^2*sezione!$AD$5*(1-sezione!$AD$6)</f>
        <v>-4945836.7474433864</v>
      </c>
      <c r="E97" s="545">
        <f>-'Foglio deposito bis'!$F$48*(C97-sezione!$AL$27)*IF(ABS(K97)&lt;'Sollecitazioni nel paramento'!$G$58,ABS(K97)*'Sollecitazioni nel paramento'!$G$54,'Sollecitazioni nel paramento'!$G$53)</f>
        <v>0</v>
      </c>
      <c r="F97" s="545">
        <f>-'Foglio deposito bis'!$F$49*(C97-sezione!$AM$27)*IF(ABS(L97)&lt;'Sollecitazioni nel paramento'!$G$58,ABS(L97)*'Sollecitazioni nel paramento'!$G$54,'Sollecitazioni nel paramento'!$G$53)</f>
        <v>9238398.5636741072</v>
      </c>
      <c r="G97" s="545">
        <f>-'Foglio deposito bis'!$F$50*(C97-sezione!$AN$27)*IF(ABS(M97)&lt;'Sollecitazioni nel paramento'!$G$58,ABS(M97)*'Sollecitazioni nel paramento'!$G$54,'Sollecitazioni nel paramento'!$G$53)</f>
        <v>0</v>
      </c>
      <c r="H97" s="545">
        <f>-'Foglio deposito bis'!$F$51*(C97-sezione!$AO$27)*IF(ABS(N97)&lt;'Sollecitazioni nel paramento'!$G$58,ABS(N97)*'Sollecitazioni nel paramento'!$G$54,'Sollecitazioni nel paramento'!$G$53)</f>
        <v>34959006.454065077</v>
      </c>
      <c r="I97" s="472">
        <f>-'Foglio deposito bis'!$F$52*(C97-sezione!$AP$27)*IF(ABS(O97)&lt;'Sollecitazioni nel paramento'!$G$58,ABS(O97)*'Sollecitazioni nel paramento'!$G$54,'Sollecitazioni nel paramento'!$G$53)</f>
        <v>44482926.245675996</v>
      </c>
      <c r="J97" s="472">
        <f t="shared" si="8"/>
        <v>83734494.515971795</v>
      </c>
      <c r="K97" s="550">
        <f>'Sollecitazioni nel paramento'!$G$60*(sezione!$AL$27-C97)/C97</f>
        <v>5.8898782169477439E-3</v>
      </c>
      <c r="L97" s="550">
        <f>'Sollecitazioni nel paramento'!$G$60*(sezione!$AM$27-C97)/C97</f>
        <v>1.0584817325421617E-2</v>
      </c>
      <c r="M97" s="551">
        <f>'Sollecitazioni nel paramento'!$G$60*(sezione!$AN$27-C97)/C97</f>
        <v>1.5279756433895486E-2</v>
      </c>
      <c r="N97" s="551">
        <f>'Sollecitazioni nel paramento'!$G$60*(sezione!$AO$27-C97)/C97</f>
        <v>3.4059512867790978E-2</v>
      </c>
      <c r="O97" s="551">
        <f>'Sollecitazioni nel paramento'!$G$60*(sezione!$AP$27-C97)/C97</f>
        <v>4.3338382652617538E-2</v>
      </c>
      <c r="P97" s="545">
        <f>-'Sollecitazioni nel paramento'!$G$47*'Sollecitazioni nel paramento'!$G$41*IF(DATI!$G$211="dx",DATI!$E$61,DATI!$E$64*DATI!$E$63)*1000*C97*sezione!$AD$5</f>
        <v>-568013.75659733766</v>
      </c>
      <c r="Q97" s="545">
        <f>'Foglio deposito bis'!$F$48*IF(ABS(K97)&lt;'Sollecitazioni nel paramento'!$G$58,ABS(K97)*'Sollecitazioni nel paramento'!$G$54,'Sollecitazioni nel paramento'!$G$53)*IF(K97&lt;0,-1,1)</f>
        <v>0</v>
      </c>
      <c r="R97" s="545">
        <f>'Foglio deposito bis'!$F$49*IF(ABS(L97)&lt;'Sollecitazioni nel paramento'!$G$58,ABS(L97)*'Sollecitazioni nel paramento'!$G$54,'Sollecitazioni nel paramento'!$G$53)*IF(L97&lt;0,-1,1)</f>
        <v>204886.47740803001</v>
      </c>
      <c r="S97" s="545">
        <f>'Foglio deposito bis'!$F$50*IF(ABS(M97)&lt;'Sollecitazioni nel paramento'!$G$58,ABS(M97)*'Sollecitazioni nel paramento'!$G$54,'Sollecitazioni nel paramento'!$G$53)*IF(M97&lt;0,-1,1)</f>
        <v>0</v>
      </c>
      <c r="T97" s="545">
        <f>'Foglio deposito bis'!$F$51*IF(ABS(N97)&lt;'Sollecitazioni nel paramento'!$G$58,ABS(N97)*'Sollecitazioni nel paramento'!$G$54,'Sollecitazioni nel paramento'!$G$53)*IF(N97&lt;0,-1,1)</f>
        <v>240946.49743184328</v>
      </c>
      <c r="U97" s="545">
        <f>'Foglio deposito bis'!$F$52*IF(ABS(O97)&lt;'Sollecitazioni nel paramento'!$G$58,ABS(O97)*'Sollecitazioni nel paramento'!$G$54,'Sollecitazioni nel paramento'!$G$53)*IF(O97&lt;0,-1,1)</f>
        <v>240946.49743184328</v>
      </c>
      <c r="V97" s="472">
        <f t="shared" si="10"/>
        <v>118765.71567437891</v>
      </c>
      <c r="W97" s="551"/>
      <c r="X97" s="551"/>
    </row>
    <row r="98" spans="1:24" x14ac:dyDescent="0.25">
      <c r="A98" s="545">
        <f t="shared" si="9"/>
        <v>112591.6531026687</v>
      </c>
      <c r="B98" s="3">
        <f t="shared" si="11"/>
        <v>4.6499999999999915</v>
      </c>
      <c r="C98" s="545">
        <f>'Foglio deposito bis'!$E$153/$B$247*B98</f>
        <v>15.071733185527679</v>
      </c>
      <c r="D98" s="603">
        <f>-'Sollecitazioni nel paramento'!$G$47*'Sollecitazioni nel paramento'!$G$41*IF(DATI!$G$211="dx",DATI!$E$61,DATI!$E$64*DATI!$E$63)*1000*C98^2*sezione!$AD$5*(1-sezione!$AD$6)</f>
        <v>-5053939.2755952096</v>
      </c>
      <c r="E98" s="545">
        <f>-'Foglio deposito bis'!$F$48*(C98-sezione!$AL$27)*IF(ABS(K98)&lt;'Sollecitazioni nel paramento'!$G$58,ABS(K98)*'Sollecitazioni nel paramento'!$G$54,'Sollecitazioni nel paramento'!$G$53)</f>
        <v>0</v>
      </c>
      <c r="F98" s="545">
        <f>-'Foglio deposito bis'!$F$49*(C98-sezione!$AM$27)*IF(ABS(L98)&lt;'Sollecitazioni nel paramento'!$G$58,ABS(L98)*'Sollecitazioni nel paramento'!$G$54,'Sollecitazioni nel paramento'!$G$53)</f>
        <v>9205194.3236653283</v>
      </c>
      <c r="G98" s="545">
        <f>-'Foglio deposito bis'!$F$50*(C98-sezione!$AN$27)*IF(ABS(M98)&lt;'Sollecitazioni nel paramento'!$G$58,ABS(M98)*'Sollecitazioni nel paramento'!$G$54,'Sollecitazioni nel paramento'!$G$53)</f>
        <v>0</v>
      </c>
      <c r="H98" s="545">
        <f>-'Foglio deposito bis'!$F$51*(C98-sezione!$AO$27)*IF(ABS(N98)&lt;'Sollecitazioni nel paramento'!$G$58,ABS(N98)*'Sollecitazioni nel paramento'!$G$54,'Sollecitazioni nel paramento'!$G$53)</f>
        <v>34919958.267814755</v>
      </c>
      <c r="I98" s="472">
        <f>-'Foglio deposito bis'!$F$52*(C98-sezione!$AP$27)*IF(ABS(O98)&lt;'Sollecitazioni nel paramento'!$G$58,ABS(O98)*'Sollecitazioni nel paramento'!$G$54,'Sollecitazioni nel paramento'!$G$53)</f>
        <v>44443878.059425667</v>
      </c>
      <c r="J98" s="472">
        <f t="shared" si="8"/>
        <v>83515091.37531054</v>
      </c>
      <c r="K98" s="550">
        <f>'Sollecitazioni nel paramento'!$G$60*(sezione!$AL$27-C98)/C98</f>
        <v>5.7889117845074459E-3</v>
      </c>
      <c r="L98" s="550">
        <f>'Sollecitazioni nel paramento'!$G$60*(sezione!$AM$27-C98)/C98</f>
        <v>1.043336767676117E-2</v>
      </c>
      <c r="M98" s="551">
        <f>'Sollecitazioni nel paramento'!$G$60*(sezione!$AN$27-C98)/C98</f>
        <v>1.5077823569014893E-2</v>
      </c>
      <c r="N98" s="551">
        <f>'Sollecitazioni nel paramento'!$G$60*(sezione!$AO$27-C98)/C98</f>
        <v>3.3655647138029786E-2</v>
      </c>
      <c r="O98" s="551">
        <f>'Sollecitazioni nel paramento'!$G$60*(sezione!$AP$27-C98)/C98</f>
        <v>4.2834744129471115E-2</v>
      </c>
      <c r="P98" s="545">
        <f>-'Sollecitazioni nel paramento'!$G$47*'Sollecitazioni nel paramento'!$G$41*IF(DATI!$G$211="dx",DATI!$E$61,DATI!$E$64*DATI!$E$63)*1000*C98*sezione!$AD$5</f>
        <v>-574187.81916904787</v>
      </c>
      <c r="Q98" s="545">
        <f>'Foglio deposito bis'!$F$48*IF(ABS(K98)&lt;'Sollecitazioni nel paramento'!$G$58,ABS(K98)*'Sollecitazioni nel paramento'!$G$54,'Sollecitazioni nel paramento'!$G$53)*IF(K98&lt;0,-1,1)</f>
        <v>0</v>
      </c>
      <c r="R98" s="545">
        <f>'Foglio deposito bis'!$F$49*IF(ABS(L98)&lt;'Sollecitazioni nel paramento'!$G$58,ABS(L98)*'Sollecitazioni nel paramento'!$G$54,'Sollecitazioni nel paramento'!$G$53)*IF(L98&lt;0,-1,1)</f>
        <v>204886.47740803001</v>
      </c>
      <c r="S98" s="545">
        <f>'Foglio deposito bis'!$F$50*IF(ABS(M98)&lt;'Sollecitazioni nel paramento'!$G$58,ABS(M98)*'Sollecitazioni nel paramento'!$G$54,'Sollecitazioni nel paramento'!$G$53)*IF(M98&lt;0,-1,1)</f>
        <v>0</v>
      </c>
      <c r="T98" s="545">
        <f>'Foglio deposito bis'!$F$51*IF(ABS(N98)&lt;'Sollecitazioni nel paramento'!$G$58,ABS(N98)*'Sollecitazioni nel paramento'!$G$54,'Sollecitazioni nel paramento'!$G$53)*IF(N98&lt;0,-1,1)</f>
        <v>240946.49743184328</v>
      </c>
      <c r="U98" s="545">
        <f>'Foglio deposito bis'!$F$52*IF(ABS(O98)&lt;'Sollecitazioni nel paramento'!$G$58,ABS(O98)*'Sollecitazioni nel paramento'!$G$54,'Sollecitazioni nel paramento'!$G$53)*IF(O98&lt;0,-1,1)</f>
        <v>240946.49743184328</v>
      </c>
      <c r="V98" s="472">
        <f t="shared" si="10"/>
        <v>112591.6531026687</v>
      </c>
      <c r="W98" s="551"/>
      <c r="X98" s="551"/>
    </row>
    <row r="99" spans="1:24" x14ac:dyDescent="0.25">
      <c r="A99" s="545">
        <f t="shared" si="9"/>
        <v>106417.59053095849</v>
      </c>
      <c r="B99" s="3">
        <f t="shared" si="11"/>
        <v>4.6999999999999913</v>
      </c>
      <c r="C99" s="545">
        <f>'Foglio deposito bis'!$E$153/$B$247*B99</f>
        <v>15.233794832683889</v>
      </c>
      <c r="D99" s="603">
        <f>-'Sollecitazioni nel paramento'!$G$47*'Sollecitazioni nel paramento'!$G$41*IF(DATI!$G$211="dx",DATI!$E$61,DATI!$E$64*DATI!$E$63)*1000*C99^2*sezione!$AD$5*(1-sezione!$AD$6)</f>
        <v>-5163210.4797270503</v>
      </c>
      <c r="E99" s="545">
        <f>-'Foglio deposito bis'!$F$48*(C99-sezione!$AL$27)*IF(ABS(K99)&lt;'Sollecitazioni nel paramento'!$G$58,ABS(K99)*'Sollecitazioni nel paramento'!$G$54,'Sollecitazioni nel paramento'!$G$53)</f>
        <v>0</v>
      </c>
      <c r="F99" s="545">
        <f>-'Foglio deposito bis'!$F$49*(C99-sezione!$AM$27)*IF(ABS(L99)&lt;'Sollecitazioni nel paramento'!$G$58,ABS(L99)*'Sollecitazioni nel paramento'!$G$54,'Sollecitazioni nel paramento'!$G$53)</f>
        <v>9171990.0836565495</v>
      </c>
      <c r="G99" s="545">
        <f>-'Foglio deposito bis'!$F$50*(C99-sezione!$AN$27)*IF(ABS(M99)&lt;'Sollecitazioni nel paramento'!$G$58,ABS(M99)*'Sollecitazioni nel paramento'!$G$54,'Sollecitazioni nel paramento'!$G$53)</f>
        <v>0</v>
      </c>
      <c r="H99" s="545">
        <f>-'Foglio deposito bis'!$F$51*(C99-sezione!$AO$27)*IF(ABS(N99)&lt;'Sollecitazioni nel paramento'!$G$58,ABS(N99)*'Sollecitazioni nel paramento'!$G$54,'Sollecitazioni nel paramento'!$G$53)</f>
        <v>34880910.081564426</v>
      </c>
      <c r="I99" s="472">
        <f>-'Foglio deposito bis'!$F$52*(C99-sezione!$AP$27)*IF(ABS(O99)&lt;'Sollecitazioni nel paramento'!$G$58,ABS(O99)*'Sollecitazioni nel paramento'!$G$54,'Sollecitazioni nel paramento'!$G$53)</f>
        <v>44404829.873175345</v>
      </c>
      <c r="J99" s="472">
        <f t="shared" si="8"/>
        <v>83294519.558669269</v>
      </c>
      <c r="K99" s="550">
        <f>'Sollecitazioni nel paramento'!$G$60*(sezione!$AL$27-C99)/C99</f>
        <v>5.690093574033963E-3</v>
      </c>
      <c r="L99" s="550">
        <f>'Sollecitazioni nel paramento'!$G$60*(sezione!$AM$27-C99)/C99</f>
        <v>1.0285140361050944E-2</v>
      </c>
      <c r="M99" s="551">
        <f>'Sollecitazioni nel paramento'!$G$60*(sezione!$AN$27-C99)/C99</f>
        <v>1.4880187148067927E-2</v>
      </c>
      <c r="N99" s="551">
        <f>'Sollecitazioni nel paramento'!$G$60*(sezione!$AO$27-C99)/C99</f>
        <v>3.3260374296135854E-2</v>
      </c>
      <c r="O99" s="551">
        <f>'Sollecitazioni nel paramento'!$G$60*(sezione!$AP$27-C99)/C99</f>
        <v>4.2341821319583126E-2</v>
      </c>
      <c r="P99" s="545">
        <f>-'Sollecitazioni nel paramento'!$G$47*'Sollecitazioni nel paramento'!$G$41*IF(DATI!$G$211="dx",DATI!$E$61,DATI!$E$64*DATI!$E$63)*1000*C99*sezione!$AD$5</f>
        <v>-580361.88174075808</v>
      </c>
      <c r="Q99" s="545">
        <f>'Foglio deposito bis'!$F$48*IF(ABS(K99)&lt;'Sollecitazioni nel paramento'!$G$58,ABS(K99)*'Sollecitazioni nel paramento'!$G$54,'Sollecitazioni nel paramento'!$G$53)*IF(K99&lt;0,-1,1)</f>
        <v>0</v>
      </c>
      <c r="R99" s="545">
        <f>'Foglio deposito bis'!$F$49*IF(ABS(L99)&lt;'Sollecitazioni nel paramento'!$G$58,ABS(L99)*'Sollecitazioni nel paramento'!$G$54,'Sollecitazioni nel paramento'!$G$53)*IF(L99&lt;0,-1,1)</f>
        <v>204886.47740803001</v>
      </c>
      <c r="S99" s="545">
        <f>'Foglio deposito bis'!$F$50*IF(ABS(M99)&lt;'Sollecitazioni nel paramento'!$G$58,ABS(M99)*'Sollecitazioni nel paramento'!$G$54,'Sollecitazioni nel paramento'!$G$53)*IF(M99&lt;0,-1,1)</f>
        <v>0</v>
      </c>
      <c r="T99" s="545">
        <f>'Foglio deposito bis'!$F$51*IF(ABS(N99)&lt;'Sollecitazioni nel paramento'!$G$58,ABS(N99)*'Sollecitazioni nel paramento'!$G$54,'Sollecitazioni nel paramento'!$G$53)*IF(N99&lt;0,-1,1)</f>
        <v>240946.49743184328</v>
      </c>
      <c r="U99" s="545">
        <f>'Foglio deposito bis'!$F$52*IF(ABS(O99)&lt;'Sollecitazioni nel paramento'!$G$58,ABS(O99)*'Sollecitazioni nel paramento'!$G$54,'Sollecitazioni nel paramento'!$G$53)*IF(O99&lt;0,-1,1)</f>
        <v>240946.49743184328</v>
      </c>
      <c r="V99" s="472">
        <f t="shared" si="10"/>
        <v>106417.59053095849</v>
      </c>
      <c r="W99" s="551"/>
      <c r="X99" s="551"/>
    </row>
    <row r="100" spans="1:24" x14ac:dyDescent="0.25">
      <c r="A100" s="545">
        <f t="shared" si="9"/>
        <v>100243.52795924828</v>
      </c>
      <c r="B100" s="3">
        <f t="shared" si="11"/>
        <v>4.7499999999999911</v>
      </c>
      <c r="C100" s="545">
        <f>'Foglio deposito bis'!$E$153/$B$247*B100</f>
        <v>15.395856479840102</v>
      </c>
      <c r="D100" s="603">
        <f>-'Sollecitazioni nel paramento'!$G$47*'Sollecitazioni nel paramento'!$G$41*IF(DATI!$G$211="dx",DATI!$E$61,DATI!$E$64*DATI!$E$63)*1000*C100^2*sezione!$AD$5*(1-sezione!$AD$6)</f>
        <v>-5273650.3598389141</v>
      </c>
      <c r="E100" s="545">
        <f>-'Foglio deposito bis'!$F$48*(C100-sezione!$AL$27)*IF(ABS(K100)&lt;'Sollecitazioni nel paramento'!$G$58,ABS(K100)*'Sollecitazioni nel paramento'!$G$54,'Sollecitazioni nel paramento'!$G$53)</f>
        <v>0</v>
      </c>
      <c r="F100" s="545">
        <f>-'Foglio deposito bis'!$F$49*(C100-sezione!$AM$27)*IF(ABS(L100)&lt;'Sollecitazioni nel paramento'!$G$58,ABS(L100)*'Sollecitazioni nel paramento'!$G$54,'Sollecitazioni nel paramento'!$G$53)</f>
        <v>9138785.8436477687</v>
      </c>
      <c r="G100" s="545">
        <f>-'Foglio deposito bis'!$F$50*(C100-sezione!$AN$27)*IF(ABS(M100)&lt;'Sollecitazioni nel paramento'!$G$58,ABS(M100)*'Sollecitazioni nel paramento'!$G$54,'Sollecitazioni nel paramento'!$G$53)</f>
        <v>0</v>
      </c>
      <c r="H100" s="545">
        <f>-'Foglio deposito bis'!$F$51*(C100-sezione!$AO$27)*IF(ABS(N100)&lt;'Sollecitazioni nel paramento'!$G$58,ABS(N100)*'Sollecitazioni nel paramento'!$G$54,'Sollecitazioni nel paramento'!$G$53)</f>
        <v>34841861.895314105</v>
      </c>
      <c r="I100" s="472">
        <f>-'Foglio deposito bis'!$F$52*(C100-sezione!$AP$27)*IF(ABS(O100)&lt;'Sollecitazioni nel paramento'!$G$58,ABS(O100)*'Sollecitazioni nel paramento'!$G$54,'Sollecitazioni nel paramento'!$G$53)</f>
        <v>44365781.686925016</v>
      </c>
      <c r="J100" s="472">
        <f t="shared" si="8"/>
        <v>83072779.066047966</v>
      </c>
      <c r="K100" s="550">
        <f>'Sollecitazioni nel paramento'!$G$60*(sezione!$AL$27-C100)/C100</f>
        <v>5.5933557469388679E-3</v>
      </c>
      <c r="L100" s="550">
        <f>'Sollecitazioni nel paramento'!$G$60*(sezione!$AM$27-C100)/C100</f>
        <v>1.0140033620408301E-2</v>
      </c>
      <c r="M100" s="551">
        <f>'Sollecitazioni nel paramento'!$G$60*(sezione!$AN$27-C100)/C100</f>
        <v>1.4686711493877735E-2</v>
      </c>
      <c r="N100" s="551">
        <f>'Sollecitazioni nel paramento'!$G$60*(sezione!$AO$27-C100)/C100</f>
        <v>3.2873422987755474E-2</v>
      </c>
      <c r="O100" s="551">
        <f>'Sollecitazioni nel paramento'!$G$60*(sezione!$AP$27-C100)/C100</f>
        <v>4.1859275832008561E-2</v>
      </c>
      <c r="P100" s="545">
        <f>-'Sollecitazioni nel paramento'!$G$47*'Sollecitazioni nel paramento'!$G$41*IF(DATI!$G$211="dx",DATI!$E$61,DATI!$E$64*DATI!$E$63)*1000*C100*sezione!$AD$5</f>
        <v>-586535.94431246829</v>
      </c>
      <c r="Q100" s="545">
        <f>'Foglio deposito bis'!$F$48*IF(ABS(K100)&lt;'Sollecitazioni nel paramento'!$G$58,ABS(K100)*'Sollecitazioni nel paramento'!$G$54,'Sollecitazioni nel paramento'!$G$53)*IF(K100&lt;0,-1,1)</f>
        <v>0</v>
      </c>
      <c r="R100" s="545">
        <f>'Foglio deposito bis'!$F$49*IF(ABS(L100)&lt;'Sollecitazioni nel paramento'!$G$58,ABS(L100)*'Sollecitazioni nel paramento'!$G$54,'Sollecitazioni nel paramento'!$G$53)*IF(L100&lt;0,-1,1)</f>
        <v>204886.47740803001</v>
      </c>
      <c r="S100" s="545">
        <f>'Foglio deposito bis'!$F$50*IF(ABS(M100)&lt;'Sollecitazioni nel paramento'!$G$58,ABS(M100)*'Sollecitazioni nel paramento'!$G$54,'Sollecitazioni nel paramento'!$G$53)*IF(M100&lt;0,-1,1)</f>
        <v>0</v>
      </c>
      <c r="T100" s="545">
        <f>'Foglio deposito bis'!$F$51*IF(ABS(N100)&lt;'Sollecitazioni nel paramento'!$G$58,ABS(N100)*'Sollecitazioni nel paramento'!$G$54,'Sollecitazioni nel paramento'!$G$53)*IF(N100&lt;0,-1,1)</f>
        <v>240946.49743184328</v>
      </c>
      <c r="U100" s="545">
        <f>'Foglio deposito bis'!$F$52*IF(ABS(O100)&lt;'Sollecitazioni nel paramento'!$G$58,ABS(O100)*'Sollecitazioni nel paramento'!$G$54,'Sollecitazioni nel paramento'!$G$53)*IF(O100&lt;0,-1,1)</f>
        <v>240946.49743184328</v>
      </c>
      <c r="V100" s="472">
        <f t="shared" si="10"/>
        <v>100243.52795924828</v>
      </c>
      <c r="W100" s="551"/>
      <c r="X100" s="551"/>
    </row>
    <row r="101" spans="1:24" x14ac:dyDescent="0.25">
      <c r="A101" s="545">
        <f t="shared" si="9"/>
        <v>94069.465387538192</v>
      </c>
      <c r="B101" s="3">
        <f t="shared" si="11"/>
        <v>4.7999999999999909</v>
      </c>
      <c r="C101" s="545">
        <f>'Foglio deposito bis'!$E$153/$B$247*B101</f>
        <v>15.557918126996313</v>
      </c>
      <c r="D101" s="603">
        <f>-'Sollecitazioni nel paramento'!$G$47*'Sollecitazioni nel paramento'!$G$41*IF(DATI!$G$211="dx",DATI!$E$61,DATI!$E$64*DATI!$E$63)*1000*C101^2*sezione!$AD$5*(1-sezione!$AD$6)</f>
        <v>-5385258.9159307946</v>
      </c>
      <c r="E101" s="545">
        <f>-'Foglio deposito bis'!$F$48*(C101-sezione!$AL$27)*IF(ABS(K101)&lt;'Sollecitazioni nel paramento'!$G$58,ABS(K101)*'Sollecitazioni nel paramento'!$G$54,'Sollecitazioni nel paramento'!$G$53)</f>
        <v>0</v>
      </c>
      <c r="F101" s="545">
        <f>-'Foglio deposito bis'!$F$49*(C101-sezione!$AM$27)*IF(ABS(L101)&lt;'Sollecitazioni nel paramento'!$G$58,ABS(L101)*'Sollecitazioni nel paramento'!$G$54,'Sollecitazioni nel paramento'!$G$53)</f>
        <v>9105581.6036389899</v>
      </c>
      <c r="G101" s="545">
        <f>-'Foglio deposito bis'!$F$50*(C101-sezione!$AN$27)*IF(ABS(M101)&lt;'Sollecitazioni nel paramento'!$G$58,ABS(M101)*'Sollecitazioni nel paramento'!$G$54,'Sollecitazioni nel paramento'!$G$53)</f>
        <v>0</v>
      </c>
      <c r="H101" s="545">
        <f>-'Foglio deposito bis'!$F$51*(C101-sezione!$AO$27)*IF(ABS(N101)&lt;'Sollecitazioni nel paramento'!$G$58,ABS(N101)*'Sollecitazioni nel paramento'!$G$54,'Sollecitazioni nel paramento'!$G$53)</f>
        <v>34802813.709063776</v>
      </c>
      <c r="I101" s="472">
        <f>-'Foglio deposito bis'!$F$52*(C101-sezione!$AP$27)*IF(ABS(O101)&lt;'Sollecitazioni nel paramento'!$G$58,ABS(O101)*'Sollecitazioni nel paramento'!$G$54,'Sollecitazioni nel paramento'!$G$53)</f>
        <v>44326733.500674687</v>
      </c>
      <c r="J101" s="472">
        <f t="shared" si="8"/>
        <v>82849869.897446662</v>
      </c>
      <c r="K101" s="550">
        <f>'Sollecitazioni nel paramento'!$G$60*(sezione!$AL$27-C101)/C101</f>
        <v>5.4986332912415883E-3</v>
      </c>
      <c r="L101" s="550">
        <f>'Sollecitazioni nel paramento'!$G$60*(sezione!$AM$27-C101)/C101</f>
        <v>9.9979499368623836E-3</v>
      </c>
      <c r="M101" s="551">
        <f>'Sollecitazioni nel paramento'!$G$60*(sezione!$AN$27-C101)/C101</f>
        <v>1.4497266582483176E-2</v>
      </c>
      <c r="N101" s="551">
        <f>'Sollecitazioni nel paramento'!$G$60*(sezione!$AO$27-C101)/C101</f>
        <v>3.2494533164966359E-2</v>
      </c>
      <c r="O101" s="551">
        <f>'Sollecitazioni nel paramento'!$G$60*(sezione!$AP$27-C101)/C101</f>
        <v>4.1386783375425139E-2</v>
      </c>
      <c r="P101" s="545">
        <f>-'Sollecitazioni nel paramento'!$G$47*'Sollecitazioni nel paramento'!$G$41*IF(DATI!$G$211="dx",DATI!$E$61,DATI!$E$64*DATI!$E$63)*1000*C101*sezione!$AD$5</f>
        <v>-592710.00688417838</v>
      </c>
      <c r="Q101" s="545">
        <f>'Foglio deposito bis'!$F$48*IF(ABS(K101)&lt;'Sollecitazioni nel paramento'!$G$58,ABS(K101)*'Sollecitazioni nel paramento'!$G$54,'Sollecitazioni nel paramento'!$G$53)*IF(K101&lt;0,-1,1)</f>
        <v>0</v>
      </c>
      <c r="R101" s="545">
        <f>'Foglio deposito bis'!$F$49*IF(ABS(L101)&lt;'Sollecitazioni nel paramento'!$G$58,ABS(L101)*'Sollecitazioni nel paramento'!$G$54,'Sollecitazioni nel paramento'!$G$53)*IF(L101&lt;0,-1,1)</f>
        <v>204886.47740803001</v>
      </c>
      <c r="S101" s="545">
        <f>'Foglio deposito bis'!$F$50*IF(ABS(M101)&lt;'Sollecitazioni nel paramento'!$G$58,ABS(M101)*'Sollecitazioni nel paramento'!$G$54,'Sollecitazioni nel paramento'!$G$53)*IF(M101&lt;0,-1,1)</f>
        <v>0</v>
      </c>
      <c r="T101" s="545">
        <f>'Foglio deposito bis'!$F$51*IF(ABS(N101)&lt;'Sollecitazioni nel paramento'!$G$58,ABS(N101)*'Sollecitazioni nel paramento'!$G$54,'Sollecitazioni nel paramento'!$G$53)*IF(N101&lt;0,-1,1)</f>
        <v>240946.49743184328</v>
      </c>
      <c r="U101" s="545">
        <f>'Foglio deposito bis'!$F$52*IF(ABS(O101)&lt;'Sollecitazioni nel paramento'!$G$58,ABS(O101)*'Sollecitazioni nel paramento'!$G$54,'Sollecitazioni nel paramento'!$G$53)*IF(O101&lt;0,-1,1)</f>
        <v>240946.49743184328</v>
      </c>
      <c r="V101" s="472">
        <f t="shared" si="10"/>
        <v>94069.465387538192</v>
      </c>
      <c r="W101" s="551"/>
      <c r="X101" s="551"/>
    </row>
    <row r="102" spans="1:24" x14ac:dyDescent="0.25">
      <c r="A102" s="545">
        <f t="shared" si="9"/>
        <v>87895.402815827983</v>
      </c>
      <c r="B102" s="3">
        <f t="shared" si="11"/>
        <v>4.8499999999999908</v>
      </c>
      <c r="C102" s="545">
        <f>'Foglio deposito bis'!$E$153/$B$247*B102</f>
        <v>15.719979774152524</v>
      </c>
      <c r="D102" s="603">
        <f>-'Sollecitazioni nel paramento'!$G$47*'Sollecitazioni nel paramento'!$G$41*IF(DATI!$G$211="dx",DATI!$E$61,DATI!$E$64*DATI!$E$63)*1000*C102^2*sezione!$AD$5*(1-sezione!$AD$6)</f>
        <v>-5498036.1480026953</v>
      </c>
      <c r="E102" s="545">
        <f>-'Foglio deposito bis'!$F$48*(C102-sezione!$AL$27)*IF(ABS(K102)&lt;'Sollecitazioni nel paramento'!$G$58,ABS(K102)*'Sollecitazioni nel paramento'!$G$54,'Sollecitazioni nel paramento'!$G$53)</f>
        <v>0</v>
      </c>
      <c r="F102" s="545">
        <f>-'Foglio deposito bis'!$F$49*(C102-sezione!$AM$27)*IF(ABS(L102)&lt;'Sollecitazioni nel paramento'!$G$58,ABS(L102)*'Sollecitazioni nel paramento'!$G$54,'Sollecitazioni nel paramento'!$G$53)</f>
        <v>9072377.363630211</v>
      </c>
      <c r="G102" s="545">
        <f>-'Foglio deposito bis'!$F$50*(C102-sezione!$AN$27)*IF(ABS(M102)&lt;'Sollecitazioni nel paramento'!$G$58,ABS(M102)*'Sollecitazioni nel paramento'!$G$54,'Sollecitazioni nel paramento'!$G$53)</f>
        <v>0</v>
      </c>
      <c r="H102" s="545">
        <f>-'Foglio deposito bis'!$F$51*(C102-sezione!$AO$27)*IF(ABS(N102)&lt;'Sollecitazioni nel paramento'!$G$58,ABS(N102)*'Sollecitazioni nel paramento'!$G$54,'Sollecitazioni nel paramento'!$G$53)</f>
        <v>34763765.522813447</v>
      </c>
      <c r="I102" s="472">
        <f>-'Foglio deposito bis'!$F$52*(C102-sezione!$AP$27)*IF(ABS(O102)&lt;'Sollecitazioni nel paramento'!$G$58,ABS(O102)*'Sollecitazioni nel paramento'!$G$54,'Sollecitazioni nel paramento'!$G$53)</f>
        <v>44287685.314424366</v>
      </c>
      <c r="J102" s="472">
        <f t="shared" si="8"/>
        <v>82625792.052865326</v>
      </c>
      <c r="K102" s="550">
        <f>'Sollecitazioni nel paramento'!$G$60*(sezione!$AL$27-C102)/C102</f>
        <v>5.4058638758679644E-3</v>
      </c>
      <c r="L102" s="550">
        <f>'Sollecitazioni nel paramento'!$G$60*(sezione!$AM$27-C102)/C102</f>
        <v>9.8587958138019478E-3</v>
      </c>
      <c r="M102" s="551">
        <f>'Sollecitazioni nel paramento'!$G$60*(sezione!$AN$27-C102)/C102</f>
        <v>1.431172775173593E-2</v>
      </c>
      <c r="N102" s="551">
        <f>'Sollecitazioni nel paramento'!$G$60*(sezione!$AO$27-C102)/C102</f>
        <v>3.2123455503471857E-2</v>
      </c>
      <c r="O102" s="551">
        <f>'Sollecitazioni nel paramento'!$G$60*(sezione!$AP$27-C102)/C102</f>
        <v>4.0924033031348596E-2</v>
      </c>
      <c r="P102" s="545">
        <f>-'Sollecitazioni nel paramento'!$G$47*'Sollecitazioni nel paramento'!$G$41*IF(DATI!$G$211="dx",DATI!$E$61,DATI!$E$64*DATI!$E$63)*1000*C102*sezione!$AD$5</f>
        <v>-598884.06945588859</v>
      </c>
      <c r="Q102" s="545">
        <f>'Foglio deposito bis'!$F$48*IF(ABS(K102)&lt;'Sollecitazioni nel paramento'!$G$58,ABS(K102)*'Sollecitazioni nel paramento'!$G$54,'Sollecitazioni nel paramento'!$G$53)*IF(K102&lt;0,-1,1)</f>
        <v>0</v>
      </c>
      <c r="R102" s="545">
        <f>'Foglio deposito bis'!$F$49*IF(ABS(L102)&lt;'Sollecitazioni nel paramento'!$G$58,ABS(L102)*'Sollecitazioni nel paramento'!$G$54,'Sollecitazioni nel paramento'!$G$53)*IF(L102&lt;0,-1,1)</f>
        <v>204886.47740803001</v>
      </c>
      <c r="S102" s="545">
        <f>'Foglio deposito bis'!$F$50*IF(ABS(M102)&lt;'Sollecitazioni nel paramento'!$G$58,ABS(M102)*'Sollecitazioni nel paramento'!$G$54,'Sollecitazioni nel paramento'!$G$53)*IF(M102&lt;0,-1,1)</f>
        <v>0</v>
      </c>
      <c r="T102" s="545">
        <f>'Foglio deposito bis'!$F$51*IF(ABS(N102)&lt;'Sollecitazioni nel paramento'!$G$58,ABS(N102)*'Sollecitazioni nel paramento'!$G$54,'Sollecitazioni nel paramento'!$G$53)*IF(N102&lt;0,-1,1)</f>
        <v>240946.49743184328</v>
      </c>
      <c r="U102" s="545">
        <f>'Foglio deposito bis'!$F$52*IF(ABS(O102)&lt;'Sollecitazioni nel paramento'!$G$58,ABS(O102)*'Sollecitazioni nel paramento'!$G$54,'Sollecitazioni nel paramento'!$G$53)*IF(O102&lt;0,-1,1)</f>
        <v>240946.49743184328</v>
      </c>
      <c r="V102" s="472">
        <f t="shared" si="10"/>
        <v>87895.402815827983</v>
      </c>
      <c r="W102" s="551"/>
      <c r="X102" s="551"/>
    </row>
    <row r="103" spans="1:24" x14ac:dyDescent="0.25">
      <c r="A103" s="545">
        <f t="shared" si="9"/>
        <v>81721.340244117891</v>
      </c>
      <c r="B103" s="3">
        <f t="shared" si="11"/>
        <v>4.8999999999999906</v>
      </c>
      <c r="C103" s="545">
        <f>'Foglio deposito bis'!$E$153/$B$247*B103</f>
        <v>15.882041421308735</v>
      </c>
      <c r="D103" s="603">
        <f>-'Sollecitazioni nel paramento'!$G$47*'Sollecitazioni nel paramento'!$G$41*IF(DATI!$G$211="dx",DATI!$E$61,DATI!$E$64*DATI!$E$63)*1000*C103^2*sezione!$AD$5*(1-sezione!$AD$6)</f>
        <v>-5611982.0560546163</v>
      </c>
      <c r="E103" s="545">
        <f>-'Foglio deposito bis'!$F$48*(C103-sezione!$AL$27)*IF(ABS(K103)&lt;'Sollecitazioni nel paramento'!$G$58,ABS(K103)*'Sollecitazioni nel paramento'!$G$54,'Sollecitazioni nel paramento'!$G$53)</f>
        <v>0</v>
      </c>
      <c r="F103" s="545">
        <f>-'Foglio deposito bis'!$F$49*(C103-sezione!$AM$27)*IF(ABS(L103)&lt;'Sollecitazioni nel paramento'!$G$58,ABS(L103)*'Sollecitazioni nel paramento'!$G$54,'Sollecitazioni nel paramento'!$G$53)</f>
        <v>9039173.1236214321</v>
      </c>
      <c r="G103" s="545">
        <f>-'Foglio deposito bis'!$F$50*(C103-sezione!$AN$27)*IF(ABS(M103)&lt;'Sollecitazioni nel paramento'!$G$58,ABS(M103)*'Sollecitazioni nel paramento'!$G$54,'Sollecitazioni nel paramento'!$G$53)</f>
        <v>0</v>
      </c>
      <c r="H103" s="545">
        <f>-'Foglio deposito bis'!$F$51*(C103-sezione!$AO$27)*IF(ABS(N103)&lt;'Sollecitazioni nel paramento'!$G$58,ABS(N103)*'Sollecitazioni nel paramento'!$G$54,'Sollecitazioni nel paramento'!$G$53)</f>
        <v>34724717.336563133</v>
      </c>
      <c r="I103" s="472">
        <f>-'Foglio deposito bis'!$F$52*(C103-sezione!$AP$27)*IF(ABS(O103)&lt;'Sollecitazioni nel paramento'!$G$58,ABS(O103)*'Sollecitazioni nel paramento'!$G$54,'Sollecitazioni nel paramento'!$G$53)</f>
        <v>44248637.128174044</v>
      </c>
      <c r="J103" s="472">
        <f t="shared" si="8"/>
        <v>82400545.532303989</v>
      </c>
      <c r="K103" s="550">
        <f>'Sollecitazioni nel paramento'!$G$60*(sezione!$AL$27-C103)/C103</f>
        <v>5.3149877138693119E-3</v>
      </c>
      <c r="L103" s="550">
        <f>'Sollecitazioni nel paramento'!$G$60*(sezione!$AM$27-C103)/C103</f>
        <v>9.7224815708039682E-3</v>
      </c>
      <c r="M103" s="551">
        <f>'Sollecitazioni nel paramento'!$G$60*(sezione!$AN$27-C103)/C103</f>
        <v>1.4129975427738624E-2</v>
      </c>
      <c r="N103" s="551">
        <f>'Sollecitazioni nel paramento'!$G$60*(sezione!$AO$27-C103)/C103</f>
        <v>3.1759950855477247E-2</v>
      </c>
      <c r="O103" s="551">
        <f>'Sollecitazioni nel paramento'!$G$60*(sezione!$AP$27-C103)/C103</f>
        <v>4.0470726571845042E-2</v>
      </c>
      <c r="P103" s="545">
        <f>-'Sollecitazioni nel paramento'!$G$47*'Sollecitazioni nel paramento'!$G$41*IF(DATI!$G$211="dx",DATI!$E$61,DATI!$E$64*DATI!$E$63)*1000*C103*sezione!$AD$5</f>
        <v>-605058.13202759868</v>
      </c>
      <c r="Q103" s="545">
        <f>'Foglio deposito bis'!$F$48*IF(ABS(K103)&lt;'Sollecitazioni nel paramento'!$G$58,ABS(K103)*'Sollecitazioni nel paramento'!$G$54,'Sollecitazioni nel paramento'!$G$53)*IF(K103&lt;0,-1,1)</f>
        <v>0</v>
      </c>
      <c r="R103" s="545">
        <f>'Foglio deposito bis'!$F$49*IF(ABS(L103)&lt;'Sollecitazioni nel paramento'!$G$58,ABS(L103)*'Sollecitazioni nel paramento'!$G$54,'Sollecitazioni nel paramento'!$G$53)*IF(L103&lt;0,-1,1)</f>
        <v>204886.47740803001</v>
      </c>
      <c r="S103" s="545">
        <f>'Foglio deposito bis'!$F$50*IF(ABS(M103)&lt;'Sollecitazioni nel paramento'!$G$58,ABS(M103)*'Sollecitazioni nel paramento'!$G$54,'Sollecitazioni nel paramento'!$G$53)*IF(M103&lt;0,-1,1)</f>
        <v>0</v>
      </c>
      <c r="T103" s="545">
        <f>'Foglio deposito bis'!$F$51*IF(ABS(N103)&lt;'Sollecitazioni nel paramento'!$G$58,ABS(N103)*'Sollecitazioni nel paramento'!$G$54,'Sollecitazioni nel paramento'!$G$53)*IF(N103&lt;0,-1,1)</f>
        <v>240946.49743184328</v>
      </c>
      <c r="U103" s="545">
        <f>'Foglio deposito bis'!$F$52*IF(ABS(O103)&lt;'Sollecitazioni nel paramento'!$G$58,ABS(O103)*'Sollecitazioni nel paramento'!$G$54,'Sollecitazioni nel paramento'!$G$53)*IF(O103&lt;0,-1,1)</f>
        <v>240946.49743184328</v>
      </c>
      <c r="V103" s="472">
        <f t="shared" si="10"/>
        <v>81721.340244117891</v>
      </c>
      <c r="W103" s="551"/>
      <c r="X103" s="551"/>
    </row>
    <row r="104" spans="1:24" x14ac:dyDescent="0.25">
      <c r="A104" s="545">
        <f t="shared" si="9"/>
        <v>75547.277672407683</v>
      </c>
      <c r="B104" s="3">
        <f t="shared" si="11"/>
        <v>4.9499999999999904</v>
      </c>
      <c r="C104" s="545">
        <f>'Foglio deposito bis'!$E$153/$B$247*B104</f>
        <v>16.044103068464945</v>
      </c>
      <c r="D104" s="603">
        <f>-'Sollecitazioni nel paramento'!$G$47*'Sollecitazioni nel paramento'!$G$41*IF(DATI!$G$211="dx",DATI!$E$61,DATI!$E$64*DATI!$E$63)*1000*C104^2*sezione!$AD$5*(1-sezione!$AD$6)</f>
        <v>-5727096.6400865559</v>
      </c>
      <c r="E104" s="545">
        <f>-'Foglio deposito bis'!$F$48*(C104-sezione!$AL$27)*IF(ABS(K104)&lt;'Sollecitazioni nel paramento'!$G$58,ABS(K104)*'Sollecitazioni nel paramento'!$G$54,'Sollecitazioni nel paramento'!$G$53)</f>
        <v>0</v>
      </c>
      <c r="F104" s="545">
        <f>-'Foglio deposito bis'!$F$49*(C104-sezione!$AM$27)*IF(ABS(L104)&lt;'Sollecitazioni nel paramento'!$G$58,ABS(L104)*'Sollecitazioni nel paramento'!$G$54,'Sollecitazioni nel paramento'!$G$53)</f>
        <v>9005968.8836126532</v>
      </c>
      <c r="G104" s="545">
        <f>-'Foglio deposito bis'!$F$50*(C104-sezione!$AN$27)*IF(ABS(M104)&lt;'Sollecitazioni nel paramento'!$G$58,ABS(M104)*'Sollecitazioni nel paramento'!$G$54,'Sollecitazioni nel paramento'!$G$53)</f>
        <v>0</v>
      </c>
      <c r="H104" s="545">
        <f>-'Foglio deposito bis'!$F$51*(C104-sezione!$AO$27)*IF(ABS(N104)&lt;'Sollecitazioni nel paramento'!$G$58,ABS(N104)*'Sollecitazioni nel paramento'!$G$54,'Sollecitazioni nel paramento'!$G$53)</f>
        <v>34685669.150312804</v>
      </c>
      <c r="I104" s="472">
        <f>-'Foglio deposito bis'!$F$52*(C104-sezione!$AP$27)*IF(ABS(O104)&lt;'Sollecitazioni nel paramento'!$G$58,ABS(O104)*'Sollecitazioni nel paramento'!$G$54,'Sollecitazioni nel paramento'!$G$53)</f>
        <v>44209588.941923723</v>
      </c>
      <c r="J104" s="472">
        <f t="shared" si="8"/>
        <v>82174130.33576262</v>
      </c>
      <c r="K104" s="550">
        <f>'Sollecitazioni nel paramento'!$G$60*(sezione!$AL$27-C104)/C104</f>
        <v>5.2259474339312389E-3</v>
      </c>
      <c r="L104" s="550">
        <f>'Sollecitazioni nel paramento'!$G$60*(sezione!$AM$27-C104)/C104</f>
        <v>9.588921150896856E-3</v>
      </c>
      <c r="M104" s="551">
        <f>'Sollecitazioni nel paramento'!$G$60*(sezione!$AN$27-C104)/C104</f>
        <v>1.3951894867862476E-2</v>
      </c>
      <c r="N104" s="551">
        <f>'Sollecitazioni nel paramento'!$G$60*(sezione!$AO$27-C104)/C104</f>
        <v>3.1403789735724955E-2</v>
      </c>
      <c r="O104" s="551">
        <f>'Sollecitazioni nel paramento'!$G$60*(sezione!$AP$27-C104)/C104</f>
        <v>4.0026577818594082E-2</v>
      </c>
      <c r="P104" s="545">
        <f>-'Sollecitazioni nel paramento'!$G$47*'Sollecitazioni nel paramento'!$G$41*IF(DATI!$G$211="dx",DATI!$E$61,DATI!$E$64*DATI!$E$63)*1000*C104*sezione!$AD$5</f>
        <v>-611232.19459930889</v>
      </c>
      <c r="Q104" s="545">
        <f>'Foglio deposito bis'!$F$48*IF(ABS(K104)&lt;'Sollecitazioni nel paramento'!$G$58,ABS(K104)*'Sollecitazioni nel paramento'!$G$54,'Sollecitazioni nel paramento'!$G$53)*IF(K104&lt;0,-1,1)</f>
        <v>0</v>
      </c>
      <c r="R104" s="545">
        <f>'Foglio deposito bis'!$F$49*IF(ABS(L104)&lt;'Sollecitazioni nel paramento'!$G$58,ABS(L104)*'Sollecitazioni nel paramento'!$G$54,'Sollecitazioni nel paramento'!$G$53)*IF(L104&lt;0,-1,1)</f>
        <v>204886.47740803001</v>
      </c>
      <c r="S104" s="545">
        <f>'Foglio deposito bis'!$F$50*IF(ABS(M104)&lt;'Sollecitazioni nel paramento'!$G$58,ABS(M104)*'Sollecitazioni nel paramento'!$G$54,'Sollecitazioni nel paramento'!$G$53)*IF(M104&lt;0,-1,1)</f>
        <v>0</v>
      </c>
      <c r="T104" s="545">
        <f>'Foglio deposito bis'!$F$51*IF(ABS(N104)&lt;'Sollecitazioni nel paramento'!$G$58,ABS(N104)*'Sollecitazioni nel paramento'!$G$54,'Sollecitazioni nel paramento'!$G$53)*IF(N104&lt;0,-1,1)</f>
        <v>240946.49743184328</v>
      </c>
      <c r="U104" s="545">
        <f>'Foglio deposito bis'!$F$52*IF(ABS(O104)&lt;'Sollecitazioni nel paramento'!$G$58,ABS(O104)*'Sollecitazioni nel paramento'!$G$54,'Sollecitazioni nel paramento'!$G$53)*IF(O104&lt;0,-1,1)</f>
        <v>240946.49743184328</v>
      </c>
      <c r="V104" s="472">
        <f t="shared" si="10"/>
        <v>75547.277672407683</v>
      </c>
      <c r="W104" s="551"/>
      <c r="X104" s="551"/>
    </row>
    <row r="105" spans="1:24" x14ac:dyDescent="0.25">
      <c r="A105" s="545">
        <f t="shared" si="9"/>
        <v>69373.215100697475</v>
      </c>
      <c r="B105" s="3">
        <f t="shared" si="11"/>
        <v>4.9999999999999902</v>
      </c>
      <c r="C105" s="545">
        <f>'Foglio deposito bis'!$E$153/$B$247*B105</f>
        <v>16.206164715621156</v>
      </c>
      <c r="D105" s="603">
        <f>-'Sollecitazioni nel paramento'!$G$47*'Sollecitazioni nel paramento'!$G$41*IF(DATI!$G$211="dx",DATI!$E$61,DATI!$E$64*DATI!$E$63)*1000*C105^2*sezione!$AD$5*(1-sezione!$AD$6)</f>
        <v>-5843379.9000985166</v>
      </c>
      <c r="E105" s="545">
        <f>-'Foglio deposito bis'!$F$48*(C105-sezione!$AL$27)*IF(ABS(K105)&lt;'Sollecitazioni nel paramento'!$G$58,ABS(K105)*'Sollecitazioni nel paramento'!$G$54,'Sollecitazioni nel paramento'!$G$53)</f>
        <v>0</v>
      </c>
      <c r="F105" s="545">
        <f>-'Foglio deposito bis'!$F$49*(C105-sezione!$AM$27)*IF(ABS(L105)&lt;'Sollecitazioni nel paramento'!$G$58,ABS(L105)*'Sollecitazioni nel paramento'!$G$54,'Sollecitazioni nel paramento'!$G$53)</f>
        <v>8972764.6436038744</v>
      </c>
      <c r="G105" s="545">
        <f>-'Foglio deposito bis'!$F$50*(C105-sezione!$AN$27)*IF(ABS(M105)&lt;'Sollecitazioni nel paramento'!$G$58,ABS(M105)*'Sollecitazioni nel paramento'!$G$54,'Sollecitazioni nel paramento'!$G$53)</f>
        <v>0</v>
      </c>
      <c r="H105" s="545">
        <f>-'Foglio deposito bis'!$F$51*(C105-sezione!$AO$27)*IF(ABS(N105)&lt;'Sollecitazioni nel paramento'!$G$58,ABS(N105)*'Sollecitazioni nel paramento'!$G$54,'Sollecitazioni nel paramento'!$G$53)</f>
        <v>34646620.964062482</v>
      </c>
      <c r="I105" s="472">
        <f>-'Foglio deposito bis'!$F$52*(C105-sezione!$AP$27)*IF(ABS(O105)&lt;'Sollecitazioni nel paramento'!$G$58,ABS(O105)*'Sollecitazioni nel paramento'!$G$54,'Sollecitazioni nel paramento'!$G$53)</f>
        <v>44170540.755673394</v>
      </c>
      <c r="J105" s="472">
        <f t="shared" si="8"/>
        <v>81946546.463241234</v>
      </c>
      <c r="K105" s="550">
        <f>'Sollecitazioni nel paramento'!$G$60*(sezione!$AL$27-C105)/C105</f>
        <v>5.1386879595919262E-3</v>
      </c>
      <c r="L105" s="550">
        <f>'Sollecitazioni nel paramento'!$G$60*(sezione!$AM$27-C105)/C105</f>
        <v>9.4580319393878891E-3</v>
      </c>
      <c r="M105" s="551">
        <f>'Sollecitazioni nel paramento'!$G$60*(sezione!$AN$27-C105)/C105</f>
        <v>1.3777375919183852E-2</v>
      </c>
      <c r="N105" s="551">
        <f>'Sollecitazioni nel paramento'!$G$60*(sezione!$AO$27-C105)/C105</f>
        <v>3.1054751838367704E-2</v>
      </c>
      <c r="O105" s="551">
        <f>'Sollecitazioni nel paramento'!$G$60*(sezione!$AP$27-C105)/C105</f>
        <v>3.9591312040408146E-2</v>
      </c>
      <c r="P105" s="545">
        <f>-'Sollecitazioni nel paramento'!$G$47*'Sollecitazioni nel paramento'!$G$41*IF(DATI!$G$211="dx",DATI!$E$61,DATI!$E$64*DATI!$E$63)*1000*C105*sezione!$AD$5</f>
        <v>-617406.2571710191</v>
      </c>
      <c r="Q105" s="545">
        <f>'Foglio deposito bis'!$F$48*IF(ABS(K105)&lt;'Sollecitazioni nel paramento'!$G$58,ABS(K105)*'Sollecitazioni nel paramento'!$G$54,'Sollecitazioni nel paramento'!$G$53)*IF(K105&lt;0,-1,1)</f>
        <v>0</v>
      </c>
      <c r="R105" s="545">
        <f>'Foglio deposito bis'!$F$49*IF(ABS(L105)&lt;'Sollecitazioni nel paramento'!$G$58,ABS(L105)*'Sollecitazioni nel paramento'!$G$54,'Sollecitazioni nel paramento'!$G$53)*IF(L105&lt;0,-1,1)</f>
        <v>204886.47740803001</v>
      </c>
      <c r="S105" s="545">
        <f>'Foglio deposito bis'!$F$50*IF(ABS(M105)&lt;'Sollecitazioni nel paramento'!$G$58,ABS(M105)*'Sollecitazioni nel paramento'!$G$54,'Sollecitazioni nel paramento'!$G$53)*IF(M105&lt;0,-1,1)</f>
        <v>0</v>
      </c>
      <c r="T105" s="545">
        <f>'Foglio deposito bis'!$F$51*IF(ABS(N105)&lt;'Sollecitazioni nel paramento'!$G$58,ABS(N105)*'Sollecitazioni nel paramento'!$G$54,'Sollecitazioni nel paramento'!$G$53)*IF(N105&lt;0,-1,1)</f>
        <v>240946.49743184328</v>
      </c>
      <c r="U105" s="545">
        <f>'Foglio deposito bis'!$F$52*IF(ABS(O105)&lt;'Sollecitazioni nel paramento'!$G$58,ABS(O105)*'Sollecitazioni nel paramento'!$G$54,'Sollecitazioni nel paramento'!$G$53)*IF(O105&lt;0,-1,1)</f>
        <v>240946.49743184328</v>
      </c>
      <c r="V105" s="472">
        <f t="shared" si="10"/>
        <v>69373.215100697475</v>
      </c>
      <c r="W105" s="551"/>
      <c r="X105" s="551"/>
    </row>
    <row r="106" spans="1:24" x14ac:dyDescent="0.25">
      <c r="A106" s="545">
        <f t="shared" si="9"/>
        <v>63199.152528987266</v>
      </c>
      <c r="B106" s="3">
        <f t="shared" si="11"/>
        <v>5.0499999999999901</v>
      </c>
      <c r="C106" s="545">
        <f>'Foglio deposito bis'!$E$153/$B$247*B106</f>
        <v>16.368226362777371</v>
      </c>
      <c r="D106" s="603">
        <f>-'Sollecitazioni nel paramento'!$G$47*'Sollecitazioni nel paramento'!$G$41*IF(DATI!$G$211="dx",DATI!$E$61,DATI!$E$64*DATI!$E$63)*1000*C106^2*sezione!$AD$5*(1-sezione!$AD$6)</f>
        <v>-5960831.8360904986</v>
      </c>
      <c r="E106" s="545">
        <f>-'Foglio deposito bis'!$F$48*(C106-sezione!$AL$27)*IF(ABS(K106)&lt;'Sollecitazioni nel paramento'!$G$58,ABS(K106)*'Sollecitazioni nel paramento'!$G$54,'Sollecitazioni nel paramento'!$G$53)</f>
        <v>0</v>
      </c>
      <c r="F106" s="545">
        <f>-'Foglio deposito bis'!$F$49*(C106-sezione!$AM$27)*IF(ABS(L106)&lt;'Sollecitazioni nel paramento'!$G$58,ABS(L106)*'Sollecitazioni nel paramento'!$G$54,'Sollecitazioni nel paramento'!$G$53)</f>
        <v>8939560.4035950936</v>
      </c>
      <c r="G106" s="545">
        <f>-'Foglio deposito bis'!$F$50*(C106-sezione!$AN$27)*IF(ABS(M106)&lt;'Sollecitazioni nel paramento'!$G$58,ABS(M106)*'Sollecitazioni nel paramento'!$G$54,'Sollecitazioni nel paramento'!$G$53)</f>
        <v>0</v>
      </c>
      <c r="H106" s="545">
        <f>-'Foglio deposito bis'!$F$51*(C106-sezione!$AO$27)*IF(ABS(N106)&lt;'Sollecitazioni nel paramento'!$G$58,ABS(N106)*'Sollecitazioni nel paramento'!$G$54,'Sollecitazioni nel paramento'!$G$53)</f>
        <v>34607572.777812153</v>
      </c>
      <c r="I106" s="472">
        <f>-'Foglio deposito bis'!$F$52*(C106-sezione!$AP$27)*IF(ABS(O106)&lt;'Sollecitazioni nel paramento'!$G$58,ABS(O106)*'Sollecitazioni nel paramento'!$G$54,'Sollecitazioni nel paramento'!$G$53)</f>
        <v>44131492.569423072</v>
      </c>
      <c r="J106" s="472">
        <f t="shared" si="8"/>
        <v>81717793.914739817</v>
      </c>
      <c r="K106" s="550">
        <f>'Sollecitazioni nel paramento'!$G$60*(sezione!$AL$27-C106)/C106</f>
        <v>5.0531563956355699E-3</v>
      </c>
      <c r="L106" s="550">
        <f>'Sollecitazioni nel paramento'!$G$60*(sezione!$AM$27-C106)/C106</f>
        <v>9.3297345934533552E-3</v>
      </c>
      <c r="M106" s="551">
        <f>'Sollecitazioni nel paramento'!$G$60*(sezione!$AN$27-C106)/C106</f>
        <v>1.360631279127114E-2</v>
      </c>
      <c r="N106" s="551">
        <f>'Sollecitazioni nel paramento'!$G$60*(sezione!$AO$27-C106)/C106</f>
        <v>3.0712625582542279E-2</v>
      </c>
      <c r="O106" s="551">
        <f>'Sollecitazioni nel paramento'!$G$60*(sezione!$AP$27-C106)/C106</f>
        <v>3.9164665386542709E-2</v>
      </c>
      <c r="P106" s="545">
        <f>-'Sollecitazioni nel paramento'!$G$47*'Sollecitazioni nel paramento'!$G$41*IF(DATI!$G$211="dx",DATI!$E$61,DATI!$E$64*DATI!$E$63)*1000*C106*sezione!$AD$5</f>
        <v>-623580.31974272931</v>
      </c>
      <c r="Q106" s="545">
        <f>'Foglio deposito bis'!$F$48*IF(ABS(K106)&lt;'Sollecitazioni nel paramento'!$G$58,ABS(K106)*'Sollecitazioni nel paramento'!$G$54,'Sollecitazioni nel paramento'!$G$53)*IF(K106&lt;0,-1,1)</f>
        <v>0</v>
      </c>
      <c r="R106" s="545">
        <f>'Foglio deposito bis'!$F$49*IF(ABS(L106)&lt;'Sollecitazioni nel paramento'!$G$58,ABS(L106)*'Sollecitazioni nel paramento'!$G$54,'Sollecitazioni nel paramento'!$G$53)*IF(L106&lt;0,-1,1)</f>
        <v>204886.47740803001</v>
      </c>
      <c r="S106" s="545">
        <f>'Foglio deposito bis'!$F$50*IF(ABS(M106)&lt;'Sollecitazioni nel paramento'!$G$58,ABS(M106)*'Sollecitazioni nel paramento'!$G$54,'Sollecitazioni nel paramento'!$G$53)*IF(M106&lt;0,-1,1)</f>
        <v>0</v>
      </c>
      <c r="T106" s="545">
        <f>'Foglio deposito bis'!$F$51*IF(ABS(N106)&lt;'Sollecitazioni nel paramento'!$G$58,ABS(N106)*'Sollecitazioni nel paramento'!$G$54,'Sollecitazioni nel paramento'!$G$53)*IF(N106&lt;0,-1,1)</f>
        <v>240946.49743184328</v>
      </c>
      <c r="U106" s="545">
        <f>'Foglio deposito bis'!$F$52*IF(ABS(O106)&lt;'Sollecitazioni nel paramento'!$G$58,ABS(O106)*'Sollecitazioni nel paramento'!$G$54,'Sollecitazioni nel paramento'!$G$53)*IF(O106&lt;0,-1,1)</f>
        <v>240946.49743184328</v>
      </c>
      <c r="V106" s="472">
        <f t="shared" si="10"/>
        <v>63199.152528987266</v>
      </c>
      <c r="W106" s="551"/>
      <c r="X106" s="551"/>
    </row>
    <row r="107" spans="1:24" x14ac:dyDescent="0.25">
      <c r="A107" s="545">
        <f t="shared" si="9"/>
        <v>57025.089957277058</v>
      </c>
      <c r="B107" s="3">
        <f t="shared" si="11"/>
        <v>5.0999999999999899</v>
      </c>
      <c r="C107" s="545">
        <f>'Foglio deposito bis'!$E$153/$B$247*B107</f>
        <v>16.530288009933582</v>
      </c>
      <c r="D107" s="603">
        <f>-'Sollecitazioni nel paramento'!$G$47*'Sollecitazioni nel paramento'!$G$41*IF(DATI!$G$211="dx",DATI!$E$61,DATI!$E$64*DATI!$E$63)*1000*C107^2*sezione!$AD$5*(1-sezione!$AD$6)</f>
        <v>-6079452.4480624981</v>
      </c>
      <c r="E107" s="545">
        <f>-'Foglio deposito bis'!$F$48*(C107-sezione!$AL$27)*IF(ABS(K107)&lt;'Sollecitazioni nel paramento'!$G$58,ABS(K107)*'Sollecitazioni nel paramento'!$G$54,'Sollecitazioni nel paramento'!$G$53)</f>
        <v>0</v>
      </c>
      <c r="F107" s="545">
        <f>-'Foglio deposito bis'!$F$49*(C107-sezione!$AM$27)*IF(ABS(L107)&lt;'Sollecitazioni nel paramento'!$G$58,ABS(L107)*'Sollecitazioni nel paramento'!$G$54,'Sollecitazioni nel paramento'!$G$53)</f>
        <v>8906356.1635863148</v>
      </c>
      <c r="G107" s="545">
        <f>-'Foglio deposito bis'!$F$50*(C107-sezione!$AN$27)*IF(ABS(M107)&lt;'Sollecitazioni nel paramento'!$G$58,ABS(M107)*'Sollecitazioni nel paramento'!$G$54,'Sollecitazioni nel paramento'!$G$53)</f>
        <v>0</v>
      </c>
      <c r="H107" s="545">
        <f>-'Foglio deposito bis'!$F$51*(C107-sezione!$AO$27)*IF(ABS(N107)&lt;'Sollecitazioni nel paramento'!$G$58,ABS(N107)*'Sollecitazioni nel paramento'!$G$54,'Sollecitazioni nel paramento'!$G$53)</f>
        <v>34568524.591561839</v>
      </c>
      <c r="I107" s="472">
        <f>-'Foglio deposito bis'!$F$52*(C107-sezione!$AP$27)*IF(ABS(O107)&lt;'Sollecitazioni nel paramento'!$G$58,ABS(O107)*'Sollecitazioni nel paramento'!$G$54,'Sollecitazioni nel paramento'!$G$53)</f>
        <v>44092444.38317275</v>
      </c>
      <c r="J107" s="472">
        <f t="shared" si="8"/>
        <v>81487872.690258414</v>
      </c>
      <c r="K107" s="550">
        <f>'Sollecitazioni nel paramento'!$G$60*(sezione!$AL$27-C107)/C107</f>
        <v>4.9693019211685544E-3</v>
      </c>
      <c r="L107" s="550">
        <f>'Sollecitazioni nel paramento'!$G$60*(sezione!$AM$27-C107)/C107</f>
        <v>9.2039528817528301E-3</v>
      </c>
      <c r="M107" s="551">
        <f>'Sollecitazioni nel paramento'!$G$60*(sezione!$AN$27-C107)/C107</f>
        <v>1.3438603842337108E-2</v>
      </c>
      <c r="N107" s="551">
        <f>'Sollecitazioni nel paramento'!$G$60*(sezione!$AO$27-C107)/C107</f>
        <v>3.037720768467422E-2</v>
      </c>
      <c r="O107" s="551">
        <f>'Sollecitazioni nel paramento'!$G$60*(sezione!$AP$27-C107)/C107</f>
        <v>3.8746384353341316E-2</v>
      </c>
      <c r="P107" s="545">
        <f>-'Sollecitazioni nel paramento'!$G$47*'Sollecitazioni nel paramento'!$G$41*IF(DATI!$G$211="dx",DATI!$E$61,DATI!$E$64*DATI!$E$63)*1000*C107*sezione!$AD$5</f>
        <v>-629754.38231443951</v>
      </c>
      <c r="Q107" s="545">
        <f>'Foglio deposito bis'!$F$48*IF(ABS(K107)&lt;'Sollecitazioni nel paramento'!$G$58,ABS(K107)*'Sollecitazioni nel paramento'!$G$54,'Sollecitazioni nel paramento'!$G$53)*IF(K107&lt;0,-1,1)</f>
        <v>0</v>
      </c>
      <c r="R107" s="545">
        <f>'Foglio deposito bis'!$F$49*IF(ABS(L107)&lt;'Sollecitazioni nel paramento'!$G$58,ABS(L107)*'Sollecitazioni nel paramento'!$G$54,'Sollecitazioni nel paramento'!$G$53)*IF(L107&lt;0,-1,1)</f>
        <v>204886.47740803001</v>
      </c>
      <c r="S107" s="545">
        <f>'Foglio deposito bis'!$F$50*IF(ABS(M107)&lt;'Sollecitazioni nel paramento'!$G$58,ABS(M107)*'Sollecitazioni nel paramento'!$G$54,'Sollecitazioni nel paramento'!$G$53)*IF(M107&lt;0,-1,1)</f>
        <v>0</v>
      </c>
      <c r="T107" s="545">
        <f>'Foglio deposito bis'!$F$51*IF(ABS(N107)&lt;'Sollecitazioni nel paramento'!$G$58,ABS(N107)*'Sollecitazioni nel paramento'!$G$54,'Sollecitazioni nel paramento'!$G$53)*IF(N107&lt;0,-1,1)</f>
        <v>240946.49743184328</v>
      </c>
      <c r="U107" s="545">
        <f>'Foglio deposito bis'!$F$52*IF(ABS(O107)&lt;'Sollecitazioni nel paramento'!$G$58,ABS(O107)*'Sollecitazioni nel paramento'!$G$54,'Sollecitazioni nel paramento'!$G$53)*IF(O107&lt;0,-1,1)</f>
        <v>240946.49743184328</v>
      </c>
      <c r="V107" s="472">
        <f t="shared" si="10"/>
        <v>57025.089957277058</v>
      </c>
      <c r="W107" s="551"/>
      <c r="X107" s="551"/>
    </row>
    <row r="108" spans="1:24" x14ac:dyDescent="0.25">
      <c r="A108" s="545">
        <f t="shared" si="9"/>
        <v>32328.839670436224</v>
      </c>
      <c r="B108" s="3">
        <f>B107+0.2</f>
        <v>5.2999999999999901</v>
      </c>
      <c r="C108" s="545">
        <f>'Foglio deposito bis'!$E$153/$B$247*B108</f>
        <v>17.178534598558429</v>
      </c>
      <c r="D108" s="603">
        <f>-'Sollecitazioni nel paramento'!$G$47*'Sollecitazioni nel paramento'!$G$41*IF(DATI!$G$211="dx",DATI!$E$61,DATI!$E$64*DATI!$E$63)*1000*C108^2*sezione!$AD$5*(1-sezione!$AD$6)</f>
        <v>-6565621.6557506947</v>
      </c>
      <c r="E108" s="545">
        <f>-'Foglio deposito bis'!$F$48*(C108-sezione!$AL$27)*IF(ABS(K108)&lt;'Sollecitazioni nel paramento'!$G$58,ABS(K108)*'Sollecitazioni nel paramento'!$G$54,'Sollecitazioni nel paramento'!$G$53)</f>
        <v>0</v>
      </c>
      <c r="F108" s="545">
        <f>-'Foglio deposito bis'!$F$49*(C108-sezione!$AM$27)*IF(ABS(L108)&lt;'Sollecitazioni nel paramento'!$G$58,ABS(L108)*'Sollecitazioni nel paramento'!$G$54,'Sollecitazioni nel paramento'!$G$53)</f>
        <v>8773539.2035511974</v>
      </c>
      <c r="G108" s="545">
        <f>-'Foglio deposito bis'!$F$50*(C108-sezione!$AN$27)*IF(ABS(M108)&lt;'Sollecitazioni nel paramento'!$G$58,ABS(M108)*'Sollecitazioni nel paramento'!$G$54,'Sollecitazioni nel paramento'!$G$53)</f>
        <v>0</v>
      </c>
      <c r="H108" s="545">
        <f>-'Foglio deposito bis'!$F$51*(C108-sezione!$AO$27)*IF(ABS(N108)&lt;'Sollecitazioni nel paramento'!$G$58,ABS(N108)*'Sollecitazioni nel paramento'!$G$54,'Sollecitazioni nel paramento'!$G$53)</f>
        <v>34412331.84656053</v>
      </c>
      <c r="I108" s="472">
        <f>-'Foglio deposito bis'!$F$52*(C108-sezione!$AP$27)*IF(ABS(O108)&lt;'Sollecitazioni nel paramento'!$G$58,ABS(O108)*'Sollecitazioni nel paramento'!$G$54,'Sollecitazioni nel paramento'!$G$53)</f>
        <v>43936251.638171449</v>
      </c>
      <c r="J108" s="472">
        <f t="shared" si="8"/>
        <v>80556501.032532483</v>
      </c>
      <c r="K108" s="550">
        <f>'Sollecitazioni nel paramento'!$G$60*(sezione!$AL$27-C108)/C108</f>
        <v>4.6497056222565333E-3</v>
      </c>
      <c r="L108" s="550">
        <f>'Sollecitazioni nel paramento'!$G$60*(sezione!$AM$27-C108)/C108</f>
        <v>8.7245584333848006E-3</v>
      </c>
      <c r="M108" s="551">
        <f>'Sollecitazioni nel paramento'!$G$60*(sezione!$AN$27-C108)/C108</f>
        <v>1.2799411244513066E-2</v>
      </c>
      <c r="N108" s="551">
        <f>'Sollecitazioni nel paramento'!$G$60*(sezione!$AO$27-C108)/C108</f>
        <v>2.9098822489026132E-2</v>
      </c>
      <c r="O108" s="551">
        <f>'Sollecitazioni nel paramento'!$G$60*(sezione!$AP$27-C108)/C108</f>
        <v>3.7152181170196356E-2</v>
      </c>
      <c r="P108" s="545">
        <f>-'Sollecitazioni nel paramento'!$G$47*'Sollecitazioni nel paramento'!$G$41*IF(DATI!$G$211="dx",DATI!$E$61,DATI!$E$64*DATI!$E$63)*1000*C108*sezione!$AD$5</f>
        <v>-654450.63260128035</v>
      </c>
      <c r="Q108" s="545">
        <f>'Foglio deposito bis'!$F$48*IF(ABS(K108)&lt;'Sollecitazioni nel paramento'!$G$58,ABS(K108)*'Sollecitazioni nel paramento'!$G$54,'Sollecitazioni nel paramento'!$G$53)*IF(K108&lt;0,-1,1)</f>
        <v>0</v>
      </c>
      <c r="R108" s="545">
        <f>'Foglio deposito bis'!$F$49*IF(ABS(L108)&lt;'Sollecitazioni nel paramento'!$G$58,ABS(L108)*'Sollecitazioni nel paramento'!$G$54,'Sollecitazioni nel paramento'!$G$53)*IF(L108&lt;0,-1,1)</f>
        <v>204886.47740803001</v>
      </c>
      <c r="S108" s="545">
        <f>'Foglio deposito bis'!$F$50*IF(ABS(M108)&lt;'Sollecitazioni nel paramento'!$G$58,ABS(M108)*'Sollecitazioni nel paramento'!$G$54,'Sollecitazioni nel paramento'!$G$53)*IF(M108&lt;0,-1,1)</f>
        <v>0</v>
      </c>
      <c r="T108" s="545">
        <f>'Foglio deposito bis'!$F$51*IF(ABS(N108)&lt;'Sollecitazioni nel paramento'!$G$58,ABS(N108)*'Sollecitazioni nel paramento'!$G$54,'Sollecitazioni nel paramento'!$G$53)*IF(N108&lt;0,-1,1)</f>
        <v>240946.49743184328</v>
      </c>
      <c r="U108" s="545">
        <f>'Foglio deposito bis'!$F$52*IF(ABS(O108)&lt;'Sollecitazioni nel paramento'!$G$58,ABS(O108)*'Sollecitazioni nel paramento'!$G$54,'Sollecitazioni nel paramento'!$G$53)*IF(O108&lt;0,-1,1)</f>
        <v>240946.49743184328</v>
      </c>
      <c r="V108" s="472">
        <f t="shared" si="10"/>
        <v>32328.839670436224</v>
      </c>
      <c r="W108" s="551"/>
      <c r="X108" s="551"/>
    </row>
    <row r="109" spans="1:24" x14ac:dyDescent="0.25">
      <c r="A109" s="545">
        <f t="shared" si="9"/>
        <v>7632.5893835955067</v>
      </c>
      <c r="B109" s="3">
        <f t="shared" ref="B109:B172" si="12">B108+0.2</f>
        <v>5.4999999999999902</v>
      </c>
      <c r="C109" s="545">
        <f>'Foglio deposito bis'!$E$153/$B$247*B109</f>
        <v>17.826781187183276</v>
      </c>
      <c r="D109" s="603">
        <f>-'Sollecitazioni nel paramento'!$G$47*'Sollecitazioni nel paramento'!$G$41*IF(DATI!$G$211="dx",DATI!$E$61,DATI!$E$64*DATI!$E$63)*1000*C109^2*sezione!$AD$5*(1-sezione!$AD$6)</f>
        <v>-7070489.6791192079</v>
      </c>
      <c r="E109" s="545">
        <f>-'Foglio deposito bis'!$F$48*(C109-sezione!$AL$27)*IF(ABS(K109)&lt;'Sollecitazioni nel paramento'!$G$58,ABS(K109)*'Sollecitazioni nel paramento'!$G$54,'Sollecitazioni nel paramento'!$G$53)</f>
        <v>0</v>
      </c>
      <c r="F109" s="545">
        <f>-'Foglio deposito bis'!$F$49*(C109-sezione!$AM$27)*IF(ABS(L109)&lt;'Sollecitazioni nel paramento'!$G$58,ABS(L109)*'Sollecitazioni nel paramento'!$G$54,'Sollecitazioni nel paramento'!$G$53)</f>
        <v>8640722.2435160801</v>
      </c>
      <c r="G109" s="545">
        <f>-'Foglio deposito bis'!$F$50*(C109-sezione!$AN$27)*IF(ABS(M109)&lt;'Sollecitazioni nel paramento'!$G$58,ABS(M109)*'Sollecitazioni nel paramento'!$G$54,'Sollecitazioni nel paramento'!$G$53)</f>
        <v>0</v>
      </c>
      <c r="H109" s="545">
        <f>-'Foglio deposito bis'!$F$51*(C109-sezione!$AO$27)*IF(ABS(N109)&lt;'Sollecitazioni nel paramento'!$G$58,ABS(N109)*'Sollecitazioni nel paramento'!$G$54,'Sollecitazioni nel paramento'!$G$53)</f>
        <v>34256139.101559237</v>
      </c>
      <c r="I109" s="472">
        <f>-'Foglio deposito bis'!$F$52*(C109-sezione!$AP$27)*IF(ABS(O109)&lt;'Sollecitazioni nel paramento'!$G$58,ABS(O109)*'Sollecitazioni nel paramento'!$G$54,'Sollecitazioni nel paramento'!$G$53)</f>
        <v>43780058.893170148</v>
      </c>
      <c r="J109" s="472">
        <f t="shared" si="8"/>
        <v>79606430.559126258</v>
      </c>
      <c r="K109" s="550">
        <f>'Sollecitazioni nel paramento'!$G$60*(sezione!$AL$27-C109)/C109</f>
        <v>4.3533526905381132E-3</v>
      </c>
      <c r="L109" s="550">
        <f>'Sollecitazioni nel paramento'!$G$60*(sezione!$AM$27-C109)/C109</f>
        <v>8.280029035807171E-3</v>
      </c>
      <c r="M109" s="551">
        <f>'Sollecitazioni nel paramento'!$G$60*(sezione!$AN$27-C109)/C109</f>
        <v>1.2206705381076228E-2</v>
      </c>
      <c r="N109" s="551">
        <f>'Sollecitazioni nel paramento'!$G$60*(sezione!$AO$27-C109)/C109</f>
        <v>2.7913410762152452E-2</v>
      </c>
      <c r="O109" s="551">
        <f>'Sollecitazioni nel paramento'!$G$60*(sezione!$AP$27-C109)/C109</f>
        <v>3.5673920036734662E-2</v>
      </c>
      <c r="P109" s="545">
        <f>-'Sollecitazioni nel paramento'!$G$47*'Sollecitazioni nel paramento'!$G$41*IF(DATI!$G$211="dx",DATI!$E$61,DATI!$E$64*DATI!$E$63)*1000*C109*sezione!$AD$5</f>
        <v>-679146.88288812106</v>
      </c>
      <c r="Q109" s="545">
        <f>'Foglio deposito bis'!$F$48*IF(ABS(K109)&lt;'Sollecitazioni nel paramento'!$G$58,ABS(K109)*'Sollecitazioni nel paramento'!$G$54,'Sollecitazioni nel paramento'!$G$53)*IF(K109&lt;0,-1,1)</f>
        <v>0</v>
      </c>
      <c r="R109" s="545">
        <f>'Foglio deposito bis'!$F$49*IF(ABS(L109)&lt;'Sollecitazioni nel paramento'!$G$58,ABS(L109)*'Sollecitazioni nel paramento'!$G$54,'Sollecitazioni nel paramento'!$G$53)*IF(L109&lt;0,-1,1)</f>
        <v>204886.47740803001</v>
      </c>
      <c r="S109" s="545">
        <f>'Foglio deposito bis'!$F$50*IF(ABS(M109)&lt;'Sollecitazioni nel paramento'!$G$58,ABS(M109)*'Sollecitazioni nel paramento'!$G$54,'Sollecitazioni nel paramento'!$G$53)*IF(M109&lt;0,-1,1)</f>
        <v>0</v>
      </c>
      <c r="T109" s="545">
        <f>'Foglio deposito bis'!$F$51*IF(ABS(N109)&lt;'Sollecitazioni nel paramento'!$G$58,ABS(N109)*'Sollecitazioni nel paramento'!$G$54,'Sollecitazioni nel paramento'!$G$53)*IF(N109&lt;0,-1,1)</f>
        <v>240946.49743184328</v>
      </c>
      <c r="U109" s="545">
        <f>'Foglio deposito bis'!$F$52*IF(ABS(O109)&lt;'Sollecitazioni nel paramento'!$G$58,ABS(O109)*'Sollecitazioni nel paramento'!$G$54,'Sollecitazioni nel paramento'!$G$53)*IF(O109&lt;0,-1,1)</f>
        <v>240946.49743184328</v>
      </c>
      <c r="V109" s="472">
        <f t="shared" si="10"/>
        <v>7632.5893835955067</v>
      </c>
      <c r="W109" s="551"/>
      <c r="X109" s="551"/>
    </row>
    <row r="110" spans="1:24" x14ac:dyDescent="0.25">
      <c r="A110" s="545">
        <f t="shared" si="9"/>
        <v>17063.660903245443</v>
      </c>
      <c r="B110" s="3">
        <f t="shared" si="12"/>
        <v>5.6999999999999904</v>
      </c>
      <c r="C110" s="545">
        <f>'Foglio deposito bis'!$E$153/$B$247*B110</f>
        <v>18.475027775808126</v>
      </c>
      <c r="D110" s="603">
        <f>-'Sollecitazioni nel paramento'!$G$47*'Sollecitazioni nel paramento'!$G$41*IF(DATI!$G$211="dx",DATI!$E$61,DATI!$E$64*DATI!$E$63)*1000*C110^2*sezione!$AD$5*(1-sezione!$AD$6)</f>
        <v>-7594056.5181680378</v>
      </c>
      <c r="E110" s="545">
        <f>-'Foglio deposito bis'!$F$48*(C110-sezione!$AL$27)*IF(ABS(K110)&lt;'Sollecitazioni nel paramento'!$G$58,ABS(K110)*'Sollecitazioni nel paramento'!$G$54,'Sollecitazioni nel paramento'!$G$53)</f>
        <v>0</v>
      </c>
      <c r="F110" s="545">
        <f>-'Foglio deposito bis'!$F$49*(C110-sezione!$AM$27)*IF(ABS(L110)&lt;'Sollecitazioni nel paramento'!$G$58,ABS(L110)*'Sollecitazioni nel paramento'!$G$54,'Sollecitazioni nel paramento'!$G$53)</f>
        <v>8507905.2834809627</v>
      </c>
      <c r="G110" s="545">
        <f>-'Foglio deposito bis'!$F$50*(C110-sezione!$AN$27)*IF(ABS(M110)&lt;'Sollecitazioni nel paramento'!$G$58,ABS(M110)*'Sollecitazioni nel paramento'!$G$54,'Sollecitazioni nel paramento'!$G$53)</f>
        <v>0</v>
      </c>
      <c r="H110" s="545">
        <f>-'Foglio deposito bis'!$F$51*(C110-sezione!$AO$27)*IF(ABS(N110)&lt;'Sollecitazioni nel paramento'!$G$58,ABS(N110)*'Sollecitazioni nel paramento'!$G$54,'Sollecitazioni nel paramento'!$G$53)</f>
        <v>34099946.356557943</v>
      </c>
      <c r="I110" s="472">
        <f>-'Foglio deposito bis'!$F$52*(C110-sezione!$AP$27)*IF(ABS(O110)&lt;'Sollecitazioni nel paramento'!$G$58,ABS(O110)*'Sollecitazioni nel paramento'!$G$54,'Sollecitazioni nel paramento'!$G$53)</f>
        <v>43623866.148168854</v>
      </c>
      <c r="J110" s="472">
        <f t="shared" si="8"/>
        <v>78637661.270039722</v>
      </c>
      <c r="K110" s="550">
        <f>'Sollecitazioni nel paramento'!$G$60*(sezione!$AL$27-C110)/C110</f>
        <v>4.0777964557823882E-3</v>
      </c>
      <c r="L110" s="550">
        <f>'Sollecitazioni nel paramento'!$G$60*(sezione!$AM$27-C110)/C110</f>
        <v>7.8666946836735818E-3</v>
      </c>
      <c r="M110" s="551">
        <f>'Sollecitazioni nel paramento'!$G$60*(sezione!$AN$27-C110)/C110</f>
        <v>1.1655592911564776E-2</v>
      </c>
      <c r="N110" s="551">
        <f>'Sollecitazioni nel paramento'!$G$60*(sezione!$AO$27-C110)/C110</f>
        <v>2.6811185823129555E-2</v>
      </c>
      <c r="O110" s="551">
        <f>'Sollecitazioni nel paramento'!$G$60*(sezione!$AP$27-C110)/C110</f>
        <v>3.4299396526673791E-2</v>
      </c>
      <c r="P110" s="545">
        <f>-'Sollecitazioni nel paramento'!$G$47*'Sollecitazioni nel paramento'!$G$41*IF(DATI!$G$211="dx",DATI!$E$61,DATI!$E$64*DATI!$E$63)*1000*C110*sezione!$AD$5</f>
        <v>-703843.13317496201</v>
      </c>
      <c r="Q110" s="545">
        <f>'Foglio deposito bis'!$F$48*IF(ABS(K110)&lt;'Sollecitazioni nel paramento'!$G$58,ABS(K110)*'Sollecitazioni nel paramento'!$G$54,'Sollecitazioni nel paramento'!$G$53)*IF(K110&lt;0,-1,1)</f>
        <v>0</v>
      </c>
      <c r="R110" s="545">
        <f>'Foglio deposito bis'!$F$49*IF(ABS(L110)&lt;'Sollecitazioni nel paramento'!$G$58,ABS(L110)*'Sollecitazioni nel paramento'!$G$54,'Sollecitazioni nel paramento'!$G$53)*IF(L110&lt;0,-1,1)</f>
        <v>204886.47740803001</v>
      </c>
      <c r="S110" s="545">
        <f>'Foglio deposito bis'!$F$50*IF(ABS(M110)&lt;'Sollecitazioni nel paramento'!$G$58,ABS(M110)*'Sollecitazioni nel paramento'!$G$54,'Sollecitazioni nel paramento'!$G$53)*IF(M110&lt;0,-1,1)</f>
        <v>0</v>
      </c>
      <c r="T110" s="545">
        <f>'Foglio deposito bis'!$F$51*IF(ABS(N110)&lt;'Sollecitazioni nel paramento'!$G$58,ABS(N110)*'Sollecitazioni nel paramento'!$G$54,'Sollecitazioni nel paramento'!$G$53)*IF(N110&lt;0,-1,1)</f>
        <v>240946.49743184328</v>
      </c>
      <c r="U110" s="545">
        <f>'Foglio deposito bis'!$F$52*IF(ABS(O110)&lt;'Sollecitazioni nel paramento'!$G$58,ABS(O110)*'Sollecitazioni nel paramento'!$G$54,'Sollecitazioni nel paramento'!$G$53)*IF(O110&lt;0,-1,1)</f>
        <v>240946.49743184328</v>
      </c>
      <c r="V110" s="472">
        <f t="shared" si="10"/>
        <v>-17063.660903245443</v>
      </c>
      <c r="W110" s="551"/>
      <c r="X110" s="551"/>
    </row>
    <row r="111" spans="1:24" x14ac:dyDescent="0.25">
      <c r="A111" s="545">
        <f t="shared" si="9"/>
        <v>41759.911190086306</v>
      </c>
      <c r="B111" s="3">
        <f t="shared" si="12"/>
        <v>5.8999999999999906</v>
      </c>
      <c r="C111" s="545">
        <f>'Foglio deposito bis'!$E$153/$B$247*B111</f>
        <v>19.123274364432973</v>
      </c>
      <c r="D111" s="603">
        <f>-'Sollecitazioni nel paramento'!$G$47*'Sollecitazioni nel paramento'!$G$41*IF(DATI!$G$211="dx",DATI!$E$61,DATI!$E$64*DATI!$E$63)*1000*C111^2*sezione!$AD$5*(1-sezione!$AD$6)</f>
        <v>-8136322.1728971815</v>
      </c>
      <c r="E111" s="545">
        <f>-'Foglio deposito bis'!$F$48*(C111-sezione!$AL$27)*IF(ABS(K111)&lt;'Sollecitazioni nel paramento'!$G$58,ABS(K111)*'Sollecitazioni nel paramento'!$G$54,'Sollecitazioni nel paramento'!$G$53)</f>
        <v>0</v>
      </c>
      <c r="F111" s="545">
        <f>-'Foglio deposito bis'!$F$49*(C111-sezione!$AM$27)*IF(ABS(L111)&lt;'Sollecitazioni nel paramento'!$G$58,ABS(L111)*'Sollecitazioni nel paramento'!$G$54,'Sollecitazioni nel paramento'!$G$53)</f>
        <v>8375088.3234458445</v>
      </c>
      <c r="G111" s="545">
        <f>-'Foglio deposito bis'!$F$50*(C111-sezione!$AN$27)*IF(ABS(M111)&lt;'Sollecitazioni nel paramento'!$G$58,ABS(M111)*'Sollecitazioni nel paramento'!$G$54,'Sollecitazioni nel paramento'!$G$53)</f>
        <v>0</v>
      </c>
      <c r="H111" s="545">
        <f>-'Foglio deposito bis'!$F$51*(C111-sezione!$AO$27)*IF(ABS(N111)&lt;'Sollecitazioni nel paramento'!$G$58,ABS(N111)*'Sollecitazioni nel paramento'!$G$54,'Sollecitazioni nel paramento'!$G$53)</f>
        <v>33943753.611556642</v>
      </c>
      <c r="I111" s="472">
        <f>-'Foglio deposito bis'!$F$52*(C111-sezione!$AP$27)*IF(ABS(O111)&lt;'Sollecitazioni nel paramento'!$G$58,ABS(O111)*'Sollecitazioni nel paramento'!$G$54,'Sollecitazioni nel paramento'!$G$53)</f>
        <v>43467673.403167553</v>
      </c>
      <c r="J111" s="472">
        <f t="shared" si="8"/>
        <v>77650193.165272862</v>
      </c>
      <c r="K111" s="550">
        <f>'Sollecitazioni nel paramento'!$G$60*(sezione!$AL$27-C111)/C111</f>
        <v>3.8209219996541721E-3</v>
      </c>
      <c r="L111" s="550">
        <f>'Sollecitazioni nel paramento'!$G$60*(sezione!$AM$27-C111)/C111</f>
        <v>7.4813829994812581E-3</v>
      </c>
      <c r="M111" s="551">
        <f>'Sollecitazioni nel paramento'!$G$60*(sezione!$AN$27-C111)/C111</f>
        <v>1.1141843999308345E-2</v>
      </c>
      <c r="N111" s="551">
        <f>'Sollecitazioni nel paramento'!$G$60*(sezione!$AO$27-C111)/C111</f>
        <v>2.5783687998616689E-2</v>
      </c>
      <c r="O111" s="551">
        <f>'Sollecitazioni nel paramento'!$G$60*(sezione!$AP$27-C111)/C111</f>
        <v>3.3018061051193329E-2</v>
      </c>
      <c r="P111" s="545">
        <f>-'Sollecitazioni nel paramento'!$G$47*'Sollecitazioni nel paramento'!$G$41*IF(DATI!$G$211="dx",DATI!$E$61,DATI!$E$64*DATI!$E$63)*1000*C111*sezione!$AD$5</f>
        <v>-728539.38346180285</v>
      </c>
      <c r="Q111" s="545">
        <f>'Foglio deposito bis'!$F$48*IF(ABS(K111)&lt;'Sollecitazioni nel paramento'!$G$58,ABS(K111)*'Sollecitazioni nel paramento'!$G$54,'Sollecitazioni nel paramento'!$G$53)*IF(K111&lt;0,-1,1)</f>
        <v>0</v>
      </c>
      <c r="R111" s="545">
        <f>'Foglio deposito bis'!$F$49*IF(ABS(L111)&lt;'Sollecitazioni nel paramento'!$G$58,ABS(L111)*'Sollecitazioni nel paramento'!$G$54,'Sollecitazioni nel paramento'!$G$53)*IF(L111&lt;0,-1,1)</f>
        <v>204886.47740803001</v>
      </c>
      <c r="S111" s="545">
        <f>'Foglio deposito bis'!$F$50*IF(ABS(M111)&lt;'Sollecitazioni nel paramento'!$G$58,ABS(M111)*'Sollecitazioni nel paramento'!$G$54,'Sollecitazioni nel paramento'!$G$53)*IF(M111&lt;0,-1,1)</f>
        <v>0</v>
      </c>
      <c r="T111" s="545">
        <f>'Foglio deposito bis'!$F$51*IF(ABS(N111)&lt;'Sollecitazioni nel paramento'!$G$58,ABS(N111)*'Sollecitazioni nel paramento'!$G$54,'Sollecitazioni nel paramento'!$G$53)*IF(N111&lt;0,-1,1)</f>
        <v>240946.49743184328</v>
      </c>
      <c r="U111" s="545">
        <f>'Foglio deposito bis'!$F$52*IF(ABS(O111)&lt;'Sollecitazioni nel paramento'!$G$58,ABS(O111)*'Sollecitazioni nel paramento'!$G$54,'Sollecitazioni nel paramento'!$G$53)*IF(O111&lt;0,-1,1)</f>
        <v>240946.49743184328</v>
      </c>
      <c r="V111" s="472">
        <f t="shared" si="10"/>
        <v>-41759.911190086306</v>
      </c>
      <c r="W111" s="551"/>
      <c r="X111" s="551"/>
    </row>
    <row r="112" spans="1:24" x14ac:dyDescent="0.25">
      <c r="A112" s="545">
        <f t="shared" si="9"/>
        <v>66456.161476926907</v>
      </c>
      <c r="B112" s="3">
        <f t="shared" si="12"/>
        <v>6.0999999999999908</v>
      </c>
      <c r="C112" s="545">
        <f>'Foglio deposito bis'!$E$153/$B$247*B112</f>
        <v>19.77152095305782</v>
      </c>
      <c r="D112" s="603">
        <f>-'Sollecitazioni nel paramento'!$G$47*'Sollecitazioni nel paramento'!$G$41*IF(DATI!$G$211="dx",DATI!$E$61,DATI!$E$64*DATI!$E$63)*1000*C112^2*sezione!$AD$5*(1-sezione!$AD$6)</f>
        <v>-8697286.6433066409</v>
      </c>
      <c r="E112" s="545">
        <f>-'Foglio deposito bis'!$F$48*(C112-sezione!$AL$27)*IF(ABS(K112)&lt;'Sollecitazioni nel paramento'!$G$58,ABS(K112)*'Sollecitazioni nel paramento'!$G$54,'Sollecitazioni nel paramento'!$G$53)</f>
        <v>0</v>
      </c>
      <c r="F112" s="545">
        <f>-'Foglio deposito bis'!$F$49*(C112-sezione!$AM$27)*IF(ABS(L112)&lt;'Sollecitazioni nel paramento'!$G$58,ABS(L112)*'Sollecitazioni nel paramento'!$G$54,'Sollecitazioni nel paramento'!$G$53)</f>
        <v>8242271.363410729</v>
      </c>
      <c r="G112" s="545">
        <f>-'Foglio deposito bis'!$F$50*(C112-sezione!$AN$27)*IF(ABS(M112)&lt;'Sollecitazioni nel paramento'!$G$58,ABS(M112)*'Sollecitazioni nel paramento'!$G$54,'Sollecitazioni nel paramento'!$G$53)</f>
        <v>0</v>
      </c>
      <c r="H112" s="545">
        <f>-'Foglio deposito bis'!$F$51*(C112-sezione!$AO$27)*IF(ABS(N112)&lt;'Sollecitazioni nel paramento'!$G$58,ABS(N112)*'Sollecitazioni nel paramento'!$G$54,'Sollecitazioni nel paramento'!$G$53)</f>
        <v>33787560.866555341</v>
      </c>
      <c r="I112" s="472">
        <f>-'Foglio deposito bis'!$F$52*(C112-sezione!$AP$27)*IF(ABS(O112)&lt;'Sollecitazioni nel paramento'!$G$58,ABS(O112)*'Sollecitazioni nel paramento'!$G$54,'Sollecitazioni nel paramento'!$G$53)</f>
        <v>43311480.65816626</v>
      </c>
      <c r="J112" s="472">
        <f t="shared" si="8"/>
        <v>76644026.244825691</v>
      </c>
      <c r="K112" s="550">
        <f>'Sollecitazioni nel paramento'!$G$60*(sezione!$AL$27-C112)/C112</f>
        <v>3.5808917701573139E-3</v>
      </c>
      <c r="L112" s="550">
        <f>'Sollecitazioni nel paramento'!$G$60*(sezione!$AM$27-C112)/C112</f>
        <v>7.1213376552359715E-3</v>
      </c>
      <c r="M112" s="551">
        <f>'Sollecitazioni nel paramento'!$G$60*(sezione!$AN$27-C112)/C112</f>
        <v>1.0661783540314627E-2</v>
      </c>
      <c r="N112" s="551">
        <f>'Sollecitazioni nel paramento'!$G$60*(sezione!$AO$27-C112)/C112</f>
        <v>2.4823567080629251E-2</v>
      </c>
      <c r="O112" s="551">
        <f>'Sollecitazioni nel paramento'!$G$60*(sezione!$AP$27-C112)/C112</f>
        <v>3.1820747574105017E-2</v>
      </c>
      <c r="P112" s="545">
        <f>-'Sollecitazioni nel paramento'!$G$47*'Sollecitazioni nel paramento'!$G$41*IF(DATI!$G$211="dx",DATI!$E$61,DATI!$E$64*DATI!$E$63)*1000*C112*sezione!$AD$5</f>
        <v>-753235.63374864357</v>
      </c>
      <c r="Q112" s="545">
        <f>'Foglio deposito bis'!$F$48*IF(ABS(K112)&lt;'Sollecitazioni nel paramento'!$G$58,ABS(K112)*'Sollecitazioni nel paramento'!$G$54,'Sollecitazioni nel paramento'!$G$53)*IF(K112&lt;0,-1,1)</f>
        <v>0</v>
      </c>
      <c r="R112" s="545">
        <f>'Foglio deposito bis'!$F$49*IF(ABS(L112)&lt;'Sollecitazioni nel paramento'!$G$58,ABS(L112)*'Sollecitazioni nel paramento'!$G$54,'Sollecitazioni nel paramento'!$G$53)*IF(L112&lt;0,-1,1)</f>
        <v>204886.47740803001</v>
      </c>
      <c r="S112" s="545">
        <f>'Foglio deposito bis'!$F$50*IF(ABS(M112)&lt;'Sollecitazioni nel paramento'!$G$58,ABS(M112)*'Sollecitazioni nel paramento'!$G$54,'Sollecitazioni nel paramento'!$G$53)*IF(M112&lt;0,-1,1)</f>
        <v>0</v>
      </c>
      <c r="T112" s="545">
        <f>'Foglio deposito bis'!$F$51*IF(ABS(N112)&lt;'Sollecitazioni nel paramento'!$G$58,ABS(N112)*'Sollecitazioni nel paramento'!$G$54,'Sollecitazioni nel paramento'!$G$53)*IF(N112&lt;0,-1,1)</f>
        <v>240946.49743184328</v>
      </c>
      <c r="U112" s="545">
        <f>'Foglio deposito bis'!$F$52*IF(ABS(O112)&lt;'Sollecitazioni nel paramento'!$G$58,ABS(O112)*'Sollecitazioni nel paramento'!$G$54,'Sollecitazioni nel paramento'!$G$53)*IF(O112&lt;0,-1,1)</f>
        <v>240946.49743184328</v>
      </c>
      <c r="V112" s="472">
        <f t="shared" si="10"/>
        <v>-66456.161476926907</v>
      </c>
      <c r="W112" s="551"/>
      <c r="X112" s="551"/>
    </row>
    <row r="113" spans="1:24" x14ac:dyDescent="0.25">
      <c r="A113" s="545">
        <f t="shared" si="9"/>
        <v>91152.411763767974</v>
      </c>
      <c r="B113" s="3">
        <f t="shared" si="12"/>
        <v>6.2999999999999909</v>
      </c>
      <c r="C113" s="545">
        <f>'Foglio deposito bis'!$E$153/$B$247*B113</f>
        <v>20.41976754168267</v>
      </c>
      <c r="D113" s="603">
        <f>-'Sollecitazioni nel paramento'!$G$47*'Sollecitazioni nel paramento'!$G$41*IF(DATI!$G$211="dx",DATI!$E$61,DATI!$E$64*DATI!$E$63)*1000*C113^2*sezione!$AD$5*(1-sezione!$AD$6)</f>
        <v>-9276949.929396417</v>
      </c>
      <c r="E113" s="545">
        <f>-'Foglio deposito bis'!$F$48*(C113-sezione!$AL$27)*IF(ABS(K113)&lt;'Sollecitazioni nel paramento'!$G$58,ABS(K113)*'Sollecitazioni nel paramento'!$G$54,'Sollecitazioni nel paramento'!$G$53)</f>
        <v>0</v>
      </c>
      <c r="F113" s="545">
        <f>-'Foglio deposito bis'!$F$49*(C113-sezione!$AM$27)*IF(ABS(L113)&lt;'Sollecitazioni nel paramento'!$G$58,ABS(L113)*'Sollecitazioni nel paramento'!$G$54,'Sollecitazioni nel paramento'!$G$53)</f>
        <v>8109454.4033756088</v>
      </c>
      <c r="G113" s="545">
        <f>-'Foglio deposito bis'!$F$50*(C113-sezione!$AN$27)*IF(ABS(M113)&lt;'Sollecitazioni nel paramento'!$G$58,ABS(M113)*'Sollecitazioni nel paramento'!$G$54,'Sollecitazioni nel paramento'!$G$53)</f>
        <v>0</v>
      </c>
      <c r="H113" s="545">
        <f>-'Foglio deposito bis'!$F$51*(C113-sezione!$AO$27)*IF(ABS(N113)&lt;'Sollecitazioni nel paramento'!$G$58,ABS(N113)*'Sollecitazioni nel paramento'!$G$54,'Sollecitazioni nel paramento'!$G$53)</f>
        <v>33631368.121554047</v>
      </c>
      <c r="I113" s="472">
        <f>-'Foglio deposito bis'!$F$52*(C113-sezione!$AP$27)*IF(ABS(O113)&lt;'Sollecitazioni nel paramento'!$G$58,ABS(O113)*'Sollecitazioni nel paramento'!$G$54,'Sollecitazioni nel paramento'!$G$53)</f>
        <v>43155287.913164966</v>
      </c>
      <c r="J113" s="472">
        <f t="shared" si="8"/>
        <v>75619160.508698195</v>
      </c>
      <c r="K113" s="550">
        <f>'Sollecitazioni nel paramento'!$G$60*(sezione!$AL$27-C113)/C113</f>
        <v>3.3561015552316833E-3</v>
      </c>
      <c r="L113" s="550">
        <f>'Sollecitazioni nel paramento'!$G$60*(sezione!$AM$27-C113)/C113</f>
        <v>6.7841523328475246E-3</v>
      </c>
      <c r="M113" s="551">
        <f>'Sollecitazioni nel paramento'!$G$60*(sezione!$AN$27-C113)/C113</f>
        <v>1.0212203110463365E-2</v>
      </c>
      <c r="N113" s="551">
        <f>'Sollecitazioni nel paramento'!$G$60*(sezione!$AO$27-C113)/C113</f>
        <v>2.3924406220926734E-2</v>
      </c>
      <c r="O113" s="551">
        <f>'Sollecitazioni nel paramento'!$G$60*(sezione!$AP$27-C113)/C113</f>
        <v>3.0699454000323902E-2</v>
      </c>
      <c r="P113" s="545">
        <f>-'Sollecitazioni nel paramento'!$G$47*'Sollecitazioni nel paramento'!$G$41*IF(DATI!$G$211="dx",DATI!$E$61,DATI!$E$64*DATI!$E$63)*1000*C113*sezione!$AD$5</f>
        <v>-777931.88403548463</v>
      </c>
      <c r="Q113" s="545">
        <f>'Foglio deposito bis'!$F$48*IF(ABS(K113)&lt;'Sollecitazioni nel paramento'!$G$58,ABS(K113)*'Sollecitazioni nel paramento'!$G$54,'Sollecitazioni nel paramento'!$G$53)*IF(K113&lt;0,-1,1)</f>
        <v>0</v>
      </c>
      <c r="R113" s="545">
        <f>'Foglio deposito bis'!$F$49*IF(ABS(L113)&lt;'Sollecitazioni nel paramento'!$G$58,ABS(L113)*'Sollecitazioni nel paramento'!$G$54,'Sollecitazioni nel paramento'!$G$53)*IF(L113&lt;0,-1,1)</f>
        <v>204886.47740803001</v>
      </c>
      <c r="S113" s="545">
        <f>'Foglio deposito bis'!$F$50*IF(ABS(M113)&lt;'Sollecitazioni nel paramento'!$G$58,ABS(M113)*'Sollecitazioni nel paramento'!$G$54,'Sollecitazioni nel paramento'!$G$53)*IF(M113&lt;0,-1,1)</f>
        <v>0</v>
      </c>
      <c r="T113" s="545">
        <f>'Foglio deposito bis'!$F$51*IF(ABS(N113)&lt;'Sollecitazioni nel paramento'!$G$58,ABS(N113)*'Sollecitazioni nel paramento'!$G$54,'Sollecitazioni nel paramento'!$G$53)*IF(N113&lt;0,-1,1)</f>
        <v>240946.49743184328</v>
      </c>
      <c r="U113" s="545">
        <f>'Foglio deposito bis'!$F$52*IF(ABS(O113)&lt;'Sollecitazioni nel paramento'!$G$58,ABS(O113)*'Sollecitazioni nel paramento'!$G$54,'Sollecitazioni nel paramento'!$G$53)*IF(O113&lt;0,-1,1)</f>
        <v>240946.49743184328</v>
      </c>
      <c r="V113" s="472">
        <f t="shared" si="10"/>
        <v>-91152.411763767974</v>
      </c>
      <c r="W113" s="551"/>
      <c r="X113" s="551"/>
    </row>
    <row r="114" spans="1:24" x14ac:dyDescent="0.25">
      <c r="A114" s="545">
        <f t="shared" si="9"/>
        <v>115848.66205060881</v>
      </c>
      <c r="B114" s="3">
        <f t="shared" si="12"/>
        <v>6.4999999999999911</v>
      </c>
      <c r="C114" s="545">
        <f>'Foglio deposito bis'!$E$153/$B$247*B114</f>
        <v>21.068014130307517</v>
      </c>
      <c r="D114" s="603">
        <f>-'Sollecitazioni nel paramento'!$G$47*'Sollecitazioni nel paramento'!$G$41*IF(DATI!$G$211="dx",DATI!$E$61,DATI!$E$64*DATI!$E$63)*1000*C114^2*sezione!$AD$5*(1-sezione!$AD$6)</f>
        <v>-9875312.0311665069</v>
      </c>
      <c r="E114" s="545">
        <f>-'Foglio deposito bis'!$F$48*(C114-sezione!$AL$27)*IF(ABS(K114)&lt;'Sollecitazioni nel paramento'!$G$58,ABS(K114)*'Sollecitazioni nel paramento'!$G$54,'Sollecitazioni nel paramento'!$G$53)</f>
        <v>0</v>
      </c>
      <c r="F114" s="545">
        <f>-'Foglio deposito bis'!$F$49*(C114-sezione!$AM$27)*IF(ABS(L114)&lt;'Sollecitazioni nel paramento'!$G$58,ABS(L114)*'Sollecitazioni nel paramento'!$G$54,'Sollecitazioni nel paramento'!$G$53)</f>
        <v>7976637.4433404924</v>
      </c>
      <c r="G114" s="545">
        <f>-'Foglio deposito bis'!$F$50*(C114-sezione!$AN$27)*IF(ABS(M114)&lt;'Sollecitazioni nel paramento'!$G$58,ABS(M114)*'Sollecitazioni nel paramento'!$G$54,'Sollecitazioni nel paramento'!$G$53)</f>
        <v>0</v>
      </c>
      <c r="H114" s="545">
        <f>-'Foglio deposito bis'!$F$51*(C114-sezione!$AO$27)*IF(ABS(N114)&lt;'Sollecitazioni nel paramento'!$G$58,ABS(N114)*'Sollecitazioni nel paramento'!$G$54,'Sollecitazioni nel paramento'!$G$53)</f>
        <v>33475175.376552742</v>
      </c>
      <c r="I114" s="472">
        <f>-'Foglio deposito bis'!$F$52*(C114-sezione!$AP$27)*IF(ABS(O114)&lt;'Sollecitazioni nel paramento'!$G$58,ABS(O114)*'Sollecitazioni nel paramento'!$G$54,'Sollecitazioni nel paramento'!$G$53)</f>
        <v>42999095.168163657</v>
      </c>
      <c r="J114" s="472">
        <f t="shared" si="8"/>
        <v>74575595.956890389</v>
      </c>
      <c r="K114" s="550">
        <f>'Sollecitazioni nel paramento'!$G$60*(sezione!$AL$27-C114)/C114</f>
        <v>3.1451445843014773E-3</v>
      </c>
      <c r="L114" s="550">
        <f>'Sollecitazioni nel paramento'!$G$60*(sezione!$AM$27-C114)/C114</f>
        <v>6.4677168764522164E-3</v>
      </c>
      <c r="M114" s="551">
        <f>'Sollecitazioni nel paramento'!$G$60*(sezione!$AN$27-C114)/C114</f>
        <v>9.7902891686029551E-3</v>
      </c>
      <c r="N114" s="551">
        <f>'Sollecitazioni nel paramento'!$G$60*(sezione!$AO$27-C114)/C114</f>
        <v>2.308057833720591E-2</v>
      </c>
      <c r="O114" s="551">
        <f>'Sollecitazioni nel paramento'!$G$60*(sezione!$AP$27-C114)/C114</f>
        <v>2.964716310800624E-2</v>
      </c>
      <c r="P114" s="545">
        <f>-'Sollecitazioni nel paramento'!$G$47*'Sollecitazioni nel paramento'!$G$41*IF(DATI!$G$211="dx",DATI!$E$61,DATI!$E$64*DATI!$E$63)*1000*C114*sezione!$AD$5</f>
        <v>-802628.13432232535</v>
      </c>
      <c r="Q114" s="545">
        <f>'Foglio deposito bis'!$F$48*IF(ABS(K114)&lt;'Sollecitazioni nel paramento'!$G$58,ABS(K114)*'Sollecitazioni nel paramento'!$G$54,'Sollecitazioni nel paramento'!$G$53)*IF(K114&lt;0,-1,1)</f>
        <v>0</v>
      </c>
      <c r="R114" s="545">
        <f>'Foglio deposito bis'!$F$49*IF(ABS(L114)&lt;'Sollecitazioni nel paramento'!$G$58,ABS(L114)*'Sollecitazioni nel paramento'!$G$54,'Sollecitazioni nel paramento'!$G$53)*IF(L114&lt;0,-1,1)</f>
        <v>204886.47740803001</v>
      </c>
      <c r="S114" s="545">
        <f>'Foglio deposito bis'!$F$50*IF(ABS(M114)&lt;'Sollecitazioni nel paramento'!$G$58,ABS(M114)*'Sollecitazioni nel paramento'!$G$54,'Sollecitazioni nel paramento'!$G$53)*IF(M114&lt;0,-1,1)</f>
        <v>0</v>
      </c>
      <c r="T114" s="545">
        <f>'Foglio deposito bis'!$F$51*IF(ABS(N114)&lt;'Sollecitazioni nel paramento'!$G$58,ABS(N114)*'Sollecitazioni nel paramento'!$G$54,'Sollecitazioni nel paramento'!$G$53)*IF(N114&lt;0,-1,1)</f>
        <v>240946.49743184328</v>
      </c>
      <c r="U114" s="545">
        <f>'Foglio deposito bis'!$F$52*IF(ABS(O114)&lt;'Sollecitazioni nel paramento'!$G$58,ABS(O114)*'Sollecitazioni nel paramento'!$G$54,'Sollecitazioni nel paramento'!$G$53)*IF(O114&lt;0,-1,1)</f>
        <v>240946.49743184328</v>
      </c>
      <c r="V114" s="472">
        <f t="shared" si="10"/>
        <v>-115848.66205060881</v>
      </c>
      <c r="W114" s="551"/>
      <c r="X114" s="551"/>
    </row>
    <row r="115" spans="1:24" x14ac:dyDescent="0.25">
      <c r="A115" s="545">
        <f t="shared" si="9"/>
        <v>140544.91233744964</v>
      </c>
      <c r="B115" s="3">
        <f t="shared" si="12"/>
        <v>6.6999999999999913</v>
      </c>
      <c r="C115" s="545">
        <f>'Foglio deposito bis'!$E$153/$B$247*B115</f>
        <v>21.716260718932364</v>
      </c>
      <c r="D115" s="603">
        <f>-'Sollecitazioni nel paramento'!$G$47*'Sollecitazioni nel paramento'!$G$41*IF(DATI!$G$211="dx",DATI!$E$61,DATI!$E$64*DATI!$E$63)*1000*C115^2*sezione!$AD$5*(1-sezione!$AD$6)</f>
        <v>-10492372.948616911</v>
      </c>
      <c r="E115" s="545">
        <f>-'Foglio deposito bis'!$F$48*(C115-sezione!$AL$27)*IF(ABS(K115)&lt;'Sollecitazioni nel paramento'!$G$58,ABS(K115)*'Sollecitazioni nel paramento'!$G$54,'Sollecitazioni nel paramento'!$G$53)</f>
        <v>0</v>
      </c>
      <c r="F115" s="545">
        <f>-'Foglio deposito bis'!$F$49*(C115-sezione!$AM$27)*IF(ABS(L115)&lt;'Sollecitazioni nel paramento'!$G$58,ABS(L115)*'Sollecitazioni nel paramento'!$G$54,'Sollecitazioni nel paramento'!$G$53)</f>
        <v>7843820.483305377</v>
      </c>
      <c r="G115" s="545">
        <f>-'Foglio deposito bis'!$F$50*(C115-sezione!$AN$27)*IF(ABS(M115)&lt;'Sollecitazioni nel paramento'!$G$58,ABS(M115)*'Sollecitazioni nel paramento'!$G$54,'Sollecitazioni nel paramento'!$G$53)</f>
        <v>0</v>
      </c>
      <c r="H115" s="545">
        <f>-'Foglio deposito bis'!$F$51*(C115-sezione!$AO$27)*IF(ABS(N115)&lt;'Sollecitazioni nel paramento'!$G$58,ABS(N115)*'Sollecitazioni nel paramento'!$G$54,'Sollecitazioni nel paramento'!$G$53)</f>
        <v>33318982.631551445</v>
      </c>
      <c r="I115" s="472">
        <f>-'Foglio deposito bis'!$F$52*(C115-sezione!$AP$27)*IF(ABS(O115)&lt;'Sollecitazioni nel paramento'!$G$58,ABS(O115)*'Sollecitazioni nel paramento'!$G$54,'Sollecitazioni nel paramento'!$G$53)</f>
        <v>42842902.423162363</v>
      </c>
      <c r="J115" s="472">
        <f t="shared" si="8"/>
        <v>73513332.589402273</v>
      </c>
      <c r="K115" s="550">
        <f>'Sollecitazioni nel paramento'!$G$60*(sezione!$AL$27-C115)/C115</f>
        <v>2.9467820593969555E-3</v>
      </c>
      <c r="L115" s="550">
        <f>'Sollecitazioni nel paramento'!$G$60*(sezione!$AM$27-C115)/C115</f>
        <v>6.1701730890954334E-3</v>
      </c>
      <c r="M115" s="551">
        <f>'Sollecitazioni nel paramento'!$G$60*(sezione!$AN$27-C115)/C115</f>
        <v>9.3935641187939123E-3</v>
      </c>
      <c r="N115" s="551">
        <f>'Sollecitazioni nel paramento'!$G$60*(sezione!$AO$27-C115)/C115</f>
        <v>2.2287128237587821E-2</v>
      </c>
      <c r="O115" s="551">
        <f>'Sollecitazioni nel paramento'!$G$60*(sezione!$AP$27-C115)/C115</f>
        <v>2.8657695552543369E-2</v>
      </c>
      <c r="P115" s="545">
        <f>-'Sollecitazioni nel paramento'!$G$47*'Sollecitazioni nel paramento'!$G$41*IF(DATI!$G$211="dx",DATI!$E$61,DATI!$E$64*DATI!$E$63)*1000*C115*sezione!$AD$5</f>
        <v>-827324.38460916618</v>
      </c>
      <c r="Q115" s="545">
        <f>'Foglio deposito bis'!$F$48*IF(ABS(K115)&lt;'Sollecitazioni nel paramento'!$G$58,ABS(K115)*'Sollecitazioni nel paramento'!$G$54,'Sollecitazioni nel paramento'!$G$53)*IF(K115&lt;0,-1,1)</f>
        <v>0</v>
      </c>
      <c r="R115" s="545">
        <f>'Foglio deposito bis'!$F$49*IF(ABS(L115)&lt;'Sollecitazioni nel paramento'!$G$58,ABS(L115)*'Sollecitazioni nel paramento'!$G$54,'Sollecitazioni nel paramento'!$G$53)*IF(L115&lt;0,-1,1)</f>
        <v>204886.47740803001</v>
      </c>
      <c r="S115" s="545">
        <f>'Foglio deposito bis'!$F$50*IF(ABS(M115)&lt;'Sollecitazioni nel paramento'!$G$58,ABS(M115)*'Sollecitazioni nel paramento'!$G$54,'Sollecitazioni nel paramento'!$G$53)*IF(M115&lt;0,-1,1)</f>
        <v>0</v>
      </c>
      <c r="T115" s="545">
        <f>'Foglio deposito bis'!$F$51*IF(ABS(N115)&lt;'Sollecitazioni nel paramento'!$G$58,ABS(N115)*'Sollecitazioni nel paramento'!$G$54,'Sollecitazioni nel paramento'!$G$53)*IF(N115&lt;0,-1,1)</f>
        <v>240946.49743184328</v>
      </c>
      <c r="U115" s="545">
        <f>'Foglio deposito bis'!$F$52*IF(ABS(O115)&lt;'Sollecitazioni nel paramento'!$G$58,ABS(O115)*'Sollecitazioni nel paramento'!$G$54,'Sollecitazioni nel paramento'!$G$53)*IF(O115&lt;0,-1,1)</f>
        <v>240946.49743184328</v>
      </c>
      <c r="V115" s="472">
        <f t="shared" si="10"/>
        <v>-140544.91233744964</v>
      </c>
      <c r="W115" s="551"/>
      <c r="X115" s="551"/>
    </row>
    <row r="116" spans="1:24" x14ac:dyDescent="0.25">
      <c r="A116" s="545">
        <f t="shared" si="9"/>
        <v>165241.16262429047</v>
      </c>
      <c r="B116" s="3">
        <f t="shared" si="12"/>
        <v>6.8999999999999915</v>
      </c>
      <c r="C116" s="545">
        <f>'Foglio deposito bis'!$E$153/$B$247*B116</f>
        <v>22.364507307557215</v>
      </c>
      <c r="D116" s="603">
        <f>-'Sollecitazioni nel paramento'!$G$47*'Sollecitazioni nel paramento'!$G$41*IF(DATI!$G$211="dx",DATI!$E$61,DATI!$E$64*DATI!$E$63)*1000*C116^2*sezione!$AD$5*(1-sezione!$AD$6)</f>
        <v>-11128132.681747634</v>
      </c>
      <c r="E116" s="545">
        <f>-'Foglio deposito bis'!$F$48*(C116-sezione!$AL$27)*IF(ABS(K116)&lt;'Sollecitazioni nel paramento'!$G$58,ABS(K116)*'Sollecitazioni nel paramento'!$G$54,'Sollecitazioni nel paramento'!$G$53)</f>
        <v>0</v>
      </c>
      <c r="F116" s="545">
        <f>-'Foglio deposito bis'!$F$49*(C116-sezione!$AM$27)*IF(ABS(L116)&lt;'Sollecitazioni nel paramento'!$G$58,ABS(L116)*'Sollecitazioni nel paramento'!$G$54,'Sollecitazioni nel paramento'!$G$53)</f>
        <v>7711003.5232702559</v>
      </c>
      <c r="G116" s="545">
        <f>-'Foglio deposito bis'!$F$50*(C116-sezione!$AN$27)*IF(ABS(M116)&lt;'Sollecitazioni nel paramento'!$G$58,ABS(M116)*'Sollecitazioni nel paramento'!$G$54,'Sollecitazioni nel paramento'!$G$53)</f>
        <v>0</v>
      </c>
      <c r="H116" s="545">
        <f>-'Foglio deposito bis'!$F$51*(C116-sezione!$AO$27)*IF(ABS(N116)&lt;'Sollecitazioni nel paramento'!$G$58,ABS(N116)*'Sollecitazioni nel paramento'!$G$54,'Sollecitazioni nel paramento'!$G$53)</f>
        <v>33162789.886550155</v>
      </c>
      <c r="I116" s="472">
        <f>-'Foglio deposito bis'!$F$52*(C116-sezione!$AP$27)*IF(ABS(O116)&lt;'Sollecitazioni nel paramento'!$G$58,ABS(O116)*'Sollecitazioni nel paramento'!$G$54,'Sollecitazioni nel paramento'!$G$53)</f>
        <v>42686709.67816107</v>
      </c>
      <c r="J116" s="472">
        <f t="shared" si="8"/>
        <v>72432370.406233847</v>
      </c>
      <c r="K116" s="550">
        <f>'Sollecitazioni nel paramento'!$G$60*(sezione!$AL$27-C116)/C116</f>
        <v>2.7599188112984925E-3</v>
      </c>
      <c r="L116" s="550">
        <f>'Sollecitazioni nel paramento'!$G$60*(sezione!$AM$27-C116)/C116</f>
        <v>5.8898782169477379E-3</v>
      </c>
      <c r="M116" s="551">
        <f>'Sollecitazioni nel paramento'!$G$60*(sezione!$AN$27-C116)/C116</f>
        <v>9.0198376225969837E-3</v>
      </c>
      <c r="N116" s="551">
        <f>'Sollecitazioni nel paramento'!$G$60*(sezione!$AO$27-C116)/C116</f>
        <v>2.153967524519397E-2</v>
      </c>
      <c r="O116" s="551">
        <f>'Sollecitazioni nel paramento'!$G$60*(sezione!$AP$27-C116)/C116</f>
        <v>2.772558843507834E-2</v>
      </c>
      <c r="P116" s="545">
        <f>-'Sollecitazioni nel paramento'!$G$47*'Sollecitazioni nel paramento'!$G$41*IF(DATI!$G$211="dx",DATI!$E$61,DATI!$E$64*DATI!$E$63)*1000*C116*sezione!$AD$5</f>
        <v>-852020.63489600702</v>
      </c>
      <c r="Q116" s="545">
        <f>'Foglio deposito bis'!$F$48*IF(ABS(K116)&lt;'Sollecitazioni nel paramento'!$G$58,ABS(K116)*'Sollecitazioni nel paramento'!$G$54,'Sollecitazioni nel paramento'!$G$53)*IF(K116&lt;0,-1,1)</f>
        <v>0</v>
      </c>
      <c r="R116" s="545">
        <f>'Foglio deposito bis'!$F$49*IF(ABS(L116)&lt;'Sollecitazioni nel paramento'!$G$58,ABS(L116)*'Sollecitazioni nel paramento'!$G$54,'Sollecitazioni nel paramento'!$G$53)*IF(L116&lt;0,-1,1)</f>
        <v>204886.47740803001</v>
      </c>
      <c r="S116" s="545">
        <f>'Foglio deposito bis'!$F$50*IF(ABS(M116)&lt;'Sollecitazioni nel paramento'!$G$58,ABS(M116)*'Sollecitazioni nel paramento'!$G$54,'Sollecitazioni nel paramento'!$G$53)*IF(M116&lt;0,-1,1)</f>
        <v>0</v>
      </c>
      <c r="T116" s="545">
        <f>'Foglio deposito bis'!$F$51*IF(ABS(N116)&lt;'Sollecitazioni nel paramento'!$G$58,ABS(N116)*'Sollecitazioni nel paramento'!$G$54,'Sollecitazioni nel paramento'!$G$53)*IF(N116&lt;0,-1,1)</f>
        <v>240946.49743184328</v>
      </c>
      <c r="U116" s="545">
        <f>'Foglio deposito bis'!$F$52*IF(ABS(O116)&lt;'Sollecitazioni nel paramento'!$G$58,ABS(O116)*'Sollecitazioni nel paramento'!$G$54,'Sollecitazioni nel paramento'!$G$53)*IF(O116&lt;0,-1,1)</f>
        <v>240946.49743184328</v>
      </c>
      <c r="V116" s="472">
        <f t="shared" si="10"/>
        <v>-165241.16262429047</v>
      </c>
      <c r="W116" s="551"/>
      <c r="X116" s="551"/>
    </row>
    <row r="117" spans="1:24" x14ac:dyDescent="0.25">
      <c r="A117" s="545">
        <f t="shared" si="9"/>
        <v>189937.41291113131</v>
      </c>
      <c r="B117" s="3">
        <f t="shared" si="12"/>
        <v>7.0999999999999917</v>
      </c>
      <c r="C117" s="545">
        <f>'Foglio deposito bis'!$E$153/$B$247*B117</f>
        <v>23.012753896182062</v>
      </c>
      <c r="D117" s="603">
        <f>-'Sollecitazioni nel paramento'!$G$47*'Sollecitazioni nel paramento'!$G$41*IF(DATI!$G$211="dx",DATI!$E$61,DATI!$E$64*DATI!$E$63)*1000*C117^2*sezione!$AD$5*(1-sezione!$AD$6)</f>
        <v>-11782591.230558669</v>
      </c>
      <c r="E117" s="545">
        <f>-'Foglio deposito bis'!$F$48*(C117-sezione!$AL$27)*IF(ABS(K117)&lt;'Sollecitazioni nel paramento'!$G$58,ABS(K117)*'Sollecitazioni nel paramento'!$G$54,'Sollecitazioni nel paramento'!$G$53)</f>
        <v>0</v>
      </c>
      <c r="F117" s="545">
        <f>-'Foglio deposito bis'!$F$49*(C117-sezione!$AM$27)*IF(ABS(L117)&lt;'Sollecitazioni nel paramento'!$G$58,ABS(L117)*'Sollecitazioni nel paramento'!$G$54,'Sollecitazioni nel paramento'!$G$53)</f>
        <v>7578186.5632351404</v>
      </c>
      <c r="G117" s="545">
        <f>-'Foglio deposito bis'!$F$50*(C117-sezione!$AN$27)*IF(ABS(M117)&lt;'Sollecitazioni nel paramento'!$G$58,ABS(M117)*'Sollecitazioni nel paramento'!$G$54,'Sollecitazioni nel paramento'!$G$53)</f>
        <v>0</v>
      </c>
      <c r="H117" s="545">
        <f>-'Foglio deposito bis'!$F$51*(C117-sezione!$AO$27)*IF(ABS(N117)&lt;'Sollecitazioni nel paramento'!$G$58,ABS(N117)*'Sollecitazioni nel paramento'!$G$54,'Sollecitazioni nel paramento'!$G$53)</f>
        <v>33006597.14154885</v>
      </c>
      <c r="I117" s="472">
        <f>-'Foglio deposito bis'!$F$52*(C117-sezione!$AP$27)*IF(ABS(O117)&lt;'Sollecitazioni nel paramento'!$G$58,ABS(O117)*'Sollecitazioni nel paramento'!$G$54,'Sollecitazioni nel paramento'!$G$53)</f>
        <v>42530516.933159769</v>
      </c>
      <c r="J117" s="472">
        <f t="shared" si="8"/>
        <v>71332709.407385081</v>
      </c>
      <c r="K117" s="550">
        <f>'Sollecitazioni nel paramento'!$G$60*(sezione!$AL$27-C117)/C117</f>
        <v>2.5835830701351542E-3</v>
      </c>
      <c r="L117" s="550">
        <f>'Sollecitazioni nel paramento'!$G$60*(sezione!$AM$27-C117)/C117</f>
        <v>5.6253746052027306E-3</v>
      </c>
      <c r="M117" s="551">
        <f>'Sollecitazioni nel paramento'!$G$60*(sezione!$AN$27-C117)/C117</f>
        <v>8.667166140270308E-3</v>
      </c>
      <c r="N117" s="551">
        <f>'Sollecitazioni nel paramento'!$G$60*(sezione!$AO$27-C117)/C117</f>
        <v>2.0834332280540619E-2</v>
      </c>
      <c r="O117" s="551">
        <f>'Sollecitazioni nel paramento'!$G$60*(sezione!$AP$27-C117)/C117</f>
        <v>2.6845994394653596E-2</v>
      </c>
      <c r="P117" s="545">
        <f>-'Sollecitazioni nel paramento'!$G$47*'Sollecitazioni nel paramento'!$G$41*IF(DATI!$G$211="dx",DATI!$E$61,DATI!$E$64*DATI!$E$63)*1000*C117*sezione!$AD$5</f>
        <v>-876716.88518284797</v>
      </c>
      <c r="Q117" s="545">
        <f>'Foglio deposito bis'!$F$48*IF(ABS(K117)&lt;'Sollecitazioni nel paramento'!$G$58,ABS(K117)*'Sollecitazioni nel paramento'!$G$54,'Sollecitazioni nel paramento'!$G$53)*IF(K117&lt;0,-1,1)</f>
        <v>0</v>
      </c>
      <c r="R117" s="545">
        <f>'Foglio deposito bis'!$F$49*IF(ABS(L117)&lt;'Sollecitazioni nel paramento'!$G$58,ABS(L117)*'Sollecitazioni nel paramento'!$G$54,'Sollecitazioni nel paramento'!$G$53)*IF(L117&lt;0,-1,1)</f>
        <v>204886.47740803001</v>
      </c>
      <c r="S117" s="545">
        <f>'Foglio deposito bis'!$F$50*IF(ABS(M117)&lt;'Sollecitazioni nel paramento'!$G$58,ABS(M117)*'Sollecitazioni nel paramento'!$G$54,'Sollecitazioni nel paramento'!$G$53)*IF(M117&lt;0,-1,1)</f>
        <v>0</v>
      </c>
      <c r="T117" s="545">
        <f>'Foglio deposito bis'!$F$51*IF(ABS(N117)&lt;'Sollecitazioni nel paramento'!$G$58,ABS(N117)*'Sollecitazioni nel paramento'!$G$54,'Sollecitazioni nel paramento'!$G$53)*IF(N117&lt;0,-1,1)</f>
        <v>240946.49743184328</v>
      </c>
      <c r="U117" s="545">
        <f>'Foglio deposito bis'!$F$52*IF(ABS(O117)&lt;'Sollecitazioni nel paramento'!$G$58,ABS(O117)*'Sollecitazioni nel paramento'!$G$54,'Sollecitazioni nel paramento'!$G$53)*IF(O117&lt;0,-1,1)</f>
        <v>240946.49743184328</v>
      </c>
      <c r="V117" s="472">
        <f t="shared" si="10"/>
        <v>-189937.41291113131</v>
      </c>
      <c r="W117" s="551"/>
      <c r="X117" s="551"/>
    </row>
    <row r="118" spans="1:24" x14ac:dyDescent="0.25">
      <c r="A118" s="545">
        <f t="shared" si="9"/>
        <v>214633.66319797191</v>
      </c>
      <c r="B118" s="3">
        <f t="shared" si="12"/>
        <v>7.2999999999999918</v>
      </c>
      <c r="C118" s="545">
        <f>'Foglio deposito bis'!$E$153/$B$247*B118</f>
        <v>23.661000484806909</v>
      </c>
      <c r="D118" s="603">
        <f>-'Sollecitazioni nel paramento'!$G$47*'Sollecitazioni nel paramento'!$G$41*IF(DATI!$G$211="dx",DATI!$E$61,DATI!$E$64*DATI!$E$63)*1000*C118^2*sezione!$AD$5*(1-sezione!$AD$6)</f>
        <v>-12455748.595050018</v>
      </c>
      <c r="E118" s="545">
        <f>-'Foglio deposito bis'!$F$48*(C118-sezione!$AL$27)*IF(ABS(K118)&lt;'Sollecitazioni nel paramento'!$G$58,ABS(K118)*'Sollecitazioni nel paramento'!$G$54,'Sollecitazioni nel paramento'!$G$53)</f>
        <v>0</v>
      </c>
      <c r="F118" s="545">
        <f>-'Foglio deposito bis'!$F$49*(C118-sezione!$AM$27)*IF(ABS(L118)&lt;'Sollecitazioni nel paramento'!$G$58,ABS(L118)*'Sollecitazioni nel paramento'!$G$54,'Sollecitazioni nel paramento'!$G$53)</f>
        <v>7445369.6032000231</v>
      </c>
      <c r="G118" s="545">
        <f>-'Foglio deposito bis'!$F$50*(C118-sezione!$AN$27)*IF(ABS(M118)&lt;'Sollecitazioni nel paramento'!$G$58,ABS(M118)*'Sollecitazioni nel paramento'!$G$54,'Sollecitazioni nel paramento'!$G$53)</f>
        <v>0</v>
      </c>
      <c r="H118" s="545">
        <f>-'Foglio deposito bis'!$F$51*(C118-sezione!$AO$27)*IF(ABS(N118)&lt;'Sollecitazioni nel paramento'!$G$58,ABS(N118)*'Sollecitazioni nel paramento'!$G$54,'Sollecitazioni nel paramento'!$G$53)</f>
        <v>32850404.396547552</v>
      </c>
      <c r="I118" s="472">
        <f>-'Foglio deposito bis'!$F$52*(C118-sezione!$AP$27)*IF(ABS(O118)&lt;'Sollecitazioni nel paramento'!$G$58,ABS(O118)*'Sollecitazioni nel paramento'!$G$54,'Sollecitazioni nel paramento'!$G$53)</f>
        <v>42374324.188158467</v>
      </c>
      <c r="J118" s="472">
        <f t="shared" si="8"/>
        <v>70214349.59285602</v>
      </c>
      <c r="K118" s="550">
        <f>'Sollecitazioni nel paramento'!$G$60*(sezione!$AL$27-C118)/C118</f>
        <v>2.4169095613643279E-3</v>
      </c>
      <c r="L118" s="550">
        <f>'Sollecitazioni nel paramento'!$G$60*(sezione!$AM$27-C118)/C118</f>
        <v>5.3753643420464924E-3</v>
      </c>
      <c r="M118" s="551">
        <f>'Sollecitazioni nel paramento'!$G$60*(sezione!$AN$27-C118)/C118</f>
        <v>8.3338191227286564E-3</v>
      </c>
      <c r="N118" s="551">
        <f>'Sollecitazioni nel paramento'!$G$60*(sezione!$AO$27-C118)/C118</f>
        <v>2.0167638245457309E-2</v>
      </c>
      <c r="O118" s="551">
        <f>'Sollecitazioni nel paramento'!$G$60*(sezione!$AP$27-C118)/C118</f>
        <v>2.6014597287950754E-2</v>
      </c>
      <c r="P118" s="545">
        <f>-'Sollecitazioni nel paramento'!$G$47*'Sollecitazioni nel paramento'!$G$41*IF(DATI!$G$211="dx",DATI!$E$61,DATI!$E$64*DATI!$E$63)*1000*C118*sezione!$AD$5</f>
        <v>-901413.13546968857</v>
      </c>
      <c r="Q118" s="545">
        <f>'Foglio deposito bis'!$F$48*IF(ABS(K118)&lt;'Sollecitazioni nel paramento'!$G$58,ABS(K118)*'Sollecitazioni nel paramento'!$G$54,'Sollecitazioni nel paramento'!$G$53)*IF(K118&lt;0,-1,1)</f>
        <v>0</v>
      </c>
      <c r="R118" s="545">
        <f>'Foglio deposito bis'!$F$49*IF(ABS(L118)&lt;'Sollecitazioni nel paramento'!$G$58,ABS(L118)*'Sollecitazioni nel paramento'!$G$54,'Sollecitazioni nel paramento'!$G$53)*IF(L118&lt;0,-1,1)</f>
        <v>204886.47740803001</v>
      </c>
      <c r="S118" s="545">
        <f>'Foglio deposito bis'!$F$50*IF(ABS(M118)&lt;'Sollecitazioni nel paramento'!$G$58,ABS(M118)*'Sollecitazioni nel paramento'!$G$54,'Sollecitazioni nel paramento'!$G$53)*IF(M118&lt;0,-1,1)</f>
        <v>0</v>
      </c>
      <c r="T118" s="545">
        <f>'Foglio deposito bis'!$F$51*IF(ABS(N118)&lt;'Sollecitazioni nel paramento'!$G$58,ABS(N118)*'Sollecitazioni nel paramento'!$G$54,'Sollecitazioni nel paramento'!$G$53)*IF(N118&lt;0,-1,1)</f>
        <v>240946.49743184328</v>
      </c>
      <c r="U118" s="545">
        <f>'Foglio deposito bis'!$F$52*IF(ABS(O118)&lt;'Sollecitazioni nel paramento'!$G$58,ABS(O118)*'Sollecitazioni nel paramento'!$G$54,'Sollecitazioni nel paramento'!$G$53)*IF(O118&lt;0,-1,1)</f>
        <v>240946.49743184328</v>
      </c>
      <c r="V118" s="472">
        <f t="shared" si="10"/>
        <v>-214633.66319797191</v>
      </c>
      <c r="W118" s="551"/>
      <c r="X118" s="551"/>
    </row>
    <row r="119" spans="1:24" x14ac:dyDescent="0.25">
      <c r="A119" s="545">
        <f t="shared" si="9"/>
        <v>239329.91348481298</v>
      </c>
      <c r="B119" s="3">
        <f t="shared" si="12"/>
        <v>7.499999999999992</v>
      </c>
      <c r="C119" s="545">
        <f>'Foglio deposito bis'!$E$153/$B$247*B119</f>
        <v>24.309247073431759</v>
      </c>
      <c r="D119" s="603">
        <f>-'Sollecitazioni nel paramento'!$G$47*'Sollecitazioni nel paramento'!$G$41*IF(DATI!$G$211="dx",DATI!$E$61,DATI!$E$64*DATI!$E$63)*1000*C119^2*sezione!$AD$5*(1-sezione!$AD$6)</f>
        <v>-13147604.775221689</v>
      </c>
      <c r="E119" s="545">
        <f>-'Foglio deposito bis'!$F$48*(C119-sezione!$AL$27)*IF(ABS(K119)&lt;'Sollecitazioni nel paramento'!$G$58,ABS(K119)*'Sollecitazioni nel paramento'!$G$54,'Sollecitazioni nel paramento'!$G$53)</f>
        <v>0</v>
      </c>
      <c r="F119" s="545">
        <f>-'Foglio deposito bis'!$F$49*(C119-sezione!$AM$27)*IF(ABS(L119)&lt;'Sollecitazioni nel paramento'!$G$58,ABS(L119)*'Sollecitazioni nel paramento'!$G$54,'Sollecitazioni nel paramento'!$G$53)</f>
        <v>7312552.6431649039</v>
      </c>
      <c r="G119" s="545">
        <f>-'Foglio deposito bis'!$F$50*(C119-sezione!$AN$27)*IF(ABS(M119)&lt;'Sollecitazioni nel paramento'!$G$58,ABS(M119)*'Sollecitazioni nel paramento'!$G$54,'Sollecitazioni nel paramento'!$G$53)</f>
        <v>0</v>
      </c>
      <c r="H119" s="545">
        <f>-'Foglio deposito bis'!$F$51*(C119-sezione!$AO$27)*IF(ABS(N119)&lt;'Sollecitazioni nel paramento'!$G$58,ABS(N119)*'Sollecitazioni nel paramento'!$G$54,'Sollecitazioni nel paramento'!$G$53)</f>
        <v>32694211.651546258</v>
      </c>
      <c r="I119" s="472">
        <f>-'Foglio deposito bis'!$F$52*(C119-sezione!$AP$27)*IF(ABS(O119)&lt;'Sollecitazioni nel paramento'!$G$58,ABS(O119)*'Sollecitazioni nel paramento'!$G$54,'Sollecitazioni nel paramento'!$G$53)</f>
        <v>42218131.443157174</v>
      </c>
      <c r="J119" s="472">
        <f t="shared" si="8"/>
        <v>69077290.962646648</v>
      </c>
      <c r="K119" s="550">
        <f>'Sollecitazioni nel paramento'!$G$60*(sezione!$AL$27-C119)/C119</f>
        <v>2.2591253063946118E-3</v>
      </c>
      <c r="L119" s="550">
        <f>'Sollecitazioni nel paramento'!$G$60*(sezione!$AM$27-C119)/C119</f>
        <v>5.1386879595919175E-3</v>
      </c>
      <c r="M119" s="551">
        <f>'Sollecitazioni nel paramento'!$G$60*(sezione!$AN$27-C119)/C119</f>
        <v>8.0182506127892232E-3</v>
      </c>
      <c r="N119" s="551">
        <f>'Sollecitazioni nel paramento'!$G$60*(sezione!$AO$27-C119)/C119</f>
        <v>1.953650122557845E-2</v>
      </c>
      <c r="O119" s="551">
        <f>'Sollecitazioni nel paramento'!$G$60*(sezione!$AP$27-C119)/C119</f>
        <v>2.5227541360272068E-2</v>
      </c>
      <c r="P119" s="545">
        <f>-'Sollecitazioni nel paramento'!$G$47*'Sollecitazioni nel paramento'!$G$41*IF(DATI!$G$211="dx",DATI!$E$61,DATI!$E$64*DATI!$E$63)*1000*C119*sezione!$AD$5</f>
        <v>-926109.38575652952</v>
      </c>
      <c r="Q119" s="545">
        <f>'Foglio deposito bis'!$F$48*IF(ABS(K119)&lt;'Sollecitazioni nel paramento'!$G$58,ABS(K119)*'Sollecitazioni nel paramento'!$G$54,'Sollecitazioni nel paramento'!$G$53)*IF(K119&lt;0,-1,1)</f>
        <v>0</v>
      </c>
      <c r="R119" s="545">
        <f>'Foglio deposito bis'!$F$49*IF(ABS(L119)&lt;'Sollecitazioni nel paramento'!$G$58,ABS(L119)*'Sollecitazioni nel paramento'!$G$54,'Sollecitazioni nel paramento'!$G$53)*IF(L119&lt;0,-1,1)</f>
        <v>204886.47740803001</v>
      </c>
      <c r="S119" s="545">
        <f>'Foglio deposito bis'!$F$50*IF(ABS(M119)&lt;'Sollecitazioni nel paramento'!$G$58,ABS(M119)*'Sollecitazioni nel paramento'!$G$54,'Sollecitazioni nel paramento'!$G$53)*IF(M119&lt;0,-1,1)</f>
        <v>0</v>
      </c>
      <c r="T119" s="545">
        <f>'Foglio deposito bis'!$F$51*IF(ABS(N119)&lt;'Sollecitazioni nel paramento'!$G$58,ABS(N119)*'Sollecitazioni nel paramento'!$G$54,'Sollecitazioni nel paramento'!$G$53)*IF(N119&lt;0,-1,1)</f>
        <v>240946.49743184328</v>
      </c>
      <c r="U119" s="545">
        <f>'Foglio deposito bis'!$F$52*IF(ABS(O119)&lt;'Sollecitazioni nel paramento'!$G$58,ABS(O119)*'Sollecitazioni nel paramento'!$G$54,'Sollecitazioni nel paramento'!$G$53)*IF(O119&lt;0,-1,1)</f>
        <v>240946.49743184328</v>
      </c>
      <c r="V119" s="472">
        <f t="shared" si="10"/>
        <v>-239329.91348481298</v>
      </c>
      <c r="W119" s="551"/>
      <c r="X119" s="551"/>
    </row>
    <row r="120" spans="1:24" x14ac:dyDescent="0.25">
      <c r="A120" s="545">
        <f t="shared" si="9"/>
        <v>264026.16377165378</v>
      </c>
      <c r="B120" s="3">
        <f t="shared" si="12"/>
        <v>7.6999999999999922</v>
      </c>
      <c r="C120" s="545">
        <f>'Foglio deposito bis'!$E$153/$B$247*B120</f>
        <v>24.957493662056606</v>
      </c>
      <c r="D120" s="603">
        <f>-'Sollecitazioni nel paramento'!$G$47*'Sollecitazioni nel paramento'!$G$41*IF(DATI!$G$211="dx",DATI!$E$61,DATI!$E$64*DATI!$E$63)*1000*C120^2*sezione!$AD$5*(1-sezione!$AD$6)</f>
        <v>-13858159.771073669</v>
      </c>
      <c r="E120" s="545">
        <f>-'Foglio deposito bis'!$F$48*(C120-sezione!$AL$27)*IF(ABS(K120)&lt;'Sollecitazioni nel paramento'!$G$58,ABS(K120)*'Sollecitazioni nel paramento'!$G$54,'Sollecitazioni nel paramento'!$G$53)</f>
        <v>0</v>
      </c>
      <c r="F120" s="545">
        <f>-'Foglio deposito bis'!$F$49*(C120-sezione!$AM$27)*IF(ABS(L120)&lt;'Sollecitazioni nel paramento'!$G$58,ABS(L120)*'Sollecitazioni nel paramento'!$G$54,'Sollecitazioni nel paramento'!$G$53)</f>
        <v>7179735.6831297865</v>
      </c>
      <c r="G120" s="545">
        <f>-'Foglio deposito bis'!$F$50*(C120-sezione!$AN$27)*IF(ABS(M120)&lt;'Sollecitazioni nel paramento'!$G$58,ABS(M120)*'Sollecitazioni nel paramento'!$G$54,'Sollecitazioni nel paramento'!$G$53)</f>
        <v>0</v>
      </c>
      <c r="H120" s="545">
        <f>-'Foglio deposito bis'!$F$51*(C120-sezione!$AO$27)*IF(ABS(N120)&lt;'Sollecitazioni nel paramento'!$G$58,ABS(N120)*'Sollecitazioni nel paramento'!$G$54,'Sollecitazioni nel paramento'!$G$53)</f>
        <v>32538018.906544954</v>
      </c>
      <c r="I120" s="472">
        <f>-'Foglio deposito bis'!$F$52*(C120-sezione!$AP$27)*IF(ABS(O120)&lt;'Sollecitazioni nel paramento'!$G$58,ABS(O120)*'Sollecitazioni nel paramento'!$G$54,'Sollecitazioni nel paramento'!$G$53)</f>
        <v>42061938.698155873</v>
      </c>
      <c r="J120" s="472">
        <f t="shared" si="8"/>
        <v>67921533.516756952</v>
      </c>
      <c r="K120" s="550">
        <f>'Sollecitazioni nel paramento'!$G$60*(sezione!$AL$27-C120)/C120</f>
        <v>2.109537636098648E-3</v>
      </c>
      <c r="L120" s="550">
        <f>'Sollecitazioni nel paramento'!$G$60*(sezione!$AM$27-C120)/C120</f>
        <v>4.9143064541479712E-3</v>
      </c>
      <c r="M120" s="551">
        <f>'Sollecitazioni nel paramento'!$G$60*(sezione!$AN$27-C120)/C120</f>
        <v>7.7190752721972957E-3</v>
      </c>
      <c r="N120" s="551">
        <f>'Sollecitazioni nel paramento'!$G$60*(sezione!$AO$27-C120)/C120</f>
        <v>1.8938150544394593E-2</v>
      </c>
      <c r="O120" s="551">
        <f>'Sollecitazioni nel paramento'!$G$60*(sezione!$AP$27-C120)/C120</f>
        <v>2.4481371454810455E-2</v>
      </c>
      <c r="P120" s="545">
        <f>-'Sollecitazioni nel paramento'!$G$47*'Sollecitazioni nel paramento'!$G$41*IF(DATI!$G$211="dx",DATI!$E$61,DATI!$E$64*DATI!$E$63)*1000*C120*sezione!$AD$5</f>
        <v>-950805.63604337035</v>
      </c>
      <c r="Q120" s="545">
        <f>'Foglio deposito bis'!$F$48*IF(ABS(K120)&lt;'Sollecitazioni nel paramento'!$G$58,ABS(K120)*'Sollecitazioni nel paramento'!$G$54,'Sollecitazioni nel paramento'!$G$53)*IF(K120&lt;0,-1,1)</f>
        <v>0</v>
      </c>
      <c r="R120" s="545">
        <f>'Foglio deposito bis'!$F$49*IF(ABS(L120)&lt;'Sollecitazioni nel paramento'!$G$58,ABS(L120)*'Sollecitazioni nel paramento'!$G$54,'Sollecitazioni nel paramento'!$G$53)*IF(L120&lt;0,-1,1)</f>
        <v>204886.47740803001</v>
      </c>
      <c r="S120" s="545">
        <f>'Foglio deposito bis'!$F$50*IF(ABS(M120)&lt;'Sollecitazioni nel paramento'!$G$58,ABS(M120)*'Sollecitazioni nel paramento'!$G$54,'Sollecitazioni nel paramento'!$G$53)*IF(M120&lt;0,-1,1)</f>
        <v>0</v>
      </c>
      <c r="T120" s="545">
        <f>'Foglio deposito bis'!$F$51*IF(ABS(N120)&lt;'Sollecitazioni nel paramento'!$G$58,ABS(N120)*'Sollecitazioni nel paramento'!$G$54,'Sollecitazioni nel paramento'!$G$53)*IF(N120&lt;0,-1,1)</f>
        <v>240946.49743184328</v>
      </c>
      <c r="U120" s="545">
        <f>'Foglio deposito bis'!$F$52*IF(ABS(O120)&lt;'Sollecitazioni nel paramento'!$G$58,ABS(O120)*'Sollecitazioni nel paramento'!$G$54,'Sollecitazioni nel paramento'!$G$53)*IF(O120&lt;0,-1,1)</f>
        <v>240946.49743184328</v>
      </c>
      <c r="V120" s="472">
        <f t="shared" si="10"/>
        <v>-264026.16377165378</v>
      </c>
      <c r="W120" s="551"/>
      <c r="X120" s="551"/>
    </row>
    <row r="121" spans="1:24" x14ac:dyDescent="0.25">
      <c r="A121" s="545">
        <f t="shared" si="9"/>
        <v>288722.41405849438</v>
      </c>
      <c r="B121" s="3">
        <f t="shared" si="12"/>
        <v>7.8999999999999924</v>
      </c>
      <c r="C121" s="545">
        <f>'Foglio deposito bis'!$E$153/$B$247*B121</f>
        <v>25.605740250681453</v>
      </c>
      <c r="D121" s="603">
        <f>-'Sollecitazioni nel paramento'!$G$47*'Sollecitazioni nel paramento'!$G$41*IF(DATI!$G$211="dx",DATI!$E$61,DATI!$E$64*DATI!$E$63)*1000*C121^2*sezione!$AD$5*(1-sezione!$AD$6)</f>
        <v>-14587413.582605965</v>
      </c>
      <c r="E121" s="545">
        <f>-'Foglio deposito bis'!$F$48*(C121-sezione!$AL$27)*IF(ABS(K121)&lt;'Sollecitazioni nel paramento'!$G$58,ABS(K121)*'Sollecitazioni nel paramento'!$G$54,'Sollecitazioni nel paramento'!$G$53)</f>
        <v>0</v>
      </c>
      <c r="F121" s="545">
        <f>-'Foglio deposito bis'!$F$49*(C121-sezione!$AM$27)*IF(ABS(L121)&lt;'Sollecitazioni nel paramento'!$G$58,ABS(L121)*'Sollecitazioni nel paramento'!$G$54,'Sollecitazioni nel paramento'!$G$53)</f>
        <v>7046918.723094671</v>
      </c>
      <c r="G121" s="545">
        <f>-'Foglio deposito bis'!$F$50*(C121-sezione!$AN$27)*IF(ABS(M121)&lt;'Sollecitazioni nel paramento'!$G$58,ABS(M121)*'Sollecitazioni nel paramento'!$G$54,'Sollecitazioni nel paramento'!$G$53)</f>
        <v>0</v>
      </c>
      <c r="H121" s="545">
        <f>-'Foglio deposito bis'!$F$51*(C121-sezione!$AO$27)*IF(ABS(N121)&lt;'Sollecitazioni nel paramento'!$G$58,ABS(N121)*'Sollecitazioni nel paramento'!$G$54,'Sollecitazioni nel paramento'!$G$53)</f>
        <v>32381826.161543656</v>
      </c>
      <c r="I121" s="472">
        <f>-'Foglio deposito bis'!$F$52*(C121-sezione!$AP$27)*IF(ABS(O121)&lt;'Sollecitazioni nel paramento'!$G$58,ABS(O121)*'Sollecitazioni nel paramento'!$G$54,'Sollecitazioni nel paramento'!$G$53)</f>
        <v>41905745.953154571</v>
      </c>
      <c r="J121" s="472">
        <f t="shared" si="8"/>
        <v>66747077.25518693</v>
      </c>
      <c r="K121" s="550">
        <f>'Sollecitazioni nel paramento'!$G$60*(sezione!$AL$27-C121)/C121</f>
        <v>1.9675240250581756E-3</v>
      </c>
      <c r="L121" s="550">
        <f>'Sollecitazioni nel paramento'!$G$60*(sezione!$AM$27-C121)/C121</f>
        <v>4.7012860375872639E-3</v>
      </c>
      <c r="M121" s="551">
        <f>'Sollecitazioni nel paramento'!$G$60*(sezione!$AN$27-C121)/C121</f>
        <v>7.4350480501163517E-3</v>
      </c>
      <c r="N121" s="551">
        <f>'Sollecitazioni nel paramento'!$G$60*(sezione!$AO$27-C121)/C121</f>
        <v>1.8370096100232703E-2</v>
      </c>
      <c r="O121" s="551">
        <f>'Sollecitazioni nel paramento'!$G$60*(sezione!$AP$27-C121)/C121</f>
        <v>2.3772982304055758E-2</v>
      </c>
      <c r="P121" s="545">
        <f>-'Sollecitazioni nel paramento'!$G$47*'Sollecitazioni nel paramento'!$G$41*IF(DATI!$G$211="dx",DATI!$E$61,DATI!$E$64*DATI!$E$63)*1000*C121*sezione!$AD$5</f>
        <v>-975501.88633021107</v>
      </c>
      <c r="Q121" s="545">
        <f>'Foglio deposito bis'!$F$48*IF(ABS(K121)&lt;'Sollecitazioni nel paramento'!$G$58,ABS(K121)*'Sollecitazioni nel paramento'!$G$54,'Sollecitazioni nel paramento'!$G$53)*IF(K121&lt;0,-1,1)</f>
        <v>0</v>
      </c>
      <c r="R121" s="545">
        <f>'Foglio deposito bis'!$F$49*IF(ABS(L121)&lt;'Sollecitazioni nel paramento'!$G$58,ABS(L121)*'Sollecitazioni nel paramento'!$G$54,'Sollecitazioni nel paramento'!$G$53)*IF(L121&lt;0,-1,1)</f>
        <v>204886.47740803001</v>
      </c>
      <c r="S121" s="545">
        <f>'Foglio deposito bis'!$F$50*IF(ABS(M121)&lt;'Sollecitazioni nel paramento'!$G$58,ABS(M121)*'Sollecitazioni nel paramento'!$G$54,'Sollecitazioni nel paramento'!$G$53)*IF(M121&lt;0,-1,1)</f>
        <v>0</v>
      </c>
      <c r="T121" s="545">
        <f>'Foglio deposito bis'!$F$51*IF(ABS(N121)&lt;'Sollecitazioni nel paramento'!$G$58,ABS(N121)*'Sollecitazioni nel paramento'!$G$54,'Sollecitazioni nel paramento'!$G$53)*IF(N121&lt;0,-1,1)</f>
        <v>240946.49743184328</v>
      </c>
      <c r="U121" s="545">
        <f>'Foglio deposito bis'!$F$52*IF(ABS(O121)&lt;'Sollecitazioni nel paramento'!$G$58,ABS(O121)*'Sollecitazioni nel paramento'!$G$54,'Sollecitazioni nel paramento'!$G$53)*IF(O121&lt;0,-1,1)</f>
        <v>240946.49743184328</v>
      </c>
      <c r="V121" s="472">
        <f t="shared" si="10"/>
        <v>-288722.41405849438</v>
      </c>
      <c r="W121" s="551"/>
      <c r="X121" s="551"/>
    </row>
    <row r="122" spans="1:24" x14ac:dyDescent="0.25">
      <c r="A122" s="545">
        <f t="shared" si="9"/>
        <v>313418.66434533545</v>
      </c>
      <c r="B122" s="3">
        <f t="shared" si="12"/>
        <v>8.0999999999999925</v>
      </c>
      <c r="C122" s="545">
        <f>'Foglio deposito bis'!$E$153/$B$247*B122</f>
        <v>26.253986839306304</v>
      </c>
      <c r="D122" s="603">
        <f>-'Sollecitazioni nel paramento'!$G$47*'Sollecitazioni nel paramento'!$G$41*IF(DATI!$G$211="dx",DATI!$E$61,DATI!$E$64*DATI!$E$63)*1000*C122^2*sezione!$AD$5*(1-sezione!$AD$6)</f>
        <v>-15335366.209818583</v>
      </c>
      <c r="E122" s="545">
        <f>-'Foglio deposito bis'!$F$48*(C122-sezione!$AL$27)*IF(ABS(K122)&lt;'Sollecitazioni nel paramento'!$G$58,ABS(K122)*'Sollecitazioni nel paramento'!$G$54,'Sollecitazioni nel paramento'!$G$53)</f>
        <v>0</v>
      </c>
      <c r="F122" s="545">
        <f>-'Foglio deposito bis'!$F$49*(C122-sezione!$AM$27)*IF(ABS(L122)&lt;'Sollecitazioni nel paramento'!$G$58,ABS(L122)*'Sollecitazioni nel paramento'!$G$54,'Sollecitazioni nel paramento'!$G$53)</f>
        <v>6914101.7630595518</v>
      </c>
      <c r="G122" s="545">
        <f>-'Foglio deposito bis'!$F$50*(C122-sezione!$AN$27)*IF(ABS(M122)&lt;'Sollecitazioni nel paramento'!$G$58,ABS(M122)*'Sollecitazioni nel paramento'!$G$54,'Sollecitazioni nel paramento'!$G$53)</f>
        <v>0</v>
      </c>
      <c r="H122" s="545">
        <f>-'Foglio deposito bis'!$F$51*(C122-sezione!$AO$27)*IF(ABS(N122)&lt;'Sollecitazioni nel paramento'!$G$58,ABS(N122)*'Sollecitazioni nel paramento'!$G$54,'Sollecitazioni nel paramento'!$G$53)</f>
        <v>32225633.416542362</v>
      </c>
      <c r="I122" s="472">
        <f>-'Foglio deposito bis'!$F$52*(C122-sezione!$AP$27)*IF(ABS(O122)&lt;'Sollecitazioni nel paramento'!$G$58,ABS(O122)*'Sollecitazioni nel paramento'!$G$54,'Sollecitazioni nel paramento'!$G$53)</f>
        <v>41749553.208153278</v>
      </c>
      <c r="J122" s="472">
        <f t="shared" si="8"/>
        <v>65553922.177936614</v>
      </c>
      <c r="K122" s="550">
        <f>'Sollecitazioni nel paramento'!$G$60*(sezione!$AL$27-C122)/C122</f>
        <v>1.8325234318468618E-3</v>
      </c>
      <c r="L122" s="550">
        <f>'Sollecitazioni nel paramento'!$G$60*(sezione!$AM$27-C122)/C122</f>
        <v>4.4987851477702925E-3</v>
      </c>
      <c r="M122" s="551">
        <f>'Sollecitazioni nel paramento'!$G$60*(sezione!$AN$27-C122)/C122</f>
        <v>7.1650468636937237E-3</v>
      </c>
      <c r="N122" s="551">
        <f>'Sollecitazioni nel paramento'!$G$60*(sezione!$AO$27-C122)/C122</f>
        <v>1.7830093727387451E-2</v>
      </c>
      <c r="O122" s="551">
        <f>'Sollecitazioni nel paramento'!$G$60*(sezione!$AP$27-C122)/C122</f>
        <v>2.3099575333585243E-2</v>
      </c>
      <c r="P122" s="545">
        <f>-'Sollecitazioni nel paramento'!$G$47*'Sollecitazioni nel paramento'!$G$41*IF(DATI!$G$211="dx",DATI!$E$61,DATI!$E$64*DATI!$E$63)*1000*C122*sezione!$AD$5</f>
        <v>-1000198.1366170521</v>
      </c>
      <c r="Q122" s="545">
        <f>'Foglio deposito bis'!$F$48*IF(ABS(K122)&lt;'Sollecitazioni nel paramento'!$G$58,ABS(K122)*'Sollecitazioni nel paramento'!$G$54,'Sollecitazioni nel paramento'!$G$53)*IF(K122&lt;0,-1,1)</f>
        <v>0</v>
      </c>
      <c r="R122" s="545">
        <f>'Foglio deposito bis'!$F$49*IF(ABS(L122)&lt;'Sollecitazioni nel paramento'!$G$58,ABS(L122)*'Sollecitazioni nel paramento'!$G$54,'Sollecitazioni nel paramento'!$G$53)*IF(L122&lt;0,-1,1)</f>
        <v>204886.47740803001</v>
      </c>
      <c r="S122" s="545">
        <f>'Foglio deposito bis'!$F$50*IF(ABS(M122)&lt;'Sollecitazioni nel paramento'!$G$58,ABS(M122)*'Sollecitazioni nel paramento'!$G$54,'Sollecitazioni nel paramento'!$G$53)*IF(M122&lt;0,-1,1)</f>
        <v>0</v>
      </c>
      <c r="T122" s="545">
        <f>'Foglio deposito bis'!$F$51*IF(ABS(N122)&lt;'Sollecitazioni nel paramento'!$G$58,ABS(N122)*'Sollecitazioni nel paramento'!$G$54,'Sollecitazioni nel paramento'!$G$53)*IF(N122&lt;0,-1,1)</f>
        <v>240946.49743184328</v>
      </c>
      <c r="U122" s="545">
        <f>'Foglio deposito bis'!$F$52*IF(ABS(O122)&lt;'Sollecitazioni nel paramento'!$G$58,ABS(O122)*'Sollecitazioni nel paramento'!$G$54,'Sollecitazioni nel paramento'!$G$53)*IF(O122&lt;0,-1,1)</f>
        <v>240946.49743184328</v>
      </c>
      <c r="V122" s="472">
        <f t="shared" si="10"/>
        <v>-313418.66434533545</v>
      </c>
      <c r="W122" s="551"/>
      <c r="X122" s="551"/>
    </row>
    <row r="123" spans="1:24" x14ac:dyDescent="0.25">
      <c r="A123" s="545">
        <f t="shared" si="9"/>
        <v>338114.91463217605</v>
      </c>
      <c r="B123" s="3">
        <f t="shared" si="12"/>
        <v>8.2999999999999918</v>
      </c>
      <c r="C123" s="545">
        <f>'Foglio deposito bis'!$E$153/$B$247*B123</f>
        <v>26.902233427931147</v>
      </c>
      <c r="D123" s="603">
        <f>-'Sollecitazioni nel paramento'!$G$47*'Sollecitazioni nel paramento'!$G$41*IF(DATI!$G$211="dx",DATI!$E$61,DATI!$E$64*DATI!$E$63)*1000*C123^2*sezione!$AD$5*(1-sezione!$AD$6)</f>
        <v>-16102017.652711505</v>
      </c>
      <c r="E123" s="545">
        <f>-'Foglio deposito bis'!$F$48*(C123-sezione!$AL$27)*IF(ABS(K123)&lt;'Sollecitazioni nel paramento'!$G$58,ABS(K123)*'Sollecitazioni nel paramento'!$G$54,'Sollecitazioni nel paramento'!$G$53)</f>
        <v>0</v>
      </c>
      <c r="F123" s="545">
        <f>-'Foglio deposito bis'!$F$49*(C123-sezione!$AM$27)*IF(ABS(L123)&lt;'Sollecitazioni nel paramento'!$G$58,ABS(L123)*'Sollecitazioni nel paramento'!$G$54,'Sollecitazioni nel paramento'!$G$53)</f>
        <v>6781284.8030244345</v>
      </c>
      <c r="G123" s="545">
        <f>-'Foglio deposito bis'!$F$50*(C123-sezione!$AN$27)*IF(ABS(M123)&lt;'Sollecitazioni nel paramento'!$G$58,ABS(M123)*'Sollecitazioni nel paramento'!$G$54,'Sollecitazioni nel paramento'!$G$53)</f>
        <v>0</v>
      </c>
      <c r="H123" s="545">
        <f>-'Foglio deposito bis'!$F$51*(C123-sezione!$AO$27)*IF(ABS(N123)&lt;'Sollecitazioni nel paramento'!$G$58,ABS(N123)*'Sollecitazioni nel paramento'!$G$54,'Sollecitazioni nel paramento'!$G$53)</f>
        <v>32069440.671541061</v>
      </c>
      <c r="I123" s="472">
        <f>-'Foglio deposito bis'!$F$52*(C123-sezione!$AP$27)*IF(ABS(O123)&lt;'Sollecitazioni nel paramento'!$G$58,ABS(O123)*'Sollecitazioni nel paramento'!$G$54,'Sollecitazioni nel paramento'!$G$53)</f>
        <v>41593360.463151976</v>
      </c>
      <c r="J123" s="472">
        <f t="shared" si="8"/>
        <v>64342068.285005972</v>
      </c>
      <c r="K123" s="550">
        <f>'Sollecitazioni nel paramento'!$G$60*(sezione!$AL$27-C123)/C123</f>
        <v>1.7040288913204324E-3</v>
      </c>
      <c r="L123" s="550">
        <f>'Sollecitazioni nel paramento'!$G$60*(sezione!$AM$27-C123)/C123</f>
        <v>4.3060433369806481E-3</v>
      </c>
      <c r="M123" s="551">
        <f>'Sollecitazioni nel paramento'!$G$60*(sezione!$AN$27-C123)/C123</f>
        <v>6.908057782640864E-3</v>
      </c>
      <c r="N123" s="551">
        <f>'Sollecitazioni nel paramento'!$G$60*(sezione!$AO$27-C123)/C123</f>
        <v>1.7316115565281731E-2</v>
      </c>
      <c r="O123" s="551">
        <f>'Sollecitazioni nel paramento'!$G$60*(sezione!$AP$27-C123)/C123</f>
        <v>2.2458621711089217E-2</v>
      </c>
      <c r="P123" s="545">
        <f>-'Sollecitazioni nel paramento'!$G$47*'Sollecitazioni nel paramento'!$G$41*IF(DATI!$G$211="dx",DATI!$E$61,DATI!$E$64*DATI!$E$63)*1000*C123*sezione!$AD$5</f>
        <v>-1024894.3869038926</v>
      </c>
      <c r="Q123" s="545">
        <f>'Foglio deposito bis'!$F$48*IF(ABS(K123)&lt;'Sollecitazioni nel paramento'!$G$58,ABS(K123)*'Sollecitazioni nel paramento'!$G$54,'Sollecitazioni nel paramento'!$G$53)*IF(K123&lt;0,-1,1)</f>
        <v>0</v>
      </c>
      <c r="R123" s="545">
        <f>'Foglio deposito bis'!$F$49*IF(ABS(L123)&lt;'Sollecitazioni nel paramento'!$G$58,ABS(L123)*'Sollecitazioni nel paramento'!$G$54,'Sollecitazioni nel paramento'!$G$53)*IF(L123&lt;0,-1,1)</f>
        <v>204886.47740803001</v>
      </c>
      <c r="S123" s="545">
        <f>'Foglio deposito bis'!$F$50*IF(ABS(M123)&lt;'Sollecitazioni nel paramento'!$G$58,ABS(M123)*'Sollecitazioni nel paramento'!$G$54,'Sollecitazioni nel paramento'!$G$53)*IF(M123&lt;0,-1,1)</f>
        <v>0</v>
      </c>
      <c r="T123" s="545">
        <f>'Foglio deposito bis'!$F$51*IF(ABS(N123)&lt;'Sollecitazioni nel paramento'!$G$58,ABS(N123)*'Sollecitazioni nel paramento'!$G$54,'Sollecitazioni nel paramento'!$G$53)*IF(N123&lt;0,-1,1)</f>
        <v>240946.49743184328</v>
      </c>
      <c r="U123" s="545">
        <f>'Foglio deposito bis'!$F$52*IF(ABS(O123)&lt;'Sollecitazioni nel paramento'!$G$58,ABS(O123)*'Sollecitazioni nel paramento'!$G$54,'Sollecitazioni nel paramento'!$G$53)*IF(O123&lt;0,-1,1)</f>
        <v>240946.49743184328</v>
      </c>
      <c r="V123" s="472">
        <f t="shared" si="10"/>
        <v>-338114.91463217605</v>
      </c>
      <c r="W123" s="551"/>
      <c r="X123" s="551"/>
    </row>
    <row r="124" spans="1:24" x14ac:dyDescent="0.25">
      <c r="A124" s="545">
        <f t="shared" si="9"/>
        <v>362811.16491901688</v>
      </c>
      <c r="B124" s="3">
        <f t="shared" si="12"/>
        <v>8.4999999999999911</v>
      </c>
      <c r="C124" s="545">
        <f>'Foglio deposito bis'!$E$153/$B$247*B124</f>
        <v>27.550480016555994</v>
      </c>
      <c r="D124" s="603">
        <f>-'Sollecitazioni nel paramento'!$G$47*'Sollecitazioni nel paramento'!$G$41*IF(DATI!$G$211="dx",DATI!$E$61,DATI!$E$64*DATI!$E$63)*1000*C124^2*sezione!$AD$5*(1-sezione!$AD$6)</f>
        <v>-16887367.911284748</v>
      </c>
      <c r="E124" s="545">
        <f>-'Foglio deposito bis'!$F$48*(C124-sezione!$AL$27)*IF(ABS(K124)&lt;'Sollecitazioni nel paramento'!$G$58,ABS(K124)*'Sollecitazioni nel paramento'!$G$54,'Sollecitazioni nel paramento'!$G$53)</f>
        <v>0</v>
      </c>
      <c r="F124" s="545">
        <f>-'Foglio deposito bis'!$F$49*(C124-sezione!$AM$27)*IF(ABS(L124)&lt;'Sollecitazioni nel paramento'!$G$58,ABS(L124)*'Sollecitazioni nel paramento'!$G$54,'Sollecitazioni nel paramento'!$G$53)</f>
        <v>6648467.842989319</v>
      </c>
      <c r="G124" s="545">
        <f>-'Foglio deposito bis'!$F$50*(C124-sezione!$AN$27)*IF(ABS(M124)&lt;'Sollecitazioni nel paramento'!$G$58,ABS(M124)*'Sollecitazioni nel paramento'!$G$54,'Sollecitazioni nel paramento'!$G$53)</f>
        <v>0</v>
      </c>
      <c r="H124" s="545">
        <f>-'Foglio deposito bis'!$F$51*(C124-sezione!$AO$27)*IF(ABS(N124)&lt;'Sollecitazioni nel paramento'!$G$58,ABS(N124)*'Sollecitazioni nel paramento'!$G$54,'Sollecitazioni nel paramento'!$G$53)</f>
        <v>31913247.926539768</v>
      </c>
      <c r="I124" s="472">
        <f>-'Foglio deposito bis'!$F$52*(C124-sezione!$AP$27)*IF(ABS(O124)&lt;'Sollecitazioni nel paramento'!$G$58,ABS(O124)*'Sollecitazioni nel paramento'!$G$54,'Sollecitazioni nel paramento'!$G$53)</f>
        <v>41437167.718150675</v>
      </c>
      <c r="J124" s="472">
        <f t="shared" si="8"/>
        <v>63111515.576395012</v>
      </c>
      <c r="K124" s="550">
        <f>'Sollecitazioni nel paramento'!$G$60*(sezione!$AL$27-C124)/C124</f>
        <v>1.5815811527011281E-3</v>
      </c>
      <c r="L124" s="550">
        <f>'Sollecitazioni nel paramento'!$G$60*(sezione!$AM$27-C124)/C124</f>
        <v>4.122371729051692E-3</v>
      </c>
      <c r="M124" s="551">
        <f>'Sollecitazioni nel paramento'!$G$60*(sezione!$AN$27-C124)/C124</f>
        <v>6.6631623054022567E-3</v>
      </c>
      <c r="N124" s="551">
        <f>'Sollecitazioni nel paramento'!$G$60*(sezione!$AO$27-C124)/C124</f>
        <v>1.6826324610804515E-2</v>
      </c>
      <c r="O124" s="551">
        <f>'Sollecitazioni nel paramento'!$G$60*(sezione!$AP$27-C124)/C124</f>
        <v>2.1847830612004761E-2</v>
      </c>
      <c r="P124" s="545">
        <f>-'Sollecitazioni nel paramento'!$G$47*'Sollecitazioni nel paramento'!$G$41*IF(DATI!$G$211="dx",DATI!$E$61,DATI!$E$64*DATI!$E$63)*1000*C124*sezione!$AD$5</f>
        <v>-1049590.6371907336</v>
      </c>
      <c r="Q124" s="545">
        <f>'Foglio deposito bis'!$F$48*IF(ABS(K124)&lt;'Sollecitazioni nel paramento'!$G$58,ABS(K124)*'Sollecitazioni nel paramento'!$G$54,'Sollecitazioni nel paramento'!$G$53)*IF(K124&lt;0,-1,1)</f>
        <v>0</v>
      </c>
      <c r="R124" s="545">
        <f>'Foglio deposito bis'!$F$49*IF(ABS(L124)&lt;'Sollecitazioni nel paramento'!$G$58,ABS(L124)*'Sollecitazioni nel paramento'!$G$54,'Sollecitazioni nel paramento'!$G$53)*IF(L124&lt;0,-1,1)</f>
        <v>204886.47740803001</v>
      </c>
      <c r="S124" s="545">
        <f>'Foglio deposito bis'!$F$50*IF(ABS(M124)&lt;'Sollecitazioni nel paramento'!$G$58,ABS(M124)*'Sollecitazioni nel paramento'!$G$54,'Sollecitazioni nel paramento'!$G$53)*IF(M124&lt;0,-1,1)</f>
        <v>0</v>
      </c>
      <c r="T124" s="545">
        <f>'Foglio deposito bis'!$F$51*IF(ABS(N124)&lt;'Sollecitazioni nel paramento'!$G$58,ABS(N124)*'Sollecitazioni nel paramento'!$G$54,'Sollecitazioni nel paramento'!$G$53)*IF(N124&lt;0,-1,1)</f>
        <v>240946.49743184328</v>
      </c>
      <c r="U124" s="545">
        <f>'Foglio deposito bis'!$F$52*IF(ABS(O124)&lt;'Sollecitazioni nel paramento'!$G$58,ABS(O124)*'Sollecitazioni nel paramento'!$G$54,'Sollecitazioni nel paramento'!$G$53)*IF(O124&lt;0,-1,1)</f>
        <v>240946.49743184328</v>
      </c>
      <c r="V124" s="472">
        <f t="shared" si="10"/>
        <v>-362811.16491901688</v>
      </c>
      <c r="W124" s="551"/>
      <c r="X124" s="551"/>
    </row>
    <row r="125" spans="1:24" x14ac:dyDescent="0.25">
      <c r="A125" s="545">
        <f t="shared" si="9"/>
        <v>387507.41520585748</v>
      </c>
      <c r="B125" s="3">
        <f t="shared" si="12"/>
        <v>8.6999999999999904</v>
      </c>
      <c r="C125" s="545">
        <f>'Foglio deposito bis'!$E$153/$B$247*B125</f>
        <v>28.198726605180838</v>
      </c>
      <c r="D125" s="603">
        <f>-'Sollecitazioni nel paramento'!$G$47*'Sollecitazioni nel paramento'!$G$41*IF(DATI!$G$211="dx",DATI!$E$61,DATI!$E$64*DATI!$E$63)*1000*C125^2*sezione!$AD$5*(1-sezione!$AD$6)</f>
        <v>-17691416.9855383</v>
      </c>
      <c r="E125" s="545">
        <f>-'Foglio deposito bis'!$F$48*(C125-sezione!$AL$27)*IF(ABS(K125)&lt;'Sollecitazioni nel paramento'!$G$58,ABS(K125)*'Sollecitazioni nel paramento'!$G$54,'Sollecitazioni nel paramento'!$G$53)</f>
        <v>0</v>
      </c>
      <c r="F125" s="545">
        <f>-'Foglio deposito bis'!$F$49*(C125-sezione!$AM$27)*IF(ABS(L125)&lt;'Sollecitazioni nel paramento'!$G$58,ABS(L125)*'Sollecitazioni nel paramento'!$G$54,'Sollecitazioni nel paramento'!$G$53)</f>
        <v>6515650.8829542026</v>
      </c>
      <c r="G125" s="545">
        <f>-'Foglio deposito bis'!$F$50*(C125-sezione!$AN$27)*IF(ABS(M125)&lt;'Sollecitazioni nel paramento'!$G$58,ABS(M125)*'Sollecitazioni nel paramento'!$G$54,'Sollecitazioni nel paramento'!$G$53)</f>
        <v>0</v>
      </c>
      <c r="H125" s="545">
        <f>-'Foglio deposito bis'!$F$51*(C125-sezione!$AO$27)*IF(ABS(N125)&lt;'Sollecitazioni nel paramento'!$G$58,ABS(N125)*'Sollecitazioni nel paramento'!$G$54,'Sollecitazioni nel paramento'!$G$53)</f>
        <v>31757055.18153847</v>
      </c>
      <c r="I125" s="472">
        <f>-'Foglio deposito bis'!$F$52*(C125-sezione!$AP$27)*IF(ABS(O125)&lt;'Sollecitazioni nel paramento'!$G$58,ABS(O125)*'Sollecitazioni nel paramento'!$G$54,'Sollecitazioni nel paramento'!$G$53)</f>
        <v>41280974.973149382</v>
      </c>
      <c r="J125" s="472">
        <f t="shared" si="8"/>
        <v>61862264.052103758</v>
      </c>
      <c r="K125" s="550">
        <f>'Sollecitazioni nel paramento'!$G$60*(sezione!$AL$27-C125)/C125</f>
        <v>1.4647631951677693E-3</v>
      </c>
      <c r="L125" s="550">
        <f>'Sollecitazioni nel paramento'!$G$60*(sezione!$AM$27-C125)/C125</f>
        <v>3.9471447927516539E-3</v>
      </c>
      <c r="M125" s="551">
        <f>'Sollecitazioni nel paramento'!$G$60*(sezione!$AN$27-C125)/C125</f>
        <v>6.4295263903355387E-3</v>
      </c>
      <c r="N125" s="551">
        <f>'Sollecitazioni nel paramento'!$G$60*(sezione!$AO$27-C125)/C125</f>
        <v>1.6359052780671075E-2</v>
      </c>
      <c r="O125" s="551">
        <f>'Sollecitazioni nel paramento'!$G$60*(sezione!$AP$27-C125)/C125</f>
        <v>2.1265121862303508E-2</v>
      </c>
      <c r="P125" s="545">
        <f>-'Sollecitazioni nel paramento'!$G$47*'Sollecitazioni nel paramento'!$G$41*IF(DATI!$G$211="dx",DATI!$E$61,DATI!$E$64*DATI!$E$63)*1000*C125*sezione!$AD$5</f>
        <v>-1074286.8874775742</v>
      </c>
      <c r="Q125" s="545">
        <f>'Foglio deposito bis'!$F$48*IF(ABS(K125)&lt;'Sollecitazioni nel paramento'!$G$58,ABS(K125)*'Sollecitazioni nel paramento'!$G$54,'Sollecitazioni nel paramento'!$G$53)*IF(K125&lt;0,-1,1)</f>
        <v>0</v>
      </c>
      <c r="R125" s="545">
        <f>'Foglio deposito bis'!$F$49*IF(ABS(L125)&lt;'Sollecitazioni nel paramento'!$G$58,ABS(L125)*'Sollecitazioni nel paramento'!$G$54,'Sollecitazioni nel paramento'!$G$53)*IF(L125&lt;0,-1,1)</f>
        <v>204886.47740803001</v>
      </c>
      <c r="S125" s="545">
        <f>'Foglio deposito bis'!$F$50*IF(ABS(M125)&lt;'Sollecitazioni nel paramento'!$G$58,ABS(M125)*'Sollecitazioni nel paramento'!$G$54,'Sollecitazioni nel paramento'!$G$53)*IF(M125&lt;0,-1,1)</f>
        <v>0</v>
      </c>
      <c r="T125" s="545">
        <f>'Foglio deposito bis'!$F$51*IF(ABS(N125)&lt;'Sollecitazioni nel paramento'!$G$58,ABS(N125)*'Sollecitazioni nel paramento'!$G$54,'Sollecitazioni nel paramento'!$G$53)*IF(N125&lt;0,-1,1)</f>
        <v>240946.49743184328</v>
      </c>
      <c r="U125" s="545">
        <f>'Foglio deposito bis'!$F$52*IF(ABS(O125)&lt;'Sollecitazioni nel paramento'!$G$58,ABS(O125)*'Sollecitazioni nel paramento'!$G$54,'Sollecitazioni nel paramento'!$G$53)*IF(O125&lt;0,-1,1)</f>
        <v>240946.49743184328</v>
      </c>
      <c r="V125" s="472">
        <f t="shared" si="10"/>
        <v>-387507.41520585748</v>
      </c>
      <c r="W125" s="551"/>
      <c r="X125" s="551"/>
    </row>
    <row r="126" spans="1:24" x14ac:dyDescent="0.25">
      <c r="A126" s="545">
        <f t="shared" si="9"/>
        <v>412203.66549269832</v>
      </c>
      <c r="B126" s="3">
        <f t="shared" si="12"/>
        <v>8.8999999999999897</v>
      </c>
      <c r="C126" s="545">
        <f>'Foglio deposito bis'!$E$153/$B$247*B126</f>
        <v>28.846973193805685</v>
      </c>
      <c r="D126" s="603">
        <f>-'Sollecitazioni nel paramento'!$G$47*'Sollecitazioni nel paramento'!$G$41*IF(DATI!$G$211="dx",DATI!$E$61,DATI!$E$64*DATI!$E$63)*1000*C126^2*sezione!$AD$5*(1-sezione!$AD$6)</f>
        <v>-18514164.875472173</v>
      </c>
      <c r="E126" s="545">
        <f>-'Foglio deposito bis'!$F$48*(C126-sezione!$AL$27)*IF(ABS(K126)&lt;'Sollecitazioni nel paramento'!$G$58,ABS(K126)*'Sollecitazioni nel paramento'!$G$54,'Sollecitazioni nel paramento'!$G$53)</f>
        <v>0</v>
      </c>
      <c r="F126" s="545">
        <f>-'Foglio deposito bis'!$F$49*(C126-sezione!$AM$27)*IF(ABS(L126)&lt;'Sollecitazioni nel paramento'!$G$58,ABS(L126)*'Sollecitazioni nel paramento'!$G$54,'Sollecitazioni nel paramento'!$G$53)</f>
        <v>6382833.9229190843</v>
      </c>
      <c r="G126" s="545">
        <f>-'Foglio deposito bis'!$F$50*(C126-sezione!$AN$27)*IF(ABS(M126)&lt;'Sollecitazioni nel paramento'!$G$58,ABS(M126)*'Sollecitazioni nel paramento'!$G$54,'Sollecitazioni nel paramento'!$G$53)</f>
        <v>0</v>
      </c>
      <c r="H126" s="545">
        <f>-'Foglio deposito bis'!$F$51*(C126-sezione!$AO$27)*IF(ABS(N126)&lt;'Sollecitazioni nel paramento'!$G$58,ABS(N126)*'Sollecitazioni nel paramento'!$G$54,'Sollecitazioni nel paramento'!$G$53)</f>
        <v>31600862.436537169</v>
      </c>
      <c r="I126" s="472">
        <f>-'Foglio deposito bis'!$F$52*(C126-sezione!$AP$27)*IF(ABS(O126)&lt;'Sollecitazioni nel paramento'!$G$58,ABS(O126)*'Sollecitazioni nel paramento'!$G$54,'Sollecitazioni nel paramento'!$G$53)</f>
        <v>41124782.22814808</v>
      </c>
      <c r="J126" s="472">
        <f t="shared" si="8"/>
        <v>60594313.712132156</v>
      </c>
      <c r="K126" s="550">
        <f>'Sollecitazioni nel paramento'!$G$60*(sezione!$AL$27-C126)/C126</f>
        <v>1.3531954829168083E-3</v>
      </c>
      <c r="L126" s="550">
        <f>'Sollecitazioni nel paramento'!$G$60*(sezione!$AM$27-C126)/C126</f>
        <v>3.7797932243752125E-3</v>
      </c>
      <c r="M126" s="551">
        <f>'Sollecitazioni nel paramento'!$G$60*(sezione!$AN$27-C126)/C126</f>
        <v>6.2063909658336171E-3</v>
      </c>
      <c r="N126" s="551">
        <f>'Sollecitazioni nel paramento'!$G$60*(sezione!$AO$27-C126)/C126</f>
        <v>1.591278193166723E-2</v>
      </c>
      <c r="O126" s="551">
        <f>'Sollecitazioni nel paramento'!$G$60*(sezione!$AP$27-C126)/C126</f>
        <v>2.0708602269892191E-2</v>
      </c>
      <c r="P126" s="545">
        <f>-'Sollecitazioni nel paramento'!$G$47*'Sollecitazioni nel paramento'!$G$41*IF(DATI!$G$211="dx",DATI!$E$61,DATI!$E$64*DATI!$E$63)*1000*C126*sezione!$AD$5</f>
        <v>-1098983.137764415</v>
      </c>
      <c r="Q126" s="545">
        <f>'Foglio deposito bis'!$F$48*IF(ABS(K126)&lt;'Sollecitazioni nel paramento'!$G$58,ABS(K126)*'Sollecitazioni nel paramento'!$G$54,'Sollecitazioni nel paramento'!$G$53)*IF(K126&lt;0,-1,1)</f>
        <v>0</v>
      </c>
      <c r="R126" s="545">
        <f>'Foglio deposito bis'!$F$49*IF(ABS(L126)&lt;'Sollecitazioni nel paramento'!$G$58,ABS(L126)*'Sollecitazioni nel paramento'!$G$54,'Sollecitazioni nel paramento'!$G$53)*IF(L126&lt;0,-1,1)</f>
        <v>204886.47740803001</v>
      </c>
      <c r="S126" s="545">
        <f>'Foglio deposito bis'!$F$50*IF(ABS(M126)&lt;'Sollecitazioni nel paramento'!$G$58,ABS(M126)*'Sollecitazioni nel paramento'!$G$54,'Sollecitazioni nel paramento'!$G$53)*IF(M126&lt;0,-1,1)</f>
        <v>0</v>
      </c>
      <c r="T126" s="545">
        <f>'Foglio deposito bis'!$F$51*IF(ABS(N126)&lt;'Sollecitazioni nel paramento'!$G$58,ABS(N126)*'Sollecitazioni nel paramento'!$G$54,'Sollecitazioni nel paramento'!$G$53)*IF(N126&lt;0,-1,1)</f>
        <v>240946.49743184328</v>
      </c>
      <c r="U126" s="545">
        <f>'Foglio deposito bis'!$F$52*IF(ABS(O126)&lt;'Sollecitazioni nel paramento'!$G$58,ABS(O126)*'Sollecitazioni nel paramento'!$G$54,'Sollecitazioni nel paramento'!$G$53)*IF(O126&lt;0,-1,1)</f>
        <v>240946.49743184328</v>
      </c>
      <c r="V126" s="472">
        <f t="shared" si="10"/>
        <v>-412203.66549269832</v>
      </c>
      <c r="W126" s="551"/>
      <c r="X126" s="551"/>
    </row>
    <row r="127" spans="1:24" x14ac:dyDescent="0.25">
      <c r="A127" s="545">
        <f t="shared" si="9"/>
        <v>436899.91577953892</v>
      </c>
      <c r="B127" s="3">
        <f t="shared" si="12"/>
        <v>9.099999999999989</v>
      </c>
      <c r="C127" s="545">
        <f>'Foglio deposito bis'!$E$153/$B$247*B127</f>
        <v>29.495219782430528</v>
      </c>
      <c r="D127" s="603">
        <f>-'Sollecitazioni nel paramento'!$G$47*'Sollecitazioni nel paramento'!$G$41*IF(DATI!$G$211="dx",DATI!$E$61,DATI!$E$64*DATI!$E$63)*1000*C127^2*sezione!$AD$5*(1-sezione!$AD$6)</f>
        <v>-19355611.581086356</v>
      </c>
      <c r="E127" s="545">
        <f>-'Foglio deposito bis'!$F$48*(C127-sezione!$AL$27)*IF(ABS(K127)&lt;'Sollecitazioni nel paramento'!$G$58,ABS(K127)*'Sollecitazioni nel paramento'!$G$54,'Sollecitazioni nel paramento'!$G$53)</f>
        <v>0</v>
      </c>
      <c r="F127" s="545">
        <f>-'Foglio deposito bis'!$F$49*(C127-sezione!$AM$27)*IF(ABS(L127)&lt;'Sollecitazioni nel paramento'!$G$58,ABS(L127)*'Sollecitazioni nel paramento'!$G$54,'Sollecitazioni nel paramento'!$G$53)</f>
        <v>6250016.9628839679</v>
      </c>
      <c r="G127" s="545">
        <f>-'Foglio deposito bis'!$F$50*(C127-sezione!$AN$27)*IF(ABS(M127)&lt;'Sollecitazioni nel paramento'!$G$58,ABS(M127)*'Sollecitazioni nel paramento'!$G$54,'Sollecitazioni nel paramento'!$G$53)</f>
        <v>0</v>
      </c>
      <c r="H127" s="545">
        <f>-'Foglio deposito bis'!$F$51*(C127-sezione!$AO$27)*IF(ABS(N127)&lt;'Sollecitazioni nel paramento'!$G$58,ABS(N127)*'Sollecitazioni nel paramento'!$G$54,'Sollecitazioni nel paramento'!$G$53)</f>
        <v>31444669.691535871</v>
      </c>
      <c r="I127" s="472">
        <f>-'Foglio deposito bis'!$F$52*(C127-sezione!$AP$27)*IF(ABS(O127)&lt;'Sollecitazioni nel paramento'!$G$58,ABS(O127)*'Sollecitazioni nel paramento'!$G$54,'Sollecitazioni nel paramento'!$G$53)</f>
        <v>40968589.483146787</v>
      </c>
      <c r="J127" s="472">
        <f t="shared" si="8"/>
        <v>59307664.556480274</v>
      </c>
      <c r="K127" s="550">
        <f>'Sollecitazioni nel paramento'!$G$60*(sezione!$AL$27-C127)/C127</f>
        <v>1.2465318459296262E-3</v>
      </c>
      <c r="L127" s="550">
        <f>'Sollecitazioni nel paramento'!$G$60*(sezione!$AM$27-C127)/C127</f>
        <v>3.6197977688944391E-3</v>
      </c>
      <c r="M127" s="551">
        <f>'Sollecitazioni nel paramento'!$G$60*(sezione!$AN$27-C127)/C127</f>
        <v>5.993063691859252E-3</v>
      </c>
      <c r="N127" s="551">
        <f>'Sollecitazioni nel paramento'!$G$60*(sezione!$AO$27-C127)/C127</f>
        <v>1.5486127383718505E-2</v>
      </c>
      <c r="O127" s="551">
        <f>'Sollecitazioni nel paramento'!$G$60*(sezione!$AP$27-C127)/C127</f>
        <v>2.017654507714731E-2</v>
      </c>
      <c r="P127" s="545">
        <f>-'Sollecitazioni nel paramento'!$G$47*'Sollecitazioni nel paramento'!$G$41*IF(DATI!$G$211="dx",DATI!$E$61,DATI!$E$64*DATI!$E$63)*1000*C127*sezione!$AD$5</f>
        <v>-1123679.3880512556</v>
      </c>
      <c r="Q127" s="545">
        <f>'Foglio deposito bis'!$F$48*IF(ABS(K127)&lt;'Sollecitazioni nel paramento'!$G$58,ABS(K127)*'Sollecitazioni nel paramento'!$G$54,'Sollecitazioni nel paramento'!$G$53)*IF(K127&lt;0,-1,1)</f>
        <v>0</v>
      </c>
      <c r="R127" s="545">
        <f>'Foglio deposito bis'!$F$49*IF(ABS(L127)&lt;'Sollecitazioni nel paramento'!$G$58,ABS(L127)*'Sollecitazioni nel paramento'!$G$54,'Sollecitazioni nel paramento'!$G$53)*IF(L127&lt;0,-1,1)</f>
        <v>204886.47740803001</v>
      </c>
      <c r="S127" s="545">
        <f>'Foglio deposito bis'!$F$50*IF(ABS(M127)&lt;'Sollecitazioni nel paramento'!$G$58,ABS(M127)*'Sollecitazioni nel paramento'!$G$54,'Sollecitazioni nel paramento'!$G$53)*IF(M127&lt;0,-1,1)</f>
        <v>0</v>
      </c>
      <c r="T127" s="545">
        <f>'Foglio deposito bis'!$F$51*IF(ABS(N127)&lt;'Sollecitazioni nel paramento'!$G$58,ABS(N127)*'Sollecitazioni nel paramento'!$G$54,'Sollecitazioni nel paramento'!$G$53)*IF(N127&lt;0,-1,1)</f>
        <v>240946.49743184328</v>
      </c>
      <c r="U127" s="545">
        <f>'Foglio deposito bis'!$F$52*IF(ABS(O127)&lt;'Sollecitazioni nel paramento'!$G$58,ABS(O127)*'Sollecitazioni nel paramento'!$G$54,'Sollecitazioni nel paramento'!$G$53)*IF(O127&lt;0,-1,1)</f>
        <v>240946.49743184328</v>
      </c>
      <c r="V127" s="472">
        <f t="shared" si="10"/>
        <v>-436899.91577953892</v>
      </c>
      <c r="W127" s="551"/>
      <c r="X127" s="551"/>
    </row>
    <row r="128" spans="1:24" x14ac:dyDescent="0.25">
      <c r="A128" s="545">
        <f t="shared" si="9"/>
        <v>461596.16606637975</v>
      </c>
      <c r="B128" s="3">
        <f t="shared" si="12"/>
        <v>9.2999999999999883</v>
      </c>
      <c r="C128" s="545">
        <f>'Foglio deposito bis'!$E$153/$B$247*B128</f>
        <v>30.143466371055375</v>
      </c>
      <c r="D128" s="603">
        <f>-'Sollecitazioni nel paramento'!$G$47*'Sollecitazioni nel paramento'!$G$41*IF(DATI!$G$211="dx",DATI!$E$61,DATI!$E$64*DATI!$E$63)*1000*C128^2*sezione!$AD$5*(1-sezione!$AD$6)</f>
        <v>-20215757.102380861</v>
      </c>
      <c r="E128" s="545">
        <f>-'Foglio deposito bis'!$F$48*(C128-sezione!$AL$27)*IF(ABS(K128)&lt;'Sollecitazioni nel paramento'!$G$58,ABS(K128)*'Sollecitazioni nel paramento'!$G$54,'Sollecitazioni nel paramento'!$G$53)</f>
        <v>0</v>
      </c>
      <c r="F128" s="545">
        <f>-'Foglio deposito bis'!$F$49*(C128-sezione!$AM$27)*IF(ABS(L128)&lt;'Sollecitazioni nel paramento'!$G$58,ABS(L128)*'Sollecitazioni nel paramento'!$G$54,'Sollecitazioni nel paramento'!$G$53)</f>
        <v>6117200.0028488515</v>
      </c>
      <c r="G128" s="545">
        <f>-'Foglio deposito bis'!$F$50*(C128-sezione!$AN$27)*IF(ABS(M128)&lt;'Sollecitazioni nel paramento'!$G$58,ABS(M128)*'Sollecitazioni nel paramento'!$G$54,'Sollecitazioni nel paramento'!$G$53)</f>
        <v>0</v>
      </c>
      <c r="H128" s="545">
        <f>-'Foglio deposito bis'!$F$51*(C128-sezione!$AO$27)*IF(ABS(N128)&lt;'Sollecitazioni nel paramento'!$G$58,ABS(N128)*'Sollecitazioni nel paramento'!$G$54,'Sollecitazioni nel paramento'!$G$53)</f>
        <v>31288476.946534574</v>
      </c>
      <c r="I128" s="472">
        <f>-'Foglio deposito bis'!$F$52*(C128-sezione!$AP$27)*IF(ABS(O128)&lt;'Sollecitazioni nel paramento'!$G$58,ABS(O128)*'Sollecitazioni nel paramento'!$G$54,'Sollecitazioni nel paramento'!$G$53)</f>
        <v>40812396.738145493</v>
      </c>
      <c r="J128" s="472">
        <f t="shared" si="8"/>
        <v>58002316.585148059</v>
      </c>
      <c r="K128" s="550">
        <f>'Sollecitazioni nel paramento'!$G$60*(sezione!$AL$27-C128)/C128</f>
        <v>1.1444558922537203E-3</v>
      </c>
      <c r="L128" s="550">
        <f>'Sollecitazioni nel paramento'!$G$60*(sezione!$AM$27-C128)/C128</f>
        <v>3.4666838383805802E-3</v>
      </c>
      <c r="M128" s="551">
        <f>'Sollecitazioni nel paramento'!$G$60*(sezione!$AN$27-C128)/C128</f>
        <v>5.7889117845074398E-3</v>
      </c>
      <c r="N128" s="551">
        <f>'Sollecitazioni nel paramento'!$G$60*(sezione!$AO$27-C128)/C128</f>
        <v>1.5077823569014881E-2</v>
      </c>
      <c r="O128" s="551">
        <f>'Sollecitazioni nel paramento'!$G$60*(sezione!$AP$27-C128)/C128</f>
        <v>1.9667372064735542E-2</v>
      </c>
      <c r="P128" s="545">
        <f>-'Sollecitazioni nel paramento'!$G$47*'Sollecitazioni nel paramento'!$G$41*IF(DATI!$G$211="dx",DATI!$E$61,DATI!$E$64*DATI!$E$63)*1000*C128*sezione!$AD$5</f>
        <v>-1148375.6383380964</v>
      </c>
      <c r="Q128" s="545">
        <f>'Foglio deposito bis'!$F$48*IF(ABS(K128)&lt;'Sollecitazioni nel paramento'!$G$58,ABS(K128)*'Sollecitazioni nel paramento'!$G$54,'Sollecitazioni nel paramento'!$G$53)*IF(K128&lt;0,-1,1)</f>
        <v>0</v>
      </c>
      <c r="R128" s="545">
        <f>'Foglio deposito bis'!$F$49*IF(ABS(L128)&lt;'Sollecitazioni nel paramento'!$G$58,ABS(L128)*'Sollecitazioni nel paramento'!$G$54,'Sollecitazioni nel paramento'!$G$53)*IF(L128&lt;0,-1,1)</f>
        <v>204886.47740803001</v>
      </c>
      <c r="S128" s="545">
        <f>'Foglio deposito bis'!$F$50*IF(ABS(M128)&lt;'Sollecitazioni nel paramento'!$G$58,ABS(M128)*'Sollecitazioni nel paramento'!$G$54,'Sollecitazioni nel paramento'!$G$53)*IF(M128&lt;0,-1,1)</f>
        <v>0</v>
      </c>
      <c r="T128" s="545">
        <f>'Foglio deposito bis'!$F$51*IF(ABS(N128)&lt;'Sollecitazioni nel paramento'!$G$58,ABS(N128)*'Sollecitazioni nel paramento'!$G$54,'Sollecitazioni nel paramento'!$G$53)*IF(N128&lt;0,-1,1)</f>
        <v>240946.49743184328</v>
      </c>
      <c r="U128" s="545">
        <f>'Foglio deposito bis'!$F$52*IF(ABS(O128)&lt;'Sollecitazioni nel paramento'!$G$58,ABS(O128)*'Sollecitazioni nel paramento'!$G$54,'Sollecitazioni nel paramento'!$G$53)*IF(O128&lt;0,-1,1)</f>
        <v>240946.49743184328</v>
      </c>
      <c r="V128" s="472">
        <f t="shared" si="10"/>
        <v>-461596.16606637975</v>
      </c>
      <c r="W128" s="551"/>
      <c r="X128" s="551"/>
    </row>
    <row r="129" spans="1:24" x14ac:dyDescent="0.25">
      <c r="A129" s="545">
        <f t="shared" si="9"/>
        <v>486292.41635322035</v>
      </c>
      <c r="B129" s="3">
        <f t="shared" si="12"/>
        <v>9.4999999999999876</v>
      </c>
      <c r="C129" s="545">
        <f>'Foglio deposito bis'!$E$153/$B$247*B129</f>
        <v>30.791712959680218</v>
      </c>
      <c r="D129" s="603">
        <f>-'Sollecitazioni nel paramento'!$G$47*'Sollecitazioni nel paramento'!$G$41*IF(DATI!$G$211="dx",DATI!$E$61,DATI!$E$64*DATI!$E$63)*1000*C129^2*sezione!$AD$5*(1-sezione!$AD$6)</f>
        <v>-21094601.439355675</v>
      </c>
      <c r="E129" s="545">
        <f>-'Foglio deposito bis'!$F$48*(C129-sezione!$AL$27)*IF(ABS(K129)&lt;'Sollecitazioni nel paramento'!$G$58,ABS(K129)*'Sollecitazioni nel paramento'!$G$54,'Sollecitazioni nel paramento'!$G$53)</f>
        <v>0</v>
      </c>
      <c r="F129" s="545">
        <f>-'Foglio deposito bis'!$F$49*(C129-sezione!$AM$27)*IF(ABS(L129)&lt;'Sollecitazioni nel paramento'!$G$58,ABS(L129)*'Sollecitazioni nel paramento'!$G$54,'Sollecitazioni nel paramento'!$G$53)</f>
        <v>5984383.0428137351</v>
      </c>
      <c r="G129" s="545">
        <f>-'Foglio deposito bis'!$F$50*(C129-sezione!$AN$27)*IF(ABS(M129)&lt;'Sollecitazioni nel paramento'!$G$58,ABS(M129)*'Sollecitazioni nel paramento'!$G$54,'Sollecitazioni nel paramento'!$G$53)</f>
        <v>0</v>
      </c>
      <c r="H129" s="545">
        <f>-'Foglio deposito bis'!$F$51*(C129-sezione!$AO$27)*IF(ABS(N129)&lt;'Sollecitazioni nel paramento'!$G$58,ABS(N129)*'Sollecitazioni nel paramento'!$G$54,'Sollecitazioni nel paramento'!$G$53)</f>
        <v>31132284.20153328</v>
      </c>
      <c r="I129" s="472">
        <f>-'Foglio deposito bis'!$F$52*(C129-sezione!$AP$27)*IF(ABS(O129)&lt;'Sollecitazioni nel paramento'!$G$58,ABS(O129)*'Sollecitazioni nel paramento'!$G$54,'Sollecitazioni nel paramento'!$G$53)</f>
        <v>40656203.993144199</v>
      </c>
      <c r="J129" s="472">
        <f t="shared" si="8"/>
        <v>56678269.798135541</v>
      </c>
      <c r="K129" s="550">
        <f>'Sollecitazioni nel paramento'!$G$60*(sezione!$AL$27-C129)/C129</f>
        <v>1.046677873469432E-3</v>
      </c>
      <c r="L129" s="550">
        <f>'Sollecitazioni nel paramento'!$G$60*(sezione!$AM$27-C129)/C129</f>
        <v>3.320016810204148E-3</v>
      </c>
      <c r="M129" s="551">
        <f>'Sollecitazioni nel paramento'!$G$60*(sezione!$AN$27-C129)/C129</f>
        <v>5.5933557469388636E-3</v>
      </c>
      <c r="N129" s="551">
        <f>'Sollecitazioni nel paramento'!$G$60*(sezione!$AO$27-C129)/C129</f>
        <v>1.4686711493877729E-2</v>
      </c>
      <c r="O129" s="551">
        <f>'Sollecitazioni nel paramento'!$G$60*(sezione!$AP$27-C129)/C129</f>
        <v>1.9179637916004272E-2</v>
      </c>
      <c r="P129" s="545">
        <f>-'Sollecitazioni nel paramento'!$G$47*'Sollecitazioni nel paramento'!$G$41*IF(DATI!$G$211="dx",DATI!$E$61,DATI!$E$64*DATI!$E$63)*1000*C129*sezione!$AD$5</f>
        <v>-1173071.888624937</v>
      </c>
      <c r="Q129" s="545">
        <f>'Foglio deposito bis'!$F$48*IF(ABS(K129)&lt;'Sollecitazioni nel paramento'!$G$58,ABS(K129)*'Sollecitazioni nel paramento'!$G$54,'Sollecitazioni nel paramento'!$G$53)*IF(K129&lt;0,-1,1)</f>
        <v>0</v>
      </c>
      <c r="R129" s="545">
        <f>'Foglio deposito bis'!$F$49*IF(ABS(L129)&lt;'Sollecitazioni nel paramento'!$G$58,ABS(L129)*'Sollecitazioni nel paramento'!$G$54,'Sollecitazioni nel paramento'!$G$53)*IF(L129&lt;0,-1,1)</f>
        <v>204886.47740803001</v>
      </c>
      <c r="S129" s="545">
        <f>'Foglio deposito bis'!$F$50*IF(ABS(M129)&lt;'Sollecitazioni nel paramento'!$G$58,ABS(M129)*'Sollecitazioni nel paramento'!$G$54,'Sollecitazioni nel paramento'!$G$53)*IF(M129&lt;0,-1,1)</f>
        <v>0</v>
      </c>
      <c r="T129" s="545">
        <f>'Foglio deposito bis'!$F$51*IF(ABS(N129)&lt;'Sollecitazioni nel paramento'!$G$58,ABS(N129)*'Sollecitazioni nel paramento'!$G$54,'Sollecitazioni nel paramento'!$G$53)*IF(N129&lt;0,-1,1)</f>
        <v>240946.49743184328</v>
      </c>
      <c r="U129" s="545">
        <f>'Foglio deposito bis'!$F$52*IF(ABS(O129)&lt;'Sollecitazioni nel paramento'!$G$58,ABS(O129)*'Sollecitazioni nel paramento'!$G$54,'Sollecitazioni nel paramento'!$G$53)*IF(O129&lt;0,-1,1)</f>
        <v>240946.49743184328</v>
      </c>
      <c r="V129" s="472">
        <f t="shared" si="10"/>
        <v>-486292.41635322035</v>
      </c>
      <c r="W129" s="551"/>
      <c r="X129" s="551"/>
    </row>
    <row r="130" spans="1:24" x14ac:dyDescent="0.25">
      <c r="A130" s="545">
        <f t="shared" si="9"/>
        <v>510988.66664006119</v>
      </c>
      <c r="B130" s="3">
        <f t="shared" si="12"/>
        <v>9.6999999999999869</v>
      </c>
      <c r="C130" s="545">
        <f>'Foglio deposito bis'!$E$153/$B$247*B130</f>
        <v>31.439959548305065</v>
      </c>
      <c r="D130" s="603">
        <f>-'Sollecitazioni nel paramento'!$G$47*'Sollecitazioni nel paramento'!$G$41*IF(DATI!$G$211="dx",DATI!$E$61,DATI!$E$64*DATI!$E$63)*1000*C130^2*sezione!$AD$5*(1-sezione!$AD$6)</f>
        <v>-21992144.592010807</v>
      </c>
      <c r="E130" s="545">
        <f>-'Foglio deposito bis'!$F$48*(C130-sezione!$AL$27)*IF(ABS(K130)&lt;'Sollecitazioni nel paramento'!$G$58,ABS(K130)*'Sollecitazioni nel paramento'!$G$54,'Sollecitazioni nel paramento'!$G$53)</f>
        <v>0</v>
      </c>
      <c r="F130" s="545">
        <f>-'Foglio deposito bis'!$F$49*(C130-sezione!$AM$27)*IF(ABS(L130)&lt;'Sollecitazioni nel paramento'!$G$58,ABS(L130)*'Sollecitazioni nel paramento'!$G$54,'Sollecitazioni nel paramento'!$G$53)</f>
        <v>5851566.0827786177</v>
      </c>
      <c r="G130" s="545">
        <f>-'Foglio deposito bis'!$F$50*(C130-sezione!$AN$27)*IF(ABS(M130)&lt;'Sollecitazioni nel paramento'!$G$58,ABS(M130)*'Sollecitazioni nel paramento'!$G$54,'Sollecitazioni nel paramento'!$G$53)</f>
        <v>0</v>
      </c>
      <c r="H130" s="545">
        <f>-'Foglio deposito bis'!$F$51*(C130-sezione!$AO$27)*IF(ABS(N130)&lt;'Sollecitazioni nel paramento'!$G$58,ABS(N130)*'Sollecitazioni nel paramento'!$G$54,'Sollecitazioni nel paramento'!$G$53)</f>
        <v>30976091.456531975</v>
      </c>
      <c r="I130" s="472">
        <f>-'Foglio deposito bis'!$F$52*(C130-sezione!$AP$27)*IF(ABS(O130)&lt;'Sollecitazioni nel paramento'!$G$58,ABS(O130)*'Sollecitazioni nel paramento'!$G$54,'Sollecitazioni nel paramento'!$G$53)</f>
        <v>40500011.248142891</v>
      </c>
      <c r="J130" s="472">
        <f t="shared" si="8"/>
        <v>55335524.195442677</v>
      </c>
      <c r="K130" s="550">
        <f>'Sollecitazioni nel paramento'!$G$60*(sezione!$AL$27-C130)/C130</f>
        <v>9.5293193793397958E-4</v>
      </c>
      <c r="L130" s="550">
        <f>'Sollecitazioni nel paramento'!$G$60*(sezione!$AM$27-C130)/C130</f>
        <v>3.1793979069009697E-3</v>
      </c>
      <c r="M130" s="551">
        <f>'Sollecitazioni nel paramento'!$G$60*(sezione!$AN$27-C130)/C130</f>
        <v>5.4058638758679584E-3</v>
      </c>
      <c r="N130" s="551">
        <f>'Sollecitazioni nel paramento'!$G$60*(sezione!$AO$27-C130)/C130</f>
        <v>1.4311727751735918E-2</v>
      </c>
      <c r="O130" s="551">
        <f>'Sollecitazioni nel paramento'!$G$60*(sezione!$AP$27-C130)/C130</f>
        <v>1.8712016515674283E-2</v>
      </c>
      <c r="P130" s="545">
        <f>-'Sollecitazioni nel paramento'!$G$47*'Sollecitazioni nel paramento'!$G$41*IF(DATI!$G$211="dx",DATI!$E$61,DATI!$E$64*DATI!$E$63)*1000*C130*sezione!$AD$5</f>
        <v>-1197768.1389117779</v>
      </c>
      <c r="Q130" s="545">
        <f>'Foglio deposito bis'!$F$48*IF(ABS(K130)&lt;'Sollecitazioni nel paramento'!$G$58,ABS(K130)*'Sollecitazioni nel paramento'!$G$54,'Sollecitazioni nel paramento'!$G$53)*IF(K130&lt;0,-1,1)</f>
        <v>0</v>
      </c>
      <c r="R130" s="545">
        <f>'Foglio deposito bis'!$F$49*IF(ABS(L130)&lt;'Sollecitazioni nel paramento'!$G$58,ABS(L130)*'Sollecitazioni nel paramento'!$G$54,'Sollecitazioni nel paramento'!$G$53)*IF(L130&lt;0,-1,1)</f>
        <v>204886.47740803001</v>
      </c>
      <c r="S130" s="545">
        <f>'Foglio deposito bis'!$F$50*IF(ABS(M130)&lt;'Sollecitazioni nel paramento'!$G$58,ABS(M130)*'Sollecitazioni nel paramento'!$G$54,'Sollecitazioni nel paramento'!$G$53)*IF(M130&lt;0,-1,1)</f>
        <v>0</v>
      </c>
      <c r="T130" s="545">
        <f>'Foglio deposito bis'!$F$51*IF(ABS(N130)&lt;'Sollecitazioni nel paramento'!$G$58,ABS(N130)*'Sollecitazioni nel paramento'!$G$54,'Sollecitazioni nel paramento'!$G$53)*IF(N130&lt;0,-1,1)</f>
        <v>240946.49743184328</v>
      </c>
      <c r="U130" s="545">
        <f>'Foglio deposito bis'!$F$52*IF(ABS(O130)&lt;'Sollecitazioni nel paramento'!$G$58,ABS(O130)*'Sollecitazioni nel paramento'!$G$54,'Sollecitazioni nel paramento'!$G$53)*IF(O130&lt;0,-1,1)</f>
        <v>240946.49743184328</v>
      </c>
      <c r="V130" s="472">
        <f t="shared" si="10"/>
        <v>-510988.66664006119</v>
      </c>
      <c r="W130" s="551"/>
      <c r="X130" s="551"/>
    </row>
    <row r="131" spans="1:24" x14ac:dyDescent="0.25">
      <c r="A131" s="545">
        <f t="shared" si="9"/>
        <v>535684.91692690179</v>
      </c>
      <c r="B131" s="3">
        <f t="shared" si="12"/>
        <v>9.8999999999999861</v>
      </c>
      <c r="C131" s="545">
        <f>'Foglio deposito bis'!$E$153/$B$247*B131</f>
        <v>32.088206136929912</v>
      </c>
      <c r="D131" s="603">
        <f>-'Sollecitazioni nel paramento'!$G$47*'Sollecitazioni nel paramento'!$G$41*IF(DATI!$G$211="dx",DATI!$E$61,DATI!$E$64*DATI!$E$63)*1000*C131^2*sezione!$AD$5*(1-sezione!$AD$6)</f>
        <v>-22908386.560346253</v>
      </c>
      <c r="E131" s="545">
        <f>-'Foglio deposito bis'!$F$48*(C131-sezione!$AL$27)*IF(ABS(K131)&lt;'Sollecitazioni nel paramento'!$G$58,ABS(K131)*'Sollecitazioni nel paramento'!$G$54,'Sollecitazioni nel paramento'!$G$53)</f>
        <v>0</v>
      </c>
      <c r="F131" s="545">
        <f>-'Foglio deposito bis'!$F$49*(C131-sezione!$AM$27)*IF(ABS(L131)&lt;'Sollecitazioni nel paramento'!$G$58,ABS(L131)*'Sollecitazioni nel paramento'!$G$54,'Sollecitazioni nel paramento'!$G$53)</f>
        <v>5718749.1227435004</v>
      </c>
      <c r="G131" s="545">
        <f>-'Foglio deposito bis'!$F$50*(C131-sezione!$AN$27)*IF(ABS(M131)&lt;'Sollecitazioni nel paramento'!$G$58,ABS(M131)*'Sollecitazioni nel paramento'!$G$54,'Sollecitazioni nel paramento'!$G$53)</f>
        <v>0</v>
      </c>
      <c r="H131" s="545">
        <f>-'Foglio deposito bis'!$F$51*(C131-sezione!$AO$27)*IF(ABS(N131)&lt;'Sollecitazioni nel paramento'!$G$58,ABS(N131)*'Sollecitazioni nel paramento'!$G$54,'Sollecitazioni nel paramento'!$G$53)</f>
        <v>30819898.711530685</v>
      </c>
      <c r="I131" s="472">
        <f>-'Foglio deposito bis'!$F$52*(C131-sezione!$AP$27)*IF(ABS(O131)&lt;'Sollecitazioni nel paramento'!$G$58,ABS(O131)*'Sollecitazioni nel paramento'!$G$54,'Sollecitazioni nel paramento'!$G$53)</f>
        <v>40343818.503141597</v>
      </c>
      <c r="J131" s="472">
        <f t="shared" si="8"/>
        <v>53974079.777069531</v>
      </c>
      <c r="K131" s="550">
        <f>'Sollecitazioni nel paramento'!$G$60*(sezione!$AL$27-C131)/C131</f>
        <v>8.6297371696561639E-4</v>
      </c>
      <c r="L131" s="550">
        <f>'Sollecitazioni nel paramento'!$G$60*(sezione!$AM$27-C131)/C131</f>
        <v>3.0444605754484247E-3</v>
      </c>
      <c r="M131" s="551">
        <f>'Sollecitazioni nel paramento'!$G$60*(sezione!$AN$27-C131)/C131</f>
        <v>5.2259474339312328E-3</v>
      </c>
      <c r="N131" s="551">
        <f>'Sollecitazioni nel paramento'!$G$60*(sezione!$AO$27-C131)/C131</f>
        <v>1.3951894867862465E-2</v>
      </c>
      <c r="O131" s="551">
        <f>'Sollecitazioni nel paramento'!$G$60*(sezione!$AP$27-C131)/C131</f>
        <v>1.8263288909297022E-2</v>
      </c>
      <c r="P131" s="545">
        <f>-'Sollecitazioni nel paramento'!$G$47*'Sollecitazioni nel paramento'!$G$41*IF(DATI!$G$211="dx",DATI!$E$61,DATI!$E$64*DATI!$E$63)*1000*C131*sezione!$AD$5</f>
        <v>-1222464.3891986185</v>
      </c>
      <c r="Q131" s="545">
        <f>'Foglio deposito bis'!$F$48*IF(ABS(K131)&lt;'Sollecitazioni nel paramento'!$G$58,ABS(K131)*'Sollecitazioni nel paramento'!$G$54,'Sollecitazioni nel paramento'!$G$53)*IF(K131&lt;0,-1,1)</f>
        <v>0</v>
      </c>
      <c r="R131" s="545">
        <f>'Foglio deposito bis'!$F$49*IF(ABS(L131)&lt;'Sollecitazioni nel paramento'!$G$58,ABS(L131)*'Sollecitazioni nel paramento'!$G$54,'Sollecitazioni nel paramento'!$G$53)*IF(L131&lt;0,-1,1)</f>
        <v>204886.47740803001</v>
      </c>
      <c r="S131" s="545">
        <f>'Foglio deposito bis'!$F$50*IF(ABS(M131)&lt;'Sollecitazioni nel paramento'!$G$58,ABS(M131)*'Sollecitazioni nel paramento'!$G$54,'Sollecitazioni nel paramento'!$G$53)*IF(M131&lt;0,-1,1)</f>
        <v>0</v>
      </c>
      <c r="T131" s="545">
        <f>'Foglio deposito bis'!$F$51*IF(ABS(N131)&lt;'Sollecitazioni nel paramento'!$G$58,ABS(N131)*'Sollecitazioni nel paramento'!$G$54,'Sollecitazioni nel paramento'!$G$53)*IF(N131&lt;0,-1,1)</f>
        <v>240946.49743184328</v>
      </c>
      <c r="U131" s="545">
        <f>'Foglio deposito bis'!$F$52*IF(ABS(O131)&lt;'Sollecitazioni nel paramento'!$G$58,ABS(O131)*'Sollecitazioni nel paramento'!$G$54,'Sollecitazioni nel paramento'!$G$53)*IF(O131&lt;0,-1,1)</f>
        <v>240946.49743184328</v>
      </c>
      <c r="V131" s="472">
        <f t="shared" si="10"/>
        <v>-535684.91692690179</v>
      </c>
      <c r="W131" s="551"/>
      <c r="X131" s="551"/>
    </row>
    <row r="132" spans="1:24" x14ac:dyDescent="0.25">
      <c r="A132" s="545">
        <f t="shared" si="9"/>
        <v>560381.16721374262</v>
      </c>
      <c r="B132" s="3">
        <f t="shared" si="12"/>
        <v>10.099999999999985</v>
      </c>
      <c r="C132" s="545">
        <f>'Foglio deposito bis'!$E$153/$B$247*B132</f>
        <v>32.736452725554756</v>
      </c>
      <c r="D132" s="603">
        <f>-'Sollecitazioni nel paramento'!$G$47*'Sollecitazioni nel paramento'!$G$41*IF(DATI!$G$211="dx",DATI!$E$61,DATI!$E$64*DATI!$E$63)*1000*C132^2*sezione!$AD$5*(1-sezione!$AD$6)</f>
        <v>-23843327.344362013</v>
      </c>
      <c r="E132" s="545">
        <f>-'Foglio deposito bis'!$F$48*(C132-sezione!$AL$27)*IF(ABS(K132)&lt;'Sollecitazioni nel paramento'!$G$58,ABS(K132)*'Sollecitazioni nel paramento'!$G$54,'Sollecitazioni nel paramento'!$G$53)</f>
        <v>0</v>
      </c>
      <c r="F132" s="545">
        <f>-'Foglio deposito bis'!$F$49*(C132-sezione!$AM$27)*IF(ABS(L132)&lt;'Sollecitazioni nel paramento'!$G$58,ABS(L132)*'Sollecitazioni nel paramento'!$G$54,'Sollecitazioni nel paramento'!$G$53)</f>
        <v>5585932.1627083831</v>
      </c>
      <c r="G132" s="545">
        <f>-'Foglio deposito bis'!$F$50*(C132-sezione!$AN$27)*IF(ABS(M132)&lt;'Sollecitazioni nel paramento'!$G$58,ABS(M132)*'Sollecitazioni nel paramento'!$G$54,'Sollecitazioni nel paramento'!$G$53)</f>
        <v>0</v>
      </c>
      <c r="H132" s="545">
        <f>-'Foglio deposito bis'!$F$51*(C132-sezione!$AO$27)*IF(ABS(N132)&lt;'Sollecitazioni nel paramento'!$G$58,ABS(N132)*'Sollecitazioni nel paramento'!$G$54,'Sollecitazioni nel paramento'!$G$53)</f>
        <v>30663705.966529388</v>
      </c>
      <c r="I132" s="472">
        <f>-'Foglio deposito bis'!$F$52*(C132-sezione!$AP$27)*IF(ABS(O132)&lt;'Sollecitazioni nel paramento'!$G$58,ABS(O132)*'Sollecitazioni nel paramento'!$G$54,'Sollecitazioni nel paramento'!$G$53)</f>
        <v>40187625.758140303</v>
      </c>
      <c r="J132" s="472">
        <f t="shared" si="8"/>
        <v>52593936.543016061</v>
      </c>
      <c r="K132" s="550">
        <f>'Sollecitazioni nel paramento'!$G$60*(sezione!$AL$27-C132)/C132</f>
        <v>7.7657819781778276E-4</v>
      </c>
      <c r="L132" s="550">
        <f>'Sollecitazioni nel paramento'!$G$60*(sezione!$AM$27-C132)/C132</f>
        <v>2.9148672967266739E-3</v>
      </c>
      <c r="M132" s="551">
        <f>'Sollecitazioni nel paramento'!$G$60*(sezione!$AN$27-C132)/C132</f>
        <v>5.0531563956355656E-3</v>
      </c>
      <c r="N132" s="551">
        <f>'Sollecitazioni nel paramento'!$G$60*(sezione!$AO$27-C132)/C132</f>
        <v>1.3606312791271133E-2</v>
      </c>
      <c r="O132" s="551">
        <f>'Sollecitazioni nel paramento'!$G$60*(sezione!$AP$27-C132)/C132</f>
        <v>1.7832332693271346E-2</v>
      </c>
      <c r="P132" s="545">
        <f>-'Sollecitazioni nel paramento'!$G$47*'Sollecitazioni nel paramento'!$G$41*IF(DATI!$G$211="dx",DATI!$E$61,DATI!$E$64*DATI!$E$63)*1000*C132*sezione!$AD$5</f>
        <v>-1247160.6394854593</v>
      </c>
      <c r="Q132" s="545">
        <f>'Foglio deposito bis'!$F$48*IF(ABS(K132)&lt;'Sollecitazioni nel paramento'!$G$58,ABS(K132)*'Sollecitazioni nel paramento'!$G$54,'Sollecitazioni nel paramento'!$G$53)*IF(K132&lt;0,-1,1)</f>
        <v>0</v>
      </c>
      <c r="R132" s="545">
        <f>'Foglio deposito bis'!$F$49*IF(ABS(L132)&lt;'Sollecitazioni nel paramento'!$G$58,ABS(L132)*'Sollecitazioni nel paramento'!$G$54,'Sollecitazioni nel paramento'!$G$53)*IF(L132&lt;0,-1,1)</f>
        <v>204886.47740803001</v>
      </c>
      <c r="S132" s="545">
        <f>'Foglio deposito bis'!$F$50*IF(ABS(M132)&lt;'Sollecitazioni nel paramento'!$G$58,ABS(M132)*'Sollecitazioni nel paramento'!$G$54,'Sollecitazioni nel paramento'!$G$53)*IF(M132&lt;0,-1,1)</f>
        <v>0</v>
      </c>
      <c r="T132" s="545">
        <f>'Foglio deposito bis'!$F$51*IF(ABS(N132)&lt;'Sollecitazioni nel paramento'!$G$58,ABS(N132)*'Sollecitazioni nel paramento'!$G$54,'Sollecitazioni nel paramento'!$G$53)*IF(N132&lt;0,-1,1)</f>
        <v>240946.49743184328</v>
      </c>
      <c r="U132" s="545">
        <f>'Foglio deposito bis'!$F$52*IF(ABS(O132)&lt;'Sollecitazioni nel paramento'!$G$58,ABS(O132)*'Sollecitazioni nel paramento'!$G$54,'Sollecitazioni nel paramento'!$G$53)*IF(O132&lt;0,-1,1)</f>
        <v>240946.49743184328</v>
      </c>
      <c r="V132" s="472">
        <f t="shared" si="10"/>
        <v>-560381.16721374262</v>
      </c>
      <c r="W132" s="551"/>
      <c r="X132" s="551"/>
    </row>
    <row r="133" spans="1:24" x14ac:dyDescent="0.25">
      <c r="A133" s="545">
        <f t="shared" si="9"/>
        <v>585077.41750058322</v>
      </c>
      <c r="B133" s="3">
        <f t="shared" si="12"/>
        <v>10.299999999999985</v>
      </c>
      <c r="C133" s="545">
        <f>'Foglio deposito bis'!$E$153/$B$247*B133</f>
        <v>33.384699314179599</v>
      </c>
      <c r="D133" s="603">
        <f>-'Sollecitazioni nel paramento'!$G$47*'Sollecitazioni nel paramento'!$G$41*IF(DATI!$G$211="dx",DATI!$E$61,DATI!$E$64*DATI!$E$63)*1000*C133^2*sezione!$AD$5*(1-sezione!$AD$6)</f>
        <v>-24796966.944058087</v>
      </c>
      <c r="E133" s="545">
        <f>-'Foglio deposito bis'!$F$48*(C133-sezione!$AL$27)*IF(ABS(K133)&lt;'Sollecitazioni nel paramento'!$G$58,ABS(K133)*'Sollecitazioni nel paramento'!$G$54,'Sollecitazioni nel paramento'!$G$53)</f>
        <v>0</v>
      </c>
      <c r="F133" s="545">
        <f>-'Foglio deposito bis'!$F$49*(C133-sezione!$AM$27)*IF(ABS(L133)&lt;'Sollecitazioni nel paramento'!$G$58,ABS(L133)*'Sollecitazioni nel paramento'!$G$54,'Sollecitazioni nel paramento'!$G$53)</f>
        <v>5453115.2026732676</v>
      </c>
      <c r="G133" s="545">
        <f>-'Foglio deposito bis'!$F$50*(C133-sezione!$AN$27)*IF(ABS(M133)&lt;'Sollecitazioni nel paramento'!$G$58,ABS(M133)*'Sollecitazioni nel paramento'!$G$54,'Sollecitazioni nel paramento'!$G$53)</f>
        <v>0</v>
      </c>
      <c r="H133" s="545">
        <f>-'Foglio deposito bis'!$F$51*(C133-sezione!$AO$27)*IF(ABS(N133)&lt;'Sollecitazioni nel paramento'!$G$58,ABS(N133)*'Sollecitazioni nel paramento'!$G$54,'Sollecitazioni nel paramento'!$G$53)</f>
        <v>30507513.221528087</v>
      </c>
      <c r="I133" s="472">
        <f>-'Foglio deposito bis'!$F$52*(C133-sezione!$AP$27)*IF(ABS(O133)&lt;'Sollecitazioni nel paramento'!$G$58,ABS(O133)*'Sollecitazioni nel paramento'!$G$54,'Sollecitazioni nel paramento'!$G$53)</f>
        <v>40031433.013139009</v>
      </c>
      <c r="J133" s="472">
        <f t="shared" ref="J133:J196" si="13">D133+E133+F133+G133+H133+I133</f>
        <v>51195094.493282273</v>
      </c>
      <c r="K133" s="550">
        <f>'Sollecitazioni nel paramento'!$G$60*(sezione!$AL$27-C133)/C133</f>
        <v>6.9353784446209805E-4</v>
      </c>
      <c r="L133" s="550">
        <f>'Sollecitazioni nel paramento'!$G$60*(sezione!$AM$27-C133)/C133</f>
        <v>2.7903067666931471E-3</v>
      </c>
      <c r="M133" s="551">
        <f>'Sollecitazioni nel paramento'!$G$60*(sezione!$AN$27-C133)/C133</f>
        <v>4.8870756889241966E-3</v>
      </c>
      <c r="N133" s="551">
        <f>'Sollecitazioni nel paramento'!$G$60*(sezione!$AO$27-C133)/C133</f>
        <v>1.3274151377848393E-2</v>
      </c>
      <c r="O133" s="551">
        <f>'Sollecitazioni nel paramento'!$G$60*(sezione!$AP$27-C133)/C133</f>
        <v>1.7418112640974818E-2</v>
      </c>
      <c r="P133" s="545">
        <f>-'Sollecitazioni nel paramento'!$G$47*'Sollecitazioni nel paramento'!$G$41*IF(DATI!$G$211="dx",DATI!$E$61,DATI!$E$64*DATI!$E$63)*1000*C133*sezione!$AD$5</f>
        <v>-1271856.8897722999</v>
      </c>
      <c r="Q133" s="545">
        <f>'Foglio deposito bis'!$F$48*IF(ABS(K133)&lt;'Sollecitazioni nel paramento'!$G$58,ABS(K133)*'Sollecitazioni nel paramento'!$G$54,'Sollecitazioni nel paramento'!$G$53)*IF(K133&lt;0,-1,1)</f>
        <v>0</v>
      </c>
      <c r="R133" s="545">
        <f>'Foglio deposito bis'!$F$49*IF(ABS(L133)&lt;'Sollecitazioni nel paramento'!$G$58,ABS(L133)*'Sollecitazioni nel paramento'!$G$54,'Sollecitazioni nel paramento'!$G$53)*IF(L133&lt;0,-1,1)</f>
        <v>204886.47740803001</v>
      </c>
      <c r="S133" s="545">
        <f>'Foglio deposito bis'!$F$50*IF(ABS(M133)&lt;'Sollecitazioni nel paramento'!$G$58,ABS(M133)*'Sollecitazioni nel paramento'!$G$54,'Sollecitazioni nel paramento'!$G$53)*IF(M133&lt;0,-1,1)</f>
        <v>0</v>
      </c>
      <c r="T133" s="545">
        <f>'Foglio deposito bis'!$F$51*IF(ABS(N133)&lt;'Sollecitazioni nel paramento'!$G$58,ABS(N133)*'Sollecitazioni nel paramento'!$G$54,'Sollecitazioni nel paramento'!$G$53)*IF(N133&lt;0,-1,1)</f>
        <v>240946.49743184328</v>
      </c>
      <c r="U133" s="545">
        <f>'Foglio deposito bis'!$F$52*IF(ABS(O133)&lt;'Sollecitazioni nel paramento'!$G$58,ABS(O133)*'Sollecitazioni nel paramento'!$G$54,'Sollecitazioni nel paramento'!$G$53)*IF(O133&lt;0,-1,1)</f>
        <v>240946.49743184328</v>
      </c>
      <c r="V133" s="472">
        <f t="shared" si="10"/>
        <v>-585077.41750058322</v>
      </c>
      <c r="W133" s="551"/>
      <c r="X133" s="551"/>
    </row>
    <row r="134" spans="1:24" x14ac:dyDescent="0.25">
      <c r="A134" s="545">
        <f t="shared" ref="A134:A197" si="14">ABS(V134)</f>
        <v>609773.66778742406</v>
      </c>
      <c r="B134" s="3">
        <f t="shared" si="12"/>
        <v>10.499999999999984</v>
      </c>
      <c r="C134" s="545">
        <f>'Foglio deposito bis'!$E$153/$B$247*B134</f>
        <v>34.03294590280445</v>
      </c>
      <c r="D134" s="603">
        <f>-'Sollecitazioni nel paramento'!$G$47*'Sollecitazioni nel paramento'!$G$41*IF(DATI!$G$211="dx",DATI!$E$61,DATI!$E$64*DATI!$E$63)*1000*C134^2*sezione!$AD$5*(1-sezione!$AD$6)</f>
        <v>-25769305.359434489</v>
      </c>
      <c r="E134" s="545">
        <f>-'Foglio deposito bis'!$F$48*(C134-sezione!$AL$27)*IF(ABS(K134)&lt;'Sollecitazioni nel paramento'!$G$58,ABS(K134)*'Sollecitazioni nel paramento'!$G$54,'Sollecitazioni nel paramento'!$G$53)</f>
        <v>0</v>
      </c>
      <c r="F134" s="545">
        <f>-'Foglio deposito bis'!$F$49*(C134-sezione!$AM$27)*IF(ABS(L134)&lt;'Sollecitazioni nel paramento'!$G$58,ABS(L134)*'Sollecitazioni nel paramento'!$G$54,'Sollecitazioni nel paramento'!$G$53)</f>
        <v>5320298.2426381493</v>
      </c>
      <c r="G134" s="545">
        <f>-'Foglio deposito bis'!$F$50*(C134-sezione!$AN$27)*IF(ABS(M134)&lt;'Sollecitazioni nel paramento'!$G$58,ABS(M134)*'Sollecitazioni nel paramento'!$G$54,'Sollecitazioni nel paramento'!$G$53)</f>
        <v>0</v>
      </c>
      <c r="H134" s="545">
        <f>-'Foglio deposito bis'!$F$51*(C134-sezione!$AO$27)*IF(ABS(N134)&lt;'Sollecitazioni nel paramento'!$G$58,ABS(N134)*'Sollecitazioni nel paramento'!$G$54,'Sollecitazioni nel paramento'!$G$53)</f>
        <v>30351320.476526789</v>
      </c>
      <c r="I134" s="472">
        <f>-'Foglio deposito bis'!$F$52*(C134-sezione!$AP$27)*IF(ABS(O134)&lt;'Sollecitazioni nel paramento'!$G$58,ABS(O134)*'Sollecitazioni nel paramento'!$G$54,'Sollecitazioni nel paramento'!$G$53)</f>
        <v>39875240.268137708</v>
      </c>
      <c r="J134" s="472">
        <f t="shared" si="13"/>
        <v>49777553.627868161</v>
      </c>
      <c r="K134" s="550">
        <f>'Sollecitazioni nel paramento'!$G$60*(sezione!$AL$27-C134)/C134</f>
        <v>6.1366093313900999E-4</v>
      </c>
      <c r="L134" s="550">
        <f>'Sollecitazioni nel paramento'!$G$60*(sezione!$AM$27-C134)/C134</f>
        <v>2.6704913997085151E-3</v>
      </c>
      <c r="M134" s="551">
        <f>'Sollecitazioni nel paramento'!$G$60*(sezione!$AN$27-C134)/C134</f>
        <v>4.7273218662780203E-3</v>
      </c>
      <c r="N134" s="551">
        <f>'Sollecitazioni nel paramento'!$G$60*(sezione!$AO$27-C134)/C134</f>
        <v>1.2954643732556042E-2</v>
      </c>
      <c r="O134" s="551">
        <f>'Sollecitazioni nel paramento'!$G$60*(sezione!$AP$27-C134)/C134</f>
        <v>1.7019672400194343E-2</v>
      </c>
      <c r="P134" s="545">
        <f>-'Sollecitazioni nel paramento'!$G$47*'Sollecitazioni nel paramento'!$G$41*IF(DATI!$G$211="dx",DATI!$E$61,DATI!$E$64*DATI!$E$63)*1000*C134*sezione!$AD$5</f>
        <v>-1296553.1400591407</v>
      </c>
      <c r="Q134" s="545">
        <f>'Foglio deposito bis'!$F$48*IF(ABS(K134)&lt;'Sollecitazioni nel paramento'!$G$58,ABS(K134)*'Sollecitazioni nel paramento'!$G$54,'Sollecitazioni nel paramento'!$G$53)*IF(K134&lt;0,-1,1)</f>
        <v>0</v>
      </c>
      <c r="R134" s="545">
        <f>'Foglio deposito bis'!$F$49*IF(ABS(L134)&lt;'Sollecitazioni nel paramento'!$G$58,ABS(L134)*'Sollecitazioni nel paramento'!$G$54,'Sollecitazioni nel paramento'!$G$53)*IF(L134&lt;0,-1,1)</f>
        <v>204886.47740803001</v>
      </c>
      <c r="S134" s="545">
        <f>'Foglio deposito bis'!$F$50*IF(ABS(M134)&lt;'Sollecitazioni nel paramento'!$G$58,ABS(M134)*'Sollecitazioni nel paramento'!$G$54,'Sollecitazioni nel paramento'!$G$53)*IF(M134&lt;0,-1,1)</f>
        <v>0</v>
      </c>
      <c r="T134" s="545">
        <f>'Foglio deposito bis'!$F$51*IF(ABS(N134)&lt;'Sollecitazioni nel paramento'!$G$58,ABS(N134)*'Sollecitazioni nel paramento'!$G$54,'Sollecitazioni nel paramento'!$G$53)*IF(N134&lt;0,-1,1)</f>
        <v>240946.49743184328</v>
      </c>
      <c r="U134" s="545">
        <f>'Foglio deposito bis'!$F$52*IF(ABS(O134)&lt;'Sollecitazioni nel paramento'!$G$58,ABS(O134)*'Sollecitazioni nel paramento'!$G$54,'Sollecitazioni nel paramento'!$G$53)*IF(O134&lt;0,-1,1)</f>
        <v>240946.49743184328</v>
      </c>
      <c r="V134" s="472">
        <f t="shared" ref="V134:V197" si="15">P134+Q134+R134+S134+T134+U134</f>
        <v>-609773.66778742406</v>
      </c>
      <c r="W134" s="551"/>
      <c r="X134" s="551"/>
    </row>
    <row r="135" spans="1:24" x14ac:dyDescent="0.25">
      <c r="A135" s="545">
        <f t="shared" si="14"/>
        <v>634469.91807426489</v>
      </c>
      <c r="B135" s="3">
        <f t="shared" si="12"/>
        <v>10.699999999999983</v>
      </c>
      <c r="C135" s="545">
        <f>'Foglio deposito bis'!$E$153/$B$247*B135</f>
        <v>34.681192491429293</v>
      </c>
      <c r="D135" s="603">
        <f>-'Sollecitazioni nel paramento'!$G$47*'Sollecitazioni nel paramento'!$G$41*IF(DATI!$G$211="dx",DATI!$E$61,DATI!$E$64*DATI!$E$63)*1000*C135^2*sezione!$AD$5*(1-sezione!$AD$6)</f>
        <v>-26760342.590491191</v>
      </c>
      <c r="E135" s="545">
        <f>-'Foglio deposito bis'!$F$48*(C135-sezione!$AL$27)*IF(ABS(K135)&lt;'Sollecitazioni nel paramento'!$G$58,ABS(K135)*'Sollecitazioni nel paramento'!$G$54,'Sollecitazioni nel paramento'!$G$53)</f>
        <v>0</v>
      </c>
      <c r="F135" s="545">
        <f>-'Foglio deposito bis'!$F$49*(C135-sezione!$AM$27)*IF(ABS(L135)&lt;'Sollecitazioni nel paramento'!$G$58,ABS(L135)*'Sollecitazioni nel paramento'!$G$54,'Sollecitazioni nel paramento'!$G$53)</f>
        <v>5187481.2826030329</v>
      </c>
      <c r="G135" s="545">
        <f>-'Foglio deposito bis'!$F$50*(C135-sezione!$AN$27)*IF(ABS(M135)&lt;'Sollecitazioni nel paramento'!$G$58,ABS(M135)*'Sollecitazioni nel paramento'!$G$54,'Sollecitazioni nel paramento'!$G$53)</f>
        <v>0</v>
      </c>
      <c r="H135" s="545">
        <f>-'Foglio deposito bis'!$F$51*(C135-sezione!$AO$27)*IF(ABS(N135)&lt;'Sollecitazioni nel paramento'!$G$58,ABS(N135)*'Sollecitazioni nel paramento'!$G$54,'Sollecitazioni nel paramento'!$G$53)</f>
        <v>30195127.731525492</v>
      </c>
      <c r="I135" s="472">
        <f>-'Foglio deposito bis'!$F$52*(C135-sezione!$AP$27)*IF(ABS(O135)&lt;'Sollecitazioni nel paramento'!$G$58,ABS(O135)*'Sollecitazioni nel paramento'!$G$54,'Sollecitazioni nel paramento'!$G$53)</f>
        <v>39719047.523136407</v>
      </c>
      <c r="J135" s="472">
        <f t="shared" si="13"/>
        <v>48341313.946773738</v>
      </c>
      <c r="K135" s="550">
        <f>'Sollecitazioni nel paramento'!$G$60*(sezione!$AL$27-C135)/C135</f>
        <v>5.3677007457566444E-4</v>
      </c>
      <c r="L135" s="550">
        <f>'Sollecitazioni nel paramento'!$G$60*(sezione!$AM$27-C135)/C135</f>
        <v>2.5551551118634967E-3</v>
      </c>
      <c r="M135" s="551">
        <f>'Sollecitazioni nel paramento'!$G$60*(sezione!$AN$27-C135)/C135</f>
        <v>4.5735401491513294E-3</v>
      </c>
      <c r="N135" s="551">
        <f>'Sollecitazioni nel paramento'!$G$60*(sezione!$AO$27-C135)/C135</f>
        <v>1.2647080298302657E-2</v>
      </c>
      <c r="O135" s="551">
        <f>'Sollecitazioni nel paramento'!$G$60*(sezione!$AP$27-C135)/C135</f>
        <v>1.6636127121686037E-2</v>
      </c>
      <c r="P135" s="545">
        <f>-'Sollecitazioni nel paramento'!$G$47*'Sollecitazioni nel paramento'!$G$41*IF(DATI!$G$211="dx",DATI!$E$61,DATI!$E$64*DATI!$E$63)*1000*C135*sezione!$AD$5</f>
        <v>-1321249.3903459816</v>
      </c>
      <c r="Q135" s="545">
        <f>'Foglio deposito bis'!$F$48*IF(ABS(K135)&lt;'Sollecitazioni nel paramento'!$G$58,ABS(K135)*'Sollecitazioni nel paramento'!$G$54,'Sollecitazioni nel paramento'!$G$53)*IF(K135&lt;0,-1,1)</f>
        <v>0</v>
      </c>
      <c r="R135" s="545">
        <f>'Foglio deposito bis'!$F$49*IF(ABS(L135)&lt;'Sollecitazioni nel paramento'!$G$58,ABS(L135)*'Sollecitazioni nel paramento'!$G$54,'Sollecitazioni nel paramento'!$G$53)*IF(L135&lt;0,-1,1)</f>
        <v>204886.47740803001</v>
      </c>
      <c r="S135" s="545">
        <f>'Foglio deposito bis'!$F$50*IF(ABS(M135)&lt;'Sollecitazioni nel paramento'!$G$58,ABS(M135)*'Sollecitazioni nel paramento'!$G$54,'Sollecitazioni nel paramento'!$G$53)*IF(M135&lt;0,-1,1)</f>
        <v>0</v>
      </c>
      <c r="T135" s="545">
        <f>'Foglio deposito bis'!$F$51*IF(ABS(N135)&lt;'Sollecitazioni nel paramento'!$G$58,ABS(N135)*'Sollecitazioni nel paramento'!$G$54,'Sollecitazioni nel paramento'!$G$53)*IF(N135&lt;0,-1,1)</f>
        <v>240946.49743184328</v>
      </c>
      <c r="U135" s="545">
        <f>'Foglio deposito bis'!$F$52*IF(ABS(O135)&lt;'Sollecitazioni nel paramento'!$G$58,ABS(O135)*'Sollecitazioni nel paramento'!$G$54,'Sollecitazioni nel paramento'!$G$53)*IF(O135&lt;0,-1,1)</f>
        <v>240946.49743184328</v>
      </c>
      <c r="V135" s="472">
        <f t="shared" si="15"/>
        <v>-634469.91807426489</v>
      </c>
      <c r="W135" s="551"/>
      <c r="X135" s="551"/>
    </row>
    <row r="136" spans="1:24" x14ac:dyDescent="0.25">
      <c r="A136" s="545">
        <f t="shared" si="14"/>
        <v>659166.16836110549</v>
      </c>
      <c r="B136" s="3">
        <f t="shared" si="12"/>
        <v>10.899999999999983</v>
      </c>
      <c r="C136" s="545">
        <f>'Foglio deposito bis'!$E$153/$B$247*B136</f>
        <v>35.329439080054136</v>
      </c>
      <c r="D136" s="603">
        <f>-'Sollecitazioni nel paramento'!$G$47*'Sollecitazioni nel paramento'!$G$41*IF(DATI!$G$211="dx",DATI!$E$61,DATI!$E$64*DATI!$E$63)*1000*C136^2*sezione!$AD$5*(1-sezione!$AD$6)</f>
        <v>-27770078.637228213</v>
      </c>
      <c r="E136" s="545">
        <f>-'Foglio deposito bis'!$F$48*(C136-sezione!$AL$27)*IF(ABS(K136)&lt;'Sollecitazioni nel paramento'!$G$58,ABS(K136)*'Sollecitazioni nel paramento'!$G$54,'Sollecitazioni nel paramento'!$G$53)</f>
        <v>0</v>
      </c>
      <c r="F136" s="545">
        <f>-'Foglio deposito bis'!$F$49*(C136-sezione!$AM$27)*IF(ABS(L136)&lt;'Sollecitazioni nel paramento'!$G$58,ABS(L136)*'Sollecitazioni nel paramento'!$G$54,'Sollecitazioni nel paramento'!$G$53)</f>
        <v>5054664.3225679155</v>
      </c>
      <c r="G136" s="545">
        <f>-'Foglio deposito bis'!$F$50*(C136-sezione!$AN$27)*IF(ABS(M136)&lt;'Sollecitazioni nel paramento'!$G$58,ABS(M136)*'Sollecitazioni nel paramento'!$G$54,'Sollecitazioni nel paramento'!$G$53)</f>
        <v>0</v>
      </c>
      <c r="H136" s="545">
        <f>-'Foglio deposito bis'!$F$51*(C136-sezione!$AO$27)*IF(ABS(N136)&lt;'Sollecitazioni nel paramento'!$G$58,ABS(N136)*'Sollecitazioni nel paramento'!$G$54,'Sollecitazioni nel paramento'!$G$53)</f>
        <v>30038934.986524198</v>
      </c>
      <c r="I136" s="472">
        <f>-'Foglio deposito bis'!$F$52*(C136-sezione!$AP$27)*IF(ABS(O136)&lt;'Sollecitazioni nel paramento'!$G$58,ABS(O136)*'Sollecitazioni nel paramento'!$G$54,'Sollecitazioni nel paramento'!$G$53)</f>
        <v>39562854.778135113</v>
      </c>
      <c r="J136" s="472">
        <f t="shared" si="13"/>
        <v>46886375.44999902</v>
      </c>
      <c r="K136" s="550">
        <f>'Sollecitazioni nel paramento'!$G$60*(sezione!$AL$27-C136)/C136</f>
        <v>4.6270089889537737E-4</v>
      </c>
      <c r="L136" s="550">
        <f>'Sollecitazioni nel paramento'!$G$60*(sezione!$AM$27-C136)/C136</f>
        <v>2.4440513483430662E-3</v>
      </c>
      <c r="M136" s="551">
        <f>'Sollecitazioni nel paramento'!$G$60*(sezione!$AN$27-C136)/C136</f>
        <v>4.4254017977907551E-3</v>
      </c>
      <c r="N136" s="551">
        <f>'Sollecitazioni nel paramento'!$G$60*(sezione!$AO$27-C136)/C136</f>
        <v>1.235080359558151E-2</v>
      </c>
      <c r="O136" s="551">
        <f>'Sollecitazioni nel paramento'!$G$60*(sezione!$AP$27-C136)/C136</f>
        <v>1.6266656899269785E-2</v>
      </c>
      <c r="P136" s="545">
        <f>-'Sollecitazioni nel paramento'!$G$47*'Sollecitazioni nel paramento'!$G$41*IF(DATI!$G$211="dx",DATI!$E$61,DATI!$E$64*DATI!$E$63)*1000*C136*sezione!$AD$5</f>
        <v>-1345945.6406328222</v>
      </c>
      <c r="Q136" s="545">
        <f>'Foglio deposito bis'!$F$48*IF(ABS(K136)&lt;'Sollecitazioni nel paramento'!$G$58,ABS(K136)*'Sollecitazioni nel paramento'!$G$54,'Sollecitazioni nel paramento'!$G$53)*IF(K136&lt;0,-1,1)</f>
        <v>0</v>
      </c>
      <c r="R136" s="545">
        <f>'Foglio deposito bis'!$F$49*IF(ABS(L136)&lt;'Sollecitazioni nel paramento'!$G$58,ABS(L136)*'Sollecitazioni nel paramento'!$G$54,'Sollecitazioni nel paramento'!$G$53)*IF(L136&lt;0,-1,1)</f>
        <v>204886.47740803001</v>
      </c>
      <c r="S136" s="545">
        <f>'Foglio deposito bis'!$F$50*IF(ABS(M136)&lt;'Sollecitazioni nel paramento'!$G$58,ABS(M136)*'Sollecitazioni nel paramento'!$G$54,'Sollecitazioni nel paramento'!$G$53)*IF(M136&lt;0,-1,1)</f>
        <v>0</v>
      </c>
      <c r="T136" s="545">
        <f>'Foglio deposito bis'!$F$51*IF(ABS(N136)&lt;'Sollecitazioni nel paramento'!$G$58,ABS(N136)*'Sollecitazioni nel paramento'!$G$54,'Sollecitazioni nel paramento'!$G$53)*IF(N136&lt;0,-1,1)</f>
        <v>240946.49743184328</v>
      </c>
      <c r="U136" s="545">
        <f>'Foglio deposito bis'!$F$52*IF(ABS(O136)&lt;'Sollecitazioni nel paramento'!$G$58,ABS(O136)*'Sollecitazioni nel paramento'!$G$54,'Sollecitazioni nel paramento'!$G$53)*IF(O136&lt;0,-1,1)</f>
        <v>240946.49743184328</v>
      </c>
      <c r="V136" s="472">
        <f t="shared" si="15"/>
        <v>-659166.16836110549</v>
      </c>
      <c r="W136" s="551"/>
      <c r="X136" s="551"/>
    </row>
    <row r="137" spans="1:24" x14ac:dyDescent="0.25">
      <c r="A137" s="545">
        <f t="shared" si="14"/>
        <v>683862.41864794609</v>
      </c>
      <c r="B137" s="3">
        <f t="shared" si="12"/>
        <v>11.099999999999982</v>
      </c>
      <c r="C137" s="545">
        <f>'Foglio deposito bis'!$E$153/$B$247*B137</f>
        <v>35.97768566867898</v>
      </c>
      <c r="D137" s="603">
        <f>-'Sollecitazioni nel paramento'!$G$47*'Sollecitazioni nel paramento'!$G$41*IF(DATI!$G$211="dx",DATI!$E$61,DATI!$E$64*DATI!$E$63)*1000*C137^2*sezione!$AD$5*(1-sezione!$AD$6)</f>
        <v>-28798513.49964555</v>
      </c>
      <c r="E137" s="545">
        <f>-'Foglio deposito bis'!$F$48*(C137-sezione!$AL$27)*IF(ABS(K137)&lt;'Sollecitazioni nel paramento'!$G$58,ABS(K137)*'Sollecitazioni nel paramento'!$G$54,'Sollecitazioni nel paramento'!$G$53)</f>
        <v>0</v>
      </c>
      <c r="F137" s="545">
        <f>-'Foglio deposito bis'!$F$49*(C137-sezione!$AM$27)*IF(ABS(L137)&lt;'Sollecitazioni nel paramento'!$G$58,ABS(L137)*'Sollecitazioni nel paramento'!$G$54,'Sollecitazioni nel paramento'!$G$53)</f>
        <v>4921847.3625328001</v>
      </c>
      <c r="G137" s="545">
        <f>-'Foglio deposito bis'!$F$50*(C137-sezione!$AN$27)*IF(ABS(M137)&lt;'Sollecitazioni nel paramento'!$G$58,ABS(M137)*'Sollecitazioni nel paramento'!$G$54,'Sollecitazioni nel paramento'!$G$53)</f>
        <v>0</v>
      </c>
      <c r="H137" s="545">
        <f>-'Foglio deposito bis'!$F$51*(C137-sezione!$AO$27)*IF(ABS(N137)&lt;'Sollecitazioni nel paramento'!$G$58,ABS(N137)*'Sollecitazioni nel paramento'!$G$54,'Sollecitazioni nel paramento'!$G$53)</f>
        <v>29882742.241522893</v>
      </c>
      <c r="I137" s="472">
        <f>-'Foglio deposito bis'!$F$52*(C137-sezione!$AP$27)*IF(ABS(O137)&lt;'Sollecitazioni nel paramento'!$G$58,ABS(O137)*'Sollecitazioni nel paramento'!$G$54,'Sollecitazioni nel paramento'!$G$53)</f>
        <v>39406662.033133812</v>
      </c>
      <c r="J137" s="472">
        <f t="shared" si="13"/>
        <v>45412738.137543954</v>
      </c>
      <c r="K137" s="550">
        <f>'Sollecitazioni nel paramento'!$G$60*(sezione!$AL$27-C137)/C137</f>
        <v>3.9130088269906458E-4</v>
      </c>
      <c r="L137" s="550">
        <f>'Sollecitazioni nel paramento'!$G$60*(sezione!$AM$27-C137)/C137</f>
        <v>2.3369513240485969E-3</v>
      </c>
      <c r="M137" s="551">
        <f>'Sollecitazioni nel paramento'!$G$60*(sezione!$AN$27-C137)/C137</f>
        <v>4.282601765398129E-3</v>
      </c>
      <c r="N137" s="551">
        <f>'Sollecitazioni nel paramento'!$G$60*(sezione!$AO$27-C137)/C137</f>
        <v>1.2065203530796258E-2</v>
      </c>
      <c r="O137" s="551">
        <f>'Sollecitazioni nel paramento'!$G$60*(sezione!$AP$27-C137)/C137</f>
        <v>1.591050091910276E-2</v>
      </c>
      <c r="P137" s="545">
        <f>-'Sollecitazioni nel paramento'!$G$47*'Sollecitazioni nel paramento'!$G$41*IF(DATI!$G$211="dx",DATI!$E$61,DATI!$E$64*DATI!$E$63)*1000*C137*sezione!$AD$5</f>
        <v>-1370641.8909196628</v>
      </c>
      <c r="Q137" s="545">
        <f>'Foglio deposito bis'!$F$48*IF(ABS(K137)&lt;'Sollecitazioni nel paramento'!$G$58,ABS(K137)*'Sollecitazioni nel paramento'!$G$54,'Sollecitazioni nel paramento'!$G$53)*IF(K137&lt;0,-1,1)</f>
        <v>0</v>
      </c>
      <c r="R137" s="545">
        <f>'Foglio deposito bis'!$F$49*IF(ABS(L137)&lt;'Sollecitazioni nel paramento'!$G$58,ABS(L137)*'Sollecitazioni nel paramento'!$G$54,'Sollecitazioni nel paramento'!$G$53)*IF(L137&lt;0,-1,1)</f>
        <v>204886.47740803001</v>
      </c>
      <c r="S137" s="545">
        <f>'Foglio deposito bis'!$F$50*IF(ABS(M137)&lt;'Sollecitazioni nel paramento'!$G$58,ABS(M137)*'Sollecitazioni nel paramento'!$G$54,'Sollecitazioni nel paramento'!$G$53)*IF(M137&lt;0,-1,1)</f>
        <v>0</v>
      </c>
      <c r="T137" s="545">
        <f>'Foglio deposito bis'!$F$51*IF(ABS(N137)&lt;'Sollecitazioni nel paramento'!$G$58,ABS(N137)*'Sollecitazioni nel paramento'!$G$54,'Sollecitazioni nel paramento'!$G$53)*IF(N137&lt;0,-1,1)</f>
        <v>240946.49743184328</v>
      </c>
      <c r="U137" s="545">
        <f>'Foglio deposito bis'!$F$52*IF(ABS(O137)&lt;'Sollecitazioni nel paramento'!$G$58,ABS(O137)*'Sollecitazioni nel paramento'!$G$54,'Sollecitazioni nel paramento'!$G$53)*IF(O137&lt;0,-1,1)</f>
        <v>240946.49743184328</v>
      </c>
      <c r="V137" s="472">
        <f t="shared" si="15"/>
        <v>-683862.41864794609</v>
      </c>
      <c r="W137" s="551"/>
      <c r="X137" s="551"/>
    </row>
    <row r="138" spans="1:24" x14ac:dyDescent="0.25">
      <c r="A138" s="545">
        <f t="shared" si="14"/>
        <v>708558.66893478716</v>
      </c>
      <c r="B138" s="3">
        <f t="shared" si="12"/>
        <v>11.299999999999981</v>
      </c>
      <c r="C138" s="545">
        <f>'Foglio deposito bis'!$E$153/$B$247*B138</f>
        <v>36.62593225730383</v>
      </c>
      <c r="D138" s="603">
        <f>-'Sollecitazioni nel paramento'!$G$47*'Sollecitazioni nel paramento'!$G$41*IF(DATI!$G$211="dx",DATI!$E$61,DATI!$E$64*DATI!$E$63)*1000*C138^2*sezione!$AD$5*(1-sezione!$AD$6)</f>
        <v>-29845647.177743208</v>
      </c>
      <c r="E138" s="545">
        <f>-'Foglio deposito bis'!$F$48*(C138-sezione!$AL$27)*IF(ABS(K138)&lt;'Sollecitazioni nel paramento'!$G$58,ABS(K138)*'Sollecitazioni nel paramento'!$G$54,'Sollecitazioni nel paramento'!$G$53)</f>
        <v>0</v>
      </c>
      <c r="F138" s="545">
        <f>-'Foglio deposito bis'!$F$49*(C138-sezione!$AM$27)*IF(ABS(L138)&lt;'Sollecitazioni nel paramento'!$G$58,ABS(L138)*'Sollecitazioni nel paramento'!$G$54,'Sollecitazioni nel paramento'!$G$53)</f>
        <v>4789030.4024976818</v>
      </c>
      <c r="G138" s="545">
        <f>-'Foglio deposito bis'!$F$50*(C138-sezione!$AN$27)*IF(ABS(M138)&lt;'Sollecitazioni nel paramento'!$G$58,ABS(M138)*'Sollecitazioni nel paramento'!$G$54,'Sollecitazioni nel paramento'!$G$53)</f>
        <v>0</v>
      </c>
      <c r="H138" s="545">
        <f>-'Foglio deposito bis'!$F$51*(C138-sezione!$AO$27)*IF(ABS(N138)&lt;'Sollecitazioni nel paramento'!$G$58,ABS(N138)*'Sollecitazioni nel paramento'!$G$54,'Sollecitazioni nel paramento'!$G$53)</f>
        <v>29726549.496521603</v>
      </c>
      <c r="I138" s="472">
        <f>-'Foglio deposito bis'!$F$52*(C138-sezione!$AP$27)*IF(ABS(O138)&lt;'Sollecitazioni nel paramento'!$G$58,ABS(O138)*'Sollecitazioni nel paramento'!$G$54,'Sollecitazioni nel paramento'!$G$53)</f>
        <v>39250469.288132511</v>
      </c>
      <c r="J138" s="472">
        <f t="shared" si="13"/>
        <v>43920402.009408593</v>
      </c>
      <c r="K138" s="550">
        <f>'Sollecitazioni nel paramento'!$G$60*(sezione!$AL$27-C138)/C138</f>
        <v>3.2242830070439046E-4</v>
      </c>
      <c r="L138" s="550">
        <f>'Sollecitazioni nel paramento'!$G$60*(sezione!$AM$27-C138)/C138</f>
        <v>2.2336424510565854E-3</v>
      </c>
      <c r="M138" s="551">
        <f>'Sollecitazioni nel paramento'!$G$60*(sezione!$AN$27-C138)/C138</f>
        <v>4.144856601408781E-3</v>
      </c>
      <c r="N138" s="551">
        <f>'Sollecitazioni nel paramento'!$G$60*(sezione!$AO$27-C138)/C138</f>
        <v>1.1789713202817562E-2</v>
      </c>
      <c r="O138" s="551">
        <f>'Sollecitazioni nel paramento'!$G$60*(sezione!$AP$27-C138)/C138</f>
        <v>1.556695223026908E-2</v>
      </c>
      <c r="P138" s="545">
        <f>-'Sollecitazioni nel paramento'!$G$47*'Sollecitazioni nel paramento'!$G$41*IF(DATI!$G$211="dx",DATI!$E$61,DATI!$E$64*DATI!$E$63)*1000*C138*sezione!$AD$5</f>
        <v>-1395338.1412065038</v>
      </c>
      <c r="Q138" s="545">
        <f>'Foglio deposito bis'!$F$48*IF(ABS(K138)&lt;'Sollecitazioni nel paramento'!$G$58,ABS(K138)*'Sollecitazioni nel paramento'!$G$54,'Sollecitazioni nel paramento'!$G$53)*IF(K138&lt;0,-1,1)</f>
        <v>0</v>
      </c>
      <c r="R138" s="545">
        <f>'Foglio deposito bis'!$F$49*IF(ABS(L138)&lt;'Sollecitazioni nel paramento'!$G$58,ABS(L138)*'Sollecitazioni nel paramento'!$G$54,'Sollecitazioni nel paramento'!$G$53)*IF(L138&lt;0,-1,1)</f>
        <v>204886.47740803001</v>
      </c>
      <c r="S138" s="545">
        <f>'Foglio deposito bis'!$F$50*IF(ABS(M138)&lt;'Sollecitazioni nel paramento'!$G$58,ABS(M138)*'Sollecitazioni nel paramento'!$G$54,'Sollecitazioni nel paramento'!$G$53)*IF(M138&lt;0,-1,1)</f>
        <v>0</v>
      </c>
      <c r="T138" s="545">
        <f>'Foglio deposito bis'!$F$51*IF(ABS(N138)&lt;'Sollecitazioni nel paramento'!$G$58,ABS(N138)*'Sollecitazioni nel paramento'!$G$54,'Sollecitazioni nel paramento'!$G$53)*IF(N138&lt;0,-1,1)</f>
        <v>240946.49743184328</v>
      </c>
      <c r="U138" s="545">
        <f>'Foglio deposito bis'!$F$52*IF(ABS(O138)&lt;'Sollecitazioni nel paramento'!$G$58,ABS(O138)*'Sollecitazioni nel paramento'!$G$54,'Sollecitazioni nel paramento'!$G$53)*IF(O138&lt;0,-1,1)</f>
        <v>240946.49743184328</v>
      </c>
      <c r="V138" s="472">
        <f t="shared" si="15"/>
        <v>-708558.66893478716</v>
      </c>
      <c r="W138" s="551"/>
      <c r="X138" s="551"/>
    </row>
    <row r="139" spans="1:24" x14ac:dyDescent="0.25">
      <c r="A139" s="545">
        <f t="shared" si="14"/>
        <v>733254.91922162776</v>
      </c>
      <c r="B139" s="3">
        <f t="shared" si="12"/>
        <v>11.49999999999998</v>
      </c>
      <c r="C139" s="545">
        <f>'Foglio deposito bis'!$E$153/$B$247*B139</f>
        <v>37.274178845928674</v>
      </c>
      <c r="D139" s="603">
        <f>-'Sollecitazioni nel paramento'!$G$47*'Sollecitazioni nel paramento'!$G$41*IF(DATI!$G$211="dx",DATI!$E$61,DATI!$E$64*DATI!$E$63)*1000*C139^2*sezione!$AD$5*(1-sezione!$AD$6)</f>
        <v>-30911479.671521176</v>
      </c>
      <c r="E139" s="545">
        <f>-'Foglio deposito bis'!$F$48*(C139-sezione!$AL$27)*IF(ABS(K139)&lt;'Sollecitazioni nel paramento'!$G$58,ABS(K139)*'Sollecitazioni nel paramento'!$G$54,'Sollecitazioni nel paramento'!$G$53)</f>
        <v>0</v>
      </c>
      <c r="F139" s="545">
        <f>-'Foglio deposito bis'!$F$49*(C139-sezione!$AM$27)*IF(ABS(L139)&lt;'Sollecitazioni nel paramento'!$G$58,ABS(L139)*'Sollecitazioni nel paramento'!$G$54,'Sollecitazioni nel paramento'!$G$53)</f>
        <v>4656213.4424625654</v>
      </c>
      <c r="G139" s="545">
        <f>-'Foglio deposito bis'!$F$50*(C139-sezione!$AN$27)*IF(ABS(M139)&lt;'Sollecitazioni nel paramento'!$G$58,ABS(M139)*'Sollecitazioni nel paramento'!$G$54,'Sollecitazioni nel paramento'!$G$53)</f>
        <v>0</v>
      </c>
      <c r="H139" s="545">
        <f>-'Foglio deposito bis'!$F$51*(C139-sezione!$AO$27)*IF(ABS(N139)&lt;'Sollecitazioni nel paramento'!$G$58,ABS(N139)*'Sollecitazioni nel paramento'!$G$54,'Sollecitazioni nel paramento'!$G$53)</f>
        <v>29570356.751520306</v>
      </c>
      <c r="I139" s="472">
        <f>-'Foglio deposito bis'!$F$52*(C139-sezione!$AP$27)*IF(ABS(O139)&lt;'Sollecitazioni nel paramento'!$G$58,ABS(O139)*'Sollecitazioni nel paramento'!$G$54,'Sollecitazioni nel paramento'!$G$53)</f>
        <v>39094276.543131217</v>
      </c>
      <c r="J139" s="472">
        <f t="shared" si="13"/>
        <v>42409367.065592915</v>
      </c>
      <c r="K139" s="550">
        <f>'Sollecitazioni nel paramento'!$G$60*(sezione!$AL$27-C139)/C139</f>
        <v>2.5595128677909703E-4</v>
      </c>
      <c r="L139" s="550">
        <f>'Sollecitazioni nel paramento'!$G$60*(sezione!$AM$27-C139)/C139</f>
        <v>2.1339269301686456E-3</v>
      </c>
      <c r="M139" s="551">
        <f>'Sollecitazioni nel paramento'!$G$60*(sezione!$AN$27-C139)/C139</f>
        <v>4.0119025735581935E-3</v>
      </c>
      <c r="N139" s="551">
        <f>'Sollecitazioni nel paramento'!$G$60*(sezione!$AO$27-C139)/C139</f>
        <v>1.1523805147116388E-2</v>
      </c>
      <c r="O139" s="551">
        <f>'Sollecitazioni nel paramento'!$G$60*(sezione!$AP$27-C139)/C139</f>
        <v>1.5235353061047011E-2</v>
      </c>
      <c r="P139" s="545">
        <f>-'Sollecitazioni nel paramento'!$G$47*'Sollecitazioni nel paramento'!$G$41*IF(DATI!$G$211="dx",DATI!$E$61,DATI!$E$64*DATI!$E$63)*1000*C139*sezione!$AD$5</f>
        <v>-1420034.3914933444</v>
      </c>
      <c r="Q139" s="545">
        <f>'Foglio deposito bis'!$F$48*IF(ABS(K139)&lt;'Sollecitazioni nel paramento'!$G$58,ABS(K139)*'Sollecitazioni nel paramento'!$G$54,'Sollecitazioni nel paramento'!$G$53)*IF(K139&lt;0,-1,1)</f>
        <v>0</v>
      </c>
      <c r="R139" s="545">
        <f>'Foglio deposito bis'!$F$49*IF(ABS(L139)&lt;'Sollecitazioni nel paramento'!$G$58,ABS(L139)*'Sollecitazioni nel paramento'!$G$54,'Sollecitazioni nel paramento'!$G$53)*IF(L139&lt;0,-1,1)</f>
        <v>204886.47740803001</v>
      </c>
      <c r="S139" s="545">
        <f>'Foglio deposito bis'!$F$50*IF(ABS(M139)&lt;'Sollecitazioni nel paramento'!$G$58,ABS(M139)*'Sollecitazioni nel paramento'!$G$54,'Sollecitazioni nel paramento'!$G$53)*IF(M139&lt;0,-1,1)</f>
        <v>0</v>
      </c>
      <c r="T139" s="545">
        <f>'Foglio deposito bis'!$F$51*IF(ABS(N139)&lt;'Sollecitazioni nel paramento'!$G$58,ABS(N139)*'Sollecitazioni nel paramento'!$G$54,'Sollecitazioni nel paramento'!$G$53)*IF(N139&lt;0,-1,1)</f>
        <v>240946.49743184328</v>
      </c>
      <c r="U139" s="545">
        <f>'Foglio deposito bis'!$F$52*IF(ABS(O139)&lt;'Sollecitazioni nel paramento'!$G$58,ABS(O139)*'Sollecitazioni nel paramento'!$G$54,'Sollecitazioni nel paramento'!$G$53)*IF(O139&lt;0,-1,1)</f>
        <v>240946.49743184328</v>
      </c>
      <c r="V139" s="472">
        <f t="shared" si="15"/>
        <v>-733254.91922162776</v>
      </c>
      <c r="W139" s="551"/>
      <c r="X139" s="551"/>
    </row>
    <row r="140" spans="1:24" x14ac:dyDescent="0.25">
      <c r="A140" s="545">
        <f t="shared" si="14"/>
        <v>757951.16950846836</v>
      </c>
      <c r="B140" s="3">
        <f t="shared" si="12"/>
        <v>11.69999999999998</v>
      </c>
      <c r="C140" s="545">
        <f>'Foglio deposito bis'!$E$153/$B$247*B140</f>
        <v>37.922425434553517</v>
      </c>
      <c r="D140" s="603">
        <f>-'Sollecitazioni nel paramento'!$G$47*'Sollecitazioni nel paramento'!$G$41*IF(DATI!$G$211="dx",DATI!$E$61,DATI!$E$64*DATI!$E$63)*1000*C140^2*sezione!$AD$5*(1-sezione!$AD$6)</f>
        <v>-31996010.980979457</v>
      </c>
      <c r="E140" s="545">
        <f>-'Foglio deposito bis'!$F$48*(C140-sezione!$AL$27)*IF(ABS(K140)&lt;'Sollecitazioni nel paramento'!$G$58,ABS(K140)*'Sollecitazioni nel paramento'!$G$54,'Sollecitazioni nel paramento'!$G$53)</f>
        <v>0</v>
      </c>
      <c r="F140" s="545">
        <f>-'Foglio deposito bis'!$F$49*(C140-sezione!$AM$27)*IF(ABS(L140)&lt;'Sollecitazioni nel paramento'!$G$58,ABS(L140)*'Sollecitazioni nel paramento'!$G$54,'Sollecitazioni nel paramento'!$G$53)</f>
        <v>4523396.482427449</v>
      </c>
      <c r="G140" s="545">
        <f>-'Foglio deposito bis'!$F$50*(C140-sezione!$AN$27)*IF(ABS(M140)&lt;'Sollecitazioni nel paramento'!$G$58,ABS(M140)*'Sollecitazioni nel paramento'!$G$54,'Sollecitazioni nel paramento'!$G$53)</f>
        <v>0</v>
      </c>
      <c r="H140" s="545">
        <f>-'Foglio deposito bis'!$F$51*(C140-sezione!$AO$27)*IF(ABS(N140)&lt;'Sollecitazioni nel paramento'!$G$58,ABS(N140)*'Sollecitazioni nel paramento'!$G$54,'Sollecitazioni nel paramento'!$G$53)</f>
        <v>29414164.006519005</v>
      </c>
      <c r="I140" s="472">
        <f>-'Foglio deposito bis'!$F$52*(C140-sezione!$AP$27)*IF(ABS(O140)&lt;'Sollecitazioni nel paramento'!$G$58,ABS(O140)*'Sollecitazioni nel paramento'!$G$54,'Sollecitazioni nel paramento'!$G$53)</f>
        <v>38938083.798129931</v>
      </c>
      <c r="J140" s="472">
        <f t="shared" si="13"/>
        <v>40879633.306096926</v>
      </c>
      <c r="K140" s="550">
        <f>'Sollecitazioni nel paramento'!$G$60*(sezione!$AL$27-C140)/C140</f>
        <v>1.9174699127859994E-4</v>
      </c>
      <c r="L140" s="550">
        <f>'Sollecitazioni nel paramento'!$G$60*(sezione!$AM$27-C140)/C140</f>
        <v>2.0376204869179001E-3</v>
      </c>
      <c r="M140" s="551">
        <f>'Sollecitazioni nel paramento'!$G$60*(sezione!$AN$27-C140)/C140</f>
        <v>3.8834939825571997E-3</v>
      </c>
      <c r="N140" s="551">
        <f>'Sollecitazioni nel paramento'!$G$60*(sezione!$AO$27-C140)/C140</f>
        <v>1.1266987965114399E-2</v>
      </c>
      <c r="O140" s="551">
        <f>'Sollecitazioni nel paramento'!$G$60*(sezione!$AP$27-C140)/C140</f>
        <v>1.491509061555903E-2</v>
      </c>
      <c r="P140" s="545">
        <f>-'Sollecitazioni nel paramento'!$G$47*'Sollecitazioni nel paramento'!$G$41*IF(DATI!$G$211="dx",DATI!$E$61,DATI!$E$64*DATI!$E$63)*1000*C140*sezione!$AD$5</f>
        <v>-1444730.641780185</v>
      </c>
      <c r="Q140" s="545">
        <f>'Foglio deposito bis'!$F$48*IF(ABS(K140)&lt;'Sollecitazioni nel paramento'!$G$58,ABS(K140)*'Sollecitazioni nel paramento'!$G$54,'Sollecitazioni nel paramento'!$G$53)*IF(K140&lt;0,-1,1)</f>
        <v>0</v>
      </c>
      <c r="R140" s="545">
        <f>'Foglio deposito bis'!$F$49*IF(ABS(L140)&lt;'Sollecitazioni nel paramento'!$G$58,ABS(L140)*'Sollecitazioni nel paramento'!$G$54,'Sollecitazioni nel paramento'!$G$53)*IF(L140&lt;0,-1,1)</f>
        <v>204886.47740803001</v>
      </c>
      <c r="S140" s="545">
        <f>'Foglio deposito bis'!$F$50*IF(ABS(M140)&lt;'Sollecitazioni nel paramento'!$G$58,ABS(M140)*'Sollecitazioni nel paramento'!$G$54,'Sollecitazioni nel paramento'!$G$53)*IF(M140&lt;0,-1,1)</f>
        <v>0</v>
      </c>
      <c r="T140" s="545">
        <f>'Foglio deposito bis'!$F$51*IF(ABS(N140)&lt;'Sollecitazioni nel paramento'!$G$58,ABS(N140)*'Sollecitazioni nel paramento'!$G$54,'Sollecitazioni nel paramento'!$G$53)*IF(N140&lt;0,-1,1)</f>
        <v>240946.49743184328</v>
      </c>
      <c r="U140" s="545">
        <f>'Foglio deposito bis'!$F$52*IF(ABS(O140)&lt;'Sollecitazioni nel paramento'!$G$58,ABS(O140)*'Sollecitazioni nel paramento'!$G$54,'Sollecitazioni nel paramento'!$G$53)*IF(O140&lt;0,-1,1)</f>
        <v>240946.49743184328</v>
      </c>
      <c r="V140" s="472">
        <f t="shared" si="15"/>
        <v>-757951.16950846836</v>
      </c>
      <c r="W140" s="551"/>
      <c r="X140" s="551"/>
    </row>
    <row r="141" spans="1:24" x14ac:dyDescent="0.25">
      <c r="A141" s="545">
        <f t="shared" si="14"/>
        <v>782647.41979530896</v>
      </c>
      <c r="B141" s="3">
        <f t="shared" si="12"/>
        <v>11.899999999999979</v>
      </c>
      <c r="C141" s="545">
        <f>'Foglio deposito bis'!$E$153/$B$247*B141</f>
        <v>38.570672023178361</v>
      </c>
      <c r="D141" s="603">
        <f>-'Sollecitazioni nel paramento'!$G$47*'Sollecitazioni nel paramento'!$G$41*IF(DATI!$G$211="dx",DATI!$E$61,DATI!$E$64*DATI!$E$63)*1000*C141^2*sezione!$AD$5*(1-sezione!$AD$6)</f>
        <v>-33099241.106118049</v>
      </c>
      <c r="E141" s="545">
        <f>-'Foglio deposito bis'!$F$48*(C141-sezione!$AL$27)*IF(ABS(K141)&lt;'Sollecitazioni nel paramento'!$G$58,ABS(K141)*'Sollecitazioni nel paramento'!$G$54,'Sollecitazioni nel paramento'!$G$53)</f>
        <v>0</v>
      </c>
      <c r="F141" s="545">
        <f>-'Foglio deposito bis'!$F$49*(C141-sezione!$AM$27)*IF(ABS(L141)&lt;'Sollecitazioni nel paramento'!$G$58,ABS(L141)*'Sollecitazioni nel paramento'!$G$54,'Sollecitazioni nel paramento'!$G$53)</f>
        <v>4390579.5223923316</v>
      </c>
      <c r="G141" s="545">
        <f>-'Foglio deposito bis'!$F$50*(C141-sezione!$AN$27)*IF(ABS(M141)&lt;'Sollecitazioni nel paramento'!$G$58,ABS(M141)*'Sollecitazioni nel paramento'!$G$54,'Sollecitazioni nel paramento'!$G$53)</f>
        <v>0</v>
      </c>
      <c r="H141" s="545">
        <f>-'Foglio deposito bis'!$F$51*(C141-sezione!$AO$27)*IF(ABS(N141)&lt;'Sollecitazioni nel paramento'!$G$58,ABS(N141)*'Sollecitazioni nel paramento'!$G$54,'Sollecitazioni nel paramento'!$G$53)</f>
        <v>29257971.261517707</v>
      </c>
      <c r="I141" s="472">
        <f>-'Foglio deposito bis'!$F$52*(C141-sezione!$AP$27)*IF(ABS(O141)&lt;'Sollecitazioni nel paramento'!$G$58,ABS(O141)*'Sollecitazioni nel paramento'!$G$54,'Sollecitazioni nel paramento'!$G$53)</f>
        <v>38781891.053128622</v>
      </c>
      <c r="J141" s="472">
        <f t="shared" si="13"/>
        <v>39331200.730920613</v>
      </c>
      <c r="K141" s="550">
        <f>'Sollecitazioni nel paramento'!$G$60*(sezione!$AL$27-C141)/C141</f>
        <v>1.2970082335795149E-4</v>
      </c>
      <c r="L141" s="550">
        <f>'Sollecitazioni nel paramento'!$G$60*(sezione!$AM$27-C141)/C141</f>
        <v>1.9445512350369275E-3</v>
      </c>
      <c r="M141" s="551">
        <f>'Sollecitazioni nel paramento'!$G$60*(sezione!$AN$27-C141)/C141</f>
        <v>3.7594016467159029E-3</v>
      </c>
      <c r="N141" s="551">
        <f>'Sollecitazioni nel paramento'!$G$60*(sezione!$AO$27-C141)/C141</f>
        <v>1.1018803293431807E-2</v>
      </c>
      <c r="O141" s="551">
        <f>'Sollecitazioni nel paramento'!$G$60*(sezione!$AP$27-C141)/C141</f>
        <v>1.4605593294289133E-2</v>
      </c>
      <c r="P141" s="545">
        <f>-'Sollecitazioni nel paramento'!$G$47*'Sollecitazioni nel paramento'!$G$41*IF(DATI!$G$211="dx",DATI!$E$61,DATI!$E$64*DATI!$E$63)*1000*C141*sezione!$AD$5</f>
        <v>-1469426.8920670256</v>
      </c>
      <c r="Q141" s="545">
        <f>'Foglio deposito bis'!$F$48*IF(ABS(K141)&lt;'Sollecitazioni nel paramento'!$G$58,ABS(K141)*'Sollecitazioni nel paramento'!$G$54,'Sollecitazioni nel paramento'!$G$53)*IF(K141&lt;0,-1,1)</f>
        <v>0</v>
      </c>
      <c r="R141" s="545">
        <f>'Foglio deposito bis'!$F$49*IF(ABS(L141)&lt;'Sollecitazioni nel paramento'!$G$58,ABS(L141)*'Sollecitazioni nel paramento'!$G$54,'Sollecitazioni nel paramento'!$G$53)*IF(L141&lt;0,-1,1)</f>
        <v>204886.47740803001</v>
      </c>
      <c r="S141" s="545">
        <f>'Foglio deposito bis'!$F$50*IF(ABS(M141)&lt;'Sollecitazioni nel paramento'!$G$58,ABS(M141)*'Sollecitazioni nel paramento'!$G$54,'Sollecitazioni nel paramento'!$G$53)*IF(M141&lt;0,-1,1)</f>
        <v>0</v>
      </c>
      <c r="T141" s="545">
        <f>'Foglio deposito bis'!$F$51*IF(ABS(N141)&lt;'Sollecitazioni nel paramento'!$G$58,ABS(N141)*'Sollecitazioni nel paramento'!$G$54,'Sollecitazioni nel paramento'!$G$53)*IF(N141&lt;0,-1,1)</f>
        <v>240946.49743184328</v>
      </c>
      <c r="U141" s="545">
        <f>'Foglio deposito bis'!$F$52*IF(ABS(O141)&lt;'Sollecitazioni nel paramento'!$G$58,ABS(O141)*'Sollecitazioni nel paramento'!$G$54,'Sollecitazioni nel paramento'!$G$53)*IF(O141&lt;0,-1,1)</f>
        <v>240946.49743184328</v>
      </c>
      <c r="V141" s="472">
        <f t="shared" si="15"/>
        <v>-782647.41979530896</v>
      </c>
      <c r="W141" s="551"/>
      <c r="X141" s="551"/>
    </row>
    <row r="142" spans="1:24" x14ac:dyDescent="0.25">
      <c r="A142" s="545">
        <f t="shared" si="14"/>
        <v>812194.95169192879</v>
      </c>
      <c r="B142" s="3">
        <f t="shared" si="12"/>
        <v>12.099999999999978</v>
      </c>
      <c r="C142" s="545">
        <f>'Foglio deposito bis'!$E$153/$B$247*B142</f>
        <v>39.218918611803211</v>
      </c>
      <c r="D142" s="603">
        <f>-'Sollecitazioni nel paramento'!$G$47*'Sollecitazioni nel paramento'!$G$41*IF(DATI!$G$211="dx",DATI!$E$61,DATI!$E$64*DATI!$E$63)*1000*C142^2*sezione!$AD$5*(1-sezione!$AD$6)</f>
        <v>-34221170.046936974</v>
      </c>
      <c r="E142" s="545">
        <f>-'Foglio deposito bis'!$F$48*(C142-sezione!$AL$27)*IF(ABS(K142)&lt;'Sollecitazioni nel paramento'!$G$58,ABS(K142)*'Sollecitazioni nel paramento'!$G$54,'Sollecitazioni nel paramento'!$G$53)</f>
        <v>0</v>
      </c>
      <c r="F142" s="545">
        <f>-'Foglio deposito bis'!$F$49*(C142-sezione!$AM$27)*IF(ABS(L142)&lt;'Sollecitazioni nel paramento'!$G$58,ABS(L142)*'Sollecitazioni nel paramento'!$G$54,'Sollecitazioni nel paramento'!$G$53)</f>
        <v>4156947.6843873439</v>
      </c>
      <c r="G142" s="545">
        <f>-'Foglio deposito bis'!$F$50*(C142-sezione!$AN$27)*IF(ABS(M142)&lt;'Sollecitazioni nel paramento'!$G$58,ABS(M142)*'Sollecitazioni nel paramento'!$G$54,'Sollecitazioni nel paramento'!$G$53)</f>
        <v>0</v>
      </c>
      <c r="H142" s="545">
        <f>-'Foglio deposito bis'!$F$51*(C142-sezione!$AO$27)*IF(ABS(N142)&lt;'Sollecitazioni nel paramento'!$G$58,ABS(N142)*'Sollecitazioni nel paramento'!$G$54,'Sollecitazioni nel paramento'!$G$53)</f>
        <v>29101778.51651641</v>
      </c>
      <c r="I142" s="472">
        <f>-'Foglio deposito bis'!$F$52*(C142-sezione!$AP$27)*IF(ABS(O142)&lt;'Sollecitazioni nel paramento'!$G$58,ABS(O142)*'Sollecitazioni nel paramento'!$G$54,'Sollecitazioni nel paramento'!$G$53)</f>
        <v>38625698.308127329</v>
      </c>
      <c r="J142" s="472">
        <f t="shared" si="13"/>
        <v>37663254.462094113</v>
      </c>
      <c r="K142" s="550">
        <f>'Sollecitazioni nel paramento'!$G$60*(sezione!$AL$27-C142)/C142</f>
        <v>6.9705768426414727E-5</v>
      </c>
      <c r="L142" s="550">
        <f>'Sollecitazioni nel paramento'!$G$60*(sezione!$AM$27-C142)/C142</f>
        <v>1.8545586526396223E-3</v>
      </c>
      <c r="M142" s="551">
        <f>'Sollecitazioni nel paramento'!$G$60*(sezione!$AN$27-C142)/C142</f>
        <v>3.6394115368528295E-3</v>
      </c>
      <c r="N142" s="551">
        <f>'Sollecitazioni nel paramento'!$G$60*(sezione!$AO$27-C142)/C142</f>
        <v>1.0778823073705658E-2</v>
      </c>
      <c r="O142" s="551">
        <f>'Sollecitazioni nel paramento'!$G$60*(sezione!$AP$27-C142)/C142</f>
        <v>1.4306327289424846E-2</v>
      </c>
      <c r="P142" s="545">
        <f>-'Sollecitazioni nel paramento'!$G$47*'Sollecitazioni nel paramento'!$G$41*IF(DATI!$G$211="dx",DATI!$E$61,DATI!$E$64*DATI!$E$63)*1000*C142*sezione!$AD$5</f>
        <v>-1494123.1423538667</v>
      </c>
      <c r="Q142" s="545">
        <f>'Foglio deposito bis'!$F$48*IF(ABS(K142)&lt;'Sollecitazioni nel paramento'!$G$58,ABS(K142)*'Sollecitazioni nel paramento'!$G$54,'Sollecitazioni nel paramento'!$G$53)*IF(K142&lt;0,-1,1)</f>
        <v>0</v>
      </c>
      <c r="R142" s="545">
        <f>'Foglio deposito bis'!$F$49*IF(ABS(L142)&lt;'Sollecitazioni nel paramento'!$G$58,ABS(L142)*'Sollecitazioni nel paramento'!$G$54,'Sollecitazioni nel paramento'!$G$53)*IF(L142&lt;0,-1,1)</f>
        <v>200035.19579825143</v>
      </c>
      <c r="S142" s="545">
        <f>'Foglio deposito bis'!$F$50*IF(ABS(M142)&lt;'Sollecitazioni nel paramento'!$G$58,ABS(M142)*'Sollecitazioni nel paramento'!$G$54,'Sollecitazioni nel paramento'!$G$53)*IF(M142&lt;0,-1,1)</f>
        <v>0</v>
      </c>
      <c r="T142" s="545">
        <f>'Foglio deposito bis'!$F$51*IF(ABS(N142)&lt;'Sollecitazioni nel paramento'!$G$58,ABS(N142)*'Sollecitazioni nel paramento'!$G$54,'Sollecitazioni nel paramento'!$G$53)*IF(N142&lt;0,-1,1)</f>
        <v>240946.49743184328</v>
      </c>
      <c r="U142" s="545">
        <f>'Foglio deposito bis'!$F$52*IF(ABS(O142)&lt;'Sollecitazioni nel paramento'!$G$58,ABS(O142)*'Sollecitazioni nel paramento'!$G$54,'Sollecitazioni nel paramento'!$G$53)*IF(O142&lt;0,-1,1)</f>
        <v>240946.49743184328</v>
      </c>
      <c r="V142" s="472">
        <f t="shared" si="15"/>
        <v>-812194.95169192879</v>
      </c>
      <c r="W142" s="551"/>
      <c r="X142" s="551"/>
    </row>
    <row r="143" spans="1:24" x14ac:dyDescent="0.25">
      <c r="A143" s="545">
        <f t="shared" si="14"/>
        <v>846282.25747477938</v>
      </c>
      <c r="B143" s="3">
        <f t="shared" si="12"/>
        <v>12.299999999999978</v>
      </c>
      <c r="C143" s="545">
        <f>'Foglio deposito bis'!$E$153/$B$247*B143</f>
        <v>39.867165200428055</v>
      </c>
      <c r="D143" s="603">
        <f>-'Sollecitazioni nel paramento'!$G$47*'Sollecitazioni nel paramento'!$G$41*IF(DATI!$G$211="dx",DATI!$E$61,DATI!$E$64*DATI!$E$63)*1000*C143^2*sezione!$AD$5*(1-sezione!$AD$6)</f>
        <v>-35361797.803436197</v>
      </c>
      <c r="E143" s="545">
        <f>-'Foglio deposito bis'!$F$48*(C143-sezione!$AL$27)*IF(ABS(K143)&lt;'Sollecitazioni nel paramento'!$G$58,ABS(K143)*'Sollecitazioni nel paramento'!$G$54,'Sollecitazioni nel paramento'!$G$53)</f>
        <v>0</v>
      </c>
      <c r="F143" s="545">
        <f>-'Foglio deposito bis'!$F$49*(C143-sezione!$AM$27)*IF(ABS(L143)&lt;'Sollecitazioni nel paramento'!$G$58,ABS(L143)*'Sollecitazioni nel paramento'!$G$54,'Sollecitazioni nel paramento'!$G$53)</f>
        <v>3838206.9822114399</v>
      </c>
      <c r="G143" s="545">
        <f>-'Foglio deposito bis'!$F$50*(C143-sezione!$AN$27)*IF(ABS(M143)&lt;'Sollecitazioni nel paramento'!$G$58,ABS(M143)*'Sollecitazioni nel paramento'!$G$54,'Sollecitazioni nel paramento'!$G$53)</f>
        <v>0</v>
      </c>
      <c r="H143" s="545">
        <f>-'Foglio deposito bis'!$F$51*(C143-sezione!$AO$27)*IF(ABS(N143)&lt;'Sollecitazioni nel paramento'!$G$58,ABS(N143)*'Sollecitazioni nel paramento'!$G$54,'Sollecitazioni nel paramento'!$G$53)</f>
        <v>28945585.771515116</v>
      </c>
      <c r="I143" s="472">
        <f>-'Foglio deposito bis'!$F$52*(C143-sezione!$AP$27)*IF(ABS(O143)&lt;'Sollecitazioni nel paramento'!$G$58,ABS(O143)*'Sollecitazioni nel paramento'!$G$54,'Sollecitazioni nel paramento'!$G$53)</f>
        <v>38469505.563126035</v>
      </c>
      <c r="J143" s="472">
        <f t="shared" si="13"/>
        <v>35891500.513416395</v>
      </c>
      <c r="K143" s="550">
        <f>'Sollecitazioni nel paramento'!$G$60*(sezione!$AL$27-C143)/C143</f>
        <v>1.1661772191839141E-5</v>
      </c>
      <c r="L143" s="550">
        <f>'Sollecitazioni nel paramento'!$G$60*(sezione!$AM$27-C143)/C143</f>
        <v>1.7674926582877586E-3</v>
      </c>
      <c r="M143" s="551">
        <f>'Sollecitazioni nel paramento'!$G$60*(sezione!$AN$27-C143)/C143</f>
        <v>3.5233235443836784E-3</v>
      </c>
      <c r="N143" s="551">
        <f>'Sollecitazioni nel paramento'!$G$60*(sezione!$AO$27-C143)/C143</f>
        <v>1.0546647088767357E-2</v>
      </c>
      <c r="O143" s="551">
        <f>'Sollecitazioni nel paramento'!$G$60*(sezione!$AP$27-C143)/C143</f>
        <v>1.401679351236103E-2</v>
      </c>
      <c r="P143" s="545">
        <f>-'Sollecitazioni nel paramento'!$G$47*'Sollecitazioni nel paramento'!$G$41*IF(DATI!$G$211="dx",DATI!$E$61,DATI!$E$64*DATI!$E$63)*1000*C143*sezione!$AD$5</f>
        <v>-1518819.3926407073</v>
      </c>
      <c r="Q143" s="545">
        <f>'Foglio deposito bis'!$F$48*IF(ABS(K143)&lt;'Sollecitazioni nel paramento'!$G$58,ABS(K143)*'Sollecitazioni nel paramento'!$G$54,'Sollecitazioni nel paramento'!$G$53)*IF(K143&lt;0,-1,1)</f>
        <v>0</v>
      </c>
      <c r="R143" s="545">
        <f>'Foglio deposito bis'!$F$49*IF(ABS(L143)&lt;'Sollecitazioni nel paramento'!$G$58,ABS(L143)*'Sollecitazioni nel paramento'!$G$54,'Sollecitazioni nel paramento'!$G$53)*IF(L143&lt;0,-1,1)</f>
        <v>190644.14030224129</v>
      </c>
      <c r="S143" s="545">
        <f>'Foglio deposito bis'!$F$50*IF(ABS(M143)&lt;'Sollecitazioni nel paramento'!$G$58,ABS(M143)*'Sollecitazioni nel paramento'!$G$54,'Sollecitazioni nel paramento'!$G$53)*IF(M143&lt;0,-1,1)</f>
        <v>0</v>
      </c>
      <c r="T143" s="545">
        <f>'Foglio deposito bis'!$F$51*IF(ABS(N143)&lt;'Sollecitazioni nel paramento'!$G$58,ABS(N143)*'Sollecitazioni nel paramento'!$G$54,'Sollecitazioni nel paramento'!$G$53)*IF(N143&lt;0,-1,1)</f>
        <v>240946.49743184328</v>
      </c>
      <c r="U143" s="545">
        <f>'Foglio deposito bis'!$F$52*IF(ABS(O143)&lt;'Sollecitazioni nel paramento'!$G$58,ABS(O143)*'Sollecitazioni nel paramento'!$G$54,'Sollecitazioni nel paramento'!$G$53)*IF(O143&lt;0,-1,1)</f>
        <v>240946.49743184328</v>
      </c>
      <c r="V143" s="472">
        <f t="shared" si="15"/>
        <v>-846282.25747477938</v>
      </c>
      <c r="W143" s="551"/>
      <c r="X143" s="551"/>
    </row>
    <row r="144" spans="1:24" x14ac:dyDescent="0.25">
      <c r="A144" s="545">
        <f t="shared" si="14"/>
        <v>880069.04948175792</v>
      </c>
      <c r="B144" s="3">
        <f t="shared" si="12"/>
        <v>12.499999999999977</v>
      </c>
      <c r="C144" s="545">
        <f>'Foglio deposito bis'!$E$153/$B$247*B144</f>
        <v>40.515411789052898</v>
      </c>
      <c r="D144" s="603">
        <f>-'Sollecitazioni nel paramento'!$G$47*'Sollecitazioni nel paramento'!$G$41*IF(DATI!$G$211="dx",DATI!$E$61,DATI!$E$64*DATI!$E$63)*1000*C144^2*sezione!$AD$5*(1-sezione!$AD$6)</f>
        <v>-36521124.375615731</v>
      </c>
      <c r="E144" s="545">
        <f>-'Foglio deposito bis'!$F$48*(C144-sezione!$AL$27)*IF(ABS(K144)&lt;'Sollecitazioni nel paramento'!$G$58,ABS(K144)*'Sollecitazioni nel paramento'!$G$54,'Sollecitazioni nel paramento'!$G$53)</f>
        <v>0</v>
      </c>
      <c r="F144" s="545">
        <f>-'Foglio deposito bis'!$F$49*(C144-sezione!$AM$27)*IF(ABS(L144)&lt;'Sollecitazioni nel paramento'!$G$58,ABS(L144)*'Sollecitazioni nel paramento'!$G$54,'Sollecitazioni nel paramento'!$G$53)</f>
        <v>3537497.1065878761</v>
      </c>
      <c r="G144" s="545">
        <f>-'Foglio deposito bis'!$F$50*(C144-sezione!$AN$27)*IF(ABS(M144)&lt;'Sollecitazioni nel paramento'!$G$58,ABS(M144)*'Sollecitazioni nel paramento'!$G$54,'Sollecitazioni nel paramento'!$G$53)</f>
        <v>0</v>
      </c>
      <c r="H144" s="545">
        <f>-'Foglio deposito bis'!$F$51*(C144-sezione!$AO$27)*IF(ABS(N144)&lt;'Sollecitazioni nel paramento'!$G$58,ABS(N144)*'Sollecitazioni nel paramento'!$G$54,'Sollecitazioni nel paramento'!$G$53)</f>
        <v>28789393.026513811</v>
      </c>
      <c r="I144" s="472">
        <f>-'Foglio deposito bis'!$F$52*(C144-sezione!$AP$27)*IF(ABS(O144)&lt;'Sollecitazioni nel paramento'!$G$58,ABS(O144)*'Sollecitazioni nel paramento'!$G$54,'Sollecitazioni nel paramento'!$G$53)</f>
        <v>38313312.818124726</v>
      </c>
      <c r="J144" s="472">
        <f t="shared" si="13"/>
        <v>34119078.575610682</v>
      </c>
      <c r="K144" s="550">
        <f>'Sollecitazioni nel paramento'!$G$60*(sezione!$AL$27-C144)/C144</f>
        <v>-4.4524816163230033E-5</v>
      </c>
      <c r="L144" s="550">
        <f>'Sollecitazioni nel paramento'!$G$60*(sezione!$AM$27-C144)/C144</f>
        <v>1.6832127757551549E-3</v>
      </c>
      <c r="M144" s="551">
        <f>'Sollecitazioni nel paramento'!$G$60*(sezione!$AN$27-C144)/C144</f>
        <v>3.4109503676735403E-3</v>
      </c>
      <c r="N144" s="551">
        <f>'Sollecitazioni nel paramento'!$G$60*(sezione!$AO$27-C144)/C144</f>
        <v>1.0321900735347079E-2</v>
      </c>
      <c r="O144" s="551">
        <f>'Sollecitazioni nel paramento'!$G$60*(sezione!$AP$27-C144)/C144</f>
        <v>1.3736524816163253E-2</v>
      </c>
      <c r="P144" s="545">
        <f>-'Sollecitazioni nel paramento'!$G$47*'Sollecitazioni nel paramento'!$G$41*IF(DATI!$G$211="dx",DATI!$E$61,DATI!$E$64*DATI!$E$63)*1000*C144*sezione!$AD$5</f>
        <v>-1543515.6429275479</v>
      </c>
      <c r="Q144" s="545">
        <f>'Foglio deposito bis'!$F$48*IF(ABS(K144)&lt;'Sollecitazioni nel paramento'!$G$58,ABS(K144)*'Sollecitazioni nel paramento'!$G$54,'Sollecitazioni nel paramento'!$G$53)*IF(K144&lt;0,-1,1)</f>
        <v>0</v>
      </c>
      <c r="R144" s="545">
        <f>'Foglio deposito bis'!$F$49*IF(ABS(L144)&lt;'Sollecitazioni nel paramento'!$G$58,ABS(L144)*'Sollecitazioni nel paramento'!$G$54,'Sollecitazioni nel paramento'!$G$53)*IF(L144&lt;0,-1,1)</f>
        <v>181553.5985821035</v>
      </c>
      <c r="S144" s="545">
        <f>'Foglio deposito bis'!$F$50*IF(ABS(M144)&lt;'Sollecitazioni nel paramento'!$G$58,ABS(M144)*'Sollecitazioni nel paramento'!$G$54,'Sollecitazioni nel paramento'!$G$53)*IF(M144&lt;0,-1,1)</f>
        <v>0</v>
      </c>
      <c r="T144" s="545">
        <f>'Foglio deposito bis'!$F$51*IF(ABS(N144)&lt;'Sollecitazioni nel paramento'!$G$58,ABS(N144)*'Sollecitazioni nel paramento'!$G$54,'Sollecitazioni nel paramento'!$G$53)*IF(N144&lt;0,-1,1)</f>
        <v>240946.49743184328</v>
      </c>
      <c r="U144" s="545">
        <f>'Foglio deposito bis'!$F$52*IF(ABS(O144)&lt;'Sollecitazioni nel paramento'!$G$58,ABS(O144)*'Sollecitazioni nel paramento'!$G$54,'Sollecitazioni nel paramento'!$G$53)*IF(O144&lt;0,-1,1)</f>
        <v>240946.49743184328</v>
      </c>
      <c r="V144" s="472">
        <f t="shared" si="15"/>
        <v>-880069.04948175792</v>
      </c>
      <c r="W144" s="551"/>
      <c r="X144" s="551"/>
    </row>
    <row r="145" spans="1:24" x14ac:dyDescent="0.25">
      <c r="A145" s="545">
        <f t="shared" si="14"/>
        <v>913569.52521408629</v>
      </c>
      <c r="B145" s="3">
        <f t="shared" si="12"/>
        <v>12.699999999999976</v>
      </c>
      <c r="C145" s="545">
        <f>'Foglio deposito bis'!$E$153/$B$247*B145</f>
        <v>41.163658377677741</v>
      </c>
      <c r="D145" s="603">
        <f>-'Sollecitazioni nel paramento'!$G$47*'Sollecitazioni nel paramento'!$G$41*IF(DATI!$G$211="dx",DATI!$E$61,DATI!$E$64*DATI!$E$63)*1000*C145^2*sezione!$AD$5*(1-sezione!$AD$6)</f>
        <v>-37699149.763475597</v>
      </c>
      <c r="E145" s="545">
        <f>-'Foglio deposito bis'!$F$48*(C145-sezione!$AL$27)*IF(ABS(K145)&lt;'Sollecitazioni nel paramento'!$G$58,ABS(K145)*'Sollecitazioni nel paramento'!$G$54,'Sollecitazioni nel paramento'!$G$53)</f>
        <v>0</v>
      </c>
      <c r="F145" s="545">
        <f>-'Foglio deposito bis'!$F$49*(C145-sezione!$AM$27)*IF(ABS(L145)&lt;'Sollecitazioni nel paramento'!$G$58,ABS(L145)*'Sollecitazioni nel paramento'!$G$54,'Sollecitazioni nel paramento'!$G$53)</f>
        <v>3253966.2074433132</v>
      </c>
      <c r="G145" s="545">
        <f>-'Foglio deposito bis'!$F$50*(C145-sezione!$AN$27)*IF(ABS(M145)&lt;'Sollecitazioni nel paramento'!$G$58,ABS(M145)*'Sollecitazioni nel paramento'!$G$54,'Sollecitazioni nel paramento'!$G$53)</f>
        <v>0</v>
      </c>
      <c r="H145" s="545">
        <f>-'Foglio deposito bis'!$F$51*(C145-sezione!$AO$27)*IF(ABS(N145)&lt;'Sollecitazioni nel paramento'!$G$58,ABS(N145)*'Sollecitazioni nel paramento'!$G$54,'Sollecitazioni nel paramento'!$G$53)</f>
        <v>28633200.281512521</v>
      </c>
      <c r="I145" s="472">
        <f>-'Foglio deposito bis'!$F$52*(C145-sezione!$AP$27)*IF(ABS(O145)&lt;'Sollecitazioni nel paramento'!$G$58,ABS(O145)*'Sollecitazioni nel paramento'!$G$54,'Sollecitazioni nel paramento'!$G$53)</f>
        <v>38157120.07312344</v>
      </c>
      <c r="J145" s="472">
        <f t="shared" si="13"/>
        <v>32345136.798603676</v>
      </c>
      <c r="K145" s="550">
        <f>'Sollecitazioni nel paramento'!$G$60*(sezione!$AL$27-C145)/C145</f>
        <v>-9.8941748192155299E-5</v>
      </c>
      <c r="L145" s="550">
        <f>'Sollecitazioni nel paramento'!$G$60*(sezione!$AM$27-C145)/C145</f>
        <v>1.601587377711767E-3</v>
      </c>
      <c r="M145" s="551">
        <f>'Sollecitazioni nel paramento'!$G$60*(sezione!$AN$27-C145)/C145</f>
        <v>3.3021165036156899E-3</v>
      </c>
      <c r="N145" s="551">
        <f>'Sollecitazioni nel paramento'!$G$60*(sezione!$AO$27-C145)/C145</f>
        <v>1.0104233007231379E-2</v>
      </c>
      <c r="O145" s="551">
        <f>'Sollecitazioni nel paramento'!$G$60*(sezione!$AP$27-C145)/C145</f>
        <v>1.3465083480475646E-2</v>
      </c>
      <c r="P145" s="545">
        <f>-'Sollecitazioni nel paramento'!$G$47*'Sollecitazioni nel paramento'!$G$41*IF(DATI!$G$211="dx",DATI!$E$61,DATI!$E$64*DATI!$E$63)*1000*C145*sezione!$AD$5</f>
        <v>-1568211.8932143885</v>
      </c>
      <c r="Q145" s="545">
        <f>'Foglio deposito bis'!$F$48*IF(ABS(K145)&lt;'Sollecitazioni nel paramento'!$G$58,ABS(K145)*'Sollecitazioni nel paramento'!$G$54,'Sollecitazioni nel paramento'!$G$53)*IF(K145&lt;0,-1,1)</f>
        <v>0</v>
      </c>
      <c r="R145" s="545">
        <f>'Foglio deposito bis'!$F$49*IF(ABS(L145)&lt;'Sollecitazioni nel paramento'!$G$58,ABS(L145)*'Sollecitazioni nel paramento'!$G$54,'Sollecitazioni nel paramento'!$G$53)*IF(L145&lt;0,-1,1)</f>
        <v>172749.37313661573</v>
      </c>
      <c r="S145" s="545">
        <f>'Foglio deposito bis'!$F$50*IF(ABS(M145)&lt;'Sollecitazioni nel paramento'!$G$58,ABS(M145)*'Sollecitazioni nel paramento'!$G$54,'Sollecitazioni nel paramento'!$G$53)*IF(M145&lt;0,-1,1)</f>
        <v>0</v>
      </c>
      <c r="T145" s="545">
        <f>'Foglio deposito bis'!$F$51*IF(ABS(N145)&lt;'Sollecitazioni nel paramento'!$G$58,ABS(N145)*'Sollecitazioni nel paramento'!$G$54,'Sollecitazioni nel paramento'!$G$53)*IF(N145&lt;0,-1,1)</f>
        <v>240946.49743184328</v>
      </c>
      <c r="U145" s="545">
        <f>'Foglio deposito bis'!$F$52*IF(ABS(O145)&lt;'Sollecitazioni nel paramento'!$G$58,ABS(O145)*'Sollecitazioni nel paramento'!$G$54,'Sollecitazioni nel paramento'!$G$53)*IF(O145&lt;0,-1,1)</f>
        <v>240946.49743184328</v>
      </c>
      <c r="V145" s="472">
        <f t="shared" si="15"/>
        <v>-913569.52521408629</v>
      </c>
      <c r="W145" s="551"/>
      <c r="X145" s="551"/>
    </row>
    <row r="146" spans="1:24" x14ac:dyDescent="0.25">
      <c r="A146" s="545">
        <f t="shared" si="14"/>
        <v>946797.00170779531</v>
      </c>
      <c r="B146" s="3">
        <f t="shared" si="12"/>
        <v>12.899999999999975</v>
      </c>
      <c r="C146" s="545">
        <f>'Foglio deposito bis'!$E$153/$B$247*B146</f>
        <v>41.811904966302592</v>
      </c>
      <c r="D146" s="603">
        <f>-'Sollecitazioni nel paramento'!$G$47*'Sollecitazioni nel paramento'!$G$41*IF(DATI!$G$211="dx",DATI!$E$61,DATI!$E$64*DATI!$E$63)*1000*C146^2*sezione!$AD$5*(1-sezione!$AD$6)</f>
        <v>-38895873.967015781</v>
      </c>
      <c r="E146" s="545">
        <f>-'Foglio deposito bis'!$F$48*(C146-sezione!$AL$27)*IF(ABS(K146)&lt;'Sollecitazioni nel paramento'!$G$58,ABS(K146)*'Sollecitazioni nel paramento'!$G$54,'Sollecitazioni nel paramento'!$G$53)</f>
        <v>0</v>
      </c>
      <c r="F146" s="545">
        <f>-'Foglio deposito bis'!$F$49*(C146-sezione!$AM$27)*IF(ABS(L146)&lt;'Sollecitazioni nel paramento'!$G$58,ABS(L146)*'Sollecitazioni nel paramento'!$G$54,'Sollecitazioni nel paramento'!$G$53)</f>
        <v>2986815.262615934</v>
      </c>
      <c r="G146" s="545">
        <f>-'Foglio deposito bis'!$F$50*(C146-sezione!$AN$27)*IF(ABS(M146)&lt;'Sollecitazioni nel paramento'!$G$58,ABS(M146)*'Sollecitazioni nel paramento'!$G$54,'Sollecitazioni nel paramento'!$G$53)</f>
        <v>0</v>
      </c>
      <c r="H146" s="545">
        <f>-'Foglio deposito bis'!$F$51*(C146-sezione!$AO$27)*IF(ABS(N146)&lt;'Sollecitazioni nel paramento'!$G$58,ABS(N146)*'Sollecitazioni nel paramento'!$G$54,'Sollecitazioni nel paramento'!$G$53)</f>
        <v>28477007.536511224</v>
      </c>
      <c r="I146" s="472">
        <f>-'Foglio deposito bis'!$F$52*(C146-sezione!$AP$27)*IF(ABS(O146)&lt;'Sollecitazioni nel paramento'!$G$58,ABS(O146)*'Sollecitazioni nel paramento'!$G$54,'Sollecitazioni nel paramento'!$G$53)</f>
        <v>38000927.328122139</v>
      </c>
      <c r="J146" s="472">
        <f t="shared" si="13"/>
        <v>30568876.160233516</v>
      </c>
      <c r="K146" s="550">
        <f>'Sollecitazioni nel paramento'!$G$60*(sezione!$AL$27-C146)/C146</f>
        <v>-1.5167133349150205E-4</v>
      </c>
      <c r="L146" s="550">
        <f>'Sollecitazioni nel paramento'!$G$60*(sezione!$AM$27-C146)/C146</f>
        <v>1.5224929997627471E-3</v>
      </c>
      <c r="M146" s="551">
        <f>'Sollecitazioni nel paramento'!$G$60*(sezione!$AN$27-C146)/C146</f>
        <v>3.1966573330169962E-3</v>
      </c>
      <c r="N146" s="551">
        <f>'Sollecitazioni nel paramento'!$G$60*(sezione!$AO$27-C146)/C146</f>
        <v>9.8933146660339921E-3</v>
      </c>
      <c r="O146" s="551">
        <f>'Sollecitazioni nel paramento'!$G$60*(sezione!$AP$27-C146)/C146</f>
        <v>1.320205893039075E-2</v>
      </c>
      <c r="P146" s="545">
        <f>-'Sollecitazioni nel paramento'!$G$47*'Sollecitazioni nel paramento'!$G$41*IF(DATI!$G$211="dx",DATI!$E$61,DATI!$E$64*DATI!$E$63)*1000*C146*sezione!$AD$5</f>
        <v>-1592908.1435012296</v>
      </c>
      <c r="Q146" s="545">
        <f>'Foglio deposito bis'!$F$48*IF(ABS(K146)&lt;'Sollecitazioni nel paramento'!$G$58,ABS(K146)*'Sollecitazioni nel paramento'!$G$54,'Sollecitazioni nel paramento'!$G$53)*IF(K146&lt;0,-1,1)</f>
        <v>0</v>
      </c>
      <c r="R146" s="545">
        <f>'Foglio deposito bis'!$F$49*IF(ABS(L146)&lt;'Sollecitazioni nel paramento'!$G$58,ABS(L146)*'Sollecitazioni nel paramento'!$G$54,'Sollecitazioni nel paramento'!$G$53)*IF(L146&lt;0,-1,1)</f>
        <v>164218.14692974763</v>
      </c>
      <c r="S146" s="545">
        <f>'Foglio deposito bis'!$F$50*IF(ABS(M146)&lt;'Sollecitazioni nel paramento'!$G$58,ABS(M146)*'Sollecitazioni nel paramento'!$G$54,'Sollecitazioni nel paramento'!$G$53)*IF(M146&lt;0,-1,1)</f>
        <v>0</v>
      </c>
      <c r="T146" s="545">
        <f>'Foglio deposito bis'!$F$51*IF(ABS(N146)&lt;'Sollecitazioni nel paramento'!$G$58,ABS(N146)*'Sollecitazioni nel paramento'!$G$54,'Sollecitazioni nel paramento'!$G$53)*IF(N146&lt;0,-1,1)</f>
        <v>240946.49743184328</v>
      </c>
      <c r="U146" s="545">
        <f>'Foglio deposito bis'!$F$52*IF(ABS(O146)&lt;'Sollecitazioni nel paramento'!$G$58,ABS(O146)*'Sollecitazioni nel paramento'!$G$54,'Sollecitazioni nel paramento'!$G$53)*IF(O146&lt;0,-1,1)</f>
        <v>240946.49743184328</v>
      </c>
      <c r="V146" s="472">
        <f t="shared" si="15"/>
        <v>-946797.00170779531</v>
      </c>
      <c r="W146" s="551"/>
      <c r="X146" s="551"/>
    </row>
    <row r="147" spans="1:24" x14ac:dyDescent="0.25">
      <c r="A147" s="545">
        <f t="shared" si="14"/>
        <v>979763.98274480575</v>
      </c>
      <c r="B147" s="3">
        <f t="shared" si="12"/>
        <v>13.099999999999975</v>
      </c>
      <c r="C147" s="545">
        <f>'Foglio deposito bis'!$E$153/$B$247*B147</f>
        <v>42.460151554927435</v>
      </c>
      <c r="D147" s="603">
        <f>-'Sollecitazioni nel paramento'!$G$47*'Sollecitazioni nel paramento'!$G$41*IF(DATI!$G$211="dx",DATI!$E$61,DATI!$E$64*DATI!$E$63)*1000*C147^2*sezione!$AD$5*(1-sezione!$AD$6)</f>
        <v>-40111296.986236267</v>
      </c>
      <c r="E147" s="545">
        <f>-'Foglio deposito bis'!$F$48*(C147-sezione!$AL$27)*IF(ABS(K147)&lt;'Sollecitazioni nel paramento'!$G$58,ABS(K147)*'Sollecitazioni nel paramento'!$G$54,'Sollecitazioni nel paramento'!$G$53)</f>
        <v>0</v>
      </c>
      <c r="F147" s="545">
        <f>-'Foglio deposito bis'!$F$49*(C147-sezione!$AM$27)*IF(ABS(L147)&lt;'Sollecitazioni nel paramento'!$G$58,ABS(L147)*'Sollecitazioni nel paramento'!$G$54,'Sollecitazioni nel paramento'!$G$53)</f>
        <v>2735294.0451904531</v>
      </c>
      <c r="G147" s="545">
        <f>-'Foglio deposito bis'!$F$50*(C147-sezione!$AN$27)*IF(ABS(M147)&lt;'Sollecitazioni nel paramento'!$G$58,ABS(M147)*'Sollecitazioni nel paramento'!$G$54,'Sollecitazioni nel paramento'!$G$53)</f>
        <v>0</v>
      </c>
      <c r="H147" s="545">
        <f>-'Foglio deposito bis'!$F$51*(C147-sezione!$AO$27)*IF(ABS(N147)&lt;'Sollecitazioni nel paramento'!$G$58,ABS(N147)*'Sollecitazioni nel paramento'!$G$54,'Sollecitazioni nel paramento'!$G$53)</f>
        <v>28320814.791509923</v>
      </c>
      <c r="I147" s="472">
        <f>-'Foglio deposito bis'!$F$52*(C147-sezione!$AP$27)*IF(ABS(O147)&lt;'Sollecitazioni nel paramento'!$G$58,ABS(O147)*'Sollecitazioni nel paramento'!$G$54,'Sollecitazioni nel paramento'!$G$53)</f>
        <v>37844734.583120845</v>
      </c>
      <c r="J147" s="472">
        <f t="shared" si="13"/>
        <v>28789546.433584955</v>
      </c>
      <c r="K147" s="550">
        <f>'Sollecitazioni nel paramento'!$G$60*(sezione!$AL$27-C147)/C147</f>
        <v>-2.0279085511758579E-4</v>
      </c>
      <c r="L147" s="550">
        <f>'Sollecitazioni nel paramento'!$G$60*(sezione!$AM$27-C147)/C147</f>
        <v>1.4458137173236213E-3</v>
      </c>
      <c r="M147" s="551">
        <f>'Sollecitazioni nel paramento'!$G$60*(sezione!$AN$27-C147)/C147</f>
        <v>3.0944182897648287E-3</v>
      </c>
      <c r="N147" s="551">
        <f>'Sollecitazioni nel paramento'!$G$60*(sezione!$AO$27-C147)/C147</f>
        <v>9.6888365795296562E-3</v>
      </c>
      <c r="O147" s="551">
        <f>'Sollecitazioni nel paramento'!$G$60*(sezione!$AP$27-C147)/C147</f>
        <v>1.2947065664277916E-2</v>
      </c>
      <c r="P147" s="545">
        <f>-'Sollecitazioni nel paramento'!$G$47*'Sollecitazioni nel paramento'!$G$41*IF(DATI!$G$211="dx",DATI!$E$61,DATI!$E$64*DATI!$E$63)*1000*C147*sezione!$AD$5</f>
        <v>-1617604.3937880702</v>
      </c>
      <c r="Q147" s="545">
        <f>'Foglio deposito bis'!$F$48*IF(ABS(K147)&lt;'Sollecitazioni nel paramento'!$G$58,ABS(K147)*'Sollecitazioni nel paramento'!$G$54,'Sollecitazioni nel paramento'!$G$53)*IF(K147&lt;0,-1,1)</f>
        <v>0</v>
      </c>
      <c r="R147" s="545">
        <f>'Foglio deposito bis'!$F$49*IF(ABS(L147)&lt;'Sollecitazioni nel paramento'!$G$58,ABS(L147)*'Sollecitazioni nel paramento'!$G$54,'Sollecitazioni nel paramento'!$G$53)*IF(L147&lt;0,-1,1)</f>
        <v>155947.41617957785</v>
      </c>
      <c r="S147" s="545">
        <f>'Foglio deposito bis'!$F$50*IF(ABS(M147)&lt;'Sollecitazioni nel paramento'!$G$58,ABS(M147)*'Sollecitazioni nel paramento'!$G$54,'Sollecitazioni nel paramento'!$G$53)*IF(M147&lt;0,-1,1)</f>
        <v>0</v>
      </c>
      <c r="T147" s="545">
        <f>'Foglio deposito bis'!$F$51*IF(ABS(N147)&lt;'Sollecitazioni nel paramento'!$G$58,ABS(N147)*'Sollecitazioni nel paramento'!$G$54,'Sollecitazioni nel paramento'!$G$53)*IF(N147&lt;0,-1,1)</f>
        <v>240946.49743184328</v>
      </c>
      <c r="U147" s="545">
        <f>'Foglio deposito bis'!$F$52*IF(ABS(O147)&lt;'Sollecitazioni nel paramento'!$G$58,ABS(O147)*'Sollecitazioni nel paramento'!$G$54,'Sollecitazioni nel paramento'!$G$53)*IF(O147&lt;0,-1,1)</f>
        <v>240946.49743184328</v>
      </c>
      <c r="V147" s="472">
        <f t="shared" si="15"/>
        <v>-979763.98274480575</v>
      </c>
      <c r="W147" s="551"/>
      <c r="X147" s="551"/>
    </row>
    <row r="148" spans="1:24" x14ac:dyDescent="0.25">
      <c r="A148" s="545">
        <f t="shared" si="14"/>
        <v>1012482.2199998561</v>
      </c>
      <c r="B148" s="3">
        <f t="shared" si="12"/>
        <v>13.299999999999974</v>
      </c>
      <c r="C148" s="545">
        <f>'Foglio deposito bis'!$E$153/$B$247*B148</f>
        <v>43.108398143552279</v>
      </c>
      <c r="D148" s="603">
        <f>-'Sollecitazioni nel paramento'!$G$47*'Sollecitazioni nel paramento'!$G$41*IF(DATI!$G$211="dx",DATI!$E$61,DATI!$E$64*DATI!$E$63)*1000*C148^2*sezione!$AD$5*(1-sezione!$AD$6)</f>
        <v>-41345418.821137071</v>
      </c>
      <c r="E148" s="545">
        <f>-'Foglio deposito bis'!$F$48*(C148-sezione!$AL$27)*IF(ABS(K148)&lt;'Sollecitazioni nel paramento'!$G$58,ABS(K148)*'Sollecitazioni nel paramento'!$G$54,'Sollecitazioni nel paramento'!$G$53)</f>
        <v>0</v>
      </c>
      <c r="F148" s="545">
        <f>-'Foglio deposito bis'!$F$49*(C148-sezione!$AM$27)*IF(ABS(L148)&lt;'Sollecitazioni nel paramento'!$G$58,ABS(L148)*'Sollecitazioni nel paramento'!$G$54,'Sollecitazioni nel paramento'!$G$53)</f>
        <v>2498697.4546825713</v>
      </c>
      <c r="G148" s="545">
        <f>-'Foglio deposito bis'!$F$50*(C148-sezione!$AN$27)*IF(ABS(M148)&lt;'Sollecitazioni nel paramento'!$G$58,ABS(M148)*'Sollecitazioni nel paramento'!$G$54,'Sollecitazioni nel paramento'!$G$53)</f>
        <v>0</v>
      </c>
      <c r="H148" s="545">
        <f>-'Foglio deposito bis'!$F$51*(C148-sezione!$AO$27)*IF(ABS(N148)&lt;'Sollecitazioni nel paramento'!$G$58,ABS(N148)*'Sollecitazioni nel paramento'!$G$54,'Sollecitazioni nel paramento'!$G$53)</f>
        <v>28164622.046508625</v>
      </c>
      <c r="I148" s="472">
        <f>-'Foglio deposito bis'!$F$52*(C148-sezione!$AP$27)*IF(ABS(O148)&lt;'Sollecitazioni nel paramento'!$G$58,ABS(O148)*'Sollecitazioni nel paramento'!$G$54,'Sollecitazioni nel paramento'!$G$53)</f>
        <v>37688541.838119544</v>
      </c>
      <c r="J148" s="472">
        <f t="shared" si="13"/>
        <v>27006442.518173672</v>
      </c>
      <c r="K148" s="550">
        <f>'Sollecitazioni nel paramento'!$G$60*(sezione!$AL$27-C148)/C148</f>
        <v>-2.5237294752183243E-4</v>
      </c>
      <c r="L148" s="550">
        <f>'Sollecitazioni nel paramento'!$G$60*(sezione!$AM$27-C148)/C148</f>
        <v>1.3714405787172514E-3</v>
      </c>
      <c r="M148" s="551">
        <f>'Sollecitazioni nel paramento'!$G$60*(sezione!$AN$27-C148)/C148</f>
        <v>2.995254104956335E-3</v>
      </c>
      <c r="N148" s="551">
        <f>'Sollecitazioni nel paramento'!$G$60*(sezione!$AO$27-C148)/C148</f>
        <v>9.4905082099126705E-3</v>
      </c>
      <c r="O148" s="551">
        <f>'Sollecitazioni nel paramento'!$G$60*(sezione!$AP$27-C148)/C148</f>
        <v>1.2699741368574489E-2</v>
      </c>
      <c r="P148" s="545">
        <f>-'Sollecitazioni nel paramento'!$G$47*'Sollecitazioni nel paramento'!$G$41*IF(DATI!$G$211="dx",DATI!$E$61,DATI!$E$64*DATI!$E$63)*1000*C148*sezione!$AD$5</f>
        <v>-1642300.6440749108</v>
      </c>
      <c r="Q148" s="545">
        <f>'Foglio deposito bis'!$F$48*IF(ABS(K148)&lt;'Sollecitazioni nel paramento'!$G$58,ABS(K148)*'Sollecitazioni nel paramento'!$G$54,'Sollecitazioni nel paramento'!$G$53)*IF(K148&lt;0,-1,1)</f>
        <v>0</v>
      </c>
      <c r="R148" s="545">
        <f>'Foglio deposito bis'!$F$49*IF(ABS(L148)&lt;'Sollecitazioni nel paramento'!$G$58,ABS(L148)*'Sollecitazioni nel paramento'!$G$54,'Sollecitazioni nel paramento'!$G$53)*IF(L148&lt;0,-1,1)</f>
        <v>147925.42921136809</v>
      </c>
      <c r="S148" s="545">
        <f>'Foglio deposito bis'!$F$50*IF(ABS(M148)&lt;'Sollecitazioni nel paramento'!$G$58,ABS(M148)*'Sollecitazioni nel paramento'!$G$54,'Sollecitazioni nel paramento'!$G$53)*IF(M148&lt;0,-1,1)</f>
        <v>0</v>
      </c>
      <c r="T148" s="545">
        <f>'Foglio deposito bis'!$F$51*IF(ABS(N148)&lt;'Sollecitazioni nel paramento'!$G$58,ABS(N148)*'Sollecitazioni nel paramento'!$G$54,'Sollecitazioni nel paramento'!$G$53)*IF(N148&lt;0,-1,1)</f>
        <v>240946.49743184328</v>
      </c>
      <c r="U148" s="545">
        <f>'Foglio deposito bis'!$F$52*IF(ABS(O148)&lt;'Sollecitazioni nel paramento'!$G$58,ABS(O148)*'Sollecitazioni nel paramento'!$G$54,'Sollecitazioni nel paramento'!$G$53)*IF(O148&lt;0,-1,1)</f>
        <v>240946.49743184328</v>
      </c>
      <c r="V148" s="472">
        <f t="shared" si="15"/>
        <v>-1012482.2199998561</v>
      </c>
      <c r="W148" s="551"/>
      <c r="X148" s="551"/>
    </row>
    <row r="149" spans="1:24" x14ac:dyDescent="0.25">
      <c r="A149" s="545">
        <f t="shared" si="14"/>
        <v>1044962.7687521449</v>
      </c>
      <c r="B149" s="3">
        <f t="shared" si="12"/>
        <v>13.499999999999973</v>
      </c>
      <c r="C149" s="545">
        <f>'Foglio deposito bis'!$E$153/$B$247*B149</f>
        <v>43.756644732177129</v>
      </c>
      <c r="D149" s="603">
        <f>-'Sollecitazioni nel paramento'!$G$47*'Sollecitazioni nel paramento'!$G$41*IF(DATI!$G$211="dx",DATI!$E$61,DATI!$E$64*DATI!$E$63)*1000*C149^2*sezione!$AD$5*(1-sezione!$AD$6)</f>
        <v>-42598239.471718207</v>
      </c>
      <c r="E149" s="545">
        <f>-'Foglio deposito bis'!$F$48*(C149-sezione!$AL$27)*IF(ABS(K149)&lt;'Sollecitazioni nel paramento'!$G$58,ABS(K149)*'Sollecitazioni nel paramento'!$G$54,'Sollecitazioni nel paramento'!$G$53)</f>
        <v>0</v>
      </c>
      <c r="F149" s="545">
        <f>-'Foglio deposito bis'!$F$49*(C149-sezione!$AM$27)*IF(ABS(L149)&lt;'Sollecitazioni nel paramento'!$G$58,ABS(L149)*'Sollecitazioni nel paramento'!$G$54,'Sollecitazioni nel paramento'!$G$53)</f>
        <v>2276362.1743403943</v>
      </c>
      <c r="G149" s="545">
        <f>-'Foglio deposito bis'!$F$50*(C149-sezione!$AN$27)*IF(ABS(M149)&lt;'Sollecitazioni nel paramento'!$G$58,ABS(M149)*'Sollecitazioni nel paramento'!$G$54,'Sollecitazioni nel paramento'!$G$53)</f>
        <v>0</v>
      </c>
      <c r="H149" s="545">
        <f>-'Foglio deposito bis'!$F$51*(C149-sezione!$AO$27)*IF(ABS(N149)&lt;'Sollecitazioni nel paramento'!$G$58,ABS(N149)*'Sollecitazioni nel paramento'!$G$54,'Sollecitazioni nel paramento'!$G$53)</f>
        <v>28008429.301507328</v>
      </c>
      <c r="I149" s="472">
        <f>-'Foglio deposito bis'!$F$52*(C149-sezione!$AP$27)*IF(ABS(O149)&lt;'Sollecitazioni nel paramento'!$G$58,ABS(O149)*'Sollecitazioni nel paramento'!$G$54,'Sollecitazioni nel paramento'!$G$53)</f>
        <v>37532349.093118243</v>
      </c>
      <c r="J149" s="472">
        <f t="shared" si="13"/>
        <v>25218901.097247761</v>
      </c>
      <c r="K149" s="550">
        <f>'Sollecitazioni nel paramento'!$G$60*(sezione!$AL$27-C149)/C149</f>
        <v>-3.0048594089187962E-4</v>
      </c>
      <c r="L149" s="550">
        <f>'Sollecitazioni nel paramento'!$G$60*(sezione!$AM$27-C149)/C149</f>
        <v>1.2992710886621807E-3</v>
      </c>
      <c r="M149" s="551">
        <f>'Sollecitazioni nel paramento'!$G$60*(sezione!$AN$27-C149)/C149</f>
        <v>2.8990281182162407E-3</v>
      </c>
      <c r="N149" s="551">
        <f>'Sollecitazioni nel paramento'!$G$60*(sezione!$AO$27-C149)/C149</f>
        <v>9.2980562364324802E-3</v>
      </c>
      <c r="O149" s="551">
        <f>'Sollecitazioni nel paramento'!$G$60*(sezione!$AP$27-C149)/C149</f>
        <v>1.2459745200151163E-2</v>
      </c>
      <c r="P149" s="545">
        <f>-'Sollecitazioni nel paramento'!$G$47*'Sollecitazioni nel paramento'!$G$41*IF(DATI!$G$211="dx",DATI!$E$61,DATI!$E$64*DATI!$E$63)*1000*C149*sezione!$AD$5</f>
        <v>-1666996.8943617516</v>
      </c>
      <c r="Q149" s="545">
        <f>'Foglio deposito bis'!$F$48*IF(ABS(K149)&lt;'Sollecitazioni nel paramento'!$G$58,ABS(K149)*'Sollecitazioni nel paramento'!$G$54,'Sollecitazioni nel paramento'!$G$53)*IF(K149&lt;0,-1,1)</f>
        <v>0</v>
      </c>
      <c r="R149" s="545">
        <f>'Foglio deposito bis'!$F$49*IF(ABS(L149)&lt;'Sollecitazioni nel paramento'!$G$58,ABS(L149)*'Sollecitazioni nel paramento'!$G$54,'Sollecitazioni nel paramento'!$G$53)*IF(L149&lt;0,-1,1)</f>
        <v>140141.13074592006</v>
      </c>
      <c r="S149" s="545">
        <f>'Foglio deposito bis'!$F$50*IF(ABS(M149)&lt;'Sollecitazioni nel paramento'!$G$58,ABS(M149)*'Sollecitazioni nel paramento'!$G$54,'Sollecitazioni nel paramento'!$G$53)*IF(M149&lt;0,-1,1)</f>
        <v>0</v>
      </c>
      <c r="T149" s="545">
        <f>'Foglio deposito bis'!$F$51*IF(ABS(N149)&lt;'Sollecitazioni nel paramento'!$G$58,ABS(N149)*'Sollecitazioni nel paramento'!$G$54,'Sollecitazioni nel paramento'!$G$53)*IF(N149&lt;0,-1,1)</f>
        <v>240946.49743184328</v>
      </c>
      <c r="U149" s="545">
        <f>'Foglio deposito bis'!$F$52*IF(ABS(O149)&lt;'Sollecitazioni nel paramento'!$G$58,ABS(O149)*'Sollecitazioni nel paramento'!$G$54,'Sollecitazioni nel paramento'!$G$53)*IF(O149&lt;0,-1,1)</f>
        <v>240946.49743184328</v>
      </c>
      <c r="V149" s="472">
        <f t="shared" si="15"/>
        <v>-1044962.7687521449</v>
      </c>
      <c r="W149" s="551"/>
      <c r="X149" s="551"/>
    </row>
    <row r="150" spans="1:24" x14ac:dyDescent="0.25">
      <c r="A150" s="545">
        <f t="shared" si="14"/>
        <v>1077216.0387171214</v>
      </c>
      <c r="B150" s="3">
        <f t="shared" si="12"/>
        <v>13.699999999999973</v>
      </c>
      <c r="C150" s="545">
        <f>'Foglio deposito bis'!$E$153/$B$247*B150</f>
        <v>44.404891320801973</v>
      </c>
      <c r="D150" s="603">
        <f>-'Sollecitazioni nel paramento'!$G$47*'Sollecitazioni nel paramento'!$G$41*IF(DATI!$G$211="dx",DATI!$E$61,DATI!$E$64*DATI!$E$63)*1000*C150^2*sezione!$AD$5*(1-sezione!$AD$6)</f>
        <v>-43869758.937979631</v>
      </c>
      <c r="E150" s="545">
        <f>-'Foglio deposito bis'!$F$48*(C150-sezione!$AL$27)*IF(ABS(K150)&lt;'Sollecitazioni nel paramento'!$G$58,ABS(K150)*'Sollecitazioni nel paramento'!$G$54,'Sollecitazioni nel paramento'!$G$53)</f>
        <v>0</v>
      </c>
      <c r="F150" s="545">
        <f>-'Foglio deposito bis'!$F$49*(C150-sezione!$AM$27)*IF(ABS(L150)&lt;'Sollecitazioni nel paramento'!$G$58,ABS(L150)*'Sollecitazioni nel paramento'!$G$54,'Sollecitazioni nel paramento'!$G$53)</f>
        <v>2067663.6212369597</v>
      </c>
      <c r="G150" s="545">
        <f>-'Foglio deposito bis'!$F$50*(C150-sezione!$AN$27)*IF(ABS(M150)&lt;'Sollecitazioni nel paramento'!$G$58,ABS(M150)*'Sollecitazioni nel paramento'!$G$54,'Sollecitazioni nel paramento'!$G$53)</f>
        <v>0</v>
      </c>
      <c r="H150" s="545">
        <f>-'Foglio deposito bis'!$F$51*(C150-sezione!$AO$27)*IF(ABS(N150)&lt;'Sollecitazioni nel paramento'!$G$58,ABS(N150)*'Sollecitazioni nel paramento'!$G$54,'Sollecitazioni nel paramento'!$G$53)</f>
        <v>27852236.556506034</v>
      </c>
      <c r="I150" s="472">
        <f>-'Foglio deposito bis'!$F$52*(C150-sezione!$AP$27)*IF(ABS(O150)&lt;'Sollecitazioni nel paramento'!$G$58,ABS(O150)*'Sollecitazioni nel paramento'!$G$54,'Sollecitazioni nel paramento'!$G$53)</f>
        <v>37376156.348116949</v>
      </c>
      <c r="J150" s="472">
        <f t="shared" si="13"/>
        <v>23426297.58788031</v>
      </c>
      <c r="K150" s="550">
        <f>'Sollecitazioni nel paramento'!$G$60*(sezione!$AL$27-C150)/C150</f>
        <v>-3.4719417533141404E-4</v>
      </c>
      <c r="L150" s="550">
        <f>'Sollecitazioni nel paramento'!$G$60*(sezione!$AM$27-C150)/C150</f>
        <v>1.2292087370028789E-3</v>
      </c>
      <c r="M150" s="551">
        <f>'Sollecitazioni nel paramento'!$G$60*(sezione!$AN$27-C150)/C150</f>
        <v>2.8056116493371721E-3</v>
      </c>
      <c r="N150" s="551">
        <f>'Sollecitazioni nel paramento'!$G$60*(sezione!$AO$27-C150)/C150</f>
        <v>9.1112232986743456E-3</v>
      </c>
      <c r="O150" s="551">
        <f>'Sollecitazioni nel paramento'!$G$60*(sezione!$AP$27-C150)/C150</f>
        <v>1.222675621912706E-2</v>
      </c>
      <c r="P150" s="545">
        <f>-'Sollecitazioni nel paramento'!$G$47*'Sollecitazioni nel paramento'!$G$41*IF(DATI!$G$211="dx",DATI!$E$61,DATI!$E$64*DATI!$E$63)*1000*C150*sezione!$AD$5</f>
        <v>-1691693.1446485925</v>
      </c>
      <c r="Q150" s="545">
        <f>'Foglio deposito bis'!$F$48*IF(ABS(K150)&lt;'Sollecitazioni nel paramento'!$G$58,ABS(K150)*'Sollecitazioni nel paramento'!$G$54,'Sollecitazioni nel paramento'!$G$53)*IF(K150&lt;0,-1,1)</f>
        <v>0</v>
      </c>
      <c r="R150" s="545">
        <f>'Foglio deposito bis'!$F$49*IF(ABS(L150)&lt;'Sollecitazioni nel paramento'!$G$58,ABS(L150)*'Sollecitazioni nel paramento'!$G$54,'Sollecitazioni nel paramento'!$G$53)*IF(L150&lt;0,-1,1)</f>
        <v>132584.1110677844</v>
      </c>
      <c r="S150" s="545">
        <f>'Foglio deposito bis'!$F$50*IF(ABS(M150)&lt;'Sollecitazioni nel paramento'!$G$58,ABS(M150)*'Sollecitazioni nel paramento'!$G$54,'Sollecitazioni nel paramento'!$G$53)*IF(M150&lt;0,-1,1)</f>
        <v>0</v>
      </c>
      <c r="T150" s="545">
        <f>'Foglio deposito bis'!$F$51*IF(ABS(N150)&lt;'Sollecitazioni nel paramento'!$G$58,ABS(N150)*'Sollecitazioni nel paramento'!$G$54,'Sollecitazioni nel paramento'!$G$53)*IF(N150&lt;0,-1,1)</f>
        <v>240946.49743184328</v>
      </c>
      <c r="U150" s="545">
        <f>'Foglio deposito bis'!$F$52*IF(ABS(O150)&lt;'Sollecitazioni nel paramento'!$G$58,ABS(O150)*'Sollecitazioni nel paramento'!$G$54,'Sollecitazioni nel paramento'!$G$53)*IF(O150&lt;0,-1,1)</f>
        <v>240946.49743184328</v>
      </c>
      <c r="V150" s="472">
        <f t="shared" si="15"/>
        <v>-1077216.0387171214</v>
      </c>
      <c r="W150" s="551"/>
      <c r="X150" s="551"/>
    </row>
    <row r="151" spans="1:24" x14ac:dyDescent="0.25">
      <c r="A151" s="545">
        <f t="shared" si="14"/>
        <v>1109251.8404899212</v>
      </c>
      <c r="B151" s="3">
        <f t="shared" si="12"/>
        <v>13.899999999999972</v>
      </c>
      <c r="C151" s="545">
        <f>'Foglio deposito bis'!$E$153/$B$247*B151</f>
        <v>45.053137909426816</v>
      </c>
      <c r="D151" s="603">
        <f>-'Sollecitazioni nel paramento'!$G$47*'Sollecitazioni nel paramento'!$G$41*IF(DATI!$G$211="dx",DATI!$E$61,DATI!$E$64*DATI!$E$63)*1000*C151^2*sezione!$AD$5*(1-sezione!$AD$6)</f>
        <v>-45159977.219921373</v>
      </c>
      <c r="E151" s="545">
        <f>-'Foglio deposito bis'!$F$48*(C151-sezione!$AL$27)*IF(ABS(K151)&lt;'Sollecitazioni nel paramento'!$G$58,ABS(K151)*'Sollecitazioni nel paramento'!$G$54,'Sollecitazioni nel paramento'!$G$53)</f>
        <v>0</v>
      </c>
      <c r="F151" s="545">
        <f>-'Foglio deposito bis'!$F$49*(C151-sezione!$AM$27)*IF(ABS(L151)&lt;'Sollecitazioni nel paramento'!$G$58,ABS(L151)*'Sollecitazioni nel paramento'!$G$54,'Sollecitazioni nel paramento'!$G$53)</f>
        <v>1872013.1596641194</v>
      </c>
      <c r="G151" s="545">
        <f>-'Foglio deposito bis'!$F$50*(C151-sezione!$AN$27)*IF(ABS(M151)&lt;'Sollecitazioni nel paramento'!$G$58,ABS(M151)*'Sollecitazioni nel paramento'!$G$54,'Sollecitazioni nel paramento'!$G$53)</f>
        <v>0</v>
      </c>
      <c r="H151" s="545">
        <f>-'Foglio deposito bis'!$F$51*(C151-sezione!$AO$27)*IF(ABS(N151)&lt;'Sollecitazioni nel paramento'!$G$58,ABS(N151)*'Sollecitazioni nel paramento'!$G$54,'Sollecitazioni nel paramento'!$G$53)</f>
        <v>27696043.811504729</v>
      </c>
      <c r="I151" s="472">
        <f>-'Foglio deposito bis'!$F$52*(C151-sezione!$AP$27)*IF(ABS(O151)&lt;'Sollecitazioni nel paramento'!$G$58,ABS(O151)*'Sollecitazioni nel paramento'!$G$54,'Sollecitazioni nel paramento'!$G$53)</f>
        <v>37219963.603115648</v>
      </c>
      <c r="J151" s="472">
        <f t="shared" si="13"/>
        <v>21628043.354363121</v>
      </c>
      <c r="K151" s="550">
        <f>'Sollecitazioni nel paramento'!$G$60*(sezione!$AL$27-C151)/C151</f>
        <v>-3.9255828791657328E-4</v>
      </c>
      <c r="L151" s="550">
        <f>'Sollecitazioni nel paramento'!$G$60*(sezione!$AM$27-C151)/C151</f>
        <v>1.1611625681251401E-3</v>
      </c>
      <c r="M151" s="551">
        <f>'Sollecitazioni nel paramento'!$G$60*(sezione!$AN$27-C151)/C151</f>
        <v>2.7148834241668531E-3</v>
      </c>
      <c r="N151" s="551">
        <f>'Sollecitazioni nel paramento'!$G$60*(sezione!$AO$27-C151)/C151</f>
        <v>8.9297668483337058E-3</v>
      </c>
      <c r="O151" s="551">
        <f>'Sollecitazioni nel paramento'!$G$60*(sezione!$AP$27-C151)/C151</f>
        <v>1.2000471956981345E-2</v>
      </c>
      <c r="P151" s="545">
        <f>-'Sollecitazioni nel paramento'!$G$47*'Sollecitazioni nel paramento'!$G$41*IF(DATI!$G$211="dx",DATI!$E$61,DATI!$E$64*DATI!$E$63)*1000*C151*sezione!$AD$5</f>
        <v>-1716389.3949354331</v>
      </c>
      <c r="Q151" s="545">
        <f>'Foglio deposito bis'!$F$48*IF(ABS(K151)&lt;'Sollecitazioni nel paramento'!$G$58,ABS(K151)*'Sollecitazioni nel paramento'!$G$54,'Sollecitazioni nel paramento'!$G$53)*IF(K151&lt;0,-1,1)</f>
        <v>0</v>
      </c>
      <c r="R151" s="545">
        <f>'Foglio deposito bis'!$F$49*IF(ABS(L151)&lt;'Sollecitazioni nel paramento'!$G$58,ABS(L151)*'Sollecitazioni nel paramento'!$G$54,'Sollecitazioni nel paramento'!$G$53)*IF(L151&lt;0,-1,1)</f>
        <v>125244.55958182532</v>
      </c>
      <c r="S151" s="545">
        <f>'Foglio deposito bis'!$F$50*IF(ABS(M151)&lt;'Sollecitazioni nel paramento'!$G$58,ABS(M151)*'Sollecitazioni nel paramento'!$G$54,'Sollecitazioni nel paramento'!$G$53)*IF(M151&lt;0,-1,1)</f>
        <v>0</v>
      </c>
      <c r="T151" s="545">
        <f>'Foglio deposito bis'!$F$51*IF(ABS(N151)&lt;'Sollecitazioni nel paramento'!$G$58,ABS(N151)*'Sollecitazioni nel paramento'!$G$54,'Sollecitazioni nel paramento'!$G$53)*IF(N151&lt;0,-1,1)</f>
        <v>240946.49743184328</v>
      </c>
      <c r="U151" s="545">
        <f>'Foglio deposito bis'!$F$52*IF(ABS(O151)&lt;'Sollecitazioni nel paramento'!$G$58,ABS(O151)*'Sollecitazioni nel paramento'!$G$54,'Sollecitazioni nel paramento'!$G$53)*IF(O151&lt;0,-1,1)</f>
        <v>240946.49743184328</v>
      </c>
      <c r="V151" s="472">
        <f t="shared" si="15"/>
        <v>-1109251.8404899212</v>
      </c>
      <c r="W151" s="551"/>
      <c r="X151" s="551"/>
    </row>
    <row r="152" spans="1:24" x14ac:dyDescent="0.25">
      <c r="A152" s="545">
        <f t="shared" si="14"/>
        <v>1141079.4280361689</v>
      </c>
      <c r="B152" s="3">
        <f t="shared" si="12"/>
        <v>14.099999999999971</v>
      </c>
      <c r="C152" s="545">
        <f>'Foglio deposito bis'!$E$153/$B$247*B152</f>
        <v>45.701384498051659</v>
      </c>
      <c r="D152" s="603">
        <f>-'Sollecitazioni nel paramento'!$G$47*'Sollecitazioni nel paramento'!$G$41*IF(DATI!$G$211="dx",DATI!$E$61,DATI!$E$64*DATI!$E$63)*1000*C152^2*sezione!$AD$5*(1-sezione!$AD$6)</f>
        <v>-46468894.31754344</v>
      </c>
      <c r="E152" s="545">
        <f>-'Foglio deposito bis'!$F$48*(C152-sezione!$AL$27)*IF(ABS(K152)&lt;'Sollecitazioni nel paramento'!$G$58,ABS(K152)*'Sollecitazioni nel paramento'!$G$54,'Sollecitazioni nel paramento'!$G$53)</f>
        <v>0</v>
      </c>
      <c r="F152" s="545">
        <f>-'Foglio deposito bis'!$F$49*(C152-sezione!$AM$27)*IF(ABS(L152)&lt;'Sollecitazioni nel paramento'!$G$58,ABS(L152)*'Sollecitazioni nel paramento'!$G$54,'Sollecitazioni nel paramento'!$G$53)</f>
        <v>1688855.5516844005</v>
      </c>
      <c r="G152" s="545">
        <f>-'Foglio deposito bis'!$F$50*(C152-sezione!$AN$27)*IF(ABS(M152)&lt;'Sollecitazioni nel paramento'!$G$58,ABS(M152)*'Sollecitazioni nel paramento'!$G$54,'Sollecitazioni nel paramento'!$G$53)</f>
        <v>0</v>
      </c>
      <c r="H152" s="545">
        <f>-'Foglio deposito bis'!$F$51*(C152-sezione!$AO$27)*IF(ABS(N152)&lt;'Sollecitazioni nel paramento'!$G$58,ABS(N152)*'Sollecitazioni nel paramento'!$G$54,'Sollecitazioni nel paramento'!$G$53)</f>
        <v>27539851.066503439</v>
      </c>
      <c r="I152" s="472">
        <f>-'Foglio deposito bis'!$F$52*(C152-sezione!$AP$27)*IF(ABS(O152)&lt;'Sollecitazioni nel paramento'!$G$58,ABS(O152)*'Sollecitazioni nel paramento'!$G$54,'Sollecitazioni nel paramento'!$G$53)</f>
        <v>37063770.858114354</v>
      </c>
      <c r="J152" s="472">
        <f t="shared" si="13"/>
        <v>19823583.158758756</v>
      </c>
      <c r="K152" s="550">
        <f>'Sollecitazioni nel paramento'!$G$60*(sezione!$AL$27-C152)/C152</f>
        <v>-4.3663547532201178E-4</v>
      </c>
      <c r="L152" s="550">
        <f>'Sollecitazioni nel paramento'!$G$60*(sezione!$AM$27-C152)/C152</f>
        <v>1.0950467870169823E-3</v>
      </c>
      <c r="M152" s="551">
        <f>'Sollecitazioni nel paramento'!$G$60*(sezione!$AN$27-C152)/C152</f>
        <v>2.6267290493559763E-3</v>
      </c>
      <c r="N152" s="551">
        <f>'Sollecitazioni nel paramento'!$G$60*(sezione!$AO$27-C152)/C152</f>
        <v>8.753458098711954E-3</v>
      </c>
      <c r="O152" s="551">
        <f>'Sollecitazioni nel paramento'!$G$60*(sezione!$AP$27-C152)/C152</f>
        <v>1.178060710652771E-2</v>
      </c>
      <c r="P152" s="545">
        <f>-'Sollecitazioni nel paramento'!$G$47*'Sollecitazioni nel paramento'!$G$41*IF(DATI!$G$211="dx",DATI!$E$61,DATI!$E$64*DATI!$E$63)*1000*C152*sezione!$AD$5</f>
        <v>-1741085.6452222739</v>
      </c>
      <c r="Q152" s="545">
        <f>'Foglio deposito bis'!$F$48*IF(ABS(K152)&lt;'Sollecitazioni nel paramento'!$G$58,ABS(K152)*'Sollecitazioni nel paramento'!$G$54,'Sollecitazioni nel paramento'!$G$53)*IF(K152&lt;0,-1,1)</f>
        <v>0</v>
      </c>
      <c r="R152" s="545">
        <f>'Foglio deposito bis'!$F$49*IF(ABS(L152)&lt;'Sollecitazioni nel paramento'!$G$58,ABS(L152)*'Sollecitazioni nel paramento'!$G$54,'Sollecitazioni nel paramento'!$G$53)*IF(L152&lt;0,-1,1)</f>
        <v>118113.22232241827</v>
      </c>
      <c r="S152" s="545">
        <f>'Foglio deposito bis'!$F$50*IF(ABS(M152)&lt;'Sollecitazioni nel paramento'!$G$58,ABS(M152)*'Sollecitazioni nel paramento'!$G$54,'Sollecitazioni nel paramento'!$G$53)*IF(M152&lt;0,-1,1)</f>
        <v>0</v>
      </c>
      <c r="T152" s="545">
        <f>'Foglio deposito bis'!$F$51*IF(ABS(N152)&lt;'Sollecitazioni nel paramento'!$G$58,ABS(N152)*'Sollecitazioni nel paramento'!$G$54,'Sollecitazioni nel paramento'!$G$53)*IF(N152&lt;0,-1,1)</f>
        <v>240946.49743184328</v>
      </c>
      <c r="U152" s="545">
        <f>'Foglio deposito bis'!$F$52*IF(ABS(O152)&lt;'Sollecitazioni nel paramento'!$G$58,ABS(O152)*'Sollecitazioni nel paramento'!$G$54,'Sollecitazioni nel paramento'!$G$53)*IF(O152&lt;0,-1,1)</f>
        <v>240946.49743184328</v>
      </c>
      <c r="V152" s="472">
        <f t="shared" si="15"/>
        <v>-1141079.4280361689</v>
      </c>
      <c r="W152" s="551"/>
      <c r="X152" s="551"/>
    </row>
    <row r="153" spans="1:24" x14ac:dyDescent="0.25">
      <c r="A153" s="545">
        <f t="shared" si="14"/>
        <v>1172707.5376171186</v>
      </c>
      <c r="B153" s="3">
        <f t="shared" si="12"/>
        <v>14.299999999999971</v>
      </c>
      <c r="C153" s="545">
        <f>'Foglio deposito bis'!$E$153/$B$247*B153</f>
        <v>46.34963108667651</v>
      </c>
      <c r="D153" s="603">
        <f>-'Sollecitazioni nel paramento'!$G$47*'Sollecitazioni nel paramento'!$G$41*IF(DATI!$G$211="dx",DATI!$E$61,DATI!$E$64*DATI!$E$63)*1000*C153^2*sezione!$AD$5*(1-sezione!$AD$6)</f>
        <v>-47796510.230845831</v>
      </c>
      <c r="E153" s="545">
        <f>-'Foglio deposito bis'!$F$48*(C153-sezione!$AL$27)*IF(ABS(K153)&lt;'Sollecitazioni nel paramento'!$G$58,ABS(K153)*'Sollecitazioni nel paramento'!$G$54,'Sollecitazioni nel paramento'!$G$53)</f>
        <v>0</v>
      </c>
      <c r="F153" s="545">
        <f>-'Foglio deposito bis'!$F$49*(C153-sezione!$AM$27)*IF(ABS(L153)&lt;'Sollecitazioni nel paramento'!$G$58,ABS(L153)*'Sollecitazioni nel paramento'!$G$54,'Sollecitazioni nel paramento'!$G$53)</f>
        <v>1517666.6216225661</v>
      </c>
      <c r="G153" s="545">
        <f>-'Foglio deposito bis'!$F$50*(C153-sezione!$AN$27)*IF(ABS(M153)&lt;'Sollecitazioni nel paramento'!$G$58,ABS(M153)*'Sollecitazioni nel paramento'!$G$54,'Sollecitazioni nel paramento'!$G$53)</f>
        <v>0</v>
      </c>
      <c r="H153" s="545">
        <f>-'Foglio deposito bis'!$F$51*(C153-sezione!$AO$27)*IF(ABS(N153)&lt;'Sollecitazioni nel paramento'!$G$58,ABS(N153)*'Sollecitazioni nel paramento'!$G$54,'Sollecitazioni nel paramento'!$G$53)</f>
        <v>27383658.321502138</v>
      </c>
      <c r="I153" s="472">
        <f>-'Foglio deposito bis'!$F$52*(C153-sezione!$AP$27)*IF(ABS(O153)&lt;'Sollecitazioni nel paramento'!$G$58,ABS(O153)*'Sollecitazioni nel paramento'!$G$54,'Sollecitazioni nel paramento'!$G$53)</f>
        <v>36907578.113113053</v>
      </c>
      <c r="J153" s="472">
        <f t="shared" si="13"/>
        <v>18012392.82539193</v>
      </c>
      <c r="K153" s="550">
        <f>'Sollecitazioni nel paramento'!$G$60*(sezione!$AL$27-C153)/C153</f>
        <v>-4.7947973440841748E-4</v>
      </c>
      <c r="L153" s="550">
        <f>'Sollecitazioni nel paramento'!$G$60*(sezione!$AM$27-C153)/C153</f>
        <v>1.0307803983873737E-3</v>
      </c>
      <c r="M153" s="551">
        <f>'Sollecitazioni nel paramento'!$G$60*(sezione!$AN$27-C153)/C153</f>
        <v>2.5410405311831648E-3</v>
      </c>
      <c r="N153" s="551">
        <f>'Sollecitazioni nel paramento'!$G$60*(sezione!$AO$27-C153)/C153</f>
        <v>8.5820810623663292E-3</v>
      </c>
      <c r="O153" s="551">
        <f>'Sollecitazioni nel paramento'!$G$60*(sezione!$AP$27-C153)/C153</f>
        <v>1.1566892321821027E-2</v>
      </c>
      <c r="P153" s="545">
        <f>-'Sollecitazioni nel paramento'!$G$47*'Sollecitazioni nel paramento'!$G$41*IF(DATI!$G$211="dx",DATI!$E$61,DATI!$E$64*DATI!$E$63)*1000*C153*sezione!$AD$5</f>
        <v>-1765781.8955091145</v>
      </c>
      <c r="Q153" s="545">
        <f>'Foglio deposito bis'!$F$48*IF(ABS(K153)&lt;'Sollecitazioni nel paramento'!$G$58,ABS(K153)*'Sollecitazioni nel paramento'!$G$54,'Sollecitazioni nel paramento'!$G$53)*IF(K153&lt;0,-1,1)</f>
        <v>0</v>
      </c>
      <c r="R153" s="545">
        <f>'Foglio deposito bis'!$F$49*IF(ABS(L153)&lt;'Sollecitazioni nel paramento'!$G$58,ABS(L153)*'Sollecitazioni nel paramento'!$G$54,'Sollecitazioni nel paramento'!$G$53)*IF(L153&lt;0,-1,1)</f>
        <v>111181.36302830925</v>
      </c>
      <c r="S153" s="545">
        <f>'Foglio deposito bis'!$F$50*IF(ABS(M153)&lt;'Sollecitazioni nel paramento'!$G$58,ABS(M153)*'Sollecitazioni nel paramento'!$G$54,'Sollecitazioni nel paramento'!$G$53)*IF(M153&lt;0,-1,1)</f>
        <v>0</v>
      </c>
      <c r="T153" s="545">
        <f>'Foglio deposito bis'!$F$51*IF(ABS(N153)&lt;'Sollecitazioni nel paramento'!$G$58,ABS(N153)*'Sollecitazioni nel paramento'!$G$54,'Sollecitazioni nel paramento'!$G$53)*IF(N153&lt;0,-1,1)</f>
        <v>240946.49743184328</v>
      </c>
      <c r="U153" s="545">
        <f>'Foglio deposito bis'!$F$52*IF(ABS(O153)&lt;'Sollecitazioni nel paramento'!$G$58,ABS(O153)*'Sollecitazioni nel paramento'!$G$54,'Sollecitazioni nel paramento'!$G$53)*IF(O153&lt;0,-1,1)</f>
        <v>240946.49743184328</v>
      </c>
      <c r="V153" s="472">
        <f t="shared" si="15"/>
        <v>-1172707.5376171186</v>
      </c>
      <c r="W153" s="551"/>
      <c r="X153" s="551"/>
    </row>
    <row r="154" spans="1:24" x14ac:dyDescent="0.25">
      <c r="A154" s="545">
        <f t="shared" si="14"/>
        <v>1204144.423493403</v>
      </c>
      <c r="B154" s="3">
        <f t="shared" si="12"/>
        <v>14.49999999999997</v>
      </c>
      <c r="C154" s="545">
        <f>'Foglio deposito bis'!$E$153/$B$247*B154</f>
        <v>46.997877675301353</v>
      </c>
      <c r="D154" s="603">
        <f>-'Sollecitazioni nel paramento'!$G$47*'Sollecitazioni nel paramento'!$G$41*IF(DATI!$G$211="dx",DATI!$E$61,DATI!$E$64*DATI!$E$63)*1000*C154^2*sezione!$AD$5*(1-sezione!$AD$6)</f>
        <v>-49142824.959828518</v>
      </c>
      <c r="E154" s="545">
        <f>-'Foglio deposito bis'!$F$48*(C154-sezione!$AL$27)*IF(ABS(K154)&lt;'Sollecitazioni nel paramento'!$G$58,ABS(K154)*'Sollecitazioni nel paramento'!$G$54,'Sollecitazioni nel paramento'!$G$53)</f>
        <v>0</v>
      </c>
      <c r="F154" s="545">
        <f>-'Foglio deposito bis'!$F$49*(C154-sezione!$AM$27)*IF(ABS(L154)&lt;'Sollecitazioni nel paramento'!$G$58,ABS(L154)*'Sollecitazioni nel paramento'!$G$54,'Sollecitazioni nel paramento'!$G$53)</f>
        <v>1357951.1138406382</v>
      </c>
      <c r="G154" s="545">
        <f>-'Foglio deposito bis'!$F$50*(C154-sezione!$AN$27)*IF(ABS(M154)&lt;'Sollecitazioni nel paramento'!$G$58,ABS(M154)*'Sollecitazioni nel paramento'!$G$54,'Sollecitazioni nel paramento'!$G$53)</f>
        <v>0</v>
      </c>
      <c r="H154" s="545">
        <f>-'Foglio deposito bis'!$F$51*(C154-sezione!$AO$27)*IF(ABS(N154)&lt;'Sollecitazioni nel paramento'!$G$58,ABS(N154)*'Sollecitazioni nel paramento'!$G$54,'Sollecitazioni nel paramento'!$G$53)</f>
        <v>27227465.57650084</v>
      </c>
      <c r="I154" s="472">
        <f>-'Foglio deposito bis'!$F$52*(C154-sezione!$AP$27)*IF(ABS(O154)&lt;'Sollecitazioni nel paramento'!$G$58,ABS(O154)*'Sollecitazioni nel paramento'!$G$54,'Sollecitazioni nel paramento'!$G$53)</f>
        <v>36751385.368111767</v>
      </c>
      <c r="J154" s="472">
        <f t="shared" si="13"/>
        <v>16193977.098624729</v>
      </c>
      <c r="K154" s="550">
        <f>'Sollecitazioni nel paramento'!$G$60*(sezione!$AL$27-C154)/C154</f>
        <v>-5.2114208289933566E-4</v>
      </c>
      <c r="L154" s="550">
        <f>'Sollecitazioni nel paramento'!$G$60*(sezione!$AM$27-C154)/C154</f>
        <v>9.6828687565099654E-4</v>
      </c>
      <c r="M154" s="551">
        <f>'Sollecitazioni nel paramento'!$G$60*(sezione!$AN$27-C154)/C154</f>
        <v>2.4577158342013287E-3</v>
      </c>
      <c r="N154" s="551">
        <f>'Sollecitazioni nel paramento'!$G$60*(sezione!$AO$27-C154)/C154</f>
        <v>8.4154316684026571E-3</v>
      </c>
      <c r="O154" s="551">
        <f>'Sollecitazioni nel paramento'!$G$60*(sezione!$AP$27-C154)/C154</f>
        <v>1.135907311738212E-2</v>
      </c>
      <c r="P154" s="545">
        <f>-'Sollecitazioni nel paramento'!$G$47*'Sollecitazioni nel paramento'!$G$41*IF(DATI!$G$211="dx",DATI!$E$61,DATI!$E$64*DATI!$E$63)*1000*C154*sezione!$AD$5</f>
        <v>-1790478.1457959551</v>
      </c>
      <c r="Q154" s="545">
        <f>'Foglio deposito bis'!$F$48*IF(ABS(K154)&lt;'Sollecitazioni nel paramento'!$G$58,ABS(K154)*'Sollecitazioni nel paramento'!$G$54,'Sollecitazioni nel paramento'!$G$53)*IF(K154&lt;0,-1,1)</f>
        <v>0</v>
      </c>
      <c r="R154" s="545">
        <f>'Foglio deposito bis'!$F$49*IF(ABS(L154)&lt;'Sollecitazioni nel paramento'!$G$58,ABS(L154)*'Sollecitazioni nel paramento'!$G$54,'Sollecitazioni nel paramento'!$G$53)*IF(L154&lt;0,-1,1)</f>
        <v>104440.72743886539</v>
      </c>
      <c r="S154" s="545">
        <f>'Foglio deposito bis'!$F$50*IF(ABS(M154)&lt;'Sollecitazioni nel paramento'!$G$58,ABS(M154)*'Sollecitazioni nel paramento'!$G$54,'Sollecitazioni nel paramento'!$G$53)*IF(M154&lt;0,-1,1)</f>
        <v>0</v>
      </c>
      <c r="T154" s="545">
        <f>'Foglio deposito bis'!$F$51*IF(ABS(N154)&lt;'Sollecitazioni nel paramento'!$G$58,ABS(N154)*'Sollecitazioni nel paramento'!$G$54,'Sollecitazioni nel paramento'!$G$53)*IF(N154&lt;0,-1,1)</f>
        <v>240946.49743184328</v>
      </c>
      <c r="U154" s="545">
        <f>'Foglio deposito bis'!$F$52*IF(ABS(O154)&lt;'Sollecitazioni nel paramento'!$G$58,ABS(O154)*'Sollecitazioni nel paramento'!$G$54,'Sollecitazioni nel paramento'!$G$53)*IF(O154&lt;0,-1,1)</f>
        <v>240946.49743184328</v>
      </c>
      <c r="V154" s="472">
        <f t="shared" si="15"/>
        <v>-1204144.423493403</v>
      </c>
      <c r="W154" s="551"/>
      <c r="X154" s="551"/>
    </row>
    <row r="155" spans="1:24" x14ac:dyDescent="0.25">
      <c r="A155" s="545">
        <f t="shared" si="14"/>
        <v>1235397.8907141928</v>
      </c>
      <c r="B155" s="3">
        <f t="shared" si="12"/>
        <v>14.699999999999969</v>
      </c>
      <c r="C155" s="545">
        <f>'Foglio deposito bis'!$E$153/$B$247*B155</f>
        <v>47.646124263926197</v>
      </c>
      <c r="D155" s="603">
        <f>-'Sollecitazioni nel paramento'!$G$47*'Sollecitazioni nel paramento'!$G$41*IF(DATI!$G$211="dx",DATI!$E$61,DATI!$E$64*DATI!$E$63)*1000*C155^2*sezione!$AD$5*(1-sezione!$AD$6)</f>
        <v>-50507838.50449153</v>
      </c>
      <c r="E155" s="545">
        <f>-'Foglio deposito bis'!$F$48*(C155-sezione!$AL$27)*IF(ABS(K155)&lt;'Sollecitazioni nel paramento'!$G$58,ABS(K155)*'Sollecitazioni nel paramento'!$G$54,'Sollecitazioni nel paramento'!$G$53)</f>
        <v>0</v>
      </c>
      <c r="F155" s="545">
        <f>-'Foglio deposito bis'!$F$49*(C155-sezione!$AM$27)*IF(ABS(L155)&lt;'Sollecitazioni nel paramento'!$G$58,ABS(L155)*'Sollecitazioni nel paramento'!$G$54,'Sollecitazioni nel paramento'!$G$53)</f>
        <v>1209240.7253884142</v>
      </c>
      <c r="G155" s="545">
        <f>-'Foglio deposito bis'!$F$50*(C155-sezione!$AN$27)*IF(ABS(M155)&lt;'Sollecitazioni nel paramento'!$G$58,ABS(M155)*'Sollecitazioni nel paramento'!$G$54,'Sollecitazioni nel paramento'!$G$53)</f>
        <v>0</v>
      </c>
      <c r="H155" s="545">
        <f>-'Foglio deposito bis'!$F$51*(C155-sezione!$AO$27)*IF(ABS(N155)&lt;'Sollecitazioni nel paramento'!$G$58,ABS(N155)*'Sollecitazioni nel paramento'!$G$54,'Sollecitazioni nel paramento'!$G$53)</f>
        <v>27071272.831499543</v>
      </c>
      <c r="I155" s="472">
        <f>-'Foglio deposito bis'!$F$52*(C155-sezione!$AP$27)*IF(ABS(O155)&lt;'Sollecitazioni nel paramento'!$G$58,ABS(O155)*'Sollecitazioni nel paramento'!$G$54,'Sollecitazioni nel paramento'!$G$53)</f>
        <v>36595192.623110458</v>
      </c>
      <c r="J155" s="472">
        <f t="shared" si="13"/>
        <v>14367867.675506886</v>
      </c>
      <c r="K155" s="550">
        <f>'Sollecitazioni nel paramento'!$G$60*(sezione!$AL$27-C155)/C155</f>
        <v>-5.6167076204356227E-4</v>
      </c>
      <c r="L155" s="550">
        <f>'Sollecitazioni nel paramento'!$G$60*(sezione!$AM$27-C155)/C155</f>
        <v>9.0749385693465658E-4</v>
      </c>
      <c r="M155" s="551">
        <f>'Sollecitazioni nel paramento'!$G$60*(sezione!$AN$27-C155)/C155</f>
        <v>2.3766584759128758E-3</v>
      </c>
      <c r="N155" s="551">
        <f>'Sollecitazioni nel paramento'!$G$60*(sezione!$AO$27-C155)/C155</f>
        <v>8.2533169518257503E-3</v>
      </c>
      <c r="O155" s="551">
        <f>'Sollecitazioni nel paramento'!$G$60*(sezione!$AP$27-C155)/C155</f>
        <v>1.1156908857281683E-2</v>
      </c>
      <c r="P155" s="545">
        <f>-'Sollecitazioni nel paramento'!$G$47*'Sollecitazioni nel paramento'!$G$41*IF(DATI!$G$211="dx",DATI!$E$61,DATI!$E$64*DATI!$E$63)*1000*C155*sezione!$AD$5</f>
        <v>-1815174.3960827959</v>
      </c>
      <c r="Q155" s="545">
        <f>'Foglio deposito bis'!$F$48*IF(ABS(K155)&lt;'Sollecitazioni nel paramento'!$G$58,ABS(K155)*'Sollecitazioni nel paramento'!$G$54,'Sollecitazioni nel paramento'!$G$53)*IF(K155&lt;0,-1,1)</f>
        <v>0</v>
      </c>
      <c r="R155" s="545">
        <f>'Foglio deposito bis'!$F$49*IF(ABS(L155)&lt;'Sollecitazioni nel paramento'!$G$58,ABS(L155)*'Sollecitazioni nel paramento'!$G$54,'Sollecitazioni nel paramento'!$G$53)*IF(L155&lt;0,-1,1)</f>
        <v>97883.510504916587</v>
      </c>
      <c r="S155" s="545">
        <f>'Foglio deposito bis'!$F$50*IF(ABS(M155)&lt;'Sollecitazioni nel paramento'!$G$58,ABS(M155)*'Sollecitazioni nel paramento'!$G$54,'Sollecitazioni nel paramento'!$G$53)*IF(M155&lt;0,-1,1)</f>
        <v>0</v>
      </c>
      <c r="T155" s="545">
        <f>'Foglio deposito bis'!$F$51*IF(ABS(N155)&lt;'Sollecitazioni nel paramento'!$G$58,ABS(N155)*'Sollecitazioni nel paramento'!$G$54,'Sollecitazioni nel paramento'!$G$53)*IF(N155&lt;0,-1,1)</f>
        <v>240946.49743184328</v>
      </c>
      <c r="U155" s="545">
        <f>'Foglio deposito bis'!$F$52*IF(ABS(O155)&lt;'Sollecitazioni nel paramento'!$G$58,ABS(O155)*'Sollecitazioni nel paramento'!$G$54,'Sollecitazioni nel paramento'!$G$53)*IF(O155&lt;0,-1,1)</f>
        <v>240946.49743184328</v>
      </c>
      <c r="V155" s="472">
        <f t="shared" si="15"/>
        <v>-1235397.8907141928</v>
      </c>
      <c r="W155" s="551"/>
      <c r="X155" s="551"/>
    </row>
    <row r="156" spans="1:24" x14ac:dyDescent="0.25">
      <c r="A156" s="545">
        <f t="shared" si="14"/>
        <v>1266475.3252656143</v>
      </c>
      <c r="B156" s="3">
        <f t="shared" si="12"/>
        <v>14.899999999999968</v>
      </c>
      <c r="C156" s="545">
        <f>'Foglio deposito bis'!$E$153/$B$247*B156</f>
        <v>48.29437085255104</v>
      </c>
      <c r="D156" s="603">
        <f>-'Sollecitazioni nel paramento'!$G$47*'Sollecitazioni nel paramento'!$G$41*IF(DATI!$G$211="dx",DATI!$E$61,DATI!$E$64*DATI!$E$63)*1000*C156^2*sezione!$AD$5*(1-sezione!$AD$6)</f>
        <v>-51891550.864834853</v>
      </c>
      <c r="E156" s="545">
        <f>-'Foglio deposito bis'!$F$48*(C156-sezione!$AL$27)*IF(ABS(K156)&lt;'Sollecitazioni nel paramento'!$G$58,ABS(K156)*'Sollecitazioni nel paramento'!$G$54,'Sollecitazioni nel paramento'!$G$53)</f>
        <v>0</v>
      </c>
      <c r="F156" s="545">
        <f>-'Foglio deposito bis'!$F$49*(C156-sezione!$AM$27)*IF(ABS(L156)&lt;'Sollecitazioni nel paramento'!$G$58,ABS(L156)*'Sollecitazioni nel paramento'!$G$54,'Sollecitazioni nel paramento'!$G$53)</f>
        <v>1071092.2970982555</v>
      </c>
      <c r="G156" s="545">
        <f>-'Foglio deposito bis'!$F$50*(C156-sezione!$AN$27)*IF(ABS(M156)&lt;'Sollecitazioni nel paramento'!$G$58,ABS(M156)*'Sollecitazioni nel paramento'!$G$54,'Sollecitazioni nel paramento'!$G$53)</f>
        <v>0</v>
      </c>
      <c r="H156" s="545">
        <f>-'Foglio deposito bis'!$F$51*(C156-sezione!$AO$27)*IF(ABS(N156)&lt;'Sollecitazioni nel paramento'!$G$58,ABS(N156)*'Sollecitazioni nel paramento'!$G$54,'Sollecitazioni nel paramento'!$G$53)</f>
        <v>26915080.086498246</v>
      </c>
      <c r="I156" s="472">
        <f>-'Foglio deposito bis'!$F$52*(C156-sezione!$AP$27)*IF(ABS(O156)&lt;'Sollecitazioni nel paramento'!$G$58,ABS(O156)*'Sollecitazioni nel paramento'!$G$54,'Sollecitazioni nel paramento'!$G$53)</f>
        <v>36438999.878109165</v>
      </c>
      <c r="J156" s="472">
        <f t="shared" si="13"/>
        <v>12533621.396870814</v>
      </c>
      <c r="K156" s="550">
        <f>'Sollecitazioni nel paramento'!$G$60*(sezione!$AL$27-C156)/C156</f>
        <v>-6.0111142295572902E-4</v>
      </c>
      <c r="L156" s="550">
        <f>'Sollecitazioni nel paramento'!$G$60*(sezione!$AM$27-C156)/C156</f>
        <v>8.4833286556640656E-4</v>
      </c>
      <c r="M156" s="551">
        <f>'Sollecitazioni nel paramento'!$G$60*(sezione!$AN$27-C156)/C156</f>
        <v>2.2977771540885418E-3</v>
      </c>
      <c r="N156" s="551">
        <f>'Sollecitazioni nel paramento'!$G$60*(sezione!$AO$27-C156)/C156</f>
        <v>8.0955543081770841E-3</v>
      </c>
      <c r="O156" s="551">
        <f>'Sollecitazioni nel paramento'!$G$60*(sezione!$AP$27-C156)/C156</f>
        <v>1.0960171825640318E-2</v>
      </c>
      <c r="P156" s="545">
        <f>-'Sollecitazioni nel paramento'!$G$47*'Sollecitazioni nel paramento'!$G$41*IF(DATI!$G$211="dx",DATI!$E$61,DATI!$E$64*DATI!$E$63)*1000*C156*sezione!$AD$5</f>
        <v>-1839870.6463696365</v>
      </c>
      <c r="Q156" s="545">
        <f>'Foglio deposito bis'!$F$48*IF(ABS(K156)&lt;'Sollecitazioni nel paramento'!$G$58,ABS(K156)*'Sollecitazioni nel paramento'!$G$54,'Sollecitazioni nel paramento'!$G$53)*IF(K156&lt;0,-1,1)</f>
        <v>0</v>
      </c>
      <c r="R156" s="545">
        <f>'Foglio deposito bis'!$F$49*IF(ABS(L156)&lt;'Sollecitazioni nel paramento'!$G$58,ABS(L156)*'Sollecitazioni nel paramento'!$G$54,'Sollecitazioni nel paramento'!$G$53)*IF(L156&lt;0,-1,1)</f>
        <v>91502.326240335547</v>
      </c>
      <c r="S156" s="545">
        <f>'Foglio deposito bis'!$F$50*IF(ABS(M156)&lt;'Sollecitazioni nel paramento'!$G$58,ABS(M156)*'Sollecitazioni nel paramento'!$G$54,'Sollecitazioni nel paramento'!$G$53)*IF(M156&lt;0,-1,1)</f>
        <v>0</v>
      </c>
      <c r="T156" s="545">
        <f>'Foglio deposito bis'!$F$51*IF(ABS(N156)&lt;'Sollecitazioni nel paramento'!$G$58,ABS(N156)*'Sollecitazioni nel paramento'!$G$54,'Sollecitazioni nel paramento'!$G$53)*IF(N156&lt;0,-1,1)</f>
        <v>240946.49743184328</v>
      </c>
      <c r="U156" s="545">
        <f>'Foglio deposito bis'!$F$52*IF(ABS(O156)&lt;'Sollecitazioni nel paramento'!$G$58,ABS(O156)*'Sollecitazioni nel paramento'!$G$54,'Sollecitazioni nel paramento'!$G$53)*IF(O156&lt;0,-1,1)</f>
        <v>240946.49743184328</v>
      </c>
      <c r="V156" s="472">
        <f t="shared" si="15"/>
        <v>-1266475.3252656143</v>
      </c>
      <c r="W156" s="551"/>
      <c r="X156" s="551"/>
    </row>
    <row r="157" spans="1:24" x14ac:dyDescent="0.25">
      <c r="A157" s="545">
        <f t="shared" si="14"/>
        <v>1297383.7218232728</v>
      </c>
      <c r="B157" s="3">
        <f t="shared" si="12"/>
        <v>15.099999999999968</v>
      </c>
      <c r="C157" s="545">
        <f>'Foglio deposito bis'!$E$153/$B$247*B157</f>
        <v>48.942617441175891</v>
      </c>
      <c r="D157" s="603">
        <f>-'Sollecitazioni nel paramento'!$G$47*'Sollecitazioni nel paramento'!$G$41*IF(DATI!$G$211="dx",DATI!$E$61,DATI!$E$64*DATI!$E$63)*1000*C157^2*sezione!$AD$5*(1-sezione!$AD$6)</f>
        <v>-53293962.040858507</v>
      </c>
      <c r="E157" s="545">
        <f>-'Foglio deposito bis'!$F$48*(C157-sezione!$AL$27)*IF(ABS(K157)&lt;'Sollecitazioni nel paramento'!$G$58,ABS(K157)*'Sollecitazioni nel paramento'!$G$54,'Sollecitazioni nel paramento'!$G$53)</f>
        <v>0</v>
      </c>
      <c r="F157" s="545">
        <f>-'Foglio deposito bis'!$F$49*(C157-sezione!$AM$27)*IF(ABS(L157)&lt;'Sollecitazioni nel paramento'!$G$58,ABS(L157)*'Sollecitazioni nel paramento'!$G$54,'Sollecitazioni nel paramento'!$G$53)</f>
        <v>943086.1484339193</v>
      </c>
      <c r="G157" s="545">
        <f>-'Foglio deposito bis'!$F$50*(C157-sezione!$AN$27)*IF(ABS(M157)&lt;'Sollecitazioni nel paramento'!$G$58,ABS(M157)*'Sollecitazioni nel paramento'!$G$54,'Sollecitazioni nel paramento'!$G$53)</f>
        <v>0</v>
      </c>
      <c r="H157" s="545">
        <f>-'Foglio deposito bis'!$F$51*(C157-sezione!$AO$27)*IF(ABS(N157)&lt;'Sollecitazioni nel paramento'!$G$58,ABS(N157)*'Sollecitazioni nel paramento'!$G$54,'Sollecitazioni nel paramento'!$G$53)</f>
        <v>26758887.341496952</v>
      </c>
      <c r="I157" s="472">
        <f>-'Foglio deposito bis'!$F$52*(C157-sezione!$AP$27)*IF(ABS(O157)&lt;'Sollecitazioni nel paramento'!$G$58,ABS(O157)*'Sollecitazioni nel paramento'!$G$54,'Sollecitazioni nel paramento'!$G$53)</f>
        <v>36282807.133107871</v>
      </c>
      <c r="J157" s="472">
        <f t="shared" si="13"/>
        <v>10690818.582180232</v>
      </c>
      <c r="K157" s="550">
        <f>'Sollecitazioni nel paramento'!$G$60*(sezione!$AL$27-C157)/C157</f>
        <v>-6.3950729814836872E-4</v>
      </c>
      <c r="L157" s="550">
        <f>'Sollecitazioni nel paramento'!$G$60*(sezione!$AM$27-C157)/C157</f>
        <v>7.9073905277744696E-4</v>
      </c>
      <c r="M157" s="551">
        <f>'Sollecitazioni nel paramento'!$G$60*(sezione!$AN$27-C157)/C157</f>
        <v>2.2209854037032626E-3</v>
      </c>
      <c r="N157" s="551">
        <f>'Sollecitazioni nel paramento'!$G$60*(sezione!$AO$27-C157)/C157</f>
        <v>7.9419708074065266E-3</v>
      </c>
      <c r="O157" s="551">
        <f>'Sollecitazioni nel paramento'!$G$60*(sezione!$AP$27-C157)/C157</f>
        <v>1.0768646370996074E-2</v>
      </c>
      <c r="P157" s="545">
        <f>-'Sollecitazioni nel paramento'!$G$47*'Sollecitazioni nel paramento'!$G$41*IF(DATI!$G$211="dx",DATI!$E$61,DATI!$E$64*DATI!$E$63)*1000*C157*sezione!$AD$5</f>
        <v>-1864566.8966564776</v>
      </c>
      <c r="Q157" s="545">
        <f>'Foglio deposito bis'!$F$48*IF(ABS(K157)&lt;'Sollecitazioni nel paramento'!$G$58,ABS(K157)*'Sollecitazioni nel paramento'!$G$54,'Sollecitazioni nel paramento'!$G$53)*IF(K157&lt;0,-1,1)</f>
        <v>0</v>
      </c>
      <c r="R157" s="545">
        <f>'Foglio deposito bis'!$F$49*IF(ABS(L157)&lt;'Sollecitazioni nel paramento'!$G$58,ABS(L157)*'Sollecitazioni nel paramento'!$G$54,'Sollecitazioni nel paramento'!$G$53)*IF(L157&lt;0,-1,1)</f>
        <v>85290.17996951814</v>
      </c>
      <c r="S157" s="545">
        <f>'Foglio deposito bis'!$F$50*IF(ABS(M157)&lt;'Sollecitazioni nel paramento'!$G$58,ABS(M157)*'Sollecitazioni nel paramento'!$G$54,'Sollecitazioni nel paramento'!$G$53)*IF(M157&lt;0,-1,1)</f>
        <v>0</v>
      </c>
      <c r="T157" s="545">
        <f>'Foglio deposito bis'!$F$51*IF(ABS(N157)&lt;'Sollecitazioni nel paramento'!$G$58,ABS(N157)*'Sollecitazioni nel paramento'!$G$54,'Sollecitazioni nel paramento'!$G$53)*IF(N157&lt;0,-1,1)</f>
        <v>240946.49743184328</v>
      </c>
      <c r="U157" s="545">
        <f>'Foglio deposito bis'!$F$52*IF(ABS(O157)&lt;'Sollecitazioni nel paramento'!$G$58,ABS(O157)*'Sollecitazioni nel paramento'!$G$54,'Sollecitazioni nel paramento'!$G$53)*IF(O157&lt;0,-1,1)</f>
        <v>240946.49743184328</v>
      </c>
      <c r="V157" s="472">
        <f t="shared" si="15"/>
        <v>-1297383.7218232728</v>
      </c>
      <c r="W157" s="551"/>
      <c r="X157" s="551"/>
    </row>
    <row r="158" spans="1:24" x14ac:dyDescent="0.25">
      <c r="A158" s="545">
        <f t="shared" si="14"/>
        <v>1328129.7093280992</v>
      </c>
      <c r="B158" s="3">
        <f t="shared" si="12"/>
        <v>15.299999999999967</v>
      </c>
      <c r="C158" s="545">
        <f>'Foglio deposito bis'!$E$153/$B$247*B158</f>
        <v>49.590864029800734</v>
      </c>
      <c r="D158" s="603">
        <f>-'Sollecitazioni nel paramento'!$G$47*'Sollecitazioni nel paramento'!$G$41*IF(DATI!$G$211="dx",DATI!$E$61,DATI!$E$64*DATI!$E$63)*1000*C158^2*sezione!$AD$5*(1-sezione!$AD$6)</f>
        <v>-54715072.032562457</v>
      </c>
      <c r="E158" s="545">
        <f>-'Foglio deposito bis'!$F$48*(C158-sezione!$AL$27)*IF(ABS(K158)&lt;'Sollecitazioni nel paramento'!$G$58,ABS(K158)*'Sollecitazioni nel paramento'!$G$54,'Sollecitazioni nel paramento'!$G$53)</f>
        <v>0</v>
      </c>
      <c r="F158" s="545">
        <f>-'Foglio deposito bis'!$F$49*(C158-sezione!$AM$27)*IF(ABS(L158)&lt;'Sollecitazioni nel paramento'!$G$58,ABS(L158)*'Sollecitazioni nel paramento'!$G$54,'Sollecitazioni nel paramento'!$G$53)</f>
        <v>824824.54293949436</v>
      </c>
      <c r="G158" s="545">
        <f>-'Foglio deposito bis'!$F$50*(C158-sezione!$AN$27)*IF(ABS(M158)&lt;'Sollecitazioni nel paramento'!$G$58,ABS(M158)*'Sollecitazioni nel paramento'!$G$54,'Sollecitazioni nel paramento'!$G$53)</f>
        <v>0</v>
      </c>
      <c r="H158" s="545">
        <f>-'Foglio deposito bis'!$F$51*(C158-sezione!$AO$27)*IF(ABS(N158)&lt;'Sollecitazioni nel paramento'!$G$58,ABS(N158)*'Sollecitazioni nel paramento'!$G$54,'Sollecitazioni nel paramento'!$G$53)</f>
        <v>26602694.596495647</v>
      </c>
      <c r="I158" s="472">
        <f>-'Foglio deposito bis'!$F$52*(C158-sezione!$AP$27)*IF(ABS(O158)&lt;'Sollecitazioni nel paramento'!$G$58,ABS(O158)*'Sollecitazioni nel paramento'!$G$54,'Sollecitazioni nel paramento'!$G$53)</f>
        <v>36126614.388106562</v>
      </c>
      <c r="J158" s="472">
        <f t="shared" si="13"/>
        <v>8839061.4949792437</v>
      </c>
      <c r="K158" s="550">
        <f>'Sollecitazioni nel paramento'!$G$60*(sezione!$AL$27-C158)/C158</f>
        <v>-6.7689935961048127E-4</v>
      </c>
      <c r="L158" s="550">
        <f>'Sollecitazioni nel paramento'!$G$60*(sezione!$AM$27-C158)/C158</f>
        <v>7.3465096058427802E-4</v>
      </c>
      <c r="M158" s="551">
        <f>'Sollecitazioni nel paramento'!$G$60*(sezione!$AN$27-C158)/C158</f>
        <v>2.1462012807790375E-3</v>
      </c>
      <c r="N158" s="551">
        <f>'Sollecitazioni nel paramento'!$G$60*(sezione!$AO$27-C158)/C158</f>
        <v>7.7924025615580738E-3</v>
      </c>
      <c r="O158" s="551">
        <f>'Sollecitazioni nel paramento'!$G$60*(sezione!$AP$27-C158)/C158</f>
        <v>1.0582128117780441E-2</v>
      </c>
      <c r="P158" s="545">
        <f>-'Sollecitazioni nel paramento'!$G$47*'Sollecitazioni nel paramento'!$G$41*IF(DATI!$G$211="dx",DATI!$E$61,DATI!$E$64*DATI!$E$63)*1000*C158*sezione!$AD$5</f>
        <v>-1889263.1469433184</v>
      </c>
      <c r="Q158" s="545">
        <f>'Foglio deposito bis'!$F$48*IF(ABS(K158)&lt;'Sollecitazioni nel paramento'!$G$58,ABS(K158)*'Sollecitazioni nel paramento'!$G$54,'Sollecitazioni nel paramento'!$G$53)*IF(K158&lt;0,-1,1)</f>
        <v>0</v>
      </c>
      <c r="R158" s="545">
        <f>'Foglio deposito bis'!$F$49*IF(ABS(L158)&lt;'Sollecitazioni nel paramento'!$G$58,ABS(L158)*'Sollecitazioni nel paramento'!$G$54,'Sollecitazioni nel paramento'!$G$53)*IF(L158&lt;0,-1,1)</f>
        <v>79240.442751532668</v>
      </c>
      <c r="S158" s="545">
        <f>'Foglio deposito bis'!$F$50*IF(ABS(M158)&lt;'Sollecitazioni nel paramento'!$G$58,ABS(M158)*'Sollecitazioni nel paramento'!$G$54,'Sollecitazioni nel paramento'!$G$53)*IF(M158&lt;0,-1,1)</f>
        <v>0</v>
      </c>
      <c r="T158" s="545">
        <f>'Foglio deposito bis'!$F$51*IF(ABS(N158)&lt;'Sollecitazioni nel paramento'!$G$58,ABS(N158)*'Sollecitazioni nel paramento'!$G$54,'Sollecitazioni nel paramento'!$G$53)*IF(N158&lt;0,-1,1)</f>
        <v>240946.49743184328</v>
      </c>
      <c r="U158" s="545">
        <f>'Foglio deposito bis'!$F$52*IF(ABS(O158)&lt;'Sollecitazioni nel paramento'!$G$58,ABS(O158)*'Sollecitazioni nel paramento'!$G$54,'Sollecitazioni nel paramento'!$G$53)*IF(O158&lt;0,-1,1)</f>
        <v>240946.49743184328</v>
      </c>
      <c r="V158" s="472">
        <f t="shared" si="15"/>
        <v>-1328129.7093280992</v>
      </c>
      <c r="W158" s="551"/>
      <c r="X158" s="551"/>
    </row>
    <row r="159" spans="1:24" x14ac:dyDescent="0.25">
      <c r="A159" s="545">
        <f t="shared" si="14"/>
        <v>1358719.5745821386</v>
      </c>
      <c r="B159" s="3">
        <f t="shared" si="12"/>
        <v>15.499999999999966</v>
      </c>
      <c r="C159" s="545">
        <f>'Foglio deposito bis'!$E$153/$B$247*B159</f>
        <v>50.239110618425578</v>
      </c>
      <c r="D159" s="603">
        <f>-'Sollecitazioni nel paramento'!$G$47*'Sollecitazioni nel paramento'!$G$41*IF(DATI!$G$211="dx",DATI!$E$61,DATI!$E$64*DATI!$E$63)*1000*C159^2*sezione!$AD$5*(1-sezione!$AD$6)</f>
        <v>-56154880.839946724</v>
      </c>
      <c r="E159" s="545">
        <f>-'Foglio deposito bis'!$F$48*(C159-sezione!$AL$27)*IF(ABS(K159)&lt;'Sollecitazioni nel paramento'!$G$58,ABS(K159)*'Sollecitazioni nel paramento'!$G$54,'Sollecitazioni nel paramento'!$G$53)</f>
        <v>0</v>
      </c>
      <c r="F159" s="545">
        <f>-'Foglio deposito bis'!$F$49*(C159-sezione!$AM$27)*IF(ABS(L159)&lt;'Sollecitazioni nel paramento'!$G$58,ABS(L159)*'Sollecitazioni nel paramento'!$G$54,'Sollecitazioni nel paramento'!$G$53)</f>
        <v>715930.27249227278</v>
      </c>
      <c r="G159" s="545">
        <f>-'Foglio deposito bis'!$F$50*(C159-sezione!$AN$27)*IF(ABS(M159)&lt;'Sollecitazioni nel paramento'!$G$58,ABS(M159)*'Sollecitazioni nel paramento'!$G$54,'Sollecitazioni nel paramento'!$G$53)</f>
        <v>0</v>
      </c>
      <c r="H159" s="545">
        <f>-'Foglio deposito bis'!$F$51*(C159-sezione!$AO$27)*IF(ABS(N159)&lt;'Sollecitazioni nel paramento'!$G$58,ABS(N159)*'Sollecitazioni nel paramento'!$G$54,'Sollecitazioni nel paramento'!$G$53)</f>
        <v>26446501.851494357</v>
      </c>
      <c r="I159" s="472">
        <f>-'Foglio deposito bis'!$F$52*(C159-sezione!$AP$27)*IF(ABS(O159)&lt;'Sollecitazioni nel paramento'!$G$58,ABS(O159)*'Sollecitazioni nel paramento'!$G$54,'Sollecitazioni nel paramento'!$G$53)</f>
        <v>35970421.643105268</v>
      </c>
      <c r="J159" s="472">
        <f t="shared" si="13"/>
        <v>6977972.9271451756</v>
      </c>
      <c r="K159" s="550">
        <f>'Sollecitazioni nel paramento'!$G$60*(sezione!$AL$27-C159)/C159</f>
        <v>-7.1332646464776527E-4</v>
      </c>
      <c r="L159" s="550">
        <f>'Sollecitazioni nel paramento'!$G$60*(sezione!$AM$27-C159)/C159</f>
        <v>6.8001030302835218E-4</v>
      </c>
      <c r="M159" s="551">
        <f>'Sollecitazioni nel paramento'!$G$60*(sezione!$AN$27-C159)/C159</f>
        <v>2.0733470707044697E-3</v>
      </c>
      <c r="N159" s="551">
        <f>'Sollecitazioni nel paramento'!$G$60*(sezione!$AO$27-C159)/C159</f>
        <v>7.64669414140894E-3</v>
      </c>
      <c r="O159" s="551">
        <f>'Sollecitazioni nel paramento'!$G$60*(sezione!$AP$27-C159)/C159</f>
        <v>1.040042323884134E-2</v>
      </c>
      <c r="P159" s="545">
        <f>-'Sollecitazioni nel paramento'!$G$47*'Sollecitazioni nel paramento'!$G$41*IF(DATI!$G$211="dx",DATI!$E$61,DATI!$E$64*DATI!$E$63)*1000*C159*sezione!$AD$5</f>
        <v>-1913959.397230159</v>
      </c>
      <c r="Q159" s="545">
        <f>'Foglio deposito bis'!$F$48*IF(ABS(K159)&lt;'Sollecitazioni nel paramento'!$G$58,ABS(K159)*'Sollecitazioni nel paramento'!$G$54,'Sollecitazioni nel paramento'!$G$53)*IF(K159&lt;0,-1,1)</f>
        <v>0</v>
      </c>
      <c r="R159" s="545">
        <f>'Foglio deposito bis'!$F$49*IF(ABS(L159)&lt;'Sollecitazioni nel paramento'!$G$58,ABS(L159)*'Sollecitazioni nel paramento'!$G$54,'Sollecitazioni nel paramento'!$G$53)*IF(L159&lt;0,-1,1)</f>
        <v>73346.827784333916</v>
      </c>
      <c r="S159" s="545">
        <f>'Foglio deposito bis'!$F$50*IF(ABS(M159)&lt;'Sollecitazioni nel paramento'!$G$58,ABS(M159)*'Sollecitazioni nel paramento'!$G$54,'Sollecitazioni nel paramento'!$G$53)*IF(M159&lt;0,-1,1)</f>
        <v>0</v>
      </c>
      <c r="T159" s="545">
        <f>'Foglio deposito bis'!$F$51*IF(ABS(N159)&lt;'Sollecitazioni nel paramento'!$G$58,ABS(N159)*'Sollecitazioni nel paramento'!$G$54,'Sollecitazioni nel paramento'!$G$53)*IF(N159&lt;0,-1,1)</f>
        <v>240946.49743184328</v>
      </c>
      <c r="U159" s="545">
        <f>'Foglio deposito bis'!$F$52*IF(ABS(O159)&lt;'Sollecitazioni nel paramento'!$G$58,ABS(O159)*'Sollecitazioni nel paramento'!$G$54,'Sollecitazioni nel paramento'!$G$53)*IF(O159&lt;0,-1,1)</f>
        <v>240946.49743184328</v>
      </c>
      <c r="V159" s="472">
        <f t="shared" si="15"/>
        <v>-1358719.5745821386</v>
      </c>
      <c r="W159" s="551"/>
      <c r="X159" s="551"/>
    </row>
    <row r="160" spans="1:24" x14ac:dyDescent="0.25">
      <c r="A160" s="545">
        <f t="shared" si="14"/>
        <v>1389159.284040835</v>
      </c>
      <c r="B160" s="3">
        <f t="shared" si="12"/>
        <v>15.699999999999966</v>
      </c>
      <c r="C160" s="545">
        <f>'Foglio deposito bis'!$E$153/$B$247*B160</f>
        <v>50.887357207050421</v>
      </c>
      <c r="D160" s="603">
        <f>-'Sollecitazioni nel paramento'!$G$47*'Sollecitazioni nel paramento'!$G$41*IF(DATI!$G$211="dx",DATI!$E$61,DATI!$E$64*DATI!$E$63)*1000*C160^2*sezione!$AD$5*(1-sezione!$AD$6)</f>
        <v>-57613388.463011302</v>
      </c>
      <c r="E160" s="545">
        <f>-'Foglio deposito bis'!$F$48*(C160-sezione!$AL$27)*IF(ABS(K160)&lt;'Sollecitazioni nel paramento'!$G$58,ABS(K160)*'Sollecitazioni nel paramento'!$G$54,'Sollecitazioni nel paramento'!$G$53)</f>
        <v>0</v>
      </c>
      <c r="F160" s="545">
        <f>-'Foglio deposito bis'!$F$49*(C160-sezione!$AM$27)*IF(ABS(L160)&lt;'Sollecitazioni nel paramento'!$G$58,ABS(L160)*'Sollecitazioni nel paramento'!$G$54,'Sollecitazioni nel paramento'!$G$53)</f>
        <v>616045.34976560948</v>
      </c>
      <c r="G160" s="545">
        <f>-'Foglio deposito bis'!$F$50*(C160-sezione!$AN$27)*IF(ABS(M160)&lt;'Sollecitazioni nel paramento'!$G$58,ABS(M160)*'Sollecitazioni nel paramento'!$G$54,'Sollecitazioni nel paramento'!$G$53)</f>
        <v>0</v>
      </c>
      <c r="H160" s="545">
        <f>-'Foglio deposito bis'!$F$51*(C160-sezione!$AO$27)*IF(ABS(N160)&lt;'Sollecitazioni nel paramento'!$G$58,ABS(N160)*'Sollecitazioni nel paramento'!$G$54,'Sollecitazioni nel paramento'!$G$53)</f>
        <v>26290309.106493056</v>
      </c>
      <c r="I160" s="472">
        <f>-'Foglio deposito bis'!$F$52*(C160-sezione!$AP$27)*IF(ABS(O160)&lt;'Sollecitazioni nel paramento'!$G$58,ABS(O160)*'Sollecitazioni nel paramento'!$G$54,'Sollecitazioni nel paramento'!$G$53)</f>
        <v>35814228.898103975</v>
      </c>
      <c r="J160" s="472">
        <f t="shared" si="13"/>
        <v>5107194.8913513348</v>
      </c>
      <c r="K160" s="550">
        <f>'Sollecitazioni nel paramento'!$G$60*(sezione!$AL$27-C160)/C160</f>
        <v>-7.4882549057581906E-4</v>
      </c>
      <c r="L160" s="550">
        <f>'Sollecitazioni nel paramento'!$G$60*(sezione!$AM$27-C160)/C160</f>
        <v>6.2676176413627139E-4</v>
      </c>
      <c r="M160" s="551">
        <f>'Sollecitazioni nel paramento'!$G$60*(sezione!$AN$27-C160)/C160</f>
        <v>2.0023490188483622E-3</v>
      </c>
      <c r="N160" s="551">
        <f>'Sollecitazioni nel paramento'!$G$60*(sezione!$AO$27-C160)/C160</f>
        <v>7.5046980376967231E-3</v>
      </c>
      <c r="O160" s="551">
        <f>'Sollecitazioni nel paramento'!$G$60*(sezione!$AP$27-C160)/C160</f>
        <v>1.0223347783569474E-2</v>
      </c>
      <c r="P160" s="545">
        <f>-'Sollecitazioni nel paramento'!$G$47*'Sollecitazioni nel paramento'!$G$41*IF(DATI!$G$211="dx",DATI!$E$61,DATI!$E$64*DATI!$E$63)*1000*C160*sezione!$AD$5</f>
        <v>-1938655.6475169994</v>
      </c>
      <c r="Q160" s="545">
        <f>'Foglio deposito bis'!$F$48*IF(ABS(K160)&lt;'Sollecitazioni nel paramento'!$G$58,ABS(K160)*'Sollecitazioni nel paramento'!$G$54,'Sollecitazioni nel paramento'!$G$53)*IF(K160&lt;0,-1,1)</f>
        <v>0</v>
      </c>
      <c r="R160" s="545">
        <f>'Foglio deposito bis'!$F$49*IF(ABS(L160)&lt;'Sollecitazioni nel paramento'!$G$58,ABS(L160)*'Sollecitazioni nel paramento'!$G$54,'Sollecitazioni nel paramento'!$G$53)*IF(L160&lt;0,-1,1)</f>
        <v>67603.368612477774</v>
      </c>
      <c r="S160" s="545">
        <f>'Foglio deposito bis'!$F$50*IF(ABS(M160)&lt;'Sollecitazioni nel paramento'!$G$58,ABS(M160)*'Sollecitazioni nel paramento'!$G$54,'Sollecitazioni nel paramento'!$G$53)*IF(M160&lt;0,-1,1)</f>
        <v>0</v>
      </c>
      <c r="T160" s="545">
        <f>'Foglio deposito bis'!$F$51*IF(ABS(N160)&lt;'Sollecitazioni nel paramento'!$G$58,ABS(N160)*'Sollecitazioni nel paramento'!$G$54,'Sollecitazioni nel paramento'!$G$53)*IF(N160&lt;0,-1,1)</f>
        <v>240946.49743184328</v>
      </c>
      <c r="U160" s="545">
        <f>'Foglio deposito bis'!$F$52*IF(ABS(O160)&lt;'Sollecitazioni nel paramento'!$G$58,ABS(O160)*'Sollecitazioni nel paramento'!$G$54,'Sollecitazioni nel paramento'!$G$53)*IF(O160&lt;0,-1,1)</f>
        <v>240946.49743184328</v>
      </c>
      <c r="V160" s="472">
        <f t="shared" si="15"/>
        <v>-1389159.284040835</v>
      </c>
      <c r="W160" s="551"/>
      <c r="X160" s="551"/>
    </row>
    <row r="161" spans="1:24" x14ac:dyDescent="0.25">
      <c r="A161" s="545">
        <f t="shared" si="14"/>
        <v>1419454.5039606176</v>
      </c>
      <c r="B161" s="3">
        <f t="shared" si="12"/>
        <v>15.899999999999965</v>
      </c>
      <c r="C161" s="545">
        <f>'Foglio deposito bis'!$E$153/$B$247*B161</f>
        <v>51.535603795675271</v>
      </c>
      <c r="D161" s="603">
        <f>-'Sollecitazioni nel paramento'!$G$47*'Sollecitazioni nel paramento'!$G$41*IF(DATI!$G$211="dx",DATI!$E$61,DATI!$E$64*DATI!$E$63)*1000*C161^2*sezione!$AD$5*(1-sezione!$AD$6)</f>
        <v>-59090594.90175622</v>
      </c>
      <c r="E161" s="545">
        <f>-'Foglio deposito bis'!$F$48*(C161-sezione!$AL$27)*IF(ABS(K161)&lt;'Sollecitazioni nel paramento'!$G$58,ABS(K161)*'Sollecitazioni nel paramento'!$G$54,'Sollecitazioni nel paramento'!$G$53)</f>
        <v>0</v>
      </c>
      <c r="F161" s="545">
        <f>-'Foglio deposito bis'!$F$49*(C161-sezione!$AM$27)*IF(ABS(L161)&lt;'Sollecitazioni nel paramento'!$G$58,ABS(L161)*'Sollecitazioni nel paramento'!$G$54,'Sollecitazioni nel paramento'!$G$53)</f>
        <v>524829.79937382252</v>
      </c>
      <c r="G161" s="545">
        <f>-'Foglio deposito bis'!$F$50*(C161-sezione!$AN$27)*IF(ABS(M161)&lt;'Sollecitazioni nel paramento'!$G$58,ABS(M161)*'Sollecitazioni nel paramento'!$G$54,'Sollecitazioni nel paramento'!$G$53)</f>
        <v>0</v>
      </c>
      <c r="H161" s="545">
        <f>-'Foglio deposito bis'!$F$51*(C161-sezione!$AO$27)*IF(ABS(N161)&lt;'Sollecitazioni nel paramento'!$G$58,ABS(N161)*'Sollecitazioni nel paramento'!$G$54,'Sollecitazioni nel paramento'!$G$53)</f>
        <v>26134116.361491758</v>
      </c>
      <c r="I161" s="472">
        <f>-'Foglio deposito bis'!$F$52*(C161-sezione!$AP$27)*IF(ABS(O161)&lt;'Sollecitazioni nel paramento'!$G$58,ABS(O161)*'Sollecitazioni nel paramento'!$G$54,'Sollecitazioni nel paramento'!$G$53)</f>
        <v>35658036.153102674</v>
      </c>
      <c r="J161" s="472">
        <f t="shared" si="13"/>
        <v>3226387.4122120328</v>
      </c>
      <c r="K161" s="550">
        <f>'Sollecitazioni nel paramento'!$G$60*(sezione!$AL$27-C161)/C161</f>
        <v>-7.8343145924782154E-4</v>
      </c>
      <c r="L161" s="550">
        <f>'Sollecitazioni nel paramento'!$G$60*(sezione!$AM$27-C161)/C161</f>
        <v>5.7485281112826768E-4</v>
      </c>
      <c r="M161" s="551">
        <f>'Sollecitazioni nel paramento'!$G$60*(sezione!$AN$27-C161)/C161</f>
        <v>1.933137081504357E-3</v>
      </c>
      <c r="N161" s="551">
        <f>'Sollecitazioni nel paramento'!$G$60*(sezione!$AO$27-C161)/C161</f>
        <v>7.3662741630087141E-3</v>
      </c>
      <c r="O161" s="551">
        <f>'Sollecitazioni nel paramento'!$G$60*(sezione!$AP$27-C161)/C161</f>
        <v>1.0050727056732123E-2</v>
      </c>
      <c r="P161" s="545">
        <f>-'Sollecitazioni nel paramento'!$G$47*'Sollecitazioni nel paramento'!$G$41*IF(DATI!$G$211="dx",DATI!$E$61,DATI!$E$64*DATI!$E$63)*1000*C161*sezione!$AD$5</f>
        <v>-1963351.8978038405</v>
      </c>
      <c r="Q161" s="545">
        <f>'Foglio deposito bis'!$F$48*IF(ABS(K161)&lt;'Sollecitazioni nel paramento'!$G$58,ABS(K161)*'Sollecitazioni nel paramento'!$G$54,'Sollecitazioni nel paramento'!$G$53)*IF(K161&lt;0,-1,1)</f>
        <v>0</v>
      </c>
      <c r="R161" s="545">
        <f>'Foglio deposito bis'!$F$49*IF(ABS(L161)&lt;'Sollecitazioni nel paramento'!$G$58,ABS(L161)*'Sollecitazioni nel paramento'!$G$54,'Sollecitazioni nel paramento'!$G$53)*IF(L161&lt;0,-1,1)</f>
        <v>62004.398979536229</v>
      </c>
      <c r="S161" s="545">
        <f>'Foglio deposito bis'!$F$50*IF(ABS(M161)&lt;'Sollecitazioni nel paramento'!$G$58,ABS(M161)*'Sollecitazioni nel paramento'!$G$54,'Sollecitazioni nel paramento'!$G$53)*IF(M161&lt;0,-1,1)</f>
        <v>0</v>
      </c>
      <c r="T161" s="545">
        <f>'Foglio deposito bis'!$F$51*IF(ABS(N161)&lt;'Sollecitazioni nel paramento'!$G$58,ABS(N161)*'Sollecitazioni nel paramento'!$G$54,'Sollecitazioni nel paramento'!$G$53)*IF(N161&lt;0,-1,1)</f>
        <v>240946.49743184328</v>
      </c>
      <c r="U161" s="545">
        <f>'Foglio deposito bis'!$F$52*IF(ABS(O161)&lt;'Sollecitazioni nel paramento'!$G$58,ABS(O161)*'Sollecitazioni nel paramento'!$G$54,'Sollecitazioni nel paramento'!$G$53)*IF(O161&lt;0,-1,1)</f>
        <v>240946.49743184328</v>
      </c>
      <c r="V161" s="472">
        <f t="shared" si="15"/>
        <v>-1419454.5039606176</v>
      </c>
      <c r="W161" s="551"/>
      <c r="X161" s="551"/>
    </row>
    <row r="162" spans="1:24" x14ac:dyDescent="0.25">
      <c r="A162" s="545">
        <f t="shared" si="14"/>
        <v>1449610.6190447991</v>
      </c>
      <c r="B162" s="3">
        <f t="shared" si="12"/>
        <v>16.099999999999966</v>
      </c>
      <c r="C162" s="545">
        <f>'Foglio deposito bis'!$E$153/$B$247*B162</f>
        <v>52.183850384300122</v>
      </c>
      <c r="D162" s="603">
        <f>-'Sollecitazioni nel paramento'!$G$47*'Sollecitazioni nel paramento'!$G$41*IF(DATI!$G$211="dx",DATI!$E$61,DATI!$E$64*DATI!$E$63)*1000*C162^2*sezione!$AD$5*(1-sezione!$AD$6)</f>
        <v>-60586500.156181455</v>
      </c>
      <c r="E162" s="545">
        <f>-'Foglio deposito bis'!$F$48*(C162-sezione!$AL$27)*IF(ABS(K162)&lt;'Sollecitazioni nel paramento'!$G$58,ABS(K162)*'Sollecitazioni nel paramento'!$G$54,'Sollecitazioni nel paramento'!$G$53)</f>
        <v>0</v>
      </c>
      <c r="F162" s="545">
        <f>-'Foglio deposito bis'!$F$49*(C162-sezione!$AM$27)*IF(ABS(L162)&lt;'Sollecitazioni nel paramento'!$G$58,ABS(L162)*'Sollecitazioni nel paramento'!$G$54,'Sollecitazioni nel paramento'!$G$53)</f>
        <v>441960.53911809757</v>
      </c>
      <c r="G162" s="545">
        <f>-'Foglio deposito bis'!$F$50*(C162-sezione!$AN$27)*IF(ABS(M162)&lt;'Sollecitazioni nel paramento'!$G$58,ABS(M162)*'Sollecitazioni nel paramento'!$G$54,'Sollecitazioni nel paramento'!$G$53)</f>
        <v>0</v>
      </c>
      <c r="H162" s="545">
        <f>-'Foglio deposito bis'!$F$51*(C162-sezione!$AO$27)*IF(ABS(N162)&lt;'Sollecitazioni nel paramento'!$G$58,ABS(N162)*'Sollecitazioni nel paramento'!$G$54,'Sollecitazioni nel paramento'!$G$53)</f>
        <v>25977923.616490461</v>
      </c>
      <c r="I162" s="472">
        <f>-'Foglio deposito bis'!$F$52*(C162-sezione!$AP$27)*IF(ABS(O162)&lt;'Sollecitazioni nel paramento'!$G$58,ABS(O162)*'Sollecitazioni nel paramento'!$G$54,'Sollecitazioni nel paramento'!$G$53)</f>
        <v>35501843.40810138</v>
      </c>
      <c r="J162" s="472">
        <f t="shared" si="13"/>
        <v>1335227.4075284824</v>
      </c>
      <c r="K162" s="550">
        <f>'Sollecitazioni nel paramento'!$G$60*(sezione!$AL$27-C162)/C162</f>
        <v>-8.1717765230064382E-4</v>
      </c>
      <c r="L162" s="550">
        <f>'Sollecitazioni nel paramento'!$G$60*(sezione!$AM$27-C162)/C162</f>
        <v>5.2423352154903425E-4</v>
      </c>
      <c r="M162" s="551">
        <f>'Sollecitazioni nel paramento'!$G$60*(sezione!$AN$27-C162)/C162</f>
        <v>1.8656446953987124E-3</v>
      </c>
      <c r="N162" s="551">
        <f>'Sollecitazioni nel paramento'!$G$60*(sezione!$AO$27-C162)/C162</f>
        <v>7.2312893907974249E-3</v>
      </c>
      <c r="O162" s="551">
        <f>'Sollecitazioni nel paramento'!$G$60*(sezione!$AP$27-C162)/C162</f>
        <v>9.8823950436050141E-3</v>
      </c>
      <c r="P162" s="545">
        <f>-'Sollecitazioni nel paramento'!$G$47*'Sollecitazioni nel paramento'!$G$41*IF(DATI!$G$211="dx",DATI!$E$61,DATI!$E$64*DATI!$E$63)*1000*C162*sezione!$AD$5</f>
        <v>-1988048.1480906815</v>
      </c>
      <c r="Q162" s="545">
        <f>'Foglio deposito bis'!$F$48*IF(ABS(K162)&lt;'Sollecitazioni nel paramento'!$G$58,ABS(K162)*'Sollecitazioni nel paramento'!$G$54,'Sollecitazioni nel paramento'!$G$53)*IF(K162&lt;0,-1,1)</f>
        <v>0</v>
      </c>
      <c r="R162" s="545">
        <f>'Foglio deposito bis'!$F$49*IF(ABS(L162)&lt;'Sollecitazioni nel paramento'!$G$58,ABS(L162)*'Sollecitazioni nel paramento'!$G$54,'Sollecitazioni nel paramento'!$G$53)*IF(L162&lt;0,-1,1)</f>
        <v>56544.534182195704</v>
      </c>
      <c r="S162" s="545">
        <f>'Foglio deposito bis'!$F$50*IF(ABS(M162)&lt;'Sollecitazioni nel paramento'!$G$58,ABS(M162)*'Sollecitazioni nel paramento'!$G$54,'Sollecitazioni nel paramento'!$G$53)*IF(M162&lt;0,-1,1)</f>
        <v>0</v>
      </c>
      <c r="T162" s="545">
        <f>'Foglio deposito bis'!$F$51*IF(ABS(N162)&lt;'Sollecitazioni nel paramento'!$G$58,ABS(N162)*'Sollecitazioni nel paramento'!$G$54,'Sollecitazioni nel paramento'!$G$53)*IF(N162&lt;0,-1,1)</f>
        <v>240946.49743184328</v>
      </c>
      <c r="U162" s="545">
        <f>'Foglio deposito bis'!$F$52*IF(ABS(O162)&lt;'Sollecitazioni nel paramento'!$G$58,ABS(O162)*'Sollecitazioni nel paramento'!$G$54,'Sollecitazioni nel paramento'!$G$53)*IF(O162&lt;0,-1,1)</f>
        <v>240946.49743184328</v>
      </c>
      <c r="V162" s="472">
        <f t="shared" si="15"/>
        <v>-1449610.6190447991</v>
      </c>
      <c r="W162" s="551"/>
      <c r="X162" s="551"/>
    </row>
    <row r="163" spans="1:24" x14ac:dyDescent="0.25">
      <c r="A163" s="545">
        <f t="shared" si="14"/>
        <v>1479632.7497167755</v>
      </c>
      <c r="B163" s="3">
        <f t="shared" si="12"/>
        <v>16.299999999999965</v>
      </c>
      <c r="C163" s="545">
        <f>'Foglio deposito bis'!$E$153/$B$247*B163</f>
        <v>52.832096972924965</v>
      </c>
      <c r="D163" s="603">
        <f>-'Sollecitazioni nel paramento'!$G$47*'Sollecitazioni nel paramento'!$G$41*IF(DATI!$G$211="dx",DATI!$E$61,DATI!$E$64*DATI!$E$63)*1000*C163^2*sezione!$AD$5*(1-sezione!$AD$6)</f>
        <v>-62101104.226286978</v>
      </c>
      <c r="E163" s="545">
        <f>-'Foglio deposito bis'!$F$48*(C163-sezione!$AL$27)*IF(ABS(K163)&lt;'Sollecitazioni nel paramento'!$G$58,ABS(K163)*'Sollecitazioni nel paramento'!$G$54,'Sollecitazioni nel paramento'!$G$53)</f>
        <v>0</v>
      </c>
      <c r="F163" s="545">
        <f>-'Foglio deposito bis'!$F$49*(C163-sezione!$AM$27)*IF(ABS(L163)&lt;'Sollecitazioni nel paramento'!$G$58,ABS(L163)*'Sollecitazioni nel paramento'!$G$54,'Sollecitazioni nel paramento'!$G$53)</f>
        <v>367130.34359465388</v>
      </c>
      <c r="G163" s="545">
        <f>-'Foglio deposito bis'!$F$50*(C163-sezione!$AN$27)*IF(ABS(M163)&lt;'Sollecitazioni nel paramento'!$G$58,ABS(M163)*'Sollecitazioni nel paramento'!$G$54,'Sollecitazioni nel paramento'!$G$53)</f>
        <v>0</v>
      </c>
      <c r="H163" s="545">
        <f>-'Foglio deposito bis'!$F$51*(C163-sezione!$AO$27)*IF(ABS(N163)&lt;'Sollecitazioni nel paramento'!$G$58,ABS(N163)*'Sollecitazioni nel paramento'!$G$54,'Sollecitazioni nel paramento'!$G$53)</f>
        <v>25821730.871489163</v>
      </c>
      <c r="I163" s="472">
        <f>-'Foglio deposito bis'!$F$52*(C163-sezione!$AP$27)*IF(ABS(O163)&lt;'Sollecitazioni nel paramento'!$G$58,ABS(O163)*'Sollecitazioni nel paramento'!$G$54,'Sollecitazioni nel paramento'!$G$53)</f>
        <v>35345650.663100079</v>
      </c>
      <c r="J163" s="472">
        <f t="shared" si="13"/>
        <v>-566592.34810307622</v>
      </c>
      <c r="K163" s="550">
        <f>'Sollecitazioni nel paramento'!$G$60*(sezione!$AL$27-C163)/C163</f>
        <v>-8.5009571791658679E-4</v>
      </c>
      <c r="L163" s="550">
        <f>'Sollecitazioni nel paramento'!$G$60*(sezione!$AM$27-C163)/C163</f>
        <v>4.7485642312511986E-4</v>
      </c>
      <c r="M163" s="551">
        <f>'Sollecitazioni nel paramento'!$G$60*(sezione!$AN$27-C163)/C163</f>
        <v>1.7998085641668265E-3</v>
      </c>
      <c r="N163" s="551">
        <f>'Sollecitazioni nel paramento'!$G$60*(sezione!$AO$27-C163)/C163</f>
        <v>7.0996171283336526E-3</v>
      </c>
      <c r="O163" s="551">
        <f>'Sollecitazioni nel paramento'!$G$60*(sezione!$AP$27-C163)/C163</f>
        <v>9.7181938774258125E-3</v>
      </c>
      <c r="P163" s="545">
        <f>-'Sollecitazioni nel paramento'!$G$47*'Sollecitazioni nel paramento'!$G$41*IF(DATI!$G$211="dx",DATI!$E$61,DATI!$E$64*DATI!$E$63)*1000*C163*sezione!$AD$5</f>
        <v>-2012744.3983775221</v>
      </c>
      <c r="Q163" s="545">
        <f>'Foglio deposito bis'!$F$48*IF(ABS(K163)&lt;'Sollecitazioni nel paramento'!$G$58,ABS(K163)*'Sollecitazioni nel paramento'!$G$54,'Sollecitazioni nel paramento'!$G$53)*IF(K163&lt;0,-1,1)</f>
        <v>0</v>
      </c>
      <c r="R163" s="545">
        <f>'Foglio deposito bis'!$F$49*IF(ABS(L163)&lt;'Sollecitazioni nel paramento'!$G$58,ABS(L163)*'Sollecitazioni nel paramento'!$G$54,'Sollecitazioni nel paramento'!$G$53)*IF(L163&lt;0,-1,1)</f>
        <v>51218.653797059902</v>
      </c>
      <c r="S163" s="545">
        <f>'Foglio deposito bis'!$F$50*IF(ABS(M163)&lt;'Sollecitazioni nel paramento'!$G$58,ABS(M163)*'Sollecitazioni nel paramento'!$G$54,'Sollecitazioni nel paramento'!$G$53)*IF(M163&lt;0,-1,1)</f>
        <v>0</v>
      </c>
      <c r="T163" s="545">
        <f>'Foglio deposito bis'!$F$51*IF(ABS(N163)&lt;'Sollecitazioni nel paramento'!$G$58,ABS(N163)*'Sollecitazioni nel paramento'!$G$54,'Sollecitazioni nel paramento'!$G$53)*IF(N163&lt;0,-1,1)</f>
        <v>240946.49743184328</v>
      </c>
      <c r="U163" s="545">
        <f>'Foglio deposito bis'!$F$52*IF(ABS(O163)&lt;'Sollecitazioni nel paramento'!$G$58,ABS(O163)*'Sollecitazioni nel paramento'!$G$54,'Sollecitazioni nel paramento'!$G$53)*IF(O163&lt;0,-1,1)</f>
        <v>240946.49743184328</v>
      </c>
      <c r="V163" s="472">
        <f t="shared" si="15"/>
        <v>-1479632.7497167755</v>
      </c>
      <c r="W163" s="551"/>
      <c r="X163" s="551"/>
    </row>
    <row r="164" spans="1:24" x14ac:dyDescent="0.25">
      <c r="A164" s="545">
        <f t="shared" si="14"/>
        <v>1509525.7681369914</v>
      </c>
      <c r="B164" s="3">
        <f t="shared" si="12"/>
        <v>16.499999999999964</v>
      </c>
      <c r="C164" s="545">
        <f>'Foglio deposito bis'!$E$153/$B$247*B164</f>
        <v>53.480343561549809</v>
      </c>
      <c r="D164" s="603">
        <f>-'Sollecitazioni nel paramento'!$G$47*'Sollecitazioni nel paramento'!$G$41*IF(DATI!$G$211="dx",DATI!$E$61,DATI!$E$64*DATI!$E$63)*1000*C164^2*sezione!$AD$5*(1-sezione!$AD$6)</f>
        <v>-63634407.112072825</v>
      </c>
      <c r="E164" s="545">
        <f>-'Foglio deposito bis'!$F$48*(C164-sezione!$AL$27)*IF(ABS(K164)&lt;'Sollecitazioni nel paramento'!$G$58,ABS(K164)*'Sollecitazioni nel paramento'!$G$54,'Sollecitazioni nel paramento'!$G$53)</f>
        <v>0</v>
      </c>
      <c r="F164" s="545">
        <f>-'Foglio deposito bis'!$F$49*(C164-sezione!$AM$27)*IF(ABS(L164)&lt;'Sollecitazioni nel paramento'!$G$58,ABS(L164)*'Sollecitazioni nel paramento'!$G$54,'Sollecitazioni nel paramento'!$G$53)</f>
        <v>300046.88317686226</v>
      </c>
      <c r="G164" s="545">
        <f>-'Foglio deposito bis'!$F$50*(C164-sezione!$AN$27)*IF(ABS(M164)&lt;'Sollecitazioni nel paramento'!$G$58,ABS(M164)*'Sollecitazioni nel paramento'!$G$54,'Sollecitazioni nel paramento'!$G$53)</f>
        <v>0</v>
      </c>
      <c r="H164" s="545">
        <f>-'Foglio deposito bis'!$F$51*(C164-sezione!$AO$27)*IF(ABS(N164)&lt;'Sollecitazioni nel paramento'!$G$58,ABS(N164)*'Sollecitazioni nel paramento'!$G$54,'Sollecitazioni nel paramento'!$G$53)</f>
        <v>25665538.12648787</v>
      </c>
      <c r="I164" s="472">
        <f>-'Foglio deposito bis'!$F$52*(C164-sezione!$AP$27)*IF(ABS(O164)&lt;'Sollecitazioni nel paramento'!$G$58,ABS(O164)*'Sollecitazioni nel paramento'!$G$54,'Sollecitazioni nel paramento'!$G$53)</f>
        <v>35189457.918098785</v>
      </c>
      <c r="J164" s="472">
        <f t="shared" si="13"/>
        <v>-2479364.1843093112</v>
      </c>
      <c r="K164" s="550">
        <f>'Sollecitazioni nel paramento'!$G$60*(sezione!$AL$27-C164)/C164</f>
        <v>-8.8221576982062803E-4</v>
      </c>
      <c r="L164" s="550">
        <f>'Sollecitazioni nel paramento'!$G$60*(sezione!$AM$27-C164)/C164</f>
        <v>4.2667634526905799E-4</v>
      </c>
      <c r="M164" s="551">
        <f>'Sollecitazioni nel paramento'!$G$60*(sezione!$AN$27-C164)/C164</f>
        <v>1.735568460358744E-3</v>
      </c>
      <c r="N164" s="551">
        <f>'Sollecitazioni nel paramento'!$G$60*(sezione!$AO$27-C164)/C164</f>
        <v>6.9711369207174885E-3</v>
      </c>
      <c r="O164" s="551">
        <f>'Sollecitazioni nel paramento'!$G$60*(sezione!$AP$27-C164)/C164</f>
        <v>9.5579733455782283E-3</v>
      </c>
      <c r="P164" s="545">
        <f>-'Sollecitazioni nel paramento'!$G$47*'Sollecitazioni nel paramento'!$G$41*IF(DATI!$G$211="dx",DATI!$E$61,DATI!$E$64*DATI!$E$63)*1000*C164*sezione!$AD$5</f>
        <v>-2037440.648664363</v>
      </c>
      <c r="Q164" s="545">
        <f>'Foglio deposito bis'!$F$48*IF(ABS(K164)&lt;'Sollecitazioni nel paramento'!$G$58,ABS(K164)*'Sollecitazioni nel paramento'!$G$54,'Sollecitazioni nel paramento'!$G$53)*IF(K164&lt;0,-1,1)</f>
        <v>0</v>
      </c>
      <c r="R164" s="545">
        <f>'Foglio deposito bis'!$F$49*IF(ABS(L164)&lt;'Sollecitazioni nel paramento'!$G$58,ABS(L164)*'Sollecitazioni nel paramento'!$G$54,'Sollecitazioni nel paramento'!$G$53)*IF(L164&lt;0,-1,1)</f>
        <v>46021.885663684974</v>
      </c>
      <c r="S164" s="545">
        <f>'Foglio deposito bis'!$F$50*IF(ABS(M164)&lt;'Sollecitazioni nel paramento'!$G$58,ABS(M164)*'Sollecitazioni nel paramento'!$G$54,'Sollecitazioni nel paramento'!$G$53)*IF(M164&lt;0,-1,1)</f>
        <v>0</v>
      </c>
      <c r="T164" s="545">
        <f>'Foglio deposito bis'!$F$51*IF(ABS(N164)&lt;'Sollecitazioni nel paramento'!$G$58,ABS(N164)*'Sollecitazioni nel paramento'!$G$54,'Sollecitazioni nel paramento'!$G$53)*IF(N164&lt;0,-1,1)</f>
        <v>240946.49743184328</v>
      </c>
      <c r="U164" s="545">
        <f>'Foglio deposito bis'!$F$52*IF(ABS(O164)&lt;'Sollecitazioni nel paramento'!$G$58,ABS(O164)*'Sollecitazioni nel paramento'!$G$54,'Sollecitazioni nel paramento'!$G$53)*IF(O164&lt;0,-1,1)</f>
        <v>240946.49743184328</v>
      </c>
      <c r="V164" s="472">
        <f t="shared" si="15"/>
        <v>-1509525.7681369914</v>
      </c>
      <c r="W164" s="551"/>
      <c r="X164" s="551"/>
    </row>
    <row r="165" spans="1:24" x14ac:dyDescent="0.25">
      <c r="A165" s="545">
        <f t="shared" si="14"/>
        <v>1539294.3130689824</v>
      </c>
      <c r="B165" s="3">
        <f t="shared" si="12"/>
        <v>16.699999999999964</v>
      </c>
      <c r="C165" s="545">
        <f>'Foglio deposito bis'!$E$153/$B$247*B165</f>
        <v>54.128590150174659</v>
      </c>
      <c r="D165" s="603">
        <f>-'Sollecitazioni nel paramento'!$G$47*'Sollecitazioni nel paramento'!$G$41*IF(DATI!$G$211="dx",DATI!$E$61,DATI!$E$64*DATI!$E$63)*1000*C165^2*sezione!$AD$5*(1-sezione!$AD$6)</f>
        <v>-65186408.813538998</v>
      </c>
      <c r="E165" s="545">
        <f>-'Foglio deposito bis'!$F$48*(C165-sezione!$AL$27)*IF(ABS(K165)&lt;'Sollecitazioni nel paramento'!$G$58,ABS(K165)*'Sollecitazioni nel paramento'!$G$54,'Sollecitazioni nel paramento'!$G$53)</f>
        <v>0</v>
      </c>
      <c r="F165" s="545">
        <f>-'Foglio deposito bis'!$F$49*(C165-sezione!$AM$27)*IF(ABS(L165)&lt;'Sollecitazioni nel paramento'!$G$58,ABS(L165)*'Sollecitazioni nel paramento'!$G$54,'Sollecitazioni nel paramento'!$G$53)</f>
        <v>240431.832052543</v>
      </c>
      <c r="G165" s="545">
        <f>-'Foglio deposito bis'!$F$50*(C165-sezione!$AN$27)*IF(ABS(M165)&lt;'Sollecitazioni nel paramento'!$G$58,ABS(M165)*'Sollecitazioni nel paramento'!$G$54,'Sollecitazioni nel paramento'!$G$53)</f>
        <v>0</v>
      </c>
      <c r="H165" s="545">
        <f>-'Foglio deposito bis'!$F$51*(C165-sezione!$AO$27)*IF(ABS(N165)&lt;'Sollecitazioni nel paramento'!$G$58,ABS(N165)*'Sollecitazioni nel paramento'!$G$54,'Sollecitazioni nel paramento'!$G$53)</f>
        <v>25509345.381486569</v>
      </c>
      <c r="I165" s="472">
        <f>-'Foglio deposito bis'!$F$52*(C165-sezione!$AP$27)*IF(ABS(O165)&lt;'Sollecitazioni nel paramento'!$G$58,ABS(O165)*'Sollecitazioni nel paramento'!$G$54,'Sollecitazioni nel paramento'!$G$53)</f>
        <v>35033265.173097484</v>
      </c>
      <c r="J165" s="472">
        <f t="shared" si="13"/>
        <v>-4403366.4269024059</v>
      </c>
      <c r="K165" s="550">
        <f>'Sollecitazioni nel paramento'!$G$60*(sezione!$AL$27-C165)/C165</f>
        <v>-9.135664791640937E-4</v>
      </c>
      <c r="L165" s="550">
        <f>'Sollecitazioni nel paramento'!$G$60*(sezione!$AM$27-C165)/C165</f>
        <v>3.7965028125385943E-4</v>
      </c>
      <c r="M165" s="551">
        <f>'Sollecitazioni nel paramento'!$G$60*(sezione!$AN$27-C165)/C165</f>
        <v>1.6728670416718125E-3</v>
      </c>
      <c r="N165" s="551">
        <f>'Sollecitazioni nel paramento'!$G$60*(sezione!$AO$27-C165)/C165</f>
        <v>6.8457340833436254E-3</v>
      </c>
      <c r="O165" s="551">
        <f>'Sollecitazioni nel paramento'!$G$60*(sezione!$AP$27-C165)/C165</f>
        <v>9.4015904312599232E-3</v>
      </c>
      <c r="P165" s="545">
        <f>-'Sollecitazioni nel paramento'!$G$47*'Sollecitazioni nel paramento'!$G$41*IF(DATI!$G$211="dx",DATI!$E$61,DATI!$E$64*DATI!$E$63)*1000*C165*sezione!$AD$5</f>
        <v>-2062136.8989512036</v>
      </c>
      <c r="Q165" s="545">
        <f>'Foglio deposito bis'!$F$48*IF(ABS(K165)&lt;'Sollecitazioni nel paramento'!$G$58,ABS(K165)*'Sollecitazioni nel paramento'!$G$54,'Sollecitazioni nel paramento'!$G$53)*IF(K165&lt;0,-1,1)</f>
        <v>0</v>
      </c>
      <c r="R165" s="545">
        <f>'Foglio deposito bis'!$F$49*IF(ABS(L165)&lt;'Sollecitazioni nel paramento'!$G$58,ABS(L165)*'Sollecitazioni nel paramento'!$G$54,'Sollecitazioni nel paramento'!$G$53)*IF(L165&lt;0,-1,1)</f>
        <v>40949.591018534542</v>
      </c>
      <c r="S165" s="545">
        <f>'Foglio deposito bis'!$F$50*IF(ABS(M165)&lt;'Sollecitazioni nel paramento'!$G$58,ABS(M165)*'Sollecitazioni nel paramento'!$G$54,'Sollecitazioni nel paramento'!$G$53)*IF(M165&lt;0,-1,1)</f>
        <v>0</v>
      </c>
      <c r="T165" s="545">
        <f>'Foglio deposito bis'!$F$51*IF(ABS(N165)&lt;'Sollecitazioni nel paramento'!$G$58,ABS(N165)*'Sollecitazioni nel paramento'!$G$54,'Sollecitazioni nel paramento'!$G$53)*IF(N165&lt;0,-1,1)</f>
        <v>240946.49743184328</v>
      </c>
      <c r="U165" s="545">
        <f>'Foglio deposito bis'!$F$52*IF(ABS(O165)&lt;'Sollecitazioni nel paramento'!$G$58,ABS(O165)*'Sollecitazioni nel paramento'!$G$54,'Sollecitazioni nel paramento'!$G$53)*IF(O165&lt;0,-1,1)</f>
        <v>240946.49743184328</v>
      </c>
      <c r="V165" s="472">
        <f t="shared" si="15"/>
        <v>-1539294.3130689824</v>
      </c>
      <c r="W165" s="551"/>
      <c r="X165" s="551"/>
    </row>
    <row r="166" spans="1:24" x14ac:dyDescent="0.25">
      <c r="A166" s="545">
        <f t="shared" si="14"/>
        <v>1568942.8036898456</v>
      </c>
      <c r="B166" s="3">
        <f t="shared" si="12"/>
        <v>16.899999999999963</v>
      </c>
      <c r="C166" s="545">
        <f>'Foglio deposito bis'!$E$153/$B$247*B166</f>
        <v>54.776836738799503</v>
      </c>
      <c r="D166" s="603">
        <f>-'Sollecitazioni nel paramento'!$G$47*'Sollecitazioni nel paramento'!$G$41*IF(DATI!$G$211="dx",DATI!$E$61,DATI!$E$64*DATI!$E$63)*1000*C166^2*sezione!$AD$5*(1-sezione!$AD$6)</f>
        <v>-66757109.330685474</v>
      </c>
      <c r="E166" s="545">
        <f>-'Foglio deposito bis'!$F$48*(C166-sezione!$AL$27)*IF(ABS(K166)&lt;'Sollecitazioni nel paramento'!$G$58,ABS(K166)*'Sollecitazioni nel paramento'!$G$54,'Sollecitazioni nel paramento'!$G$53)</f>
        <v>0</v>
      </c>
      <c r="F166" s="545">
        <f>-'Foglio deposito bis'!$F$49*(C166-sezione!$AM$27)*IF(ABS(L166)&lt;'Sollecitazioni nel paramento'!$G$58,ABS(L166)*'Sollecitazioni nel paramento'!$G$54,'Sollecitazioni nel paramento'!$G$53)</f>
        <v>188020.03959589353</v>
      </c>
      <c r="G166" s="545">
        <f>-'Foglio deposito bis'!$F$50*(C166-sezione!$AN$27)*IF(ABS(M166)&lt;'Sollecitazioni nel paramento'!$G$58,ABS(M166)*'Sollecitazioni nel paramento'!$G$54,'Sollecitazioni nel paramento'!$G$53)</f>
        <v>0</v>
      </c>
      <c r="H166" s="545">
        <f>-'Foglio deposito bis'!$F$51*(C166-sezione!$AO$27)*IF(ABS(N166)&lt;'Sollecitazioni nel paramento'!$G$58,ABS(N166)*'Sollecitazioni nel paramento'!$G$54,'Sollecitazioni nel paramento'!$G$53)</f>
        <v>25353152.636485271</v>
      </c>
      <c r="I166" s="472">
        <f>-'Foglio deposito bis'!$F$52*(C166-sezione!$AP$27)*IF(ABS(O166)&lt;'Sollecitazioni nel paramento'!$G$58,ABS(O166)*'Sollecitazioni nel paramento'!$G$54,'Sollecitazioni nel paramento'!$G$53)</f>
        <v>34877072.428096183</v>
      </c>
      <c r="J166" s="472">
        <f t="shared" si="13"/>
        <v>-6338864.2265081257</v>
      </c>
      <c r="K166" s="550">
        <f>'Sollecitazioni nel paramento'!$G$60*(sezione!$AL$27-C166)/C166</f>
        <v>-9.4417515988404524E-4</v>
      </c>
      <c r="L166" s="550">
        <f>'Sollecitazioni nel paramento'!$G$60*(sezione!$AM$27-C166)/C166</f>
        <v>3.3373726017393228E-4</v>
      </c>
      <c r="M166" s="551">
        <f>'Sollecitazioni nel paramento'!$G$60*(sezione!$AN$27-C166)/C166</f>
        <v>1.6116496802319098E-3</v>
      </c>
      <c r="N166" s="551">
        <f>'Sollecitazioni nel paramento'!$G$60*(sezione!$AO$27-C166)/C166</f>
        <v>6.7232993604638197E-3</v>
      </c>
      <c r="O166" s="551">
        <f>'Sollecitazioni nel paramento'!$G$60*(sezione!$AP$27-C166)/C166</f>
        <v>9.2489088876947165E-3</v>
      </c>
      <c r="P166" s="545">
        <f>-'Sollecitazioni nel paramento'!$G$47*'Sollecitazioni nel paramento'!$G$41*IF(DATI!$G$211="dx",DATI!$E$61,DATI!$E$64*DATI!$E$63)*1000*C166*sezione!$AD$5</f>
        <v>-2086833.1492380442</v>
      </c>
      <c r="Q166" s="545">
        <f>'Foglio deposito bis'!$F$48*IF(ABS(K166)&lt;'Sollecitazioni nel paramento'!$G$58,ABS(K166)*'Sollecitazioni nel paramento'!$G$54,'Sollecitazioni nel paramento'!$G$53)*IF(K166&lt;0,-1,1)</f>
        <v>0</v>
      </c>
      <c r="R166" s="545">
        <f>'Foglio deposito bis'!$F$49*IF(ABS(L166)&lt;'Sollecitazioni nel paramento'!$G$58,ABS(L166)*'Sollecitazioni nel paramento'!$G$54,'Sollecitazioni nel paramento'!$G$53)*IF(L166&lt;0,-1,1)</f>
        <v>35997.350684511977</v>
      </c>
      <c r="S166" s="545">
        <f>'Foglio deposito bis'!$F$50*IF(ABS(M166)&lt;'Sollecitazioni nel paramento'!$G$58,ABS(M166)*'Sollecitazioni nel paramento'!$G$54,'Sollecitazioni nel paramento'!$G$53)*IF(M166&lt;0,-1,1)</f>
        <v>0</v>
      </c>
      <c r="T166" s="545">
        <f>'Foglio deposito bis'!$F$51*IF(ABS(N166)&lt;'Sollecitazioni nel paramento'!$G$58,ABS(N166)*'Sollecitazioni nel paramento'!$G$54,'Sollecitazioni nel paramento'!$G$53)*IF(N166&lt;0,-1,1)</f>
        <v>240946.49743184328</v>
      </c>
      <c r="U166" s="545">
        <f>'Foglio deposito bis'!$F$52*IF(ABS(O166)&lt;'Sollecitazioni nel paramento'!$G$58,ABS(O166)*'Sollecitazioni nel paramento'!$G$54,'Sollecitazioni nel paramento'!$G$53)*IF(O166&lt;0,-1,1)</f>
        <v>240946.49743184328</v>
      </c>
      <c r="V166" s="472">
        <f t="shared" si="15"/>
        <v>-1568942.8036898456</v>
      </c>
      <c r="W166" s="551"/>
      <c r="X166" s="551"/>
    </row>
    <row r="167" spans="1:24" x14ac:dyDescent="0.25">
      <c r="A167" s="545">
        <f t="shared" si="14"/>
        <v>1598475.4524315502</v>
      </c>
      <c r="B167" s="3">
        <f t="shared" si="12"/>
        <v>17.099999999999962</v>
      </c>
      <c r="C167" s="545">
        <f>'Foglio deposito bis'!$E$153/$B$247*B167</f>
        <v>55.425083327424346</v>
      </c>
      <c r="D167" s="603">
        <f>-'Sollecitazioni nel paramento'!$G$47*'Sollecitazioni nel paramento'!$G$41*IF(DATI!$G$211="dx",DATI!$E$61,DATI!$E$64*DATI!$E$63)*1000*C167^2*sezione!$AD$5*(1-sezione!$AD$6)</f>
        <v>-68346508.66351226</v>
      </c>
      <c r="E167" s="545">
        <f>-'Foglio deposito bis'!$F$48*(C167-sezione!$AL$27)*IF(ABS(K167)&lt;'Sollecitazioni nel paramento'!$G$58,ABS(K167)*'Sollecitazioni nel paramento'!$G$54,'Sollecitazioni nel paramento'!$G$53)</f>
        <v>0</v>
      </c>
      <c r="F167" s="545">
        <f>-'Foglio deposito bis'!$F$49*(C167-sezione!$AM$27)*IF(ABS(L167)&lt;'Sollecitazioni nel paramento'!$G$58,ABS(L167)*'Sollecitazioni nel paramento'!$G$54,'Sollecitazioni nel paramento'!$G$53)</f>
        <v>142558.7598887494</v>
      </c>
      <c r="G167" s="545">
        <f>-'Foglio deposito bis'!$F$50*(C167-sezione!$AN$27)*IF(ABS(M167)&lt;'Sollecitazioni nel paramento'!$G$58,ABS(M167)*'Sollecitazioni nel paramento'!$G$54,'Sollecitazioni nel paramento'!$G$53)</f>
        <v>0</v>
      </c>
      <c r="H167" s="545">
        <f>-'Foglio deposito bis'!$F$51*(C167-sezione!$AO$27)*IF(ABS(N167)&lt;'Sollecitazioni nel paramento'!$G$58,ABS(N167)*'Sollecitazioni nel paramento'!$G$54,'Sollecitazioni nel paramento'!$G$53)</f>
        <v>25196959.891483974</v>
      </c>
      <c r="I167" s="472">
        <f>-'Foglio deposito bis'!$F$52*(C167-sezione!$AP$27)*IF(ABS(O167)&lt;'Sollecitazioni nel paramento'!$G$58,ABS(O167)*'Sollecitazioni nel paramento'!$G$54,'Sollecitazioni nel paramento'!$G$53)</f>
        <v>34720879.683094889</v>
      </c>
      <c r="J167" s="472">
        <f t="shared" si="13"/>
        <v>-8286110.3290446401</v>
      </c>
      <c r="K167" s="550">
        <f>'Sollecitazioni nel paramento'!$G$60*(sezione!$AL$27-C167)/C167</f>
        <v>-9.7406784807253571E-4</v>
      </c>
      <c r="L167" s="550">
        <f>'Sollecitazioni nel paramento'!$G$60*(sezione!$AM$27-C167)/C167</f>
        <v>2.8889822789119642E-4</v>
      </c>
      <c r="M167" s="551">
        <f>'Sollecitazioni nel paramento'!$G$60*(sezione!$AN$27-C167)/C167</f>
        <v>1.5518643038549287E-3</v>
      </c>
      <c r="N167" s="551">
        <f>'Sollecitazioni nel paramento'!$G$60*(sezione!$AO$27-C167)/C167</f>
        <v>6.6037286077098578E-3</v>
      </c>
      <c r="O167" s="551">
        <f>'Sollecitazioni nel paramento'!$G$60*(sezione!$AP$27-C167)/C167</f>
        <v>9.099798842224607E-3</v>
      </c>
      <c r="P167" s="545">
        <f>-'Sollecitazioni nel paramento'!$G$47*'Sollecitazioni nel paramento'!$G$41*IF(DATI!$G$211="dx",DATI!$E$61,DATI!$E$64*DATI!$E$63)*1000*C167*sezione!$AD$5</f>
        <v>-2111529.3995248848</v>
      </c>
      <c r="Q167" s="545">
        <f>'Foglio deposito bis'!$F$48*IF(ABS(K167)&lt;'Sollecitazioni nel paramento'!$G$58,ABS(K167)*'Sollecitazioni nel paramento'!$G$54,'Sollecitazioni nel paramento'!$G$53)*IF(K167&lt;0,-1,1)</f>
        <v>0</v>
      </c>
      <c r="R167" s="545">
        <f>'Foglio deposito bis'!$F$49*IF(ABS(L167)&lt;'Sollecitazioni nel paramento'!$G$58,ABS(L167)*'Sollecitazioni nel paramento'!$G$54,'Sollecitazioni nel paramento'!$G$53)*IF(L167&lt;0,-1,1)</f>
        <v>31160.952229647843</v>
      </c>
      <c r="S167" s="545">
        <f>'Foglio deposito bis'!$F$50*IF(ABS(M167)&lt;'Sollecitazioni nel paramento'!$G$58,ABS(M167)*'Sollecitazioni nel paramento'!$G$54,'Sollecitazioni nel paramento'!$G$53)*IF(M167&lt;0,-1,1)</f>
        <v>0</v>
      </c>
      <c r="T167" s="545">
        <f>'Foglio deposito bis'!$F$51*IF(ABS(N167)&lt;'Sollecitazioni nel paramento'!$G$58,ABS(N167)*'Sollecitazioni nel paramento'!$G$54,'Sollecitazioni nel paramento'!$G$53)*IF(N167&lt;0,-1,1)</f>
        <v>240946.49743184328</v>
      </c>
      <c r="U167" s="545">
        <f>'Foglio deposito bis'!$F$52*IF(ABS(O167)&lt;'Sollecitazioni nel paramento'!$G$58,ABS(O167)*'Sollecitazioni nel paramento'!$G$54,'Sollecitazioni nel paramento'!$G$53)*IF(O167&lt;0,-1,1)</f>
        <v>240946.49743184328</v>
      </c>
      <c r="V167" s="472">
        <f t="shared" si="15"/>
        <v>-1598475.4524315502</v>
      </c>
      <c r="W167" s="551"/>
      <c r="X167" s="551"/>
    </row>
    <row r="168" spans="1:24" x14ac:dyDescent="0.25">
      <c r="A168" s="545">
        <f t="shared" si="14"/>
        <v>1627896.2769315243</v>
      </c>
      <c r="B168" s="3">
        <f t="shared" si="12"/>
        <v>17.299999999999962</v>
      </c>
      <c r="C168" s="545">
        <f>'Foglio deposito bis'!$E$153/$B$247*B168</f>
        <v>56.07332991604919</v>
      </c>
      <c r="D168" s="603">
        <f>-'Sollecitazioni nel paramento'!$G$47*'Sollecitazioni nel paramento'!$G$41*IF(DATI!$G$211="dx",DATI!$E$61,DATI!$E$64*DATI!$E$63)*1000*C168^2*sezione!$AD$5*(1-sezione!$AD$6)</f>
        <v>-69954606.812019378</v>
      </c>
      <c r="E168" s="545">
        <f>-'Foglio deposito bis'!$F$48*(C168-sezione!$AL$27)*IF(ABS(K168)&lt;'Sollecitazioni nel paramento'!$G$58,ABS(K168)*'Sollecitazioni nel paramento'!$G$54,'Sollecitazioni nel paramento'!$G$53)</f>
        <v>0</v>
      </c>
      <c r="F168" s="545">
        <f>-'Foglio deposito bis'!$F$49*(C168-sezione!$AM$27)*IF(ABS(L168)&lt;'Sollecitazioni nel paramento'!$G$58,ABS(L168)*'Sollecitazioni nel paramento'!$G$54,'Sollecitazioni nel paramento'!$G$53)</f>
        <v>103806.93468546298</v>
      </c>
      <c r="G168" s="545">
        <f>-'Foglio deposito bis'!$F$50*(C168-sezione!$AN$27)*IF(ABS(M168)&lt;'Sollecitazioni nel paramento'!$G$58,ABS(M168)*'Sollecitazioni nel paramento'!$G$54,'Sollecitazioni nel paramento'!$G$53)</f>
        <v>0</v>
      </c>
      <c r="H168" s="545">
        <f>-'Foglio deposito bis'!$F$51*(C168-sezione!$AO$27)*IF(ABS(N168)&lt;'Sollecitazioni nel paramento'!$G$58,ABS(N168)*'Sollecitazioni nel paramento'!$G$54,'Sollecitazioni nel paramento'!$G$53)</f>
        <v>25040767.146482676</v>
      </c>
      <c r="I168" s="472">
        <f>-'Foglio deposito bis'!$F$52*(C168-sezione!$AP$27)*IF(ABS(O168)&lt;'Sollecitazioni nel paramento'!$G$58,ABS(O168)*'Sollecitazioni nel paramento'!$G$54,'Sollecitazioni nel paramento'!$G$53)</f>
        <v>34564686.938093595</v>
      </c>
      <c r="J168" s="472">
        <f t="shared" si="13"/>
        <v>-10245345.792757638</v>
      </c>
      <c r="K168" s="550">
        <f>'Sollecitazioni nel paramento'!$G$60*(sezione!$AL$27-C168)/C168</f>
        <v>-1.0032693758404833E-3</v>
      </c>
      <c r="L168" s="550">
        <f>'Sollecitazioni nel paramento'!$G$60*(sezione!$AM$27-C168)/C168</f>
        <v>2.450959362392752E-4</v>
      </c>
      <c r="M168" s="551">
        <f>'Sollecitazioni nel paramento'!$G$60*(sezione!$AN$27-C168)/C168</f>
        <v>1.4934612483190337E-3</v>
      </c>
      <c r="N168" s="551">
        <f>'Sollecitazioni nel paramento'!$G$60*(sezione!$AO$27-C168)/C168</f>
        <v>6.4869224966380675E-3</v>
      </c>
      <c r="O168" s="551">
        <f>'Sollecitazioni nel paramento'!$G$60*(sezione!$AP$27-C168)/C168</f>
        <v>8.9541364278636296E-3</v>
      </c>
      <c r="P168" s="545">
        <f>-'Sollecitazioni nel paramento'!$G$47*'Sollecitazioni nel paramento'!$G$41*IF(DATI!$G$211="dx",DATI!$E$61,DATI!$E$64*DATI!$E$63)*1000*C168*sezione!$AD$5</f>
        <v>-2136225.6498117256</v>
      </c>
      <c r="Q168" s="545">
        <f>'Foglio deposito bis'!$F$48*IF(ABS(K168)&lt;'Sollecitazioni nel paramento'!$G$58,ABS(K168)*'Sollecitazioni nel paramento'!$G$54,'Sollecitazioni nel paramento'!$G$53)*IF(K168&lt;0,-1,1)</f>
        <v>0</v>
      </c>
      <c r="R168" s="545">
        <f>'Foglio deposito bis'!$F$49*IF(ABS(L168)&lt;'Sollecitazioni nel paramento'!$G$58,ABS(L168)*'Sollecitazioni nel paramento'!$G$54,'Sollecitazioni nel paramento'!$G$53)*IF(L168&lt;0,-1,1)</f>
        <v>26436.378016514664</v>
      </c>
      <c r="S168" s="545">
        <f>'Foglio deposito bis'!$F$50*IF(ABS(M168)&lt;'Sollecitazioni nel paramento'!$G$58,ABS(M168)*'Sollecitazioni nel paramento'!$G$54,'Sollecitazioni nel paramento'!$G$53)*IF(M168&lt;0,-1,1)</f>
        <v>0</v>
      </c>
      <c r="T168" s="545">
        <f>'Foglio deposito bis'!$F$51*IF(ABS(N168)&lt;'Sollecitazioni nel paramento'!$G$58,ABS(N168)*'Sollecitazioni nel paramento'!$G$54,'Sollecitazioni nel paramento'!$G$53)*IF(N168&lt;0,-1,1)</f>
        <v>240946.49743184328</v>
      </c>
      <c r="U168" s="545">
        <f>'Foglio deposito bis'!$F$52*IF(ABS(O168)&lt;'Sollecitazioni nel paramento'!$G$58,ABS(O168)*'Sollecitazioni nel paramento'!$G$54,'Sollecitazioni nel paramento'!$G$53)*IF(O168&lt;0,-1,1)</f>
        <v>240946.49743184328</v>
      </c>
      <c r="V168" s="472">
        <f t="shared" si="15"/>
        <v>-1627896.2769315243</v>
      </c>
      <c r="W168" s="551"/>
      <c r="X168" s="551"/>
    </row>
    <row r="169" spans="1:24" x14ac:dyDescent="0.25">
      <c r="A169" s="545">
        <f t="shared" si="14"/>
        <v>1657209.1111637694</v>
      </c>
      <c r="B169" s="3">
        <f t="shared" si="12"/>
        <v>17.499999999999961</v>
      </c>
      <c r="C169" s="545">
        <f>'Foglio deposito bis'!$E$153/$B$247*B169</f>
        <v>56.72157650467404</v>
      </c>
      <c r="D169" s="603">
        <f>-'Sollecitazioni nel paramento'!$G$47*'Sollecitazioni nel paramento'!$G$41*IF(DATI!$G$211="dx",DATI!$E$61,DATI!$E$64*DATI!$E$63)*1000*C169^2*sezione!$AD$5*(1-sezione!$AD$6)</f>
        <v>-71581403.776206806</v>
      </c>
      <c r="E169" s="545">
        <f>-'Foglio deposito bis'!$F$48*(C169-sezione!$AL$27)*IF(ABS(K169)&lt;'Sollecitazioni nel paramento'!$G$58,ABS(K169)*'Sollecitazioni nel paramento'!$G$54,'Sollecitazioni nel paramento'!$G$53)</f>
        <v>0</v>
      </c>
      <c r="F169" s="545">
        <f>-'Foglio deposito bis'!$F$49*(C169-sezione!$AM$27)*IF(ABS(L169)&lt;'Sollecitazioni nel paramento'!$G$58,ABS(L169)*'Sollecitazioni nel paramento'!$G$54,'Sollecitazioni nel paramento'!$G$53)</f>
        <v>71534.525545901764</v>
      </c>
      <c r="G169" s="545">
        <f>-'Foglio deposito bis'!$F$50*(C169-sezione!$AN$27)*IF(ABS(M169)&lt;'Sollecitazioni nel paramento'!$G$58,ABS(M169)*'Sollecitazioni nel paramento'!$G$54,'Sollecitazioni nel paramento'!$G$53)</f>
        <v>0</v>
      </c>
      <c r="H169" s="545">
        <f>-'Foglio deposito bis'!$F$51*(C169-sezione!$AO$27)*IF(ABS(N169)&lt;'Sollecitazioni nel paramento'!$G$58,ABS(N169)*'Sollecitazioni nel paramento'!$G$54,'Sollecitazioni nel paramento'!$G$53)</f>
        <v>24884574.401481379</v>
      </c>
      <c r="I169" s="472">
        <f>-'Foglio deposito bis'!$F$52*(C169-sezione!$AP$27)*IF(ABS(O169)&lt;'Sollecitazioni nel paramento'!$G$58,ABS(O169)*'Sollecitazioni nel paramento'!$G$54,'Sollecitazioni nel paramento'!$G$53)</f>
        <v>34408494.193092294</v>
      </c>
      <c r="J169" s="472">
        <f t="shared" si="13"/>
        <v>-12216800.656087242</v>
      </c>
      <c r="K169" s="550">
        <f>'Sollecitazioni nel paramento'!$G$60*(sezione!$AL$27-C169)/C169</f>
        <v>-1.0318034401165922E-3</v>
      </c>
      <c r="L169" s="550">
        <f>'Sollecitazioni nel paramento'!$G$60*(sezione!$AM$27-C169)/C169</f>
        <v>2.022948398251118E-4</v>
      </c>
      <c r="M169" s="551">
        <f>'Sollecitazioni nel paramento'!$G$60*(sezione!$AN$27-C169)/C169</f>
        <v>1.4363931197668156E-3</v>
      </c>
      <c r="N169" s="551">
        <f>'Sollecitazioni nel paramento'!$G$60*(sezione!$AO$27-C169)/C169</f>
        <v>6.3727862395336317E-3</v>
      </c>
      <c r="O169" s="551">
        <f>'Sollecitazioni nel paramento'!$G$60*(sezione!$AP$27-C169)/C169</f>
        <v>8.811803440116615E-3</v>
      </c>
      <c r="P169" s="545">
        <f>-'Sollecitazioni nel paramento'!$G$47*'Sollecitazioni nel paramento'!$G$41*IF(DATI!$G$211="dx",DATI!$E$61,DATI!$E$64*DATI!$E$63)*1000*C169*sezione!$AD$5</f>
        <v>-2160921.9000985664</v>
      </c>
      <c r="Q169" s="545">
        <f>'Foglio deposito bis'!$F$48*IF(ABS(K169)&lt;'Sollecitazioni nel paramento'!$G$58,ABS(K169)*'Sollecitazioni nel paramento'!$G$54,'Sollecitazioni nel paramento'!$G$53)*IF(K169&lt;0,-1,1)</f>
        <v>0</v>
      </c>
      <c r="R169" s="545">
        <f>'Foglio deposito bis'!$F$49*IF(ABS(L169)&lt;'Sollecitazioni nel paramento'!$G$58,ABS(L169)*'Sollecitazioni nel paramento'!$G$54,'Sollecitazioni nel paramento'!$G$53)*IF(L169&lt;0,-1,1)</f>
        <v>21819.794071110202</v>
      </c>
      <c r="S169" s="545">
        <f>'Foglio deposito bis'!$F$50*IF(ABS(M169)&lt;'Sollecitazioni nel paramento'!$G$58,ABS(M169)*'Sollecitazioni nel paramento'!$G$54,'Sollecitazioni nel paramento'!$G$53)*IF(M169&lt;0,-1,1)</f>
        <v>0</v>
      </c>
      <c r="T169" s="545">
        <f>'Foglio deposito bis'!$F$51*IF(ABS(N169)&lt;'Sollecitazioni nel paramento'!$G$58,ABS(N169)*'Sollecitazioni nel paramento'!$G$54,'Sollecitazioni nel paramento'!$G$53)*IF(N169&lt;0,-1,1)</f>
        <v>240946.49743184328</v>
      </c>
      <c r="U169" s="545">
        <f>'Foglio deposito bis'!$F$52*IF(ABS(O169)&lt;'Sollecitazioni nel paramento'!$G$58,ABS(O169)*'Sollecitazioni nel paramento'!$G$54,'Sollecitazioni nel paramento'!$G$53)*IF(O169&lt;0,-1,1)</f>
        <v>240946.49743184328</v>
      </c>
      <c r="V169" s="472">
        <f t="shared" si="15"/>
        <v>-1657209.1111637694</v>
      </c>
      <c r="W169" s="551"/>
      <c r="X169" s="551"/>
    </row>
    <row r="170" spans="1:24" x14ac:dyDescent="0.25">
      <c r="A170" s="545">
        <f t="shared" si="14"/>
        <v>1686417.6158153275</v>
      </c>
      <c r="B170" s="3">
        <f t="shared" si="12"/>
        <v>17.69999999999996</v>
      </c>
      <c r="C170" s="545">
        <f>'Foglio deposito bis'!$E$153/$B$247*B170</f>
        <v>57.369823093298884</v>
      </c>
      <c r="D170" s="603">
        <f>-'Sollecitazioni nel paramento'!$G$47*'Sollecitazioni nel paramento'!$G$41*IF(DATI!$G$211="dx",DATI!$E$61,DATI!$E$64*DATI!$E$63)*1000*C170^2*sezione!$AD$5*(1-sezione!$AD$6)</f>
        <v>-73226899.556074545</v>
      </c>
      <c r="E170" s="545">
        <f>-'Foglio deposito bis'!$F$48*(C170-sezione!$AL$27)*IF(ABS(K170)&lt;'Sollecitazioni nel paramento'!$G$58,ABS(K170)*'Sollecitazioni nel paramento'!$G$54,'Sollecitazioni nel paramento'!$G$53)</f>
        <v>0</v>
      </c>
      <c r="F170" s="545">
        <f>-'Foglio deposito bis'!$F$49*(C170-sezione!$AM$27)*IF(ABS(L170)&lt;'Sollecitazioni nel paramento'!$G$58,ABS(L170)*'Sollecitazioni nel paramento'!$G$54,'Sollecitazioni nel paramento'!$G$53)</f>
        <v>45521.891247567204</v>
      </c>
      <c r="G170" s="545">
        <f>-'Foglio deposito bis'!$F$50*(C170-sezione!$AN$27)*IF(ABS(M170)&lt;'Sollecitazioni nel paramento'!$G$58,ABS(M170)*'Sollecitazioni nel paramento'!$G$54,'Sollecitazioni nel paramento'!$G$53)</f>
        <v>0</v>
      </c>
      <c r="H170" s="545">
        <f>-'Foglio deposito bis'!$F$51*(C170-sezione!$AO$27)*IF(ABS(N170)&lt;'Sollecitazioni nel paramento'!$G$58,ABS(N170)*'Sollecitazioni nel paramento'!$G$54,'Sollecitazioni nel paramento'!$G$53)</f>
        <v>24728381.656480081</v>
      </c>
      <c r="I170" s="472">
        <f>-'Foglio deposito bis'!$F$52*(C170-sezione!$AP$27)*IF(ABS(O170)&lt;'Sollecitazioni nel paramento'!$G$58,ABS(O170)*'Sollecitazioni nel paramento'!$G$54,'Sollecitazioni nel paramento'!$G$53)</f>
        <v>34252301.448091</v>
      </c>
      <c r="J170" s="472">
        <f t="shared" si="13"/>
        <v>-14200694.560255893</v>
      </c>
      <c r="K170" s="550">
        <f>'Sollecitazioni nel paramento'!$G$60*(sezione!$AL$27-C170)/C170</f>
        <v>-1.0596926667819412E-3</v>
      </c>
      <c r="L170" s="550">
        <f>'Sollecitazioni nel paramento'!$G$60*(sezione!$AM$27-C170)/C170</f>
        <v>1.6046099982708811E-4</v>
      </c>
      <c r="M170" s="551">
        <f>'Sollecitazioni nel paramento'!$G$60*(sezione!$AN$27-C170)/C170</f>
        <v>1.3806146664361175E-3</v>
      </c>
      <c r="N170" s="551">
        <f>'Sollecitazioni nel paramento'!$G$60*(sezione!$AO$27-C170)/C170</f>
        <v>6.2612293328722351E-3</v>
      </c>
      <c r="O170" s="551">
        <f>'Sollecitazioni nel paramento'!$G$60*(sezione!$AP$27-C170)/C170</f>
        <v>8.6726870170644489E-3</v>
      </c>
      <c r="P170" s="545">
        <f>-'Sollecitazioni nel paramento'!$G$47*'Sollecitazioni nel paramento'!$G$41*IF(DATI!$G$211="dx",DATI!$E$61,DATI!$E$64*DATI!$E$63)*1000*C170*sezione!$AD$5</f>
        <v>-2185618.1503854068</v>
      </c>
      <c r="Q170" s="545">
        <f>'Foglio deposito bis'!$F$48*IF(ABS(K170)&lt;'Sollecitazioni nel paramento'!$G$58,ABS(K170)*'Sollecitazioni nel paramento'!$G$54,'Sollecitazioni nel paramento'!$G$53)*IF(K170&lt;0,-1,1)</f>
        <v>0</v>
      </c>
      <c r="R170" s="545">
        <f>'Foglio deposito bis'!$F$49*IF(ABS(L170)&lt;'Sollecitazioni nel paramento'!$G$58,ABS(L170)*'Sollecitazioni nel paramento'!$G$54,'Sollecitazioni nel paramento'!$G$53)*IF(L170&lt;0,-1,1)</f>
        <v>17307.53970639289</v>
      </c>
      <c r="S170" s="545">
        <f>'Foglio deposito bis'!$F$50*IF(ABS(M170)&lt;'Sollecitazioni nel paramento'!$G$58,ABS(M170)*'Sollecitazioni nel paramento'!$G$54,'Sollecitazioni nel paramento'!$G$53)*IF(M170&lt;0,-1,1)</f>
        <v>0</v>
      </c>
      <c r="T170" s="545">
        <f>'Foglio deposito bis'!$F$51*IF(ABS(N170)&lt;'Sollecitazioni nel paramento'!$G$58,ABS(N170)*'Sollecitazioni nel paramento'!$G$54,'Sollecitazioni nel paramento'!$G$53)*IF(N170&lt;0,-1,1)</f>
        <v>240946.49743184328</v>
      </c>
      <c r="U170" s="545">
        <f>'Foglio deposito bis'!$F$52*IF(ABS(O170)&lt;'Sollecitazioni nel paramento'!$G$58,ABS(O170)*'Sollecitazioni nel paramento'!$G$54,'Sollecitazioni nel paramento'!$G$53)*IF(O170&lt;0,-1,1)</f>
        <v>240946.49743184328</v>
      </c>
      <c r="V170" s="472">
        <f t="shared" si="15"/>
        <v>-1686417.6158153275</v>
      </c>
      <c r="W170" s="551"/>
      <c r="X170" s="551"/>
    </row>
    <row r="171" spans="1:24" x14ac:dyDescent="0.25">
      <c r="A171" s="545">
        <f t="shared" si="14"/>
        <v>1715525.2879671152</v>
      </c>
      <c r="B171" s="3">
        <f t="shared" si="12"/>
        <v>17.899999999999959</v>
      </c>
      <c r="C171" s="545">
        <f>'Foglio deposito bis'!$E$153/$B$247*B171</f>
        <v>58.018069681923727</v>
      </c>
      <c r="D171" s="603">
        <f>-'Sollecitazioni nel paramento'!$G$47*'Sollecitazioni nel paramento'!$G$41*IF(DATI!$G$211="dx",DATI!$E$61,DATI!$E$64*DATI!$E$63)*1000*C171^2*sezione!$AD$5*(1-sezione!$AD$6)</f>
        <v>-74891094.151622579</v>
      </c>
      <c r="E171" s="545">
        <f>-'Foglio deposito bis'!$F$48*(C171-sezione!$AL$27)*IF(ABS(K171)&lt;'Sollecitazioni nel paramento'!$G$58,ABS(K171)*'Sollecitazioni nel paramento'!$G$54,'Sollecitazioni nel paramento'!$G$53)</f>
        <v>0</v>
      </c>
      <c r="F171" s="545">
        <f>-'Foglio deposito bis'!$F$49*(C171-sezione!$AM$27)*IF(ABS(L171)&lt;'Sollecitazioni nel paramento'!$G$58,ABS(L171)*'Sollecitazioni nel paramento'!$G$54,'Sollecitazioni nel paramento'!$G$53)</f>
        <v>25559.206935445764</v>
      </c>
      <c r="G171" s="545">
        <f>-'Foglio deposito bis'!$F$50*(C171-sezione!$AN$27)*IF(ABS(M171)&lt;'Sollecitazioni nel paramento'!$G$58,ABS(M171)*'Sollecitazioni nel paramento'!$G$54,'Sollecitazioni nel paramento'!$G$53)</f>
        <v>0</v>
      </c>
      <c r="H171" s="545">
        <f>-'Foglio deposito bis'!$F$51*(C171-sezione!$AO$27)*IF(ABS(N171)&lt;'Sollecitazioni nel paramento'!$G$58,ABS(N171)*'Sollecitazioni nel paramento'!$G$54,'Sollecitazioni nel paramento'!$G$53)</f>
        <v>24572188.911478784</v>
      </c>
      <c r="I171" s="472">
        <f>-'Foglio deposito bis'!$F$52*(C171-sezione!$AP$27)*IF(ABS(O171)&lt;'Sollecitazioni nel paramento'!$G$58,ABS(O171)*'Sollecitazioni nel paramento'!$G$54,'Sollecitazioni nel paramento'!$G$53)</f>
        <v>34096108.703089707</v>
      </c>
      <c r="J171" s="472">
        <f t="shared" si="13"/>
        <v>-16197237.330118634</v>
      </c>
      <c r="K171" s="550">
        <f>'Sollecitazioni nel paramento'!$G$60*(sezione!$AL$27-C171)/C171</f>
        <v>-1.0869586705050478E-3</v>
      </c>
      <c r="L171" s="550">
        <f>'Sollecitazioni nel paramento'!$G$60*(sezione!$AM$27-C171)/C171</f>
        <v>1.1956199424242808E-4</v>
      </c>
      <c r="M171" s="551">
        <f>'Sollecitazioni nel paramento'!$G$60*(sezione!$AN$27-C171)/C171</f>
        <v>1.3260826589899042E-3</v>
      </c>
      <c r="N171" s="551">
        <f>'Sollecitazioni nel paramento'!$G$60*(sezione!$AO$27-C171)/C171</f>
        <v>6.1521653179798085E-3</v>
      </c>
      <c r="O171" s="551">
        <f>'Sollecitazioni nel paramento'!$G$60*(sezione!$AP$27-C171)/C171</f>
        <v>8.5366793408961326E-3</v>
      </c>
      <c r="P171" s="545">
        <f>-'Sollecitazioni nel paramento'!$G$47*'Sollecitazioni nel paramento'!$G$41*IF(DATI!$G$211="dx",DATI!$E$61,DATI!$E$64*DATI!$E$63)*1000*C171*sezione!$AD$5</f>
        <v>-2210314.4006722476</v>
      </c>
      <c r="Q171" s="545">
        <f>'Foglio deposito bis'!$F$48*IF(ABS(K171)&lt;'Sollecitazioni nel paramento'!$G$58,ABS(K171)*'Sollecitazioni nel paramento'!$G$54,'Sollecitazioni nel paramento'!$G$53)*IF(K171&lt;0,-1,1)</f>
        <v>0</v>
      </c>
      <c r="R171" s="545">
        <f>'Foglio deposito bis'!$F$49*IF(ABS(L171)&lt;'Sollecitazioni nel paramento'!$G$58,ABS(L171)*'Sollecitazioni nel paramento'!$G$54,'Sollecitazioni nel paramento'!$G$53)*IF(L171&lt;0,-1,1)</f>
        <v>12896.117841445797</v>
      </c>
      <c r="S171" s="545">
        <f>'Foglio deposito bis'!$F$50*IF(ABS(M171)&lt;'Sollecitazioni nel paramento'!$G$58,ABS(M171)*'Sollecitazioni nel paramento'!$G$54,'Sollecitazioni nel paramento'!$G$53)*IF(M171&lt;0,-1,1)</f>
        <v>0</v>
      </c>
      <c r="T171" s="545">
        <f>'Foglio deposito bis'!$F$51*IF(ABS(N171)&lt;'Sollecitazioni nel paramento'!$G$58,ABS(N171)*'Sollecitazioni nel paramento'!$G$54,'Sollecitazioni nel paramento'!$G$53)*IF(N171&lt;0,-1,1)</f>
        <v>240946.49743184328</v>
      </c>
      <c r="U171" s="545">
        <f>'Foglio deposito bis'!$F$52*IF(ABS(O171)&lt;'Sollecitazioni nel paramento'!$G$58,ABS(O171)*'Sollecitazioni nel paramento'!$G$54,'Sollecitazioni nel paramento'!$G$53)*IF(O171&lt;0,-1,1)</f>
        <v>240946.49743184328</v>
      </c>
      <c r="V171" s="472">
        <f t="shared" si="15"/>
        <v>-1715525.2879671152</v>
      </c>
      <c r="W171" s="551"/>
      <c r="X171" s="551"/>
    </row>
    <row r="172" spans="1:24" x14ac:dyDescent="0.25">
      <c r="A172" s="545">
        <f t="shared" si="14"/>
        <v>1744535.4701329377</v>
      </c>
      <c r="B172" s="3">
        <f t="shared" si="12"/>
        <v>18.099999999999959</v>
      </c>
      <c r="C172" s="545">
        <f>'Foglio deposito bis'!$E$153/$B$247*B172</f>
        <v>58.66631627054857</v>
      </c>
      <c r="D172" s="603">
        <f>-'Sollecitazioni nel paramento'!$G$47*'Sollecitazioni nel paramento'!$G$41*IF(DATI!$G$211="dx",DATI!$E$61,DATI!$E$64*DATI!$E$63)*1000*C172^2*sezione!$AD$5*(1-sezione!$AD$6)</f>
        <v>-76573987.562850952</v>
      </c>
      <c r="E172" s="545">
        <f>-'Foglio deposito bis'!$F$48*(C172-sezione!$AL$27)*IF(ABS(K172)&lt;'Sollecitazioni nel paramento'!$G$58,ABS(K172)*'Sollecitazioni nel paramento'!$G$54,'Sollecitazioni nel paramento'!$G$53)</f>
        <v>0</v>
      </c>
      <c r="F172" s="545">
        <f>-'Foglio deposito bis'!$F$49*(C172-sezione!$AM$27)*IF(ABS(L172)&lt;'Sollecitazioni nel paramento'!$G$58,ABS(L172)*'Sollecitazioni nel paramento'!$G$54,'Sollecitazioni nel paramento'!$G$53)</f>
        <v>11445.92178126521</v>
      </c>
      <c r="G172" s="545">
        <f>-'Foglio deposito bis'!$F$50*(C172-sezione!$AN$27)*IF(ABS(M172)&lt;'Sollecitazioni nel paramento'!$G$58,ABS(M172)*'Sollecitazioni nel paramento'!$G$54,'Sollecitazioni nel paramento'!$G$53)</f>
        <v>0</v>
      </c>
      <c r="H172" s="545">
        <f>-'Foglio deposito bis'!$F$51*(C172-sezione!$AO$27)*IF(ABS(N172)&lt;'Sollecitazioni nel paramento'!$G$58,ABS(N172)*'Sollecitazioni nel paramento'!$G$54,'Sollecitazioni nel paramento'!$G$53)</f>
        <v>24415996.166477483</v>
      </c>
      <c r="I172" s="472">
        <f>-'Foglio deposito bis'!$F$52*(C172-sezione!$AP$27)*IF(ABS(O172)&lt;'Sollecitazioni nel paramento'!$G$58,ABS(O172)*'Sollecitazioni nel paramento'!$G$54,'Sollecitazioni nel paramento'!$G$53)</f>
        <v>33939915.958088398</v>
      </c>
      <c r="J172" s="472">
        <f t="shared" si="13"/>
        <v>-18206629.516503796</v>
      </c>
      <c r="K172" s="550">
        <f>'Sollecitazioni nel paramento'!$G$60*(sezione!$AL$27-C172)/C172</f>
        <v>-1.1136221106099644E-3</v>
      </c>
      <c r="L172" s="550">
        <f>'Sollecitazioni nel paramento'!$G$60*(sezione!$AM$27-C172)/C172</f>
        <v>7.9566834085053348E-5</v>
      </c>
      <c r="M172" s="551">
        <f>'Sollecitazioni nel paramento'!$G$60*(sezione!$AN$27-C172)/C172</f>
        <v>1.2727557787800712E-3</v>
      </c>
      <c r="N172" s="551">
        <f>'Sollecitazioni nel paramento'!$G$60*(sezione!$AO$27-C172)/C172</f>
        <v>6.0455115575601421E-3</v>
      </c>
      <c r="O172" s="551">
        <f>'Sollecitazioni nel paramento'!$G$60*(sezione!$AP$27-C172)/C172</f>
        <v>8.4036773592287718E-3</v>
      </c>
      <c r="P172" s="545">
        <f>-'Sollecitazioni nel paramento'!$G$47*'Sollecitazioni nel paramento'!$G$41*IF(DATI!$G$211="dx",DATI!$E$61,DATI!$E$64*DATI!$E$63)*1000*C172*sezione!$AD$5</f>
        <v>-2235010.6509590885</v>
      </c>
      <c r="Q172" s="545">
        <f>'Foglio deposito bis'!$F$48*IF(ABS(K172)&lt;'Sollecitazioni nel paramento'!$G$58,ABS(K172)*'Sollecitazioni nel paramento'!$G$54,'Sollecitazioni nel paramento'!$G$53)*IF(K172&lt;0,-1,1)</f>
        <v>0</v>
      </c>
      <c r="R172" s="545">
        <f>'Foglio deposito bis'!$F$49*IF(ABS(L172)&lt;'Sollecitazioni nel paramento'!$G$58,ABS(L172)*'Sollecitazioni nel paramento'!$G$54,'Sollecitazioni nel paramento'!$G$53)*IF(L172&lt;0,-1,1)</f>
        <v>8582.1859624643857</v>
      </c>
      <c r="S172" s="545">
        <f>'Foglio deposito bis'!$F$50*IF(ABS(M172)&lt;'Sollecitazioni nel paramento'!$G$58,ABS(M172)*'Sollecitazioni nel paramento'!$G$54,'Sollecitazioni nel paramento'!$G$53)*IF(M172&lt;0,-1,1)</f>
        <v>0</v>
      </c>
      <c r="T172" s="545">
        <f>'Foglio deposito bis'!$F$51*IF(ABS(N172)&lt;'Sollecitazioni nel paramento'!$G$58,ABS(N172)*'Sollecitazioni nel paramento'!$G$54,'Sollecitazioni nel paramento'!$G$53)*IF(N172&lt;0,-1,1)</f>
        <v>240946.49743184328</v>
      </c>
      <c r="U172" s="545">
        <f>'Foglio deposito bis'!$F$52*IF(ABS(O172)&lt;'Sollecitazioni nel paramento'!$G$58,ABS(O172)*'Sollecitazioni nel paramento'!$G$54,'Sollecitazioni nel paramento'!$G$53)*IF(O172&lt;0,-1,1)</f>
        <v>240946.49743184328</v>
      </c>
      <c r="V172" s="472">
        <f t="shared" si="15"/>
        <v>-1744535.4701329377</v>
      </c>
      <c r="W172" s="551"/>
      <c r="X172" s="551"/>
    </row>
    <row r="173" spans="1:24" x14ac:dyDescent="0.25">
      <c r="A173" s="545">
        <f t="shared" si="14"/>
        <v>1773451.3587057767</v>
      </c>
      <c r="B173" s="3">
        <f t="shared" ref="B173:B196" si="16">B172+0.2</f>
        <v>18.299999999999958</v>
      </c>
      <c r="C173" s="545">
        <f>'Foglio deposito bis'!$E$153/$B$247*B173</f>
        <v>59.314562859173421</v>
      </c>
      <c r="D173" s="603">
        <f>-'Sollecitazioni nel paramento'!$G$47*'Sollecitazioni nel paramento'!$G$41*IF(DATI!$G$211="dx",DATI!$E$61,DATI!$E$64*DATI!$E$63)*1000*C173^2*sezione!$AD$5*(1-sezione!$AD$6)</f>
        <v>-78275579.789759651</v>
      </c>
      <c r="E173" s="545">
        <f>-'Foglio deposito bis'!$F$48*(C173-sezione!$AL$27)*IF(ABS(K173)&lt;'Sollecitazioni nel paramento'!$G$58,ABS(K173)*'Sollecitazioni nel paramento'!$G$54,'Sollecitazioni nel paramento'!$G$53)</f>
        <v>0</v>
      </c>
      <c r="F173" s="545">
        <f>-'Foglio deposito bis'!$F$49*(C173-sezione!$AM$27)*IF(ABS(L173)&lt;'Sollecitazioni nel paramento'!$G$58,ABS(L173)*'Sollecitazioni nel paramento'!$G$54,'Sollecitazioni nel paramento'!$G$53)</f>
        <v>2990.2522060765805</v>
      </c>
      <c r="G173" s="545">
        <f>-'Foglio deposito bis'!$F$50*(C173-sezione!$AN$27)*IF(ABS(M173)&lt;'Sollecitazioni nel paramento'!$G$58,ABS(M173)*'Sollecitazioni nel paramento'!$G$54,'Sollecitazioni nel paramento'!$G$53)</f>
        <v>0</v>
      </c>
      <c r="H173" s="545">
        <f>-'Foglio deposito bis'!$F$51*(C173-sezione!$AO$27)*IF(ABS(N173)&lt;'Sollecitazioni nel paramento'!$G$58,ABS(N173)*'Sollecitazioni nel paramento'!$G$54,'Sollecitazioni nel paramento'!$G$53)</f>
        <v>24259803.421476189</v>
      </c>
      <c r="I173" s="472">
        <f>-'Foglio deposito bis'!$F$52*(C173-sezione!$AP$27)*IF(ABS(O173)&lt;'Sollecitazioni nel paramento'!$G$58,ABS(O173)*'Sollecitazioni nel paramento'!$G$54,'Sollecitazioni nel paramento'!$G$53)</f>
        <v>33783723.213087104</v>
      </c>
      <c r="J173" s="472">
        <f t="shared" si="13"/>
        <v>-20229062.902990289</v>
      </c>
      <c r="K173" s="550">
        <f>'Sollecitazioni nel paramento'!$G$60*(sezione!$AL$27-C173)/C173</f>
        <v>-1.1397027432808941E-3</v>
      </c>
      <c r="L173" s="550">
        <f>'Sollecitazioni nel paramento'!$G$60*(sezione!$AM$27-C173)/C173</f>
        <v>4.0445885078659055E-5</v>
      </c>
      <c r="M173" s="551">
        <f>'Sollecitazioni nel paramento'!$G$60*(sezione!$AN$27-C173)/C173</f>
        <v>1.2205945134382123E-3</v>
      </c>
      <c r="N173" s="551">
        <f>'Sollecitazioni nel paramento'!$G$60*(sezione!$AO$27-C173)/C173</f>
        <v>5.9411890268764242E-3</v>
      </c>
      <c r="O173" s="551">
        <f>'Sollecitazioni nel paramento'!$G$60*(sezione!$AP$27-C173)/C173</f>
        <v>8.2735825247016795E-3</v>
      </c>
      <c r="P173" s="545">
        <f>-'Sollecitazioni nel paramento'!$G$47*'Sollecitazioni nel paramento'!$G$41*IF(DATI!$G$211="dx",DATI!$E$61,DATI!$E$64*DATI!$E$63)*1000*C173*sezione!$AD$5</f>
        <v>-2259706.9012459293</v>
      </c>
      <c r="Q173" s="545">
        <f>'Foglio deposito bis'!$F$48*IF(ABS(K173)&lt;'Sollecitazioni nel paramento'!$G$58,ABS(K173)*'Sollecitazioni nel paramento'!$G$54,'Sollecitazioni nel paramento'!$G$53)*IF(K173&lt;0,-1,1)</f>
        <v>0</v>
      </c>
      <c r="R173" s="545">
        <f>'Foglio deposito bis'!$F$49*IF(ABS(L173)&lt;'Sollecitazioni nel paramento'!$G$58,ABS(L173)*'Sollecitazioni nel paramento'!$G$54,'Sollecitazioni nel paramento'!$G$53)*IF(L173&lt;0,-1,1)</f>
        <v>4362.5476764661298</v>
      </c>
      <c r="S173" s="545">
        <f>'Foglio deposito bis'!$F$50*IF(ABS(M173)&lt;'Sollecitazioni nel paramento'!$G$58,ABS(M173)*'Sollecitazioni nel paramento'!$G$54,'Sollecitazioni nel paramento'!$G$53)*IF(M173&lt;0,-1,1)</f>
        <v>0</v>
      </c>
      <c r="T173" s="545">
        <f>'Foglio deposito bis'!$F$51*IF(ABS(N173)&lt;'Sollecitazioni nel paramento'!$G$58,ABS(N173)*'Sollecitazioni nel paramento'!$G$54,'Sollecitazioni nel paramento'!$G$53)*IF(N173&lt;0,-1,1)</f>
        <v>240946.49743184328</v>
      </c>
      <c r="U173" s="545">
        <f>'Foglio deposito bis'!$F$52*IF(ABS(O173)&lt;'Sollecitazioni nel paramento'!$G$58,ABS(O173)*'Sollecitazioni nel paramento'!$G$54,'Sollecitazioni nel paramento'!$G$53)*IF(O173&lt;0,-1,1)</f>
        <v>240946.49743184328</v>
      </c>
      <c r="V173" s="472">
        <f t="shared" si="15"/>
        <v>-1773451.3587057767</v>
      </c>
      <c r="W173" s="551"/>
      <c r="X173" s="551"/>
    </row>
    <row r="174" spans="1:24" x14ac:dyDescent="0.25">
      <c r="A174" s="545">
        <f t="shared" si="14"/>
        <v>1802276.0118562155</v>
      </c>
      <c r="B174" s="3">
        <f t="shared" si="16"/>
        <v>18.499999999999957</v>
      </c>
      <c r="C174" s="545">
        <f>'Foglio deposito bis'!$E$153/$B$247*B174</f>
        <v>59.962809447798264</v>
      </c>
      <c r="D174" s="603">
        <f>-'Sollecitazioni nel paramento'!$G$47*'Sollecitazioni nel paramento'!$G$41*IF(DATI!$G$211="dx",DATI!$E$61,DATI!$E$64*DATI!$E$63)*1000*C174^2*sezione!$AD$5*(1-sezione!$AD$6)</f>
        <v>-79995870.83234866</v>
      </c>
      <c r="E174" s="545">
        <f>-'Foglio deposito bis'!$F$48*(C174-sezione!$AL$27)*IF(ABS(K174)&lt;'Sollecitazioni nel paramento'!$G$58,ABS(K174)*'Sollecitazioni nel paramento'!$G$54,'Sollecitazioni nel paramento'!$G$53)</f>
        <v>0</v>
      </c>
      <c r="F174" s="545">
        <f>-'Foglio deposito bis'!$F$49*(C174-sezione!$AM$27)*IF(ABS(L174)&lt;'Sollecitazioni nel paramento'!$G$58,ABS(L174)*'Sollecitazioni nel paramento'!$G$54,'Sollecitazioni nel paramento'!$G$53)</f>
        <v>8.7079748857285733</v>
      </c>
      <c r="G174" s="545">
        <f>-'Foglio deposito bis'!$F$50*(C174-sezione!$AN$27)*IF(ABS(M174)&lt;'Sollecitazioni nel paramento'!$G$58,ABS(M174)*'Sollecitazioni nel paramento'!$G$54,'Sollecitazioni nel paramento'!$G$53)</f>
        <v>0</v>
      </c>
      <c r="H174" s="545">
        <f>-'Foglio deposito bis'!$F$51*(C174-sezione!$AO$27)*IF(ABS(N174)&lt;'Sollecitazioni nel paramento'!$G$58,ABS(N174)*'Sollecitazioni nel paramento'!$G$54,'Sollecitazioni nel paramento'!$G$53)</f>
        <v>24103610.676474892</v>
      </c>
      <c r="I174" s="472">
        <f>-'Foglio deposito bis'!$F$52*(C174-sezione!$AP$27)*IF(ABS(O174)&lt;'Sollecitazioni nel paramento'!$G$58,ABS(O174)*'Sollecitazioni nel paramento'!$G$54,'Sollecitazioni nel paramento'!$G$53)</f>
        <v>33627530.468085811</v>
      </c>
      <c r="J174" s="472">
        <f t="shared" si="13"/>
        <v>-22264720.979813077</v>
      </c>
      <c r="K174" s="550">
        <f>'Sollecitazioni nel paramento'!$G$60*(sezione!$AL$27-C174)/C174</f>
        <v>-1.1652194703805599E-3</v>
      </c>
      <c r="L174" s="550">
        <f>'Sollecitazioni nel paramento'!$G$60*(sezione!$AM$27-C174)/C174</f>
        <v>2.1707944291601994E-6</v>
      </c>
      <c r="M174" s="551">
        <f>'Sollecitazioni nel paramento'!$G$60*(sezione!$AN$27-C174)/C174</f>
        <v>1.1695610592388802E-3</v>
      </c>
      <c r="N174" s="551">
        <f>'Sollecitazioni nel paramento'!$G$60*(sezione!$AO$27-C174)/C174</f>
        <v>5.839122118477761E-3</v>
      </c>
      <c r="O174" s="551">
        <f>'Sollecitazioni nel paramento'!$G$60*(sezione!$AP$27-C174)/C174</f>
        <v>8.1463005514616632E-3</v>
      </c>
      <c r="P174" s="545">
        <f>-'Sollecitazioni nel paramento'!$G$47*'Sollecitazioni nel paramento'!$G$41*IF(DATI!$G$211="dx",DATI!$E$61,DATI!$E$64*DATI!$E$63)*1000*C174*sezione!$AD$5</f>
        <v>-2284403.1515327701</v>
      </c>
      <c r="Q174" s="545">
        <f>'Foglio deposito bis'!$F$48*IF(ABS(K174)&lt;'Sollecitazioni nel paramento'!$G$58,ABS(K174)*'Sollecitazioni nel paramento'!$G$54,'Sollecitazioni nel paramento'!$G$53)*IF(K174&lt;0,-1,1)</f>
        <v>0</v>
      </c>
      <c r="R174" s="545">
        <f>'Foglio deposito bis'!$F$49*IF(ABS(L174)&lt;'Sollecitazioni nel paramento'!$G$58,ABS(L174)*'Sollecitazioni nel paramento'!$G$54,'Sollecitazioni nel paramento'!$G$53)*IF(L174&lt;0,-1,1)</f>
        <v>234.14481286788103</v>
      </c>
      <c r="S174" s="545">
        <f>'Foglio deposito bis'!$F$50*IF(ABS(M174)&lt;'Sollecitazioni nel paramento'!$G$58,ABS(M174)*'Sollecitazioni nel paramento'!$G$54,'Sollecitazioni nel paramento'!$G$53)*IF(M174&lt;0,-1,1)</f>
        <v>0</v>
      </c>
      <c r="T174" s="545">
        <f>'Foglio deposito bis'!$F$51*IF(ABS(N174)&lt;'Sollecitazioni nel paramento'!$G$58,ABS(N174)*'Sollecitazioni nel paramento'!$G$54,'Sollecitazioni nel paramento'!$G$53)*IF(N174&lt;0,-1,1)</f>
        <v>240946.49743184328</v>
      </c>
      <c r="U174" s="545">
        <f>'Foglio deposito bis'!$F$52*IF(ABS(O174)&lt;'Sollecitazioni nel paramento'!$G$58,ABS(O174)*'Sollecitazioni nel paramento'!$G$54,'Sollecitazioni nel paramento'!$G$53)*IF(O174&lt;0,-1,1)</f>
        <v>240946.49743184328</v>
      </c>
      <c r="V174" s="472">
        <f t="shared" si="15"/>
        <v>-1802276.0118562155</v>
      </c>
      <c r="W174" s="551"/>
      <c r="X174" s="551"/>
    </row>
    <row r="175" spans="1:24" x14ac:dyDescent="0.25">
      <c r="A175" s="545">
        <f t="shared" si="14"/>
        <v>1831012.3569240109</v>
      </c>
      <c r="B175" s="3">
        <f t="shared" si="16"/>
        <v>18.699999999999957</v>
      </c>
      <c r="C175" s="545">
        <f>'Foglio deposito bis'!$E$153/$B$247*B175</f>
        <v>60.611056036423108</v>
      </c>
      <c r="D175" s="603">
        <f>-'Sollecitazioni nel paramento'!$G$47*'Sollecitazioni nel paramento'!$G$41*IF(DATI!$G$211="dx",DATI!$E$61,DATI!$E$64*DATI!$E$63)*1000*C175^2*sezione!$AD$5*(1-sezione!$AD$6)</f>
        <v>-81734860.690617949</v>
      </c>
      <c r="E175" s="545">
        <f>-'Foglio deposito bis'!$F$48*(C175-sezione!$AL$27)*IF(ABS(K175)&lt;'Sollecitazioni nel paramento'!$G$58,ABS(K175)*'Sollecitazioni nel paramento'!$G$54,'Sollecitazioni nel paramento'!$G$53)</f>
        <v>0</v>
      </c>
      <c r="F175" s="545">
        <f>-'Foglio deposito bis'!$F$49*(C175-sezione!$AM$27)*IF(ABS(L175)&lt;'Sollecitazioni nel paramento'!$G$58,ABS(L175)*'Sollecitazioni nel paramento'!$G$54,'Sollecitazioni nel paramento'!$G$53)</f>
        <v>-2325.6487023236236</v>
      </c>
      <c r="G175" s="545">
        <f>-'Foglio deposito bis'!$F$50*(C175-sezione!$AN$27)*IF(ABS(M175)&lt;'Sollecitazioni nel paramento'!$G$58,ABS(M175)*'Sollecitazioni nel paramento'!$G$54,'Sollecitazioni nel paramento'!$G$53)</f>
        <v>0</v>
      </c>
      <c r="H175" s="545">
        <f>-'Foglio deposito bis'!$F$51*(C175-sezione!$AO$27)*IF(ABS(N175)&lt;'Sollecitazioni nel paramento'!$G$58,ABS(N175)*'Sollecitazioni nel paramento'!$G$54,'Sollecitazioni nel paramento'!$G$53)</f>
        <v>23947417.931473594</v>
      </c>
      <c r="I175" s="472">
        <f>-'Foglio deposito bis'!$F$52*(C175-sezione!$AP$27)*IF(ABS(O175)&lt;'Sollecitazioni nel paramento'!$G$58,ABS(O175)*'Sollecitazioni nel paramento'!$G$54,'Sollecitazioni nel paramento'!$G$53)</f>
        <v>33471337.723084509</v>
      </c>
      <c r="J175" s="472">
        <f t="shared" si="13"/>
        <v>-24318430.684762165</v>
      </c>
      <c r="K175" s="550">
        <f>'Sollecitazioni nel paramento'!$G$60*(sezione!$AL$27-C175)/C175</f>
        <v>-1.190190385135848E-3</v>
      </c>
      <c r="L175" s="550">
        <f>'Sollecitazioni nel paramento'!$G$60*(sezione!$AM$27-C175)/C175</f>
        <v>-3.5285577703771843E-5</v>
      </c>
      <c r="M175" s="551">
        <f>'Sollecitazioni nel paramento'!$G$60*(sezione!$AN$27-C175)/C175</f>
        <v>1.1196192297283042E-3</v>
      </c>
      <c r="N175" s="551">
        <f>'Sollecitazioni nel paramento'!$G$60*(sezione!$AO$27-C175)/C175</f>
        <v>5.7392384594566088E-3</v>
      </c>
      <c r="O175" s="551">
        <f>'Sollecitazioni nel paramento'!$G$60*(sezione!$AP$27-C175)/C175</f>
        <v>8.0217411872749098E-3</v>
      </c>
      <c r="P175" s="545">
        <f>-'Sollecitazioni nel paramento'!$G$47*'Sollecitazioni nel paramento'!$G$41*IF(DATI!$G$211="dx",DATI!$E$61,DATI!$E$64*DATI!$E$63)*1000*C175*sezione!$AD$5</f>
        <v>-2309099.401819611</v>
      </c>
      <c r="Q175" s="545">
        <f>'Foglio deposito bis'!$F$48*IF(ABS(K175)&lt;'Sollecitazioni nel paramento'!$G$58,ABS(K175)*'Sollecitazioni nel paramento'!$G$54,'Sollecitazioni nel paramento'!$G$53)*IF(K175&lt;0,-1,1)</f>
        <v>0</v>
      </c>
      <c r="R175" s="545">
        <f>'Foglio deposito bis'!$F$49*IF(ABS(L175)&lt;'Sollecitazioni nel paramento'!$G$58,ABS(L175)*'Sollecitazioni nel paramento'!$G$54,'Sollecitazioni nel paramento'!$G$53)*IF(L175&lt;0,-1,1)</f>
        <v>-3805.9499680865556</v>
      </c>
      <c r="S175" s="545">
        <f>'Foglio deposito bis'!$F$50*IF(ABS(M175)&lt;'Sollecitazioni nel paramento'!$G$58,ABS(M175)*'Sollecitazioni nel paramento'!$G$54,'Sollecitazioni nel paramento'!$G$53)*IF(M175&lt;0,-1,1)</f>
        <v>0</v>
      </c>
      <c r="T175" s="545">
        <f>'Foglio deposito bis'!$F$51*IF(ABS(N175)&lt;'Sollecitazioni nel paramento'!$G$58,ABS(N175)*'Sollecitazioni nel paramento'!$G$54,'Sollecitazioni nel paramento'!$G$53)*IF(N175&lt;0,-1,1)</f>
        <v>240946.49743184328</v>
      </c>
      <c r="U175" s="545">
        <f>'Foglio deposito bis'!$F$52*IF(ABS(O175)&lt;'Sollecitazioni nel paramento'!$G$58,ABS(O175)*'Sollecitazioni nel paramento'!$G$54,'Sollecitazioni nel paramento'!$G$53)*IF(O175&lt;0,-1,1)</f>
        <v>240946.49743184328</v>
      </c>
      <c r="V175" s="472">
        <f t="shared" si="15"/>
        <v>-1831012.3569240109</v>
      </c>
      <c r="W175" s="551"/>
      <c r="X175" s="551"/>
    </row>
    <row r="176" spans="1:24" x14ac:dyDescent="0.25">
      <c r="A176" s="545">
        <f t="shared" si="14"/>
        <v>1859663.1973403574</v>
      </c>
      <c r="B176" s="3">
        <f t="shared" si="16"/>
        <v>18.899999999999956</v>
      </c>
      <c r="C176" s="545">
        <f>'Foglio deposito bis'!$E$153/$B$247*B176</f>
        <v>61.259302625047951</v>
      </c>
      <c r="D176" s="603">
        <f>-'Sollecitazioni nel paramento'!$G$47*'Sollecitazioni nel paramento'!$G$41*IF(DATI!$G$211="dx",DATI!$E$61,DATI!$E$64*DATI!$E$63)*1000*C176^2*sezione!$AD$5*(1-sezione!$AD$6)</f>
        <v>-83492549.364567593</v>
      </c>
      <c r="E176" s="545">
        <f>-'Foglio deposito bis'!$F$48*(C176-sezione!$AL$27)*IF(ABS(K176)&lt;'Sollecitazioni nel paramento'!$G$58,ABS(K176)*'Sollecitazioni nel paramento'!$G$54,'Sollecitazioni nel paramento'!$G$53)</f>
        <v>0</v>
      </c>
      <c r="F176" s="545">
        <f>-'Foglio deposito bis'!$F$49*(C176-sezione!$AM$27)*IF(ABS(L176)&lt;'Sollecitazioni nel paramento'!$G$58,ABS(L176)*'Sollecitazioni nel paramento'!$G$54,'Sollecitazioni nel paramento'!$G$53)</f>
        <v>-9772.8685166877658</v>
      </c>
      <c r="G176" s="545">
        <f>-'Foglio deposito bis'!$F$50*(C176-sezione!$AN$27)*IF(ABS(M176)&lt;'Sollecitazioni nel paramento'!$G$58,ABS(M176)*'Sollecitazioni nel paramento'!$G$54,'Sollecitazioni nel paramento'!$G$53)</f>
        <v>0</v>
      </c>
      <c r="H176" s="545">
        <f>-'Foglio deposito bis'!$F$51*(C176-sezione!$AO$27)*IF(ABS(N176)&lt;'Sollecitazioni nel paramento'!$G$58,ABS(N176)*'Sollecitazioni nel paramento'!$G$54,'Sollecitazioni nel paramento'!$G$53)</f>
        <v>23791225.186472297</v>
      </c>
      <c r="I176" s="472">
        <f>-'Foglio deposito bis'!$F$52*(C176-sezione!$AP$27)*IF(ABS(O176)&lt;'Sollecitazioni nel paramento'!$G$58,ABS(O176)*'Sollecitazioni nel paramento'!$G$54,'Sollecitazioni nel paramento'!$G$53)</f>
        <v>33315144.978083212</v>
      </c>
      <c r="J176" s="472">
        <f t="shared" si="13"/>
        <v>-26395952.068528768</v>
      </c>
      <c r="K176" s="550">
        <f>'Sollecitazioni nel paramento'!$G$60*(sezione!$AL$27-C176)/C176</f>
        <v>-1.2146328149227699E-3</v>
      </c>
      <c r="L176" s="550">
        <f>'Sollecitazioni nel paramento'!$G$60*(sezione!$AM$27-C176)/C176</f>
        <v>-7.1949222384155062E-5</v>
      </c>
      <c r="M176" s="551">
        <f>'Sollecitazioni nel paramento'!$G$60*(sezione!$AN$27-C176)/C176</f>
        <v>1.0707343701544601E-3</v>
      </c>
      <c r="N176" s="551">
        <f>'Sollecitazioni nel paramento'!$G$60*(sezione!$AO$27-C176)/C176</f>
        <v>5.6414687403089202E-3</v>
      </c>
      <c r="O176" s="551">
        <f>'Sollecitazioni nel paramento'!$G$60*(sezione!$AP$27-C176)/C176</f>
        <v>7.8998180001079773E-3</v>
      </c>
      <c r="P176" s="545">
        <f>-'Sollecitazioni nel paramento'!$G$47*'Sollecitazioni nel paramento'!$G$41*IF(DATI!$G$211="dx",DATI!$E$61,DATI!$E$64*DATI!$E$63)*1000*C176*sezione!$AD$5</f>
        <v>-2333795.6521064513</v>
      </c>
      <c r="Q176" s="545">
        <f>'Foglio deposito bis'!$F$48*IF(ABS(K176)&lt;'Sollecitazioni nel paramento'!$G$58,ABS(K176)*'Sollecitazioni nel paramento'!$G$54,'Sollecitazioni nel paramento'!$G$53)*IF(K176&lt;0,-1,1)</f>
        <v>0</v>
      </c>
      <c r="R176" s="545">
        <f>'Foglio deposito bis'!$F$49*IF(ABS(L176)&lt;'Sollecitazioni nel paramento'!$G$58,ABS(L176)*'Sollecitazioni nel paramento'!$G$54,'Sollecitazioni nel paramento'!$G$53)*IF(L176&lt;0,-1,1)</f>
        <v>-7760.5400975922212</v>
      </c>
      <c r="S176" s="545">
        <f>'Foglio deposito bis'!$F$50*IF(ABS(M176)&lt;'Sollecitazioni nel paramento'!$G$58,ABS(M176)*'Sollecitazioni nel paramento'!$G$54,'Sollecitazioni nel paramento'!$G$53)*IF(M176&lt;0,-1,1)</f>
        <v>0</v>
      </c>
      <c r="T176" s="545">
        <f>'Foglio deposito bis'!$F$51*IF(ABS(N176)&lt;'Sollecitazioni nel paramento'!$G$58,ABS(N176)*'Sollecitazioni nel paramento'!$G$54,'Sollecitazioni nel paramento'!$G$53)*IF(N176&lt;0,-1,1)</f>
        <v>240946.49743184328</v>
      </c>
      <c r="U176" s="545">
        <f>'Foglio deposito bis'!$F$52*IF(ABS(O176)&lt;'Sollecitazioni nel paramento'!$G$58,ABS(O176)*'Sollecitazioni nel paramento'!$G$54,'Sollecitazioni nel paramento'!$G$53)*IF(O176&lt;0,-1,1)</f>
        <v>240946.49743184328</v>
      </c>
      <c r="V176" s="472">
        <f t="shared" si="15"/>
        <v>-1859663.1973403574</v>
      </c>
      <c r="W176" s="551"/>
      <c r="X176" s="551"/>
    </row>
    <row r="177" spans="1:24" x14ac:dyDescent="0.25">
      <c r="A177" s="545">
        <f t="shared" si="14"/>
        <v>1888231.2191152482</v>
      </c>
      <c r="B177" s="3">
        <f t="shared" si="16"/>
        <v>19.099999999999955</v>
      </c>
      <c r="C177" s="545">
        <f>'Foglio deposito bis'!$E$153/$B$247*B177</f>
        <v>61.907549213672802</v>
      </c>
      <c r="D177" s="603">
        <f>-'Sollecitazioni nel paramento'!$G$47*'Sollecitazioni nel paramento'!$G$41*IF(DATI!$G$211="dx",DATI!$E$61,DATI!$E$64*DATI!$E$63)*1000*C177^2*sezione!$AD$5*(1-sezione!$AD$6)</f>
        <v>-85268936.854197547</v>
      </c>
      <c r="E177" s="545">
        <f>-'Foglio deposito bis'!$F$48*(C177-sezione!$AL$27)*IF(ABS(K177)&lt;'Sollecitazioni nel paramento'!$G$58,ABS(K177)*'Sollecitazioni nel paramento'!$G$54,'Sollecitazioni nel paramento'!$G$53)</f>
        <v>0</v>
      </c>
      <c r="F177" s="545">
        <f>-'Foglio deposito bis'!$F$49*(C177-sezione!$AM$27)*IF(ABS(L177)&lt;'Sollecitazioni nel paramento'!$G$58,ABS(L177)*'Sollecitazioni nel paramento'!$G$54,'Sollecitazioni nel paramento'!$G$53)</f>
        <v>-22189.206818389015</v>
      </c>
      <c r="G177" s="545">
        <f>-'Foglio deposito bis'!$F$50*(C177-sezione!$AN$27)*IF(ABS(M177)&lt;'Sollecitazioni nel paramento'!$G$58,ABS(M177)*'Sollecitazioni nel paramento'!$G$54,'Sollecitazioni nel paramento'!$G$53)</f>
        <v>0</v>
      </c>
      <c r="H177" s="545">
        <f>-'Foglio deposito bis'!$F$51*(C177-sezione!$AO$27)*IF(ABS(N177)&lt;'Sollecitazioni nel paramento'!$G$58,ABS(N177)*'Sollecitazioni nel paramento'!$G$54,'Sollecitazioni nel paramento'!$G$53)</f>
        <v>23635032.441470999</v>
      </c>
      <c r="I177" s="472">
        <f>-'Foglio deposito bis'!$F$52*(C177-sezione!$AP$27)*IF(ABS(O177)&lt;'Sollecitazioni nel paramento'!$G$58,ABS(O177)*'Sollecitazioni nel paramento'!$G$54,'Sollecitazioni nel paramento'!$G$53)</f>
        <v>33158952.233081914</v>
      </c>
      <c r="J177" s="472">
        <f t="shared" si="13"/>
        <v>-28497141.386463024</v>
      </c>
      <c r="K177" s="550">
        <f>'Sollecitazioni nel paramento'!$G$60*(sezione!$AL$27-C177)/C177</f>
        <v>-1.2385633613633696E-3</v>
      </c>
      <c r="L177" s="550">
        <f>'Sollecitazioni nel paramento'!$G$60*(sezione!$AM$27-C177)/C177</f>
        <v>-1.078450420450542E-4</v>
      </c>
      <c r="M177" s="551">
        <f>'Sollecitazioni nel paramento'!$G$60*(sezione!$AN$27-C177)/C177</f>
        <v>1.0228732772732611E-3</v>
      </c>
      <c r="N177" s="551">
        <f>'Sollecitazioni nel paramento'!$G$60*(sezione!$AO$27-C177)/C177</f>
        <v>5.5457465545465214E-3</v>
      </c>
      <c r="O177" s="551">
        <f>'Sollecitazioni nel paramento'!$G$60*(sezione!$AP$27-C177)/C177</f>
        <v>7.7804481781173175E-3</v>
      </c>
      <c r="P177" s="545">
        <f>-'Sollecitazioni nel paramento'!$G$47*'Sollecitazioni nel paramento'!$G$41*IF(DATI!$G$211="dx",DATI!$E$61,DATI!$E$64*DATI!$E$63)*1000*C177*sezione!$AD$5</f>
        <v>-2358491.9023932922</v>
      </c>
      <c r="Q177" s="545">
        <f>'Foglio deposito bis'!$F$48*IF(ABS(K177)&lt;'Sollecitazioni nel paramento'!$G$58,ABS(K177)*'Sollecitazioni nel paramento'!$G$54,'Sollecitazioni nel paramento'!$G$53)*IF(K177&lt;0,-1,1)</f>
        <v>0</v>
      </c>
      <c r="R177" s="545">
        <f>'Foglio deposito bis'!$F$49*IF(ABS(L177)&lt;'Sollecitazioni nel paramento'!$G$58,ABS(L177)*'Sollecitazioni nel paramento'!$G$54,'Sollecitazioni nel paramento'!$G$53)*IF(L177&lt;0,-1,1)</f>
        <v>-11632.311585642314</v>
      </c>
      <c r="S177" s="545">
        <f>'Foglio deposito bis'!$F$50*IF(ABS(M177)&lt;'Sollecitazioni nel paramento'!$G$58,ABS(M177)*'Sollecitazioni nel paramento'!$G$54,'Sollecitazioni nel paramento'!$G$53)*IF(M177&lt;0,-1,1)</f>
        <v>0</v>
      </c>
      <c r="T177" s="545">
        <f>'Foglio deposito bis'!$F$51*IF(ABS(N177)&lt;'Sollecitazioni nel paramento'!$G$58,ABS(N177)*'Sollecitazioni nel paramento'!$G$54,'Sollecitazioni nel paramento'!$G$53)*IF(N177&lt;0,-1,1)</f>
        <v>240946.49743184328</v>
      </c>
      <c r="U177" s="545">
        <f>'Foglio deposito bis'!$F$52*IF(ABS(O177)&lt;'Sollecitazioni nel paramento'!$G$58,ABS(O177)*'Sollecitazioni nel paramento'!$G$54,'Sollecitazioni nel paramento'!$G$53)*IF(O177&lt;0,-1,1)</f>
        <v>240946.49743184328</v>
      </c>
      <c r="V177" s="472">
        <f t="shared" si="15"/>
        <v>-1888231.2191152482</v>
      </c>
      <c r="W177" s="551"/>
      <c r="X177" s="551"/>
    </row>
    <row r="178" spans="1:24" x14ac:dyDescent="0.25">
      <c r="A178" s="545">
        <f t="shared" si="14"/>
        <v>1916718.9969214748</v>
      </c>
      <c r="B178" s="3">
        <f t="shared" si="16"/>
        <v>19.299999999999955</v>
      </c>
      <c r="C178" s="545">
        <f>'Foglio deposito bis'!$E$153/$B$247*B178</f>
        <v>62.555795802297645</v>
      </c>
      <c r="D178" s="603">
        <f>-'Sollecitazioni nel paramento'!$G$47*'Sollecitazioni nel paramento'!$G$41*IF(DATI!$G$211="dx",DATI!$E$61,DATI!$E$64*DATI!$E$63)*1000*C178^2*sezione!$AD$5*(1-sezione!$AD$6)</f>
        <v>-87064023.159507811</v>
      </c>
      <c r="E178" s="545">
        <f>-'Foglio deposito bis'!$F$48*(C178-sezione!$AL$27)*IF(ABS(K178)&lt;'Sollecitazioni nel paramento'!$G$58,ABS(K178)*'Sollecitazioni nel paramento'!$G$54,'Sollecitazioni nel paramento'!$G$53)</f>
        <v>0</v>
      </c>
      <c r="F178" s="545">
        <f>-'Foglio deposito bis'!$F$49*(C178-sezione!$AM$27)*IF(ABS(L178)&lt;'Sollecitazioni nel paramento'!$G$58,ABS(L178)*'Sollecitazioni nel paramento'!$G$54,'Sollecitazioni nel paramento'!$G$53)</f>
        <v>-39420.183239945116</v>
      </c>
      <c r="G178" s="545">
        <f>-'Foglio deposito bis'!$F$50*(C178-sezione!$AN$27)*IF(ABS(M178)&lt;'Sollecitazioni nel paramento'!$G$58,ABS(M178)*'Sollecitazioni nel paramento'!$G$54,'Sollecitazioni nel paramento'!$G$53)</f>
        <v>0</v>
      </c>
      <c r="H178" s="545">
        <f>-'Foglio deposito bis'!$F$51*(C178-sezione!$AO$27)*IF(ABS(N178)&lt;'Sollecitazioni nel paramento'!$G$58,ABS(N178)*'Sollecitazioni nel paramento'!$G$54,'Sollecitazioni nel paramento'!$G$53)</f>
        <v>23478839.696469702</v>
      </c>
      <c r="I178" s="472">
        <f>-'Foglio deposito bis'!$F$52*(C178-sezione!$AP$27)*IF(ABS(O178)&lt;'Sollecitazioni nel paramento'!$G$58,ABS(O178)*'Sollecitazioni nel paramento'!$G$54,'Sollecitazioni nel paramento'!$G$53)</f>
        <v>33002759.488080617</v>
      </c>
      <c r="J178" s="472">
        <f t="shared" si="13"/>
        <v>-30621844.158197444</v>
      </c>
      <c r="K178" s="550">
        <f>'Sollecitazioni nel paramento'!$G$60*(sezione!$AL$27-C178)/C178</f>
        <v>-1.2619979379295521E-3</v>
      </c>
      <c r="L178" s="550">
        <f>'Sollecitazioni nel paramento'!$G$60*(sezione!$AM$27-C178)/C178</f>
        <v>-1.4299690689432811E-4</v>
      </c>
      <c r="M178" s="551">
        <f>'Sollecitazioni nel paramento'!$G$60*(sezione!$AN$27-C178)/C178</f>
        <v>9.7600412414089585E-4</v>
      </c>
      <c r="N178" s="551">
        <f>'Sollecitazioni nel paramento'!$G$60*(sezione!$AO$27-C178)/C178</f>
        <v>5.4520082482817922E-3</v>
      </c>
      <c r="O178" s="551">
        <f>'Sollecitazioni nel paramento'!$G$60*(sezione!$AP$27-C178)/C178</f>
        <v>7.6635523420746521E-3</v>
      </c>
      <c r="P178" s="545">
        <f>-'Sollecitazioni nel paramento'!$G$47*'Sollecitazioni nel paramento'!$G$41*IF(DATI!$G$211="dx",DATI!$E$61,DATI!$E$64*DATI!$E$63)*1000*C178*sezione!$AD$5</f>
        <v>-2383188.152680133</v>
      </c>
      <c r="Q178" s="545">
        <f>'Foglio deposito bis'!$F$48*IF(ABS(K178)&lt;'Sollecitazioni nel paramento'!$G$58,ABS(K178)*'Sollecitazioni nel paramento'!$G$54,'Sollecitazioni nel paramento'!$G$53)*IF(K178&lt;0,-1,1)</f>
        <v>0</v>
      </c>
      <c r="R178" s="545">
        <f>'Foglio deposito bis'!$F$49*IF(ABS(L178)&lt;'Sollecitazioni nel paramento'!$G$58,ABS(L178)*'Sollecitazioni nel paramento'!$G$54,'Sollecitazioni nel paramento'!$G$53)*IF(L178&lt;0,-1,1)</f>
        <v>-15423.839105028113</v>
      </c>
      <c r="S178" s="545">
        <f>'Foglio deposito bis'!$F$50*IF(ABS(M178)&lt;'Sollecitazioni nel paramento'!$G$58,ABS(M178)*'Sollecitazioni nel paramento'!$G$54,'Sollecitazioni nel paramento'!$G$53)*IF(M178&lt;0,-1,1)</f>
        <v>0</v>
      </c>
      <c r="T178" s="545">
        <f>'Foglio deposito bis'!$F$51*IF(ABS(N178)&lt;'Sollecitazioni nel paramento'!$G$58,ABS(N178)*'Sollecitazioni nel paramento'!$G$54,'Sollecitazioni nel paramento'!$G$53)*IF(N178&lt;0,-1,1)</f>
        <v>240946.49743184328</v>
      </c>
      <c r="U178" s="545">
        <f>'Foglio deposito bis'!$F$52*IF(ABS(O178)&lt;'Sollecitazioni nel paramento'!$G$58,ABS(O178)*'Sollecitazioni nel paramento'!$G$54,'Sollecitazioni nel paramento'!$G$53)*IF(O178&lt;0,-1,1)</f>
        <v>240946.49743184328</v>
      </c>
      <c r="V178" s="472">
        <f t="shared" si="15"/>
        <v>-1916718.9969214748</v>
      </c>
      <c r="W178" s="551"/>
      <c r="X178" s="551"/>
    </row>
    <row r="179" spans="1:24" x14ac:dyDescent="0.25">
      <c r="A179" s="545">
        <f t="shared" si="14"/>
        <v>1945128.9998042264</v>
      </c>
      <c r="B179" s="3">
        <f t="shared" si="16"/>
        <v>19.499999999999954</v>
      </c>
      <c r="C179" s="545">
        <f>'Foglio deposito bis'!$E$153/$B$247*B179</f>
        <v>63.204042390922488</v>
      </c>
      <c r="D179" s="603">
        <f>-'Sollecitazioni nel paramento'!$G$47*'Sollecitazioni nel paramento'!$G$41*IF(DATI!$G$211="dx",DATI!$E$61,DATI!$E$64*DATI!$E$63)*1000*C179^2*sezione!$AD$5*(1-sezione!$AD$6)</f>
        <v>-88877808.280498371</v>
      </c>
      <c r="E179" s="545">
        <f>-'Foglio deposito bis'!$F$48*(C179-sezione!$AL$27)*IF(ABS(K179)&lt;'Sollecitazioni nel paramento'!$G$58,ABS(K179)*'Sollecitazioni nel paramento'!$G$54,'Sollecitazioni nel paramento'!$G$53)</f>
        <v>0</v>
      </c>
      <c r="F179" s="545">
        <f>-'Foglio deposito bis'!$F$49*(C179-sezione!$AM$27)*IF(ABS(L179)&lt;'Sollecitazioni nel paramento'!$G$58,ABS(L179)*'Sollecitazioni nel paramento'!$G$54,'Sollecitazioni nel paramento'!$G$53)</f>
        <v>-61317.655069976026</v>
      </c>
      <c r="G179" s="545">
        <f>-'Foglio deposito bis'!$F$50*(C179-sezione!$AN$27)*IF(ABS(M179)&lt;'Sollecitazioni nel paramento'!$G$58,ABS(M179)*'Sollecitazioni nel paramento'!$G$54,'Sollecitazioni nel paramento'!$G$53)</f>
        <v>0</v>
      </c>
      <c r="H179" s="545">
        <f>-'Foglio deposito bis'!$F$51*(C179-sezione!$AO$27)*IF(ABS(N179)&lt;'Sollecitazioni nel paramento'!$G$58,ABS(N179)*'Sollecitazioni nel paramento'!$G$54,'Sollecitazioni nel paramento'!$G$53)</f>
        <v>23322646.951468401</v>
      </c>
      <c r="I179" s="472">
        <f>-'Foglio deposito bis'!$F$52*(C179-sezione!$AP$27)*IF(ABS(O179)&lt;'Sollecitazioni nel paramento'!$G$58,ABS(O179)*'Sollecitazioni nel paramento'!$G$54,'Sollecitazioni nel paramento'!$G$53)</f>
        <v>32846566.74307932</v>
      </c>
      <c r="J179" s="472">
        <f t="shared" si="13"/>
        <v>-32769912.241020627</v>
      </c>
      <c r="K179" s="550">
        <f>'Sollecitazioni nel paramento'!$G$60*(sezione!$AL$27-C179)/C179</f>
        <v>-1.2849518052328386E-3</v>
      </c>
      <c r="L179" s="550">
        <f>'Sollecitazioni nel paramento'!$G$60*(sezione!$AM$27-C179)/C179</f>
        <v>-1.7742770784925793E-4</v>
      </c>
      <c r="M179" s="551">
        <f>'Sollecitazioni nel paramento'!$G$60*(sezione!$AN$27-C179)/C179</f>
        <v>9.3009638953432281E-4</v>
      </c>
      <c r="N179" s="551">
        <f>'Sollecitazioni nel paramento'!$G$60*(sezione!$AO$27-C179)/C179</f>
        <v>5.3601927790686453E-3</v>
      </c>
      <c r="O179" s="551">
        <f>'Sollecitazioni nel paramento'!$G$60*(sezione!$AP$27-C179)/C179</f>
        <v>7.5490543693354254E-3</v>
      </c>
      <c r="P179" s="545">
        <f>-'Sollecitazioni nel paramento'!$G$47*'Sollecitazioni nel paramento'!$G$41*IF(DATI!$G$211="dx",DATI!$E$61,DATI!$E$64*DATI!$E$63)*1000*C179*sezione!$AD$5</f>
        <v>-2407884.4029669734</v>
      </c>
      <c r="Q179" s="545">
        <f>'Foglio deposito bis'!$F$48*IF(ABS(K179)&lt;'Sollecitazioni nel paramento'!$G$58,ABS(K179)*'Sollecitazioni nel paramento'!$G$54,'Sollecitazioni nel paramento'!$G$53)*IF(K179&lt;0,-1,1)</f>
        <v>0</v>
      </c>
      <c r="R179" s="545">
        <f>'Foglio deposito bis'!$F$49*IF(ABS(L179)&lt;'Sollecitazioni nel paramento'!$G$58,ABS(L179)*'Sollecitazioni nel paramento'!$G$54,'Sollecitazioni nel paramento'!$G$53)*IF(L179&lt;0,-1,1)</f>
        <v>-19137.591700939331</v>
      </c>
      <c r="S179" s="545">
        <f>'Foglio deposito bis'!$F$50*IF(ABS(M179)&lt;'Sollecitazioni nel paramento'!$G$58,ABS(M179)*'Sollecitazioni nel paramento'!$G$54,'Sollecitazioni nel paramento'!$G$53)*IF(M179&lt;0,-1,1)</f>
        <v>0</v>
      </c>
      <c r="T179" s="545">
        <f>'Foglio deposito bis'!$F$51*IF(ABS(N179)&lt;'Sollecitazioni nel paramento'!$G$58,ABS(N179)*'Sollecitazioni nel paramento'!$G$54,'Sollecitazioni nel paramento'!$G$53)*IF(N179&lt;0,-1,1)</f>
        <v>240946.49743184328</v>
      </c>
      <c r="U179" s="545">
        <f>'Foglio deposito bis'!$F$52*IF(ABS(O179)&lt;'Sollecitazioni nel paramento'!$G$58,ABS(O179)*'Sollecitazioni nel paramento'!$G$54,'Sollecitazioni nel paramento'!$G$53)*IF(O179&lt;0,-1,1)</f>
        <v>240946.49743184328</v>
      </c>
      <c r="V179" s="472">
        <f t="shared" si="15"/>
        <v>-1945128.9998042264</v>
      </c>
      <c r="W179" s="551"/>
      <c r="X179" s="551"/>
    </row>
    <row r="180" spans="1:24" x14ac:dyDescent="0.25">
      <c r="A180" s="545">
        <f t="shared" si="14"/>
        <v>1973463.5965428988</v>
      </c>
      <c r="B180" s="3">
        <f t="shared" si="16"/>
        <v>19.699999999999953</v>
      </c>
      <c r="C180" s="545">
        <f>'Foglio deposito bis'!$E$153/$B$247*B180</f>
        <v>63.852288979547332</v>
      </c>
      <c r="D180" s="603">
        <f>-'Sollecitazioni nel paramento'!$G$47*'Sollecitazioni nel paramento'!$G$41*IF(DATI!$G$211="dx",DATI!$E$61,DATI!$E$64*DATI!$E$63)*1000*C180^2*sezione!$AD$5*(1-sezione!$AD$6)</f>
        <v>-90710292.21716927</v>
      </c>
      <c r="E180" s="545">
        <f>-'Foglio deposito bis'!$F$48*(C180-sezione!$AL$27)*IF(ABS(K180)&lt;'Sollecitazioni nel paramento'!$G$58,ABS(K180)*'Sollecitazioni nel paramento'!$G$54,'Sollecitazioni nel paramento'!$G$53)</f>
        <v>0</v>
      </c>
      <c r="F180" s="545">
        <f>-'Foglio deposito bis'!$F$49*(C180-sezione!$AM$27)*IF(ABS(L180)&lt;'Sollecitazioni nel paramento'!$G$58,ABS(L180)*'Sollecitazioni nel paramento'!$G$54,'Sollecitazioni nel paramento'!$G$53)</f>
        <v>-87739.495544771853</v>
      </c>
      <c r="G180" s="545">
        <f>-'Foglio deposito bis'!$F$50*(C180-sezione!$AN$27)*IF(ABS(M180)&lt;'Sollecitazioni nel paramento'!$G$58,ABS(M180)*'Sollecitazioni nel paramento'!$G$54,'Sollecitazioni nel paramento'!$G$53)</f>
        <v>0</v>
      </c>
      <c r="H180" s="545">
        <f>-'Foglio deposito bis'!$F$51*(C180-sezione!$AO$27)*IF(ABS(N180)&lt;'Sollecitazioni nel paramento'!$G$58,ABS(N180)*'Sollecitazioni nel paramento'!$G$54,'Sollecitazioni nel paramento'!$G$53)</f>
        <v>23166454.206467111</v>
      </c>
      <c r="I180" s="472">
        <f>-'Foglio deposito bis'!$F$52*(C180-sezione!$AP$27)*IF(ABS(O180)&lt;'Sollecitazioni nel paramento'!$G$58,ABS(O180)*'Sollecitazioni nel paramento'!$G$54,'Sollecitazioni nel paramento'!$G$53)</f>
        <v>32690373.998078026</v>
      </c>
      <c r="J180" s="472">
        <f t="shared" si="13"/>
        <v>-34941203.508168913</v>
      </c>
      <c r="K180" s="550">
        <f>'Sollecitazioni nel paramento'!$G$60*(sezione!$AL$27-C180)/C180</f>
        <v>-1.3074396041644848E-3</v>
      </c>
      <c r="L180" s="550">
        <f>'Sollecitazioni nel paramento'!$G$60*(sezione!$AM$27-C180)/C180</f>
        <v>-2.1115940624672727E-4</v>
      </c>
      <c r="M180" s="551">
        <f>'Sollecitazioni nel paramento'!$G$60*(sezione!$AN$27-C180)/C180</f>
        <v>8.8512079167103036E-4</v>
      </c>
      <c r="N180" s="551">
        <f>'Sollecitazioni nel paramento'!$G$60*(sezione!$AO$27-C180)/C180</f>
        <v>5.2702415833420606E-3</v>
      </c>
      <c r="O180" s="551">
        <f>'Sollecitazioni nel paramento'!$G$60*(sezione!$AP$27-C180)/C180</f>
        <v>7.4368812285299903E-3</v>
      </c>
      <c r="P180" s="545">
        <f>-'Sollecitazioni nel paramento'!$G$47*'Sollecitazioni nel paramento'!$G$41*IF(DATI!$G$211="dx",DATI!$E$61,DATI!$E$64*DATI!$E$63)*1000*C180*sezione!$AD$5</f>
        <v>-2432580.6532538142</v>
      </c>
      <c r="Q180" s="545">
        <f>'Foglio deposito bis'!$F$48*IF(ABS(K180)&lt;'Sollecitazioni nel paramento'!$G$58,ABS(K180)*'Sollecitazioni nel paramento'!$G$54,'Sollecitazioni nel paramento'!$G$53)*IF(K180&lt;0,-1,1)</f>
        <v>0</v>
      </c>
      <c r="R180" s="545">
        <f>'Foglio deposito bis'!$F$49*IF(ABS(L180)&lt;'Sollecitazioni nel paramento'!$G$58,ABS(L180)*'Sollecitazioni nel paramento'!$G$54,'Sollecitazioni nel paramento'!$G$53)*IF(L180&lt;0,-1,1)</f>
        <v>-22775.938152771134</v>
      </c>
      <c r="S180" s="545">
        <f>'Foglio deposito bis'!$F$50*IF(ABS(M180)&lt;'Sollecitazioni nel paramento'!$G$58,ABS(M180)*'Sollecitazioni nel paramento'!$G$54,'Sollecitazioni nel paramento'!$G$53)*IF(M180&lt;0,-1,1)</f>
        <v>0</v>
      </c>
      <c r="T180" s="545">
        <f>'Foglio deposito bis'!$F$51*IF(ABS(N180)&lt;'Sollecitazioni nel paramento'!$G$58,ABS(N180)*'Sollecitazioni nel paramento'!$G$54,'Sollecitazioni nel paramento'!$G$53)*IF(N180&lt;0,-1,1)</f>
        <v>240946.49743184328</v>
      </c>
      <c r="U180" s="545">
        <f>'Foglio deposito bis'!$F$52*IF(ABS(O180)&lt;'Sollecitazioni nel paramento'!$G$58,ABS(O180)*'Sollecitazioni nel paramento'!$G$54,'Sollecitazioni nel paramento'!$G$53)*IF(O180&lt;0,-1,1)</f>
        <v>240946.49743184328</v>
      </c>
      <c r="V180" s="472">
        <f t="shared" si="15"/>
        <v>-1973463.5965428988</v>
      </c>
      <c r="W180" s="551"/>
      <c r="X180" s="551"/>
    </row>
    <row r="181" spans="1:24" x14ac:dyDescent="0.25">
      <c r="A181" s="545">
        <f t="shared" si="14"/>
        <v>2001725.0606895748</v>
      </c>
      <c r="B181" s="3">
        <f t="shared" si="16"/>
        <v>19.899999999999952</v>
      </c>
      <c r="C181" s="545">
        <f>'Foglio deposito bis'!$E$153/$B$247*B181</f>
        <v>64.500535568172182</v>
      </c>
      <c r="D181" s="603">
        <f>-'Sollecitazioni nel paramento'!$G$47*'Sollecitazioni nel paramento'!$G$41*IF(DATI!$G$211="dx",DATI!$E$61,DATI!$E$64*DATI!$E$63)*1000*C181^2*sezione!$AD$5*(1-sezione!$AD$6)</f>
        <v>-92561474.969520465</v>
      </c>
      <c r="E181" s="545">
        <f>-'Foglio deposito bis'!$F$48*(C181-sezione!$AL$27)*IF(ABS(K181)&lt;'Sollecitazioni nel paramento'!$G$58,ABS(K181)*'Sollecitazioni nel paramento'!$G$54,'Sollecitazioni nel paramento'!$G$53)</f>
        <v>0</v>
      </c>
      <c r="F181" s="545">
        <f>-'Foglio deposito bis'!$F$49*(C181-sezione!$AM$27)*IF(ABS(L181)&lt;'Sollecitazioni nel paramento'!$G$58,ABS(L181)*'Sollecitazioni nel paramento'!$G$54,'Sollecitazioni nel paramento'!$G$53)</f>
        <v>-118549.29153936521</v>
      </c>
      <c r="G181" s="545">
        <f>-'Foglio deposito bis'!$F$50*(C181-sezione!$AN$27)*IF(ABS(M181)&lt;'Sollecitazioni nel paramento'!$G$58,ABS(M181)*'Sollecitazioni nel paramento'!$G$54,'Sollecitazioni nel paramento'!$G$53)</f>
        <v>0</v>
      </c>
      <c r="H181" s="545">
        <f>-'Foglio deposito bis'!$F$51*(C181-sezione!$AO$27)*IF(ABS(N181)&lt;'Sollecitazioni nel paramento'!$G$58,ABS(N181)*'Sollecitazioni nel paramento'!$G$54,'Sollecitazioni nel paramento'!$G$53)</f>
        <v>23010261.461465809</v>
      </c>
      <c r="I181" s="472">
        <f>-'Foglio deposito bis'!$F$52*(C181-sezione!$AP$27)*IF(ABS(O181)&lt;'Sollecitazioni nel paramento'!$G$58,ABS(O181)*'Sollecitazioni nel paramento'!$G$54,'Sollecitazioni nel paramento'!$G$53)</f>
        <v>32534181.253076728</v>
      </c>
      <c r="J181" s="472">
        <f t="shared" si="13"/>
        <v>-37135581.546517298</v>
      </c>
      <c r="K181" s="550">
        <f>'Sollecitazioni nel paramento'!$G$60*(sezione!$AL$27-C181)/C181</f>
        <v>-1.3294753870372036E-3</v>
      </c>
      <c r="L181" s="550">
        <f>'Sollecitazioni nel paramento'!$G$60*(sezione!$AM$27-C181)/C181</f>
        <v>-2.4421308055580564E-4</v>
      </c>
      <c r="M181" s="551">
        <f>'Sollecitazioni nel paramento'!$G$60*(sezione!$AN$27-C181)/C181</f>
        <v>8.4104922592559254E-4</v>
      </c>
      <c r="N181" s="551">
        <f>'Sollecitazioni nel paramento'!$G$60*(sezione!$AO$27-C181)/C181</f>
        <v>5.1820984518511854E-3</v>
      </c>
      <c r="O181" s="551">
        <f>'Sollecitazioni nel paramento'!$G$60*(sezione!$AP$27-C181)/C181</f>
        <v>7.3269628242231552E-3</v>
      </c>
      <c r="P181" s="545">
        <f>-'Sollecitazioni nel paramento'!$G$47*'Sollecitazioni nel paramento'!$G$41*IF(DATI!$G$211="dx",DATI!$E$61,DATI!$E$64*DATI!$E$63)*1000*C181*sezione!$AD$5</f>
        <v>-2457276.903540655</v>
      </c>
      <c r="Q181" s="545">
        <f>'Foglio deposito bis'!$F$48*IF(ABS(K181)&lt;'Sollecitazioni nel paramento'!$G$58,ABS(K181)*'Sollecitazioni nel paramento'!$G$54,'Sollecitazioni nel paramento'!$G$53)*IF(K181&lt;0,-1,1)</f>
        <v>0</v>
      </c>
      <c r="R181" s="545">
        <f>'Foglio deposito bis'!$F$49*IF(ABS(L181)&lt;'Sollecitazioni nel paramento'!$G$58,ABS(L181)*'Sollecitazioni nel paramento'!$G$54,'Sollecitazioni nel paramento'!$G$53)*IF(L181&lt;0,-1,1)</f>
        <v>-26341.152012606362</v>
      </c>
      <c r="S181" s="545">
        <f>'Foglio deposito bis'!$F$50*IF(ABS(M181)&lt;'Sollecitazioni nel paramento'!$G$58,ABS(M181)*'Sollecitazioni nel paramento'!$G$54,'Sollecitazioni nel paramento'!$G$53)*IF(M181&lt;0,-1,1)</f>
        <v>0</v>
      </c>
      <c r="T181" s="545">
        <f>'Foglio deposito bis'!$F$51*IF(ABS(N181)&lt;'Sollecitazioni nel paramento'!$G$58,ABS(N181)*'Sollecitazioni nel paramento'!$G$54,'Sollecitazioni nel paramento'!$G$53)*IF(N181&lt;0,-1,1)</f>
        <v>240946.49743184328</v>
      </c>
      <c r="U181" s="545">
        <f>'Foglio deposito bis'!$F$52*IF(ABS(O181)&lt;'Sollecitazioni nel paramento'!$G$58,ABS(O181)*'Sollecitazioni nel paramento'!$G$54,'Sollecitazioni nel paramento'!$G$53)*IF(O181&lt;0,-1,1)</f>
        <v>240946.49743184328</v>
      </c>
      <c r="V181" s="472">
        <f t="shared" si="15"/>
        <v>-2001725.0606895748</v>
      </c>
      <c r="W181" s="551"/>
      <c r="X181" s="551"/>
    </row>
    <row r="182" spans="1:24" x14ac:dyDescent="0.25">
      <c r="A182" s="545">
        <f t="shared" si="14"/>
        <v>2029915.5753067022</v>
      </c>
      <c r="B182" s="3">
        <f t="shared" si="16"/>
        <v>20.099999999999952</v>
      </c>
      <c r="C182" s="545">
        <f>'Foglio deposito bis'!$E$153/$B$247*B182</f>
        <v>65.148782156797026</v>
      </c>
      <c r="D182" s="603">
        <f>-'Sollecitazioni nel paramento'!$G$47*'Sollecitazioni nel paramento'!$G$41*IF(DATI!$G$211="dx",DATI!$E$61,DATI!$E$64*DATI!$E$63)*1000*C182^2*sezione!$AD$5*(1-sezione!$AD$6)</f>
        <v>-94431356.537551984</v>
      </c>
      <c r="E182" s="545">
        <f>-'Foglio deposito bis'!$F$48*(C182-sezione!$AL$27)*IF(ABS(K182)&lt;'Sollecitazioni nel paramento'!$G$58,ABS(K182)*'Sollecitazioni nel paramento'!$G$54,'Sollecitazioni nel paramento'!$G$53)</f>
        <v>0</v>
      </c>
      <c r="F182" s="545">
        <f>-'Foglio deposito bis'!$F$49*(C182-sezione!$AM$27)*IF(ABS(L182)&lt;'Sollecitazioni nel paramento'!$G$58,ABS(L182)*'Sollecitazioni nel paramento'!$G$54,'Sollecitazioni nel paramento'!$G$53)</f>
        <v>-153616.05930689574</v>
      </c>
      <c r="G182" s="545">
        <f>-'Foglio deposito bis'!$F$50*(C182-sezione!$AN$27)*IF(ABS(M182)&lt;'Sollecitazioni nel paramento'!$G$58,ABS(M182)*'Sollecitazioni nel paramento'!$G$54,'Sollecitazioni nel paramento'!$G$53)</f>
        <v>0</v>
      </c>
      <c r="H182" s="545">
        <f>-'Foglio deposito bis'!$F$51*(C182-sezione!$AO$27)*IF(ABS(N182)&lt;'Sollecitazioni nel paramento'!$G$58,ABS(N182)*'Sollecitazioni nel paramento'!$G$54,'Sollecitazioni nel paramento'!$G$53)</f>
        <v>22854068.716464512</v>
      </c>
      <c r="I182" s="472">
        <f>-'Foglio deposito bis'!$F$52*(C182-sezione!$AP$27)*IF(ABS(O182)&lt;'Sollecitazioni nel paramento'!$G$58,ABS(O182)*'Sollecitazioni nel paramento'!$G$54,'Sollecitazioni nel paramento'!$G$53)</f>
        <v>32377988.508075427</v>
      </c>
      <c r="J182" s="472">
        <f t="shared" si="13"/>
        <v>-39352915.372318938</v>
      </c>
      <c r="K182" s="550">
        <f>'Sollecitazioni nel paramento'!$G$60*(sezione!$AL$27-C182)/C182</f>
        <v>-1.3510726468676795E-3</v>
      </c>
      <c r="L182" s="550">
        <f>'Sollecitazioni nel paramento'!$G$60*(sezione!$AM$27-C182)/C182</f>
        <v>-2.7660897030151889E-4</v>
      </c>
      <c r="M182" s="551">
        <f>'Sollecitazioni nel paramento'!$G$60*(sezione!$AN$27-C182)/C182</f>
        <v>7.9785470626464146E-4</v>
      </c>
      <c r="N182" s="551">
        <f>'Sollecitazioni nel paramento'!$G$60*(sezione!$AO$27-C182)/C182</f>
        <v>5.0957094125292828E-3</v>
      </c>
      <c r="O182" s="551">
        <f>'Sollecitazioni nel paramento'!$G$60*(sezione!$AP$27-C182)/C182</f>
        <v>7.2192318508478015E-3</v>
      </c>
      <c r="P182" s="545">
        <f>-'Sollecitazioni nel paramento'!$G$47*'Sollecitazioni nel paramento'!$G$41*IF(DATI!$G$211="dx",DATI!$E$61,DATI!$E$64*DATI!$E$63)*1000*C182*sezione!$AD$5</f>
        <v>-2481973.1538274959</v>
      </c>
      <c r="Q182" s="545">
        <f>'Foglio deposito bis'!$F$48*IF(ABS(K182)&lt;'Sollecitazioni nel paramento'!$G$58,ABS(K182)*'Sollecitazioni nel paramento'!$G$54,'Sollecitazioni nel paramento'!$G$53)*IF(K182&lt;0,-1,1)</f>
        <v>0</v>
      </c>
      <c r="R182" s="545">
        <f>'Foglio deposito bis'!$F$49*IF(ABS(L182)&lt;'Sollecitazioni nel paramento'!$G$58,ABS(L182)*'Sollecitazioni nel paramento'!$G$54,'Sollecitazioni nel paramento'!$G$53)*IF(L182&lt;0,-1,1)</f>
        <v>-29835.416342892589</v>
      </c>
      <c r="S182" s="545">
        <f>'Foglio deposito bis'!$F$50*IF(ABS(M182)&lt;'Sollecitazioni nel paramento'!$G$58,ABS(M182)*'Sollecitazioni nel paramento'!$G$54,'Sollecitazioni nel paramento'!$G$53)*IF(M182&lt;0,-1,1)</f>
        <v>0</v>
      </c>
      <c r="T182" s="545">
        <f>'Foglio deposito bis'!$F$51*IF(ABS(N182)&lt;'Sollecitazioni nel paramento'!$G$58,ABS(N182)*'Sollecitazioni nel paramento'!$G$54,'Sollecitazioni nel paramento'!$G$53)*IF(N182&lt;0,-1,1)</f>
        <v>240946.49743184328</v>
      </c>
      <c r="U182" s="545">
        <f>'Foglio deposito bis'!$F$52*IF(ABS(O182)&lt;'Sollecitazioni nel paramento'!$G$58,ABS(O182)*'Sollecitazioni nel paramento'!$G$54,'Sollecitazioni nel paramento'!$G$53)*IF(O182&lt;0,-1,1)</f>
        <v>240946.49743184328</v>
      </c>
      <c r="V182" s="472">
        <f t="shared" si="15"/>
        <v>-2029915.5753067022</v>
      </c>
      <c r="W182" s="551"/>
      <c r="X182" s="551"/>
    </row>
    <row r="183" spans="1:24" x14ac:dyDescent="0.25">
      <c r="A183" s="545">
        <f t="shared" si="14"/>
        <v>2058037.2374247096</v>
      </c>
      <c r="B183" s="3">
        <f t="shared" si="16"/>
        <v>20.299999999999951</v>
      </c>
      <c r="C183" s="545">
        <f>'Foglio deposito bis'!$E$153/$B$247*B183</f>
        <v>65.797028745421869</v>
      </c>
      <c r="D183" s="603">
        <f>-'Sollecitazioni nel paramento'!$G$47*'Sollecitazioni nel paramento'!$G$41*IF(DATI!$G$211="dx",DATI!$E$61,DATI!$E$64*DATI!$E$63)*1000*C183^2*sezione!$AD$5*(1-sezione!$AD$6)</f>
        <v>-96319936.921263829</v>
      </c>
      <c r="E183" s="545">
        <f>-'Foglio deposito bis'!$F$48*(C183-sezione!$AL$27)*IF(ABS(K183)&lt;'Sollecitazioni nel paramento'!$G$58,ABS(K183)*'Sollecitazioni nel paramento'!$G$54,'Sollecitazioni nel paramento'!$G$53)</f>
        <v>0</v>
      </c>
      <c r="F183" s="545">
        <f>-'Foglio deposito bis'!$F$49*(C183-sezione!$AM$27)*IF(ABS(L183)&lt;'Sollecitazioni nel paramento'!$G$58,ABS(L183)*'Sollecitazioni nel paramento'!$G$54,'Sollecitazioni nel paramento'!$G$53)</f>
        <v>-192813.97702156266</v>
      </c>
      <c r="G183" s="545">
        <f>-'Foglio deposito bis'!$F$50*(C183-sezione!$AN$27)*IF(ABS(M183)&lt;'Sollecitazioni nel paramento'!$G$58,ABS(M183)*'Sollecitazioni nel paramento'!$G$54,'Sollecitazioni nel paramento'!$G$53)</f>
        <v>0</v>
      </c>
      <c r="H183" s="545">
        <f>-'Foglio deposito bis'!$F$51*(C183-sezione!$AO$27)*IF(ABS(N183)&lt;'Sollecitazioni nel paramento'!$G$58,ABS(N183)*'Sollecitazioni nel paramento'!$G$54,'Sollecitazioni nel paramento'!$G$53)</f>
        <v>22697875.971463215</v>
      </c>
      <c r="I183" s="472">
        <f>-'Foglio deposito bis'!$F$52*(C183-sezione!$AP$27)*IF(ABS(O183)&lt;'Sollecitazioni nel paramento'!$G$58,ABS(O183)*'Sollecitazioni nel paramento'!$G$54,'Sollecitazioni nel paramento'!$G$53)</f>
        <v>32221795.76307413</v>
      </c>
      <c r="J183" s="472">
        <f t="shared" si="13"/>
        <v>-41593079.163748041</v>
      </c>
      <c r="K183" s="550">
        <f>'Sollecitazioni nel paramento'!$G$60*(sezione!$AL$27-C183)/C183</f>
        <v>-1.3722443449280962E-3</v>
      </c>
      <c r="L183" s="550">
        <f>'Sollecitazioni nel paramento'!$G$60*(sezione!$AM$27-C183)/C183</f>
        <v>-3.0836651739214418E-4</v>
      </c>
      <c r="M183" s="551">
        <f>'Sollecitazioni nel paramento'!$G$60*(sezione!$AN$27-C183)/C183</f>
        <v>7.5551131014380782E-4</v>
      </c>
      <c r="N183" s="551">
        <f>'Sollecitazioni nel paramento'!$G$60*(sezione!$AO$27-C183)/C183</f>
        <v>5.0110226202876159E-3</v>
      </c>
      <c r="O183" s="551">
        <f>'Sollecitazioni nel paramento'!$G$60*(sezione!$AP$27-C183)/C183</f>
        <v>7.1136236552729456E-3</v>
      </c>
      <c r="P183" s="545">
        <f>-'Sollecitazioni nel paramento'!$G$47*'Sollecitazioni nel paramento'!$G$41*IF(DATI!$G$211="dx",DATI!$E$61,DATI!$E$64*DATI!$E$63)*1000*C183*sezione!$AD$5</f>
        <v>-2506669.4041143362</v>
      </c>
      <c r="Q183" s="545">
        <f>'Foglio deposito bis'!$F$48*IF(ABS(K183)&lt;'Sollecitazioni nel paramento'!$G$58,ABS(K183)*'Sollecitazioni nel paramento'!$G$54,'Sollecitazioni nel paramento'!$G$53)*IF(K183&lt;0,-1,1)</f>
        <v>0</v>
      </c>
      <c r="R183" s="545">
        <f>'Foglio deposito bis'!$F$49*IF(ABS(L183)&lt;'Sollecitazioni nel paramento'!$G$58,ABS(L183)*'Sollecitazioni nel paramento'!$G$54,'Sollecitazioni nel paramento'!$G$53)*IF(L183&lt;0,-1,1)</f>
        <v>-33260.828174059876</v>
      </c>
      <c r="S183" s="545">
        <f>'Foglio deposito bis'!$F$50*IF(ABS(M183)&lt;'Sollecitazioni nel paramento'!$G$58,ABS(M183)*'Sollecitazioni nel paramento'!$G$54,'Sollecitazioni nel paramento'!$G$53)*IF(M183&lt;0,-1,1)</f>
        <v>0</v>
      </c>
      <c r="T183" s="545">
        <f>'Foglio deposito bis'!$F$51*IF(ABS(N183)&lt;'Sollecitazioni nel paramento'!$G$58,ABS(N183)*'Sollecitazioni nel paramento'!$G$54,'Sollecitazioni nel paramento'!$G$53)*IF(N183&lt;0,-1,1)</f>
        <v>240946.49743184328</v>
      </c>
      <c r="U183" s="545">
        <f>'Foglio deposito bis'!$F$52*IF(ABS(O183)&lt;'Sollecitazioni nel paramento'!$G$58,ABS(O183)*'Sollecitazioni nel paramento'!$G$54,'Sollecitazioni nel paramento'!$G$53)*IF(O183&lt;0,-1,1)</f>
        <v>240946.49743184328</v>
      </c>
      <c r="V183" s="472">
        <f t="shared" si="15"/>
        <v>-2058037.2374247096</v>
      </c>
      <c r="W183" s="551"/>
      <c r="X183" s="551"/>
    </row>
    <row r="184" spans="1:24" x14ac:dyDescent="0.25">
      <c r="A184" s="545">
        <f t="shared" si="14"/>
        <v>2086092.0622386949</v>
      </c>
      <c r="B184" s="3">
        <f t="shared" si="16"/>
        <v>20.49999999999995</v>
      </c>
      <c r="C184" s="545">
        <f>'Foglio deposito bis'!$E$153/$B$247*B184</f>
        <v>66.445275334046713</v>
      </c>
      <c r="D184" s="603">
        <f>-'Sollecitazioni nel paramento'!$G$47*'Sollecitazioni nel paramento'!$G$41*IF(DATI!$G$211="dx",DATI!$E$61,DATI!$E$64*DATI!$E$63)*1000*C184^2*sezione!$AD$5*(1-sezione!$AD$6)</f>
        <v>-98227216.120655969</v>
      </c>
      <c r="E184" s="545">
        <f>-'Foglio deposito bis'!$F$48*(C184-sezione!$AL$27)*IF(ABS(K184)&lt;'Sollecitazioni nel paramento'!$G$58,ABS(K184)*'Sollecitazioni nel paramento'!$G$54,'Sollecitazioni nel paramento'!$G$53)</f>
        <v>0</v>
      </c>
      <c r="F184" s="545">
        <f>-'Foglio deposito bis'!$F$49*(C184-sezione!$AM$27)*IF(ABS(L184)&lt;'Sollecitazioni nel paramento'!$G$58,ABS(L184)*'Sollecitazioni nel paramento'!$G$54,'Sollecitazioni nel paramento'!$G$53)</f>
        <v>-236022.13297759619</v>
      </c>
      <c r="G184" s="545">
        <f>-'Foglio deposito bis'!$F$50*(C184-sezione!$AN$27)*IF(ABS(M184)&lt;'Sollecitazioni nel paramento'!$G$58,ABS(M184)*'Sollecitazioni nel paramento'!$G$54,'Sollecitazioni nel paramento'!$G$53)</f>
        <v>0</v>
      </c>
      <c r="H184" s="545">
        <f>-'Foglio deposito bis'!$F$51*(C184-sezione!$AO$27)*IF(ABS(N184)&lt;'Sollecitazioni nel paramento'!$G$58,ABS(N184)*'Sollecitazioni nel paramento'!$G$54,'Sollecitazioni nel paramento'!$G$53)</f>
        <v>22541683.226461921</v>
      </c>
      <c r="I184" s="472">
        <f>-'Foglio deposito bis'!$F$52*(C184-sezione!$AP$27)*IF(ABS(O184)&lt;'Sollecitazioni nel paramento'!$G$58,ABS(O184)*'Sollecitazioni nel paramento'!$G$54,'Sollecitazioni nel paramento'!$G$53)</f>
        <v>32065603.018072832</v>
      </c>
      <c r="J184" s="472">
        <f t="shared" si="13"/>
        <v>-43855952.009098813</v>
      </c>
      <c r="K184" s="550">
        <f>'Sollecitazioni nel paramento'!$G$60*(sezione!$AL$27-C184)/C184</f>
        <v>-1.3930029366848952E-3</v>
      </c>
      <c r="L184" s="550">
        <f>'Sollecitazioni nel paramento'!$G$60*(sezione!$AM$27-C184)/C184</f>
        <v>-3.3950440502734269E-4</v>
      </c>
      <c r="M184" s="551">
        <f>'Sollecitazioni nel paramento'!$G$60*(sezione!$AN$27-C184)/C184</f>
        <v>7.1399412663020981E-4</v>
      </c>
      <c r="N184" s="551">
        <f>'Sollecitazioni nel paramento'!$G$60*(sezione!$AO$27-C184)/C184</f>
        <v>4.9279882532604199E-3</v>
      </c>
      <c r="O184" s="551">
        <f>'Sollecitazioni nel paramento'!$G$60*(sezione!$AP$27-C184)/C184</f>
        <v>7.0100761074166238E-3</v>
      </c>
      <c r="P184" s="545">
        <f>-'Sollecitazioni nel paramento'!$G$47*'Sollecitazioni nel paramento'!$G$41*IF(DATI!$G$211="dx",DATI!$E$61,DATI!$E$64*DATI!$E$63)*1000*C184*sezione!$AD$5</f>
        <v>-2531365.6544011771</v>
      </c>
      <c r="Q184" s="545">
        <f>'Foglio deposito bis'!$F$48*IF(ABS(K184)&lt;'Sollecitazioni nel paramento'!$G$58,ABS(K184)*'Sollecitazioni nel paramento'!$G$54,'Sollecitazioni nel paramento'!$G$53)*IF(K184&lt;0,-1,1)</f>
        <v>0</v>
      </c>
      <c r="R184" s="545">
        <f>'Foglio deposito bis'!$F$49*IF(ABS(L184)&lt;'Sollecitazioni nel paramento'!$G$58,ABS(L184)*'Sollecitazioni nel paramento'!$G$54,'Sollecitazioni nel paramento'!$G$53)*IF(L184&lt;0,-1,1)</f>
        <v>-36619.402701204388</v>
      </c>
      <c r="S184" s="545">
        <f>'Foglio deposito bis'!$F$50*IF(ABS(M184)&lt;'Sollecitazioni nel paramento'!$G$58,ABS(M184)*'Sollecitazioni nel paramento'!$G$54,'Sollecitazioni nel paramento'!$G$53)*IF(M184&lt;0,-1,1)</f>
        <v>0</v>
      </c>
      <c r="T184" s="545">
        <f>'Foglio deposito bis'!$F$51*IF(ABS(N184)&lt;'Sollecitazioni nel paramento'!$G$58,ABS(N184)*'Sollecitazioni nel paramento'!$G$54,'Sollecitazioni nel paramento'!$G$53)*IF(N184&lt;0,-1,1)</f>
        <v>240946.49743184328</v>
      </c>
      <c r="U184" s="545">
        <f>'Foglio deposito bis'!$F$52*IF(ABS(O184)&lt;'Sollecitazioni nel paramento'!$G$58,ABS(O184)*'Sollecitazioni nel paramento'!$G$54,'Sollecitazioni nel paramento'!$G$53)*IF(O184&lt;0,-1,1)</f>
        <v>240946.49743184328</v>
      </c>
      <c r="V184" s="472">
        <f t="shared" si="15"/>
        <v>-2086092.0622386949</v>
      </c>
      <c r="W184" s="551"/>
      <c r="X184" s="551"/>
    </row>
    <row r="185" spans="1:24" x14ac:dyDescent="0.25">
      <c r="A185" s="545">
        <f t="shared" si="14"/>
        <v>2114081.9870618181</v>
      </c>
      <c r="B185" s="3">
        <f t="shared" si="16"/>
        <v>20.69999999999995</v>
      </c>
      <c r="C185" s="545">
        <f>'Foglio deposito bis'!$E$153/$B$247*B185</f>
        <v>67.093521922671556</v>
      </c>
      <c r="D185" s="603">
        <f>-'Sollecitazioni nel paramento'!$G$47*'Sollecitazioni nel paramento'!$G$41*IF(DATI!$G$211="dx",DATI!$E$61,DATI!$E$64*DATI!$E$63)*1000*C185^2*sezione!$AD$5*(1-sezione!$AD$6)</f>
        <v>-100153194.13572845</v>
      </c>
      <c r="E185" s="545">
        <f>-'Foglio deposito bis'!$F$48*(C185-sezione!$AL$27)*IF(ABS(K185)&lt;'Sollecitazioni nel paramento'!$G$58,ABS(K185)*'Sollecitazioni nel paramento'!$G$54,'Sollecitazioni nel paramento'!$G$53)</f>
        <v>0</v>
      </c>
      <c r="F185" s="545">
        <f>-'Foglio deposito bis'!$F$49*(C185-sezione!$AM$27)*IF(ABS(L185)&lt;'Sollecitazioni nel paramento'!$G$58,ABS(L185)*'Sollecitazioni nel paramento'!$G$54,'Sollecitazioni nel paramento'!$G$53)</f>
        <v>-283124.28838539135</v>
      </c>
      <c r="G185" s="545">
        <f>-'Foglio deposito bis'!$F$50*(C185-sezione!$AN$27)*IF(ABS(M185)&lt;'Sollecitazioni nel paramento'!$G$58,ABS(M185)*'Sollecitazioni nel paramento'!$G$54,'Sollecitazioni nel paramento'!$G$53)</f>
        <v>0</v>
      </c>
      <c r="H185" s="545">
        <f>-'Foglio deposito bis'!$F$51*(C185-sezione!$AO$27)*IF(ABS(N185)&lt;'Sollecitazioni nel paramento'!$G$58,ABS(N185)*'Sollecitazioni nel paramento'!$G$54,'Sollecitazioni nel paramento'!$G$53)</f>
        <v>22385490.48146062</v>
      </c>
      <c r="I185" s="472">
        <f>-'Foglio deposito bis'!$F$52*(C185-sezione!$AP$27)*IF(ABS(O185)&lt;'Sollecitazioni nel paramento'!$G$58,ABS(O185)*'Sollecitazioni nel paramento'!$G$54,'Sollecitazioni nel paramento'!$G$53)</f>
        <v>31909410.273071535</v>
      </c>
      <c r="J185" s="472">
        <f t="shared" si="13"/>
        <v>-46141417.669581689</v>
      </c>
      <c r="K185" s="550">
        <f>'Sollecitazioni nel paramento'!$G$60*(sezione!$AL$27-C185)/C185</f>
        <v>-1.4133603962338333E-3</v>
      </c>
      <c r="L185" s="550">
        <f>'Sollecitazioni nel paramento'!$G$60*(sezione!$AM$27-C185)/C185</f>
        <v>-3.700405943507498E-4</v>
      </c>
      <c r="M185" s="551">
        <f>'Sollecitazioni nel paramento'!$G$60*(sezione!$AN$27-C185)/C185</f>
        <v>6.7327920753233359E-4</v>
      </c>
      <c r="N185" s="551">
        <f>'Sollecitazioni nel paramento'!$G$60*(sezione!$AO$27-C185)/C185</f>
        <v>4.8465584150646675E-3</v>
      </c>
      <c r="O185" s="551">
        <f>'Sollecitazioni nel paramento'!$G$60*(sezione!$AP$27-C185)/C185</f>
        <v>6.9085294783594597E-3</v>
      </c>
      <c r="P185" s="545">
        <f>-'Sollecitazioni nel paramento'!$G$47*'Sollecitazioni nel paramento'!$G$41*IF(DATI!$G$211="dx",DATI!$E$61,DATI!$E$64*DATI!$E$63)*1000*C185*sezione!$AD$5</f>
        <v>-2556061.9046880179</v>
      </c>
      <c r="Q185" s="545">
        <f>'Foglio deposito bis'!$F$48*IF(ABS(K185)&lt;'Sollecitazioni nel paramento'!$G$58,ABS(K185)*'Sollecitazioni nel paramento'!$G$54,'Sollecitazioni nel paramento'!$G$53)*IF(K185&lt;0,-1,1)</f>
        <v>0</v>
      </c>
      <c r="R185" s="545">
        <f>'Foglio deposito bis'!$F$49*IF(ABS(L185)&lt;'Sollecitazioni nel paramento'!$G$58,ABS(L185)*'Sollecitazioni nel paramento'!$G$54,'Sollecitazioni nel paramento'!$G$53)*IF(L185&lt;0,-1,1)</f>
        <v>-39913.077237486192</v>
      </c>
      <c r="S185" s="545">
        <f>'Foglio deposito bis'!$F$50*IF(ABS(M185)&lt;'Sollecitazioni nel paramento'!$G$58,ABS(M185)*'Sollecitazioni nel paramento'!$G$54,'Sollecitazioni nel paramento'!$G$53)*IF(M185&lt;0,-1,1)</f>
        <v>0</v>
      </c>
      <c r="T185" s="545">
        <f>'Foglio deposito bis'!$F$51*IF(ABS(N185)&lt;'Sollecitazioni nel paramento'!$G$58,ABS(N185)*'Sollecitazioni nel paramento'!$G$54,'Sollecitazioni nel paramento'!$G$53)*IF(N185&lt;0,-1,1)</f>
        <v>240946.49743184328</v>
      </c>
      <c r="U185" s="545">
        <f>'Foglio deposito bis'!$F$52*IF(ABS(O185)&lt;'Sollecitazioni nel paramento'!$G$58,ABS(O185)*'Sollecitazioni nel paramento'!$G$54,'Sollecitazioni nel paramento'!$G$53)*IF(O185&lt;0,-1,1)</f>
        <v>240946.49743184328</v>
      </c>
      <c r="V185" s="472">
        <f t="shared" si="15"/>
        <v>-2114081.9870618181</v>
      </c>
      <c r="W185" s="551"/>
      <c r="X185" s="551"/>
    </row>
    <row r="186" spans="1:24" x14ac:dyDescent="0.25">
      <c r="A186" s="545">
        <f t="shared" si="14"/>
        <v>2142008.8750517103</v>
      </c>
      <c r="B186" s="3">
        <f t="shared" si="16"/>
        <v>20.899999999999949</v>
      </c>
      <c r="C186" s="545">
        <f>'Foglio deposito bis'!$E$153/$B$247*B186</f>
        <v>67.741768511296414</v>
      </c>
      <c r="D186" s="603">
        <f>-'Sollecitazioni nel paramento'!$G$47*'Sollecitazioni nel paramento'!$G$41*IF(DATI!$G$211="dx",DATI!$E$61,DATI!$E$64*DATI!$E$63)*1000*C186^2*sezione!$AD$5*(1-sezione!$AD$6)</f>
        <v>-102097870.96648127</v>
      </c>
      <c r="E186" s="545">
        <f>-'Foglio deposito bis'!$F$48*(C186-sezione!$AL$27)*IF(ABS(K186)&lt;'Sollecitazioni nel paramento'!$G$58,ABS(K186)*'Sollecitazioni nel paramento'!$G$54,'Sollecitazioni nel paramento'!$G$53)</f>
        <v>0</v>
      </c>
      <c r="F186" s="545">
        <f>-'Foglio deposito bis'!$F$49*(C186-sezione!$AM$27)*IF(ABS(L186)&lt;'Sollecitazioni nel paramento'!$G$58,ABS(L186)*'Sollecitazioni nel paramento'!$G$54,'Sollecitazioni nel paramento'!$G$53)</f>
        <v>-334008.65378700424</v>
      </c>
      <c r="G186" s="545">
        <f>-'Foglio deposito bis'!$F$50*(C186-sezione!$AN$27)*IF(ABS(M186)&lt;'Sollecitazioni nel paramento'!$G$58,ABS(M186)*'Sollecitazioni nel paramento'!$G$54,'Sollecitazioni nel paramento'!$G$53)</f>
        <v>0</v>
      </c>
      <c r="H186" s="545">
        <f>-'Foglio deposito bis'!$F$51*(C186-sezione!$AO$27)*IF(ABS(N186)&lt;'Sollecitazioni nel paramento'!$G$58,ABS(N186)*'Sollecitazioni nel paramento'!$G$54,'Sollecitazioni nel paramento'!$G$53)</f>
        <v>22229297.736459319</v>
      </c>
      <c r="I186" s="472">
        <f>-'Foglio deposito bis'!$F$52*(C186-sezione!$AP$27)*IF(ABS(O186)&lt;'Sollecitazioni nel paramento'!$G$58,ABS(O186)*'Sollecitazioni nel paramento'!$G$54,'Sollecitazioni nel paramento'!$G$53)</f>
        <v>31753217.528070237</v>
      </c>
      <c r="J186" s="472">
        <f t="shared" si="13"/>
        <v>-48449364.355738714</v>
      </c>
      <c r="K186" s="550">
        <f>'Sollecitazioni nel paramento'!$G$60*(sezione!$AL$27-C186)/C186</f>
        <v>-1.4333282393320743E-3</v>
      </c>
      <c r="L186" s="550">
        <f>'Sollecitazioni nel paramento'!$G$60*(sezione!$AM$27-C186)/C186</f>
        <v>-3.9999235899811162E-4</v>
      </c>
      <c r="M186" s="551">
        <f>'Sollecitazioni nel paramento'!$G$60*(sezione!$AN$27-C186)/C186</f>
        <v>6.333435213358512E-4</v>
      </c>
      <c r="N186" s="551">
        <f>'Sollecitazioni nel paramento'!$G$60*(sezione!$AO$27-C186)/C186</f>
        <v>4.7666870426717025E-3</v>
      </c>
      <c r="O186" s="551">
        <f>'Sollecitazioni nel paramento'!$G$60*(sezione!$AP$27-C186)/C186</f>
        <v>6.8089263254564967E-3</v>
      </c>
      <c r="P186" s="545">
        <f>-'Sollecitazioni nel paramento'!$G$47*'Sollecitazioni nel paramento'!$G$41*IF(DATI!$G$211="dx",DATI!$E$61,DATI!$E$64*DATI!$E$63)*1000*C186*sezione!$AD$5</f>
        <v>-2580758.1549748587</v>
      </c>
      <c r="Q186" s="545">
        <f>'Foglio deposito bis'!$F$48*IF(ABS(K186)&lt;'Sollecitazioni nel paramento'!$G$58,ABS(K186)*'Sollecitazioni nel paramento'!$G$54,'Sollecitazioni nel paramento'!$G$53)*IF(K186&lt;0,-1,1)</f>
        <v>0</v>
      </c>
      <c r="R186" s="545">
        <f>'Foglio deposito bis'!$F$49*IF(ABS(L186)&lt;'Sollecitazioni nel paramento'!$G$58,ABS(L186)*'Sollecitazioni nel paramento'!$G$54,'Sollecitazioni nel paramento'!$G$53)*IF(L186&lt;0,-1,1)</f>
        <v>-43143.714940537808</v>
      </c>
      <c r="S186" s="545">
        <f>'Foglio deposito bis'!$F$50*IF(ABS(M186)&lt;'Sollecitazioni nel paramento'!$G$58,ABS(M186)*'Sollecitazioni nel paramento'!$G$54,'Sollecitazioni nel paramento'!$G$53)*IF(M186&lt;0,-1,1)</f>
        <v>0</v>
      </c>
      <c r="T186" s="545">
        <f>'Foglio deposito bis'!$F$51*IF(ABS(N186)&lt;'Sollecitazioni nel paramento'!$G$58,ABS(N186)*'Sollecitazioni nel paramento'!$G$54,'Sollecitazioni nel paramento'!$G$53)*IF(N186&lt;0,-1,1)</f>
        <v>240946.49743184328</v>
      </c>
      <c r="U186" s="545">
        <f>'Foglio deposito bis'!$F$52*IF(ABS(O186)&lt;'Sollecitazioni nel paramento'!$G$58,ABS(O186)*'Sollecitazioni nel paramento'!$G$54,'Sollecitazioni nel paramento'!$G$53)*IF(O186&lt;0,-1,1)</f>
        <v>240946.49743184328</v>
      </c>
      <c r="V186" s="472">
        <f t="shared" si="15"/>
        <v>-2142008.8750517103</v>
      </c>
      <c r="W186" s="551"/>
      <c r="X186" s="551"/>
    </row>
    <row r="187" spans="1:24" x14ac:dyDescent="0.25">
      <c r="A187" s="545">
        <f t="shared" si="14"/>
        <v>2169874.518724957</v>
      </c>
      <c r="B187" s="3">
        <f t="shared" si="16"/>
        <v>21.099999999999948</v>
      </c>
      <c r="C187" s="545">
        <f>'Foglio deposito bis'!$E$153/$B$247*B187</f>
        <v>68.390015099921257</v>
      </c>
      <c r="D187" s="603">
        <f>-'Sollecitazioni nel paramento'!$G$47*'Sollecitazioni nel paramento'!$G$41*IF(DATI!$G$211="dx",DATI!$E$61,DATI!$E$64*DATI!$E$63)*1000*C187^2*sezione!$AD$5*(1-sezione!$AD$6)</f>
        <v>-104061246.61291434</v>
      </c>
      <c r="E187" s="545">
        <f>-'Foglio deposito bis'!$F$48*(C187-sezione!$AL$27)*IF(ABS(K187)&lt;'Sollecitazioni nel paramento'!$G$58,ABS(K187)*'Sollecitazioni nel paramento'!$G$54,'Sollecitazioni nel paramento'!$G$53)</f>
        <v>0</v>
      </c>
      <c r="F187" s="545">
        <f>-'Foglio deposito bis'!$F$49*(C187-sezione!$AM$27)*IF(ABS(L187)&lt;'Sollecitazioni nel paramento'!$G$58,ABS(L187)*'Sollecitazioni nel paramento'!$G$54,'Sollecitazioni nel paramento'!$G$53)</f>
        <v>-388567.67818734754</v>
      </c>
      <c r="G187" s="545">
        <f>-'Foglio deposito bis'!$F$50*(C187-sezione!$AN$27)*IF(ABS(M187)&lt;'Sollecitazioni nel paramento'!$G$58,ABS(M187)*'Sollecitazioni nel paramento'!$G$54,'Sollecitazioni nel paramento'!$G$53)</f>
        <v>0</v>
      </c>
      <c r="H187" s="545">
        <f>-'Foglio deposito bis'!$F$51*(C187-sezione!$AO$27)*IF(ABS(N187)&lt;'Sollecitazioni nel paramento'!$G$58,ABS(N187)*'Sollecitazioni nel paramento'!$G$54,'Sollecitazioni nel paramento'!$G$53)</f>
        <v>22073104.991458025</v>
      </c>
      <c r="I187" s="472">
        <f>-'Foglio deposito bis'!$F$52*(C187-sezione!$AP$27)*IF(ABS(O187)&lt;'Sollecitazioni nel paramento'!$G$58,ABS(O187)*'Sollecitazioni nel paramento'!$G$54,'Sollecitazioni nel paramento'!$G$53)</f>
        <v>31597024.783068936</v>
      </c>
      <c r="J187" s="472">
        <f t="shared" si="13"/>
        <v>-50779684.516574711</v>
      </c>
      <c r="K187" s="550">
        <f>'Sollecitazioni nel paramento'!$G$60*(sezione!$AL$27-C187)/C187</f>
        <v>-1.4529175451203958E-3</v>
      </c>
      <c r="L187" s="550">
        <f>'Sollecitazioni nel paramento'!$G$60*(sezione!$AM$27-C187)/C187</f>
        <v>-4.2937631768059388E-4</v>
      </c>
      <c r="M187" s="551">
        <f>'Sollecitazioni nel paramento'!$G$60*(sezione!$AN$27-C187)/C187</f>
        <v>5.9416490975920818E-4</v>
      </c>
      <c r="N187" s="551">
        <f>'Sollecitazioni nel paramento'!$G$60*(sezione!$AO$27-C187)/C187</f>
        <v>4.6883298195184164E-3</v>
      </c>
      <c r="O187" s="551">
        <f>'Sollecitazioni nel paramento'!$G$60*(sezione!$AP$27-C187)/C187</f>
        <v>6.7112113839829747E-3</v>
      </c>
      <c r="P187" s="545">
        <f>-'Sollecitazioni nel paramento'!$G$47*'Sollecitazioni nel paramento'!$G$41*IF(DATI!$G$211="dx",DATI!$E$61,DATI!$E$64*DATI!$E$63)*1000*C187*sezione!$AD$5</f>
        <v>-2605454.4052616996</v>
      </c>
      <c r="Q187" s="545">
        <f>'Foglio deposito bis'!$F$48*IF(ABS(K187)&lt;'Sollecitazioni nel paramento'!$G$58,ABS(K187)*'Sollecitazioni nel paramento'!$G$54,'Sollecitazioni nel paramento'!$G$53)*IF(K187&lt;0,-1,1)</f>
        <v>0</v>
      </c>
      <c r="R187" s="545">
        <f>'Foglio deposito bis'!$F$49*IF(ABS(L187)&lt;'Sollecitazioni nel paramento'!$G$58,ABS(L187)*'Sollecitazioni nel paramento'!$G$54,'Sollecitazioni nel paramento'!$G$53)*IF(L187&lt;0,-1,1)</f>
        <v>-46313.108326943817</v>
      </c>
      <c r="S187" s="545">
        <f>'Foglio deposito bis'!$F$50*IF(ABS(M187)&lt;'Sollecitazioni nel paramento'!$G$58,ABS(M187)*'Sollecitazioni nel paramento'!$G$54,'Sollecitazioni nel paramento'!$G$53)*IF(M187&lt;0,-1,1)</f>
        <v>0</v>
      </c>
      <c r="T187" s="545">
        <f>'Foglio deposito bis'!$F$51*IF(ABS(N187)&lt;'Sollecitazioni nel paramento'!$G$58,ABS(N187)*'Sollecitazioni nel paramento'!$G$54,'Sollecitazioni nel paramento'!$G$53)*IF(N187&lt;0,-1,1)</f>
        <v>240946.49743184328</v>
      </c>
      <c r="U187" s="545">
        <f>'Foglio deposito bis'!$F$52*IF(ABS(O187)&lt;'Sollecitazioni nel paramento'!$G$58,ABS(O187)*'Sollecitazioni nel paramento'!$G$54,'Sollecitazioni nel paramento'!$G$53)*IF(O187&lt;0,-1,1)</f>
        <v>240946.49743184328</v>
      </c>
      <c r="V187" s="472">
        <f t="shared" si="15"/>
        <v>-2169874.518724957</v>
      </c>
      <c r="W187" s="551"/>
      <c r="X187" s="551"/>
    </row>
    <row r="188" spans="1:24" x14ac:dyDescent="0.25">
      <c r="A188" s="545">
        <f t="shared" si="14"/>
        <v>2197680.6432735766</v>
      </c>
      <c r="B188" s="3">
        <f t="shared" si="16"/>
        <v>21.299999999999947</v>
      </c>
      <c r="C188" s="545">
        <f>'Foglio deposito bis'!$E$153/$B$247*B188</f>
        <v>69.0382616885461</v>
      </c>
      <c r="D188" s="603">
        <f>-'Sollecitazioni nel paramento'!$G$47*'Sollecitazioni nel paramento'!$G$41*IF(DATI!$G$211="dx",DATI!$E$61,DATI!$E$64*DATI!$E$63)*1000*C188^2*sezione!$AD$5*(1-sezione!$AD$6)</f>
        <v>-106043321.07502775</v>
      </c>
      <c r="E188" s="545">
        <f>-'Foglio deposito bis'!$F$48*(C188-sezione!$AL$27)*IF(ABS(K188)&lt;'Sollecitazioni nel paramento'!$G$58,ABS(K188)*'Sollecitazioni nel paramento'!$G$54,'Sollecitazioni nel paramento'!$G$53)</f>
        <v>0</v>
      </c>
      <c r="F188" s="545">
        <f>-'Foglio deposito bis'!$F$49*(C188-sezione!$AM$27)*IF(ABS(L188)&lt;'Sollecitazioni nel paramento'!$G$58,ABS(L188)*'Sollecitazioni nel paramento'!$G$54,'Sollecitazioni nel paramento'!$G$53)</f>
        <v>-446697.85006533138</v>
      </c>
      <c r="G188" s="545">
        <f>-'Foglio deposito bis'!$F$50*(C188-sezione!$AN$27)*IF(ABS(M188)&lt;'Sollecitazioni nel paramento'!$G$58,ABS(M188)*'Sollecitazioni nel paramento'!$G$54,'Sollecitazioni nel paramento'!$G$53)</f>
        <v>0</v>
      </c>
      <c r="H188" s="545">
        <f>-'Foglio deposito bis'!$F$51*(C188-sezione!$AO$27)*IF(ABS(N188)&lt;'Sollecitazioni nel paramento'!$G$58,ABS(N188)*'Sollecitazioni nel paramento'!$G$54,'Sollecitazioni nel paramento'!$G$53)</f>
        <v>21916912.246456727</v>
      </c>
      <c r="I188" s="472">
        <f>-'Foglio deposito bis'!$F$52*(C188-sezione!$AP$27)*IF(ABS(O188)&lt;'Sollecitazioni nel paramento'!$G$58,ABS(O188)*'Sollecitazioni nel paramento'!$G$54,'Sollecitazioni nel paramento'!$G$53)</f>
        <v>31440832.038067646</v>
      </c>
      <c r="J188" s="472">
        <f t="shared" si="13"/>
        <v>-53132274.640568711</v>
      </c>
      <c r="K188" s="550">
        <f>'Sollecitazioni nel paramento'!$G$60*(sezione!$AL$27-C188)/C188</f>
        <v>-1.4721389766216128E-3</v>
      </c>
      <c r="L188" s="550">
        <f>'Sollecitazioni nel paramento'!$G$60*(sezione!$AM$27-C188)/C188</f>
        <v>-4.5820846493241916E-4</v>
      </c>
      <c r="M188" s="551">
        <f>'Sollecitazioni nel paramento'!$G$60*(sezione!$AN$27-C188)/C188</f>
        <v>5.5572204675677448E-4</v>
      </c>
      <c r="N188" s="551">
        <f>'Sollecitazioni nel paramento'!$G$60*(sezione!$AO$27-C188)/C188</f>
        <v>4.6114440935135486E-3</v>
      </c>
      <c r="O188" s="551">
        <f>'Sollecitazioni nel paramento'!$G$60*(sezione!$AP$27-C188)/C188</f>
        <v>6.6153314648845444E-3</v>
      </c>
      <c r="P188" s="545">
        <f>-'Sollecitazioni nel paramento'!$G$47*'Sollecitazioni nel paramento'!$G$41*IF(DATI!$G$211="dx",DATI!$E$61,DATI!$E$64*DATI!$E$63)*1000*C188*sezione!$AD$5</f>
        <v>-2630150.6555485404</v>
      </c>
      <c r="Q188" s="545">
        <f>'Foglio deposito bis'!$F$48*IF(ABS(K188)&lt;'Sollecitazioni nel paramento'!$G$58,ABS(K188)*'Sollecitazioni nel paramento'!$G$54,'Sollecitazioni nel paramento'!$G$53)*IF(K188&lt;0,-1,1)</f>
        <v>0</v>
      </c>
      <c r="R188" s="545">
        <f>'Foglio deposito bis'!$F$49*IF(ABS(L188)&lt;'Sollecitazioni nel paramento'!$G$58,ABS(L188)*'Sollecitazioni nel paramento'!$G$54,'Sollecitazioni nel paramento'!$G$53)*IF(L188&lt;0,-1,1)</f>
        <v>-49422.982588722487</v>
      </c>
      <c r="S188" s="545">
        <f>'Foglio deposito bis'!$F$50*IF(ABS(M188)&lt;'Sollecitazioni nel paramento'!$G$58,ABS(M188)*'Sollecitazioni nel paramento'!$G$54,'Sollecitazioni nel paramento'!$G$53)*IF(M188&lt;0,-1,1)</f>
        <v>0</v>
      </c>
      <c r="T188" s="545">
        <f>'Foglio deposito bis'!$F$51*IF(ABS(N188)&lt;'Sollecitazioni nel paramento'!$G$58,ABS(N188)*'Sollecitazioni nel paramento'!$G$54,'Sollecitazioni nel paramento'!$G$53)*IF(N188&lt;0,-1,1)</f>
        <v>240946.49743184328</v>
      </c>
      <c r="U188" s="545">
        <f>'Foglio deposito bis'!$F$52*IF(ABS(O188)&lt;'Sollecitazioni nel paramento'!$G$58,ABS(O188)*'Sollecitazioni nel paramento'!$G$54,'Sollecitazioni nel paramento'!$G$53)*IF(O188&lt;0,-1,1)</f>
        <v>240946.49743184328</v>
      </c>
      <c r="V188" s="472">
        <f t="shared" si="15"/>
        <v>-2197680.6432735766</v>
      </c>
      <c r="W188" s="551"/>
      <c r="X188" s="551"/>
    </row>
    <row r="189" spans="1:24" x14ac:dyDescent="0.25">
      <c r="A189" s="545">
        <f t="shared" si="14"/>
        <v>2225428.909696395</v>
      </c>
      <c r="B189" s="3">
        <f t="shared" si="16"/>
        <v>21.499999999999947</v>
      </c>
      <c r="C189" s="545">
        <f>'Foglio deposito bis'!$E$153/$B$247*B189</f>
        <v>69.686508277170944</v>
      </c>
      <c r="D189" s="603">
        <f>-'Sollecitazioni nel paramento'!$G$47*'Sollecitazioni nel paramento'!$G$41*IF(DATI!$G$211="dx",DATI!$E$61,DATI!$E$64*DATI!$E$63)*1000*C189^2*sezione!$AD$5*(1-sezione!$AD$6)</f>
        <v>-108044094.35282147</v>
      </c>
      <c r="E189" s="545">
        <f>-'Foglio deposito bis'!$F$48*(C189-sezione!$AL$27)*IF(ABS(K189)&lt;'Sollecitazioni nel paramento'!$G$58,ABS(K189)*'Sollecitazioni nel paramento'!$G$54,'Sollecitazioni nel paramento'!$G$53)</f>
        <v>0</v>
      </c>
      <c r="F189" s="545">
        <f>-'Foglio deposito bis'!$F$49*(C189-sezione!$AM$27)*IF(ABS(L189)&lt;'Sollecitazioni nel paramento'!$G$58,ABS(L189)*'Sollecitazioni nel paramento'!$G$54,'Sollecitazioni nel paramento'!$G$53)</f>
        <v>-508299.5094913473</v>
      </c>
      <c r="G189" s="545">
        <f>-'Foglio deposito bis'!$F$50*(C189-sezione!$AN$27)*IF(ABS(M189)&lt;'Sollecitazioni nel paramento'!$G$58,ABS(M189)*'Sollecitazioni nel paramento'!$G$54,'Sollecitazioni nel paramento'!$G$53)</f>
        <v>0</v>
      </c>
      <c r="H189" s="545">
        <f>-'Foglio deposito bis'!$F$51*(C189-sezione!$AO$27)*IF(ABS(N189)&lt;'Sollecitazioni nel paramento'!$G$58,ABS(N189)*'Sollecitazioni nel paramento'!$G$54,'Sollecitazioni nel paramento'!$G$53)</f>
        <v>21760719.50145543</v>
      </c>
      <c r="I189" s="472">
        <f>-'Foglio deposito bis'!$F$52*(C189-sezione!$AP$27)*IF(ABS(O189)&lt;'Sollecitazioni nel paramento'!$G$58,ABS(O189)*'Sollecitazioni nel paramento'!$G$54,'Sollecitazioni nel paramento'!$G$53)</f>
        <v>31284639.293066345</v>
      </c>
      <c r="J189" s="472">
        <f t="shared" si="13"/>
        <v>-55507035.067791052</v>
      </c>
      <c r="K189" s="550">
        <f>'Sollecitazioni nel paramento'!$G$60*(sezione!$AL$27-C189)/C189</f>
        <v>-1.4910028000949E-3</v>
      </c>
      <c r="L189" s="550">
        <f>'Sollecitazioni nel paramento'!$G$60*(sezione!$AM$27-C189)/C189</f>
        <v>-4.8650420014234998E-4</v>
      </c>
      <c r="M189" s="551">
        <f>'Sollecitazioni nel paramento'!$G$60*(sezione!$AN$27-C189)/C189</f>
        <v>5.1799439981020006E-4</v>
      </c>
      <c r="N189" s="551">
        <f>'Sollecitazioni nel paramento'!$G$60*(sezione!$AO$27-C189)/C189</f>
        <v>4.5359887996203998E-3</v>
      </c>
      <c r="O189" s="551">
        <f>'Sollecitazioni nel paramento'!$G$60*(sezione!$AP$27-C189)/C189</f>
        <v>6.5212353582344571E-3</v>
      </c>
      <c r="P189" s="545">
        <f>-'Sollecitazioni nel paramento'!$G$47*'Sollecitazioni nel paramento'!$G$41*IF(DATI!$G$211="dx",DATI!$E$61,DATI!$E$64*DATI!$E$63)*1000*C189*sezione!$AD$5</f>
        <v>-2654846.9058353808</v>
      </c>
      <c r="Q189" s="545">
        <f>'Foglio deposito bis'!$F$48*IF(ABS(K189)&lt;'Sollecitazioni nel paramento'!$G$58,ABS(K189)*'Sollecitazioni nel paramento'!$G$54,'Sollecitazioni nel paramento'!$G$53)*IF(K189&lt;0,-1,1)</f>
        <v>0</v>
      </c>
      <c r="R189" s="545">
        <f>'Foglio deposito bis'!$F$49*IF(ABS(L189)&lt;'Sollecitazioni nel paramento'!$G$58,ABS(L189)*'Sollecitazioni nel paramento'!$G$54,'Sollecitazioni nel paramento'!$G$53)*IF(L189&lt;0,-1,1)</f>
        <v>-52474.998724700621</v>
      </c>
      <c r="S189" s="545">
        <f>'Foglio deposito bis'!$F$50*IF(ABS(M189)&lt;'Sollecitazioni nel paramento'!$G$58,ABS(M189)*'Sollecitazioni nel paramento'!$G$54,'Sollecitazioni nel paramento'!$G$53)*IF(M189&lt;0,-1,1)</f>
        <v>0</v>
      </c>
      <c r="T189" s="545">
        <f>'Foglio deposito bis'!$F$51*IF(ABS(N189)&lt;'Sollecitazioni nel paramento'!$G$58,ABS(N189)*'Sollecitazioni nel paramento'!$G$54,'Sollecitazioni nel paramento'!$G$53)*IF(N189&lt;0,-1,1)</f>
        <v>240946.49743184328</v>
      </c>
      <c r="U189" s="545">
        <f>'Foglio deposito bis'!$F$52*IF(ABS(O189)&lt;'Sollecitazioni nel paramento'!$G$58,ABS(O189)*'Sollecitazioni nel paramento'!$G$54,'Sollecitazioni nel paramento'!$G$53)*IF(O189&lt;0,-1,1)</f>
        <v>240946.49743184328</v>
      </c>
      <c r="V189" s="472">
        <f t="shared" si="15"/>
        <v>-2225428.909696395</v>
      </c>
      <c r="W189" s="551"/>
      <c r="X189" s="551"/>
    </row>
    <row r="190" spans="1:24" x14ac:dyDescent="0.25">
      <c r="A190" s="545">
        <f t="shared" si="14"/>
        <v>2253120.9177572606</v>
      </c>
      <c r="B190" s="3">
        <f t="shared" si="16"/>
        <v>21.699999999999946</v>
      </c>
      <c r="C190" s="545">
        <f>'Foglio deposito bis'!$E$153/$B$247*B190</f>
        <v>70.334754865795787</v>
      </c>
      <c r="D190" s="603">
        <f>-'Sollecitazioni nel paramento'!$G$47*'Sollecitazioni nel paramento'!$G$41*IF(DATI!$G$211="dx",DATI!$E$61,DATI!$E$64*DATI!$E$63)*1000*C190^2*sezione!$AD$5*(1-sezione!$AD$6)</f>
        <v>-110063566.44629551</v>
      </c>
      <c r="E190" s="545">
        <f>-'Foglio deposito bis'!$F$48*(C190-sezione!$AL$27)*IF(ABS(K190)&lt;'Sollecitazioni nel paramento'!$G$58,ABS(K190)*'Sollecitazioni nel paramento'!$G$54,'Sollecitazioni nel paramento'!$G$53)</f>
        <v>0</v>
      </c>
      <c r="F190" s="545">
        <f>-'Foglio deposito bis'!$F$49*(C190-sezione!$AM$27)*IF(ABS(L190)&lt;'Sollecitazioni nel paramento'!$G$58,ABS(L190)*'Sollecitazioni nel paramento'!$G$54,'Sollecitazioni nel paramento'!$G$53)</f>
        <v>-573276.67063457402</v>
      </c>
      <c r="G190" s="545">
        <f>-'Foglio deposito bis'!$F$50*(C190-sezione!$AN$27)*IF(ABS(M190)&lt;'Sollecitazioni nel paramento'!$G$58,ABS(M190)*'Sollecitazioni nel paramento'!$G$54,'Sollecitazioni nel paramento'!$G$53)</f>
        <v>0</v>
      </c>
      <c r="H190" s="545">
        <f>-'Foglio deposito bis'!$F$51*(C190-sezione!$AO$27)*IF(ABS(N190)&lt;'Sollecitazioni nel paramento'!$G$58,ABS(N190)*'Sollecitazioni nel paramento'!$G$54,'Sollecitazioni nel paramento'!$G$53)</f>
        <v>21604526.756454132</v>
      </c>
      <c r="I190" s="472">
        <f>-'Foglio deposito bis'!$F$52*(C190-sezione!$AP$27)*IF(ABS(O190)&lt;'Sollecitazioni nel paramento'!$G$58,ABS(O190)*'Sollecitazioni nel paramento'!$G$54,'Sollecitazioni nel paramento'!$G$53)</f>
        <v>31128446.548065048</v>
      </c>
      <c r="J190" s="472">
        <f t="shared" si="13"/>
        <v>-57903869.812410906</v>
      </c>
      <c r="K190" s="550">
        <f>'Sollecitazioni nel paramento'!$G$60*(sezione!$AL$27-C190)/C190</f>
        <v>-1.5095189033198318E-3</v>
      </c>
      <c r="L190" s="550">
        <f>'Sollecitazioni nel paramento'!$G$60*(sezione!$AM$27-C190)/C190</f>
        <v>-5.1427835497974759E-4</v>
      </c>
      <c r="M190" s="551">
        <f>'Sollecitazioni nel paramento'!$G$60*(sezione!$AN$27-C190)/C190</f>
        <v>4.8096219336033651E-4</v>
      </c>
      <c r="N190" s="551">
        <f>'Sollecitazioni nel paramento'!$G$60*(sezione!$AO$27-C190)/C190</f>
        <v>4.4619243867206736E-3</v>
      </c>
      <c r="O190" s="551">
        <f>'Sollecitazioni nel paramento'!$G$60*(sezione!$AP$27-C190)/C190</f>
        <v>6.4288737420295306E-3</v>
      </c>
      <c r="P190" s="545">
        <f>-'Sollecitazioni nel paramento'!$G$47*'Sollecitazioni nel paramento'!$G$41*IF(DATI!$G$211="dx",DATI!$E$61,DATI!$E$64*DATI!$E$63)*1000*C190*sezione!$AD$5</f>
        <v>-2679543.1561222216</v>
      </c>
      <c r="Q190" s="545">
        <f>'Foglio deposito bis'!$F$48*IF(ABS(K190)&lt;'Sollecitazioni nel paramento'!$G$58,ABS(K190)*'Sollecitazioni nel paramento'!$G$54,'Sollecitazioni nel paramento'!$G$53)*IF(K190&lt;0,-1,1)</f>
        <v>0</v>
      </c>
      <c r="R190" s="545">
        <f>'Foglio deposito bis'!$F$49*IF(ABS(L190)&lt;'Sollecitazioni nel paramento'!$G$58,ABS(L190)*'Sollecitazioni nel paramento'!$G$54,'Sollecitazioni nel paramento'!$G$53)*IF(L190&lt;0,-1,1)</f>
        <v>-55470.756498725248</v>
      </c>
      <c r="S190" s="545">
        <f>'Foglio deposito bis'!$F$50*IF(ABS(M190)&lt;'Sollecitazioni nel paramento'!$G$58,ABS(M190)*'Sollecitazioni nel paramento'!$G$54,'Sollecitazioni nel paramento'!$G$53)*IF(M190&lt;0,-1,1)</f>
        <v>0</v>
      </c>
      <c r="T190" s="545">
        <f>'Foglio deposito bis'!$F$51*IF(ABS(N190)&lt;'Sollecitazioni nel paramento'!$G$58,ABS(N190)*'Sollecitazioni nel paramento'!$G$54,'Sollecitazioni nel paramento'!$G$53)*IF(N190&lt;0,-1,1)</f>
        <v>240946.49743184328</v>
      </c>
      <c r="U190" s="545">
        <f>'Foglio deposito bis'!$F$52*IF(ABS(O190)&lt;'Sollecitazioni nel paramento'!$G$58,ABS(O190)*'Sollecitazioni nel paramento'!$G$54,'Sollecitazioni nel paramento'!$G$53)*IF(O190&lt;0,-1,1)</f>
        <v>240946.49743184328</v>
      </c>
      <c r="V190" s="472">
        <f t="shared" si="15"/>
        <v>-2253120.9177572606</v>
      </c>
      <c r="W190" s="551"/>
      <c r="X190" s="551"/>
    </row>
    <row r="191" spans="1:24" x14ac:dyDescent="0.25">
      <c r="A191" s="545">
        <f t="shared" si="14"/>
        <v>2280758.2087811576</v>
      </c>
      <c r="B191" s="3">
        <f t="shared" si="16"/>
        <v>21.899999999999945</v>
      </c>
      <c r="C191" s="545">
        <f>'Foglio deposito bis'!$E$153/$B$247*B191</f>
        <v>70.983001454420631</v>
      </c>
      <c r="D191" s="603">
        <f>-'Sollecitazioni nel paramento'!$G$47*'Sollecitazioni nel paramento'!$G$41*IF(DATI!$G$211="dx",DATI!$E$61,DATI!$E$64*DATI!$E$63)*1000*C191^2*sezione!$AD$5*(1-sezione!$AD$6)</f>
        <v>-112101737.35544986</v>
      </c>
      <c r="E191" s="545">
        <f>-'Foglio deposito bis'!$F$48*(C191-sezione!$AL$27)*IF(ABS(K191)&lt;'Sollecitazioni nel paramento'!$G$58,ABS(K191)*'Sollecitazioni nel paramento'!$G$54,'Sollecitazioni nel paramento'!$G$53)</f>
        <v>0</v>
      </c>
      <c r="F191" s="545">
        <f>-'Foglio deposito bis'!$F$49*(C191-sezione!$AM$27)*IF(ABS(L191)&lt;'Sollecitazioni nel paramento'!$G$58,ABS(L191)*'Sollecitazioni nel paramento'!$G$54,'Sollecitazioni nel paramento'!$G$53)</f>
        <v>-641536.85399590991</v>
      </c>
      <c r="G191" s="545">
        <f>-'Foglio deposito bis'!$F$50*(C191-sezione!$AN$27)*IF(ABS(M191)&lt;'Sollecitazioni nel paramento'!$G$58,ABS(M191)*'Sollecitazioni nel paramento'!$G$54,'Sollecitazioni nel paramento'!$G$53)</f>
        <v>0</v>
      </c>
      <c r="H191" s="545">
        <f>-'Foglio deposito bis'!$F$51*(C191-sezione!$AO$27)*IF(ABS(N191)&lt;'Sollecitazioni nel paramento'!$G$58,ABS(N191)*'Sollecitazioni nel paramento'!$G$54,'Sollecitazioni nel paramento'!$G$53)</f>
        <v>21448334.011452835</v>
      </c>
      <c r="I191" s="472">
        <f>-'Foglio deposito bis'!$F$52*(C191-sezione!$AP$27)*IF(ABS(O191)&lt;'Sollecitazioni nel paramento'!$G$58,ABS(O191)*'Sollecitazioni nel paramento'!$G$54,'Sollecitazioni nel paramento'!$G$53)</f>
        <v>30972253.80306375</v>
      </c>
      <c r="J191" s="472">
        <f t="shared" si="13"/>
        <v>-60322686.394929171</v>
      </c>
      <c r="K191" s="550">
        <f>'Sollecitazioni nel paramento'!$G$60*(sezione!$AL$27-C191)/C191</f>
        <v>-1.5276968128785547E-3</v>
      </c>
      <c r="L191" s="550">
        <f>'Sollecitazioni nel paramento'!$G$60*(sezione!$AM$27-C191)/C191</f>
        <v>-5.4154521931783195E-4</v>
      </c>
      <c r="M191" s="551">
        <f>'Sollecitazioni nel paramento'!$G$60*(sezione!$AN$27-C191)/C191</f>
        <v>4.446063742428907E-4</v>
      </c>
      <c r="N191" s="551">
        <f>'Sollecitazioni nel paramento'!$G$60*(sezione!$AO$27-C191)/C191</f>
        <v>4.3892127484857811E-3</v>
      </c>
      <c r="O191" s="551">
        <f>'Sollecitazioni nel paramento'!$G$60*(sezione!$AP$27-C191)/C191</f>
        <v>6.3381990959835988E-3</v>
      </c>
      <c r="P191" s="545">
        <f>-'Sollecitazioni nel paramento'!$G$47*'Sollecitazioni nel paramento'!$G$41*IF(DATI!$G$211="dx",DATI!$E$61,DATI!$E$64*DATI!$E$63)*1000*C191*sezione!$AD$5</f>
        <v>-2704239.4064090624</v>
      </c>
      <c r="Q191" s="545">
        <f>'Foglio deposito bis'!$F$48*IF(ABS(K191)&lt;'Sollecitazioni nel paramento'!$G$58,ABS(K191)*'Sollecitazioni nel paramento'!$G$54,'Sollecitazioni nel paramento'!$G$53)*IF(K191&lt;0,-1,1)</f>
        <v>0</v>
      </c>
      <c r="R191" s="545">
        <f>'Foglio deposito bis'!$F$49*IF(ABS(L191)&lt;'Sollecitazioni nel paramento'!$G$58,ABS(L191)*'Sollecitazioni nel paramento'!$G$54,'Sollecitazioni nel paramento'!$G$53)*IF(L191&lt;0,-1,1)</f>
        <v>-58411.797235781378</v>
      </c>
      <c r="S191" s="545">
        <f>'Foglio deposito bis'!$F$50*IF(ABS(M191)&lt;'Sollecitazioni nel paramento'!$G$58,ABS(M191)*'Sollecitazioni nel paramento'!$G$54,'Sollecitazioni nel paramento'!$G$53)*IF(M191&lt;0,-1,1)</f>
        <v>0</v>
      </c>
      <c r="T191" s="545">
        <f>'Foglio deposito bis'!$F$51*IF(ABS(N191)&lt;'Sollecitazioni nel paramento'!$G$58,ABS(N191)*'Sollecitazioni nel paramento'!$G$54,'Sollecitazioni nel paramento'!$G$53)*IF(N191&lt;0,-1,1)</f>
        <v>240946.49743184328</v>
      </c>
      <c r="U191" s="545">
        <f>'Foglio deposito bis'!$F$52*IF(ABS(O191)&lt;'Sollecitazioni nel paramento'!$G$58,ABS(O191)*'Sollecitazioni nel paramento'!$G$54,'Sollecitazioni nel paramento'!$G$53)*IF(O191&lt;0,-1,1)</f>
        <v>240946.49743184328</v>
      </c>
      <c r="V191" s="472">
        <f t="shared" si="15"/>
        <v>-2280758.2087811576</v>
      </c>
      <c r="W191" s="551"/>
      <c r="X191" s="551"/>
    </row>
    <row r="192" spans="1:24" x14ac:dyDescent="0.25">
      <c r="A192" s="545">
        <f t="shared" si="14"/>
        <v>2308342.2682985011</v>
      </c>
      <c r="B192" s="3">
        <f t="shared" si="16"/>
        <v>22.099999999999945</v>
      </c>
      <c r="C192" s="545">
        <f>'Foglio deposito bis'!$E$153/$B$247*B192</f>
        <v>71.631248043045474</v>
      </c>
      <c r="D192" s="603">
        <f>-'Sollecitazioni nel paramento'!$G$47*'Sollecitazioni nel paramento'!$G$41*IF(DATI!$G$211="dx",DATI!$E$61,DATI!$E$64*DATI!$E$63)*1000*C192^2*sezione!$AD$5*(1-sezione!$AD$6)</f>
        <v>-114158607.08028454</v>
      </c>
      <c r="E192" s="545">
        <f>-'Foglio deposito bis'!$F$48*(C192-sezione!$AL$27)*IF(ABS(K192)&lt;'Sollecitazioni nel paramento'!$G$58,ABS(K192)*'Sollecitazioni nel paramento'!$G$54,'Sollecitazioni nel paramento'!$G$53)</f>
        <v>0</v>
      </c>
      <c r="F192" s="545">
        <f>-'Foglio deposito bis'!$F$49*(C192-sezione!$AM$27)*IF(ABS(L192)&lt;'Sollecitazioni nel paramento'!$G$58,ABS(L192)*'Sollecitazioni nel paramento'!$G$54,'Sollecitazioni nel paramento'!$G$53)</f>
        <v>-712990.92775042902</v>
      </c>
      <c r="G192" s="545">
        <f>-'Foglio deposito bis'!$F$50*(C192-sezione!$AN$27)*IF(ABS(M192)&lt;'Sollecitazioni nel paramento'!$G$58,ABS(M192)*'Sollecitazioni nel paramento'!$G$54,'Sollecitazioni nel paramento'!$G$53)</f>
        <v>0</v>
      </c>
      <c r="H192" s="545">
        <f>-'Foglio deposito bis'!$F$51*(C192-sezione!$AO$27)*IF(ABS(N192)&lt;'Sollecitazioni nel paramento'!$G$58,ABS(N192)*'Sollecitazioni nel paramento'!$G$54,'Sollecitazioni nel paramento'!$G$53)</f>
        <v>21292141.266451538</v>
      </c>
      <c r="I192" s="472">
        <f>-'Foglio deposito bis'!$F$52*(C192-sezione!$AP$27)*IF(ABS(O192)&lt;'Sollecitazioni nel paramento'!$G$58,ABS(O192)*'Sollecitazioni nel paramento'!$G$54,'Sollecitazioni nel paramento'!$G$53)</f>
        <v>30816061.058062453</v>
      </c>
      <c r="J192" s="472">
        <f t="shared" si="13"/>
        <v>-62763395.683520973</v>
      </c>
      <c r="K192" s="550">
        <f>'Sollecitazioni nel paramento'!$G$60*(sezione!$AL$27-C192)/C192</f>
        <v>-1.5455457104995632E-3</v>
      </c>
      <c r="L192" s="550">
        <f>'Sollecitazioni nel paramento'!$G$60*(sezione!$AM$27-C192)/C192</f>
        <v>-5.6831856574934478E-4</v>
      </c>
      <c r="M192" s="551">
        <f>'Sollecitazioni nel paramento'!$G$60*(sezione!$AN$27-C192)/C192</f>
        <v>4.089085790008737E-4</v>
      </c>
      <c r="N192" s="551">
        <f>'Sollecitazioni nel paramento'!$G$60*(sezione!$AO$27-C192)/C192</f>
        <v>4.3178171580017478E-3</v>
      </c>
      <c r="O192" s="551">
        <f>'Sollecitazioni nel paramento'!$G$60*(sezione!$AP$27-C192)/C192</f>
        <v>6.2491656200018468E-3</v>
      </c>
      <c r="P192" s="545">
        <f>-'Sollecitazioni nel paramento'!$G$47*'Sollecitazioni nel paramento'!$G$41*IF(DATI!$G$211="dx",DATI!$E$61,DATI!$E$64*DATI!$E$63)*1000*C192*sezione!$AD$5</f>
        <v>-2728935.6566959028</v>
      </c>
      <c r="Q192" s="545">
        <f>'Foglio deposito bis'!$F$48*IF(ABS(K192)&lt;'Sollecitazioni nel paramento'!$G$58,ABS(K192)*'Sollecitazioni nel paramento'!$G$54,'Sollecitazioni nel paramento'!$G$53)*IF(K192&lt;0,-1,1)</f>
        <v>0</v>
      </c>
      <c r="R192" s="545">
        <f>'Foglio deposito bis'!$F$49*IF(ABS(L192)&lt;'Sollecitazioni nel paramento'!$G$58,ABS(L192)*'Sollecitazioni nel paramento'!$G$54,'Sollecitazioni nel paramento'!$G$53)*IF(L192&lt;0,-1,1)</f>
        <v>-61299.60646628448</v>
      </c>
      <c r="S192" s="545">
        <f>'Foglio deposito bis'!$F$50*IF(ABS(M192)&lt;'Sollecitazioni nel paramento'!$G$58,ABS(M192)*'Sollecitazioni nel paramento'!$G$54,'Sollecitazioni nel paramento'!$G$53)*IF(M192&lt;0,-1,1)</f>
        <v>0</v>
      </c>
      <c r="T192" s="545">
        <f>'Foglio deposito bis'!$F$51*IF(ABS(N192)&lt;'Sollecitazioni nel paramento'!$G$58,ABS(N192)*'Sollecitazioni nel paramento'!$G$54,'Sollecitazioni nel paramento'!$G$53)*IF(N192&lt;0,-1,1)</f>
        <v>240946.49743184328</v>
      </c>
      <c r="U192" s="545">
        <f>'Foglio deposito bis'!$F$52*IF(ABS(O192)&lt;'Sollecitazioni nel paramento'!$G$58,ABS(O192)*'Sollecitazioni nel paramento'!$G$54,'Sollecitazioni nel paramento'!$G$53)*IF(O192&lt;0,-1,1)</f>
        <v>240946.49743184328</v>
      </c>
      <c r="V192" s="472">
        <f t="shared" si="15"/>
        <v>-2308342.2682985011</v>
      </c>
      <c r="W192" s="551"/>
      <c r="X192" s="551"/>
    </row>
    <row r="193" spans="1:24" x14ac:dyDescent="0.25">
      <c r="A193" s="545">
        <f t="shared" si="14"/>
        <v>2335874.5285471366</v>
      </c>
      <c r="B193" s="3">
        <f t="shared" si="16"/>
        <v>22.299999999999944</v>
      </c>
      <c r="C193" s="545">
        <f>'Foglio deposito bis'!$E$153/$B$247*B193</f>
        <v>72.279494631670318</v>
      </c>
      <c r="D193" s="603">
        <f>-'Sollecitazioni nel paramento'!$G$47*'Sollecitazioni nel paramento'!$G$41*IF(DATI!$G$211="dx",DATI!$E$61,DATI!$E$64*DATI!$E$63)*1000*C193^2*sezione!$AD$5*(1-sezione!$AD$6)</f>
        <v>-116234175.62079951</v>
      </c>
      <c r="E193" s="545">
        <f>-'Foglio deposito bis'!$F$48*(C193-sezione!$AL$27)*IF(ABS(K193)&lt;'Sollecitazioni nel paramento'!$G$58,ABS(K193)*'Sollecitazioni nel paramento'!$G$54,'Sollecitazioni nel paramento'!$G$53)</f>
        <v>0</v>
      </c>
      <c r="F193" s="545">
        <f>-'Foglio deposito bis'!$F$49*(C193-sezione!$AM$27)*IF(ABS(L193)&lt;'Sollecitazioni nel paramento'!$G$58,ABS(L193)*'Sollecitazioni nel paramento'!$G$54,'Sollecitazioni nel paramento'!$G$53)</f>
        <v>-787552.95762746234</v>
      </c>
      <c r="G193" s="545">
        <f>-'Foglio deposito bis'!$F$50*(C193-sezione!$AN$27)*IF(ABS(M193)&lt;'Sollecitazioni nel paramento'!$G$58,ABS(M193)*'Sollecitazioni nel paramento'!$G$54,'Sollecitazioni nel paramento'!$G$53)</f>
        <v>0</v>
      </c>
      <c r="H193" s="545">
        <f>-'Foglio deposito bis'!$F$51*(C193-sezione!$AO$27)*IF(ABS(N193)&lt;'Sollecitazioni nel paramento'!$G$58,ABS(N193)*'Sollecitazioni nel paramento'!$G$54,'Sollecitazioni nel paramento'!$G$53)</f>
        <v>21135948.52145024</v>
      </c>
      <c r="I193" s="472">
        <f>-'Foglio deposito bis'!$F$52*(C193-sezione!$AP$27)*IF(ABS(O193)&lt;'Sollecitazioni nel paramento'!$G$58,ABS(O193)*'Sollecitazioni nel paramento'!$G$54,'Sollecitazioni nel paramento'!$G$53)</f>
        <v>30659868.313061159</v>
      </c>
      <c r="J193" s="472">
        <f t="shared" si="13"/>
        <v>-65225911.743915573</v>
      </c>
      <c r="K193" s="550">
        <f>'Sollecitazioni nel paramento'!$G$60*(sezione!$AL$27-C193)/C193</f>
        <v>-1.5630744485219887E-3</v>
      </c>
      <c r="L193" s="550">
        <f>'Sollecitazioni nel paramento'!$G$60*(sezione!$AM$27-C193)/C193</f>
        <v>-5.9461167278298274E-4</v>
      </c>
      <c r="M193" s="551">
        <f>'Sollecitazioni nel paramento'!$G$60*(sezione!$AN$27-C193)/C193</f>
        <v>3.7385110295602296E-4</v>
      </c>
      <c r="N193" s="551">
        <f>'Sollecitazioni nel paramento'!$G$60*(sezione!$AO$27-C193)/C193</f>
        <v>4.247702205912046E-3</v>
      </c>
      <c r="O193" s="551">
        <f>'Sollecitazioni nel paramento'!$G$60*(sezione!$AP$27-C193)/C193</f>
        <v>6.1617291570421904E-3</v>
      </c>
      <c r="P193" s="545">
        <f>-'Sollecitazioni nel paramento'!$G$47*'Sollecitazioni nel paramento'!$G$41*IF(DATI!$G$211="dx",DATI!$E$61,DATI!$E$64*DATI!$E$63)*1000*C193*sezione!$AD$5</f>
        <v>-2753631.9069827436</v>
      </c>
      <c r="Q193" s="545">
        <f>'Foglio deposito bis'!$F$48*IF(ABS(K193)&lt;'Sollecitazioni nel paramento'!$G$58,ABS(K193)*'Sollecitazioni nel paramento'!$G$54,'Sollecitazioni nel paramento'!$G$53)*IF(K193&lt;0,-1,1)</f>
        <v>0</v>
      </c>
      <c r="R193" s="545">
        <f>'Foglio deposito bis'!$F$49*IF(ABS(L193)&lt;'Sollecitazioni nel paramento'!$G$58,ABS(L193)*'Sollecitazioni nel paramento'!$G$54,'Sollecitazioni nel paramento'!$G$53)*IF(L193&lt;0,-1,1)</f>
        <v>-64135.616428078974</v>
      </c>
      <c r="S193" s="545">
        <f>'Foglio deposito bis'!$F$50*IF(ABS(M193)&lt;'Sollecitazioni nel paramento'!$G$58,ABS(M193)*'Sollecitazioni nel paramento'!$G$54,'Sollecitazioni nel paramento'!$G$53)*IF(M193&lt;0,-1,1)</f>
        <v>0</v>
      </c>
      <c r="T193" s="545">
        <f>'Foglio deposito bis'!$F$51*IF(ABS(N193)&lt;'Sollecitazioni nel paramento'!$G$58,ABS(N193)*'Sollecitazioni nel paramento'!$G$54,'Sollecitazioni nel paramento'!$G$53)*IF(N193&lt;0,-1,1)</f>
        <v>240946.49743184328</v>
      </c>
      <c r="U193" s="545">
        <f>'Foglio deposito bis'!$F$52*IF(ABS(O193)&lt;'Sollecitazioni nel paramento'!$G$58,ABS(O193)*'Sollecitazioni nel paramento'!$G$54,'Sollecitazioni nel paramento'!$G$53)*IF(O193&lt;0,-1,1)</f>
        <v>240946.49743184328</v>
      </c>
      <c r="V193" s="472">
        <f t="shared" si="15"/>
        <v>-2335874.5285471366</v>
      </c>
      <c r="W193" s="551"/>
      <c r="X193" s="551"/>
    </row>
    <row r="194" spans="1:24" x14ac:dyDescent="0.25">
      <c r="A194" s="545">
        <f t="shared" si="14"/>
        <v>2363356.3708408959</v>
      </c>
      <c r="B194" s="3">
        <f t="shared" si="16"/>
        <v>22.499999999999943</v>
      </c>
      <c r="C194" s="545">
        <f>'Foglio deposito bis'!$E$153/$B$247*B194</f>
        <v>72.927741220295175</v>
      </c>
      <c r="D194" s="603">
        <f>-'Sollecitazioni nel paramento'!$G$47*'Sollecitazioni nel paramento'!$G$41*IF(DATI!$G$211="dx",DATI!$E$61,DATI!$E$64*DATI!$E$63)*1000*C194^2*sezione!$AD$5*(1-sezione!$AD$6)</f>
        <v>-118328442.97699486</v>
      </c>
      <c r="E194" s="545">
        <f>-'Foglio deposito bis'!$F$48*(C194-sezione!$AL$27)*IF(ABS(K194)&lt;'Sollecitazioni nel paramento'!$G$58,ABS(K194)*'Sollecitazioni nel paramento'!$G$54,'Sollecitazioni nel paramento'!$G$53)</f>
        <v>0</v>
      </c>
      <c r="F194" s="545">
        <f>-'Foglio deposito bis'!$F$49*(C194-sezione!$AM$27)*IF(ABS(L194)&lt;'Sollecitazioni nel paramento'!$G$58,ABS(L194)*'Sollecitazioni nel paramento'!$G$54,'Sollecitazioni nel paramento'!$G$53)</f>
        <v>-865140.06479707861</v>
      </c>
      <c r="G194" s="545">
        <f>-'Foglio deposito bis'!$F$50*(C194-sezione!$AN$27)*IF(ABS(M194)&lt;'Sollecitazioni nel paramento'!$G$58,ABS(M194)*'Sollecitazioni nel paramento'!$G$54,'Sollecitazioni nel paramento'!$G$53)</f>
        <v>0</v>
      </c>
      <c r="H194" s="545">
        <f>-'Foglio deposito bis'!$F$51*(C194-sezione!$AO$27)*IF(ABS(N194)&lt;'Sollecitazioni nel paramento'!$G$58,ABS(N194)*'Sollecitazioni nel paramento'!$G$54,'Sollecitazioni nel paramento'!$G$53)</f>
        <v>20979755.776448943</v>
      </c>
      <c r="I194" s="472">
        <f>-'Foglio deposito bis'!$F$52*(C194-sezione!$AP$27)*IF(ABS(O194)&lt;'Sollecitazioni nel paramento'!$G$58,ABS(O194)*'Sollecitazioni nel paramento'!$G$54,'Sollecitazioni nel paramento'!$G$53)</f>
        <v>30503675.568059854</v>
      </c>
      <c r="J194" s="472">
        <f t="shared" si="13"/>
        <v>-67710151.697283119</v>
      </c>
      <c r="K194" s="550">
        <f>'Sollecitazioni nel paramento'!$G$60*(sezione!$AL$27-C194)/C194</f>
        <v>-1.5802915645351269E-3</v>
      </c>
      <c r="L194" s="550">
        <f>'Sollecitazioni nel paramento'!$G$60*(sezione!$AM$27-C194)/C194</f>
        <v>-6.2043734680269013E-4</v>
      </c>
      <c r="M194" s="551">
        <f>'Sollecitazioni nel paramento'!$G$60*(sezione!$AN$27-C194)/C194</f>
        <v>3.3941687092974661E-4</v>
      </c>
      <c r="N194" s="551">
        <f>'Sollecitazioni nel paramento'!$G$60*(sezione!$AO$27-C194)/C194</f>
        <v>4.1788337418594938E-3</v>
      </c>
      <c r="O194" s="551">
        <f>'Sollecitazioni nel paramento'!$G$60*(sezione!$AP$27-C194)/C194</f>
        <v>6.0758471200907018E-3</v>
      </c>
      <c r="P194" s="545">
        <f>-'Sollecitazioni nel paramento'!$G$47*'Sollecitazioni nel paramento'!$G$41*IF(DATI!$G$211="dx",DATI!$E$61,DATI!$E$64*DATI!$E$63)*1000*C194*sezione!$AD$5</f>
        <v>-2778328.1572695849</v>
      </c>
      <c r="Q194" s="545">
        <f>'Foglio deposito bis'!$F$48*IF(ABS(K194)&lt;'Sollecitazioni nel paramento'!$G$58,ABS(K194)*'Sollecitazioni nel paramento'!$G$54,'Sollecitazioni nel paramento'!$G$53)*IF(K194&lt;0,-1,1)</f>
        <v>0</v>
      </c>
      <c r="R194" s="545">
        <f>'Foglio deposito bis'!$F$49*IF(ABS(L194)&lt;'Sollecitazioni nel paramento'!$G$58,ABS(L194)*'Sollecitazioni nel paramento'!$G$54,'Sollecitazioni nel paramento'!$G$53)*IF(L194&lt;0,-1,1)</f>
        <v>-66921.208434997214</v>
      </c>
      <c r="S194" s="545">
        <f>'Foglio deposito bis'!$F$50*IF(ABS(M194)&lt;'Sollecitazioni nel paramento'!$G$58,ABS(M194)*'Sollecitazioni nel paramento'!$G$54,'Sollecitazioni nel paramento'!$G$53)*IF(M194&lt;0,-1,1)</f>
        <v>0</v>
      </c>
      <c r="T194" s="545">
        <f>'Foglio deposito bis'!$F$51*IF(ABS(N194)&lt;'Sollecitazioni nel paramento'!$G$58,ABS(N194)*'Sollecitazioni nel paramento'!$G$54,'Sollecitazioni nel paramento'!$G$53)*IF(N194&lt;0,-1,1)</f>
        <v>240946.49743184328</v>
      </c>
      <c r="U194" s="545">
        <f>'Foglio deposito bis'!$F$52*IF(ABS(O194)&lt;'Sollecitazioni nel paramento'!$G$58,ABS(O194)*'Sollecitazioni nel paramento'!$G$54,'Sollecitazioni nel paramento'!$G$53)*IF(O194&lt;0,-1,1)</f>
        <v>240946.49743184328</v>
      </c>
      <c r="V194" s="472">
        <f t="shared" si="15"/>
        <v>-2363356.3708408959</v>
      </c>
      <c r="W194" s="551"/>
      <c r="X194" s="551"/>
    </row>
    <row r="195" spans="1:24" x14ac:dyDescent="0.25">
      <c r="A195" s="545">
        <f t="shared" si="14"/>
        <v>2390789.1278129467</v>
      </c>
      <c r="B195" s="3">
        <f t="shared" si="16"/>
        <v>22.699999999999942</v>
      </c>
      <c r="C195" s="545">
        <f>'Foglio deposito bis'!$E$153/$B$247*B195</f>
        <v>73.575987808920019</v>
      </c>
      <c r="D195" s="603">
        <f>-'Sollecitazioni nel paramento'!$G$47*'Sollecitazioni nel paramento'!$G$41*IF(DATI!$G$211="dx",DATI!$E$61,DATI!$E$64*DATI!$E$63)*1000*C195^2*sezione!$AD$5*(1-sezione!$AD$6)</f>
        <v>-120441409.14887048</v>
      </c>
      <c r="E195" s="545">
        <f>-'Foglio deposito bis'!$F$48*(C195-sezione!$AL$27)*IF(ABS(K195)&lt;'Sollecitazioni nel paramento'!$G$58,ABS(K195)*'Sollecitazioni nel paramento'!$G$54,'Sollecitazioni nel paramento'!$G$53)</f>
        <v>0</v>
      </c>
      <c r="F195" s="545">
        <f>-'Foglio deposito bis'!$F$49*(C195-sezione!$AM$27)*IF(ABS(L195)&lt;'Sollecitazioni nel paramento'!$G$58,ABS(L195)*'Sollecitazioni nel paramento'!$G$54,'Sollecitazioni nel paramento'!$G$53)</f>
        <v>-945672.29126916139</v>
      </c>
      <c r="G195" s="545">
        <f>-'Foglio deposito bis'!$F$50*(C195-sezione!$AN$27)*IF(ABS(M195)&lt;'Sollecitazioni nel paramento'!$G$58,ABS(M195)*'Sollecitazioni nel paramento'!$G$54,'Sollecitazioni nel paramento'!$G$53)</f>
        <v>0</v>
      </c>
      <c r="H195" s="545">
        <f>-'Foglio deposito bis'!$F$51*(C195-sezione!$AO$27)*IF(ABS(N195)&lt;'Sollecitazioni nel paramento'!$G$58,ABS(N195)*'Sollecitazioni nel paramento'!$G$54,'Sollecitazioni nel paramento'!$G$53)</f>
        <v>20823563.031447645</v>
      </c>
      <c r="I195" s="472">
        <f>-'Foglio deposito bis'!$F$52*(C195-sezione!$AP$27)*IF(ABS(O195)&lt;'Sollecitazioni nel paramento'!$G$58,ABS(O195)*'Sollecitazioni nel paramento'!$G$54,'Sollecitazioni nel paramento'!$G$53)</f>
        <v>30347482.823058557</v>
      </c>
      <c r="J195" s="472">
        <f t="shared" si="13"/>
        <v>-70216035.585633442</v>
      </c>
      <c r="K195" s="550">
        <f>'Sollecitazioni nel paramento'!$G$60*(sezione!$AL$27-C195)/C195</f>
        <v>-1.5972052952440683E-3</v>
      </c>
      <c r="L195" s="550">
        <f>'Sollecitazioni nel paramento'!$G$60*(sezione!$AM$27-C195)/C195</f>
        <v>-6.4580794286610234E-4</v>
      </c>
      <c r="M195" s="551">
        <f>'Sollecitazioni nel paramento'!$G$60*(sezione!$AN$27-C195)/C195</f>
        <v>3.0558940951186354E-4</v>
      </c>
      <c r="N195" s="551">
        <f>'Sollecitazioni nel paramento'!$G$60*(sezione!$AO$27-C195)/C195</f>
        <v>4.1111788190237265E-3</v>
      </c>
      <c r="O195" s="551">
        <f>'Sollecitazioni nel paramento'!$G$60*(sezione!$AP$27-C195)/C195</f>
        <v>5.9914784229973929E-3</v>
      </c>
      <c r="P195" s="545">
        <f>-'Sollecitazioni nel paramento'!$G$47*'Sollecitazioni nel paramento'!$G$41*IF(DATI!$G$211="dx",DATI!$E$61,DATI!$E$64*DATI!$E$63)*1000*C195*sezione!$AD$5</f>
        <v>-2803024.4075564253</v>
      </c>
      <c r="Q195" s="545">
        <f>'Foglio deposito bis'!$F$48*IF(ABS(K195)&lt;'Sollecitazioni nel paramento'!$G$58,ABS(K195)*'Sollecitazioni nel paramento'!$G$54,'Sollecitazioni nel paramento'!$G$53)*IF(K195&lt;0,-1,1)</f>
        <v>0</v>
      </c>
      <c r="R195" s="545">
        <f>'Foglio deposito bis'!$F$49*IF(ABS(L195)&lt;'Sollecitazioni nel paramento'!$G$58,ABS(L195)*'Sollecitazioni nel paramento'!$G$54,'Sollecitazioni nel paramento'!$G$53)*IF(L195&lt;0,-1,1)</f>
        <v>-69657.715120207547</v>
      </c>
      <c r="S195" s="545">
        <f>'Foglio deposito bis'!$F$50*IF(ABS(M195)&lt;'Sollecitazioni nel paramento'!$G$58,ABS(M195)*'Sollecitazioni nel paramento'!$G$54,'Sollecitazioni nel paramento'!$G$53)*IF(M195&lt;0,-1,1)</f>
        <v>0</v>
      </c>
      <c r="T195" s="545">
        <f>'Foglio deposito bis'!$F$51*IF(ABS(N195)&lt;'Sollecitazioni nel paramento'!$G$58,ABS(N195)*'Sollecitazioni nel paramento'!$G$54,'Sollecitazioni nel paramento'!$G$53)*IF(N195&lt;0,-1,1)</f>
        <v>240946.49743184328</v>
      </c>
      <c r="U195" s="545">
        <f>'Foglio deposito bis'!$F$52*IF(ABS(O195)&lt;'Sollecitazioni nel paramento'!$G$58,ABS(O195)*'Sollecitazioni nel paramento'!$G$54,'Sollecitazioni nel paramento'!$G$53)*IF(O195&lt;0,-1,1)</f>
        <v>240946.49743184328</v>
      </c>
      <c r="V195" s="472">
        <f t="shared" si="15"/>
        <v>-2390789.1278129467</v>
      </c>
      <c r="W195" s="551"/>
      <c r="X195" s="551"/>
    </row>
    <row r="196" spans="1:24" x14ac:dyDescent="0.25">
      <c r="A196" s="545">
        <f t="shared" si="14"/>
        <v>2418174.0855415883</v>
      </c>
      <c r="B196" s="3">
        <f t="shared" si="16"/>
        <v>22.899999999999942</v>
      </c>
      <c r="C196" s="545">
        <f>'Foglio deposito bis'!$E$153/$B$247*B196</f>
        <v>74.224234397544862</v>
      </c>
      <c r="D196" s="603">
        <f>-'Sollecitazioni nel paramento'!$G$47*'Sollecitazioni nel paramento'!$G$41*IF(DATI!$G$211="dx",DATI!$E$61,DATI!$E$64*DATI!$E$63)*1000*C196^2*sezione!$AD$5*(1-sezione!$AD$6)</f>
        <v>-122573074.13642639</v>
      </c>
      <c r="E196" s="545">
        <f>-'Foglio deposito bis'!$F$48*(C196-sezione!$AL$27)*IF(ABS(K196)&lt;'Sollecitazioni nel paramento'!$G$58,ABS(K196)*'Sollecitazioni nel paramento'!$G$54,'Sollecitazioni nel paramento'!$G$53)</f>
        <v>0</v>
      </c>
      <c r="F196" s="545">
        <f>-'Foglio deposito bis'!$F$49*(C196-sezione!$AM$27)*IF(ABS(L196)&lt;'Sollecitazioni nel paramento'!$G$58,ABS(L196)*'Sollecitazioni nel paramento'!$G$54,'Sollecitazioni nel paramento'!$G$53)</f>
        <v>-1029072.4723458317</v>
      </c>
      <c r="G196" s="545">
        <f>-'Foglio deposito bis'!$F$50*(C196-sezione!$AN$27)*IF(ABS(M196)&lt;'Sollecitazioni nel paramento'!$G$58,ABS(M196)*'Sollecitazioni nel paramento'!$G$54,'Sollecitazioni nel paramento'!$G$53)</f>
        <v>0</v>
      </c>
      <c r="H196" s="545">
        <f>-'Foglio deposito bis'!$F$51*(C196-sezione!$AO$27)*IF(ABS(N196)&lt;'Sollecitazioni nel paramento'!$G$58,ABS(N196)*'Sollecitazioni nel paramento'!$G$54,'Sollecitazioni nel paramento'!$G$53)</f>
        <v>20667370.286446348</v>
      </c>
      <c r="I196" s="472">
        <f>-'Foglio deposito bis'!$F$52*(C196-sezione!$AP$27)*IF(ABS(O196)&lt;'Sollecitazioni nel paramento'!$G$58,ABS(O196)*'Sollecitazioni nel paramento'!$G$54,'Sollecitazioni nel paramento'!$G$53)</f>
        <v>30191290.078057263</v>
      </c>
      <c r="J196" s="472">
        <f t="shared" si="13"/>
        <v>-72743486.244268611</v>
      </c>
      <c r="K196" s="550">
        <f>'Sollecitazioni nel paramento'!$G$60*(sezione!$AL$27-C196)/C196</f>
        <v>-1.6138235896087489E-3</v>
      </c>
      <c r="L196" s="550">
        <f>'Sollecitazioni nel paramento'!$G$60*(sezione!$AM$27-C196)/C196</f>
        <v>-6.7073538441312329E-4</v>
      </c>
      <c r="M196" s="551">
        <f>'Sollecitazioni nel paramento'!$G$60*(sezione!$AN$27-C196)/C196</f>
        <v>2.7235282078250241E-4</v>
      </c>
      <c r="N196" s="551">
        <f>'Sollecitazioni nel paramento'!$G$60*(sezione!$AO$27-C196)/C196</f>
        <v>4.0447056415650051E-3</v>
      </c>
      <c r="O196" s="551">
        <f>'Sollecitazioni nel paramento'!$G$60*(sezione!$AP$27-C196)/C196</f>
        <v>5.90858341493628E-3</v>
      </c>
      <c r="P196" s="545">
        <f>-'Sollecitazioni nel paramento'!$G$47*'Sollecitazioni nel paramento'!$G$41*IF(DATI!$G$211="dx",DATI!$E$61,DATI!$E$64*DATI!$E$63)*1000*C196*sezione!$AD$5</f>
        <v>-2827720.6578432661</v>
      </c>
      <c r="Q196" s="545">
        <f>'Foglio deposito bis'!$F$48*IF(ABS(K196)&lt;'Sollecitazioni nel paramento'!$G$58,ABS(K196)*'Sollecitazioni nel paramento'!$G$54,'Sollecitazioni nel paramento'!$G$53)*IF(K196&lt;0,-1,1)</f>
        <v>0</v>
      </c>
      <c r="R196" s="545">
        <f>'Foglio deposito bis'!$F$49*IF(ABS(L196)&lt;'Sollecitazioni nel paramento'!$G$58,ABS(L196)*'Sollecitazioni nel paramento'!$G$54,'Sollecitazioni nel paramento'!$G$53)*IF(L196&lt;0,-1,1)</f>
        <v>-72346.422562008127</v>
      </c>
      <c r="S196" s="545">
        <f>'Foglio deposito bis'!$F$50*IF(ABS(M196)&lt;'Sollecitazioni nel paramento'!$G$58,ABS(M196)*'Sollecitazioni nel paramento'!$G$54,'Sollecitazioni nel paramento'!$G$53)*IF(M196&lt;0,-1,1)</f>
        <v>0</v>
      </c>
      <c r="T196" s="545">
        <f>'Foglio deposito bis'!$F$51*IF(ABS(N196)&lt;'Sollecitazioni nel paramento'!$G$58,ABS(N196)*'Sollecitazioni nel paramento'!$G$54,'Sollecitazioni nel paramento'!$G$53)*IF(N196&lt;0,-1,1)</f>
        <v>240946.49743184328</v>
      </c>
      <c r="U196" s="545">
        <f>'Foglio deposito bis'!$F$52*IF(ABS(O196)&lt;'Sollecitazioni nel paramento'!$G$58,ABS(O196)*'Sollecitazioni nel paramento'!$G$54,'Sollecitazioni nel paramento'!$G$53)*IF(O196&lt;0,-1,1)</f>
        <v>240946.49743184328</v>
      </c>
      <c r="V196" s="472">
        <f t="shared" si="15"/>
        <v>-2418174.0855415883</v>
      </c>
      <c r="W196" s="551"/>
      <c r="X196" s="551"/>
    </row>
    <row r="197" spans="1:24" x14ac:dyDescent="0.25">
      <c r="A197" s="545">
        <f t="shared" si="14"/>
        <v>2554423.8848688616</v>
      </c>
      <c r="B197" s="3">
        <f>B196+1</f>
        <v>23.899999999999942</v>
      </c>
      <c r="C197" s="545">
        <f>'Foglio deposito bis'!$E$153/$B$247*B197</f>
        <v>77.465467340669093</v>
      </c>
      <c r="D197" s="603">
        <f>-'Sollecitazioni nel paramento'!$G$47*'Sollecitazioni nel paramento'!$G$41*IF(DATI!$G$211="dx",DATI!$E$61,DATI!$E$64*DATI!$E$63)*1000*C197^2*sezione!$AD$5*(1-sezione!$AD$6)</f>
        <v>-133511881.30941081</v>
      </c>
      <c r="E197" s="545">
        <f>-'Foglio deposito bis'!$F$48*(C197-sezione!$AL$27)*IF(ABS(K197)&lt;'Sollecitazioni nel paramento'!$G$58,ABS(K197)*'Sollecitazioni nel paramento'!$G$54,'Sollecitazioni nel paramento'!$G$53)</f>
        <v>0</v>
      </c>
      <c r="F197" s="545">
        <f>-'Foglio deposito bis'!$F$49*(C197-sezione!$AM$27)*IF(ABS(L197)&lt;'Sollecitazioni nel paramento'!$G$58,ABS(L197)*'Sollecitazioni nel paramento'!$G$54,'Sollecitazioni nel paramento'!$G$53)</f>
        <v>-1486572.7366851764</v>
      </c>
      <c r="G197" s="545">
        <f>-'Foglio deposito bis'!$F$50*(C197-sezione!$AN$27)*IF(ABS(M197)&lt;'Sollecitazioni nel paramento'!$G$58,ABS(M197)*'Sollecitazioni nel paramento'!$G$54,'Sollecitazioni nel paramento'!$G$53)</f>
        <v>0</v>
      </c>
      <c r="H197" s="545">
        <f>-'Foglio deposito bis'!$F$51*(C197-sezione!$AO$27)*IF(ABS(N197)&lt;'Sollecitazioni nel paramento'!$G$58,ABS(N197)*'Sollecitazioni nel paramento'!$G$54,'Sollecitazioni nel paramento'!$G$53)</f>
        <v>19886406.561439861</v>
      </c>
      <c r="I197" s="472">
        <f>-'Foglio deposito bis'!$F$52*(C197-sezione!$AP$27)*IF(ABS(O197)&lt;'Sollecitazioni nel paramento'!$G$58,ABS(O197)*'Sollecitazioni nel paramento'!$G$54,'Sollecitazioni nel paramento'!$G$53)</f>
        <v>29410326.353050772</v>
      </c>
      <c r="J197" s="472">
        <f t="shared" ref="J197:J247" si="17">D197+E197+F197+G197+H197+I197</f>
        <v>-85701721.131605372</v>
      </c>
      <c r="K197" s="550">
        <f>'Sollecitazioni nel paramento'!$G$60*(sezione!$AL$27-C197)/C197</f>
        <v>-1.6927431046878808E-3</v>
      </c>
      <c r="L197" s="550">
        <f>'Sollecitazioni nel paramento'!$G$60*(sezione!$AM$27-C197)/C197</f>
        <v>-7.8911465703182114E-4</v>
      </c>
      <c r="M197" s="551">
        <f>'Sollecitazioni nel paramento'!$G$60*(sezione!$AN$27-C197)/C197</f>
        <v>1.145137906242386E-4</v>
      </c>
      <c r="N197" s="551">
        <f>'Sollecitazioni nel paramento'!$G$60*(sezione!$AO$27-C197)/C197</f>
        <v>3.7290275812484775E-3</v>
      </c>
      <c r="O197" s="551">
        <f>'Sollecitazioni nel paramento'!$G$60*(sezione!$AP$27-C197)/C197</f>
        <v>5.5149188369054735E-3</v>
      </c>
      <c r="P197" s="545">
        <f>-'Sollecitazioni nel paramento'!$G$47*'Sollecitazioni nel paramento'!$G$41*IF(DATI!$G$211="dx",DATI!$E$61,DATI!$E$64*DATI!$E$63)*1000*C197*sezione!$AD$5</f>
        <v>-2951201.9092774699</v>
      </c>
      <c r="Q197" s="545">
        <f>'Foglio deposito bis'!$F$48*IF(ABS(K197)&lt;'Sollecitazioni nel paramento'!$G$58,ABS(K197)*'Sollecitazioni nel paramento'!$G$54,'Sollecitazioni nel paramento'!$G$53)*IF(K197&lt;0,-1,1)</f>
        <v>0</v>
      </c>
      <c r="R197" s="545">
        <f>'Foglio deposito bis'!$F$49*IF(ABS(L197)&lt;'Sollecitazioni nel paramento'!$G$58,ABS(L197)*'Sollecitazioni nel paramento'!$G$54,'Sollecitazioni nel paramento'!$G$53)*IF(L197&lt;0,-1,1)</f>
        <v>-85114.970455077826</v>
      </c>
      <c r="S197" s="545">
        <f>'Foglio deposito bis'!$F$50*IF(ABS(M197)&lt;'Sollecitazioni nel paramento'!$G$58,ABS(M197)*'Sollecitazioni nel paramento'!$G$54,'Sollecitazioni nel paramento'!$G$53)*IF(M197&lt;0,-1,1)</f>
        <v>0</v>
      </c>
      <c r="T197" s="545">
        <f>'Foglio deposito bis'!$F$51*IF(ABS(N197)&lt;'Sollecitazioni nel paramento'!$G$58,ABS(N197)*'Sollecitazioni nel paramento'!$G$54,'Sollecitazioni nel paramento'!$G$53)*IF(N197&lt;0,-1,1)</f>
        <v>240946.49743184328</v>
      </c>
      <c r="U197" s="545">
        <f>'Foglio deposito bis'!$F$52*IF(ABS(O197)&lt;'Sollecitazioni nel paramento'!$G$58,ABS(O197)*'Sollecitazioni nel paramento'!$G$54,'Sollecitazioni nel paramento'!$G$53)*IF(O197&lt;0,-1,1)</f>
        <v>240946.49743184328</v>
      </c>
      <c r="V197" s="472">
        <f t="shared" si="15"/>
        <v>-2554423.8848688616</v>
      </c>
      <c r="W197" s="551"/>
      <c r="X197" s="551"/>
    </row>
    <row r="198" spans="1:24" x14ac:dyDescent="0.25">
      <c r="A198" s="545">
        <f t="shared" ref="A198:A247" si="18">ABS(V198)</f>
        <v>2689648.098019985</v>
      </c>
      <c r="B198" s="3">
        <f t="shared" ref="B198:B247" si="19">B197+1</f>
        <v>24.899999999999942</v>
      </c>
      <c r="C198" s="545">
        <f>'Foglio deposito bis'!$E$153/$B$247*B198</f>
        <v>80.706700283793339</v>
      </c>
      <c r="D198" s="603">
        <f>-'Sollecitazioni nel paramento'!$G$47*'Sollecitazioni nel paramento'!$G$41*IF(DATI!$G$211="dx",DATI!$E$61,DATI!$E$64*DATI!$E$63)*1000*C198^2*sezione!$AD$5*(1-sezione!$AD$6)</f>
        <v>-144918158.87440318</v>
      </c>
      <c r="E198" s="545">
        <f>-'Foglio deposito bis'!$F$48*(C198-sezione!$AL$27)*IF(ABS(K198)&lt;'Sollecitazioni nel paramento'!$G$58,ABS(K198)*'Sollecitazioni nel paramento'!$G$54,'Sollecitazioni nel paramento'!$G$53)</f>
        <v>0</v>
      </c>
      <c r="F198" s="545">
        <f>-'Foglio deposito bis'!$F$49*(C198-sezione!$AM$27)*IF(ABS(L198)&lt;'Sollecitazioni nel paramento'!$G$58,ABS(L198)*'Sollecitazioni nel paramento'!$G$54,'Sollecitazioni nel paramento'!$G$53)</f>
        <v>-2005608.1715935338</v>
      </c>
      <c r="G198" s="545">
        <f>-'Foglio deposito bis'!$F$50*(C198-sezione!$AN$27)*IF(ABS(M198)&lt;'Sollecitazioni nel paramento'!$G$58,ABS(M198)*'Sollecitazioni nel paramento'!$G$54,'Sollecitazioni nel paramento'!$G$53)</f>
        <v>0</v>
      </c>
      <c r="H198" s="545">
        <f>-'Foglio deposito bis'!$F$51*(C198-sezione!$AO$27)*IF(ABS(N198)&lt;'Sollecitazioni nel paramento'!$G$58,ABS(N198)*'Sollecitazioni nel paramento'!$G$54,'Sollecitazioni nel paramento'!$G$53)</f>
        <v>19105442.83643337</v>
      </c>
      <c r="I198" s="472">
        <f>-'Foglio deposito bis'!$F$52*(C198-sezione!$AP$27)*IF(ABS(O198)&lt;'Sollecitazioni nel paramento'!$G$58,ABS(O198)*'Sollecitazioni nel paramento'!$G$54,'Sollecitazioni nel paramento'!$G$53)</f>
        <v>28629362.628044281</v>
      </c>
      <c r="J198" s="472">
        <f t="shared" si="17"/>
        <v>-99188961.581519082</v>
      </c>
      <c r="K198" s="550">
        <f>'Sollecitazioni nel paramento'!$G$60*(sezione!$AL$27-C198)/C198</f>
        <v>-1.7653237028931871E-3</v>
      </c>
      <c r="L198" s="550">
        <f>'Sollecitazioni nel paramento'!$G$60*(sezione!$AM$27-C198)/C198</f>
        <v>-8.9798555433978058E-4</v>
      </c>
      <c r="M198" s="551">
        <f>'Sollecitazioni nel paramento'!$G$60*(sezione!$AN$27-C198)/C198</f>
        <v>-3.0647405786374066E-5</v>
      </c>
      <c r="N198" s="551">
        <f>'Sollecitazioni nel paramento'!$G$60*(sezione!$AO$27-C198)/C198</f>
        <v>3.4387051884272519E-3</v>
      </c>
      <c r="O198" s="551">
        <f>'Sollecitazioni nel paramento'!$G$60*(sezione!$AP$27-C198)/C198</f>
        <v>5.1528739036964168E-3</v>
      </c>
      <c r="P198" s="545">
        <f>-'Sollecitazioni nel paramento'!$G$47*'Sollecitazioni nel paramento'!$G$41*IF(DATI!$G$211="dx",DATI!$E$61,DATI!$E$64*DATI!$E$63)*1000*C198*sezione!$AD$5</f>
        <v>-3074683.160711674</v>
      </c>
      <c r="Q198" s="545">
        <f>'Foglio deposito bis'!$F$48*IF(ABS(K198)&lt;'Sollecitazioni nel paramento'!$G$58,ABS(K198)*'Sollecitazioni nel paramento'!$G$54,'Sollecitazioni nel paramento'!$G$53)*IF(K198&lt;0,-1,1)</f>
        <v>0</v>
      </c>
      <c r="R198" s="545">
        <f>'Foglio deposito bis'!$F$49*IF(ABS(L198)&lt;'Sollecitazioni nel paramento'!$G$58,ABS(L198)*'Sollecitazioni nel paramento'!$G$54,'Sollecitazioni nel paramento'!$G$53)*IF(L198&lt;0,-1,1)</f>
        <v>-96857.932171997367</v>
      </c>
      <c r="S198" s="545">
        <f>'Foglio deposito bis'!$F$50*IF(ABS(M198)&lt;'Sollecitazioni nel paramento'!$G$58,ABS(M198)*'Sollecitazioni nel paramento'!$G$54,'Sollecitazioni nel paramento'!$G$53)*IF(M198&lt;0,-1,1)</f>
        <v>0</v>
      </c>
      <c r="T198" s="545">
        <f>'Foglio deposito bis'!$F$51*IF(ABS(N198)&lt;'Sollecitazioni nel paramento'!$G$58,ABS(N198)*'Sollecitazioni nel paramento'!$G$54,'Sollecitazioni nel paramento'!$G$53)*IF(N198&lt;0,-1,1)</f>
        <v>240946.49743184328</v>
      </c>
      <c r="U198" s="545">
        <f>'Foglio deposito bis'!$F$52*IF(ABS(O198)&lt;'Sollecitazioni nel paramento'!$G$58,ABS(O198)*'Sollecitazioni nel paramento'!$G$54,'Sollecitazioni nel paramento'!$G$53)*IF(O198&lt;0,-1,1)</f>
        <v>240946.49743184328</v>
      </c>
      <c r="V198" s="472">
        <f t="shared" ref="V198:V247" si="20">P198+Q198+R198+S198+T198+U198</f>
        <v>-2689648.098019985</v>
      </c>
      <c r="W198" s="551"/>
      <c r="X198" s="551"/>
    </row>
    <row r="199" spans="1:24" x14ac:dyDescent="0.25">
      <c r="A199" s="545">
        <f t="shared" si="18"/>
        <v>2823965.5187605359</v>
      </c>
      <c r="B199" s="3">
        <f t="shared" si="19"/>
        <v>25.899999999999942</v>
      </c>
      <c r="C199" s="545">
        <f>'Foglio deposito bis'!$E$153/$B$247*B199</f>
        <v>83.94793322691757</v>
      </c>
      <c r="D199" s="603">
        <f>-'Sollecitazioni nel paramento'!$G$47*'Sollecitazioni nel paramento'!$G$41*IF(DATI!$G$211="dx",DATI!$E$61,DATI!$E$64*DATI!$E$63)*1000*C199^2*sezione!$AD$5*(1-sezione!$AD$6)</f>
        <v>-156791906.83140334</v>
      </c>
      <c r="E199" s="545">
        <f>-'Foglio deposito bis'!$F$48*(C199-sezione!$AL$27)*IF(ABS(K199)&lt;'Sollecitazioni nel paramento'!$G$58,ABS(K199)*'Sollecitazioni nel paramento'!$G$54,'Sollecitazioni nel paramento'!$G$53)</f>
        <v>0</v>
      </c>
      <c r="F199" s="545">
        <f>-'Foglio deposito bis'!$F$49*(C199-sezione!$AM$27)*IF(ABS(L199)&lt;'Sollecitazioni nel paramento'!$G$58,ABS(L199)*'Sollecitazioni nel paramento'!$G$54,'Sollecitazioni nel paramento'!$G$53)</f>
        <v>-2579051.1511362651</v>
      </c>
      <c r="G199" s="545">
        <f>-'Foglio deposito bis'!$F$50*(C199-sezione!$AN$27)*IF(ABS(M199)&lt;'Sollecitazioni nel paramento'!$G$58,ABS(M199)*'Sollecitazioni nel paramento'!$G$54,'Sollecitazioni nel paramento'!$G$53)</f>
        <v>0</v>
      </c>
      <c r="H199" s="545">
        <f>-'Foglio deposito bis'!$F$51*(C199-sezione!$AO$27)*IF(ABS(N199)&lt;'Sollecitazioni nel paramento'!$G$58,ABS(N199)*'Sollecitazioni nel paramento'!$G$54,'Sollecitazioni nel paramento'!$G$53)</f>
        <v>18324479.111426879</v>
      </c>
      <c r="I199" s="472">
        <f>-'Foglio deposito bis'!$F$52*(C199-sezione!$AP$27)*IF(ABS(O199)&lt;'Sollecitazioni nel paramento'!$G$58,ABS(O199)*'Sollecitazioni nel paramento'!$G$54,'Sollecitazioni nel paramento'!$G$53)</f>
        <v>27848398.903037798</v>
      </c>
      <c r="J199" s="472">
        <f t="shared" si="17"/>
        <v>-113198079.96807493</v>
      </c>
      <c r="K199" s="550">
        <f>'Sollecitazioni nel paramento'!$G$60*(sezione!$AL$27-C199)/C199</f>
        <v>-1.8322996217004001E-3</v>
      </c>
      <c r="L199" s="550">
        <f>'Sollecitazioni nel paramento'!$G$60*(sezione!$AM$27-C199)/C199</f>
        <v>-9.9844943255059972E-4</v>
      </c>
      <c r="M199" s="551">
        <f>'Sollecitazioni nel paramento'!$G$60*(sezione!$AN$27-C199)/C199</f>
        <v>-1.6459924340079981E-4</v>
      </c>
      <c r="N199" s="551">
        <f>'Sollecitazioni nel paramento'!$G$60*(sezione!$AO$27-C199)/C199</f>
        <v>3.1708015131984009E-3</v>
      </c>
      <c r="O199" s="551">
        <f>'Sollecitazioni nel paramento'!$G$60*(sezione!$AP$27-C199)/C199</f>
        <v>4.8187861081869024E-3</v>
      </c>
      <c r="P199" s="545">
        <f>-'Sollecitazioni nel paramento'!$G$47*'Sollecitazioni nel paramento'!$G$41*IF(DATI!$G$211="dx",DATI!$E$61,DATI!$E$64*DATI!$E$63)*1000*C199*sezione!$AD$5</f>
        <v>-3198164.4121458782</v>
      </c>
      <c r="Q199" s="545">
        <f>'Foglio deposito bis'!$F$48*IF(ABS(K199)&lt;'Sollecitazioni nel paramento'!$G$58,ABS(K199)*'Sollecitazioni nel paramento'!$G$54,'Sollecitazioni nel paramento'!$G$53)*IF(K199&lt;0,-1,1)</f>
        <v>0</v>
      </c>
      <c r="R199" s="545">
        <f>'Foglio deposito bis'!$F$49*IF(ABS(L199)&lt;'Sollecitazioni nel paramento'!$G$58,ABS(L199)*'Sollecitazioni nel paramento'!$G$54,'Sollecitazioni nel paramento'!$G$53)*IF(L199&lt;0,-1,1)</f>
        <v>-107694.10147834393</v>
      </c>
      <c r="S199" s="545">
        <f>'Foglio deposito bis'!$F$50*IF(ABS(M199)&lt;'Sollecitazioni nel paramento'!$G$58,ABS(M199)*'Sollecitazioni nel paramento'!$G$54,'Sollecitazioni nel paramento'!$G$53)*IF(M199&lt;0,-1,1)</f>
        <v>0</v>
      </c>
      <c r="T199" s="545">
        <f>'Foglio deposito bis'!$F$51*IF(ABS(N199)&lt;'Sollecitazioni nel paramento'!$G$58,ABS(N199)*'Sollecitazioni nel paramento'!$G$54,'Sollecitazioni nel paramento'!$G$53)*IF(N199&lt;0,-1,1)</f>
        <v>240946.49743184328</v>
      </c>
      <c r="U199" s="545">
        <f>'Foglio deposito bis'!$F$52*IF(ABS(O199)&lt;'Sollecitazioni nel paramento'!$G$58,ABS(O199)*'Sollecitazioni nel paramento'!$G$54,'Sollecitazioni nel paramento'!$G$53)*IF(O199&lt;0,-1,1)</f>
        <v>240946.49743184328</v>
      </c>
      <c r="V199" s="472">
        <f t="shared" si="20"/>
        <v>-2823965.5187605359</v>
      </c>
      <c r="W199" s="551"/>
      <c r="X199" s="551"/>
    </row>
    <row r="200" spans="1:24" x14ac:dyDescent="0.25">
      <c r="A200" s="545">
        <f t="shared" si="18"/>
        <v>2957477.2763556335</v>
      </c>
      <c r="B200" s="3">
        <f t="shared" si="19"/>
        <v>26.899999999999942</v>
      </c>
      <c r="C200" s="545">
        <f>'Foglio deposito bis'!$E$153/$B$247*B200</f>
        <v>87.189166170041815</v>
      </c>
      <c r="D200" s="603">
        <f>-'Sollecitazioni nel paramento'!$G$47*'Sollecitazioni nel paramento'!$G$41*IF(DATI!$G$211="dx",DATI!$E$61,DATI!$E$64*DATI!$E$63)*1000*C200^2*sezione!$AD$5*(1-sezione!$AD$6)</f>
        <v>-169133125.18041146</v>
      </c>
      <c r="E200" s="545">
        <f>-'Foglio deposito bis'!$F$48*(C200-sezione!$AL$27)*IF(ABS(K200)&lt;'Sollecitazioni nel paramento'!$G$58,ABS(K200)*'Sollecitazioni nel paramento'!$G$54,'Sollecitazioni nel paramento'!$G$53)</f>
        <v>0</v>
      </c>
      <c r="F200" s="545">
        <f>-'Foglio deposito bis'!$F$49*(C200-sezione!$AM$27)*IF(ABS(L200)&lt;'Sollecitazioni nel paramento'!$G$58,ABS(L200)*'Sollecitazioni nel paramento'!$G$54,'Sollecitazioni nel paramento'!$G$53)</f>
        <v>-3200833.9194061961</v>
      </c>
      <c r="G200" s="545">
        <f>-'Foglio deposito bis'!$F$50*(C200-sezione!$AN$27)*IF(ABS(M200)&lt;'Sollecitazioni nel paramento'!$G$58,ABS(M200)*'Sollecitazioni nel paramento'!$G$54,'Sollecitazioni nel paramento'!$G$53)</f>
        <v>0</v>
      </c>
      <c r="H200" s="545">
        <f>-'Foglio deposito bis'!$F$51*(C200-sezione!$AO$27)*IF(ABS(N200)&lt;'Sollecitazioni nel paramento'!$G$58,ABS(N200)*'Sollecitazioni nel paramento'!$G$54,'Sollecitazioni nel paramento'!$G$53)</f>
        <v>17543515.386420384</v>
      </c>
      <c r="I200" s="472">
        <f>-'Foglio deposito bis'!$F$52*(C200-sezione!$AP$27)*IF(ABS(O200)&lt;'Sollecitazioni nel paramento'!$G$58,ABS(O200)*'Sollecitazioni nel paramento'!$G$54,'Sollecitazioni nel paramento'!$G$53)</f>
        <v>27067435.178031307</v>
      </c>
      <c r="J200" s="472">
        <f t="shared" si="17"/>
        <v>-127723008.53536595</v>
      </c>
      <c r="K200" s="550">
        <f>'Sollecitazioni nel paramento'!$G$60*(sezione!$AL$27-C200)/C200</f>
        <v>-1.8942959182914635E-3</v>
      </c>
      <c r="L200" s="550">
        <f>'Sollecitazioni nel paramento'!$G$60*(sezione!$AM$27-C200)/C200</f>
        <v>-1.0914438774371951E-3</v>
      </c>
      <c r="M200" s="551">
        <f>'Sollecitazioni nel paramento'!$G$60*(sezione!$AN$27-C200)/C200</f>
        <v>-2.8859183658292678E-4</v>
      </c>
      <c r="N200" s="551">
        <f>'Sollecitazioni nel paramento'!$G$60*(sezione!$AO$27-C200)/C200</f>
        <v>2.9228163268341465E-3</v>
      </c>
      <c r="O200" s="551">
        <f>'Sollecitazioni nel paramento'!$G$60*(sezione!$AP$27-C200)/C200</f>
        <v>4.5095375539792098E-3</v>
      </c>
      <c r="P200" s="545">
        <f>-'Sollecitazioni nel paramento'!$G$47*'Sollecitazioni nel paramento'!$G$41*IF(DATI!$G$211="dx",DATI!$E$61,DATI!$E$64*DATI!$E$63)*1000*C200*sezione!$AD$5</f>
        <v>-3321645.6635800824</v>
      </c>
      <c r="Q200" s="545">
        <f>'Foglio deposito bis'!$F$48*IF(ABS(K200)&lt;'Sollecitazioni nel paramento'!$G$58,ABS(K200)*'Sollecitazioni nel paramento'!$G$54,'Sollecitazioni nel paramento'!$G$53)*IF(K200&lt;0,-1,1)</f>
        <v>0</v>
      </c>
      <c r="R200" s="545">
        <f>'Foglio deposito bis'!$F$49*IF(ABS(L200)&lt;'Sollecitazioni nel paramento'!$G$58,ABS(L200)*'Sollecitazioni nel paramento'!$G$54,'Sollecitazioni nel paramento'!$G$53)*IF(L200&lt;0,-1,1)</f>
        <v>-117724.60763923728</v>
      </c>
      <c r="S200" s="545">
        <f>'Foglio deposito bis'!$F$50*IF(ABS(M200)&lt;'Sollecitazioni nel paramento'!$G$58,ABS(M200)*'Sollecitazioni nel paramento'!$G$54,'Sollecitazioni nel paramento'!$G$53)*IF(M200&lt;0,-1,1)</f>
        <v>0</v>
      </c>
      <c r="T200" s="545">
        <f>'Foglio deposito bis'!$F$51*IF(ABS(N200)&lt;'Sollecitazioni nel paramento'!$G$58,ABS(N200)*'Sollecitazioni nel paramento'!$G$54,'Sollecitazioni nel paramento'!$G$53)*IF(N200&lt;0,-1,1)</f>
        <v>240946.49743184328</v>
      </c>
      <c r="U200" s="545">
        <f>'Foglio deposito bis'!$F$52*IF(ABS(O200)&lt;'Sollecitazioni nel paramento'!$G$58,ABS(O200)*'Sollecitazioni nel paramento'!$G$54,'Sollecitazioni nel paramento'!$G$53)*IF(O200&lt;0,-1,1)</f>
        <v>240946.49743184328</v>
      </c>
      <c r="V200" s="472">
        <f t="shared" si="20"/>
        <v>-2957477.2763556335</v>
      </c>
      <c r="W200" s="551"/>
      <c r="X200" s="551"/>
    </row>
    <row r="201" spans="1:24" x14ac:dyDescent="0.25">
      <c r="A201" s="545">
        <f t="shared" si="18"/>
        <v>3090270.0012510251</v>
      </c>
      <c r="B201" s="3">
        <f t="shared" si="19"/>
        <v>27.899999999999942</v>
      </c>
      <c r="C201" s="545">
        <f>'Foglio deposito bis'!$E$153/$B$247*B201</f>
        <v>90.430399113166047</v>
      </c>
      <c r="D201" s="603">
        <f>-'Sollecitazioni nel paramento'!$G$47*'Sollecitazioni nel paramento'!$G$41*IF(DATI!$G$211="dx",DATI!$E$61,DATI!$E$64*DATI!$E$63)*1000*C201^2*sezione!$AD$5*(1-sezione!$AD$6)</f>
        <v>-181941813.92142743</v>
      </c>
      <c r="E201" s="545">
        <f>-'Foglio deposito bis'!$F$48*(C201-sezione!$AL$27)*IF(ABS(K201)&lt;'Sollecitazioni nel paramento'!$G$58,ABS(K201)*'Sollecitazioni nel paramento'!$G$54,'Sollecitazioni nel paramento'!$G$53)</f>
        <v>0</v>
      </c>
      <c r="F201" s="545">
        <f>-'Foglio deposito bis'!$F$49*(C201-sezione!$AM$27)*IF(ABS(L201)&lt;'Sollecitazioni nel paramento'!$G$58,ABS(L201)*'Sollecitazioni nel paramento'!$G$54,'Sollecitazioni nel paramento'!$G$53)</f>
        <v>-3865758.649658462</v>
      </c>
      <c r="G201" s="545">
        <f>-'Foglio deposito bis'!$F$50*(C201-sezione!$AN$27)*IF(ABS(M201)&lt;'Sollecitazioni nel paramento'!$G$58,ABS(M201)*'Sollecitazioni nel paramento'!$G$54,'Sollecitazioni nel paramento'!$G$53)</f>
        <v>0</v>
      </c>
      <c r="H201" s="545">
        <f>-'Foglio deposito bis'!$F$51*(C201-sezione!$AO$27)*IF(ABS(N201)&lt;'Sollecitazioni nel paramento'!$G$58,ABS(N201)*'Sollecitazioni nel paramento'!$G$54,'Sollecitazioni nel paramento'!$G$53)</f>
        <v>16762551.661413897</v>
      </c>
      <c r="I201" s="472">
        <f>-'Foglio deposito bis'!$F$52*(C201-sezione!$AP$27)*IF(ABS(O201)&lt;'Sollecitazioni nel paramento'!$G$58,ABS(O201)*'Sollecitazioni nel paramento'!$G$54,'Sollecitazioni nel paramento'!$G$53)</f>
        <v>26286471.453024812</v>
      </c>
      <c r="J201" s="472">
        <f t="shared" si="17"/>
        <v>-142758549.45664719</v>
      </c>
      <c r="K201" s="550">
        <f>'Sollecitazioni nel paramento'!$G$60*(sezione!$AL$27-C201)/C201</f>
        <v>-1.9518480359154253E-3</v>
      </c>
      <c r="L201" s="550">
        <f>'Sollecitazioni nel paramento'!$G$60*(sezione!$AM$27-C201)/C201</f>
        <v>-1.177772053873138E-3</v>
      </c>
      <c r="M201" s="551">
        <f>'Sollecitazioni nel paramento'!$G$60*(sezione!$AN$27-C201)/C201</f>
        <v>-4.0369607183085056E-4</v>
      </c>
      <c r="N201" s="551">
        <f>'Sollecitazioni nel paramento'!$G$60*(sezione!$AO$27-C201)/C201</f>
        <v>2.692607856338299E-3</v>
      </c>
      <c r="O201" s="551">
        <f>'Sollecitazioni nel paramento'!$G$60*(sezione!$AP$27-C201)/C201</f>
        <v>4.222457354911854E-3</v>
      </c>
      <c r="P201" s="545">
        <f>-'Sollecitazioni nel paramento'!$G$47*'Sollecitazioni nel paramento'!$G$41*IF(DATI!$G$211="dx",DATI!$E$61,DATI!$E$64*DATI!$E$63)*1000*C201*sezione!$AD$5</f>
        <v>-3445126.9150142865</v>
      </c>
      <c r="Q201" s="545">
        <f>'Foglio deposito bis'!$F$48*IF(ABS(K201)&lt;'Sollecitazioni nel paramento'!$G$58,ABS(K201)*'Sollecitazioni nel paramento'!$G$54,'Sollecitazioni nel paramento'!$G$53)*IF(K201&lt;0,-1,1)</f>
        <v>0</v>
      </c>
      <c r="R201" s="545">
        <f>'Foglio deposito bis'!$F$49*IF(ABS(L201)&lt;'Sollecitazioni nel paramento'!$G$58,ABS(L201)*'Sollecitazioni nel paramento'!$G$54,'Sollecitazioni nel paramento'!$G$53)*IF(L201&lt;0,-1,1)</f>
        <v>-127036.08110042497</v>
      </c>
      <c r="S201" s="545">
        <f>'Foglio deposito bis'!$F$50*IF(ABS(M201)&lt;'Sollecitazioni nel paramento'!$G$58,ABS(M201)*'Sollecitazioni nel paramento'!$G$54,'Sollecitazioni nel paramento'!$G$53)*IF(M201&lt;0,-1,1)</f>
        <v>0</v>
      </c>
      <c r="T201" s="545">
        <f>'Foglio deposito bis'!$F$51*IF(ABS(N201)&lt;'Sollecitazioni nel paramento'!$G$58,ABS(N201)*'Sollecitazioni nel paramento'!$G$54,'Sollecitazioni nel paramento'!$G$53)*IF(N201&lt;0,-1,1)</f>
        <v>240946.49743184328</v>
      </c>
      <c r="U201" s="545">
        <f>'Foglio deposito bis'!$F$52*IF(ABS(O201)&lt;'Sollecitazioni nel paramento'!$G$58,ABS(O201)*'Sollecitazioni nel paramento'!$G$54,'Sollecitazioni nel paramento'!$G$53)*IF(O201&lt;0,-1,1)</f>
        <v>240946.49743184328</v>
      </c>
      <c r="V201" s="472">
        <f t="shared" si="20"/>
        <v>-3090270.0012510251</v>
      </c>
      <c r="W201" s="551"/>
      <c r="X201" s="551"/>
    </row>
    <row r="202" spans="1:24" x14ac:dyDescent="0.25">
      <c r="A202" s="545">
        <f t="shared" si="18"/>
        <v>3222418.3335193451</v>
      </c>
      <c r="B202" s="3">
        <f t="shared" si="19"/>
        <v>28.899999999999942</v>
      </c>
      <c r="C202" s="545">
        <f>'Foglio deposito bis'!$E$153/$B$247*B202</f>
        <v>93.671632056290292</v>
      </c>
      <c r="D202" s="603">
        <f>-'Sollecitazioni nel paramento'!$G$47*'Sollecitazioni nel paramento'!$G$41*IF(DATI!$G$211="dx",DATI!$E$61,DATI!$E$64*DATI!$E$63)*1000*C202^2*sezione!$AD$5*(1-sezione!$AD$6)</f>
        <v>-195217973.05445132</v>
      </c>
      <c r="E202" s="545">
        <f>-'Foglio deposito bis'!$F$48*(C202-sezione!$AL$27)*IF(ABS(K202)&lt;'Sollecitazioni nel paramento'!$G$58,ABS(K202)*'Sollecitazioni nel paramento'!$G$54,'Sollecitazioni nel paramento'!$G$53)</f>
        <v>0</v>
      </c>
      <c r="F202" s="545">
        <f>-'Foglio deposito bis'!$F$49*(C202-sezione!$AM$27)*IF(ABS(L202)&lt;'Sollecitazioni nel paramento'!$G$58,ABS(L202)*'Sollecitazioni nel paramento'!$G$54,'Sollecitazioni nel paramento'!$G$53)</f>
        <v>-4569346.9375350391</v>
      </c>
      <c r="G202" s="545">
        <f>-'Foglio deposito bis'!$F$50*(C202-sezione!$AN$27)*IF(ABS(M202)&lt;'Sollecitazioni nel paramento'!$G$58,ABS(M202)*'Sollecitazioni nel paramento'!$G$54,'Sollecitazioni nel paramento'!$G$53)</f>
        <v>0</v>
      </c>
      <c r="H202" s="545">
        <f>-'Foglio deposito bis'!$F$51*(C202-sezione!$AO$27)*IF(ABS(N202)&lt;'Sollecitazioni nel paramento'!$G$58,ABS(N202)*'Sollecitazioni nel paramento'!$G$54,'Sollecitazioni nel paramento'!$G$53)</f>
        <v>15981587.936407406</v>
      </c>
      <c r="I202" s="472">
        <f>-'Foglio deposito bis'!$F$52*(C202-sezione!$AP$27)*IF(ABS(O202)&lt;'Sollecitazioni nel paramento'!$G$58,ABS(O202)*'Sollecitazioni nel paramento'!$G$54,'Sollecitazioni nel paramento'!$G$53)</f>
        <v>25505507.728018321</v>
      </c>
      <c r="J202" s="472">
        <f t="shared" si="17"/>
        <v>-158300224.32756063</v>
      </c>
      <c r="K202" s="550">
        <f>'Sollecitazioni nel paramento'!$G$60*(sezione!$AL$27-C202)/C202</f>
        <v>-2.0054173080290786E-3</v>
      </c>
      <c r="L202" s="550">
        <f>'Sollecitazioni nel paramento'!$G$60*(sezione!$AM$27-C202)/C202</f>
        <v>-1.2581259620436179E-3</v>
      </c>
      <c r="M202" s="551">
        <f>'Sollecitazioni nel paramento'!$G$60*(sezione!$AN$27-C202)/C202</f>
        <v>-5.1083461605815723E-4</v>
      </c>
      <c r="N202" s="551">
        <f>'Sollecitazioni nel paramento'!$G$60*(sezione!$AO$27-C202)/C202</f>
        <v>2.4783307678836858E-3</v>
      </c>
      <c r="O202" s="551">
        <f>'Sollecitazioni nel paramento'!$G$60*(sezione!$AP$27-C202)/C202</f>
        <v>3.9552442976484668E-3</v>
      </c>
      <c r="P202" s="545">
        <f>-'Sollecitazioni nel paramento'!$G$47*'Sollecitazioni nel paramento'!$G$41*IF(DATI!$G$211="dx",DATI!$E$61,DATI!$E$64*DATI!$E$63)*1000*C202*sezione!$AD$5</f>
        <v>-3568608.1664484902</v>
      </c>
      <c r="Q202" s="545">
        <f>'Foglio deposito bis'!$F$48*IF(ABS(K202)&lt;'Sollecitazioni nel paramento'!$G$58,ABS(K202)*'Sollecitazioni nel paramento'!$G$54,'Sollecitazioni nel paramento'!$G$53)*IF(K202&lt;0,-1,1)</f>
        <v>0</v>
      </c>
      <c r="R202" s="545">
        <f>'Foglio deposito bis'!$F$49*IF(ABS(L202)&lt;'Sollecitazioni nel paramento'!$G$58,ABS(L202)*'Sollecitazioni nel paramento'!$G$54,'Sollecitazioni nel paramento'!$G$53)*IF(L202&lt;0,-1,1)</f>
        <v>-135703.16193454084</v>
      </c>
      <c r="S202" s="545">
        <f>'Foglio deposito bis'!$F$50*IF(ABS(M202)&lt;'Sollecitazioni nel paramento'!$G$58,ABS(M202)*'Sollecitazioni nel paramento'!$G$54,'Sollecitazioni nel paramento'!$G$53)*IF(M202&lt;0,-1,1)</f>
        <v>0</v>
      </c>
      <c r="T202" s="545">
        <f>'Foglio deposito bis'!$F$51*IF(ABS(N202)&lt;'Sollecitazioni nel paramento'!$G$58,ABS(N202)*'Sollecitazioni nel paramento'!$G$54,'Sollecitazioni nel paramento'!$G$53)*IF(N202&lt;0,-1,1)</f>
        <v>240946.49743184328</v>
      </c>
      <c r="U202" s="545">
        <f>'Foglio deposito bis'!$F$52*IF(ABS(O202)&lt;'Sollecitazioni nel paramento'!$G$58,ABS(O202)*'Sollecitazioni nel paramento'!$G$54,'Sollecitazioni nel paramento'!$G$53)*IF(O202&lt;0,-1,1)</f>
        <v>240946.49743184328</v>
      </c>
      <c r="V202" s="472">
        <f t="shared" si="20"/>
        <v>-3222418.3335193451</v>
      </c>
      <c r="W202" s="551"/>
      <c r="X202" s="551"/>
    </row>
    <row r="203" spans="1:24" x14ac:dyDescent="0.25">
      <c r="A203" s="545">
        <f t="shared" si="18"/>
        <v>3353986.9279392287</v>
      </c>
      <c r="B203" s="3">
        <f t="shared" si="19"/>
        <v>29.899999999999942</v>
      </c>
      <c r="C203" s="545">
        <f>'Foglio deposito bis'!$E$153/$B$247*B203</f>
        <v>96.912864999414523</v>
      </c>
      <c r="D203" s="603">
        <f>-'Sollecitazioni nel paramento'!$G$47*'Sollecitazioni nel paramento'!$G$41*IF(DATI!$G$211="dx",DATI!$E$61,DATI!$E$64*DATI!$E$63)*1000*C203^2*sezione!$AD$5*(1-sezione!$AD$6)</f>
        <v>-208961602.57948303</v>
      </c>
      <c r="E203" s="545">
        <f>-'Foglio deposito bis'!$F$48*(C203-sezione!$AL$27)*IF(ABS(K203)&lt;'Sollecitazioni nel paramento'!$G$58,ABS(K203)*'Sollecitazioni nel paramento'!$G$54,'Sollecitazioni nel paramento'!$G$53)</f>
        <v>0</v>
      </c>
      <c r="F203" s="545">
        <f>-'Foglio deposito bis'!$F$49*(C203-sezione!$AM$27)*IF(ABS(L203)&lt;'Sollecitazioni nel paramento'!$G$58,ABS(L203)*'Sollecitazioni nel paramento'!$G$54,'Sollecitazioni nel paramento'!$G$53)</f>
        <v>-5307719.4963177638</v>
      </c>
      <c r="G203" s="545">
        <f>-'Foglio deposito bis'!$F$50*(C203-sezione!$AN$27)*IF(ABS(M203)&lt;'Sollecitazioni nel paramento'!$G$58,ABS(M203)*'Sollecitazioni nel paramento'!$G$54,'Sollecitazioni nel paramento'!$G$53)</f>
        <v>0</v>
      </c>
      <c r="H203" s="545">
        <f>-'Foglio deposito bis'!$F$51*(C203-sezione!$AO$27)*IF(ABS(N203)&lt;'Sollecitazioni nel paramento'!$G$58,ABS(N203)*'Sollecitazioni nel paramento'!$G$54,'Sollecitazioni nel paramento'!$G$53)</f>
        <v>15200624.211400917</v>
      </c>
      <c r="I203" s="472">
        <f>-'Foglio deposito bis'!$F$52*(C203-sezione!$AP$27)*IF(ABS(O203)&lt;'Sollecitazioni nel paramento'!$G$58,ABS(O203)*'Sollecitazioni nel paramento'!$G$54,'Sollecitazioni nel paramento'!$G$53)</f>
        <v>24724544.003011834</v>
      </c>
      <c r="J203" s="472">
        <f t="shared" si="17"/>
        <v>-174344153.86138806</v>
      </c>
      <c r="K203" s="550">
        <f>'Sollecitazioni nel paramento'!$G$60*(sezione!$AL$27-C203)/C203</f>
        <v>-2.0554033512388084E-3</v>
      </c>
      <c r="L203" s="550">
        <f>'Sollecitazioni nel paramento'!$G$60*(sezione!$AM$27-C203)/C203</f>
        <v>-1.3331050268582127E-3</v>
      </c>
      <c r="M203" s="551">
        <f>'Sollecitazioni nel paramento'!$G$60*(sezione!$AN$27-C203)/C203</f>
        <v>-6.1080670247761685E-4</v>
      </c>
      <c r="N203" s="551">
        <f>'Sollecitazioni nel paramento'!$G$60*(sezione!$AO$27-C203)/C203</f>
        <v>2.2783865950447664E-3</v>
      </c>
      <c r="O203" s="551">
        <f>'Sollecitazioni nel paramento'!$G$60*(sezione!$AP$27-C203)/C203</f>
        <v>3.7059050234796221E-3</v>
      </c>
      <c r="P203" s="545">
        <f>-'Sollecitazioni nel paramento'!$G$47*'Sollecitazioni nel paramento'!$G$41*IF(DATI!$G$211="dx",DATI!$E$61,DATI!$E$64*DATI!$E$63)*1000*C203*sezione!$AD$5</f>
        <v>-3692089.4178826939</v>
      </c>
      <c r="Q203" s="545">
        <f>'Foglio deposito bis'!$F$48*IF(ABS(K203)&lt;'Sollecitazioni nel paramento'!$G$58,ABS(K203)*'Sollecitazioni nel paramento'!$G$54,'Sollecitazioni nel paramento'!$G$53)*IF(K203&lt;0,-1,1)</f>
        <v>0</v>
      </c>
      <c r="R203" s="545">
        <f>'Foglio deposito bis'!$F$49*IF(ABS(L203)&lt;'Sollecitazioni nel paramento'!$G$58,ABS(L203)*'Sollecitazioni nel paramento'!$G$54,'Sollecitazioni nel paramento'!$G$53)*IF(L203&lt;0,-1,1)</f>
        <v>-143790.5049202209</v>
      </c>
      <c r="S203" s="545">
        <f>'Foglio deposito bis'!$F$50*IF(ABS(M203)&lt;'Sollecitazioni nel paramento'!$G$58,ABS(M203)*'Sollecitazioni nel paramento'!$G$54,'Sollecitazioni nel paramento'!$G$53)*IF(M203&lt;0,-1,1)</f>
        <v>0</v>
      </c>
      <c r="T203" s="545">
        <f>'Foglio deposito bis'!$F$51*IF(ABS(N203)&lt;'Sollecitazioni nel paramento'!$G$58,ABS(N203)*'Sollecitazioni nel paramento'!$G$54,'Sollecitazioni nel paramento'!$G$53)*IF(N203&lt;0,-1,1)</f>
        <v>240946.49743184328</v>
      </c>
      <c r="U203" s="545">
        <f>'Foglio deposito bis'!$F$52*IF(ABS(O203)&lt;'Sollecitazioni nel paramento'!$G$58,ABS(O203)*'Sollecitazioni nel paramento'!$G$54,'Sollecitazioni nel paramento'!$G$53)*IF(O203&lt;0,-1,1)</f>
        <v>240946.49743184328</v>
      </c>
      <c r="V203" s="472">
        <f t="shared" si="20"/>
        <v>-3353986.9279392287</v>
      </c>
      <c r="W203" s="551"/>
      <c r="X203" s="551"/>
    </row>
    <row r="204" spans="1:24" x14ac:dyDescent="0.25">
      <c r="A204" s="545">
        <f t="shared" si="18"/>
        <v>3485032.069738681</v>
      </c>
      <c r="B204" s="3">
        <f t="shared" si="19"/>
        <v>30.899999999999942</v>
      </c>
      <c r="C204" s="545">
        <f>'Foglio deposito bis'!$E$153/$B$247*B204</f>
        <v>100.15409794253877</v>
      </c>
      <c r="D204" s="603">
        <f>-'Sollecitazioni nel paramento'!$G$47*'Sollecitazioni nel paramento'!$G$41*IF(DATI!$G$211="dx",DATI!$E$61,DATI!$E$64*DATI!$E$63)*1000*C204^2*sezione!$AD$5*(1-sezione!$AD$6)</f>
        <v>-223172702.49652267</v>
      </c>
      <c r="E204" s="545">
        <f>-'Foglio deposito bis'!$F$48*(C204-sezione!$AL$27)*IF(ABS(K204)&lt;'Sollecitazioni nel paramento'!$G$58,ABS(K204)*'Sollecitazioni nel paramento'!$G$54,'Sollecitazioni nel paramento'!$G$53)</f>
        <v>0</v>
      </c>
      <c r="F204" s="545">
        <f>-'Foglio deposito bis'!$F$49*(C204-sezione!$AM$27)*IF(ABS(L204)&lt;'Sollecitazioni nel paramento'!$G$58,ABS(L204)*'Sollecitazioni nel paramento'!$G$54,'Sollecitazioni nel paramento'!$G$53)</f>
        <v>-6077499.2123264335</v>
      </c>
      <c r="G204" s="545">
        <f>-'Foglio deposito bis'!$F$50*(C204-sezione!$AN$27)*IF(ABS(M204)&lt;'Sollecitazioni nel paramento'!$G$58,ABS(M204)*'Sollecitazioni nel paramento'!$G$54,'Sollecitazioni nel paramento'!$G$53)</f>
        <v>0</v>
      </c>
      <c r="H204" s="545">
        <f>-'Foglio deposito bis'!$F$51*(C204-sezione!$AO$27)*IF(ABS(N204)&lt;'Sollecitazioni nel paramento'!$G$58,ABS(N204)*'Sollecitazioni nel paramento'!$G$54,'Sollecitazioni nel paramento'!$G$53)</f>
        <v>14419660.486394426</v>
      </c>
      <c r="I204" s="472">
        <f>-'Foglio deposito bis'!$F$52*(C204-sezione!$AP$27)*IF(ABS(O204)&lt;'Sollecitazioni nel paramento'!$G$58,ABS(O204)*'Sollecitazioni nel paramento'!$G$54,'Sollecitazioni nel paramento'!$G$53)</f>
        <v>23943580.278005343</v>
      </c>
      <c r="J204" s="472">
        <f t="shared" si="17"/>
        <v>-190886960.94444934</v>
      </c>
      <c r="K204" s="550">
        <f>'Sollecitazioni nel paramento'!$G$60*(sezione!$AL$27-C204)/C204</f>
        <v>-2.1021540518459669E-3</v>
      </c>
      <c r="L204" s="550">
        <f>'Sollecitazioni nel paramento'!$G$60*(sezione!$AM$27-C204)/C204</f>
        <v>-1.4032310777689504E-3</v>
      </c>
      <c r="M204" s="551">
        <f>'Sollecitazioni nel paramento'!$G$60*(sezione!$AN$27-C204)/C204</f>
        <v>-7.043081036919339E-4</v>
      </c>
      <c r="N204" s="551">
        <f>'Sollecitazioni nel paramento'!$G$60*(sezione!$AO$27-C204)/C204</f>
        <v>2.0913837926161325E-3</v>
      </c>
      <c r="O204" s="551">
        <f>'Sollecitazioni nel paramento'!$G$60*(sezione!$AP$27-C204)/C204</f>
        <v>3.4727042136582739E-3</v>
      </c>
      <c r="P204" s="545">
        <f>-'Sollecitazioni nel paramento'!$G$47*'Sollecitazioni nel paramento'!$G$41*IF(DATI!$G$211="dx",DATI!$E$61,DATI!$E$64*DATI!$E$63)*1000*C204*sezione!$AD$5</f>
        <v>-3815570.6693168986</v>
      </c>
      <c r="Q204" s="545">
        <f>'Foglio deposito bis'!$F$48*IF(ABS(K204)&lt;'Sollecitazioni nel paramento'!$G$58,ABS(K204)*'Sollecitazioni nel paramento'!$G$54,'Sollecitazioni nel paramento'!$G$53)*IF(K204&lt;0,-1,1)</f>
        <v>0</v>
      </c>
      <c r="R204" s="545">
        <f>'Foglio deposito bis'!$F$49*IF(ABS(L204)&lt;'Sollecitazioni nel paramento'!$G$58,ABS(L204)*'Sollecitazioni nel paramento'!$G$54,'Sollecitazioni nel paramento'!$G$53)*IF(L204&lt;0,-1,1)</f>
        <v>-151354.39528546858</v>
      </c>
      <c r="S204" s="545">
        <f>'Foglio deposito bis'!$F$50*IF(ABS(M204)&lt;'Sollecitazioni nel paramento'!$G$58,ABS(M204)*'Sollecitazioni nel paramento'!$G$54,'Sollecitazioni nel paramento'!$G$53)*IF(M204&lt;0,-1,1)</f>
        <v>0</v>
      </c>
      <c r="T204" s="545">
        <f>'Foglio deposito bis'!$F$51*IF(ABS(N204)&lt;'Sollecitazioni nel paramento'!$G$58,ABS(N204)*'Sollecitazioni nel paramento'!$G$54,'Sollecitazioni nel paramento'!$G$53)*IF(N204&lt;0,-1,1)</f>
        <v>240946.49743184328</v>
      </c>
      <c r="U204" s="545">
        <f>'Foglio deposito bis'!$F$52*IF(ABS(O204)&lt;'Sollecitazioni nel paramento'!$G$58,ABS(O204)*'Sollecitazioni nel paramento'!$G$54,'Sollecitazioni nel paramento'!$G$53)*IF(O204&lt;0,-1,1)</f>
        <v>240946.49743184328</v>
      </c>
      <c r="V204" s="472">
        <f t="shared" si="20"/>
        <v>-3485032.069738681</v>
      </c>
      <c r="W204" s="551"/>
      <c r="X204" s="551"/>
    </row>
    <row r="205" spans="1:24" x14ac:dyDescent="0.25">
      <c r="A205" s="545">
        <f t="shared" si="18"/>
        <v>3615602.986436863</v>
      </c>
      <c r="B205" s="3">
        <f t="shared" si="19"/>
        <v>31.899999999999942</v>
      </c>
      <c r="C205" s="545">
        <f>'Foglio deposito bis'!$E$153/$B$247*B205</f>
        <v>103.395330885663</v>
      </c>
      <c r="D205" s="603">
        <f>-'Sollecitazioni nel paramento'!$G$47*'Sollecitazioni nel paramento'!$G$41*IF(DATI!$G$211="dx",DATI!$E$61,DATI!$E$64*DATI!$E$63)*1000*C205^2*sezione!$AD$5*(1-sezione!$AD$6)</f>
        <v>-237851272.80557016</v>
      </c>
      <c r="E205" s="545">
        <f>-'Foglio deposito bis'!$F$48*(C205-sezione!$AL$27)*IF(ABS(K205)&lt;'Sollecitazioni nel paramento'!$G$58,ABS(K205)*'Sollecitazioni nel paramento'!$G$54,'Sollecitazioni nel paramento'!$G$53)</f>
        <v>0</v>
      </c>
      <c r="F205" s="545">
        <f>-'Foglio deposito bis'!$F$49*(C205-sezione!$AM$27)*IF(ABS(L205)&lt;'Sollecitazioni nel paramento'!$G$58,ABS(L205)*'Sollecitazioni nel paramento'!$G$54,'Sollecitazioni nel paramento'!$G$53)</f>
        <v>-6875732.4344112659</v>
      </c>
      <c r="G205" s="545">
        <f>-'Foglio deposito bis'!$F$50*(C205-sezione!$AN$27)*IF(ABS(M205)&lt;'Sollecitazioni nel paramento'!$G$58,ABS(M205)*'Sollecitazioni nel paramento'!$G$54,'Sollecitazioni nel paramento'!$G$53)</f>
        <v>0</v>
      </c>
      <c r="H205" s="545">
        <f>-'Foglio deposito bis'!$F$51*(C205-sezione!$AO$27)*IF(ABS(N205)&lt;'Sollecitazioni nel paramento'!$G$58,ABS(N205)*'Sollecitazioni nel paramento'!$G$54,'Sollecitazioni nel paramento'!$G$53)</f>
        <v>13638696.761387937</v>
      </c>
      <c r="I205" s="472">
        <f>-'Foglio deposito bis'!$F$52*(C205-sezione!$AP$27)*IF(ABS(O205)&lt;'Sollecitazioni nel paramento'!$G$58,ABS(O205)*'Sollecitazioni nel paramento'!$G$54,'Sollecitazioni nel paramento'!$G$53)</f>
        <v>23162616.552998852</v>
      </c>
      <c r="J205" s="472">
        <f t="shared" si="17"/>
        <v>-207925691.92559463</v>
      </c>
      <c r="K205" s="550">
        <f>'Sollecitazioni nel paramento'!$G$60*(sezione!$AL$27-C205)/C205</f>
        <v>-2.1459736740451528E-3</v>
      </c>
      <c r="L205" s="550">
        <f>'Sollecitazioni nel paramento'!$G$60*(sezione!$AM$27-C205)/C205</f>
        <v>-1.4689605110677294E-3</v>
      </c>
      <c r="M205" s="551">
        <f>'Sollecitazioni nel paramento'!$G$60*(sezione!$AN$27-C205)/C205</f>
        <v>-7.919473480903057E-4</v>
      </c>
      <c r="N205" s="551">
        <f>'Sollecitazioni nel paramento'!$G$60*(sezione!$AO$27-C205)/C205</f>
        <v>1.9161053038193887E-3</v>
      </c>
      <c r="O205" s="551">
        <f>'Sollecitazioni nel paramento'!$G$60*(sezione!$AP$27-C205)/C205</f>
        <v>3.2541241442645974E-3</v>
      </c>
      <c r="P205" s="545">
        <f>-'Sollecitazioni nel paramento'!$G$47*'Sollecitazioni nel paramento'!$G$41*IF(DATI!$G$211="dx",DATI!$E$61,DATI!$E$64*DATI!$E$63)*1000*C205*sezione!$AD$5</f>
        <v>-3939051.9207511023</v>
      </c>
      <c r="Q205" s="545">
        <f>'Foglio deposito bis'!$F$48*IF(ABS(K205)&lt;'Sollecitazioni nel paramento'!$G$58,ABS(K205)*'Sollecitazioni nel paramento'!$G$54,'Sollecitazioni nel paramento'!$G$53)*IF(K205&lt;0,-1,1)</f>
        <v>0</v>
      </c>
      <c r="R205" s="545">
        <f>'Foglio deposito bis'!$F$49*IF(ABS(L205)&lt;'Sollecitazioni nel paramento'!$G$58,ABS(L205)*'Sollecitazioni nel paramento'!$G$54,'Sollecitazioni nel paramento'!$G$53)*IF(L205&lt;0,-1,1)</f>
        <v>-158444.06054944676</v>
      </c>
      <c r="S205" s="545">
        <f>'Foglio deposito bis'!$F$50*IF(ABS(M205)&lt;'Sollecitazioni nel paramento'!$G$58,ABS(M205)*'Sollecitazioni nel paramento'!$G$54,'Sollecitazioni nel paramento'!$G$53)*IF(M205&lt;0,-1,1)</f>
        <v>0</v>
      </c>
      <c r="T205" s="545">
        <f>'Foglio deposito bis'!$F$51*IF(ABS(N205)&lt;'Sollecitazioni nel paramento'!$G$58,ABS(N205)*'Sollecitazioni nel paramento'!$G$54,'Sollecitazioni nel paramento'!$G$53)*IF(N205&lt;0,-1,1)</f>
        <v>240946.49743184328</v>
      </c>
      <c r="U205" s="545">
        <f>'Foglio deposito bis'!$F$52*IF(ABS(O205)&lt;'Sollecitazioni nel paramento'!$G$58,ABS(O205)*'Sollecitazioni nel paramento'!$G$54,'Sollecitazioni nel paramento'!$G$53)*IF(O205&lt;0,-1,1)</f>
        <v>240946.49743184328</v>
      </c>
      <c r="V205" s="472">
        <f t="shared" si="20"/>
        <v>-3615602.986436863</v>
      </c>
      <c r="W205" s="551"/>
      <c r="X205" s="551"/>
    </row>
    <row r="206" spans="1:24" x14ac:dyDescent="0.25">
      <c r="A206" s="545">
        <f t="shared" si="18"/>
        <v>3764522.7745840694</v>
      </c>
      <c r="B206" s="3">
        <f t="shared" si="19"/>
        <v>32.899999999999942</v>
      </c>
      <c r="C206" s="545">
        <f>'Foglio deposito bis'!$E$153/$B$247*B206</f>
        <v>106.63656382878725</v>
      </c>
      <c r="D206" s="603">
        <f>-'Sollecitazioni nel paramento'!$G$47*'Sollecitazioni nel paramento'!$G$41*IF(DATI!$G$211="dx",DATI!$E$61,DATI!$E$64*DATI!$E$63)*1000*C206^2*sezione!$AD$5*(1-sezione!$AD$6)</f>
        <v>-252997313.50662559</v>
      </c>
      <c r="E206" s="545">
        <f>-'Foglio deposito bis'!$F$48*(C206-sezione!$AL$27)*IF(ABS(K206)&lt;'Sollecitazioni nel paramento'!$G$58,ABS(K206)*'Sollecitazioni nel paramento'!$G$54,'Sollecitazioni nel paramento'!$G$53)</f>
        <v>0</v>
      </c>
      <c r="F206" s="545">
        <f>-'Foglio deposito bis'!$F$49*(C206-sezione!$AM$27)*IF(ABS(L206)&lt;'Sollecitazioni nel paramento'!$G$58,ABS(L206)*'Sollecitazioni nel paramento'!$G$54,'Sollecitazioni nel paramento'!$G$53)</f>
        <v>-7699824.6179452641</v>
      </c>
      <c r="G206" s="545">
        <f>-'Foglio deposito bis'!$F$50*(C206-sezione!$AN$27)*IF(ABS(M206)&lt;'Sollecitazioni nel paramento'!$G$58,ABS(M206)*'Sollecitazioni nel paramento'!$G$54,'Sollecitazioni nel paramento'!$G$53)</f>
        <v>0</v>
      </c>
      <c r="H206" s="545">
        <f>-'Foglio deposito bis'!$F$51*(C206-sezione!$AO$27)*IF(ABS(N206)&lt;'Sollecitazioni nel paramento'!$G$58,ABS(N206)*'Sollecitazioni nel paramento'!$G$54,'Sollecitazioni nel paramento'!$G$53)</f>
        <v>11855575.488685267</v>
      </c>
      <c r="I206" s="472">
        <f>-'Foglio deposito bis'!$F$52*(C206-sezione!$AP$27)*IF(ABS(O206)&lt;'Sollecitazioni nel paramento'!$G$58,ABS(O206)*'Sollecitazioni nel paramento'!$G$54,'Sollecitazioni nel paramento'!$G$53)</f>
        <v>22381652.827992361</v>
      </c>
      <c r="J206" s="472">
        <f t="shared" si="17"/>
        <v>-226459909.80789322</v>
      </c>
      <c r="K206" s="550">
        <f>'Sollecitazioni nel paramento'!$G$60*(sezione!$AL$27-C206)/C206</f>
        <v>-2.1871294894237202E-3</v>
      </c>
      <c r="L206" s="550">
        <f>'Sollecitazioni nel paramento'!$G$60*(sezione!$AM$27-C206)/C206</f>
        <v>-1.5306942341355798E-3</v>
      </c>
      <c r="M206" s="551">
        <f>'Sollecitazioni nel paramento'!$G$60*(sezione!$AN$27-C206)/C206</f>
        <v>-8.7425897884743978E-4</v>
      </c>
      <c r="N206" s="551">
        <f>'Sollecitazioni nel paramento'!$G$60*(sezione!$AO$27-C206)/C206</f>
        <v>1.7514820423051205E-3</v>
      </c>
      <c r="O206" s="551">
        <f>'Sollecitazioni nel paramento'!$G$60*(sezione!$AP$27-C206)/C206</f>
        <v>3.0488316170833021E-3</v>
      </c>
      <c r="P206" s="545">
        <f>-'Sollecitazioni nel paramento'!$G$47*'Sollecitazioni nel paramento'!$G$41*IF(DATI!$G$211="dx",DATI!$E$61,DATI!$E$64*DATI!$E$63)*1000*C206*sezione!$AD$5</f>
        <v>-4062533.1721853069</v>
      </c>
      <c r="Q206" s="545">
        <f>'Foglio deposito bis'!$F$48*IF(ABS(K206)&lt;'Sollecitazioni nel paramento'!$G$58,ABS(K206)*'Sollecitazioni nel paramento'!$G$54,'Sollecitazioni nel paramento'!$G$53)*IF(K206&lt;0,-1,1)</f>
        <v>0</v>
      </c>
      <c r="R206" s="545">
        <f>'Foglio deposito bis'!$F$49*IF(ABS(L206)&lt;'Sollecitazioni nel paramento'!$G$58,ABS(L206)*'Sollecitazioni nel paramento'!$G$54,'Sollecitazioni nel paramento'!$G$53)*IF(L206&lt;0,-1,1)</f>
        <v>-165102.74312260567</v>
      </c>
      <c r="S206" s="545">
        <f>'Foglio deposito bis'!$F$50*IF(ABS(M206)&lt;'Sollecitazioni nel paramento'!$G$58,ABS(M206)*'Sollecitazioni nel paramento'!$G$54,'Sollecitazioni nel paramento'!$G$53)*IF(M206&lt;0,-1,1)</f>
        <v>0</v>
      </c>
      <c r="T206" s="545">
        <f>'Foglio deposito bis'!$F$51*IF(ABS(N206)&lt;'Sollecitazioni nel paramento'!$G$58,ABS(N206)*'Sollecitazioni nel paramento'!$G$54,'Sollecitazioni nel paramento'!$G$53)*IF(N206&lt;0,-1,1)</f>
        <v>222166.6432920006</v>
      </c>
      <c r="U206" s="545">
        <f>'Foglio deposito bis'!$F$52*IF(ABS(O206)&lt;'Sollecitazioni nel paramento'!$G$58,ABS(O206)*'Sollecitazioni nel paramento'!$G$54,'Sollecitazioni nel paramento'!$G$53)*IF(O206&lt;0,-1,1)</f>
        <v>240946.49743184328</v>
      </c>
      <c r="V206" s="472">
        <f t="shared" si="20"/>
        <v>-3764522.7745840694</v>
      </c>
      <c r="W206" s="551"/>
      <c r="X206" s="551"/>
    </row>
    <row r="207" spans="1:24" x14ac:dyDescent="0.25">
      <c r="A207" s="545">
        <f t="shared" si="18"/>
        <v>3913919.5400244812</v>
      </c>
      <c r="B207" s="3">
        <f t="shared" si="19"/>
        <v>33.899999999999942</v>
      </c>
      <c r="C207" s="545">
        <f>'Foglio deposito bis'!$E$153/$B$247*B207</f>
        <v>109.87779677191148</v>
      </c>
      <c r="D207" s="603">
        <f>-'Sollecitazioni nel paramento'!$G$47*'Sollecitazioni nel paramento'!$G$41*IF(DATI!$G$211="dx",DATI!$E$61,DATI!$E$64*DATI!$E$63)*1000*C207^2*sezione!$AD$5*(1-sezione!$AD$6)</f>
        <v>-268610824.59968877</v>
      </c>
      <c r="E207" s="545">
        <f>-'Foglio deposito bis'!$F$48*(C207-sezione!$AL$27)*IF(ABS(K207)&lt;'Sollecitazioni nel paramento'!$G$58,ABS(K207)*'Sollecitazioni nel paramento'!$G$54,'Sollecitazioni nel paramento'!$G$53)</f>
        <v>0</v>
      </c>
      <c r="F207" s="545">
        <f>-'Foglio deposito bis'!$F$49*(C207-sezione!$AM$27)*IF(ABS(L207)&lt;'Sollecitazioni nel paramento'!$G$58,ABS(L207)*'Sollecitazioni nel paramento'!$G$54,'Sollecitazioni nel paramento'!$G$53)</f>
        <v>-8547487.3592603505</v>
      </c>
      <c r="G207" s="545">
        <f>-'Foglio deposito bis'!$F$50*(C207-sezione!$AN$27)*IF(ABS(M207)&lt;'Sollecitazioni nel paramento'!$G$58,ABS(M207)*'Sollecitazioni nel paramento'!$G$54,'Sollecitazioni nel paramento'!$G$53)</f>
        <v>0</v>
      </c>
      <c r="H207" s="545">
        <f>-'Foglio deposito bis'!$F$51*(C207-sezione!$AO$27)*IF(ABS(N207)&lt;'Sollecitazioni nel paramento'!$G$58,ABS(N207)*'Sollecitazioni nel paramento'!$G$54,'Sollecitazioni nel paramento'!$G$53)</f>
        <v>10150596.688845834</v>
      </c>
      <c r="I207" s="472">
        <f>-'Foglio deposito bis'!$F$52*(C207-sezione!$AP$27)*IF(ABS(O207)&lt;'Sollecitazioni nel paramento'!$G$58,ABS(O207)*'Sollecitazioni nel paramento'!$G$54,'Sollecitazioni nel paramento'!$G$53)</f>
        <v>21600689.102985874</v>
      </c>
      <c r="J207" s="472">
        <f t="shared" si="17"/>
        <v>-245407026.16711736</v>
      </c>
      <c r="K207" s="550">
        <f>'Sollecitazioni nel paramento'!$G$60*(sezione!$AL$27-C207)/C207</f>
        <v>-2.2258572330985365E-3</v>
      </c>
      <c r="L207" s="550">
        <f>'Sollecitazioni nel paramento'!$G$60*(sezione!$AM$27-C207)/C207</f>
        <v>-1.5887858496478045E-3</v>
      </c>
      <c r="M207" s="551">
        <f>'Sollecitazioni nel paramento'!$G$60*(sezione!$AN$27-C207)/C207</f>
        <v>-9.517144661970728E-4</v>
      </c>
      <c r="N207" s="551">
        <f>'Sollecitazioni nel paramento'!$G$60*(sezione!$AO$27-C207)/C207</f>
        <v>1.5965710676058547E-3</v>
      </c>
      <c r="O207" s="551">
        <f>'Sollecitazioni nel paramento'!$G$60*(sezione!$AP$27-C207)/C207</f>
        <v>2.8556507434230279E-3</v>
      </c>
      <c r="P207" s="545">
        <f>-'Sollecitazioni nel paramento'!$G$47*'Sollecitazioni nel paramento'!$G$41*IF(DATI!$G$211="dx",DATI!$E$61,DATI!$E$64*DATI!$E$63)*1000*C207*sezione!$AD$5</f>
        <v>-4186014.4236195111</v>
      </c>
      <c r="Q207" s="545">
        <f>'Foglio deposito bis'!$F$48*IF(ABS(K207)&lt;'Sollecitazioni nel paramento'!$G$58,ABS(K207)*'Sollecitazioni nel paramento'!$G$54,'Sollecitazioni nel paramento'!$G$53)*IF(K207&lt;0,-1,1)</f>
        <v>0</v>
      </c>
      <c r="R207" s="545">
        <f>'Foglio deposito bis'!$F$49*IF(ABS(L207)&lt;'Sollecitazioni nel paramento'!$G$58,ABS(L207)*'Sollecitazioni nel paramento'!$G$54,'Sollecitazioni nel paramento'!$G$53)*IF(L207&lt;0,-1,1)</f>
        <v>-171368.58306607962</v>
      </c>
      <c r="S207" s="545">
        <f>'Foglio deposito bis'!$F$50*IF(ABS(M207)&lt;'Sollecitazioni nel paramento'!$G$58,ABS(M207)*'Sollecitazioni nel paramento'!$G$54,'Sollecitazioni nel paramento'!$G$53)*IF(M207&lt;0,-1,1)</f>
        <v>0</v>
      </c>
      <c r="T207" s="545">
        <f>'Foglio deposito bis'!$F$51*IF(ABS(N207)&lt;'Sollecitazioni nel paramento'!$G$58,ABS(N207)*'Sollecitazioni nel paramento'!$G$54,'Sollecitazioni nel paramento'!$G$53)*IF(N207&lt;0,-1,1)</f>
        <v>202516.96922926628</v>
      </c>
      <c r="U207" s="545">
        <f>'Foglio deposito bis'!$F$52*IF(ABS(O207)&lt;'Sollecitazioni nel paramento'!$G$58,ABS(O207)*'Sollecitazioni nel paramento'!$G$54,'Sollecitazioni nel paramento'!$G$53)*IF(O207&lt;0,-1,1)</f>
        <v>240946.49743184328</v>
      </c>
      <c r="V207" s="472">
        <f t="shared" si="20"/>
        <v>-3913919.5400244812</v>
      </c>
      <c r="W207" s="551"/>
      <c r="X207" s="551"/>
    </row>
    <row r="208" spans="1:24" x14ac:dyDescent="0.25">
      <c r="A208" s="545">
        <f t="shared" si="18"/>
        <v>4061831.175722417</v>
      </c>
      <c r="B208" s="3">
        <f t="shared" si="19"/>
        <v>34.899999999999942</v>
      </c>
      <c r="C208" s="545">
        <f>'Foglio deposito bis'!$E$153/$B$247*B208</f>
        <v>113.11902971503571</v>
      </c>
      <c r="D208" s="603">
        <f>-'Sollecitazioni nel paramento'!$G$47*'Sollecitazioni nel paramento'!$G$41*IF(DATI!$G$211="dx",DATI!$E$61,DATI!$E$64*DATI!$E$63)*1000*C208^2*sezione!$AD$5*(1-sezione!$AD$6)</f>
        <v>-284691806.08475995</v>
      </c>
      <c r="E208" s="545">
        <f>-'Foglio deposito bis'!$F$48*(C208-sezione!$AL$27)*IF(ABS(K208)&lt;'Sollecitazioni nel paramento'!$G$58,ABS(K208)*'Sollecitazioni nel paramento'!$G$54,'Sollecitazioni nel paramento'!$G$53)</f>
        <v>0</v>
      </c>
      <c r="F208" s="545">
        <f>-'Foglio deposito bis'!$F$49*(C208-sezione!$AM$27)*IF(ABS(L208)&lt;'Sollecitazioni nel paramento'!$G$58,ABS(L208)*'Sollecitazioni nel paramento'!$G$54,'Sollecitazioni nel paramento'!$G$53)</f>
        <v>-9416694.5359111652</v>
      </c>
      <c r="G208" s="545">
        <f>-'Foglio deposito bis'!$F$50*(C208-sezione!$AN$27)*IF(ABS(M208)&lt;'Sollecitazioni nel paramento'!$G$58,ABS(M208)*'Sollecitazioni nel paramento'!$G$54,'Sollecitazioni nel paramento'!$G$53)</f>
        <v>0</v>
      </c>
      <c r="H208" s="545">
        <f>-'Foglio deposito bis'!$F$51*(C208-sezione!$AO$27)*IF(ABS(N208)&lt;'Sollecitazioni nel paramento'!$G$58,ABS(N208)*'Sollecitazioni nel paramento'!$G$54,'Sollecitazioni nel paramento'!$G$53)</f>
        <v>8625786.8202406392</v>
      </c>
      <c r="I208" s="472">
        <f>-'Foglio deposito bis'!$F$52*(C208-sezione!$AP$27)*IF(ABS(O208)&lt;'Sollecitazioni nel paramento'!$G$58,ABS(O208)*'Sollecitazioni nel paramento'!$G$54,'Sollecitazioni nel paramento'!$G$53)</f>
        <v>20819725.377979387</v>
      </c>
      <c r="J208" s="472">
        <f t="shared" si="17"/>
        <v>-264662988.42245108</v>
      </c>
      <c r="K208" s="550">
        <f>'Sollecitazioni nel paramento'!$G$60*(sezione!$AL$27-C208)/C208</f>
        <v>-2.2623656218349682E-3</v>
      </c>
      <c r="L208" s="550">
        <f>'Sollecitazioni nel paramento'!$G$60*(sezione!$AM$27-C208)/C208</f>
        <v>-1.6435484327524518E-3</v>
      </c>
      <c r="M208" s="551">
        <f>'Sollecitazioni nel paramento'!$G$60*(sezione!$AN$27-C208)/C208</f>
        <v>-1.0247312436699359E-3</v>
      </c>
      <c r="N208" s="551">
        <f>'Sollecitazioni nel paramento'!$G$60*(sezione!$AO$27-C208)/C208</f>
        <v>1.4505375126601283E-3</v>
      </c>
      <c r="O208" s="551">
        <f>'Sollecitazioni nel paramento'!$G$60*(sezione!$AP$27-C208)/C208</f>
        <v>2.6735404069352618E-3</v>
      </c>
      <c r="P208" s="545">
        <f>-'Sollecitazioni nel paramento'!$G$47*'Sollecitazioni nel paramento'!$G$41*IF(DATI!$G$211="dx",DATI!$E$61,DATI!$E$64*DATI!$E$63)*1000*C208*sezione!$AD$5</f>
        <v>-4309495.6750537148</v>
      </c>
      <c r="Q208" s="545">
        <f>'Foglio deposito bis'!$F$48*IF(ABS(K208)&lt;'Sollecitazioni nel paramento'!$G$58,ABS(K208)*'Sollecitazioni nel paramento'!$G$54,'Sollecitazioni nel paramento'!$G$53)*IF(K208&lt;0,-1,1)</f>
        <v>0</v>
      </c>
      <c r="R208" s="545">
        <f>'Foglio deposito bis'!$F$49*IF(ABS(L208)&lt;'Sollecitazioni nel paramento'!$G$58,ABS(L208)*'Sollecitazioni nel paramento'!$G$54,'Sollecitazioni nel paramento'!$G$53)*IF(L208&lt;0,-1,1)</f>
        <v>-177275.34908729148</v>
      </c>
      <c r="S208" s="545">
        <f>'Foglio deposito bis'!$F$50*IF(ABS(M208)&lt;'Sollecitazioni nel paramento'!$G$58,ABS(M208)*'Sollecitazioni nel paramento'!$G$54,'Sollecitazioni nel paramento'!$G$53)*IF(M208&lt;0,-1,1)</f>
        <v>0</v>
      </c>
      <c r="T208" s="545">
        <f>'Foglio deposito bis'!$F$51*IF(ABS(N208)&lt;'Sollecitazioni nel paramento'!$G$58,ABS(N208)*'Sollecitazioni nel paramento'!$G$54,'Sollecitazioni nel paramento'!$G$53)*IF(N208&lt;0,-1,1)</f>
        <v>183993.35098674591</v>
      </c>
      <c r="U208" s="545">
        <f>'Foglio deposito bis'!$F$52*IF(ABS(O208)&lt;'Sollecitazioni nel paramento'!$G$58,ABS(O208)*'Sollecitazioni nel paramento'!$G$54,'Sollecitazioni nel paramento'!$G$53)*IF(O208&lt;0,-1,1)</f>
        <v>240946.49743184328</v>
      </c>
      <c r="V208" s="472">
        <f t="shared" si="20"/>
        <v>-4061831.175722417</v>
      </c>
      <c r="W208" s="551"/>
      <c r="X208" s="551"/>
    </row>
    <row r="209" spans="1:24" x14ac:dyDescent="0.25">
      <c r="A209" s="545">
        <f t="shared" si="18"/>
        <v>4208381.7872273875</v>
      </c>
      <c r="B209" s="3">
        <f t="shared" si="19"/>
        <v>35.899999999999942</v>
      </c>
      <c r="C209" s="545">
        <f>'Foglio deposito bis'!$E$153/$B$247*B209</f>
        <v>116.36026265815995</v>
      </c>
      <c r="D209" s="603">
        <f>-'Sollecitazioni nel paramento'!$G$47*'Sollecitazioni nel paramento'!$G$41*IF(DATI!$G$211="dx",DATI!$E$61,DATI!$E$64*DATI!$E$63)*1000*C209^2*sezione!$AD$5*(1-sezione!$AD$6)</f>
        <v>-301240257.96183902</v>
      </c>
      <c r="E209" s="545">
        <f>-'Foglio deposito bis'!$F$48*(C209-sezione!$AL$27)*IF(ABS(K209)&lt;'Sollecitazioni nel paramento'!$G$58,ABS(K209)*'Sollecitazioni nel paramento'!$G$54,'Sollecitazioni nel paramento'!$G$53)</f>
        <v>0</v>
      </c>
      <c r="F209" s="545">
        <f>-'Foglio deposito bis'!$F$49*(C209-sezione!$AM$27)*IF(ABS(L209)&lt;'Sollecitazioni nel paramento'!$G$58,ABS(L209)*'Sollecitazioni nel paramento'!$G$54,'Sollecitazioni nel paramento'!$G$53)</f>
        <v>-10305645.777256843</v>
      </c>
      <c r="G209" s="545">
        <f>-'Foglio deposito bis'!$F$50*(C209-sezione!$AN$27)*IF(ABS(M209)&lt;'Sollecitazioni nel paramento'!$G$58,ABS(M209)*'Sollecitazioni nel paramento'!$G$54,'Sollecitazioni nel paramento'!$G$53)</f>
        <v>0</v>
      </c>
      <c r="H209" s="545">
        <f>-'Foglio deposito bis'!$F$51*(C209-sezione!$AO$27)*IF(ABS(N209)&lt;'Sollecitazioni nel paramento'!$G$58,ABS(N209)*'Sollecitazioni nel paramento'!$G$54,'Sollecitazioni nel paramento'!$G$53)</f>
        <v>7266089.983323643</v>
      </c>
      <c r="I209" s="472">
        <f>-'Foglio deposito bis'!$F$52*(C209-sezione!$AP$27)*IF(ABS(O209)&lt;'Sollecitazioni nel paramento'!$G$58,ABS(O209)*'Sollecitazioni nel paramento'!$G$54,'Sollecitazioni nel paramento'!$G$53)</f>
        <v>20038761.652972896</v>
      </c>
      <c r="J209" s="472">
        <f t="shared" si="17"/>
        <v>-284241052.10279936</v>
      </c>
      <c r="K209" s="550">
        <f>'Sollecitazioni nel paramento'!$G$60*(sezione!$AL$27-C209)/C209</f>
        <v>-2.2968401170484786E-3</v>
      </c>
      <c r="L209" s="550">
        <f>'Sollecitazioni nel paramento'!$G$60*(sezione!$AM$27-C209)/C209</f>
        <v>-1.6952601755727181E-3</v>
      </c>
      <c r="M209" s="551">
        <f>'Sollecitazioni nel paramento'!$G$60*(sezione!$AN$27-C209)/C209</f>
        <v>-1.0936802340969576E-3</v>
      </c>
      <c r="N209" s="551">
        <f>'Sollecitazioni nel paramento'!$G$60*(sezione!$AO$27-C209)/C209</f>
        <v>1.3126395318060851E-3</v>
      </c>
      <c r="O209" s="551">
        <f>'Sollecitazioni nel paramento'!$G$60*(sezione!$AP$27-C209)/C209</f>
        <v>2.5015754930930536E-3</v>
      </c>
      <c r="P209" s="545">
        <f>-'Sollecitazioni nel paramento'!$G$47*'Sollecitazioni nel paramento'!$G$41*IF(DATI!$G$211="dx",DATI!$E$61,DATI!$E$64*DATI!$E$63)*1000*C209*sezione!$AD$5</f>
        <v>-4432976.9264879189</v>
      </c>
      <c r="Q209" s="545">
        <f>'Foglio deposito bis'!$F$48*IF(ABS(K209)&lt;'Sollecitazioni nel paramento'!$G$58,ABS(K209)*'Sollecitazioni nel paramento'!$G$54,'Sollecitazioni nel paramento'!$G$53)*IF(K209&lt;0,-1,1)</f>
        <v>0</v>
      </c>
      <c r="R209" s="545">
        <f>'Foglio deposito bis'!$F$49*IF(ABS(L209)&lt;'Sollecitazioni nel paramento'!$G$58,ABS(L209)*'Sollecitazioni nel paramento'!$G$54,'Sollecitazioni nel paramento'!$G$53)*IF(L209&lt;0,-1,1)</f>
        <v>-182853.04736358905</v>
      </c>
      <c r="S209" s="545">
        <f>'Foglio deposito bis'!$F$50*IF(ABS(M209)&lt;'Sollecitazioni nel paramento'!$G$58,ABS(M209)*'Sollecitazioni nel paramento'!$G$54,'Sollecitazioni nel paramento'!$G$53)*IF(M209&lt;0,-1,1)</f>
        <v>0</v>
      </c>
      <c r="T209" s="545">
        <f>'Foglio deposito bis'!$F$51*IF(ABS(N209)&lt;'Sollecitazioni nel paramento'!$G$58,ABS(N209)*'Sollecitazioni nel paramento'!$G$54,'Sollecitazioni nel paramento'!$G$53)*IF(N209&lt;0,-1,1)</f>
        <v>166501.68919227671</v>
      </c>
      <c r="U209" s="545">
        <f>'Foglio deposito bis'!$F$52*IF(ABS(O209)&lt;'Sollecitazioni nel paramento'!$G$58,ABS(O209)*'Sollecitazioni nel paramento'!$G$54,'Sollecitazioni nel paramento'!$G$53)*IF(O209&lt;0,-1,1)</f>
        <v>240946.49743184328</v>
      </c>
      <c r="V209" s="472">
        <f t="shared" si="20"/>
        <v>-4208381.7872273875</v>
      </c>
      <c r="W209" s="551"/>
      <c r="X209" s="551"/>
    </row>
    <row r="210" spans="1:24" x14ac:dyDescent="0.25">
      <c r="A210" s="545">
        <f t="shared" si="18"/>
        <v>4353682.0269128047</v>
      </c>
      <c r="B210" s="3">
        <f t="shared" si="19"/>
        <v>36.899999999999942</v>
      </c>
      <c r="C210" s="545">
        <f>'Foglio deposito bis'!$E$153/$B$247*B210</f>
        <v>119.60149560128418</v>
      </c>
      <c r="D210" s="603">
        <f>-'Sollecitazioni nel paramento'!$G$47*'Sollecitazioni nel paramento'!$G$41*IF(DATI!$G$211="dx",DATI!$E$61,DATI!$E$64*DATI!$E$63)*1000*C210^2*sezione!$AD$5*(1-sezione!$AD$6)</f>
        <v>-318256180.23092598</v>
      </c>
      <c r="E210" s="545">
        <f>-'Foglio deposito bis'!$F$48*(C210-sezione!$AL$27)*IF(ABS(K210)&lt;'Sollecitazioni nel paramento'!$G$58,ABS(K210)*'Sollecitazioni nel paramento'!$G$54,'Sollecitazioni nel paramento'!$G$53)</f>
        <v>0</v>
      </c>
      <c r="F210" s="545">
        <f>-'Foglio deposito bis'!$F$49*(C210-sezione!$AM$27)*IF(ABS(L210)&lt;'Sollecitazioni nel paramento'!$G$58,ABS(L210)*'Sollecitazioni nel paramento'!$G$54,'Sollecitazioni nel paramento'!$G$53)</f>
        <v>-11212735.874785597</v>
      </c>
      <c r="G210" s="545">
        <f>-'Foglio deposito bis'!$F$50*(C210-sezione!$AN$27)*IF(ABS(M210)&lt;'Sollecitazioni nel paramento'!$G$58,ABS(M210)*'Sollecitazioni nel paramento'!$G$54,'Sollecitazioni nel paramento'!$G$53)</f>
        <v>0</v>
      </c>
      <c r="H210" s="545">
        <f>-'Foglio deposito bis'!$F$51*(C210-sezione!$AO$27)*IF(ABS(N210)&lt;'Sollecitazioni nel paramento'!$G$58,ABS(N210)*'Sollecitazioni nel paramento'!$G$54,'Sollecitazioni nel paramento'!$G$53)</f>
        <v>6058082.3543803683</v>
      </c>
      <c r="I210" s="472">
        <f>-'Foglio deposito bis'!$F$52*(C210-sezione!$AP$27)*IF(ABS(O210)&lt;'Sollecitazioni nel paramento'!$G$58,ABS(O210)*'Sollecitazioni nel paramento'!$G$54,'Sollecitazioni nel paramento'!$G$53)</f>
        <v>19257797.927966405</v>
      </c>
      <c r="J210" s="472">
        <f t="shared" si="17"/>
        <v>-304153035.82336479</v>
      </c>
      <c r="K210" s="550">
        <f>'Sollecitazioni nel paramento'!$G$60*(sezione!$AL$27-C210)/C210</f>
        <v>-2.3294460759360541E-3</v>
      </c>
      <c r="L210" s="550">
        <f>'Sollecitazioni nel paramento'!$G$60*(sezione!$AM$27-C210)/C210</f>
        <v>-1.7441691139040807E-3</v>
      </c>
      <c r="M210" s="551">
        <f>'Sollecitazioni nel paramento'!$G$60*(sezione!$AN$27-C210)/C210</f>
        <v>-1.1588921518721077E-3</v>
      </c>
      <c r="N210" s="551">
        <f>'Sollecitazioni nel paramento'!$G$60*(sezione!$AO$27-C210)/C210</f>
        <v>1.1822156962557847E-3</v>
      </c>
      <c r="O210" s="551">
        <f>'Sollecitazioni nel paramento'!$G$60*(sezione!$AP$27-C210)/C210</f>
        <v>2.3389311707870089E-3</v>
      </c>
      <c r="P210" s="545">
        <f>-'Sollecitazioni nel paramento'!$G$47*'Sollecitazioni nel paramento'!$G$41*IF(DATI!$G$211="dx",DATI!$E$61,DATI!$E$64*DATI!$E$63)*1000*C210*sezione!$AD$5</f>
        <v>-4556458.1779221222</v>
      </c>
      <c r="Q210" s="545">
        <f>'Foglio deposito bis'!$F$48*IF(ABS(K210)&lt;'Sollecitazioni nel paramento'!$G$58,ABS(K210)*'Sollecitazioni nel paramento'!$G$54,'Sollecitazioni nel paramento'!$G$53)*IF(K210&lt;0,-1,1)</f>
        <v>0</v>
      </c>
      <c r="R210" s="545">
        <f>'Foglio deposito bis'!$F$49*IF(ABS(L210)&lt;'Sollecitazioni nel paramento'!$G$58,ABS(L210)*'Sollecitazioni nel paramento'!$G$54,'Sollecitazioni nel paramento'!$G$53)*IF(L210&lt;0,-1,1)</f>
        <v>-188128.43137016858</v>
      </c>
      <c r="S210" s="545">
        <f>'Foglio deposito bis'!$F$50*IF(ABS(M210)&lt;'Sollecitazioni nel paramento'!$G$58,ABS(M210)*'Sollecitazioni nel paramento'!$G$54,'Sollecitazioni nel paramento'!$G$53)*IF(M210&lt;0,-1,1)</f>
        <v>0</v>
      </c>
      <c r="T210" s="545">
        <f>'Foglio deposito bis'!$F$51*IF(ABS(N210)&lt;'Sollecitazioni nel paramento'!$G$58,ABS(N210)*'Sollecitazioni nel paramento'!$G$54,'Sollecitazioni nel paramento'!$G$53)*IF(N210&lt;0,-1,1)</f>
        <v>149958.08494764331</v>
      </c>
      <c r="U210" s="545">
        <f>'Foglio deposito bis'!$F$52*IF(ABS(O210)&lt;'Sollecitazioni nel paramento'!$G$58,ABS(O210)*'Sollecitazioni nel paramento'!$G$54,'Sollecitazioni nel paramento'!$G$53)*IF(O210&lt;0,-1,1)</f>
        <v>240946.49743184328</v>
      </c>
      <c r="V210" s="472">
        <f t="shared" si="20"/>
        <v>-4353682.0269128047</v>
      </c>
      <c r="W210" s="551"/>
      <c r="X210" s="551"/>
    </row>
    <row r="211" spans="1:24" x14ac:dyDescent="0.25">
      <c r="A211" s="545">
        <f t="shared" si="18"/>
        <v>4497830.8688013237</v>
      </c>
      <c r="B211" s="3">
        <f t="shared" si="19"/>
        <v>37.899999999999942</v>
      </c>
      <c r="C211" s="545">
        <f>'Foglio deposito bis'!$E$153/$B$247*B211</f>
        <v>122.84272854440843</v>
      </c>
      <c r="D211" s="603">
        <f>-'Sollecitazioni nel paramento'!$G$47*'Sollecitazioni nel paramento'!$G$41*IF(DATI!$G$211="dx",DATI!$E$61,DATI!$E$64*DATI!$E$63)*1000*C211^2*sezione!$AD$5*(1-sezione!$AD$6)</f>
        <v>-335739572.89202076</v>
      </c>
      <c r="E211" s="545">
        <f>-'Foglio deposito bis'!$F$48*(C211-sezione!$AL$27)*IF(ABS(K211)&lt;'Sollecitazioni nel paramento'!$G$58,ABS(K211)*'Sollecitazioni nel paramento'!$G$54,'Sollecitazioni nel paramento'!$G$53)</f>
        <v>0</v>
      </c>
      <c r="F211" s="545">
        <f>-'Foglio deposito bis'!$F$49*(C211-sezione!$AM$27)*IF(ABS(L211)&lt;'Sollecitazioni nel paramento'!$G$58,ABS(L211)*'Sollecitazioni nel paramento'!$G$54,'Sollecitazioni nel paramento'!$G$53)</f>
        <v>-12136529.035132019</v>
      </c>
      <c r="G211" s="545">
        <f>-'Foglio deposito bis'!$F$50*(C211-sezione!$AN$27)*IF(ABS(M211)&lt;'Sollecitazioni nel paramento'!$G$58,ABS(M211)*'Sollecitazioni nel paramento'!$G$54,'Sollecitazioni nel paramento'!$G$53)</f>
        <v>0</v>
      </c>
      <c r="H211" s="545">
        <f>-'Foglio deposito bis'!$F$51*(C211-sezione!$AO$27)*IF(ABS(N211)&lt;'Sollecitazioni nel paramento'!$G$58,ABS(N211)*'Sollecitazioni nel paramento'!$G$54,'Sollecitazioni nel paramento'!$G$53)</f>
        <v>4989756.8720936254</v>
      </c>
      <c r="I211" s="472">
        <f>-'Foglio deposito bis'!$F$52*(C211-sezione!$AP$27)*IF(ABS(O211)&lt;'Sollecitazioni nel paramento'!$G$58,ABS(O211)*'Sollecitazioni nel paramento'!$G$54,'Sollecitazioni nel paramento'!$G$53)</f>
        <v>18476834.202959914</v>
      </c>
      <c r="J211" s="472">
        <f t="shared" si="17"/>
        <v>-324409510.85209924</v>
      </c>
      <c r="K211" s="550">
        <f>'Sollecitazioni nel paramento'!$G$60*(sezione!$AL$27-C211)/C211</f>
        <v>-2.3603314037477677E-3</v>
      </c>
      <c r="L211" s="550">
        <f>'Sollecitazioni nel paramento'!$G$60*(sezione!$AM$27-C211)/C211</f>
        <v>-1.7904971056216512E-3</v>
      </c>
      <c r="M211" s="551">
        <f>'Sollecitazioni nel paramento'!$G$60*(sezione!$AN$27-C211)/C211</f>
        <v>-1.220662807495535E-3</v>
      </c>
      <c r="N211" s="551">
        <f>'Sollecitazioni nel paramento'!$G$60*(sezione!$AO$27-C211)/C211</f>
        <v>1.0586743850089298E-3</v>
      </c>
      <c r="O211" s="551">
        <f>'Sollecitazioni nel paramento'!$G$60*(sezione!$AP$27-C211)/C211</f>
        <v>2.1848696623229711E-3</v>
      </c>
      <c r="P211" s="545">
        <f>-'Sollecitazioni nel paramento'!$G$47*'Sollecitazioni nel paramento'!$G$41*IF(DATI!$G$211="dx",DATI!$E$61,DATI!$E$64*DATI!$E$63)*1000*C211*sezione!$AD$5</f>
        <v>-4679939.4293563273</v>
      </c>
      <c r="Q211" s="545">
        <f>'Foglio deposito bis'!$F$48*IF(ABS(K211)&lt;'Sollecitazioni nel paramento'!$G$58,ABS(K211)*'Sollecitazioni nel paramento'!$G$54,'Sollecitazioni nel paramento'!$G$53)*IF(K211&lt;0,-1,1)</f>
        <v>0</v>
      </c>
      <c r="R211" s="545">
        <f>'Foglio deposito bis'!$F$49*IF(ABS(L211)&lt;'Sollecitazioni nel paramento'!$G$58,ABS(L211)*'Sollecitazioni nel paramento'!$G$54,'Sollecitazioni nel paramento'!$G$53)*IF(L211&lt;0,-1,1)</f>
        <v>-193125.43099645368</v>
      </c>
      <c r="S211" s="545">
        <f>'Foglio deposito bis'!$F$50*IF(ABS(M211)&lt;'Sollecitazioni nel paramento'!$G$58,ABS(M211)*'Sollecitazioni nel paramento'!$G$54,'Sollecitazioni nel paramento'!$G$53)*IF(M211&lt;0,-1,1)</f>
        <v>0</v>
      </c>
      <c r="T211" s="545">
        <f>'Foglio deposito bis'!$F$51*IF(ABS(N211)&lt;'Sollecitazioni nel paramento'!$G$58,ABS(N211)*'Sollecitazioni nel paramento'!$G$54,'Sollecitazioni nel paramento'!$G$53)*IF(N211&lt;0,-1,1)</f>
        <v>134287.49411961323</v>
      </c>
      <c r="U211" s="545">
        <f>'Foglio deposito bis'!$F$52*IF(ABS(O211)&lt;'Sollecitazioni nel paramento'!$G$58,ABS(O211)*'Sollecitazioni nel paramento'!$G$54,'Sollecitazioni nel paramento'!$G$53)*IF(O211&lt;0,-1,1)</f>
        <v>240946.49743184328</v>
      </c>
      <c r="V211" s="472">
        <f t="shared" si="20"/>
        <v>-4497830.8688013237</v>
      </c>
      <c r="W211" s="551"/>
      <c r="X211" s="551"/>
    </row>
    <row r="212" spans="1:24" x14ac:dyDescent="0.25">
      <c r="A212" s="545">
        <f t="shared" si="18"/>
        <v>4640917.1096382067</v>
      </c>
      <c r="B212" s="3">
        <f t="shared" si="19"/>
        <v>38.899999999999942</v>
      </c>
      <c r="C212" s="545">
        <f>'Foglio deposito bis'!$E$153/$B$247*B212</f>
        <v>126.08396148753266</v>
      </c>
      <c r="D212" s="603">
        <f>-'Sollecitazioni nel paramento'!$G$47*'Sollecitazioni nel paramento'!$G$41*IF(DATI!$G$211="dx",DATI!$E$61,DATI!$E$64*DATI!$E$63)*1000*C212^2*sezione!$AD$5*(1-sezione!$AD$6)</f>
        <v>-353690435.94512343</v>
      </c>
      <c r="E212" s="545">
        <f>-'Foglio deposito bis'!$F$48*(C212-sezione!$AL$27)*IF(ABS(K212)&lt;'Sollecitazioni nel paramento'!$G$58,ABS(K212)*'Sollecitazioni nel paramento'!$G$54,'Sollecitazioni nel paramento'!$G$53)</f>
        <v>0</v>
      </c>
      <c r="F212" s="545">
        <f>-'Foglio deposito bis'!$F$49*(C212-sezione!$AM$27)*IF(ABS(L212)&lt;'Sollecitazioni nel paramento'!$G$58,ABS(L212)*'Sollecitazioni nel paramento'!$G$54,'Sollecitazioni nel paramento'!$G$53)</f>
        <v>-13075737.104351299</v>
      </c>
      <c r="G212" s="545">
        <f>-'Foglio deposito bis'!$F$50*(C212-sezione!$AN$27)*IF(ABS(M212)&lt;'Sollecitazioni nel paramento'!$G$58,ABS(M212)*'Sollecitazioni nel paramento'!$G$54,'Sollecitazioni nel paramento'!$G$53)</f>
        <v>0</v>
      </c>
      <c r="H212" s="545">
        <f>-'Foglio deposito bis'!$F$51*(C212-sezione!$AO$27)*IF(ABS(N212)&lt;'Sollecitazioni nel paramento'!$G$58,ABS(N212)*'Sollecitazioni nel paramento'!$G$54,'Sollecitazioni nel paramento'!$G$53)</f>
        <v>4050341.1344076484</v>
      </c>
      <c r="I212" s="472">
        <f>-'Foglio deposito bis'!$F$52*(C212-sezione!$AP$27)*IF(ABS(O212)&lt;'Sollecitazioni nel paramento'!$G$58,ABS(O212)*'Sollecitazioni nel paramento'!$G$54,'Sollecitazioni nel paramento'!$G$53)</f>
        <v>17695870.477953427</v>
      </c>
      <c r="J212" s="472">
        <f t="shared" si="17"/>
        <v>-345019961.43711364</v>
      </c>
      <c r="K212" s="550">
        <f>'Sollecitazioni nel paramento'!$G$60*(sezione!$AL$27-C212)/C212</f>
        <v>-2.389628796967619E-3</v>
      </c>
      <c r="L212" s="550">
        <f>'Sollecitazioni nel paramento'!$G$60*(sezione!$AM$27-C212)/C212</f>
        <v>-1.834443195451429E-3</v>
      </c>
      <c r="M212" s="551">
        <f>'Sollecitazioni nel paramento'!$G$60*(sezione!$AN$27-C212)/C212</f>
        <v>-1.2792575939352387E-3</v>
      </c>
      <c r="N212" s="551">
        <f>'Sollecitazioni nel paramento'!$G$60*(sezione!$AO$27-C212)/C212</f>
        <v>9.4148481212952295E-4</v>
      </c>
      <c r="O212" s="551">
        <f>'Sollecitazioni nel paramento'!$G$60*(sezione!$AP$27-C212)/C212</f>
        <v>2.0387290540370335E-3</v>
      </c>
      <c r="P212" s="545">
        <f>-'Sollecitazioni nel paramento'!$G$47*'Sollecitazioni nel paramento'!$G$41*IF(DATI!$G$211="dx",DATI!$E$61,DATI!$E$64*DATI!$E$63)*1000*C212*sezione!$AD$5</f>
        <v>-4803420.6807905305</v>
      </c>
      <c r="Q212" s="545">
        <f>'Foglio deposito bis'!$F$48*IF(ABS(K212)&lt;'Sollecitazioni nel paramento'!$G$58,ABS(K212)*'Sollecitazioni nel paramento'!$G$54,'Sollecitazioni nel paramento'!$G$53)*IF(K212&lt;0,-1,1)</f>
        <v>0</v>
      </c>
      <c r="R212" s="545">
        <f>'Foglio deposito bis'!$F$49*IF(ABS(L212)&lt;'Sollecitazioni nel paramento'!$G$58,ABS(L212)*'Sollecitazioni nel paramento'!$G$54,'Sollecitazioni nel paramento'!$G$53)*IF(L212&lt;0,-1,1)</f>
        <v>-197865.51547485779</v>
      </c>
      <c r="S212" s="545">
        <f>'Foglio deposito bis'!$F$50*IF(ABS(M212)&lt;'Sollecitazioni nel paramento'!$G$58,ABS(M212)*'Sollecitazioni nel paramento'!$G$54,'Sollecitazioni nel paramento'!$G$53)*IF(M212&lt;0,-1,1)</f>
        <v>0</v>
      </c>
      <c r="T212" s="545">
        <f>'Foglio deposito bis'!$F$51*IF(ABS(N212)&lt;'Sollecitazioni nel paramento'!$G$58,ABS(N212)*'Sollecitazioni nel paramento'!$G$54,'Sollecitazioni nel paramento'!$G$53)*IF(N212&lt;0,-1,1)</f>
        <v>119422.58919533796</v>
      </c>
      <c r="U212" s="545">
        <f>'Foglio deposito bis'!$F$52*IF(ABS(O212)&lt;'Sollecitazioni nel paramento'!$G$58,ABS(O212)*'Sollecitazioni nel paramento'!$G$54,'Sollecitazioni nel paramento'!$G$53)*IF(O212&lt;0,-1,1)</f>
        <v>240946.49743184328</v>
      </c>
      <c r="V212" s="472">
        <f t="shared" si="20"/>
        <v>-4640917.1096382067</v>
      </c>
      <c r="W212" s="551"/>
      <c r="X212" s="551"/>
    </row>
    <row r="213" spans="1:24" x14ac:dyDescent="0.25">
      <c r="A213" s="545">
        <f t="shared" si="18"/>
        <v>4785539.1199136041</v>
      </c>
      <c r="B213" s="3">
        <f t="shared" si="19"/>
        <v>39.899999999999942</v>
      </c>
      <c r="C213" s="545">
        <f>'Foglio deposito bis'!$E$153/$B$247*B213</f>
        <v>129.32519443065689</v>
      </c>
      <c r="D213" s="603">
        <f>-'Sollecitazioni nel paramento'!$G$47*'Sollecitazioni nel paramento'!$G$41*IF(DATI!$G$211="dx",DATI!$E$61,DATI!$E$64*DATI!$E$63)*1000*C213^2*sezione!$AD$5*(1-sezione!$AD$6)</f>
        <v>-372108769.39023399</v>
      </c>
      <c r="E213" s="545">
        <f>-'Foglio deposito bis'!$F$48*(C213-sezione!$AL$27)*IF(ABS(K213)&lt;'Sollecitazioni nel paramento'!$G$58,ABS(K213)*'Sollecitazioni nel paramento'!$G$54,'Sollecitazioni nel paramento'!$G$53)</f>
        <v>0</v>
      </c>
      <c r="F213" s="545">
        <f>-'Foglio deposito bis'!$F$49*(C213-sezione!$AM$27)*IF(ABS(L213)&lt;'Sollecitazioni nel paramento'!$G$58,ABS(L213)*'Sollecitazioni nel paramento'!$G$54,'Sollecitazioni nel paramento'!$G$53)</f>
        <v>-14203794.882524071</v>
      </c>
      <c r="G213" s="545">
        <f>-'Foglio deposito bis'!$F$50*(C213-sezione!$AN$27)*IF(ABS(M213)&lt;'Sollecitazioni nel paramento'!$G$58,ABS(M213)*'Sollecitazioni nel paramento'!$G$54,'Sollecitazioni nel paramento'!$G$53)</f>
        <v>0</v>
      </c>
      <c r="H213" s="545">
        <f>-'Foglio deposito bis'!$F$51*(C213-sezione!$AO$27)*IF(ABS(N213)&lt;'Sollecitazioni nel paramento'!$G$58,ABS(N213)*'Sollecitazioni nel paramento'!$G$54,'Sollecitazioni nel paramento'!$G$53)</f>
        <v>3230142.6793223741</v>
      </c>
      <c r="I213" s="472">
        <f>-'Foglio deposito bis'!$F$52*(C213-sezione!$AP$27)*IF(ABS(O213)&lt;'Sollecitazioni nel paramento'!$G$58,ABS(O213)*'Sollecitazioni nel paramento'!$G$54,'Sollecitazioni nel paramento'!$G$53)</f>
        <v>16914906.752946936</v>
      </c>
      <c r="J213" s="472">
        <f t="shared" si="17"/>
        <v>-366167514.84048879</v>
      </c>
      <c r="K213" s="550">
        <f>'Sollecitazioni nel paramento'!$G$60*(sezione!$AL$27-C213)/C213</f>
        <v>-2.4174576491739447E-3</v>
      </c>
      <c r="L213" s="550">
        <f>'Sollecitazioni nel paramento'!$G$60*(sezione!$AM$27-C213)/C213</f>
        <v>-1.876186473760917E-3</v>
      </c>
      <c r="M213" s="551">
        <f>'Sollecitazioni nel paramento'!$G$60*(sezione!$AN$27-C213)/C213</f>
        <v>-1.3349152983478892E-3</v>
      </c>
      <c r="N213" s="551">
        <f>'Sollecitazioni nel paramento'!$G$60*(sezione!$AO$27-C213)/C213</f>
        <v>8.3016940330422158E-4</v>
      </c>
      <c r="O213" s="551">
        <f>'Sollecitazioni nel paramento'!$G$60*(sezione!$AP$27-C213)/C213</f>
        <v>1.8999137895248273E-3</v>
      </c>
      <c r="P213" s="545">
        <f>-'Sollecitazioni nel paramento'!$G$47*'Sollecitazioni nel paramento'!$G$41*IF(DATI!$G$211="dx",DATI!$E$61,DATI!$E$64*DATI!$E$63)*1000*C213*sezione!$AD$5</f>
        <v>-4926901.9322247347</v>
      </c>
      <c r="Q213" s="545">
        <f>'Foglio deposito bis'!$F$48*IF(ABS(K213)&lt;'Sollecitazioni nel paramento'!$G$58,ABS(K213)*'Sollecitazioni nel paramento'!$G$54,'Sollecitazioni nel paramento'!$G$53)*IF(K213&lt;0,-1,1)</f>
        <v>0</v>
      </c>
      <c r="R213" s="545">
        <f>'Foglio deposito bis'!$F$49*IF(ABS(L213)&lt;'Sollecitazioni nel paramento'!$G$58,ABS(L213)*'Sollecitazioni nel paramento'!$G$54,'Sollecitazioni nel paramento'!$G$53)*IF(L213&lt;0,-1,1)</f>
        <v>-204886.47740803001</v>
      </c>
      <c r="S213" s="545">
        <f>'Foglio deposito bis'!$F$50*IF(ABS(M213)&lt;'Sollecitazioni nel paramento'!$G$58,ABS(M213)*'Sollecitazioni nel paramento'!$G$54,'Sollecitazioni nel paramento'!$G$53)*IF(M213&lt;0,-1,1)</f>
        <v>0</v>
      </c>
      <c r="T213" s="545">
        <f>'Foglio deposito bis'!$F$51*IF(ABS(N213)&lt;'Sollecitazioni nel paramento'!$G$58,ABS(N213)*'Sollecitazioni nel paramento'!$G$54,'Sollecitazioni nel paramento'!$G$53)*IF(N213&lt;0,-1,1)</f>
        <v>105302.79228731706</v>
      </c>
      <c r="U213" s="545">
        <f>'Foglio deposito bis'!$F$52*IF(ABS(O213)&lt;'Sollecitazioni nel paramento'!$G$58,ABS(O213)*'Sollecitazioni nel paramento'!$G$54,'Sollecitazioni nel paramento'!$G$53)*IF(O213&lt;0,-1,1)</f>
        <v>240946.49743184328</v>
      </c>
      <c r="V213" s="472">
        <f t="shared" si="20"/>
        <v>-4785539.1199136041</v>
      </c>
      <c r="W213" s="551"/>
      <c r="X213" s="551"/>
    </row>
    <row r="214" spans="1:24" x14ac:dyDescent="0.25">
      <c r="A214" s="545">
        <f t="shared" si="18"/>
        <v>4939148.7379509034</v>
      </c>
      <c r="B214" s="3">
        <f t="shared" si="19"/>
        <v>40.899999999999942</v>
      </c>
      <c r="C214" s="545">
        <f>'Foglio deposito bis'!$E$153/$B$247*B214</f>
        <v>132.56642737378115</v>
      </c>
      <c r="D214" s="603">
        <f>-'Sollecitazioni nel paramento'!$G$47*'Sollecitazioni nel paramento'!$G$41*IF(DATI!$G$211="dx",DATI!$E$61,DATI!$E$64*DATI!$E$63)*1000*C214^2*sezione!$AD$5*(1-sezione!$AD$6)</f>
        <v>-390994573.22735256</v>
      </c>
      <c r="E214" s="545">
        <f>-'Foglio deposito bis'!$F$48*(C214-sezione!$AL$27)*IF(ABS(K214)&lt;'Sollecitazioni nel paramento'!$G$58,ABS(K214)*'Sollecitazioni nel paramento'!$G$54,'Sollecitazioni nel paramento'!$G$53)</f>
        <v>0</v>
      </c>
      <c r="F214" s="545">
        <f>-'Foglio deposito bis'!$F$49*(C214-sezione!$AM$27)*IF(ABS(L214)&lt;'Sollecitazioni nel paramento'!$G$58,ABS(L214)*'Sollecitazioni nel paramento'!$G$54,'Sollecitazioni nel paramento'!$G$53)</f>
        <v>-14867879.682699662</v>
      </c>
      <c r="G214" s="545">
        <f>-'Foglio deposito bis'!$F$50*(C214-sezione!$AN$27)*IF(ABS(M214)&lt;'Sollecitazioni nel paramento'!$G$58,ABS(M214)*'Sollecitazioni nel paramento'!$G$54,'Sollecitazioni nel paramento'!$G$53)</f>
        <v>0</v>
      </c>
      <c r="H214" s="545">
        <f>-'Foglio deposito bis'!$F$51*(C214-sezione!$AO$27)*IF(ABS(N214)&lt;'Sollecitazioni nel paramento'!$G$58,ABS(N214)*'Sollecitazioni nel paramento'!$G$54,'Sollecitazioni nel paramento'!$G$53)</f>
        <v>2520416.9628817565</v>
      </c>
      <c r="I214" s="472">
        <f>-'Foglio deposito bis'!$F$52*(C214-sezione!$AP$27)*IF(ABS(O214)&lt;'Sollecitazioni nel paramento'!$G$58,ABS(O214)*'Sollecitazioni nel paramento'!$G$54,'Sollecitazioni nel paramento'!$G$53)</f>
        <v>15015764.885750258</v>
      </c>
      <c r="J214" s="472">
        <f t="shared" si="17"/>
        <v>-388326271.06142026</v>
      </c>
      <c r="K214" s="550">
        <f>'Sollecitazioni nel paramento'!$G$60*(sezione!$AL$27-C214)/C214</f>
        <v>-2.4439256773115012E-3</v>
      </c>
      <c r="L214" s="550">
        <f>'Sollecitazioni nel paramento'!$G$60*(sezione!$AM$27-C214)/C214</f>
        <v>-1.9158885159672519E-3</v>
      </c>
      <c r="M214" s="551">
        <f>'Sollecitazioni nel paramento'!$G$60*(sezione!$AN$27-C214)/C214</f>
        <v>-1.3878513546230022E-3</v>
      </c>
      <c r="N214" s="551">
        <f>'Sollecitazioni nel paramento'!$G$60*(sezione!$AO$27-C214)/C214</f>
        <v>7.2429729075399526E-4</v>
      </c>
      <c r="O214" s="551">
        <f>'Sollecitazioni nel paramento'!$G$60*(sezione!$AP$27-C214)/C214</f>
        <v>1.7678865575071043E-3</v>
      </c>
      <c r="P214" s="545">
        <f>-'Sollecitazioni nel paramento'!$G$47*'Sollecitazioni nel paramento'!$G$41*IF(DATI!$G$211="dx",DATI!$E$61,DATI!$E$64*DATI!$E$63)*1000*C214*sezione!$AD$5</f>
        <v>-5050383.1836589398</v>
      </c>
      <c r="Q214" s="545">
        <f>'Foglio deposito bis'!$F$48*IF(ABS(K214)&lt;'Sollecitazioni nel paramento'!$G$58,ABS(K214)*'Sollecitazioni nel paramento'!$G$54,'Sollecitazioni nel paramento'!$G$53)*IF(K214&lt;0,-1,1)</f>
        <v>0</v>
      </c>
      <c r="R214" s="545">
        <f>'Foglio deposito bis'!$F$49*IF(ABS(L214)&lt;'Sollecitazioni nel paramento'!$G$58,ABS(L214)*'Sollecitazioni nel paramento'!$G$54,'Sollecitazioni nel paramento'!$G$53)*IF(L214&lt;0,-1,1)</f>
        <v>-204886.47740803001</v>
      </c>
      <c r="S214" s="545">
        <f>'Foglio deposito bis'!$F$50*IF(ABS(M214)&lt;'Sollecitazioni nel paramento'!$G$58,ABS(M214)*'Sollecitazioni nel paramento'!$G$54,'Sollecitazioni nel paramento'!$G$53)*IF(M214&lt;0,-1,1)</f>
        <v>0</v>
      </c>
      <c r="T214" s="545">
        <f>'Foglio deposito bis'!$F$51*IF(ABS(N214)&lt;'Sollecitazioni nel paramento'!$G$58,ABS(N214)*'Sollecitazioni nel paramento'!$G$54,'Sollecitazioni nel paramento'!$G$53)*IF(N214&lt;0,-1,1)</f>
        <v>91873.449995825213</v>
      </c>
      <c r="U214" s="545">
        <f>'Foglio deposito bis'!$F$52*IF(ABS(O214)&lt;'Sollecitazioni nel paramento'!$G$58,ABS(O214)*'Sollecitazioni nel paramento'!$G$54,'Sollecitazioni nel paramento'!$G$53)*IF(O214&lt;0,-1,1)</f>
        <v>224247.47312024183</v>
      </c>
      <c r="V214" s="472">
        <f t="shared" si="20"/>
        <v>-4939148.7379509034</v>
      </c>
      <c r="W214" s="551"/>
      <c r="X214" s="551"/>
    </row>
    <row r="215" spans="1:24" x14ac:dyDescent="0.25">
      <c r="A215" s="545">
        <f t="shared" si="18"/>
        <v>5091365.9210792696</v>
      </c>
      <c r="B215" s="3">
        <f t="shared" si="19"/>
        <v>41.899999999999942</v>
      </c>
      <c r="C215" s="545">
        <f>'Foglio deposito bis'!$E$153/$B$247*B215</f>
        <v>135.80766031690538</v>
      </c>
      <c r="D215" s="603">
        <f>-'Sollecitazioni nel paramento'!$G$47*'Sollecitazioni nel paramento'!$G$41*IF(DATI!$G$211="dx",DATI!$E$61,DATI!$E$64*DATI!$E$63)*1000*C215^2*sezione!$AD$5*(1-sezione!$AD$6)</f>
        <v>-410347847.45647877</v>
      </c>
      <c r="E215" s="545">
        <f>-'Foglio deposito bis'!$F$48*(C215-sezione!$AL$27)*IF(ABS(K215)&lt;'Sollecitazioni nel paramento'!$G$58,ABS(K215)*'Sollecitazioni nel paramento'!$G$54,'Sollecitazioni nel paramento'!$G$53)</f>
        <v>0</v>
      </c>
      <c r="F215" s="545">
        <f>-'Foglio deposito bis'!$F$49*(C215-sezione!$AM$27)*IF(ABS(L215)&lt;'Sollecitazioni nel paramento'!$G$58,ABS(L215)*'Sollecitazioni nel paramento'!$G$54,'Sollecitazioni nel paramento'!$G$53)</f>
        <v>-15531964.482875247</v>
      </c>
      <c r="G215" s="545">
        <f>-'Foglio deposito bis'!$F$50*(C215-sezione!$AN$27)*IF(ABS(M215)&lt;'Sollecitazioni nel paramento'!$G$58,ABS(M215)*'Sollecitazioni nel paramento'!$G$54,'Sollecitazioni nel paramento'!$G$53)</f>
        <v>0</v>
      </c>
      <c r="H215" s="545">
        <f>-'Foglio deposito bis'!$F$51*(C215-sezione!$AO$27)*IF(ABS(N215)&lt;'Sollecitazioni nel paramento'!$G$58,ABS(N215)*'Sollecitazioni nel paramento'!$G$54,'Sollecitazioni nel paramento'!$G$53)</f>
        <v>1913254.2424620858</v>
      </c>
      <c r="I215" s="472">
        <f>-'Foglio deposito bis'!$F$52*(C215-sezione!$AP$27)*IF(ABS(O215)&lt;'Sollecitazioni nel paramento'!$G$58,ABS(O215)*'Sollecitazioni nel paramento'!$G$54,'Sollecitazioni nel paramento'!$G$53)</f>
        <v>13272753.703080829</v>
      </c>
      <c r="J215" s="472">
        <f t="shared" si="17"/>
        <v>-410693803.99381107</v>
      </c>
      <c r="K215" s="550">
        <f>'Sollecitazioni nel paramento'!$G$60*(sezione!$AL$27-C215)/C215</f>
        <v>-2.4691303150844962E-3</v>
      </c>
      <c r="L215" s="550">
        <f>'Sollecitazioni nel paramento'!$G$60*(sezione!$AM$27-C215)/C215</f>
        <v>-1.9536954726267447E-3</v>
      </c>
      <c r="M215" s="551">
        <f>'Sollecitazioni nel paramento'!$G$60*(sezione!$AN$27-C215)/C215</f>
        <v>-1.4382606301689927E-3</v>
      </c>
      <c r="N215" s="551">
        <f>'Sollecitazioni nel paramento'!$G$60*(sezione!$AO$27-C215)/C215</f>
        <v>6.2347873966201459E-4</v>
      </c>
      <c r="O215" s="551">
        <f>'Sollecitazioni nel paramento'!$G$60*(sezione!$AP$27-C215)/C215</f>
        <v>1.6421613413374837E-3</v>
      </c>
      <c r="P215" s="545">
        <f>-'Sollecitazioni nel paramento'!$G$47*'Sollecitazioni nel paramento'!$G$41*IF(DATI!$G$211="dx",DATI!$E$61,DATI!$E$64*DATI!$E$63)*1000*C215*sezione!$AD$5</f>
        <v>-5173864.435093143</v>
      </c>
      <c r="Q215" s="545">
        <f>'Foglio deposito bis'!$F$48*IF(ABS(K215)&lt;'Sollecitazioni nel paramento'!$G$58,ABS(K215)*'Sollecitazioni nel paramento'!$G$54,'Sollecitazioni nel paramento'!$G$53)*IF(K215&lt;0,-1,1)</f>
        <v>0</v>
      </c>
      <c r="R215" s="545">
        <f>'Foglio deposito bis'!$F$49*IF(ABS(L215)&lt;'Sollecitazioni nel paramento'!$G$58,ABS(L215)*'Sollecitazioni nel paramento'!$G$54,'Sollecitazioni nel paramento'!$G$53)*IF(L215&lt;0,-1,1)</f>
        <v>-204886.47740803001</v>
      </c>
      <c r="S215" s="545">
        <f>'Foglio deposito bis'!$F$50*IF(ABS(M215)&lt;'Sollecitazioni nel paramento'!$G$58,ABS(M215)*'Sollecitazioni nel paramento'!$G$54,'Sollecitazioni nel paramento'!$G$53)*IF(M215&lt;0,-1,1)</f>
        <v>0</v>
      </c>
      <c r="T215" s="545">
        <f>'Foglio deposito bis'!$F$51*IF(ABS(N215)&lt;'Sollecitazioni nel paramento'!$G$58,ABS(N215)*'Sollecitazioni nel paramento'!$G$54,'Sollecitazioni nel paramento'!$G$53)*IF(N215&lt;0,-1,1)</f>
        <v>79085.126429464377</v>
      </c>
      <c r="U215" s="545">
        <f>'Foglio deposito bis'!$F$52*IF(ABS(O215)&lt;'Sollecitazioni nel paramento'!$G$58,ABS(O215)*'Sollecitazioni nel paramento'!$G$54,'Sollecitazioni nel paramento'!$G$53)*IF(O215&lt;0,-1,1)</f>
        <v>208299.86499243905</v>
      </c>
      <c r="V215" s="472">
        <f t="shared" si="20"/>
        <v>-5091365.9210792696</v>
      </c>
      <c r="W215" s="551"/>
      <c r="X215" s="551"/>
    </row>
    <row r="216" spans="1:24" x14ac:dyDescent="0.25">
      <c r="A216" s="545">
        <f t="shared" si="18"/>
        <v>5242243.4337323848</v>
      </c>
      <c r="B216" s="3">
        <f t="shared" si="19"/>
        <v>42.899999999999942</v>
      </c>
      <c r="C216" s="545">
        <f>'Foglio deposito bis'!$E$153/$B$247*B216</f>
        <v>139.04889326002962</v>
      </c>
      <c r="D216" s="603">
        <f>-'Sollecitazioni nel paramento'!$G$47*'Sollecitazioni nel paramento'!$G$41*IF(DATI!$G$211="dx",DATI!$E$61,DATI!$E$64*DATI!$E$63)*1000*C216^2*sezione!$AD$5*(1-sezione!$AD$6)</f>
        <v>-430168592.077613</v>
      </c>
      <c r="E216" s="545">
        <f>-'Foglio deposito bis'!$F$48*(C216-sezione!$AL$27)*IF(ABS(K216)&lt;'Sollecitazioni nel paramento'!$G$58,ABS(K216)*'Sollecitazioni nel paramento'!$G$54,'Sollecitazioni nel paramento'!$G$53)</f>
        <v>0</v>
      </c>
      <c r="F216" s="545">
        <f>-'Foglio deposito bis'!$F$49*(C216-sezione!$AM$27)*IF(ABS(L216)&lt;'Sollecitazioni nel paramento'!$G$58,ABS(L216)*'Sollecitazioni nel paramento'!$G$54,'Sollecitazioni nel paramento'!$G$53)</f>
        <v>-16196049.283050833</v>
      </c>
      <c r="G216" s="545">
        <f>-'Foglio deposito bis'!$F$50*(C216-sezione!$AN$27)*IF(ABS(M216)&lt;'Sollecitazioni nel paramento'!$G$58,ABS(M216)*'Sollecitazioni nel paramento'!$G$54,'Sollecitazioni nel paramento'!$G$53)</f>
        <v>0</v>
      </c>
      <c r="H216" s="545">
        <f>-'Foglio deposito bis'!$F$51*(C216-sezione!$AO$27)*IF(ABS(N216)&lt;'Sollecitazioni nel paramento'!$G$58,ABS(N216)*'Sollecitazioni nel paramento'!$G$54,'Sollecitazioni nel paramento'!$G$53)</f>
        <v>1401482.2805793714</v>
      </c>
      <c r="I216" s="472">
        <f>-'Foglio deposito bis'!$F$52*(C216-sezione!$AP$27)*IF(ABS(O216)&lt;'Sollecitazioni nel paramento'!$G$58,ABS(O216)*'Sollecitazioni nel paramento'!$G$54,'Sollecitazioni nel paramento'!$G$53)</f>
        <v>11678086.587211749</v>
      </c>
      <c r="J216" s="472">
        <f t="shared" si="17"/>
        <v>-433285072.49287271</v>
      </c>
      <c r="K216" s="550">
        <f>'Sollecitazioni nel paramento'!$G$60*(sezione!$AL$27-C216)/C216</f>
        <v>-2.4931599114694732E-3</v>
      </c>
      <c r="L216" s="550">
        <f>'Sollecitazioni nel paramento'!$G$60*(sezione!$AM$27-C216)/C216</f>
        <v>-1.9897398672042098E-3</v>
      </c>
      <c r="M216" s="551">
        <f>'Sollecitazioni nel paramento'!$G$60*(sezione!$AN$27-C216)/C216</f>
        <v>-1.4863198229389462E-3</v>
      </c>
      <c r="N216" s="551">
        <f>'Sollecitazioni nel paramento'!$G$60*(sezione!$AO$27-C216)/C216</f>
        <v>5.2736035412210744E-4</v>
      </c>
      <c r="O216" s="551">
        <f>'Sollecitazioni nel paramento'!$G$60*(sezione!$AP$27-C216)/C216</f>
        <v>1.5222974406070063E-3</v>
      </c>
      <c r="P216" s="545">
        <f>-'Sollecitazioni nel paramento'!$G$47*'Sollecitazioni nel paramento'!$G$41*IF(DATI!$G$211="dx",DATI!$E$61,DATI!$E$64*DATI!$E$63)*1000*C216*sezione!$AD$5</f>
        <v>-5297345.6865273472</v>
      </c>
      <c r="Q216" s="545">
        <f>'Foglio deposito bis'!$F$48*IF(ABS(K216)&lt;'Sollecitazioni nel paramento'!$G$58,ABS(K216)*'Sollecitazioni nel paramento'!$G$54,'Sollecitazioni nel paramento'!$G$53)*IF(K216&lt;0,-1,1)</f>
        <v>0</v>
      </c>
      <c r="R216" s="545">
        <f>'Foglio deposito bis'!$F$49*IF(ABS(L216)&lt;'Sollecitazioni nel paramento'!$G$58,ABS(L216)*'Sollecitazioni nel paramento'!$G$54,'Sollecitazioni nel paramento'!$G$53)*IF(L216&lt;0,-1,1)</f>
        <v>-204886.47740803001</v>
      </c>
      <c r="S216" s="545">
        <f>'Foglio deposito bis'!$F$50*IF(ABS(M216)&lt;'Sollecitazioni nel paramento'!$G$58,ABS(M216)*'Sollecitazioni nel paramento'!$G$54,'Sollecitazioni nel paramento'!$G$53)*IF(M216&lt;0,-1,1)</f>
        <v>0</v>
      </c>
      <c r="T216" s="545">
        <f>'Foglio deposito bis'!$F$51*IF(ABS(N216)&lt;'Sollecitazioni nel paramento'!$G$58,ABS(N216)*'Sollecitazioni nel paramento'!$G$54,'Sollecitazioni nel paramento'!$G$53)*IF(N216&lt;0,-1,1)</f>
        <v>66892.995103959474</v>
      </c>
      <c r="U216" s="545">
        <f>'Foglio deposito bis'!$F$52*IF(ABS(O216)&lt;'Sollecitazioni nel paramento'!$G$58,ABS(O216)*'Sollecitazioni nel paramento'!$G$54,'Sollecitazioni nel paramento'!$G$53)*IF(O216&lt;0,-1,1)</f>
        <v>193095.73509903267</v>
      </c>
      <c r="V216" s="472">
        <f t="shared" si="20"/>
        <v>-5242243.4337323848</v>
      </c>
      <c r="W216" s="551"/>
      <c r="X216" s="551"/>
    </row>
    <row r="217" spans="1:24" x14ac:dyDescent="0.25">
      <c r="A217" s="545">
        <f t="shared" si="18"/>
        <v>5391872.8251454579</v>
      </c>
      <c r="B217" s="3">
        <f t="shared" si="19"/>
        <v>43.899999999999942</v>
      </c>
      <c r="C217" s="545">
        <f>'Foglio deposito bis'!$E$153/$B$247*B217</f>
        <v>142.29012620315385</v>
      </c>
      <c r="D217" s="603">
        <f>-'Sollecitazioni nel paramento'!$G$47*'Sollecitazioni nel paramento'!$G$41*IF(DATI!$G$211="dx",DATI!$E$61,DATI!$E$64*DATI!$E$63)*1000*C217^2*sezione!$AD$5*(1-sezione!$AD$6)</f>
        <v>-450456807.09075499</v>
      </c>
      <c r="E217" s="545">
        <f>-'Foglio deposito bis'!$F$48*(C217-sezione!$AL$27)*IF(ABS(K217)&lt;'Sollecitazioni nel paramento'!$G$58,ABS(K217)*'Sollecitazioni nel paramento'!$G$54,'Sollecitazioni nel paramento'!$G$53)</f>
        <v>0</v>
      </c>
      <c r="F217" s="545">
        <f>-'Foglio deposito bis'!$F$49*(C217-sezione!$AM$27)*IF(ABS(L217)&lt;'Sollecitazioni nel paramento'!$G$58,ABS(L217)*'Sollecitazioni nel paramento'!$G$54,'Sollecitazioni nel paramento'!$G$53)</f>
        <v>-16860134.083226416</v>
      </c>
      <c r="G217" s="545">
        <f>-'Foglio deposito bis'!$F$50*(C217-sezione!$AN$27)*IF(ABS(M217)&lt;'Sollecitazioni nel paramento'!$G$58,ABS(M217)*'Sollecitazioni nel paramento'!$G$54,'Sollecitazioni nel paramento'!$G$53)</f>
        <v>0</v>
      </c>
      <c r="H217" s="545">
        <f>-'Foglio deposito bis'!$F$51*(C217-sezione!$AO$27)*IF(ABS(N217)&lt;'Sollecitazioni nel paramento'!$G$58,ABS(N217)*'Sollecitazioni nel paramento'!$G$54,'Sollecitazioni nel paramento'!$G$53)</f>
        <v>978582.34658188664</v>
      </c>
      <c r="I217" s="472">
        <f>-'Foglio deposito bis'!$F$52*(C217-sezione!$AP$27)*IF(ABS(O217)&lt;'Sollecitazioni nel paramento'!$G$58,ABS(O217)*'Sollecitazioni nel paramento'!$G$54,'Sollecitazioni nel paramento'!$G$53)</f>
        <v>10221626.130389007</v>
      </c>
      <c r="J217" s="472">
        <f t="shared" si="17"/>
        <v>-456116732.69701052</v>
      </c>
      <c r="K217" s="550">
        <f>'Sollecitazioni nel paramento'!$G$60*(sezione!$AL$27-C217)/C217</f>
        <v>-2.5160947654223327E-3</v>
      </c>
      <c r="L217" s="550">
        <f>'Sollecitazioni nel paramento'!$G$60*(sezione!$AM$27-C217)/C217</f>
        <v>-2.024142148133499E-3</v>
      </c>
      <c r="M217" s="551">
        <f>'Sollecitazioni nel paramento'!$G$60*(sezione!$AN$27-C217)/C217</f>
        <v>-1.5321895308446649E-3</v>
      </c>
      <c r="N217" s="551">
        <f>'Sollecitazioni nel paramento'!$G$60*(sezione!$AO$27-C217)/C217</f>
        <v>4.3562093831067005E-4</v>
      </c>
      <c r="O217" s="551">
        <f>'Sollecitazioni nel paramento'!$G$60*(sezione!$AP$27-C217)/C217</f>
        <v>1.4078943098414709E-3</v>
      </c>
      <c r="P217" s="545">
        <f>-'Sollecitazioni nel paramento'!$G$47*'Sollecitazioni nel paramento'!$G$41*IF(DATI!$G$211="dx",DATI!$E$61,DATI!$E$64*DATI!$E$63)*1000*C217*sezione!$AD$5</f>
        <v>-5420826.9379615504</v>
      </c>
      <c r="Q217" s="545">
        <f>'Foglio deposito bis'!$F$48*IF(ABS(K217)&lt;'Sollecitazioni nel paramento'!$G$58,ABS(K217)*'Sollecitazioni nel paramento'!$G$54,'Sollecitazioni nel paramento'!$G$53)*IF(K217&lt;0,-1,1)</f>
        <v>0</v>
      </c>
      <c r="R217" s="545">
        <f>'Foglio deposito bis'!$F$49*IF(ABS(L217)&lt;'Sollecitazioni nel paramento'!$G$58,ABS(L217)*'Sollecitazioni nel paramento'!$G$54,'Sollecitazioni nel paramento'!$G$53)*IF(L217&lt;0,-1,1)</f>
        <v>-204886.47740803001</v>
      </c>
      <c r="S217" s="545">
        <f>'Foglio deposito bis'!$F$50*IF(ABS(M217)&lt;'Sollecitazioni nel paramento'!$G$58,ABS(M217)*'Sollecitazioni nel paramento'!$G$54,'Sollecitazioni nel paramento'!$G$53)*IF(M217&lt;0,-1,1)</f>
        <v>0</v>
      </c>
      <c r="T217" s="545">
        <f>'Foglio deposito bis'!$F$51*IF(ABS(N217)&lt;'Sollecitazioni nel paramento'!$G$58,ABS(N217)*'Sollecitazioni nel paramento'!$G$54,'Sollecitazioni nel paramento'!$G$53)*IF(N217&lt;0,-1,1)</f>
        <v>55256.313952737291</v>
      </c>
      <c r="U217" s="545">
        <f>'Foglio deposito bis'!$F$52*IF(ABS(O217)&lt;'Sollecitazioni nel paramento'!$G$58,ABS(O217)*'Sollecitazioni nel paramento'!$G$54,'Sollecitazioni nel paramento'!$G$53)*IF(O217&lt;0,-1,1)</f>
        <v>178584.27627138511</v>
      </c>
      <c r="V217" s="472">
        <f t="shared" si="20"/>
        <v>-5391872.8251454579</v>
      </c>
      <c r="W217" s="551"/>
      <c r="X217" s="551"/>
    </row>
    <row r="218" spans="1:24" x14ac:dyDescent="0.25">
      <c r="A218" s="545">
        <f t="shared" si="18"/>
        <v>5540337.4887198322</v>
      </c>
      <c r="B218" s="3">
        <f t="shared" si="19"/>
        <v>44.899999999999942</v>
      </c>
      <c r="C218" s="545">
        <f>'Foglio deposito bis'!$E$153/$B$247*B218</f>
        <v>145.53135914627811</v>
      </c>
      <c r="D218" s="603">
        <f>-'Sollecitazioni nel paramento'!$G$47*'Sollecitazioni nel paramento'!$G$41*IF(DATI!$G$211="dx",DATI!$E$61,DATI!$E$64*DATI!$E$63)*1000*C218^2*sezione!$AD$5*(1-sezione!$AD$6)</f>
        <v>-471212492.49590516</v>
      </c>
      <c r="E218" s="545">
        <f>-'Foglio deposito bis'!$F$48*(C218-sezione!$AL$27)*IF(ABS(K218)&lt;'Sollecitazioni nel paramento'!$G$58,ABS(K218)*'Sollecitazioni nel paramento'!$G$54,'Sollecitazioni nel paramento'!$G$53)</f>
        <v>0</v>
      </c>
      <c r="F218" s="545">
        <f>-'Foglio deposito bis'!$F$49*(C218-sezione!$AM$27)*IF(ABS(L218)&lt;'Sollecitazioni nel paramento'!$G$58,ABS(L218)*'Sollecitazioni nel paramento'!$G$54,'Sollecitazioni nel paramento'!$G$53)</f>
        <v>-17524218.883402009</v>
      </c>
      <c r="G218" s="545">
        <f>-'Foglio deposito bis'!$F$50*(C218-sezione!$AN$27)*IF(ABS(M218)&lt;'Sollecitazioni nel paramento'!$G$58,ABS(M218)*'Sollecitazioni nel paramento'!$G$54,'Sollecitazioni nel paramento'!$G$53)</f>
        <v>0</v>
      </c>
      <c r="H218" s="545">
        <f>-'Foglio deposito bis'!$F$51*(C218-sezione!$AO$27)*IF(ABS(N218)&lt;'Sollecitazioni nel paramento'!$G$58,ABS(N218)*'Sollecitazioni nel paramento'!$G$54,'Sollecitazioni nel paramento'!$G$53)</f>
        <v>638616.44306081568</v>
      </c>
      <c r="I218" s="472">
        <f>-'Foglio deposito bis'!$F$52*(C218-sezione!$AP$27)*IF(ABS(O218)&lt;'Sollecitazioni nel paramento'!$G$58,ABS(O218)*'Sollecitazioni nel paramento'!$G$54,'Sollecitazioni nel paramento'!$G$53)</f>
        <v>8894138.0346807688</v>
      </c>
      <c r="J218" s="472">
        <f t="shared" si="17"/>
        <v>-479203956.90156555</v>
      </c>
      <c r="K218" s="550">
        <f>'Sollecitazioni nel paramento'!$G$60*(sezione!$AL$27-C218)/C218</f>
        <v>-2.5380080223171581E-3</v>
      </c>
      <c r="L218" s="550">
        <f>'Sollecitazioni nel paramento'!$G$60*(sezione!$AM$27-C218)/C218</f>
        <v>-2.0570120334757374E-3</v>
      </c>
      <c r="M218" s="551">
        <f>'Sollecitazioni nel paramento'!$G$60*(sezione!$AN$27-C218)/C218</f>
        <v>-1.5760160446343164E-3</v>
      </c>
      <c r="N218" s="551">
        <f>'Sollecitazioni nel paramento'!$G$60*(sezione!$AO$27-C218)/C218</f>
        <v>3.4796791073136714E-4</v>
      </c>
      <c r="O218" s="551">
        <f>'Sollecitazioni nel paramento'!$G$60*(sezione!$AP$27-C218)/C218</f>
        <v>1.2985870869051345E-3</v>
      </c>
      <c r="P218" s="545">
        <f>-'Sollecitazioni nel paramento'!$G$47*'Sollecitazioni nel paramento'!$G$41*IF(DATI!$G$211="dx",DATI!$E$61,DATI!$E$64*DATI!$E$63)*1000*C218*sezione!$AD$5</f>
        <v>-5544308.1893957565</v>
      </c>
      <c r="Q218" s="545">
        <f>'Foglio deposito bis'!$F$48*IF(ABS(K218)&lt;'Sollecitazioni nel paramento'!$G$58,ABS(K218)*'Sollecitazioni nel paramento'!$G$54,'Sollecitazioni nel paramento'!$G$53)*IF(K218&lt;0,-1,1)</f>
        <v>0</v>
      </c>
      <c r="R218" s="545">
        <f>'Foglio deposito bis'!$F$49*IF(ABS(L218)&lt;'Sollecitazioni nel paramento'!$G$58,ABS(L218)*'Sollecitazioni nel paramento'!$G$54,'Sollecitazioni nel paramento'!$G$53)*IF(L218&lt;0,-1,1)</f>
        <v>-204886.47740803001</v>
      </c>
      <c r="S218" s="545">
        <f>'Foglio deposito bis'!$F$50*IF(ABS(M218)&lt;'Sollecitazioni nel paramento'!$G$58,ABS(M218)*'Sollecitazioni nel paramento'!$G$54,'Sollecitazioni nel paramento'!$G$53)*IF(M218&lt;0,-1,1)</f>
        <v>0</v>
      </c>
      <c r="T218" s="545">
        <f>'Foglio deposito bis'!$F$51*IF(ABS(N218)&lt;'Sollecitazioni nel paramento'!$G$58,ABS(N218)*'Sollecitazioni nel paramento'!$G$54,'Sollecitazioni nel paramento'!$G$53)*IF(N218&lt;0,-1,1)</f>
        <v>44137.970491992608</v>
      </c>
      <c r="U218" s="545">
        <f>'Foglio deposito bis'!$F$52*IF(ABS(O218)&lt;'Sollecitazioni nel paramento'!$G$58,ABS(O218)*'Sollecitazioni nel paramento'!$G$54,'Sollecitazioni nel paramento'!$G$53)*IF(O218&lt;0,-1,1)</f>
        <v>164719.2075919623</v>
      </c>
      <c r="V218" s="472">
        <f t="shared" si="20"/>
        <v>-5540337.4887198322</v>
      </c>
      <c r="W218" s="551"/>
      <c r="X218" s="551"/>
    </row>
    <row r="219" spans="1:24" x14ac:dyDescent="0.25">
      <c r="A219" s="545">
        <f t="shared" si="18"/>
        <v>5687713.5504580289</v>
      </c>
      <c r="B219" s="3">
        <f t="shared" si="19"/>
        <v>45.899999999999942</v>
      </c>
      <c r="C219" s="545">
        <f>'Foglio deposito bis'!$E$153/$B$247*B219</f>
        <v>148.77259208940234</v>
      </c>
      <c r="D219" s="603">
        <f>-'Sollecitazioni nel paramento'!$G$47*'Sollecitazioni nel paramento'!$G$41*IF(DATI!$G$211="dx",DATI!$E$61,DATI!$E$64*DATI!$E$63)*1000*C219^2*sezione!$AD$5*(1-sezione!$AD$6)</f>
        <v>-492435648.29306298</v>
      </c>
      <c r="E219" s="545">
        <f>-'Foglio deposito bis'!$F$48*(C219-sezione!$AL$27)*IF(ABS(K219)&lt;'Sollecitazioni nel paramento'!$G$58,ABS(K219)*'Sollecitazioni nel paramento'!$G$54,'Sollecitazioni nel paramento'!$G$53)</f>
        <v>0</v>
      </c>
      <c r="F219" s="545">
        <f>-'Foglio deposito bis'!$F$49*(C219-sezione!$AM$27)*IF(ABS(L219)&lt;'Sollecitazioni nel paramento'!$G$58,ABS(L219)*'Sollecitazioni nel paramento'!$G$54,'Sollecitazioni nel paramento'!$G$53)</f>
        <v>-18188303.683577593</v>
      </c>
      <c r="G219" s="545">
        <f>-'Foglio deposito bis'!$F$50*(C219-sezione!$AN$27)*IF(ABS(M219)&lt;'Sollecitazioni nel paramento'!$G$58,ABS(M219)*'Sollecitazioni nel paramento'!$G$54,'Sollecitazioni nel paramento'!$G$53)</f>
        <v>0</v>
      </c>
      <c r="H219" s="545">
        <f>-'Foglio deposito bis'!$F$51*(C219-sezione!$AO$27)*IF(ABS(N219)&lt;'Sollecitazioni nel paramento'!$G$58,ABS(N219)*'Sollecitazioni nel paramento'!$G$54,'Sollecitazioni nel paramento'!$G$53)</f>
        <v>376164.0451484248</v>
      </c>
      <c r="I219" s="472">
        <f>-'Foglio deposito bis'!$F$52*(C219-sezione!$AP$27)*IF(ABS(O219)&lt;'Sollecitazioni nel paramento'!$G$58,ABS(O219)*'Sollecitazioni nel paramento'!$G$54,'Sollecitazioni nel paramento'!$G$53)</f>
        <v>7687192.7340011373</v>
      </c>
      <c r="J219" s="472">
        <f t="shared" si="17"/>
        <v>-502560595.19749099</v>
      </c>
      <c r="K219" s="550">
        <f>'Sollecitazioni nel paramento'!$G$60*(sezione!$AL$27-C219)/C219</f>
        <v>-2.5589664532034949E-3</v>
      </c>
      <c r="L219" s="550">
        <f>'Sollecitazioni nel paramento'!$G$60*(sezione!$AM$27-C219)/C219</f>
        <v>-2.0884496798052421E-3</v>
      </c>
      <c r="M219" s="551">
        <f>'Sollecitazioni nel paramento'!$G$60*(sezione!$AN$27-C219)/C219</f>
        <v>-1.6179329064069893E-3</v>
      </c>
      <c r="N219" s="551">
        <f>'Sollecitazioni nel paramento'!$G$60*(sezione!$AO$27-C219)/C219</f>
        <v>2.6413418718602153E-4</v>
      </c>
      <c r="O219" s="551">
        <f>'Sollecitazioni nel paramento'!$G$60*(sezione!$AP$27-C219)/C219</f>
        <v>1.1940427059268092E-3</v>
      </c>
      <c r="P219" s="545">
        <f>-'Sollecitazioni nel paramento'!$G$47*'Sollecitazioni nel paramento'!$G$41*IF(DATI!$G$211="dx",DATI!$E$61,DATI!$E$64*DATI!$E$63)*1000*C219*sezione!$AD$5</f>
        <v>-5667789.4408299597</v>
      </c>
      <c r="Q219" s="545">
        <f>'Foglio deposito bis'!$F$48*IF(ABS(K219)&lt;'Sollecitazioni nel paramento'!$G$58,ABS(K219)*'Sollecitazioni nel paramento'!$G$54,'Sollecitazioni nel paramento'!$G$53)*IF(K219&lt;0,-1,1)</f>
        <v>0</v>
      </c>
      <c r="R219" s="545">
        <f>'Foglio deposito bis'!$F$49*IF(ABS(L219)&lt;'Sollecitazioni nel paramento'!$G$58,ABS(L219)*'Sollecitazioni nel paramento'!$G$54,'Sollecitazioni nel paramento'!$G$53)*IF(L219&lt;0,-1,1)</f>
        <v>-204886.47740803001</v>
      </c>
      <c r="S219" s="545">
        <f>'Foglio deposito bis'!$F$50*IF(ABS(M219)&lt;'Sollecitazioni nel paramento'!$G$58,ABS(M219)*'Sollecitazioni nel paramento'!$G$54,'Sollecitazioni nel paramento'!$G$53)*IF(M219&lt;0,-1,1)</f>
        <v>0</v>
      </c>
      <c r="T219" s="545">
        <f>'Foglio deposito bis'!$F$51*IF(ABS(N219)&lt;'Sollecitazioni nel paramento'!$G$58,ABS(N219)*'Sollecitazioni nel paramento'!$G$54,'Sollecitazioni nel paramento'!$G$53)*IF(N219&lt;0,-1,1)</f>
        <v>33504.086441302257</v>
      </c>
      <c r="U219" s="545">
        <f>'Foglio deposito bis'!$F$52*IF(ABS(O219)&lt;'Sollecitazioni nel paramento'!$G$58,ABS(O219)*'Sollecitazioni nel paramento'!$G$54,'Sollecitazioni nel paramento'!$G$53)*IF(O219&lt;0,-1,1)</f>
        <v>151458.28133865821</v>
      </c>
      <c r="V219" s="472">
        <f t="shared" si="20"/>
        <v>-5687713.5504580289</v>
      </c>
      <c r="W219" s="551"/>
      <c r="X219" s="551"/>
    </row>
    <row r="220" spans="1:24" x14ac:dyDescent="0.25">
      <c r="A220" s="545">
        <f t="shared" si="18"/>
        <v>5834070.6437397674</v>
      </c>
      <c r="B220" s="3">
        <f t="shared" si="19"/>
        <v>46.899999999999942</v>
      </c>
      <c r="C220" s="545">
        <f>'Foglio deposito bis'!$E$153/$B$247*B220</f>
        <v>152.01382503252657</v>
      </c>
      <c r="D220" s="603">
        <f>-'Sollecitazioni nel paramento'!$G$47*'Sollecitazioni nel paramento'!$G$41*IF(DATI!$G$211="dx",DATI!$E$61,DATI!$E$64*DATI!$E$63)*1000*C220^2*sezione!$AD$5*(1-sezione!$AD$6)</f>
        <v>-514126274.4822287</v>
      </c>
      <c r="E220" s="545">
        <f>-'Foglio deposito bis'!$F$48*(C220-sezione!$AL$27)*IF(ABS(K220)&lt;'Sollecitazioni nel paramento'!$G$58,ABS(K220)*'Sollecitazioni nel paramento'!$G$54,'Sollecitazioni nel paramento'!$G$53)</f>
        <v>0</v>
      </c>
      <c r="F220" s="545">
        <f>-'Foglio deposito bis'!$F$49*(C220-sezione!$AM$27)*IF(ABS(L220)&lt;'Sollecitazioni nel paramento'!$G$58,ABS(L220)*'Sollecitazioni nel paramento'!$G$54,'Sollecitazioni nel paramento'!$G$53)</f>
        <v>-18852388.483753178</v>
      </c>
      <c r="G220" s="545">
        <f>-'Foglio deposito bis'!$F$50*(C220-sezione!$AN$27)*IF(ABS(M220)&lt;'Sollecitazioni nel paramento'!$G$58,ABS(M220)*'Sollecitazioni nel paramento'!$G$54,'Sollecitazioni nel paramento'!$G$53)</f>
        <v>0</v>
      </c>
      <c r="H220" s="545">
        <f>-'Foglio deposito bis'!$F$51*(C220-sezione!$AO$27)*IF(ABS(N220)&lt;'Sollecitazioni nel paramento'!$G$58,ABS(N220)*'Sollecitazioni nel paramento'!$G$54,'Sollecitazioni nel paramento'!$G$53)</f>
        <v>186266.93286974198</v>
      </c>
      <c r="I220" s="472">
        <f>-'Foglio deposito bis'!$F$52*(C220-sezione!$AP$27)*IF(ABS(O220)&lt;'Sollecitazioni nel paramento'!$G$58,ABS(O220)*'Sollecitazioni nel paramento'!$G$54,'Sollecitazioni nel paramento'!$G$53)</f>
        <v>6593079.601802431</v>
      </c>
      <c r="J220" s="472">
        <f t="shared" si="17"/>
        <v>-526199316.43130976</v>
      </c>
      <c r="K220" s="550">
        <f>'Sollecitazioni nel paramento'!$G$60*(sezione!$AL$27-C220)/C220</f>
        <v>-2.5790311343718633E-3</v>
      </c>
      <c r="L220" s="550">
        <f>'Sollecitazioni nel paramento'!$G$60*(sezione!$AM$27-C220)/C220</f>
        <v>-2.1185467015577956E-3</v>
      </c>
      <c r="M220" s="551">
        <f>'Sollecitazioni nel paramento'!$G$60*(sezione!$AN$27-C220)/C220</f>
        <v>-1.6580622687437274E-3</v>
      </c>
      <c r="N220" s="551">
        <f>'Sollecitazioni nel paramento'!$G$60*(sezione!$AO$27-C220)/C220</f>
        <v>1.8387546251254563E-4</v>
      </c>
      <c r="O220" s="551">
        <f>'Sollecitazioni nel paramento'!$G$60*(sezione!$AP$27-C220)/C220</f>
        <v>1.0939565075061949E-3</v>
      </c>
      <c r="P220" s="545">
        <f>-'Sollecitazioni nel paramento'!$G$47*'Sollecitazioni nel paramento'!$G$41*IF(DATI!$G$211="dx",DATI!$E$61,DATI!$E$64*DATI!$E$63)*1000*C220*sezione!$AD$5</f>
        <v>-5791270.6922641639</v>
      </c>
      <c r="Q220" s="545">
        <f>'Foglio deposito bis'!$F$48*IF(ABS(K220)&lt;'Sollecitazioni nel paramento'!$G$58,ABS(K220)*'Sollecitazioni nel paramento'!$G$54,'Sollecitazioni nel paramento'!$G$53)*IF(K220&lt;0,-1,1)</f>
        <v>0</v>
      </c>
      <c r="R220" s="545">
        <f>'Foglio deposito bis'!$F$49*IF(ABS(L220)&lt;'Sollecitazioni nel paramento'!$G$58,ABS(L220)*'Sollecitazioni nel paramento'!$G$54,'Sollecitazioni nel paramento'!$G$53)*IF(L220&lt;0,-1,1)</f>
        <v>-204886.47740803001</v>
      </c>
      <c r="S220" s="545">
        <f>'Foglio deposito bis'!$F$50*IF(ABS(M220)&lt;'Sollecitazioni nel paramento'!$G$58,ABS(M220)*'Sollecitazioni nel paramento'!$G$54,'Sollecitazioni nel paramento'!$G$53)*IF(M220&lt;0,-1,1)</f>
        <v>0</v>
      </c>
      <c r="T220" s="545">
        <f>'Foglio deposito bis'!$F$51*IF(ABS(N220)&lt;'Sollecitazioni nel paramento'!$G$58,ABS(N220)*'Sollecitazioni nel paramento'!$G$54,'Sollecitazioni nel paramento'!$G$53)*IF(N220&lt;0,-1,1)</f>
        <v>23323.672925822568</v>
      </c>
      <c r="U220" s="545">
        <f>'Foglio deposito bis'!$F$52*IF(ABS(O220)&lt;'Sollecitazioni nel paramento'!$G$58,ABS(O220)*'Sollecitazioni nel paramento'!$G$54,'Sollecitazioni nel paramento'!$G$53)*IF(O220&lt;0,-1,1)</f>
        <v>138762.85300660378</v>
      </c>
      <c r="V220" s="472">
        <f t="shared" si="20"/>
        <v>-5834070.6437397674</v>
      </c>
      <c r="W220" s="551"/>
      <c r="X220" s="551"/>
    </row>
    <row r="221" spans="1:24" x14ac:dyDescent="0.25">
      <c r="A221" s="545">
        <f t="shared" si="18"/>
        <v>5979472.5870487476</v>
      </c>
      <c r="B221" s="3">
        <f t="shared" si="19"/>
        <v>47.899999999999942</v>
      </c>
      <c r="C221" s="545">
        <f>'Foglio deposito bis'!$E$153/$B$247*B221</f>
        <v>155.2550579756508</v>
      </c>
      <c r="D221" s="603">
        <f>-'Sollecitazioni nel paramento'!$G$47*'Sollecitazioni nel paramento'!$G$41*IF(DATI!$G$211="dx",DATI!$E$61,DATI!$E$64*DATI!$E$63)*1000*C221^2*sezione!$AD$5*(1-sezione!$AD$6)</f>
        <v>-536284371.0634023</v>
      </c>
      <c r="E221" s="545">
        <f>-'Foglio deposito bis'!$F$48*(C221-sezione!$AL$27)*IF(ABS(K221)&lt;'Sollecitazioni nel paramento'!$G$58,ABS(K221)*'Sollecitazioni nel paramento'!$G$54,'Sollecitazioni nel paramento'!$G$53)</f>
        <v>0</v>
      </c>
      <c r="F221" s="545">
        <f>-'Foglio deposito bis'!$F$49*(C221-sezione!$AM$27)*IF(ABS(L221)&lt;'Sollecitazioni nel paramento'!$G$58,ABS(L221)*'Sollecitazioni nel paramento'!$G$54,'Sollecitazioni nel paramento'!$G$53)</f>
        <v>-19516473.283928767</v>
      </c>
      <c r="G221" s="545">
        <f>-'Foglio deposito bis'!$F$50*(C221-sezione!$AN$27)*IF(ABS(M221)&lt;'Sollecitazioni nel paramento'!$G$58,ABS(M221)*'Sollecitazioni nel paramento'!$G$54,'Sollecitazioni nel paramento'!$G$53)</f>
        <v>0</v>
      </c>
      <c r="H221" s="545">
        <f>-'Foglio deposito bis'!$F$51*(C221-sezione!$AO$27)*IF(ABS(N221)&lt;'Sollecitazioni nel paramento'!$G$58,ABS(N221)*'Sollecitazioni nel paramento'!$G$54,'Sollecitazioni nel paramento'!$G$53)</f>
        <v>64380.93384687334</v>
      </c>
      <c r="I221" s="472">
        <f>-'Foglio deposito bis'!$F$52*(C221-sezione!$AP$27)*IF(ABS(O221)&lt;'Sollecitazioni nel paramento'!$G$58,ABS(O221)*'Sollecitazioni nel paramento'!$G$54,'Sollecitazioni nel paramento'!$G$53)</f>
        <v>5604731.9051944045</v>
      </c>
      <c r="J221" s="472">
        <f t="shared" si="17"/>
        <v>-550131731.50828981</v>
      </c>
      <c r="K221" s="550">
        <f>'Sollecitazioni nel paramento'!$G$60*(sezione!$AL$27-C221)/C221</f>
        <v>-2.5982580417962505E-3</v>
      </c>
      <c r="L221" s="550">
        <f>'Sollecitazioni nel paramento'!$G$60*(sezione!$AM$27-C221)/C221</f>
        <v>-2.1473870626943759E-3</v>
      </c>
      <c r="M221" s="551">
        <f>'Sollecitazioni nel paramento'!$G$60*(sezione!$AN$27-C221)/C221</f>
        <v>-1.6965160835925011E-3</v>
      </c>
      <c r="N221" s="551">
        <f>'Sollecitazioni nel paramento'!$G$60*(sezione!$AO$27-C221)/C221</f>
        <v>1.0696783281499777E-4</v>
      </c>
      <c r="O221" s="551">
        <f>'Sollecitazioni nel paramento'!$G$60*(sezione!$AP$27-C221)/C221</f>
        <v>9.9804927352903014E-4</v>
      </c>
      <c r="P221" s="545">
        <f>-'Sollecitazioni nel paramento'!$G$47*'Sollecitazioni nel paramento'!$G$41*IF(DATI!$G$211="dx",DATI!$E$61,DATI!$E$64*DATI!$E$63)*1000*C221*sezione!$AD$5</f>
        <v>-5914751.9436983671</v>
      </c>
      <c r="Q221" s="545">
        <f>'Foglio deposito bis'!$F$48*IF(ABS(K221)&lt;'Sollecitazioni nel paramento'!$G$58,ABS(K221)*'Sollecitazioni nel paramento'!$G$54,'Sollecitazioni nel paramento'!$G$53)*IF(K221&lt;0,-1,1)</f>
        <v>0</v>
      </c>
      <c r="R221" s="545">
        <f>'Foglio deposito bis'!$F$49*IF(ABS(L221)&lt;'Sollecitazioni nel paramento'!$G$58,ABS(L221)*'Sollecitazioni nel paramento'!$G$54,'Sollecitazioni nel paramento'!$G$53)*IF(L221&lt;0,-1,1)</f>
        <v>-204886.47740803001</v>
      </c>
      <c r="S221" s="545">
        <f>'Foglio deposito bis'!$F$50*IF(ABS(M221)&lt;'Sollecitazioni nel paramento'!$G$58,ABS(M221)*'Sollecitazioni nel paramento'!$G$54,'Sollecitazioni nel paramento'!$G$53)*IF(M221&lt;0,-1,1)</f>
        <v>0</v>
      </c>
      <c r="T221" s="545">
        <f>'Foglio deposito bis'!$F$51*IF(ABS(N221)&lt;'Sollecitazioni nel paramento'!$G$58,ABS(N221)*'Sollecitazioni nel paramento'!$G$54,'Sollecitazioni nel paramento'!$G$53)*IF(N221&lt;0,-1,1)</f>
        <v>13568.328868191727</v>
      </c>
      <c r="U221" s="545">
        <f>'Foglio deposito bis'!$F$52*IF(ABS(O221)&lt;'Sollecitazioni nel paramento'!$G$58,ABS(O221)*'Sollecitazioni nel paramento'!$G$54,'Sollecitazioni nel paramento'!$G$53)*IF(O221&lt;0,-1,1)</f>
        <v>126597.50518945766</v>
      </c>
      <c r="V221" s="472">
        <f t="shared" si="20"/>
        <v>-5979472.5870487476</v>
      </c>
      <c r="W221" s="551"/>
      <c r="X221" s="551"/>
    </row>
    <row r="222" spans="1:24" x14ac:dyDescent="0.25">
      <c r="A222" s="545">
        <f t="shared" si="18"/>
        <v>6123977.9785428103</v>
      </c>
      <c r="B222" s="3">
        <f t="shared" si="19"/>
        <v>48.899999999999942</v>
      </c>
      <c r="C222" s="545">
        <f>'Foglio deposito bis'!$E$153/$B$247*B222</f>
        <v>158.49629091877506</v>
      </c>
      <c r="D222" s="603">
        <f>-'Sollecitazioni nel paramento'!$G$47*'Sollecitazioni nel paramento'!$G$41*IF(DATI!$G$211="dx",DATI!$E$61,DATI!$E$64*DATI!$E$63)*1000*C222^2*sezione!$AD$5*(1-sezione!$AD$6)</f>
        <v>-558909938.03658414</v>
      </c>
      <c r="E222" s="545">
        <f>-'Foglio deposito bis'!$F$48*(C222-sezione!$AL$27)*IF(ABS(K222)&lt;'Sollecitazioni nel paramento'!$G$58,ABS(K222)*'Sollecitazioni nel paramento'!$G$54,'Sollecitazioni nel paramento'!$G$53)</f>
        <v>0</v>
      </c>
      <c r="F222" s="545">
        <f>-'Foglio deposito bis'!$F$49*(C222-sezione!$AM$27)*IF(ABS(L222)&lt;'Sollecitazioni nel paramento'!$G$58,ABS(L222)*'Sollecitazioni nel paramento'!$G$54,'Sollecitazioni nel paramento'!$G$53)</f>
        <v>-20180558.084104355</v>
      </c>
      <c r="G222" s="545">
        <f>-'Foglio deposito bis'!$F$50*(C222-sezione!$AN$27)*IF(ABS(M222)&lt;'Sollecitazioni nel paramento'!$G$58,ABS(M222)*'Sollecitazioni nel paramento'!$G$54,'Sollecitazioni nel paramento'!$G$53)</f>
        <v>0</v>
      </c>
      <c r="H222" s="545">
        <f>-'Foglio deposito bis'!$F$51*(C222-sezione!$AO$27)*IF(ABS(N222)&lt;'Sollecitazioni nel paramento'!$G$58,ABS(N222)*'Sollecitazioni nel paramento'!$G$54,'Sollecitazioni nel paramento'!$G$53)</f>
        <v>6333.5871438790173</v>
      </c>
      <c r="I222" s="472">
        <f>-'Foglio deposito bis'!$F$52*(C222-sezione!$AP$27)*IF(ABS(O222)&lt;'Sollecitazioni nel paramento'!$G$58,ABS(O222)*'Sollecitazioni nel paramento'!$G$54,'Sollecitazioni nel paramento'!$G$53)</f>
        <v>4715660.967146948</v>
      </c>
      <c r="J222" s="472">
        <f t="shared" si="17"/>
        <v>-574368501.56639755</v>
      </c>
      <c r="K222" s="550">
        <f>'Sollecitazioni nel paramento'!$G$60*(sezione!$AL$27-C222)/C222</f>
        <v>-2.6166985726388632E-3</v>
      </c>
      <c r="L222" s="550">
        <f>'Sollecitazioni nel paramento'!$G$60*(sezione!$AM$27-C222)/C222</f>
        <v>-2.1750478589582949E-3</v>
      </c>
      <c r="M222" s="551">
        <f>'Sollecitazioni nel paramento'!$G$60*(sezione!$AN$27-C222)/C222</f>
        <v>-1.7333971452777265E-3</v>
      </c>
      <c r="N222" s="551">
        <f>'Sollecitazioni nel paramento'!$G$60*(sezione!$AO$27-C222)/C222</f>
        <v>3.3205709444547337E-5</v>
      </c>
      <c r="O222" s="551">
        <f>'Sollecitazioni nel paramento'!$G$60*(sezione!$AP$27-C222)/C222</f>
        <v>9.0606462580859943E-4</v>
      </c>
      <c r="P222" s="545">
        <f>-'Sollecitazioni nel paramento'!$G$47*'Sollecitazioni nel paramento'!$G$41*IF(DATI!$G$211="dx",DATI!$E$61,DATI!$E$64*DATI!$E$63)*1000*C222*sezione!$AD$5</f>
        <v>-6038233.1951325722</v>
      </c>
      <c r="Q222" s="545">
        <f>'Foglio deposito bis'!$F$48*IF(ABS(K222)&lt;'Sollecitazioni nel paramento'!$G$58,ABS(K222)*'Sollecitazioni nel paramento'!$G$54,'Sollecitazioni nel paramento'!$G$53)*IF(K222&lt;0,-1,1)</f>
        <v>0</v>
      </c>
      <c r="R222" s="545">
        <f>'Foglio deposito bis'!$F$49*IF(ABS(L222)&lt;'Sollecitazioni nel paramento'!$G$58,ABS(L222)*'Sollecitazioni nel paramento'!$G$54,'Sollecitazioni nel paramento'!$G$53)*IF(L222&lt;0,-1,1)</f>
        <v>-204886.47740803001</v>
      </c>
      <c r="S222" s="545">
        <f>'Foglio deposito bis'!$F$50*IF(ABS(M222)&lt;'Sollecitazioni nel paramento'!$G$58,ABS(M222)*'Sollecitazioni nel paramento'!$G$54,'Sollecitazioni nel paramento'!$G$53)*IF(M222&lt;0,-1,1)</f>
        <v>0</v>
      </c>
      <c r="T222" s="545">
        <f>'Foglio deposito bis'!$F$51*IF(ABS(N222)&lt;'Sollecitazioni nel paramento'!$G$58,ABS(N222)*'Sollecitazioni nel paramento'!$G$54,'Sollecitazioni nel paramento'!$G$53)*IF(N222&lt;0,-1,1)</f>
        <v>4211.9763875600183</v>
      </c>
      <c r="U222" s="545">
        <f>'Foglio deposito bis'!$F$52*IF(ABS(O222)&lt;'Sollecitazioni nel paramento'!$G$58,ABS(O222)*'Sollecitazioni nel paramento'!$G$54,'Sollecitazioni nel paramento'!$G$53)*IF(O222&lt;0,-1,1)</f>
        <v>114929.71761023156</v>
      </c>
      <c r="V222" s="472">
        <f t="shared" si="20"/>
        <v>-6123977.9785428103</v>
      </c>
      <c r="W222" s="551"/>
      <c r="X222" s="551"/>
    </row>
    <row r="223" spans="1:24" x14ac:dyDescent="0.25">
      <c r="A223" s="545">
        <f t="shared" si="18"/>
        <v>6267640.7191326693</v>
      </c>
      <c r="B223" s="3">
        <f t="shared" si="19"/>
        <v>49.899999999999942</v>
      </c>
      <c r="C223" s="545">
        <f>'Foglio deposito bis'!$E$153/$B$247*B223</f>
        <v>161.73752386189929</v>
      </c>
      <c r="D223" s="603">
        <f>-'Sollecitazioni nel paramento'!$G$47*'Sollecitazioni nel paramento'!$G$41*IF(DATI!$G$211="dx",DATI!$E$61,DATI!$E$64*DATI!$E$63)*1000*C223^2*sezione!$AD$5*(1-sezione!$AD$6)</f>
        <v>-582002975.40177345</v>
      </c>
      <c r="E223" s="545">
        <f>-'Foglio deposito bis'!$F$48*(C223-sezione!$AL$27)*IF(ABS(K223)&lt;'Sollecitazioni nel paramento'!$G$58,ABS(K223)*'Sollecitazioni nel paramento'!$G$54,'Sollecitazioni nel paramento'!$G$53)</f>
        <v>0</v>
      </c>
      <c r="F223" s="545">
        <f>-'Foglio deposito bis'!$F$49*(C223-sezione!$AM$27)*IF(ABS(L223)&lt;'Sollecitazioni nel paramento'!$G$58,ABS(L223)*'Sollecitazioni nel paramento'!$G$54,'Sollecitazioni nel paramento'!$G$53)</f>
        <v>-20844642.88427994</v>
      </c>
      <c r="G223" s="545">
        <f>-'Foglio deposito bis'!$F$50*(C223-sezione!$AN$27)*IF(ABS(M223)&lt;'Sollecitazioni nel paramento'!$G$58,ABS(M223)*'Sollecitazioni nel paramento'!$G$54,'Sollecitazioni nel paramento'!$G$53)</f>
        <v>0</v>
      </c>
      <c r="H223" s="545">
        <f>-'Foglio deposito bis'!$F$51*(C223-sezione!$AO$27)*IF(ABS(N223)&lt;'Sollecitazioni nel paramento'!$G$58,ABS(N223)*'Sollecitazioni nel paramento'!$G$54,'Sollecitazioni nel paramento'!$G$53)</f>
        <v>-8286.8976313086641</v>
      </c>
      <c r="I223" s="472">
        <f>-'Foglio deposito bis'!$F$52*(C223-sezione!$AP$27)*IF(ABS(O223)&lt;'Sollecitazioni nel paramento'!$G$58,ABS(O223)*'Sollecitazioni nel paramento'!$G$54,'Sollecitazioni nel paramento'!$G$53)</f>
        <v>3919898.245061242</v>
      </c>
      <c r="J223" s="472">
        <f t="shared" si="17"/>
        <v>-598936006.93862343</v>
      </c>
      <c r="K223" s="550">
        <f>'Sollecitazioni nel paramento'!$G$60*(sezione!$AL$27-C223)/C223</f>
        <v>-2.634400004048906E-3</v>
      </c>
      <c r="L223" s="550">
        <f>'Sollecitazioni nel paramento'!$G$60*(sezione!$AM$27-C223)/C223</f>
        <v>-2.201600006073359E-3</v>
      </c>
      <c r="M223" s="551">
        <f>'Sollecitazioni nel paramento'!$G$60*(sezione!$AN$27-C223)/C223</f>
        <v>-1.7688000080978122E-3</v>
      </c>
      <c r="N223" s="551">
        <f>'Sollecitazioni nel paramento'!$G$60*(sezione!$AO$27-C223)/C223</f>
        <v>-3.7600016195623888E-5</v>
      </c>
      <c r="O223" s="551">
        <f>'Sollecitazioni nel paramento'!$G$60*(sezione!$AP$27-C223)/C223</f>
        <v>8.1776673751584184E-4</v>
      </c>
      <c r="P223" s="545">
        <f>-'Sollecitazioni nel paramento'!$G$47*'Sollecitazioni nel paramento'!$G$41*IF(DATI!$G$211="dx",DATI!$E$61,DATI!$E$64*DATI!$E$63)*1000*C223*sezione!$AD$5</f>
        <v>-6161714.4465667764</v>
      </c>
      <c r="Q223" s="545">
        <f>'Foglio deposito bis'!$F$48*IF(ABS(K223)&lt;'Sollecitazioni nel paramento'!$G$58,ABS(K223)*'Sollecitazioni nel paramento'!$G$54,'Sollecitazioni nel paramento'!$G$53)*IF(K223&lt;0,-1,1)</f>
        <v>0</v>
      </c>
      <c r="R223" s="545">
        <f>'Foglio deposito bis'!$F$49*IF(ABS(L223)&lt;'Sollecitazioni nel paramento'!$G$58,ABS(L223)*'Sollecitazioni nel paramento'!$G$54,'Sollecitazioni nel paramento'!$G$53)*IF(L223&lt;0,-1,1)</f>
        <v>-204886.47740803001</v>
      </c>
      <c r="S223" s="545">
        <f>'Foglio deposito bis'!$F$50*IF(ABS(M223)&lt;'Sollecitazioni nel paramento'!$G$58,ABS(M223)*'Sollecitazioni nel paramento'!$G$54,'Sollecitazioni nel paramento'!$G$53)*IF(M223&lt;0,-1,1)</f>
        <v>0</v>
      </c>
      <c r="T223" s="545">
        <f>'Foglio deposito bis'!$F$51*IF(ABS(N223)&lt;'Sollecitazioni nel paramento'!$G$58,ABS(N223)*'Sollecitazioni nel paramento'!$G$54,'Sollecitazioni nel paramento'!$G$53)*IF(N223&lt;0,-1,1)</f>
        <v>-4769.3719856314601</v>
      </c>
      <c r="U223" s="545">
        <f>'Foglio deposito bis'!$F$52*IF(ABS(O223)&lt;'Sollecitazioni nel paramento'!$G$58,ABS(O223)*'Sollecitazioni nel paramento'!$G$54,'Sollecitazioni nel paramento'!$G$53)*IF(O223&lt;0,-1,1)</f>
        <v>103729.57682776809</v>
      </c>
      <c r="V223" s="472">
        <f t="shared" si="20"/>
        <v>-6267640.7191326693</v>
      </c>
      <c r="W223" s="551"/>
      <c r="X223" s="551"/>
    </row>
    <row r="224" spans="1:24" x14ac:dyDescent="0.25">
      <c r="A224" s="545">
        <f t="shared" si="18"/>
        <v>6410510.4739010874</v>
      </c>
      <c r="B224" s="3">
        <f t="shared" si="19"/>
        <v>50.899999999999942</v>
      </c>
      <c r="C224" s="545">
        <f>'Foglio deposito bis'!$E$153/$B$247*B224</f>
        <v>164.97875680502352</v>
      </c>
      <c r="D224" s="603">
        <f>-'Sollecitazioni nel paramento'!$G$47*'Sollecitazioni nel paramento'!$G$41*IF(DATI!$G$211="dx",DATI!$E$61,DATI!$E$64*DATI!$E$63)*1000*C224^2*sezione!$AD$5*(1-sezione!$AD$6)</f>
        <v>-605563483.15897059</v>
      </c>
      <c r="E224" s="545">
        <f>-'Foglio deposito bis'!$F$48*(C224-sezione!$AL$27)*IF(ABS(K224)&lt;'Sollecitazioni nel paramento'!$G$58,ABS(K224)*'Sollecitazioni nel paramento'!$G$54,'Sollecitazioni nel paramento'!$G$53)</f>
        <v>0</v>
      </c>
      <c r="F224" s="545">
        <f>-'Foglio deposito bis'!$F$49*(C224-sezione!$AM$27)*IF(ABS(L224)&lt;'Sollecitazioni nel paramento'!$G$58,ABS(L224)*'Sollecitazioni nel paramento'!$G$54,'Sollecitazioni nel paramento'!$G$53)</f>
        <v>-21508727.684455529</v>
      </c>
      <c r="G224" s="545">
        <f>-'Foglio deposito bis'!$F$50*(C224-sezione!$AN$27)*IF(ABS(M224)&lt;'Sollecitazioni nel paramento'!$G$58,ABS(M224)*'Sollecitazioni nel paramento'!$G$54,'Sollecitazioni nel paramento'!$G$53)</f>
        <v>0</v>
      </c>
      <c r="H224" s="545">
        <f>-'Foglio deposito bis'!$F$51*(C224-sezione!$AO$27)*IF(ABS(N224)&lt;'Sollecitazioni nel paramento'!$G$58,ABS(N224)*'Sollecitazioni nel paramento'!$G$54,'Sollecitazioni nel paramento'!$G$53)</f>
        <v>-66704.480798920442</v>
      </c>
      <c r="I224" s="472">
        <f>-'Foglio deposito bis'!$F$52*(C224-sezione!$AP$27)*IF(ABS(O224)&lt;'Sollecitazioni nel paramento'!$G$58,ABS(O224)*'Sollecitazioni nel paramento'!$G$54,'Sollecitazioni nel paramento'!$G$53)</f>
        <v>3211944.2370141926</v>
      </c>
      <c r="J224" s="472">
        <f t="shared" si="17"/>
        <v>-623926971.08721089</v>
      </c>
      <c r="K224" s="550">
        <f>'Sollecitazioni nel paramento'!$G$60*(sezione!$AL$27-C224)/C224</f>
        <v>-2.6514058978789863E-3</v>
      </c>
      <c r="L224" s="550">
        <f>'Sollecitazioni nel paramento'!$G$60*(sezione!$AM$27-C224)/C224</f>
        <v>-2.2271088468184797E-3</v>
      </c>
      <c r="M224" s="551">
        <f>'Sollecitazioni nel paramento'!$G$60*(sezione!$AN$27-C224)/C224</f>
        <v>-1.8028117957579728E-3</v>
      </c>
      <c r="N224" s="551">
        <f>'Sollecitazioni nel paramento'!$G$60*(sezione!$AO$27-C224)/C224</f>
        <v>-1.0562359151594555E-4</v>
      </c>
      <c r="O224" s="551">
        <f>'Sollecitazioni nel paramento'!$G$60*(sezione!$AP$27-C224)/C224</f>
        <v>7.3293831438193556E-4</v>
      </c>
      <c r="P224" s="545">
        <f>-'Sollecitazioni nel paramento'!$G$47*'Sollecitazioni nel paramento'!$G$41*IF(DATI!$G$211="dx",DATI!$E$61,DATI!$E$64*DATI!$E$63)*1000*C224*sezione!$AD$5</f>
        <v>-6285195.6980009796</v>
      </c>
      <c r="Q224" s="545">
        <f>'Foglio deposito bis'!$F$48*IF(ABS(K224)&lt;'Sollecitazioni nel paramento'!$G$58,ABS(K224)*'Sollecitazioni nel paramento'!$G$54,'Sollecitazioni nel paramento'!$G$53)*IF(K224&lt;0,-1,1)</f>
        <v>0</v>
      </c>
      <c r="R224" s="545">
        <f>'Foglio deposito bis'!$F$49*IF(ABS(L224)&lt;'Sollecitazioni nel paramento'!$G$58,ABS(L224)*'Sollecitazioni nel paramento'!$G$54,'Sollecitazioni nel paramento'!$G$53)*IF(L224&lt;0,-1,1)</f>
        <v>-204886.47740803001</v>
      </c>
      <c r="S224" s="545">
        <f>'Foglio deposito bis'!$F$50*IF(ABS(M224)&lt;'Sollecitazioni nel paramento'!$G$58,ABS(M224)*'Sollecitazioni nel paramento'!$G$54,'Sollecitazioni nel paramento'!$G$53)*IF(M224&lt;0,-1,1)</f>
        <v>0</v>
      </c>
      <c r="T224" s="545">
        <f>'Foglio deposito bis'!$F$51*IF(ABS(N224)&lt;'Sollecitazioni nel paramento'!$G$58,ABS(N224)*'Sollecitazioni nel paramento'!$G$54,'Sollecitazioni nel paramento'!$G$53)*IF(N224&lt;0,-1,1)</f>
        <v>-13397.8186545718</v>
      </c>
      <c r="U224" s="545">
        <f>'Foglio deposito bis'!$F$52*IF(ABS(O224)&lt;'Sollecitazioni nel paramento'!$G$58,ABS(O224)*'Sollecitazioni nel paramento'!$G$54,'Sollecitazioni nel paramento'!$G$53)*IF(O224&lt;0,-1,1)</f>
        <v>92969.520162493791</v>
      </c>
      <c r="V224" s="472">
        <f t="shared" si="20"/>
        <v>-6410510.4739010874</v>
      </c>
      <c r="W224" s="551"/>
      <c r="X224" s="551"/>
    </row>
    <row r="225" spans="1:24" x14ac:dyDescent="0.25">
      <c r="A225" s="545">
        <f t="shared" si="18"/>
        <v>6552633.0801787851</v>
      </c>
      <c r="B225" s="3">
        <f t="shared" si="19"/>
        <v>51.899999999999942</v>
      </c>
      <c r="C225" s="545">
        <f>'Foglio deposito bis'!$E$153/$B$247*B225</f>
        <v>168.21998974814775</v>
      </c>
      <c r="D225" s="603">
        <f>-'Sollecitazioni nel paramento'!$G$47*'Sollecitazioni nel paramento'!$G$41*IF(DATI!$G$211="dx",DATI!$E$61,DATI!$E$64*DATI!$E$63)*1000*C225^2*sezione!$AD$5*(1-sezione!$AD$6)</f>
        <v>-629591461.30817568</v>
      </c>
      <c r="E225" s="545">
        <f>-'Foglio deposito bis'!$F$48*(C225-sezione!$AL$27)*IF(ABS(K225)&lt;'Sollecitazioni nel paramento'!$G$58,ABS(K225)*'Sollecitazioni nel paramento'!$G$54,'Sollecitazioni nel paramento'!$G$53)</f>
        <v>0</v>
      </c>
      <c r="F225" s="545">
        <f>-'Foglio deposito bis'!$F$49*(C225-sezione!$AM$27)*IF(ABS(L225)&lt;'Sollecitazioni nel paramento'!$G$58,ABS(L225)*'Sollecitazioni nel paramento'!$G$54,'Sollecitazioni nel paramento'!$G$53)</f>
        <v>-22172812.484631114</v>
      </c>
      <c r="G225" s="545">
        <f>-'Foglio deposito bis'!$F$50*(C225-sezione!$AN$27)*IF(ABS(M225)&lt;'Sollecitazioni nel paramento'!$G$58,ABS(M225)*'Sollecitazioni nel paramento'!$G$54,'Sollecitazioni nel paramento'!$G$53)</f>
        <v>0</v>
      </c>
      <c r="H225" s="545">
        <f>-'Foglio deposito bis'!$F$51*(C225-sezione!$AO$27)*IF(ABS(N225)&lt;'Sollecitazioni nel paramento'!$G$58,ABS(N225)*'Sollecitazioni nel paramento'!$G$54,'Sollecitazioni nel paramento'!$G$53)</f>
        <v>-178322.50585595239</v>
      </c>
      <c r="I225" s="472">
        <f>-'Foglio deposito bis'!$F$52*(C225-sezione!$AP$27)*IF(ABS(O225)&lt;'Sollecitazioni nel paramento'!$G$58,ABS(O225)*'Sollecitazioni nel paramento'!$G$54,'Sollecitazioni nel paramento'!$G$53)</f>
        <v>2586723.2947954698</v>
      </c>
      <c r="J225" s="472">
        <f t="shared" si="17"/>
        <v>-649355873.00386715</v>
      </c>
      <c r="K225" s="550">
        <f>'Sollecitazioni nel paramento'!$G$60*(sezione!$AL$27-C225)/C225</f>
        <v>-2.6677564586134956E-3</v>
      </c>
      <c r="L225" s="550">
        <f>'Sollecitazioni nel paramento'!$G$60*(sezione!$AM$27-C225)/C225</f>
        <v>-2.2516346879202431E-3</v>
      </c>
      <c r="M225" s="551">
        <f>'Sollecitazioni nel paramento'!$G$60*(sezione!$AN$27-C225)/C225</f>
        <v>-1.8355129172269906E-3</v>
      </c>
      <c r="N225" s="551">
        <f>'Sollecitazioni nel paramento'!$G$60*(sezione!$AO$27-C225)/C225</f>
        <v>-1.7102583445398125E-4</v>
      </c>
      <c r="O225" s="551">
        <f>'Sollecitazioni nel paramento'!$G$60*(sezione!$AP$27-C225)/C225</f>
        <v>6.5137880928787129E-4</v>
      </c>
      <c r="P225" s="545">
        <f>-'Sollecitazioni nel paramento'!$G$47*'Sollecitazioni nel paramento'!$G$41*IF(DATI!$G$211="dx",DATI!$E$61,DATI!$E$64*DATI!$E$63)*1000*C225*sezione!$AD$5</f>
        <v>-6408676.9494351838</v>
      </c>
      <c r="Q225" s="545">
        <f>'Foglio deposito bis'!$F$48*IF(ABS(K225)&lt;'Sollecitazioni nel paramento'!$G$58,ABS(K225)*'Sollecitazioni nel paramento'!$G$54,'Sollecitazioni nel paramento'!$G$53)*IF(K225&lt;0,-1,1)</f>
        <v>0</v>
      </c>
      <c r="R225" s="545">
        <f>'Foglio deposito bis'!$F$49*IF(ABS(L225)&lt;'Sollecitazioni nel paramento'!$G$58,ABS(L225)*'Sollecitazioni nel paramento'!$G$54,'Sollecitazioni nel paramento'!$G$53)*IF(L225&lt;0,-1,1)</f>
        <v>-204886.47740803001</v>
      </c>
      <c r="S225" s="545">
        <f>'Foglio deposito bis'!$F$50*IF(ABS(M225)&lt;'Sollecitazioni nel paramento'!$G$58,ABS(M225)*'Sollecitazioni nel paramento'!$G$54,'Sollecitazioni nel paramento'!$G$53)*IF(M225&lt;0,-1,1)</f>
        <v>0</v>
      </c>
      <c r="T225" s="545">
        <f>'Foglio deposito bis'!$F$51*IF(ABS(N225)&lt;'Sollecitazioni nel paramento'!$G$58,ABS(N225)*'Sollecitazioni nel paramento'!$G$54,'Sollecitazioni nel paramento'!$G$53)*IF(N225&lt;0,-1,1)</f>
        <v>-21693.762561703268</v>
      </c>
      <c r="U225" s="545">
        <f>'Foglio deposito bis'!$F$52*IF(ABS(O225)&lt;'Sollecitazioni nel paramento'!$G$58,ABS(O225)*'Sollecitazioni nel paramento'!$G$54,'Sollecitazioni nel paramento'!$G$53)*IF(O225&lt;0,-1,1)</f>
        <v>82624.109226131754</v>
      </c>
      <c r="V225" s="472">
        <f t="shared" si="20"/>
        <v>-6552633.0801787851</v>
      </c>
      <c r="W225" s="551"/>
      <c r="X225" s="551"/>
    </row>
    <row r="226" spans="1:24" x14ac:dyDescent="0.25">
      <c r="A226" s="545">
        <f t="shared" si="18"/>
        <v>6694050.9093357446</v>
      </c>
      <c r="B226" s="3">
        <f t="shared" si="19"/>
        <v>52.899999999999942</v>
      </c>
      <c r="C226" s="545">
        <f>'Foglio deposito bis'!$E$153/$B$247*B226</f>
        <v>171.46122269127198</v>
      </c>
      <c r="D226" s="603">
        <f>-'Sollecitazioni nel paramento'!$G$47*'Sollecitazioni nel paramento'!$G$41*IF(DATI!$G$211="dx",DATI!$E$61,DATI!$E$64*DATI!$E$63)*1000*C226^2*sezione!$AD$5*(1-sezione!$AD$6)</f>
        <v>-654086909.84938872</v>
      </c>
      <c r="E226" s="545">
        <f>-'Foglio deposito bis'!$F$48*(C226-sezione!$AL$27)*IF(ABS(K226)&lt;'Sollecitazioni nel paramento'!$G$58,ABS(K226)*'Sollecitazioni nel paramento'!$G$54,'Sollecitazioni nel paramento'!$G$53)</f>
        <v>0</v>
      </c>
      <c r="F226" s="545">
        <f>-'Foglio deposito bis'!$F$49*(C226-sezione!$AM$27)*IF(ABS(L226)&lt;'Sollecitazioni nel paramento'!$G$58,ABS(L226)*'Sollecitazioni nel paramento'!$G$54,'Sollecitazioni nel paramento'!$G$53)</f>
        <v>-22836897.284806699</v>
      </c>
      <c r="G226" s="545">
        <f>-'Foglio deposito bis'!$F$50*(C226-sezione!$AN$27)*IF(ABS(M226)&lt;'Sollecitazioni nel paramento'!$G$58,ABS(M226)*'Sollecitazioni nel paramento'!$G$54,'Sollecitazioni nel paramento'!$G$53)</f>
        <v>0</v>
      </c>
      <c r="H226" s="545">
        <f>-'Foglio deposito bis'!$F$51*(C226-sezione!$AO$27)*IF(ABS(N226)&lt;'Sollecitazioni nel paramento'!$G$58,ABS(N226)*'Sollecitazioni nel paramento'!$G$54,'Sollecitazioni nel paramento'!$G$53)</f>
        <v>-340123.93450999883</v>
      </c>
      <c r="I226" s="472">
        <f>-'Foglio deposito bis'!$F$52*(C226-sezione!$AP$27)*IF(ABS(O226)&lt;'Sollecitazioni nel paramento'!$G$58,ABS(O226)*'Sollecitazioni nel paramento'!$G$54,'Sollecitazioni nel paramento'!$G$53)</f>
        <v>2039543.5621199156</v>
      </c>
      <c r="J226" s="472">
        <f t="shared" si="17"/>
        <v>-675224387.50658548</v>
      </c>
      <c r="K226" s="550">
        <f>'Sollecitazioni nel paramento'!$G$60*(sezione!$AL$27-C226)/C226</f>
        <v>-2.6834888507001964E-3</v>
      </c>
      <c r="L226" s="550">
        <f>'Sollecitazioni nel paramento'!$G$60*(sezione!$AM$27-C226)/C226</f>
        <v>-2.2752332760502952E-3</v>
      </c>
      <c r="M226" s="551">
        <f>'Sollecitazioni nel paramento'!$G$60*(sezione!$AN$27-C226)/C226</f>
        <v>-1.8669777014003936E-3</v>
      </c>
      <c r="N226" s="551">
        <f>'Sollecitazioni nel paramento'!$G$60*(sezione!$AO$27-C226)/C226</f>
        <v>-2.3395540280078683E-4</v>
      </c>
      <c r="O226" s="551">
        <f>'Sollecitazioni nel paramento'!$G$60*(sezione!$AP$27-C226)/C226</f>
        <v>5.7290283935804403E-4</v>
      </c>
      <c r="P226" s="545">
        <f>-'Sollecitazioni nel paramento'!$G$47*'Sollecitazioni nel paramento'!$G$41*IF(DATI!$G$211="dx",DATI!$E$61,DATI!$E$64*DATI!$E$63)*1000*C226*sezione!$AD$5</f>
        <v>-6532158.200869387</v>
      </c>
      <c r="Q226" s="545">
        <f>'Foglio deposito bis'!$F$48*IF(ABS(K226)&lt;'Sollecitazioni nel paramento'!$G$58,ABS(K226)*'Sollecitazioni nel paramento'!$G$54,'Sollecitazioni nel paramento'!$G$53)*IF(K226&lt;0,-1,1)</f>
        <v>0</v>
      </c>
      <c r="R226" s="545">
        <f>'Foglio deposito bis'!$F$49*IF(ABS(L226)&lt;'Sollecitazioni nel paramento'!$G$58,ABS(L226)*'Sollecitazioni nel paramento'!$G$54,'Sollecitazioni nel paramento'!$G$53)*IF(L226&lt;0,-1,1)</f>
        <v>-204886.47740803001</v>
      </c>
      <c r="S226" s="545">
        <f>'Foglio deposito bis'!$F$50*IF(ABS(M226)&lt;'Sollecitazioni nel paramento'!$G$58,ABS(M226)*'Sollecitazioni nel paramento'!$G$54,'Sollecitazioni nel paramento'!$G$53)*IF(M226&lt;0,-1,1)</f>
        <v>0</v>
      </c>
      <c r="T226" s="545">
        <f>'Foglio deposito bis'!$F$51*IF(ABS(N226)&lt;'Sollecitazioni nel paramento'!$G$58,ABS(N226)*'Sollecitazioni nel paramento'!$G$54,'Sollecitazioni nel paramento'!$G$53)*IF(N226&lt;0,-1,1)</f>
        <v>-29676.060196353392</v>
      </c>
      <c r="U226" s="545">
        <f>'Foglio deposito bis'!$F$52*IF(ABS(O226)&lt;'Sollecitazioni nel paramento'!$G$58,ABS(O226)*'Sollecitazioni nel paramento'!$G$54,'Sollecitazioni nel paramento'!$G$53)*IF(O226&lt;0,-1,1)</f>
        <v>72669.829138025409</v>
      </c>
      <c r="V226" s="472">
        <f t="shared" si="20"/>
        <v>-6694050.9093357446</v>
      </c>
      <c r="W226" s="551"/>
      <c r="X226" s="551"/>
    </row>
    <row r="227" spans="1:24" x14ac:dyDescent="0.25">
      <c r="A227" s="545">
        <f t="shared" si="18"/>
        <v>6834803.1882989137</v>
      </c>
      <c r="B227" s="3">
        <f t="shared" si="19"/>
        <v>53.899999999999942</v>
      </c>
      <c r="C227" s="545">
        <f>'Foglio deposito bis'!$E$153/$B$247*B227</f>
        <v>174.70245563439624</v>
      </c>
      <c r="D227" s="603">
        <f>-'Sollecitazioni nel paramento'!$G$47*'Sollecitazioni nel paramento'!$G$41*IF(DATI!$G$211="dx",DATI!$E$61,DATI!$E$64*DATI!$E$63)*1000*C227^2*sezione!$AD$5*(1-sezione!$AD$6)</f>
        <v>-679049828.78260982</v>
      </c>
      <c r="E227" s="545">
        <f>-'Foglio deposito bis'!$F$48*(C227-sezione!$AL$27)*IF(ABS(K227)&lt;'Sollecitazioni nel paramento'!$G$58,ABS(K227)*'Sollecitazioni nel paramento'!$G$54,'Sollecitazioni nel paramento'!$G$53)</f>
        <v>0</v>
      </c>
      <c r="F227" s="545">
        <f>-'Foglio deposito bis'!$F$49*(C227-sezione!$AM$27)*IF(ABS(L227)&lt;'Sollecitazioni nel paramento'!$G$58,ABS(L227)*'Sollecitazioni nel paramento'!$G$54,'Sollecitazioni nel paramento'!$G$53)</f>
        <v>-23500982.084982291</v>
      </c>
      <c r="G227" s="545">
        <f>-'Foglio deposito bis'!$F$50*(C227-sezione!$AN$27)*IF(ABS(M227)&lt;'Sollecitazioni nel paramento'!$G$58,ABS(M227)*'Sollecitazioni nel paramento'!$G$54,'Sollecitazioni nel paramento'!$G$53)</f>
        <v>0</v>
      </c>
      <c r="H227" s="545">
        <f>-'Foglio deposito bis'!$F$51*(C227-sezione!$AO$27)*IF(ABS(N227)&lt;'Sollecitazioni nel paramento'!$G$58,ABS(N227)*'Sollecitazioni nel paramento'!$G$54,'Sollecitazioni nel paramento'!$G$53)</f>
        <v>-549315.62741428916</v>
      </c>
      <c r="I227" s="472">
        <f>-'Foglio deposito bis'!$F$52*(C227-sezione!$AP$27)*IF(ABS(O227)&lt;'Sollecitazioni nel paramento'!$G$58,ABS(O227)*'Sollecitazioni nel paramento'!$G$54,'Sollecitazioni nel paramento'!$G$53)</f>
        <v>1566061.3724081276</v>
      </c>
      <c r="J227" s="472">
        <f t="shared" si="17"/>
        <v>-701534065.12259829</v>
      </c>
      <c r="K227" s="550">
        <f>'Sollecitazioni nel paramento'!$G$60*(sezione!$AL$27-C227)/C227</f>
        <v>-2.6986374805573359E-3</v>
      </c>
      <c r="L227" s="550">
        <f>'Sollecitazioni nel paramento'!$G$60*(sezione!$AM$27-C227)/C227</f>
        <v>-2.2979562208360043E-3</v>
      </c>
      <c r="M227" s="551">
        <f>'Sollecitazioni nel paramento'!$G$60*(sezione!$AN$27-C227)/C227</f>
        <v>-1.897274961114672E-3</v>
      </c>
      <c r="N227" s="551">
        <f>'Sollecitazioni nel paramento'!$G$60*(sezione!$AO$27-C227)/C227</f>
        <v>-2.9454992222934412E-4</v>
      </c>
      <c r="O227" s="551">
        <f>'Sollecitazioni nel paramento'!$G$60*(sezione!$AP$27-C227)/C227</f>
        <v>4.973387792586363E-4</v>
      </c>
      <c r="P227" s="545">
        <f>-'Sollecitazioni nel paramento'!$G$47*'Sollecitazioni nel paramento'!$G$41*IF(DATI!$G$211="dx",DATI!$E$61,DATI!$E$64*DATI!$E$63)*1000*C227*sezione!$AD$5</f>
        <v>-6655639.452303593</v>
      </c>
      <c r="Q227" s="545">
        <f>'Foglio deposito bis'!$F$48*IF(ABS(K227)&lt;'Sollecitazioni nel paramento'!$G$58,ABS(K227)*'Sollecitazioni nel paramento'!$G$54,'Sollecitazioni nel paramento'!$G$53)*IF(K227&lt;0,-1,1)</f>
        <v>0</v>
      </c>
      <c r="R227" s="545">
        <f>'Foglio deposito bis'!$F$49*IF(ABS(L227)&lt;'Sollecitazioni nel paramento'!$G$58,ABS(L227)*'Sollecitazioni nel paramento'!$G$54,'Sollecitazioni nel paramento'!$G$53)*IF(L227&lt;0,-1,1)</f>
        <v>-204886.47740803001</v>
      </c>
      <c r="S227" s="545">
        <f>'Foglio deposito bis'!$F$50*IF(ABS(M227)&lt;'Sollecitazioni nel paramento'!$G$58,ABS(M227)*'Sollecitazioni nel paramento'!$G$54,'Sollecitazioni nel paramento'!$G$53)*IF(M227&lt;0,-1,1)</f>
        <v>0</v>
      </c>
      <c r="T227" s="545">
        <f>'Foglio deposito bis'!$F$51*IF(ABS(N227)&lt;'Sollecitazioni nel paramento'!$G$58,ABS(N227)*'Sollecitazioni nel paramento'!$G$54,'Sollecitazioni nel paramento'!$G$53)*IF(N227&lt;0,-1,1)</f>
        <v>-37362.168679439565</v>
      </c>
      <c r="U227" s="545">
        <f>'Foglio deposito bis'!$F$52*IF(ABS(O227)&lt;'Sollecitazioni nel paramento'!$G$58,ABS(O227)*'Sollecitazioni nel paramento'!$G$54,'Sollecitazioni nel paramento'!$G$53)*IF(O227&lt;0,-1,1)</f>
        <v>63084.910092149257</v>
      </c>
      <c r="V227" s="472">
        <f t="shared" si="20"/>
        <v>-6834803.1882989137</v>
      </c>
      <c r="W227" s="551"/>
      <c r="X227" s="551"/>
    </row>
    <row r="228" spans="1:24" x14ac:dyDescent="0.25">
      <c r="A228" s="545">
        <f t="shared" si="18"/>
        <v>6974926.285931333</v>
      </c>
      <c r="B228" s="3">
        <f t="shared" si="19"/>
        <v>54.899999999999942</v>
      </c>
      <c r="C228" s="545">
        <f>'Foglio deposito bis'!$E$153/$B$247*B228</f>
        <v>177.94368857752048</v>
      </c>
      <c r="D228" s="603">
        <f>-'Sollecitazioni nel paramento'!$G$47*'Sollecitazioni nel paramento'!$G$41*IF(DATI!$G$211="dx",DATI!$E$61,DATI!$E$64*DATI!$E$63)*1000*C228^2*sezione!$AD$5*(1-sezione!$AD$6)</f>
        <v>-704480218.10783863</v>
      </c>
      <c r="E228" s="545">
        <f>-'Foglio deposito bis'!$F$48*(C228-sezione!$AL$27)*IF(ABS(K228)&lt;'Sollecitazioni nel paramento'!$G$58,ABS(K228)*'Sollecitazioni nel paramento'!$G$54,'Sollecitazioni nel paramento'!$G$53)</f>
        <v>0</v>
      </c>
      <c r="F228" s="545">
        <f>-'Foglio deposito bis'!$F$49*(C228-sezione!$AM$27)*IF(ABS(L228)&lt;'Sollecitazioni nel paramento'!$G$58,ABS(L228)*'Sollecitazioni nel paramento'!$G$54,'Sollecitazioni nel paramento'!$G$53)</f>
        <v>-24165066.885157876</v>
      </c>
      <c r="G228" s="545">
        <f>-'Foglio deposito bis'!$F$50*(C228-sezione!$AN$27)*IF(ABS(M228)&lt;'Sollecitazioni nel paramento'!$G$58,ABS(M228)*'Sollecitazioni nel paramento'!$G$54,'Sollecitazioni nel paramento'!$G$53)</f>
        <v>0</v>
      </c>
      <c r="H228" s="545">
        <f>-'Foglio deposito bis'!$F$51*(C228-sezione!$AO$27)*IF(ABS(N228)&lt;'Sollecitazioni nel paramento'!$G$58,ABS(N228)*'Sollecitazioni nel paramento'!$G$54,'Sollecitazioni nel paramento'!$G$53)</f>
        <v>-803307.952642577</v>
      </c>
      <c r="I228" s="472">
        <f>-'Foglio deposito bis'!$F$52*(C228-sezione!$AP$27)*IF(ABS(O228)&lt;'Sollecitazioni nel paramento'!$G$58,ABS(O228)*'Sollecitazioni nel paramento'!$G$54,'Sollecitazioni nel paramento'!$G$53)</f>
        <v>1162249.5375200182</v>
      </c>
      <c r="J228" s="472">
        <f t="shared" si="17"/>
        <v>-728286343.40811896</v>
      </c>
      <c r="K228" s="550">
        <f>'Sollecitazioni nel paramento'!$G$60*(sezione!$AL$27-C228)/C228</f>
        <v>-2.713234247760299E-3</v>
      </c>
      <c r="L228" s="550">
        <f>'Sollecitazioni nel paramento'!$G$60*(sezione!$AM$27-C228)/C228</f>
        <v>-2.3198513716404484E-3</v>
      </c>
      <c r="M228" s="551">
        <f>'Sollecitazioni nel paramento'!$G$60*(sezione!$AN$27-C228)/C228</f>
        <v>-1.9264684955205981E-3</v>
      </c>
      <c r="N228" s="551">
        <f>'Sollecitazioni nel paramento'!$G$60*(sezione!$AO$27-C228)/C228</f>
        <v>-3.5293699104119576E-4</v>
      </c>
      <c r="O228" s="551">
        <f>'Sollecitazioni nel paramento'!$G$60*(sezione!$AP$27-C228)/C228</f>
        <v>4.2452750823388885E-4</v>
      </c>
      <c r="P228" s="545">
        <f>-'Sollecitazioni nel paramento'!$G$47*'Sollecitazioni nel paramento'!$G$41*IF(DATI!$G$211="dx",DATI!$E$61,DATI!$E$64*DATI!$E$63)*1000*C228*sezione!$AD$5</f>
        <v>-6779120.7037377963</v>
      </c>
      <c r="Q228" s="545">
        <f>'Foglio deposito bis'!$F$48*IF(ABS(K228)&lt;'Sollecitazioni nel paramento'!$G$58,ABS(K228)*'Sollecitazioni nel paramento'!$G$54,'Sollecitazioni nel paramento'!$G$53)*IF(K228&lt;0,-1,1)</f>
        <v>0</v>
      </c>
      <c r="R228" s="545">
        <f>'Foglio deposito bis'!$F$49*IF(ABS(L228)&lt;'Sollecitazioni nel paramento'!$G$58,ABS(L228)*'Sollecitazioni nel paramento'!$G$54,'Sollecitazioni nel paramento'!$G$53)*IF(L228&lt;0,-1,1)</f>
        <v>-204886.47740803001</v>
      </c>
      <c r="S228" s="545">
        <f>'Foglio deposito bis'!$F$50*IF(ABS(M228)&lt;'Sollecitazioni nel paramento'!$G$58,ABS(M228)*'Sollecitazioni nel paramento'!$G$54,'Sollecitazioni nel paramento'!$G$53)*IF(M228&lt;0,-1,1)</f>
        <v>0</v>
      </c>
      <c r="T228" s="545">
        <f>'Foglio deposito bis'!$F$51*IF(ABS(N228)&lt;'Sollecitazioni nel paramento'!$G$58,ABS(N228)*'Sollecitazioni nel paramento'!$G$54,'Sollecitazioni nel paramento'!$G$53)*IF(N228&lt;0,-1,1)</f>
        <v>-44768.27321050068</v>
      </c>
      <c r="U228" s="545">
        <f>'Foglio deposito bis'!$F$52*IF(ABS(O228)&lt;'Sollecitazioni nel paramento'!$G$58,ABS(O228)*'Sollecitazioni nel paramento'!$G$54,'Sollecitazioni nel paramento'!$G$53)*IF(O228&lt;0,-1,1)</f>
        <v>53849.168424993622</v>
      </c>
      <c r="V228" s="472">
        <f t="shared" si="20"/>
        <v>-6974926.285931333</v>
      </c>
      <c r="W228" s="551"/>
      <c r="X228" s="551"/>
    </row>
    <row r="229" spans="1:24" x14ac:dyDescent="0.25">
      <c r="A229" s="545">
        <f t="shared" si="18"/>
        <v>7114453.9686729414</v>
      </c>
      <c r="B229" s="3">
        <f t="shared" si="19"/>
        <v>55.899999999999942</v>
      </c>
      <c r="C229" s="545">
        <f>'Foglio deposito bis'!$E$153/$B$247*B229</f>
        <v>181.18492152064471</v>
      </c>
      <c r="D229" s="603">
        <f>-'Sollecitazioni nel paramento'!$G$47*'Sollecitazioni nel paramento'!$G$41*IF(DATI!$G$211="dx",DATI!$E$61,DATI!$E$64*DATI!$E$63)*1000*C229^2*sezione!$AD$5*(1-sezione!$AD$6)</f>
        <v>-730378077.82507515</v>
      </c>
      <c r="E229" s="545">
        <f>-'Foglio deposito bis'!$F$48*(C229-sezione!$AL$27)*IF(ABS(K229)&lt;'Sollecitazioni nel paramento'!$G$58,ABS(K229)*'Sollecitazioni nel paramento'!$G$54,'Sollecitazioni nel paramento'!$G$53)</f>
        <v>0</v>
      </c>
      <c r="F229" s="545">
        <f>-'Foglio deposito bis'!$F$49*(C229-sezione!$AM$27)*IF(ABS(L229)&lt;'Sollecitazioni nel paramento'!$G$58,ABS(L229)*'Sollecitazioni nel paramento'!$G$54,'Sollecitazioni nel paramento'!$G$53)</f>
        <v>-24829151.685333461</v>
      </c>
      <c r="G229" s="545">
        <f>-'Foglio deposito bis'!$F$50*(C229-sezione!$AN$27)*IF(ABS(M229)&lt;'Sollecitazioni nel paramento'!$G$58,ABS(M229)*'Sollecitazioni nel paramento'!$G$54,'Sollecitazioni nel paramento'!$G$53)</f>
        <v>0</v>
      </c>
      <c r="H229" s="545">
        <f>-'Foglio deposito bis'!$F$51*(C229-sezione!$AO$27)*IF(ABS(N229)&lt;'Sollecitazioni nel paramento'!$G$58,ABS(N229)*'Sollecitazioni nel paramento'!$G$54,'Sollecitazioni nel paramento'!$G$53)</f>
        <v>-1099696.5828787282</v>
      </c>
      <c r="I229" s="472">
        <f>-'Foglio deposito bis'!$F$52*(C229-sezione!$AP$27)*IF(ABS(O229)&lt;'Sollecitazioni nel paramento'!$G$58,ABS(O229)*'Sollecitazioni nel paramento'!$G$54,'Sollecitazioni nel paramento'!$G$53)</f>
        <v>824369.0402020762</v>
      </c>
      <c r="J229" s="472">
        <f t="shared" si="17"/>
        <v>-755482557.05308533</v>
      </c>
      <c r="K229" s="550">
        <f>'Sollecitazioni nel paramento'!$G$60*(sezione!$AL$27-C229)/C229</f>
        <v>-2.7273087692672704E-3</v>
      </c>
      <c r="L229" s="550">
        <f>'Sollecitazioni nel paramento'!$G$60*(sezione!$AM$27-C229)/C229</f>
        <v>-2.3409631539009052E-3</v>
      </c>
      <c r="M229" s="551">
        <f>'Sollecitazioni nel paramento'!$G$60*(sezione!$AN$27-C229)/C229</f>
        <v>-1.9546175385345408E-3</v>
      </c>
      <c r="N229" s="551">
        <f>'Sollecitazioni nel paramento'!$G$60*(sezione!$AO$27-C229)/C229</f>
        <v>-4.0923507706908129E-4</v>
      </c>
      <c r="O229" s="551">
        <f>'Sollecitazioni nel paramento'!$G$60*(sezione!$AP$27-C229)/C229</f>
        <v>3.5432129162863151E-4</v>
      </c>
      <c r="P229" s="545">
        <f>-'Sollecitazioni nel paramento'!$G$47*'Sollecitazioni nel paramento'!$G$41*IF(DATI!$G$211="dx",DATI!$E$61,DATI!$E$64*DATI!$E$63)*1000*C229*sezione!$AD$5</f>
        <v>-6902601.9551720005</v>
      </c>
      <c r="Q229" s="545">
        <f>'Foglio deposito bis'!$F$48*IF(ABS(K229)&lt;'Sollecitazioni nel paramento'!$G$58,ABS(K229)*'Sollecitazioni nel paramento'!$G$54,'Sollecitazioni nel paramento'!$G$53)*IF(K229&lt;0,-1,1)</f>
        <v>0</v>
      </c>
      <c r="R229" s="545">
        <f>'Foglio deposito bis'!$F$49*IF(ABS(L229)&lt;'Sollecitazioni nel paramento'!$G$58,ABS(L229)*'Sollecitazioni nel paramento'!$G$54,'Sollecitazioni nel paramento'!$G$53)*IF(L229&lt;0,-1,1)</f>
        <v>-204886.47740803001</v>
      </c>
      <c r="S229" s="545">
        <f>'Foglio deposito bis'!$F$50*IF(ABS(M229)&lt;'Sollecitazioni nel paramento'!$G$58,ABS(M229)*'Sollecitazioni nel paramento'!$G$54,'Sollecitazioni nel paramento'!$G$53)*IF(M229&lt;0,-1,1)</f>
        <v>0</v>
      </c>
      <c r="T229" s="545">
        <f>'Foglio deposito bis'!$F$51*IF(ABS(N229)&lt;'Sollecitazioni nel paramento'!$G$58,ABS(N229)*'Sollecitazioni nel paramento'!$G$54,'Sollecitazioni nel paramento'!$G$53)*IF(N229&lt;0,-1,1)</f>
        <v>-51909.400835262655</v>
      </c>
      <c r="U229" s="545">
        <f>'Foglio deposito bis'!$F$52*IF(ABS(O229)&lt;'Sollecitazioni nel paramento'!$G$58,ABS(O229)*'Sollecitazioni nel paramento'!$G$54,'Sollecitazioni nel paramento'!$G$53)*IF(O229&lt;0,-1,1)</f>
        <v>44943.864742351609</v>
      </c>
      <c r="V229" s="472">
        <f t="shared" si="20"/>
        <v>-7114453.9686729414</v>
      </c>
      <c r="W229" s="551"/>
      <c r="X229" s="551"/>
    </row>
    <row r="230" spans="1:24" x14ac:dyDescent="0.25">
      <c r="A230" s="545">
        <f t="shared" si="18"/>
        <v>7253417.629224482</v>
      </c>
      <c r="B230" s="3">
        <f t="shared" si="19"/>
        <v>56.899999999999942</v>
      </c>
      <c r="C230" s="545">
        <f>'Foglio deposito bis'!$E$153/$B$247*B230</f>
        <v>184.42615446376894</v>
      </c>
      <c r="D230" s="603">
        <f>-'Sollecitazioni nel paramento'!$G$47*'Sollecitazioni nel paramento'!$G$41*IF(DATI!$G$211="dx",DATI!$E$61,DATI!$E$64*DATI!$E$63)*1000*C230^2*sezione!$AD$5*(1-sezione!$AD$6)</f>
        <v>-756743407.93431962</v>
      </c>
      <c r="E230" s="545">
        <f>-'Foglio deposito bis'!$F$48*(C230-sezione!$AL$27)*IF(ABS(K230)&lt;'Sollecitazioni nel paramento'!$G$58,ABS(K230)*'Sollecitazioni nel paramento'!$G$54,'Sollecitazioni nel paramento'!$G$53)</f>
        <v>0</v>
      </c>
      <c r="F230" s="545">
        <f>-'Foglio deposito bis'!$F$49*(C230-sezione!$AM$27)*IF(ABS(L230)&lt;'Sollecitazioni nel paramento'!$G$58,ABS(L230)*'Sollecitazioni nel paramento'!$G$54,'Sollecitazioni nel paramento'!$G$53)</f>
        <v>-25493236.485509045</v>
      </c>
      <c r="G230" s="545">
        <f>-'Foglio deposito bis'!$F$50*(C230-sezione!$AN$27)*IF(ABS(M230)&lt;'Sollecitazioni nel paramento'!$G$58,ABS(M230)*'Sollecitazioni nel paramento'!$G$54,'Sollecitazioni nel paramento'!$G$53)</f>
        <v>0</v>
      </c>
      <c r="H230" s="545">
        <f>-'Foglio deposito bis'!$F$51*(C230-sezione!$AO$27)*IF(ABS(N230)&lt;'Sollecitazioni nel paramento'!$G$58,ABS(N230)*'Sollecitazioni nel paramento'!$G$54,'Sollecitazioni nel paramento'!$G$53)</f>
        <v>-1436246.2120590589</v>
      </c>
      <c r="I230" s="472">
        <f>-'Foglio deposito bis'!$F$52*(C230-sezione!$AP$27)*IF(ABS(O230)&lt;'Sollecitazioni nel paramento'!$G$58,ABS(O230)*'Sollecitazioni nel paramento'!$G$54,'Sollecitazioni nel paramento'!$G$53)</f>
        <v>548943.71151387086</v>
      </c>
      <c r="J230" s="472">
        <f t="shared" si="17"/>
        <v>-783123946.9203738</v>
      </c>
      <c r="K230" s="550">
        <f>'Sollecitazioni nel paramento'!$G$60*(sezione!$AL$27-C230)/C230</f>
        <v>-2.7408885800007106E-3</v>
      </c>
      <c r="L230" s="550">
        <f>'Sollecitazioni nel paramento'!$G$60*(sezione!$AM$27-C230)/C230</f>
        <v>-2.3613328700010654E-3</v>
      </c>
      <c r="M230" s="551">
        <f>'Sollecitazioni nel paramento'!$G$60*(sezione!$AN$27-C230)/C230</f>
        <v>-1.9817771600014202E-3</v>
      </c>
      <c r="N230" s="551">
        <f>'Sollecitazioni nel paramento'!$G$60*(sezione!$AO$27-C230)/C230</f>
        <v>-4.6355432000284071E-4</v>
      </c>
      <c r="O230" s="551">
        <f>'Sollecitazioni nel paramento'!$G$60*(sezione!$AP$27-C230)/C230</f>
        <v>2.8658278035220572E-4</v>
      </c>
      <c r="P230" s="545">
        <f>-'Sollecitazioni nel paramento'!$G$47*'Sollecitazioni nel paramento'!$G$41*IF(DATI!$G$211="dx",DATI!$E$61,DATI!$E$64*DATI!$E$63)*1000*C230*sezione!$AD$5</f>
        <v>-7026083.2066062037</v>
      </c>
      <c r="Q230" s="545">
        <f>'Foglio deposito bis'!$F$48*IF(ABS(K230)&lt;'Sollecitazioni nel paramento'!$G$58,ABS(K230)*'Sollecitazioni nel paramento'!$G$54,'Sollecitazioni nel paramento'!$G$53)*IF(K230&lt;0,-1,1)</f>
        <v>0</v>
      </c>
      <c r="R230" s="545">
        <f>'Foglio deposito bis'!$F$49*IF(ABS(L230)&lt;'Sollecitazioni nel paramento'!$G$58,ABS(L230)*'Sollecitazioni nel paramento'!$G$54,'Sollecitazioni nel paramento'!$G$53)*IF(L230&lt;0,-1,1)</f>
        <v>-204886.47740803001</v>
      </c>
      <c r="S230" s="545">
        <f>'Foglio deposito bis'!$F$50*IF(ABS(M230)&lt;'Sollecitazioni nel paramento'!$G$58,ABS(M230)*'Sollecitazioni nel paramento'!$G$54,'Sollecitazioni nel paramento'!$G$53)*IF(M230&lt;0,-1,1)</f>
        <v>0</v>
      </c>
      <c r="T230" s="545">
        <f>'Foglio deposito bis'!$F$51*IF(ABS(N230)&lt;'Sollecitazioni nel paramento'!$G$58,ABS(N230)*'Sollecitazioni nel paramento'!$G$54,'Sollecitazioni nel paramento'!$G$53)*IF(N230&lt;0,-1,1)</f>
        <v>-58799.522216623496</v>
      </c>
      <c r="U230" s="545">
        <f>'Foglio deposito bis'!$F$52*IF(ABS(O230)&lt;'Sollecitazioni nel paramento'!$G$58,ABS(O230)*'Sollecitazioni nel paramento'!$G$54,'Sollecitazioni nel paramento'!$G$53)*IF(O230&lt;0,-1,1)</f>
        <v>36351.577006375403</v>
      </c>
      <c r="V230" s="472">
        <f t="shared" si="20"/>
        <v>-7253417.629224482</v>
      </c>
      <c r="W230" s="551"/>
      <c r="X230" s="551"/>
    </row>
    <row r="231" spans="1:24" x14ac:dyDescent="0.25">
      <c r="A231" s="545">
        <f t="shared" si="18"/>
        <v>7391846.4915336277</v>
      </c>
      <c r="B231" s="3">
        <f t="shared" si="19"/>
        <v>57.899999999999942</v>
      </c>
      <c r="C231" s="545">
        <f>'Foglio deposito bis'!$E$153/$B$247*B231</f>
        <v>187.6673874068932</v>
      </c>
      <c r="D231" s="603">
        <f>-'Sollecitazioni nel paramento'!$G$47*'Sollecitazioni nel paramento'!$G$41*IF(DATI!$G$211="dx",DATI!$E$61,DATI!$E$64*DATI!$E$63)*1000*C231^2*sezione!$AD$5*(1-sezione!$AD$6)</f>
        <v>-783576208.43557239</v>
      </c>
      <c r="E231" s="545">
        <f>-'Foglio deposito bis'!$F$48*(C231-sezione!$AL$27)*IF(ABS(K231)&lt;'Sollecitazioni nel paramento'!$G$58,ABS(K231)*'Sollecitazioni nel paramento'!$G$54,'Sollecitazioni nel paramento'!$G$53)</f>
        <v>0</v>
      </c>
      <c r="F231" s="545">
        <f>-'Foglio deposito bis'!$F$49*(C231-sezione!$AM$27)*IF(ABS(L231)&lt;'Sollecitazioni nel paramento'!$G$58,ABS(L231)*'Sollecitazioni nel paramento'!$G$54,'Sollecitazioni nel paramento'!$G$53)</f>
        <v>-26157321.285684638</v>
      </c>
      <c r="G231" s="545">
        <f>-'Foglio deposito bis'!$F$50*(C231-sezione!$AN$27)*IF(ABS(M231)&lt;'Sollecitazioni nel paramento'!$G$58,ABS(M231)*'Sollecitazioni nel paramento'!$G$54,'Sollecitazioni nel paramento'!$G$53)</f>
        <v>0</v>
      </c>
      <c r="H231" s="545">
        <f>-'Foglio deposito bis'!$F$51*(C231-sezione!$AO$27)*IF(ABS(N231)&lt;'Sollecitazioni nel paramento'!$G$58,ABS(N231)*'Sollecitazioni nel paramento'!$G$54,'Sollecitazioni nel paramento'!$G$53)</f>
        <v>-1810875.9594092632</v>
      </c>
      <c r="I231" s="472">
        <f>-'Foglio deposito bis'!$F$52*(C231-sezione!$AP$27)*IF(ABS(O231)&lt;'Sollecitazioni nel paramento'!$G$58,ABS(O231)*'Sollecitazioni nel paramento'!$G$54,'Sollecitazioni nel paramento'!$G$53)</f>
        <v>332737.53235541395</v>
      </c>
      <c r="J231" s="472">
        <f t="shared" si="17"/>
        <v>-811211668.14831078</v>
      </c>
      <c r="K231" s="550">
        <f>'Sollecitazioni nel paramento'!$G$60*(sezione!$AL$27-C231)/C231</f>
        <v>-2.7539993126431848E-3</v>
      </c>
      <c r="L231" s="550">
        <f>'Sollecitazioni nel paramento'!$G$60*(sezione!$AM$27-C231)/C231</f>
        <v>-2.3809989689647778E-3</v>
      </c>
      <c r="M231" s="551">
        <f>'Sollecitazioni nel paramento'!$G$60*(sezione!$AN$27-C231)/C231</f>
        <v>-2.0079986252863704E-3</v>
      </c>
      <c r="N231" s="551">
        <f>'Sollecitazioni nel paramento'!$G$60*(sezione!$AO$27-C231)/C231</f>
        <v>-5.1599725057274032E-4</v>
      </c>
      <c r="O231" s="551">
        <f>'Sollecitazioni nel paramento'!$G$60*(sezione!$AP$27-C231)/C231</f>
        <v>2.2118411402487868E-4</v>
      </c>
      <c r="P231" s="545">
        <f>-'Sollecitazioni nel paramento'!$G$47*'Sollecitazioni nel paramento'!$G$41*IF(DATI!$G$211="dx",DATI!$E$61,DATI!$E$64*DATI!$E$63)*1000*C231*sezione!$AD$5</f>
        <v>-7149564.4580404079</v>
      </c>
      <c r="Q231" s="545">
        <f>'Foglio deposito bis'!$F$48*IF(ABS(K231)&lt;'Sollecitazioni nel paramento'!$G$58,ABS(K231)*'Sollecitazioni nel paramento'!$G$54,'Sollecitazioni nel paramento'!$G$53)*IF(K231&lt;0,-1,1)</f>
        <v>0</v>
      </c>
      <c r="R231" s="545">
        <f>'Foglio deposito bis'!$F$49*IF(ABS(L231)&lt;'Sollecitazioni nel paramento'!$G$58,ABS(L231)*'Sollecitazioni nel paramento'!$G$54,'Sollecitazioni nel paramento'!$G$53)*IF(L231&lt;0,-1,1)</f>
        <v>-204886.47740803001</v>
      </c>
      <c r="S231" s="545">
        <f>'Foglio deposito bis'!$F$50*IF(ABS(M231)&lt;'Sollecitazioni nel paramento'!$G$58,ABS(M231)*'Sollecitazioni nel paramento'!$G$54,'Sollecitazioni nel paramento'!$G$53)*IF(M231&lt;0,-1,1)</f>
        <v>0</v>
      </c>
      <c r="T231" s="545">
        <f>'Foglio deposito bis'!$F$51*IF(ABS(N231)&lt;'Sollecitazioni nel paramento'!$G$58,ABS(N231)*'Sollecitazioni nel paramento'!$G$54,'Sollecitazioni nel paramento'!$G$53)*IF(N231&lt;0,-1,1)</f>
        <v>-65451.642859422718</v>
      </c>
      <c r="U231" s="545">
        <f>'Foglio deposito bis'!$F$52*IF(ABS(O231)&lt;'Sollecitazioni nel paramento'!$G$58,ABS(O231)*'Sollecitazioni nel paramento'!$G$54,'Sollecitazioni nel paramento'!$G$53)*IF(O231&lt;0,-1,1)</f>
        <v>28056.086774232495</v>
      </c>
      <c r="V231" s="472">
        <f t="shared" si="20"/>
        <v>-7391846.4915336277</v>
      </c>
      <c r="W231" s="551"/>
      <c r="X231" s="551"/>
    </row>
    <row r="232" spans="1:24" x14ac:dyDescent="0.25">
      <c r="A232" s="545">
        <f t="shared" si="18"/>
        <v>7529767.7948996536</v>
      </c>
      <c r="B232" s="3">
        <f t="shared" si="19"/>
        <v>58.899999999999942</v>
      </c>
      <c r="C232" s="545">
        <f>'Foglio deposito bis'!$E$153/$B$247*B232</f>
        <v>190.90862035001743</v>
      </c>
      <c r="D232" s="603">
        <f>-'Sollecitazioni nel paramento'!$G$47*'Sollecitazioni nel paramento'!$G$41*IF(DATI!$G$211="dx",DATI!$E$61,DATI!$E$64*DATI!$E$63)*1000*C232^2*sezione!$AD$5*(1-sezione!$AD$6)</f>
        <v>-810876479.32883286</v>
      </c>
      <c r="E232" s="545">
        <f>-'Foglio deposito bis'!$F$48*(C232-sezione!$AL$27)*IF(ABS(K232)&lt;'Sollecitazioni nel paramento'!$G$58,ABS(K232)*'Sollecitazioni nel paramento'!$G$54,'Sollecitazioni nel paramento'!$G$53)</f>
        <v>0</v>
      </c>
      <c r="F232" s="545">
        <f>-'Foglio deposito bis'!$F$49*(C232-sezione!$AM$27)*IF(ABS(L232)&lt;'Sollecitazioni nel paramento'!$G$58,ABS(L232)*'Sollecitazioni nel paramento'!$G$54,'Sollecitazioni nel paramento'!$G$53)</f>
        <v>-26821406.085860223</v>
      </c>
      <c r="G232" s="545">
        <f>-'Foglio deposito bis'!$F$50*(C232-sezione!$AN$27)*IF(ABS(M232)&lt;'Sollecitazioni nel paramento'!$G$58,ABS(M232)*'Sollecitazioni nel paramento'!$G$54,'Sollecitazioni nel paramento'!$G$53)</f>
        <v>0</v>
      </c>
      <c r="H232" s="545">
        <f>-'Foglio deposito bis'!$F$51*(C232-sezione!$AO$27)*IF(ABS(N232)&lt;'Sollecitazioni nel paramento'!$G$58,ABS(N232)*'Sollecitazioni nel paramento'!$G$54,'Sollecitazioni nel paramento'!$G$53)</f>
        <v>-2221646.2603366412</v>
      </c>
      <c r="I232" s="472">
        <f>-'Foglio deposito bis'!$F$52*(C232-sezione!$AP$27)*IF(ABS(O232)&lt;'Sollecitazioni nel paramento'!$G$58,ABS(O232)*'Sollecitazioni nel paramento'!$G$54,'Sollecitazioni nel paramento'!$G$53)</f>
        <v>172734.24723283431</v>
      </c>
      <c r="J232" s="472">
        <f t="shared" si="17"/>
        <v>-839746797.42779696</v>
      </c>
      <c r="K232" s="550">
        <f>'Sollecitazioni nel paramento'!$G$60*(sezione!$AL$27-C232)/C232</f>
        <v>-2.766664859117834E-3</v>
      </c>
      <c r="L232" s="550">
        <f>'Sollecitazioni nel paramento'!$G$60*(sezione!$AM$27-C232)/C232</f>
        <v>-2.399997288676751E-3</v>
      </c>
      <c r="M232" s="551">
        <f>'Sollecitazioni nel paramento'!$G$60*(sezione!$AN$27-C232)/C232</f>
        <v>-2.0333297182356675E-3</v>
      </c>
      <c r="N232" s="551">
        <f>'Sollecitazioni nel paramento'!$G$60*(sezione!$AO$27-C232)/C232</f>
        <v>-5.6665943647133548E-4</v>
      </c>
      <c r="O232" s="551">
        <f>'Sollecitazioni nel paramento'!$G$60*(sezione!$AP$27-C232)/C232</f>
        <v>1.5800611548455825E-4</v>
      </c>
      <c r="P232" s="545">
        <f>-'Sollecitazioni nel paramento'!$G$47*'Sollecitazioni nel paramento'!$G$41*IF(DATI!$G$211="dx",DATI!$E$61,DATI!$E$64*DATI!$E$63)*1000*C232*sezione!$AD$5</f>
        <v>-7273045.709474613</v>
      </c>
      <c r="Q232" s="545">
        <f>'Foglio deposito bis'!$F$48*IF(ABS(K232)&lt;'Sollecitazioni nel paramento'!$G$58,ABS(K232)*'Sollecitazioni nel paramento'!$G$54,'Sollecitazioni nel paramento'!$G$53)*IF(K232&lt;0,-1,1)</f>
        <v>0</v>
      </c>
      <c r="R232" s="545">
        <f>'Foglio deposito bis'!$F$49*IF(ABS(L232)&lt;'Sollecitazioni nel paramento'!$G$58,ABS(L232)*'Sollecitazioni nel paramento'!$G$54,'Sollecitazioni nel paramento'!$G$53)*IF(L232&lt;0,-1,1)</f>
        <v>-204886.47740803001</v>
      </c>
      <c r="S232" s="545">
        <f>'Foglio deposito bis'!$F$50*IF(ABS(M232)&lt;'Sollecitazioni nel paramento'!$G$58,ABS(M232)*'Sollecitazioni nel paramento'!$G$54,'Sollecitazioni nel paramento'!$G$53)*IF(M232&lt;0,-1,1)</f>
        <v>0</v>
      </c>
      <c r="T232" s="545">
        <f>'Foglio deposito bis'!$F$51*IF(ABS(N232)&lt;'Sollecitazioni nel paramento'!$G$58,ABS(N232)*'Sollecitazioni nel paramento'!$G$54,'Sollecitazioni nel paramento'!$G$53)*IF(N232&lt;0,-1,1)</f>
        <v>-71877.88504236452</v>
      </c>
      <c r="U232" s="545">
        <f>'Foglio deposito bis'!$F$52*IF(ABS(O232)&lt;'Sollecitazioni nel paramento'!$G$58,ABS(O232)*'Sollecitazioni nel paramento'!$G$54,'Sollecitazioni nel paramento'!$G$53)*IF(O232&lt;0,-1,1)</f>
        <v>20042.277025354277</v>
      </c>
      <c r="V232" s="472">
        <f t="shared" si="20"/>
        <v>-7529767.7948996536</v>
      </c>
      <c r="W232" s="551"/>
      <c r="X232" s="551"/>
    </row>
    <row r="233" spans="1:24" x14ac:dyDescent="0.25">
      <c r="A233" s="545">
        <f t="shared" si="18"/>
        <v>7667206.9596369015</v>
      </c>
      <c r="B233" s="3">
        <f t="shared" si="19"/>
        <v>59.899999999999942</v>
      </c>
      <c r="C233" s="545">
        <f>'Foglio deposito bis'!$E$153/$B$247*B233</f>
        <v>194.14985329314166</v>
      </c>
      <c r="D233" s="603">
        <f>-'Sollecitazioni nel paramento'!$G$47*'Sollecitazioni nel paramento'!$G$41*IF(DATI!$G$211="dx",DATI!$E$61,DATI!$E$64*DATI!$E$63)*1000*C233^2*sezione!$AD$5*(1-sezione!$AD$6)</f>
        <v>-838644220.61410081</v>
      </c>
      <c r="E233" s="545">
        <f>-'Foglio deposito bis'!$F$48*(C233-sezione!$AL$27)*IF(ABS(K233)&lt;'Sollecitazioni nel paramento'!$G$58,ABS(K233)*'Sollecitazioni nel paramento'!$G$54,'Sollecitazioni nel paramento'!$G$53)</f>
        <v>0</v>
      </c>
      <c r="F233" s="545">
        <f>-'Foglio deposito bis'!$F$49*(C233-sezione!$AM$27)*IF(ABS(L233)&lt;'Sollecitazioni nel paramento'!$G$58,ABS(L233)*'Sollecitazioni nel paramento'!$G$54,'Sollecitazioni nel paramento'!$G$53)</f>
        <v>-27485490.886035807</v>
      </c>
      <c r="G233" s="545">
        <f>-'Foglio deposito bis'!$F$50*(C233-sezione!$AN$27)*IF(ABS(M233)&lt;'Sollecitazioni nel paramento'!$G$58,ABS(M233)*'Sollecitazioni nel paramento'!$G$54,'Sollecitazioni nel paramento'!$G$53)</f>
        <v>0</v>
      </c>
      <c r="H233" s="545">
        <f>-'Foglio deposito bis'!$F$51*(C233-sezione!$AO$27)*IF(ABS(N233)&lt;'Sollecitazioni nel paramento'!$G$58,ABS(N233)*'Sollecitazioni nel paramento'!$G$54,'Sollecitazioni nel paramento'!$G$53)</f>
        <v>-2666747.0704216384</v>
      </c>
      <c r="I233" s="472">
        <f>-'Foglio deposito bis'!$F$52*(C233-sezione!$AP$27)*IF(ABS(O233)&lt;'Sollecitazioni nel paramento'!$G$58,ABS(O233)*'Sollecitazioni nel paramento'!$G$54,'Sollecitazioni nel paramento'!$G$53)</f>
        <v>66119.020050843756</v>
      </c>
      <c r="J233" s="472">
        <f t="shared" si="17"/>
        <v>-868730339.55050743</v>
      </c>
      <c r="K233" s="550">
        <f>'Sollecitazioni nel paramento'!$G$60*(sezione!$AL$27-C233)/C233</f>
        <v>-2.77890751589383E-3</v>
      </c>
      <c r="L233" s="550">
        <f>'Sollecitazioni nel paramento'!$G$60*(sezione!$AM$27-C233)/C233</f>
        <v>-2.4183612738407452E-3</v>
      </c>
      <c r="M233" s="551">
        <f>'Sollecitazioni nel paramento'!$G$60*(sezione!$AN$27-C233)/C233</f>
        <v>-2.0578150317876599E-3</v>
      </c>
      <c r="N233" s="551">
        <f>'Sollecitazioni nel paramento'!$G$60*(sezione!$AO$27-C233)/C233</f>
        <v>-6.1563006357531985E-4</v>
      </c>
      <c r="O233" s="551">
        <f>'Sollecitazioni nel paramento'!$G$60*(sezione!$AP$27-C233)/C233</f>
        <v>9.6937565977303595E-5</v>
      </c>
      <c r="P233" s="545">
        <f>-'Sollecitazioni nel paramento'!$G$47*'Sollecitazioni nel paramento'!$G$41*IF(DATI!$G$211="dx",DATI!$E$61,DATI!$E$64*DATI!$E$63)*1000*C233*sezione!$AD$5</f>
        <v>-7396526.9609088162</v>
      </c>
      <c r="Q233" s="545">
        <f>'Foglio deposito bis'!$F$48*IF(ABS(K233)&lt;'Sollecitazioni nel paramento'!$G$58,ABS(K233)*'Sollecitazioni nel paramento'!$G$54,'Sollecitazioni nel paramento'!$G$53)*IF(K233&lt;0,-1,1)</f>
        <v>0</v>
      </c>
      <c r="R233" s="545">
        <f>'Foglio deposito bis'!$F$49*IF(ABS(L233)&lt;'Sollecitazioni nel paramento'!$G$58,ABS(L233)*'Sollecitazioni nel paramento'!$G$54,'Sollecitazioni nel paramento'!$G$53)*IF(L233&lt;0,-1,1)</f>
        <v>-204886.47740803001</v>
      </c>
      <c r="S233" s="545">
        <f>'Foglio deposito bis'!$F$50*IF(ABS(M233)&lt;'Sollecitazioni nel paramento'!$G$58,ABS(M233)*'Sollecitazioni nel paramento'!$G$54,'Sollecitazioni nel paramento'!$G$53)*IF(M233&lt;0,-1,1)</f>
        <v>0</v>
      </c>
      <c r="T233" s="545">
        <f>'Foglio deposito bis'!$F$51*IF(ABS(N233)&lt;'Sollecitazioni nel paramento'!$G$58,ABS(N233)*'Sollecitazioni nel paramento'!$G$54,'Sollecitazioni nel paramento'!$G$53)*IF(N233&lt;0,-1,1)</f>
        <v>-78089.561543071206</v>
      </c>
      <c r="U233" s="545">
        <f>'Foglio deposito bis'!$F$52*IF(ABS(O233)&lt;'Sollecitazioni nel paramento'!$G$58,ABS(O233)*'Sollecitazioni nel paramento'!$G$54,'Sollecitazioni nel paramento'!$G$53)*IF(O233&lt;0,-1,1)</f>
        <v>12296.040223016234</v>
      </c>
      <c r="V233" s="472">
        <f t="shared" si="20"/>
        <v>-7667206.9596369015</v>
      </c>
      <c r="W233" s="551"/>
      <c r="X233" s="551"/>
    </row>
    <row r="234" spans="1:24" x14ac:dyDescent="0.25">
      <c r="A234" s="545">
        <f t="shared" si="18"/>
        <v>7804187.7364167431</v>
      </c>
      <c r="B234" s="3">
        <f t="shared" si="19"/>
        <v>60.899999999999942</v>
      </c>
      <c r="C234" s="545">
        <f>'Foglio deposito bis'!$E$153/$B$247*B234</f>
        <v>197.39108623626589</v>
      </c>
      <c r="D234" s="603">
        <f>-'Sollecitazioni nel paramento'!$G$47*'Sollecitazioni nel paramento'!$G$41*IF(DATI!$G$211="dx",DATI!$E$61,DATI!$E$64*DATI!$E$63)*1000*C234^2*sezione!$AD$5*(1-sezione!$AD$6)</f>
        <v>-866879432.29137695</v>
      </c>
      <c r="E234" s="545">
        <f>-'Foglio deposito bis'!$F$48*(C234-sezione!$AL$27)*IF(ABS(K234)&lt;'Sollecitazioni nel paramento'!$G$58,ABS(K234)*'Sollecitazioni nel paramento'!$G$54,'Sollecitazioni nel paramento'!$G$53)</f>
        <v>0</v>
      </c>
      <c r="F234" s="545">
        <f>-'Foglio deposito bis'!$F$49*(C234-sezione!$AM$27)*IF(ABS(L234)&lt;'Sollecitazioni nel paramento'!$G$58,ABS(L234)*'Sollecitazioni nel paramento'!$G$54,'Sollecitazioni nel paramento'!$G$53)</f>
        <v>-28149575.686211392</v>
      </c>
      <c r="G234" s="545">
        <f>-'Foglio deposito bis'!$F$50*(C234-sezione!$AN$27)*IF(ABS(M234)&lt;'Sollecitazioni nel paramento'!$G$58,ABS(M234)*'Sollecitazioni nel paramento'!$G$54,'Sollecitazioni nel paramento'!$G$53)</f>
        <v>0</v>
      </c>
      <c r="H234" s="545">
        <f>-'Foglio deposito bis'!$F$51*(C234-sezione!$AO$27)*IF(ABS(N234)&lt;'Sollecitazioni nel paramento'!$G$58,ABS(N234)*'Sollecitazioni nel paramento'!$G$54,'Sollecitazioni nel paramento'!$G$53)</f>
        <v>-3144487.2315776721</v>
      </c>
      <c r="I234" s="472">
        <f>-'Foglio deposito bis'!$F$52*(C234-sezione!$AP$27)*IF(ABS(O234)&lt;'Sollecitazioni nel paramento'!$G$58,ABS(O234)*'Sollecitazioni nel paramento'!$G$54,'Sollecitazioni nel paramento'!$G$53)</f>
        <v>10261.897216309848</v>
      </c>
      <c r="J234" s="472">
        <f t="shared" si="17"/>
        <v>-898163233.31194961</v>
      </c>
      <c r="K234" s="550">
        <f>'Sollecitazioni nel paramento'!$G$60*(sezione!$AL$27-C234)/C234</f>
        <v>-2.790748114976033E-3</v>
      </c>
      <c r="L234" s="550">
        <f>'Sollecitazioni nel paramento'!$G$60*(sezione!$AM$27-C234)/C234</f>
        <v>-2.4361221724640498E-3</v>
      </c>
      <c r="M234" s="551">
        <f>'Sollecitazioni nel paramento'!$G$60*(sezione!$AN$27-C234)/C234</f>
        <v>-2.081496229952066E-3</v>
      </c>
      <c r="N234" s="551">
        <f>'Sollecitazioni nel paramento'!$G$60*(sezione!$AO$27-C234)/C234</f>
        <v>-6.6299245990413219E-4</v>
      </c>
      <c r="O234" s="551">
        <f>'Sollecitazioni nel paramento'!$G$60*(sezione!$AP$27-C234)/C234</f>
        <v>3.7874551757643484E-5</v>
      </c>
      <c r="P234" s="545">
        <f>-'Sollecitazioni nel paramento'!$G$47*'Sollecitazioni nel paramento'!$G$41*IF(DATI!$G$211="dx",DATI!$E$61,DATI!$E$64*DATI!$E$63)*1000*C234*sezione!$AD$5</f>
        <v>-7520008.2123430204</v>
      </c>
      <c r="Q234" s="545">
        <f>'Foglio deposito bis'!$F$48*IF(ABS(K234)&lt;'Sollecitazioni nel paramento'!$G$58,ABS(K234)*'Sollecitazioni nel paramento'!$G$54,'Sollecitazioni nel paramento'!$G$53)*IF(K234&lt;0,-1,1)</f>
        <v>0</v>
      </c>
      <c r="R234" s="545">
        <f>'Foglio deposito bis'!$F$49*IF(ABS(L234)&lt;'Sollecitazioni nel paramento'!$G$58,ABS(L234)*'Sollecitazioni nel paramento'!$G$54,'Sollecitazioni nel paramento'!$G$53)*IF(L234&lt;0,-1,1)</f>
        <v>-204886.47740803001</v>
      </c>
      <c r="S234" s="545">
        <f>'Foglio deposito bis'!$F$50*IF(ABS(M234)&lt;'Sollecitazioni nel paramento'!$G$58,ABS(M234)*'Sollecitazioni nel paramento'!$G$54,'Sollecitazioni nel paramento'!$G$53)*IF(M234&lt;0,-1,1)</f>
        <v>0</v>
      </c>
      <c r="T234" s="545">
        <f>'Foglio deposito bis'!$F$51*IF(ABS(N234)&lt;'Sollecitazioni nel paramento'!$G$58,ABS(N234)*'Sollecitazioni nel paramento'!$G$54,'Sollecitazioni nel paramento'!$G$53)*IF(N234&lt;0,-1,1)</f>
        <v>-84097.242099583906</v>
      </c>
      <c r="U234" s="545">
        <f>'Foglio deposito bis'!$F$52*IF(ABS(O234)&lt;'Sollecitazioni nel paramento'!$G$58,ABS(O234)*'Sollecitazioni nel paramento'!$G$54,'Sollecitazioni nel paramento'!$G$53)*IF(O234&lt;0,-1,1)</f>
        <v>4804.1954338912583</v>
      </c>
      <c r="V234" s="472">
        <f t="shared" si="20"/>
        <v>-7804187.7364167431</v>
      </c>
      <c r="W234" s="551"/>
      <c r="X234" s="551"/>
    </row>
    <row r="235" spans="1:24" x14ac:dyDescent="0.25">
      <c r="A235" s="545">
        <f t="shared" si="18"/>
        <v>7940732.3411337212</v>
      </c>
      <c r="B235" s="3">
        <f t="shared" si="19"/>
        <v>61.899999999999942</v>
      </c>
      <c r="C235" s="545">
        <f>'Foglio deposito bis'!$E$153/$B$247*B235</f>
        <v>200.63231917939015</v>
      </c>
      <c r="D235" s="603">
        <f>-'Sollecitazioni nel paramento'!$G$47*'Sollecitazioni nel paramento'!$G$41*IF(DATI!$G$211="dx",DATI!$E$61,DATI!$E$64*DATI!$E$63)*1000*C235^2*sezione!$AD$5*(1-sezione!$AD$6)</f>
        <v>-895582114.36066115</v>
      </c>
      <c r="E235" s="545">
        <f>-'Foglio deposito bis'!$F$48*(C235-sezione!$AL$27)*IF(ABS(K235)&lt;'Sollecitazioni nel paramento'!$G$58,ABS(K235)*'Sollecitazioni nel paramento'!$G$54,'Sollecitazioni nel paramento'!$G$53)</f>
        <v>0</v>
      </c>
      <c r="F235" s="545">
        <f>-'Foglio deposito bis'!$F$49*(C235-sezione!$AM$27)*IF(ABS(L235)&lt;'Sollecitazioni nel paramento'!$G$58,ABS(L235)*'Sollecitazioni nel paramento'!$G$54,'Sollecitazioni nel paramento'!$G$53)</f>
        <v>-28813660.486386985</v>
      </c>
      <c r="G235" s="545">
        <f>-'Foglio deposito bis'!$F$50*(C235-sezione!$AN$27)*IF(ABS(M235)&lt;'Sollecitazioni nel paramento'!$G$58,ABS(M235)*'Sollecitazioni nel paramento'!$G$54,'Sollecitazioni nel paramento'!$G$53)</f>
        <v>0</v>
      </c>
      <c r="H235" s="545">
        <f>-'Foglio deposito bis'!$F$51*(C235-sezione!$AO$27)*IF(ABS(N235)&lt;'Sollecitazioni nel paramento'!$G$58,ABS(N235)*'Sollecitazioni nel paramento'!$G$54,'Sollecitazioni nel paramento'!$G$53)</f>
        <v>-3653284.8689547782</v>
      </c>
      <c r="I235" s="472">
        <f>-'Foglio deposito bis'!$F$52*(C235-sezione!$AP$27)*IF(ABS(O235)&lt;'Sollecitazioni nel paramento'!$G$58,ABS(O235)*'Sollecitazioni nel paramento'!$G$54,'Sollecitazioni nel paramento'!$G$53)</f>
        <v>-2702.8736720054394</v>
      </c>
      <c r="J235" s="472">
        <f t="shared" si="17"/>
        <v>-928051762.58967495</v>
      </c>
      <c r="K235" s="550">
        <f>'Sollecitazioni nel paramento'!$G$60*(sezione!$AL$27-C235)/C235</f>
        <v>-2.8022061421977456E-3</v>
      </c>
      <c r="L235" s="550">
        <f>'Sollecitazioni nel paramento'!$G$60*(sezione!$AM$27-C235)/C235</f>
        <v>-2.4533092132966177E-3</v>
      </c>
      <c r="M235" s="551">
        <f>'Sollecitazioni nel paramento'!$G$60*(sezione!$AN$27-C235)/C235</f>
        <v>-2.1044122843954902E-3</v>
      </c>
      <c r="N235" s="551">
        <f>'Sollecitazioni nel paramento'!$G$60*(sezione!$AO$27-C235)/C235</f>
        <v>-7.0882456879098018E-4</v>
      </c>
      <c r="O235" s="551">
        <f>'Sollecitazioni nel paramento'!$G$60*(sezione!$AP$27-C235)/C235</f>
        <v>-1.928012597672922E-5</v>
      </c>
      <c r="P235" s="545">
        <f>-'Sollecitazioni nel paramento'!$G$47*'Sollecitazioni nel paramento'!$G$41*IF(DATI!$G$211="dx",DATI!$E$61,DATI!$E$64*DATI!$E$63)*1000*C235*sezione!$AD$5</f>
        <v>-7643489.4637772245</v>
      </c>
      <c r="Q235" s="545">
        <f>'Foglio deposito bis'!$F$48*IF(ABS(K235)&lt;'Sollecitazioni nel paramento'!$G$58,ABS(K235)*'Sollecitazioni nel paramento'!$G$54,'Sollecitazioni nel paramento'!$G$53)*IF(K235&lt;0,-1,1)</f>
        <v>0</v>
      </c>
      <c r="R235" s="545">
        <f>'Foglio deposito bis'!$F$49*IF(ABS(L235)&lt;'Sollecitazioni nel paramento'!$G$58,ABS(L235)*'Sollecitazioni nel paramento'!$G$54,'Sollecitazioni nel paramento'!$G$53)*IF(L235&lt;0,-1,1)</f>
        <v>-204886.47740803001</v>
      </c>
      <c r="S235" s="545">
        <f>'Foglio deposito bis'!$F$50*IF(ABS(M235)&lt;'Sollecitazioni nel paramento'!$G$58,ABS(M235)*'Sollecitazioni nel paramento'!$G$54,'Sollecitazioni nel paramento'!$G$53)*IF(M235&lt;0,-1,1)</f>
        <v>0</v>
      </c>
      <c r="T235" s="545">
        <f>'Foglio deposito bis'!$F$51*IF(ABS(N235)&lt;'Sollecitazioni nel paramento'!$G$58,ABS(N235)*'Sollecitazioni nel paramento'!$G$54,'Sollecitazioni nel paramento'!$G$53)*IF(N235&lt;0,-1,1)</f>
        <v>-89910.813429714981</v>
      </c>
      <c r="U235" s="545">
        <f>'Foglio deposito bis'!$F$52*IF(ABS(O235)&lt;'Sollecitazioni nel paramento'!$G$58,ABS(O235)*'Sollecitazioni nel paramento'!$G$54,'Sollecitazioni nel paramento'!$G$53)*IF(O235&lt;0,-1,1)</f>
        <v>-2445.5865187515506</v>
      </c>
      <c r="V235" s="472">
        <f t="shared" si="20"/>
        <v>-7940732.3411337212</v>
      </c>
      <c r="W235" s="551"/>
      <c r="X235" s="551"/>
    </row>
    <row r="236" spans="1:24" x14ac:dyDescent="0.25">
      <c r="A236" s="545">
        <f t="shared" si="18"/>
        <v>8076861.5769068915</v>
      </c>
      <c r="B236" s="3">
        <f t="shared" si="19"/>
        <v>62.899999999999942</v>
      </c>
      <c r="C236" s="545">
        <f>'Foglio deposito bis'!$E$153/$B$247*B236</f>
        <v>203.87355212251438</v>
      </c>
      <c r="D236" s="603">
        <f>-'Sollecitazioni nel paramento'!$G$47*'Sollecitazioni nel paramento'!$G$41*IF(DATI!$G$211="dx",DATI!$E$61,DATI!$E$64*DATI!$E$63)*1000*C236^2*sezione!$AD$5*(1-sezione!$AD$6)</f>
        <v>-924752266.82195294</v>
      </c>
      <c r="E236" s="545">
        <f>-'Foglio deposito bis'!$F$48*(C236-sezione!$AL$27)*IF(ABS(K236)&lt;'Sollecitazioni nel paramento'!$G$58,ABS(K236)*'Sollecitazioni nel paramento'!$G$54,'Sollecitazioni nel paramento'!$G$53)</f>
        <v>0</v>
      </c>
      <c r="F236" s="545">
        <f>-'Foglio deposito bis'!$F$49*(C236-sezione!$AM$27)*IF(ABS(L236)&lt;'Sollecitazioni nel paramento'!$G$58,ABS(L236)*'Sollecitazioni nel paramento'!$G$54,'Sollecitazioni nel paramento'!$G$53)</f>
        <v>-29477745.286562569</v>
      </c>
      <c r="G236" s="545">
        <f>-'Foglio deposito bis'!$F$50*(C236-sezione!$AN$27)*IF(ABS(M236)&lt;'Sollecitazioni nel paramento'!$G$58,ABS(M236)*'Sollecitazioni nel paramento'!$G$54,'Sollecitazioni nel paramento'!$G$53)</f>
        <v>0</v>
      </c>
      <c r="H236" s="545">
        <f>-'Foglio deposito bis'!$F$51*(C236-sezione!$AO$27)*IF(ABS(N236)&lt;'Sollecitazioni nel paramento'!$G$58,ABS(N236)*'Sollecitazioni nel paramento'!$G$54,'Sollecitazioni nel paramento'!$G$53)</f>
        <v>-4191658.7038778551</v>
      </c>
      <c r="I236" s="472">
        <f>-'Foglio deposito bis'!$F$52*(C236-sezione!$AP$27)*IF(ABS(O236)&lt;'Sollecitazioni nel paramento'!$G$58,ABS(O236)*'Sollecitazioni nel paramento'!$G$54,'Sollecitazioni nel paramento'!$G$53)</f>
        <v>-41138.383474040529</v>
      </c>
      <c r="J236" s="472">
        <f t="shared" si="17"/>
        <v>-958462809.1958673</v>
      </c>
      <c r="K236" s="550">
        <f>'Sollecitazioni nel paramento'!$G$60*(sezione!$AL$27-C236)/C236</f>
        <v>-2.8132998442295773E-3</v>
      </c>
      <c r="L236" s="550">
        <f>'Sollecitazioni nel paramento'!$G$60*(sezione!$AM$27-C236)/C236</f>
        <v>-2.4699497663443664E-3</v>
      </c>
      <c r="M236" s="551">
        <f>'Sollecitazioni nel paramento'!$G$60*(sezione!$AN$27-C236)/C236</f>
        <v>-2.126599688459155E-3</v>
      </c>
      <c r="N236" s="551">
        <f>'Sollecitazioni nel paramento'!$G$60*(sezione!$AO$27-C236)/C236</f>
        <v>-7.5319937691830958E-4</v>
      </c>
      <c r="O236" s="551">
        <f>'Sollecitazioni nel paramento'!$G$60*(sezione!$AP$27-C236)/C236</f>
        <v>-7.4617484864221534E-5</v>
      </c>
      <c r="P236" s="545">
        <f>-'Sollecitazioni nel paramento'!$G$47*'Sollecitazioni nel paramento'!$G$41*IF(DATI!$G$211="dx",DATI!$E$61,DATI!$E$64*DATI!$E$63)*1000*C236*sezione!$AD$5</f>
        <v>-7766970.7152114296</v>
      </c>
      <c r="Q236" s="545">
        <f>'Foglio deposito bis'!$F$48*IF(ABS(K236)&lt;'Sollecitazioni nel paramento'!$G$58,ABS(K236)*'Sollecitazioni nel paramento'!$G$54,'Sollecitazioni nel paramento'!$G$53)*IF(K236&lt;0,-1,1)</f>
        <v>0</v>
      </c>
      <c r="R236" s="545">
        <f>'Foglio deposito bis'!$F$49*IF(ABS(L236)&lt;'Sollecitazioni nel paramento'!$G$58,ABS(L236)*'Sollecitazioni nel paramento'!$G$54,'Sollecitazioni nel paramento'!$G$53)*IF(L236&lt;0,-1,1)</f>
        <v>-204886.47740803001</v>
      </c>
      <c r="S236" s="545">
        <f>'Foglio deposito bis'!$F$50*IF(ABS(M236)&lt;'Sollecitazioni nel paramento'!$G$58,ABS(M236)*'Sollecitazioni nel paramento'!$G$54,'Sollecitazioni nel paramento'!$G$53)*IF(M236&lt;0,-1,1)</f>
        <v>0</v>
      </c>
      <c r="T236" s="545">
        <f>'Foglio deposito bis'!$F$51*IF(ABS(N236)&lt;'Sollecitazioni nel paramento'!$G$58,ABS(N236)*'Sollecitazioni nel paramento'!$G$54,'Sollecitazioni nel paramento'!$G$53)*IF(N236&lt;0,-1,1)</f>
        <v>-95539.533525183651</v>
      </c>
      <c r="U236" s="545">
        <f>'Foglio deposito bis'!$F$52*IF(ABS(O236)&lt;'Sollecitazioni nel paramento'!$G$58,ABS(O236)*'Sollecitazioni nel paramento'!$G$54,'Sollecitazioni nel paramento'!$G$53)*IF(O236&lt;0,-1,1)</f>
        <v>-9464.8507622482612</v>
      </c>
      <c r="V236" s="472">
        <f t="shared" si="20"/>
        <v>-8076861.5769068915</v>
      </c>
      <c r="W236" s="551"/>
      <c r="X236" s="551"/>
    </row>
    <row r="237" spans="1:24" x14ac:dyDescent="0.25">
      <c r="A237" s="545">
        <f t="shared" si="18"/>
        <v>8212594.9446256328</v>
      </c>
      <c r="B237" s="3">
        <f t="shared" si="19"/>
        <v>63.899999999999942</v>
      </c>
      <c r="C237" s="545">
        <f>'Foglio deposito bis'!$E$153/$B$247*B237</f>
        <v>207.11478506563861</v>
      </c>
      <c r="D237" s="603">
        <f>-'Sollecitazioni nel paramento'!$G$47*'Sollecitazioni nel paramento'!$G$41*IF(DATI!$G$211="dx",DATI!$E$61,DATI!$E$64*DATI!$E$63)*1000*C237^2*sezione!$AD$5*(1-sezione!$AD$6)</f>
        <v>-954389889.67525268</v>
      </c>
      <c r="E237" s="545">
        <f>-'Foglio deposito bis'!$F$48*(C237-sezione!$AL$27)*IF(ABS(K237)&lt;'Sollecitazioni nel paramento'!$G$58,ABS(K237)*'Sollecitazioni nel paramento'!$G$54,'Sollecitazioni nel paramento'!$G$53)</f>
        <v>0</v>
      </c>
      <c r="F237" s="545">
        <f>-'Foglio deposito bis'!$F$49*(C237-sezione!$AM$27)*IF(ABS(L237)&lt;'Sollecitazioni nel paramento'!$G$58,ABS(L237)*'Sollecitazioni nel paramento'!$G$54,'Sollecitazioni nel paramento'!$G$53)</f>
        <v>-30141830.086738154</v>
      </c>
      <c r="G237" s="545">
        <f>-'Foglio deposito bis'!$F$50*(C237-sezione!$AN$27)*IF(ABS(M237)&lt;'Sollecitazioni nel paramento'!$G$58,ABS(M237)*'Sollecitazioni nel paramento'!$G$54,'Sollecitazioni nel paramento'!$G$53)</f>
        <v>0</v>
      </c>
      <c r="H237" s="545">
        <f>-'Foglio deposito bis'!$F$51*(C237-sezione!$AO$27)*IF(ABS(N237)&lt;'Sollecitazioni nel paramento'!$G$58,ABS(N237)*'Sollecitazioni nel paramento'!$G$54,'Sollecitazioni nel paramento'!$G$53)</f>
        <v>-4758220.1824715119</v>
      </c>
      <c r="I237" s="472">
        <f>-'Foglio deposito bis'!$F$52*(C237-sezione!$AP$27)*IF(ABS(O237)&lt;'Sollecitazioni nel paramento'!$G$58,ABS(O237)*'Sollecitazioni nel paramento'!$G$54,'Sollecitazioni nel paramento'!$G$53)</f>
        <v>-123409.05885967593</v>
      </c>
      <c r="J237" s="472">
        <f t="shared" si="17"/>
        <v>-989413349.00332201</v>
      </c>
      <c r="K237" s="550">
        <f>'Sollecitazioni nel paramento'!$G$60*(sezione!$AL$27-C237)/C237</f>
        <v>-2.8240463255405387E-3</v>
      </c>
      <c r="L237" s="550">
        <f>'Sollecitazioni nel paramento'!$G$60*(sezione!$AM$27-C237)/C237</f>
        <v>-2.4860694883108081E-3</v>
      </c>
      <c r="M237" s="551">
        <f>'Sollecitazioni nel paramento'!$G$60*(sezione!$AN$27-C237)/C237</f>
        <v>-2.1480926510810774E-3</v>
      </c>
      <c r="N237" s="551">
        <f>'Sollecitazioni nel paramento'!$G$60*(sezione!$AO$27-C237)/C237</f>
        <v>-7.9618530216215438E-4</v>
      </c>
      <c r="O237" s="551">
        <f>'Sollecitazioni nel paramento'!$G$60*(sezione!$AP$27-C237)/C237</f>
        <v>-1.2822284503849032E-4</v>
      </c>
      <c r="P237" s="545">
        <f>-'Sollecitazioni nel paramento'!$G$47*'Sollecitazioni nel paramento'!$G$41*IF(DATI!$G$211="dx",DATI!$E$61,DATI!$E$64*DATI!$E$63)*1000*C237*sezione!$AD$5</f>
        <v>-7890451.9666456329</v>
      </c>
      <c r="Q237" s="545">
        <f>'Foglio deposito bis'!$F$48*IF(ABS(K237)&lt;'Sollecitazioni nel paramento'!$G$58,ABS(K237)*'Sollecitazioni nel paramento'!$G$54,'Sollecitazioni nel paramento'!$G$53)*IF(K237&lt;0,-1,1)</f>
        <v>0</v>
      </c>
      <c r="R237" s="545">
        <f>'Foglio deposito bis'!$F$49*IF(ABS(L237)&lt;'Sollecitazioni nel paramento'!$G$58,ABS(L237)*'Sollecitazioni nel paramento'!$G$54,'Sollecitazioni nel paramento'!$G$53)*IF(L237&lt;0,-1,1)</f>
        <v>-204886.47740803001</v>
      </c>
      <c r="S237" s="545">
        <f>'Foglio deposito bis'!$F$50*IF(ABS(M237)&lt;'Sollecitazioni nel paramento'!$G$58,ABS(M237)*'Sollecitazioni nel paramento'!$G$54,'Sollecitazioni nel paramento'!$G$53)*IF(M237&lt;0,-1,1)</f>
        <v>0</v>
      </c>
      <c r="T237" s="545">
        <f>'Foglio deposito bis'!$F$51*IF(ABS(N237)&lt;'Sollecitazioni nel paramento'!$G$58,ABS(N237)*'Sollecitazioni nel paramento'!$G$54,'Sollecitazioni nel paramento'!$G$53)*IF(N237&lt;0,-1,1)</f>
        <v>-100992.08084771122</v>
      </c>
      <c r="U237" s="545">
        <f>'Foglio deposito bis'!$F$52*IF(ABS(O237)&lt;'Sollecitazioni nel paramento'!$G$58,ABS(O237)*'Sollecitazioni nel paramento'!$G$54,'Sollecitazioni nel paramento'!$G$53)*IF(O237&lt;0,-1,1)</f>
        <v>-16264.41972425838</v>
      </c>
      <c r="V237" s="472">
        <f t="shared" si="20"/>
        <v>-8212594.9446256328</v>
      </c>
      <c r="W237" s="551"/>
      <c r="X237" s="551"/>
    </row>
    <row r="238" spans="1:24" x14ac:dyDescent="0.25">
      <c r="A238" s="545">
        <f t="shared" si="18"/>
        <v>8347950.7432755139</v>
      </c>
      <c r="B238" s="3">
        <f t="shared" si="19"/>
        <v>64.899999999999949</v>
      </c>
      <c r="C238" s="545">
        <f>'Foglio deposito bis'!$E$153/$B$247*B238</f>
        <v>210.35601800876287</v>
      </c>
      <c r="D238" s="603">
        <f>-'Sollecitazioni nel paramento'!$G$47*'Sollecitazioni nel paramento'!$G$41*IF(DATI!$G$211="dx",DATI!$E$61,DATI!$E$64*DATI!$E$63)*1000*C238^2*sezione!$AD$5*(1-sezione!$AD$6)</f>
        <v>-984494982.92056048</v>
      </c>
      <c r="E238" s="545">
        <f>-'Foglio deposito bis'!$F$48*(C238-sezione!$AL$27)*IF(ABS(K238)&lt;'Sollecitazioni nel paramento'!$G$58,ABS(K238)*'Sollecitazioni nel paramento'!$G$54,'Sollecitazioni nel paramento'!$G$53)</f>
        <v>0</v>
      </c>
      <c r="F238" s="545">
        <f>-'Foglio deposito bis'!$F$49*(C238-sezione!$AM$27)*IF(ABS(L238)&lt;'Sollecitazioni nel paramento'!$G$58,ABS(L238)*'Sollecitazioni nel paramento'!$G$54,'Sollecitazioni nel paramento'!$G$53)</f>
        <v>-30805914.886913747</v>
      </c>
      <c r="G238" s="545">
        <f>-'Foglio deposito bis'!$F$50*(C238-sezione!$AN$27)*IF(ABS(M238)&lt;'Sollecitazioni nel paramento'!$G$58,ABS(M238)*'Sollecitazioni nel paramento'!$G$54,'Sollecitazioni nel paramento'!$G$53)</f>
        <v>0</v>
      </c>
      <c r="H238" s="545">
        <f>-'Foglio deposito bis'!$F$51*(C238-sezione!$AO$27)*IF(ABS(N238)&lt;'Sollecitazioni nel paramento'!$G$58,ABS(N238)*'Sollecitazioni nel paramento'!$G$54,'Sollecitazioni nel paramento'!$G$53)</f>
        <v>-5351666.3319928898</v>
      </c>
      <c r="I238" s="472">
        <f>-'Foglio deposito bis'!$F$52*(C238-sezione!$AP$27)*IF(ABS(O238)&lt;'Sollecitazioni nel paramento'!$G$58,ABS(O238)*'Sollecitazioni nel paramento'!$G$54,'Sollecitazioni nel paramento'!$G$53)</f>
        <v>-247488.62098837664</v>
      </c>
      <c r="J238" s="472">
        <f t="shared" si="17"/>
        <v>-1020900052.7604555</v>
      </c>
      <c r="K238" s="550">
        <f>'Sollecitazioni nel paramento'!$G$60*(sezione!$AL$27-C238)/C238</f>
        <v>-2.8344616363950759E-3</v>
      </c>
      <c r="L238" s="550">
        <f>'Sollecitazioni nel paramento'!$G$60*(sezione!$AM$27-C238)/C238</f>
        <v>-2.5016924545926142E-3</v>
      </c>
      <c r="M238" s="551">
        <f>'Sollecitazioni nel paramento'!$G$60*(sezione!$AN$27-C238)/C238</f>
        <v>-2.1689232727901517E-3</v>
      </c>
      <c r="N238" s="551">
        <f>'Sollecitazioni nel paramento'!$G$60*(sezione!$AO$27-C238)/C238</f>
        <v>-8.3784654558030332E-4</v>
      </c>
      <c r="O238" s="551">
        <f>'Sollecitazioni nel paramento'!$G$60*(sezione!$AP$27-C238)/C238</f>
        <v>-1.8017626807333677E-4</v>
      </c>
      <c r="P238" s="545">
        <f>-'Sollecitazioni nel paramento'!$G$47*'Sollecitazioni nel paramento'!$G$41*IF(DATI!$G$211="dx",DATI!$E$61,DATI!$E$64*DATI!$E$63)*1000*C238*sezione!$AD$5</f>
        <v>-8013933.218079837</v>
      </c>
      <c r="Q238" s="545">
        <f>'Foglio deposito bis'!$F$48*IF(ABS(K238)&lt;'Sollecitazioni nel paramento'!$G$58,ABS(K238)*'Sollecitazioni nel paramento'!$G$54,'Sollecitazioni nel paramento'!$G$53)*IF(K238&lt;0,-1,1)</f>
        <v>0</v>
      </c>
      <c r="R238" s="545">
        <f>'Foglio deposito bis'!$F$49*IF(ABS(L238)&lt;'Sollecitazioni nel paramento'!$G$58,ABS(L238)*'Sollecitazioni nel paramento'!$G$54,'Sollecitazioni nel paramento'!$G$53)*IF(L238&lt;0,-1,1)</f>
        <v>-204886.47740803001</v>
      </c>
      <c r="S238" s="545">
        <f>'Foglio deposito bis'!$F$50*IF(ABS(M238)&lt;'Sollecitazioni nel paramento'!$G$58,ABS(M238)*'Sollecitazioni nel paramento'!$G$54,'Sollecitazioni nel paramento'!$G$53)*IF(M238&lt;0,-1,1)</f>
        <v>0</v>
      </c>
      <c r="T238" s="545">
        <f>'Foglio deposito bis'!$F$51*IF(ABS(N238)&lt;'Sollecitazioni nel paramento'!$G$58,ABS(N238)*'Sollecitazioni nel paramento'!$G$54,'Sollecitazioni nel paramento'!$G$53)*IF(N238&lt;0,-1,1)</f>
        <v>-106276.59897694059</v>
      </c>
      <c r="U238" s="545">
        <f>'Foglio deposito bis'!$F$52*IF(ABS(O238)&lt;'Sollecitazioni nel paramento'!$G$58,ABS(O238)*'Sollecitazioni nel paramento'!$G$54,'Sollecitazioni nel paramento'!$G$53)*IF(O238&lt;0,-1,1)</f>
        <v>-22854.448810705835</v>
      </c>
      <c r="V238" s="472">
        <f t="shared" si="20"/>
        <v>-8347950.7432755139</v>
      </c>
      <c r="W238" s="551"/>
      <c r="X238" s="551"/>
    </row>
    <row r="239" spans="1:24" x14ac:dyDescent="0.25">
      <c r="A239" s="545">
        <f t="shared" si="18"/>
        <v>8482946.1611297745</v>
      </c>
      <c r="B239" s="3">
        <f t="shared" si="19"/>
        <v>65.899999999999949</v>
      </c>
      <c r="C239" s="545">
        <f>'Foglio deposito bis'!$E$153/$B$247*B239</f>
        <v>213.5972509518871</v>
      </c>
      <c r="D239" s="603">
        <f>-'Sollecitazioni nel paramento'!$G$47*'Sollecitazioni nel paramento'!$G$41*IF(DATI!$G$211="dx",DATI!$E$61,DATI!$E$64*DATI!$E$63)*1000*C239^2*sezione!$AD$5*(1-sezione!$AD$6)</f>
        <v>-1015067546.557876</v>
      </c>
      <c r="E239" s="545">
        <f>-'Foglio deposito bis'!$F$48*(C239-sezione!$AL$27)*IF(ABS(K239)&lt;'Sollecitazioni nel paramento'!$G$58,ABS(K239)*'Sollecitazioni nel paramento'!$G$54,'Sollecitazioni nel paramento'!$G$53)</f>
        <v>0</v>
      </c>
      <c r="F239" s="545">
        <f>-'Foglio deposito bis'!$F$49*(C239-sezione!$AM$27)*IF(ABS(L239)&lt;'Sollecitazioni nel paramento'!$G$58,ABS(L239)*'Sollecitazioni nel paramento'!$G$54,'Sollecitazioni nel paramento'!$G$53)</f>
        <v>-31469999.687089331</v>
      </c>
      <c r="G239" s="545">
        <f>-'Foglio deposito bis'!$F$50*(C239-sezione!$AN$27)*IF(ABS(M239)&lt;'Sollecitazioni nel paramento'!$G$58,ABS(M239)*'Sollecitazioni nel paramento'!$G$54,'Sollecitazioni nel paramento'!$G$53)</f>
        <v>0</v>
      </c>
      <c r="H239" s="545">
        <f>-'Foglio deposito bis'!$F$51*(C239-sezione!$AO$27)*IF(ABS(N239)&lt;'Sollecitazioni nel paramento'!$G$58,ABS(N239)*'Sollecitazioni nel paramento'!$G$54,'Sollecitazioni nel paramento'!$G$53)</f>
        <v>-5970773.2675742554</v>
      </c>
      <c r="I239" s="472">
        <f>-'Foglio deposito bis'!$F$52*(C239-sezione!$AP$27)*IF(ABS(O239)&lt;'Sollecitazioni nel paramento'!$G$58,ABS(O239)*'Sollecitazioni nel paramento'!$G$54,'Sollecitazioni nel paramento'!$G$53)</f>
        <v>-411473.78214801324</v>
      </c>
      <c r="J239" s="472">
        <f t="shared" si="17"/>
        <v>-1052919793.2946876</v>
      </c>
      <c r="K239" s="550">
        <f>'Sollecitazioni nel paramento'!$G$60*(sezione!$AL$27-C239)/C239</f>
        <v>-2.8445608528382461E-3</v>
      </c>
      <c r="L239" s="550">
        <f>'Sollecitazioni nel paramento'!$G$60*(sezione!$AM$27-C239)/C239</f>
        <v>-2.5168412792573691E-3</v>
      </c>
      <c r="M239" s="551">
        <f>'Sollecitazioni nel paramento'!$G$60*(sezione!$AN$27-C239)/C239</f>
        <v>-2.1891217056764925E-3</v>
      </c>
      <c r="N239" s="551">
        <f>'Sollecitazioni nel paramento'!$G$60*(sezione!$AO$27-C239)/C239</f>
        <v>-8.7824341135298468E-4</v>
      </c>
      <c r="O239" s="551">
        <f>'Sollecitazioni nel paramento'!$G$60*(sezione!$AP$27-C239)/C239</f>
        <v>-2.3055295596296742E-4</v>
      </c>
      <c r="P239" s="545">
        <f>-'Sollecitazioni nel paramento'!$G$47*'Sollecitazioni nel paramento'!$G$41*IF(DATI!$G$211="dx",DATI!$E$61,DATI!$E$64*DATI!$E$63)*1000*C239*sezione!$AD$5</f>
        <v>-8137414.4695140421</v>
      </c>
      <c r="Q239" s="545">
        <f>'Foglio deposito bis'!$F$48*IF(ABS(K239)&lt;'Sollecitazioni nel paramento'!$G$58,ABS(K239)*'Sollecitazioni nel paramento'!$G$54,'Sollecitazioni nel paramento'!$G$53)*IF(K239&lt;0,-1,1)</f>
        <v>0</v>
      </c>
      <c r="R239" s="545">
        <f>'Foglio deposito bis'!$F$49*IF(ABS(L239)&lt;'Sollecitazioni nel paramento'!$G$58,ABS(L239)*'Sollecitazioni nel paramento'!$G$54,'Sollecitazioni nel paramento'!$G$53)*IF(L239&lt;0,-1,1)</f>
        <v>-204886.47740803001</v>
      </c>
      <c r="S239" s="545">
        <f>'Foglio deposito bis'!$F$50*IF(ABS(M239)&lt;'Sollecitazioni nel paramento'!$G$58,ABS(M239)*'Sollecitazioni nel paramento'!$G$54,'Sollecitazioni nel paramento'!$G$53)*IF(M239&lt;0,-1,1)</f>
        <v>0</v>
      </c>
      <c r="T239" s="545">
        <f>'Foglio deposito bis'!$F$51*IF(ABS(N239)&lt;'Sollecitazioni nel paramento'!$G$58,ABS(N239)*'Sollecitazioni nel paramento'!$G$54,'Sollecitazioni nel paramento'!$G$53)*IF(N239&lt;0,-1,1)</f>
        <v>-111400.73719329499</v>
      </c>
      <c r="U239" s="545">
        <f>'Foglio deposito bis'!$F$52*IF(ABS(O239)&lt;'Sollecitazioni nel paramento'!$G$58,ABS(O239)*'Sollecitazioni nel paramento'!$G$54,'Sollecitazioni nel paramento'!$G$53)*IF(O239&lt;0,-1,1)</f>
        <v>-29244.477014408247</v>
      </c>
      <c r="V239" s="472">
        <f t="shared" si="20"/>
        <v>-8482946.1611297745</v>
      </c>
      <c r="W239" s="551"/>
      <c r="X239" s="551"/>
    </row>
    <row r="240" spans="1:24" x14ac:dyDescent="0.25">
      <c r="A240" s="545">
        <f t="shared" si="18"/>
        <v>8617597.3587622121</v>
      </c>
      <c r="B240" s="3">
        <f t="shared" si="19"/>
        <v>66.899999999999949</v>
      </c>
      <c r="C240" s="545">
        <f>'Foglio deposito bis'!$E$153/$B$247*B240</f>
        <v>216.83848389501136</v>
      </c>
      <c r="D240" s="603">
        <f>-'Sollecitazioni nel paramento'!$G$47*'Sollecitazioni nel paramento'!$G$41*IF(DATI!$G$211="dx",DATI!$E$61,DATI!$E$64*DATI!$E$63)*1000*C240^2*sezione!$AD$5*(1-sezione!$AD$6)</f>
        <v>-1046107580.5871997</v>
      </c>
      <c r="E240" s="545">
        <f>-'Foglio deposito bis'!$F$48*(C240-sezione!$AL$27)*IF(ABS(K240)&lt;'Sollecitazioni nel paramento'!$G$58,ABS(K240)*'Sollecitazioni nel paramento'!$G$54,'Sollecitazioni nel paramento'!$G$53)</f>
        <v>0</v>
      </c>
      <c r="F240" s="545">
        <f>-'Foglio deposito bis'!$F$49*(C240-sezione!$AM$27)*IF(ABS(L240)&lt;'Sollecitazioni nel paramento'!$G$58,ABS(L240)*'Sollecitazioni nel paramento'!$G$54,'Sollecitazioni nel paramento'!$G$53)</f>
        <v>-32134084.487264924</v>
      </c>
      <c r="G240" s="545">
        <f>-'Foglio deposito bis'!$F$50*(C240-sezione!$AN$27)*IF(ABS(M240)&lt;'Sollecitazioni nel paramento'!$G$58,ABS(M240)*'Sollecitazioni nel paramento'!$G$54,'Sollecitazioni nel paramento'!$G$53)</f>
        <v>0</v>
      </c>
      <c r="H240" s="545">
        <f>-'Foglio deposito bis'!$F$51*(C240-sezione!$AO$27)*IF(ABS(N240)&lt;'Sollecitazioni nel paramento'!$G$58,ABS(N240)*'Sollecitazioni nel paramento'!$G$54,'Sollecitazioni nel paramento'!$G$53)</f>
        <v>-6614390.2813205477</v>
      </c>
      <c r="I240" s="472">
        <f>-'Foglio deposito bis'!$F$52*(C240-sezione!$AP$27)*IF(ABS(O240)&lt;'Sollecitazioni nel paramento'!$G$58,ABS(O240)*'Sollecitazioni nel paramento'!$G$54,'Sollecitazioni nel paramento'!$G$53)</f>
        <v>-613575.05359280645</v>
      </c>
      <c r="J240" s="472">
        <f t="shared" si="17"/>
        <v>-1085469630.4093781</v>
      </c>
      <c r="K240" s="550">
        <f>'Sollecitazioni nel paramento'!$G$60*(sezione!$AL$27-C240)/C240</f>
        <v>-2.854358149507331E-3</v>
      </c>
      <c r="L240" s="550">
        <f>'Sollecitazioni nel paramento'!$G$60*(sezione!$AM$27-C240)/C240</f>
        <v>-2.531537224260996E-3</v>
      </c>
      <c r="M240" s="551">
        <f>'Sollecitazioni nel paramento'!$G$60*(sezione!$AN$27-C240)/C240</f>
        <v>-2.2087162990146614E-3</v>
      </c>
      <c r="N240" s="551">
        <f>'Sollecitazioni nel paramento'!$G$60*(sezione!$AO$27-C240)/C240</f>
        <v>-9.1743259802932304E-4</v>
      </c>
      <c r="O240" s="551">
        <f>'Sollecitazioni nel paramento'!$G$60*(sezione!$AP$27-C240)/C240</f>
        <v>-2.7942361431927616E-4</v>
      </c>
      <c r="P240" s="545">
        <f>-'Sollecitazioni nel paramento'!$G$47*'Sollecitazioni nel paramento'!$G$41*IF(DATI!$G$211="dx",DATI!$E$61,DATI!$E$64*DATI!$E$63)*1000*C240*sezione!$AD$5</f>
        <v>-8260895.7209482463</v>
      </c>
      <c r="Q240" s="545">
        <f>'Foglio deposito bis'!$F$48*IF(ABS(K240)&lt;'Sollecitazioni nel paramento'!$G$58,ABS(K240)*'Sollecitazioni nel paramento'!$G$54,'Sollecitazioni nel paramento'!$G$53)*IF(K240&lt;0,-1,1)</f>
        <v>0</v>
      </c>
      <c r="R240" s="545">
        <f>'Foglio deposito bis'!$F$49*IF(ABS(L240)&lt;'Sollecitazioni nel paramento'!$G$58,ABS(L240)*'Sollecitazioni nel paramento'!$G$54,'Sollecitazioni nel paramento'!$G$53)*IF(L240&lt;0,-1,1)</f>
        <v>-204886.47740803001</v>
      </c>
      <c r="S240" s="545">
        <f>'Foglio deposito bis'!$F$50*IF(ABS(M240)&lt;'Sollecitazioni nel paramento'!$G$58,ABS(M240)*'Sollecitazioni nel paramento'!$G$54,'Sollecitazioni nel paramento'!$G$53)*IF(M240&lt;0,-1,1)</f>
        <v>0</v>
      </c>
      <c r="T240" s="545">
        <f>'Foglio deposito bis'!$F$51*IF(ABS(N240)&lt;'Sollecitazioni nel paramento'!$G$58,ABS(N240)*'Sollecitazioni nel paramento'!$G$54,'Sollecitazioni nel paramento'!$G$53)*IF(N240&lt;0,-1,1)</f>
        <v>-116371.68742111865</v>
      </c>
      <c r="U240" s="545">
        <f>'Foglio deposito bis'!$F$52*IF(ABS(O240)&lt;'Sollecitazioni nel paramento'!$G$58,ABS(O240)*'Sollecitazioni nel paramento'!$G$54,'Sollecitazioni nel paramento'!$G$53)*IF(O240&lt;0,-1,1)</f>
        <v>-35443.472984816166</v>
      </c>
      <c r="V240" s="472">
        <f t="shared" si="20"/>
        <v>-8617597.3587622121</v>
      </c>
      <c r="W240" s="551"/>
      <c r="X240" s="551"/>
    </row>
    <row r="241" spans="1:24" x14ac:dyDescent="0.25">
      <c r="A241" s="545">
        <f t="shared" si="18"/>
        <v>8751919.5447245948</v>
      </c>
      <c r="B241" s="3">
        <f t="shared" si="19"/>
        <v>67.899999999999949</v>
      </c>
      <c r="C241" s="545">
        <f>'Foglio deposito bis'!$E$153/$B$247*B241</f>
        <v>220.0797168381356</v>
      </c>
      <c r="D241" s="603">
        <f>-'Sollecitazioni nel paramento'!$G$47*'Sollecitazioni nel paramento'!$G$41*IF(DATI!$G$211="dx",DATI!$E$61,DATI!$E$64*DATI!$E$63)*1000*C241^2*sezione!$AD$5*(1-sezione!$AD$6)</f>
        <v>-1077615085.0085309</v>
      </c>
      <c r="E241" s="545">
        <f>-'Foglio deposito bis'!$F$48*(C241-sezione!$AL$27)*IF(ABS(K241)&lt;'Sollecitazioni nel paramento'!$G$58,ABS(K241)*'Sollecitazioni nel paramento'!$G$54,'Sollecitazioni nel paramento'!$G$53)</f>
        <v>0</v>
      </c>
      <c r="F241" s="545">
        <f>-'Foglio deposito bis'!$F$49*(C241-sezione!$AM$27)*IF(ABS(L241)&lt;'Sollecitazioni nel paramento'!$G$58,ABS(L241)*'Sollecitazioni nel paramento'!$G$54,'Sollecitazioni nel paramento'!$G$53)</f>
        <v>-32798169.287440509</v>
      </c>
      <c r="G241" s="545">
        <f>-'Foglio deposito bis'!$F$50*(C241-sezione!$AN$27)*IF(ABS(M241)&lt;'Sollecitazioni nel paramento'!$G$58,ABS(M241)*'Sollecitazioni nel paramento'!$G$54,'Sollecitazioni nel paramento'!$G$53)</f>
        <v>0</v>
      </c>
      <c r="H241" s="545">
        <f>-'Foglio deposito bis'!$F$51*(C241-sezione!$AO$27)*IF(ABS(N241)&lt;'Sollecitazioni nel paramento'!$G$58,ABS(N241)*'Sollecitazioni nel paramento'!$G$54,'Sollecitazioni nel paramento'!$G$53)</f>
        <v>-7281434.4537252104</v>
      </c>
      <c r="I241" s="472">
        <f>-'Foglio deposito bis'!$F$52*(C241-sezione!$AP$27)*IF(ABS(O241)&lt;'Sollecitazioni nel paramento'!$G$58,ABS(O241)*'Sollecitazioni nel paramento'!$G$54,'Sollecitazioni nel paramento'!$G$53)</f>
        <v>-852108.36564888747</v>
      </c>
      <c r="J241" s="472">
        <f t="shared" si="17"/>
        <v>-1118546797.1153455</v>
      </c>
      <c r="K241" s="550">
        <f>'Sollecitazioni nel paramento'!$G$60*(sezione!$AL$27-C241)/C241</f>
        <v>-2.8638668660094318E-3</v>
      </c>
      <c r="L241" s="550">
        <f>'Sollecitazioni nel paramento'!$G$60*(sezione!$AM$27-C241)/C241</f>
        <v>-2.545800299014148E-3</v>
      </c>
      <c r="M241" s="551">
        <f>'Sollecitazioni nel paramento'!$G$60*(sezione!$AN$27-C241)/C241</f>
        <v>-2.2277337320188639E-3</v>
      </c>
      <c r="N241" s="551">
        <f>'Sollecitazioni nel paramento'!$G$60*(sezione!$AO$27-C241)/C241</f>
        <v>-9.5546746403772761E-4</v>
      </c>
      <c r="O241" s="551">
        <f>'Sollecitazioni nel paramento'!$G$60*(sezione!$AP$27-C241)/C241</f>
        <v>-3.2685478347510414E-4</v>
      </c>
      <c r="P241" s="545">
        <f>-'Sollecitazioni nel paramento'!$G$47*'Sollecitazioni nel paramento'!$G$41*IF(DATI!$G$211="dx",DATI!$E$61,DATI!$E$64*DATI!$E$63)*1000*C241*sezione!$AD$5</f>
        <v>-8384376.9723824495</v>
      </c>
      <c r="Q241" s="545">
        <f>'Foglio deposito bis'!$F$48*IF(ABS(K241)&lt;'Sollecitazioni nel paramento'!$G$58,ABS(K241)*'Sollecitazioni nel paramento'!$G$54,'Sollecitazioni nel paramento'!$G$53)*IF(K241&lt;0,-1,1)</f>
        <v>0</v>
      </c>
      <c r="R241" s="545">
        <f>'Foglio deposito bis'!$F$49*IF(ABS(L241)&lt;'Sollecitazioni nel paramento'!$G$58,ABS(L241)*'Sollecitazioni nel paramento'!$G$54,'Sollecitazioni nel paramento'!$G$53)*IF(L241&lt;0,-1,1)</f>
        <v>-204886.47740803001</v>
      </c>
      <c r="S241" s="545">
        <f>'Foglio deposito bis'!$F$50*IF(ABS(M241)&lt;'Sollecitazioni nel paramento'!$G$58,ABS(M241)*'Sollecitazioni nel paramento'!$G$54,'Sollecitazioni nel paramento'!$G$53)*IF(M241&lt;0,-1,1)</f>
        <v>0</v>
      </c>
      <c r="T241" s="545">
        <f>'Foglio deposito bis'!$F$51*IF(ABS(N241)&lt;'Sollecitazioni nel paramento'!$G$58,ABS(N241)*'Sollecitazioni nel paramento'!$G$54,'Sollecitazioni nel paramento'!$G$53)*IF(N241&lt;0,-1,1)</f>
        <v>-121196.21790732743</v>
      </c>
      <c r="U241" s="545">
        <f>'Foglio deposito bis'!$F$52*IF(ABS(O241)&lt;'Sollecitazioni nel paramento'!$G$58,ABS(O241)*'Sollecitazioni nel paramento'!$G$54,'Sollecitazioni nel paramento'!$G$53)*IF(O241&lt;0,-1,1)</f>
        <v>-41459.877026787872</v>
      </c>
      <c r="V241" s="472">
        <f t="shared" si="20"/>
        <v>-8751919.5447245948</v>
      </c>
      <c r="W241" s="551"/>
      <c r="X241" s="551"/>
    </row>
    <row r="242" spans="1:24" x14ac:dyDescent="0.25">
      <c r="A242" s="545">
        <f t="shared" si="18"/>
        <v>8885927.0446339101</v>
      </c>
      <c r="B242" s="3">
        <f t="shared" si="19"/>
        <v>68.899999999999949</v>
      </c>
      <c r="C242" s="545">
        <f>'Foglio deposito bis'!$E$153/$B$247*B242</f>
        <v>223.32094978125983</v>
      </c>
      <c r="D242" s="603">
        <f>-'Sollecitazioni nel paramento'!$G$47*'Sollecitazioni nel paramento'!$G$41*IF(DATI!$G$211="dx",DATI!$E$61,DATI!$E$64*DATI!$E$63)*1000*C242^2*sezione!$AD$5*(1-sezione!$AD$6)</f>
        <v>-1109590059.8218701</v>
      </c>
      <c r="E242" s="545">
        <f>-'Foglio deposito bis'!$F$48*(C242-sezione!$AL$27)*IF(ABS(K242)&lt;'Sollecitazioni nel paramento'!$G$58,ABS(K242)*'Sollecitazioni nel paramento'!$G$54,'Sollecitazioni nel paramento'!$G$53)</f>
        <v>0</v>
      </c>
      <c r="F242" s="545">
        <f>-'Foglio deposito bis'!$F$49*(C242-sezione!$AM$27)*IF(ABS(L242)&lt;'Sollecitazioni nel paramento'!$G$58,ABS(L242)*'Sollecitazioni nel paramento'!$G$54,'Sollecitazioni nel paramento'!$G$53)</f>
        <v>-33462254.087616093</v>
      </c>
      <c r="G242" s="545">
        <f>-'Foglio deposito bis'!$F$50*(C242-sezione!$AN$27)*IF(ABS(M242)&lt;'Sollecitazioni nel paramento'!$G$58,ABS(M242)*'Sollecitazioni nel paramento'!$G$54,'Sollecitazioni nel paramento'!$G$53)</f>
        <v>0</v>
      </c>
      <c r="H242" s="545">
        <f>-'Foglio deposito bis'!$F$51*(C242-sezione!$AO$27)*IF(ABS(N242)&lt;'Sollecitazioni nel paramento'!$G$58,ABS(N242)*'Sollecitazioni nel paramento'!$G$54,'Sollecitazioni nel paramento'!$G$53)</f>
        <v>-7970885.7343386784</v>
      </c>
      <c r="I242" s="472">
        <f>-'Foglio deposito bis'!$F$52*(C242-sezione!$AP$27)*IF(ABS(O242)&lt;'Sollecitazioni nel paramento'!$G$58,ABS(O242)*'Sollecitazioni nel paramento'!$G$54,'Sollecitazioni nel paramento'!$G$53)</f>
        <v>-1125487.417563952</v>
      </c>
      <c r="J242" s="472">
        <f t="shared" si="17"/>
        <v>-1152148687.061389</v>
      </c>
      <c r="K242" s="550">
        <f>'Sollecitazioni nel paramento'!$G$60*(sezione!$AL$27-C242)/C242</f>
        <v>-2.8730995675187287E-3</v>
      </c>
      <c r="L242" s="550">
        <f>'Sollecitazioni nel paramento'!$G$60*(sezione!$AM$27-C242)/C242</f>
        <v>-2.5596493512780936E-3</v>
      </c>
      <c r="M242" s="551">
        <f>'Sollecitazioni nel paramento'!$G$60*(sezione!$AN$27-C242)/C242</f>
        <v>-2.2461991350374577E-3</v>
      </c>
      <c r="N242" s="551">
        <f>'Sollecitazioni nel paramento'!$G$60*(sezione!$AO$27-C242)/C242</f>
        <v>-9.9239827007491579E-4</v>
      </c>
      <c r="O242" s="551">
        <f>'Sollecitazioni nel paramento'!$G$60*(sezione!$AP$27-C242)/C242</f>
        <v>-3.7290914075413018E-4</v>
      </c>
      <c r="P242" s="545">
        <f>-'Sollecitazioni nel paramento'!$G$47*'Sollecitazioni nel paramento'!$G$41*IF(DATI!$G$211="dx",DATI!$E$61,DATI!$E$64*DATI!$E$63)*1000*C242*sezione!$AD$5</f>
        <v>-8507858.2238166537</v>
      </c>
      <c r="Q242" s="545">
        <f>'Foglio deposito bis'!$F$48*IF(ABS(K242)&lt;'Sollecitazioni nel paramento'!$G$58,ABS(K242)*'Sollecitazioni nel paramento'!$G$54,'Sollecitazioni nel paramento'!$G$53)*IF(K242&lt;0,-1,1)</f>
        <v>0</v>
      </c>
      <c r="R242" s="545">
        <f>'Foglio deposito bis'!$F$49*IF(ABS(L242)&lt;'Sollecitazioni nel paramento'!$G$58,ABS(L242)*'Sollecitazioni nel paramento'!$G$54,'Sollecitazioni nel paramento'!$G$53)*IF(L242&lt;0,-1,1)</f>
        <v>-204886.47740803001</v>
      </c>
      <c r="S242" s="545">
        <f>'Foglio deposito bis'!$F$50*IF(ABS(M242)&lt;'Sollecitazioni nel paramento'!$G$58,ABS(M242)*'Sollecitazioni nel paramento'!$G$54,'Sollecitazioni nel paramento'!$G$53)*IF(M242&lt;0,-1,1)</f>
        <v>0</v>
      </c>
      <c r="T242" s="545">
        <f>'Foglio deposito bis'!$F$51*IF(ABS(N242)&lt;'Sollecitazioni nel paramento'!$G$58,ABS(N242)*'Sollecitazioni nel paramento'!$G$54,'Sollecitazioni nel paramento'!$G$53)*IF(N242&lt;0,-1,1)</f>
        <v>-125880.70396723115</v>
      </c>
      <c r="U242" s="545">
        <f>'Foglio deposito bis'!$F$52*IF(ABS(O242)&lt;'Sollecitazioni nel paramento'!$G$58,ABS(O242)*'Sollecitazioni nel paramento'!$G$54,'Sollecitazioni nel paramento'!$G$53)*IF(O242&lt;0,-1,1)</f>
        <v>-47301.639441996966</v>
      </c>
      <c r="V242" s="472">
        <f t="shared" si="20"/>
        <v>-8885927.0446339101</v>
      </c>
      <c r="W242" s="551"/>
      <c r="X242" s="551"/>
    </row>
    <row r="243" spans="1:24" x14ac:dyDescent="0.25">
      <c r="A243" s="545">
        <f t="shared" si="18"/>
        <v>9019633.3643293474</v>
      </c>
      <c r="B243" s="3">
        <f t="shared" si="19"/>
        <v>69.899999999999949</v>
      </c>
      <c r="C243" s="545">
        <f>'Foglio deposito bis'!$E$153/$B$247*B243</f>
        <v>226.56218272438406</v>
      </c>
      <c r="D243" s="603">
        <f>-'Sollecitazioni nel paramento'!$G$47*'Sollecitazioni nel paramento'!$G$41*IF(DATI!$G$211="dx",DATI!$E$61,DATI!$E$64*DATI!$E$63)*1000*C243^2*sezione!$AD$5*(1-sezione!$AD$6)</f>
        <v>-1142032505.0272169</v>
      </c>
      <c r="E243" s="545">
        <f>-'Foglio deposito bis'!$F$48*(C243-sezione!$AL$27)*IF(ABS(K243)&lt;'Sollecitazioni nel paramento'!$G$58,ABS(K243)*'Sollecitazioni nel paramento'!$G$54,'Sollecitazioni nel paramento'!$G$53)</f>
        <v>0</v>
      </c>
      <c r="F243" s="545">
        <f>-'Foglio deposito bis'!$F$49*(C243-sezione!$AM$27)*IF(ABS(L243)&lt;'Sollecitazioni nel paramento'!$G$58,ABS(L243)*'Sollecitazioni nel paramento'!$G$54,'Sollecitazioni nel paramento'!$G$53)</f>
        <v>-34126338.887791678</v>
      </c>
      <c r="G243" s="545">
        <f>-'Foglio deposito bis'!$F$50*(C243-sezione!$AN$27)*IF(ABS(M243)&lt;'Sollecitazioni nel paramento'!$G$58,ABS(M243)*'Sollecitazioni nel paramento'!$G$54,'Sollecitazioni nel paramento'!$G$53)</f>
        <v>0</v>
      </c>
      <c r="H243" s="545">
        <f>-'Foglio deposito bis'!$F$51*(C243-sezione!$AO$27)*IF(ABS(N243)&lt;'Sollecitazioni nel paramento'!$G$58,ABS(N243)*'Sollecitazioni nel paramento'!$G$54,'Sollecitazioni nel paramento'!$G$53)</f>
        <v>-8681782.4446970578</v>
      </c>
      <c r="I243" s="472">
        <f>-'Foglio deposito bis'!$F$52*(C243-sezione!$AP$27)*IF(ABS(O243)&lt;'Sollecitazioni nel paramento'!$G$58,ABS(O243)*'Sollecitazioni nel paramento'!$G$54,'Sollecitazioni nel paramento'!$G$53)</f>
        <v>-1432216.684022164</v>
      </c>
      <c r="J243" s="472">
        <f t="shared" si="17"/>
        <v>-1186272843.0437279</v>
      </c>
      <c r="K243" s="550">
        <f>'Sollecitazioni nel paramento'!$G$60*(sezione!$AL$27-C243)/C243</f>
        <v>-2.8820681001722522E-3</v>
      </c>
      <c r="L243" s="550">
        <f>'Sollecitazioni nel paramento'!$G$60*(sezione!$AM$27-C243)/C243</f>
        <v>-2.5731021502583785E-3</v>
      </c>
      <c r="M243" s="551">
        <f>'Sollecitazioni nel paramento'!$G$60*(sezione!$AN$27-C243)/C243</f>
        <v>-2.2641362003445044E-3</v>
      </c>
      <c r="N243" s="551">
        <f>'Sollecitazioni nel paramento'!$G$60*(sezione!$AO$27-C243)/C243</f>
        <v>-1.0282724006890087E-3</v>
      </c>
      <c r="O243" s="551">
        <f>'Sollecitazioni nel paramento'!$G$60*(sezione!$AP$27-C243)/C243</f>
        <v>-4.1764577679484358E-4</v>
      </c>
      <c r="P243" s="545">
        <f>-'Sollecitazioni nel paramento'!$G$47*'Sollecitazioni nel paramento'!$G$41*IF(DATI!$G$211="dx",DATI!$E$61,DATI!$E$64*DATI!$E$63)*1000*C243*sezione!$AD$5</f>
        <v>-8631339.475250857</v>
      </c>
      <c r="Q243" s="545">
        <f>'Foglio deposito bis'!$F$48*IF(ABS(K243)&lt;'Sollecitazioni nel paramento'!$G$58,ABS(K243)*'Sollecitazioni nel paramento'!$G$54,'Sollecitazioni nel paramento'!$G$53)*IF(K243&lt;0,-1,1)</f>
        <v>0</v>
      </c>
      <c r="R243" s="545">
        <f>'Foglio deposito bis'!$F$49*IF(ABS(L243)&lt;'Sollecitazioni nel paramento'!$G$58,ABS(L243)*'Sollecitazioni nel paramento'!$G$54,'Sollecitazioni nel paramento'!$G$53)*IF(L243&lt;0,-1,1)</f>
        <v>-204886.47740803001</v>
      </c>
      <c r="S243" s="545">
        <f>'Foglio deposito bis'!$F$50*IF(ABS(M243)&lt;'Sollecitazioni nel paramento'!$G$58,ABS(M243)*'Sollecitazioni nel paramento'!$G$54,'Sollecitazioni nel paramento'!$G$53)*IF(M243&lt;0,-1,1)</f>
        <v>0</v>
      </c>
      <c r="T243" s="545">
        <f>'Foglio deposito bis'!$F$51*IF(ABS(N243)&lt;'Sollecitazioni nel paramento'!$G$58,ABS(N243)*'Sollecitazioni nel paramento'!$G$54,'Sollecitazioni nel paramento'!$G$53)*IF(N243&lt;0,-1,1)</f>
        <v>-130431.15609122922</v>
      </c>
      <c r="U243" s="545">
        <f>'Foglio deposito bis'!$F$52*IF(ABS(O243)&lt;'Sollecitazioni nel paramento'!$G$58,ABS(O243)*'Sollecitazioni nel paramento'!$G$54,'Sollecitazioni nel paramento'!$G$53)*IF(O243&lt;0,-1,1)</f>
        <v>-52976.255579231554</v>
      </c>
      <c r="V243" s="472">
        <f t="shared" si="20"/>
        <v>-9019633.3643293474</v>
      </c>
      <c r="W243" s="551"/>
      <c r="X243" s="551"/>
    </row>
    <row r="244" spans="1:24" x14ac:dyDescent="0.25">
      <c r="A244" s="545">
        <f t="shared" si="18"/>
        <v>9153051.2476845533</v>
      </c>
      <c r="B244" s="3">
        <f t="shared" si="19"/>
        <v>70.899999999999949</v>
      </c>
      <c r="C244" s="545">
        <f>'Foglio deposito bis'!$E$153/$B$247*B244</f>
        <v>229.80341566750829</v>
      </c>
      <c r="D244" s="603">
        <f>-'Sollecitazioni nel paramento'!$G$47*'Sollecitazioni nel paramento'!$G$41*IF(DATI!$G$211="dx",DATI!$E$61,DATI!$E$64*DATI!$E$63)*1000*C244^2*sezione!$AD$5*(1-sezione!$AD$6)</f>
        <v>-1174942420.6245718</v>
      </c>
      <c r="E244" s="545">
        <f>-'Foglio deposito bis'!$F$48*(C244-sezione!$AL$27)*IF(ABS(K244)&lt;'Sollecitazioni nel paramento'!$G$58,ABS(K244)*'Sollecitazioni nel paramento'!$G$54,'Sollecitazioni nel paramento'!$G$53)</f>
        <v>0</v>
      </c>
      <c r="F244" s="545">
        <f>-'Foglio deposito bis'!$F$49*(C244-sezione!$AM$27)*IF(ABS(L244)&lt;'Sollecitazioni nel paramento'!$G$58,ABS(L244)*'Sollecitazioni nel paramento'!$G$54,'Sollecitazioni nel paramento'!$G$53)</f>
        <v>-34790423.687967263</v>
      </c>
      <c r="G244" s="545">
        <f>-'Foglio deposito bis'!$F$50*(C244-sezione!$AN$27)*IF(ABS(M244)&lt;'Sollecitazioni nel paramento'!$G$58,ABS(M244)*'Sollecitazioni nel paramento'!$G$54,'Sollecitazioni nel paramento'!$G$53)</f>
        <v>0</v>
      </c>
      <c r="H244" s="545">
        <f>-'Foglio deposito bis'!$F$51*(C244-sezione!$AO$27)*IF(ABS(N244)&lt;'Sollecitazioni nel paramento'!$G$58,ABS(N244)*'Sollecitazioni nel paramento'!$G$54,'Sollecitazioni nel paramento'!$G$53)</f>
        <v>-9413217.1618210115</v>
      </c>
      <c r="I244" s="472">
        <f>-'Foglio deposito bis'!$F$52*(C244-sezione!$AP$27)*IF(ABS(O244)&lt;'Sollecitazioni nel paramento'!$G$58,ABS(O244)*'Sollecitazioni nel paramento'!$G$54,'Sollecitazioni nel paramento'!$G$53)</f>
        <v>-1770885.0134913733</v>
      </c>
      <c r="J244" s="472">
        <f t="shared" si="17"/>
        <v>-1220916946.4878516</v>
      </c>
      <c r="K244" s="550">
        <f>'Sollecitazioni nel paramento'!$G$60*(sezione!$AL$27-C244)/C244</f>
        <v>-2.8907836417777213E-3</v>
      </c>
      <c r="L244" s="550">
        <f>'Sollecitazioni nel paramento'!$G$60*(sezione!$AM$27-C244)/C244</f>
        <v>-2.5861754626665817E-3</v>
      </c>
      <c r="M244" s="551">
        <f>'Sollecitazioni nel paramento'!$G$60*(sezione!$AN$27-C244)/C244</f>
        <v>-2.2815672835554421E-3</v>
      </c>
      <c r="N244" s="551">
        <f>'Sollecitazioni nel paramento'!$G$60*(sezione!$AO$27-C244)/C244</f>
        <v>-1.0631345671108842E-3</v>
      </c>
      <c r="O244" s="551">
        <f>'Sollecitazioni nel paramento'!$G$60*(sezione!$AP$27-C244)/C244</f>
        <v>-4.6112044849026183E-4</v>
      </c>
      <c r="P244" s="545">
        <f>-'Sollecitazioni nel paramento'!$G$47*'Sollecitazioni nel paramento'!$G$41*IF(DATI!$G$211="dx",DATI!$E$61,DATI!$E$64*DATI!$E$63)*1000*C244*sezione!$AD$5</f>
        <v>-8754820.7266850621</v>
      </c>
      <c r="Q244" s="545">
        <f>'Foglio deposito bis'!$F$48*IF(ABS(K244)&lt;'Sollecitazioni nel paramento'!$G$58,ABS(K244)*'Sollecitazioni nel paramento'!$G$54,'Sollecitazioni nel paramento'!$G$53)*IF(K244&lt;0,-1,1)</f>
        <v>0</v>
      </c>
      <c r="R244" s="545">
        <f>'Foglio deposito bis'!$F$49*IF(ABS(L244)&lt;'Sollecitazioni nel paramento'!$G$58,ABS(L244)*'Sollecitazioni nel paramento'!$G$54,'Sollecitazioni nel paramento'!$G$53)*IF(L244&lt;0,-1,1)</f>
        <v>-204886.47740803001</v>
      </c>
      <c r="S244" s="545">
        <f>'Foglio deposito bis'!$F$50*IF(ABS(M244)&lt;'Sollecitazioni nel paramento'!$G$58,ABS(M244)*'Sollecitazioni nel paramento'!$G$54,'Sollecitazioni nel paramento'!$G$53)*IF(M244&lt;0,-1,1)</f>
        <v>0</v>
      </c>
      <c r="T244" s="545">
        <f>'Foglio deposito bis'!$F$51*IF(ABS(N244)&lt;'Sollecitazioni nel paramento'!$G$58,ABS(N244)*'Sollecitazioni nel paramento'!$G$54,'Sollecitazioni nel paramento'!$G$53)*IF(N244&lt;0,-1,1)</f>
        <v>-134853.2456729424</v>
      </c>
      <c r="U244" s="545">
        <f>'Foglio deposito bis'!$F$52*IF(ABS(O244)&lt;'Sollecitazioni nel paramento'!$G$58,ABS(O244)*'Sollecitazioni nel paramento'!$G$54,'Sollecitazioni nel paramento'!$G$53)*IF(O244&lt;0,-1,1)</f>
        <v>-58490.797918518765</v>
      </c>
      <c r="V244" s="472">
        <f t="shared" si="20"/>
        <v>-9153051.2476845533</v>
      </c>
      <c r="W244" s="551"/>
      <c r="X244" s="551"/>
    </row>
    <row r="245" spans="1:24" x14ac:dyDescent="0.25">
      <c r="A245" s="545">
        <f t="shared" si="18"/>
        <v>9286192.7295955028</v>
      </c>
      <c r="B245" s="3">
        <f t="shared" si="19"/>
        <v>71.899999999999949</v>
      </c>
      <c r="C245" s="545">
        <f>'Foglio deposito bis'!$E$153/$B$247*B245</f>
        <v>233.04464861063255</v>
      </c>
      <c r="D245" s="603">
        <f>-'Sollecitazioni nel paramento'!$G$47*'Sollecitazioni nel paramento'!$G$41*IF(DATI!$G$211="dx",DATI!$E$61,DATI!$E$64*DATI!$E$63)*1000*C245^2*sezione!$AD$5*(1-sezione!$AD$6)</f>
        <v>-1208319806.613935</v>
      </c>
      <c r="E245" s="545">
        <f>-'Foglio deposito bis'!$F$48*(C245-sezione!$AL$27)*IF(ABS(K245)&lt;'Sollecitazioni nel paramento'!$G$58,ABS(K245)*'Sollecitazioni nel paramento'!$G$54,'Sollecitazioni nel paramento'!$G$53)</f>
        <v>0</v>
      </c>
      <c r="F245" s="545">
        <f>-'Foglio deposito bis'!$F$49*(C245-sezione!$AM$27)*IF(ABS(L245)&lt;'Sollecitazioni nel paramento'!$G$58,ABS(L245)*'Sollecitazioni nel paramento'!$G$54,'Sollecitazioni nel paramento'!$G$53)</f>
        <v>-35454508.488142855</v>
      </c>
      <c r="G245" s="545">
        <f>-'Foglio deposito bis'!$F$50*(C245-sezione!$AN$27)*IF(ABS(M245)&lt;'Sollecitazioni nel paramento'!$G$58,ABS(M245)*'Sollecitazioni nel paramento'!$G$54,'Sollecitazioni nel paramento'!$G$53)</f>
        <v>0</v>
      </c>
      <c r="H245" s="545">
        <f>-'Foglio deposito bis'!$F$51*(C245-sezione!$AO$27)*IF(ABS(N245)&lt;'Sollecitazioni nel paramento'!$G$58,ABS(N245)*'Sollecitazioni nel paramento'!$G$54,'Sollecitazioni nel paramento'!$G$53)</f>
        <v>-10164332.945233544</v>
      </c>
      <c r="I245" s="472">
        <f>-'Foglio deposito bis'!$F$52*(C245-sezione!$AP$27)*IF(ABS(O245)&lt;'Sollecitazioni nel paramento'!$G$58,ABS(O245)*'Sollecitazioni nel paramento'!$G$54,'Sollecitazioni nel paramento'!$G$53)</f>
        <v>-2140159.7607833641</v>
      </c>
      <c r="J245" s="472">
        <f t="shared" si="17"/>
        <v>-1256078807.808095</v>
      </c>
      <c r="K245" s="550">
        <f>'Sollecitazioni nel paramento'!$G$60*(sezione!$AL$27-C245)/C245</f>
        <v>-2.8992567482898531E-3</v>
      </c>
      <c r="L245" s="550">
        <f>'Sollecitazioni nel paramento'!$G$60*(sezione!$AM$27-C245)/C245</f>
        <v>-2.5988851224347793E-3</v>
      </c>
      <c r="M245" s="551">
        <f>'Sollecitazioni nel paramento'!$G$60*(sezione!$AN$27-C245)/C245</f>
        <v>-2.298513496579706E-3</v>
      </c>
      <c r="N245" s="551">
        <f>'Sollecitazioni nel paramento'!$G$60*(sezione!$AO$27-C245)/C245</f>
        <v>-1.0970269931594118E-3</v>
      </c>
      <c r="O245" s="551">
        <f>'Sollecitazioni nel paramento'!$G$60*(sezione!$AP$27-C245)/C245</f>
        <v>-5.0338581082002209E-4</v>
      </c>
      <c r="P245" s="545">
        <f>-'Sollecitazioni nel paramento'!$G$47*'Sollecitazioni nel paramento'!$G$41*IF(DATI!$G$211="dx",DATI!$E$61,DATI!$E$64*DATI!$E$63)*1000*C245*sezione!$AD$5</f>
        <v>-8878301.9781192672</v>
      </c>
      <c r="Q245" s="545">
        <f>'Foglio deposito bis'!$F$48*IF(ABS(K245)&lt;'Sollecitazioni nel paramento'!$G$58,ABS(K245)*'Sollecitazioni nel paramento'!$G$54,'Sollecitazioni nel paramento'!$G$53)*IF(K245&lt;0,-1,1)</f>
        <v>0</v>
      </c>
      <c r="R245" s="545">
        <f>'Foglio deposito bis'!$F$49*IF(ABS(L245)&lt;'Sollecitazioni nel paramento'!$G$58,ABS(L245)*'Sollecitazioni nel paramento'!$G$54,'Sollecitazioni nel paramento'!$G$53)*IF(L245&lt;0,-1,1)</f>
        <v>-204886.47740803001</v>
      </c>
      <c r="S245" s="545">
        <f>'Foglio deposito bis'!$F$50*IF(ABS(M245)&lt;'Sollecitazioni nel paramento'!$G$58,ABS(M245)*'Sollecitazioni nel paramento'!$G$54,'Sollecitazioni nel paramento'!$G$53)*IF(M245&lt;0,-1,1)</f>
        <v>0</v>
      </c>
      <c r="T245" s="545">
        <f>'Foglio deposito bis'!$F$51*IF(ABS(N245)&lt;'Sollecitazioni nel paramento'!$G$58,ABS(N245)*'Sollecitazioni nel paramento'!$G$54,'Sollecitazioni nel paramento'!$G$53)*IF(N245&lt;0,-1,1)</f>
        <v>-139152.32859035206</v>
      </c>
      <c r="U245" s="545">
        <f>'Foglio deposito bis'!$F$52*IF(ABS(O245)&lt;'Sollecitazioni nel paramento'!$G$58,ABS(O245)*'Sollecitazioni nel paramento'!$G$54,'Sollecitazioni nel paramento'!$G$53)*IF(O245&lt;0,-1,1)</f>
        <v>-63851.945477853675</v>
      </c>
      <c r="V245" s="472">
        <f t="shared" si="20"/>
        <v>-9286192.7295955028</v>
      </c>
      <c r="W245" s="551"/>
      <c r="X245" s="551"/>
    </row>
    <row r="246" spans="1:24" x14ac:dyDescent="0.25">
      <c r="A246" s="545">
        <f t="shared" si="18"/>
        <v>9419069.1846072245</v>
      </c>
      <c r="B246" s="3">
        <f t="shared" si="19"/>
        <v>72.899999999999949</v>
      </c>
      <c r="C246" s="545">
        <f>'Foglio deposito bis'!$E$153/$B$247*B246</f>
        <v>236.28588155375678</v>
      </c>
      <c r="D246" s="603">
        <f>-'Sollecitazioni nel paramento'!$G$47*'Sollecitazioni nel paramento'!$G$41*IF(DATI!$G$211="dx",DATI!$E$61,DATI!$E$64*DATI!$E$63)*1000*C246^2*sezione!$AD$5*(1-sezione!$AD$6)</f>
        <v>-1242164662.9953055</v>
      </c>
      <c r="E246" s="545">
        <f>-'Foglio deposito bis'!$F$48*(C246-sezione!$AL$27)*IF(ABS(K246)&lt;'Sollecitazioni nel paramento'!$G$58,ABS(K246)*'Sollecitazioni nel paramento'!$G$54,'Sollecitazioni nel paramento'!$G$53)</f>
        <v>0</v>
      </c>
      <c r="F246" s="545">
        <f>-'Foglio deposito bis'!$F$49*(C246-sezione!$AM$27)*IF(ABS(L246)&lt;'Sollecitazioni nel paramento'!$G$58,ABS(L246)*'Sollecitazioni nel paramento'!$G$54,'Sollecitazioni nel paramento'!$G$53)</f>
        <v>-36118593.28831844</v>
      </c>
      <c r="G246" s="545">
        <f>-'Foglio deposito bis'!$F$50*(C246-sezione!$AN$27)*IF(ABS(M246)&lt;'Sollecitazioni nel paramento'!$G$58,ABS(M246)*'Sollecitazioni nel paramento'!$G$54,'Sollecitazioni nel paramento'!$G$53)</f>
        <v>0</v>
      </c>
      <c r="H246" s="545">
        <f>-'Foglio deposito bis'!$F$51*(C246-sezione!$AO$27)*IF(ABS(N246)&lt;'Sollecitazioni nel paramento'!$G$58,ABS(N246)*'Sollecitazioni nel paramento'!$G$54,'Sollecitazioni nel paramento'!$G$53)</f>
        <v>-10934319.874511242</v>
      </c>
      <c r="I246" s="472">
        <f>-'Foglio deposito bis'!$F$52*(C246-sezione!$AP$27)*IF(ABS(O246)&lt;'Sollecitazioni nel paramento'!$G$58,ABS(O246)*'Sollecitazioni nel paramento'!$G$54,'Sollecitazioni nel paramento'!$G$53)</f>
        <v>-2538781.4025309356</v>
      </c>
      <c r="J246" s="472">
        <f t="shared" si="17"/>
        <v>-1291756357.5606661</v>
      </c>
      <c r="K246" s="550">
        <f>'Sollecitazioni nel paramento'!$G$60*(sezione!$AL$27-C246)/C246</f>
        <v>-2.9074973964614602E-3</v>
      </c>
      <c r="L246" s="550">
        <f>'Sollecitazioni nel paramento'!$G$60*(sezione!$AM$27-C246)/C246</f>
        <v>-2.6112460946921896E-3</v>
      </c>
      <c r="M246" s="551">
        <f>'Sollecitazioni nel paramento'!$G$60*(sezione!$AN$27-C246)/C246</f>
        <v>-2.3149947929229199E-3</v>
      </c>
      <c r="N246" s="551">
        <f>'Sollecitazioni nel paramento'!$G$60*(sezione!$AO$27-C246)/C246</f>
        <v>-1.1299895858458396E-3</v>
      </c>
      <c r="O246" s="551">
        <f>'Sollecitazioni nel paramento'!$G$60*(sezione!$AP$27-C246)/C246</f>
        <v>-5.4449162960164027E-4</v>
      </c>
      <c r="P246" s="545">
        <f>-'Sollecitazioni nel paramento'!$G$47*'Sollecitazioni nel paramento'!$G$41*IF(DATI!$G$211="dx",DATI!$E$61,DATI!$E$64*DATI!$E$63)*1000*C246*sezione!$AD$5</f>
        <v>-9001783.2295534704</v>
      </c>
      <c r="Q246" s="545">
        <f>'Foglio deposito bis'!$F$48*IF(ABS(K246)&lt;'Sollecitazioni nel paramento'!$G$58,ABS(K246)*'Sollecitazioni nel paramento'!$G$54,'Sollecitazioni nel paramento'!$G$53)*IF(K246&lt;0,-1,1)</f>
        <v>0</v>
      </c>
      <c r="R246" s="545">
        <f>'Foglio deposito bis'!$F$49*IF(ABS(L246)&lt;'Sollecitazioni nel paramento'!$G$58,ABS(L246)*'Sollecitazioni nel paramento'!$G$54,'Sollecitazioni nel paramento'!$G$53)*IF(L246&lt;0,-1,1)</f>
        <v>-204886.47740803001</v>
      </c>
      <c r="S246" s="545">
        <f>'Foglio deposito bis'!$F$50*IF(ABS(M246)&lt;'Sollecitazioni nel paramento'!$G$58,ABS(M246)*'Sollecitazioni nel paramento'!$G$54,'Sollecitazioni nel paramento'!$G$53)*IF(M246&lt;0,-1,1)</f>
        <v>0</v>
      </c>
      <c r="T246" s="545">
        <f>'Foglio deposito bis'!$F$51*IF(ABS(N246)&lt;'Sollecitazioni nel paramento'!$G$58,ABS(N246)*'Sollecitazioni nel paramento'!$G$54,'Sollecitazioni nel paramento'!$G$53)*IF(N246&lt;0,-1,1)</f>
        <v>-143333.46684610436</v>
      </c>
      <c r="U246" s="545">
        <f>'Foglio deposito bis'!$F$52*IF(ABS(O246)&lt;'Sollecitazioni nel paramento'!$G$58,ABS(O246)*'Sollecitazioni nel paramento'!$G$54,'Sollecitazioni nel paramento'!$G$53)*IF(O246&lt;0,-1,1)</f>
        <v>-69066.010799621028</v>
      </c>
      <c r="V246" s="472">
        <f t="shared" si="20"/>
        <v>-9419069.1846072245</v>
      </c>
      <c r="W246" s="551"/>
      <c r="X246" s="551"/>
    </row>
    <row r="247" spans="1:24" x14ac:dyDescent="0.25">
      <c r="A247" s="545">
        <f t="shared" si="18"/>
        <v>9551691.3715924919</v>
      </c>
      <c r="B247" s="3">
        <f t="shared" si="19"/>
        <v>73.899999999999949</v>
      </c>
      <c r="C247" s="545">
        <f>'Foglio deposito bis'!$E$153/$B$247*B247</f>
        <v>239.52711449688101</v>
      </c>
      <c r="D247" s="31">
        <f>-'Sollecitazioni nel paramento'!$G$47*'Sollecitazioni nel paramento'!$G$41*IF(DATI!$G$211="dx",DATI!$E$61,DATI!$E$64*DATI!$E$63)*1000*C247^2*sezione!$AD$5*(1-sezione!$AD$6)</f>
        <v>-1276476989.7686844</v>
      </c>
      <c r="E247" s="545">
        <f>-'Foglio deposito bis'!$F$48*(C247-sezione!$AL$27)*IF(ABS(K247)&lt;'Sollecitazioni nel paramento'!$G$58,ABS(K247)*'Sollecitazioni nel paramento'!$G$54,'Sollecitazioni nel paramento'!$G$53)</f>
        <v>0</v>
      </c>
      <c r="F247" s="545">
        <f>-'Foglio deposito bis'!$F$49*(C247-sezione!$AM$27)*IF(ABS(L247)&lt;'Sollecitazioni nel paramento'!$G$58,ABS(L247)*'Sollecitazioni nel paramento'!$G$54,'Sollecitazioni nel paramento'!$G$53)</f>
        <v>-36782678.088494025</v>
      </c>
      <c r="G247" s="545">
        <f>-'Foglio deposito bis'!$F$50*(C247-sezione!$AN$27)*IF(ABS(M247)&lt;'Sollecitazioni nel paramento'!$G$58,ABS(M247)*'Sollecitazioni nel paramento'!$G$54,'Sollecitazioni nel paramento'!$G$53)</f>
        <v>0</v>
      </c>
      <c r="H247" s="545">
        <f>-'Foglio deposito bis'!$F$51*(C247-sezione!$AO$27)*IF(ABS(N247)&lt;'Sollecitazioni nel paramento'!$G$58,ABS(N247)*'Sollecitazioni nel paramento'!$G$54,'Sollecitazioni nel paramento'!$G$53)</f>
        <v>-11722411.867954578</v>
      </c>
      <c r="I247" s="472">
        <f>-'Foglio deposito bis'!$F$52*(C247-sezione!$AP$27)*IF(ABS(O247)&lt;'Sollecitazioni nel paramento'!$G$58,ABS(O247)*'Sollecitazioni nel paramento'!$G$54,'Sollecitazioni nel paramento'!$G$53)</f>
        <v>-2965558.5898387381</v>
      </c>
      <c r="J247" s="472">
        <f t="shared" si="17"/>
        <v>-1327947638.3149717</v>
      </c>
      <c r="K247" s="550">
        <f>'Sollecitazioni nel paramento'!$G$60*(sezione!$AL$27-C247)/C247</f>
        <v>-2.9155150230316699E-3</v>
      </c>
      <c r="L247" s="550">
        <f>'Sollecitazioni nel paramento'!$G$60*(sezione!$AM$27-C247)/C247</f>
        <v>-2.6232725345475055E-3</v>
      </c>
      <c r="M247" s="551">
        <f>'Sollecitazioni nel paramento'!$G$60*(sezione!$AN$27-C247)/C247</f>
        <v>-2.3310300460633406E-3</v>
      </c>
      <c r="N247" s="551">
        <f>'Sollecitazioni nel paramento'!$G$60*(sezione!$AO$27-C247)/C247</f>
        <v>-1.1620600921266805E-3</v>
      </c>
      <c r="O247" s="551">
        <f>'Sollecitazioni nel paramento'!$G$60*(sezione!$AP$27-C247)/C247</f>
        <v>-5.8448497696832994E-4</v>
      </c>
      <c r="P247" s="545">
        <f>-'Sollecitazioni nel paramento'!$G$47*'Sollecitazioni nel paramento'!$G$41*IF(DATI!$G$211="dx",DATI!$E$61,DATI!$E$64*DATI!$E$63)*1000*C247*sezione!$AD$5</f>
        <v>-9125264.4809876736</v>
      </c>
      <c r="Q247" s="545">
        <f>'Foglio deposito bis'!$F$48*IF(ABS(K247)&lt;'Sollecitazioni nel paramento'!$G$58,ABS(K247)*'Sollecitazioni nel paramento'!$G$54,'Sollecitazioni nel paramento'!$G$53)*IF(K247&lt;0,-1,1)</f>
        <v>0</v>
      </c>
      <c r="R247" s="545">
        <f>'Foglio deposito bis'!$F$49*IF(ABS(L247)&lt;'Sollecitazioni nel paramento'!$G$58,ABS(L247)*'Sollecitazioni nel paramento'!$G$54,'Sollecitazioni nel paramento'!$G$53)*IF(L247&lt;0,-1,1)</f>
        <v>-204886.47740803001</v>
      </c>
      <c r="S247" s="545">
        <f>'Foglio deposito bis'!$F$50*IF(ABS(M247)&lt;'Sollecitazioni nel paramento'!$G$58,ABS(M247)*'Sollecitazioni nel paramento'!$G$54,'Sollecitazioni nel paramento'!$G$53)*IF(M247&lt;0,-1,1)</f>
        <v>0</v>
      </c>
      <c r="T247" s="545">
        <f>'Foglio deposito bis'!$F$51*IF(ABS(N247)&lt;'Sollecitazioni nel paramento'!$G$58,ABS(N247)*'Sollecitazioni nel paramento'!$G$54,'Sollecitazioni nel paramento'!$G$53)*IF(N247&lt;0,-1,1)</f>
        <v>-147401.44845082139</v>
      </c>
      <c r="U247" s="545">
        <f>'Foglio deposito bis'!$F$52*IF(ABS(O247)&lt;'Sollecitazioni nel paramento'!$G$58,ABS(O247)*'Sollecitazioni nel paramento'!$G$54,'Sollecitazioni nel paramento'!$G$53)*IF(O247&lt;0,-1,1)</f>
        <v>-74138.964745968449</v>
      </c>
      <c r="V247" s="472">
        <f t="shared" si="20"/>
        <v>-9551691.3715924919</v>
      </c>
      <c r="W247" s="551"/>
      <c r="X247" s="551"/>
    </row>
    <row r="250" spans="1:24" ht="15.75" x14ac:dyDescent="0.25">
      <c r="A250" s="1035" t="s">
        <v>946</v>
      </c>
      <c r="B250" s="1036"/>
      <c r="C250" s="1036"/>
      <c r="D250" s="1036"/>
      <c r="E250" s="1036"/>
      <c r="F250" s="1036"/>
      <c r="G250" s="1036"/>
      <c r="H250" s="1036"/>
      <c r="I250" s="1036"/>
      <c r="J250" s="1036"/>
      <c r="K250" s="1036"/>
      <c r="L250" s="1036"/>
      <c r="M250" s="1036"/>
      <c r="N250" s="1036"/>
      <c r="O250" s="1037"/>
      <c r="P250" s="605"/>
      <c r="Q250" s="605"/>
      <c r="R250" s="605"/>
      <c r="S250" s="605"/>
      <c r="T250" s="605"/>
      <c r="U250" s="605"/>
      <c r="V250" s="605"/>
      <c r="W250" s="605"/>
      <c r="X250" s="605"/>
    </row>
    <row r="251" spans="1:24" x14ac:dyDescent="0.25">
      <c r="A251" s="521">
        <v>1</v>
      </c>
      <c r="B251" s="521">
        <v>2</v>
      </c>
      <c r="C251" s="521">
        <v>3</v>
      </c>
      <c r="D251" s="521">
        <v>4</v>
      </c>
      <c r="E251" s="521">
        <v>5</v>
      </c>
      <c r="F251" s="521">
        <v>6</v>
      </c>
      <c r="G251" s="521">
        <v>7</v>
      </c>
      <c r="H251" s="521">
        <v>8</v>
      </c>
      <c r="I251" s="521">
        <v>9</v>
      </c>
      <c r="J251" s="521">
        <v>10</v>
      </c>
      <c r="K251" s="521">
        <v>11</v>
      </c>
      <c r="L251" s="521">
        <v>12</v>
      </c>
      <c r="M251" s="521">
        <v>13</v>
      </c>
      <c r="N251" s="521">
        <v>14</v>
      </c>
      <c r="O251" s="521">
        <v>15</v>
      </c>
      <c r="P251" s="598">
        <v>4</v>
      </c>
      <c r="Q251" s="598">
        <v>5</v>
      </c>
      <c r="R251" s="598">
        <v>6</v>
      </c>
      <c r="S251" s="598">
        <v>7</v>
      </c>
      <c r="T251" s="598">
        <v>8</v>
      </c>
      <c r="U251" s="598">
        <v>9</v>
      </c>
      <c r="V251" s="598">
        <v>10</v>
      </c>
      <c r="W251" s="46"/>
      <c r="X251" s="46"/>
    </row>
    <row r="252" spans="1:24" x14ac:dyDescent="0.25">
      <c r="A252" s="431" t="s">
        <v>930</v>
      </c>
      <c r="B252" s="80" t="s">
        <v>918</v>
      </c>
      <c r="C252" s="521" t="s">
        <v>137</v>
      </c>
      <c r="D252" s="521" t="s">
        <v>912</v>
      </c>
      <c r="E252" s="521" t="s">
        <v>913</v>
      </c>
      <c r="F252" s="521" t="s">
        <v>914</v>
      </c>
      <c r="G252" s="521" t="s">
        <v>915</v>
      </c>
      <c r="H252" s="521" t="s">
        <v>916</v>
      </c>
      <c r="I252" s="521" t="s">
        <v>917</v>
      </c>
      <c r="J252" s="552" t="s">
        <v>911</v>
      </c>
      <c r="K252" s="431" t="s">
        <v>924</v>
      </c>
      <c r="L252" s="431" t="s">
        <v>925</v>
      </c>
      <c r="M252" s="431" t="s">
        <v>926</v>
      </c>
      <c r="N252" s="431" t="s">
        <v>927</v>
      </c>
      <c r="O252" s="431" t="s">
        <v>928</v>
      </c>
      <c r="P252" s="598" t="s">
        <v>296</v>
      </c>
      <c r="Q252" s="598" t="s">
        <v>969</v>
      </c>
      <c r="R252" s="598" t="s">
        <v>970</v>
      </c>
      <c r="S252" s="598" t="s">
        <v>971</v>
      </c>
      <c r="T252" s="598" t="s">
        <v>972</v>
      </c>
      <c r="U252" s="598" t="s">
        <v>973</v>
      </c>
      <c r="V252" s="599" t="s">
        <v>1022</v>
      </c>
      <c r="W252" s="57"/>
      <c r="X252" s="57"/>
    </row>
    <row r="253" spans="1:24" x14ac:dyDescent="0.25">
      <c r="A253" s="545">
        <f>ABS(V253)</f>
        <v>686398.5022717166</v>
      </c>
      <c r="B253" s="3">
        <v>0</v>
      </c>
      <c r="C253" s="41">
        <v>0.01</v>
      </c>
      <c r="D253" s="603">
        <f>-'Sollecitazioni nel paramento'!$G$47*'Sollecitazioni nel paramento'!$G$41*IF(DATI!$G$211="dx",DATI!$E$61,DATI!$E$64*DATI!$E$63)*1000*C253^2*sezione!$AD$5*(1-sezione!$AD$6)</f>
        <v>-2.2248647999999998</v>
      </c>
      <c r="E253" s="545">
        <f>-'Foglio deposito bis'!$F$48*(C253-sezione!$AL$28)*IF(ABS(K253)&lt;'Sollecitazioni nel paramento'!$G$58,ABS(K253)*'Sollecitazioni nel paramento'!$G$54,'Sollecitazioni nel paramento'!$G$53)</f>
        <v>0</v>
      </c>
      <c r="F253" s="545">
        <f>-'Foglio deposito bis'!$F$49*(C253-sezione!$AM$28)*IF(ABS(L253)&lt;'Sollecitazioni nel paramento'!$G$58,ABS(L253)*'Sollecitazioni nel paramento'!$G$54,'Sollecitazioni nel paramento'!$G$53)</f>
        <v>12291139.779707721</v>
      </c>
      <c r="G253" s="545">
        <f>-'Foglio deposito bis'!$F$50*(C253-sezione!$AN$28)*IF(ABS(M253)&lt;'Sollecitazioni nel paramento'!$G$58,ABS(M253)*'Sollecitazioni nel paramento'!$G$54,'Sollecitazioni nel paramento'!$G$53)</f>
        <v>0</v>
      </c>
      <c r="H253" s="545">
        <f>-'Foglio deposito bis'!$F$51*(C253-sezione!$AO$28)*IF(ABS(N253)&lt;'Sollecitazioni nel paramento'!$G$58,ABS(N253)*'Sollecitazioni nel paramento'!$G$54,'Sollecitazioni nel paramento'!$G$53)</f>
        <v>38549030.124120608</v>
      </c>
      <c r="I253" s="472">
        <f>-'Foglio deposito bis'!$F$52*(C253-sezione!$AP$28)*IF(ABS(O253)&lt;'Sollecitazioni nel paramento'!$G$58,ABS(O253)*'Sollecitazioni nel paramento'!$G$54,'Sollecitazioni nel paramento'!$G$53)</f>
        <v>62834023.184482969</v>
      </c>
      <c r="J253" s="472">
        <f t="shared" ref="J253:J316" si="21">D253+E253+F253+G253+H253+I253</f>
        <v>113674190.8634465</v>
      </c>
      <c r="K253" s="550">
        <f>'Sollecitazioni nel paramento'!$G$60*(sezione!$AL$28-C253)/C253</f>
        <v>13.996500000000001</v>
      </c>
      <c r="L253" s="550">
        <f>'Sollecitazioni nel paramento'!$G$60*(sezione!$AM$28-C253)/C253</f>
        <v>20.996500000000001</v>
      </c>
      <c r="M253" s="551">
        <f>'Sollecitazioni nel paramento'!$G$60*(sezione!$AN$28-C253)/C253</f>
        <v>27.996499999999997</v>
      </c>
      <c r="N253" s="551">
        <f>'Sollecitazioni nel paramento'!$G$60*(sezione!$AO$28-C253)/C253</f>
        <v>55.996500000000005</v>
      </c>
      <c r="O253" s="551">
        <f>'Sollecitazioni nel paramento'!$G$60*(sezione!$AP$28-C253)/C253</f>
        <v>91.272993585598428</v>
      </c>
      <c r="P253" s="545">
        <f>-'Sollecitazioni nel paramento'!$G$47*'Sollecitazioni nel paramento'!$G$41*IF(DATI!$G$211="dx",DATI!$E$61,DATI!$E$64*DATI!$E$63)*1000*C253*sezione!$AD$5</f>
        <v>-380.96999999999991</v>
      </c>
      <c r="Q253" s="545">
        <f>'Foglio deposito bis'!$F$48*IF(ABS(K253)&lt;'Sollecitazioni nel paramento'!$G$58,ABS(K253)*'Sollecitazioni nel paramento'!$G$54,'Sollecitazioni nel paramento'!$G$53)*IF(K253&lt;0,-1,1)</f>
        <v>0</v>
      </c>
      <c r="R253" s="545">
        <f>'Foglio deposito bis'!$F$49*IF(ABS(L253)&lt;'Sollecitazioni nel paramento'!$G$58,ABS(L253)*'Sollecitazioni nel paramento'!$G$54,'Sollecitazioni nel paramento'!$G$53)*IF(L253&lt;0,-1,1)</f>
        <v>204886.47740803001</v>
      </c>
      <c r="S253" s="545">
        <f>'Foglio deposito bis'!$F$50*IF(ABS(M253)&lt;'Sollecitazioni nel paramento'!$G$58,ABS(M253)*'Sollecitazioni nel paramento'!$G$54,'Sollecitazioni nel paramento'!$G$53)*IF(M253&lt;0,-1,1)</f>
        <v>0</v>
      </c>
      <c r="T253" s="545">
        <f>'Foglio deposito bis'!$F$51*IF(ABS(N253)&lt;'Sollecitazioni nel paramento'!$G$58,ABS(N253)*'Sollecitazioni nel paramento'!$G$54,'Sollecitazioni nel paramento'!$G$53)*IF(N253&lt;0,-1,1)</f>
        <v>240946.49743184328</v>
      </c>
      <c r="U253" s="545">
        <f>'Foglio deposito bis'!$F$52*IF(ABS(O253)&lt;'Sollecitazioni nel paramento'!$G$58,ABS(O253)*'Sollecitazioni nel paramento'!$G$54,'Sollecitazioni nel paramento'!$G$53)*IF(O253&lt;0,-1,1)</f>
        <v>240946.49743184328</v>
      </c>
      <c r="V253" s="472">
        <f>P253+Q253+R253+S253+T253+U253</f>
        <v>686398.5022717166</v>
      </c>
      <c r="W253" s="551"/>
      <c r="X253" s="551"/>
    </row>
    <row r="254" spans="1:24" x14ac:dyDescent="0.25">
      <c r="A254" s="545">
        <f t="shared" ref="A254:A317" si="22">ABS(V254)</f>
        <v>679026.2950512825</v>
      </c>
      <c r="B254" s="3">
        <f>B253+0.05</f>
        <v>0.05</v>
      </c>
      <c r="C254" s="545">
        <f>'Foglio deposito bis'!$E$154/sezione!$B$247*B254</f>
        <v>0.20351148962999904</v>
      </c>
      <c r="D254" s="603">
        <f>-'Sollecitazioni nel paramento'!$G$47*'Sollecitazioni nel paramento'!$G$41*IF(DATI!$G$211="dx",DATI!$E$61,DATI!$E$64*DATI!$E$63)*1000*C254^2*sezione!$AD$5*(1-sezione!$AD$6)</f>
        <v>-921.4706169696135</v>
      </c>
      <c r="E254" s="545">
        <f>-'Foglio deposito bis'!$F$48*(C254-sezione!$AL$28)*IF(ABS(K254)&lt;'Sollecitazioni nel paramento'!$G$58,ABS(K254)*'Sollecitazioni nel paramento'!$G$54,'Sollecitazioni nel paramento'!$G$53)</f>
        <v>0</v>
      </c>
      <c r="F254" s="545">
        <f>-'Foglio deposito bis'!$F$49*(C254-sezione!$AM$28)*IF(ABS(L254)&lt;'Sollecitazioni nel paramento'!$G$58,ABS(L254)*'Sollecitazioni nel paramento'!$G$54,'Sollecitazioni nel paramento'!$G$53)</f>
        <v>12251491.892259449</v>
      </c>
      <c r="G254" s="545">
        <f>-'Foglio deposito bis'!$F$50*(C254-sezione!$AN$28)*IF(ABS(M254)&lt;'Sollecitazioni nel paramento'!$G$58,ABS(M254)*'Sollecitazioni nel paramento'!$G$54,'Sollecitazioni nel paramento'!$G$53)</f>
        <v>0</v>
      </c>
      <c r="H254" s="545">
        <f>-'Foglio deposito bis'!$F$51*(C254-sezione!$AO$28)*IF(ABS(N254)&lt;'Sollecitazioni nel paramento'!$G$58,ABS(N254)*'Sollecitazioni nel paramento'!$G$54,'Sollecitazioni nel paramento'!$G$53)</f>
        <v>38502404.208481438</v>
      </c>
      <c r="I254" s="472">
        <f>-'Foglio deposito bis'!$F$52*(C254-sezione!$AP$28)*IF(ABS(O254)&lt;'Sollecitazioni nel paramento'!$G$58,ABS(O254)*'Sollecitazioni nel paramento'!$G$54,'Sollecitazioni nel paramento'!$G$53)</f>
        <v>62787397.2688438</v>
      </c>
      <c r="J254" s="472">
        <f t="shared" si="21"/>
        <v>113540371.89896771</v>
      </c>
      <c r="K254" s="550">
        <f>'Sollecitazioni nel paramento'!$G$60*(sezione!$AL$28-C254)/C254</f>
        <v>0.68442184782555393</v>
      </c>
      <c r="L254" s="550">
        <f>'Sollecitazioni nel paramento'!$G$60*(sezione!$AM$28-C254)/C254</f>
        <v>1.0283827717383309</v>
      </c>
      <c r="M254" s="551">
        <f>'Sollecitazioni nel paramento'!$G$60*(sezione!$AN$28-C254)/C254</f>
        <v>1.3723436956511077</v>
      </c>
      <c r="N254" s="551">
        <f>'Sollecitazioni nel paramento'!$G$60*(sezione!$AO$28-C254)/C254</f>
        <v>2.7481873913022161</v>
      </c>
      <c r="O254" s="551">
        <f>'Sollecitazioni nel paramento'!$G$60*(sezione!$AP$28-C254)/C254</f>
        <v>4.4815781521744427</v>
      </c>
      <c r="P254" s="545">
        <f>-'Sollecitazioni nel paramento'!$G$47*'Sollecitazioni nel paramento'!$G$41*IF(DATI!$G$211="dx",DATI!$E$61,DATI!$E$64*DATI!$E$63)*1000*C254*sezione!$AD$5</f>
        <v>-7753.1772204340723</v>
      </c>
      <c r="Q254" s="545">
        <f>'Foglio deposito bis'!$F$48*IF(ABS(K254)&lt;'Sollecitazioni nel paramento'!$G$58,ABS(K254)*'Sollecitazioni nel paramento'!$G$54,'Sollecitazioni nel paramento'!$G$53)*IF(K254&lt;0,-1,1)</f>
        <v>0</v>
      </c>
      <c r="R254" s="545">
        <f>'Foglio deposito bis'!$F$49*IF(ABS(L254)&lt;'Sollecitazioni nel paramento'!$G$58,ABS(L254)*'Sollecitazioni nel paramento'!$G$54,'Sollecitazioni nel paramento'!$G$53)*IF(L254&lt;0,-1,1)</f>
        <v>204886.47740803001</v>
      </c>
      <c r="S254" s="545">
        <f>'Foglio deposito bis'!$F$50*IF(ABS(M254)&lt;'Sollecitazioni nel paramento'!$G$58,ABS(M254)*'Sollecitazioni nel paramento'!$G$54,'Sollecitazioni nel paramento'!$G$53)*IF(M254&lt;0,-1,1)</f>
        <v>0</v>
      </c>
      <c r="T254" s="545">
        <f>'Foglio deposito bis'!$F$51*IF(ABS(N254)&lt;'Sollecitazioni nel paramento'!$G$58,ABS(N254)*'Sollecitazioni nel paramento'!$G$54,'Sollecitazioni nel paramento'!$G$53)*IF(N254&lt;0,-1,1)</f>
        <v>240946.49743184328</v>
      </c>
      <c r="U254" s="545">
        <f>'Foglio deposito bis'!$F$52*IF(ABS(O254)&lt;'Sollecitazioni nel paramento'!$G$58,ABS(O254)*'Sollecitazioni nel paramento'!$G$54,'Sollecitazioni nel paramento'!$G$53)*IF(O254&lt;0,-1,1)</f>
        <v>240946.49743184328</v>
      </c>
      <c r="V254" s="472">
        <f t="shared" ref="V254:V317" si="23">P254+Q254+R254+S254+T254+U254</f>
        <v>679026.2950512825</v>
      </c>
      <c r="W254" s="551"/>
      <c r="X254" s="551"/>
    </row>
    <row r="255" spans="1:24" x14ac:dyDescent="0.25">
      <c r="A255" s="545">
        <f t="shared" si="22"/>
        <v>671273.11783084844</v>
      </c>
      <c r="B255" s="3">
        <f t="shared" ref="B255:B318" si="24">B254+0.05</f>
        <v>0.1</v>
      </c>
      <c r="C255" s="545">
        <f>'Foglio deposito bis'!$E$154/sezione!$B$247*B255</f>
        <v>0.40702297925999809</v>
      </c>
      <c r="D255" s="603">
        <f>-'Sollecitazioni nel paramento'!$G$47*'Sollecitazioni nel paramento'!$G$41*IF(DATI!$G$211="dx",DATI!$E$61,DATI!$E$64*DATI!$E$63)*1000*C255^2*sezione!$AD$5*(1-sezione!$AD$6)</f>
        <v>-3685.882467878454</v>
      </c>
      <c r="E255" s="545">
        <f>-'Foglio deposito bis'!$F$48*(C255-sezione!$AL$28)*IF(ABS(K255)&lt;'Sollecitazioni nel paramento'!$G$58,ABS(K255)*'Sollecitazioni nel paramento'!$G$54,'Sollecitazioni nel paramento'!$G$53)</f>
        <v>0</v>
      </c>
      <c r="F255" s="545">
        <f>-'Foglio deposito bis'!$F$49*(C255-sezione!$AM$28)*IF(ABS(L255)&lt;'Sollecitazioni nel paramento'!$G$58,ABS(L255)*'Sollecitazioni nel paramento'!$G$54,'Sollecitazioni nel paramento'!$G$53)</f>
        <v>12209795.140037097</v>
      </c>
      <c r="G255" s="545">
        <f>-'Foglio deposito bis'!$F$50*(C255-sezione!$AN$28)*IF(ABS(M255)&lt;'Sollecitazioni nel paramento'!$G$58,ABS(M255)*'Sollecitazioni nel paramento'!$G$54,'Sollecitazioni nel paramento'!$G$53)</f>
        <v>0</v>
      </c>
      <c r="H255" s="545">
        <f>-'Foglio deposito bis'!$F$51*(C255-sezione!$AO$28)*IF(ABS(N255)&lt;'Sollecitazioni nel paramento'!$G$58,ABS(N255)*'Sollecitazioni nel paramento'!$G$54,'Sollecitazioni nel paramento'!$G$53)</f>
        <v>38453368.827867948</v>
      </c>
      <c r="I255" s="472">
        <f>-'Foglio deposito bis'!$F$52*(C255-sezione!$AP$28)*IF(ABS(O255)&lt;'Sollecitazioni nel paramento'!$G$58,ABS(O255)*'Sollecitazioni nel paramento'!$G$54,'Sollecitazioni nel paramento'!$G$53)</f>
        <v>62738361.888230316</v>
      </c>
      <c r="J255" s="472">
        <f t="shared" si="21"/>
        <v>113397839.97366747</v>
      </c>
      <c r="K255" s="550">
        <f>'Sollecitazioni nel paramento'!$G$60*(sezione!$AL$28-C255)/C255</f>
        <v>0.34046092391277699</v>
      </c>
      <c r="L255" s="550">
        <f>'Sollecitazioni nel paramento'!$G$60*(sezione!$AM$28-C255)/C255</f>
        <v>0.51244138586916543</v>
      </c>
      <c r="M255" s="551">
        <f>'Sollecitazioni nel paramento'!$G$60*(sezione!$AN$28-C255)/C255</f>
        <v>0.68442184782555393</v>
      </c>
      <c r="N255" s="551">
        <f>'Sollecitazioni nel paramento'!$G$60*(sezione!$AO$28-C255)/C255</f>
        <v>1.3723436956511077</v>
      </c>
      <c r="O255" s="551">
        <f>'Sollecitazioni nel paramento'!$G$60*(sezione!$AP$28-C255)/C255</f>
        <v>2.2390390760872214</v>
      </c>
      <c r="P255" s="545">
        <f>-'Sollecitazioni nel paramento'!$G$47*'Sollecitazioni nel paramento'!$G$41*IF(DATI!$G$211="dx",DATI!$E$61,DATI!$E$64*DATI!$E$63)*1000*C255*sezione!$AD$5</f>
        <v>-15506.354440868145</v>
      </c>
      <c r="Q255" s="545">
        <f>'Foglio deposito bis'!$F$48*IF(ABS(K255)&lt;'Sollecitazioni nel paramento'!$G$58,ABS(K255)*'Sollecitazioni nel paramento'!$G$54,'Sollecitazioni nel paramento'!$G$53)*IF(K255&lt;0,-1,1)</f>
        <v>0</v>
      </c>
      <c r="R255" s="545">
        <f>'Foglio deposito bis'!$F$49*IF(ABS(L255)&lt;'Sollecitazioni nel paramento'!$G$58,ABS(L255)*'Sollecitazioni nel paramento'!$G$54,'Sollecitazioni nel paramento'!$G$53)*IF(L255&lt;0,-1,1)</f>
        <v>204886.47740803001</v>
      </c>
      <c r="S255" s="545">
        <f>'Foglio deposito bis'!$F$50*IF(ABS(M255)&lt;'Sollecitazioni nel paramento'!$G$58,ABS(M255)*'Sollecitazioni nel paramento'!$G$54,'Sollecitazioni nel paramento'!$G$53)*IF(M255&lt;0,-1,1)</f>
        <v>0</v>
      </c>
      <c r="T255" s="545">
        <f>'Foglio deposito bis'!$F$51*IF(ABS(N255)&lt;'Sollecitazioni nel paramento'!$G$58,ABS(N255)*'Sollecitazioni nel paramento'!$G$54,'Sollecitazioni nel paramento'!$G$53)*IF(N255&lt;0,-1,1)</f>
        <v>240946.49743184328</v>
      </c>
      <c r="U255" s="545">
        <f>'Foglio deposito bis'!$F$52*IF(ABS(O255)&lt;'Sollecitazioni nel paramento'!$G$58,ABS(O255)*'Sollecitazioni nel paramento'!$G$54,'Sollecitazioni nel paramento'!$G$53)*IF(O255&lt;0,-1,1)</f>
        <v>240946.49743184328</v>
      </c>
      <c r="V255" s="472">
        <f t="shared" si="23"/>
        <v>671273.11783084844</v>
      </c>
      <c r="W255" s="551"/>
      <c r="X255" s="551"/>
    </row>
    <row r="256" spans="1:24" x14ac:dyDescent="0.25">
      <c r="A256" s="545">
        <f t="shared" si="22"/>
        <v>663519.94061041437</v>
      </c>
      <c r="B256" s="3">
        <f t="shared" si="24"/>
        <v>0.15000000000000002</v>
      </c>
      <c r="C256" s="545">
        <f>'Foglio deposito bis'!$E$154/sezione!$B$247*B256</f>
        <v>0.61053446888999718</v>
      </c>
      <c r="D256" s="603">
        <f>-'Sollecitazioni nel paramento'!$G$47*'Sollecitazioni nel paramento'!$G$41*IF(DATI!$G$211="dx",DATI!$E$61,DATI!$E$64*DATI!$E$63)*1000*C256^2*sezione!$AD$5*(1-sezione!$AD$6)</f>
        <v>-8293.2355527265245</v>
      </c>
      <c r="E256" s="545">
        <f>-'Foglio deposito bis'!$F$48*(C256-sezione!$AL$28)*IF(ABS(K256)&lt;'Sollecitazioni nel paramento'!$G$58,ABS(K256)*'Sollecitazioni nel paramento'!$G$54,'Sollecitazioni nel paramento'!$G$53)</f>
        <v>0</v>
      </c>
      <c r="F256" s="545">
        <f>-'Foglio deposito bis'!$F$49*(C256-sezione!$AM$28)*IF(ABS(L256)&lt;'Sollecitazioni nel paramento'!$G$58,ABS(L256)*'Sollecitazioni nel paramento'!$G$54,'Sollecitazioni nel paramento'!$G$53)</f>
        <v>12168098.387814747</v>
      </c>
      <c r="G256" s="545">
        <f>-'Foglio deposito bis'!$F$50*(C256-sezione!$AN$28)*IF(ABS(M256)&lt;'Sollecitazioni nel paramento'!$G$58,ABS(M256)*'Sollecitazioni nel paramento'!$G$54,'Sollecitazioni nel paramento'!$G$53)</f>
        <v>0</v>
      </c>
      <c r="H256" s="545">
        <f>-'Foglio deposito bis'!$F$51*(C256-sezione!$AO$28)*IF(ABS(N256)&lt;'Sollecitazioni nel paramento'!$G$58,ABS(N256)*'Sollecitazioni nel paramento'!$G$54,'Sollecitazioni nel paramento'!$G$53)</f>
        <v>38404333.447254471</v>
      </c>
      <c r="I256" s="472">
        <f>-'Foglio deposito bis'!$F$52*(C256-sezione!$AP$28)*IF(ABS(O256)&lt;'Sollecitazioni nel paramento'!$G$58,ABS(O256)*'Sollecitazioni nel paramento'!$G$54,'Sollecitazioni nel paramento'!$G$53)</f>
        <v>62689326.507616825</v>
      </c>
      <c r="J256" s="472">
        <f t="shared" si="21"/>
        <v>113253465.10713333</v>
      </c>
      <c r="K256" s="550">
        <f>'Sollecitazioni nel paramento'!$G$60*(sezione!$AL$28-C256)/C256</f>
        <v>0.22580728260851798</v>
      </c>
      <c r="L256" s="550">
        <f>'Sollecitazioni nel paramento'!$G$60*(sezione!$AM$28-C256)/C256</f>
        <v>0.34046092391277694</v>
      </c>
      <c r="M256" s="551">
        <f>'Sollecitazioni nel paramento'!$G$60*(sezione!$AN$28-C256)/C256</f>
        <v>0.45511456521703592</v>
      </c>
      <c r="N256" s="551">
        <f>'Sollecitazioni nel paramento'!$G$60*(sezione!$AO$28-C256)/C256</f>
        <v>0.91372913043407189</v>
      </c>
      <c r="O256" s="551">
        <f>'Sollecitazioni nel paramento'!$G$60*(sezione!$AP$28-C256)/C256</f>
        <v>1.4915260507248138</v>
      </c>
      <c r="P256" s="545">
        <f>-'Sollecitazioni nel paramento'!$G$47*'Sollecitazioni nel paramento'!$G$41*IF(DATI!$G$211="dx",DATI!$E$61,DATI!$E$64*DATI!$E$63)*1000*C256*sezione!$AD$5</f>
        <v>-23259.531661302219</v>
      </c>
      <c r="Q256" s="545">
        <f>'Foglio deposito bis'!$F$48*IF(ABS(K256)&lt;'Sollecitazioni nel paramento'!$G$58,ABS(K256)*'Sollecitazioni nel paramento'!$G$54,'Sollecitazioni nel paramento'!$G$53)*IF(K256&lt;0,-1,1)</f>
        <v>0</v>
      </c>
      <c r="R256" s="545">
        <f>'Foglio deposito bis'!$F$49*IF(ABS(L256)&lt;'Sollecitazioni nel paramento'!$G$58,ABS(L256)*'Sollecitazioni nel paramento'!$G$54,'Sollecitazioni nel paramento'!$G$53)*IF(L256&lt;0,-1,1)</f>
        <v>204886.47740803001</v>
      </c>
      <c r="S256" s="545">
        <f>'Foglio deposito bis'!$F$50*IF(ABS(M256)&lt;'Sollecitazioni nel paramento'!$G$58,ABS(M256)*'Sollecitazioni nel paramento'!$G$54,'Sollecitazioni nel paramento'!$G$53)*IF(M256&lt;0,-1,1)</f>
        <v>0</v>
      </c>
      <c r="T256" s="545">
        <f>'Foglio deposito bis'!$F$51*IF(ABS(N256)&lt;'Sollecitazioni nel paramento'!$G$58,ABS(N256)*'Sollecitazioni nel paramento'!$G$54,'Sollecitazioni nel paramento'!$G$53)*IF(N256&lt;0,-1,1)</f>
        <v>240946.49743184328</v>
      </c>
      <c r="U256" s="545">
        <f>'Foglio deposito bis'!$F$52*IF(ABS(O256)&lt;'Sollecitazioni nel paramento'!$G$58,ABS(O256)*'Sollecitazioni nel paramento'!$G$54,'Sollecitazioni nel paramento'!$G$53)*IF(O256&lt;0,-1,1)</f>
        <v>240946.49743184328</v>
      </c>
      <c r="V256" s="472">
        <f t="shared" si="23"/>
        <v>663519.94061041437</v>
      </c>
      <c r="W256" s="551"/>
      <c r="X256" s="551"/>
    </row>
    <row r="257" spans="1:24" x14ac:dyDescent="0.25">
      <c r="A257" s="545">
        <f t="shared" si="22"/>
        <v>655766.7633899803</v>
      </c>
      <c r="B257" s="3">
        <f t="shared" si="24"/>
        <v>0.2</v>
      </c>
      <c r="C257" s="545">
        <f>'Foglio deposito bis'!$E$154/sezione!$B$247*B257</f>
        <v>0.81404595851999617</v>
      </c>
      <c r="D257" s="603">
        <f>-'Sollecitazioni nel paramento'!$G$47*'Sollecitazioni nel paramento'!$G$41*IF(DATI!$G$211="dx",DATI!$E$61,DATI!$E$64*DATI!$E$63)*1000*C257^2*sezione!$AD$5*(1-sezione!$AD$6)</f>
        <v>-14743.529871513816</v>
      </c>
      <c r="E257" s="545">
        <f>-'Foglio deposito bis'!$F$48*(C257-sezione!$AL$28)*IF(ABS(K257)&lt;'Sollecitazioni nel paramento'!$G$58,ABS(K257)*'Sollecitazioni nel paramento'!$G$54,'Sollecitazioni nel paramento'!$G$53)</f>
        <v>0</v>
      </c>
      <c r="F257" s="545">
        <f>-'Foglio deposito bis'!$F$49*(C257-sezione!$AM$28)*IF(ABS(L257)&lt;'Sollecitazioni nel paramento'!$G$58,ABS(L257)*'Sollecitazioni nel paramento'!$G$54,'Sollecitazioni nel paramento'!$G$53)</f>
        <v>12126401.635592395</v>
      </c>
      <c r="G257" s="545">
        <f>-'Foglio deposito bis'!$F$50*(C257-sezione!$AN$28)*IF(ABS(M257)&lt;'Sollecitazioni nel paramento'!$G$58,ABS(M257)*'Sollecitazioni nel paramento'!$G$54,'Sollecitazioni nel paramento'!$G$53)</f>
        <v>0</v>
      </c>
      <c r="H257" s="545">
        <f>-'Foglio deposito bis'!$F$51*(C257-sezione!$AO$28)*IF(ABS(N257)&lt;'Sollecitazioni nel paramento'!$G$58,ABS(N257)*'Sollecitazioni nel paramento'!$G$54,'Sollecitazioni nel paramento'!$G$53)</f>
        <v>38355298.066640988</v>
      </c>
      <c r="I257" s="472">
        <f>-'Foglio deposito bis'!$F$52*(C257-sezione!$AP$28)*IF(ABS(O257)&lt;'Sollecitazioni nel paramento'!$G$58,ABS(O257)*'Sollecitazioni nel paramento'!$G$54,'Sollecitazioni nel paramento'!$G$53)</f>
        <v>62640291.127003334</v>
      </c>
      <c r="J257" s="472">
        <f t="shared" si="21"/>
        <v>113107247.29936519</v>
      </c>
      <c r="K257" s="550">
        <f>'Sollecitazioni nel paramento'!$G$60*(sezione!$AL$28-C257)/C257</f>
        <v>0.16848046195638847</v>
      </c>
      <c r="L257" s="550">
        <f>'Sollecitazioni nel paramento'!$G$60*(sezione!$AM$28-C257)/C257</f>
        <v>0.25447069293458274</v>
      </c>
      <c r="M257" s="551">
        <f>'Sollecitazioni nel paramento'!$G$60*(sezione!$AN$28-C257)/C257</f>
        <v>0.34046092391277699</v>
      </c>
      <c r="N257" s="551">
        <f>'Sollecitazioni nel paramento'!$G$60*(sezione!$AO$28-C257)/C257</f>
        <v>0.68442184782555393</v>
      </c>
      <c r="O257" s="551">
        <f>'Sollecitazioni nel paramento'!$G$60*(sezione!$AP$28-C257)/C257</f>
        <v>1.1177695380436106</v>
      </c>
      <c r="P257" s="545">
        <f>-'Sollecitazioni nel paramento'!$G$47*'Sollecitazioni nel paramento'!$G$41*IF(DATI!$G$211="dx",DATI!$E$61,DATI!$E$64*DATI!$E$63)*1000*C257*sezione!$AD$5</f>
        <v>-31012.708881736289</v>
      </c>
      <c r="Q257" s="545">
        <f>'Foglio deposito bis'!$F$48*IF(ABS(K257)&lt;'Sollecitazioni nel paramento'!$G$58,ABS(K257)*'Sollecitazioni nel paramento'!$G$54,'Sollecitazioni nel paramento'!$G$53)*IF(K257&lt;0,-1,1)</f>
        <v>0</v>
      </c>
      <c r="R257" s="545">
        <f>'Foglio deposito bis'!$F$49*IF(ABS(L257)&lt;'Sollecitazioni nel paramento'!$G$58,ABS(L257)*'Sollecitazioni nel paramento'!$G$54,'Sollecitazioni nel paramento'!$G$53)*IF(L257&lt;0,-1,1)</f>
        <v>204886.47740803001</v>
      </c>
      <c r="S257" s="545">
        <f>'Foglio deposito bis'!$F$50*IF(ABS(M257)&lt;'Sollecitazioni nel paramento'!$G$58,ABS(M257)*'Sollecitazioni nel paramento'!$G$54,'Sollecitazioni nel paramento'!$G$53)*IF(M257&lt;0,-1,1)</f>
        <v>0</v>
      </c>
      <c r="T257" s="545">
        <f>'Foglio deposito bis'!$F$51*IF(ABS(N257)&lt;'Sollecitazioni nel paramento'!$G$58,ABS(N257)*'Sollecitazioni nel paramento'!$G$54,'Sollecitazioni nel paramento'!$G$53)*IF(N257&lt;0,-1,1)</f>
        <v>240946.49743184328</v>
      </c>
      <c r="U257" s="545">
        <f>'Foglio deposito bis'!$F$52*IF(ABS(O257)&lt;'Sollecitazioni nel paramento'!$G$58,ABS(O257)*'Sollecitazioni nel paramento'!$G$54,'Sollecitazioni nel paramento'!$G$53)*IF(O257&lt;0,-1,1)</f>
        <v>240946.49743184328</v>
      </c>
      <c r="V257" s="472">
        <f t="shared" si="23"/>
        <v>655766.7633899803</v>
      </c>
      <c r="W257" s="551"/>
      <c r="X257" s="551"/>
    </row>
    <row r="258" spans="1:24" x14ac:dyDescent="0.25">
      <c r="A258" s="545">
        <f t="shared" si="22"/>
        <v>648013.58616954624</v>
      </c>
      <c r="B258" s="3">
        <f t="shared" si="24"/>
        <v>0.25</v>
      </c>
      <c r="C258" s="545">
        <f>'Foglio deposito bis'!$E$154/sezione!$B$247*B258</f>
        <v>1.0175574481499952</v>
      </c>
      <c r="D258" s="603">
        <f>-'Sollecitazioni nel paramento'!$G$47*'Sollecitazioni nel paramento'!$G$41*IF(DATI!$G$211="dx",DATI!$E$61,DATI!$E$64*DATI!$E$63)*1000*C258^2*sezione!$AD$5*(1-sezione!$AD$6)</f>
        <v>-23036.765424240337</v>
      </c>
      <c r="E258" s="545">
        <f>-'Foglio deposito bis'!$F$48*(C258-sezione!$AL$28)*IF(ABS(K258)&lt;'Sollecitazioni nel paramento'!$G$58,ABS(K258)*'Sollecitazioni nel paramento'!$G$54,'Sollecitazioni nel paramento'!$G$53)</f>
        <v>0</v>
      </c>
      <c r="F258" s="545">
        <f>-'Foglio deposito bis'!$F$49*(C258-sezione!$AM$28)*IF(ABS(L258)&lt;'Sollecitazioni nel paramento'!$G$58,ABS(L258)*'Sollecitazioni nel paramento'!$G$54,'Sollecitazioni nel paramento'!$G$53)</f>
        <v>12084704.883370044</v>
      </c>
      <c r="G258" s="545">
        <f>-'Foglio deposito bis'!$F$50*(C258-sezione!$AN$28)*IF(ABS(M258)&lt;'Sollecitazioni nel paramento'!$G$58,ABS(M258)*'Sollecitazioni nel paramento'!$G$54,'Sollecitazioni nel paramento'!$G$53)</f>
        <v>0</v>
      </c>
      <c r="H258" s="545">
        <f>-'Foglio deposito bis'!$F$51*(C258-sezione!$AO$28)*IF(ABS(N258)&lt;'Sollecitazioni nel paramento'!$G$58,ABS(N258)*'Sollecitazioni nel paramento'!$G$54,'Sollecitazioni nel paramento'!$G$53)</f>
        <v>38306262.686027497</v>
      </c>
      <c r="I258" s="472">
        <f>-'Foglio deposito bis'!$F$52*(C258-sezione!$AP$28)*IF(ABS(O258)&lt;'Sollecitazioni nel paramento'!$G$58,ABS(O258)*'Sollecitazioni nel paramento'!$G$54,'Sollecitazioni nel paramento'!$G$53)</f>
        <v>62591255.746389858</v>
      </c>
      <c r="J258" s="472">
        <f t="shared" si="21"/>
        <v>112959186.55036315</v>
      </c>
      <c r="K258" s="550">
        <f>'Sollecitazioni nel paramento'!$G$60*(sezione!$AL$28-C258)/C258</f>
        <v>0.1340843695651108</v>
      </c>
      <c r="L258" s="550">
        <f>'Sollecitazioni nel paramento'!$G$60*(sezione!$AM$28-C258)/C258</f>
        <v>0.20287655434766622</v>
      </c>
      <c r="M258" s="551">
        <f>'Sollecitazioni nel paramento'!$G$60*(sezione!$AN$28-C258)/C258</f>
        <v>0.2716687391302216</v>
      </c>
      <c r="N258" s="551">
        <f>'Sollecitazioni nel paramento'!$G$60*(sezione!$AO$28-C258)/C258</f>
        <v>0.54683747826044315</v>
      </c>
      <c r="O258" s="551">
        <f>'Sollecitazioni nel paramento'!$G$60*(sezione!$AP$28-C258)/C258</f>
        <v>0.89351563043488846</v>
      </c>
      <c r="P258" s="545">
        <f>-'Sollecitazioni nel paramento'!$G$47*'Sollecitazioni nel paramento'!$G$41*IF(DATI!$G$211="dx",DATI!$E$61,DATI!$E$64*DATI!$E$63)*1000*C258*sezione!$AD$5</f>
        <v>-38765.886102170356</v>
      </c>
      <c r="Q258" s="545">
        <f>'Foglio deposito bis'!$F$48*IF(ABS(K258)&lt;'Sollecitazioni nel paramento'!$G$58,ABS(K258)*'Sollecitazioni nel paramento'!$G$54,'Sollecitazioni nel paramento'!$G$53)*IF(K258&lt;0,-1,1)</f>
        <v>0</v>
      </c>
      <c r="R258" s="545">
        <f>'Foglio deposito bis'!$F$49*IF(ABS(L258)&lt;'Sollecitazioni nel paramento'!$G$58,ABS(L258)*'Sollecitazioni nel paramento'!$G$54,'Sollecitazioni nel paramento'!$G$53)*IF(L258&lt;0,-1,1)</f>
        <v>204886.47740803001</v>
      </c>
      <c r="S258" s="545">
        <f>'Foglio deposito bis'!$F$50*IF(ABS(M258)&lt;'Sollecitazioni nel paramento'!$G$58,ABS(M258)*'Sollecitazioni nel paramento'!$G$54,'Sollecitazioni nel paramento'!$G$53)*IF(M258&lt;0,-1,1)</f>
        <v>0</v>
      </c>
      <c r="T258" s="545">
        <f>'Foglio deposito bis'!$F$51*IF(ABS(N258)&lt;'Sollecitazioni nel paramento'!$G$58,ABS(N258)*'Sollecitazioni nel paramento'!$G$54,'Sollecitazioni nel paramento'!$G$53)*IF(N258&lt;0,-1,1)</f>
        <v>240946.49743184328</v>
      </c>
      <c r="U258" s="545">
        <f>'Foglio deposito bis'!$F$52*IF(ABS(O258)&lt;'Sollecitazioni nel paramento'!$G$58,ABS(O258)*'Sollecitazioni nel paramento'!$G$54,'Sollecitazioni nel paramento'!$G$53)*IF(O258&lt;0,-1,1)</f>
        <v>240946.49743184328</v>
      </c>
      <c r="V258" s="472">
        <f t="shared" si="23"/>
        <v>648013.58616954624</v>
      </c>
      <c r="W258" s="551"/>
      <c r="X258" s="551"/>
    </row>
    <row r="259" spans="1:24" x14ac:dyDescent="0.25">
      <c r="A259" s="545">
        <f t="shared" si="22"/>
        <v>640260.40894911217</v>
      </c>
      <c r="B259" s="3">
        <f t="shared" si="24"/>
        <v>0.3</v>
      </c>
      <c r="C259" s="545">
        <f>'Foglio deposito bis'!$E$154/sezione!$B$247*B259</f>
        <v>1.2210689377799941</v>
      </c>
      <c r="D259" s="603">
        <f>-'Sollecitazioni nel paramento'!$G$47*'Sollecitazioni nel paramento'!$G$41*IF(DATI!$G$211="dx",DATI!$E$61,DATI!$E$64*DATI!$E$63)*1000*C259^2*sezione!$AD$5*(1-sezione!$AD$6)</f>
        <v>-33172.942210906083</v>
      </c>
      <c r="E259" s="545">
        <f>-'Foglio deposito bis'!$F$48*(C259-sezione!$AL$28)*IF(ABS(K259)&lt;'Sollecitazioni nel paramento'!$G$58,ABS(K259)*'Sollecitazioni nel paramento'!$G$54,'Sollecitazioni nel paramento'!$G$53)</f>
        <v>0</v>
      </c>
      <c r="F259" s="545">
        <f>-'Foglio deposito bis'!$F$49*(C259-sezione!$AM$28)*IF(ABS(L259)&lt;'Sollecitazioni nel paramento'!$G$58,ABS(L259)*'Sollecitazioni nel paramento'!$G$54,'Sollecitazioni nel paramento'!$G$53)</f>
        <v>12043008.131147692</v>
      </c>
      <c r="G259" s="545">
        <f>-'Foglio deposito bis'!$F$50*(C259-sezione!$AN$28)*IF(ABS(M259)&lt;'Sollecitazioni nel paramento'!$G$58,ABS(M259)*'Sollecitazioni nel paramento'!$G$54,'Sollecitazioni nel paramento'!$G$53)</f>
        <v>0</v>
      </c>
      <c r="H259" s="545">
        <f>-'Foglio deposito bis'!$F$51*(C259-sezione!$AO$28)*IF(ABS(N259)&lt;'Sollecitazioni nel paramento'!$G$58,ABS(N259)*'Sollecitazioni nel paramento'!$G$54,'Sollecitazioni nel paramento'!$G$53)</f>
        <v>38257227.305414014</v>
      </c>
      <c r="I259" s="472">
        <f>-'Foglio deposito bis'!$F$52*(C259-sezione!$AP$28)*IF(ABS(O259)&lt;'Sollecitazioni nel paramento'!$G$58,ABS(O259)*'Sollecitazioni nel paramento'!$G$54,'Sollecitazioni nel paramento'!$G$53)</f>
        <v>62542220.365776375</v>
      </c>
      <c r="J259" s="472">
        <f t="shared" si="21"/>
        <v>112809282.86012718</v>
      </c>
      <c r="K259" s="550">
        <f>'Sollecitazioni nel paramento'!$G$60*(sezione!$AL$28-C259)/C259</f>
        <v>0.111153641304259</v>
      </c>
      <c r="L259" s="550">
        <f>'Sollecitazioni nel paramento'!$G$60*(sezione!$AM$28-C259)/C259</f>
        <v>0.16848046195638849</v>
      </c>
      <c r="M259" s="551">
        <f>'Sollecitazioni nel paramento'!$G$60*(sezione!$AN$28-C259)/C259</f>
        <v>0.22580728260851804</v>
      </c>
      <c r="N259" s="551">
        <f>'Sollecitazioni nel paramento'!$G$60*(sezione!$AO$28-C259)/C259</f>
        <v>0.45511456521703603</v>
      </c>
      <c r="O259" s="551">
        <f>'Sollecitazioni nel paramento'!$G$60*(sezione!$AP$28-C259)/C259</f>
        <v>0.7440130253624071</v>
      </c>
      <c r="P259" s="545">
        <f>-'Sollecitazioni nel paramento'!$G$47*'Sollecitazioni nel paramento'!$G$41*IF(DATI!$G$211="dx",DATI!$E$61,DATI!$E$64*DATI!$E$63)*1000*C259*sezione!$AD$5</f>
        <v>-46519.06332260443</v>
      </c>
      <c r="Q259" s="545">
        <f>'Foglio deposito bis'!$F$48*IF(ABS(K259)&lt;'Sollecitazioni nel paramento'!$G$58,ABS(K259)*'Sollecitazioni nel paramento'!$G$54,'Sollecitazioni nel paramento'!$G$53)*IF(K259&lt;0,-1,1)</f>
        <v>0</v>
      </c>
      <c r="R259" s="545">
        <f>'Foglio deposito bis'!$F$49*IF(ABS(L259)&lt;'Sollecitazioni nel paramento'!$G$58,ABS(L259)*'Sollecitazioni nel paramento'!$G$54,'Sollecitazioni nel paramento'!$G$53)*IF(L259&lt;0,-1,1)</f>
        <v>204886.47740803001</v>
      </c>
      <c r="S259" s="545">
        <f>'Foglio deposito bis'!$F$50*IF(ABS(M259)&lt;'Sollecitazioni nel paramento'!$G$58,ABS(M259)*'Sollecitazioni nel paramento'!$G$54,'Sollecitazioni nel paramento'!$G$53)*IF(M259&lt;0,-1,1)</f>
        <v>0</v>
      </c>
      <c r="T259" s="545">
        <f>'Foglio deposito bis'!$F$51*IF(ABS(N259)&lt;'Sollecitazioni nel paramento'!$G$58,ABS(N259)*'Sollecitazioni nel paramento'!$G$54,'Sollecitazioni nel paramento'!$G$53)*IF(N259&lt;0,-1,1)</f>
        <v>240946.49743184328</v>
      </c>
      <c r="U259" s="545">
        <f>'Foglio deposito bis'!$F$52*IF(ABS(O259)&lt;'Sollecitazioni nel paramento'!$G$58,ABS(O259)*'Sollecitazioni nel paramento'!$G$54,'Sollecitazioni nel paramento'!$G$53)*IF(O259&lt;0,-1,1)</f>
        <v>240946.49743184328</v>
      </c>
      <c r="V259" s="472">
        <f t="shared" si="23"/>
        <v>640260.40894911217</v>
      </c>
      <c r="W259" s="551"/>
      <c r="X259" s="551"/>
    </row>
    <row r="260" spans="1:24" x14ac:dyDescent="0.25">
      <c r="A260" s="545">
        <f t="shared" si="22"/>
        <v>632507.2317286781</v>
      </c>
      <c r="B260" s="3">
        <f t="shared" si="24"/>
        <v>0.35</v>
      </c>
      <c r="C260" s="545">
        <f>'Foglio deposito bis'!$E$154/sezione!$B$247*B260</f>
        <v>1.4245804274099931</v>
      </c>
      <c r="D260" s="603">
        <f>-'Sollecitazioni nel paramento'!$G$47*'Sollecitazioni nel paramento'!$G$41*IF(DATI!$G$211="dx",DATI!$E$61,DATI!$E$64*DATI!$E$63)*1000*C260^2*sezione!$AD$5*(1-sezione!$AD$6)</f>
        <v>-45152.060231511059</v>
      </c>
      <c r="E260" s="545">
        <f>-'Foglio deposito bis'!$F$48*(C260-sezione!$AL$28)*IF(ABS(K260)&lt;'Sollecitazioni nel paramento'!$G$58,ABS(K260)*'Sollecitazioni nel paramento'!$G$54,'Sollecitazioni nel paramento'!$G$53)</f>
        <v>0</v>
      </c>
      <c r="F260" s="545">
        <f>-'Foglio deposito bis'!$F$49*(C260-sezione!$AM$28)*IF(ABS(L260)&lt;'Sollecitazioni nel paramento'!$G$58,ABS(L260)*'Sollecitazioni nel paramento'!$G$54,'Sollecitazioni nel paramento'!$G$53)</f>
        <v>12001311.378925342</v>
      </c>
      <c r="G260" s="545">
        <f>-'Foglio deposito bis'!$F$50*(C260-sezione!$AN$28)*IF(ABS(M260)&lt;'Sollecitazioni nel paramento'!$G$58,ABS(M260)*'Sollecitazioni nel paramento'!$G$54,'Sollecitazioni nel paramento'!$G$53)</f>
        <v>0</v>
      </c>
      <c r="H260" s="545">
        <f>-'Foglio deposito bis'!$F$51*(C260-sezione!$AO$28)*IF(ABS(N260)&lt;'Sollecitazioni nel paramento'!$G$58,ABS(N260)*'Sollecitazioni nel paramento'!$G$54,'Sollecitazioni nel paramento'!$G$53)</f>
        <v>38208191.924800523</v>
      </c>
      <c r="I260" s="472">
        <f>-'Foglio deposito bis'!$F$52*(C260-sezione!$AP$28)*IF(ABS(O260)&lt;'Sollecitazioni nel paramento'!$G$58,ABS(O260)*'Sollecitazioni nel paramento'!$G$54,'Sollecitazioni nel paramento'!$G$53)</f>
        <v>62493184.985162899</v>
      </c>
      <c r="J260" s="472">
        <f t="shared" si="21"/>
        <v>112657536.22865725</v>
      </c>
      <c r="K260" s="550">
        <f>'Sollecitazioni nel paramento'!$G$60*(sezione!$AL$28-C260)/C260</f>
        <v>9.4774549689364856E-2</v>
      </c>
      <c r="L260" s="550">
        <f>'Sollecitazioni nel paramento'!$G$60*(sezione!$AM$28-C260)/C260</f>
        <v>0.1439118245340473</v>
      </c>
      <c r="M260" s="551">
        <f>'Sollecitazioni nel paramento'!$G$60*(sezione!$AN$28-C260)/C260</f>
        <v>0.19304909937872972</v>
      </c>
      <c r="N260" s="551">
        <f>'Sollecitazioni nel paramento'!$G$60*(sezione!$AO$28-C260)/C260</f>
        <v>0.38959819875745944</v>
      </c>
      <c r="O260" s="551">
        <f>'Sollecitazioni nel paramento'!$G$60*(sezione!$AP$28-C260)/C260</f>
        <v>0.63722545031063471</v>
      </c>
      <c r="P260" s="545">
        <f>-'Sollecitazioni nel paramento'!$G$47*'Sollecitazioni nel paramento'!$G$41*IF(DATI!$G$211="dx",DATI!$E$61,DATI!$E$64*DATI!$E$63)*1000*C260*sezione!$AD$5</f>
        <v>-54272.240543038497</v>
      </c>
      <c r="Q260" s="545">
        <f>'Foglio deposito bis'!$F$48*IF(ABS(K260)&lt;'Sollecitazioni nel paramento'!$G$58,ABS(K260)*'Sollecitazioni nel paramento'!$G$54,'Sollecitazioni nel paramento'!$G$53)*IF(K260&lt;0,-1,1)</f>
        <v>0</v>
      </c>
      <c r="R260" s="545">
        <f>'Foglio deposito bis'!$F$49*IF(ABS(L260)&lt;'Sollecitazioni nel paramento'!$G$58,ABS(L260)*'Sollecitazioni nel paramento'!$G$54,'Sollecitazioni nel paramento'!$G$53)*IF(L260&lt;0,-1,1)</f>
        <v>204886.47740803001</v>
      </c>
      <c r="S260" s="545">
        <f>'Foglio deposito bis'!$F$50*IF(ABS(M260)&lt;'Sollecitazioni nel paramento'!$G$58,ABS(M260)*'Sollecitazioni nel paramento'!$G$54,'Sollecitazioni nel paramento'!$G$53)*IF(M260&lt;0,-1,1)</f>
        <v>0</v>
      </c>
      <c r="T260" s="545">
        <f>'Foglio deposito bis'!$F$51*IF(ABS(N260)&lt;'Sollecitazioni nel paramento'!$G$58,ABS(N260)*'Sollecitazioni nel paramento'!$G$54,'Sollecitazioni nel paramento'!$G$53)*IF(N260&lt;0,-1,1)</f>
        <v>240946.49743184328</v>
      </c>
      <c r="U260" s="545">
        <f>'Foglio deposito bis'!$F$52*IF(ABS(O260)&lt;'Sollecitazioni nel paramento'!$G$58,ABS(O260)*'Sollecitazioni nel paramento'!$G$54,'Sollecitazioni nel paramento'!$G$53)*IF(O260&lt;0,-1,1)</f>
        <v>240946.49743184328</v>
      </c>
      <c r="V260" s="472">
        <f t="shared" si="23"/>
        <v>632507.2317286781</v>
      </c>
      <c r="W260" s="551"/>
      <c r="X260" s="551"/>
    </row>
    <row r="261" spans="1:24" x14ac:dyDescent="0.25">
      <c r="A261" s="545">
        <f t="shared" si="22"/>
        <v>624754.05450824404</v>
      </c>
      <c r="B261" s="3">
        <f t="shared" si="24"/>
        <v>0.39999999999999997</v>
      </c>
      <c r="C261" s="545">
        <f>'Foglio deposito bis'!$E$154/sezione!$B$247*B261</f>
        <v>1.6280919170399921</v>
      </c>
      <c r="D261" s="603">
        <f>-'Sollecitazioni nel paramento'!$G$47*'Sollecitazioni nel paramento'!$G$41*IF(DATI!$G$211="dx",DATI!$E$61,DATI!$E$64*DATI!$E$63)*1000*C261^2*sezione!$AD$5*(1-sezione!$AD$6)</f>
        <v>-58974.119486055257</v>
      </c>
      <c r="E261" s="545">
        <f>-'Foglio deposito bis'!$F$48*(C261-sezione!$AL$28)*IF(ABS(K261)&lt;'Sollecitazioni nel paramento'!$G$58,ABS(K261)*'Sollecitazioni nel paramento'!$G$54,'Sollecitazioni nel paramento'!$G$53)</f>
        <v>0</v>
      </c>
      <c r="F261" s="545">
        <f>-'Foglio deposito bis'!$F$49*(C261-sezione!$AM$28)*IF(ABS(L261)&lt;'Sollecitazioni nel paramento'!$G$58,ABS(L261)*'Sollecitazioni nel paramento'!$G$54,'Sollecitazioni nel paramento'!$G$53)</f>
        <v>11959614.626702989</v>
      </c>
      <c r="G261" s="545">
        <f>-'Foglio deposito bis'!$F$50*(C261-sezione!$AN$28)*IF(ABS(M261)&lt;'Sollecitazioni nel paramento'!$G$58,ABS(M261)*'Sollecitazioni nel paramento'!$G$54,'Sollecitazioni nel paramento'!$G$53)</f>
        <v>0</v>
      </c>
      <c r="H261" s="545">
        <f>-'Foglio deposito bis'!$F$51*(C261-sezione!$AO$28)*IF(ABS(N261)&lt;'Sollecitazioni nel paramento'!$G$58,ABS(N261)*'Sollecitazioni nel paramento'!$G$54,'Sollecitazioni nel paramento'!$G$53)</f>
        <v>38159156.544187039</v>
      </c>
      <c r="I261" s="472">
        <f>-'Foglio deposito bis'!$F$52*(C261-sezione!$AP$28)*IF(ABS(O261)&lt;'Sollecitazioni nel paramento'!$G$58,ABS(O261)*'Sollecitazioni nel paramento'!$G$54,'Sollecitazioni nel paramento'!$G$53)</f>
        <v>62444149.604549415</v>
      </c>
      <c r="J261" s="472">
        <f t="shared" si="21"/>
        <v>112503946.65595338</v>
      </c>
      <c r="K261" s="550">
        <f>'Sollecitazioni nel paramento'!$G$60*(sezione!$AL$28-C261)/C261</f>
        <v>8.2490230978194246E-2</v>
      </c>
      <c r="L261" s="550">
        <f>'Sollecitazioni nel paramento'!$G$60*(sezione!$AM$28-C261)/C261</f>
        <v>0.12548534646729137</v>
      </c>
      <c r="M261" s="551">
        <f>'Sollecitazioni nel paramento'!$G$60*(sezione!$AN$28-C261)/C261</f>
        <v>0.16848046195638849</v>
      </c>
      <c r="N261" s="551">
        <f>'Sollecitazioni nel paramento'!$G$60*(sezione!$AO$28-C261)/C261</f>
        <v>0.34046092391277705</v>
      </c>
      <c r="O261" s="551">
        <f>'Sollecitazioni nel paramento'!$G$60*(sezione!$AP$28-C261)/C261</f>
        <v>0.55713476902180536</v>
      </c>
      <c r="P261" s="545">
        <f>-'Sollecitazioni nel paramento'!$G$47*'Sollecitazioni nel paramento'!$G$41*IF(DATI!$G$211="dx",DATI!$E$61,DATI!$E$64*DATI!$E$63)*1000*C261*sezione!$AD$5</f>
        <v>-62025.417763472564</v>
      </c>
      <c r="Q261" s="545">
        <f>'Foglio deposito bis'!$F$48*IF(ABS(K261)&lt;'Sollecitazioni nel paramento'!$G$58,ABS(K261)*'Sollecitazioni nel paramento'!$G$54,'Sollecitazioni nel paramento'!$G$53)*IF(K261&lt;0,-1,1)</f>
        <v>0</v>
      </c>
      <c r="R261" s="545">
        <f>'Foglio deposito bis'!$F$49*IF(ABS(L261)&lt;'Sollecitazioni nel paramento'!$G$58,ABS(L261)*'Sollecitazioni nel paramento'!$G$54,'Sollecitazioni nel paramento'!$G$53)*IF(L261&lt;0,-1,1)</f>
        <v>204886.47740803001</v>
      </c>
      <c r="S261" s="545">
        <f>'Foglio deposito bis'!$F$50*IF(ABS(M261)&lt;'Sollecitazioni nel paramento'!$G$58,ABS(M261)*'Sollecitazioni nel paramento'!$G$54,'Sollecitazioni nel paramento'!$G$53)*IF(M261&lt;0,-1,1)</f>
        <v>0</v>
      </c>
      <c r="T261" s="545">
        <f>'Foglio deposito bis'!$F$51*IF(ABS(N261)&lt;'Sollecitazioni nel paramento'!$G$58,ABS(N261)*'Sollecitazioni nel paramento'!$G$54,'Sollecitazioni nel paramento'!$G$53)*IF(N261&lt;0,-1,1)</f>
        <v>240946.49743184328</v>
      </c>
      <c r="U261" s="545">
        <f>'Foglio deposito bis'!$F$52*IF(ABS(O261)&lt;'Sollecitazioni nel paramento'!$G$58,ABS(O261)*'Sollecitazioni nel paramento'!$G$54,'Sollecitazioni nel paramento'!$G$53)*IF(O261&lt;0,-1,1)</f>
        <v>240946.49743184328</v>
      </c>
      <c r="V261" s="472">
        <f t="shared" si="23"/>
        <v>624754.05450824404</v>
      </c>
      <c r="W261" s="551"/>
      <c r="X261" s="551"/>
    </row>
    <row r="262" spans="1:24" x14ac:dyDescent="0.25">
      <c r="A262" s="545">
        <f t="shared" si="22"/>
        <v>617000.87728780997</v>
      </c>
      <c r="B262" s="3">
        <f t="shared" si="24"/>
        <v>0.44999999999999996</v>
      </c>
      <c r="C262" s="545">
        <f>'Foglio deposito bis'!$E$154/sezione!$B$247*B262</f>
        <v>1.8316034066699911</v>
      </c>
      <c r="D262" s="603">
        <f>-'Sollecitazioni nel paramento'!$G$47*'Sollecitazioni nel paramento'!$G$41*IF(DATI!$G$211="dx",DATI!$E$61,DATI!$E$64*DATI!$E$63)*1000*C262^2*sezione!$AD$5*(1-sezione!$AD$6)</f>
        <v>-74639.119974538669</v>
      </c>
      <c r="E262" s="545">
        <f>-'Foglio deposito bis'!$F$48*(C262-sezione!$AL$28)*IF(ABS(K262)&lt;'Sollecitazioni nel paramento'!$G$58,ABS(K262)*'Sollecitazioni nel paramento'!$G$54,'Sollecitazioni nel paramento'!$G$53)</f>
        <v>0</v>
      </c>
      <c r="F262" s="545">
        <f>-'Foglio deposito bis'!$F$49*(C262-sezione!$AM$28)*IF(ABS(L262)&lt;'Sollecitazioni nel paramento'!$G$58,ABS(L262)*'Sollecitazioni nel paramento'!$G$54,'Sollecitazioni nel paramento'!$G$53)</f>
        <v>11917917.874480639</v>
      </c>
      <c r="G262" s="545">
        <f>-'Foglio deposito bis'!$F$50*(C262-sezione!$AN$28)*IF(ABS(M262)&lt;'Sollecitazioni nel paramento'!$G$58,ABS(M262)*'Sollecitazioni nel paramento'!$G$54,'Sollecitazioni nel paramento'!$G$53)</f>
        <v>0</v>
      </c>
      <c r="H262" s="545">
        <f>-'Foglio deposito bis'!$F$51*(C262-sezione!$AO$28)*IF(ABS(N262)&lt;'Sollecitazioni nel paramento'!$G$58,ABS(N262)*'Sollecitazioni nel paramento'!$G$54,'Sollecitazioni nel paramento'!$G$53)</f>
        <v>38110121.163573556</v>
      </c>
      <c r="I262" s="472">
        <f>-'Foglio deposito bis'!$F$52*(C262-sezione!$AP$28)*IF(ABS(O262)&lt;'Sollecitazioni nel paramento'!$G$58,ABS(O262)*'Sollecitazioni nel paramento'!$G$54,'Sollecitazioni nel paramento'!$G$53)</f>
        <v>62395114.22393591</v>
      </c>
      <c r="J262" s="472">
        <f t="shared" si="21"/>
        <v>112348514.14201558</v>
      </c>
      <c r="K262" s="550">
        <f>'Sollecitazioni nel paramento'!$G$60*(sezione!$AL$28-C262)/C262</f>
        <v>7.2935760869506011E-2</v>
      </c>
      <c r="L262" s="550">
        <f>'Sollecitazioni nel paramento'!$G$60*(sezione!$AM$28-C262)/C262</f>
        <v>0.111153641304259</v>
      </c>
      <c r="M262" s="551">
        <f>'Sollecitazioni nel paramento'!$G$60*(sezione!$AN$28-C262)/C262</f>
        <v>0.14937152173901203</v>
      </c>
      <c r="N262" s="551">
        <f>'Sollecitazioni nel paramento'!$G$60*(sezione!$AO$28-C262)/C262</f>
        <v>0.302243043478024</v>
      </c>
      <c r="O262" s="551">
        <f>'Sollecitazioni nel paramento'!$G$60*(sezione!$AP$28-C262)/C262</f>
        <v>0.4948420169082714</v>
      </c>
      <c r="P262" s="545">
        <f>-'Sollecitazioni nel paramento'!$G$47*'Sollecitazioni nel paramento'!$G$41*IF(DATI!$G$211="dx",DATI!$E$61,DATI!$E$64*DATI!$E$63)*1000*C262*sezione!$AD$5</f>
        <v>-69778.594983906631</v>
      </c>
      <c r="Q262" s="545">
        <f>'Foglio deposito bis'!$F$48*IF(ABS(K262)&lt;'Sollecitazioni nel paramento'!$G$58,ABS(K262)*'Sollecitazioni nel paramento'!$G$54,'Sollecitazioni nel paramento'!$G$53)*IF(K262&lt;0,-1,1)</f>
        <v>0</v>
      </c>
      <c r="R262" s="545">
        <f>'Foglio deposito bis'!$F$49*IF(ABS(L262)&lt;'Sollecitazioni nel paramento'!$G$58,ABS(L262)*'Sollecitazioni nel paramento'!$G$54,'Sollecitazioni nel paramento'!$G$53)*IF(L262&lt;0,-1,1)</f>
        <v>204886.47740803001</v>
      </c>
      <c r="S262" s="545">
        <f>'Foglio deposito bis'!$F$50*IF(ABS(M262)&lt;'Sollecitazioni nel paramento'!$G$58,ABS(M262)*'Sollecitazioni nel paramento'!$G$54,'Sollecitazioni nel paramento'!$G$53)*IF(M262&lt;0,-1,1)</f>
        <v>0</v>
      </c>
      <c r="T262" s="545">
        <f>'Foglio deposito bis'!$F$51*IF(ABS(N262)&lt;'Sollecitazioni nel paramento'!$G$58,ABS(N262)*'Sollecitazioni nel paramento'!$G$54,'Sollecitazioni nel paramento'!$G$53)*IF(N262&lt;0,-1,1)</f>
        <v>240946.49743184328</v>
      </c>
      <c r="U262" s="545">
        <f>'Foglio deposito bis'!$F$52*IF(ABS(O262)&lt;'Sollecitazioni nel paramento'!$G$58,ABS(O262)*'Sollecitazioni nel paramento'!$G$54,'Sollecitazioni nel paramento'!$G$53)*IF(O262&lt;0,-1,1)</f>
        <v>240946.49743184328</v>
      </c>
      <c r="V262" s="472">
        <f t="shared" si="23"/>
        <v>617000.87728780997</v>
      </c>
      <c r="W262" s="551"/>
      <c r="X262" s="551"/>
    </row>
    <row r="263" spans="1:24" x14ac:dyDescent="0.25">
      <c r="A263" s="545">
        <f t="shared" si="22"/>
        <v>609247.7000673759</v>
      </c>
      <c r="B263" s="3">
        <f t="shared" si="24"/>
        <v>0.49999999999999994</v>
      </c>
      <c r="C263" s="545">
        <f>'Foglio deposito bis'!$E$154/sezione!$B$247*B263</f>
        <v>2.0351148962999899</v>
      </c>
      <c r="D263" s="603">
        <f>-'Sollecitazioni nel paramento'!$G$47*'Sollecitazioni nel paramento'!$G$41*IF(DATI!$G$211="dx",DATI!$E$61,DATI!$E$64*DATI!$E$63)*1000*C263^2*sezione!$AD$5*(1-sezione!$AD$6)</f>
        <v>-92147.061696961318</v>
      </c>
      <c r="E263" s="545">
        <f>-'Foglio deposito bis'!$F$48*(C263-sezione!$AL$28)*IF(ABS(K263)&lt;'Sollecitazioni nel paramento'!$G$58,ABS(K263)*'Sollecitazioni nel paramento'!$G$54,'Sollecitazioni nel paramento'!$G$53)</f>
        <v>0</v>
      </c>
      <c r="F263" s="545">
        <f>-'Foglio deposito bis'!$F$49*(C263-sezione!$AM$28)*IF(ABS(L263)&lt;'Sollecitazioni nel paramento'!$G$58,ABS(L263)*'Sollecitazioni nel paramento'!$G$54,'Sollecitazioni nel paramento'!$G$53)</f>
        <v>11876221.122258289</v>
      </c>
      <c r="G263" s="545">
        <f>-'Foglio deposito bis'!$F$50*(C263-sezione!$AN$28)*IF(ABS(M263)&lt;'Sollecitazioni nel paramento'!$G$58,ABS(M263)*'Sollecitazioni nel paramento'!$G$54,'Sollecitazioni nel paramento'!$G$53)</f>
        <v>0</v>
      </c>
      <c r="H263" s="545">
        <f>-'Foglio deposito bis'!$F$51*(C263-sezione!$AO$28)*IF(ABS(N263)&lt;'Sollecitazioni nel paramento'!$G$58,ABS(N263)*'Sollecitazioni nel paramento'!$G$54,'Sollecitazioni nel paramento'!$G$53)</f>
        <v>38061085.782960065</v>
      </c>
      <c r="I263" s="472">
        <f>-'Foglio deposito bis'!$F$52*(C263-sezione!$AP$28)*IF(ABS(O263)&lt;'Sollecitazioni nel paramento'!$G$58,ABS(O263)*'Sollecitazioni nel paramento'!$G$54,'Sollecitazioni nel paramento'!$G$53)</f>
        <v>62346078.843322434</v>
      </c>
      <c r="J263" s="472">
        <f t="shared" si="21"/>
        <v>112191238.68684383</v>
      </c>
      <c r="K263" s="550">
        <f>'Sollecitazioni nel paramento'!$G$60*(sezione!$AL$28-C263)/C263</f>
        <v>6.5292184782555412E-2</v>
      </c>
      <c r="L263" s="550">
        <f>'Sollecitazioni nel paramento'!$G$60*(sezione!$AM$28-C263)/C263</f>
        <v>9.968827717383312E-2</v>
      </c>
      <c r="M263" s="551">
        <f>'Sollecitazioni nel paramento'!$G$60*(sezione!$AN$28-C263)/C263</f>
        <v>0.13408436956511083</v>
      </c>
      <c r="N263" s="551">
        <f>'Sollecitazioni nel paramento'!$G$60*(sezione!$AO$28-C263)/C263</f>
        <v>0.27166873913022166</v>
      </c>
      <c r="O263" s="551">
        <f>'Sollecitazioni nel paramento'!$G$60*(sezione!$AP$28-C263)/C263</f>
        <v>0.44500781521744431</v>
      </c>
      <c r="P263" s="545">
        <f>-'Sollecitazioni nel paramento'!$G$47*'Sollecitazioni nel paramento'!$G$41*IF(DATI!$G$211="dx",DATI!$E$61,DATI!$E$64*DATI!$E$63)*1000*C263*sezione!$AD$5</f>
        <v>-77531.772204340697</v>
      </c>
      <c r="Q263" s="545">
        <f>'Foglio deposito bis'!$F$48*IF(ABS(K263)&lt;'Sollecitazioni nel paramento'!$G$58,ABS(K263)*'Sollecitazioni nel paramento'!$G$54,'Sollecitazioni nel paramento'!$G$53)*IF(K263&lt;0,-1,1)</f>
        <v>0</v>
      </c>
      <c r="R263" s="545">
        <f>'Foglio deposito bis'!$F$49*IF(ABS(L263)&lt;'Sollecitazioni nel paramento'!$G$58,ABS(L263)*'Sollecitazioni nel paramento'!$G$54,'Sollecitazioni nel paramento'!$G$53)*IF(L263&lt;0,-1,1)</f>
        <v>204886.47740803001</v>
      </c>
      <c r="S263" s="545">
        <f>'Foglio deposito bis'!$F$50*IF(ABS(M263)&lt;'Sollecitazioni nel paramento'!$G$58,ABS(M263)*'Sollecitazioni nel paramento'!$G$54,'Sollecitazioni nel paramento'!$G$53)*IF(M263&lt;0,-1,1)</f>
        <v>0</v>
      </c>
      <c r="T263" s="545">
        <f>'Foglio deposito bis'!$F$51*IF(ABS(N263)&lt;'Sollecitazioni nel paramento'!$G$58,ABS(N263)*'Sollecitazioni nel paramento'!$G$54,'Sollecitazioni nel paramento'!$G$53)*IF(N263&lt;0,-1,1)</f>
        <v>240946.49743184328</v>
      </c>
      <c r="U263" s="545">
        <f>'Foglio deposito bis'!$F$52*IF(ABS(O263)&lt;'Sollecitazioni nel paramento'!$G$58,ABS(O263)*'Sollecitazioni nel paramento'!$G$54,'Sollecitazioni nel paramento'!$G$53)*IF(O263&lt;0,-1,1)</f>
        <v>240946.49743184328</v>
      </c>
      <c r="V263" s="472">
        <f t="shared" si="23"/>
        <v>609247.7000673759</v>
      </c>
      <c r="W263" s="551"/>
      <c r="X263" s="551"/>
    </row>
    <row r="264" spans="1:24" x14ac:dyDescent="0.25">
      <c r="A264" s="545">
        <f t="shared" si="22"/>
        <v>601494.52284694184</v>
      </c>
      <c r="B264" s="3">
        <f t="shared" si="24"/>
        <v>0.54999999999999993</v>
      </c>
      <c r="C264" s="545">
        <f>'Foglio deposito bis'!$E$154/sezione!$B$247*B264</f>
        <v>2.2386263859299889</v>
      </c>
      <c r="D264" s="603">
        <f>-'Sollecitazioni nel paramento'!$G$47*'Sollecitazioni nel paramento'!$G$41*IF(DATI!$G$211="dx",DATI!$E$61,DATI!$E$64*DATI!$E$63)*1000*C264^2*sezione!$AD$5*(1-sezione!$AD$6)</f>
        <v>-111497.94465332318</v>
      </c>
      <c r="E264" s="545">
        <f>-'Foglio deposito bis'!$F$48*(C264-sezione!$AL$28)*IF(ABS(K264)&lt;'Sollecitazioni nel paramento'!$G$58,ABS(K264)*'Sollecitazioni nel paramento'!$G$54,'Sollecitazioni nel paramento'!$G$53)</f>
        <v>0</v>
      </c>
      <c r="F264" s="545">
        <f>-'Foglio deposito bis'!$F$49*(C264-sezione!$AM$28)*IF(ABS(L264)&lt;'Sollecitazioni nel paramento'!$G$58,ABS(L264)*'Sollecitazioni nel paramento'!$G$54,'Sollecitazioni nel paramento'!$G$53)</f>
        <v>11834524.370035935</v>
      </c>
      <c r="G264" s="545">
        <f>-'Foglio deposito bis'!$F$50*(C264-sezione!$AN$28)*IF(ABS(M264)&lt;'Sollecitazioni nel paramento'!$G$58,ABS(M264)*'Sollecitazioni nel paramento'!$G$54,'Sollecitazioni nel paramento'!$G$53)</f>
        <v>0</v>
      </c>
      <c r="H264" s="545">
        <f>-'Foglio deposito bis'!$F$51*(C264-sezione!$AO$28)*IF(ABS(N264)&lt;'Sollecitazioni nel paramento'!$G$58,ABS(N264)*'Sollecitazioni nel paramento'!$G$54,'Sollecitazioni nel paramento'!$G$53)</f>
        <v>38012050.402346589</v>
      </c>
      <c r="I264" s="472">
        <f>-'Foglio deposito bis'!$F$52*(C264-sezione!$AP$28)*IF(ABS(O264)&lt;'Sollecitazioni nel paramento'!$G$58,ABS(O264)*'Sollecitazioni nel paramento'!$G$54,'Sollecitazioni nel paramento'!$G$53)</f>
        <v>62297043.46270895</v>
      </c>
      <c r="J264" s="472">
        <f t="shared" si="21"/>
        <v>112032120.29043815</v>
      </c>
      <c r="K264" s="550">
        <f>'Sollecitazioni nel paramento'!$G$60*(sezione!$AL$28-C264)/C264</f>
        <v>5.9038349802323101E-2</v>
      </c>
      <c r="L264" s="550">
        <f>'Sollecitazioni nel paramento'!$G$60*(sezione!$AM$28-C264)/C264</f>
        <v>9.030752470348466E-2</v>
      </c>
      <c r="M264" s="551">
        <f>'Sollecitazioni nel paramento'!$G$60*(sezione!$AN$28-C264)/C264</f>
        <v>0.12157669960464622</v>
      </c>
      <c r="N264" s="551">
        <f>'Sollecitazioni nel paramento'!$G$60*(sezione!$AO$28-C264)/C264</f>
        <v>0.24665339920929241</v>
      </c>
      <c r="O264" s="551">
        <f>'Sollecitazioni nel paramento'!$G$60*(sezione!$AP$28-C264)/C264</f>
        <v>0.40423437747040392</v>
      </c>
      <c r="P264" s="545">
        <f>-'Sollecitazioni nel paramento'!$G$47*'Sollecitazioni nel paramento'!$G$41*IF(DATI!$G$211="dx",DATI!$E$61,DATI!$E$64*DATI!$E$63)*1000*C264*sezione!$AD$5</f>
        <v>-85284.949424774764</v>
      </c>
      <c r="Q264" s="545">
        <f>'Foglio deposito bis'!$F$48*IF(ABS(K264)&lt;'Sollecitazioni nel paramento'!$G$58,ABS(K264)*'Sollecitazioni nel paramento'!$G$54,'Sollecitazioni nel paramento'!$G$53)*IF(K264&lt;0,-1,1)</f>
        <v>0</v>
      </c>
      <c r="R264" s="545">
        <f>'Foglio deposito bis'!$F$49*IF(ABS(L264)&lt;'Sollecitazioni nel paramento'!$G$58,ABS(L264)*'Sollecitazioni nel paramento'!$G$54,'Sollecitazioni nel paramento'!$G$53)*IF(L264&lt;0,-1,1)</f>
        <v>204886.47740803001</v>
      </c>
      <c r="S264" s="545">
        <f>'Foglio deposito bis'!$F$50*IF(ABS(M264)&lt;'Sollecitazioni nel paramento'!$G$58,ABS(M264)*'Sollecitazioni nel paramento'!$G$54,'Sollecitazioni nel paramento'!$G$53)*IF(M264&lt;0,-1,1)</f>
        <v>0</v>
      </c>
      <c r="T264" s="545">
        <f>'Foglio deposito bis'!$F$51*IF(ABS(N264)&lt;'Sollecitazioni nel paramento'!$G$58,ABS(N264)*'Sollecitazioni nel paramento'!$G$54,'Sollecitazioni nel paramento'!$G$53)*IF(N264&lt;0,-1,1)</f>
        <v>240946.49743184328</v>
      </c>
      <c r="U264" s="545">
        <f>'Foglio deposito bis'!$F$52*IF(ABS(O264)&lt;'Sollecitazioni nel paramento'!$G$58,ABS(O264)*'Sollecitazioni nel paramento'!$G$54,'Sollecitazioni nel paramento'!$G$53)*IF(O264&lt;0,-1,1)</f>
        <v>240946.49743184328</v>
      </c>
      <c r="V264" s="472">
        <f t="shared" si="23"/>
        <v>601494.52284694184</v>
      </c>
      <c r="W264" s="551"/>
      <c r="X264" s="551"/>
    </row>
    <row r="265" spans="1:24" x14ac:dyDescent="0.25">
      <c r="A265" s="545">
        <f t="shared" si="22"/>
        <v>593741.34562650777</v>
      </c>
      <c r="B265" s="3">
        <f t="shared" si="24"/>
        <v>0.6</v>
      </c>
      <c r="C265" s="545">
        <f>'Foglio deposito bis'!$E$154/sezione!$B$247*B265</f>
        <v>2.4421378755599883</v>
      </c>
      <c r="D265" s="603">
        <f>-'Sollecitazioni nel paramento'!$G$47*'Sollecitazioni nel paramento'!$G$41*IF(DATI!$G$211="dx",DATI!$E$61,DATI!$E$64*DATI!$E$63)*1000*C265^2*sezione!$AD$5*(1-sezione!$AD$6)</f>
        <v>-132691.76884362433</v>
      </c>
      <c r="E265" s="545">
        <f>-'Foglio deposito bis'!$F$48*(C265-sezione!$AL$28)*IF(ABS(K265)&lt;'Sollecitazioni nel paramento'!$G$58,ABS(K265)*'Sollecitazioni nel paramento'!$G$54,'Sollecitazioni nel paramento'!$G$53)</f>
        <v>0</v>
      </c>
      <c r="F265" s="545">
        <f>-'Foglio deposito bis'!$F$49*(C265-sezione!$AM$28)*IF(ABS(L265)&lt;'Sollecitazioni nel paramento'!$G$58,ABS(L265)*'Sollecitazioni nel paramento'!$G$54,'Sollecitazioni nel paramento'!$G$53)</f>
        <v>11792827.617813585</v>
      </c>
      <c r="G265" s="545">
        <f>-'Foglio deposito bis'!$F$50*(C265-sezione!$AN$28)*IF(ABS(M265)&lt;'Sollecitazioni nel paramento'!$G$58,ABS(M265)*'Sollecitazioni nel paramento'!$G$54,'Sollecitazioni nel paramento'!$G$53)</f>
        <v>0</v>
      </c>
      <c r="H265" s="545">
        <f>-'Foglio deposito bis'!$F$51*(C265-sezione!$AO$28)*IF(ABS(N265)&lt;'Sollecitazioni nel paramento'!$G$58,ABS(N265)*'Sollecitazioni nel paramento'!$G$54,'Sollecitazioni nel paramento'!$G$53)</f>
        <v>37963015.021733098</v>
      </c>
      <c r="I265" s="472">
        <f>-'Foglio deposito bis'!$F$52*(C265-sezione!$AP$28)*IF(ABS(O265)&lt;'Sollecitazioni nel paramento'!$G$58,ABS(O265)*'Sollecitazioni nel paramento'!$G$54,'Sollecitazioni nel paramento'!$G$53)</f>
        <v>62248008.082095459</v>
      </c>
      <c r="J265" s="472">
        <f t="shared" si="21"/>
        <v>111871158.95279852</v>
      </c>
      <c r="K265" s="550">
        <f>'Sollecitazioni nel paramento'!$G$60*(sezione!$AL$28-C265)/C265</f>
        <v>5.3826820652129501E-2</v>
      </c>
      <c r="L265" s="550">
        <f>'Sollecitazioni nel paramento'!$G$60*(sezione!$AM$28-C265)/C265</f>
        <v>8.2490230978194246E-2</v>
      </c>
      <c r="M265" s="551">
        <f>'Sollecitazioni nel paramento'!$G$60*(sezione!$AN$28-C265)/C265</f>
        <v>0.111153641304259</v>
      </c>
      <c r="N265" s="551">
        <f>'Sollecitazioni nel paramento'!$G$60*(sezione!$AO$28-C265)/C265</f>
        <v>0.22580728260851804</v>
      </c>
      <c r="O265" s="551">
        <f>'Sollecitazioni nel paramento'!$G$60*(sezione!$AP$28-C265)/C265</f>
        <v>0.37025651268120358</v>
      </c>
      <c r="P265" s="545">
        <f>-'Sollecitazioni nel paramento'!$G$47*'Sollecitazioni nel paramento'!$G$41*IF(DATI!$G$211="dx",DATI!$E$61,DATI!$E$64*DATI!$E$63)*1000*C265*sezione!$AD$5</f>
        <v>-93038.12664520886</v>
      </c>
      <c r="Q265" s="545">
        <f>'Foglio deposito bis'!$F$48*IF(ABS(K265)&lt;'Sollecitazioni nel paramento'!$G$58,ABS(K265)*'Sollecitazioni nel paramento'!$G$54,'Sollecitazioni nel paramento'!$G$53)*IF(K265&lt;0,-1,1)</f>
        <v>0</v>
      </c>
      <c r="R265" s="545">
        <f>'Foglio deposito bis'!$F$49*IF(ABS(L265)&lt;'Sollecitazioni nel paramento'!$G$58,ABS(L265)*'Sollecitazioni nel paramento'!$G$54,'Sollecitazioni nel paramento'!$G$53)*IF(L265&lt;0,-1,1)</f>
        <v>204886.47740803001</v>
      </c>
      <c r="S265" s="545">
        <f>'Foglio deposito bis'!$F$50*IF(ABS(M265)&lt;'Sollecitazioni nel paramento'!$G$58,ABS(M265)*'Sollecitazioni nel paramento'!$G$54,'Sollecitazioni nel paramento'!$G$53)*IF(M265&lt;0,-1,1)</f>
        <v>0</v>
      </c>
      <c r="T265" s="545">
        <f>'Foglio deposito bis'!$F$51*IF(ABS(N265)&lt;'Sollecitazioni nel paramento'!$G$58,ABS(N265)*'Sollecitazioni nel paramento'!$G$54,'Sollecitazioni nel paramento'!$G$53)*IF(N265&lt;0,-1,1)</f>
        <v>240946.49743184328</v>
      </c>
      <c r="U265" s="545">
        <f>'Foglio deposito bis'!$F$52*IF(ABS(O265)&lt;'Sollecitazioni nel paramento'!$G$58,ABS(O265)*'Sollecitazioni nel paramento'!$G$54,'Sollecitazioni nel paramento'!$G$53)*IF(O265&lt;0,-1,1)</f>
        <v>240946.49743184328</v>
      </c>
      <c r="V265" s="472">
        <f t="shared" si="23"/>
        <v>593741.34562650777</v>
      </c>
      <c r="W265" s="551"/>
      <c r="X265" s="551"/>
    </row>
    <row r="266" spans="1:24" x14ac:dyDescent="0.25">
      <c r="A266" s="545">
        <f t="shared" si="22"/>
        <v>585988.16840607359</v>
      </c>
      <c r="B266" s="3">
        <f t="shared" si="24"/>
        <v>0.65</v>
      </c>
      <c r="C266" s="545">
        <f>'Foglio deposito bis'!$E$154/sezione!$B$247*B266</f>
        <v>2.6456493651899877</v>
      </c>
      <c r="D266" s="603">
        <f>-'Sollecitazioni nel paramento'!$G$47*'Sollecitazioni nel paramento'!$G$41*IF(DATI!$G$211="dx",DATI!$E$61,DATI!$E$64*DATI!$E$63)*1000*C266^2*sezione!$AD$5*(1-sezione!$AD$6)</f>
        <v>-155728.53426786471</v>
      </c>
      <c r="E266" s="545">
        <f>-'Foglio deposito bis'!$F$48*(C266-sezione!$AL$28)*IF(ABS(K266)&lt;'Sollecitazioni nel paramento'!$G$58,ABS(K266)*'Sollecitazioni nel paramento'!$G$54,'Sollecitazioni nel paramento'!$G$53)</f>
        <v>0</v>
      </c>
      <c r="F266" s="545">
        <f>-'Foglio deposito bis'!$F$49*(C266-sezione!$AM$28)*IF(ABS(L266)&lt;'Sollecitazioni nel paramento'!$G$58,ABS(L266)*'Sollecitazioni nel paramento'!$G$54,'Sollecitazioni nel paramento'!$G$53)</f>
        <v>11751130.865591232</v>
      </c>
      <c r="G266" s="545">
        <f>-'Foglio deposito bis'!$F$50*(C266-sezione!$AN$28)*IF(ABS(M266)&lt;'Sollecitazioni nel paramento'!$G$58,ABS(M266)*'Sollecitazioni nel paramento'!$G$54,'Sollecitazioni nel paramento'!$G$53)</f>
        <v>0</v>
      </c>
      <c r="H266" s="545">
        <f>-'Foglio deposito bis'!$F$51*(C266-sezione!$AO$28)*IF(ABS(N266)&lt;'Sollecitazioni nel paramento'!$G$58,ABS(N266)*'Sollecitazioni nel paramento'!$G$54,'Sollecitazioni nel paramento'!$G$53)</f>
        <v>37913979.641119614</v>
      </c>
      <c r="I266" s="472">
        <f>-'Foglio deposito bis'!$F$52*(C266-sezione!$AP$28)*IF(ABS(O266)&lt;'Sollecitazioni nel paramento'!$G$58,ABS(O266)*'Sollecitazioni nel paramento'!$G$54,'Sollecitazioni nel paramento'!$G$53)</f>
        <v>62198972.701481983</v>
      </c>
      <c r="J266" s="472">
        <f t="shared" si="21"/>
        <v>111708354.67392497</v>
      </c>
      <c r="K266" s="550">
        <f>'Sollecitazioni nel paramento'!$G$60*(sezione!$AL$28-C266)/C266</f>
        <v>4.9417065217350301E-2</v>
      </c>
      <c r="L266" s="550">
        <f>'Sollecitazioni nel paramento'!$G$60*(sezione!$AM$28-C266)/C266</f>
        <v>7.5875597826025445E-2</v>
      </c>
      <c r="M266" s="551">
        <f>'Sollecitazioni nel paramento'!$G$60*(sezione!$AN$28-C266)/C266</f>
        <v>0.1023341304347006</v>
      </c>
      <c r="N266" s="551">
        <f>'Sollecitazioni nel paramento'!$G$60*(sezione!$AO$28-C266)/C266</f>
        <v>0.20816826086940118</v>
      </c>
      <c r="O266" s="551">
        <f>'Sollecitazioni nel paramento'!$G$60*(sezione!$AP$28-C266)/C266</f>
        <v>0.34150601170572631</v>
      </c>
      <c r="P266" s="545">
        <f>-'Sollecitazioni nel paramento'!$G$47*'Sollecitazioni nel paramento'!$G$41*IF(DATI!$G$211="dx",DATI!$E$61,DATI!$E$64*DATI!$E$63)*1000*C266*sezione!$AD$5</f>
        <v>-100791.30386564294</v>
      </c>
      <c r="Q266" s="545">
        <f>'Foglio deposito bis'!$F$48*IF(ABS(K266)&lt;'Sollecitazioni nel paramento'!$G$58,ABS(K266)*'Sollecitazioni nel paramento'!$G$54,'Sollecitazioni nel paramento'!$G$53)*IF(K266&lt;0,-1,1)</f>
        <v>0</v>
      </c>
      <c r="R266" s="545">
        <f>'Foglio deposito bis'!$F$49*IF(ABS(L266)&lt;'Sollecitazioni nel paramento'!$G$58,ABS(L266)*'Sollecitazioni nel paramento'!$G$54,'Sollecitazioni nel paramento'!$G$53)*IF(L266&lt;0,-1,1)</f>
        <v>204886.47740803001</v>
      </c>
      <c r="S266" s="545">
        <f>'Foglio deposito bis'!$F$50*IF(ABS(M266)&lt;'Sollecitazioni nel paramento'!$G$58,ABS(M266)*'Sollecitazioni nel paramento'!$G$54,'Sollecitazioni nel paramento'!$G$53)*IF(M266&lt;0,-1,1)</f>
        <v>0</v>
      </c>
      <c r="T266" s="545">
        <f>'Foglio deposito bis'!$F$51*IF(ABS(N266)&lt;'Sollecitazioni nel paramento'!$G$58,ABS(N266)*'Sollecitazioni nel paramento'!$G$54,'Sollecitazioni nel paramento'!$G$53)*IF(N266&lt;0,-1,1)</f>
        <v>240946.49743184328</v>
      </c>
      <c r="U266" s="545">
        <f>'Foglio deposito bis'!$F$52*IF(ABS(O266)&lt;'Sollecitazioni nel paramento'!$G$58,ABS(O266)*'Sollecitazioni nel paramento'!$G$54,'Sollecitazioni nel paramento'!$G$53)*IF(O266&lt;0,-1,1)</f>
        <v>240946.49743184328</v>
      </c>
      <c r="V266" s="472">
        <f t="shared" si="23"/>
        <v>585988.16840607359</v>
      </c>
      <c r="W266" s="551"/>
      <c r="X266" s="551"/>
    </row>
    <row r="267" spans="1:24" x14ac:dyDescent="0.25">
      <c r="A267" s="545">
        <f t="shared" si="22"/>
        <v>578234.99118563952</v>
      </c>
      <c r="B267" s="3">
        <f t="shared" si="24"/>
        <v>0.70000000000000007</v>
      </c>
      <c r="C267" s="545">
        <f>'Foglio deposito bis'!$E$154/sezione!$B$247*B267</f>
        <v>2.8491608548199867</v>
      </c>
      <c r="D267" s="603">
        <f>-'Sollecitazioni nel paramento'!$G$47*'Sollecitazioni nel paramento'!$G$41*IF(DATI!$G$211="dx",DATI!$E$61,DATI!$E$64*DATI!$E$63)*1000*C267^2*sezione!$AD$5*(1-sezione!$AD$6)</f>
        <v>-180608.24092604429</v>
      </c>
      <c r="E267" s="545">
        <f>-'Foglio deposito bis'!$F$48*(C267-sezione!$AL$28)*IF(ABS(K267)&lt;'Sollecitazioni nel paramento'!$G$58,ABS(K267)*'Sollecitazioni nel paramento'!$G$54,'Sollecitazioni nel paramento'!$G$53)</f>
        <v>0</v>
      </c>
      <c r="F267" s="545">
        <f>-'Foglio deposito bis'!$F$49*(C267-sezione!$AM$28)*IF(ABS(L267)&lt;'Sollecitazioni nel paramento'!$G$58,ABS(L267)*'Sollecitazioni nel paramento'!$G$54,'Sollecitazioni nel paramento'!$G$53)</f>
        <v>11709434.113368882</v>
      </c>
      <c r="G267" s="545">
        <f>-'Foglio deposito bis'!$F$50*(C267-sezione!$AN$28)*IF(ABS(M267)&lt;'Sollecitazioni nel paramento'!$G$58,ABS(M267)*'Sollecitazioni nel paramento'!$G$54,'Sollecitazioni nel paramento'!$G$53)</f>
        <v>0</v>
      </c>
      <c r="H267" s="545">
        <f>-'Foglio deposito bis'!$F$51*(C267-sezione!$AO$28)*IF(ABS(N267)&lt;'Sollecitazioni nel paramento'!$G$58,ABS(N267)*'Sollecitazioni nel paramento'!$G$54,'Sollecitazioni nel paramento'!$G$53)</f>
        <v>37864944.260506131</v>
      </c>
      <c r="I267" s="472">
        <f>-'Foglio deposito bis'!$F$52*(C267-sezione!$AP$28)*IF(ABS(O267)&lt;'Sollecitazioni nel paramento'!$G$58,ABS(O267)*'Sollecitazioni nel paramento'!$G$54,'Sollecitazioni nel paramento'!$G$53)</f>
        <v>62149937.320868492</v>
      </c>
      <c r="J267" s="472">
        <f t="shared" si="21"/>
        <v>111543707.45381746</v>
      </c>
      <c r="K267" s="550">
        <f>'Sollecitazioni nel paramento'!$G$60*(sezione!$AL$28-C267)/C267</f>
        <v>4.5637274844682427E-2</v>
      </c>
      <c r="L267" s="550">
        <f>'Sollecitazioni nel paramento'!$G$60*(sezione!$AM$28-C267)/C267</f>
        <v>7.0205912267023635E-2</v>
      </c>
      <c r="M267" s="551">
        <f>'Sollecitazioni nel paramento'!$G$60*(sezione!$AN$28-C267)/C267</f>
        <v>9.4774549689364843E-2</v>
      </c>
      <c r="N267" s="551">
        <f>'Sollecitazioni nel paramento'!$G$60*(sezione!$AO$28-C267)/C267</f>
        <v>0.19304909937872969</v>
      </c>
      <c r="O267" s="551">
        <f>'Sollecitazioni nel paramento'!$G$60*(sezione!$AP$28-C267)/C267</f>
        <v>0.31686272515531727</v>
      </c>
      <c r="P267" s="545">
        <f>-'Sollecitazioni nel paramento'!$G$47*'Sollecitazioni nel paramento'!$G$41*IF(DATI!$G$211="dx",DATI!$E$61,DATI!$E$64*DATI!$E$63)*1000*C267*sezione!$AD$5</f>
        <v>-108544.48108607702</v>
      </c>
      <c r="Q267" s="545">
        <f>'Foglio deposito bis'!$F$48*IF(ABS(K267)&lt;'Sollecitazioni nel paramento'!$G$58,ABS(K267)*'Sollecitazioni nel paramento'!$G$54,'Sollecitazioni nel paramento'!$G$53)*IF(K267&lt;0,-1,1)</f>
        <v>0</v>
      </c>
      <c r="R267" s="545">
        <f>'Foglio deposito bis'!$F$49*IF(ABS(L267)&lt;'Sollecitazioni nel paramento'!$G$58,ABS(L267)*'Sollecitazioni nel paramento'!$G$54,'Sollecitazioni nel paramento'!$G$53)*IF(L267&lt;0,-1,1)</f>
        <v>204886.47740803001</v>
      </c>
      <c r="S267" s="545">
        <f>'Foglio deposito bis'!$F$50*IF(ABS(M267)&lt;'Sollecitazioni nel paramento'!$G$58,ABS(M267)*'Sollecitazioni nel paramento'!$G$54,'Sollecitazioni nel paramento'!$G$53)*IF(M267&lt;0,-1,1)</f>
        <v>0</v>
      </c>
      <c r="T267" s="545">
        <f>'Foglio deposito bis'!$F$51*IF(ABS(N267)&lt;'Sollecitazioni nel paramento'!$G$58,ABS(N267)*'Sollecitazioni nel paramento'!$G$54,'Sollecitazioni nel paramento'!$G$53)*IF(N267&lt;0,-1,1)</f>
        <v>240946.49743184328</v>
      </c>
      <c r="U267" s="545">
        <f>'Foglio deposito bis'!$F$52*IF(ABS(O267)&lt;'Sollecitazioni nel paramento'!$G$58,ABS(O267)*'Sollecitazioni nel paramento'!$G$54,'Sollecitazioni nel paramento'!$G$53)*IF(O267&lt;0,-1,1)</f>
        <v>240946.49743184328</v>
      </c>
      <c r="V267" s="472">
        <f t="shared" si="23"/>
        <v>578234.99118563952</v>
      </c>
      <c r="W267" s="551"/>
      <c r="X267" s="551"/>
    </row>
    <row r="268" spans="1:24" x14ac:dyDescent="0.25">
      <c r="A268" s="545">
        <f t="shared" si="22"/>
        <v>570481.81396520545</v>
      </c>
      <c r="B268" s="3">
        <f t="shared" si="24"/>
        <v>0.75000000000000011</v>
      </c>
      <c r="C268" s="545">
        <f>'Foglio deposito bis'!$E$154/sezione!$B$247*B268</f>
        <v>3.0526723444499861</v>
      </c>
      <c r="D268" s="603">
        <f>-'Sollecitazioni nel paramento'!$G$47*'Sollecitazioni nel paramento'!$G$41*IF(DATI!$G$211="dx",DATI!$E$61,DATI!$E$64*DATI!$E$63)*1000*C268^2*sezione!$AD$5*(1-sezione!$AD$6)</f>
        <v>-207330.8888181631</v>
      </c>
      <c r="E268" s="545">
        <f>-'Foglio deposito bis'!$F$48*(C268-sezione!$AL$28)*IF(ABS(K268)&lt;'Sollecitazioni nel paramento'!$G$58,ABS(K268)*'Sollecitazioni nel paramento'!$G$54,'Sollecitazioni nel paramento'!$G$53)</f>
        <v>0</v>
      </c>
      <c r="F268" s="545">
        <f>-'Foglio deposito bis'!$F$49*(C268-sezione!$AM$28)*IF(ABS(L268)&lt;'Sollecitazioni nel paramento'!$G$58,ABS(L268)*'Sollecitazioni nel paramento'!$G$54,'Sollecitazioni nel paramento'!$G$53)</f>
        <v>11667737.36114653</v>
      </c>
      <c r="G268" s="545">
        <f>-'Foglio deposito bis'!$F$50*(C268-sezione!$AN$28)*IF(ABS(M268)&lt;'Sollecitazioni nel paramento'!$G$58,ABS(M268)*'Sollecitazioni nel paramento'!$G$54,'Sollecitazioni nel paramento'!$G$53)</f>
        <v>0</v>
      </c>
      <c r="H268" s="545">
        <f>-'Foglio deposito bis'!$F$51*(C268-sezione!$AO$28)*IF(ABS(N268)&lt;'Sollecitazioni nel paramento'!$G$58,ABS(N268)*'Sollecitazioni nel paramento'!$G$54,'Sollecitazioni nel paramento'!$G$53)</f>
        <v>37815908.879892647</v>
      </c>
      <c r="I268" s="472">
        <f>-'Foglio deposito bis'!$F$52*(C268-sezione!$AP$28)*IF(ABS(O268)&lt;'Sollecitazioni nel paramento'!$G$58,ABS(O268)*'Sollecitazioni nel paramento'!$G$54,'Sollecitazioni nel paramento'!$G$53)</f>
        <v>62100901.940255009</v>
      </c>
      <c r="J268" s="472">
        <f t="shared" si="21"/>
        <v>111377217.29247603</v>
      </c>
      <c r="K268" s="550">
        <f>'Sollecitazioni nel paramento'!$G$60*(sezione!$AL$28-C268)/C268</f>
        <v>4.2361456521703582E-2</v>
      </c>
      <c r="L268" s="550">
        <f>'Sollecitazioni nel paramento'!$G$60*(sezione!$AM$28-C268)/C268</f>
        <v>6.5292184782555385E-2</v>
      </c>
      <c r="M268" s="551">
        <f>'Sollecitazioni nel paramento'!$G$60*(sezione!$AN$28-C268)/C268</f>
        <v>8.8222913043407181E-2</v>
      </c>
      <c r="N268" s="551">
        <f>'Sollecitazioni nel paramento'!$G$60*(sezione!$AO$28-C268)/C268</f>
        <v>0.17994582608681439</v>
      </c>
      <c r="O268" s="551">
        <f>'Sollecitazioni nel paramento'!$G$60*(sezione!$AP$28-C268)/C268</f>
        <v>0.29550521014496273</v>
      </c>
      <c r="P268" s="545">
        <f>-'Sollecitazioni nel paramento'!$G$47*'Sollecitazioni nel paramento'!$G$41*IF(DATI!$G$211="dx",DATI!$E$61,DATI!$E$64*DATI!$E$63)*1000*C268*sezione!$AD$5</f>
        <v>-116297.6583065111</v>
      </c>
      <c r="Q268" s="545">
        <f>'Foglio deposito bis'!$F$48*IF(ABS(K268)&lt;'Sollecitazioni nel paramento'!$G$58,ABS(K268)*'Sollecitazioni nel paramento'!$G$54,'Sollecitazioni nel paramento'!$G$53)*IF(K268&lt;0,-1,1)</f>
        <v>0</v>
      </c>
      <c r="R268" s="545">
        <f>'Foglio deposito bis'!$F$49*IF(ABS(L268)&lt;'Sollecitazioni nel paramento'!$G$58,ABS(L268)*'Sollecitazioni nel paramento'!$G$54,'Sollecitazioni nel paramento'!$G$53)*IF(L268&lt;0,-1,1)</f>
        <v>204886.47740803001</v>
      </c>
      <c r="S268" s="545">
        <f>'Foglio deposito bis'!$F$50*IF(ABS(M268)&lt;'Sollecitazioni nel paramento'!$G$58,ABS(M268)*'Sollecitazioni nel paramento'!$G$54,'Sollecitazioni nel paramento'!$G$53)*IF(M268&lt;0,-1,1)</f>
        <v>0</v>
      </c>
      <c r="T268" s="545">
        <f>'Foglio deposito bis'!$F$51*IF(ABS(N268)&lt;'Sollecitazioni nel paramento'!$G$58,ABS(N268)*'Sollecitazioni nel paramento'!$G$54,'Sollecitazioni nel paramento'!$G$53)*IF(N268&lt;0,-1,1)</f>
        <v>240946.49743184328</v>
      </c>
      <c r="U268" s="545">
        <f>'Foglio deposito bis'!$F$52*IF(ABS(O268)&lt;'Sollecitazioni nel paramento'!$G$58,ABS(O268)*'Sollecitazioni nel paramento'!$G$54,'Sollecitazioni nel paramento'!$G$53)*IF(O268&lt;0,-1,1)</f>
        <v>240946.49743184328</v>
      </c>
      <c r="V268" s="472">
        <f t="shared" si="23"/>
        <v>570481.81396520545</v>
      </c>
      <c r="W268" s="551"/>
      <c r="X268" s="551"/>
    </row>
    <row r="269" spans="1:24" x14ac:dyDescent="0.25">
      <c r="A269" s="545">
        <f t="shared" si="22"/>
        <v>562728.63674477139</v>
      </c>
      <c r="B269" s="3">
        <f t="shared" si="24"/>
        <v>0.80000000000000016</v>
      </c>
      <c r="C269" s="545">
        <f>'Foglio deposito bis'!$E$154/sezione!$B$247*B269</f>
        <v>3.2561838340799851</v>
      </c>
      <c r="D269" s="603">
        <f>-'Sollecitazioni nel paramento'!$G$47*'Sollecitazioni nel paramento'!$G$41*IF(DATI!$G$211="dx",DATI!$E$61,DATI!$E$64*DATI!$E$63)*1000*C269^2*sezione!$AD$5*(1-sezione!$AD$6)</f>
        <v>-235896.47794422111</v>
      </c>
      <c r="E269" s="545">
        <f>-'Foglio deposito bis'!$F$48*(C269-sezione!$AL$28)*IF(ABS(K269)&lt;'Sollecitazioni nel paramento'!$G$58,ABS(K269)*'Sollecitazioni nel paramento'!$G$54,'Sollecitazioni nel paramento'!$G$53)</f>
        <v>0</v>
      </c>
      <c r="F269" s="545">
        <f>-'Foglio deposito bis'!$F$49*(C269-sezione!$AM$28)*IF(ABS(L269)&lt;'Sollecitazioni nel paramento'!$G$58,ABS(L269)*'Sollecitazioni nel paramento'!$G$54,'Sollecitazioni nel paramento'!$G$53)</f>
        <v>11626040.608924178</v>
      </c>
      <c r="G269" s="545">
        <f>-'Foglio deposito bis'!$F$50*(C269-sezione!$AN$28)*IF(ABS(M269)&lt;'Sollecitazioni nel paramento'!$G$58,ABS(M269)*'Sollecitazioni nel paramento'!$G$54,'Sollecitazioni nel paramento'!$G$53)</f>
        <v>0</v>
      </c>
      <c r="H269" s="545">
        <f>-'Foglio deposito bis'!$F$51*(C269-sezione!$AO$28)*IF(ABS(N269)&lt;'Sollecitazioni nel paramento'!$G$58,ABS(N269)*'Sollecitazioni nel paramento'!$G$54,'Sollecitazioni nel paramento'!$G$53)</f>
        <v>37766873.499279156</v>
      </c>
      <c r="I269" s="472">
        <f>-'Foglio deposito bis'!$F$52*(C269-sezione!$AP$28)*IF(ABS(O269)&lt;'Sollecitazioni nel paramento'!$G$58,ABS(O269)*'Sollecitazioni nel paramento'!$G$54,'Sollecitazioni nel paramento'!$G$53)</f>
        <v>62051866.559641518</v>
      </c>
      <c r="J269" s="472">
        <f t="shared" si="21"/>
        <v>111208884.18990064</v>
      </c>
      <c r="K269" s="550">
        <f>'Sollecitazioni nel paramento'!$G$60*(sezione!$AL$28-C269)/C269</f>
        <v>3.9495115489097114E-2</v>
      </c>
      <c r="L269" s="550">
        <f>'Sollecitazioni nel paramento'!$G$60*(sezione!$AM$28-C269)/C269</f>
        <v>6.0992673233645676E-2</v>
      </c>
      <c r="M269" s="551">
        <f>'Sollecitazioni nel paramento'!$G$60*(sezione!$AN$28-C269)/C269</f>
        <v>8.2490230978194232E-2</v>
      </c>
      <c r="N269" s="551">
        <f>'Sollecitazioni nel paramento'!$G$60*(sezione!$AO$28-C269)/C269</f>
        <v>0.16848046195638844</v>
      </c>
      <c r="O269" s="551">
        <f>'Sollecitazioni nel paramento'!$G$60*(sezione!$AP$28-C269)/C269</f>
        <v>0.2768173845109026</v>
      </c>
      <c r="P269" s="545">
        <f>-'Sollecitazioni nel paramento'!$G$47*'Sollecitazioni nel paramento'!$G$41*IF(DATI!$G$211="dx",DATI!$E$61,DATI!$E$64*DATI!$E$63)*1000*C269*sezione!$AD$5</f>
        <v>-124050.83552694519</v>
      </c>
      <c r="Q269" s="545">
        <f>'Foglio deposito bis'!$F$48*IF(ABS(K269)&lt;'Sollecitazioni nel paramento'!$G$58,ABS(K269)*'Sollecitazioni nel paramento'!$G$54,'Sollecitazioni nel paramento'!$G$53)*IF(K269&lt;0,-1,1)</f>
        <v>0</v>
      </c>
      <c r="R269" s="545">
        <f>'Foglio deposito bis'!$F$49*IF(ABS(L269)&lt;'Sollecitazioni nel paramento'!$G$58,ABS(L269)*'Sollecitazioni nel paramento'!$G$54,'Sollecitazioni nel paramento'!$G$53)*IF(L269&lt;0,-1,1)</f>
        <v>204886.47740803001</v>
      </c>
      <c r="S269" s="545">
        <f>'Foglio deposito bis'!$F$50*IF(ABS(M269)&lt;'Sollecitazioni nel paramento'!$G$58,ABS(M269)*'Sollecitazioni nel paramento'!$G$54,'Sollecitazioni nel paramento'!$G$53)*IF(M269&lt;0,-1,1)</f>
        <v>0</v>
      </c>
      <c r="T269" s="545">
        <f>'Foglio deposito bis'!$F$51*IF(ABS(N269)&lt;'Sollecitazioni nel paramento'!$G$58,ABS(N269)*'Sollecitazioni nel paramento'!$G$54,'Sollecitazioni nel paramento'!$G$53)*IF(N269&lt;0,-1,1)</f>
        <v>240946.49743184328</v>
      </c>
      <c r="U269" s="545">
        <f>'Foglio deposito bis'!$F$52*IF(ABS(O269)&lt;'Sollecitazioni nel paramento'!$G$58,ABS(O269)*'Sollecitazioni nel paramento'!$G$54,'Sollecitazioni nel paramento'!$G$53)*IF(O269&lt;0,-1,1)</f>
        <v>240946.49743184328</v>
      </c>
      <c r="V269" s="472">
        <f t="shared" si="23"/>
        <v>562728.63674477139</v>
      </c>
      <c r="W269" s="551"/>
      <c r="X269" s="551"/>
    </row>
    <row r="270" spans="1:24" x14ac:dyDescent="0.25">
      <c r="A270" s="545">
        <f t="shared" si="22"/>
        <v>554975.45952433732</v>
      </c>
      <c r="B270" s="3">
        <f t="shared" si="24"/>
        <v>0.8500000000000002</v>
      </c>
      <c r="C270" s="545">
        <f>'Foglio deposito bis'!$E$154/sezione!$B$247*B270</f>
        <v>3.4596953237099846</v>
      </c>
      <c r="D270" s="603">
        <f>-'Sollecitazioni nel paramento'!$G$47*'Sollecitazioni nel paramento'!$G$41*IF(DATI!$G$211="dx",DATI!$E$61,DATI!$E$64*DATI!$E$63)*1000*C270^2*sezione!$AD$5*(1-sezione!$AD$6)</f>
        <v>-266305.00830421847</v>
      </c>
      <c r="E270" s="545">
        <f>-'Foglio deposito bis'!$F$48*(C270-sezione!$AL$28)*IF(ABS(K270)&lt;'Sollecitazioni nel paramento'!$G$58,ABS(K270)*'Sollecitazioni nel paramento'!$G$54,'Sollecitazioni nel paramento'!$G$53)</f>
        <v>0</v>
      </c>
      <c r="F270" s="545">
        <f>-'Foglio deposito bis'!$F$49*(C270-sezione!$AM$28)*IF(ABS(L270)&lt;'Sollecitazioni nel paramento'!$G$58,ABS(L270)*'Sollecitazioni nel paramento'!$G$54,'Sollecitazioni nel paramento'!$G$53)</f>
        <v>11584343.856701829</v>
      </c>
      <c r="G270" s="545">
        <f>-'Foglio deposito bis'!$F$50*(C270-sezione!$AN$28)*IF(ABS(M270)&lt;'Sollecitazioni nel paramento'!$G$58,ABS(M270)*'Sollecitazioni nel paramento'!$G$54,'Sollecitazioni nel paramento'!$G$53)</f>
        <v>0</v>
      </c>
      <c r="H270" s="545">
        <f>-'Foglio deposito bis'!$F$51*(C270-sezione!$AO$28)*IF(ABS(N270)&lt;'Sollecitazioni nel paramento'!$G$58,ABS(N270)*'Sollecitazioni nel paramento'!$G$54,'Sollecitazioni nel paramento'!$G$53)</f>
        <v>37717838.11866568</v>
      </c>
      <c r="I270" s="472">
        <f>-'Foglio deposito bis'!$F$52*(C270-sezione!$AP$28)*IF(ABS(O270)&lt;'Sollecitazioni nel paramento'!$G$58,ABS(O270)*'Sollecitazioni nel paramento'!$G$54,'Sollecitazioni nel paramento'!$G$53)</f>
        <v>62002831.179028034</v>
      </c>
      <c r="J270" s="472">
        <f t="shared" si="21"/>
        <v>111038708.14609133</v>
      </c>
      <c r="K270" s="550">
        <f>'Sollecitazioni nel paramento'!$G$60*(sezione!$AL$28-C270)/C270</f>
        <v>3.6965991048561984E-2</v>
      </c>
      <c r="L270" s="550">
        <f>'Sollecitazioni nel paramento'!$G$60*(sezione!$AM$28-C270)/C270</f>
        <v>5.7198986572842982E-2</v>
      </c>
      <c r="M270" s="551">
        <f>'Sollecitazioni nel paramento'!$G$60*(sezione!$AN$28-C270)/C270</f>
        <v>7.7431982097123986E-2</v>
      </c>
      <c r="N270" s="551">
        <f>'Sollecitazioni nel paramento'!$G$60*(sezione!$AO$28-C270)/C270</f>
        <v>0.15836396419424797</v>
      </c>
      <c r="O270" s="551">
        <f>'Sollecitazioni nel paramento'!$G$60*(sezione!$AP$28-C270)/C270</f>
        <v>0.26032812659849652</v>
      </c>
      <c r="P270" s="545">
        <f>-'Sollecitazioni nel paramento'!$G$47*'Sollecitazioni nel paramento'!$G$41*IF(DATI!$G$211="dx",DATI!$E$61,DATI!$E$64*DATI!$E$63)*1000*C270*sezione!$AD$5</f>
        <v>-131804.01274737925</v>
      </c>
      <c r="Q270" s="545">
        <f>'Foglio deposito bis'!$F$48*IF(ABS(K270)&lt;'Sollecitazioni nel paramento'!$G$58,ABS(K270)*'Sollecitazioni nel paramento'!$G$54,'Sollecitazioni nel paramento'!$G$53)*IF(K270&lt;0,-1,1)</f>
        <v>0</v>
      </c>
      <c r="R270" s="545">
        <f>'Foglio deposito bis'!$F$49*IF(ABS(L270)&lt;'Sollecitazioni nel paramento'!$G$58,ABS(L270)*'Sollecitazioni nel paramento'!$G$54,'Sollecitazioni nel paramento'!$G$53)*IF(L270&lt;0,-1,1)</f>
        <v>204886.47740803001</v>
      </c>
      <c r="S270" s="545">
        <f>'Foglio deposito bis'!$F$50*IF(ABS(M270)&lt;'Sollecitazioni nel paramento'!$G$58,ABS(M270)*'Sollecitazioni nel paramento'!$G$54,'Sollecitazioni nel paramento'!$G$53)*IF(M270&lt;0,-1,1)</f>
        <v>0</v>
      </c>
      <c r="T270" s="545">
        <f>'Foglio deposito bis'!$F$51*IF(ABS(N270)&lt;'Sollecitazioni nel paramento'!$G$58,ABS(N270)*'Sollecitazioni nel paramento'!$G$54,'Sollecitazioni nel paramento'!$G$53)*IF(N270&lt;0,-1,1)</f>
        <v>240946.49743184328</v>
      </c>
      <c r="U270" s="545">
        <f>'Foglio deposito bis'!$F$52*IF(ABS(O270)&lt;'Sollecitazioni nel paramento'!$G$58,ABS(O270)*'Sollecitazioni nel paramento'!$G$54,'Sollecitazioni nel paramento'!$G$53)*IF(O270&lt;0,-1,1)</f>
        <v>240946.49743184328</v>
      </c>
      <c r="V270" s="472">
        <f t="shared" si="23"/>
        <v>554975.45952433732</v>
      </c>
      <c r="W270" s="551"/>
      <c r="X270" s="551"/>
    </row>
    <row r="271" spans="1:24" x14ac:dyDescent="0.25">
      <c r="A271" s="545">
        <f t="shared" si="22"/>
        <v>547222.28230390325</v>
      </c>
      <c r="B271" s="3">
        <f t="shared" si="24"/>
        <v>0.90000000000000024</v>
      </c>
      <c r="C271" s="545">
        <f>'Foglio deposito bis'!$E$154/sezione!$B$247*B271</f>
        <v>3.6632068133399835</v>
      </c>
      <c r="D271" s="603">
        <f>-'Sollecitazioni nel paramento'!$G$47*'Sollecitazioni nel paramento'!$G$41*IF(DATI!$G$211="dx",DATI!$E$61,DATI!$E$64*DATI!$E$63)*1000*C271^2*sezione!$AD$5*(1-sezione!$AD$6)</f>
        <v>-298556.47989815491</v>
      </c>
      <c r="E271" s="545">
        <f>-'Foglio deposito bis'!$F$48*(C271-sezione!$AL$28)*IF(ABS(K271)&lt;'Sollecitazioni nel paramento'!$G$58,ABS(K271)*'Sollecitazioni nel paramento'!$G$54,'Sollecitazioni nel paramento'!$G$53)</f>
        <v>0</v>
      </c>
      <c r="F271" s="545">
        <f>-'Foglio deposito bis'!$F$49*(C271-sezione!$AM$28)*IF(ABS(L271)&lt;'Sollecitazioni nel paramento'!$G$58,ABS(L271)*'Sollecitazioni nel paramento'!$G$54,'Sollecitazioni nel paramento'!$G$53)</f>
        <v>11542647.104479477</v>
      </c>
      <c r="G271" s="545">
        <f>-'Foglio deposito bis'!$F$50*(C271-sezione!$AN$28)*IF(ABS(M271)&lt;'Sollecitazioni nel paramento'!$G$58,ABS(M271)*'Sollecitazioni nel paramento'!$G$54,'Sollecitazioni nel paramento'!$G$53)</f>
        <v>0</v>
      </c>
      <c r="H271" s="545">
        <f>-'Foglio deposito bis'!$F$51*(C271-sezione!$AO$28)*IF(ABS(N271)&lt;'Sollecitazioni nel paramento'!$G$58,ABS(N271)*'Sollecitazioni nel paramento'!$G$54,'Sollecitazioni nel paramento'!$G$53)</f>
        <v>37668802.738052189</v>
      </c>
      <c r="I271" s="472">
        <f>-'Foglio deposito bis'!$F$52*(C271-sezione!$AP$28)*IF(ABS(O271)&lt;'Sollecitazioni nel paramento'!$G$58,ABS(O271)*'Sollecitazioni nel paramento'!$G$54,'Sollecitazioni nel paramento'!$G$53)</f>
        <v>61953795.798414558</v>
      </c>
      <c r="J271" s="472">
        <f t="shared" si="21"/>
        <v>110866689.16104807</v>
      </c>
      <c r="K271" s="550">
        <f>'Sollecitazioni nel paramento'!$G$60*(sezione!$AL$28-C271)/C271</f>
        <v>3.471788043475299E-2</v>
      </c>
      <c r="L271" s="550">
        <f>'Sollecitazioni nel paramento'!$G$60*(sezione!$AM$28-C271)/C271</f>
        <v>5.382682065212948E-2</v>
      </c>
      <c r="M271" s="551">
        <f>'Sollecitazioni nel paramento'!$G$60*(sezione!$AN$28-C271)/C271</f>
        <v>7.2935760869505983E-2</v>
      </c>
      <c r="N271" s="551">
        <f>'Sollecitazioni nel paramento'!$G$60*(sezione!$AO$28-C271)/C271</f>
        <v>0.14937152173901194</v>
      </c>
      <c r="O271" s="551">
        <f>'Sollecitazioni nel paramento'!$G$60*(sezione!$AP$28-C271)/C271</f>
        <v>0.24567100845413564</v>
      </c>
      <c r="P271" s="545">
        <f>-'Sollecitazioni nel paramento'!$G$47*'Sollecitazioni nel paramento'!$G$41*IF(DATI!$G$211="dx",DATI!$E$61,DATI!$E$64*DATI!$E$63)*1000*C271*sezione!$AD$5</f>
        <v>-139557.18996781335</v>
      </c>
      <c r="Q271" s="545">
        <f>'Foglio deposito bis'!$F$48*IF(ABS(K271)&lt;'Sollecitazioni nel paramento'!$G$58,ABS(K271)*'Sollecitazioni nel paramento'!$G$54,'Sollecitazioni nel paramento'!$G$53)*IF(K271&lt;0,-1,1)</f>
        <v>0</v>
      </c>
      <c r="R271" s="545">
        <f>'Foglio deposito bis'!$F$49*IF(ABS(L271)&lt;'Sollecitazioni nel paramento'!$G$58,ABS(L271)*'Sollecitazioni nel paramento'!$G$54,'Sollecitazioni nel paramento'!$G$53)*IF(L271&lt;0,-1,1)</f>
        <v>204886.47740803001</v>
      </c>
      <c r="S271" s="545">
        <f>'Foglio deposito bis'!$F$50*IF(ABS(M271)&lt;'Sollecitazioni nel paramento'!$G$58,ABS(M271)*'Sollecitazioni nel paramento'!$G$54,'Sollecitazioni nel paramento'!$G$53)*IF(M271&lt;0,-1,1)</f>
        <v>0</v>
      </c>
      <c r="T271" s="545">
        <f>'Foglio deposito bis'!$F$51*IF(ABS(N271)&lt;'Sollecitazioni nel paramento'!$G$58,ABS(N271)*'Sollecitazioni nel paramento'!$G$54,'Sollecitazioni nel paramento'!$G$53)*IF(N271&lt;0,-1,1)</f>
        <v>240946.49743184328</v>
      </c>
      <c r="U271" s="545">
        <f>'Foglio deposito bis'!$F$52*IF(ABS(O271)&lt;'Sollecitazioni nel paramento'!$G$58,ABS(O271)*'Sollecitazioni nel paramento'!$G$54,'Sollecitazioni nel paramento'!$G$53)*IF(O271&lt;0,-1,1)</f>
        <v>240946.49743184328</v>
      </c>
      <c r="V271" s="472">
        <f t="shared" si="23"/>
        <v>547222.28230390325</v>
      </c>
      <c r="W271" s="551"/>
      <c r="X271" s="551"/>
    </row>
    <row r="272" spans="1:24" x14ac:dyDescent="0.25">
      <c r="A272" s="545">
        <f t="shared" si="22"/>
        <v>539469.10508346919</v>
      </c>
      <c r="B272" s="3">
        <f t="shared" si="24"/>
        <v>0.95000000000000029</v>
      </c>
      <c r="C272" s="545">
        <f>'Foglio deposito bis'!$E$154/sezione!$B$247*B272</f>
        <v>3.866718302969983</v>
      </c>
      <c r="D272" s="603">
        <f>-'Sollecitazioni nel paramento'!$G$47*'Sollecitazioni nel paramento'!$G$41*IF(DATI!$G$211="dx",DATI!$E$61,DATI!$E$64*DATI!$E$63)*1000*C272^2*sezione!$AD$5*(1-sezione!$AD$6)</f>
        <v>-332650.89272603067</v>
      </c>
      <c r="E272" s="545">
        <f>-'Foglio deposito bis'!$F$48*(C272-sezione!$AL$28)*IF(ABS(K272)&lt;'Sollecitazioni nel paramento'!$G$58,ABS(K272)*'Sollecitazioni nel paramento'!$G$54,'Sollecitazioni nel paramento'!$G$53)</f>
        <v>0</v>
      </c>
      <c r="F272" s="545">
        <f>-'Foglio deposito bis'!$F$49*(C272-sezione!$AM$28)*IF(ABS(L272)&lt;'Sollecitazioni nel paramento'!$G$58,ABS(L272)*'Sollecitazioni nel paramento'!$G$54,'Sollecitazioni nel paramento'!$G$53)</f>
        <v>11500950.352257125</v>
      </c>
      <c r="G272" s="545">
        <f>-'Foglio deposito bis'!$F$50*(C272-sezione!$AN$28)*IF(ABS(M272)&lt;'Sollecitazioni nel paramento'!$G$58,ABS(M272)*'Sollecitazioni nel paramento'!$G$54,'Sollecitazioni nel paramento'!$G$53)</f>
        <v>0</v>
      </c>
      <c r="H272" s="545">
        <f>-'Foglio deposito bis'!$F$51*(C272-sezione!$AO$28)*IF(ABS(N272)&lt;'Sollecitazioni nel paramento'!$G$58,ABS(N272)*'Sollecitazioni nel paramento'!$G$54,'Sollecitazioni nel paramento'!$G$53)</f>
        <v>37619767.357438706</v>
      </c>
      <c r="I272" s="472">
        <f>-'Foglio deposito bis'!$F$52*(C272-sezione!$AP$28)*IF(ABS(O272)&lt;'Sollecitazioni nel paramento'!$G$58,ABS(O272)*'Sollecitazioni nel paramento'!$G$54,'Sollecitazioni nel paramento'!$G$53)</f>
        <v>61904760.417801075</v>
      </c>
      <c r="J272" s="472">
        <f t="shared" si="21"/>
        <v>110692827.23477086</v>
      </c>
      <c r="K272" s="550">
        <f>'Sollecitazioni nel paramento'!$G$60*(sezione!$AL$28-C272)/C272</f>
        <v>3.2706413043450192E-2</v>
      </c>
      <c r="L272" s="550">
        <f>'Sollecitazioni nel paramento'!$G$60*(sezione!$AM$28-C272)/C272</f>
        <v>5.0809619565175296E-2</v>
      </c>
      <c r="M272" s="551">
        <f>'Sollecitazioni nel paramento'!$G$60*(sezione!$AN$28-C272)/C272</f>
        <v>6.8912826086900386E-2</v>
      </c>
      <c r="N272" s="551">
        <f>'Sollecitazioni nel paramento'!$G$60*(sezione!$AO$28-C272)/C272</f>
        <v>0.14132565217380078</v>
      </c>
      <c r="O272" s="551">
        <f>'Sollecitazioni nel paramento'!$G$60*(sezione!$AP$28-C272)/C272</f>
        <v>0.23255674485128638</v>
      </c>
      <c r="P272" s="545">
        <f>-'Sollecitazioni nel paramento'!$G$47*'Sollecitazioni nel paramento'!$G$41*IF(DATI!$G$211="dx",DATI!$E$61,DATI!$E$64*DATI!$E$63)*1000*C272*sezione!$AD$5</f>
        <v>-147310.36718824742</v>
      </c>
      <c r="Q272" s="545">
        <f>'Foglio deposito bis'!$F$48*IF(ABS(K272)&lt;'Sollecitazioni nel paramento'!$G$58,ABS(K272)*'Sollecitazioni nel paramento'!$G$54,'Sollecitazioni nel paramento'!$G$53)*IF(K272&lt;0,-1,1)</f>
        <v>0</v>
      </c>
      <c r="R272" s="545">
        <f>'Foglio deposito bis'!$F$49*IF(ABS(L272)&lt;'Sollecitazioni nel paramento'!$G$58,ABS(L272)*'Sollecitazioni nel paramento'!$G$54,'Sollecitazioni nel paramento'!$G$53)*IF(L272&lt;0,-1,1)</f>
        <v>204886.47740803001</v>
      </c>
      <c r="S272" s="545">
        <f>'Foglio deposito bis'!$F$50*IF(ABS(M272)&lt;'Sollecitazioni nel paramento'!$G$58,ABS(M272)*'Sollecitazioni nel paramento'!$G$54,'Sollecitazioni nel paramento'!$G$53)*IF(M272&lt;0,-1,1)</f>
        <v>0</v>
      </c>
      <c r="T272" s="545">
        <f>'Foglio deposito bis'!$F$51*IF(ABS(N272)&lt;'Sollecitazioni nel paramento'!$G$58,ABS(N272)*'Sollecitazioni nel paramento'!$G$54,'Sollecitazioni nel paramento'!$G$53)*IF(N272&lt;0,-1,1)</f>
        <v>240946.49743184328</v>
      </c>
      <c r="U272" s="545">
        <f>'Foglio deposito bis'!$F$52*IF(ABS(O272)&lt;'Sollecitazioni nel paramento'!$G$58,ABS(O272)*'Sollecitazioni nel paramento'!$G$54,'Sollecitazioni nel paramento'!$G$53)*IF(O272&lt;0,-1,1)</f>
        <v>240946.49743184328</v>
      </c>
      <c r="V272" s="472">
        <f t="shared" si="23"/>
        <v>539469.10508346919</v>
      </c>
      <c r="W272" s="551"/>
      <c r="X272" s="551"/>
    </row>
    <row r="273" spans="1:24" x14ac:dyDescent="0.25">
      <c r="A273" s="545">
        <f t="shared" si="22"/>
        <v>531715.92786303512</v>
      </c>
      <c r="B273" s="3">
        <f t="shared" si="24"/>
        <v>1.0000000000000002</v>
      </c>
      <c r="C273" s="545">
        <f>'Foglio deposito bis'!$E$154/sezione!$B$247*B273</f>
        <v>4.0702297925999815</v>
      </c>
      <c r="D273" s="603">
        <f>-'Sollecitazioni nel paramento'!$G$47*'Sollecitazioni nel paramento'!$G$41*IF(DATI!$G$211="dx",DATI!$E$61,DATI!$E$64*DATI!$E$63)*1000*C273^2*sezione!$AD$5*(1-sezione!$AD$6)</f>
        <v>-368588.24678784556</v>
      </c>
      <c r="E273" s="545">
        <f>-'Foglio deposito bis'!$F$48*(C273-sezione!$AL$28)*IF(ABS(K273)&lt;'Sollecitazioni nel paramento'!$G$58,ABS(K273)*'Sollecitazioni nel paramento'!$G$54,'Sollecitazioni nel paramento'!$G$53)</f>
        <v>0</v>
      </c>
      <c r="F273" s="545">
        <f>-'Foglio deposito bis'!$F$49*(C273-sezione!$AM$28)*IF(ABS(L273)&lt;'Sollecitazioni nel paramento'!$G$58,ABS(L273)*'Sollecitazioni nel paramento'!$G$54,'Sollecitazioni nel paramento'!$G$53)</f>
        <v>11459253.600034773</v>
      </c>
      <c r="G273" s="545">
        <f>-'Foglio deposito bis'!$F$50*(C273-sezione!$AN$28)*IF(ABS(M273)&lt;'Sollecitazioni nel paramento'!$G$58,ABS(M273)*'Sollecitazioni nel paramento'!$G$54,'Sollecitazioni nel paramento'!$G$53)</f>
        <v>0</v>
      </c>
      <c r="H273" s="545">
        <f>-'Foglio deposito bis'!$F$51*(C273-sezione!$AO$28)*IF(ABS(N273)&lt;'Sollecitazioni nel paramento'!$G$58,ABS(N273)*'Sollecitazioni nel paramento'!$G$54,'Sollecitazioni nel paramento'!$G$53)</f>
        <v>37570731.976825222</v>
      </c>
      <c r="I273" s="472">
        <f>-'Foglio deposito bis'!$F$52*(C273-sezione!$AP$28)*IF(ABS(O273)&lt;'Sollecitazioni nel paramento'!$G$58,ABS(O273)*'Sollecitazioni nel paramento'!$G$54,'Sollecitazioni nel paramento'!$G$53)</f>
        <v>61855725.037187576</v>
      </c>
      <c r="J273" s="472">
        <f t="shared" si="21"/>
        <v>110517122.36725973</v>
      </c>
      <c r="K273" s="550">
        <f>'Sollecitazioni nel paramento'!$G$60*(sezione!$AL$28-C273)/C273</f>
        <v>3.0896092391277694E-2</v>
      </c>
      <c r="L273" s="550">
        <f>'Sollecitazioni nel paramento'!$G$60*(sezione!$AM$28-C273)/C273</f>
        <v>4.8094138586916538E-2</v>
      </c>
      <c r="M273" s="551">
        <f>'Sollecitazioni nel paramento'!$G$60*(sezione!$AN$28-C273)/C273</f>
        <v>6.5292184782555385E-2</v>
      </c>
      <c r="N273" s="551">
        <f>'Sollecitazioni nel paramento'!$G$60*(sezione!$AO$28-C273)/C273</f>
        <v>0.13408436956511077</v>
      </c>
      <c r="O273" s="551">
        <f>'Sollecitazioni nel paramento'!$G$60*(sezione!$AP$28-C273)/C273</f>
        <v>0.22075390760872204</v>
      </c>
      <c r="P273" s="545">
        <f>-'Sollecitazioni nel paramento'!$G$47*'Sollecitazioni nel paramento'!$G$41*IF(DATI!$G$211="dx",DATI!$E$61,DATI!$E$64*DATI!$E$63)*1000*C273*sezione!$AD$5</f>
        <v>-155063.54440868148</v>
      </c>
      <c r="Q273" s="545">
        <f>'Foglio deposito bis'!$F$48*IF(ABS(K273)&lt;'Sollecitazioni nel paramento'!$G$58,ABS(K273)*'Sollecitazioni nel paramento'!$G$54,'Sollecitazioni nel paramento'!$G$53)*IF(K273&lt;0,-1,1)</f>
        <v>0</v>
      </c>
      <c r="R273" s="545">
        <f>'Foglio deposito bis'!$F$49*IF(ABS(L273)&lt;'Sollecitazioni nel paramento'!$G$58,ABS(L273)*'Sollecitazioni nel paramento'!$G$54,'Sollecitazioni nel paramento'!$G$53)*IF(L273&lt;0,-1,1)</f>
        <v>204886.47740803001</v>
      </c>
      <c r="S273" s="545">
        <f>'Foglio deposito bis'!$F$50*IF(ABS(M273)&lt;'Sollecitazioni nel paramento'!$G$58,ABS(M273)*'Sollecitazioni nel paramento'!$G$54,'Sollecitazioni nel paramento'!$G$53)*IF(M273&lt;0,-1,1)</f>
        <v>0</v>
      </c>
      <c r="T273" s="545">
        <f>'Foglio deposito bis'!$F$51*IF(ABS(N273)&lt;'Sollecitazioni nel paramento'!$G$58,ABS(N273)*'Sollecitazioni nel paramento'!$G$54,'Sollecitazioni nel paramento'!$G$53)*IF(N273&lt;0,-1,1)</f>
        <v>240946.49743184328</v>
      </c>
      <c r="U273" s="545">
        <f>'Foglio deposito bis'!$F$52*IF(ABS(O273)&lt;'Sollecitazioni nel paramento'!$G$58,ABS(O273)*'Sollecitazioni nel paramento'!$G$54,'Sollecitazioni nel paramento'!$G$53)*IF(O273&lt;0,-1,1)</f>
        <v>240946.49743184328</v>
      </c>
      <c r="V273" s="472">
        <f t="shared" si="23"/>
        <v>531715.92786303512</v>
      </c>
      <c r="W273" s="551"/>
      <c r="X273" s="551"/>
    </row>
    <row r="274" spans="1:24" x14ac:dyDescent="0.25">
      <c r="A274" s="545">
        <f t="shared" si="22"/>
        <v>523962.75064260105</v>
      </c>
      <c r="B274" s="3">
        <f t="shared" si="24"/>
        <v>1.0500000000000003</v>
      </c>
      <c r="C274" s="545">
        <f>'Foglio deposito bis'!$E$154/sezione!$B$247*B274</f>
        <v>4.273741282229981</v>
      </c>
      <c r="D274" s="603">
        <f>-'Sollecitazioni nel paramento'!$G$47*'Sollecitazioni nel paramento'!$G$41*IF(DATI!$G$211="dx",DATI!$E$61,DATI!$E$64*DATI!$E$63)*1000*C274^2*sezione!$AD$5*(1-sezione!$AD$6)</f>
        <v>-406368.54208359978</v>
      </c>
      <c r="E274" s="545">
        <f>-'Foglio deposito bis'!$F$48*(C274-sezione!$AL$28)*IF(ABS(K274)&lt;'Sollecitazioni nel paramento'!$G$58,ABS(K274)*'Sollecitazioni nel paramento'!$G$54,'Sollecitazioni nel paramento'!$G$53)</f>
        <v>0</v>
      </c>
      <c r="F274" s="545">
        <f>-'Foglio deposito bis'!$F$49*(C274-sezione!$AM$28)*IF(ABS(L274)&lt;'Sollecitazioni nel paramento'!$G$58,ABS(L274)*'Sollecitazioni nel paramento'!$G$54,'Sollecitazioni nel paramento'!$G$53)</f>
        <v>11417556.847812423</v>
      </c>
      <c r="G274" s="545">
        <f>-'Foglio deposito bis'!$F$50*(C274-sezione!$AN$28)*IF(ABS(M274)&lt;'Sollecitazioni nel paramento'!$G$58,ABS(M274)*'Sollecitazioni nel paramento'!$G$54,'Sollecitazioni nel paramento'!$G$53)</f>
        <v>0</v>
      </c>
      <c r="H274" s="545">
        <f>-'Foglio deposito bis'!$F$51*(C274-sezione!$AO$28)*IF(ABS(N274)&lt;'Sollecitazioni nel paramento'!$G$58,ABS(N274)*'Sollecitazioni nel paramento'!$G$54,'Sollecitazioni nel paramento'!$G$53)</f>
        <v>37521696.596211731</v>
      </c>
      <c r="I274" s="472">
        <f>-'Foglio deposito bis'!$F$52*(C274-sezione!$AP$28)*IF(ABS(O274)&lt;'Sollecitazioni nel paramento'!$G$58,ABS(O274)*'Sollecitazioni nel paramento'!$G$54,'Sollecitazioni nel paramento'!$G$53)</f>
        <v>61806689.656574093</v>
      </c>
      <c r="J274" s="472">
        <f t="shared" si="21"/>
        <v>110339574.55851465</v>
      </c>
      <c r="K274" s="550">
        <f>'Sollecitazioni nel paramento'!$G$60*(sezione!$AL$28-C274)/C274</f>
        <v>2.9258183229788275E-2</v>
      </c>
      <c r="L274" s="550">
        <f>'Sollecitazioni nel paramento'!$G$60*(sezione!$AM$28-C274)/C274</f>
        <v>4.5637274844682413E-2</v>
      </c>
      <c r="M274" s="551">
        <f>'Sollecitazioni nel paramento'!$G$60*(sezione!$AN$28-C274)/C274</f>
        <v>6.2016366459576554E-2</v>
      </c>
      <c r="N274" s="551">
        <f>'Sollecitazioni nel paramento'!$G$60*(sezione!$AO$28-C274)/C274</f>
        <v>0.1275327329191531</v>
      </c>
      <c r="O274" s="551">
        <f>'Sollecitazioni nel paramento'!$G$60*(sezione!$AP$28-C274)/C274</f>
        <v>0.21007515010354483</v>
      </c>
      <c r="P274" s="545">
        <f>-'Sollecitazioni nel paramento'!$G$47*'Sollecitazioni nel paramento'!$G$41*IF(DATI!$G$211="dx",DATI!$E$61,DATI!$E$64*DATI!$E$63)*1000*C274*sezione!$AD$5</f>
        <v>-162816.72162911555</v>
      </c>
      <c r="Q274" s="545">
        <f>'Foglio deposito bis'!$F$48*IF(ABS(K274)&lt;'Sollecitazioni nel paramento'!$G$58,ABS(K274)*'Sollecitazioni nel paramento'!$G$54,'Sollecitazioni nel paramento'!$G$53)*IF(K274&lt;0,-1,1)</f>
        <v>0</v>
      </c>
      <c r="R274" s="545">
        <f>'Foglio deposito bis'!$F$49*IF(ABS(L274)&lt;'Sollecitazioni nel paramento'!$G$58,ABS(L274)*'Sollecitazioni nel paramento'!$G$54,'Sollecitazioni nel paramento'!$G$53)*IF(L274&lt;0,-1,1)</f>
        <v>204886.47740803001</v>
      </c>
      <c r="S274" s="545">
        <f>'Foglio deposito bis'!$F$50*IF(ABS(M274)&lt;'Sollecitazioni nel paramento'!$G$58,ABS(M274)*'Sollecitazioni nel paramento'!$G$54,'Sollecitazioni nel paramento'!$G$53)*IF(M274&lt;0,-1,1)</f>
        <v>0</v>
      </c>
      <c r="T274" s="545">
        <f>'Foglio deposito bis'!$F$51*IF(ABS(N274)&lt;'Sollecitazioni nel paramento'!$G$58,ABS(N274)*'Sollecitazioni nel paramento'!$G$54,'Sollecitazioni nel paramento'!$G$53)*IF(N274&lt;0,-1,1)</f>
        <v>240946.49743184328</v>
      </c>
      <c r="U274" s="545">
        <f>'Foglio deposito bis'!$F$52*IF(ABS(O274)&lt;'Sollecitazioni nel paramento'!$G$58,ABS(O274)*'Sollecitazioni nel paramento'!$G$54,'Sollecitazioni nel paramento'!$G$53)*IF(O274&lt;0,-1,1)</f>
        <v>240946.49743184328</v>
      </c>
      <c r="V274" s="472">
        <f t="shared" si="23"/>
        <v>523962.75064260105</v>
      </c>
      <c r="W274" s="551"/>
      <c r="X274" s="551"/>
    </row>
    <row r="275" spans="1:24" x14ac:dyDescent="0.25">
      <c r="A275" s="545">
        <f t="shared" si="22"/>
        <v>516209.57342216698</v>
      </c>
      <c r="B275" s="3">
        <f t="shared" si="24"/>
        <v>1.1000000000000003</v>
      </c>
      <c r="C275" s="545">
        <f>'Foglio deposito bis'!$E$154/sezione!$B$247*B275</f>
        <v>4.4772527718599804</v>
      </c>
      <c r="D275" s="603">
        <f>-'Sollecitazioni nel paramento'!$G$47*'Sollecitazioni nel paramento'!$G$41*IF(DATI!$G$211="dx",DATI!$E$61,DATI!$E$64*DATI!$E$63)*1000*C275^2*sezione!$AD$5*(1-sezione!$AD$6)</f>
        <v>-445991.77861329331</v>
      </c>
      <c r="E275" s="545">
        <f>-'Foglio deposito bis'!$F$48*(C275-sezione!$AL$28)*IF(ABS(K275)&lt;'Sollecitazioni nel paramento'!$G$58,ABS(K275)*'Sollecitazioni nel paramento'!$G$54,'Sollecitazioni nel paramento'!$G$53)</f>
        <v>0</v>
      </c>
      <c r="F275" s="545">
        <f>-'Foglio deposito bis'!$F$49*(C275-sezione!$AM$28)*IF(ABS(L275)&lt;'Sollecitazioni nel paramento'!$G$58,ABS(L275)*'Sollecitazioni nel paramento'!$G$54,'Sollecitazioni nel paramento'!$G$53)</f>
        <v>11375860.095590072</v>
      </c>
      <c r="G275" s="545">
        <f>-'Foglio deposito bis'!$F$50*(C275-sezione!$AN$28)*IF(ABS(M275)&lt;'Sollecitazioni nel paramento'!$G$58,ABS(M275)*'Sollecitazioni nel paramento'!$G$54,'Sollecitazioni nel paramento'!$G$53)</f>
        <v>0</v>
      </c>
      <c r="H275" s="545">
        <f>-'Foglio deposito bis'!$F$51*(C275-sezione!$AO$28)*IF(ABS(N275)&lt;'Sollecitazioni nel paramento'!$G$58,ABS(N275)*'Sollecitazioni nel paramento'!$G$54,'Sollecitazioni nel paramento'!$G$53)</f>
        <v>37472661.215598248</v>
      </c>
      <c r="I275" s="472">
        <f>-'Foglio deposito bis'!$F$52*(C275-sezione!$AP$28)*IF(ABS(O275)&lt;'Sollecitazioni nel paramento'!$G$58,ABS(O275)*'Sollecitazioni nel paramento'!$G$54,'Sollecitazioni nel paramento'!$G$53)</f>
        <v>61757654.275960609</v>
      </c>
      <c r="J275" s="472">
        <f t="shared" si="21"/>
        <v>110160183.80853564</v>
      </c>
      <c r="K275" s="550">
        <f>'Sollecitazioni nel paramento'!$G$60*(sezione!$AL$28-C275)/C275</f>
        <v>2.7769174901161531E-2</v>
      </c>
      <c r="L275" s="550">
        <f>'Sollecitazioni nel paramento'!$G$60*(sezione!$AM$28-C275)/C275</f>
        <v>4.34037623517423E-2</v>
      </c>
      <c r="M275" s="551">
        <f>'Sollecitazioni nel paramento'!$G$60*(sezione!$AN$28-C275)/C275</f>
        <v>5.9038349802323066E-2</v>
      </c>
      <c r="N275" s="551">
        <f>'Sollecitazioni nel paramento'!$G$60*(sezione!$AO$28-C275)/C275</f>
        <v>0.12157669960464614</v>
      </c>
      <c r="O275" s="551">
        <f>'Sollecitazioni nel paramento'!$G$60*(sezione!$AP$28-C275)/C275</f>
        <v>0.20036718873520185</v>
      </c>
      <c r="P275" s="545">
        <f>-'Sollecitazioni nel paramento'!$G$47*'Sollecitazioni nel paramento'!$G$41*IF(DATI!$G$211="dx",DATI!$E$61,DATI!$E$64*DATI!$E$63)*1000*C275*sezione!$AD$5</f>
        <v>-170569.89884954965</v>
      </c>
      <c r="Q275" s="545">
        <f>'Foglio deposito bis'!$F$48*IF(ABS(K275)&lt;'Sollecitazioni nel paramento'!$G$58,ABS(K275)*'Sollecitazioni nel paramento'!$G$54,'Sollecitazioni nel paramento'!$G$53)*IF(K275&lt;0,-1,1)</f>
        <v>0</v>
      </c>
      <c r="R275" s="545">
        <f>'Foglio deposito bis'!$F$49*IF(ABS(L275)&lt;'Sollecitazioni nel paramento'!$G$58,ABS(L275)*'Sollecitazioni nel paramento'!$G$54,'Sollecitazioni nel paramento'!$G$53)*IF(L275&lt;0,-1,1)</f>
        <v>204886.47740803001</v>
      </c>
      <c r="S275" s="545">
        <f>'Foglio deposito bis'!$F$50*IF(ABS(M275)&lt;'Sollecitazioni nel paramento'!$G$58,ABS(M275)*'Sollecitazioni nel paramento'!$G$54,'Sollecitazioni nel paramento'!$G$53)*IF(M275&lt;0,-1,1)</f>
        <v>0</v>
      </c>
      <c r="T275" s="545">
        <f>'Foglio deposito bis'!$F$51*IF(ABS(N275)&lt;'Sollecitazioni nel paramento'!$G$58,ABS(N275)*'Sollecitazioni nel paramento'!$G$54,'Sollecitazioni nel paramento'!$G$53)*IF(N275&lt;0,-1,1)</f>
        <v>240946.49743184328</v>
      </c>
      <c r="U275" s="545">
        <f>'Foglio deposito bis'!$F$52*IF(ABS(O275)&lt;'Sollecitazioni nel paramento'!$G$58,ABS(O275)*'Sollecitazioni nel paramento'!$G$54,'Sollecitazioni nel paramento'!$G$53)*IF(O275&lt;0,-1,1)</f>
        <v>240946.49743184328</v>
      </c>
      <c r="V275" s="472">
        <f t="shared" si="23"/>
        <v>516209.57342216698</v>
      </c>
      <c r="W275" s="551"/>
      <c r="X275" s="551"/>
    </row>
    <row r="276" spans="1:24" x14ac:dyDescent="0.25">
      <c r="A276" s="545">
        <f t="shared" si="22"/>
        <v>508456.39620173292</v>
      </c>
      <c r="B276" s="3">
        <f t="shared" si="24"/>
        <v>1.1500000000000004</v>
      </c>
      <c r="C276" s="545">
        <f>'Foglio deposito bis'!$E$154/sezione!$B$247*B276</f>
        <v>4.6807642614899789</v>
      </c>
      <c r="D276" s="603">
        <f>-'Sollecitazioni nel paramento'!$G$47*'Sollecitazioni nel paramento'!$G$41*IF(DATI!$G$211="dx",DATI!$E$61,DATI!$E$64*DATI!$E$63)*1000*C276^2*sezione!$AD$5*(1-sezione!$AD$6)</f>
        <v>-487457.95637692581</v>
      </c>
      <c r="E276" s="545">
        <f>-'Foglio deposito bis'!$F$48*(C276-sezione!$AL$28)*IF(ABS(K276)&lt;'Sollecitazioni nel paramento'!$G$58,ABS(K276)*'Sollecitazioni nel paramento'!$G$54,'Sollecitazioni nel paramento'!$G$53)</f>
        <v>0</v>
      </c>
      <c r="F276" s="545">
        <f>-'Foglio deposito bis'!$F$49*(C276-sezione!$AM$28)*IF(ABS(L276)&lt;'Sollecitazioni nel paramento'!$G$58,ABS(L276)*'Sollecitazioni nel paramento'!$G$54,'Sollecitazioni nel paramento'!$G$53)</f>
        <v>11334163.34336772</v>
      </c>
      <c r="G276" s="545">
        <f>-'Foglio deposito bis'!$F$50*(C276-sezione!$AN$28)*IF(ABS(M276)&lt;'Sollecitazioni nel paramento'!$G$58,ABS(M276)*'Sollecitazioni nel paramento'!$G$54,'Sollecitazioni nel paramento'!$G$53)</f>
        <v>0</v>
      </c>
      <c r="H276" s="545">
        <f>-'Foglio deposito bis'!$F$51*(C276-sezione!$AO$28)*IF(ABS(N276)&lt;'Sollecitazioni nel paramento'!$G$58,ABS(N276)*'Sollecitazioni nel paramento'!$G$54,'Sollecitazioni nel paramento'!$G$53)</f>
        <v>37423625.834984764</v>
      </c>
      <c r="I276" s="472">
        <f>-'Foglio deposito bis'!$F$52*(C276-sezione!$AP$28)*IF(ABS(O276)&lt;'Sollecitazioni nel paramento'!$G$58,ABS(O276)*'Sollecitazioni nel paramento'!$G$54,'Sollecitazioni nel paramento'!$G$53)</f>
        <v>61708618.895347133</v>
      </c>
      <c r="J276" s="472">
        <f t="shared" si="21"/>
        <v>109978950.11732268</v>
      </c>
      <c r="K276" s="550">
        <f>'Sollecitazioni nel paramento'!$G$60*(sezione!$AL$28-C276)/C276</f>
        <v>2.6409645557632776E-2</v>
      </c>
      <c r="L276" s="550">
        <f>'Sollecitazioni nel paramento'!$G$60*(sezione!$AM$28-C276)/C276</f>
        <v>4.1364468336449162E-2</v>
      </c>
      <c r="M276" s="551">
        <f>'Sollecitazioni nel paramento'!$G$60*(sezione!$AN$28-C276)/C276</f>
        <v>5.6319291115265548E-2</v>
      </c>
      <c r="N276" s="551">
        <f>'Sollecitazioni nel paramento'!$G$60*(sezione!$AO$28-C276)/C276</f>
        <v>0.1161385822305311</v>
      </c>
      <c r="O276" s="551">
        <f>'Sollecitazioni nel paramento'!$G$60*(sezione!$AP$28-C276)/C276</f>
        <v>0.19150339792062787</v>
      </c>
      <c r="P276" s="545">
        <f>-'Sollecitazioni nel paramento'!$G$47*'Sollecitazioni nel paramento'!$G$41*IF(DATI!$G$211="dx",DATI!$E$61,DATI!$E$64*DATI!$E$63)*1000*C276*sezione!$AD$5</f>
        <v>-178323.07606998368</v>
      </c>
      <c r="Q276" s="545">
        <f>'Foglio deposito bis'!$F$48*IF(ABS(K276)&lt;'Sollecitazioni nel paramento'!$G$58,ABS(K276)*'Sollecitazioni nel paramento'!$G$54,'Sollecitazioni nel paramento'!$G$53)*IF(K276&lt;0,-1,1)</f>
        <v>0</v>
      </c>
      <c r="R276" s="545">
        <f>'Foglio deposito bis'!$F$49*IF(ABS(L276)&lt;'Sollecitazioni nel paramento'!$G$58,ABS(L276)*'Sollecitazioni nel paramento'!$G$54,'Sollecitazioni nel paramento'!$G$53)*IF(L276&lt;0,-1,1)</f>
        <v>204886.47740803001</v>
      </c>
      <c r="S276" s="545">
        <f>'Foglio deposito bis'!$F$50*IF(ABS(M276)&lt;'Sollecitazioni nel paramento'!$G$58,ABS(M276)*'Sollecitazioni nel paramento'!$G$54,'Sollecitazioni nel paramento'!$G$53)*IF(M276&lt;0,-1,1)</f>
        <v>0</v>
      </c>
      <c r="T276" s="545">
        <f>'Foglio deposito bis'!$F$51*IF(ABS(N276)&lt;'Sollecitazioni nel paramento'!$G$58,ABS(N276)*'Sollecitazioni nel paramento'!$G$54,'Sollecitazioni nel paramento'!$G$53)*IF(N276&lt;0,-1,1)</f>
        <v>240946.49743184328</v>
      </c>
      <c r="U276" s="545">
        <f>'Foglio deposito bis'!$F$52*IF(ABS(O276)&lt;'Sollecitazioni nel paramento'!$G$58,ABS(O276)*'Sollecitazioni nel paramento'!$G$54,'Sollecitazioni nel paramento'!$G$53)*IF(O276&lt;0,-1,1)</f>
        <v>240946.49743184328</v>
      </c>
      <c r="V276" s="472">
        <f t="shared" si="23"/>
        <v>508456.39620173292</v>
      </c>
      <c r="W276" s="551"/>
      <c r="X276" s="551"/>
    </row>
    <row r="277" spans="1:24" x14ac:dyDescent="0.25">
      <c r="A277" s="545">
        <f t="shared" si="22"/>
        <v>500703.21898129879</v>
      </c>
      <c r="B277" s="3">
        <f t="shared" si="24"/>
        <v>1.2000000000000004</v>
      </c>
      <c r="C277" s="545">
        <f>'Foglio deposito bis'!$E$154/sezione!$B$247*B277</f>
        <v>4.8842757511199784</v>
      </c>
      <c r="D277" s="603">
        <f>-'Sollecitazioni nel paramento'!$G$47*'Sollecitazioni nel paramento'!$G$41*IF(DATI!$G$211="dx",DATI!$E$61,DATI!$E$64*DATI!$E$63)*1000*C277^2*sezione!$AD$5*(1-sezione!$AD$6)</f>
        <v>-530767.07537449768</v>
      </c>
      <c r="E277" s="545">
        <f>-'Foglio deposito bis'!$F$48*(C277-sezione!$AL$28)*IF(ABS(K277)&lt;'Sollecitazioni nel paramento'!$G$58,ABS(K277)*'Sollecitazioni nel paramento'!$G$54,'Sollecitazioni nel paramento'!$G$53)</f>
        <v>0</v>
      </c>
      <c r="F277" s="545">
        <f>-'Foglio deposito bis'!$F$49*(C277-sezione!$AM$28)*IF(ABS(L277)&lt;'Sollecitazioni nel paramento'!$G$58,ABS(L277)*'Sollecitazioni nel paramento'!$G$54,'Sollecitazioni nel paramento'!$G$53)</f>
        <v>11292466.591145368</v>
      </c>
      <c r="G277" s="545">
        <f>-'Foglio deposito bis'!$F$50*(C277-sezione!$AN$28)*IF(ABS(M277)&lt;'Sollecitazioni nel paramento'!$G$58,ABS(M277)*'Sollecitazioni nel paramento'!$G$54,'Sollecitazioni nel paramento'!$G$53)</f>
        <v>0</v>
      </c>
      <c r="H277" s="545">
        <f>-'Foglio deposito bis'!$F$51*(C277-sezione!$AO$28)*IF(ABS(N277)&lt;'Sollecitazioni nel paramento'!$G$58,ABS(N277)*'Sollecitazioni nel paramento'!$G$54,'Sollecitazioni nel paramento'!$G$53)</f>
        <v>37374590.454371274</v>
      </c>
      <c r="I277" s="472">
        <f>-'Foglio deposito bis'!$F$52*(C277-sezione!$AP$28)*IF(ABS(O277)&lt;'Sollecitazioni nel paramento'!$G$58,ABS(O277)*'Sollecitazioni nel paramento'!$G$54,'Sollecitazioni nel paramento'!$G$53)</f>
        <v>61659583.514733642</v>
      </c>
      <c r="J277" s="472">
        <f t="shared" si="21"/>
        <v>109795873.48487578</v>
      </c>
      <c r="K277" s="550">
        <f>'Sollecitazioni nel paramento'!$G$60*(sezione!$AL$28-C277)/C277</f>
        <v>2.5163410326064742E-2</v>
      </c>
      <c r="L277" s="550">
        <f>'Sollecitazioni nel paramento'!$G$60*(sezione!$AM$28-C277)/C277</f>
        <v>3.9495115489097107E-2</v>
      </c>
      <c r="M277" s="551">
        <f>'Sollecitazioni nel paramento'!$G$60*(sezione!$AN$28-C277)/C277</f>
        <v>5.382682065212948E-2</v>
      </c>
      <c r="N277" s="551">
        <f>'Sollecitazioni nel paramento'!$G$60*(sezione!$AO$28-C277)/C277</f>
        <v>0.11115364130425896</v>
      </c>
      <c r="O277" s="551">
        <f>'Sollecitazioni nel paramento'!$G$60*(sezione!$AP$28-C277)/C277</f>
        <v>0.1833782563406017</v>
      </c>
      <c r="P277" s="545">
        <f>-'Sollecitazioni nel paramento'!$G$47*'Sollecitazioni nel paramento'!$G$41*IF(DATI!$G$211="dx",DATI!$E$61,DATI!$E$64*DATI!$E$63)*1000*C277*sezione!$AD$5</f>
        <v>-186076.25329041778</v>
      </c>
      <c r="Q277" s="545">
        <f>'Foglio deposito bis'!$F$48*IF(ABS(K277)&lt;'Sollecitazioni nel paramento'!$G$58,ABS(K277)*'Sollecitazioni nel paramento'!$G$54,'Sollecitazioni nel paramento'!$G$53)*IF(K277&lt;0,-1,1)</f>
        <v>0</v>
      </c>
      <c r="R277" s="545">
        <f>'Foglio deposito bis'!$F$49*IF(ABS(L277)&lt;'Sollecitazioni nel paramento'!$G$58,ABS(L277)*'Sollecitazioni nel paramento'!$G$54,'Sollecitazioni nel paramento'!$G$53)*IF(L277&lt;0,-1,1)</f>
        <v>204886.47740803001</v>
      </c>
      <c r="S277" s="545">
        <f>'Foglio deposito bis'!$F$50*IF(ABS(M277)&lt;'Sollecitazioni nel paramento'!$G$58,ABS(M277)*'Sollecitazioni nel paramento'!$G$54,'Sollecitazioni nel paramento'!$G$53)*IF(M277&lt;0,-1,1)</f>
        <v>0</v>
      </c>
      <c r="T277" s="545">
        <f>'Foglio deposito bis'!$F$51*IF(ABS(N277)&lt;'Sollecitazioni nel paramento'!$G$58,ABS(N277)*'Sollecitazioni nel paramento'!$G$54,'Sollecitazioni nel paramento'!$G$53)*IF(N277&lt;0,-1,1)</f>
        <v>240946.49743184328</v>
      </c>
      <c r="U277" s="545">
        <f>'Foglio deposito bis'!$F$52*IF(ABS(O277)&lt;'Sollecitazioni nel paramento'!$G$58,ABS(O277)*'Sollecitazioni nel paramento'!$G$54,'Sollecitazioni nel paramento'!$G$53)*IF(O277&lt;0,-1,1)</f>
        <v>240946.49743184328</v>
      </c>
      <c r="V277" s="472">
        <f t="shared" si="23"/>
        <v>500703.21898129879</v>
      </c>
      <c r="W277" s="551"/>
      <c r="X277" s="551"/>
    </row>
    <row r="278" spans="1:24" x14ac:dyDescent="0.25">
      <c r="A278" s="545">
        <f t="shared" si="22"/>
        <v>492950.04176086467</v>
      </c>
      <c r="B278" s="3">
        <f t="shared" si="24"/>
        <v>1.2500000000000004</v>
      </c>
      <c r="C278" s="545">
        <f>'Foglio deposito bis'!$E$154/sezione!$B$247*B278</f>
        <v>5.0877872407499778</v>
      </c>
      <c r="D278" s="603">
        <f>-'Sollecitazioni nel paramento'!$G$47*'Sollecitazioni nel paramento'!$G$41*IF(DATI!$G$211="dx",DATI!$E$61,DATI!$E$64*DATI!$E$63)*1000*C278^2*sezione!$AD$5*(1-sezione!$AD$6)</f>
        <v>-575919.13560600881</v>
      </c>
      <c r="E278" s="545">
        <f>-'Foglio deposito bis'!$F$48*(C278-sezione!$AL$28)*IF(ABS(K278)&lt;'Sollecitazioni nel paramento'!$G$58,ABS(K278)*'Sollecitazioni nel paramento'!$G$54,'Sollecitazioni nel paramento'!$G$53)</f>
        <v>0</v>
      </c>
      <c r="F278" s="545">
        <f>-'Foglio deposito bis'!$F$49*(C278-sezione!$AM$28)*IF(ABS(L278)&lt;'Sollecitazioni nel paramento'!$G$58,ABS(L278)*'Sollecitazioni nel paramento'!$G$54,'Sollecitazioni nel paramento'!$G$53)</f>
        <v>11250769.838923017</v>
      </c>
      <c r="G278" s="545">
        <f>-'Foglio deposito bis'!$F$50*(C278-sezione!$AN$28)*IF(ABS(M278)&lt;'Sollecitazioni nel paramento'!$G$58,ABS(M278)*'Sollecitazioni nel paramento'!$G$54,'Sollecitazioni nel paramento'!$G$53)</f>
        <v>0</v>
      </c>
      <c r="H278" s="545">
        <f>-'Foglio deposito bis'!$F$51*(C278-sezione!$AO$28)*IF(ABS(N278)&lt;'Sollecitazioni nel paramento'!$G$58,ABS(N278)*'Sollecitazioni nel paramento'!$G$54,'Sollecitazioni nel paramento'!$G$53)</f>
        <v>37325555.073757797</v>
      </c>
      <c r="I278" s="472">
        <f>-'Foglio deposito bis'!$F$52*(C278-sezione!$AP$28)*IF(ABS(O278)&lt;'Sollecitazioni nel paramento'!$G$58,ABS(O278)*'Sollecitazioni nel paramento'!$G$54,'Sollecitazioni nel paramento'!$G$53)</f>
        <v>61610548.134120159</v>
      </c>
      <c r="J278" s="472">
        <f t="shared" si="21"/>
        <v>109610953.91119497</v>
      </c>
      <c r="K278" s="550">
        <f>'Sollecitazioni nel paramento'!$G$60*(sezione!$AL$28-C278)/C278</f>
        <v>2.4016873913022152E-2</v>
      </c>
      <c r="L278" s="550">
        <f>'Sollecitazioni nel paramento'!$G$60*(sezione!$AM$28-C278)/C278</f>
        <v>3.777531086953323E-2</v>
      </c>
      <c r="M278" s="551">
        <f>'Sollecitazioni nel paramento'!$G$60*(sezione!$AN$28-C278)/C278</f>
        <v>5.1533747826044293E-2</v>
      </c>
      <c r="N278" s="551">
        <f>'Sollecitazioni nel paramento'!$G$60*(sezione!$AO$28-C278)/C278</f>
        <v>0.1065674956520886</v>
      </c>
      <c r="O278" s="551">
        <f>'Sollecitazioni nel paramento'!$G$60*(sezione!$AP$28-C278)/C278</f>
        <v>0.17590312608697761</v>
      </c>
      <c r="P278" s="545">
        <f>-'Sollecitazioni nel paramento'!$G$47*'Sollecitazioni nel paramento'!$G$41*IF(DATI!$G$211="dx",DATI!$E$61,DATI!$E$64*DATI!$E$63)*1000*C278*sezione!$AD$5</f>
        <v>-193829.43051085187</v>
      </c>
      <c r="Q278" s="545">
        <f>'Foglio deposito bis'!$F$48*IF(ABS(K278)&lt;'Sollecitazioni nel paramento'!$G$58,ABS(K278)*'Sollecitazioni nel paramento'!$G$54,'Sollecitazioni nel paramento'!$G$53)*IF(K278&lt;0,-1,1)</f>
        <v>0</v>
      </c>
      <c r="R278" s="545">
        <f>'Foglio deposito bis'!$F$49*IF(ABS(L278)&lt;'Sollecitazioni nel paramento'!$G$58,ABS(L278)*'Sollecitazioni nel paramento'!$G$54,'Sollecitazioni nel paramento'!$G$53)*IF(L278&lt;0,-1,1)</f>
        <v>204886.47740803001</v>
      </c>
      <c r="S278" s="545">
        <f>'Foglio deposito bis'!$F$50*IF(ABS(M278)&lt;'Sollecitazioni nel paramento'!$G$58,ABS(M278)*'Sollecitazioni nel paramento'!$G$54,'Sollecitazioni nel paramento'!$G$53)*IF(M278&lt;0,-1,1)</f>
        <v>0</v>
      </c>
      <c r="T278" s="545">
        <f>'Foglio deposito bis'!$F$51*IF(ABS(N278)&lt;'Sollecitazioni nel paramento'!$G$58,ABS(N278)*'Sollecitazioni nel paramento'!$G$54,'Sollecitazioni nel paramento'!$G$53)*IF(N278&lt;0,-1,1)</f>
        <v>240946.49743184328</v>
      </c>
      <c r="U278" s="545">
        <f>'Foglio deposito bis'!$F$52*IF(ABS(O278)&lt;'Sollecitazioni nel paramento'!$G$58,ABS(O278)*'Sollecitazioni nel paramento'!$G$54,'Sollecitazioni nel paramento'!$G$53)*IF(O278&lt;0,-1,1)</f>
        <v>240946.49743184328</v>
      </c>
      <c r="V278" s="472">
        <f t="shared" si="23"/>
        <v>492950.04176086467</v>
      </c>
      <c r="W278" s="551"/>
      <c r="X278" s="551"/>
    </row>
    <row r="279" spans="1:24" x14ac:dyDescent="0.25">
      <c r="A279" s="545">
        <f t="shared" si="22"/>
        <v>485196.8645404306</v>
      </c>
      <c r="B279" s="3">
        <f t="shared" si="24"/>
        <v>1.3000000000000005</v>
      </c>
      <c r="C279" s="545">
        <f>'Foglio deposito bis'!$E$154/sezione!$B$247*B279</f>
        <v>5.2912987303799772</v>
      </c>
      <c r="D279" s="603">
        <f>-'Sollecitazioni nel paramento'!$G$47*'Sollecitazioni nel paramento'!$G$41*IF(DATI!$G$211="dx",DATI!$E$61,DATI!$E$64*DATI!$E$63)*1000*C279^2*sezione!$AD$5*(1-sezione!$AD$6)</f>
        <v>-622914.1370714592</v>
      </c>
      <c r="E279" s="545">
        <f>-'Foglio deposito bis'!$F$48*(C279-sezione!$AL$28)*IF(ABS(K279)&lt;'Sollecitazioni nel paramento'!$G$58,ABS(K279)*'Sollecitazioni nel paramento'!$G$54,'Sollecitazioni nel paramento'!$G$53)</f>
        <v>0</v>
      </c>
      <c r="F279" s="545">
        <f>-'Foglio deposito bis'!$F$49*(C279-sezione!$AM$28)*IF(ABS(L279)&lt;'Sollecitazioni nel paramento'!$G$58,ABS(L279)*'Sollecitazioni nel paramento'!$G$54,'Sollecitazioni nel paramento'!$G$53)</f>
        <v>11209073.086700665</v>
      </c>
      <c r="G279" s="545">
        <f>-'Foglio deposito bis'!$F$50*(C279-sezione!$AN$28)*IF(ABS(M279)&lt;'Sollecitazioni nel paramento'!$G$58,ABS(M279)*'Sollecitazioni nel paramento'!$G$54,'Sollecitazioni nel paramento'!$G$53)</f>
        <v>0</v>
      </c>
      <c r="H279" s="545">
        <f>-'Foglio deposito bis'!$F$51*(C279-sezione!$AO$28)*IF(ABS(N279)&lt;'Sollecitazioni nel paramento'!$G$58,ABS(N279)*'Sollecitazioni nel paramento'!$G$54,'Sollecitazioni nel paramento'!$G$53)</f>
        <v>37276519.693144314</v>
      </c>
      <c r="I279" s="472">
        <f>-'Foglio deposito bis'!$F$52*(C279-sezione!$AP$28)*IF(ABS(O279)&lt;'Sollecitazioni nel paramento'!$G$58,ABS(O279)*'Sollecitazioni nel paramento'!$G$54,'Sollecitazioni nel paramento'!$G$53)</f>
        <v>61561512.753506668</v>
      </c>
      <c r="J279" s="472">
        <f t="shared" si="21"/>
        <v>109424191.3962802</v>
      </c>
      <c r="K279" s="550">
        <f>'Sollecitazioni nel paramento'!$G$60*(sezione!$AL$28-C279)/C279</f>
        <v>2.2958532608675138E-2</v>
      </c>
      <c r="L279" s="550">
        <f>'Sollecitazioni nel paramento'!$G$60*(sezione!$AM$28-C279)/C279</f>
        <v>3.6187798913012707E-2</v>
      </c>
      <c r="M279" s="551">
        <f>'Sollecitazioni nel paramento'!$G$60*(sezione!$AN$28-C279)/C279</f>
        <v>4.941706521735028E-2</v>
      </c>
      <c r="N279" s="551">
        <f>'Sollecitazioni nel paramento'!$G$60*(sezione!$AO$28-C279)/C279</f>
        <v>0.10233413043470056</v>
      </c>
      <c r="O279" s="551">
        <f>'Sollecitazioni nel paramento'!$G$60*(sezione!$AP$28-C279)/C279</f>
        <v>0.16900300585286313</v>
      </c>
      <c r="P279" s="545">
        <f>-'Sollecitazioni nel paramento'!$G$47*'Sollecitazioni nel paramento'!$G$41*IF(DATI!$G$211="dx",DATI!$E$61,DATI!$E$64*DATI!$E$63)*1000*C279*sezione!$AD$5</f>
        <v>-201582.60773128594</v>
      </c>
      <c r="Q279" s="545">
        <f>'Foglio deposito bis'!$F$48*IF(ABS(K279)&lt;'Sollecitazioni nel paramento'!$G$58,ABS(K279)*'Sollecitazioni nel paramento'!$G$54,'Sollecitazioni nel paramento'!$G$53)*IF(K279&lt;0,-1,1)</f>
        <v>0</v>
      </c>
      <c r="R279" s="545">
        <f>'Foglio deposito bis'!$F$49*IF(ABS(L279)&lt;'Sollecitazioni nel paramento'!$G$58,ABS(L279)*'Sollecitazioni nel paramento'!$G$54,'Sollecitazioni nel paramento'!$G$53)*IF(L279&lt;0,-1,1)</f>
        <v>204886.47740803001</v>
      </c>
      <c r="S279" s="545">
        <f>'Foglio deposito bis'!$F$50*IF(ABS(M279)&lt;'Sollecitazioni nel paramento'!$G$58,ABS(M279)*'Sollecitazioni nel paramento'!$G$54,'Sollecitazioni nel paramento'!$G$53)*IF(M279&lt;0,-1,1)</f>
        <v>0</v>
      </c>
      <c r="T279" s="545">
        <f>'Foglio deposito bis'!$F$51*IF(ABS(N279)&lt;'Sollecitazioni nel paramento'!$G$58,ABS(N279)*'Sollecitazioni nel paramento'!$G$54,'Sollecitazioni nel paramento'!$G$53)*IF(N279&lt;0,-1,1)</f>
        <v>240946.49743184328</v>
      </c>
      <c r="U279" s="545">
        <f>'Foglio deposito bis'!$F$52*IF(ABS(O279)&lt;'Sollecitazioni nel paramento'!$G$58,ABS(O279)*'Sollecitazioni nel paramento'!$G$54,'Sollecitazioni nel paramento'!$G$53)*IF(O279&lt;0,-1,1)</f>
        <v>240946.49743184328</v>
      </c>
      <c r="V279" s="472">
        <f t="shared" si="23"/>
        <v>485196.8645404306</v>
      </c>
      <c r="W279" s="551"/>
      <c r="X279" s="551"/>
    </row>
    <row r="280" spans="1:24" x14ac:dyDescent="0.25">
      <c r="A280" s="545">
        <f t="shared" si="22"/>
        <v>477443.68731999653</v>
      </c>
      <c r="B280" s="3">
        <f t="shared" si="24"/>
        <v>1.3500000000000005</v>
      </c>
      <c r="C280" s="545">
        <f>'Foglio deposito bis'!$E$154/sezione!$B$247*B280</f>
        <v>5.4948102200099758</v>
      </c>
      <c r="D280" s="603">
        <f>-'Sollecitazioni nel paramento'!$G$47*'Sollecitazioni nel paramento'!$G$41*IF(DATI!$G$211="dx",DATI!$E$61,DATI!$E$64*DATI!$E$63)*1000*C280^2*sezione!$AD$5*(1-sezione!$AD$6)</f>
        <v>-671752.07977084874</v>
      </c>
      <c r="E280" s="545">
        <f>-'Foglio deposito bis'!$F$48*(C280-sezione!$AL$28)*IF(ABS(K280)&lt;'Sollecitazioni nel paramento'!$G$58,ABS(K280)*'Sollecitazioni nel paramento'!$G$54,'Sollecitazioni nel paramento'!$G$53)</f>
        <v>0</v>
      </c>
      <c r="F280" s="545">
        <f>-'Foglio deposito bis'!$F$49*(C280-sezione!$AM$28)*IF(ABS(L280)&lt;'Sollecitazioni nel paramento'!$G$58,ABS(L280)*'Sollecitazioni nel paramento'!$G$54,'Sollecitazioni nel paramento'!$G$53)</f>
        <v>11167376.334478313</v>
      </c>
      <c r="G280" s="545">
        <f>-'Foglio deposito bis'!$F$50*(C280-sezione!$AN$28)*IF(ABS(M280)&lt;'Sollecitazioni nel paramento'!$G$58,ABS(M280)*'Sollecitazioni nel paramento'!$G$54,'Sollecitazioni nel paramento'!$G$53)</f>
        <v>0</v>
      </c>
      <c r="H280" s="545">
        <f>-'Foglio deposito bis'!$F$51*(C280-sezione!$AO$28)*IF(ABS(N280)&lt;'Sollecitazioni nel paramento'!$G$58,ABS(N280)*'Sollecitazioni nel paramento'!$G$54,'Sollecitazioni nel paramento'!$G$53)</f>
        <v>37227484.312530823</v>
      </c>
      <c r="I280" s="472">
        <f>-'Foglio deposito bis'!$F$52*(C280-sezione!$AP$28)*IF(ABS(O280)&lt;'Sollecitazioni nel paramento'!$G$58,ABS(O280)*'Sollecitazioni nel paramento'!$G$54,'Sollecitazioni nel paramento'!$G$53)</f>
        <v>61512477.372893192</v>
      </c>
      <c r="J280" s="472">
        <f t="shared" si="21"/>
        <v>109235585.94013149</v>
      </c>
      <c r="K280" s="550">
        <f>'Sollecitazioni nel paramento'!$G$60*(sezione!$AL$28-C280)/C280</f>
        <v>2.1978586956501994E-2</v>
      </c>
      <c r="L280" s="550">
        <f>'Sollecitazioni nel paramento'!$G$60*(sezione!$AM$28-C280)/C280</f>
        <v>3.471788043475299E-2</v>
      </c>
      <c r="M280" s="551">
        <f>'Sollecitazioni nel paramento'!$G$60*(sezione!$AN$28-C280)/C280</f>
        <v>4.7457173913003976E-2</v>
      </c>
      <c r="N280" s="551">
        <f>'Sollecitazioni nel paramento'!$G$60*(sezione!$AO$28-C280)/C280</f>
        <v>9.841434782600797E-2</v>
      </c>
      <c r="O280" s="551">
        <f>'Sollecitazioni nel paramento'!$G$60*(sezione!$AP$28-C280)/C280</f>
        <v>0.16261400563609041</v>
      </c>
      <c r="P280" s="545">
        <f>-'Sollecitazioni nel paramento'!$G$47*'Sollecitazioni nel paramento'!$G$41*IF(DATI!$G$211="dx",DATI!$E$61,DATI!$E$64*DATI!$E$63)*1000*C280*sezione!$AD$5</f>
        <v>-209335.78495172001</v>
      </c>
      <c r="Q280" s="545">
        <f>'Foglio deposito bis'!$F$48*IF(ABS(K280)&lt;'Sollecitazioni nel paramento'!$G$58,ABS(K280)*'Sollecitazioni nel paramento'!$G$54,'Sollecitazioni nel paramento'!$G$53)*IF(K280&lt;0,-1,1)</f>
        <v>0</v>
      </c>
      <c r="R280" s="545">
        <f>'Foglio deposito bis'!$F$49*IF(ABS(L280)&lt;'Sollecitazioni nel paramento'!$G$58,ABS(L280)*'Sollecitazioni nel paramento'!$G$54,'Sollecitazioni nel paramento'!$G$53)*IF(L280&lt;0,-1,1)</f>
        <v>204886.47740803001</v>
      </c>
      <c r="S280" s="545">
        <f>'Foglio deposito bis'!$F$50*IF(ABS(M280)&lt;'Sollecitazioni nel paramento'!$G$58,ABS(M280)*'Sollecitazioni nel paramento'!$G$54,'Sollecitazioni nel paramento'!$G$53)*IF(M280&lt;0,-1,1)</f>
        <v>0</v>
      </c>
      <c r="T280" s="545">
        <f>'Foglio deposito bis'!$F$51*IF(ABS(N280)&lt;'Sollecitazioni nel paramento'!$G$58,ABS(N280)*'Sollecitazioni nel paramento'!$G$54,'Sollecitazioni nel paramento'!$G$53)*IF(N280&lt;0,-1,1)</f>
        <v>240946.49743184328</v>
      </c>
      <c r="U280" s="545">
        <f>'Foglio deposito bis'!$F$52*IF(ABS(O280)&lt;'Sollecitazioni nel paramento'!$G$58,ABS(O280)*'Sollecitazioni nel paramento'!$G$54,'Sollecitazioni nel paramento'!$G$53)*IF(O280&lt;0,-1,1)</f>
        <v>240946.49743184328</v>
      </c>
      <c r="V280" s="472">
        <f t="shared" si="23"/>
        <v>477443.68731999653</v>
      </c>
      <c r="W280" s="551"/>
      <c r="X280" s="551"/>
    </row>
    <row r="281" spans="1:24" x14ac:dyDescent="0.25">
      <c r="A281" s="545">
        <f t="shared" si="22"/>
        <v>469690.51009956247</v>
      </c>
      <c r="B281" s="3">
        <f t="shared" si="24"/>
        <v>1.4000000000000006</v>
      </c>
      <c r="C281" s="545">
        <f>'Foglio deposito bis'!$E$154/sezione!$B$247*B281</f>
        <v>5.6983217096399752</v>
      </c>
      <c r="D281" s="603">
        <f>-'Sollecitazioni nel paramento'!$G$47*'Sollecitazioni nel paramento'!$G$41*IF(DATI!$G$211="dx",DATI!$E$61,DATI!$E$64*DATI!$E$63)*1000*C281^2*sezione!$AD$5*(1-sezione!$AD$6)</f>
        <v>-722432.96370417741</v>
      </c>
      <c r="E281" s="545">
        <f>-'Foglio deposito bis'!$F$48*(C281-sezione!$AL$28)*IF(ABS(K281)&lt;'Sollecitazioni nel paramento'!$G$58,ABS(K281)*'Sollecitazioni nel paramento'!$G$54,'Sollecitazioni nel paramento'!$G$53)</f>
        <v>0</v>
      </c>
      <c r="F281" s="545">
        <f>-'Foglio deposito bis'!$F$49*(C281-sezione!$AM$28)*IF(ABS(L281)&lt;'Sollecitazioni nel paramento'!$G$58,ABS(L281)*'Sollecitazioni nel paramento'!$G$54,'Sollecitazioni nel paramento'!$G$53)</f>
        <v>11125679.582255963</v>
      </c>
      <c r="G281" s="545">
        <f>-'Foglio deposito bis'!$F$50*(C281-sezione!$AN$28)*IF(ABS(M281)&lt;'Sollecitazioni nel paramento'!$G$58,ABS(M281)*'Sollecitazioni nel paramento'!$G$54,'Sollecitazioni nel paramento'!$G$53)</f>
        <v>0</v>
      </c>
      <c r="H281" s="545">
        <f>-'Foglio deposito bis'!$F$51*(C281-sezione!$AO$28)*IF(ABS(N281)&lt;'Sollecitazioni nel paramento'!$G$58,ABS(N281)*'Sollecitazioni nel paramento'!$G$54,'Sollecitazioni nel paramento'!$G$53)</f>
        <v>37178448.93191734</v>
      </c>
      <c r="I281" s="472">
        <f>-'Foglio deposito bis'!$F$52*(C281-sezione!$AP$28)*IF(ABS(O281)&lt;'Sollecitazioni nel paramento'!$G$58,ABS(O281)*'Sollecitazioni nel paramento'!$G$54,'Sollecitazioni nel paramento'!$G$53)</f>
        <v>61463441.992279701</v>
      </c>
      <c r="J281" s="472">
        <f t="shared" si="21"/>
        <v>109045137.54274882</v>
      </c>
      <c r="K281" s="550">
        <f>'Sollecitazioni nel paramento'!$G$60*(sezione!$AL$28-C281)/C281</f>
        <v>2.1068637422341201E-2</v>
      </c>
      <c r="L281" s="550">
        <f>'Sollecitazioni nel paramento'!$G$60*(sezione!$AM$28-C281)/C281</f>
        <v>3.3352956133511809E-2</v>
      </c>
      <c r="M281" s="551">
        <f>'Sollecitazioni nel paramento'!$G$60*(sezione!$AN$28-C281)/C281</f>
        <v>4.5637274844682413E-2</v>
      </c>
      <c r="N281" s="551">
        <f>'Sollecitazioni nel paramento'!$G$60*(sezione!$AO$28-C281)/C281</f>
        <v>9.4774549689364815E-2</v>
      </c>
      <c r="O281" s="551">
        <f>'Sollecitazioni nel paramento'!$G$60*(sezione!$AP$28-C281)/C281</f>
        <v>0.15668136257765858</v>
      </c>
      <c r="P281" s="545">
        <f>-'Sollecitazioni nel paramento'!$G$47*'Sollecitazioni nel paramento'!$G$41*IF(DATI!$G$211="dx",DATI!$E$61,DATI!$E$64*DATI!$E$63)*1000*C281*sezione!$AD$5</f>
        <v>-217088.96217215408</v>
      </c>
      <c r="Q281" s="545">
        <f>'Foglio deposito bis'!$F$48*IF(ABS(K281)&lt;'Sollecitazioni nel paramento'!$G$58,ABS(K281)*'Sollecitazioni nel paramento'!$G$54,'Sollecitazioni nel paramento'!$G$53)*IF(K281&lt;0,-1,1)</f>
        <v>0</v>
      </c>
      <c r="R281" s="545">
        <f>'Foglio deposito bis'!$F$49*IF(ABS(L281)&lt;'Sollecitazioni nel paramento'!$G$58,ABS(L281)*'Sollecitazioni nel paramento'!$G$54,'Sollecitazioni nel paramento'!$G$53)*IF(L281&lt;0,-1,1)</f>
        <v>204886.47740803001</v>
      </c>
      <c r="S281" s="545">
        <f>'Foglio deposito bis'!$F$50*IF(ABS(M281)&lt;'Sollecitazioni nel paramento'!$G$58,ABS(M281)*'Sollecitazioni nel paramento'!$G$54,'Sollecitazioni nel paramento'!$G$53)*IF(M281&lt;0,-1,1)</f>
        <v>0</v>
      </c>
      <c r="T281" s="545">
        <f>'Foglio deposito bis'!$F$51*IF(ABS(N281)&lt;'Sollecitazioni nel paramento'!$G$58,ABS(N281)*'Sollecitazioni nel paramento'!$G$54,'Sollecitazioni nel paramento'!$G$53)*IF(N281&lt;0,-1,1)</f>
        <v>240946.49743184328</v>
      </c>
      <c r="U281" s="545">
        <f>'Foglio deposito bis'!$F$52*IF(ABS(O281)&lt;'Sollecitazioni nel paramento'!$G$58,ABS(O281)*'Sollecitazioni nel paramento'!$G$54,'Sollecitazioni nel paramento'!$G$53)*IF(O281&lt;0,-1,1)</f>
        <v>240946.49743184328</v>
      </c>
      <c r="V281" s="472">
        <f t="shared" si="23"/>
        <v>469690.51009956247</v>
      </c>
      <c r="W281" s="551"/>
      <c r="X281" s="551"/>
    </row>
    <row r="282" spans="1:24" x14ac:dyDescent="0.25">
      <c r="A282" s="545">
        <f t="shared" si="22"/>
        <v>461937.3328791284</v>
      </c>
      <c r="B282" s="3">
        <f t="shared" si="24"/>
        <v>1.4500000000000006</v>
      </c>
      <c r="C282" s="545">
        <f>'Foglio deposito bis'!$E$154/sezione!$B$247*B282</f>
        <v>5.9018331992699746</v>
      </c>
      <c r="D282" s="603">
        <f>-'Sollecitazioni nel paramento'!$G$47*'Sollecitazioni nel paramento'!$G$41*IF(DATI!$G$211="dx",DATI!$E$61,DATI!$E$64*DATI!$E$63)*1000*C282^2*sezione!$AD$5*(1-sezione!$AD$6)</f>
        <v>-774956.78887144569</v>
      </c>
      <c r="E282" s="545">
        <f>-'Foglio deposito bis'!$F$48*(C282-sezione!$AL$28)*IF(ABS(K282)&lt;'Sollecitazioni nel paramento'!$G$58,ABS(K282)*'Sollecitazioni nel paramento'!$G$54,'Sollecitazioni nel paramento'!$G$53)</f>
        <v>0</v>
      </c>
      <c r="F282" s="545">
        <f>-'Foglio deposito bis'!$F$49*(C282-sezione!$AM$28)*IF(ABS(L282)&lt;'Sollecitazioni nel paramento'!$G$58,ABS(L282)*'Sollecitazioni nel paramento'!$G$54,'Sollecitazioni nel paramento'!$G$53)</f>
        <v>11083982.830033612</v>
      </c>
      <c r="G282" s="545">
        <f>-'Foglio deposito bis'!$F$50*(C282-sezione!$AN$28)*IF(ABS(M282)&lt;'Sollecitazioni nel paramento'!$G$58,ABS(M282)*'Sollecitazioni nel paramento'!$G$54,'Sollecitazioni nel paramento'!$G$53)</f>
        <v>0</v>
      </c>
      <c r="H282" s="545">
        <f>-'Foglio deposito bis'!$F$51*(C282-sezione!$AO$28)*IF(ABS(N282)&lt;'Sollecitazioni nel paramento'!$G$58,ABS(N282)*'Sollecitazioni nel paramento'!$G$54,'Sollecitazioni nel paramento'!$G$53)</f>
        <v>37129413.551303856</v>
      </c>
      <c r="I282" s="472">
        <f>-'Foglio deposito bis'!$F$52*(C282-sezione!$AP$28)*IF(ABS(O282)&lt;'Sollecitazioni nel paramento'!$G$58,ABS(O282)*'Sollecitazioni nel paramento'!$G$54,'Sollecitazioni nel paramento'!$G$53)</f>
        <v>61414406.611666203</v>
      </c>
      <c r="J282" s="472">
        <f t="shared" si="21"/>
        <v>108852846.20413223</v>
      </c>
      <c r="K282" s="550">
        <f>'Sollecitazioni nel paramento'!$G$60*(sezione!$AL$28-C282)/C282</f>
        <v>2.0221443028467369E-2</v>
      </c>
      <c r="L282" s="550">
        <f>'Sollecitazioni nel paramento'!$G$60*(sezione!$AM$28-C282)/C282</f>
        <v>3.2082164542701054E-2</v>
      </c>
      <c r="M282" s="551">
        <f>'Sollecitazioni nel paramento'!$G$60*(sezione!$AN$28-C282)/C282</f>
        <v>4.3942886056934742E-2</v>
      </c>
      <c r="N282" s="551">
        <f>'Sollecitazioni nel paramento'!$G$60*(sezione!$AO$28-C282)/C282</f>
        <v>9.1385772113869473E-2</v>
      </c>
      <c r="O282" s="551">
        <f>'Sollecitazioni nel paramento'!$G$60*(sezione!$AP$28-C282)/C282</f>
        <v>0.15115786731636</v>
      </c>
      <c r="P282" s="545">
        <f>-'Sollecitazioni nel paramento'!$G$47*'Sollecitazioni nel paramento'!$G$41*IF(DATI!$G$211="dx",DATI!$E$61,DATI!$E$64*DATI!$E$63)*1000*C282*sezione!$AD$5</f>
        <v>-224842.13939258817</v>
      </c>
      <c r="Q282" s="545">
        <f>'Foglio deposito bis'!$F$48*IF(ABS(K282)&lt;'Sollecitazioni nel paramento'!$G$58,ABS(K282)*'Sollecitazioni nel paramento'!$G$54,'Sollecitazioni nel paramento'!$G$53)*IF(K282&lt;0,-1,1)</f>
        <v>0</v>
      </c>
      <c r="R282" s="545">
        <f>'Foglio deposito bis'!$F$49*IF(ABS(L282)&lt;'Sollecitazioni nel paramento'!$G$58,ABS(L282)*'Sollecitazioni nel paramento'!$G$54,'Sollecitazioni nel paramento'!$G$53)*IF(L282&lt;0,-1,1)</f>
        <v>204886.47740803001</v>
      </c>
      <c r="S282" s="545">
        <f>'Foglio deposito bis'!$F$50*IF(ABS(M282)&lt;'Sollecitazioni nel paramento'!$G$58,ABS(M282)*'Sollecitazioni nel paramento'!$G$54,'Sollecitazioni nel paramento'!$G$53)*IF(M282&lt;0,-1,1)</f>
        <v>0</v>
      </c>
      <c r="T282" s="545">
        <f>'Foglio deposito bis'!$F$51*IF(ABS(N282)&lt;'Sollecitazioni nel paramento'!$G$58,ABS(N282)*'Sollecitazioni nel paramento'!$G$54,'Sollecitazioni nel paramento'!$G$53)*IF(N282&lt;0,-1,1)</f>
        <v>240946.49743184328</v>
      </c>
      <c r="U282" s="545">
        <f>'Foglio deposito bis'!$F$52*IF(ABS(O282)&lt;'Sollecitazioni nel paramento'!$G$58,ABS(O282)*'Sollecitazioni nel paramento'!$G$54,'Sollecitazioni nel paramento'!$G$53)*IF(O282&lt;0,-1,1)</f>
        <v>240946.49743184328</v>
      </c>
      <c r="V282" s="472">
        <f t="shared" si="23"/>
        <v>461937.3328791284</v>
      </c>
      <c r="W282" s="551"/>
      <c r="X282" s="551"/>
    </row>
    <row r="283" spans="1:24" x14ac:dyDescent="0.25">
      <c r="A283" s="545">
        <f t="shared" si="22"/>
        <v>454184.15565869433</v>
      </c>
      <c r="B283" s="3">
        <f t="shared" si="24"/>
        <v>1.5000000000000007</v>
      </c>
      <c r="C283" s="545">
        <f>'Foglio deposito bis'!$E$154/sezione!$B$247*B283</f>
        <v>6.1053446888999741</v>
      </c>
      <c r="D283" s="603">
        <f>-'Sollecitazioni nel paramento'!$G$47*'Sollecitazioni nel paramento'!$G$41*IF(DATI!$G$211="dx",DATI!$E$61,DATI!$E$64*DATI!$E$63)*1000*C283^2*sezione!$AD$5*(1-sezione!$AD$6)</f>
        <v>-829323.555272653</v>
      </c>
      <c r="E283" s="545">
        <f>-'Foglio deposito bis'!$F$48*(C283-sezione!$AL$28)*IF(ABS(K283)&lt;'Sollecitazioni nel paramento'!$G$58,ABS(K283)*'Sollecitazioni nel paramento'!$G$54,'Sollecitazioni nel paramento'!$G$53)</f>
        <v>0</v>
      </c>
      <c r="F283" s="545">
        <f>-'Foglio deposito bis'!$F$49*(C283-sezione!$AM$28)*IF(ABS(L283)&lt;'Sollecitazioni nel paramento'!$G$58,ABS(L283)*'Sollecitazioni nel paramento'!$G$54,'Sollecitazioni nel paramento'!$G$53)</f>
        <v>11042286.07781126</v>
      </c>
      <c r="G283" s="545">
        <f>-'Foglio deposito bis'!$F$50*(C283-sezione!$AN$28)*IF(ABS(M283)&lt;'Sollecitazioni nel paramento'!$G$58,ABS(M283)*'Sollecitazioni nel paramento'!$G$54,'Sollecitazioni nel paramento'!$G$53)</f>
        <v>0</v>
      </c>
      <c r="H283" s="545">
        <f>-'Foglio deposito bis'!$F$51*(C283-sezione!$AO$28)*IF(ABS(N283)&lt;'Sollecitazioni nel paramento'!$G$58,ABS(N283)*'Sollecitazioni nel paramento'!$G$54,'Sollecitazioni nel paramento'!$G$53)</f>
        <v>37080378.170690365</v>
      </c>
      <c r="I283" s="472">
        <f>-'Foglio deposito bis'!$F$52*(C283-sezione!$AP$28)*IF(ABS(O283)&lt;'Sollecitazioni nel paramento'!$G$58,ABS(O283)*'Sollecitazioni nel paramento'!$G$54,'Sollecitazioni nel paramento'!$G$53)</f>
        <v>61365371.231052727</v>
      </c>
      <c r="J283" s="472">
        <f t="shared" si="21"/>
        <v>108658711.9242817</v>
      </c>
      <c r="K283" s="550">
        <f>'Sollecitazioni nel paramento'!$G$60*(sezione!$AL$28-C283)/C283</f>
        <v>1.9430728260851789E-2</v>
      </c>
      <c r="L283" s="550">
        <f>'Sollecitazioni nel paramento'!$G$60*(sezione!$AM$28-C283)/C283</f>
        <v>3.089609239127768E-2</v>
      </c>
      <c r="M283" s="551">
        <f>'Sollecitazioni nel paramento'!$G$60*(sezione!$AN$28-C283)/C283</f>
        <v>4.2361456521703568E-2</v>
      </c>
      <c r="N283" s="551">
        <f>'Sollecitazioni nel paramento'!$G$60*(sezione!$AO$28-C283)/C283</f>
        <v>8.8222913043407153E-2</v>
      </c>
      <c r="O283" s="551">
        <f>'Sollecitazioni nel paramento'!$G$60*(sezione!$AP$28-C283)/C283</f>
        <v>0.14600260507248133</v>
      </c>
      <c r="P283" s="545">
        <f>-'Sollecitazioni nel paramento'!$G$47*'Sollecitazioni nel paramento'!$G$41*IF(DATI!$G$211="dx",DATI!$E$61,DATI!$E$64*DATI!$E$63)*1000*C283*sezione!$AD$5</f>
        <v>-232595.31661302224</v>
      </c>
      <c r="Q283" s="545">
        <f>'Foglio deposito bis'!$F$48*IF(ABS(K283)&lt;'Sollecitazioni nel paramento'!$G$58,ABS(K283)*'Sollecitazioni nel paramento'!$G$54,'Sollecitazioni nel paramento'!$G$53)*IF(K283&lt;0,-1,1)</f>
        <v>0</v>
      </c>
      <c r="R283" s="545">
        <f>'Foglio deposito bis'!$F$49*IF(ABS(L283)&lt;'Sollecitazioni nel paramento'!$G$58,ABS(L283)*'Sollecitazioni nel paramento'!$G$54,'Sollecitazioni nel paramento'!$G$53)*IF(L283&lt;0,-1,1)</f>
        <v>204886.47740803001</v>
      </c>
      <c r="S283" s="545">
        <f>'Foglio deposito bis'!$F$50*IF(ABS(M283)&lt;'Sollecitazioni nel paramento'!$G$58,ABS(M283)*'Sollecitazioni nel paramento'!$G$54,'Sollecitazioni nel paramento'!$G$53)*IF(M283&lt;0,-1,1)</f>
        <v>0</v>
      </c>
      <c r="T283" s="545">
        <f>'Foglio deposito bis'!$F$51*IF(ABS(N283)&lt;'Sollecitazioni nel paramento'!$G$58,ABS(N283)*'Sollecitazioni nel paramento'!$G$54,'Sollecitazioni nel paramento'!$G$53)*IF(N283&lt;0,-1,1)</f>
        <v>240946.49743184328</v>
      </c>
      <c r="U283" s="545">
        <f>'Foglio deposito bis'!$F$52*IF(ABS(O283)&lt;'Sollecitazioni nel paramento'!$G$58,ABS(O283)*'Sollecitazioni nel paramento'!$G$54,'Sollecitazioni nel paramento'!$G$53)*IF(O283&lt;0,-1,1)</f>
        <v>240946.49743184328</v>
      </c>
      <c r="V283" s="472">
        <f t="shared" si="23"/>
        <v>454184.15565869433</v>
      </c>
      <c r="W283" s="551"/>
      <c r="X283" s="551"/>
    </row>
    <row r="284" spans="1:24" x14ac:dyDescent="0.25">
      <c r="A284" s="545">
        <f t="shared" si="22"/>
        <v>446430.97843826027</v>
      </c>
      <c r="B284" s="3">
        <f t="shared" si="24"/>
        <v>1.5500000000000007</v>
      </c>
      <c r="C284" s="545">
        <f>'Foglio deposito bis'!$E$154/sezione!$B$247*B284</f>
        <v>6.3088561785299726</v>
      </c>
      <c r="D284" s="603">
        <f>-'Sollecitazioni nel paramento'!$G$47*'Sollecitazioni nel paramento'!$G$41*IF(DATI!$G$211="dx",DATI!$E$61,DATI!$E$64*DATI!$E$63)*1000*C284^2*sezione!$AD$5*(1-sezione!$AD$6)</f>
        <v>-885533.26290779922</v>
      </c>
      <c r="E284" s="545">
        <f>-'Foglio deposito bis'!$F$48*(C284-sezione!$AL$28)*IF(ABS(K284)&lt;'Sollecitazioni nel paramento'!$G$58,ABS(K284)*'Sollecitazioni nel paramento'!$G$54,'Sollecitazioni nel paramento'!$G$53)</f>
        <v>0</v>
      </c>
      <c r="F284" s="545">
        <f>-'Foglio deposito bis'!$F$49*(C284-sezione!$AM$28)*IF(ABS(L284)&lt;'Sollecitazioni nel paramento'!$G$58,ABS(L284)*'Sollecitazioni nel paramento'!$G$54,'Sollecitazioni nel paramento'!$G$53)</f>
        <v>11000589.32558891</v>
      </c>
      <c r="G284" s="545">
        <f>-'Foglio deposito bis'!$F$50*(C284-sezione!$AN$28)*IF(ABS(M284)&lt;'Sollecitazioni nel paramento'!$G$58,ABS(M284)*'Sollecitazioni nel paramento'!$G$54,'Sollecitazioni nel paramento'!$G$53)</f>
        <v>0</v>
      </c>
      <c r="H284" s="545">
        <f>-'Foglio deposito bis'!$F$51*(C284-sezione!$AO$28)*IF(ABS(N284)&lt;'Sollecitazioni nel paramento'!$G$58,ABS(N284)*'Sollecitazioni nel paramento'!$G$54,'Sollecitazioni nel paramento'!$G$53)</f>
        <v>37031342.790076889</v>
      </c>
      <c r="I284" s="472">
        <f>-'Foglio deposito bis'!$F$52*(C284-sezione!$AP$28)*IF(ABS(O284)&lt;'Sollecitazioni nel paramento'!$G$58,ABS(O284)*'Sollecitazioni nel paramento'!$G$54,'Sollecitazioni nel paramento'!$G$53)</f>
        <v>61316335.850439243</v>
      </c>
      <c r="J284" s="472">
        <f t="shared" si="21"/>
        <v>108462734.70319724</v>
      </c>
      <c r="K284" s="550">
        <f>'Sollecitazioni nel paramento'!$G$60*(sezione!$AL$28-C284)/C284</f>
        <v>1.8691027349211412E-2</v>
      </c>
      <c r="L284" s="550">
        <f>'Sollecitazioni nel paramento'!$G$60*(sezione!$AM$28-C284)/C284</f>
        <v>2.9786541023817115E-2</v>
      </c>
      <c r="M284" s="551">
        <f>'Sollecitazioni nel paramento'!$G$60*(sezione!$AN$28-C284)/C284</f>
        <v>4.0882054698422814E-2</v>
      </c>
      <c r="N284" s="551">
        <f>'Sollecitazioni nel paramento'!$G$60*(sezione!$AO$28-C284)/C284</f>
        <v>8.526410939684563E-2</v>
      </c>
      <c r="O284" s="551">
        <f>'Sollecitazioni nel paramento'!$G$60*(sezione!$AP$28-C284)/C284</f>
        <v>0.14117994039272391</v>
      </c>
      <c r="P284" s="545">
        <f>-'Sollecitazioni nel paramento'!$G$47*'Sollecitazioni nel paramento'!$G$41*IF(DATI!$G$211="dx",DATI!$E$61,DATI!$E$64*DATI!$E$63)*1000*C284*sezione!$AD$5</f>
        <v>-240348.49383345633</v>
      </c>
      <c r="Q284" s="545">
        <f>'Foglio deposito bis'!$F$48*IF(ABS(K284)&lt;'Sollecitazioni nel paramento'!$G$58,ABS(K284)*'Sollecitazioni nel paramento'!$G$54,'Sollecitazioni nel paramento'!$G$53)*IF(K284&lt;0,-1,1)</f>
        <v>0</v>
      </c>
      <c r="R284" s="545">
        <f>'Foglio deposito bis'!$F$49*IF(ABS(L284)&lt;'Sollecitazioni nel paramento'!$G$58,ABS(L284)*'Sollecitazioni nel paramento'!$G$54,'Sollecitazioni nel paramento'!$G$53)*IF(L284&lt;0,-1,1)</f>
        <v>204886.47740803001</v>
      </c>
      <c r="S284" s="545">
        <f>'Foglio deposito bis'!$F$50*IF(ABS(M284)&lt;'Sollecitazioni nel paramento'!$G$58,ABS(M284)*'Sollecitazioni nel paramento'!$G$54,'Sollecitazioni nel paramento'!$G$53)*IF(M284&lt;0,-1,1)</f>
        <v>0</v>
      </c>
      <c r="T284" s="545">
        <f>'Foglio deposito bis'!$F$51*IF(ABS(N284)&lt;'Sollecitazioni nel paramento'!$G$58,ABS(N284)*'Sollecitazioni nel paramento'!$G$54,'Sollecitazioni nel paramento'!$G$53)*IF(N284&lt;0,-1,1)</f>
        <v>240946.49743184328</v>
      </c>
      <c r="U284" s="545">
        <f>'Foglio deposito bis'!$F$52*IF(ABS(O284)&lt;'Sollecitazioni nel paramento'!$G$58,ABS(O284)*'Sollecitazioni nel paramento'!$G$54,'Sollecitazioni nel paramento'!$G$53)*IF(O284&lt;0,-1,1)</f>
        <v>240946.49743184328</v>
      </c>
      <c r="V284" s="472">
        <f t="shared" si="23"/>
        <v>446430.97843826027</v>
      </c>
      <c r="W284" s="551"/>
      <c r="X284" s="551"/>
    </row>
    <row r="285" spans="1:24" x14ac:dyDescent="0.25">
      <c r="A285" s="545">
        <f t="shared" si="22"/>
        <v>438677.8012178262</v>
      </c>
      <c r="B285" s="3">
        <f t="shared" si="24"/>
        <v>1.6000000000000008</v>
      </c>
      <c r="C285" s="545">
        <f>'Foglio deposito bis'!$E$154/sezione!$B$247*B285</f>
        <v>6.512367668159972</v>
      </c>
      <c r="D285" s="603">
        <f>-'Sollecitazioni nel paramento'!$G$47*'Sollecitazioni nel paramento'!$G$41*IF(DATI!$G$211="dx",DATI!$E$61,DATI!$E$64*DATI!$E$63)*1000*C285^2*sezione!$AD$5*(1-sezione!$AD$6)</f>
        <v>-943585.91177688516</v>
      </c>
      <c r="E285" s="545">
        <f>-'Foglio deposito bis'!$F$48*(C285-sezione!$AL$28)*IF(ABS(K285)&lt;'Sollecitazioni nel paramento'!$G$58,ABS(K285)*'Sollecitazioni nel paramento'!$G$54,'Sollecitazioni nel paramento'!$G$53)</f>
        <v>0</v>
      </c>
      <c r="F285" s="545">
        <f>-'Foglio deposito bis'!$F$49*(C285-sezione!$AM$28)*IF(ABS(L285)&lt;'Sollecitazioni nel paramento'!$G$58,ABS(L285)*'Sollecitazioni nel paramento'!$G$54,'Sollecitazioni nel paramento'!$G$53)</f>
        <v>10958892.573366556</v>
      </c>
      <c r="G285" s="545">
        <f>-'Foglio deposito bis'!$F$50*(C285-sezione!$AN$28)*IF(ABS(M285)&lt;'Sollecitazioni nel paramento'!$G$58,ABS(M285)*'Sollecitazioni nel paramento'!$G$54,'Sollecitazioni nel paramento'!$G$53)</f>
        <v>0</v>
      </c>
      <c r="H285" s="545">
        <f>-'Foglio deposito bis'!$F$51*(C285-sezione!$AO$28)*IF(ABS(N285)&lt;'Sollecitazioni nel paramento'!$G$58,ABS(N285)*'Sollecitazioni nel paramento'!$G$54,'Sollecitazioni nel paramento'!$G$53)</f>
        <v>36982307.409463398</v>
      </c>
      <c r="I285" s="472">
        <f>-'Foglio deposito bis'!$F$52*(C285-sezione!$AP$28)*IF(ABS(O285)&lt;'Sollecitazioni nel paramento'!$G$58,ABS(O285)*'Sollecitazioni nel paramento'!$G$54,'Sollecitazioni nel paramento'!$G$53)</f>
        <v>61267300.469825752</v>
      </c>
      <c r="J285" s="472">
        <f t="shared" si="21"/>
        <v>108264914.54087883</v>
      </c>
      <c r="K285" s="550">
        <f>'Sollecitazioni nel paramento'!$G$60*(sezione!$AL$28-C285)/C285</f>
        <v>1.7997557744548549E-2</v>
      </c>
      <c r="L285" s="550">
        <f>'Sollecitazioni nel paramento'!$G$60*(sezione!$AM$28-C285)/C285</f>
        <v>2.8746336616822826E-2</v>
      </c>
      <c r="M285" s="551">
        <f>'Sollecitazioni nel paramento'!$G$60*(sezione!$AN$28-C285)/C285</f>
        <v>3.9495115489097107E-2</v>
      </c>
      <c r="N285" s="551">
        <f>'Sollecitazioni nel paramento'!$G$60*(sezione!$AO$28-C285)/C285</f>
        <v>8.2490230978194204E-2</v>
      </c>
      <c r="O285" s="551">
        <f>'Sollecitazioni nel paramento'!$G$60*(sezione!$AP$28-C285)/C285</f>
        <v>0.13665869225545124</v>
      </c>
      <c r="P285" s="545">
        <f>-'Sollecitazioni nel paramento'!$G$47*'Sollecitazioni nel paramento'!$G$41*IF(DATI!$G$211="dx",DATI!$E$61,DATI!$E$64*DATI!$E$63)*1000*C285*sezione!$AD$5</f>
        <v>-248101.6710538904</v>
      </c>
      <c r="Q285" s="545">
        <f>'Foglio deposito bis'!$F$48*IF(ABS(K285)&lt;'Sollecitazioni nel paramento'!$G$58,ABS(K285)*'Sollecitazioni nel paramento'!$G$54,'Sollecitazioni nel paramento'!$G$53)*IF(K285&lt;0,-1,1)</f>
        <v>0</v>
      </c>
      <c r="R285" s="545">
        <f>'Foglio deposito bis'!$F$49*IF(ABS(L285)&lt;'Sollecitazioni nel paramento'!$G$58,ABS(L285)*'Sollecitazioni nel paramento'!$G$54,'Sollecitazioni nel paramento'!$G$53)*IF(L285&lt;0,-1,1)</f>
        <v>204886.47740803001</v>
      </c>
      <c r="S285" s="545">
        <f>'Foglio deposito bis'!$F$50*IF(ABS(M285)&lt;'Sollecitazioni nel paramento'!$G$58,ABS(M285)*'Sollecitazioni nel paramento'!$G$54,'Sollecitazioni nel paramento'!$G$53)*IF(M285&lt;0,-1,1)</f>
        <v>0</v>
      </c>
      <c r="T285" s="545">
        <f>'Foglio deposito bis'!$F$51*IF(ABS(N285)&lt;'Sollecitazioni nel paramento'!$G$58,ABS(N285)*'Sollecitazioni nel paramento'!$G$54,'Sollecitazioni nel paramento'!$G$53)*IF(N285&lt;0,-1,1)</f>
        <v>240946.49743184328</v>
      </c>
      <c r="U285" s="545">
        <f>'Foglio deposito bis'!$F$52*IF(ABS(O285)&lt;'Sollecitazioni nel paramento'!$G$58,ABS(O285)*'Sollecitazioni nel paramento'!$G$54,'Sollecitazioni nel paramento'!$G$53)*IF(O285&lt;0,-1,1)</f>
        <v>240946.49743184328</v>
      </c>
      <c r="V285" s="472">
        <f t="shared" si="23"/>
        <v>438677.8012178262</v>
      </c>
      <c r="W285" s="551"/>
      <c r="X285" s="551"/>
    </row>
    <row r="286" spans="1:24" x14ac:dyDescent="0.25">
      <c r="A286" s="545">
        <f t="shared" si="22"/>
        <v>430924.62399739207</v>
      </c>
      <c r="B286" s="3">
        <f t="shared" si="24"/>
        <v>1.6500000000000008</v>
      </c>
      <c r="C286" s="545">
        <f>'Foglio deposito bis'!$E$154/sezione!$B$247*B286</f>
        <v>6.7158791577899715</v>
      </c>
      <c r="D286" s="603">
        <f>-'Sollecitazioni nel paramento'!$G$47*'Sollecitazioni nel paramento'!$G$41*IF(DATI!$G$211="dx",DATI!$E$61,DATI!$E$64*DATI!$E$63)*1000*C286^2*sezione!$AD$5*(1-sezione!$AD$6)</f>
        <v>-1003481.5018799099</v>
      </c>
      <c r="E286" s="545">
        <f>-'Foglio deposito bis'!$F$48*(C286-sezione!$AL$28)*IF(ABS(K286)&lt;'Sollecitazioni nel paramento'!$G$58,ABS(K286)*'Sollecitazioni nel paramento'!$G$54,'Sollecitazioni nel paramento'!$G$53)</f>
        <v>0</v>
      </c>
      <c r="F286" s="545">
        <f>-'Foglio deposito bis'!$F$49*(C286-sezione!$AM$28)*IF(ABS(L286)&lt;'Sollecitazioni nel paramento'!$G$58,ABS(L286)*'Sollecitazioni nel paramento'!$G$54,'Sollecitazioni nel paramento'!$G$53)</f>
        <v>10917195.821144206</v>
      </c>
      <c r="G286" s="545">
        <f>-'Foglio deposito bis'!$F$50*(C286-sezione!$AN$28)*IF(ABS(M286)&lt;'Sollecitazioni nel paramento'!$G$58,ABS(M286)*'Sollecitazioni nel paramento'!$G$54,'Sollecitazioni nel paramento'!$G$53)</f>
        <v>0</v>
      </c>
      <c r="H286" s="545">
        <f>-'Foglio deposito bis'!$F$51*(C286-sezione!$AO$28)*IF(ABS(N286)&lt;'Sollecitazioni nel paramento'!$G$58,ABS(N286)*'Sollecitazioni nel paramento'!$G$54,'Sollecitazioni nel paramento'!$G$53)</f>
        <v>36933272.028849915</v>
      </c>
      <c r="I286" s="472">
        <f>-'Foglio deposito bis'!$F$52*(C286-sezione!$AP$28)*IF(ABS(O286)&lt;'Sollecitazioni nel paramento'!$G$58,ABS(O286)*'Sollecitazioni nel paramento'!$G$54,'Sollecitazioni nel paramento'!$G$53)</f>
        <v>61218265.089212276</v>
      </c>
      <c r="J286" s="472">
        <f t="shared" si="21"/>
        <v>108065251.43732649</v>
      </c>
      <c r="K286" s="550">
        <f>'Sollecitazioni nel paramento'!$G$60*(sezione!$AL$28-C286)/C286</f>
        <v>1.7346116600774352E-2</v>
      </c>
      <c r="L286" s="550">
        <f>'Sollecitazioni nel paramento'!$G$60*(sezione!$AM$28-C286)/C286</f>
        <v>2.7769174901161528E-2</v>
      </c>
      <c r="M286" s="551">
        <f>'Sollecitazioni nel paramento'!$G$60*(sezione!$AN$28-C286)/C286</f>
        <v>3.8192233201548707E-2</v>
      </c>
      <c r="N286" s="551">
        <f>'Sollecitazioni nel paramento'!$G$60*(sezione!$AO$28-C286)/C286</f>
        <v>7.9884466403097404E-2</v>
      </c>
      <c r="O286" s="551">
        <f>'Sollecitazioni nel paramento'!$G$60*(sezione!$AP$28-C286)/C286</f>
        <v>0.13241145915680122</v>
      </c>
      <c r="P286" s="545">
        <f>-'Sollecitazioni nel paramento'!$G$47*'Sollecitazioni nel paramento'!$G$41*IF(DATI!$G$211="dx",DATI!$E$61,DATI!$E$64*DATI!$E$63)*1000*C286*sezione!$AD$5</f>
        <v>-255854.8482743245</v>
      </c>
      <c r="Q286" s="545">
        <f>'Foglio deposito bis'!$F$48*IF(ABS(K286)&lt;'Sollecitazioni nel paramento'!$G$58,ABS(K286)*'Sollecitazioni nel paramento'!$G$54,'Sollecitazioni nel paramento'!$G$53)*IF(K286&lt;0,-1,1)</f>
        <v>0</v>
      </c>
      <c r="R286" s="545">
        <f>'Foglio deposito bis'!$F$49*IF(ABS(L286)&lt;'Sollecitazioni nel paramento'!$G$58,ABS(L286)*'Sollecitazioni nel paramento'!$G$54,'Sollecitazioni nel paramento'!$G$53)*IF(L286&lt;0,-1,1)</f>
        <v>204886.47740803001</v>
      </c>
      <c r="S286" s="545">
        <f>'Foglio deposito bis'!$F$50*IF(ABS(M286)&lt;'Sollecitazioni nel paramento'!$G$58,ABS(M286)*'Sollecitazioni nel paramento'!$G$54,'Sollecitazioni nel paramento'!$G$53)*IF(M286&lt;0,-1,1)</f>
        <v>0</v>
      </c>
      <c r="T286" s="545">
        <f>'Foglio deposito bis'!$F$51*IF(ABS(N286)&lt;'Sollecitazioni nel paramento'!$G$58,ABS(N286)*'Sollecitazioni nel paramento'!$G$54,'Sollecitazioni nel paramento'!$G$53)*IF(N286&lt;0,-1,1)</f>
        <v>240946.49743184328</v>
      </c>
      <c r="U286" s="545">
        <f>'Foglio deposito bis'!$F$52*IF(ABS(O286)&lt;'Sollecitazioni nel paramento'!$G$58,ABS(O286)*'Sollecitazioni nel paramento'!$G$54,'Sollecitazioni nel paramento'!$G$53)*IF(O286&lt;0,-1,1)</f>
        <v>240946.49743184328</v>
      </c>
      <c r="V286" s="472">
        <f t="shared" si="23"/>
        <v>430924.62399739207</v>
      </c>
      <c r="W286" s="551"/>
      <c r="X286" s="551"/>
    </row>
    <row r="287" spans="1:24" x14ac:dyDescent="0.25">
      <c r="A287" s="545">
        <f t="shared" si="22"/>
        <v>423171.44677695801</v>
      </c>
      <c r="B287" s="3">
        <f t="shared" si="24"/>
        <v>1.7000000000000008</v>
      </c>
      <c r="C287" s="545">
        <f>'Foglio deposito bis'!$E$154/sezione!$B$247*B287</f>
        <v>6.9193906474199709</v>
      </c>
      <c r="D287" s="603">
        <f>-'Sollecitazioni nel paramento'!$G$47*'Sollecitazioni nel paramento'!$G$41*IF(DATI!$G$211="dx",DATI!$E$61,DATI!$E$64*DATI!$E$63)*1000*C287^2*sezione!$AD$5*(1-sezione!$AD$6)</f>
        <v>-1065220.0332168743</v>
      </c>
      <c r="E287" s="545">
        <f>-'Foglio deposito bis'!$F$48*(C287-sezione!$AL$28)*IF(ABS(K287)&lt;'Sollecitazioni nel paramento'!$G$58,ABS(K287)*'Sollecitazioni nel paramento'!$G$54,'Sollecitazioni nel paramento'!$G$53)</f>
        <v>0</v>
      </c>
      <c r="F287" s="545">
        <f>-'Foglio deposito bis'!$F$49*(C287-sezione!$AM$28)*IF(ABS(L287)&lt;'Sollecitazioni nel paramento'!$G$58,ABS(L287)*'Sollecitazioni nel paramento'!$G$54,'Sollecitazioni nel paramento'!$G$53)</f>
        <v>10875499.068921853</v>
      </c>
      <c r="G287" s="545">
        <f>-'Foglio deposito bis'!$F$50*(C287-sezione!$AN$28)*IF(ABS(M287)&lt;'Sollecitazioni nel paramento'!$G$58,ABS(M287)*'Sollecitazioni nel paramento'!$G$54,'Sollecitazioni nel paramento'!$G$53)</f>
        <v>0</v>
      </c>
      <c r="H287" s="545">
        <f>-'Foglio deposito bis'!$F$51*(C287-sezione!$AO$28)*IF(ABS(N287)&lt;'Sollecitazioni nel paramento'!$G$58,ABS(N287)*'Sollecitazioni nel paramento'!$G$54,'Sollecitazioni nel paramento'!$G$53)</f>
        <v>36884236.648236431</v>
      </c>
      <c r="I287" s="472">
        <f>-'Foglio deposito bis'!$F$52*(C287-sezione!$AP$28)*IF(ABS(O287)&lt;'Sollecitazioni nel paramento'!$G$58,ABS(O287)*'Sollecitazioni nel paramento'!$G$54,'Sollecitazioni nel paramento'!$G$53)</f>
        <v>61169229.708598793</v>
      </c>
      <c r="J287" s="472">
        <f t="shared" si="21"/>
        <v>107863745.3925402</v>
      </c>
      <c r="K287" s="550">
        <f>'Sollecitazioni nel paramento'!$G$60*(sezione!$AL$28-C287)/C287</f>
        <v>1.6732995524280987E-2</v>
      </c>
      <c r="L287" s="550">
        <f>'Sollecitazioni nel paramento'!$G$60*(sezione!$AM$28-C287)/C287</f>
        <v>2.6849493286421482E-2</v>
      </c>
      <c r="M287" s="551">
        <f>'Sollecitazioni nel paramento'!$G$60*(sezione!$AN$28-C287)/C287</f>
        <v>3.6965991048561977E-2</v>
      </c>
      <c r="N287" s="551">
        <f>'Sollecitazioni nel paramento'!$G$60*(sezione!$AO$28-C287)/C287</f>
        <v>7.7431982097123972E-2</v>
      </c>
      <c r="O287" s="551">
        <f>'Sollecitazioni nel paramento'!$G$60*(sezione!$AP$28-C287)/C287</f>
        <v>0.12841406329924823</v>
      </c>
      <c r="P287" s="545">
        <f>-'Sollecitazioni nel paramento'!$G$47*'Sollecitazioni nel paramento'!$G$41*IF(DATI!$G$211="dx",DATI!$E$61,DATI!$E$64*DATI!$E$63)*1000*C287*sezione!$AD$5</f>
        <v>-263608.02549475856</v>
      </c>
      <c r="Q287" s="545">
        <f>'Foglio deposito bis'!$F$48*IF(ABS(K287)&lt;'Sollecitazioni nel paramento'!$G$58,ABS(K287)*'Sollecitazioni nel paramento'!$G$54,'Sollecitazioni nel paramento'!$G$53)*IF(K287&lt;0,-1,1)</f>
        <v>0</v>
      </c>
      <c r="R287" s="545">
        <f>'Foglio deposito bis'!$F$49*IF(ABS(L287)&lt;'Sollecitazioni nel paramento'!$G$58,ABS(L287)*'Sollecitazioni nel paramento'!$G$54,'Sollecitazioni nel paramento'!$G$53)*IF(L287&lt;0,-1,1)</f>
        <v>204886.47740803001</v>
      </c>
      <c r="S287" s="545">
        <f>'Foglio deposito bis'!$F$50*IF(ABS(M287)&lt;'Sollecitazioni nel paramento'!$G$58,ABS(M287)*'Sollecitazioni nel paramento'!$G$54,'Sollecitazioni nel paramento'!$G$53)*IF(M287&lt;0,-1,1)</f>
        <v>0</v>
      </c>
      <c r="T287" s="545">
        <f>'Foglio deposito bis'!$F$51*IF(ABS(N287)&lt;'Sollecitazioni nel paramento'!$G$58,ABS(N287)*'Sollecitazioni nel paramento'!$G$54,'Sollecitazioni nel paramento'!$G$53)*IF(N287&lt;0,-1,1)</f>
        <v>240946.49743184328</v>
      </c>
      <c r="U287" s="545">
        <f>'Foglio deposito bis'!$F$52*IF(ABS(O287)&lt;'Sollecitazioni nel paramento'!$G$58,ABS(O287)*'Sollecitazioni nel paramento'!$G$54,'Sollecitazioni nel paramento'!$G$53)*IF(O287&lt;0,-1,1)</f>
        <v>240946.49743184328</v>
      </c>
      <c r="V287" s="472">
        <f t="shared" si="23"/>
        <v>423171.44677695801</v>
      </c>
      <c r="W287" s="551"/>
      <c r="X287" s="551"/>
    </row>
    <row r="288" spans="1:24" x14ac:dyDescent="0.25">
      <c r="A288" s="545">
        <f t="shared" si="22"/>
        <v>415418.26955652394</v>
      </c>
      <c r="B288" s="3">
        <f t="shared" si="24"/>
        <v>1.7500000000000009</v>
      </c>
      <c r="C288" s="545">
        <f>'Foglio deposito bis'!$E$154/sezione!$B$247*B288</f>
        <v>7.1229021370499694</v>
      </c>
      <c r="D288" s="603">
        <f>-'Sollecitazioni nel paramento'!$G$47*'Sollecitazioni nel paramento'!$G$41*IF(DATI!$G$211="dx",DATI!$E$61,DATI!$E$64*DATI!$E$63)*1000*C288^2*sezione!$AD$5*(1-sezione!$AD$6)</f>
        <v>-1128801.5057877777</v>
      </c>
      <c r="E288" s="545">
        <f>-'Foglio deposito bis'!$F$48*(C288-sezione!$AL$28)*IF(ABS(K288)&lt;'Sollecitazioni nel paramento'!$G$58,ABS(K288)*'Sollecitazioni nel paramento'!$G$54,'Sollecitazioni nel paramento'!$G$53)</f>
        <v>0</v>
      </c>
      <c r="F288" s="545">
        <f>-'Foglio deposito bis'!$F$49*(C288-sezione!$AM$28)*IF(ABS(L288)&lt;'Sollecitazioni nel paramento'!$G$58,ABS(L288)*'Sollecitazioni nel paramento'!$G$54,'Sollecitazioni nel paramento'!$G$53)</f>
        <v>10833802.316699503</v>
      </c>
      <c r="G288" s="545">
        <f>-'Foglio deposito bis'!$F$50*(C288-sezione!$AN$28)*IF(ABS(M288)&lt;'Sollecitazioni nel paramento'!$G$58,ABS(M288)*'Sollecitazioni nel paramento'!$G$54,'Sollecitazioni nel paramento'!$G$53)</f>
        <v>0</v>
      </c>
      <c r="H288" s="545">
        <f>-'Foglio deposito bis'!$F$51*(C288-sezione!$AO$28)*IF(ABS(N288)&lt;'Sollecitazioni nel paramento'!$G$58,ABS(N288)*'Sollecitazioni nel paramento'!$G$54,'Sollecitazioni nel paramento'!$G$53)</f>
        <v>36835201.26762294</v>
      </c>
      <c r="I288" s="472">
        <f>-'Foglio deposito bis'!$F$52*(C288-sezione!$AP$28)*IF(ABS(O288)&lt;'Sollecitazioni nel paramento'!$G$58,ABS(O288)*'Sollecitazioni nel paramento'!$G$54,'Sollecitazioni nel paramento'!$G$53)</f>
        <v>61120194.327985302</v>
      </c>
      <c r="J288" s="472">
        <f t="shared" si="21"/>
        <v>107660396.40651996</v>
      </c>
      <c r="K288" s="550">
        <f>'Sollecitazioni nel paramento'!$G$60*(sezione!$AL$28-C288)/C288</f>
        <v>1.6154909937872962E-2</v>
      </c>
      <c r="L288" s="550">
        <f>'Sollecitazioni nel paramento'!$G$60*(sezione!$AM$28-C288)/C288</f>
        <v>2.5982364906809441E-2</v>
      </c>
      <c r="M288" s="551">
        <f>'Sollecitazioni nel paramento'!$G$60*(sezione!$AN$28-C288)/C288</f>
        <v>3.580981987574592E-2</v>
      </c>
      <c r="N288" s="551">
        <f>'Sollecitazioni nel paramento'!$G$60*(sezione!$AO$28-C288)/C288</f>
        <v>7.5119639751491843E-2</v>
      </c>
      <c r="O288" s="551">
        <f>'Sollecitazioni nel paramento'!$G$60*(sezione!$AP$28-C288)/C288</f>
        <v>0.12464509006212686</v>
      </c>
      <c r="P288" s="545">
        <f>-'Sollecitazioni nel paramento'!$G$47*'Sollecitazioni nel paramento'!$G$41*IF(DATI!$G$211="dx",DATI!$E$61,DATI!$E$64*DATI!$E$63)*1000*C288*sezione!$AD$5</f>
        <v>-271361.20271519263</v>
      </c>
      <c r="Q288" s="545">
        <f>'Foglio deposito bis'!$F$48*IF(ABS(K288)&lt;'Sollecitazioni nel paramento'!$G$58,ABS(K288)*'Sollecitazioni nel paramento'!$G$54,'Sollecitazioni nel paramento'!$G$53)*IF(K288&lt;0,-1,1)</f>
        <v>0</v>
      </c>
      <c r="R288" s="545">
        <f>'Foglio deposito bis'!$F$49*IF(ABS(L288)&lt;'Sollecitazioni nel paramento'!$G$58,ABS(L288)*'Sollecitazioni nel paramento'!$G$54,'Sollecitazioni nel paramento'!$G$53)*IF(L288&lt;0,-1,1)</f>
        <v>204886.47740803001</v>
      </c>
      <c r="S288" s="545">
        <f>'Foglio deposito bis'!$F$50*IF(ABS(M288)&lt;'Sollecitazioni nel paramento'!$G$58,ABS(M288)*'Sollecitazioni nel paramento'!$G$54,'Sollecitazioni nel paramento'!$G$53)*IF(M288&lt;0,-1,1)</f>
        <v>0</v>
      </c>
      <c r="T288" s="545">
        <f>'Foglio deposito bis'!$F$51*IF(ABS(N288)&lt;'Sollecitazioni nel paramento'!$G$58,ABS(N288)*'Sollecitazioni nel paramento'!$G$54,'Sollecitazioni nel paramento'!$G$53)*IF(N288&lt;0,-1,1)</f>
        <v>240946.49743184328</v>
      </c>
      <c r="U288" s="545">
        <f>'Foglio deposito bis'!$F$52*IF(ABS(O288)&lt;'Sollecitazioni nel paramento'!$G$58,ABS(O288)*'Sollecitazioni nel paramento'!$G$54,'Sollecitazioni nel paramento'!$G$53)*IF(O288&lt;0,-1,1)</f>
        <v>240946.49743184328</v>
      </c>
      <c r="V288" s="472">
        <f t="shared" si="23"/>
        <v>415418.26955652394</v>
      </c>
      <c r="W288" s="551"/>
      <c r="X288" s="551"/>
    </row>
    <row r="289" spans="1:24" x14ac:dyDescent="0.25">
      <c r="A289" s="545">
        <f t="shared" si="22"/>
        <v>407665.09233608987</v>
      </c>
      <c r="B289" s="3">
        <f t="shared" si="24"/>
        <v>1.8000000000000009</v>
      </c>
      <c r="C289" s="545">
        <f>'Foglio deposito bis'!$E$154/sezione!$B$247*B289</f>
        <v>7.3264136266799689</v>
      </c>
      <c r="D289" s="603">
        <f>-'Sollecitazioni nel paramento'!$G$47*'Sollecitazioni nel paramento'!$G$41*IF(DATI!$G$211="dx",DATI!$E$61,DATI!$E$64*DATI!$E$63)*1000*C289^2*sezione!$AD$5*(1-sezione!$AD$6)</f>
        <v>-1194225.9195926203</v>
      </c>
      <c r="E289" s="545">
        <f>-'Foglio deposito bis'!$F$48*(C289-sezione!$AL$28)*IF(ABS(K289)&lt;'Sollecitazioni nel paramento'!$G$58,ABS(K289)*'Sollecitazioni nel paramento'!$G$54,'Sollecitazioni nel paramento'!$G$53)</f>
        <v>0</v>
      </c>
      <c r="F289" s="545">
        <f>-'Foglio deposito bis'!$F$49*(C289-sezione!$AM$28)*IF(ABS(L289)&lt;'Sollecitazioni nel paramento'!$G$58,ABS(L289)*'Sollecitazioni nel paramento'!$G$54,'Sollecitazioni nel paramento'!$G$53)</f>
        <v>10792105.564477153</v>
      </c>
      <c r="G289" s="545">
        <f>-'Foglio deposito bis'!$F$50*(C289-sezione!$AN$28)*IF(ABS(M289)&lt;'Sollecitazioni nel paramento'!$G$58,ABS(M289)*'Sollecitazioni nel paramento'!$G$54,'Sollecitazioni nel paramento'!$G$53)</f>
        <v>0</v>
      </c>
      <c r="H289" s="545">
        <f>-'Foglio deposito bis'!$F$51*(C289-sezione!$AO$28)*IF(ABS(N289)&lt;'Sollecitazioni nel paramento'!$G$58,ABS(N289)*'Sollecitazioni nel paramento'!$G$54,'Sollecitazioni nel paramento'!$G$53)</f>
        <v>36786165.887009457</v>
      </c>
      <c r="I289" s="472">
        <f>-'Foglio deposito bis'!$F$52*(C289-sezione!$AP$28)*IF(ABS(O289)&lt;'Sollecitazioni nel paramento'!$G$58,ABS(O289)*'Sollecitazioni nel paramento'!$G$54,'Sollecitazioni nel paramento'!$G$53)</f>
        <v>61071158.947371826</v>
      </c>
      <c r="J289" s="472">
        <f t="shared" si="21"/>
        <v>107455204.47926581</v>
      </c>
      <c r="K289" s="550">
        <f>'Sollecitazioni nel paramento'!$G$60*(sezione!$AL$28-C289)/C289</f>
        <v>1.5608940217376492E-2</v>
      </c>
      <c r="L289" s="550">
        <f>'Sollecitazioni nel paramento'!$G$60*(sezione!$AM$28-C289)/C289</f>
        <v>2.5163410326064738E-2</v>
      </c>
      <c r="M289" s="551">
        <f>'Sollecitazioni nel paramento'!$G$60*(sezione!$AN$28-C289)/C289</f>
        <v>3.4717880434752976E-2</v>
      </c>
      <c r="N289" s="551">
        <f>'Sollecitazioni nel paramento'!$G$60*(sezione!$AO$28-C289)/C289</f>
        <v>7.2935760869505969E-2</v>
      </c>
      <c r="O289" s="551">
        <f>'Sollecitazioni nel paramento'!$G$60*(sezione!$AP$28-C289)/C289</f>
        <v>0.12108550422706779</v>
      </c>
      <c r="P289" s="545">
        <f>-'Sollecitazioni nel paramento'!$G$47*'Sollecitazioni nel paramento'!$G$41*IF(DATI!$G$211="dx",DATI!$E$61,DATI!$E$64*DATI!$E$63)*1000*C289*sezione!$AD$5</f>
        <v>-279114.3799356267</v>
      </c>
      <c r="Q289" s="545">
        <f>'Foglio deposito bis'!$F$48*IF(ABS(K289)&lt;'Sollecitazioni nel paramento'!$G$58,ABS(K289)*'Sollecitazioni nel paramento'!$G$54,'Sollecitazioni nel paramento'!$G$53)*IF(K289&lt;0,-1,1)</f>
        <v>0</v>
      </c>
      <c r="R289" s="545">
        <f>'Foglio deposito bis'!$F$49*IF(ABS(L289)&lt;'Sollecitazioni nel paramento'!$G$58,ABS(L289)*'Sollecitazioni nel paramento'!$G$54,'Sollecitazioni nel paramento'!$G$53)*IF(L289&lt;0,-1,1)</f>
        <v>204886.47740803001</v>
      </c>
      <c r="S289" s="545">
        <f>'Foglio deposito bis'!$F$50*IF(ABS(M289)&lt;'Sollecitazioni nel paramento'!$G$58,ABS(M289)*'Sollecitazioni nel paramento'!$G$54,'Sollecitazioni nel paramento'!$G$53)*IF(M289&lt;0,-1,1)</f>
        <v>0</v>
      </c>
      <c r="T289" s="545">
        <f>'Foglio deposito bis'!$F$51*IF(ABS(N289)&lt;'Sollecitazioni nel paramento'!$G$58,ABS(N289)*'Sollecitazioni nel paramento'!$G$54,'Sollecitazioni nel paramento'!$G$53)*IF(N289&lt;0,-1,1)</f>
        <v>240946.49743184328</v>
      </c>
      <c r="U289" s="545">
        <f>'Foglio deposito bis'!$F$52*IF(ABS(O289)&lt;'Sollecitazioni nel paramento'!$G$58,ABS(O289)*'Sollecitazioni nel paramento'!$G$54,'Sollecitazioni nel paramento'!$G$53)*IF(O289&lt;0,-1,1)</f>
        <v>240946.49743184328</v>
      </c>
      <c r="V289" s="472">
        <f t="shared" si="23"/>
        <v>407665.09233608987</v>
      </c>
      <c r="W289" s="551"/>
      <c r="X289" s="551"/>
    </row>
    <row r="290" spans="1:24" x14ac:dyDescent="0.25">
      <c r="A290" s="545">
        <f t="shared" si="22"/>
        <v>399911.91511565575</v>
      </c>
      <c r="B290" s="3">
        <f t="shared" si="24"/>
        <v>1.850000000000001</v>
      </c>
      <c r="C290" s="545">
        <f>'Foglio deposito bis'!$E$154/sezione!$B$247*B290</f>
        <v>7.5299251163099683</v>
      </c>
      <c r="D290" s="603">
        <f>-'Sollecitazioni nel paramento'!$G$47*'Sollecitazioni nel paramento'!$G$41*IF(DATI!$G$211="dx",DATI!$E$61,DATI!$E$64*DATI!$E$63)*1000*C290^2*sezione!$AD$5*(1-sezione!$AD$6)</f>
        <v>-1261493.2746314022</v>
      </c>
      <c r="E290" s="545">
        <f>-'Foglio deposito bis'!$F$48*(C290-sezione!$AL$28)*IF(ABS(K290)&lt;'Sollecitazioni nel paramento'!$G$58,ABS(K290)*'Sollecitazioni nel paramento'!$G$54,'Sollecitazioni nel paramento'!$G$53)</f>
        <v>0</v>
      </c>
      <c r="F290" s="545">
        <f>-'Foglio deposito bis'!$F$49*(C290-sezione!$AM$28)*IF(ABS(L290)&lt;'Sollecitazioni nel paramento'!$G$58,ABS(L290)*'Sollecitazioni nel paramento'!$G$54,'Sollecitazioni nel paramento'!$G$53)</f>
        <v>10750408.8122548</v>
      </c>
      <c r="G290" s="545">
        <f>-'Foglio deposito bis'!$F$50*(C290-sezione!$AN$28)*IF(ABS(M290)&lt;'Sollecitazioni nel paramento'!$G$58,ABS(M290)*'Sollecitazioni nel paramento'!$G$54,'Sollecitazioni nel paramento'!$G$53)</f>
        <v>0</v>
      </c>
      <c r="H290" s="545">
        <f>-'Foglio deposito bis'!$F$51*(C290-sezione!$AO$28)*IF(ABS(N290)&lt;'Sollecitazioni nel paramento'!$G$58,ABS(N290)*'Sollecitazioni nel paramento'!$G$54,'Sollecitazioni nel paramento'!$G$53)</f>
        <v>36737130.506395966</v>
      </c>
      <c r="I290" s="472">
        <f>-'Foglio deposito bis'!$F$52*(C290-sezione!$AP$28)*IF(ABS(O290)&lt;'Sollecitazioni nel paramento'!$G$58,ABS(O290)*'Sollecitazioni nel paramento'!$G$54,'Sollecitazioni nel paramento'!$G$53)</f>
        <v>61022123.566758327</v>
      </c>
      <c r="J290" s="472">
        <f t="shared" si="21"/>
        <v>107248169.61077769</v>
      </c>
      <c r="K290" s="550">
        <f>'Sollecitazioni nel paramento'!$G$60*(sezione!$AL$28-C290)/C290</f>
        <v>1.5092482373663611E-2</v>
      </c>
      <c r="L290" s="550">
        <f>'Sollecitazioni nel paramento'!$G$60*(sezione!$AM$28-C290)/C290</f>
        <v>2.4388723560495418E-2</v>
      </c>
      <c r="M290" s="551">
        <f>'Sollecitazioni nel paramento'!$G$60*(sezione!$AN$28-C290)/C290</f>
        <v>3.3684964747327219E-2</v>
      </c>
      <c r="N290" s="551">
        <f>'Sollecitazioni nel paramento'!$G$60*(sezione!$AO$28-C290)/C290</f>
        <v>7.0869929494654441E-2</v>
      </c>
      <c r="O290" s="551">
        <f>'Sollecitazioni nel paramento'!$G$60*(sezione!$AP$28-C290)/C290</f>
        <v>0.11771832843714702</v>
      </c>
      <c r="P290" s="545">
        <f>-'Sollecitazioni nel paramento'!$G$47*'Sollecitazioni nel paramento'!$G$41*IF(DATI!$G$211="dx",DATI!$E$61,DATI!$E$64*DATI!$E$63)*1000*C290*sezione!$AD$5</f>
        <v>-286867.55715606082</v>
      </c>
      <c r="Q290" s="545">
        <f>'Foglio deposito bis'!$F$48*IF(ABS(K290)&lt;'Sollecitazioni nel paramento'!$G$58,ABS(K290)*'Sollecitazioni nel paramento'!$G$54,'Sollecitazioni nel paramento'!$G$53)*IF(K290&lt;0,-1,1)</f>
        <v>0</v>
      </c>
      <c r="R290" s="545">
        <f>'Foglio deposito bis'!$F$49*IF(ABS(L290)&lt;'Sollecitazioni nel paramento'!$G$58,ABS(L290)*'Sollecitazioni nel paramento'!$G$54,'Sollecitazioni nel paramento'!$G$53)*IF(L290&lt;0,-1,1)</f>
        <v>204886.47740803001</v>
      </c>
      <c r="S290" s="545">
        <f>'Foglio deposito bis'!$F$50*IF(ABS(M290)&lt;'Sollecitazioni nel paramento'!$G$58,ABS(M290)*'Sollecitazioni nel paramento'!$G$54,'Sollecitazioni nel paramento'!$G$53)*IF(M290&lt;0,-1,1)</f>
        <v>0</v>
      </c>
      <c r="T290" s="545">
        <f>'Foglio deposito bis'!$F$51*IF(ABS(N290)&lt;'Sollecitazioni nel paramento'!$G$58,ABS(N290)*'Sollecitazioni nel paramento'!$G$54,'Sollecitazioni nel paramento'!$G$53)*IF(N290&lt;0,-1,1)</f>
        <v>240946.49743184328</v>
      </c>
      <c r="U290" s="545">
        <f>'Foglio deposito bis'!$F$52*IF(ABS(O290)&lt;'Sollecitazioni nel paramento'!$G$58,ABS(O290)*'Sollecitazioni nel paramento'!$G$54,'Sollecitazioni nel paramento'!$G$53)*IF(O290&lt;0,-1,1)</f>
        <v>240946.49743184328</v>
      </c>
      <c r="V290" s="472">
        <f t="shared" si="23"/>
        <v>399911.91511565575</v>
      </c>
      <c r="W290" s="551"/>
      <c r="X290" s="551"/>
    </row>
    <row r="291" spans="1:24" x14ac:dyDescent="0.25">
      <c r="A291" s="545">
        <f t="shared" si="22"/>
        <v>392158.73789522168</v>
      </c>
      <c r="B291" s="3">
        <f t="shared" si="24"/>
        <v>1.900000000000001</v>
      </c>
      <c r="C291" s="545">
        <f>'Foglio deposito bis'!$E$154/sezione!$B$247*B291</f>
        <v>7.7334366059399677</v>
      </c>
      <c r="D291" s="603">
        <f>-'Sollecitazioni nel paramento'!$G$47*'Sollecitazioni nel paramento'!$G$41*IF(DATI!$G$211="dx",DATI!$E$61,DATI!$E$64*DATI!$E$63)*1000*C291^2*sezione!$AD$5*(1-sezione!$AD$6)</f>
        <v>-1330603.5709041236</v>
      </c>
      <c r="E291" s="545">
        <f>-'Foglio deposito bis'!$F$48*(C291-sezione!$AL$28)*IF(ABS(K291)&lt;'Sollecitazioni nel paramento'!$G$58,ABS(K291)*'Sollecitazioni nel paramento'!$G$54,'Sollecitazioni nel paramento'!$G$53)</f>
        <v>0</v>
      </c>
      <c r="F291" s="545">
        <f>-'Foglio deposito bis'!$F$49*(C291-sezione!$AM$28)*IF(ABS(L291)&lt;'Sollecitazioni nel paramento'!$G$58,ABS(L291)*'Sollecitazioni nel paramento'!$G$54,'Sollecitazioni nel paramento'!$G$53)</f>
        <v>10708712.060032448</v>
      </c>
      <c r="G291" s="545">
        <f>-'Foglio deposito bis'!$F$50*(C291-sezione!$AN$28)*IF(ABS(M291)&lt;'Sollecitazioni nel paramento'!$G$58,ABS(M291)*'Sollecitazioni nel paramento'!$G$54,'Sollecitazioni nel paramento'!$G$53)</f>
        <v>0</v>
      </c>
      <c r="H291" s="545">
        <f>-'Foglio deposito bis'!$F$51*(C291-sezione!$AO$28)*IF(ABS(N291)&lt;'Sollecitazioni nel paramento'!$G$58,ABS(N291)*'Sollecitazioni nel paramento'!$G$54,'Sollecitazioni nel paramento'!$G$53)</f>
        <v>36688095.125782482</v>
      </c>
      <c r="I291" s="472">
        <f>-'Foglio deposito bis'!$F$52*(C291-sezione!$AP$28)*IF(ABS(O291)&lt;'Sollecitazioni nel paramento'!$G$58,ABS(O291)*'Sollecitazioni nel paramento'!$G$54,'Sollecitazioni nel paramento'!$G$53)</f>
        <v>60973088.186144851</v>
      </c>
      <c r="J291" s="472">
        <f t="shared" si="21"/>
        <v>107039291.80105567</v>
      </c>
      <c r="K291" s="550">
        <f>'Sollecitazioni nel paramento'!$G$60*(sezione!$AL$28-C291)/C291</f>
        <v>1.4603206521725092E-2</v>
      </c>
      <c r="L291" s="550">
        <f>'Sollecitazioni nel paramento'!$G$60*(sezione!$AM$28-C291)/C291</f>
        <v>2.3654809782587639E-2</v>
      </c>
      <c r="M291" s="551">
        <f>'Sollecitazioni nel paramento'!$G$60*(sezione!$AN$28-C291)/C291</f>
        <v>3.2706413043450185E-2</v>
      </c>
      <c r="N291" s="551">
        <f>'Sollecitazioni nel paramento'!$G$60*(sezione!$AO$28-C291)/C291</f>
        <v>6.8912826086900372E-2</v>
      </c>
      <c r="O291" s="551">
        <f>'Sollecitazioni nel paramento'!$G$60*(sezione!$AP$28-C291)/C291</f>
        <v>0.11452837242564316</v>
      </c>
      <c r="P291" s="545">
        <f>-'Sollecitazioni nel paramento'!$G$47*'Sollecitazioni nel paramento'!$G$41*IF(DATI!$G$211="dx",DATI!$E$61,DATI!$E$64*DATI!$E$63)*1000*C291*sezione!$AD$5</f>
        <v>-294620.73437649489</v>
      </c>
      <c r="Q291" s="545">
        <f>'Foglio deposito bis'!$F$48*IF(ABS(K291)&lt;'Sollecitazioni nel paramento'!$G$58,ABS(K291)*'Sollecitazioni nel paramento'!$G$54,'Sollecitazioni nel paramento'!$G$53)*IF(K291&lt;0,-1,1)</f>
        <v>0</v>
      </c>
      <c r="R291" s="545">
        <f>'Foglio deposito bis'!$F$49*IF(ABS(L291)&lt;'Sollecitazioni nel paramento'!$G$58,ABS(L291)*'Sollecitazioni nel paramento'!$G$54,'Sollecitazioni nel paramento'!$G$53)*IF(L291&lt;0,-1,1)</f>
        <v>204886.47740803001</v>
      </c>
      <c r="S291" s="545">
        <f>'Foglio deposito bis'!$F$50*IF(ABS(M291)&lt;'Sollecitazioni nel paramento'!$G$58,ABS(M291)*'Sollecitazioni nel paramento'!$G$54,'Sollecitazioni nel paramento'!$G$53)*IF(M291&lt;0,-1,1)</f>
        <v>0</v>
      </c>
      <c r="T291" s="545">
        <f>'Foglio deposito bis'!$F$51*IF(ABS(N291)&lt;'Sollecitazioni nel paramento'!$G$58,ABS(N291)*'Sollecitazioni nel paramento'!$G$54,'Sollecitazioni nel paramento'!$G$53)*IF(N291&lt;0,-1,1)</f>
        <v>240946.49743184328</v>
      </c>
      <c r="U291" s="545">
        <f>'Foglio deposito bis'!$F$52*IF(ABS(O291)&lt;'Sollecitazioni nel paramento'!$G$58,ABS(O291)*'Sollecitazioni nel paramento'!$G$54,'Sollecitazioni nel paramento'!$G$53)*IF(O291&lt;0,-1,1)</f>
        <v>240946.49743184328</v>
      </c>
      <c r="V291" s="472">
        <f t="shared" si="23"/>
        <v>392158.73789522168</v>
      </c>
      <c r="W291" s="551"/>
      <c r="X291" s="551"/>
    </row>
    <row r="292" spans="1:24" x14ac:dyDescent="0.25">
      <c r="A292" s="545">
        <f t="shared" si="22"/>
        <v>384405.56067478762</v>
      </c>
      <c r="B292" s="3">
        <f t="shared" si="24"/>
        <v>1.9500000000000011</v>
      </c>
      <c r="C292" s="545">
        <f>'Foglio deposito bis'!$E$154/sezione!$B$247*B292</f>
        <v>7.9369480955699663</v>
      </c>
      <c r="D292" s="603">
        <f>-'Sollecitazioni nel paramento'!$G$47*'Sollecitazioni nel paramento'!$G$41*IF(DATI!$G$211="dx",DATI!$E$61,DATI!$E$64*DATI!$E$63)*1000*C292^2*sezione!$AD$5*(1-sezione!$AD$6)</f>
        <v>-1401556.8084107838</v>
      </c>
      <c r="E292" s="545">
        <f>-'Foglio deposito bis'!$F$48*(C292-sezione!$AL$28)*IF(ABS(K292)&lt;'Sollecitazioni nel paramento'!$G$58,ABS(K292)*'Sollecitazioni nel paramento'!$G$54,'Sollecitazioni nel paramento'!$G$53)</f>
        <v>0</v>
      </c>
      <c r="F292" s="545">
        <f>-'Foglio deposito bis'!$F$49*(C292-sezione!$AM$28)*IF(ABS(L292)&lt;'Sollecitazioni nel paramento'!$G$58,ABS(L292)*'Sollecitazioni nel paramento'!$G$54,'Sollecitazioni nel paramento'!$G$53)</f>
        <v>10667015.307810098</v>
      </c>
      <c r="G292" s="545">
        <f>-'Foglio deposito bis'!$F$50*(C292-sezione!$AN$28)*IF(ABS(M292)&lt;'Sollecitazioni nel paramento'!$G$58,ABS(M292)*'Sollecitazioni nel paramento'!$G$54,'Sollecitazioni nel paramento'!$G$53)</f>
        <v>0</v>
      </c>
      <c r="H292" s="545">
        <f>-'Foglio deposito bis'!$F$51*(C292-sezione!$AO$28)*IF(ABS(N292)&lt;'Sollecitazioni nel paramento'!$G$58,ABS(N292)*'Sollecitazioni nel paramento'!$G$54,'Sollecitazioni nel paramento'!$G$53)</f>
        <v>36639059.745169006</v>
      </c>
      <c r="I292" s="472">
        <f>-'Foglio deposito bis'!$F$52*(C292-sezione!$AP$28)*IF(ABS(O292)&lt;'Sollecitazioni nel paramento'!$G$58,ABS(O292)*'Sollecitazioni nel paramento'!$G$54,'Sollecitazioni nel paramento'!$G$53)</f>
        <v>60924052.80553136</v>
      </c>
      <c r="J292" s="472">
        <f t="shared" si="21"/>
        <v>106828571.05009967</v>
      </c>
      <c r="K292" s="550">
        <f>'Sollecitazioni nel paramento'!$G$60*(sezione!$AL$28-C292)/C292</f>
        <v>1.4139021739116759E-2</v>
      </c>
      <c r="L292" s="550">
        <f>'Sollecitazioni nel paramento'!$G$60*(sezione!$AM$28-C292)/C292</f>
        <v>2.2958532608675138E-2</v>
      </c>
      <c r="M292" s="551">
        <f>'Sollecitazioni nel paramento'!$G$60*(sezione!$AN$28-C292)/C292</f>
        <v>3.1778043478233521E-2</v>
      </c>
      <c r="N292" s="551">
        <f>'Sollecitazioni nel paramento'!$G$60*(sezione!$AO$28-C292)/C292</f>
        <v>6.7056086956467045E-2</v>
      </c>
      <c r="O292" s="551">
        <f>'Sollecitazioni nel paramento'!$G$60*(sezione!$AP$28-C292)/C292</f>
        <v>0.11150200390190873</v>
      </c>
      <c r="P292" s="545">
        <f>-'Sollecitazioni nel paramento'!$G$47*'Sollecitazioni nel paramento'!$G$41*IF(DATI!$G$211="dx",DATI!$E$61,DATI!$E$64*DATI!$E$63)*1000*C292*sezione!$AD$5</f>
        <v>-302373.91159692896</v>
      </c>
      <c r="Q292" s="545">
        <f>'Foglio deposito bis'!$F$48*IF(ABS(K292)&lt;'Sollecitazioni nel paramento'!$G$58,ABS(K292)*'Sollecitazioni nel paramento'!$G$54,'Sollecitazioni nel paramento'!$G$53)*IF(K292&lt;0,-1,1)</f>
        <v>0</v>
      </c>
      <c r="R292" s="545">
        <f>'Foglio deposito bis'!$F$49*IF(ABS(L292)&lt;'Sollecitazioni nel paramento'!$G$58,ABS(L292)*'Sollecitazioni nel paramento'!$G$54,'Sollecitazioni nel paramento'!$G$53)*IF(L292&lt;0,-1,1)</f>
        <v>204886.47740803001</v>
      </c>
      <c r="S292" s="545">
        <f>'Foglio deposito bis'!$F$50*IF(ABS(M292)&lt;'Sollecitazioni nel paramento'!$G$58,ABS(M292)*'Sollecitazioni nel paramento'!$G$54,'Sollecitazioni nel paramento'!$G$53)*IF(M292&lt;0,-1,1)</f>
        <v>0</v>
      </c>
      <c r="T292" s="545">
        <f>'Foglio deposito bis'!$F$51*IF(ABS(N292)&lt;'Sollecitazioni nel paramento'!$G$58,ABS(N292)*'Sollecitazioni nel paramento'!$G$54,'Sollecitazioni nel paramento'!$G$53)*IF(N292&lt;0,-1,1)</f>
        <v>240946.49743184328</v>
      </c>
      <c r="U292" s="545">
        <f>'Foglio deposito bis'!$F$52*IF(ABS(O292)&lt;'Sollecitazioni nel paramento'!$G$58,ABS(O292)*'Sollecitazioni nel paramento'!$G$54,'Sollecitazioni nel paramento'!$G$53)*IF(O292&lt;0,-1,1)</f>
        <v>240946.49743184328</v>
      </c>
      <c r="V292" s="472">
        <f t="shared" si="23"/>
        <v>384405.56067478762</v>
      </c>
      <c r="W292" s="551"/>
      <c r="X292" s="551"/>
    </row>
    <row r="293" spans="1:24" x14ac:dyDescent="0.25">
      <c r="A293" s="545">
        <f t="shared" si="22"/>
        <v>376652.38345435355</v>
      </c>
      <c r="B293" s="3">
        <f t="shared" si="24"/>
        <v>2.0000000000000009</v>
      </c>
      <c r="C293" s="545">
        <f>'Foglio deposito bis'!$E$154/sezione!$B$247*B293</f>
        <v>8.1404595851999648</v>
      </c>
      <c r="D293" s="603">
        <f>-'Sollecitazioni nel paramento'!$G$47*'Sollecitazioni nel paramento'!$G$41*IF(DATI!$G$211="dx",DATI!$E$61,DATI!$E$64*DATI!$E$63)*1000*C293^2*sezione!$AD$5*(1-sezione!$AD$6)</f>
        <v>-1474352.987151383</v>
      </c>
      <c r="E293" s="545">
        <f>-'Foglio deposito bis'!$F$48*(C293-sezione!$AL$28)*IF(ABS(K293)&lt;'Sollecitazioni nel paramento'!$G$58,ABS(K293)*'Sollecitazioni nel paramento'!$G$54,'Sollecitazioni nel paramento'!$G$53)</f>
        <v>0</v>
      </c>
      <c r="F293" s="545">
        <f>-'Foglio deposito bis'!$F$49*(C293-sezione!$AM$28)*IF(ABS(L293)&lt;'Sollecitazioni nel paramento'!$G$58,ABS(L293)*'Sollecitazioni nel paramento'!$G$54,'Sollecitazioni nel paramento'!$G$53)</f>
        <v>10625318.555587746</v>
      </c>
      <c r="G293" s="545">
        <f>-'Foglio deposito bis'!$F$50*(C293-sezione!$AN$28)*IF(ABS(M293)&lt;'Sollecitazioni nel paramento'!$G$58,ABS(M293)*'Sollecitazioni nel paramento'!$G$54,'Sollecitazioni nel paramento'!$G$53)</f>
        <v>0</v>
      </c>
      <c r="H293" s="545">
        <f>-'Foglio deposito bis'!$F$51*(C293-sezione!$AO$28)*IF(ABS(N293)&lt;'Sollecitazioni nel paramento'!$G$58,ABS(N293)*'Sollecitazioni nel paramento'!$G$54,'Sollecitazioni nel paramento'!$G$53)</f>
        <v>36590024.364555515</v>
      </c>
      <c r="I293" s="472">
        <f>-'Foglio deposito bis'!$F$52*(C293-sezione!$AP$28)*IF(ABS(O293)&lt;'Sollecitazioni nel paramento'!$G$58,ABS(O293)*'Sollecitazioni nel paramento'!$G$54,'Sollecitazioni nel paramento'!$G$53)</f>
        <v>60875017.424917877</v>
      </c>
      <c r="J293" s="472">
        <f t="shared" si="21"/>
        <v>106616007.35790975</v>
      </c>
      <c r="K293" s="550">
        <f>'Sollecitazioni nel paramento'!$G$60*(sezione!$AL$28-C293)/C293</f>
        <v>1.3698046195638844E-2</v>
      </c>
      <c r="L293" s="550">
        <f>'Sollecitazioni nel paramento'!$G$60*(sezione!$AM$28-C293)/C293</f>
        <v>2.2297069293458264E-2</v>
      </c>
      <c r="M293" s="551">
        <f>'Sollecitazioni nel paramento'!$G$60*(sezione!$AN$28-C293)/C293</f>
        <v>3.0896092391277687E-2</v>
      </c>
      <c r="N293" s="551">
        <f>'Sollecitazioni nel paramento'!$G$60*(sezione!$AO$28-C293)/C293</f>
        <v>6.5292184782555357E-2</v>
      </c>
      <c r="O293" s="551">
        <f>'Sollecitazioni nel paramento'!$G$60*(sezione!$AP$28-C293)/C293</f>
        <v>0.10862695380436101</v>
      </c>
      <c r="P293" s="545">
        <f>-'Sollecitazioni nel paramento'!$G$47*'Sollecitazioni nel paramento'!$G$41*IF(DATI!$G$211="dx",DATI!$E$61,DATI!$E$64*DATI!$E$63)*1000*C293*sezione!$AD$5</f>
        <v>-310127.08881736302</v>
      </c>
      <c r="Q293" s="545">
        <f>'Foglio deposito bis'!$F$48*IF(ABS(K293)&lt;'Sollecitazioni nel paramento'!$G$58,ABS(K293)*'Sollecitazioni nel paramento'!$G$54,'Sollecitazioni nel paramento'!$G$53)*IF(K293&lt;0,-1,1)</f>
        <v>0</v>
      </c>
      <c r="R293" s="545">
        <f>'Foglio deposito bis'!$F$49*IF(ABS(L293)&lt;'Sollecitazioni nel paramento'!$G$58,ABS(L293)*'Sollecitazioni nel paramento'!$G$54,'Sollecitazioni nel paramento'!$G$53)*IF(L293&lt;0,-1,1)</f>
        <v>204886.47740803001</v>
      </c>
      <c r="S293" s="545">
        <f>'Foglio deposito bis'!$F$50*IF(ABS(M293)&lt;'Sollecitazioni nel paramento'!$G$58,ABS(M293)*'Sollecitazioni nel paramento'!$G$54,'Sollecitazioni nel paramento'!$G$53)*IF(M293&lt;0,-1,1)</f>
        <v>0</v>
      </c>
      <c r="T293" s="545">
        <f>'Foglio deposito bis'!$F$51*IF(ABS(N293)&lt;'Sollecitazioni nel paramento'!$G$58,ABS(N293)*'Sollecitazioni nel paramento'!$G$54,'Sollecitazioni nel paramento'!$G$53)*IF(N293&lt;0,-1,1)</f>
        <v>240946.49743184328</v>
      </c>
      <c r="U293" s="545">
        <f>'Foglio deposito bis'!$F$52*IF(ABS(O293)&lt;'Sollecitazioni nel paramento'!$G$58,ABS(O293)*'Sollecitazioni nel paramento'!$G$54,'Sollecitazioni nel paramento'!$G$53)*IF(O293&lt;0,-1,1)</f>
        <v>240946.49743184328</v>
      </c>
      <c r="V293" s="472">
        <f t="shared" si="23"/>
        <v>376652.38345435355</v>
      </c>
      <c r="W293" s="551"/>
      <c r="X293" s="551"/>
    </row>
    <row r="294" spans="1:24" x14ac:dyDescent="0.25">
      <c r="A294" s="545">
        <f t="shared" si="22"/>
        <v>368899.20623391954</v>
      </c>
      <c r="B294" s="3">
        <f t="shared" si="24"/>
        <v>2.0500000000000007</v>
      </c>
      <c r="C294" s="545">
        <f>'Foglio deposito bis'!$E$154/sezione!$B$247*B294</f>
        <v>8.3439710748299625</v>
      </c>
      <c r="D294" s="603">
        <f>-'Sollecitazioni nel paramento'!$G$47*'Sollecitazioni nel paramento'!$G$41*IF(DATI!$G$211="dx",DATI!$E$61,DATI!$E$64*DATI!$E$63)*1000*C294^2*sezione!$AD$5*(1-sezione!$AD$6)</f>
        <v>-1548992.1071259207</v>
      </c>
      <c r="E294" s="545">
        <f>-'Foglio deposito bis'!$F$48*(C294-sezione!$AL$28)*IF(ABS(K294)&lt;'Sollecitazioni nel paramento'!$G$58,ABS(K294)*'Sollecitazioni nel paramento'!$G$54,'Sollecitazioni nel paramento'!$G$53)</f>
        <v>0</v>
      </c>
      <c r="F294" s="545">
        <f>-'Foglio deposito bis'!$F$49*(C294-sezione!$AM$28)*IF(ABS(L294)&lt;'Sollecitazioni nel paramento'!$G$58,ABS(L294)*'Sollecitazioni nel paramento'!$G$54,'Sollecitazioni nel paramento'!$G$53)</f>
        <v>10583621.803365396</v>
      </c>
      <c r="G294" s="545">
        <f>-'Foglio deposito bis'!$F$50*(C294-sezione!$AN$28)*IF(ABS(M294)&lt;'Sollecitazioni nel paramento'!$G$58,ABS(M294)*'Sollecitazioni nel paramento'!$G$54,'Sollecitazioni nel paramento'!$G$53)</f>
        <v>0</v>
      </c>
      <c r="H294" s="545">
        <f>-'Foglio deposito bis'!$F$51*(C294-sezione!$AO$28)*IF(ABS(N294)&lt;'Sollecitazioni nel paramento'!$G$58,ABS(N294)*'Sollecitazioni nel paramento'!$G$54,'Sollecitazioni nel paramento'!$G$53)</f>
        <v>36540988.983942024</v>
      </c>
      <c r="I294" s="472">
        <f>-'Foglio deposito bis'!$F$52*(C294-sezione!$AP$28)*IF(ABS(O294)&lt;'Sollecitazioni nel paramento'!$G$58,ABS(O294)*'Sollecitazioni nel paramento'!$G$54,'Sollecitazioni nel paramento'!$G$53)</f>
        <v>60825982.044304386</v>
      </c>
      <c r="J294" s="472">
        <f t="shared" si="21"/>
        <v>106401600.72448589</v>
      </c>
      <c r="K294" s="550">
        <f>'Sollecitazioni nel paramento'!$G$60*(sezione!$AL$28-C294)/C294</f>
        <v>1.32785816542818E-2</v>
      </c>
      <c r="L294" s="550">
        <f>'Sollecitazioni nel paramento'!$G$60*(sezione!$AM$28-C294)/C294</f>
        <v>2.1667872481422698E-2</v>
      </c>
      <c r="M294" s="551">
        <f>'Sollecitazioni nel paramento'!$G$60*(sezione!$AN$28-C294)/C294</f>
        <v>3.0057163308563603E-2</v>
      </c>
      <c r="N294" s="551">
        <f>'Sollecitazioni nel paramento'!$G$60*(sezione!$AO$28-C294)/C294</f>
        <v>6.3614326617127209E-2</v>
      </c>
      <c r="O294" s="551">
        <f>'Sollecitazioni nel paramento'!$G$60*(sezione!$AP$28-C294)/C294</f>
        <v>0.10589215005303515</v>
      </c>
      <c r="P294" s="545">
        <f>-'Sollecitazioni nel paramento'!$G$47*'Sollecitazioni nel paramento'!$G$41*IF(DATI!$G$211="dx",DATI!$E$61,DATI!$E$64*DATI!$E$63)*1000*C294*sezione!$AD$5</f>
        <v>-317880.26603779703</v>
      </c>
      <c r="Q294" s="545">
        <f>'Foglio deposito bis'!$F$48*IF(ABS(K294)&lt;'Sollecitazioni nel paramento'!$G$58,ABS(K294)*'Sollecitazioni nel paramento'!$G$54,'Sollecitazioni nel paramento'!$G$53)*IF(K294&lt;0,-1,1)</f>
        <v>0</v>
      </c>
      <c r="R294" s="545">
        <f>'Foglio deposito bis'!$F$49*IF(ABS(L294)&lt;'Sollecitazioni nel paramento'!$G$58,ABS(L294)*'Sollecitazioni nel paramento'!$G$54,'Sollecitazioni nel paramento'!$G$53)*IF(L294&lt;0,-1,1)</f>
        <v>204886.47740803001</v>
      </c>
      <c r="S294" s="545">
        <f>'Foglio deposito bis'!$F$50*IF(ABS(M294)&lt;'Sollecitazioni nel paramento'!$G$58,ABS(M294)*'Sollecitazioni nel paramento'!$G$54,'Sollecitazioni nel paramento'!$G$53)*IF(M294&lt;0,-1,1)</f>
        <v>0</v>
      </c>
      <c r="T294" s="545">
        <f>'Foglio deposito bis'!$F$51*IF(ABS(N294)&lt;'Sollecitazioni nel paramento'!$G$58,ABS(N294)*'Sollecitazioni nel paramento'!$G$54,'Sollecitazioni nel paramento'!$G$53)*IF(N294&lt;0,-1,1)</f>
        <v>240946.49743184328</v>
      </c>
      <c r="U294" s="545">
        <f>'Foglio deposito bis'!$F$52*IF(ABS(O294)&lt;'Sollecitazioni nel paramento'!$G$58,ABS(O294)*'Sollecitazioni nel paramento'!$G$54,'Sollecitazioni nel paramento'!$G$53)*IF(O294&lt;0,-1,1)</f>
        <v>240946.49743184328</v>
      </c>
      <c r="V294" s="472">
        <f t="shared" si="23"/>
        <v>368899.20623391954</v>
      </c>
      <c r="W294" s="551"/>
      <c r="X294" s="551"/>
    </row>
    <row r="295" spans="1:24" x14ac:dyDescent="0.25">
      <c r="A295" s="545">
        <f t="shared" si="22"/>
        <v>361146.02901348547</v>
      </c>
      <c r="B295" s="3">
        <f t="shared" si="24"/>
        <v>2.1000000000000005</v>
      </c>
      <c r="C295" s="545">
        <f>'Foglio deposito bis'!$E$154/sezione!$B$247*B295</f>
        <v>8.5474825644599619</v>
      </c>
      <c r="D295" s="603">
        <f>-'Sollecitazioni nel paramento'!$G$47*'Sollecitazioni nel paramento'!$G$41*IF(DATI!$G$211="dx",DATI!$E$61,DATI!$E$64*DATI!$E$63)*1000*C295^2*sezione!$AD$5*(1-sezione!$AD$6)</f>
        <v>-1625474.1683343991</v>
      </c>
      <c r="E295" s="545">
        <f>-'Foglio deposito bis'!$F$48*(C295-sezione!$AL$28)*IF(ABS(K295)&lt;'Sollecitazioni nel paramento'!$G$58,ABS(K295)*'Sollecitazioni nel paramento'!$G$54,'Sollecitazioni nel paramento'!$G$53)</f>
        <v>0</v>
      </c>
      <c r="F295" s="545">
        <f>-'Foglio deposito bis'!$F$49*(C295-sezione!$AM$28)*IF(ABS(L295)&lt;'Sollecitazioni nel paramento'!$G$58,ABS(L295)*'Sollecitazioni nel paramento'!$G$54,'Sollecitazioni nel paramento'!$G$53)</f>
        <v>10541925.051143045</v>
      </c>
      <c r="G295" s="545">
        <f>-'Foglio deposito bis'!$F$50*(C295-sezione!$AN$28)*IF(ABS(M295)&lt;'Sollecitazioni nel paramento'!$G$58,ABS(M295)*'Sollecitazioni nel paramento'!$G$54,'Sollecitazioni nel paramento'!$G$53)</f>
        <v>0</v>
      </c>
      <c r="H295" s="545">
        <f>-'Foglio deposito bis'!$F$51*(C295-sezione!$AO$28)*IF(ABS(N295)&lt;'Sollecitazioni nel paramento'!$G$58,ABS(N295)*'Sollecitazioni nel paramento'!$G$54,'Sollecitazioni nel paramento'!$G$53)</f>
        <v>36491953.603328548</v>
      </c>
      <c r="I295" s="472">
        <f>-'Foglio deposito bis'!$F$52*(C295-sezione!$AP$28)*IF(ABS(O295)&lt;'Sollecitazioni nel paramento'!$G$58,ABS(O295)*'Sollecitazioni nel paramento'!$G$54,'Sollecitazioni nel paramento'!$G$53)</f>
        <v>60776946.66369091</v>
      </c>
      <c r="J295" s="472">
        <f t="shared" si="21"/>
        <v>106185351.14982811</v>
      </c>
      <c r="K295" s="550">
        <f>'Sollecitazioni nel paramento'!$G$60*(sezione!$AL$28-C295)/C295</f>
        <v>1.2879091614894138E-2</v>
      </c>
      <c r="L295" s="550">
        <f>'Sollecitazioni nel paramento'!$G$60*(sezione!$AM$28-C295)/C295</f>
        <v>2.1068637422341208E-2</v>
      </c>
      <c r="M295" s="551">
        <f>'Sollecitazioni nel paramento'!$G$60*(sezione!$AN$28-C295)/C295</f>
        <v>2.9258183229788275E-2</v>
      </c>
      <c r="N295" s="551">
        <f>'Sollecitazioni nel paramento'!$G$60*(sezione!$AO$28-C295)/C295</f>
        <v>6.2016366459576554E-2</v>
      </c>
      <c r="O295" s="551">
        <f>'Sollecitazioni nel paramento'!$G$60*(sezione!$AP$28-C295)/C295</f>
        <v>0.10328757505177241</v>
      </c>
      <c r="P295" s="545">
        <f>-'Sollecitazioni nel paramento'!$G$47*'Sollecitazioni nel paramento'!$G$41*IF(DATI!$G$211="dx",DATI!$E$61,DATI!$E$64*DATI!$E$63)*1000*C295*sezione!$AD$5</f>
        <v>-325633.4432582311</v>
      </c>
      <c r="Q295" s="545">
        <f>'Foglio deposito bis'!$F$48*IF(ABS(K295)&lt;'Sollecitazioni nel paramento'!$G$58,ABS(K295)*'Sollecitazioni nel paramento'!$G$54,'Sollecitazioni nel paramento'!$G$53)*IF(K295&lt;0,-1,1)</f>
        <v>0</v>
      </c>
      <c r="R295" s="545">
        <f>'Foglio deposito bis'!$F$49*IF(ABS(L295)&lt;'Sollecitazioni nel paramento'!$G$58,ABS(L295)*'Sollecitazioni nel paramento'!$G$54,'Sollecitazioni nel paramento'!$G$53)*IF(L295&lt;0,-1,1)</f>
        <v>204886.47740803001</v>
      </c>
      <c r="S295" s="545">
        <f>'Foglio deposito bis'!$F$50*IF(ABS(M295)&lt;'Sollecitazioni nel paramento'!$G$58,ABS(M295)*'Sollecitazioni nel paramento'!$G$54,'Sollecitazioni nel paramento'!$G$53)*IF(M295&lt;0,-1,1)</f>
        <v>0</v>
      </c>
      <c r="T295" s="545">
        <f>'Foglio deposito bis'!$F$51*IF(ABS(N295)&lt;'Sollecitazioni nel paramento'!$G$58,ABS(N295)*'Sollecitazioni nel paramento'!$G$54,'Sollecitazioni nel paramento'!$G$53)*IF(N295&lt;0,-1,1)</f>
        <v>240946.49743184328</v>
      </c>
      <c r="U295" s="545">
        <f>'Foglio deposito bis'!$F$52*IF(ABS(O295)&lt;'Sollecitazioni nel paramento'!$G$58,ABS(O295)*'Sollecitazioni nel paramento'!$G$54,'Sollecitazioni nel paramento'!$G$53)*IF(O295&lt;0,-1,1)</f>
        <v>240946.49743184328</v>
      </c>
      <c r="V295" s="472">
        <f t="shared" si="23"/>
        <v>361146.02901348547</v>
      </c>
      <c r="W295" s="551"/>
      <c r="X295" s="551"/>
    </row>
    <row r="296" spans="1:24" x14ac:dyDescent="0.25">
      <c r="A296" s="545">
        <f t="shared" si="22"/>
        <v>353392.85179305141</v>
      </c>
      <c r="B296" s="3">
        <f t="shared" si="24"/>
        <v>2.1500000000000004</v>
      </c>
      <c r="C296" s="545">
        <f>'Foglio deposito bis'!$E$154/sezione!$B$247*B296</f>
        <v>8.7509940540899596</v>
      </c>
      <c r="D296" s="603">
        <f>-'Sollecitazioni nel paramento'!$G$47*'Sollecitazioni nel paramento'!$G$41*IF(DATI!$G$211="dx",DATI!$E$61,DATI!$E$64*DATI!$E$63)*1000*C296^2*sezione!$AD$5*(1-sezione!$AD$6)</f>
        <v>-1703799.1707768159</v>
      </c>
      <c r="E296" s="545">
        <f>-'Foglio deposito bis'!$F$48*(C296-sezione!$AL$28)*IF(ABS(K296)&lt;'Sollecitazioni nel paramento'!$G$58,ABS(K296)*'Sollecitazioni nel paramento'!$G$54,'Sollecitazioni nel paramento'!$G$53)</f>
        <v>0</v>
      </c>
      <c r="F296" s="545">
        <f>-'Foglio deposito bis'!$F$49*(C296-sezione!$AM$28)*IF(ABS(L296)&lt;'Sollecitazioni nel paramento'!$G$58,ABS(L296)*'Sollecitazioni nel paramento'!$G$54,'Sollecitazioni nel paramento'!$G$53)</f>
        <v>10500228.298920695</v>
      </c>
      <c r="G296" s="545">
        <f>-'Foglio deposito bis'!$F$50*(C296-sezione!$AN$28)*IF(ABS(M296)&lt;'Sollecitazioni nel paramento'!$G$58,ABS(M296)*'Sollecitazioni nel paramento'!$G$54,'Sollecitazioni nel paramento'!$G$53)</f>
        <v>0</v>
      </c>
      <c r="H296" s="545">
        <f>-'Foglio deposito bis'!$F$51*(C296-sezione!$AO$28)*IF(ABS(N296)&lt;'Sollecitazioni nel paramento'!$G$58,ABS(N296)*'Sollecitazioni nel paramento'!$G$54,'Sollecitazioni nel paramento'!$G$53)</f>
        <v>36442918.222715057</v>
      </c>
      <c r="I296" s="472">
        <f>-'Foglio deposito bis'!$F$52*(C296-sezione!$AP$28)*IF(ABS(O296)&lt;'Sollecitazioni nel paramento'!$G$58,ABS(O296)*'Sollecitazioni nel paramento'!$G$54,'Sollecitazioni nel paramento'!$G$53)</f>
        <v>60727911.283077411</v>
      </c>
      <c r="J296" s="472">
        <f t="shared" si="21"/>
        <v>105967258.63393635</v>
      </c>
      <c r="K296" s="550">
        <f>'Sollecitazioni nel paramento'!$G$60*(sezione!$AL$28-C296)/C296</f>
        <v>1.249818250757102E-2</v>
      </c>
      <c r="L296" s="550">
        <f>'Sollecitazioni nel paramento'!$G$60*(sezione!$AM$28-C296)/C296</f>
        <v>2.0497273761356533E-2</v>
      </c>
      <c r="M296" s="551">
        <f>'Sollecitazioni nel paramento'!$G$60*(sezione!$AN$28-C296)/C296</f>
        <v>2.849636501514204E-2</v>
      </c>
      <c r="N296" s="551">
        <f>'Sollecitazioni nel paramento'!$G$60*(sezione!$AO$28-C296)/C296</f>
        <v>6.0492730030284075E-2</v>
      </c>
      <c r="O296" s="551">
        <f>'Sollecitazioni nel paramento'!$G$60*(sezione!$AP$28-C296)/C296</f>
        <v>0.10080414307382422</v>
      </c>
      <c r="P296" s="545">
        <f>-'Sollecitazioni nel paramento'!$G$47*'Sollecitazioni nel paramento'!$G$41*IF(DATI!$G$211="dx",DATI!$E$61,DATI!$E$64*DATI!$E$63)*1000*C296*sezione!$AD$5</f>
        <v>-333386.62047866517</v>
      </c>
      <c r="Q296" s="545">
        <f>'Foglio deposito bis'!$F$48*IF(ABS(K296)&lt;'Sollecitazioni nel paramento'!$G$58,ABS(K296)*'Sollecitazioni nel paramento'!$G$54,'Sollecitazioni nel paramento'!$G$53)*IF(K296&lt;0,-1,1)</f>
        <v>0</v>
      </c>
      <c r="R296" s="545">
        <f>'Foglio deposito bis'!$F$49*IF(ABS(L296)&lt;'Sollecitazioni nel paramento'!$G$58,ABS(L296)*'Sollecitazioni nel paramento'!$G$54,'Sollecitazioni nel paramento'!$G$53)*IF(L296&lt;0,-1,1)</f>
        <v>204886.47740803001</v>
      </c>
      <c r="S296" s="545">
        <f>'Foglio deposito bis'!$F$50*IF(ABS(M296)&lt;'Sollecitazioni nel paramento'!$G$58,ABS(M296)*'Sollecitazioni nel paramento'!$G$54,'Sollecitazioni nel paramento'!$G$53)*IF(M296&lt;0,-1,1)</f>
        <v>0</v>
      </c>
      <c r="T296" s="545">
        <f>'Foglio deposito bis'!$F$51*IF(ABS(N296)&lt;'Sollecitazioni nel paramento'!$G$58,ABS(N296)*'Sollecitazioni nel paramento'!$G$54,'Sollecitazioni nel paramento'!$G$53)*IF(N296&lt;0,-1,1)</f>
        <v>240946.49743184328</v>
      </c>
      <c r="U296" s="545">
        <f>'Foglio deposito bis'!$F$52*IF(ABS(O296)&lt;'Sollecitazioni nel paramento'!$G$58,ABS(O296)*'Sollecitazioni nel paramento'!$G$54,'Sollecitazioni nel paramento'!$G$53)*IF(O296&lt;0,-1,1)</f>
        <v>240946.49743184328</v>
      </c>
      <c r="V296" s="472">
        <f t="shared" si="23"/>
        <v>353392.85179305141</v>
      </c>
      <c r="W296" s="551"/>
      <c r="X296" s="551"/>
    </row>
    <row r="297" spans="1:24" x14ac:dyDescent="0.25">
      <c r="A297" s="545">
        <f t="shared" si="22"/>
        <v>345639.67457261734</v>
      </c>
      <c r="B297" s="3">
        <f t="shared" si="24"/>
        <v>2.2000000000000002</v>
      </c>
      <c r="C297" s="545">
        <f>'Foglio deposito bis'!$E$154/sezione!$B$247*B297</f>
        <v>8.954505543719959</v>
      </c>
      <c r="D297" s="603">
        <f>-'Sollecitazioni nel paramento'!$G$47*'Sollecitazioni nel paramento'!$G$41*IF(DATI!$G$211="dx",DATI!$E$61,DATI!$E$64*DATI!$E$63)*1000*C297^2*sezione!$AD$5*(1-sezione!$AD$6)</f>
        <v>-1783967.1144531723</v>
      </c>
      <c r="E297" s="545">
        <f>-'Foglio deposito bis'!$F$48*(C297-sezione!$AL$28)*IF(ABS(K297)&lt;'Sollecitazioni nel paramento'!$G$58,ABS(K297)*'Sollecitazioni nel paramento'!$G$54,'Sollecitazioni nel paramento'!$G$53)</f>
        <v>0</v>
      </c>
      <c r="F297" s="545">
        <f>-'Foglio deposito bis'!$F$49*(C297-sezione!$AM$28)*IF(ABS(L297)&lt;'Sollecitazioni nel paramento'!$G$58,ABS(L297)*'Sollecitazioni nel paramento'!$G$54,'Sollecitazioni nel paramento'!$G$53)</f>
        <v>10458531.546698341</v>
      </c>
      <c r="G297" s="545">
        <f>-'Foglio deposito bis'!$F$50*(C297-sezione!$AN$28)*IF(ABS(M297)&lt;'Sollecitazioni nel paramento'!$G$58,ABS(M297)*'Sollecitazioni nel paramento'!$G$54,'Sollecitazioni nel paramento'!$G$53)</f>
        <v>0</v>
      </c>
      <c r="H297" s="545">
        <f>-'Foglio deposito bis'!$F$51*(C297-sezione!$AO$28)*IF(ABS(N297)&lt;'Sollecitazioni nel paramento'!$G$58,ABS(N297)*'Sollecitazioni nel paramento'!$G$54,'Sollecitazioni nel paramento'!$G$53)</f>
        <v>36393882.842101574</v>
      </c>
      <c r="I297" s="472">
        <f>-'Foglio deposito bis'!$F$52*(C297-sezione!$AP$28)*IF(ABS(O297)&lt;'Sollecitazioni nel paramento'!$G$58,ABS(O297)*'Sollecitazioni nel paramento'!$G$54,'Sollecitazioni nel paramento'!$G$53)</f>
        <v>60678875.902463935</v>
      </c>
      <c r="J297" s="472">
        <f t="shared" si="21"/>
        <v>105747323.17681068</v>
      </c>
      <c r="K297" s="550">
        <f>'Sollecitazioni nel paramento'!$G$60*(sezione!$AL$28-C297)/C297</f>
        <v>1.2134587450580769E-2</v>
      </c>
      <c r="L297" s="550">
        <f>'Sollecitazioni nel paramento'!$G$60*(sezione!$AM$28-C297)/C297</f>
        <v>1.9951881175871152E-2</v>
      </c>
      <c r="M297" s="551">
        <f>'Sollecitazioni nel paramento'!$G$60*(sezione!$AN$28-C297)/C297</f>
        <v>2.7769174901161538E-2</v>
      </c>
      <c r="N297" s="551">
        <f>'Sollecitazioni nel paramento'!$G$60*(sezione!$AO$28-C297)/C297</f>
        <v>5.903834980232308E-2</v>
      </c>
      <c r="O297" s="551">
        <f>'Sollecitazioni nel paramento'!$G$60*(sezione!$AP$28-C297)/C297</f>
        <v>9.8433594367600949E-2</v>
      </c>
      <c r="P297" s="545">
        <f>-'Sollecitazioni nel paramento'!$G$47*'Sollecitazioni nel paramento'!$G$41*IF(DATI!$G$211="dx",DATI!$E$61,DATI!$E$64*DATI!$E$63)*1000*C297*sezione!$AD$5</f>
        <v>-341139.79769909923</v>
      </c>
      <c r="Q297" s="545">
        <f>'Foglio deposito bis'!$F$48*IF(ABS(K297)&lt;'Sollecitazioni nel paramento'!$G$58,ABS(K297)*'Sollecitazioni nel paramento'!$G$54,'Sollecitazioni nel paramento'!$G$53)*IF(K297&lt;0,-1,1)</f>
        <v>0</v>
      </c>
      <c r="R297" s="545">
        <f>'Foglio deposito bis'!$F$49*IF(ABS(L297)&lt;'Sollecitazioni nel paramento'!$G$58,ABS(L297)*'Sollecitazioni nel paramento'!$G$54,'Sollecitazioni nel paramento'!$G$53)*IF(L297&lt;0,-1,1)</f>
        <v>204886.47740803001</v>
      </c>
      <c r="S297" s="545">
        <f>'Foglio deposito bis'!$F$50*IF(ABS(M297)&lt;'Sollecitazioni nel paramento'!$G$58,ABS(M297)*'Sollecitazioni nel paramento'!$G$54,'Sollecitazioni nel paramento'!$G$53)*IF(M297&lt;0,-1,1)</f>
        <v>0</v>
      </c>
      <c r="T297" s="545">
        <f>'Foglio deposito bis'!$F$51*IF(ABS(N297)&lt;'Sollecitazioni nel paramento'!$G$58,ABS(N297)*'Sollecitazioni nel paramento'!$G$54,'Sollecitazioni nel paramento'!$G$53)*IF(N297&lt;0,-1,1)</f>
        <v>240946.49743184328</v>
      </c>
      <c r="U297" s="545">
        <f>'Foglio deposito bis'!$F$52*IF(ABS(O297)&lt;'Sollecitazioni nel paramento'!$G$58,ABS(O297)*'Sollecitazioni nel paramento'!$G$54,'Sollecitazioni nel paramento'!$G$53)*IF(O297&lt;0,-1,1)</f>
        <v>240946.49743184328</v>
      </c>
      <c r="V297" s="472">
        <f t="shared" si="23"/>
        <v>345639.67457261734</v>
      </c>
      <c r="W297" s="551"/>
      <c r="X297" s="551"/>
    </row>
    <row r="298" spans="1:24" x14ac:dyDescent="0.25">
      <c r="A298" s="545">
        <f t="shared" si="22"/>
        <v>337886.49735218333</v>
      </c>
      <c r="B298" s="3">
        <f t="shared" si="24"/>
        <v>2.25</v>
      </c>
      <c r="C298" s="545">
        <f>'Foglio deposito bis'!$E$154/sezione!$B$247*B298</f>
        <v>9.1580170333499566</v>
      </c>
      <c r="D298" s="603">
        <f>-'Sollecitazioni nel paramento'!$G$47*'Sollecitazioni nel paramento'!$G$41*IF(DATI!$G$211="dx",DATI!$E$61,DATI!$E$64*DATI!$E$63)*1000*C298^2*sezione!$AD$5*(1-sezione!$AD$6)</f>
        <v>-1865977.9993634673</v>
      </c>
      <c r="E298" s="545">
        <f>-'Foglio deposito bis'!$F$48*(C298-sezione!$AL$28)*IF(ABS(K298)&lt;'Sollecitazioni nel paramento'!$G$58,ABS(K298)*'Sollecitazioni nel paramento'!$G$54,'Sollecitazioni nel paramento'!$G$53)</f>
        <v>0</v>
      </c>
      <c r="F298" s="545">
        <f>-'Foglio deposito bis'!$F$49*(C298-sezione!$AM$28)*IF(ABS(L298)&lt;'Sollecitazioni nel paramento'!$G$58,ABS(L298)*'Sollecitazioni nel paramento'!$G$54,'Sollecitazioni nel paramento'!$G$53)</f>
        <v>10416834.794475991</v>
      </c>
      <c r="G298" s="545">
        <f>-'Foglio deposito bis'!$F$50*(C298-sezione!$AN$28)*IF(ABS(M298)&lt;'Sollecitazioni nel paramento'!$G$58,ABS(M298)*'Sollecitazioni nel paramento'!$G$54,'Sollecitazioni nel paramento'!$G$53)</f>
        <v>0</v>
      </c>
      <c r="H298" s="545">
        <f>-'Foglio deposito bis'!$F$51*(C298-sezione!$AO$28)*IF(ABS(N298)&lt;'Sollecitazioni nel paramento'!$G$58,ABS(N298)*'Sollecitazioni nel paramento'!$G$54,'Sollecitazioni nel paramento'!$G$53)</f>
        <v>36344847.46148809</v>
      </c>
      <c r="I298" s="472">
        <f>-'Foglio deposito bis'!$F$52*(C298-sezione!$AP$28)*IF(ABS(O298)&lt;'Sollecitazioni nel paramento'!$G$58,ABS(O298)*'Sollecitazioni nel paramento'!$G$54,'Sollecitazioni nel paramento'!$G$53)</f>
        <v>60629840.521850452</v>
      </c>
      <c r="J298" s="472">
        <f t="shared" si="21"/>
        <v>105525544.77845107</v>
      </c>
      <c r="K298" s="550">
        <f>'Sollecitazioni nel paramento'!$G$60*(sezione!$AL$28-C298)/C298</f>
        <v>1.1787152173901199E-2</v>
      </c>
      <c r="L298" s="550">
        <f>'Sollecitazioni nel paramento'!$G$60*(sezione!$AM$28-C298)/C298</f>
        <v>1.94307282608518E-2</v>
      </c>
      <c r="M298" s="551">
        <f>'Sollecitazioni nel paramento'!$G$60*(sezione!$AN$28-C298)/C298</f>
        <v>2.7074304347802402E-2</v>
      </c>
      <c r="N298" s="551">
        <f>'Sollecitazioni nel paramento'!$G$60*(sezione!$AO$28-C298)/C298</f>
        <v>5.76486086956048E-2</v>
      </c>
      <c r="O298" s="551">
        <f>'Sollecitazioni nel paramento'!$G$60*(sezione!$AP$28-C298)/C298</f>
        <v>9.6168403381654277E-2</v>
      </c>
      <c r="P298" s="545">
        <f>-'Sollecitazioni nel paramento'!$G$47*'Sollecitazioni nel paramento'!$G$41*IF(DATI!$G$211="dx",DATI!$E$61,DATI!$E$64*DATI!$E$63)*1000*C298*sezione!$AD$5</f>
        <v>-348892.97491953324</v>
      </c>
      <c r="Q298" s="545">
        <f>'Foglio deposito bis'!$F$48*IF(ABS(K298)&lt;'Sollecitazioni nel paramento'!$G$58,ABS(K298)*'Sollecitazioni nel paramento'!$G$54,'Sollecitazioni nel paramento'!$G$53)*IF(K298&lt;0,-1,1)</f>
        <v>0</v>
      </c>
      <c r="R298" s="545">
        <f>'Foglio deposito bis'!$F$49*IF(ABS(L298)&lt;'Sollecitazioni nel paramento'!$G$58,ABS(L298)*'Sollecitazioni nel paramento'!$G$54,'Sollecitazioni nel paramento'!$G$53)*IF(L298&lt;0,-1,1)</f>
        <v>204886.47740803001</v>
      </c>
      <c r="S298" s="545">
        <f>'Foglio deposito bis'!$F$50*IF(ABS(M298)&lt;'Sollecitazioni nel paramento'!$G$58,ABS(M298)*'Sollecitazioni nel paramento'!$G$54,'Sollecitazioni nel paramento'!$G$53)*IF(M298&lt;0,-1,1)</f>
        <v>0</v>
      </c>
      <c r="T298" s="545">
        <f>'Foglio deposito bis'!$F$51*IF(ABS(N298)&lt;'Sollecitazioni nel paramento'!$G$58,ABS(N298)*'Sollecitazioni nel paramento'!$G$54,'Sollecitazioni nel paramento'!$G$53)*IF(N298&lt;0,-1,1)</f>
        <v>240946.49743184328</v>
      </c>
      <c r="U298" s="545">
        <f>'Foglio deposito bis'!$F$52*IF(ABS(O298)&lt;'Sollecitazioni nel paramento'!$G$58,ABS(O298)*'Sollecitazioni nel paramento'!$G$54,'Sollecitazioni nel paramento'!$G$53)*IF(O298&lt;0,-1,1)</f>
        <v>240946.49743184328</v>
      </c>
      <c r="V298" s="472">
        <f t="shared" si="23"/>
        <v>337886.49735218333</v>
      </c>
      <c r="W298" s="551"/>
      <c r="X298" s="551"/>
    </row>
    <row r="299" spans="1:24" x14ac:dyDescent="0.25">
      <c r="A299" s="545">
        <f t="shared" si="22"/>
        <v>330133.32013174932</v>
      </c>
      <c r="B299" s="3">
        <f t="shared" si="24"/>
        <v>2.2999999999999998</v>
      </c>
      <c r="C299" s="545">
        <f>'Foglio deposito bis'!$E$154/sezione!$B$247*B299</f>
        <v>9.3615285229799543</v>
      </c>
      <c r="D299" s="603">
        <f>-'Sollecitazioni nel paramento'!$G$47*'Sollecitazioni nel paramento'!$G$41*IF(DATI!$G$211="dx",DATI!$E$61,DATI!$E$64*DATI!$E$63)*1000*C299^2*sezione!$AD$5*(1-sezione!$AD$6)</f>
        <v>-1949831.8255077014</v>
      </c>
      <c r="E299" s="545">
        <f>-'Foglio deposito bis'!$F$48*(C299-sezione!$AL$28)*IF(ABS(K299)&lt;'Sollecitazioni nel paramento'!$G$58,ABS(K299)*'Sollecitazioni nel paramento'!$G$54,'Sollecitazioni nel paramento'!$G$53)</f>
        <v>0</v>
      </c>
      <c r="F299" s="545">
        <f>-'Foglio deposito bis'!$F$49*(C299-sezione!$AM$28)*IF(ABS(L299)&lt;'Sollecitazioni nel paramento'!$G$58,ABS(L299)*'Sollecitazioni nel paramento'!$G$54,'Sollecitazioni nel paramento'!$G$53)</f>
        <v>10375138.04225364</v>
      </c>
      <c r="G299" s="545">
        <f>-'Foglio deposito bis'!$F$50*(C299-sezione!$AN$28)*IF(ABS(M299)&lt;'Sollecitazioni nel paramento'!$G$58,ABS(M299)*'Sollecitazioni nel paramento'!$G$54,'Sollecitazioni nel paramento'!$G$53)</f>
        <v>0</v>
      </c>
      <c r="H299" s="545">
        <f>-'Foglio deposito bis'!$F$51*(C299-sezione!$AO$28)*IF(ABS(N299)&lt;'Sollecitazioni nel paramento'!$G$58,ABS(N299)*'Sollecitazioni nel paramento'!$G$54,'Sollecitazioni nel paramento'!$G$53)</f>
        <v>36295812.080874607</v>
      </c>
      <c r="I299" s="472">
        <f>-'Foglio deposito bis'!$F$52*(C299-sezione!$AP$28)*IF(ABS(O299)&lt;'Sollecitazioni nel paramento'!$G$58,ABS(O299)*'Sollecitazioni nel paramento'!$G$54,'Sollecitazioni nel paramento'!$G$53)</f>
        <v>60580805.141236961</v>
      </c>
      <c r="J299" s="472">
        <f t="shared" si="21"/>
        <v>105301923.43885751</v>
      </c>
      <c r="K299" s="550">
        <f>'Sollecitazioni nel paramento'!$G$60*(sezione!$AL$28-C299)/C299</f>
        <v>1.1454822778816393E-2</v>
      </c>
      <c r="L299" s="550">
        <f>'Sollecitazioni nel paramento'!$G$60*(sezione!$AM$28-C299)/C299</f>
        <v>1.893223416822459E-2</v>
      </c>
      <c r="M299" s="551">
        <f>'Sollecitazioni nel paramento'!$G$60*(sezione!$AN$28-C299)/C299</f>
        <v>2.6409645557632786E-2</v>
      </c>
      <c r="N299" s="551">
        <f>'Sollecitazioni nel paramento'!$G$60*(sezione!$AO$28-C299)/C299</f>
        <v>5.6319291115265568E-2</v>
      </c>
      <c r="O299" s="551">
        <f>'Sollecitazioni nel paramento'!$G$60*(sezione!$AP$28-C299)/C299</f>
        <v>9.4001698960313976E-2</v>
      </c>
      <c r="P299" s="545">
        <f>-'Sollecitazioni nel paramento'!$G$47*'Sollecitazioni nel paramento'!$G$41*IF(DATI!$G$211="dx",DATI!$E$61,DATI!$E$64*DATI!$E$63)*1000*C299*sezione!$AD$5</f>
        <v>-356646.15213996725</v>
      </c>
      <c r="Q299" s="545">
        <f>'Foglio deposito bis'!$F$48*IF(ABS(K299)&lt;'Sollecitazioni nel paramento'!$G$58,ABS(K299)*'Sollecitazioni nel paramento'!$G$54,'Sollecitazioni nel paramento'!$G$53)*IF(K299&lt;0,-1,1)</f>
        <v>0</v>
      </c>
      <c r="R299" s="545">
        <f>'Foglio deposito bis'!$F$49*IF(ABS(L299)&lt;'Sollecitazioni nel paramento'!$G$58,ABS(L299)*'Sollecitazioni nel paramento'!$G$54,'Sollecitazioni nel paramento'!$G$53)*IF(L299&lt;0,-1,1)</f>
        <v>204886.47740803001</v>
      </c>
      <c r="S299" s="545">
        <f>'Foglio deposito bis'!$F$50*IF(ABS(M299)&lt;'Sollecitazioni nel paramento'!$G$58,ABS(M299)*'Sollecitazioni nel paramento'!$G$54,'Sollecitazioni nel paramento'!$G$53)*IF(M299&lt;0,-1,1)</f>
        <v>0</v>
      </c>
      <c r="T299" s="545">
        <f>'Foglio deposito bis'!$F$51*IF(ABS(N299)&lt;'Sollecitazioni nel paramento'!$G$58,ABS(N299)*'Sollecitazioni nel paramento'!$G$54,'Sollecitazioni nel paramento'!$G$53)*IF(N299&lt;0,-1,1)</f>
        <v>240946.49743184328</v>
      </c>
      <c r="U299" s="545">
        <f>'Foglio deposito bis'!$F$52*IF(ABS(O299)&lt;'Sollecitazioni nel paramento'!$G$58,ABS(O299)*'Sollecitazioni nel paramento'!$G$54,'Sollecitazioni nel paramento'!$G$53)*IF(O299&lt;0,-1,1)</f>
        <v>240946.49743184328</v>
      </c>
      <c r="V299" s="472">
        <f t="shared" si="23"/>
        <v>330133.32013174932</v>
      </c>
      <c r="W299" s="551"/>
      <c r="X299" s="551"/>
    </row>
    <row r="300" spans="1:24" x14ac:dyDescent="0.25">
      <c r="A300" s="545">
        <f t="shared" si="22"/>
        <v>322380.14291131526</v>
      </c>
      <c r="B300" s="3">
        <f t="shared" si="24"/>
        <v>2.3499999999999996</v>
      </c>
      <c r="C300" s="545">
        <f>'Foglio deposito bis'!$E$154/sezione!$B$247*B300</f>
        <v>9.5650400126099537</v>
      </c>
      <c r="D300" s="603">
        <f>-'Sollecitazioni nel paramento'!$G$47*'Sollecitazioni nel paramento'!$G$41*IF(DATI!$G$211="dx",DATI!$E$61,DATI!$E$64*DATI!$E$63)*1000*C300^2*sezione!$AD$5*(1-sezione!$AD$6)</f>
        <v>-2035528.5928858761</v>
      </c>
      <c r="E300" s="545">
        <f>-'Foglio deposito bis'!$F$48*(C300-sezione!$AL$28)*IF(ABS(K300)&lt;'Sollecitazioni nel paramento'!$G$58,ABS(K300)*'Sollecitazioni nel paramento'!$G$54,'Sollecitazioni nel paramento'!$G$53)</f>
        <v>0</v>
      </c>
      <c r="F300" s="545">
        <f>-'Foglio deposito bis'!$F$49*(C300-sezione!$AM$28)*IF(ABS(L300)&lt;'Sollecitazioni nel paramento'!$G$58,ABS(L300)*'Sollecitazioni nel paramento'!$G$54,'Sollecitazioni nel paramento'!$G$53)</f>
        <v>10333441.290031288</v>
      </c>
      <c r="G300" s="545">
        <f>-'Foglio deposito bis'!$F$50*(C300-sezione!$AN$28)*IF(ABS(M300)&lt;'Sollecitazioni nel paramento'!$G$58,ABS(M300)*'Sollecitazioni nel paramento'!$G$54,'Sollecitazioni nel paramento'!$G$53)</f>
        <v>0</v>
      </c>
      <c r="H300" s="545">
        <f>-'Foglio deposito bis'!$F$51*(C300-sezione!$AO$28)*IF(ABS(N300)&lt;'Sollecitazioni nel paramento'!$G$58,ABS(N300)*'Sollecitazioni nel paramento'!$G$54,'Sollecitazioni nel paramento'!$G$53)</f>
        <v>36246776.700261116</v>
      </c>
      <c r="I300" s="472">
        <f>-'Foglio deposito bis'!$F$52*(C300-sezione!$AP$28)*IF(ABS(O300)&lt;'Sollecitazioni nel paramento'!$G$58,ABS(O300)*'Sollecitazioni nel paramento'!$G$54,'Sollecitazioni nel paramento'!$G$53)</f>
        <v>60531769.760623485</v>
      </c>
      <c r="J300" s="472">
        <f t="shared" si="21"/>
        <v>105076459.15803</v>
      </c>
      <c r="K300" s="550">
        <f>'Sollecitazioni nel paramento'!$G$60*(sezione!$AL$28-C300)/C300</f>
        <v>1.1136635060118171E-2</v>
      </c>
      <c r="L300" s="550">
        <f>'Sollecitazioni nel paramento'!$G$60*(sezione!$AM$28-C300)/C300</f>
        <v>1.8454952590177254E-2</v>
      </c>
      <c r="M300" s="551">
        <f>'Sollecitazioni nel paramento'!$G$60*(sezione!$AN$28-C300)/C300</f>
        <v>2.5773270120236343E-2</v>
      </c>
      <c r="N300" s="551">
        <f>'Sollecitazioni nel paramento'!$G$60*(sezione!$AO$28-C300)/C300</f>
        <v>5.5046540240472681E-2</v>
      </c>
      <c r="O300" s="551">
        <f>'Sollecitazioni nel paramento'!$G$60*(sezione!$AP$28-C300)/C300</f>
        <v>9.1927194727115802E-2</v>
      </c>
      <c r="P300" s="545">
        <f>-'Sollecitazioni nel paramento'!$G$47*'Sollecitazioni nel paramento'!$G$41*IF(DATI!$G$211="dx",DATI!$E$61,DATI!$E$64*DATI!$E$63)*1000*C300*sezione!$AD$5</f>
        <v>-364399.32936040132</v>
      </c>
      <c r="Q300" s="545">
        <f>'Foglio deposito bis'!$F$48*IF(ABS(K300)&lt;'Sollecitazioni nel paramento'!$G$58,ABS(K300)*'Sollecitazioni nel paramento'!$G$54,'Sollecitazioni nel paramento'!$G$53)*IF(K300&lt;0,-1,1)</f>
        <v>0</v>
      </c>
      <c r="R300" s="545">
        <f>'Foglio deposito bis'!$F$49*IF(ABS(L300)&lt;'Sollecitazioni nel paramento'!$G$58,ABS(L300)*'Sollecitazioni nel paramento'!$G$54,'Sollecitazioni nel paramento'!$G$53)*IF(L300&lt;0,-1,1)</f>
        <v>204886.47740803001</v>
      </c>
      <c r="S300" s="545">
        <f>'Foglio deposito bis'!$F$50*IF(ABS(M300)&lt;'Sollecitazioni nel paramento'!$G$58,ABS(M300)*'Sollecitazioni nel paramento'!$G$54,'Sollecitazioni nel paramento'!$G$53)*IF(M300&lt;0,-1,1)</f>
        <v>0</v>
      </c>
      <c r="T300" s="545">
        <f>'Foglio deposito bis'!$F$51*IF(ABS(N300)&lt;'Sollecitazioni nel paramento'!$G$58,ABS(N300)*'Sollecitazioni nel paramento'!$G$54,'Sollecitazioni nel paramento'!$G$53)*IF(N300&lt;0,-1,1)</f>
        <v>240946.49743184328</v>
      </c>
      <c r="U300" s="545">
        <f>'Foglio deposito bis'!$F$52*IF(ABS(O300)&lt;'Sollecitazioni nel paramento'!$G$58,ABS(O300)*'Sollecitazioni nel paramento'!$G$54,'Sollecitazioni nel paramento'!$G$53)*IF(O300&lt;0,-1,1)</f>
        <v>240946.49743184328</v>
      </c>
      <c r="V300" s="472">
        <f t="shared" si="23"/>
        <v>322380.14291131526</v>
      </c>
      <c r="W300" s="551"/>
      <c r="X300" s="551"/>
    </row>
    <row r="301" spans="1:24" x14ac:dyDescent="0.25">
      <c r="A301" s="545">
        <f t="shared" si="22"/>
        <v>314626.96569088125</v>
      </c>
      <c r="B301" s="3">
        <f t="shared" si="24"/>
        <v>2.3999999999999995</v>
      </c>
      <c r="C301" s="545">
        <f>'Foglio deposito bis'!$E$154/sezione!$B$247*B301</f>
        <v>9.7685515022399514</v>
      </c>
      <c r="D301" s="603">
        <f>-'Sollecitazioni nel paramento'!$G$47*'Sollecitazioni nel paramento'!$G$41*IF(DATI!$G$211="dx",DATI!$E$61,DATI!$E$64*DATI!$E$63)*1000*C301^2*sezione!$AD$5*(1-sezione!$AD$6)</f>
        <v>-2123068.3014979884</v>
      </c>
      <c r="E301" s="545">
        <f>-'Foglio deposito bis'!$F$48*(C301-sezione!$AL$28)*IF(ABS(K301)&lt;'Sollecitazioni nel paramento'!$G$58,ABS(K301)*'Sollecitazioni nel paramento'!$G$54,'Sollecitazioni nel paramento'!$G$53)</f>
        <v>0</v>
      </c>
      <c r="F301" s="545">
        <f>-'Foglio deposito bis'!$F$49*(C301-sezione!$AM$28)*IF(ABS(L301)&lt;'Sollecitazioni nel paramento'!$G$58,ABS(L301)*'Sollecitazioni nel paramento'!$G$54,'Sollecitazioni nel paramento'!$G$53)</f>
        <v>10291744.537808938</v>
      </c>
      <c r="G301" s="545">
        <f>-'Foglio deposito bis'!$F$50*(C301-sezione!$AN$28)*IF(ABS(M301)&lt;'Sollecitazioni nel paramento'!$G$58,ABS(M301)*'Sollecitazioni nel paramento'!$G$54,'Sollecitazioni nel paramento'!$G$53)</f>
        <v>0</v>
      </c>
      <c r="H301" s="545">
        <f>-'Foglio deposito bis'!$F$51*(C301-sezione!$AO$28)*IF(ABS(N301)&lt;'Sollecitazioni nel paramento'!$G$58,ABS(N301)*'Sollecitazioni nel paramento'!$G$54,'Sollecitazioni nel paramento'!$G$53)</f>
        <v>36197741.31964764</v>
      </c>
      <c r="I301" s="472">
        <f>-'Foglio deposito bis'!$F$52*(C301-sezione!$AP$28)*IF(ABS(O301)&lt;'Sollecitazioni nel paramento'!$G$58,ABS(O301)*'Sollecitazioni nel paramento'!$G$54,'Sollecitazioni nel paramento'!$G$53)</f>
        <v>60482734.380010001</v>
      </c>
      <c r="J301" s="472">
        <f t="shared" si="21"/>
        <v>104849151.93596859</v>
      </c>
      <c r="K301" s="550">
        <f>'Sollecitazioni nel paramento'!$G$60*(sezione!$AL$28-C301)/C301</f>
        <v>1.0831705163032378E-2</v>
      </c>
      <c r="L301" s="550">
        <f>'Sollecitazioni nel paramento'!$G$60*(sezione!$AM$28-C301)/C301</f>
        <v>1.7997557744548566E-2</v>
      </c>
      <c r="M301" s="551">
        <f>'Sollecitazioni nel paramento'!$G$60*(sezione!$AN$28-C301)/C301</f>
        <v>2.5163410326064756E-2</v>
      </c>
      <c r="N301" s="551">
        <f>'Sollecitazioni nel paramento'!$G$60*(sezione!$AO$28-C301)/C301</f>
        <v>5.3826820652129508E-2</v>
      </c>
      <c r="O301" s="551">
        <f>'Sollecitazioni nel paramento'!$G$60*(sezione!$AP$28-C301)/C301</f>
        <v>8.9939128170300905E-2</v>
      </c>
      <c r="P301" s="545">
        <f>-'Sollecitazioni nel paramento'!$G$47*'Sollecitazioni nel paramento'!$G$41*IF(DATI!$G$211="dx",DATI!$E$61,DATI!$E$64*DATI!$E$63)*1000*C301*sezione!$AD$5</f>
        <v>-372152.50658083532</v>
      </c>
      <c r="Q301" s="545">
        <f>'Foglio deposito bis'!$F$48*IF(ABS(K301)&lt;'Sollecitazioni nel paramento'!$G$58,ABS(K301)*'Sollecitazioni nel paramento'!$G$54,'Sollecitazioni nel paramento'!$G$53)*IF(K301&lt;0,-1,1)</f>
        <v>0</v>
      </c>
      <c r="R301" s="545">
        <f>'Foglio deposito bis'!$F$49*IF(ABS(L301)&lt;'Sollecitazioni nel paramento'!$G$58,ABS(L301)*'Sollecitazioni nel paramento'!$G$54,'Sollecitazioni nel paramento'!$G$53)*IF(L301&lt;0,-1,1)</f>
        <v>204886.47740803001</v>
      </c>
      <c r="S301" s="545">
        <f>'Foglio deposito bis'!$F$50*IF(ABS(M301)&lt;'Sollecitazioni nel paramento'!$G$58,ABS(M301)*'Sollecitazioni nel paramento'!$G$54,'Sollecitazioni nel paramento'!$G$53)*IF(M301&lt;0,-1,1)</f>
        <v>0</v>
      </c>
      <c r="T301" s="545">
        <f>'Foglio deposito bis'!$F$51*IF(ABS(N301)&lt;'Sollecitazioni nel paramento'!$G$58,ABS(N301)*'Sollecitazioni nel paramento'!$G$54,'Sollecitazioni nel paramento'!$G$53)*IF(N301&lt;0,-1,1)</f>
        <v>240946.49743184328</v>
      </c>
      <c r="U301" s="545">
        <f>'Foglio deposito bis'!$F$52*IF(ABS(O301)&lt;'Sollecitazioni nel paramento'!$G$58,ABS(O301)*'Sollecitazioni nel paramento'!$G$54,'Sollecitazioni nel paramento'!$G$53)*IF(O301&lt;0,-1,1)</f>
        <v>240946.49743184328</v>
      </c>
      <c r="V301" s="472">
        <f t="shared" si="23"/>
        <v>314626.96569088125</v>
      </c>
      <c r="W301" s="551"/>
      <c r="X301" s="551"/>
    </row>
    <row r="302" spans="1:24" x14ac:dyDescent="0.25">
      <c r="A302" s="545">
        <f t="shared" si="22"/>
        <v>306873.78847044718</v>
      </c>
      <c r="B302" s="3">
        <f t="shared" si="24"/>
        <v>2.4499999999999993</v>
      </c>
      <c r="C302" s="545">
        <f>'Foglio deposito bis'!$E$154/sezione!$B$247*B302</f>
        <v>9.972062991869949</v>
      </c>
      <c r="D302" s="603">
        <f>-'Sollecitazioni nel paramento'!$G$47*'Sollecitazioni nel paramento'!$G$41*IF(DATI!$G$211="dx",DATI!$E$61,DATI!$E$64*DATI!$E$63)*1000*C302^2*sezione!$AD$5*(1-sezione!$AD$6)</f>
        <v>-2212450.9513440402</v>
      </c>
      <c r="E302" s="545">
        <f>-'Foglio deposito bis'!$F$48*(C302-sezione!$AL$28)*IF(ABS(K302)&lt;'Sollecitazioni nel paramento'!$G$58,ABS(K302)*'Sollecitazioni nel paramento'!$G$54,'Sollecitazioni nel paramento'!$G$53)</f>
        <v>0</v>
      </c>
      <c r="F302" s="545">
        <f>-'Foglio deposito bis'!$F$49*(C302-sezione!$AM$28)*IF(ABS(L302)&lt;'Sollecitazioni nel paramento'!$G$58,ABS(L302)*'Sollecitazioni nel paramento'!$G$54,'Sollecitazioni nel paramento'!$G$53)</f>
        <v>10250047.785586586</v>
      </c>
      <c r="G302" s="545">
        <f>-'Foglio deposito bis'!$F$50*(C302-sezione!$AN$28)*IF(ABS(M302)&lt;'Sollecitazioni nel paramento'!$G$58,ABS(M302)*'Sollecitazioni nel paramento'!$G$54,'Sollecitazioni nel paramento'!$G$53)</f>
        <v>0</v>
      </c>
      <c r="H302" s="545">
        <f>-'Foglio deposito bis'!$F$51*(C302-sezione!$AO$28)*IF(ABS(N302)&lt;'Sollecitazioni nel paramento'!$G$58,ABS(N302)*'Sollecitazioni nel paramento'!$G$54,'Sollecitazioni nel paramento'!$G$53)</f>
        <v>36148705.939034149</v>
      </c>
      <c r="I302" s="472">
        <f>-'Foglio deposito bis'!$F$52*(C302-sezione!$AP$28)*IF(ABS(O302)&lt;'Sollecitazioni nel paramento'!$G$58,ABS(O302)*'Sollecitazioni nel paramento'!$G$54,'Sollecitazioni nel paramento'!$G$53)</f>
        <v>60433698.99939651</v>
      </c>
      <c r="J302" s="472">
        <f t="shared" si="21"/>
        <v>104620001.7726732</v>
      </c>
      <c r="K302" s="550">
        <f>'Sollecitazioni nel paramento'!$G$60*(sezione!$AL$28-C302)/C302</f>
        <v>1.0539221384194985E-2</v>
      </c>
      <c r="L302" s="550">
        <f>'Sollecitazioni nel paramento'!$G$60*(sezione!$AM$28-C302)/C302</f>
        <v>1.7558832076292476E-2</v>
      </c>
      <c r="M302" s="551">
        <f>'Sollecitazioni nel paramento'!$G$60*(sezione!$AN$28-C302)/C302</f>
        <v>2.4578442768389969E-2</v>
      </c>
      <c r="N302" s="551">
        <f>'Sollecitazioni nel paramento'!$G$60*(sezione!$AO$28-C302)/C302</f>
        <v>5.2656885536779933E-2</v>
      </c>
      <c r="O302" s="551">
        <f>'Sollecitazioni nel paramento'!$G$60*(sezione!$AP$28-C302)/C302</f>
        <v>8.8032207187233549E-2</v>
      </c>
      <c r="P302" s="545">
        <f>-'Sollecitazioni nel paramento'!$G$47*'Sollecitazioni nel paramento'!$G$41*IF(DATI!$G$211="dx",DATI!$E$61,DATI!$E$64*DATI!$E$63)*1000*C302*sezione!$AD$5</f>
        <v>-379905.68380126939</v>
      </c>
      <c r="Q302" s="545">
        <f>'Foglio deposito bis'!$F$48*IF(ABS(K302)&lt;'Sollecitazioni nel paramento'!$G$58,ABS(K302)*'Sollecitazioni nel paramento'!$G$54,'Sollecitazioni nel paramento'!$G$53)*IF(K302&lt;0,-1,1)</f>
        <v>0</v>
      </c>
      <c r="R302" s="545">
        <f>'Foglio deposito bis'!$F$49*IF(ABS(L302)&lt;'Sollecitazioni nel paramento'!$G$58,ABS(L302)*'Sollecitazioni nel paramento'!$G$54,'Sollecitazioni nel paramento'!$G$53)*IF(L302&lt;0,-1,1)</f>
        <v>204886.47740803001</v>
      </c>
      <c r="S302" s="545">
        <f>'Foglio deposito bis'!$F$50*IF(ABS(M302)&lt;'Sollecitazioni nel paramento'!$G$58,ABS(M302)*'Sollecitazioni nel paramento'!$G$54,'Sollecitazioni nel paramento'!$G$53)*IF(M302&lt;0,-1,1)</f>
        <v>0</v>
      </c>
      <c r="T302" s="545">
        <f>'Foglio deposito bis'!$F$51*IF(ABS(N302)&lt;'Sollecitazioni nel paramento'!$G$58,ABS(N302)*'Sollecitazioni nel paramento'!$G$54,'Sollecitazioni nel paramento'!$G$53)*IF(N302&lt;0,-1,1)</f>
        <v>240946.49743184328</v>
      </c>
      <c r="U302" s="545">
        <f>'Foglio deposito bis'!$F$52*IF(ABS(O302)&lt;'Sollecitazioni nel paramento'!$G$58,ABS(O302)*'Sollecitazioni nel paramento'!$G$54,'Sollecitazioni nel paramento'!$G$53)*IF(O302&lt;0,-1,1)</f>
        <v>240946.49743184328</v>
      </c>
      <c r="V302" s="472">
        <f t="shared" si="23"/>
        <v>306873.78847044718</v>
      </c>
      <c r="W302" s="551"/>
      <c r="X302" s="551"/>
    </row>
    <row r="303" spans="1:24" x14ac:dyDescent="0.25">
      <c r="A303" s="545">
        <f t="shared" si="22"/>
        <v>299120.61125001311</v>
      </c>
      <c r="B303" s="3">
        <f t="shared" si="24"/>
        <v>2.4999999999999991</v>
      </c>
      <c r="C303" s="545">
        <f>'Foglio deposito bis'!$E$154/sezione!$B$247*B303</f>
        <v>10.175574481499948</v>
      </c>
      <c r="D303" s="603">
        <f>-'Sollecitazioni nel paramento'!$G$47*'Sollecitazioni nel paramento'!$G$41*IF(DATI!$G$211="dx",DATI!$E$61,DATI!$E$64*DATI!$E$63)*1000*C303^2*sezione!$AD$5*(1-sezione!$AD$6)</f>
        <v>-2303676.5424240325</v>
      </c>
      <c r="E303" s="545">
        <f>-'Foglio deposito bis'!$F$48*(C303-sezione!$AL$28)*IF(ABS(K303)&lt;'Sollecitazioni nel paramento'!$G$58,ABS(K303)*'Sollecitazioni nel paramento'!$G$54,'Sollecitazioni nel paramento'!$G$53)</f>
        <v>0</v>
      </c>
      <c r="F303" s="545">
        <f>-'Foglio deposito bis'!$F$49*(C303-sezione!$AM$28)*IF(ABS(L303)&lt;'Sollecitazioni nel paramento'!$G$58,ABS(L303)*'Sollecitazioni nel paramento'!$G$54,'Sollecitazioni nel paramento'!$G$53)</f>
        <v>10208351.033364234</v>
      </c>
      <c r="G303" s="545">
        <f>-'Foglio deposito bis'!$F$50*(C303-sezione!$AN$28)*IF(ABS(M303)&lt;'Sollecitazioni nel paramento'!$G$58,ABS(M303)*'Sollecitazioni nel paramento'!$G$54,'Sollecitazioni nel paramento'!$G$53)</f>
        <v>0</v>
      </c>
      <c r="H303" s="545">
        <f>-'Foglio deposito bis'!$F$51*(C303-sezione!$AO$28)*IF(ABS(N303)&lt;'Sollecitazioni nel paramento'!$G$58,ABS(N303)*'Sollecitazioni nel paramento'!$G$54,'Sollecitazioni nel paramento'!$G$53)</f>
        <v>36099670.558420666</v>
      </c>
      <c r="I303" s="472">
        <f>-'Foglio deposito bis'!$F$52*(C303-sezione!$AP$28)*IF(ABS(O303)&lt;'Sollecitazioni nel paramento'!$G$58,ABS(O303)*'Sollecitazioni nel paramento'!$G$54,'Sollecitazioni nel paramento'!$G$53)</f>
        <v>60384663.618783034</v>
      </c>
      <c r="J303" s="472">
        <f t="shared" si="21"/>
        <v>104389008.6681439</v>
      </c>
      <c r="K303" s="550">
        <f>'Sollecitazioni nel paramento'!$G$60*(sezione!$AL$28-C303)/C303</f>
        <v>1.0258436956511083E-2</v>
      </c>
      <c r="L303" s="550">
        <f>'Sollecitazioni nel paramento'!$G$60*(sezione!$AM$28-C303)/C303</f>
        <v>1.7137655434766624E-2</v>
      </c>
      <c r="M303" s="551">
        <f>'Sollecitazioni nel paramento'!$G$60*(sezione!$AN$28-C303)/C303</f>
        <v>2.4016873913022166E-2</v>
      </c>
      <c r="N303" s="551">
        <f>'Sollecitazioni nel paramento'!$G$60*(sezione!$AO$28-C303)/C303</f>
        <v>5.1533747826044335E-2</v>
      </c>
      <c r="O303" s="551">
        <f>'Sollecitazioni nel paramento'!$G$60*(sezione!$AP$28-C303)/C303</f>
        <v>8.6201563043488888E-2</v>
      </c>
      <c r="P303" s="545">
        <f>-'Sollecitazioni nel paramento'!$G$47*'Sollecitazioni nel paramento'!$G$41*IF(DATI!$G$211="dx",DATI!$E$61,DATI!$E$64*DATI!$E$63)*1000*C303*sezione!$AD$5</f>
        <v>-387658.86102170346</v>
      </c>
      <c r="Q303" s="545">
        <f>'Foglio deposito bis'!$F$48*IF(ABS(K303)&lt;'Sollecitazioni nel paramento'!$G$58,ABS(K303)*'Sollecitazioni nel paramento'!$G$54,'Sollecitazioni nel paramento'!$G$53)*IF(K303&lt;0,-1,1)</f>
        <v>0</v>
      </c>
      <c r="R303" s="545">
        <f>'Foglio deposito bis'!$F$49*IF(ABS(L303)&lt;'Sollecitazioni nel paramento'!$G$58,ABS(L303)*'Sollecitazioni nel paramento'!$G$54,'Sollecitazioni nel paramento'!$G$53)*IF(L303&lt;0,-1,1)</f>
        <v>204886.47740803001</v>
      </c>
      <c r="S303" s="545">
        <f>'Foglio deposito bis'!$F$50*IF(ABS(M303)&lt;'Sollecitazioni nel paramento'!$G$58,ABS(M303)*'Sollecitazioni nel paramento'!$G$54,'Sollecitazioni nel paramento'!$G$53)*IF(M303&lt;0,-1,1)</f>
        <v>0</v>
      </c>
      <c r="T303" s="545">
        <f>'Foglio deposito bis'!$F$51*IF(ABS(N303)&lt;'Sollecitazioni nel paramento'!$G$58,ABS(N303)*'Sollecitazioni nel paramento'!$G$54,'Sollecitazioni nel paramento'!$G$53)*IF(N303&lt;0,-1,1)</f>
        <v>240946.49743184328</v>
      </c>
      <c r="U303" s="545">
        <f>'Foglio deposito bis'!$F$52*IF(ABS(O303)&lt;'Sollecitazioni nel paramento'!$G$58,ABS(O303)*'Sollecitazioni nel paramento'!$G$54,'Sollecitazioni nel paramento'!$G$53)*IF(O303&lt;0,-1,1)</f>
        <v>240946.49743184328</v>
      </c>
      <c r="V303" s="472">
        <f t="shared" si="23"/>
        <v>299120.61125001311</v>
      </c>
      <c r="W303" s="551"/>
      <c r="X303" s="551"/>
    </row>
    <row r="304" spans="1:24" x14ac:dyDescent="0.25">
      <c r="A304" s="545">
        <f t="shared" si="22"/>
        <v>291367.4340295791</v>
      </c>
      <c r="B304" s="3">
        <f t="shared" si="24"/>
        <v>2.5499999999999989</v>
      </c>
      <c r="C304" s="545">
        <f>'Foglio deposito bis'!$E$154/sezione!$B$247*B304</f>
        <v>10.379085971129946</v>
      </c>
      <c r="D304" s="603">
        <f>-'Sollecitazioni nel paramento'!$G$47*'Sollecitazioni nel paramento'!$G$41*IF(DATI!$G$211="dx",DATI!$E$61,DATI!$E$64*DATI!$E$63)*1000*C304^2*sezione!$AD$5*(1-sezione!$AD$6)</f>
        <v>-2396745.0747379628</v>
      </c>
      <c r="E304" s="545">
        <f>-'Foglio deposito bis'!$F$48*(C304-sezione!$AL$28)*IF(ABS(K304)&lt;'Sollecitazioni nel paramento'!$G$58,ABS(K304)*'Sollecitazioni nel paramento'!$G$54,'Sollecitazioni nel paramento'!$G$53)</f>
        <v>0</v>
      </c>
      <c r="F304" s="545">
        <f>-'Foglio deposito bis'!$F$49*(C304-sezione!$AM$28)*IF(ABS(L304)&lt;'Sollecitazioni nel paramento'!$G$58,ABS(L304)*'Sollecitazioni nel paramento'!$G$54,'Sollecitazioni nel paramento'!$G$53)</f>
        <v>10166654.281141883</v>
      </c>
      <c r="G304" s="545">
        <f>-'Foglio deposito bis'!$F$50*(C304-sezione!$AN$28)*IF(ABS(M304)&lt;'Sollecitazioni nel paramento'!$G$58,ABS(M304)*'Sollecitazioni nel paramento'!$G$54,'Sollecitazioni nel paramento'!$G$53)</f>
        <v>0</v>
      </c>
      <c r="H304" s="545">
        <f>-'Foglio deposito bis'!$F$51*(C304-sezione!$AO$28)*IF(ABS(N304)&lt;'Sollecitazioni nel paramento'!$G$58,ABS(N304)*'Sollecitazioni nel paramento'!$G$54,'Sollecitazioni nel paramento'!$G$53)</f>
        <v>36050635.177807182</v>
      </c>
      <c r="I304" s="472">
        <f>-'Foglio deposito bis'!$F$52*(C304-sezione!$AP$28)*IF(ABS(O304)&lt;'Sollecitazioni nel paramento'!$G$58,ABS(O304)*'Sollecitazioni nel paramento'!$G$54,'Sollecitazioni nel paramento'!$G$53)</f>
        <v>60335628.238169536</v>
      </c>
      <c r="J304" s="472">
        <f t="shared" si="21"/>
        <v>104156172.62238064</v>
      </c>
      <c r="K304" s="550">
        <f>'Sollecitazioni nel paramento'!$G$60*(sezione!$AL$28-C304)/C304</f>
        <v>9.988663682854006E-3</v>
      </c>
      <c r="L304" s="550">
        <f>'Sollecitazioni nel paramento'!$G$60*(sezione!$AM$28-C304)/C304</f>
        <v>1.6732995524281008E-2</v>
      </c>
      <c r="M304" s="551">
        <f>'Sollecitazioni nel paramento'!$G$60*(sezione!$AN$28-C304)/C304</f>
        <v>2.3477327365708012E-2</v>
      </c>
      <c r="N304" s="551">
        <f>'Sollecitazioni nel paramento'!$G$60*(sezione!$AO$28-C304)/C304</f>
        <v>5.0454654731416027E-2</v>
      </c>
      <c r="O304" s="551">
        <f>'Sollecitazioni nel paramento'!$G$60*(sezione!$AP$28-C304)/C304</f>
        <v>8.4442708866165575E-2</v>
      </c>
      <c r="P304" s="545">
        <f>-'Sollecitazioni nel paramento'!$G$47*'Sollecitazioni nel paramento'!$G$41*IF(DATI!$G$211="dx",DATI!$E$61,DATI!$E$64*DATI!$E$63)*1000*C304*sezione!$AD$5</f>
        <v>-395412.03824213747</v>
      </c>
      <c r="Q304" s="545">
        <f>'Foglio deposito bis'!$F$48*IF(ABS(K304)&lt;'Sollecitazioni nel paramento'!$G$58,ABS(K304)*'Sollecitazioni nel paramento'!$G$54,'Sollecitazioni nel paramento'!$G$53)*IF(K304&lt;0,-1,1)</f>
        <v>0</v>
      </c>
      <c r="R304" s="545">
        <f>'Foglio deposito bis'!$F$49*IF(ABS(L304)&lt;'Sollecitazioni nel paramento'!$G$58,ABS(L304)*'Sollecitazioni nel paramento'!$G$54,'Sollecitazioni nel paramento'!$G$53)*IF(L304&lt;0,-1,1)</f>
        <v>204886.47740803001</v>
      </c>
      <c r="S304" s="545">
        <f>'Foglio deposito bis'!$F$50*IF(ABS(M304)&lt;'Sollecitazioni nel paramento'!$G$58,ABS(M304)*'Sollecitazioni nel paramento'!$G$54,'Sollecitazioni nel paramento'!$G$53)*IF(M304&lt;0,-1,1)</f>
        <v>0</v>
      </c>
      <c r="T304" s="545">
        <f>'Foglio deposito bis'!$F$51*IF(ABS(N304)&lt;'Sollecitazioni nel paramento'!$G$58,ABS(N304)*'Sollecitazioni nel paramento'!$G$54,'Sollecitazioni nel paramento'!$G$53)*IF(N304&lt;0,-1,1)</f>
        <v>240946.49743184328</v>
      </c>
      <c r="U304" s="545">
        <f>'Foglio deposito bis'!$F$52*IF(ABS(O304)&lt;'Sollecitazioni nel paramento'!$G$58,ABS(O304)*'Sollecitazioni nel paramento'!$G$54,'Sollecitazioni nel paramento'!$G$53)*IF(O304&lt;0,-1,1)</f>
        <v>240946.49743184328</v>
      </c>
      <c r="V304" s="472">
        <f t="shared" si="23"/>
        <v>291367.4340295791</v>
      </c>
      <c r="W304" s="551"/>
      <c r="X304" s="551"/>
    </row>
    <row r="305" spans="1:24" x14ac:dyDescent="0.25">
      <c r="A305" s="545">
        <f t="shared" si="22"/>
        <v>283614.2568091451</v>
      </c>
      <c r="B305" s="3">
        <f t="shared" si="24"/>
        <v>2.5999999999999988</v>
      </c>
      <c r="C305" s="545">
        <f>'Foglio deposito bis'!$E$154/sezione!$B$247*B305</f>
        <v>10.582597460759944</v>
      </c>
      <c r="D305" s="603">
        <f>-'Sollecitazioni nel paramento'!$G$47*'Sollecitazioni nel paramento'!$G$41*IF(DATI!$G$211="dx",DATI!$E$61,DATI!$E$64*DATI!$E$63)*1000*C305^2*sezione!$AD$5*(1-sezione!$AD$6)</f>
        <v>-2491656.5482858322</v>
      </c>
      <c r="E305" s="545">
        <f>-'Foglio deposito bis'!$F$48*(C305-sezione!$AL$28)*IF(ABS(K305)&lt;'Sollecitazioni nel paramento'!$G$58,ABS(K305)*'Sollecitazioni nel paramento'!$G$54,'Sollecitazioni nel paramento'!$G$53)</f>
        <v>0</v>
      </c>
      <c r="F305" s="545">
        <f>-'Foglio deposito bis'!$F$49*(C305-sezione!$AM$28)*IF(ABS(L305)&lt;'Sollecitazioni nel paramento'!$G$58,ABS(L305)*'Sollecitazioni nel paramento'!$G$54,'Sollecitazioni nel paramento'!$G$53)</f>
        <v>10124957.528919533</v>
      </c>
      <c r="G305" s="545">
        <f>-'Foglio deposito bis'!$F$50*(C305-sezione!$AN$28)*IF(ABS(M305)&lt;'Sollecitazioni nel paramento'!$G$58,ABS(M305)*'Sollecitazioni nel paramento'!$G$54,'Sollecitazioni nel paramento'!$G$53)</f>
        <v>0</v>
      </c>
      <c r="H305" s="545">
        <f>-'Foglio deposito bis'!$F$51*(C305-sezione!$AO$28)*IF(ABS(N305)&lt;'Sollecitazioni nel paramento'!$G$58,ABS(N305)*'Sollecitazioni nel paramento'!$G$54,'Sollecitazioni nel paramento'!$G$53)</f>
        <v>36001599.797193691</v>
      </c>
      <c r="I305" s="472">
        <f>-'Foglio deposito bis'!$F$52*(C305-sezione!$AP$28)*IF(ABS(O305)&lt;'Sollecitazioni nel paramento'!$G$58,ABS(O305)*'Sollecitazioni nel paramento'!$G$54,'Sollecitazioni nel paramento'!$G$53)</f>
        <v>60286592.85755606</v>
      </c>
      <c r="J305" s="472">
        <f t="shared" si="21"/>
        <v>103921493.63538346</v>
      </c>
      <c r="K305" s="550">
        <f>'Sollecitazioni nel paramento'!$G$60*(sezione!$AL$28-C305)/C305</f>
        <v>9.729266304337585E-3</v>
      </c>
      <c r="L305" s="550">
        <f>'Sollecitazioni nel paramento'!$G$60*(sezione!$AM$28-C305)/C305</f>
        <v>1.6343899456506376E-2</v>
      </c>
      <c r="M305" s="551">
        <f>'Sollecitazioni nel paramento'!$G$60*(sezione!$AN$28-C305)/C305</f>
        <v>2.295853260867517E-2</v>
      </c>
      <c r="N305" s="551">
        <f>'Sollecitazioni nel paramento'!$G$60*(sezione!$AO$28-C305)/C305</f>
        <v>4.9417065217350328E-2</v>
      </c>
      <c r="O305" s="551">
        <f>'Sollecitazioni nel paramento'!$G$60*(sezione!$AP$28-C305)/C305</f>
        <v>8.275150292643163E-2</v>
      </c>
      <c r="P305" s="545">
        <f>-'Sollecitazioni nel paramento'!$G$47*'Sollecitazioni nel paramento'!$G$41*IF(DATI!$G$211="dx",DATI!$E$61,DATI!$E$64*DATI!$E$63)*1000*C305*sezione!$AD$5</f>
        <v>-403165.21546257148</v>
      </c>
      <c r="Q305" s="545">
        <f>'Foglio deposito bis'!$F$48*IF(ABS(K305)&lt;'Sollecitazioni nel paramento'!$G$58,ABS(K305)*'Sollecitazioni nel paramento'!$G$54,'Sollecitazioni nel paramento'!$G$53)*IF(K305&lt;0,-1,1)</f>
        <v>0</v>
      </c>
      <c r="R305" s="545">
        <f>'Foglio deposito bis'!$F$49*IF(ABS(L305)&lt;'Sollecitazioni nel paramento'!$G$58,ABS(L305)*'Sollecitazioni nel paramento'!$G$54,'Sollecitazioni nel paramento'!$G$53)*IF(L305&lt;0,-1,1)</f>
        <v>204886.47740803001</v>
      </c>
      <c r="S305" s="545">
        <f>'Foglio deposito bis'!$F$50*IF(ABS(M305)&lt;'Sollecitazioni nel paramento'!$G$58,ABS(M305)*'Sollecitazioni nel paramento'!$G$54,'Sollecitazioni nel paramento'!$G$53)*IF(M305&lt;0,-1,1)</f>
        <v>0</v>
      </c>
      <c r="T305" s="545">
        <f>'Foglio deposito bis'!$F$51*IF(ABS(N305)&lt;'Sollecitazioni nel paramento'!$G$58,ABS(N305)*'Sollecitazioni nel paramento'!$G$54,'Sollecitazioni nel paramento'!$G$53)*IF(N305&lt;0,-1,1)</f>
        <v>240946.49743184328</v>
      </c>
      <c r="U305" s="545">
        <f>'Foglio deposito bis'!$F$52*IF(ABS(O305)&lt;'Sollecitazioni nel paramento'!$G$58,ABS(O305)*'Sollecitazioni nel paramento'!$G$54,'Sollecitazioni nel paramento'!$G$53)*IF(O305&lt;0,-1,1)</f>
        <v>240946.49743184328</v>
      </c>
      <c r="V305" s="472">
        <f t="shared" si="23"/>
        <v>283614.2568091451</v>
      </c>
      <c r="W305" s="551"/>
      <c r="X305" s="551"/>
    </row>
    <row r="306" spans="1:24" x14ac:dyDescent="0.25">
      <c r="A306" s="545">
        <f t="shared" si="22"/>
        <v>275861.07958871097</v>
      </c>
      <c r="B306" s="3">
        <f t="shared" si="24"/>
        <v>2.6499999999999986</v>
      </c>
      <c r="C306" s="545">
        <f>'Foglio deposito bis'!$E$154/sezione!$B$247*B306</f>
        <v>10.786108950389943</v>
      </c>
      <c r="D306" s="603">
        <f>-'Sollecitazioni nel paramento'!$G$47*'Sollecitazioni nel paramento'!$G$41*IF(DATI!$G$211="dx",DATI!$E$61,DATI!$E$64*DATI!$E$63)*1000*C306^2*sezione!$AD$5*(1-sezione!$AD$6)</f>
        <v>-2588410.9630676415</v>
      </c>
      <c r="E306" s="545">
        <f>-'Foglio deposito bis'!$F$48*(C306-sezione!$AL$28)*IF(ABS(K306)&lt;'Sollecitazioni nel paramento'!$G$58,ABS(K306)*'Sollecitazioni nel paramento'!$G$54,'Sollecitazioni nel paramento'!$G$53)</f>
        <v>0</v>
      </c>
      <c r="F306" s="545">
        <f>-'Foglio deposito bis'!$F$49*(C306-sezione!$AM$28)*IF(ABS(L306)&lt;'Sollecitazioni nel paramento'!$G$58,ABS(L306)*'Sollecitazioni nel paramento'!$G$54,'Sollecitazioni nel paramento'!$G$53)</f>
        <v>10083260.776697179</v>
      </c>
      <c r="G306" s="545">
        <f>-'Foglio deposito bis'!$F$50*(C306-sezione!$AN$28)*IF(ABS(M306)&lt;'Sollecitazioni nel paramento'!$G$58,ABS(M306)*'Sollecitazioni nel paramento'!$G$54,'Sollecitazioni nel paramento'!$G$53)</f>
        <v>0</v>
      </c>
      <c r="H306" s="545">
        <f>-'Foglio deposito bis'!$F$51*(C306-sezione!$AO$28)*IF(ABS(N306)&lt;'Sollecitazioni nel paramento'!$G$58,ABS(N306)*'Sollecitazioni nel paramento'!$G$54,'Sollecitazioni nel paramento'!$G$53)</f>
        <v>35952564.416580208</v>
      </c>
      <c r="I306" s="472">
        <f>-'Foglio deposito bis'!$F$52*(C306-sezione!$AP$28)*IF(ABS(O306)&lt;'Sollecitazioni nel paramento'!$G$58,ABS(O306)*'Sollecitazioni nel paramento'!$G$54,'Sollecitazioni nel paramento'!$G$53)</f>
        <v>60237557.476942569</v>
      </c>
      <c r="J306" s="472">
        <f t="shared" si="21"/>
        <v>103684971.70715231</v>
      </c>
      <c r="K306" s="550">
        <f>'Sollecitazioni nel paramento'!$G$60*(sezione!$AL$28-C306)/C306</f>
        <v>9.4796575061425331E-3</v>
      </c>
      <c r="L306" s="550">
        <f>'Sollecitazioni nel paramento'!$G$60*(sezione!$AM$28-C306)/C306</f>
        <v>1.5969486259213801E-2</v>
      </c>
      <c r="M306" s="551">
        <f>'Sollecitazioni nel paramento'!$G$60*(sezione!$AN$28-C306)/C306</f>
        <v>2.2459315012285069E-2</v>
      </c>
      <c r="N306" s="551">
        <f>'Sollecitazioni nel paramento'!$G$60*(sezione!$AO$28-C306)/C306</f>
        <v>4.8418630024570142E-2</v>
      </c>
      <c r="O306" s="551">
        <f>'Sollecitazioni nel paramento'!$G$60*(sezione!$AP$28-C306)/C306</f>
        <v>8.1124116078763103E-2</v>
      </c>
      <c r="P306" s="545">
        <f>-'Sollecitazioni nel paramento'!$G$47*'Sollecitazioni nel paramento'!$G$41*IF(DATI!$G$211="dx",DATI!$E$61,DATI!$E$64*DATI!$E$63)*1000*C306*sezione!$AD$5</f>
        <v>-410918.3926830056</v>
      </c>
      <c r="Q306" s="545">
        <f>'Foglio deposito bis'!$F$48*IF(ABS(K306)&lt;'Sollecitazioni nel paramento'!$G$58,ABS(K306)*'Sollecitazioni nel paramento'!$G$54,'Sollecitazioni nel paramento'!$G$53)*IF(K306&lt;0,-1,1)</f>
        <v>0</v>
      </c>
      <c r="R306" s="545">
        <f>'Foglio deposito bis'!$F$49*IF(ABS(L306)&lt;'Sollecitazioni nel paramento'!$G$58,ABS(L306)*'Sollecitazioni nel paramento'!$G$54,'Sollecitazioni nel paramento'!$G$53)*IF(L306&lt;0,-1,1)</f>
        <v>204886.47740803001</v>
      </c>
      <c r="S306" s="545">
        <f>'Foglio deposito bis'!$F$50*IF(ABS(M306)&lt;'Sollecitazioni nel paramento'!$G$58,ABS(M306)*'Sollecitazioni nel paramento'!$G$54,'Sollecitazioni nel paramento'!$G$53)*IF(M306&lt;0,-1,1)</f>
        <v>0</v>
      </c>
      <c r="T306" s="545">
        <f>'Foglio deposito bis'!$F$51*IF(ABS(N306)&lt;'Sollecitazioni nel paramento'!$G$58,ABS(N306)*'Sollecitazioni nel paramento'!$G$54,'Sollecitazioni nel paramento'!$G$53)*IF(N306&lt;0,-1,1)</f>
        <v>240946.49743184328</v>
      </c>
      <c r="U306" s="545">
        <f>'Foglio deposito bis'!$F$52*IF(ABS(O306)&lt;'Sollecitazioni nel paramento'!$G$58,ABS(O306)*'Sollecitazioni nel paramento'!$G$54,'Sollecitazioni nel paramento'!$G$53)*IF(O306&lt;0,-1,1)</f>
        <v>240946.49743184328</v>
      </c>
      <c r="V306" s="472">
        <f t="shared" si="23"/>
        <v>275861.07958871097</v>
      </c>
      <c r="W306" s="551"/>
      <c r="X306" s="551"/>
    </row>
    <row r="307" spans="1:24" x14ac:dyDescent="0.25">
      <c r="A307" s="545">
        <f t="shared" si="22"/>
        <v>268107.90236827696</v>
      </c>
      <c r="B307" s="3">
        <f t="shared" si="24"/>
        <v>2.6999999999999984</v>
      </c>
      <c r="C307" s="545">
        <f>'Foglio deposito bis'!$E$154/sezione!$B$247*B307</f>
        <v>10.989620440019941</v>
      </c>
      <c r="D307" s="603">
        <f>-'Sollecitazioni nel paramento'!$G$47*'Sollecitazioni nel paramento'!$G$41*IF(DATI!$G$211="dx",DATI!$E$61,DATI!$E$64*DATI!$E$63)*1000*C307^2*sezione!$AD$5*(1-sezione!$AD$6)</f>
        <v>-2687008.3190833894</v>
      </c>
      <c r="E307" s="545">
        <f>-'Foglio deposito bis'!$F$48*(C307-sezione!$AL$28)*IF(ABS(K307)&lt;'Sollecitazioni nel paramento'!$G$58,ABS(K307)*'Sollecitazioni nel paramento'!$G$54,'Sollecitazioni nel paramento'!$G$53)</f>
        <v>0</v>
      </c>
      <c r="F307" s="545">
        <f>-'Foglio deposito bis'!$F$49*(C307-sezione!$AM$28)*IF(ABS(L307)&lt;'Sollecitazioni nel paramento'!$G$58,ABS(L307)*'Sollecitazioni nel paramento'!$G$54,'Sollecitazioni nel paramento'!$G$53)</f>
        <v>10041564.024474829</v>
      </c>
      <c r="G307" s="545">
        <f>-'Foglio deposito bis'!$F$50*(C307-sezione!$AN$28)*IF(ABS(M307)&lt;'Sollecitazioni nel paramento'!$G$58,ABS(M307)*'Sollecitazioni nel paramento'!$G$54,'Sollecitazioni nel paramento'!$G$53)</f>
        <v>0</v>
      </c>
      <c r="H307" s="545">
        <f>-'Foglio deposito bis'!$F$51*(C307-sezione!$AO$28)*IF(ABS(N307)&lt;'Sollecitazioni nel paramento'!$G$58,ABS(N307)*'Sollecitazioni nel paramento'!$G$54,'Sollecitazioni nel paramento'!$G$53)</f>
        <v>35903529.035966732</v>
      </c>
      <c r="I307" s="472">
        <f>-'Foglio deposito bis'!$F$52*(C307-sezione!$AP$28)*IF(ABS(O307)&lt;'Sollecitazioni nel paramento'!$G$58,ABS(O307)*'Sollecitazioni nel paramento'!$G$54,'Sollecitazioni nel paramento'!$G$53)</f>
        <v>60188522.096329086</v>
      </c>
      <c r="J307" s="472">
        <f t="shared" si="21"/>
        <v>103446606.83768725</v>
      </c>
      <c r="K307" s="550">
        <f>'Sollecitazioni nel paramento'!$G$60*(sezione!$AL$28-C307)/C307</f>
        <v>9.2392934782510074E-3</v>
      </c>
      <c r="L307" s="550">
        <f>'Sollecitazioni nel paramento'!$G$60*(sezione!$AM$28-C307)/C307</f>
        <v>1.5608940217376513E-2</v>
      </c>
      <c r="M307" s="551">
        <f>'Sollecitazioni nel paramento'!$G$60*(sezione!$AN$28-C307)/C307</f>
        <v>2.1978586956502018E-2</v>
      </c>
      <c r="N307" s="551">
        <f>'Sollecitazioni nel paramento'!$G$60*(sezione!$AO$28-C307)/C307</f>
        <v>4.7457173913004032E-2</v>
      </c>
      <c r="O307" s="551">
        <f>'Sollecitazioni nel paramento'!$G$60*(sezione!$AP$28-C307)/C307</f>
        <v>7.9557002818045286E-2</v>
      </c>
      <c r="P307" s="545">
        <f>-'Sollecitazioni nel paramento'!$G$47*'Sollecitazioni nel paramento'!$G$41*IF(DATI!$G$211="dx",DATI!$E$61,DATI!$E$64*DATI!$E$63)*1000*C307*sezione!$AD$5</f>
        <v>-418671.56990343961</v>
      </c>
      <c r="Q307" s="545">
        <f>'Foglio deposito bis'!$F$48*IF(ABS(K307)&lt;'Sollecitazioni nel paramento'!$G$58,ABS(K307)*'Sollecitazioni nel paramento'!$G$54,'Sollecitazioni nel paramento'!$G$53)*IF(K307&lt;0,-1,1)</f>
        <v>0</v>
      </c>
      <c r="R307" s="545">
        <f>'Foglio deposito bis'!$F$49*IF(ABS(L307)&lt;'Sollecitazioni nel paramento'!$G$58,ABS(L307)*'Sollecitazioni nel paramento'!$G$54,'Sollecitazioni nel paramento'!$G$53)*IF(L307&lt;0,-1,1)</f>
        <v>204886.47740803001</v>
      </c>
      <c r="S307" s="545">
        <f>'Foglio deposito bis'!$F$50*IF(ABS(M307)&lt;'Sollecitazioni nel paramento'!$G$58,ABS(M307)*'Sollecitazioni nel paramento'!$G$54,'Sollecitazioni nel paramento'!$G$53)*IF(M307&lt;0,-1,1)</f>
        <v>0</v>
      </c>
      <c r="T307" s="545">
        <f>'Foglio deposito bis'!$F$51*IF(ABS(N307)&lt;'Sollecitazioni nel paramento'!$G$58,ABS(N307)*'Sollecitazioni nel paramento'!$G$54,'Sollecitazioni nel paramento'!$G$53)*IF(N307&lt;0,-1,1)</f>
        <v>240946.49743184328</v>
      </c>
      <c r="U307" s="545">
        <f>'Foglio deposito bis'!$F$52*IF(ABS(O307)&lt;'Sollecitazioni nel paramento'!$G$58,ABS(O307)*'Sollecitazioni nel paramento'!$G$54,'Sollecitazioni nel paramento'!$G$53)*IF(O307&lt;0,-1,1)</f>
        <v>240946.49743184328</v>
      </c>
      <c r="V307" s="472">
        <f t="shared" si="23"/>
        <v>268107.90236827696</v>
      </c>
      <c r="W307" s="551"/>
      <c r="X307" s="551"/>
    </row>
    <row r="308" spans="1:24" x14ac:dyDescent="0.25">
      <c r="A308" s="545">
        <f t="shared" si="22"/>
        <v>260354.7251478429</v>
      </c>
      <c r="B308" s="3">
        <f t="shared" si="24"/>
        <v>2.7499999999999982</v>
      </c>
      <c r="C308" s="545">
        <f>'Foglio deposito bis'!$E$154/sezione!$B$247*B308</f>
        <v>11.19313192964994</v>
      </c>
      <c r="D308" s="603">
        <f>-'Sollecitazioni nel paramento'!$G$47*'Sollecitazioni nel paramento'!$G$41*IF(DATI!$G$211="dx",DATI!$E$61,DATI!$E$64*DATI!$E$63)*1000*C308^2*sezione!$AD$5*(1-sezione!$AD$6)</f>
        <v>-2787448.6163330777</v>
      </c>
      <c r="E308" s="545">
        <f>-'Foglio deposito bis'!$F$48*(C308-sezione!$AL$28)*IF(ABS(K308)&lt;'Sollecitazioni nel paramento'!$G$58,ABS(K308)*'Sollecitazioni nel paramento'!$G$54,'Sollecitazioni nel paramento'!$G$53)</f>
        <v>0</v>
      </c>
      <c r="F308" s="545">
        <f>-'Foglio deposito bis'!$F$49*(C308-sezione!$AM$28)*IF(ABS(L308)&lt;'Sollecitazioni nel paramento'!$G$58,ABS(L308)*'Sollecitazioni nel paramento'!$G$54,'Sollecitazioni nel paramento'!$G$53)</f>
        <v>9999867.2722524796</v>
      </c>
      <c r="G308" s="545">
        <f>-'Foglio deposito bis'!$F$50*(C308-sezione!$AN$28)*IF(ABS(M308)&lt;'Sollecitazioni nel paramento'!$G$58,ABS(M308)*'Sollecitazioni nel paramento'!$G$54,'Sollecitazioni nel paramento'!$G$53)</f>
        <v>0</v>
      </c>
      <c r="H308" s="545">
        <f>-'Foglio deposito bis'!$F$51*(C308-sezione!$AO$28)*IF(ABS(N308)&lt;'Sollecitazioni nel paramento'!$G$58,ABS(N308)*'Sollecitazioni nel paramento'!$G$54,'Sollecitazioni nel paramento'!$G$53)</f>
        <v>35854493.655353241</v>
      </c>
      <c r="I308" s="472">
        <f>-'Foglio deposito bis'!$F$52*(C308-sezione!$AP$28)*IF(ABS(O308)&lt;'Sollecitazioni nel paramento'!$G$58,ABS(O308)*'Sollecitazioni nel paramento'!$G$54,'Sollecitazioni nel paramento'!$G$53)</f>
        <v>60139486.715715595</v>
      </c>
      <c r="J308" s="472">
        <f t="shared" si="21"/>
        <v>103206399.02698824</v>
      </c>
      <c r="K308" s="550">
        <f>'Sollecitazioni nel paramento'!$G$60*(sezione!$AL$28-C308)/C308</f>
        <v>9.0076699604646256E-3</v>
      </c>
      <c r="L308" s="550">
        <f>'Sollecitazioni nel paramento'!$G$60*(sezione!$AM$28-C308)/C308</f>
        <v>1.5261504940696937E-2</v>
      </c>
      <c r="M308" s="551">
        <f>'Sollecitazioni nel paramento'!$G$60*(sezione!$AN$28-C308)/C308</f>
        <v>2.1515339920929251E-2</v>
      </c>
      <c r="N308" s="551">
        <f>'Sollecitazioni nel paramento'!$G$60*(sezione!$AO$28-C308)/C308</f>
        <v>4.6530679841858491E-2</v>
      </c>
      <c r="O308" s="551">
        <f>'Sollecitazioni nel paramento'!$G$60*(sezione!$AP$28-C308)/C308</f>
        <v>7.804687549408082E-2</v>
      </c>
      <c r="P308" s="545">
        <f>-'Sollecitazioni nel paramento'!$G$47*'Sollecitazioni nel paramento'!$G$41*IF(DATI!$G$211="dx",DATI!$E$61,DATI!$E$64*DATI!$E$63)*1000*C308*sezione!$AD$5</f>
        <v>-426424.74712387368</v>
      </c>
      <c r="Q308" s="545">
        <f>'Foglio deposito bis'!$F$48*IF(ABS(K308)&lt;'Sollecitazioni nel paramento'!$G$58,ABS(K308)*'Sollecitazioni nel paramento'!$G$54,'Sollecitazioni nel paramento'!$G$53)*IF(K308&lt;0,-1,1)</f>
        <v>0</v>
      </c>
      <c r="R308" s="545">
        <f>'Foglio deposito bis'!$F$49*IF(ABS(L308)&lt;'Sollecitazioni nel paramento'!$G$58,ABS(L308)*'Sollecitazioni nel paramento'!$G$54,'Sollecitazioni nel paramento'!$G$53)*IF(L308&lt;0,-1,1)</f>
        <v>204886.47740803001</v>
      </c>
      <c r="S308" s="545">
        <f>'Foglio deposito bis'!$F$50*IF(ABS(M308)&lt;'Sollecitazioni nel paramento'!$G$58,ABS(M308)*'Sollecitazioni nel paramento'!$G$54,'Sollecitazioni nel paramento'!$G$53)*IF(M308&lt;0,-1,1)</f>
        <v>0</v>
      </c>
      <c r="T308" s="545">
        <f>'Foglio deposito bis'!$F$51*IF(ABS(N308)&lt;'Sollecitazioni nel paramento'!$G$58,ABS(N308)*'Sollecitazioni nel paramento'!$G$54,'Sollecitazioni nel paramento'!$G$53)*IF(N308&lt;0,-1,1)</f>
        <v>240946.49743184328</v>
      </c>
      <c r="U308" s="545">
        <f>'Foglio deposito bis'!$F$52*IF(ABS(O308)&lt;'Sollecitazioni nel paramento'!$G$58,ABS(O308)*'Sollecitazioni nel paramento'!$G$54,'Sollecitazioni nel paramento'!$G$53)*IF(O308&lt;0,-1,1)</f>
        <v>240946.49743184328</v>
      </c>
      <c r="V308" s="472">
        <f t="shared" si="23"/>
        <v>260354.7251478429</v>
      </c>
      <c r="W308" s="551"/>
      <c r="X308" s="551"/>
    </row>
    <row r="309" spans="1:24" x14ac:dyDescent="0.25">
      <c r="A309" s="545">
        <f t="shared" si="22"/>
        <v>252601.54792740889</v>
      </c>
      <c r="B309" s="3">
        <f t="shared" si="24"/>
        <v>2.799999999999998</v>
      </c>
      <c r="C309" s="545">
        <f>'Foglio deposito bis'!$E$154/sezione!$B$247*B309</f>
        <v>11.396643419279938</v>
      </c>
      <c r="D309" s="603">
        <f>-'Sollecitazioni nel paramento'!$G$47*'Sollecitazioni nel paramento'!$G$41*IF(DATI!$G$211="dx",DATI!$E$61,DATI!$E$64*DATI!$E$63)*1000*C309^2*sezione!$AD$5*(1-sezione!$AD$6)</f>
        <v>-2889731.8548167036</v>
      </c>
      <c r="E309" s="545">
        <f>-'Foglio deposito bis'!$F$48*(C309-sezione!$AL$28)*IF(ABS(K309)&lt;'Sollecitazioni nel paramento'!$G$58,ABS(K309)*'Sollecitazioni nel paramento'!$G$54,'Sollecitazioni nel paramento'!$G$53)</f>
        <v>0</v>
      </c>
      <c r="F309" s="545">
        <f>-'Foglio deposito bis'!$F$49*(C309-sezione!$AM$28)*IF(ABS(L309)&lt;'Sollecitazioni nel paramento'!$G$58,ABS(L309)*'Sollecitazioni nel paramento'!$G$54,'Sollecitazioni nel paramento'!$G$53)</f>
        <v>9958170.5200301278</v>
      </c>
      <c r="G309" s="545">
        <f>-'Foglio deposito bis'!$F$50*(C309-sezione!$AN$28)*IF(ABS(M309)&lt;'Sollecitazioni nel paramento'!$G$58,ABS(M309)*'Sollecitazioni nel paramento'!$G$54,'Sollecitazioni nel paramento'!$G$53)</f>
        <v>0</v>
      </c>
      <c r="H309" s="545">
        <f>-'Foglio deposito bis'!$F$51*(C309-sezione!$AO$28)*IF(ABS(N309)&lt;'Sollecitazioni nel paramento'!$G$58,ABS(N309)*'Sollecitazioni nel paramento'!$G$54,'Sollecitazioni nel paramento'!$G$53)</f>
        <v>35805458.274739757</v>
      </c>
      <c r="I309" s="472">
        <f>-'Foglio deposito bis'!$F$52*(C309-sezione!$AP$28)*IF(ABS(O309)&lt;'Sollecitazioni nel paramento'!$G$58,ABS(O309)*'Sollecitazioni nel paramento'!$G$54,'Sollecitazioni nel paramento'!$G$53)</f>
        <v>60090451.335102119</v>
      </c>
      <c r="J309" s="472">
        <f t="shared" si="21"/>
        <v>102964348.27505529</v>
      </c>
      <c r="K309" s="550">
        <f>'Sollecitazioni nel paramento'!$G$60*(sezione!$AL$28-C309)/C309</f>
        <v>8.7843187111706147E-3</v>
      </c>
      <c r="L309" s="550">
        <f>'Sollecitazioni nel paramento'!$G$60*(sezione!$AM$28-C309)/C309</f>
        <v>1.4926478066755922E-2</v>
      </c>
      <c r="M309" s="551">
        <f>'Sollecitazioni nel paramento'!$G$60*(sezione!$AN$28-C309)/C309</f>
        <v>2.1068637422341229E-2</v>
      </c>
      <c r="N309" s="551">
        <f>'Sollecitazioni nel paramento'!$G$60*(sezione!$AO$28-C309)/C309</f>
        <v>4.5637274844682461E-2</v>
      </c>
      <c r="O309" s="551">
        <f>'Sollecitazioni nel paramento'!$G$60*(sezione!$AP$28-C309)/C309</f>
        <v>7.6590681288829385E-2</v>
      </c>
      <c r="P309" s="545">
        <f>-'Sollecitazioni nel paramento'!$G$47*'Sollecitazioni nel paramento'!$G$41*IF(DATI!$G$211="dx",DATI!$E$61,DATI!$E$64*DATI!$E$63)*1000*C309*sezione!$AD$5</f>
        <v>-434177.92434430768</v>
      </c>
      <c r="Q309" s="545">
        <f>'Foglio deposito bis'!$F$48*IF(ABS(K309)&lt;'Sollecitazioni nel paramento'!$G$58,ABS(K309)*'Sollecitazioni nel paramento'!$G$54,'Sollecitazioni nel paramento'!$G$53)*IF(K309&lt;0,-1,1)</f>
        <v>0</v>
      </c>
      <c r="R309" s="545">
        <f>'Foglio deposito bis'!$F$49*IF(ABS(L309)&lt;'Sollecitazioni nel paramento'!$G$58,ABS(L309)*'Sollecitazioni nel paramento'!$G$54,'Sollecitazioni nel paramento'!$G$53)*IF(L309&lt;0,-1,1)</f>
        <v>204886.47740803001</v>
      </c>
      <c r="S309" s="545">
        <f>'Foglio deposito bis'!$F$50*IF(ABS(M309)&lt;'Sollecitazioni nel paramento'!$G$58,ABS(M309)*'Sollecitazioni nel paramento'!$G$54,'Sollecitazioni nel paramento'!$G$53)*IF(M309&lt;0,-1,1)</f>
        <v>0</v>
      </c>
      <c r="T309" s="545">
        <f>'Foglio deposito bis'!$F$51*IF(ABS(N309)&lt;'Sollecitazioni nel paramento'!$G$58,ABS(N309)*'Sollecitazioni nel paramento'!$G$54,'Sollecitazioni nel paramento'!$G$53)*IF(N309&lt;0,-1,1)</f>
        <v>240946.49743184328</v>
      </c>
      <c r="U309" s="545">
        <f>'Foglio deposito bis'!$F$52*IF(ABS(O309)&lt;'Sollecitazioni nel paramento'!$G$58,ABS(O309)*'Sollecitazioni nel paramento'!$G$54,'Sollecitazioni nel paramento'!$G$53)*IF(O309&lt;0,-1,1)</f>
        <v>240946.49743184328</v>
      </c>
      <c r="V309" s="472">
        <f t="shared" si="23"/>
        <v>252601.54792740889</v>
      </c>
      <c r="W309" s="551"/>
      <c r="X309" s="551"/>
    </row>
    <row r="310" spans="1:24" x14ac:dyDescent="0.25">
      <c r="A310" s="545">
        <f t="shared" si="22"/>
        <v>244848.37070697482</v>
      </c>
      <c r="B310" s="3">
        <f t="shared" si="24"/>
        <v>2.8499999999999979</v>
      </c>
      <c r="C310" s="545">
        <f>'Foglio deposito bis'!$E$154/sezione!$B$247*B310</f>
        <v>11.600154908909936</v>
      </c>
      <c r="D310" s="603">
        <f>-'Sollecitazioni nel paramento'!$G$47*'Sollecitazioni nel paramento'!$G$41*IF(DATI!$G$211="dx",DATI!$E$61,DATI!$E$64*DATI!$E$63)*1000*C310^2*sezione!$AD$5*(1-sezione!$AD$6)</f>
        <v>-2993858.034534269</v>
      </c>
      <c r="E310" s="545">
        <f>-'Foglio deposito bis'!$F$48*(C310-sezione!$AL$28)*IF(ABS(K310)&lt;'Sollecitazioni nel paramento'!$G$58,ABS(K310)*'Sollecitazioni nel paramento'!$G$54,'Sollecitazioni nel paramento'!$G$53)</f>
        <v>0</v>
      </c>
      <c r="F310" s="545">
        <f>-'Foglio deposito bis'!$F$49*(C310-sezione!$AM$28)*IF(ABS(L310)&lt;'Sollecitazioni nel paramento'!$G$58,ABS(L310)*'Sollecitazioni nel paramento'!$G$54,'Sollecitazioni nel paramento'!$G$53)</f>
        <v>9916473.7678077761</v>
      </c>
      <c r="G310" s="545">
        <f>-'Foglio deposito bis'!$F$50*(C310-sezione!$AN$28)*IF(ABS(M310)&lt;'Sollecitazioni nel paramento'!$G$58,ABS(M310)*'Sollecitazioni nel paramento'!$G$54,'Sollecitazioni nel paramento'!$G$53)</f>
        <v>0</v>
      </c>
      <c r="H310" s="545">
        <f>-'Foglio deposito bis'!$F$51*(C310-sezione!$AO$28)*IF(ABS(N310)&lt;'Sollecitazioni nel paramento'!$G$58,ABS(N310)*'Sollecitazioni nel paramento'!$G$54,'Sollecitazioni nel paramento'!$G$53)</f>
        <v>35756422.894126274</v>
      </c>
      <c r="I310" s="472">
        <f>-'Foglio deposito bis'!$F$52*(C310-sezione!$AP$28)*IF(ABS(O310)&lt;'Sollecitazioni nel paramento'!$G$58,ABS(O310)*'Sollecitazioni nel paramento'!$G$54,'Sollecitazioni nel paramento'!$G$53)</f>
        <v>60041415.954488635</v>
      </c>
      <c r="J310" s="472">
        <f t="shared" si="21"/>
        <v>102720454.58188841</v>
      </c>
      <c r="K310" s="550">
        <f>'Sollecitazioni nel paramento'!$G$60*(sezione!$AL$28-C310)/C310</f>
        <v>8.5688043478167452E-3</v>
      </c>
      <c r="L310" s="550">
        <f>'Sollecitazioni nel paramento'!$G$60*(sezione!$AM$28-C310)/C310</f>
        <v>1.460320652172512E-2</v>
      </c>
      <c r="M310" s="551">
        <f>'Sollecitazioni nel paramento'!$G$60*(sezione!$AN$28-C310)/C310</f>
        <v>2.0637608695633494E-2</v>
      </c>
      <c r="N310" s="551">
        <f>'Sollecitazioni nel paramento'!$G$60*(sezione!$AO$28-C310)/C310</f>
        <v>4.4775217391266983E-2</v>
      </c>
      <c r="O310" s="551">
        <f>'Sollecitazioni nel paramento'!$G$60*(sezione!$AP$28-C310)/C310</f>
        <v>7.5185581617095543E-2</v>
      </c>
      <c r="P310" s="545">
        <f>-'Sollecitazioni nel paramento'!$G$47*'Sollecitazioni nel paramento'!$G$41*IF(DATI!$G$211="dx",DATI!$E$61,DATI!$E$64*DATI!$E$63)*1000*C310*sezione!$AD$5</f>
        <v>-441931.10156474175</v>
      </c>
      <c r="Q310" s="545">
        <f>'Foglio deposito bis'!$F$48*IF(ABS(K310)&lt;'Sollecitazioni nel paramento'!$G$58,ABS(K310)*'Sollecitazioni nel paramento'!$G$54,'Sollecitazioni nel paramento'!$G$53)*IF(K310&lt;0,-1,1)</f>
        <v>0</v>
      </c>
      <c r="R310" s="545">
        <f>'Foglio deposito bis'!$F$49*IF(ABS(L310)&lt;'Sollecitazioni nel paramento'!$G$58,ABS(L310)*'Sollecitazioni nel paramento'!$G$54,'Sollecitazioni nel paramento'!$G$53)*IF(L310&lt;0,-1,1)</f>
        <v>204886.47740803001</v>
      </c>
      <c r="S310" s="545">
        <f>'Foglio deposito bis'!$F$50*IF(ABS(M310)&lt;'Sollecitazioni nel paramento'!$G$58,ABS(M310)*'Sollecitazioni nel paramento'!$G$54,'Sollecitazioni nel paramento'!$G$53)*IF(M310&lt;0,-1,1)</f>
        <v>0</v>
      </c>
      <c r="T310" s="545">
        <f>'Foglio deposito bis'!$F$51*IF(ABS(N310)&lt;'Sollecitazioni nel paramento'!$G$58,ABS(N310)*'Sollecitazioni nel paramento'!$G$54,'Sollecitazioni nel paramento'!$G$53)*IF(N310&lt;0,-1,1)</f>
        <v>240946.49743184328</v>
      </c>
      <c r="U310" s="545">
        <f>'Foglio deposito bis'!$F$52*IF(ABS(O310)&lt;'Sollecitazioni nel paramento'!$G$58,ABS(O310)*'Sollecitazioni nel paramento'!$G$54,'Sollecitazioni nel paramento'!$G$53)*IF(O310&lt;0,-1,1)</f>
        <v>240946.49743184328</v>
      </c>
      <c r="V310" s="472">
        <f t="shared" si="23"/>
        <v>244848.37070697482</v>
      </c>
      <c r="W310" s="551"/>
      <c r="X310" s="551"/>
    </row>
    <row r="311" spans="1:24" x14ac:dyDescent="0.25">
      <c r="A311" s="545">
        <f t="shared" si="22"/>
        <v>237095.19348654069</v>
      </c>
      <c r="B311" s="3">
        <f t="shared" si="24"/>
        <v>2.8999999999999977</v>
      </c>
      <c r="C311" s="545">
        <f>'Foglio deposito bis'!$E$154/sezione!$B$247*B311</f>
        <v>11.803666398539935</v>
      </c>
      <c r="D311" s="603">
        <f>-'Sollecitazioni nel paramento'!$G$47*'Sollecitazioni nel paramento'!$G$41*IF(DATI!$G$211="dx",DATI!$E$61,DATI!$E$64*DATI!$E$63)*1000*C311^2*sezione!$AD$5*(1-sezione!$AD$6)</f>
        <v>-3099827.1554857753</v>
      </c>
      <c r="E311" s="545">
        <f>-'Foglio deposito bis'!$F$48*(C311-sezione!$AL$28)*IF(ABS(K311)&lt;'Sollecitazioni nel paramento'!$G$58,ABS(K311)*'Sollecitazioni nel paramento'!$G$54,'Sollecitazioni nel paramento'!$G$53)</f>
        <v>0</v>
      </c>
      <c r="F311" s="545">
        <f>-'Foglio deposito bis'!$F$49*(C311-sezione!$AM$28)*IF(ABS(L311)&lt;'Sollecitazioni nel paramento'!$G$58,ABS(L311)*'Sollecitazioni nel paramento'!$G$54,'Sollecitazioni nel paramento'!$G$53)</f>
        <v>9874777.0155854262</v>
      </c>
      <c r="G311" s="545">
        <f>-'Foglio deposito bis'!$F$50*(C311-sezione!$AN$28)*IF(ABS(M311)&lt;'Sollecitazioni nel paramento'!$G$58,ABS(M311)*'Sollecitazioni nel paramento'!$G$54,'Sollecitazioni nel paramento'!$G$53)</f>
        <v>0</v>
      </c>
      <c r="H311" s="545">
        <f>-'Foglio deposito bis'!$F$51*(C311-sezione!$AO$28)*IF(ABS(N311)&lt;'Sollecitazioni nel paramento'!$G$58,ABS(N311)*'Sollecitazioni nel paramento'!$G$54,'Sollecitazioni nel paramento'!$G$53)</f>
        <v>35707387.513512783</v>
      </c>
      <c r="I311" s="472">
        <f>-'Foglio deposito bis'!$F$52*(C311-sezione!$AP$28)*IF(ABS(O311)&lt;'Sollecitazioni nel paramento'!$G$58,ABS(O311)*'Sollecitazioni nel paramento'!$G$54,'Sollecitazioni nel paramento'!$G$53)</f>
        <v>59992380.573875144</v>
      </c>
      <c r="J311" s="472">
        <f t="shared" si="21"/>
        <v>102474717.94748758</v>
      </c>
      <c r="K311" s="550">
        <f>'Sollecitazioni nel paramento'!$G$60*(sezione!$AL$28-C311)/C311</f>
        <v>8.3607215142336988E-3</v>
      </c>
      <c r="L311" s="550">
        <f>'Sollecitazioni nel paramento'!$G$60*(sezione!$AM$28-C311)/C311</f>
        <v>1.4291082271350548E-2</v>
      </c>
      <c r="M311" s="551">
        <f>'Sollecitazioni nel paramento'!$G$60*(sezione!$AN$28-C311)/C311</f>
        <v>2.0221443028467397E-2</v>
      </c>
      <c r="N311" s="551">
        <f>'Sollecitazioni nel paramento'!$G$60*(sezione!$AO$28-C311)/C311</f>
        <v>4.3942886056934791E-2</v>
      </c>
      <c r="O311" s="551">
        <f>'Sollecitazioni nel paramento'!$G$60*(sezione!$AP$28-C311)/C311</f>
        <v>7.3828933658180093E-2</v>
      </c>
      <c r="P311" s="545">
        <f>-'Sollecitazioni nel paramento'!$G$47*'Sollecitazioni nel paramento'!$G$41*IF(DATI!$G$211="dx",DATI!$E$61,DATI!$E$64*DATI!$E$63)*1000*C311*sezione!$AD$5</f>
        <v>-449684.27878517588</v>
      </c>
      <c r="Q311" s="545">
        <f>'Foglio deposito bis'!$F$48*IF(ABS(K311)&lt;'Sollecitazioni nel paramento'!$G$58,ABS(K311)*'Sollecitazioni nel paramento'!$G$54,'Sollecitazioni nel paramento'!$G$53)*IF(K311&lt;0,-1,1)</f>
        <v>0</v>
      </c>
      <c r="R311" s="545">
        <f>'Foglio deposito bis'!$F$49*IF(ABS(L311)&lt;'Sollecitazioni nel paramento'!$G$58,ABS(L311)*'Sollecitazioni nel paramento'!$G$54,'Sollecitazioni nel paramento'!$G$53)*IF(L311&lt;0,-1,1)</f>
        <v>204886.47740803001</v>
      </c>
      <c r="S311" s="545">
        <f>'Foglio deposito bis'!$F$50*IF(ABS(M311)&lt;'Sollecitazioni nel paramento'!$G$58,ABS(M311)*'Sollecitazioni nel paramento'!$G$54,'Sollecitazioni nel paramento'!$G$53)*IF(M311&lt;0,-1,1)</f>
        <v>0</v>
      </c>
      <c r="T311" s="545">
        <f>'Foglio deposito bis'!$F$51*IF(ABS(N311)&lt;'Sollecitazioni nel paramento'!$G$58,ABS(N311)*'Sollecitazioni nel paramento'!$G$54,'Sollecitazioni nel paramento'!$G$53)*IF(N311&lt;0,-1,1)</f>
        <v>240946.49743184328</v>
      </c>
      <c r="U311" s="545">
        <f>'Foglio deposito bis'!$F$52*IF(ABS(O311)&lt;'Sollecitazioni nel paramento'!$G$58,ABS(O311)*'Sollecitazioni nel paramento'!$G$54,'Sollecitazioni nel paramento'!$G$53)*IF(O311&lt;0,-1,1)</f>
        <v>240946.49743184328</v>
      </c>
      <c r="V311" s="472">
        <f t="shared" si="23"/>
        <v>237095.19348654069</v>
      </c>
      <c r="W311" s="551"/>
      <c r="X311" s="551"/>
    </row>
    <row r="312" spans="1:24" x14ac:dyDescent="0.25">
      <c r="A312" s="545">
        <f t="shared" si="22"/>
        <v>229342.01626610674</v>
      </c>
      <c r="B312" s="3">
        <f t="shared" si="24"/>
        <v>2.9499999999999975</v>
      </c>
      <c r="C312" s="545">
        <f>'Foglio deposito bis'!$E$154/sezione!$B$247*B312</f>
        <v>12.007177888169933</v>
      </c>
      <c r="D312" s="603">
        <f>-'Sollecitazioni nel paramento'!$G$47*'Sollecitazioni nel paramento'!$G$41*IF(DATI!$G$211="dx",DATI!$E$61,DATI!$E$64*DATI!$E$63)*1000*C312^2*sezione!$AD$5*(1-sezione!$AD$6)</f>
        <v>-3207639.2176712188</v>
      </c>
      <c r="E312" s="545">
        <f>-'Foglio deposito bis'!$F$48*(C312-sezione!$AL$28)*IF(ABS(K312)&lt;'Sollecitazioni nel paramento'!$G$58,ABS(K312)*'Sollecitazioni nel paramento'!$G$54,'Sollecitazioni nel paramento'!$G$53)</f>
        <v>0</v>
      </c>
      <c r="F312" s="545">
        <f>-'Foglio deposito bis'!$F$49*(C312-sezione!$AM$28)*IF(ABS(L312)&lt;'Sollecitazioni nel paramento'!$G$58,ABS(L312)*'Sollecitazioni nel paramento'!$G$54,'Sollecitazioni nel paramento'!$G$53)</f>
        <v>9833080.2633630745</v>
      </c>
      <c r="G312" s="545">
        <f>-'Foglio deposito bis'!$F$50*(C312-sezione!$AN$28)*IF(ABS(M312)&lt;'Sollecitazioni nel paramento'!$G$58,ABS(M312)*'Sollecitazioni nel paramento'!$G$54,'Sollecitazioni nel paramento'!$G$53)</f>
        <v>0</v>
      </c>
      <c r="H312" s="545">
        <f>-'Foglio deposito bis'!$F$51*(C312-sezione!$AO$28)*IF(ABS(N312)&lt;'Sollecitazioni nel paramento'!$G$58,ABS(N312)*'Sollecitazioni nel paramento'!$G$54,'Sollecitazioni nel paramento'!$G$53)</f>
        <v>35658352.132899299</v>
      </c>
      <c r="I312" s="472">
        <f>-'Foglio deposito bis'!$F$52*(C312-sezione!$AP$28)*IF(ABS(O312)&lt;'Sollecitazioni nel paramento'!$G$58,ABS(O312)*'Sollecitazioni nel paramento'!$G$54,'Sollecitazioni nel paramento'!$G$53)</f>
        <v>59943345.193261661</v>
      </c>
      <c r="J312" s="472">
        <f t="shared" si="21"/>
        <v>102227138.37185282</v>
      </c>
      <c r="K312" s="550">
        <f>'Sollecitazioni nel paramento'!$G$60*(sezione!$AL$28-C312)/C312</f>
        <v>8.1596923360263487E-3</v>
      </c>
      <c r="L312" s="550">
        <f>'Sollecitazioni nel paramento'!$G$60*(sezione!$AM$28-C312)/C312</f>
        <v>1.3989538504039523E-2</v>
      </c>
      <c r="M312" s="551">
        <f>'Sollecitazioni nel paramento'!$G$60*(sezione!$AN$28-C312)/C312</f>
        <v>1.9819384672052697E-2</v>
      </c>
      <c r="N312" s="551">
        <f>'Sollecitazioni nel paramento'!$G$60*(sezione!$AO$28-C312)/C312</f>
        <v>4.3138769344105397E-2</v>
      </c>
      <c r="O312" s="551">
        <f>'Sollecitazioni nel paramento'!$G$60*(sezione!$AP$28-C312)/C312</f>
        <v>7.2518273765668578E-2</v>
      </c>
      <c r="P312" s="545">
        <f>-'Sollecitazioni nel paramento'!$G$47*'Sollecitazioni nel paramento'!$G$41*IF(DATI!$G$211="dx",DATI!$E$61,DATI!$E$64*DATI!$E$63)*1000*C312*sezione!$AD$5</f>
        <v>-457437.45600560983</v>
      </c>
      <c r="Q312" s="545">
        <f>'Foglio deposito bis'!$F$48*IF(ABS(K312)&lt;'Sollecitazioni nel paramento'!$G$58,ABS(K312)*'Sollecitazioni nel paramento'!$G$54,'Sollecitazioni nel paramento'!$G$53)*IF(K312&lt;0,-1,1)</f>
        <v>0</v>
      </c>
      <c r="R312" s="545">
        <f>'Foglio deposito bis'!$F$49*IF(ABS(L312)&lt;'Sollecitazioni nel paramento'!$G$58,ABS(L312)*'Sollecitazioni nel paramento'!$G$54,'Sollecitazioni nel paramento'!$G$53)*IF(L312&lt;0,-1,1)</f>
        <v>204886.47740803001</v>
      </c>
      <c r="S312" s="545">
        <f>'Foglio deposito bis'!$F$50*IF(ABS(M312)&lt;'Sollecitazioni nel paramento'!$G$58,ABS(M312)*'Sollecitazioni nel paramento'!$G$54,'Sollecitazioni nel paramento'!$G$53)*IF(M312&lt;0,-1,1)</f>
        <v>0</v>
      </c>
      <c r="T312" s="545">
        <f>'Foglio deposito bis'!$F$51*IF(ABS(N312)&lt;'Sollecitazioni nel paramento'!$G$58,ABS(N312)*'Sollecitazioni nel paramento'!$G$54,'Sollecitazioni nel paramento'!$G$53)*IF(N312&lt;0,-1,1)</f>
        <v>240946.49743184328</v>
      </c>
      <c r="U312" s="545">
        <f>'Foglio deposito bis'!$F$52*IF(ABS(O312)&lt;'Sollecitazioni nel paramento'!$G$58,ABS(O312)*'Sollecitazioni nel paramento'!$G$54,'Sollecitazioni nel paramento'!$G$53)*IF(O312&lt;0,-1,1)</f>
        <v>240946.49743184328</v>
      </c>
      <c r="V312" s="472">
        <f t="shared" si="23"/>
        <v>229342.01626610674</v>
      </c>
      <c r="W312" s="551"/>
      <c r="X312" s="551"/>
    </row>
    <row r="313" spans="1:24" x14ac:dyDescent="0.25">
      <c r="A313" s="545">
        <f t="shared" si="22"/>
        <v>221588.83904567274</v>
      </c>
      <c r="B313" s="3">
        <f t="shared" si="24"/>
        <v>2.9999999999999973</v>
      </c>
      <c r="C313" s="545">
        <f>'Foglio deposito bis'!$E$154/sezione!$B$247*B313</f>
        <v>12.21068937779993</v>
      </c>
      <c r="D313" s="603">
        <f>-'Sollecitazioni nel paramento'!$G$47*'Sollecitazioni nel paramento'!$G$41*IF(DATI!$G$211="dx",DATI!$E$61,DATI!$E$64*DATI!$E$63)*1000*C313^2*sezione!$AD$5*(1-sezione!$AD$6)</f>
        <v>-3317294.2210906027</v>
      </c>
      <c r="E313" s="545">
        <f>-'Foglio deposito bis'!$F$48*(C313-sezione!$AL$28)*IF(ABS(K313)&lt;'Sollecitazioni nel paramento'!$G$58,ABS(K313)*'Sollecitazioni nel paramento'!$G$54,'Sollecitazioni nel paramento'!$G$53)</f>
        <v>0</v>
      </c>
      <c r="F313" s="545">
        <f>-'Foglio deposito bis'!$F$49*(C313-sezione!$AM$28)*IF(ABS(L313)&lt;'Sollecitazioni nel paramento'!$G$58,ABS(L313)*'Sollecitazioni nel paramento'!$G$54,'Sollecitazioni nel paramento'!$G$53)</f>
        <v>9791383.5111407228</v>
      </c>
      <c r="G313" s="545">
        <f>-'Foglio deposito bis'!$F$50*(C313-sezione!$AN$28)*IF(ABS(M313)&lt;'Sollecitazioni nel paramento'!$G$58,ABS(M313)*'Sollecitazioni nel paramento'!$G$54,'Sollecitazioni nel paramento'!$G$53)</f>
        <v>0</v>
      </c>
      <c r="H313" s="545">
        <f>-'Foglio deposito bis'!$F$51*(C313-sezione!$AO$28)*IF(ABS(N313)&lt;'Sollecitazioni nel paramento'!$G$58,ABS(N313)*'Sollecitazioni nel paramento'!$G$54,'Sollecitazioni nel paramento'!$G$53)</f>
        <v>35609316.752285816</v>
      </c>
      <c r="I313" s="472">
        <f>-'Foglio deposito bis'!$F$52*(C313-sezione!$AP$28)*IF(ABS(O313)&lt;'Sollecitazioni nel paramento'!$G$58,ABS(O313)*'Sollecitazioni nel paramento'!$G$54,'Sollecitazioni nel paramento'!$G$53)</f>
        <v>59894309.812648185</v>
      </c>
      <c r="J313" s="472">
        <f t="shared" si="21"/>
        <v>101977715.85498412</v>
      </c>
      <c r="K313" s="550">
        <f>'Sollecitazioni nel paramento'!$G$60*(sezione!$AL$28-C313)/C313</f>
        <v>7.9653641304259105E-3</v>
      </c>
      <c r="L313" s="550">
        <f>'Sollecitazioni nel paramento'!$G$60*(sezione!$AM$28-C313)/C313</f>
        <v>1.3698046195638865E-2</v>
      </c>
      <c r="M313" s="551">
        <f>'Sollecitazioni nel paramento'!$G$60*(sezione!$AN$28-C313)/C313</f>
        <v>1.9430728260851824E-2</v>
      </c>
      <c r="N313" s="551">
        <f>'Sollecitazioni nel paramento'!$G$60*(sezione!$AO$28-C313)/C313</f>
        <v>4.2361456521703644E-2</v>
      </c>
      <c r="O313" s="551">
        <f>'Sollecitazioni nel paramento'!$G$60*(sezione!$AP$28-C313)/C313</f>
        <v>7.125130253624079E-2</v>
      </c>
      <c r="P313" s="545">
        <f>-'Sollecitazioni nel paramento'!$G$47*'Sollecitazioni nel paramento'!$G$41*IF(DATI!$G$211="dx",DATI!$E$61,DATI!$E$64*DATI!$E$63)*1000*C313*sezione!$AD$5</f>
        <v>-465190.63322604384</v>
      </c>
      <c r="Q313" s="545">
        <f>'Foglio deposito bis'!$F$48*IF(ABS(K313)&lt;'Sollecitazioni nel paramento'!$G$58,ABS(K313)*'Sollecitazioni nel paramento'!$G$54,'Sollecitazioni nel paramento'!$G$53)*IF(K313&lt;0,-1,1)</f>
        <v>0</v>
      </c>
      <c r="R313" s="545">
        <f>'Foglio deposito bis'!$F$49*IF(ABS(L313)&lt;'Sollecitazioni nel paramento'!$G$58,ABS(L313)*'Sollecitazioni nel paramento'!$G$54,'Sollecitazioni nel paramento'!$G$53)*IF(L313&lt;0,-1,1)</f>
        <v>204886.47740803001</v>
      </c>
      <c r="S313" s="545">
        <f>'Foglio deposito bis'!$F$50*IF(ABS(M313)&lt;'Sollecitazioni nel paramento'!$G$58,ABS(M313)*'Sollecitazioni nel paramento'!$G$54,'Sollecitazioni nel paramento'!$G$53)*IF(M313&lt;0,-1,1)</f>
        <v>0</v>
      </c>
      <c r="T313" s="545">
        <f>'Foglio deposito bis'!$F$51*IF(ABS(N313)&lt;'Sollecitazioni nel paramento'!$G$58,ABS(N313)*'Sollecitazioni nel paramento'!$G$54,'Sollecitazioni nel paramento'!$G$53)*IF(N313&lt;0,-1,1)</f>
        <v>240946.49743184328</v>
      </c>
      <c r="U313" s="545">
        <f>'Foglio deposito bis'!$F$52*IF(ABS(O313)&lt;'Sollecitazioni nel paramento'!$G$58,ABS(O313)*'Sollecitazioni nel paramento'!$G$54,'Sollecitazioni nel paramento'!$G$53)*IF(O313&lt;0,-1,1)</f>
        <v>240946.49743184328</v>
      </c>
      <c r="V313" s="472">
        <f t="shared" si="23"/>
        <v>221588.83904567274</v>
      </c>
      <c r="W313" s="551"/>
      <c r="X313" s="551"/>
    </row>
    <row r="314" spans="1:24" x14ac:dyDescent="0.25">
      <c r="A314" s="545">
        <f t="shared" si="22"/>
        <v>213835.66182523861</v>
      </c>
      <c r="B314" s="3">
        <f t="shared" si="24"/>
        <v>3.0499999999999972</v>
      </c>
      <c r="C314" s="545">
        <f>'Foglio deposito bis'!$E$154/sezione!$B$247*B314</f>
        <v>12.41420086742993</v>
      </c>
      <c r="D314" s="603">
        <f>-'Sollecitazioni nel paramento'!$G$47*'Sollecitazioni nel paramento'!$G$41*IF(DATI!$G$211="dx",DATI!$E$61,DATI!$E$64*DATI!$E$63)*1000*C314^2*sezione!$AD$5*(1-sezione!$AD$6)</f>
        <v>-3428792.1657439256</v>
      </c>
      <c r="E314" s="545">
        <f>-'Foglio deposito bis'!$F$48*(C314-sezione!$AL$28)*IF(ABS(K314)&lt;'Sollecitazioni nel paramento'!$G$58,ABS(K314)*'Sollecitazioni nel paramento'!$G$54,'Sollecitazioni nel paramento'!$G$53)</f>
        <v>0</v>
      </c>
      <c r="F314" s="545">
        <f>-'Foglio deposito bis'!$F$49*(C314-sezione!$AM$28)*IF(ABS(L314)&lt;'Sollecitazioni nel paramento'!$G$58,ABS(L314)*'Sollecitazioni nel paramento'!$G$54,'Sollecitazioni nel paramento'!$G$53)</f>
        <v>9749686.7589183729</v>
      </c>
      <c r="G314" s="545">
        <f>-'Foglio deposito bis'!$F$50*(C314-sezione!$AN$28)*IF(ABS(M314)&lt;'Sollecitazioni nel paramento'!$G$58,ABS(M314)*'Sollecitazioni nel paramento'!$G$54,'Sollecitazioni nel paramento'!$G$53)</f>
        <v>0</v>
      </c>
      <c r="H314" s="545">
        <f>-'Foglio deposito bis'!$F$51*(C314-sezione!$AO$28)*IF(ABS(N314)&lt;'Sollecitazioni nel paramento'!$G$58,ABS(N314)*'Sollecitazioni nel paramento'!$G$54,'Sollecitazioni nel paramento'!$G$53)</f>
        <v>35560281.371672325</v>
      </c>
      <c r="I314" s="472">
        <f>-'Foglio deposito bis'!$F$52*(C314-sezione!$AP$28)*IF(ABS(O314)&lt;'Sollecitazioni nel paramento'!$G$58,ABS(O314)*'Sollecitazioni nel paramento'!$G$54,'Sollecitazioni nel paramento'!$G$53)</f>
        <v>59845274.432034694</v>
      </c>
      <c r="J314" s="472">
        <f t="shared" si="21"/>
        <v>101726450.39688146</v>
      </c>
      <c r="K314" s="550">
        <f>'Sollecitazioni nel paramento'!$G$60*(sezione!$AL$28-C314)/C314</f>
        <v>7.7774073414025348E-3</v>
      </c>
      <c r="L314" s="550">
        <f>'Sollecitazioni nel paramento'!$G$60*(sezione!$AM$28-C314)/C314</f>
        <v>1.3416111012103802E-2</v>
      </c>
      <c r="M314" s="551">
        <f>'Sollecitazioni nel paramento'!$G$60*(sezione!$AN$28-C314)/C314</f>
        <v>1.9054814682805069E-2</v>
      </c>
      <c r="N314" s="551">
        <f>'Sollecitazioni nel paramento'!$G$60*(sezione!$AO$28-C314)/C314</f>
        <v>4.1609629365610135E-2</v>
      </c>
      <c r="O314" s="551">
        <f>'Sollecitazioni nel paramento'!$G$60*(sezione!$AP$28-C314)/C314</f>
        <v>7.0025871347122071E-2</v>
      </c>
      <c r="P314" s="545">
        <f>-'Sollecitazioni nel paramento'!$G$47*'Sollecitazioni nel paramento'!$G$41*IF(DATI!$G$211="dx",DATI!$E$61,DATI!$E$64*DATI!$E$63)*1000*C314*sezione!$AD$5</f>
        <v>-472943.81044647796</v>
      </c>
      <c r="Q314" s="545">
        <f>'Foglio deposito bis'!$F$48*IF(ABS(K314)&lt;'Sollecitazioni nel paramento'!$G$58,ABS(K314)*'Sollecitazioni nel paramento'!$G$54,'Sollecitazioni nel paramento'!$G$53)*IF(K314&lt;0,-1,1)</f>
        <v>0</v>
      </c>
      <c r="R314" s="545">
        <f>'Foglio deposito bis'!$F$49*IF(ABS(L314)&lt;'Sollecitazioni nel paramento'!$G$58,ABS(L314)*'Sollecitazioni nel paramento'!$G$54,'Sollecitazioni nel paramento'!$G$53)*IF(L314&lt;0,-1,1)</f>
        <v>204886.47740803001</v>
      </c>
      <c r="S314" s="545">
        <f>'Foglio deposito bis'!$F$50*IF(ABS(M314)&lt;'Sollecitazioni nel paramento'!$G$58,ABS(M314)*'Sollecitazioni nel paramento'!$G$54,'Sollecitazioni nel paramento'!$G$53)*IF(M314&lt;0,-1,1)</f>
        <v>0</v>
      </c>
      <c r="T314" s="545">
        <f>'Foglio deposito bis'!$F$51*IF(ABS(N314)&lt;'Sollecitazioni nel paramento'!$G$58,ABS(N314)*'Sollecitazioni nel paramento'!$G$54,'Sollecitazioni nel paramento'!$G$53)*IF(N314&lt;0,-1,1)</f>
        <v>240946.49743184328</v>
      </c>
      <c r="U314" s="545">
        <f>'Foglio deposito bis'!$F$52*IF(ABS(O314)&lt;'Sollecitazioni nel paramento'!$G$58,ABS(O314)*'Sollecitazioni nel paramento'!$G$54,'Sollecitazioni nel paramento'!$G$53)*IF(O314&lt;0,-1,1)</f>
        <v>240946.49743184328</v>
      </c>
      <c r="V314" s="472">
        <f t="shared" si="23"/>
        <v>213835.66182523861</v>
      </c>
      <c r="W314" s="551"/>
      <c r="X314" s="551"/>
    </row>
    <row r="315" spans="1:24" x14ac:dyDescent="0.25">
      <c r="A315" s="545">
        <f t="shared" si="22"/>
        <v>206082.4846048046</v>
      </c>
      <c r="B315" s="3">
        <f t="shared" si="24"/>
        <v>3.099999999999997</v>
      </c>
      <c r="C315" s="545">
        <f>'Foglio deposito bis'!$E$154/sezione!$B$247*B315</f>
        <v>12.617712357059927</v>
      </c>
      <c r="D315" s="603">
        <f>-'Sollecitazioni nel paramento'!$G$47*'Sollecitazioni nel paramento'!$G$41*IF(DATI!$G$211="dx",DATI!$E$61,DATI!$E$64*DATI!$E$63)*1000*C315^2*sezione!$AD$5*(1-sezione!$AD$6)</f>
        <v>-3542133.0516311866</v>
      </c>
      <c r="E315" s="545">
        <f>-'Foglio deposito bis'!$F$48*(C315-sezione!$AL$28)*IF(ABS(K315)&lt;'Sollecitazioni nel paramento'!$G$58,ABS(K315)*'Sollecitazioni nel paramento'!$G$54,'Sollecitazioni nel paramento'!$G$53)</f>
        <v>0</v>
      </c>
      <c r="F315" s="545">
        <f>-'Foglio deposito bis'!$F$49*(C315-sezione!$AM$28)*IF(ABS(L315)&lt;'Sollecitazioni nel paramento'!$G$58,ABS(L315)*'Sollecitazioni nel paramento'!$G$54,'Sollecitazioni nel paramento'!$G$53)</f>
        <v>9707990.0066960212</v>
      </c>
      <c r="G315" s="545">
        <f>-'Foglio deposito bis'!$F$50*(C315-sezione!$AN$28)*IF(ABS(M315)&lt;'Sollecitazioni nel paramento'!$G$58,ABS(M315)*'Sollecitazioni nel paramento'!$G$54,'Sollecitazioni nel paramento'!$G$53)</f>
        <v>0</v>
      </c>
      <c r="H315" s="545">
        <f>-'Foglio deposito bis'!$F$51*(C315-sezione!$AO$28)*IF(ABS(N315)&lt;'Sollecitazioni nel paramento'!$G$58,ABS(N315)*'Sollecitazioni nel paramento'!$G$54,'Sollecitazioni nel paramento'!$G$53)</f>
        <v>35511245.991058849</v>
      </c>
      <c r="I315" s="472">
        <f>-'Foglio deposito bis'!$F$52*(C315-sezione!$AP$28)*IF(ABS(O315)&lt;'Sollecitazioni nel paramento'!$G$58,ABS(O315)*'Sollecitazioni nel paramento'!$G$54,'Sollecitazioni nel paramento'!$G$53)</f>
        <v>59796239.05142121</v>
      </c>
      <c r="J315" s="472">
        <f t="shared" si="21"/>
        <v>101473341.99754488</v>
      </c>
      <c r="K315" s="550">
        <f>'Sollecitazioni nel paramento'!$G$60*(sezione!$AL$28-C315)/C315</f>
        <v>7.5955136746057202E-3</v>
      </c>
      <c r="L315" s="550">
        <f>'Sollecitazioni nel paramento'!$G$60*(sezione!$AM$28-C315)/C315</f>
        <v>1.314327051190858E-2</v>
      </c>
      <c r="M315" s="551">
        <f>'Sollecitazioni nel paramento'!$G$60*(sezione!$AN$28-C315)/C315</f>
        <v>1.869102734921144E-2</v>
      </c>
      <c r="N315" s="551">
        <f>'Sollecitazioni nel paramento'!$G$60*(sezione!$AO$28-C315)/C315</f>
        <v>4.0882054698422883E-2</v>
      </c>
      <c r="O315" s="551">
        <f>'Sollecitazioni nel paramento'!$G$60*(sezione!$AP$28-C315)/C315</f>
        <v>6.8839970196362038E-2</v>
      </c>
      <c r="P315" s="545">
        <f>-'Sollecitazioni nel paramento'!$G$47*'Sollecitazioni nel paramento'!$G$41*IF(DATI!$G$211="dx",DATI!$E$61,DATI!$E$64*DATI!$E$63)*1000*C315*sezione!$AD$5</f>
        <v>-480696.98766691197</v>
      </c>
      <c r="Q315" s="545">
        <f>'Foglio deposito bis'!$F$48*IF(ABS(K315)&lt;'Sollecitazioni nel paramento'!$G$58,ABS(K315)*'Sollecitazioni nel paramento'!$G$54,'Sollecitazioni nel paramento'!$G$53)*IF(K315&lt;0,-1,1)</f>
        <v>0</v>
      </c>
      <c r="R315" s="545">
        <f>'Foglio deposito bis'!$F$49*IF(ABS(L315)&lt;'Sollecitazioni nel paramento'!$G$58,ABS(L315)*'Sollecitazioni nel paramento'!$G$54,'Sollecitazioni nel paramento'!$G$53)*IF(L315&lt;0,-1,1)</f>
        <v>204886.47740803001</v>
      </c>
      <c r="S315" s="545">
        <f>'Foglio deposito bis'!$F$50*IF(ABS(M315)&lt;'Sollecitazioni nel paramento'!$G$58,ABS(M315)*'Sollecitazioni nel paramento'!$G$54,'Sollecitazioni nel paramento'!$G$53)*IF(M315&lt;0,-1,1)</f>
        <v>0</v>
      </c>
      <c r="T315" s="545">
        <f>'Foglio deposito bis'!$F$51*IF(ABS(N315)&lt;'Sollecitazioni nel paramento'!$G$58,ABS(N315)*'Sollecitazioni nel paramento'!$G$54,'Sollecitazioni nel paramento'!$G$53)*IF(N315&lt;0,-1,1)</f>
        <v>240946.49743184328</v>
      </c>
      <c r="U315" s="545">
        <f>'Foglio deposito bis'!$F$52*IF(ABS(O315)&lt;'Sollecitazioni nel paramento'!$G$58,ABS(O315)*'Sollecitazioni nel paramento'!$G$54,'Sollecitazioni nel paramento'!$G$53)*IF(O315&lt;0,-1,1)</f>
        <v>240946.49743184328</v>
      </c>
      <c r="V315" s="472">
        <f t="shared" si="23"/>
        <v>206082.4846048046</v>
      </c>
      <c r="W315" s="551"/>
      <c r="X315" s="551"/>
    </row>
    <row r="316" spans="1:24" x14ac:dyDescent="0.25">
      <c r="A316" s="545">
        <f t="shared" si="22"/>
        <v>198329.30738437054</v>
      </c>
      <c r="B316" s="3">
        <f t="shared" si="24"/>
        <v>3.1499999999999968</v>
      </c>
      <c r="C316" s="545">
        <f>'Foglio deposito bis'!$E$154/sezione!$B$247*B316</f>
        <v>12.821223846689925</v>
      </c>
      <c r="D316" s="603">
        <f>-'Sollecitazioni nel paramento'!$G$47*'Sollecitazioni nel paramento'!$G$41*IF(DATI!$G$211="dx",DATI!$E$61,DATI!$E$64*DATI!$E$63)*1000*C316^2*sezione!$AD$5*(1-sezione!$AD$6)</f>
        <v>-3657316.8787523881</v>
      </c>
      <c r="E316" s="545">
        <f>-'Foglio deposito bis'!$F$48*(C316-sezione!$AL$28)*IF(ABS(K316)&lt;'Sollecitazioni nel paramento'!$G$58,ABS(K316)*'Sollecitazioni nel paramento'!$G$54,'Sollecitazioni nel paramento'!$G$53)</f>
        <v>0</v>
      </c>
      <c r="F316" s="545">
        <f>-'Foglio deposito bis'!$F$49*(C316-sezione!$AM$28)*IF(ABS(L316)&lt;'Sollecitazioni nel paramento'!$G$58,ABS(L316)*'Sollecitazioni nel paramento'!$G$54,'Sollecitazioni nel paramento'!$G$53)</f>
        <v>9666293.2544736695</v>
      </c>
      <c r="G316" s="545">
        <f>-'Foglio deposito bis'!$F$50*(C316-sezione!$AN$28)*IF(ABS(M316)&lt;'Sollecitazioni nel paramento'!$G$58,ABS(M316)*'Sollecitazioni nel paramento'!$G$54,'Sollecitazioni nel paramento'!$G$53)</f>
        <v>0</v>
      </c>
      <c r="H316" s="545">
        <f>-'Foglio deposito bis'!$F$51*(C316-sezione!$AO$28)*IF(ABS(N316)&lt;'Sollecitazioni nel paramento'!$G$58,ABS(N316)*'Sollecitazioni nel paramento'!$G$54,'Sollecitazioni nel paramento'!$G$53)</f>
        <v>35462210.610445358</v>
      </c>
      <c r="I316" s="472">
        <f>-'Foglio deposito bis'!$F$52*(C316-sezione!$AP$28)*IF(ABS(O316)&lt;'Sollecitazioni nel paramento'!$G$58,ABS(O316)*'Sollecitazioni nel paramento'!$G$54,'Sollecitazioni nel paramento'!$G$53)</f>
        <v>59747203.670807719</v>
      </c>
      <c r="J316" s="472">
        <f t="shared" si="21"/>
        <v>101218390.65697436</v>
      </c>
      <c r="K316" s="550">
        <f>'Sollecitazioni nel paramento'!$G$60*(sezione!$AL$28-C316)/C316</f>
        <v>7.4193944099294404E-3</v>
      </c>
      <c r="L316" s="550">
        <f>'Sollecitazioni nel paramento'!$G$60*(sezione!$AM$28-C316)/C316</f>
        <v>1.2879091614894159E-2</v>
      </c>
      <c r="M316" s="551">
        <f>'Sollecitazioni nel paramento'!$G$60*(sezione!$AN$28-C316)/C316</f>
        <v>1.833878881985888E-2</v>
      </c>
      <c r="N316" s="551">
        <f>'Sollecitazioni nel paramento'!$G$60*(sezione!$AO$28-C316)/C316</f>
        <v>4.0177577639717764E-2</v>
      </c>
      <c r="O316" s="551">
        <f>'Sollecitazioni nel paramento'!$G$60*(sezione!$AP$28-C316)/C316</f>
        <v>6.7691716701181709E-2</v>
      </c>
      <c r="P316" s="545">
        <f>-'Sollecitazioni nel paramento'!$G$47*'Sollecitazioni nel paramento'!$G$41*IF(DATI!$G$211="dx",DATI!$E$61,DATI!$E$64*DATI!$E$63)*1000*C316*sezione!$AD$5</f>
        <v>-488450.16488734604</v>
      </c>
      <c r="Q316" s="545">
        <f>'Foglio deposito bis'!$F$48*IF(ABS(K316)&lt;'Sollecitazioni nel paramento'!$G$58,ABS(K316)*'Sollecitazioni nel paramento'!$G$54,'Sollecitazioni nel paramento'!$G$53)*IF(K316&lt;0,-1,1)</f>
        <v>0</v>
      </c>
      <c r="R316" s="545">
        <f>'Foglio deposito bis'!$F$49*IF(ABS(L316)&lt;'Sollecitazioni nel paramento'!$G$58,ABS(L316)*'Sollecitazioni nel paramento'!$G$54,'Sollecitazioni nel paramento'!$G$53)*IF(L316&lt;0,-1,1)</f>
        <v>204886.47740803001</v>
      </c>
      <c r="S316" s="545">
        <f>'Foglio deposito bis'!$F$50*IF(ABS(M316)&lt;'Sollecitazioni nel paramento'!$G$58,ABS(M316)*'Sollecitazioni nel paramento'!$G$54,'Sollecitazioni nel paramento'!$G$53)*IF(M316&lt;0,-1,1)</f>
        <v>0</v>
      </c>
      <c r="T316" s="545">
        <f>'Foglio deposito bis'!$F$51*IF(ABS(N316)&lt;'Sollecitazioni nel paramento'!$G$58,ABS(N316)*'Sollecitazioni nel paramento'!$G$54,'Sollecitazioni nel paramento'!$G$53)*IF(N316&lt;0,-1,1)</f>
        <v>240946.49743184328</v>
      </c>
      <c r="U316" s="545">
        <f>'Foglio deposito bis'!$F$52*IF(ABS(O316)&lt;'Sollecitazioni nel paramento'!$G$58,ABS(O316)*'Sollecitazioni nel paramento'!$G$54,'Sollecitazioni nel paramento'!$G$53)*IF(O316&lt;0,-1,1)</f>
        <v>240946.49743184328</v>
      </c>
      <c r="V316" s="472">
        <f t="shared" si="23"/>
        <v>198329.30738437054</v>
      </c>
      <c r="W316" s="551"/>
      <c r="X316" s="551"/>
    </row>
    <row r="317" spans="1:24" x14ac:dyDescent="0.25">
      <c r="A317" s="545">
        <f t="shared" si="22"/>
        <v>190576.13016393653</v>
      </c>
      <c r="B317" s="3">
        <f t="shared" si="24"/>
        <v>3.1999999999999966</v>
      </c>
      <c r="C317" s="545">
        <f>'Foglio deposito bis'!$E$154/sezione!$B$247*B317</f>
        <v>13.024735336319925</v>
      </c>
      <c r="D317" s="603">
        <f>-'Sollecitazioni nel paramento'!$G$47*'Sollecitazioni nel paramento'!$G$41*IF(DATI!$G$211="dx",DATI!$E$61,DATI!$E$64*DATI!$E$63)*1000*C317^2*sezione!$AD$5*(1-sezione!$AD$6)</f>
        <v>-3774343.6471075295</v>
      </c>
      <c r="E317" s="545">
        <f>-'Foglio deposito bis'!$F$48*(C317-sezione!$AL$28)*IF(ABS(K317)&lt;'Sollecitazioni nel paramento'!$G$58,ABS(K317)*'Sollecitazioni nel paramento'!$G$54,'Sollecitazioni nel paramento'!$G$53)</f>
        <v>0</v>
      </c>
      <c r="F317" s="545">
        <f>-'Foglio deposito bis'!$F$49*(C317-sezione!$AM$28)*IF(ABS(L317)&lt;'Sollecitazioni nel paramento'!$G$58,ABS(L317)*'Sollecitazioni nel paramento'!$G$54,'Sollecitazioni nel paramento'!$G$53)</f>
        <v>9624596.5022513196</v>
      </c>
      <c r="G317" s="545">
        <f>-'Foglio deposito bis'!$F$50*(C317-sezione!$AN$28)*IF(ABS(M317)&lt;'Sollecitazioni nel paramento'!$G$58,ABS(M317)*'Sollecitazioni nel paramento'!$G$54,'Sollecitazioni nel paramento'!$G$53)</f>
        <v>0</v>
      </c>
      <c r="H317" s="545">
        <f>-'Foglio deposito bis'!$F$51*(C317-sezione!$AO$28)*IF(ABS(N317)&lt;'Sollecitazioni nel paramento'!$G$58,ABS(N317)*'Sollecitazioni nel paramento'!$G$54,'Sollecitazioni nel paramento'!$G$53)</f>
        <v>35413175.229831874</v>
      </c>
      <c r="I317" s="472">
        <f>-'Foglio deposito bis'!$F$52*(C317-sezione!$AP$28)*IF(ABS(O317)&lt;'Sollecitazioni nel paramento'!$G$58,ABS(O317)*'Sollecitazioni nel paramento'!$G$54,'Sollecitazioni nel paramento'!$G$53)</f>
        <v>59698168.290194243</v>
      </c>
      <c r="J317" s="472">
        <f t="shared" ref="J317:J380" si="25">D317+E317+F317+G317+H317+I317</f>
        <v>100961596.3751699</v>
      </c>
      <c r="K317" s="550">
        <f>'Sollecitazioni nel paramento'!$G$60*(sezione!$AL$28-C317)/C317</f>
        <v>7.2487788722742927E-3</v>
      </c>
      <c r="L317" s="550">
        <f>'Sollecitazioni nel paramento'!$G$60*(sezione!$AM$28-C317)/C317</f>
        <v>1.2623168308411439E-2</v>
      </c>
      <c r="M317" s="551">
        <f>'Sollecitazioni nel paramento'!$G$60*(sezione!$AN$28-C317)/C317</f>
        <v>1.7997557744548587E-2</v>
      </c>
      <c r="N317" s="551">
        <f>'Sollecitazioni nel paramento'!$G$60*(sezione!$AO$28-C317)/C317</f>
        <v>3.9495115489097163E-2</v>
      </c>
      <c r="O317" s="551">
        <f>'Sollecitazioni nel paramento'!$G$60*(sezione!$AP$28-C317)/C317</f>
        <v>6.657934612772573E-2</v>
      </c>
      <c r="P317" s="545">
        <f>-'Sollecitazioni nel paramento'!$G$47*'Sollecitazioni nel paramento'!$G$41*IF(DATI!$G$211="dx",DATI!$E$61,DATI!$E$64*DATI!$E$63)*1000*C317*sezione!$AD$5</f>
        <v>-496203.34210778004</v>
      </c>
      <c r="Q317" s="545">
        <f>'Foglio deposito bis'!$F$48*IF(ABS(K317)&lt;'Sollecitazioni nel paramento'!$G$58,ABS(K317)*'Sollecitazioni nel paramento'!$G$54,'Sollecitazioni nel paramento'!$G$53)*IF(K317&lt;0,-1,1)</f>
        <v>0</v>
      </c>
      <c r="R317" s="545">
        <f>'Foglio deposito bis'!$F$49*IF(ABS(L317)&lt;'Sollecitazioni nel paramento'!$G$58,ABS(L317)*'Sollecitazioni nel paramento'!$G$54,'Sollecitazioni nel paramento'!$G$53)*IF(L317&lt;0,-1,1)</f>
        <v>204886.47740803001</v>
      </c>
      <c r="S317" s="545">
        <f>'Foglio deposito bis'!$F$50*IF(ABS(M317)&lt;'Sollecitazioni nel paramento'!$G$58,ABS(M317)*'Sollecitazioni nel paramento'!$G$54,'Sollecitazioni nel paramento'!$G$53)*IF(M317&lt;0,-1,1)</f>
        <v>0</v>
      </c>
      <c r="T317" s="545">
        <f>'Foglio deposito bis'!$F$51*IF(ABS(N317)&lt;'Sollecitazioni nel paramento'!$G$58,ABS(N317)*'Sollecitazioni nel paramento'!$G$54,'Sollecitazioni nel paramento'!$G$53)*IF(N317&lt;0,-1,1)</f>
        <v>240946.49743184328</v>
      </c>
      <c r="U317" s="545">
        <f>'Foglio deposito bis'!$F$52*IF(ABS(O317)&lt;'Sollecitazioni nel paramento'!$G$58,ABS(O317)*'Sollecitazioni nel paramento'!$G$54,'Sollecitazioni nel paramento'!$G$53)*IF(O317&lt;0,-1,1)</f>
        <v>240946.49743184328</v>
      </c>
      <c r="V317" s="472">
        <f t="shared" si="23"/>
        <v>190576.13016393653</v>
      </c>
      <c r="W317" s="551"/>
      <c r="X317" s="551"/>
    </row>
    <row r="318" spans="1:24" x14ac:dyDescent="0.25">
      <c r="A318" s="545">
        <f t="shared" ref="A318:A381" si="26">ABS(V318)</f>
        <v>182822.95294350246</v>
      </c>
      <c r="B318" s="3">
        <f t="shared" si="24"/>
        <v>3.2499999999999964</v>
      </c>
      <c r="C318" s="545">
        <f>'Foglio deposito bis'!$E$154/sezione!$B$247*B318</f>
        <v>13.228246825949922</v>
      </c>
      <c r="D318" s="603">
        <f>-'Sollecitazioni nel paramento'!$G$47*'Sollecitazioni nel paramento'!$G$41*IF(DATI!$G$211="dx",DATI!$E$61,DATI!$E$64*DATI!$E$63)*1000*C318^2*sezione!$AD$5*(1-sezione!$AD$6)</f>
        <v>-3893213.3566966075</v>
      </c>
      <c r="E318" s="545">
        <f>-'Foglio deposito bis'!$F$48*(C318-sezione!$AL$28)*IF(ABS(K318)&lt;'Sollecitazioni nel paramento'!$G$58,ABS(K318)*'Sollecitazioni nel paramento'!$G$54,'Sollecitazioni nel paramento'!$G$53)</f>
        <v>0</v>
      </c>
      <c r="F318" s="545">
        <f>-'Foglio deposito bis'!$F$49*(C318-sezione!$AM$28)*IF(ABS(L318)&lt;'Sollecitazioni nel paramento'!$G$58,ABS(L318)*'Sollecitazioni nel paramento'!$G$54,'Sollecitazioni nel paramento'!$G$53)</f>
        <v>9582899.750028966</v>
      </c>
      <c r="G318" s="545">
        <f>-'Foglio deposito bis'!$F$50*(C318-sezione!$AN$28)*IF(ABS(M318)&lt;'Sollecitazioni nel paramento'!$G$58,ABS(M318)*'Sollecitazioni nel paramento'!$G$54,'Sollecitazioni nel paramento'!$G$53)</f>
        <v>0</v>
      </c>
      <c r="H318" s="545">
        <f>-'Foglio deposito bis'!$F$51*(C318-sezione!$AO$28)*IF(ABS(N318)&lt;'Sollecitazioni nel paramento'!$G$58,ABS(N318)*'Sollecitazioni nel paramento'!$G$54,'Sollecitazioni nel paramento'!$G$53)</f>
        <v>35364139.849218391</v>
      </c>
      <c r="I318" s="472">
        <f>-'Foglio deposito bis'!$F$52*(C318-sezione!$AP$28)*IF(ABS(O318)&lt;'Sollecitazioni nel paramento'!$G$58,ABS(O318)*'Sollecitazioni nel paramento'!$G$54,'Sollecitazioni nel paramento'!$G$53)</f>
        <v>59649132.909580752</v>
      </c>
      <c r="J318" s="472">
        <f t="shared" si="25"/>
        <v>100702959.1521315</v>
      </c>
      <c r="K318" s="550">
        <f>'Sollecitazioni nel paramento'!$G$60*(sezione!$AL$28-C318)/C318</f>
        <v>7.0834130434700732E-3</v>
      </c>
      <c r="L318" s="550">
        <f>'Sollecitazioni nel paramento'!$G$60*(sezione!$AM$28-C318)/C318</f>
        <v>1.2375119565205111E-2</v>
      </c>
      <c r="M318" s="551">
        <f>'Sollecitazioni nel paramento'!$G$60*(sezione!$AN$28-C318)/C318</f>
        <v>1.7666826086940146E-2</v>
      </c>
      <c r="N318" s="551">
        <f>'Sollecitazioni nel paramento'!$G$60*(sezione!$AO$28-C318)/C318</f>
        <v>3.8833652173880288E-2</v>
      </c>
      <c r="O318" s="551">
        <f>'Sollecitazioni nel paramento'!$G$60*(sezione!$AP$28-C318)/C318</f>
        <v>6.5501202341145343E-2</v>
      </c>
      <c r="P318" s="545">
        <f>-'Sollecitazioni nel paramento'!$G$47*'Sollecitazioni nel paramento'!$G$41*IF(DATI!$G$211="dx",DATI!$E$61,DATI!$E$64*DATI!$E$63)*1000*C318*sezione!$AD$5</f>
        <v>-503956.51932821411</v>
      </c>
      <c r="Q318" s="545">
        <f>'Foglio deposito bis'!$F$48*IF(ABS(K318)&lt;'Sollecitazioni nel paramento'!$G$58,ABS(K318)*'Sollecitazioni nel paramento'!$G$54,'Sollecitazioni nel paramento'!$G$53)*IF(K318&lt;0,-1,1)</f>
        <v>0</v>
      </c>
      <c r="R318" s="545">
        <f>'Foglio deposito bis'!$F$49*IF(ABS(L318)&lt;'Sollecitazioni nel paramento'!$G$58,ABS(L318)*'Sollecitazioni nel paramento'!$G$54,'Sollecitazioni nel paramento'!$G$53)*IF(L318&lt;0,-1,1)</f>
        <v>204886.47740803001</v>
      </c>
      <c r="S318" s="545">
        <f>'Foglio deposito bis'!$F$50*IF(ABS(M318)&lt;'Sollecitazioni nel paramento'!$G$58,ABS(M318)*'Sollecitazioni nel paramento'!$G$54,'Sollecitazioni nel paramento'!$G$53)*IF(M318&lt;0,-1,1)</f>
        <v>0</v>
      </c>
      <c r="T318" s="545">
        <f>'Foglio deposito bis'!$F$51*IF(ABS(N318)&lt;'Sollecitazioni nel paramento'!$G$58,ABS(N318)*'Sollecitazioni nel paramento'!$G$54,'Sollecitazioni nel paramento'!$G$53)*IF(N318&lt;0,-1,1)</f>
        <v>240946.49743184328</v>
      </c>
      <c r="U318" s="545">
        <f>'Foglio deposito bis'!$F$52*IF(ABS(O318)&lt;'Sollecitazioni nel paramento'!$G$58,ABS(O318)*'Sollecitazioni nel paramento'!$G$54,'Sollecitazioni nel paramento'!$G$53)*IF(O318&lt;0,-1,1)</f>
        <v>240946.49743184328</v>
      </c>
      <c r="V318" s="472">
        <f t="shared" ref="V318:V381" si="27">P318+Q318+R318+S318+T318+U318</f>
        <v>182822.95294350246</v>
      </c>
      <c r="W318" s="551"/>
      <c r="X318" s="551"/>
    </row>
    <row r="319" spans="1:24" x14ac:dyDescent="0.25">
      <c r="A319" s="545">
        <f t="shared" si="26"/>
        <v>175069.77572306833</v>
      </c>
      <c r="B319" s="3">
        <f t="shared" ref="B319:B355" si="28">B318+0.05</f>
        <v>3.2999999999999963</v>
      </c>
      <c r="C319" s="545">
        <f>'Foglio deposito bis'!$E$154/sezione!$B$247*B319</f>
        <v>13.431758315579922</v>
      </c>
      <c r="D319" s="603">
        <f>-'Sollecitazioni nel paramento'!$G$47*'Sollecitazioni nel paramento'!$G$41*IF(DATI!$G$211="dx",DATI!$E$61,DATI!$E$64*DATI!$E$63)*1000*C319^2*sezione!$AD$5*(1-sezione!$AD$6)</f>
        <v>-4013926.0075196279</v>
      </c>
      <c r="E319" s="545">
        <f>-'Foglio deposito bis'!$F$48*(C319-sezione!$AL$28)*IF(ABS(K319)&lt;'Sollecitazioni nel paramento'!$G$58,ABS(K319)*'Sollecitazioni nel paramento'!$G$54,'Sollecitazioni nel paramento'!$G$53)</f>
        <v>0</v>
      </c>
      <c r="F319" s="545">
        <f>-'Foglio deposito bis'!$F$49*(C319-sezione!$AM$28)*IF(ABS(L319)&lt;'Sollecitazioni nel paramento'!$G$58,ABS(L319)*'Sollecitazioni nel paramento'!$G$54,'Sollecitazioni nel paramento'!$G$53)</f>
        <v>9541202.9978066161</v>
      </c>
      <c r="G319" s="545">
        <f>-'Foglio deposito bis'!$F$50*(C319-sezione!$AN$28)*IF(ABS(M319)&lt;'Sollecitazioni nel paramento'!$G$58,ABS(M319)*'Sollecitazioni nel paramento'!$G$54,'Sollecitazioni nel paramento'!$G$53)</f>
        <v>0</v>
      </c>
      <c r="H319" s="545">
        <f>-'Foglio deposito bis'!$F$51*(C319-sezione!$AO$28)*IF(ABS(N319)&lt;'Sollecitazioni nel paramento'!$G$58,ABS(N319)*'Sollecitazioni nel paramento'!$G$54,'Sollecitazioni nel paramento'!$G$53)</f>
        <v>35315104.468604907</v>
      </c>
      <c r="I319" s="472">
        <f>-'Foglio deposito bis'!$F$52*(C319-sezione!$AP$28)*IF(ABS(O319)&lt;'Sollecitazioni nel paramento'!$G$58,ABS(O319)*'Sollecitazioni nel paramento'!$G$54,'Sollecitazioni nel paramento'!$G$53)</f>
        <v>59600097.528967269</v>
      </c>
      <c r="J319" s="472">
        <f t="shared" si="25"/>
        <v>100442478.98785916</v>
      </c>
      <c r="K319" s="550">
        <f>'Sollecitazioni nel paramento'!$G$60*(sezione!$AL$28-C319)/C319</f>
        <v>6.9230583003871936E-3</v>
      </c>
      <c r="L319" s="550">
        <f>'Sollecitazioni nel paramento'!$G$60*(sezione!$AM$28-C319)/C319</f>
        <v>1.2134587450580788E-2</v>
      </c>
      <c r="M319" s="551">
        <f>'Sollecitazioni nel paramento'!$G$60*(sezione!$AN$28-C319)/C319</f>
        <v>1.7346116600774383E-2</v>
      </c>
      <c r="N319" s="551">
        <f>'Sollecitazioni nel paramento'!$G$60*(sezione!$AO$28-C319)/C319</f>
        <v>3.8192233201548777E-2</v>
      </c>
      <c r="O319" s="551">
        <f>'Sollecitazioni nel paramento'!$G$60*(sezione!$AP$28-C319)/C319</f>
        <v>6.4455729578400719E-2</v>
      </c>
      <c r="P319" s="545">
        <f>-'Sollecitazioni nel paramento'!$G$47*'Sollecitazioni nel paramento'!$G$41*IF(DATI!$G$211="dx",DATI!$E$61,DATI!$E$64*DATI!$E$63)*1000*C319*sezione!$AD$5</f>
        <v>-511709.69654864824</v>
      </c>
      <c r="Q319" s="545">
        <f>'Foglio deposito bis'!$F$48*IF(ABS(K319)&lt;'Sollecitazioni nel paramento'!$G$58,ABS(K319)*'Sollecitazioni nel paramento'!$G$54,'Sollecitazioni nel paramento'!$G$53)*IF(K319&lt;0,-1,1)</f>
        <v>0</v>
      </c>
      <c r="R319" s="545">
        <f>'Foglio deposito bis'!$F$49*IF(ABS(L319)&lt;'Sollecitazioni nel paramento'!$G$58,ABS(L319)*'Sollecitazioni nel paramento'!$G$54,'Sollecitazioni nel paramento'!$G$53)*IF(L319&lt;0,-1,1)</f>
        <v>204886.47740803001</v>
      </c>
      <c r="S319" s="545">
        <f>'Foglio deposito bis'!$F$50*IF(ABS(M319)&lt;'Sollecitazioni nel paramento'!$G$58,ABS(M319)*'Sollecitazioni nel paramento'!$G$54,'Sollecitazioni nel paramento'!$G$53)*IF(M319&lt;0,-1,1)</f>
        <v>0</v>
      </c>
      <c r="T319" s="545">
        <f>'Foglio deposito bis'!$F$51*IF(ABS(N319)&lt;'Sollecitazioni nel paramento'!$G$58,ABS(N319)*'Sollecitazioni nel paramento'!$G$54,'Sollecitazioni nel paramento'!$G$53)*IF(N319&lt;0,-1,1)</f>
        <v>240946.49743184328</v>
      </c>
      <c r="U319" s="545">
        <f>'Foglio deposito bis'!$F$52*IF(ABS(O319)&lt;'Sollecitazioni nel paramento'!$G$58,ABS(O319)*'Sollecitazioni nel paramento'!$G$54,'Sollecitazioni nel paramento'!$G$53)*IF(O319&lt;0,-1,1)</f>
        <v>240946.49743184328</v>
      </c>
      <c r="V319" s="472">
        <f t="shared" si="27"/>
        <v>175069.77572306833</v>
      </c>
      <c r="W319" s="551"/>
      <c r="X319" s="551"/>
    </row>
    <row r="320" spans="1:24" x14ac:dyDescent="0.25">
      <c r="A320" s="545">
        <f t="shared" si="26"/>
        <v>167316.59850263444</v>
      </c>
      <c r="B320" s="3">
        <f t="shared" si="28"/>
        <v>3.3499999999999961</v>
      </c>
      <c r="C320" s="545">
        <f>'Foglio deposito bis'!$E$154/sezione!$B$247*B320</f>
        <v>13.635269805209919</v>
      </c>
      <c r="D320" s="603">
        <f>-'Sollecitazioni nel paramento'!$G$47*'Sollecitazioni nel paramento'!$G$41*IF(DATI!$G$211="dx",DATI!$E$61,DATI!$E$64*DATI!$E$63)*1000*C320^2*sezione!$AD$5*(1-sezione!$AD$6)</f>
        <v>-4136481.599576585</v>
      </c>
      <c r="E320" s="545">
        <f>-'Foglio deposito bis'!$F$48*(C320-sezione!$AL$28)*IF(ABS(K320)&lt;'Sollecitazioni nel paramento'!$G$58,ABS(K320)*'Sollecitazioni nel paramento'!$G$54,'Sollecitazioni nel paramento'!$G$53)</f>
        <v>0</v>
      </c>
      <c r="F320" s="545">
        <f>-'Foglio deposito bis'!$F$49*(C320-sezione!$AM$28)*IF(ABS(L320)&lt;'Sollecitazioni nel paramento'!$G$58,ABS(L320)*'Sollecitazioni nel paramento'!$G$54,'Sollecitazioni nel paramento'!$G$53)</f>
        <v>9499506.2455842663</v>
      </c>
      <c r="G320" s="545">
        <f>-'Foglio deposito bis'!$F$50*(C320-sezione!$AN$28)*IF(ABS(M320)&lt;'Sollecitazioni nel paramento'!$G$58,ABS(M320)*'Sollecitazioni nel paramento'!$G$54,'Sollecitazioni nel paramento'!$G$53)</f>
        <v>0</v>
      </c>
      <c r="H320" s="545">
        <f>-'Foglio deposito bis'!$F$51*(C320-sezione!$AO$28)*IF(ABS(N320)&lt;'Sollecitazioni nel paramento'!$G$58,ABS(N320)*'Sollecitazioni nel paramento'!$G$54,'Sollecitazioni nel paramento'!$G$53)</f>
        <v>35266069.087991416</v>
      </c>
      <c r="I320" s="472">
        <f>-'Foglio deposito bis'!$F$52*(C320-sezione!$AP$28)*IF(ABS(O320)&lt;'Sollecitazioni nel paramento'!$G$58,ABS(O320)*'Sollecitazioni nel paramento'!$G$54,'Sollecitazioni nel paramento'!$G$53)</f>
        <v>59551062.148353778</v>
      </c>
      <c r="J320" s="472">
        <f t="shared" si="25"/>
        <v>100180155.88235287</v>
      </c>
      <c r="K320" s="550">
        <f>'Sollecitazioni nel paramento'!$G$60*(sezione!$AL$28-C320)/C320</f>
        <v>6.7674902660530565E-3</v>
      </c>
      <c r="L320" s="550">
        <f>'Sollecitazioni nel paramento'!$G$60*(sezione!$AM$28-C320)/C320</f>
        <v>1.1901235399079587E-2</v>
      </c>
      <c r="M320" s="551">
        <f>'Sollecitazioni nel paramento'!$G$60*(sezione!$AN$28-C320)/C320</f>
        <v>1.7034980532106114E-2</v>
      </c>
      <c r="N320" s="551">
        <f>'Sollecitazioni nel paramento'!$G$60*(sezione!$AO$28-C320)/C320</f>
        <v>3.7569961064212218E-2</v>
      </c>
      <c r="O320" s="551">
        <f>'Sollecitazioni nel paramento'!$G$60*(sezione!$AP$28-C320)/C320</f>
        <v>6.3441464957827584E-2</v>
      </c>
      <c r="P320" s="545">
        <f>-'Sollecitazioni nel paramento'!$G$47*'Sollecitazioni nel paramento'!$G$41*IF(DATI!$G$211="dx",DATI!$E$61,DATI!$E$64*DATI!$E$63)*1000*C320*sezione!$AD$5</f>
        <v>-519462.87376908213</v>
      </c>
      <c r="Q320" s="545">
        <f>'Foglio deposito bis'!$F$48*IF(ABS(K320)&lt;'Sollecitazioni nel paramento'!$G$58,ABS(K320)*'Sollecitazioni nel paramento'!$G$54,'Sollecitazioni nel paramento'!$G$53)*IF(K320&lt;0,-1,1)</f>
        <v>0</v>
      </c>
      <c r="R320" s="545">
        <f>'Foglio deposito bis'!$F$49*IF(ABS(L320)&lt;'Sollecitazioni nel paramento'!$G$58,ABS(L320)*'Sollecitazioni nel paramento'!$G$54,'Sollecitazioni nel paramento'!$G$53)*IF(L320&lt;0,-1,1)</f>
        <v>204886.47740803001</v>
      </c>
      <c r="S320" s="545">
        <f>'Foglio deposito bis'!$F$50*IF(ABS(M320)&lt;'Sollecitazioni nel paramento'!$G$58,ABS(M320)*'Sollecitazioni nel paramento'!$G$54,'Sollecitazioni nel paramento'!$G$53)*IF(M320&lt;0,-1,1)</f>
        <v>0</v>
      </c>
      <c r="T320" s="545">
        <f>'Foglio deposito bis'!$F$51*IF(ABS(N320)&lt;'Sollecitazioni nel paramento'!$G$58,ABS(N320)*'Sollecitazioni nel paramento'!$G$54,'Sollecitazioni nel paramento'!$G$53)*IF(N320&lt;0,-1,1)</f>
        <v>240946.49743184328</v>
      </c>
      <c r="U320" s="545">
        <f>'Foglio deposito bis'!$F$52*IF(ABS(O320)&lt;'Sollecitazioni nel paramento'!$G$58,ABS(O320)*'Sollecitazioni nel paramento'!$G$54,'Sollecitazioni nel paramento'!$G$53)*IF(O320&lt;0,-1,1)</f>
        <v>240946.49743184328</v>
      </c>
      <c r="V320" s="472">
        <f t="shared" si="27"/>
        <v>167316.59850263444</v>
      </c>
      <c r="W320" s="551"/>
      <c r="X320" s="551"/>
    </row>
    <row r="321" spans="1:24" x14ac:dyDescent="0.25">
      <c r="A321" s="545">
        <f t="shared" si="26"/>
        <v>159563.42128220038</v>
      </c>
      <c r="B321" s="3">
        <f t="shared" si="28"/>
        <v>3.3999999999999959</v>
      </c>
      <c r="C321" s="545">
        <f>'Foglio deposito bis'!$E$154/sezione!$B$247*B321</f>
        <v>13.838781294839917</v>
      </c>
      <c r="D321" s="603">
        <f>-'Sollecitazioni nel paramento'!$G$47*'Sollecitazioni nel paramento'!$G$41*IF(DATI!$G$211="dx",DATI!$E$61,DATI!$E$64*DATI!$E$63)*1000*C321^2*sezione!$AD$5*(1-sezione!$AD$6)</f>
        <v>-4260880.1328674816</v>
      </c>
      <c r="E321" s="545">
        <f>-'Foglio deposito bis'!$F$48*(C321-sezione!$AL$28)*IF(ABS(K321)&lt;'Sollecitazioni nel paramento'!$G$58,ABS(K321)*'Sollecitazioni nel paramento'!$G$54,'Sollecitazioni nel paramento'!$G$53)</f>
        <v>0</v>
      </c>
      <c r="F321" s="545">
        <f>-'Foglio deposito bis'!$F$49*(C321-sezione!$AM$28)*IF(ABS(L321)&lt;'Sollecitazioni nel paramento'!$G$58,ABS(L321)*'Sollecitazioni nel paramento'!$G$54,'Sollecitazioni nel paramento'!$G$53)</f>
        <v>9457809.4933619127</v>
      </c>
      <c r="G321" s="545">
        <f>-'Foglio deposito bis'!$F$50*(C321-sezione!$AN$28)*IF(ABS(M321)&lt;'Sollecitazioni nel paramento'!$G$58,ABS(M321)*'Sollecitazioni nel paramento'!$G$54,'Sollecitazioni nel paramento'!$G$53)</f>
        <v>0</v>
      </c>
      <c r="H321" s="545">
        <f>-'Foglio deposito bis'!$F$51*(C321-sezione!$AO$28)*IF(ABS(N321)&lt;'Sollecitazioni nel paramento'!$G$58,ABS(N321)*'Sollecitazioni nel paramento'!$G$54,'Sollecitazioni nel paramento'!$G$53)</f>
        <v>35217033.70737794</v>
      </c>
      <c r="I321" s="472">
        <f>-'Foglio deposito bis'!$F$52*(C321-sezione!$AP$28)*IF(ABS(O321)&lt;'Sollecitazioni nel paramento'!$G$58,ABS(O321)*'Sollecitazioni nel paramento'!$G$54,'Sollecitazioni nel paramento'!$G$53)</f>
        <v>59502026.767740294</v>
      </c>
      <c r="J321" s="472">
        <f t="shared" si="25"/>
        <v>99915989.83561267</v>
      </c>
      <c r="K321" s="550">
        <f>'Sollecitazioni nel paramento'!$G$60*(sezione!$AL$28-C321)/C321</f>
        <v>6.616497762140512E-3</v>
      </c>
      <c r="L321" s="550">
        <f>'Sollecitazioni nel paramento'!$G$60*(sezione!$AM$28-C321)/C321</f>
        <v>1.1674746643210769E-2</v>
      </c>
      <c r="M321" s="551">
        <f>'Sollecitazioni nel paramento'!$G$60*(sezione!$AN$28-C321)/C321</f>
        <v>1.6732995524281022E-2</v>
      </c>
      <c r="N321" s="551">
        <f>'Sollecitazioni nel paramento'!$G$60*(sezione!$AO$28-C321)/C321</f>
        <v>3.6965991048562054E-2</v>
      </c>
      <c r="O321" s="551">
        <f>'Sollecitazioni nel paramento'!$G$60*(sezione!$AP$28-C321)/C321</f>
        <v>6.2457031649624239E-2</v>
      </c>
      <c r="P321" s="545">
        <f>-'Sollecitazioni nel paramento'!$G$47*'Sollecitazioni nel paramento'!$G$41*IF(DATI!$G$211="dx",DATI!$E$61,DATI!$E$64*DATI!$E$63)*1000*C321*sezione!$AD$5</f>
        <v>-527216.0509895162</v>
      </c>
      <c r="Q321" s="545">
        <f>'Foglio deposito bis'!$F$48*IF(ABS(K321)&lt;'Sollecitazioni nel paramento'!$G$58,ABS(K321)*'Sollecitazioni nel paramento'!$G$54,'Sollecitazioni nel paramento'!$G$53)*IF(K321&lt;0,-1,1)</f>
        <v>0</v>
      </c>
      <c r="R321" s="545">
        <f>'Foglio deposito bis'!$F$49*IF(ABS(L321)&lt;'Sollecitazioni nel paramento'!$G$58,ABS(L321)*'Sollecitazioni nel paramento'!$G$54,'Sollecitazioni nel paramento'!$G$53)*IF(L321&lt;0,-1,1)</f>
        <v>204886.47740803001</v>
      </c>
      <c r="S321" s="545">
        <f>'Foglio deposito bis'!$F$50*IF(ABS(M321)&lt;'Sollecitazioni nel paramento'!$G$58,ABS(M321)*'Sollecitazioni nel paramento'!$G$54,'Sollecitazioni nel paramento'!$G$53)*IF(M321&lt;0,-1,1)</f>
        <v>0</v>
      </c>
      <c r="T321" s="545">
        <f>'Foglio deposito bis'!$F$51*IF(ABS(N321)&lt;'Sollecitazioni nel paramento'!$G$58,ABS(N321)*'Sollecitazioni nel paramento'!$G$54,'Sollecitazioni nel paramento'!$G$53)*IF(N321&lt;0,-1,1)</f>
        <v>240946.49743184328</v>
      </c>
      <c r="U321" s="545">
        <f>'Foglio deposito bis'!$F$52*IF(ABS(O321)&lt;'Sollecitazioni nel paramento'!$G$58,ABS(O321)*'Sollecitazioni nel paramento'!$G$54,'Sollecitazioni nel paramento'!$G$53)*IF(O321&lt;0,-1,1)</f>
        <v>240946.49743184328</v>
      </c>
      <c r="V321" s="472">
        <f t="shared" si="27"/>
        <v>159563.42128220038</v>
      </c>
      <c r="W321" s="551"/>
      <c r="X321" s="551"/>
    </row>
    <row r="322" spans="1:24" x14ac:dyDescent="0.25">
      <c r="A322" s="545">
        <f t="shared" si="26"/>
        <v>151810.24406176631</v>
      </c>
      <c r="B322" s="3">
        <f t="shared" si="28"/>
        <v>3.4499999999999957</v>
      </c>
      <c r="C322" s="545">
        <f>'Foglio deposito bis'!$E$154/sezione!$B$247*B322</f>
        <v>14.042292784469916</v>
      </c>
      <c r="D322" s="603">
        <f>-'Sollecitazioni nel paramento'!$G$47*'Sollecitazioni nel paramento'!$G$41*IF(DATI!$G$211="dx",DATI!$E$61,DATI!$E$64*DATI!$E$63)*1000*C322^2*sezione!$AD$5*(1-sezione!$AD$6)</f>
        <v>-4387121.6073923195</v>
      </c>
      <c r="E322" s="545">
        <f>-'Foglio deposito bis'!$F$48*(C322-sezione!$AL$28)*IF(ABS(K322)&lt;'Sollecitazioni nel paramento'!$G$58,ABS(K322)*'Sollecitazioni nel paramento'!$G$54,'Sollecitazioni nel paramento'!$G$53)</f>
        <v>0</v>
      </c>
      <c r="F322" s="545">
        <f>-'Foglio deposito bis'!$F$49*(C322-sezione!$AM$28)*IF(ABS(L322)&lt;'Sollecitazioni nel paramento'!$G$58,ABS(L322)*'Sollecitazioni nel paramento'!$G$54,'Sollecitazioni nel paramento'!$G$53)</f>
        <v>9416112.7411395628</v>
      </c>
      <c r="G322" s="545">
        <f>-'Foglio deposito bis'!$F$50*(C322-sezione!$AN$28)*IF(ABS(M322)&lt;'Sollecitazioni nel paramento'!$G$58,ABS(M322)*'Sollecitazioni nel paramento'!$G$54,'Sollecitazioni nel paramento'!$G$53)</f>
        <v>0</v>
      </c>
      <c r="H322" s="545">
        <f>-'Foglio deposito bis'!$F$51*(C322-sezione!$AO$28)*IF(ABS(N322)&lt;'Sollecitazioni nel paramento'!$G$58,ABS(N322)*'Sollecitazioni nel paramento'!$G$54,'Sollecitazioni nel paramento'!$G$53)</f>
        <v>35167998.326764449</v>
      </c>
      <c r="I322" s="472">
        <f>-'Foglio deposito bis'!$F$52*(C322-sezione!$AP$28)*IF(ABS(O322)&lt;'Sollecitazioni nel paramento'!$G$58,ABS(O322)*'Sollecitazioni nel paramento'!$G$54,'Sollecitazioni nel paramento'!$G$53)</f>
        <v>59452991.387126818</v>
      </c>
      <c r="J322" s="472">
        <f t="shared" si="25"/>
        <v>99649980.847638518</v>
      </c>
      <c r="K322" s="550">
        <f>'Sollecitazioni nel paramento'!$G$60*(sezione!$AL$28-C322)/C322</f>
        <v>6.4698818525442733E-3</v>
      </c>
      <c r="L322" s="550">
        <f>'Sollecitazioni nel paramento'!$G$60*(sezione!$AM$28-C322)/C322</f>
        <v>1.1454822778816409E-2</v>
      </c>
      <c r="M322" s="551">
        <f>'Sollecitazioni nel paramento'!$G$60*(sezione!$AN$28-C322)/C322</f>
        <v>1.6439763705088543E-2</v>
      </c>
      <c r="N322" s="551">
        <f>'Sollecitazioni nel paramento'!$G$60*(sezione!$AO$28-C322)/C322</f>
        <v>3.6379527410177095E-2</v>
      </c>
      <c r="O322" s="551">
        <f>'Sollecitazioni nel paramento'!$G$60*(sezione!$AP$28-C322)/C322</f>
        <v>6.1501132640209386E-2</v>
      </c>
      <c r="P322" s="545">
        <f>-'Sollecitazioni nel paramento'!$G$47*'Sollecitazioni nel paramento'!$G$41*IF(DATI!$G$211="dx",DATI!$E$61,DATI!$E$64*DATI!$E$63)*1000*C322*sezione!$AD$5</f>
        <v>-534969.22820995026</v>
      </c>
      <c r="Q322" s="545">
        <f>'Foglio deposito bis'!$F$48*IF(ABS(K322)&lt;'Sollecitazioni nel paramento'!$G$58,ABS(K322)*'Sollecitazioni nel paramento'!$G$54,'Sollecitazioni nel paramento'!$G$53)*IF(K322&lt;0,-1,1)</f>
        <v>0</v>
      </c>
      <c r="R322" s="545">
        <f>'Foglio deposito bis'!$F$49*IF(ABS(L322)&lt;'Sollecitazioni nel paramento'!$G$58,ABS(L322)*'Sollecitazioni nel paramento'!$G$54,'Sollecitazioni nel paramento'!$G$53)*IF(L322&lt;0,-1,1)</f>
        <v>204886.47740803001</v>
      </c>
      <c r="S322" s="545">
        <f>'Foglio deposito bis'!$F$50*IF(ABS(M322)&lt;'Sollecitazioni nel paramento'!$G$58,ABS(M322)*'Sollecitazioni nel paramento'!$G$54,'Sollecitazioni nel paramento'!$G$53)*IF(M322&lt;0,-1,1)</f>
        <v>0</v>
      </c>
      <c r="T322" s="545">
        <f>'Foglio deposito bis'!$F$51*IF(ABS(N322)&lt;'Sollecitazioni nel paramento'!$G$58,ABS(N322)*'Sollecitazioni nel paramento'!$G$54,'Sollecitazioni nel paramento'!$G$53)*IF(N322&lt;0,-1,1)</f>
        <v>240946.49743184328</v>
      </c>
      <c r="U322" s="545">
        <f>'Foglio deposito bis'!$F$52*IF(ABS(O322)&lt;'Sollecitazioni nel paramento'!$G$58,ABS(O322)*'Sollecitazioni nel paramento'!$G$54,'Sollecitazioni nel paramento'!$G$53)*IF(O322&lt;0,-1,1)</f>
        <v>240946.49743184328</v>
      </c>
      <c r="V322" s="472">
        <f t="shared" si="27"/>
        <v>151810.24406176631</v>
      </c>
      <c r="W322" s="551"/>
      <c r="X322" s="551"/>
    </row>
    <row r="323" spans="1:24" x14ac:dyDescent="0.25">
      <c r="A323" s="545">
        <f t="shared" si="26"/>
        <v>144057.06684133224</v>
      </c>
      <c r="B323" s="3">
        <f t="shared" si="28"/>
        <v>3.4999999999999956</v>
      </c>
      <c r="C323" s="545">
        <f>'Foglio deposito bis'!$E$154/sezione!$B$247*B323</f>
        <v>14.245804274099914</v>
      </c>
      <c r="D323" s="603">
        <f>-'Sollecitazioni nel paramento'!$G$47*'Sollecitazioni nel paramento'!$G$41*IF(DATI!$G$211="dx",DATI!$E$61,DATI!$E$64*DATI!$E$63)*1000*C323^2*sezione!$AD$5*(1-sezione!$AD$6)</f>
        <v>-4515206.023151095</v>
      </c>
      <c r="E323" s="545">
        <f>-'Foglio deposito bis'!$F$48*(C323-sezione!$AL$28)*IF(ABS(K323)&lt;'Sollecitazioni nel paramento'!$G$58,ABS(K323)*'Sollecitazioni nel paramento'!$G$54,'Sollecitazioni nel paramento'!$G$53)</f>
        <v>0</v>
      </c>
      <c r="F323" s="545">
        <f>-'Foglio deposito bis'!$F$49*(C323-sezione!$AM$28)*IF(ABS(L323)&lt;'Sollecitazioni nel paramento'!$G$58,ABS(L323)*'Sollecitazioni nel paramento'!$G$54,'Sollecitazioni nel paramento'!$G$53)</f>
        <v>9374415.9889172111</v>
      </c>
      <c r="G323" s="545">
        <f>-'Foglio deposito bis'!$F$50*(C323-sezione!$AN$28)*IF(ABS(M323)&lt;'Sollecitazioni nel paramento'!$G$58,ABS(M323)*'Sollecitazioni nel paramento'!$G$54,'Sollecitazioni nel paramento'!$G$53)</f>
        <v>0</v>
      </c>
      <c r="H323" s="545">
        <f>-'Foglio deposito bis'!$F$51*(C323-sezione!$AO$28)*IF(ABS(N323)&lt;'Sollecitazioni nel paramento'!$G$58,ABS(N323)*'Sollecitazioni nel paramento'!$G$54,'Sollecitazioni nel paramento'!$G$53)</f>
        <v>35118962.946150966</v>
      </c>
      <c r="I323" s="472">
        <f>-'Foglio deposito bis'!$F$52*(C323-sezione!$AP$28)*IF(ABS(O323)&lt;'Sollecitazioni nel paramento'!$G$58,ABS(O323)*'Sollecitazioni nel paramento'!$G$54,'Sollecitazioni nel paramento'!$G$53)</f>
        <v>59403956.006513327</v>
      </c>
      <c r="J323" s="472">
        <f t="shared" si="25"/>
        <v>99382128.918430418</v>
      </c>
      <c r="K323" s="550">
        <f>'Sollecitazioni nel paramento'!$G$60*(sezione!$AL$28-C323)/C323</f>
        <v>6.3274549689364976E-3</v>
      </c>
      <c r="L323" s="550">
        <f>'Sollecitazioni nel paramento'!$G$60*(sezione!$AM$28-C323)/C323</f>
        <v>1.1241182453404748E-2</v>
      </c>
      <c r="M323" s="551">
        <f>'Sollecitazioni nel paramento'!$G$60*(sezione!$AN$28-C323)/C323</f>
        <v>1.6154909937872997E-2</v>
      </c>
      <c r="N323" s="551">
        <f>'Sollecitazioni nel paramento'!$G$60*(sezione!$AO$28-C323)/C323</f>
        <v>3.5809819875745996E-2</v>
      </c>
      <c r="O323" s="551">
        <f>'Sollecitazioni nel paramento'!$G$60*(sezione!$AP$28-C323)/C323</f>
        <v>6.0572545031063546E-2</v>
      </c>
      <c r="P323" s="545">
        <f>-'Sollecitazioni nel paramento'!$G$47*'Sollecitazioni nel paramento'!$G$41*IF(DATI!$G$211="dx",DATI!$E$61,DATI!$E$64*DATI!$E$63)*1000*C323*sezione!$AD$5</f>
        <v>-542722.40543038433</v>
      </c>
      <c r="Q323" s="545">
        <f>'Foglio deposito bis'!$F$48*IF(ABS(K323)&lt;'Sollecitazioni nel paramento'!$G$58,ABS(K323)*'Sollecitazioni nel paramento'!$G$54,'Sollecitazioni nel paramento'!$G$53)*IF(K323&lt;0,-1,1)</f>
        <v>0</v>
      </c>
      <c r="R323" s="545">
        <f>'Foglio deposito bis'!$F$49*IF(ABS(L323)&lt;'Sollecitazioni nel paramento'!$G$58,ABS(L323)*'Sollecitazioni nel paramento'!$G$54,'Sollecitazioni nel paramento'!$G$53)*IF(L323&lt;0,-1,1)</f>
        <v>204886.47740803001</v>
      </c>
      <c r="S323" s="545">
        <f>'Foglio deposito bis'!$F$50*IF(ABS(M323)&lt;'Sollecitazioni nel paramento'!$G$58,ABS(M323)*'Sollecitazioni nel paramento'!$G$54,'Sollecitazioni nel paramento'!$G$53)*IF(M323&lt;0,-1,1)</f>
        <v>0</v>
      </c>
      <c r="T323" s="545">
        <f>'Foglio deposito bis'!$F$51*IF(ABS(N323)&lt;'Sollecitazioni nel paramento'!$G$58,ABS(N323)*'Sollecitazioni nel paramento'!$G$54,'Sollecitazioni nel paramento'!$G$53)*IF(N323&lt;0,-1,1)</f>
        <v>240946.49743184328</v>
      </c>
      <c r="U323" s="545">
        <f>'Foglio deposito bis'!$F$52*IF(ABS(O323)&lt;'Sollecitazioni nel paramento'!$G$58,ABS(O323)*'Sollecitazioni nel paramento'!$G$54,'Sollecitazioni nel paramento'!$G$53)*IF(O323&lt;0,-1,1)</f>
        <v>240946.49743184328</v>
      </c>
      <c r="V323" s="472">
        <f t="shared" si="27"/>
        <v>144057.06684133224</v>
      </c>
      <c r="W323" s="551"/>
      <c r="X323" s="551"/>
    </row>
    <row r="324" spans="1:24" x14ac:dyDescent="0.25">
      <c r="A324" s="545">
        <f t="shared" si="26"/>
        <v>136303.88962089818</v>
      </c>
      <c r="B324" s="3">
        <f t="shared" si="28"/>
        <v>3.5499999999999954</v>
      </c>
      <c r="C324" s="545">
        <f>'Foglio deposito bis'!$E$154/sezione!$B$247*B324</f>
        <v>14.449315763729912</v>
      </c>
      <c r="D324" s="603">
        <f>-'Sollecitazioni nel paramento'!$G$47*'Sollecitazioni nel paramento'!$G$41*IF(DATI!$G$211="dx",DATI!$E$61,DATI!$E$64*DATI!$E$63)*1000*C324^2*sezione!$AD$5*(1-sezione!$AD$6)</f>
        <v>-4645133.3801438082</v>
      </c>
      <c r="E324" s="545">
        <f>-'Foglio deposito bis'!$F$48*(C324-sezione!$AL$28)*IF(ABS(K324)&lt;'Sollecitazioni nel paramento'!$G$58,ABS(K324)*'Sollecitazioni nel paramento'!$G$54,'Sollecitazioni nel paramento'!$G$53)</f>
        <v>0</v>
      </c>
      <c r="F324" s="545">
        <f>-'Foglio deposito bis'!$F$49*(C324-sezione!$AM$28)*IF(ABS(L324)&lt;'Sollecitazioni nel paramento'!$G$58,ABS(L324)*'Sollecitazioni nel paramento'!$G$54,'Sollecitazioni nel paramento'!$G$53)</f>
        <v>9332719.2366948593</v>
      </c>
      <c r="G324" s="545">
        <f>-'Foglio deposito bis'!$F$50*(C324-sezione!$AN$28)*IF(ABS(M324)&lt;'Sollecitazioni nel paramento'!$G$58,ABS(M324)*'Sollecitazioni nel paramento'!$G$54,'Sollecitazioni nel paramento'!$G$53)</f>
        <v>0</v>
      </c>
      <c r="H324" s="545">
        <f>-'Foglio deposito bis'!$F$51*(C324-sezione!$AO$28)*IF(ABS(N324)&lt;'Sollecitazioni nel paramento'!$G$58,ABS(N324)*'Sollecitazioni nel paramento'!$G$54,'Sollecitazioni nel paramento'!$G$53)</f>
        <v>35069927.565537483</v>
      </c>
      <c r="I324" s="472">
        <f>-'Foglio deposito bis'!$F$52*(C324-sezione!$AP$28)*IF(ABS(O324)&lt;'Sollecitazioni nel paramento'!$G$58,ABS(O324)*'Sollecitazioni nel paramento'!$G$54,'Sollecitazioni nel paramento'!$G$53)</f>
        <v>59354920.625899844</v>
      </c>
      <c r="J324" s="472">
        <f t="shared" si="25"/>
        <v>99112434.047988385</v>
      </c>
      <c r="K324" s="550">
        <f>'Sollecitazioni nel paramento'!$G$60*(sezione!$AL$28-C324)/C324</f>
        <v>6.1890401102190837E-3</v>
      </c>
      <c r="L324" s="550">
        <f>'Sollecitazioni nel paramento'!$G$60*(sezione!$AM$28-C324)/C324</f>
        <v>1.1033560165328625E-2</v>
      </c>
      <c r="M324" s="551">
        <f>'Sollecitazioni nel paramento'!$G$60*(sezione!$AN$28-C324)/C324</f>
        <v>1.5878080220438167E-2</v>
      </c>
      <c r="N324" s="551">
        <f>'Sollecitazioni nel paramento'!$G$60*(sezione!$AO$28-C324)/C324</f>
        <v>3.5256160440876337E-2</v>
      </c>
      <c r="O324" s="551">
        <f>'Sollecitazioni nel paramento'!$G$60*(sezione!$AP$28-C324)/C324</f>
        <v>5.9670114819358432E-2</v>
      </c>
      <c r="P324" s="545">
        <f>-'Sollecitazioni nel paramento'!$G$47*'Sollecitazioni nel paramento'!$G$41*IF(DATI!$G$211="dx",DATI!$E$61,DATI!$E$64*DATI!$E$63)*1000*C324*sezione!$AD$5</f>
        <v>-550475.5826508184</v>
      </c>
      <c r="Q324" s="545">
        <f>'Foglio deposito bis'!$F$48*IF(ABS(K324)&lt;'Sollecitazioni nel paramento'!$G$58,ABS(K324)*'Sollecitazioni nel paramento'!$G$54,'Sollecitazioni nel paramento'!$G$53)*IF(K324&lt;0,-1,1)</f>
        <v>0</v>
      </c>
      <c r="R324" s="545">
        <f>'Foglio deposito bis'!$F$49*IF(ABS(L324)&lt;'Sollecitazioni nel paramento'!$G$58,ABS(L324)*'Sollecitazioni nel paramento'!$G$54,'Sollecitazioni nel paramento'!$G$53)*IF(L324&lt;0,-1,1)</f>
        <v>204886.47740803001</v>
      </c>
      <c r="S324" s="545">
        <f>'Foglio deposito bis'!$F$50*IF(ABS(M324)&lt;'Sollecitazioni nel paramento'!$G$58,ABS(M324)*'Sollecitazioni nel paramento'!$G$54,'Sollecitazioni nel paramento'!$G$53)*IF(M324&lt;0,-1,1)</f>
        <v>0</v>
      </c>
      <c r="T324" s="545">
        <f>'Foglio deposito bis'!$F$51*IF(ABS(N324)&lt;'Sollecitazioni nel paramento'!$G$58,ABS(N324)*'Sollecitazioni nel paramento'!$G$54,'Sollecitazioni nel paramento'!$G$53)*IF(N324&lt;0,-1,1)</f>
        <v>240946.49743184328</v>
      </c>
      <c r="U324" s="545">
        <f>'Foglio deposito bis'!$F$52*IF(ABS(O324)&lt;'Sollecitazioni nel paramento'!$G$58,ABS(O324)*'Sollecitazioni nel paramento'!$G$54,'Sollecitazioni nel paramento'!$G$53)*IF(O324&lt;0,-1,1)</f>
        <v>240946.49743184328</v>
      </c>
      <c r="V324" s="472">
        <f t="shared" si="27"/>
        <v>136303.88962089818</v>
      </c>
      <c r="W324" s="551"/>
      <c r="X324" s="551"/>
    </row>
    <row r="325" spans="1:24" x14ac:dyDescent="0.25">
      <c r="A325" s="545">
        <f t="shared" si="26"/>
        <v>128550.71240046411</v>
      </c>
      <c r="B325" s="3">
        <f t="shared" si="28"/>
        <v>3.5999999999999952</v>
      </c>
      <c r="C325" s="545">
        <f>'Foglio deposito bis'!$E$154/sezione!$B$247*B325</f>
        <v>14.652827253359911</v>
      </c>
      <c r="D325" s="603">
        <f>-'Sollecitazioni nel paramento'!$G$47*'Sollecitazioni nel paramento'!$G$41*IF(DATI!$G$211="dx",DATI!$E$61,DATI!$E$64*DATI!$E$63)*1000*C325^2*sezione!$AD$5*(1-sezione!$AD$6)</f>
        <v>-4776903.6783704646</v>
      </c>
      <c r="E325" s="545">
        <f>-'Foglio deposito bis'!$F$48*(C325-sezione!$AL$28)*IF(ABS(K325)&lt;'Sollecitazioni nel paramento'!$G$58,ABS(K325)*'Sollecitazioni nel paramento'!$G$54,'Sollecitazioni nel paramento'!$G$53)</f>
        <v>0</v>
      </c>
      <c r="F325" s="545">
        <f>-'Foglio deposito bis'!$F$49*(C325-sezione!$AM$28)*IF(ABS(L325)&lt;'Sollecitazioni nel paramento'!$G$58,ABS(L325)*'Sollecitazioni nel paramento'!$G$54,'Sollecitazioni nel paramento'!$G$53)</f>
        <v>9291022.4844725095</v>
      </c>
      <c r="G325" s="545">
        <f>-'Foglio deposito bis'!$F$50*(C325-sezione!$AN$28)*IF(ABS(M325)&lt;'Sollecitazioni nel paramento'!$G$58,ABS(M325)*'Sollecitazioni nel paramento'!$G$54,'Sollecitazioni nel paramento'!$G$53)</f>
        <v>0</v>
      </c>
      <c r="H325" s="545">
        <f>-'Foglio deposito bis'!$F$51*(C325-sezione!$AO$28)*IF(ABS(N325)&lt;'Sollecitazioni nel paramento'!$G$58,ABS(N325)*'Sollecitazioni nel paramento'!$G$54,'Sollecitazioni nel paramento'!$G$53)</f>
        <v>35020892.184923999</v>
      </c>
      <c r="I325" s="472">
        <f>-'Foglio deposito bis'!$F$52*(C325-sezione!$AP$28)*IF(ABS(O325)&lt;'Sollecitazioni nel paramento'!$G$58,ABS(O325)*'Sollecitazioni nel paramento'!$G$54,'Sollecitazioni nel paramento'!$G$53)</f>
        <v>59305885.245286368</v>
      </c>
      <c r="J325" s="472">
        <f t="shared" si="25"/>
        <v>98840896.236312419</v>
      </c>
      <c r="K325" s="550">
        <f>'Sollecitazioni nel paramento'!$G$60*(sezione!$AL$28-C325)/C325</f>
        <v>6.0544701086882625E-3</v>
      </c>
      <c r="L325" s="550">
        <f>'Sollecitazioni nel paramento'!$G$60*(sezione!$AM$28-C325)/C325</f>
        <v>1.0831705163032394E-2</v>
      </c>
      <c r="M325" s="551">
        <f>'Sollecitazioni nel paramento'!$G$60*(sezione!$AN$28-C325)/C325</f>
        <v>1.5608940217376523E-2</v>
      </c>
      <c r="N325" s="551">
        <f>'Sollecitazioni nel paramento'!$G$60*(sezione!$AO$28-C325)/C325</f>
        <v>3.4717880434753053E-2</v>
      </c>
      <c r="O325" s="551">
        <f>'Sollecitazioni nel paramento'!$G$60*(sezione!$AP$28-C325)/C325</f>
        <v>5.8792752113534012E-2</v>
      </c>
      <c r="P325" s="545">
        <f>-'Sollecitazioni nel paramento'!$G$47*'Sollecitazioni nel paramento'!$G$41*IF(DATI!$G$211="dx",DATI!$E$61,DATI!$E$64*DATI!$E$63)*1000*C325*sezione!$AD$5</f>
        <v>-558228.75987125246</v>
      </c>
      <c r="Q325" s="545">
        <f>'Foglio deposito bis'!$F$48*IF(ABS(K325)&lt;'Sollecitazioni nel paramento'!$G$58,ABS(K325)*'Sollecitazioni nel paramento'!$G$54,'Sollecitazioni nel paramento'!$G$53)*IF(K325&lt;0,-1,1)</f>
        <v>0</v>
      </c>
      <c r="R325" s="545">
        <f>'Foglio deposito bis'!$F$49*IF(ABS(L325)&lt;'Sollecitazioni nel paramento'!$G$58,ABS(L325)*'Sollecitazioni nel paramento'!$G$54,'Sollecitazioni nel paramento'!$G$53)*IF(L325&lt;0,-1,1)</f>
        <v>204886.47740803001</v>
      </c>
      <c r="S325" s="545">
        <f>'Foglio deposito bis'!$F$50*IF(ABS(M325)&lt;'Sollecitazioni nel paramento'!$G$58,ABS(M325)*'Sollecitazioni nel paramento'!$G$54,'Sollecitazioni nel paramento'!$G$53)*IF(M325&lt;0,-1,1)</f>
        <v>0</v>
      </c>
      <c r="T325" s="545">
        <f>'Foglio deposito bis'!$F$51*IF(ABS(N325)&lt;'Sollecitazioni nel paramento'!$G$58,ABS(N325)*'Sollecitazioni nel paramento'!$G$54,'Sollecitazioni nel paramento'!$G$53)*IF(N325&lt;0,-1,1)</f>
        <v>240946.49743184328</v>
      </c>
      <c r="U325" s="545">
        <f>'Foglio deposito bis'!$F$52*IF(ABS(O325)&lt;'Sollecitazioni nel paramento'!$G$58,ABS(O325)*'Sollecitazioni nel paramento'!$G$54,'Sollecitazioni nel paramento'!$G$53)*IF(O325&lt;0,-1,1)</f>
        <v>240946.49743184328</v>
      </c>
      <c r="V325" s="472">
        <f t="shared" si="27"/>
        <v>128550.71240046411</v>
      </c>
      <c r="W325" s="551"/>
      <c r="X325" s="551"/>
    </row>
    <row r="326" spans="1:24" x14ac:dyDescent="0.25">
      <c r="A326" s="545">
        <f t="shared" si="26"/>
        <v>120797.53518003016</v>
      </c>
      <c r="B326" s="3">
        <f t="shared" si="28"/>
        <v>3.649999999999995</v>
      </c>
      <c r="C326" s="545">
        <f>'Foglio deposito bis'!$E$154/sezione!$B$247*B326</f>
        <v>14.856338742989909</v>
      </c>
      <c r="D326" s="603">
        <f>-'Sollecitazioni nel paramento'!$G$47*'Sollecitazioni nel paramento'!$G$41*IF(DATI!$G$211="dx",DATI!$E$61,DATI!$E$64*DATI!$E$63)*1000*C326^2*sezione!$AD$5*(1-sezione!$AD$6)</f>
        <v>-4910516.9178310558</v>
      </c>
      <c r="E326" s="545">
        <f>-'Foglio deposito bis'!$F$48*(C326-sezione!$AL$28)*IF(ABS(K326)&lt;'Sollecitazioni nel paramento'!$G$58,ABS(K326)*'Sollecitazioni nel paramento'!$G$54,'Sollecitazioni nel paramento'!$G$53)</f>
        <v>0</v>
      </c>
      <c r="F326" s="545">
        <f>-'Foglio deposito bis'!$F$49*(C326-sezione!$AM$28)*IF(ABS(L326)&lt;'Sollecitazioni nel paramento'!$G$58,ABS(L326)*'Sollecitazioni nel paramento'!$G$54,'Sollecitazioni nel paramento'!$G$53)</f>
        <v>9249325.7322501577</v>
      </c>
      <c r="G326" s="545">
        <f>-'Foglio deposito bis'!$F$50*(C326-sezione!$AN$28)*IF(ABS(M326)&lt;'Sollecitazioni nel paramento'!$G$58,ABS(M326)*'Sollecitazioni nel paramento'!$G$54,'Sollecitazioni nel paramento'!$G$53)</f>
        <v>0</v>
      </c>
      <c r="H326" s="545">
        <f>-'Foglio deposito bis'!$F$51*(C326-sezione!$AO$28)*IF(ABS(N326)&lt;'Sollecitazioni nel paramento'!$G$58,ABS(N326)*'Sollecitazioni nel paramento'!$G$54,'Sollecitazioni nel paramento'!$G$53)</f>
        <v>34971856.804310508</v>
      </c>
      <c r="I326" s="472">
        <f>-'Foglio deposito bis'!$F$52*(C326-sezione!$AP$28)*IF(ABS(O326)&lt;'Sollecitazioni nel paramento'!$G$58,ABS(O326)*'Sollecitazioni nel paramento'!$G$54,'Sollecitazioni nel paramento'!$G$53)</f>
        <v>59256849.864672869</v>
      </c>
      <c r="J326" s="472">
        <f t="shared" si="25"/>
        <v>98567515.483402476</v>
      </c>
      <c r="K326" s="550">
        <f>'Sollecitazioni nel paramento'!$G$60*(sezione!$AL$28-C326)/C326</f>
        <v>5.9235869565144508E-3</v>
      </c>
      <c r="L326" s="550">
        <f>'Sollecitazioni nel paramento'!$G$60*(sezione!$AM$28-C326)/C326</f>
        <v>1.0635380434771679E-2</v>
      </c>
      <c r="M326" s="551">
        <f>'Sollecitazioni nel paramento'!$G$60*(sezione!$AN$28-C326)/C326</f>
        <v>1.5347173913028905E-2</v>
      </c>
      <c r="N326" s="551">
        <f>'Sollecitazioni nel paramento'!$G$60*(sezione!$AO$28-C326)/C326</f>
        <v>3.4194347826057805E-2</v>
      </c>
      <c r="O326" s="551">
        <f>'Sollecitazioni nel paramento'!$G$60*(sezione!$AP$28-C326)/C326</f>
        <v>5.7939426742115732E-2</v>
      </c>
      <c r="P326" s="545">
        <f>-'Sollecitazioni nel paramento'!$G$47*'Sollecitazioni nel paramento'!$G$41*IF(DATI!$G$211="dx",DATI!$E$61,DATI!$E$64*DATI!$E$63)*1000*C326*sezione!$AD$5</f>
        <v>-565981.93709168641</v>
      </c>
      <c r="Q326" s="545">
        <f>'Foglio deposito bis'!$F$48*IF(ABS(K326)&lt;'Sollecitazioni nel paramento'!$G$58,ABS(K326)*'Sollecitazioni nel paramento'!$G$54,'Sollecitazioni nel paramento'!$G$53)*IF(K326&lt;0,-1,1)</f>
        <v>0</v>
      </c>
      <c r="R326" s="545">
        <f>'Foglio deposito bis'!$F$49*IF(ABS(L326)&lt;'Sollecitazioni nel paramento'!$G$58,ABS(L326)*'Sollecitazioni nel paramento'!$G$54,'Sollecitazioni nel paramento'!$G$53)*IF(L326&lt;0,-1,1)</f>
        <v>204886.47740803001</v>
      </c>
      <c r="S326" s="545">
        <f>'Foglio deposito bis'!$F$50*IF(ABS(M326)&lt;'Sollecitazioni nel paramento'!$G$58,ABS(M326)*'Sollecitazioni nel paramento'!$G$54,'Sollecitazioni nel paramento'!$G$53)*IF(M326&lt;0,-1,1)</f>
        <v>0</v>
      </c>
      <c r="T326" s="545">
        <f>'Foglio deposito bis'!$F$51*IF(ABS(N326)&lt;'Sollecitazioni nel paramento'!$G$58,ABS(N326)*'Sollecitazioni nel paramento'!$G$54,'Sollecitazioni nel paramento'!$G$53)*IF(N326&lt;0,-1,1)</f>
        <v>240946.49743184328</v>
      </c>
      <c r="U326" s="545">
        <f>'Foglio deposito bis'!$F$52*IF(ABS(O326)&lt;'Sollecitazioni nel paramento'!$G$58,ABS(O326)*'Sollecitazioni nel paramento'!$G$54,'Sollecitazioni nel paramento'!$G$53)*IF(O326&lt;0,-1,1)</f>
        <v>240946.49743184328</v>
      </c>
      <c r="V326" s="472">
        <f t="shared" si="27"/>
        <v>120797.53518003016</v>
      </c>
      <c r="W326" s="551"/>
      <c r="X326" s="551"/>
    </row>
    <row r="327" spans="1:24" x14ac:dyDescent="0.25">
      <c r="A327" s="545">
        <f t="shared" si="26"/>
        <v>113044.35795959597</v>
      </c>
      <c r="B327" s="3">
        <f t="shared" si="28"/>
        <v>3.6999999999999948</v>
      </c>
      <c r="C327" s="545">
        <f>'Foglio deposito bis'!$E$154/sezione!$B$247*B327</f>
        <v>15.059850232619908</v>
      </c>
      <c r="D327" s="603">
        <f>-'Sollecitazioni nel paramento'!$G$47*'Sollecitazioni nel paramento'!$G$41*IF(DATI!$G$211="dx",DATI!$E$61,DATI!$E$64*DATI!$E$63)*1000*C327^2*sezione!$AD$5*(1-sezione!$AD$6)</f>
        <v>-5045973.0985255893</v>
      </c>
      <c r="E327" s="545">
        <f>-'Foglio deposito bis'!$F$48*(C327-sezione!$AL$28)*IF(ABS(K327)&lt;'Sollecitazioni nel paramento'!$G$58,ABS(K327)*'Sollecitazioni nel paramento'!$G$54,'Sollecitazioni nel paramento'!$G$53)</f>
        <v>0</v>
      </c>
      <c r="F327" s="545">
        <f>-'Foglio deposito bis'!$F$49*(C327-sezione!$AM$28)*IF(ABS(L327)&lt;'Sollecitazioni nel paramento'!$G$58,ABS(L327)*'Sollecitazioni nel paramento'!$G$54,'Sollecitazioni nel paramento'!$G$53)</f>
        <v>9207628.980027806</v>
      </c>
      <c r="G327" s="545">
        <f>-'Foglio deposito bis'!$F$50*(C327-sezione!$AN$28)*IF(ABS(M327)&lt;'Sollecitazioni nel paramento'!$G$58,ABS(M327)*'Sollecitazioni nel paramento'!$G$54,'Sollecitazioni nel paramento'!$G$53)</f>
        <v>0</v>
      </c>
      <c r="H327" s="545">
        <f>-'Foglio deposito bis'!$F$51*(C327-sezione!$AO$28)*IF(ABS(N327)&lt;'Sollecitazioni nel paramento'!$G$58,ABS(N327)*'Sollecitazioni nel paramento'!$G$54,'Sollecitazioni nel paramento'!$G$53)</f>
        <v>34922821.423697025</v>
      </c>
      <c r="I327" s="472">
        <f>-'Foglio deposito bis'!$F$52*(C327-sezione!$AP$28)*IF(ABS(O327)&lt;'Sollecitazioni nel paramento'!$G$58,ABS(O327)*'Sollecitazioni nel paramento'!$G$54,'Sollecitazioni nel paramento'!$G$53)</f>
        <v>59207814.484059393</v>
      </c>
      <c r="J327" s="472">
        <f t="shared" si="25"/>
        <v>98292291.789258629</v>
      </c>
      <c r="K327" s="550">
        <f>'Sollecitazioni nel paramento'!$G$60*(sezione!$AL$28-C327)/C327</f>
        <v>5.7962411868318223E-3</v>
      </c>
      <c r="L327" s="550">
        <f>'Sollecitazioni nel paramento'!$G$60*(sezione!$AM$28-C327)/C327</f>
        <v>1.0444361780247735E-2</v>
      </c>
      <c r="M327" s="551">
        <f>'Sollecitazioni nel paramento'!$G$60*(sezione!$AN$28-C327)/C327</f>
        <v>1.5092482373663646E-2</v>
      </c>
      <c r="N327" s="551">
        <f>'Sollecitazioni nel paramento'!$G$60*(sezione!$AO$28-C327)/C327</f>
        <v>3.3684964747327288E-2</v>
      </c>
      <c r="O327" s="551">
        <f>'Sollecitazioni nel paramento'!$G$60*(sezione!$AP$28-C327)/C327</f>
        <v>5.7109164218573628E-2</v>
      </c>
      <c r="P327" s="545">
        <f>-'Sollecitazioni nel paramento'!$G$47*'Sollecitazioni nel paramento'!$G$41*IF(DATI!$G$211="dx",DATI!$E$61,DATI!$E$64*DATI!$E$63)*1000*C327*sezione!$AD$5</f>
        <v>-573735.1143121206</v>
      </c>
      <c r="Q327" s="545">
        <f>'Foglio deposito bis'!$F$48*IF(ABS(K327)&lt;'Sollecitazioni nel paramento'!$G$58,ABS(K327)*'Sollecitazioni nel paramento'!$G$54,'Sollecitazioni nel paramento'!$G$53)*IF(K327&lt;0,-1,1)</f>
        <v>0</v>
      </c>
      <c r="R327" s="545">
        <f>'Foglio deposito bis'!$F$49*IF(ABS(L327)&lt;'Sollecitazioni nel paramento'!$G$58,ABS(L327)*'Sollecitazioni nel paramento'!$G$54,'Sollecitazioni nel paramento'!$G$53)*IF(L327&lt;0,-1,1)</f>
        <v>204886.47740803001</v>
      </c>
      <c r="S327" s="545">
        <f>'Foglio deposito bis'!$F$50*IF(ABS(M327)&lt;'Sollecitazioni nel paramento'!$G$58,ABS(M327)*'Sollecitazioni nel paramento'!$G$54,'Sollecitazioni nel paramento'!$G$53)*IF(M327&lt;0,-1,1)</f>
        <v>0</v>
      </c>
      <c r="T327" s="545">
        <f>'Foglio deposito bis'!$F$51*IF(ABS(N327)&lt;'Sollecitazioni nel paramento'!$G$58,ABS(N327)*'Sollecitazioni nel paramento'!$G$54,'Sollecitazioni nel paramento'!$G$53)*IF(N327&lt;0,-1,1)</f>
        <v>240946.49743184328</v>
      </c>
      <c r="U327" s="545">
        <f>'Foglio deposito bis'!$F$52*IF(ABS(O327)&lt;'Sollecitazioni nel paramento'!$G$58,ABS(O327)*'Sollecitazioni nel paramento'!$G$54,'Sollecitazioni nel paramento'!$G$53)*IF(O327&lt;0,-1,1)</f>
        <v>240946.49743184328</v>
      </c>
      <c r="V327" s="472">
        <f t="shared" si="27"/>
        <v>113044.35795959597</v>
      </c>
      <c r="W327" s="551"/>
      <c r="X327" s="551"/>
    </row>
    <row r="328" spans="1:24" x14ac:dyDescent="0.25">
      <c r="A328" s="545">
        <f t="shared" si="26"/>
        <v>105291.18073916202</v>
      </c>
      <c r="B328" s="3">
        <f t="shared" si="28"/>
        <v>3.7499999999999947</v>
      </c>
      <c r="C328" s="545">
        <f>'Foglio deposito bis'!$E$154/sezione!$B$247*B328</f>
        <v>15.263361722249906</v>
      </c>
      <c r="D328" s="603">
        <f>-'Sollecitazioni nel paramento'!$G$47*'Sollecitazioni nel paramento'!$G$41*IF(DATI!$G$211="dx",DATI!$E$61,DATI!$E$64*DATI!$E$63)*1000*C328^2*sezione!$AD$5*(1-sezione!$AD$6)</f>
        <v>-5183272.2204540614</v>
      </c>
      <c r="E328" s="545">
        <f>-'Foglio deposito bis'!$F$48*(C328-sezione!$AL$28)*IF(ABS(K328)&lt;'Sollecitazioni nel paramento'!$G$58,ABS(K328)*'Sollecitazioni nel paramento'!$G$54,'Sollecitazioni nel paramento'!$G$53)</f>
        <v>0</v>
      </c>
      <c r="F328" s="545">
        <f>-'Foglio deposito bis'!$F$49*(C328-sezione!$AM$28)*IF(ABS(L328)&lt;'Sollecitazioni nel paramento'!$G$58,ABS(L328)*'Sollecitazioni nel paramento'!$G$54,'Sollecitazioni nel paramento'!$G$53)</f>
        <v>9165932.2278054543</v>
      </c>
      <c r="G328" s="545">
        <f>-'Foglio deposito bis'!$F$50*(C328-sezione!$AN$28)*IF(ABS(M328)&lt;'Sollecitazioni nel paramento'!$G$58,ABS(M328)*'Sollecitazioni nel paramento'!$G$54,'Sollecitazioni nel paramento'!$G$53)</f>
        <v>0</v>
      </c>
      <c r="H328" s="545">
        <f>-'Foglio deposito bis'!$F$51*(C328-sezione!$AO$28)*IF(ABS(N328)&lt;'Sollecitazioni nel paramento'!$G$58,ABS(N328)*'Sollecitazioni nel paramento'!$G$54,'Sollecitazioni nel paramento'!$G$53)</f>
        <v>34873786.043083541</v>
      </c>
      <c r="I328" s="472">
        <f>-'Foglio deposito bis'!$F$52*(C328-sezione!$AP$28)*IF(ABS(O328)&lt;'Sollecitazioni nel paramento'!$G$58,ABS(O328)*'Sollecitazioni nel paramento'!$G$54,'Sollecitazioni nel paramento'!$G$53)</f>
        <v>59158779.103445902</v>
      </c>
      <c r="J328" s="472">
        <f t="shared" si="25"/>
        <v>98015225.153880835</v>
      </c>
      <c r="K328" s="550">
        <f>'Sollecitazioni nel paramento'!$G$60*(sezione!$AL$28-C328)/C328</f>
        <v>5.6722913043407335E-3</v>
      </c>
      <c r="L328" s="550">
        <f>'Sollecitazioni nel paramento'!$G$60*(sezione!$AM$28-C328)/C328</f>
        <v>1.0258436956511099E-2</v>
      </c>
      <c r="M328" s="551">
        <f>'Sollecitazioni nel paramento'!$G$60*(sezione!$AN$28-C328)/C328</f>
        <v>1.4844582608681465E-2</v>
      </c>
      <c r="N328" s="551">
        <f>'Sollecitazioni nel paramento'!$G$60*(sezione!$AO$28-C328)/C328</f>
        <v>3.318916521736294E-2</v>
      </c>
      <c r="O328" s="551">
        <f>'Sollecitazioni nel paramento'!$G$60*(sezione!$AP$28-C328)/C328</f>
        <v>5.6301042028992651E-2</v>
      </c>
      <c r="P328" s="545">
        <f>-'Sollecitazioni nel paramento'!$G$47*'Sollecitazioni nel paramento'!$G$41*IF(DATI!$G$211="dx",DATI!$E$61,DATI!$E$64*DATI!$E$63)*1000*C328*sezione!$AD$5</f>
        <v>-581488.29153255455</v>
      </c>
      <c r="Q328" s="545">
        <f>'Foglio deposito bis'!$F$48*IF(ABS(K328)&lt;'Sollecitazioni nel paramento'!$G$58,ABS(K328)*'Sollecitazioni nel paramento'!$G$54,'Sollecitazioni nel paramento'!$G$53)*IF(K328&lt;0,-1,1)</f>
        <v>0</v>
      </c>
      <c r="R328" s="545">
        <f>'Foglio deposito bis'!$F$49*IF(ABS(L328)&lt;'Sollecitazioni nel paramento'!$G$58,ABS(L328)*'Sollecitazioni nel paramento'!$G$54,'Sollecitazioni nel paramento'!$G$53)*IF(L328&lt;0,-1,1)</f>
        <v>204886.47740803001</v>
      </c>
      <c r="S328" s="545">
        <f>'Foglio deposito bis'!$F$50*IF(ABS(M328)&lt;'Sollecitazioni nel paramento'!$G$58,ABS(M328)*'Sollecitazioni nel paramento'!$G$54,'Sollecitazioni nel paramento'!$G$53)*IF(M328&lt;0,-1,1)</f>
        <v>0</v>
      </c>
      <c r="T328" s="545">
        <f>'Foglio deposito bis'!$F$51*IF(ABS(N328)&lt;'Sollecitazioni nel paramento'!$G$58,ABS(N328)*'Sollecitazioni nel paramento'!$G$54,'Sollecitazioni nel paramento'!$G$53)*IF(N328&lt;0,-1,1)</f>
        <v>240946.49743184328</v>
      </c>
      <c r="U328" s="545">
        <f>'Foglio deposito bis'!$F$52*IF(ABS(O328)&lt;'Sollecitazioni nel paramento'!$G$58,ABS(O328)*'Sollecitazioni nel paramento'!$G$54,'Sollecitazioni nel paramento'!$G$53)*IF(O328&lt;0,-1,1)</f>
        <v>240946.49743184328</v>
      </c>
      <c r="V328" s="472">
        <f t="shared" si="27"/>
        <v>105291.18073916202</v>
      </c>
      <c r="W328" s="551"/>
      <c r="X328" s="551"/>
    </row>
    <row r="329" spans="1:24" x14ac:dyDescent="0.25">
      <c r="A329" s="545">
        <f t="shared" si="26"/>
        <v>97538.003518728074</v>
      </c>
      <c r="B329" s="3">
        <f t="shared" si="28"/>
        <v>3.7999999999999945</v>
      </c>
      <c r="C329" s="545">
        <f>'Foglio deposito bis'!$E$154/sezione!$B$247*B329</f>
        <v>15.466873211879903</v>
      </c>
      <c r="D329" s="603">
        <f>-'Sollecitazioni nel paramento'!$G$47*'Sollecitazioni nel paramento'!$G$41*IF(DATI!$G$211="dx",DATI!$E$61,DATI!$E$64*DATI!$E$63)*1000*C329^2*sezione!$AD$5*(1-sezione!$AD$6)</f>
        <v>-5322414.2836164711</v>
      </c>
      <c r="E329" s="545">
        <f>-'Foglio deposito bis'!$F$48*(C329-sezione!$AL$28)*IF(ABS(K329)&lt;'Sollecitazioni nel paramento'!$G$58,ABS(K329)*'Sollecitazioni nel paramento'!$G$54,'Sollecitazioni nel paramento'!$G$53)</f>
        <v>0</v>
      </c>
      <c r="F329" s="545">
        <f>-'Foglio deposito bis'!$F$49*(C329-sezione!$AM$28)*IF(ABS(L329)&lt;'Sollecitazioni nel paramento'!$G$58,ABS(L329)*'Sollecitazioni nel paramento'!$G$54,'Sollecitazioni nel paramento'!$G$53)</f>
        <v>9124235.4755831044</v>
      </c>
      <c r="G329" s="545">
        <f>-'Foglio deposito bis'!$F$50*(C329-sezione!$AN$28)*IF(ABS(M329)&lt;'Sollecitazioni nel paramento'!$G$58,ABS(M329)*'Sollecitazioni nel paramento'!$G$54,'Sollecitazioni nel paramento'!$G$53)</f>
        <v>0</v>
      </c>
      <c r="H329" s="545">
        <f>-'Foglio deposito bis'!$F$51*(C329-sezione!$AO$28)*IF(ABS(N329)&lt;'Sollecitazioni nel paramento'!$G$58,ABS(N329)*'Sollecitazioni nel paramento'!$G$54,'Sollecitazioni nel paramento'!$G$53)</f>
        <v>34824750.662470058</v>
      </c>
      <c r="I329" s="472">
        <f>-'Foglio deposito bis'!$F$52*(C329-sezione!$AP$28)*IF(ABS(O329)&lt;'Sollecitazioni nel paramento'!$G$58,ABS(O329)*'Sollecitazioni nel paramento'!$G$54,'Sollecitazioni nel paramento'!$G$53)</f>
        <v>59109743.722832419</v>
      </c>
      <c r="J329" s="472">
        <f t="shared" si="25"/>
        <v>97736315.577269107</v>
      </c>
      <c r="K329" s="550">
        <f>'Sollecitazioni nel paramento'!$G$60*(sezione!$AL$28-C329)/C329</f>
        <v>5.5516032608625655E-3</v>
      </c>
      <c r="L329" s="550">
        <f>'Sollecitazioni nel paramento'!$G$60*(sezione!$AM$28-C329)/C329</f>
        <v>1.0077404891293849E-2</v>
      </c>
      <c r="M329" s="551">
        <f>'Sollecitazioni nel paramento'!$G$60*(sezione!$AN$28-C329)/C329</f>
        <v>1.4603206521725134E-2</v>
      </c>
      <c r="N329" s="551">
        <f>'Sollecitazioni nel paramento'!$G$60*(sezione!$AO$28-C329)/C329</f>
        <v>3.2706413043450261E-2</v>
      </c>
      <c r="O329" s="551">
        <f>'Sollecitazioni nel paramento'!$G$60*(sezione!$AP$28-C329)/C329</f>
        <v>5.5514186212821698E-2</v>
      </c>
      <c r="P329" s="545">
        <f>-'Sollecitazioni nel paramento'!$G$47*'Sollecitazioni nel paramento'!$G$41*IF(DATI!$G$211="dx",DATI!$E$61,DATI!$E$64*DATI!$E$63)*1000*C329*sezione!$AD$5</f>
        <v>-589241.4687529885</v>
      </c>
      <c r="Q329" s="545">
        <f>'Foglio deposito bis'!$F$48*IF(ABS(K329)&lt;'Sollecitazioni nel paramento'!$G$58,ABS(K329)*'Sollecitazioni nel paramento'!$G$54,'Sollecitazioni nel paramento'!$G$53)*IF(K329&lt;0,-1,1)</f>
        <v>0</v>
      </c>
      <c r="R329" s="545">
        <f>'Foglio deposito bis'!$F$49*IF(ABS(L329)&lt;'Sollecitazioni nel paramento'!$G$58,ABS(L329)*'Sollecitazioni nel paramento'!$G$54,'Sollecitazioni nel paramento'!$G$53)*IF(L329&lt;0,-1,1)</f>
        <v>204886.47740803001</v>
      </c>
      <c r="S329" s="545">
        <f>'Foglio deposito bis'!$F$50*IF(ABS(M329)&lt;'Sollecitazioni nel paramento'!$G$58,ABS(M329)*'Sollecitazioni nel paramento'!$G$54,'Sollecitazioni nel paramento'!$G$53)*IF(M329&lt;0,-1,1)</f>
        <v>0</v>
      </c>
      <c r="T329" s="545">
        <f>'Foglio deposito bis'!$F$51*IF(ABS(N329)&lt;'Sollecitazioni nel paramento'!$G$58,ABS(N329)*'Sollecitazioni nel paramento'!$G$54,'Sollecitazioni nel paramento'!$G$53)*IF(N329&lt;0,-1,1)</f>
        <v>240946.49743184328</v>
      </c>
      <c r="U329" s="545">
        <f>'Foglio deposito bis'!$F$52*IF(ABS(O329)&lt;'Sollecitazioni nel paramento'!$G$58,ABS(O329)*'Sollecitazioni nel paramento'!$G$54,'Sollecitazioni nel paramento'!$G$53)*IF(O329&lt;0,-1,1)</f>
        <v>240946.49743184328</v>
      </c>
      <c r="V329" s="472">
        <f t="shared" si="27"/>
        <v>97538.003518728074</v>
      </c>
      <c r="W329" s="551"/>
      <c r="X329" s="551"/>
    </row>
    <row r="330" spans="1:24" x14ac:dyDescent="0.25">
      <c r="A330" s="545">
        <f t="shared" si="26"/>
        <v>89784.82629829389</v>
      </c>
      <c r="B330" s="3">
        <f t="shared" si="28"/>
        <v>3.8499999999999943</v>
      </c>
      <c r="C330" s="545">
        <f>'Foglio deposito bis'!$E$154/sezione!$B$247*B330</f>
        <v>15.670384701509903</v>
      </c>
      <c r="D330" s="603">
        <f>-'Sollecitazioni nel paramento'!$G$47*'Sollecitazioni nel paramento'!$G$41*IF(DATI!$G$211="dx",DATI!$E$61,DATI!$E$64*DATI!$E$63)*1000*C330^2*sezione!$AD$5*(1-sezione!$AD$6)</f>
        <v>-5463399.2880128222</v>
      </c>
      <c r="E330" s="545">
        <f>-'Foglio deposito bis'!$F$48*(C330-sezione!$AL$28)*IF(ABS(K330)&lt;'Sollecitazioni nel paramento'!$G$58,ABS(K330)*'Sollecitazioni nel paramento'!$G$54,'Sollecitazioni nel paramento'!$G$53)</f>
        <v>0</v>
      </c>
      <c r="F330" s="545">
        <f>-'Foglio deposito bis'!$F$49*(C330-sezione!$AM$28)*IF(ABS(L330)&lt;'Sollecitazioni nel paramento'!$G$58,ABS(L330)*'Sollecitazioni nel paramento'!$G$54,'Sollecitazioni nel paramento'!$G$53)</f>
        <v>9082538.7233607527</v>
      </c>
      <c r="G330" s="545">
        <f>-'Foglio deposito bis'!$F$50*(C330-sezione!$AN$28)*IF(ABS(M330)&lt;'Sollecitazioni nel paramento'!$G$58,ABS(M330)*'Sollecitazioni nel paramento'!$G$54,'Sollecitazioni nel paramento'!$G$53)</f>
        <v>0</v>
      </c>
      <c r="H330" s="545">
        <f>-'Foglio deposito bis'!$F$51*(C330-sezione!$AO$28)*IF(ABS(N330)&lt;'Sollecitazioni nel paramento'!$G$58,ABS(N330)*'Sollecitazioni nel paramento'!$G$54,'Sollecitazioni nel paramento'!$G$53)</f>
        <v>34775715.281856574</v>
      </c>
      <c r="I330" s="472">
        <f>-'Foglio deposito bis'!$F$52*(C330-sezione!$AP$28)*IF(ABS(O330)&lt;'Sollecitazioni nel paramento'!$G$58,ABS(O330)*'Sollecitazioni nel paramento'!$G$54,'Sollecitazioni nel paramento'!$G$53)</f>
        <v>59060708.342218928</v>
      </c>
      <c r="J330" s="472">
        <f t="shared" si="25"/>
        <v>97455563.059423432</v>
      </c>
      <c r="K330" s="550">
        <f>'Sollecitazioni nel paramento'!$G$60*(sezione!$AL$28-C330)/C330</f>
        <v>5.434049971760454E-3</v>
      </c>
      <c r="L330" s="550">
        <f>'Sollecitazioni nel paramento'!$G$60*(sezione!$AM$28-C330)/C330</f>
        <v>9.9010749576406813E-3</v>
      </c>
      <c r="M330" s="551">
        <f>'Sollecitazioni nel paramento'!$G$60*(sezione!$AN$28-C330)/C330</f>
        <v>1.4368099943520908E-2</v>
      </c>
      <c r="N330" s="551">
        <f>'Sollecitazioni nel paramento'!$G$60*(sezione!$AO$28-C330)/C330</f>
        <v>3.2236199887041815E-2</v>
      </c>
      <c r="O330" s="551">
        <f>'Sollecitazioni nel paramento'!$G$60*(sezione!$AP$28-C330)/C330</f>
        <v>5.4747768210057779E-2</v>
      </c>
      <c r="P330" s="545">
        <f>-'Sollecitazioni nel paramento'!$G$47*'Sollecitazioni nel paramento'!$G$41*IF(DATI!$G$211="dx",DATI!$E$61,DATI!$E$64*DATI!$E$63)*1000*C330*sezione!$AD$5</f>
        <v>-596994.64597342268</v>
      </c>
      <c r="Q330" s="545">
        <f>'Foglio deposito bis'!$F$48*IF(ABS(K330)&lt;'Sollecitazioni nel paramento'!$G$58,ABS(K330)*'Sollecitazioni nel paramento'!$G$54,'Sollecitazioni nel paramento'!$G$53)*IF(K330&lt;0,-1,1)</f>
        <v>0</v>
      </c>
      <c r="R330" s="545">
        <f>'Foglio deposito bis'!$F$49*IF(ABS(L330)&lt;'Sollecitazioni nel paramento'!$G$58,ABS(L330)*'Sollecitazioni nel paramento'!$G$54,'Sollecitazioni nel paramento'!$G$53)*IF(L330&lt;0,-1,1)</f>
        <v>204886.47740803001</v>
      </c>
      <c r="S330" s="545">
        <f>'Foglio deposito bis'!$F$50*IF(ABS(M330)&lt;'Sollecitazioni nel paramento'!$G$58,ABS(M330)*'Sollecitazioni nel paramento'!$G$54,'Sollecitazioni nel paramento'!$G$53)*IF(M330&lt;0,-1,1)</f>
        <v>0</v>
      </c>
      <c r="T330" s="545">
        <f>'Foglio deposito bis'!$F$51*IF(ABS(N330)&lt;'Sollecitazioni nel paramento'!$G$58,ABS(N330)*'Sollecitazioni nel paramento'!$G$54,'Sollecitazioni nel paramento'!$G$53)*IF(N330&lt;0,-1,1)</f>
        <v>240946.49743184328</v>
      </c>
      <c r="U330" s="545">
        <f>'Foglio deposito bis'!$F$52*IF(ABS(O330)&lt;'Sollecitazioni nel paramento'!$G$58,ABS(O330)*'Sollecitazioni nel paramento'!$G$54,'Sollecitazioni nel paramento'!$G$53)*IF(O330&lt;0,-1,1)</f>
        <v>240946.49743184328</v>
      </c>
      <c r="V330" s="472">
        <f t="shared" si="27"/>
        <v>89784.82629829389</v>
      </c>
      <c r="W330" s="551"/>
      <c r="X330" s="551"/>
    </row>
    <row r="331" spans="1:24" x14ac:dyDescent="0.25">
      <c r="A331" s="545">
        <f t="shared" si="26"/>
        <v>82031.649077859824</v>
      </c>
      <c r="B331" s="3">
        <f t="shared" si="28"/>
        <v>3.8999999999999941</v>
      </c>
      <c r="C331" s="545">
        <f>'Foglio deposito bis'!$E$154/sezione!$B$247*B331</f>
        <v>15.873896191139901</v>
      </c>
      <c r="D331" s="603">
        <f>-'Sollecitazioni nel paramento'!$G$47*'Sollecitazioni nel paramento'!$G$41*IF(DATI!$G$211="dx",DATI!$E$61,DATI!$E$64*DATI!$E$63)*1000*C331^2*sezione!$AD$5*(1-sezione!$AD$6)</f>
        <v>-5606227.2336431118</v>
      </c>
      <c r="E331" s="545">
        <f>-'Foglio deposito bis'!$F$48*(C331-sezione!$AL$28)*IF(ABS(K331)&lt;'Sollecitazioni nel paramento'!$G$58,ABS(K331)*'Sollecitazioni nel paramento'!$G$54,'Sollecitazioni nel paramento'!$G$53)</f>
        <v>0</v>
      </c>
      <c r="F331" s="545">
        <f>-'Foglio deposito bis'!$F$49*(C331-sezione!$AM$28)*IF(ABS(L331)&lt;'Sollecitazioni nel paramento'!$G$58,ABS(L331)*'Sollecitazioni nel paramento'!$G$54,'Sollecitazioni nel paramento'!$G$53)</f>
        <v>9040841.9711384028</v>
      </c>
      <c r="G331" s="545">
        <f>-'Foglio deposito bis'!$F$50*(C331-sezione!$AN$28)*IF(ABS(M331)&lt;'Sollecitazioni nel paramento'!$G$58,ABS(M331)*'Sollecitazioni nel paramento'!$G$54,'Sollecitazioni nel paramento'!$G$53)</f>
        <v>0</v>
      </c>
      <c r="H331" s="545">
        <f>-'Foglio deposito bis'!$F$51*(C331-sezione!$AO$28)*IF(ABS(N331)&lt;'Sollecitazioni nel paramento'!$G$58,ABS(N331)*'Sollecitazioni nel paramento'!$G$54,'Sollecitazioni nel paramento'!$G$53)</f>
        <v>34726679.901243091</v>
      </c>
      <c r="I331" s="472">
        <f>-'Foglio deposito bis'!$F$52*(C331-sezione!$AP$28)*IF(ABS(O331)&lt;'Sollecitazioni nel paramento'!$G$58,ABS(O331)*'Sollecitazioni nel paramento'!$G$54,'Sollecitazioni nel paramento'!$G$53)</f>
        <v>59011672.961605452</v>
      </c>
      <c r="J331" s="472">
        <f t="shared" si="25"/>
        <v>97172967.600343823</v>
      </c>
      <c r="K331" s="550">
        <f>'Sollecitazioni nel paramento'!$G$60*(sezione!$AL$28-C331)/C331</f>
        <v>5.3195108695583979E-3</v>
      </c>
      <c r="L331" s="550">
        <f>'Sollecitazioni nel paramento'!$G$60*(sezione!$AM$28-C331)/C331</f>
        <v>9.7292663043375971E-3</v>
      </c>
      <c r="M331" s="551">
        <f>'Sollecitazioni nel paramento'!$G$60*(sezione!$AN$28-C331)/C331</f>
        <v>1.4139021739116794E-2</v>
      </c>
      <c r="N331" s="551">
        <f>'Sollecitazioni nel paramento'!$G$60*(sezione!$AO$28-C331)/C331</f>
        <v>3.1778043478233597E-2</v>
      </c>
      <c r="O331" s="551">
        <f>'Sollecitazioni nel paramento'!$G$60*(sezione!$AP$28-C331)/C331</f>
        <v>5.4001001950954482E-2</v>
      </c>
      <c r="P331" s="545">
        <f>-'Sollecitazioni nel paramento'!$G$47*'Sollecitazioni nel paramento'!$G$41*IF(DATI!$G$211="dx",DATI!$E$61,DATI!$E$64*DATI!$E$63)*1000*C331*sezione!$AD$5</f>
        <v>-604747.82319385675</v>
      </c>
      <c r="Q331" s="545">
        <f>'Foglio deposito bis'!$F$48*IF(ABS(K331)&lt;'Sollecitazioni nel paramento'!$G$58,ABS(K331)*'Sollecitazioni nel paramento'!$G$54,'Sollecitazioni nel paramento'!$G$53)*IF(K331&lt;0,-1,1)</f>
        <v>0</v>
      </c>
      <c r="R331" s="545">
        <f>'Foglio deposito bis'!$F$49*IF(ABS(L331)&lt;'Sollecitazioni nel paramento'!$G$58,ABS(L331)*'Sollecitazioni nel paramento'!$G$54,'Sollecitazioni nel paramento'!$G$53)*IF(L331&lt;0,-1,1)</f>
        <v>204886.47740803001</v>
      </c>
      <c r="S331" s="545">
        <f>'Foglio deposito bis'!$F$50*IF(ABS(M331)&lt;'Sollecitazioni nel paramento'!$G$58,ABS(M331)*'Sollecitazioni nel paramento'!$G$54,'Sollecitazioni nel paramento'!$G$53)*IF(M331&lt;0,-1,1)</f>
        <v>0</v>
      </c>
      <c r="T331" s="545">
        <f>'Foglio deposito bis'!$F$51*IF(ABS(N331)&lt;'Sollecitazioni nel paramento'!$G$58,ABS(N331)*'Sollecitazioni nel paramento'!$G$54,'Sollecitazioni nel paramento'!$G$53)*IF(N331&lt;0,-1,1)</f>
        <v>240946.49743184328</v>
      </c>
      <c r="U331" s="545">
        <f>'Foglio deposito bis'!$F$52*IF(ABS(O331)&lt;'Sollecitazioni nel paramento'!$G$58,ABS(O331)*'Sollecitazioni nel paramento'!$G$54,'Sollecitazioni nel paramento'!$G$53)*IF(O331&lt;0,-1,1)</f>
        <v>240946.49743184328</v>
      </c>
      <c r="V331" s="472">
        <f t="shared" si="27"/>
        <v>82031.649077859824</v>
      </c>
      <c r="W331" s="551"/>
      <c r="X331" s="551"/>
    </row>
    <row r="332" spans="1:24" x14ac:dyDescent="0.25">
      <c r="A332" s="545">
        <f t="shared" si="26"/>
        <v>74278.471857425873</v>
      </c>
      <c r="B332" s="3">
        <f t="shared" si="28"/>
        <v>3.949999999999994</v>
      </c>
      <c r="C332" s="545">
        <f>'Foglio deposito bis'!$E$154/sezione!$B$247*B332</f>
        <v>16.077407680769898</v>
      </c>
      <c r="D332" s="603">
        <f>-'Sollecitazioni nel paramento'!$G$47*'Sollecitazioni nel paramento'!$G$41*IF(DATI!$G$211="dx",DATI!$E$61,DATI!$E$64*DATI!$E$63)*1000*C332^2*sezione!$AD$5*(1-sezione!$AD$6)</f>
        <v>-5750898.1205073399</v>
      </c>
      <c r="E332" s="545">
        <f>-'Foglio deposito bis'!$F$48*(C332-sezione!$AL$28)*IF(ABS(K332)&lt;'Sollecitazioni nel paramento'!$G$58,ABS(K332)*'Sollecitazioni nel paramento'!$G$54,'Sollecitazioni nel paramento'!$G$53)</f>
        <v>0</v>
      </c>
      <c r="F332" s="545">
        <f>-'Foglio deposito bis'!$F$49*(C332-sezione!$AM$28)*IF(ABS(L332)&lt;'Sollecitazioni nel paramento'!$G$58,ABS(L332)*'Sollecitazioni nel paramento'!$G$54,'Sollecitazioni nel paramento'!$G$53)</f>
        <v>8999145.2189160511</v>
      </c>
      <c r="G332" s="545">
        <f>-'Foglio deposito bis'!$F$50*(C332-sezione!$AN$28)*IF(ABS(M332)&lt;'Sollecitazioni nel paramento'!$G$58,ABS(M332)*'Sollecitazioni nel paramento'!$G$54,'Sollecitazioni nel paramento'!$G$53)</f>
        <v>0</v>
      </c>
      <c r="H332" s="545">
        <f>-'Foglio deposito bis'!$F$51*(C332-sezione!$AO$28)*IF(ABS(N332)&lt;'Sollecitazioni nel paramento'!$G$58,ABS(N332)*'Sollecitazioni nel paramento'!$G$54,'Sollecitazioni nel paramento'!$G$53)</f>
        <v>34677644.5206296</v>
      </c>
      <c r="I332" s="472">
        <f>-'Foglio deposito bis'!$F$52*(C332-sezione!$AP$28)*IF(ABS(O332)&lt;'Sollecitazioni nel paramento'!$G$58,ABS(O332)*'Sollecitazioni nel paramento'!$G$54,'Sollecitazioni nel paramento'!$G$53)</f>
        <v>58962637.580991961</v>
      </c>
      <c r="J332" s="472">
        <f t="shared" si="25"/>
        <v>96888529.200030267</v>
      </c>
      <c r="K332" s="550">
        <f>'Sollecitazioni nel paramento'!$G$60*(sezione!$AL$28-C332)/C332</f>
        <v>5.2078714914627223E-3</v>
      </c>
      <c r="L332" s="550">
        <f>'Sollecitazioni nel paramento'!$G$60*(sezione!$AM$28-C332)/C332</f>
        <v>9.5618072371940841E-3</v>
      </c>
      <c r="M332" s="551">
        <f>'Sollecitazioni nel paramento'!$G$60*(sezione!$AN$28-C332)/C332</f>
        <v>1.3915742982925444E-2</v>
      </c>
      <c r="N332" s="551">
        <f>'Sollecitazioni nel paramento'!$G$60*(sezione!$AO$28-C332)/C332</f>
        <v>3.1331485965850885E-2</v>
      </c>
      <c r="O332" s="551">
        <f>'Sollecitazioni nel paramento'!$G$60*(sezione!$AP$28-C332)/C332</f>
        <v>5.3273141166765181E-2</v>
      </c>
      <c r="P332" s="545">
        <f>-'Sollecitazioni nel paramento'!$G$47*'Sollecitazioni nel paramento'!$G$41*IF(DATI!$G$211="dx",DATI!$E$61,DATI!$E$64*DATI!$E$63)*1000*C332*sezione!$AD$5</f>
        <v>-612501.0004142907</v>
      </c>
      <c r="Q332" s="545">
        <f>'Foglio deposito bis'!$F$48*IF(ABS(K332)&lt;'Sollecitazioni nel paramento'!$G$58,ABS(K332)*'Sollecitazioni nel paramento'!$G$54,'Sollecitazioni nel paramento'!$G$53)*IF(K332&lt;0,-1,1)</f>
        <v>0</v>
      </c>
      <c r="R332" s="545">
        <f>'Foglio deposito bis'!$F$49*IF(ABS(L332)&lt;'Sollecitazioni nel paramento'!$G$58,ABS(L332)*'Sollecitazioni nel paramento'!$G$54,'Sollecitazioni nel paramento'!$G$53)*IF(L332&lt;0,-1,1)</f>
        <v>204886.47740803001</v>
      </c>
      <c r="S332" s="545">
        <f>'Foglio deposito bis'!$F$50*IF(ABS(M332)&lt;'Sollecitazioni nel paramento'!$G$58,ABS(M332)*'Sollecitazioni nel paramento'!$G$54,'Sollecitazioni nel paramento'!$G$53)*IF(M332&lt;0,-1,1)</f>
        <v>0</v>
      </c>
      <c r="T332" s="545">
        <f>'Foglio deposito bis'!$F$51*IF(ABS(N332)&lt;'Sollecitazioni nel paramento'!$G$58,ABS(N332)*'Sollecitazioni nel paramento'!$G$54,'Sollecitazioni nel paramento'!$G$53)*IF(N332&lt;0,-1,1)</f>
        <v>240946.49743184328</v>
      </c>
      <c r="U332" s="545">
        <f>'Foglio deposito bis'!$F$52*IF(ABS(O332)&lt;'Sollecitazioni nel paramento'!$G$58,ABS(O332)*'Sollecitazioni nel paramento'!$G$54,'Sollecitazioni nel paramento'!$G$53)*IF(O332&lt;0,-1,1)</f>
        <v>240946.49743184328</v>
      </c>
      <c r="V332" s="472">
        <f t="shared" si="27"/>
        <v>74278.471857425873</v>
      </c>
      <c r="W332" s="551"/>
      <c r="X332" s="551"/>
    </row>
    <row r="333" spans="1:24" x14ac:dyDescent="0.25">
      <c r="A333" s="545">
        <f t="shared" si="26"/>
        <v>66525.294636991806</v>
      </c>
      <c r="B333" s="3">
        <f t="shared" si="28"/>
        <v>3.9999999999999938</v>
      </c>
      <c r="C333" s="545">
        <f>'Foglio deposito bis'!$E$154/sezione!$B$247*B333</f>
        <v>16.280919170399898</v>
      </c>
      <c r="D333" s="603">
        <f>-'Sollecitazioni nel paramento'!$G$47*'Sollecitazioni nel paramento'!$G$41*IF(DATI!$G$211="dx",DATI!$E$61,DATI!$E$64*DATI!$E$63)*1000*C333^2*sezione!$AD$5*(1-sezione!$AD$6)</f>
        <v>-5897411.9486055076</v>
      </c>
      <c r="E333" s="545">
        <f>-'Foglio deposito bis'!$F$48*(C333-sezione!$AL$28)*IF(ABS(K333)&lt;'Sollecitazioni nel paramento'!$G$58,ABS(K333)*'Sollecitazioni nel paramento'!$G$54,'Sollecitazioni nel paramento'!$G$53)</f>
        <v>0</v>
      </c>
      <c r="F333" s="545">
        <f>-'Foglio deposito bis'!$F$49*(C333-sezione!$AM$28)*IF(ABS(L333)&lt;'Sollecitazioni nel paramento'!$G$58,ABS(L333)*'Sollecitazioni nel paramento'!$G$54,'Sollecitazioni nel paramento'!$G$53)</f>
        <v>8957448.4666936994</v>
      </c>
      <c r="G333" s="545">
        <f>-'Foglio deposito bis'!$F$50*(C333-sezione!$AN$28)*IF(ABS(M333)&lt;'Sollecitazioni nel paramento'!$G$58,ABS(M333)*'Sollecitazioni nel paramento'!$G$54,'Sollecitazioni nel paramento'!$G$53)</f>
        <v>0</v>
      </c>
      <c r="H333" s="545">
        <f>-'Foglio deposito bis'!$F$51*(C333-sezione!$AO$28)*IF(ABS(N333)&lt;'Sollecitazioni nel paramento'!$G$58,ABS(N333)*'Sollecitazioni nel paramento'!$G$54,'Sollecitazioni nel paramento'!$G$53)</f>
        <v>34628609.140016116</v>
      </c>
      <c r="I333" s="472">
        <f>-'Foglio deposito bis'!$F$52*(C333-sezione!$AP$28)*IF(ABS(O333)&lt;'Sollecitazioni nel paramento'!$G$58,ABS(O333)*'Sollecitazioni nel paramento'!$G$54,'Sollecitazioni nel paramento'!$G$53)</f>
        <v>58913602.200378478</v>
      </c>
      <c r="J333" s="472">
        <f t="shared" si="25"/>
        <v>96602247.858482778</v>
      </c>
      <c r="K333" s="550">
        <f>'Sollecitazioni nel paramento'!$G$60*(sezione!$AL$28-C333)/C333</f>
        <v>5.0990230978194377E-3</v>
      </c>
      <c r="L333" s="550">
        <f>'Sollecitazioni nel paramento'!$G$60*(sezione!$AM$28-C333)/C333</f>
        <v>9.3985346467291564E-3</v>
      </c>
      <c r="M333" s="551">
        <f>'Sollecitazioni nel paramento'!$G$60*(sezione!$AN$28-C333)/C333</f>
        <v>1.3698046195638875E-2</v>
      </c>
      <c r="N333" s="551">
        <f>'Sollecitazioni nel paramento'!$G$60*(sezione!$AO$28-C333)/C333</f>
        <v>3.0896092391277753E-2</v>
      </c>
      <c r="O333" s="551">
        <f>'Sollecitazioni nel paramento'!$G$60*(sezione!$AP$28-C333)/C333</f>
        <v>5.256347690218062E-2</v>
      </c>
      <c r="P333" s="545">
        <f>-'Sollecitazioni nel paramento'!$G$47*'Sollecitazioni nel paramento'!$G$41*IF(DATI!$G$211="dx",DATI!$E$61,DATI!$E$64*DATI!$E$63)*1000*C333*sezione!$AD$5</f>
        <v>-620254.17763472477</v>
      </c>
      <c r="Q333" s="545">
        <f>'Foglio deposito bis'!$F$48*IF(ABS(K333)&lt;'Sollecitazioni nel paramento'!$G$58,ABS(K333)*'Sollecitazioni nel paramento'!$G$54,'Sollecitazioni nel paramento'!$G$53)*IF(K333&lt;0,-1,1)</f>
        <v>0</v>
      </c>
      <c r="R333" s="545">
        <f>'Foglio deposito bis'!$F$49*IF(ABS(L333)&lt;'Sollecitazioni nel paramento'!$G$58,ABS(L333)*'Sollecitazioni nel paramento'!$G$54,'Sollecitazioni nel paramento'!$G$53)*IF(L333&lt;0,-1,1)</f>
        <v>204886.47740803001</v>
      </c>
      <c r="S333" s="545">
        <f>'Foglio deposito bis'!$F$50*IF(ABS(M333)&lt;'Sollecitazioni nel paramento'!$G$58,ABS(M333)*'Sollecitazioni nel paramento'!$G$54,'Sollecitazioni nel paramento'!$G$53)*IF(M333&lt;0,-1,1)</f>
        <v>0</v>
      </c>
      <c r="T333" s="545">
        <f>'Foglio deposito bis'!$F$51*IF(ABS(N333)&lt;'Sollecitazioni nel paramento'!$G$58,ABS(N333)*'Sollecitazioni nel paramento'!$G$54,'Sollecitazioni nel paramento'!$G$53)*IF(N333&lt;0,-1,1)</f>
        <v>240946.49743184328</v>
      </c>
      <c r="U333" s="545">
        <f>'Foglio deposito bis'!$F$52*IF(ABS(O333)&lt;'Sollecitazioni nel paramento'!$G$58,ABS(O333)*'Sollecitazioni nel paramento'!$G$54,'Sollecitazioni nel paramento'!$G$53)*IF(O333&lt;0,-1,1)</f>
        <v>240946.49743184328</v>
      </c>
      <c r="V333" s="472">
        <f t="shared" si="27"/>
        <v>66525.294636991806</v>
      </c>
      <c r="W333" s="551"/>
      <c r="X333" s="551"/>
    </row>
    <row r="334" spans="1:24" x14ac:dyDescent="0.25">
      <c r="A334" s="545">
        <f t="shared" si="26"/>
        <v>58772.117416557739</v>
      </c>
      <c r="B334" s="3">
        <f t="shared" si="28"/>
        <v>4.0499999999999936</v>
      </c>
      <c r="C334" s="545">
        <f>'Foglio deposito bis'!$E$154/sezione!$B$247*B334</f>
        <v>16.484430660029897</v>
      </c>
      <c r="D334" s="603">
        <f>-'Sollecitazioni nel paramento'!$G$47*'Sollecitazioni nel paramento'!$G$41*IF(DATI!$G$211="dx",DATI!$E$61,DATI!$E$64*DATI!$E$63)*1000*C334^2*sezione!$AD$5*(1-sezione!$AD$6)</f>
        <v>-6045768.7179376157</v>
      </c>
      <c r="E334" s="545">
        <f>-'Foglio deposito bis'!$F$48*(C334-sezione!$AL$28)*IF(ABS(K334)&lt;'Sollecitazioni nel paramento'!$G$58,ABS(K334)*'Sollecitazioni nel paramento'!$G$54,'Sollecitazioni nel paramento'!$G$53)</f>
        <v>0</v>
      </c>
      <c r="F334" s="545">
        <f>-'Foglio deposito bis'!$F$49*(C334-sezione!$AM$28)*IF(ABS(L334)&lt;'Sollecitazioni nel paramento'!$G$58,ABS(L334)*'Sollecitazioni nel paramento'!$G$54,'Sollecitazioni nel paramento'!$G$53)</f>
        <v>8915751.7144713476</v>
      </c>
      <c r="G334" s="545">
        <f>-'Foglio deposito bis'!$F$50*(C334-sezione!$AN$28)*IF(ABS(M334)&lt;'Sollecitazioni nel paramento'!$G$58,ABS(M334)*'Sollecitazioni nel paramento'!$G$54,'Sollecitazioni nel paramento'!$G$53)</f>
        <v>0</v>
      </c>
      <c r="H334" s="545">
        <f>-'Foglio deposito bis'!$F$51*(C334-sezione!$AO$28)*IF(ABS(N334)&lt;'Sollecitazioni nel paramento'!$G$58,ABS(N334)*'Sollecitazioni nel paramento'!$G$54,'Sollecitazioni nel paramento'!$G$53)</f>
        <v>34579573.759402633</v>
      </c>
      <c r="I334" s="472">
        <f>-'Foglio deposito bis'!$F$52*(C334-sezione!$AP$28)*IF(ABS(O334)&lt;'Sollecitazioni nel paramento'!$G$58,ABS(O334)*'Sollecitazioni nel paramento'!$G$54,'Sollecitazioni nel paramento'!$G$53)</f>
        <v>58864566.819764994</v>
      </c>
      <c r="J334" s="472">
        <f t="shared" si="25"/>
        <v>96314123.575701356</v>
      </c>
      <c r="K334" s="550">
        <f>'Sollecitazioni nel paramento'!$G$60*(sezione!$AL$28-C334)/C334</f>
        <v>4.992862318834012E-3</v>
      </c>
      <c r="L334" s="550">
        <f>'Sollecitazioni nel paramento'!$G$60*(sezione!$AM$28-C334)/C334</f>
        <v>9.2392934782510178E-3</v>
      </c>
      <c r="M334" s="551">
        <f>'Sollecitazioni nel paramento'!$G$60*(sezione!$AN$28-C334)/C334</f>
        <v>1.3485724637668024E-2</v>
      </c>
      <c r="N334" s="551">
        <f>'Sollecitazioni nel paramento'!$G$60*(sezione!$AO$28-C334)/C334</f>
        <v>3.0471449275336054E-2</v>
      </c>
      <c r="O334" s="551">
        <f>'Sollecitazioni nel paramento'!$G$60*(sezione!$AP$28-C334)/C334</f>
        <v>5.1871335212030238E-2</v>
      </c>
      <c r="P334" s="545">
        <f>-'Sollecitazioni nel paramento'!$G$47*'Sollecitazioni nel paramento'!$G$41*IF(DATI!$G$211="dx",DATI!$E$61,DATI!$E$64*DATI!$E$63)*1000*C334*sezione!$AD$5</f>
        <v>-628007.35485515883</v>
      </c>
      <c r="Q334" s="545">
        <f>'Foglio deposito bis'!$F$48*IF(ABS(K334)&lt;'Sollecitazioni nel paramento'!$G$58,ABS(K334)*'Sollecitazioni nel paramento'!$G$54,'Sollecitazioni nel paramento'!$G$53)*IF(K334&lt;0,-1,1)</f>
        <v>0</v>
      </c>
      <c r="R334" s="545">
        <f>'Foglio deposito bis'!$F$49*IF(ABS(L334)&lt;'Sollecitazioni nel paramento'!$G$58,ABS(L334)*'Sollecitazioni nel paramento'!$G$54,'Sollecitazioni nel paramento'!$G$53)*IF(L334&lt;0,-1,1)</f>
        <v>204886.47740803001</v>
      </c>
      <c r="S334" s="545">
        <f>'Foglio deposito bis'!$F$50*IF(ABS(M334)&lt;'Sollecitazioni nel paramento'!$G$58,ABS(M334)*'Sollecitazioni nel paramento'!$G$54,'Sollecitazioni nel paramento'!$G$53)*IF(M334&lt;0,-1,1)</f>
        <v>0</v>
      </c>
      <c r="T334" s="545">
        <f>'Foglio deposito bis'!$F$51*IF(ABS(N334)&lt;'Sollecitazioni nel paramento'!$G$58,ABS(N334)*'Sollecitazioni nel paramento'!$G$54,'Sollecitazioni nel paramento'!$G$53)*IF(N334&lt;0,-1,1)</f>
        <v>240946.49743184328</v>
      </c>
      <c r="U334" s="545">
        <f>'Foglio deposito bis'!$F$52*IF(ABS(O334)&lt;'Sollecitazioni nel paramento'!$G$58,ABS(O334)*'Sollecitazioni nel paramento'!$G$54,'Sollecitazioni nel paramento'!$G$53)*IF(O334&lt;0,-1,1)</f>
        <v>240946.49743184328</v>
      </c>
      <c r="V334" s="472">
        <f t="shared" si="27"/>
        <v>58772.117416557739</v>
      </c>
      <c r="W334" s="551"/>
      <c r="X334" s="551"/>
    </row>
    <row r="335" spans="1:24" x14ac:dyDescent="0.25">
      <c r="A335" s="545">
        <f t="shared" si="26"/>
        <v>51018.940196123789</v>
      </c>
      <c r="B335" s="3">
        <f t="shared" si="28"/>
        <v>4.0999999999999934</v>
      </c>
      <c r="C335" s="545">
        <f>'Foglio deposito bis'!$E$154/sezione!$B$247*B335</f>
        <v>16.687942149659893</v>
      </c>
      <c r="D335" s="603">
        <f>-'Sollecitazioni nel paramento'!$G$47*'Sollecitazioni nel paramento'!$G$41*IF(DATI!$G$211="dx",DATI!$E$61,DATI!$E$64*DATI!$E$63)*1000*C335^2*sezione!$AD$5*(1-sezione!$AD$6)</f>
        <v>-6195968.4285036605</v>
      </c>
      <c r="E335" s="545">
        <f>-'Foglio deposito bis'!$F$48*(C335-sezione!$AL$28)*IF(ABS(K335)&lt;'Sollecitazioni nel paramento'!$G$58,ABS(K335)*'Sollecitazioni nel paramento'!$G$54,'Sollecitazioni nel paramento'!$G$53)</f>
        <v>0</v>
      </c>
      <c r="F335" s="545">
        <f>-'Foglio deposito bis'!$F$49*(C335-sezione!$AM$28)*IF(ABS(L335)&lt;'Sollecitazioni nel paramento'!$G$58,ABS(L335)*'Sollecitazioni nel paramento'!$G$54,'Sollecitazioni nel paramento'!$G$53)</f>
        <v>8874054.9622489978</v>
      </c>
      <c r="G335" s="545">
        <f>-'Foglio deposito bis'!$F$50*(C335-sezione!$AN$28)*IF(ABS(M335)&lt;'Sollecitazioni nel paramento'!$G$58,ABS(M335)*'Sollecitazioni nel paramento'!$G$54,'Sollecitazioni nel paramento'!$G$53)</f>
        <v>0</v>
      </c>
      <c r="H335" s="545">
        <f>-'Foglio deposito bis'!$F$51*(C335-sezione!$AO$28)*IF(ABS(N335)&lt;'Sollecitazioni nel paramento'!$G$58,ABS(N335)*'Sollecitazioni nel paramento'!$G$54,'Sollecitazioni nel paramento'!$G$53)</f>
        <v>34530538.378789149</v>
      </c>
      <c r="I335" s="472">
        <f>-'Foglio deposito bis'!$F$52*(C335-sezione!$AP$28)*IF(ABS(O335)&lt;'Sollecitazioni nel paramento'!$G$58,ABS(O335)*'Sollecitazioni nel paramento'!$G$54,'Sollecitazioni nel paramento'!$G$53)</f>
        <v>58815531.439151503</v>
      </c>
      <c r="J335" s="472">
        <f t="shared" si="25"/>
        <v>96024156.351686001</v>
      </c>
      <c r="K335" s="550">
        <f>'Sollecitazioni nel paramento'!$G$60*(sezione!$AL$28-C335)/C335</f>
        <v>4.8892908271409167E-3</v>
      </c>
      <c r="L335" s="550">
        <f>'Sollecitazioni nel paramento'!$G$60*(sezione!$AM$28-C335)/C335</f>
        <v>9.0839362407113752E-3</v>
      </c>
      <c r="M335" s="551">
        <f>'Sollecitazioni nel paramento'!$G$60*(sezione!$AN$28-C335)/C335</f>
        <v>1.3278581654281833E-2</v>
      </c>
      <c r="N335" s="551">
        <f>'Sollecitazioni nel paramento'!$G$60*(sezione!$AO$28-C335)/C335</f>
        <v>3.0057163308563659E-2</v>
      </c>
      <c r="O335" s="551">
        <f>'Sollecitazioni nel paramento'!$G$60*(sezione!$AP$28-C335)/C335</f>
        <v>5.1196075026517684E-2</v>
      </c>
      <c r="P335" s="545">
        <f>-'Sollecitazioni nel paramento'!$G$47*'Sollecitazioni nel paramento'!$G$41*IF(DATI!$G$211="dx",DATI!$E$61,DATI!$E$64*DATI!$E$63)*1000*C335*sezione!$AD$5</f>
        <v>-635760.53207559278</v>
      </c>
      <c r="Q335" s="545">
        <f>'Foglio deposito bis'!$F$48*IF(ABS(K335)&lt;'Sollecitazioni nel paramento'!$G$58,ABS(K335)*'Sollecitazioni nel paramento'!$G$54,'Sollecitazioni nel paramento'!$G$53)*IF(K335&lt;0,-1,1)</f>
        <v>0</v>
      </c>
      <c r="R335" s="545">
        <f>'Foglio deposito bis'!$F$49*IF(ABS(L335)&lt;'Sollecitazioni nel paramento'!$G$58,ABS(L335)*'Sollecitazioni nel paramento'!$G$54,'Sollecitazioni nel paramento'!$G$53)*IF(L335&lt;0,-1,1)</f>
        <v>204886.47740803001</v>
      </c>
      <c r="S335" s="545">
        <f>'Foglio deposito bis'!$F$50*IF(ABS(M335)&lt;'Sollecitazioni nel paramento'!$G$58,ABS(M335)*'Sollecitazioni nel paramento'!$G$54,'Sollecitazioni nel paramento'!$G$53)*IF(M335&lt;0,-1,1)</f>
        <v>0</v>
      </c>
      <c r="T335" s="545">
        <f>'Foglio deposito bis'!$F$51*IF(ABS(N335)&lt;'Sollecitazioni nel paramento'!$G$58,ABS(N335)*'Sollecitazioni nel paramento'!$G$54,'Sollecitazioni nel paramento'!$G$53)*IF(N335&lt;0,-1,1)</f>
        <v>240946.49743184328</v>
      </c>
      <c r="U335" s="545">
        <f>'Foglio deposito bis'!$F$52*IF(ABS(O335)&lt;'Sollecitazioni nel paramento'!$G$58,ABS(O335)*'Sollecitazioni nel paramento'!$G$54,'Sollecitazioni nel paramento'!$G$53)*IF(O335&lt;0,-1,1)</f>
        <v>240946.49743184328</v>
      </c>
      <c r="V335" s="472">
        <f t="shared" si="27"/>
        <v>51018.940196123789</v>
      </c>
      <c r="W335" s="551"/>
      <c r="X335" s="551"/>
    </row>
    <row r="336" spans="1:24" x14ac:dyDescent="0.25">
      <c r="A336" s="545">
        <f t="shared" si="26"/>
        <v>43265.762975689606</v>
      </c>
      <c r="B336" s="3">
        <f t="shared" si="28"/>
        <v>4.1499999999999932</v>
      </c>
      <c r="C336" s="545">
        <f>'Foglio deposito bis'!$E$154/sezione!$B$247*B336</f>
        <v>16.891453639289892</v>
      </c>
      <c r="D336" s="603">
        <f>-'Sollecitazioni nel paramento'!$G$47*'Sollecitazioni nel paramento'!$G$41*IF(DATI!$G$211="dx",DATI!$E$61,DATI!$E$64*DATI!$E$63)*1000*C336^2*sezione!$AD$5*(1-sezione!$AD$6)</f>
        <v>-6348011.0803036476</v>
      </c>
      <c r="E336" s="545">
        <f>-'Foglio deposito bis'!$F$48*(C336-sezione!$AL$28)*IF(ABS(K336)&lt;'Sollecitazioni nel paramento'!$G$58,ABS(K336)*'Sollecitazioni nel paramento'!$G$54,'Sollecitazioni nel paramento'!$G$53)</f>
        <v>0</v>
      </c>
      <c r="F336" s="545">
        <f>-'Foglio deposito bis'!$F$49*(C336-sezione!$AM$28)*IF(ABS(L336)&lt;'Sollecitazioni nel paramento'!$G$58,ABS(L336)*'Sollecitazioni nel paramento'!$G$54,'Sollecitazioni nel paramento'!$G$53)</f>
        <v>8832358.210026646</v>
      </c>
      <c r="G336" s="545">
        <f>-'Foglio deposito bis'!$F$50*(C336-sezione!$AN$28)*IF(ABS(M336)&lt;'Sollecitazioni nel paramento'!$G$58,ABS(M336)*'Sollecitazioni nel paramento'!$G$54,'Sollecitazioni nel paramento'!$G$53)</f>
        <v>0</v>
      </c>
      <c r="H336" s="545">
        <f>-'Foglio deposito bis'!$F$51*(C336-sezione!$AO$28)*IF(ABS(N336)&lt;'Sollecitazioni nel paramento'!$G$58,ABS(N336)*'Sollecitazioni nel paramento'!$G$54,'Sollecitazioni nel paramento'!$G$53)</f>
        <v>34481502.998175658</v>
      </c>
      <c r="I336" s="472">
        <f>-'Foglio deposito bis'!$F$52*(C336-sezione!$AP$28)*IF(ABS(O336)&lt;'Sollecitazioni nel paramento'!$G$58,ABS(O336)*'Sollecitazioni nel paramento'!$G$54,'Sollecitazioni nel paramento'!$G$53)</f>
        <v>58766496.058538027</v>
      </c>
      <c r="J336" s="472">
        <f t="shared" si="25"/>
        <v>95732346.186436683</v>
      </c>
      <c r="K336" s="550">
        <f>'Sollecitazioni nel paramento'!$G$60*(sezione!$AL$28-C336)/C336</f>
        <v>4.7882150340428321E-3</v>
      </c>
      <c r="L336" s="550">
        <f>'Sollecitazioni nel paramento'!$G$60*(sezione!$AM$28-C336)/C336</f>
        <v>8.9323225510642475E-3</v>
      </c>
      <c r="M336" s="551">
        <f>'Sollecitazioni nel paramento'!$G$60*(sezione!$AN$28-C336)/C336</f>
        <v>1.3076430068085666E-2</v>
      </c>
      <c r="N336" s="551">
        <f>'Sollecitazioni nel paramento'!$G$60*(sezione!$AO$28-C336)/C336</f>
        <v>2.9652860136171331E-2</v>
      </c>
      <c r="O336" s="551">
        <f>'Sollecitazioni nel paramento'!$G$60*(sezione!$AP$28-C336)/C336</f>
        <v>5.0537086170776499E-2</v>
      </c>
      <c r="P336" s="545">
        <f>-'Sollecitazioni nel paramento'!$G$47*'Sollecitazioni nel paramento'!$G$41*IF(DATI!$G$211="dx",DATI!$E$61,DATI!$E$64*DATI!$E$63)*1000*C336*sezione!$AD$5</f>
        <v>-643513.70929602697</v>
      </c>
      <c r="Q336" s="545">
        <f>'Foglio deposito bis'!$F$48*IF(ABS(K336)&lt;'Sollecitazioni nel paramento'!$G$58,ABS(K336)*'Sollecitazioni nel paramento'!$G$54,'Sollecitazioni nel paramento'!$G$53)*IF(K336&lt;0,-1,1)</f>
        <v>0</v>
      </c>
      <c r="R336" s="545">
        <f>'Foglio deposito bis'!$F$49*IF(ABS(L336)&lt;'Sollecitazioni nel paramento'!$G$58,ABS(L336)*'Sollecitazioni nel paramento'!$G$54,'Sollecitazioni nel paramento'!$G$53)*IF(L336&lt;0,-1,1)</f>
        <v>204886.47740803001</v>
      </c>
      <c r="S336" s="545">
        <f>'Foglio deposito bis'!$F$50*IF(ABS(M336)&lt;'Sollecitazioni nel paramento'!$G$58,ABS(M336)*'Sollecitazioni nel paramento'!$G$54,'Sollecitazioni nel paramento'!$G$53)*IF(M336&lt;0,-1,1)</f>
        <v>0</v>
      </c>
      <c r="T336" s="545">
        <f>'Foglio deposito bis'!$F$51*IF(ABS(N336)&lt;'Sollecitazioni nel paramento'!$G$58,ABS(N336)*'Sollecitazioni nel paramento'!$G$54,'Sollecitazioni nel paramento'!$G$53)*IF(N336&lt;0,-1,1)</f>
        <v>240946.49743184328</v>
      </c>
      <c r="U336" s="545">
        <f>'Foglio deposito bis'!$F$52*IF(ABS(O336)&lt;'Sollecitazioni nel paramento'!$G$58,ABS(O336)*'Sollecitazioni nel paramento'!$G$54,'Sollecitazioni nel paramento'!$G$53)*IF(O336&lt;0,-1,1)</f>
        <v>240946.49743184328</v>
      </c>
      <c r="V336" s="472">
        <f t="shared" si="27"/>
        <v>43265.762975689606</v>
      </c>
      <c r="W336" s="551"/>
      <c r="X336" s="551"/>
    </row>
    <row r="337" spans="1:24" x14ac:dyDescent="0.25">
      <c r="A337" s="545">
        <f t="shared" si="26"/>
        <v>35512.585755255539</v>
      </c>
      <c r="B337" s="3">
        <f t="shared" si="28"/>
        <v>4.1999999999999931</v>
      </c>
      <c r="C337" s="545">
        <f>'Foglio deposito bis'!$E$154/sezione!$B$247*B337</f>
        <v>17.094965128919892</v>
      </c>
      <c r="D337" s="603">
        <f>-'Sollecitazioni nel paramento'!$G$47*'Sollecitazioni nel paramento'!$G$41*IF(DATI!$G$211="dx",DATI!$E$61,DATI!$E$64*DATI!$E$63)*1000*C337^2*sezione!$AD$5*(1-sezione!$AD$6)</f>
        <v>-6501896.6733375723</v>
      </c>
      <c r="E337" s="545">
        <f>-'Foglio deposito bis'!$F$48*(C337-sezione!$AL$28)*IF(ABS(K337)&lt;'Sollecitazioni nel paramento'!$G$58,ABS(K337)*'Sollecitazioni nel paramento'!$G$54,'Sollecitazioni nel paramento'!$G$53)</f>
        <v>0</v>
      </c>
      <c r="F337" s="545">
        <f>-'Foglio deposito bis'!$F$49*(C337-sezione!$AM$28)*IF(ABS(L337)&lt;'Sollecitazioni nel paramento'!$G$58,ABS(L337)*'Sollecitazioni nel paramento'!$G$54,'Sollecitazioni nel paramento'!$G$53)</f>
        <v>8790661.4578042924</v>
      </c>
      <c r="G337" s="545">
        <f>-'Foglio deposito bis'!$F$50*(C337-sezione!$AN$28)*IF(ABS(M337)&lt;'Sollecitazioni nel paramento'!$G$58,ABS(M337)*'Sollecitazioni nel paramento'!$G$54,'Sollecitazioni nel paramento'!$G$53)</f>
        <v>0</v>
      </c>
      <c r="H337" s="545">
        <f>-'Foglio deposito bis'!$F$51*(C337-sezione!$AO$28)*IF(ABS(N337)&lt;'Sollecitazioni nel paramento'!$G$58,ABS(N337)*'Sollecitazioni nel paramento'!$G$54,'Sollecitazioni nel paramento'!$G$53)</f>
        <v>34432467.617562182</v>
      </c>
      <c r="I337" s="472">
        <f>-'Foglio deposito bis'!$F$52*(C337-sezione!$AP$28)*IF(ABS(O337)&lt;'Sollecitazioni nel paramento'!$G$58,ABS(O337)*'Sollecitazioni nel paramento'!$G$54,'Sollecitazioni nel paramento'!$G$53)</f>
        <v>58717460.677924544</v>
      </c>
      <c r="J337" s="472">
        <f t="shared" si="25"/>
        <v>95438693.079953447</v>
      </c>
      <c r="K337" s="550">
        <f>'Sollecitazioni nel paramento'!$G$60*(sezione!$AL$28-C337)/C337</f>
        <v>4.6895458074470838E-3</v>
      </c>
      <c r="L337" s="550">
        <f>'Sollecitazioni nel paramento'!$G$60*(sezione!$AM$28-C337)/C337</f>
        <v>8.7843187111706252E-3</v>
      </c>
      <c r="M337" s="551">
        <f>'Sollecitazioni nel paramento'!$G$60*(sezione!$AN$28-C337)/C337</f>
        <v>1.2879091614894167E-2</v>
      </c>
      <c r="N337" s="551">
        <f>'Sollecitazioni nel paramento'!$G$60*(sezione!$AO$28-C337)/C337</f>
        <v>2.9258183229788338E-2</v>
      </c>
      <c r="O337" s="551">
        <f>'Sollecitazioni nel paramento'!$G$60*(sezione!$AP$28-C337)/C337</f>
        <v>4.9893787525886302E-2</v>
      </c>
      <c r="P337" s="545">
        <f>-'Sollecitazioni nel paramento'!$G$47*'Sollecitazioni nel paramento'!$G$41*IF(DATI!$G$211="dx",DATI!$E$61,DATI!$E$64*DATI!$E$63)*1000*C337*sezione!$AD$5</f>
        <v>-651266.88651646103</v>
      </c>
      <c r="Q337" s="545">
        <f>'Foglio deposito bis'!$F$48*IF(ABS(K337)&lt;'Sollecitazioni nel paramento'!$G$58,ABS(K337)*'Sollecitazioni nel paramento'!$G$54,'Sollecitazioni nel paramento'!$G$53)*IF(K337&lt;0,-1,1)</f>
        <v>0</v>
      </c>
      <c r="R337" s="545">
        <f>'Foglio deposito bis'!$F$49*IF(ABS(L337)&lt;'Sollecitazioni nel paramento'!$G$58,ABS(L337)*'Sollecitazioni nel paramento'!$G$54,'Sollecitazioni nel paramento'!$G$53)*IF(L337&lt;0,-1,1)</f>
        <v>204886.47740803001</v>
      </c>
      <c r="S337" s="545">
        <f>'Foglio deposito bis'!$F$50*IF(ABS(M337)&lt;'Sollecitazioni nel paramento'!$G$58,ABS(M337)*'Sollecitazioni nel paramento'!$G$54,'Sollecitazioni nel paramento'!$G$53)*IF(M337&lt;0,-1,1)</f>
        <v>0</v>
      </c>
      <c r="T337" s="545">
        <f>'Foglio deposito bis'!$F$51*IF(ABS(N337)&lt;'Sollecitazioni nel paramento'!$G$58,ABS(N337)*'Sollecitazioni nel paramento'!$G$54,'Sollecitazioni nel paramento'!$G$53)*IF(N337&lt;0,-1,1)</f>
        <v>240946.49743184328</v>
      </c>
      <c r="U337" s="545">
        <f>'Foglio deposito bis'!$F$52*IF(ABS(O337)&lt;'Sollecitazioni nel paramento'!$G$58,ABS(O337)*'Sollecitazioni nel paramento'!$G$54,'Sollecitazioni nel paramento'!$G$53)*IF(O337&lt;0,-1,1)</f>
        <v>240946.49743184328</v>
      </c>
      <c r="V337" s="472">
        <f t="shared" si="27"/>
        <v>35512.585755255539</v>
      </c>
      <c r="W337" s="551"/>
      <c r="X337" s="551"/>
    </row>
    <row r="338" spans="1:24" x14ac:dyDescent="0.25">
      <c r="A338" s="545">
        <f t="shared" si="26"/>
        <v>27759.408534821589</v>
      </c>
      <c r="B338" s="3">
        <f t="shared" si="28"/>
        <v>4.2499999999999929</v>
      </c>
      <c r="C338" s="545">
        <f>'Foglio deposito bis'!$E$154/sezione!$B$247*B338</f>
        <v>17.298476618549888</v>
      </c>
      <c r="D338" s="603">
        <f>-'Sollecitazioni nel paramento'!$G$47*'Sollecitazioni nel paramento'!$G$41*IF(DATI!$G$211="dx",DATI!$E$61,DATI!$E$64*DATI!$E$63)*1000*C338^2*sezione!$AD$5*(1-sezione!$AD$6)</f>
        <v>-6657625.2076054337</v>
      </c>
      <c r="E338" s="545">
        <f>-'Foglio deposito bis'!$F$48*(C338-sezione!$AL$28)*IF(ABS(K338)&lt;'Sollecitazioni nel paramento'!$G$58,ABS(K338)*'Sollecitazioni nel paramento'!$G$54,'Sollecitazioni nel paramento'!$G$53)</f>
        <v>0</v>
      </c>
      <c r="F338" s="545">
        <f>-'Foglio deposito bis'!$F$49*(C338-sezione!$AM$28)*IF(ABS(L338)&lt;'Sollecitazioni nel paramento'!$G$58,ABS(L338)*'Sollecitazioni nel paramento'!$G$54,'Sollecitazioni nel paramento'!$G$53)</f>
        <v>8748964.7055819444</v>
      </c>
      <c r="G338" s="545">
        <f>-'Foglio deposito bis'!$F$50*(C338-sezione!$AN$28)*IF(ABS(M338)&lt;'Sollecitazioni nel paramento'!$G$58,ABS(M338)*'Sollecitazioni nel paramento'!$G$54,'Sollecitazioni nel paramento'!$G$53)</f>
        <v>0</v>
      </c>
      <c r="H338" s="545">
        <f>-'Foglio deposito bis'!$F$51*(C338-sezione!$AO$28)*IF(ABS(N338)&lt;'Sollecitazioni nel paramento'!$G$58,ABS(N338)*'Sollecitazioni nel paramento'!$G$54,'Sollecitazioni nel paramento'!$G$53)</f>
        <v>34383432.236948691</v>
      </c>
      <c r="I338" s="472">
        <f>-'Foglio deposito bis'!$F$52*(C338-sezione!$AP$28)*IF(ABS(O338)&lt;'Sollecitazioni nel paramento'!$G$58,ABS(O338)*'Sollecitazioni nel paramento'!$G$54,'Sollecitazioni nel paramento'!$G$53)</f>
        <v>58668425.297311053</v>
      </c>
      <c r="J338" s="472">
        <f t="shared" si="25"/>
        <v>95143197.032236248</v>
      </c>
      <c r="K338" s="550">
        <f>'Sollecitazioni nel paramento'!$G$60*(sezione!$AL$28-C338)/C338</f>
        <v>4.5931982097124138E-3</v>
      </c>
      <c r="L338" s="550">
        <f>'Sollecitazioni nel paramento'!$G$60*(sezione!$AM$28-C338)/C338</f>
        <v>8.6397973145686223E-3</v>
      </c>
      <c r="M338" s="551">
        <f>'Sollecitazioni nel paramento'!$G$60*(sezione!$AN$28-C338)/C338</f>
        <v>1.2686396419424827E-2</v>
      </c>
      <c r="N338" s="551">
        <f>'Sollecitazioni nel paramento'!$G$60*(sezione!$AO$28-C338)/C338</f>
        <v>2.8872792838849651E-2</v>
      </c>
      <c r="O338" s="551">
        <f>'Sollecitazioni nel paramento'!$G$60*(sezione!$AP$28-C338)/C338</f>
        <v>4.9265625319699413E-2</v>
      </c>
      <c r="P338" s="545">
        <f>-'Sollecitazioni nel paramento'!$G$47*'Sollecitazioni nel paramento'!$G$41*IF(DATI!$G$211="dx",DATI!$E$61,DATI!$E$64*DATI!$E$63)*1000*C338*sezione!$AD$5</f>
        <v>-659020.06373689498</v>
      </c>
      <c r="Q338" s="545">
        <f>'Foglio deposito bis'!$F$48*IF(ABS(K338)&lt;'Sollecitazioni nel paramento'!$G$58,ABS(K338)*'Sollecitazioni nel paramento'!$G$54,'Sollecitazioni nel paramento'!$G$53)*IF(K338&lt;0,-1,1)</f>
        <v>0</v>
      </c>
      <c r="R338" s="545">
        <f>'Foglio deposito bis'!$F$49*IF(ABS(L338)&lt;'Sollecitazioni nel paramento'!$G$58,ABS(L338)*'Sollecitazioni nel paramento'!$G$54,'Sollecitazioni nel paramento'!$G$53)*IF(L338&lt;0,-1,1)</f>
        <v>204886.47740803001</v>
      </c>
      <c r="S338" s="545">
        <f>'Foglio deposito bis'!$F$50*IF(ABS(M338)&lt;'Sollecitazioni nel paramento'!$G$58,ABS(M338)*'Sollecitazioni nel paramento'!$G$54,'Sollecitazioni nel paramento'!$G$53)*IF(M338&lt;0,-1,1)</f>
        <v>0</v>
      </c>
      <c r="T338" s="545">
        <f>'Foglio deposito bis'!$F$51*IF(ABS(N338)&lt;'Sollecitazioni nel paramento'!$G$58,ABS(N338)*'Sollecitazioni nel paramento'!$G$54,'Sollecitazioni nel paramento'!$G$53)*IF(N338&lt;0,-1,1)</f>
        <v>240946.49743184328</v>
      </c>
      <c r="U338" s="545">
        <f>'Foglio deposito bis'!$F$52*IF(ABS(O338)&lt;'Sollecitazioni nel paramento'!$G$58,ABS(O338)*'Sollecitazioni nel paramento'!$G$54,'Sollecitazioni nel paramento'!$G$53)*IF(O338&lt;0,-1,1)</f>
        <v>240946.49743184328</v>
      </c>
      <c r="V338" s="472">
        <f t="shared" si="27"/>
        <v>27759.408534821589</v>
      </c>
      <c r="W338" s="551"/>
      <c r="X338" s="551"/>
    </row>
    <row r="339" spans="1:24" x14ac:dyDescent="0.25">
      <c r="A339" s="545">
        <f t="shared" si="26"/>
        <v>20006.231314387522</v>
      </c>
      <c r="B339" s="3">
        <f t="shared" si="28"/>
        <v>4.2999999999999927</v>
      </c>
      <c r="C339" s="545">
        <f>'Foglio deposito bis'!$E$154/sezione!$B$247*B339</f>
        <v>17.501988108179887</v>
      </c>
      <c r="D339" s="603">
        <f>-'Sollecitazioni nel paramento'!$G$47*'Sollecitazioni nel paramento'!$G$41*IF(DATI!$G$211="dx",DATI!$E$61,DATI!$E$64*DATI!$E$63)*1000*C339^2*sezione!$AD$5*(1-sezione!$AD$6)</f>
        <v>-6815196.6831072392</v>
      </c>
      <c r="E339" s="545">
        <f>-'Foglio deposito bis'!$F$48*(C339-sezione!$AL$28)*IF(ABS(K339)&lt;'Sollecitazioni nel paramento'!$G$58,ABS(K339)*'Sollecitazioni nel paramento'!$G$54,'Sollecitazioni nel paramento'!$G$53)</f>
        <v>0</v>
      </c>
      <c r="F339" s="545">
        <f>-'Foglio deposito bis'!$F$49*(C339-sezione!$AM$28)*IF(ABS(L339)&lt;'Sollecitazioni nel paramento'!$G$58,ABS(L339)*'Sollecitazioni nel paramento'!$G$54,'Sollecitazioni nel paramento'!$G$53)</f>
        <v>8707267.9533595927</v>
      </c>
      <c r="G339" s="545">
        <f>-'Foglio deposito bis'!$F$50*(C339-sezione!$AN$28)*IF(ABS(M339)&lt;'Sollecitazioni nel paramento'!$G$58,ABS(M339)*'Sollecitazioni nel paramento'!$G$54,'Sollecitazioni nel paramento'!$G$53)</f>
        <v>0</v>
      </c>
      <c r="H339" s="545">
        <f>-'Foglio deposito bis'!$F$51*(C339-sezione!$AO$28)*IF(ABS(N339)&lt;'Sollecitazioni nel paramento'!$G$58,ABS(N339)*'Sollecitazioni nel paramento'!$G$54,'Sollecitazioni nel paramento'!$G$53)</f>
        <v>34334396.856335208</v>
      </c>
      <c r="I339" s="472">
        <f>-'Foglio deposito bis'!$F$52*(C339-sezione!$AP$28)*IF(ABS(O339)&lt;'Sollecitazioni nel paramento'!$G$58,ABS(O339)*'Sollecitazioni nel paramento'!$G$54,'Sollecitazioni nel paramento'!$G$53)</f>
        <v>58619389.916697577</v>
      </c>
      <c r="J339" s="472">
        <f t="shared" si="25"/>
        <v>94845858.043285131</v>
      </c>
      <c r="K339" s="550">
        <f>'Sollecitazioni nel paramento'!$G$60*(sezione!$AL$28-C339)/C339</f>
        <v>4.4990912537855249E-3</v>
      </c>
      <c r="L339" s="550">
        <f>'Sollecitazioni nel paramento'!$G$60*(sezione!$AM$28-C339)/C339</f>
        <v>8.4986368806782876E-3</v>
      </c>
      <c r="M339" s="551">
        <f>'Sollecitazioni nel paramento'!$G$60*(sezione!$AN$28-C339)/C339</f>
        <v>1.2498182507571049E-2</v>
      </c>
      <c r="N339" s="551">
        <f>'Sollecitazioni nel paramento'!$G$60*(sezione!$AO$28-C339)/C339</f>
        <v>2.8496365015142099E-2</v>
      </c>
      <c r="O339" s="551">
        <f>'Sollecitazioni nel paramento'!$G$60*(sezione!$AP$28-C339)/C339</f>
        <v>4.8652071536912207E-2</v>
      </c>
      <c r="P339" s="545">
        <f>-'Sollecitazioni nel paramento'!$G$47*'Sollecitazioni nel paramento'!$G$41*IF(DATI!$G$211="dx",DATI!$E$61,DATI!$E$64*DATI!$E$63)*1000*C339*sezione!$AD$5</f>
        <v>-666773.24095732905</v>
      </c>
      <c r="Q339" s="545">
        <f>'Foglio deposito bis'!$F$48*IF(ABS(K339)&lt;'Sollecitazioni nel paramento'!$G$58,ABS(K339)*'Sollecitazioni nel paramento'!$G$54,'Sollecitazioni nel paramento'!$G$53)*IF(K339&lt;0,-1,1)</f>
        <v>0</v>
      </c>
      <c r="R339" s="545">
        <f>'Foglio deposito bis'!$F$49*IF(ABS(L339)&lt;'Sollecitazioni nel paramento'!$G$58,ABS(L339)*'Sollecitazioni nel paramento'!$G$54,'Sollecitazioni nel paramento'!$G$53)*IF(L339&lt;0,-1,1)</f>
        <v>204886.47740803001</v>
      </c>
      <c r="S339" s="545">
        <f>'Foglio deposito bis'!$F$50*IF(ABS(M339)&lt;'Sollecitazioni nel paramento'!$G$58,ABS(M339)*'Sollecitazioni nel paramento'!$G$54,'Sollecitazioni nel paramento'!$G$53)*IF(M339&lt;0,-1,1)</f>
        <v>0</v>
      </c>
      <c r="T339" s="545">
        <f>'Foglio deposito bis'!$F$51*IF(ABS(N339)&lt;'Sollecitazioni nel paramento'!$G$58,ABS(N339)*'Sollecitazioni nel paramento'!$G$54,'Sollecitazioni nel paramento'!$G$53)*IF(N339&lt;0,-1,1)</f>
        <v>240946.49743184328</v>
      </c>
      <c r="U339" s="545">
        <f>'Foglio deposito bis'!$F$52*IF(ABS(O339)&lt;'Sollecitazioni nel paramento'!$G$58,ABS(O339)*'Sollecitazioni nel paramento'!$G$54,'Sollecitazioni nel paramento'!$G$53)*IF(O339&lt;0,-1,1)</f>
        <v>240946.49743184328</v>
      </c>
      <c r="V339" s="472">
        <f t="shared" si="27"/>
        <v>20006.231314387522</v>
      </c>
      <c r="W339" s="551"/>
      <c r="X339" s="551"/>
    </row>
    <row r="340" spans="1:24" x14ac:dyDescent="0.25">
      <c r="A340" s="545">
        <f t="shared" si="26"/>
        <v>12253.054093953455</v>
      </c>
      <c r="B340" s="3">
        <f t="shared" si="28"/>
        <v>4.3499999999999925</v>
      </c>
      <c r="C340" s="545">
        <f>'Foglio deposito bis'!$E$154/sezione!$B$247*B340</f>
        <v>17.705499597809887</v>
      </c>
      <c r="D340" s="603">
        <f>-'Sollecitazioni nel paramento'!$G$47*'Sollecitazioni nel paramento'!$G$41*IF(DATI!$G$211="dx",DATI!$E$61,DATI!$E$64*DATI!$E$63)*1000*C340^2*sezione!$AD$5*(1-sezione!$AD$6)</f>
        <v>-6974611.0998429814</v>
      </c>
      <c r="E340" s="545">
        <f>-'Foglio deposito bis'!$F$48*(C340-sezione!$AL$28)*IF(ABS(K340)&lt;'Sollecitazioni nel paramento'!$G$58,ABS(K340)*'Sollecitazioni nel paramento'!$G$54,'Sollecitazioni nel paramento'!$G$53)</f>
        <v>0</v>
      </c>
      <c r="F340" s="545">
        <f>-'Foglio deposito bis'!$F$49*(C340-sezione!$AM$28)*IF(ABS(L340)&lt;'Sollecitazioni nel paramento'!$G$58,ABS(L340)*'Sollecitazioni nel paramento'!$G$54,'Sollecitazioni nel paramento'!$G$53)</f>
        <v>8665571.2011372391</v>
      </c>
      <c r="G340" s="545">
        <f>-'Foglio deposito bis'!$F$50*(C340-sezione!$AN$28)*IF(ABS(M340)&lt;'Sollecitazioni nel paramento'!$G$58,ABS(M340)*'Sollecitazioni nel paramento'!$G$54,'Sollecitazioni nel paramento'!$G$53)</f>
        <v>0</v>
      </c>
      <c r="H340" s="545">
        <f>-'Foglio deposito bis'!$F$51*(C340-sezione!$AO$28)*IF(ABS(N340)&lt;'Sollecitazioni nel paramento'!$G$58,ABS(N340)*'Sollecitazioni nel paramento'!$G$54,'Sollecitazioni nel paramento'!$G$53)</f>
        <v>34285361.475721724</v>
      </c>
      <c r="I340" s="472">
        <f>-'Foglio deposito bis'!$F$52*(C340-sezione!$AP$28)*IF(ABS(O340)&lt;'Sollecitazioni nel paramento'!$G$58,ABS(O340)*'Sollecitazioni nel paramento'!$G$54,'Sollecitazioni nel paramento'!$G$53)</f>
        <v>58570354.536084086</v>
      </c>
      <c r="J340" s="472">
        <f t="shared" si="25"/>
        <v>94546676.113100067</v>
      </c>
      <c r="K340" s="550">
        <f>'Sollecitazioni nel paramento'!$G$60*(sezione!$AL$28-C340)/C340</f>
        <v>4.407147676155806E-3</v>
      </c>
      <c r="L340" s="550">
        <f>'Sollecitazioni nel paramento'!$G$60*(sezione!$AM$28-C340)/C340</f>
        <v>8.3607215142337092E-3</v>
      </c>
      <c r="M340" s="551">
        <f>'Sollecitazioni nel paramento'!$G$60*(sezione!$AN$28-C340)/C340</f>
        <v>1.2314295352311612E-2</v>
      </c>
      <c r="N340" s="551">
        <f>'Sollecitazioni nel paramento'!$G$60*(sezione!$AO$28-C340)/C340</f>
        <v>2.8128590704623226E-2</v>
      </c>
      <c r="O340" s="551">
        <f>'Sollecitazioni nel paramento'!$G$60*(sezione!$AP$28-C340)/C340</f>
        <v>4.8052622438786781E-2</v>
      </c>
      <c r="P340" s="545">
        <f>-'Sollecitazioni nel paramento'!$G$47*'Sollecitazioni nel paramento'!$G$41*IF(DATI!$G$211="dx",DATI!$E$61,DATI!$E$64*DATI!$E$63)*1000*C340*sezione!$AD$5</f>
        <v>-674526.41817776312</v>
      </c>
      <c r="Q340" s="545">
        <f>'Foglio deposito bis'!$F$48*IF(ABS(K340)&lt;'Sollecitazioni nel paramento'!$G$58,ABS(K340)*'Sollecitazioni nel paramento'!$G$54,'Sollecitazioni nel paramento'!$G$53)*IF(K340&lt;0,-1,1)</f>
        <v>0</v>
      </c>
      <c r="R340" s="545">
        <f>'Foglio deposito bis'!$F$49*IF(ABS(L340)&lt;'Sollecitazioni nel paramento'!$G$58,ABS(L340)*'Sollecitazioni nel paramento'!$G$54,'Sollecitazioni nel paramento'!$G$53)*IF(L340&lt;0,-1,1)</f>
        <v>204886.47740803001</v>
      </c>
      <c r="S340" s="545">
        <f>'Foglio deposito bis'!$F$50*IF(ABS(M340)&lt;'Sollecitazioni nel paramento'!$G$58,ABS(M340)*'Sollecitazioni nel paramento'!$G$54,'Sollecitazioni nel paramento'!$G$53)*IF(M340&lt;0,-1,1)</f>
        <v>0</v>
      </c>
      <c r="T340" s="545">
        <f>'Foglio deposito bis'!$F$51*IF(ABS(N340)&lt;'Sollecitazioni nel paramento'!$G$58,ABS(N340)*'Sollecitazioni nel paramento'!$G$54,'Sollecitazioni nel paramento'!$G$53)*IF(N340&lt;0,-1,1)</f>
        <v>240946.49743184328</v>
      </c>
      <c r="U340" s="545">
        <f>'Foglio deposito bis'!$F$52*IF(ABS(O340)&lt;'Sollecitazioni nel paramento'!$G$58,ABS(O340)*'Sollecitazioni nel paramento'!$G$54,'Sollecitazioni nel paramento'!$G$53)*IF(O340&lt;0,-1,1)</f>
        <v>240946.49743184328</v>
      </c>
      <c r="V340" s="472">
        <f t="shared" si="27"/>
        <v>12253.054093953455</v>
      </c>
      <c r="W340" s="551"/>
      <c r="X340" s="551"/>
    </row>
    <row r="341" spans="1:24" x14ac:dyDescent="0.25">
      <c r="A341" s="545">
        <f t="shared" si="26"/>
        <v>4499.8768735195044</v>
      </c>
      <c r="B341" s="3">
        <f t="shared" si="28"/>
        <v>4.3999999999999924</v>
      </c>
      <c r="C341" s="545">
        <f>'Foglio deposito bis'!$E$154/sezione!$B$247*B341</f>
        <v>17.909011087439882</v>
      </c>
      <c r="D341" s="603">
        <f>-'Sollecitazioni nel paramento'!$G$47*'Sollecitazioni nel paramento'!$G$41*IF(DATI!$G$211="dx",DATI!$E$61,DATI!$E$64*DATI!$E$63)*1000*C341^2*sezione!$AD$5*(1-sezione!$AD$6)</f>
        <v>-7135868.4578126613</v>
      </c>
      <c r="E341" s="545">
        <f>-'Foglio deposito bis'!$F$48*(C341-sezione!$AL$28)*IF(ABS(K341)&lt;'Sollecitazioni nel paramento'!$G$58,ABS(K341)*'Sollecitazioni nel paramento'!$G$54,'Sollecitazioni nel paramento'!$G$53)</f>
        <v>0</v>
      </c>
      <c r="F341" s="545">
        <f>-'Foglio deposito bis'!$F$49*(C341-sezione!$AM$28)*IF(ABS(L341)&lt;'Sollecitazioni nel paramento'!$G$58,ABS(L341)*'Sollecitazioni nel paramento'!$G$54,'Sollecitazioni nel paramento'!$G$53)</f>
        <v>8623874.4489148911</v>
      </c>
      <c r="G341" s="545">
        <f>-'Foglio deposito bis'!$F$50*(C341-sezione!$AN$28)*IF(ABS(M341)&lt;'Sollecitazioni nel paramento'!$G$58,ABS(M341)*'Sollecitazioni nel paramento'!$G$54,'Sollecitazioni nel paramento'!$G$53)</f>
        <v>0</v>
      </c>
      <c r="H341" s="545">
        <f>-'Foglio deposito bis'!$F$51*(C341-sezione!$AO$28)*IF(ABS(N341)&lt;'Sollecitazioni nel paramento'!$G$58,ABS(N341)*'Sollecitazioni nel paramento'!$G$54,'Sollecitazioni nel paramento'!$G$53)</f>
        <v>34236326.095108241</v>
      </c>
      <c r="I341" s="472">
        <f>-'Foglio deposito bis'!$F$52*(C341-sezione!$AP$28)*IF(ABS(O341)&lt;'Sollecitazioni nel paramento'!$G$58,ABS(O341)*'Sollecitazioni nel paramento'!$G$54,'Sollecitazioni nel paramento'!$G$53)</f>
        <v>58521319.155470587</v>
      </c>
      <c r="J341" s="472">
        <f t="shared" si="25"/>
        <v>94245651.241681069</v>
      </c>
      <c r="K341" s="550">
        <f>'Sollecitazioni nel paramento'!$G$60*(sezione!$AL$28-C341)/C341</f>
        <v>4.3172937252903996E-3</v>
      </c>
      <c r="L341" s="550">
        <f>'Sollecitazioni nel paramento'!$G$60*(sezione!$AM$28-C341)/C341</f>
        <v>8.2259405879356005E-3</v>
      </c>
      <c r="M341" s="551">
        <f>'Sollecitazioni nel paramento'!$G$60*(sezione!$AN$28-C341)/C341</f>
        <v>1.2134587450580801E-2</v>
      </c>
      <c r="N341" s="551">
        <f>'Sollecitazioni nel paramento'!$G$60*(sezione!$AO$28-C341)/C341</f>
        <v>2.7769174901161601E-2</v>
      </c>
      <c r="O341" s="551">
        <f>'Sollecitazioni nel paramento'!$G$60*(sezione!$AP$28-C341)/C341</f>
        <v>4.746679718380057E-2</v>
      </c>
      <c r="P341" s="545">
        <f>-'Sollecitazioni nel paramento'!$G$47*'Sollecitazioni nel paramento'!$G$41*IF(DATI!$G$211="dx",DATI!$E$61,DATI!$E$64*DATI!$E$63)*1000*C341*sezione!$AD$5</f>
        <v>-682279.59539819707</v>
      </c>
      <c r="Q341" s="545">
        <f>'Foglio deposito bis'!$F$48*IF(ABS(K341)&lt;'Sollecitazioni nel paramento'!$G$58,ABS(K341)*'Sollecitazioni nel paramento'!$G$54,'Sollecitazioni nel paramento'!$G$53)*IF(K341&lt;0,-1,1)</f>
        <v>0</v>
      </c>
      <c r="R341" s="545">
        <f>'Foglio deposito bis'!$F$49*IF(ABS(L341)&lt;'Sollecitazioni nel paramento'!$G$58,ABS(L341)*'Sollecitazioni nel paramento'!$G$54,'Sollecitazioni nel paramento'!$G$53)*IF(L341&lt;0,-1,1)</f>
        <v>204886.47740803001</v>
      </c>
      <c r="S341" s="545">
        <f>'Foglio deposito bis'!$F$50*IF(ABS(M341)&lt;'Sollecitazioni nel paramento'!$G$58,ABS(M341)*'Sollecitazioni nel paramento'!$G$54,'Sollecitazioni nel paramento'!$G$53)*IF(M341&lt;0,-1,1)</f>
        <v>0</v>
      </c>
      <c r="T341" s="545">
        <f>'Foglio deposito bis'!$F$51*IF(ABS(N341)&lt;'Sollecitazioni nel paramento'!$G$58,ABS(N341)*'Sollecitazioni nel paramento'!$G$54,'Sollecitazioni nel paramento'!$G$53)*IF(N341&lt;0,-1,1)</f>
        <v>240946.49743184328</v>
      </c>
      <c r="U341" s="545">
        <f>'Foglio deposito bis'!$F$52*IF(ABS(O341)&lt;'Sollecitazioni nel paramento'!$G$58,ABS(O341)*'Sollecitazioni nel paramento'!$G$54,'Sollecitazioni nel paramento'!$G$53)*IF(O341&lt;0,-1,1)</f>
        <v>240946.49743184328</v>
      </c>
      <c r="V341" s="472">
        <f t="shared" si="27"/>
        <v>4499.8768735195044</v>
      </c>
      <c r="W341" s="551"/>
      <c r="X341" s="551"/>
    </row>
    <row r="342" spans="1:24" x14ac:dyDescent="0.25">
      <c r="A342" s="545">
        <f t="shared" si="26"/>
        <v>3253.3003469145624</v>
      </c>
      <c r="B342" s="3">
        <f t="shared" si="28"/>
        <v>4.4499999999999922</v>
      </c>
      <c r="C342" s="545">
        <f>'Foglio deposito bis'!$E$154/sezione!$B$247*B342</f>
        <v>18.112522577069882</v>
      </c>
      <c r="D342" s="603">
        <f>-'Sollecitazioni nel paramento'!$G$47*'Sollecitazioni nel paramento'!$G$41*IF(DATI!$G$211="dx",DATI!$E$61,DATI!$E$64*DATI!$E$63)*1000*C342^2*sezione!$AD$5*(1-sezione!$AD$6)</f>
        <v>-7298968.7570162825</v>
      </c>
      <c r="E342" s="545">
        <f>-'Foglio deposito bis'!$F$48*(C342-sezione!$AL$28)*IF(ABS(K342)&lt;'Sollecitazioni nel paramento'!$G$58,ABS(K342)*'Sollecitazioni nel paramento'!$G$54,'Sollecitazioni nel paramento'!$G$53)</f>
        <v>0</v>
      </c>
      <c r="F342" s="545">
        <f>-'Foglio deposito bis'!$F$49*(C342-sezione!$AM$28)*IF(ABS(L342)&lt;'Sollecitazioni nel paramento'!$G$58,ABS(L342)*'Sollecitazioni nel paramento'!$G$54,'Sollecitazioni nel paramento'!$G$53)</f>
        <v>8582177.6966925375</v>
      </c>
      <c r="G342" s="545">
        <f>-'Foglio deposito bis'!$F$50*(C342-sezione!$AN$28)*IF(ABS(M342)&lt;'Sollecitazioni nel paramento'!$G$58,ABS(M342)*'Sollecitazioni nel paramento'!$G$54,'Sollecitazioni nel paramento'!$G$53)</f>
        <v>0</v>
      </c>
      <c r="H342" s="545">
        <f>-'Foglio deposito bis'!$F$51*(C342-sezione!$AO$28)*IF(ABS(N342)&lt;'Sollecitazioni nel paramento'!$G$58,ABS(N342)*'Sollecitazioni nel paramento'!$G$54,'Sollecitazioni nel paramento'!$G$53)</f>
        <v>34187290.71449475</v>
      </c>
      <c r="I342" s="472">
        <f>-'Foglio deposito bis'!$F$52*(C342-sezione!$AP$28)*IF(ABS(O342)&lt;'Sollecitazioni nel paramento'!$G$58,ABS(O342)*'Sollecitazioni nel paramento'!$G$54,'Sollecitazioni nel paramento'!$G$53)</f>
        <v>58472283.774857111</v>
      </c>
      <c r="J342" s="472">
        <f t="shared" si="25"/>
        <v>93942783.429028124</v>
      </c>
      <c r="K342" s="550">
        <f>'Sollecitazioni nel paramento'!$G$60*(sezione!$AL$28-C342)/C342</f>
        <v>4.2294589643320814E-3</v>
      </c>
      <c r="L342" s="550">
        <f>'Sollecitazioni nel paramento'!$G$60*(sezione!$AM$28-C342)/C342</f>
        <v>8.0941884464981219E-3</v>
      </c>
      <c r="M342" s="551">
        <f>'Sollecitazioni nel paramento'!$G$60*(sezione!$AN$28-C342)/C342</f>
        <v>1.1958917928664162E-2</v>
      </c>
      <c r="N342" s="551">
        <f>'Sollecitazioni nel paramento'!$G$60*(sezione!$AO$28-C342)/C342</f>
        <v>2.7417835857328324E-2</v>
      </c>
      <c r="O342" s="551">
        <f>'Sollecitazioni nel paramento'!$G$60*(sezione!$AP$28-C342)/C342</f>
        <v>4.6894136541285963E-2</v>
      </c>
      <c r="P342" s="545">
        <f>-'Sollecitazioni nel paramento'!$G$47*'Sollecitazioni nel paramento'!$G$41*IF(DATI!$G$211="dx",DATI!$E$61,DATI!$E$64*DATI!$E$63)*1000*C342*sezione!$AD$5</f>
        <v>-690032.77261863113</v>
      </c>
      <c r="Q342" s="545">
        <f>'Foglio deposito bis'!$F$48*IF(ABS(K342)&lt;'Sollecitazioni nel paramento'!$G$58,ABS(K342)*'Sollecitazioni nel paramento'!$G$54,'Sollecitazioni nel paramento'!$G$53)*IF(K342&lt;0,-1,1)</f>
        <v>0</v>
      </c>
      <c r="R342" s="545">
        <f>'Foglio deposito bis'!$F$49*IF(ABS(L342)&lt;'Sollecitazioni nel paramento'!$G$58,ABS(L342)*'Sollecitazioni nel paramento'!$G$54,'Sollecitazioni nel paramento'!$G$53)*IF(L342&lt;0,-1,1)</f>
        <v>204886.47740803001</v>
      </c>
      <c r="S342" s="545">
        <f>'Foglio deposito bis'!$F$50*IF(ABS(M342)&lt;'Sollecitazioni nel paramento'!$G$58,ABS(M342)*'Sollecitazioni nel paramento'!$G$54,'Sollecitazioni nel paramento'!$G$53)*IF(M342&lt;0,-1,1)</f>
        <v>0</v>
      </c>
      <c r="T342" s="545">
        <f>'Foglio deposito bis'!$F$51*IF(ABS(N342)&lt;'Sollecitazioni nel paramento'!$G$58,ABS(N342)*'Sollecitazioni nel paramento'!$G$54,'Sollecitazioni nel paramento'!$G$53)*IF(N342&lt;0,-1,1)</f>
        <v>240946.49743184328</v>
      </c>
      <c r="U342" s="545">
        <f>'Foglio deposito bis'!$F$52*IF(ABS(O342)&lt;'Sollecitazioni nel paramento'!$G$58,ABS(O342)*'Sollecitazioni nel paramento'!$G$54,'Sollecitazioni nel paramento'!$G$53)*IF(O342&lt;0,-1,1)</f>
        <v>240946.49743184328</v>
      </c>
      <c r="V342" s="472">
        <f t="shared" si="27"/>
        <v>-3253.3003469145624</v>
      </c>
      <c r="W342" s="551"/>
      <c r="X342" s="551"/>
    </row>
    <row r="343" spans="1:24" x14ac:dyDescent="0.25">
      <c r="A343" s="545">
        <f t="shared" si="26"/>
        <v>11006.477567348746</v>
      </c>
      <c r="B343" s="3">
        <f t="shared" si="28"/>
        <v>4.499999999999992</v>
      </c>
      <c r="C343" s="545">
        <f>'Foglio deposito bis'!$E$154/sezione!$B$247*B343</f>
        <v>18.316034066699881</v>
      </c>
      <c r="D343" s="603">
        <f>-'Sollecitazioni nel paramento'!$G$47*'Sollecitazioni nel paramento'!$G$41*IF(DATI!$G$211="dx",DATI!$E$61,DATI!$E$64*DATI!$E$63)*1000*C343^2*sezione!$AD$5*(1-sezione!$AD$6)</f>
        <v>-7463911.9974538442</v>
      </c>
      <c r="E343" s="545">
        <f>-'Foglio deposito bis'!$F$48*(C343-sezione!$AL$28)*IF(ABS(K343)&lt;'Sollecitazioni nel paramento'!$G$58,ABS(K343)*'Sollecitazioni nel paramento'!$G$54,'Sollecitazioni nel paramento'!$G$53)</f>
        <v>0</v>
      </c>
      <c r="F343" s="545">
        <f>-'Foglio deposito bis'!$F$49*(C343-sezione!$AM$28)*IF(ABS(L343)&lt;'Sollecitazioni nel paramento'!$G$58,ABS(L343)*'Sollecitazioni nel paramento'!$G$54,'Sollecitazioni nel paramento'!$G$53)</f>
        <v>8540480.9444701858</v>
      </c>
      <c r="G343" s="545">
        <f>-'Foglio deposito bis'!$F$50*(C343-sezione!$AN$28)*IF(ABS(M343)&lt;'Sollecitazioni nel paramento'!$G$58,ABS(M343)*'Sollecitazioni nel paramento'!$G$54,'Sollecitazioni nel paramento'!$G$53)</f>
        <v>0</v>
      </c>
      <c r="H343" s="545">
        <f>-'Foglio deposito bis'!$F$51*(C343-sezione!$AO$28)*IF(ABS(N343)&lt;'Sollecitazioni nel paramento'!$G$58,ABS(N343)*'Sollecitazioni nel paramento'!$G$54,'Sollecitazioni nel paramento'!$G$53)</f>
        <v>34138255.333881274</v>
      </c>
      <c r="I343" s="472">
        <f>-'Foglio deposito bis'!$F$52*(C343-sezione!$AP$28)*IF(ABS(O343)&lt;'Sollecitazioni nel paramento'!$G$58,ABS(O343)*'Sollecitazioni nel paramento'!$G$54,'Sollecitazioni nel paramento'!$G$53)</f>
        <v>58423248.394243628</v>
      </c>
      <c r="J343" s="472">
        <f t="shared" si="25"/>
        <v>93638072.675141245</v>
      </c>
      <c r="K343" s="550">
        <f>'Sollecitazioni nel paramento'!$G$60*(sezione!$AL$28-C343)/C343</f>
        <v>4.1435760869506129E-3</v>
      </c>
      <c r="L343" s="550">
        <f>'Sollecitazioni nel paramento'!$G$60*(sezione!$AM$28-C343)/C343</f>
        <v>7.9653641304259191E-3</v>
      </c>
      <c r="M343" s="551">
        <f>'Sollecitazioni nel paramento'!$G$60*(sezione!$AN$28-C343)/C343</f>
        <v>1.1787152173901225E-2</v>
      </c>
      <c r="N343" s="551">
        <f>'Sollecitazioni nel paramento'!$G$60*(sezione!$AO$28-C343)/C343</f>
        <v>2.7074304347802454E-2</v>
      </c>
      <c r="O343" s="551">
        <f>'Sollecitazioni nel paramento'!$G$60*(sezione!$AP$28-C343)/C343</f>
        <v>4.6334201690827227E-2</v>
      </c>
      <c r="P343" s="545">
        <f>-'Sollecitazioni nel paramento'!$G$47*'Sollecitazioni nel paramento'!$G$41*IF(DATI!$G$211="dx",DATI!$E$61,DATI!$E$64*DATI!$E$63)*1000*C343*sezione!$AD$5</f>
        <v>-697785.94983906532</v>
      </c>
      <c r="Q343" s="545">
        <f>'Foglio deposito bis'!$F$48*IF(ABS(K343)&lt;'Sollecitazioni nel paramento'!$G$58,ABS(K343)*'Sollecitazioni nel paramento'!$G$54,'Sollecitazioni nel paramento'!$G$53)*IF(K343&lt;0,-1,1)</f>
        <v>0</v>
      </c>
      <c r="R343" s="545">
        <f>'Foglio deposito bis'!$F$49*IF(ABS(L343)&lt;'Sollecitazioni nel paramento'!$G$58,ABS(L343)*'Sollecitazioni nel paramento'!$G$54,'Sollecitazioni nel paramento'!$G$53)*IF(L343&lt;0,-1,1)</f>
        <v>204886.47740803001</v>
      </c>
      <c r="S343" s="545">
        <f>'Foglio deposito bis'!$F$50*IF(ABS(M343)&lt;'Sollecitazioni nel paramento'!$G$58,ABS(M343)*'Sollecitazioni nel paramento'!$G$54,'Sollecitazioni nel paramento'!$G$53)*IF(M343&lt;0,-1,1)</f>
        <v>0</v>
      </c>
      <c r="T343" s="545">
        <f>'Foglio deposito bis'!$F$51*IF(ABS(N343)&lt;'Sollecitazioni nel paramento'!$G$58,ABS(N343)*'Sollecitazioni nel paramento'!$G$54,'Sollecitazioni nel paramento'!$G$53)*IF(N343&lt;0,-1,1)</f>
        <v>240946.49743184328</v>
      </c>
      <c r="U343" s="545">
        <f>'Foglio deposito bis'!$F$52*IF(ABS(O343)&lt;'Sollecitazioni nel paramento'!$G$58,ABS(O343)*'Sollecitazioni nel paramento'!$G$54,'Sollecitazioni nel paramento'!$G$53)*IF(O343&lt;0,-1,1)</f>
        <v>240946.49743184328</v>
      </c>
      <c r="V343" s="472">
        <f t="shared" si="27"/>
        <v>-11006.477567348746</v>
      </c>
      <c r="W343" s="551"/>
      <c r="X343" s="551"/>
    </row>
    <row r="344" spans="1:24" x14ac:dyDescent="0.25">
      <c r="A344" s="545">
        <f t="shared" si="26"/>
        <v>18759.654787782696</v>
      </c>
      <c r="B344" s="3">
        <f t="shared" si="28"/>
        <v>4.5499999999999918</v>
      </c>
      <c r="C344" s="545">
        <f>'Foglio deposito bis'!$E$154/sezione!$B$247*B344</f>
        <v>18.519545556329877</v>
      </c>
      <c r="D344" s="603">
        <f>-'Sollecitazioni nel paramento'!$G$47*'Sollecitazioni nel paramento'!$G$41*IF(DATI!$G$211="dx",DATI!$E$61,DATI!$E$64*DATI!$E$63)*1000*C344^2*sezione!$AD$5*(1-sezione!$AD$6)</f>
        <v>-7630698.1791253416</v>
      </c>
      <c r="E344" s="545">
        <f>-'Foglio deposito bis'!$F$48*(C344-sezione!$AL$28)*IF(ABS(K344)&lt;'Sollecitazioni nel paramento'!$G$58,ABS(K344)*'Sollecitazioni nel paramento'!$G$54,'Sollecitazioni nel paramento'!$G$53)</f>
        <v>0</v>
      </c>
      <c r="F344" s="545">
        <f>-'Foglio deposito bis'!$F$49*(C344-sezione!$AM$28)*IF(ABS(L344)&lt;'Sollecitazioni nel paramento'!$G$58,ABS(L344)*'Sollecitazioni nel paramento'!$G$54,'Sollecitazioni nel paramento'!$G$53)</f>
        <v>8498784.1922478378</v>
      </c>
      <c r="G344" s="545">
        <f>-'Foglio deposito bis'!$F$50*(C344-sezione!$AN$28)*IF(ABS(M344)&lt;'Sollecitazioni nel paramento'!$G$58,ABS(M344)*'Sollecitazioni nel paramento'!$G$54,'Sollecitazioni nel paramento'!$G$53)</f>
        <v>0</v>
      </c>
      <c r="H344" s="545">
        <f>-'Foglio deposito bis'!$F$51*(C344-sezione!$AO$28)*IF(ABS(N344)&lt;'Sollecitazioni nel paramento'!$G$58,ABS(N344)*'Sollecitazioni nel paramento'!$G$54,'Sollecitazioni nel paramento'!$G$53)</f>
        <v>34089219.953267783</v>
      </c>
      <c r="I344" s="472">
        <f>-'Foglio deposito bis'!$F$52*(C344-sezione!$AP$28)*IF(ABS(O344)&lt;'Sollecitazioni nel paramento'!$G$58,ABS(O344)*'Sollecitazioni nel paramento'!$G$54,'Sollecitazioni nel paramento'!$G$53)</f>
        <v>58374213.013630137</v>
      </c>
      <c r="J344" s="472">
        <f t="shared" si="25"/>
        <v>93331518.980020419</v>
      </c>
      <c r="K344" s="550">
        <f>'Sollecitazioni nel paramento'!$G$60*(sezione!$AL$28-C344)/C344</f>
        <v>4.0595807453357724E-3</v>
      </c>
      <c r="L344" s="550">
        <f>'Sollecitazioni nel paramento'!$G$60*(sezione!$AM$28-C344)/C344</f>
        <v>7.8393711180036584E-3</v>
      </c>
      <c r="M344" s="551">
        <f>'Sollecitazioni nel paramento'!$G$60*(sezione!$AN$28-C344)/C344</f>
        <v>1.1619161490671544E-2</v>
      </c>
      <c r="N344" s="551">
        <f>'Sollecitazioni nel paramento'!$G$60*(sezione!$AO$28-C344)/C344</f>
        <v>2.6738322981343085E-2</v>
      </c>
      <c r="O344" s="551">
        <f>'Sollecitazioni nel paramento'!$G$60*(sezione!$AP$28-C344)/C344</f>
        <v>4.5786573100818136E-2</v>
      </c>
      <c r="P344" s="545">
        <f>-'Sollecitazioni nel paramento'!$G$47*'Sollecitazioni nel paramento'!$G$41*IF(DATI!$G$211="dx",DATI!$E$61,DATI!$E$64*DATI!$E$63)*1000*C344*sezione!$AD$5</f>
        <v>-705539.12705949927</v>
      </c>
      <c r="Q344" s="545">
        <f>'Foglio deposito bis'!$F$48*IF(ABS(K344)&lt;'Sollecitazioni nel paramento'!$G$58,ABS(K344)*'Sollecitazioni nel paramento'!$G$54,'Sollecitazioni nel paramento'!$G$53)*IF(K344&lt;0,-1,1)</f>
        <v>0</v>
      </c>
      <c r="R344" s="545">
        <f>'Foglio deposito bis'!$F$49*IF(ABS(L344)&lt;'Sollecitazioni nel paramento'!$G$58,ABS(L344)*'Sollecitazioni nel paramento'!$G$54,'Sollecitazioni nel paramento'!$G$53)*IF(L344&lt;0,-1,1)</f>
        <v>204886.47740803001</v>
      </c>
      <c r="S344" s="545">
        <f>'Foglio deposito bis'!$F$50*IF(ABS(M344)&lt;'Sollecitazioni nel paramento'!$G$58,ABS(M344)*'Sollecitazioni nel paramento'!$G$54,'Sollecitazioni nel paramento'!$G$53)*IF(M344&lt;0,-1,1)</f>
        <v>0</v>
      </c>
      <c r="T344" s="545">
        <f>'Foglio deposito bis'!$F$51*IF(ABS(N344)&lt;'Sollecitazioni nel paramento'!$G$58,ABS(N344)*'Sollecitazioni nel paramento'!$G$54,'Sollecitazioni nel paramento'!$G$53)*IF(N344&lt;0,-1,1)</f>
        <v>240946.49743184328</v>
      </c>
      <c r="U344" s="545">
        <f>'Foglio deposito bis'!$F$52*IF(ABS(O344)&lt;'Sollecitazioni nel paramento'!$G$58,ABS(O344)*'Sollecitazioni nel paramento'!$G$54,'Sollecitazioni nel paramento'!$G$53)*IF(O344&lt;0,-1,1)</f>
        <v>240946.49743184328</v>
      </c>
      <c r="V344" s="472">
        <f t="shared" si="27"/>
        <v>-18759.654787782696</v>
      </c>
      <c r="W344" s="551"/>
      <c r="X344" s="551"/>
    </row>
    <row r="345" spans="1:24" x14ac:dyDescent="0.25">
      <c r="A345" s="545">
        <f t="shared" si="26"/>
        <v>26512.832008216676</v>
      </c>
      <c r="B345" s="3">
        <f t="shared" si="28"/>
        <v>4.5999999999999917</v>
      </c>
      <c r="C345" s="545">
        <f>'Foglio deposito bis'!$E$154/sezione!$B$247*B345</f>
        <v>18.723057045959877</v>
      </c>
      <c r="D345" s="603">
        <f>-'Sollecitazioni nel paramento'!$G$47*'Sollecitazioni nel paramento'!$G$41*IF(DATI!$G$211="dx",DATI!$E$61,DATI!$E$64*DATI!$E$63)*1000*C345^2*sezione!$AD$5*(1-sezione!$AD$6)</f>
        <v>-7799327.3020307794</v>
      </c>
      <c r="E345" s="545">
        <f>-'Foglio deposito bis'!$F$48*(C345-sezione!$AL$28)*IF(ABS(K345)&lt;'Sollecitazioni nel paramento'!$G$58,ABS(K345)*'Sollecitazioni nel paramento'!$G$54,'Sollecitazioni nel paramento'!$G$53)</f>
        <v>0</v>
      </c>
      <c r="F345" s="545">
        <f>-'Foglio deposito bis'!$F$49*(C345-sezione!$AM$28)*IF(ABS(L345)&lt;'Sollecitazioni nel paramento'!$G$58,ABS(L345)*'Sollecitazioni nel paramento'!$G$54,'Sollecitazioni nel paramento'!$G$53)</f>
        <v>8457087.4400254842</v>
      </c>
      <c r="G345" s="545">
        <f>-'Foglio deposito bis'!$F$50*(C345-sezione!$AN$28)*IF(ABS(M345)&lt;'Sollecitazioni nel paramento'!$G$58,ABS(M345)*'Sollecitazioni nel paramento'!$G$54,'Sollecitazioni nel paramento'!$G$53)</f>
        <v>0</v>
      </c>
      <c r="H345" s="545">
        <f>-'Foglio deposito bis'!$F$51*(C345-sezione!$AO$28)*IF(ABS(N345)&lt;'Sollecitazioni nel paramento'!$G$58,ABS(N345)*'Sollecitazioni nel paramento'!$G$54,'Sollecitazioni nel paramento'!$G$53)</f>
        <v>34040184.572654299</v>
      </c>
      <c r="I345" s="472">
        <f>-'Foglio deposito bis'!$F$52*(C345-sezione!$AP$28)*IF(ABS(O345)&lt;'Sollecitazioni nel paramento'!$G$58,ABS(O345)*'Sollecitazioni nel paramento'!$G$54,'Sollecitazioni nel paramento'!$G$53)</f>
        <v>58325177.633016661</v>
      </c>
      <c r="J345" s="472">
        <f t="shared" si="25"/>
        <v>93023122.343665659</v>
      </c>
      <c r="K345" s="550">
        <f>'Sollecitazioni nel paramento'!$G$60*(sezione!$AL$28-C345)/C345</f>
        <v>3.9774113894082098E-3</v>
      </c>
      <c r="L345" s="550">
        <f>'Sollecitazioni nel paramento'!$G$60*(sezione!$AM$28-C345)/C345</f>
        <v>7.7161170841123141E-3</v>
      </c>
      <c r="M345" s="551">
        <f>'Sollecitazioni nel paramento'!$G$60*(sezione!$AN$28-C345)/C345</f>
        <v>1.1454822778816419E-2</v>
      </c>
      <c r="N345" s="551">
        <f>'Sollecitazioni nel paramento'!$G$60*(sezione!$AO$28-C345)/C345</f>
        <v>2.6409645557632838E-2</v>
      </c>
      <c r="O345" s="551">
        <f>'Sollecitazioni nel paramento'!$G$60*(sezione!$AP$28-C345)/C345</f>
        <v>4.5250849480157077E-2</v>
      </c>
      <c r="P345" s="545">
        <f>-'Sollecitazioni nel paramento'!$G$47*'Sollecitazioni nel paramento'!$G$41*IF(DATI!$G$211="dx",DATI!$E$61,DATI!$E$64*DATI!$E$63)*1000*C345*sezione!$AD$5</f>
        <v>-713292.30427993322</v>
      </c>
      <c r="Q345" s="545">
        <f>'Foglio deposito bis'!$F$48*IF(ABS(K345)&lt;'Sollecitazioni nel paramento'!$G$58,ABS(K345)*'Sollecitazioni nel paramento'!$G$54,'Sollecitazioni nel paramento'!$G$53)*IF(K345&lt;0,-1,1)</f>
        <v>0</v>
      </c>
      <c r="R345" s="545">
        <f>'Foglio deposito bis'!$F$49*IF(ABS(L345)&lt;'Sollecitazioni nel paramento'!$G$58,ABS(L345)*'Sollecitazioni nel paramento'!$G$54,'Sollecitazioni nel paramento'!$G$53)*IF(L345&lt;0,-1,1)</f>
        <v>204886.47740803001</v>
      </c>
      <c r="S345" s="545">
        <f>'Foglio deposito bis'!$F$50*IF(ABS(M345)&lt;'Sollecitazioni nel paramento'!$G$58,ABS(M345)*'Sollecitazioni nel paramento'!$G$54,'Sollecitazioni nel paramento'!$G$53)*IF(M345&lt;0,-1,1)</f>
        <v>0</v>
      </c>
      <c r="T345" s="545">
        <f>'Foglio deposito bis'!$F$51*IF(ABS(N345)&lt;'Sollecitazioni nel paramento'!$G$58,ABS(N345)*'Sollecitazioni nel paramento'!$G$54,'Sollecitazioni nel paramento'!$G$53)*IF(N345&lt;0,-1,1)</f>
        <v>240946.49743184328</v>
      </c>
      <c r="U345" s="545">
        <f>'Foglio deposito bis'!$F$52*IF(ABS(O345)&lt;'Sollecitazioni nel paramento'!$G$58,ABS(O345)*'Sollecitazioni nel paramento'!$G$54,'Sollecitazioni nel paramento'!$G$53)*IF(O345&lt;0,-1,1)</f>
        <v>240946.49743184328</v>
      </c>
      <c r="V345" s="472">
        <f t="shared" si="27"/>
        <v>-26512.832008216676</v>
      </c>
      <c r="W345" s="551"/>
      <c r="X345" s="551"/>
    </row>
    <row r="346" spans="1:24" x14ac:dyDescent="0.25">
      <c r="A346" s="545">
        <f t="shared" si="26"/>
        <v>34266.009228650859</v>
      </c>
      <c r="B346" s="3">
        <f t="shared" si="28"/>
        <v>4.6499999999999915</v>
      </c>
      <c r="C346" s="545">
        <f>'Foglio deposito bis'!$E$154/sezione!$B$247*B346</f>
        <v>18.926568535589876</v>
      </c>
      <c r="D346" s="603">
        <f>-'Sollecitazioni nel paramento'!$G$47*'Sollecitazioni nel paramento'!$G$41*IF(DATI!$G$211="dx",DATI!$E$61,DATI!$E$64*DATI!$E$63)*1000*C346^2*sezione!$AD$5*(1-sezione!$AD$6)</f>
        <v>-7969799.3661701586</v>
      </c>
      <c r="E346" s="545">
        <f>-'Foglio deposito bis'!$F$48*(C346-sezione!$AL$28)*IF(ABS(K346)&lt;'Sollecitazioni nel paramento'!$G$58,ABS(K346)*'Sollecitazioni nel paramento'!$G$54,'Sollecitazioni nel paramento'!$G$53)</f>
        <v>0</v>
      </c>
      <c r="F346" s="545">
        <f>-'Foglio deposito bis'!$F$49*(C346-sezione!$AM$28)*IF(ABS(L346)&lt;'Sollecitazioni nel paramento'!$G$58,ABS(L346)*'Sollecitazioni nel paramento'!$G$54,'Sollecitazioni nel paramento'!$G$53)</f>
        <v>8415390.6878031343</v>
      </c>
      <c r="G346" s="545">
        <f>-'Foglio deposito bis'!$F$50*(C346-sezione!$AN$28)*IF(ABS(M346)&lt;'Sollecitazioni nel paramento'!$G$58,ABS(M346)*'Sollecitazioni nel paramento'!$G$54,'Sollecitazioni nel paramento'!$G$53)</f>
        <v>0</v>
      </c>
      <c r="H346" s="545">
        <f>-'Foglio deposito bis'!$F$51*(C346-sezione!$AO$28)*IF(ABS(N346)&lt;'Sollecitazioni nel paramento'!$G$58,ABS(N346)*'Sollecitazioni nel paramento'!$G$54,'Sollecitazioni nel paramento'!$G$53)</f>
        <v>33991149.192040816</v>
      </c>
      <c r="I346" s="472">
        <f>-'Foglio deposito bis'!$F$52*(C346-sezione!$AP$28)*IF(ABS(O346)&lt;'Sollecitazioni nel paramento'!$G$58,ABS(O346)*'Sollecitazioni nel paramento'!$G$54,'Sollecitazioni nel paramento'!$G$53)</f>
        <v>58276142.252403177</v>
      </c>
      <c r="J346" s="472">
        <f t="shared" si="25"/>
        <v>92712882.766076967</v>
      </c>
      <c r="K346" s="550">
        <f>'Sollecitazioni nel paramento'!$G$60*(sezione!$AL$28-C346)/C346</f>
        <v>3.8970091164038196E-3</v>
      </c>
      <c r="L346" s="550">
        <f>'Sollecitazioni nel paramento'!$G$60*(sezione!$AM$28-C346)/C346</f>
        <v>7.5955136746057288E-3</v>
      </c>
      <c r="M346" s="551">
        <f>'Sollecitazioni nel paramento'!$G$60*(sezione!$AN$28-C346)/C346</f>
        <v>1.1294018232807639E-2</v>
      </c>
      <c r="N346" s="551">
        <f>'Sollecitazioni nel paramento'!$G$60*(sezione!$AO$28-C346)/C346</f>
        <v>2.6088036465615281E-2</v>
      </c>
      <c r="O346" s="551">
        <f>'Sollecitazioni nel paramento'!$G$60*(sezione!$AP$28-C346)/C346</f>
        <v>4.4726646797574737E-2</v>
      </c>
      <c r="P346" s="545">
        <f>-'Sollecitazioni nel paramento'!$G$47*'Sollecitazioni nel paramento'!$G$41*IF(DATI!$G$211="dx",DATI!$E$61,DATI!$E$64*DATI!$E$63)*1000*C346*sezione!$AD$5</f>
        <v>-721045.4815003674</v>
      </c>
      <c r="Q346" s="545">
        <f>'Foglio deposito bis'!$F$48*IF(ABS(K346)&lt;'Sollecitazioni nel paramento'!$G$58,ABS(K346)*'Sollecitazioni nel paramento'!$G$54,'Sollecitazioni nel paramento'!$G$53)*IF(K346&lt;0,-1,1)</f>
        <v>0</v>
      </c>
      <c r="R346" s="545">
        <f>'Foglio deposito bis'!$F$49*IF(ABS(L346)&lt;'Sollecitazioni nel paramento'!$G$58,ABS(L346)*'Sollecitazioni nel paramento'!$G$54,'Sollecitazioni nel paramento'!$G$53)*IF(L346&lt;0,-1,1)</f>
        <v>204886.47740803001</v>
      </c>
      <c r="S346" s="545">
        <f>'Foglio deposito bis'!$F$50*IF(ABS(M346)&lt;'Sollecitazioni nel paramento'!$G$58,ABS(M346)*'Sollecitazioni nel paramento'!$G$54,'Sollecitazioni nel paramento'!$G$53)*IF(M346&lt;0,-1,1)</f>
        <v>0</v>
      </c>
      <c r="T346" s="545">
        <f>'Foglio deposito bis'!$F$51*IF(ABS(N346)&lt;'Sollecitazioni nel paramento'!$G$58,ABS(N346)*'Sollecitazioni nel paramento'!$G$54,'Sollecitazioni nel paramento'!$G$53)*IF(N346&lt;0,-1,1)</f>
        <v>240946.49743184328</v>
      </c>
      <c r="U346" s="545">
        <f>'Foglio deposito bis'!$F$52*IF(ABS(O346)&lt;'Sollecitazioni nel paramento'!$G$58,ABS(O346)*'Sollecitazioni nel paramento'!$G$54,'Sollecitazioni nel paramento'!$G$53)*IF(O346&lt;0,-1,1)</f>
        <v>240946.49743184328</v>
      </c>
      <c r="V346" s="472">
        <f t="shared" si="27"/>
        <v>-34266.009228650859</v>
      </c>
      <c r="W346" s="551"/>
      <c r="X346" s="551"/>
    </row>
    <row r="347" spans="1:24" x14ac:dyDescent="0.25">
      <c r="A347" s="545">
        <f t="shared" si="26"/>
        <v>42019.186449084809</v>
      </c>
      <c r="B347" s="3">
        <f t="shared" si="28"/>
        <v>4.6999999999999913</v>
      </c>
      <c r="C347" s="545">
        <f>'Foglio deposito bis'!$E$154/sezione!$B$247*B347</f>
        <v>19.130080025219872</v>
      </c>
      <c r="D347" s="603">
        <f>-'Sollecitazioni nel paramento'!$G$47*'Sollecitazioni nel paramento'!$G$41*IF(DATI!$G$211="dx",DATI!$E$61,DATI!$E$64*DATI!$E$63)*1000*C347^2*sezione!$AD$5*(1-sezione!$AD$6)</f>
        <v>-8142114.3715434736</v>
      </c>
      <c r="E347" s="545">
        <f>-'Foglio deposito bis'!$F$48*(C347-sezione!$AL$28)*IF(ABS(K347)&lt;'Sollecitazioni nel paramento'!$G$58,ABS(K347)*'Sollecitazioni nel paramento'!$G$54,'Sollecitazioni nel paramento'!$G$53)</f>
        <v>0</v>
      </c>
      <c r="F347" s="545">
        <f>-'Foglio deposito bis'!$F$49*(C347-sezione!$AM$28)*IF(ABS(L347)&lt;'Sollecitazioni nel paramento'!$G$58,ABS(L347)*'Sollecitazioni nel paramento'!$G$54,'Sollecitazioni nel paramento'!$G$53)</f>
        <v>8373693.9355807835</v>
      </c>
      <c r="G347" s="545">
        <f>-'Foglio deposito bis'!$F$50*(C347-sezione!$AN$28)*IF(ABS(M347)&lt;'Sollecitazioni nel paramento'!$G$58,ABS(M347)*'Sollecitazioni nel paramento'!$G$54,'Sollecitazioni nel paramento'!$G$53)</f>
        <v>0</v>
      </c>
      <c r="H347" s="545">
        <f>-'Foglio deposito bis'!$F$51*(C347-sezione!$AO$28)*IF(ABS(N347)&lt;'Sollecitazioni nel paramento'!$G$58,ABS(N347)*'Sollecitazioni nel paramento'!$G$54,'Sollecitazioni nel paramento'!$G$53)</f>
        <v>33942113.811427325</v>
      </c>
      <c r="I347" s="472">
        <f>-'Foglio deposito bis'!$F$52*(C347-sezione!$AP$28)*IF(ABS(O347)&lt;'Sollecitazioni nel paramento'!$G$58,ABS(O347)*'Sollecitazioni nel paramento'!$G$54,'Sollecitazioni nel paramento'!$G$53)</f>
        <v>58227106.871789686</v>
      </c>
      <c r="J347" s="472">
        <f t="shared" si="25"/>
        <v>92400800.247254312</v>
      </c>
      <c r="K347" s="550">
        <f>'Sollecitazioni nel paramento'!$G$60*(sezione!$AL$28-C347)/C347</f>
        <v>3.8183175300590989E-3</v>
      </c>
      <c r="L347" s="550">
        <f>'Sollecitazioni nel paramento'!$G$60*(sezione!$AM$28-C347)/C347</f>
        <v>7.4774762950886491E-3</v>
      </c>
      <c r="M347" s="551">
        <f>'Sollecitazioni nel paramento'!$G$60*(sezione!$AN$28-C347)/C347</f>
        <v>1.1136635060118199E-2</v>
      </c>
      <c r="N347" s="551">
        <f>'Sollecitazioni nel paramento'!$G$60*(sezione!$AO$28-C347)/C347</f>
        <v>2.5773270120236395E-2</v>
      </c>
      <c r="O347" s="551">
        <f>'Sollecitazioni nel paramento'!$G$60*(sezione!$AP$28-C347)/C347</f>
        <v>4.421359736355799E-2</v>
      </c>
      <c r="P347" s="545">
        <f>-'Sollecitazioni nel paramento'!$G$47*'Sollecitazioni nel paramento'!$G$41*IF(DATI!$G$211="dx",DATI!$E$61,DATI!$E$64*DATI!$E$63)*1000*C347*sezione!$AD$5</f>
        <v>-728798.65872080135</v>
      </c>
      <c r="Q347" s="545">
        <f>'Foglio deposito bis'!$F$48*IF(ABS(K347)&lt;'Sollecitazioni nel paramento'!$G$58,ABS(K347)*'Sollecitazioni nel paramento'!$G$54,'Sollecitazioni nel paramento'!$G$53)*IF(K347&lt;0,-1,1)</f>
        <v>0</v>
      </c>
      <c r="R347" s="545">
        <f>'Foglio deposito bis'!$F$49*IF(ABS(L347)&lt;'Sollecitazioni nel paramento'!$G$58,ABS(L347)*'Sollecitazioni nel paramento'!$G$54,'Sollecitazioni nel paramento'!$G$53)*IF(L347&lt;0,-1,1)</f>
        <v>204886.47740803001</v>
      </c>
      <c r="S347" s="545">
        <f>'Foglio deposito bis'!$F$50*IF(ABS(M347)&lt;'Sollecitazioni nel paramento'!$G$58,ABS(M347)*'Sollecitazioni nel paramento'!$G$54,'Sollecitazioni nel paramento'!$G$53)*IF(M347&lt;0,-1,1)</f>
        <v>0</v>
      </c>
      <c r="T347" s="545">
        <f>'Foglio deposito bis'!$F$51*IF(ABS(N347)&lt;'Sollecitazioni nel paramento'!$G$58,ABS(N347)*'Sollecitazioni nel paramento'!$G$54,'Sollecitazioni nel paramento'!$G$53)*IF(N347&lt;0,-1,1)</f>
        <v>240946.49743184328</v>
      </c>
      <c r="U347" s="545">
        <f>'Foglio deposito bis'!$F$52*IF(ABS(O347)&lt;'Sollecitazioni nel paramento'!$G$58,ABS(O347)*'Sollecitazioni nel paramento'!$G$54,'Sollecitazioni nel paramento'!$G$53)*IF(O347&lt;0,-1,1)</f>
        <v>240946.49743184328</v>
      </c>
      <c r="V347" s="472">
        <f t="shared" si="27"/>
        <v>-42019.186449084809</v>
      </c>
      <c r="W347" s="551"/>
      <c r="X347" s="551"/>
    </row>
    <row r="348" spans="1:24" x14ac:dyDescent="0.25">
      <c r="A348" s="545">
        <f t="shared" si="26"/>
        <v>49772.363669518876</v>
      </c>
      <c r="B348" s="3">
        <f t="shared" si="28"/>
        <v>4.7499999999999911</v>
      </c>
      <c r="C348" s="545">
        <f>'Foglio deposito bis'!$E$154/sezione!$B$247*B348</f>
        <v>19.333591514849871</v>
      </c>
      <c r="D348" s="603">
        <f>-'Sollecitazioni nel paramento'!$G$47*'Sollecitazioni nel paramento'!$G$41*IF(DATI!$G$211="dx",DATI!$E$61,DATI!$E$64*DATI!$E$63)*1000*C348^2*sezione!$AD$5*(1-sezione!$AD$6)</f>
        <v>-8316272.3181507308</v>
      </c>
      <c r="E348" s="545">
        <f>-'Foglio deposito bis'!$F$48*(C348-sezione!$AL$28)*IF(ABS(K348)&lt;'Sollecitazioni nel paramento'!$G$58,ABS(K348)*'Sollecitazioni nel paramento'!$G$54,'Sollecitazioni nel paramento'!$G$53)</f>
        <v>0</v>
      </c>
      <c r="F348" s="545">
        <f>-'Foglio deposito bis'!$F$49*(C348-sezione!$AM$28)*IF(ABS(L348)&lt;'Sollecitazioni nel paramento'!$G$58,ABS(L348)*'Sollecitazioni nel paramento'!$G$54,'Sollecitazioni nel paramento'!$G$53)</f>
        <v>8331997.1833584318</v>
      </c>
      <c r="G348" s="545">
        <f>-'Foglio deposito bis'!$F$50*(C348-sezione!$AN$28)*IF(ABS(M348)&lt;'Sollecitazioni nel paramento'!$G$58,ABS(M348)*'Sollecitazioni nel paramento'!$G$54,'Sollecitazioni nel paramento'!$G$53)</f>
        <v>0</v>
      </c>
      <c r="H348" s="545">
        <f>-'Foglio deposito bis'!$F$51*(C348-sezione!$AO$28)*IF(ABS(N348)&lt;'Sollecitazioni nel paramento'!$G$58,ABS(N348)*'Sollecitazioni nel paramento'!$G$54,'Sollecitazioni nel paramento'!$G$53)</f>
        <v>33893078.430813842</v>
      </c>
      <c r="I348" s="472">
        <f>-'Foglio deposito bis'!$F$52*(C348-sezione!$AP$28)*IF(ABS(O348)&lt;'Sollecitazioni nel paramento'!$G$58,ABS(O348)*'Sollecitazioni nel paramento'!$G$54,'Sollecitazioni nel paramento'!$G$53)</f>
        <v>58178071.491176203</v>
      </c>
      <c r="J348" s="472">
        <f t="shared" si="25"/>
        <v>92086874.787197739</v>
      </c>
      <c r="K348" s="550">
        <f>'Sollecitazioni nel paramento'!$G$60*(sezione!$AL$28-C348)/C348</f>
        <v>3.7412826086900552E-3</v>
      </c>
      <c r="L348" s="550">
        <f>'Sollecitazioni nel paramento'!$G$60*(sezione!$AM$28-C348)/C348</f>
        <v>7.3619239130350836E-3</v>
      </c>
      <c r="M348" s="551">
        <f>'Sollecitazioni nel paramento'!$G$60*(sezione!$AN$28-C348)/C348</f>
        <v>1.0982565217380112E-2</v>
      </c>
      <c r="N348" s="551">
        <f>'Sollecitazioni nel paramento'!$G$60*(sezione!$AO$28-C348)/C348</f>
        <v>2.5465130434760223E-2</v>
      </c>
      <c r="O348" s="551">
        <f>'Sollecitazioni nel paramento'!$G$60*(sezione!$AP$28-C348)/C348</f>
        <v>4.3711348970257378E-2</v>
      </c>
      <c r="P348" s="545">
        <f>-'Sollecitazioni nel paramento'!$G$47*'Sollecitazioni nel paramento'!$G$41*IF(DATI!$G$211="dx",DATI!$E$61,DATI!$E$64*DATI!$E$63)*1000*C348*sezione!$AD$5</f>
        <v>-736551.83594123542</v>
      </c>
      <c r="Q348" s="545">
        <f>'Foglio deposito bis'!$F$48*IF(ABS(K348)&lt;'Sollecitazioni nel paramento'!$G$58,ABS(K348)*'Sollecitazioni nel paramento'!$G$54,'Sollecitazioni nel paramento'!$G$53)*IF(K348&lt;0,-1,1)</f>
        <v>0</v>
      </c>
      <c r="R348" s="545">
        <f>'Foglio deposito bis'!$F$49*IF(ABS(L348)&lt;'Sollecitazioni nel paramento'!$G$58,ABS(L348)*'Sollecitazioni nel paramento'!$G$54,'Sollecitazioni nel paramento'!$G$53)*IF(L348&lt;0,-1,1)</f>
        <v>204886.47740803001</v>
      </c>
      <c r="S348" s="545">
        <f>'Foglio deposito bis'!$F$50*IF(ABS(M348)&lt;'Sollecitazioni nel paramento'!$G$58,ABS(M348)*'Sollecitazioni nel paramento'!$G$54,'Sollecitazioni nel paramento'!$G$53)*IF(M348&lt;0,-1,1)</f>
        <v>0</v>
      </c>
      <c r="T348" s="545">
        <f>'Foglio deposito bis'!$F$51*IF(ABS(N348)&lt;'Sollecitazioni nel paramento'!$G$58,ABS(N348)*'Sollecitazioni nel paramento'!$G$54,'Sollecitazioni nel paramento'!$G$53)*IF(N348&lt;0,-1,1)</f>
        <v>240946.49743184328</v>
      </c>
      <c r="U348" s="545">
        <f>'Foglio deposito bis'!$F$52*IF(ABS(O348)&lt;'Sollecitazioni nel paramento'!$G$58,ABS(O348)*'Sollecitazioni nel paramento'!$G$54,'Sollecitazioni nel paramento'!$G$53)*IF(O348&lt;0,-1,1)</f>
        <v>240946.49743184328</v>
      </c>
      <c r="V348" s="472">
        <f t="shared" si="27"/>
        <v>-49772.363669518876</v>
      </c>
      <c r="W348" s="551"/>
      <c r="X348" s="551"/>
    </row>
    <row r="349" spans="1:24" x14ac:dyDescent="0.25">
      <c r="A349" s="545">
        <f t="shared" si="26"/>
        <v>57525.540889952827</v>
      </c>
      <c r="B349" s="3">
        <f t="shared" si="28"/>
        <v>4.7999999999999909</v>
      </c>
      <c r="C349" s="545">
        <f>'Foglio deposito bis'!$E$154/sezione!$B$247*B349</f>
        <v>19.537103004479871</v>
      </c>
      <c r="D349" s="603">
        <f>-'Sollecitazioni nel paramento'!$G$47*'Sollecitazioni nel paramento'!$G$41*IF(DATI!$G$211="dx",DATI!$E$61,DATI!$E$64*DATI!$E$63)*1000*C349^2*sezione!$AD$5*(1-sezione!$AD$6)</f>
        <v>-8492273.2059919275</v>
      </c>
      <c r="E349" s="545">
        <f>-'Foglio deposito bis'!$F$48*(C349-sezione!$AL$28)*IF(ABS(K349)&lt;'Sollecitazioni nel paramento'!$G$58,ABS(K349)*'Sollecitazioni nel paramento'!$G$54,'Sollecitazioni nel paramento'!$G$53)</f>
        <v>0</v>
      </c>
      <c r="F349" s="545">
        <f>-'Foglio deposito bis'!$F$49*(C349-sezione!$AM$28)*IF(ABS(L349)&lt;'Sollecitazioni nel paramento'!$G$58,ABS(L349)*'Sollecitazioni nel paramento'!$G$54,'Sollecitazioni nel paramento'!$G$53)</f>
        <v>8290300.4311360791</v>
      </c>
      <c r="G349" s="545">
        <f>-'Foglio deposito bis'!$F$50*(C349-sezione!$AN$28)*IF(ABS(M349)&lt;'Sollecitazioni nel paramento'!$G$58,ABS(M349)*'Sollecitazioni nel paramento'!$G$54,'Sollecitazioni nel paramento'!$G$53)</f>
        <v>0</v>
      </c>
      <c r="H349" s="545">
        <f>-'Foglio deposito bis'!$F$51*(C349-sezione!$AO$28)*IF(ABS(N349)&lt;'Sollecitazioni nel paramento'!$G$58,ABS(N349)*'Sollecitazioni nel paramento'!$G$54,'Sollecitazioni nel paramento'!$G$53)</f>
        <v>33844043.050200358</v>
      </c>
      <c r="I349" s="472">
        <f>-'Foglio deposito bis'!$F$52*(C349-sezione!$AP$28)*IF(ABS(O349)&lt;'Sollecitazioni nel paramento'!$G$58,ABS(O349)*'Sollecitazioni nel paramento'!$G$54,'Sollecitazioni nel paramento'!$G$53)</f>
        <v>58129036.110562727</v>
      </c>
      <c r="J349" s="472">
        <f t="shared" si="25"/>
        <v>91771106.385907233</v>
      </c>
      <c r="K349" s="550">
        <f>'Sollecitazioni nel paramento'!$G$60*(sezione!$AL$28-C349)/C349</f>
        <v>3.6658525815162009E-3</v>
      </c>
      <c r="L349" s="550">
        <f>'Sollecitazioni nel paramento'!$G$60*(sezione!$AM$28-C349)/C349</f>
        <v>7.2487788722743005E-3</v>
      </c>
      <c r="M349" s="551">
        <f>'Sollecitazioni nel paramento'!$G$60*(sezione!$AN$28-C349)/C349</f>
        <v>1.0831705163032401E-2</v>
      </c>
      <c r="N349" s="551">
        <f>'Sollecitazioni nel paramento'!$G$60*(sezione!$AO$28-C349)/C349</f>
        <v>2.5163410326064804E-2</v>
      </c>
      <c r="O349" s="551">
        <f>'Sollecitazioni nel paramento'!$G$60*(sezione!$AP$28-C349)/C349</f>
        <v>4.3219564085150527E-2</v>
      </c>
      <c r="P349" s="545">
        <f>-'Sollecitazioni nel paramento'!$G$47*'Sollecitazioni nel paramento'!$G$41*IF(DATI!$G$211="dx",DATI!$E$61,DATI!$E$64*DATI!$E$63)*1000*C349*sezione!$AD$5</f>
        <v>-744305.01316166949</v>
      </c>
      <c r="Q349" s="545">
        <f>'Foglio deposito bis'!$F$48*IF(ABS(K349)&lt;'Sollecitazioni nel paramento'!$G$58,ABS(K349)*'Sollecitazioni nel paramento'!$G$54,'Sollecitazioni nel paramento'!$G$53)*IF(K349&lt;0,-1,1)</f>
        <v>0</v>
      </c>
      <c r="R349" s="545">
        <f>'Foglio deposito bis'!$F$49*IF(ABS(L349)&lt;'Sollecitazioni nel paramento'!$G$58,ABS(L349)*'Sollecitazioni nel paramento'!$G$54,'Sollecitazioni nel paramento'!$G$53)*IF(L349&lt;0,-1,1)</f>
        <v>204886.47740803001</v>
      </c>
      <c r="S349" s="545">
        <f>'Foglio deposito bis'!$F$50*IF(ABS(M349)&lt;'Sollecitazioni nel paramento'!$G$58,ABS(M349)*'Sollecitazioni nel paramento'!$G$54,'Sollecitazioni nel paramento'!$G$53)*IF(M349&lt;0,-1,1)</f>
        <v>0</v>
      </c>
      <c r="T349" s="545">
        <f>'Foglio deposito bis'!$F$51*IF(ABS(N349)&lt;'Sollecitazioni nel paramento'!$G$58,ABS(N349)*'Sollecitazioni nel paramento'!$G$54,'Sollecitazioni nel paramento'!$G$53)*IF(N349&lt;0,-1,1)</f>
        <v>240946.49743184328</v>
      </c>
      <c r="U349" s="545">
        <f>'Foglio deposito bis'!$F$52*IF(ABS(O349)&lt;'Sollecitazioni nel paramento'!$G$58,ABS(O349)*'Sollecitazioni nel paramento'!$G$54,'Sollecitazioni nel paramento'!$G$53)*IF(O349&lt;0,-1,1)</f>
        <v>240946.49743184328</v>
      </c>
      <c r="V349" s="472">
        <f t="shared" si="27"/>
        <v>-57525.540889952827</v>
      </c>
      <c r="W349" s="551"/>
      <c r="X349" s="551"/>
    </row>
    <row r="350" spans="1:24" x14ac:dyDescent="0.25">
      <c r="A350" s="545">
        <f t="shared" si="26"/>
        <v>65278.71811038701</v>
      </c>
      <c r="B350" s="3">
        <f t="shared" si="28"/>
        <v>4.8499999999999908</v>
      </c>
      <c r="C350" s="545">
        <f>'Foglio deposito bis'!$E$154/sezione!$B$247*B350</f>
        <v>19.74061449410987</v>
      </c>
      <c r="D350" s="603">
        <f>-'Sollecitazioni nel paramento'!$G$47*'Sollecitazioni nel paramento'!$G$41*IF(DATI!$G$211="dx",DATI!$E$61,DATI!$E$64*DATI!$E$63)*1000*C350^2*sezione!$AD$5*(1-sezione!$AD$6)</f>
        <v>-8670117.035067061</v>
      </c>
      <c r="E350" s="545">
        <f>-'Foglio deposito bis'!$F$48*(C350-sezione!$AL$28)*IF(ABS(K350)&lt;'Sollecitazioni nel paramento'!$G$58,ABS(K350)*'Sollecitazioni nel paramento'!$G$54,'Sollecitazioni nel paramento'!$G$53)</f>
        <v>0</v>
      </c>
      <c r="F350" s="545">
        <f>-'Foglio deposito bis'!$F$49*(C350-sezione!$AM$28)*IF(ABS(L350)&lt;'Sollecitazioni nel paramento'!$G$58,ABS(L350)*'Sollecitazioni nel paramento'!$G$54,'Sollecitazioni nel paramento'!$G$53)</f>
        <v>8248603.6789137293</v>
      </c>
      <c r="G350" s="545">
        <f>-'Foglio deposito bis'!$F$50*(C350-sezione!$AN$28)*IF(ABS(M350)&lt;'Sollecitazioni nel paramento'!$G$58,ABS(M350)*'Sollecitazioni nel paramento'!$G$54,'Sollecitazioni nel paramento'!$G$53)</f>
        <v>0</v>
      </c>
      <c r="H350" s="545">
        <f>-'Foglio deposito bis'!$F$51*(C350-sezione!$AO$28)*IF(ABS(N350)&lt;'Sollecitazioni nel paramento'!$G$58,ABS(N350)*'Sollecitazioni nel paramento'!$G$54,'Sollecitazioni nel paramento'!$G$53)</f>
        <v>33795007.669586867</v>
      </c>
      <c r="I350" s="472">
        <f>-'Foglio deposito bis'!$F$52*(C350-sezione!$AP$28)*IF(ABS(O350)&lt;'Sollecitazioni nel paramento'!$G$58,ABS(O350)*'Sollecitazioni nel paramento'!$G$54,'Sollecitazioni nel paramento'!$G$53)</f>
        <v>58080000.729949236</v>
      </c>
      <c r="J350" s="472">
        <f t="shared" si="25"/>
        <v>91453495.043382764</v>
      </c>
      <c r="K350" s="550">
        <f>'Sollecitazioni nel paramento'!$G$60*(sezione!$AL$28-C350)/C350</f>
        <v>3.5919778126345899E-3</v>
      </c>
      <c r="L350" s="550">
        <f>'Sollecitazioni nel paramento'!$G$60*(sezione!$AM$28-C350)/C350</f>
        <v>7.1379667189518849E-3</v>
      </c>
      <c r="M350" s="551">
        <f>'Sollecitazioni nel paramento'!$G$60*(sezione!$AN$28-C350)/C350</f>
        <v>1.068395562526918E-2</v>
      </c>
      <c r="N350" s="551">
        <f>'Sollecitazioni nel paramento'!$G$60*(sezione!$AO$28-C350)/C350</f>
        <v>2.4867911250538357E-2</v>
      </c>
      <c r="O350" s="551">
        <f>'Sollecitazioni nel paramento'!$G$60*(sezione!$AP$28-C350)/C350</f>
        <v>4.2737919094581966E-2</v>
      </c>
      <c r="P350" s="545">
        <f>-'Sollecitazioni nel paramento'!$G$47*'Sollecitazioni nel paramento'!$G$41*IF(DATI!$G$211="dx",DATI!$E$61,DATI!$E$64*DATI!$E$63)*1000*C350*sezione!$AD$5</f>
        <v>-752058.19038210355</v>
      </c>
      <c r="Q350" s="545">
        <f>'Foglio deposito bis'!$F$48*IF(ABS(K350)&lt;'Sollecitazioni nel paramento'!$G$58,ABS(K350)*'Sollecitazioni nel paramento'!$G$54,'Sollecitazioni nel paramento'!$G$53)*IF(K350&lt;0,-1,1)</f>
        <v>0</v>
      </c>
      <c r="R350" s="545">
        <f>'Foglio deposito bis'!$F$49*IF(ABS(L350)&lt;'Sollecitazioni nel paramento'!$G$58,ABS(L350)*'Sollecitazioni nel paramento'!$G$54,'Sollecitazioni nel paramento'!$G$53)*IF(L350&lt;0,-1,1)</f>
        <v>204886.47740803001</v>
      </c>
      <c r="S350" s="545">
        <f>'Foglio deposito bis'!$F$50*IF(ABS(M350)&lt;'Sollecitazioni nel paramento'!$G$58,ABS(M350)*'Sollecitazioni nel paramento'!$G$54,'Sollecitazioni nel paramento'!$G$53)*IF(M350&lt;0,-1,1)</f>
        <v>0</v>
      </c>
      <c r="T350" s="545">
        <f>'Foglio deposito bis'!$F$51*IF(ABS(N350)&lt;'Sollecitazioni nel paramento'!$G$58,ABS(N350)*'Sollecitazioni nel paramento'!$G$54,'Sollecitazioni nel paramento'!$G$53)*IF(N350&lt;0,-1,1)</f>
        <v>240946.49743184328</v>
      </c>
      <c r="U350" s="545">
        <f>'Foglio deposito bis'!$F$52*IF(ABS(O350)&lt;'Sollecitazioni nel paramento'!$G$58,ABS(O350)*'Sollecitazioni nel paramento'!$G$54,'Sollecitazioni nel paramento'!$G$53)*IF(O350&lt;0,-1,1)</f>
        <v>240946.49743184328</v>
      </c>
      <c r="V350" s="472">
        <f t="shared" si="27"/>
        <v>-65278.71811038701</v>
      </c>
      <c r="W350" s="551"/>
      <c r="X350" s="551"/>
    </row>
    <row r="351" spans="1:24" x14ac:dyDescent="0.25">
      <c r="A351" s="545">
        <f t="shared" si="26"/>
        <v>73031.89533082096</v>
      </c>
      <c r="B351" s="3">
        <f t="shared" si="28"/>
        <v>4.8999999999999906</v>
      </c>
      <c r="C351" s="545">
        <f>'Foglio deposito bis'!$E$154/sezione!$B$247*B351</f>
        <v>19.944125983739866</v>
      </c>
      <c r="D351" s="603">
        <f>-'Sollecitazioni nel paramento'!$G$47*'Sollecitazioni nel paramento'!$G$41*IF(DATI!$G$211="dx",DATI!$E$61,DATI!$E$64*DATI!$E$63)*1000*C351^2*sezione!$AD$5*(1-sezione!$AD$6)</f>
        <v>-8849803.8053761348</v>
      </c>
      <c r="E351" s="545">
        <f>-'Foglio deposito bis'!$F$48*(C351-sezione!$AL$28)*IF(ABS(K351)&lt;'Sollecitazioni nel paramento'!$G$58,ABS(K351)*'Sollecitazioni nel paramento'!$G$54,'Sollecitazioni nel paramento'!$G$53)</f>
        <v>0</v>
      </c>
      <c r="F351" s="545">
        <f>-'Foglio deposito bis'!$F$49*(C351-sezione!$AM$28)*IF(ABS(L351)&lt;'Sollecitazioni nel paramento'!$G$58,ABS(L351)*'Sollecitazioni nel paramento'!$G$54,'Sollecitazioni nel paramento'!$G$53)</f>
        <v>8206906.9266913785</v>
      </c>
      <c r="G351" s="545">
        <f>-'Foglio deposito bis'!$F$50*(C351-sezione!$AN$28)*IF(ABS(M351)&lt;'Sollecitazioni nel paramento'!$G$58,ABS(M351)*'Sollecitazioni nel paramento'!$G$54,'Sollecitazioni nel paramento'!$G$53)</f>
        <v>0</v>
      </c>
      <c r="H351" s="545">
        <f>-'Foglio deposito bis'!$F$51*(C351-sezione!$AO$28)*IF(ABS(N351)&lt;'Sollecitazioni nel paramento'!$G$58,ABS(N351)*'Sollecitazioni nel paramento'!$G$54,'Sollecitazioni nel paramento'!$G$53)</f>
        <v>33745972.288973384</v>
      </c>
      <c r="I351" s="472">
        <f>-'Foglio deposito bis'!$F$52*(C351-sezione!$AP$28)*IF(ABS(O351)&lt;'Sollecitazioni nel paramento'!$G$58,ABS(O351)*'Sollecitazioni nel paramento'!$G$54,'Sollecitazioni nel paramento'!$G$53)</f>
        <v>58030965.349335745</v>
      </c>
      <c r="J351" s="472">
        <f t="shared" si="25"/>
        <v>91134040.759624377</v>
      </c>
      <c r="K351" s="550">
        <f>'Sollecitazioni nel paramento'!$G$60*(sezione!$AL$28-C351)/C351</f>
        <v>3.5196106920975033E-3</v>
      </c>
      <c r="L351" s="550">
        <f>'Sollecitazioni nel paramento'!$G$60*(sezione!$AM$28-C351)/C351</f>
        <v>7.0294160381462554E-3</v>
      </c>
      <c r="M351" s="551">
        <f>'Sollecitazioni nel paramento'!$G$60*(sezione!$AN$28-C351)/C351</f>
        <v>1.0539221384195007E-2</v>
      </c>
      <c r="N351" s="551">
        <f>'Sollecitazioni nel paramento'!$G$60*(sezione!$AO$28-C351)/C351</f>
        <v>2.4578442768390014E-2</v>
      </c>
      <c r="O351" s="551">
        <f>'Sollecitazioni nel paramento'!$G$60*(sezione!$AP$28-C351)/C351</f>
        <v>4.2266103593616849E-2</v>
      </c>
      <c r="P351" s="545">
        <f>-'Sollecitazioni nel paramento'!$G$47*'Sollecitazioni nel paramento'!$G$41*IF(DATI!$G$211="dx",DATI!$E$61,DATI!$E$64*DATI!$E$63)*1000*C351*sezione!$AD$5</f>
        <v>-759811.3676025375</v>
      </c>
      <c r="Q351" s="545">
        <f>'Foglio deposito bis'!$F$48*IF(ABS(K351)&lt;'Sollecitazioni nel paramento'!$G$58,ABS(K351)*'Sollecitazioni nel paramento'!$G$54,'Sollecitazioni nel paramento'!$G$53)*IF(K351&lt;0,-1,1)</f>
        <v>0</v>
      </c>
      <c r="R351" s="545">
        <f>'Foglio deposito bis'!$F$49*IF(ABS(L351)&lt;'Sollecitazioni nel paramento'!$G$58,ABS(L351)*'Sollecitazioni nel paramento'!$G$54,'Sollecitazioni nel paramento'!$G$53)*IF(L351&lt;0,-1,1)</f>
        <v>204886.47740803001</v>
      </c>
      <c r="S351" s="545">
        <f>'Foglio deposito bis'!$F$50*IF(ABS(M351)&lt;'Sollecitazioni nel paramento'!$G$58,ABS(M351)*'Sollecitazioni nel paramento'!$G$54,'Sollecitazioni nel paramento'!$G$53)*IF(M351&lt;0,-1,1)</f>
        <v>0</v>
      </c>
      <c r="T351" s="545">
        <f>'Foglio deposito bis'!$F$51*IF(ABS(N351)&lt;'Sollecitazioni nel paramento'!$G$58,ABS(N351)*'Sollecitazioni nel paramento'!$G$54,'Sollecitazioni nel paramento'!$G$53)*IF(N351&lt;0,-1,1)</f>
        <v>240946.49743184328</v>
      </c>
      <c r="U351" s="545">
        <f>'Foglio deposito bis'!$F$52*IF(ABS(O351)&lt;'Sollecitazioni nel paramento'!$G$58,ABS(O351)*'Sollecitazioni nel paramento'!$G$54,'Sollecitazioni nel paramento'!$G$53)*IF(O351&lt;0,-1,1)</f>
        <v>240946.49743184328</v>
      </c>
      <c r="V351" s="472">
        <f t="shared" si="27"/>
        <v>-73031.89533082096</v>
      </c>
      <c r="W351" s="551"/>
      <c r="X351" s="551"/>
    </row>
    <row r="352" spans="1:24" x14ac:dyDescent="0.25">
      <c r="A352" s="545">
        <f t="shared" si="26"/>
        <v>80785.072551255143</v>
      </c>
      <c r="B352" s="3">
        <f t="shared" si="28"/>
        <v>4.9499999999999904</v>
      </c>
      <c r="C352" s="545">
        <f>'Foglio deposito bis'!$E$154/sezione!$B$247*B352</f>
        <v>20.147637473369866</v>
      </c>
      <c r="D352" s="603">
        <f>-'Sollecitazioni nel paramento'!$G$47*'Sollecitazioni nel paramento'!$G$41*IF(DATI!$G$211="dx",DATI!$E$61,DATI!$E$64*DATI!$E$63)*1000*C352^2*sezione!$AD$5*(1-sezione!$AD$6)</f>
        <v>-9031333.5169191472</v>
      </c>
      <c r="E352" s="545">
        <f>-'Foglio deposito bis'!$F$48*(C352-sezione!$AL$28)*IF(ABS(K352)&lt;'Sollecitazioni nel paramento'!$G$58,ABS(K352)*'Sollecitazioni nel paramento'!$G$54,'Sollecitazioni nel paramento'!$G$53)</f>
        <v>0</v>
      </c>
      <c r="F352" s="545">
        <f>-'Foglio deposito bis'!$F$49*(C352-sezione!$AM$28)*IF(ABS(L352)&lt;'Sollecitazioni nel paramento'!$G$58,ABS(L352)*'Sollecitazioni nel paramento'!$G$54,'Sollecitazioni nel paramento'!$G$53)</f>
        <v>8165210.1744690258</v>
      </c>
      <c r="G352" s="545">
        <f>-'Foglio deposito bis'!$F$50*(C352-sezione!$AN$28)*IF(ABS(M352)&lt;'Sollecitazioni nel paramento'!$G$58,ABS(M352)*'Sollecitazioni nel paramento'!$G$54,'Sollecitazioni nel paramento'!$G$53)</f>
        <v>0</v>
      </c>
      <c r="H352" s="545">
        <f>-'Foglio deposito bis'!$F$51*(C352-sezione!$AO$28)*IF(ABS(N352)&lt;'Sollecitazioni nel paramento'!$G$58,ABS(N352)*'Sollecitazioni nel paramento'!$G$54,'Sollecitazioni nel paramento'!$G$53)</f>
        <v>33696936.908359908</v>
      </c>
      <c r="I352" s="472">
        <f>-'Foglio deposito bis'!$F$52*(C352-sezione!$AP$28)*IF(ABS(O352)&lt;'Sollecitazioni nel paramento'!$G$58,ABS(O352)*'Sollecitazioni nel paramento'!$G$54,'Sollecitazioni nel paramento'!$G$53)</f>
        <v>57981929.968722261</v>
      </c>
      <c r="J352" s="472">
        <f t="shared" si="25"/>
        <v>90812743.534632057</v>
      </c>
      <c r="K352" s="550">
        <f>'Sollecitazioni nel paramento'!$G$60*(sezione!$AL$28-C352)/C352</f>
        <v>3.4487055335914681E-3</v>
      </c>
      <c r="L352" s="550">
        <f>'Sollecitazioni nel paramento'!$G$60*(sezione!$AM$28-C352)/C352</f>
        <v>6.9230583003872014E-3</v>
      </c>
      <c r="M352" s="551">
        <f>'Sollecitazioni nel paramento'!$G$60*(sezione!$AN$28-C352)/C352</f>
        <v>1.0397411067182935E-2</v>
      </c>
      <c r="N352" s="551">
        <f>'Sollecitazioni nel paramento'!$G$60*(sezione!$AO$28-C352)/C352</f>
        <v>2.4294822134365873E-2</v>
      </c>
      <c r="O352" s="551">
        <f>'Sollecitazioni nel paramento'!$G$60*(sezione!$AP$28-C352)/C352</f>
        <v>4.1803819718933856E-2</v>
      </c>
      <c r="P352" s="545">
        <f>-'Sollecitazioni nel paramento'!$G$47*'Sollecitazioni nel paramento'!$G$41*IF(DATI!$G$211="dx",DATI!$E$61,DATI!$E$64*DATI!$E$63)*1000*C352*sezione!$AD$5</f>
        <v>-767564.54482297169</v>
      </c>
      <c r="Q352" s="545">
        <f>'Foglio deposito bis'!$F$48*IF(ABS(K352)&lt;'Sollecitazioni nel paramento'!$G$58,ABS(K352)*'Sollecitazioni nel paramento'!$G$54,'Sollecitazioni nel paramento'!$G$53)*IF(K352&lt;0,-1,1)</f>
        <v>0</v>
      </c>
      <c r="R352" s="545">
        <f>'Foglio deposito bis'!$F$49*IF(ABS(L352)&lt;'Sollecitazioni nel paramento'!$G$58,ABS(L352)*'Sollecitazioni nel paramento'!$G$54,'Sollecitazioni nel paramento'!$G$53)*IF(L352&lt;0,-1,1)</f>
        <v>204886.47740803001</v>
      </c>
      <c r="S352" s="545">
        <f>'Foglio deposito bis'!$F$50*IF(ABS(M352)&lt;'Sollecitazioni nel paramento'!$G$58,ABS(M352)*'Sollecitazioni nel paramento'!$G$54,'Sollecitazioni nel paramento'!$G$53)*IF(M352&lt;0,-1,1)</f>
        <v>0</v>
      </c>
      <c r="T352" s="545">
        <f>'Foglio deposito bis'!$F$51*IF(ABS(N352)&lt;'Sollecitazioni nel paramento'!$G$58,ABS(N352)*'Sollecitazioni nel paramento'!$G$54,'Sollecitazioni nel paramento'!$G$53)*IF(N352&lt;0,-1,1)</f>
        <v>240946.49743184328</v>
      </c>
      <c r="U352" s="545">
        <f>'Foglio deposito bis'!$F$52*IF(ABS(O352)&lt;'Sollecitazioni nel paramento'!$G$58,ABS(O352)*'Sollecitazioni nel paramento'!$G$54,'Sollecitazioni nel paramento'!$G$53)*IF(O352&lt;0,-1,1)</f>
        <v>240946.49743184328</v>
      </c>
      <c r="V352" s="472">
        <f t="shared" si="27"/>
        <v>-80785.072551255143</v>
      </c>
      <c r="W352" s="551"/>
      <c r="X352" s="551"/>
    </row>
    <row r="353" spans="1:24" x14ac:dyDescent="0.25">
      <c r="A353" s="545">
        <f t="shared" si="26"/>
        <v>88538.249771689094</v>
      </c>
      <c r="B353" s="3">
        <f t="shared" si="28"/>
        <v>4.9999999999999902</v>
      </c>
      <c r="C353" s="545">
        <f>'Foglio deposito bis'!$E$154/sezione!$B$247*B353</f>
        <v>20.351148962999865</v>
      </c>
      <c r="D353" s="603">
        <f>-'Sollecitazioni nel paramento'!$G$47*'Sollecitazioni nel paramento'!$G$41*IF(DATI!$G$211="dx",DATI!$E$61,DATI!$E$64*DATI!$E$63)*1000*C353^2*sezione!$AD$5*(1-sezione!$AD$6)</f>
        <v>-9214706.1696961001</v>
      </c>
      <c r="E353" s="545">
        <f>-'Foglio deposito bis'!$F$48*(C353-sezione!$AL$28)*IF(ABS(K353)&lt;'Sollecitazioni nel paramento'!$G$58,ABS(K353)*'Sollecitazioni nel paramento'!$G$54,'Sollecitazioni nel paramento'!$G$53)</f>
        <v>0</v>
      </c>
      <c r="F353" s="545">
        <f>-'Foglio deposito bis'!$F$49*(C353-sezione!$AM$28)*IF(ABS(L353)&lt;'Sollecitazioni nel paramento'!$G$58,ABS(L353)*'Sollecitazioni nel paramento'!$G$54,'Sollecitazioni nel paramento'!$G$53)</f>
        <v>8123513.4222466759</v>
      </c>
      <c r="G353" s="545">
        <f>-'Foglio deposito bis'!$F$50*(C353-sezione!$AN$28)*IF(ABS(M353)&lt;'Sollecitazioni nel paramento'!$G$58,ABS(M353)*'Sollecitazioni nel paramento'!$G$54,'Sollecitazioni nel paramento'!$G$53)</f>
        <v>0</v>
      </c>
      <c r="H353" s="545">
        <f>-'Foglio deposito bis'!$F$51*(C353-sezione!$AO$28)*IF(ABS(N353)&lt;'Sollecitazioni nel paramento'!$G$58,ABS(N353)*'Sollecitazioni nel paramento'!$G$54,'Sollecitazioni nel paramento'!$G$53)</f>
        <v>33647901.527746409</v>
      </c>
      <c r="I353" s="472">
        <f>-'Foglio deposito bis'!$F$52*(C353-sezione!$AP$28)*IF(ABS(O353)&lt;'Sollecitazioni nel paramento'!$G$58,ABS(O353)*'Sollecitazioni nel paramento'!$G$54,'Sollecitazioni nel paramento'!$G$53)</f>
        <v>57932894.588108771</v>
      </c>
      <c r="J353" s="472">
        <f t="shared" si="25"/>
        <v>90489603.368405759</v>
      </c>
      <c r="K353" s="550">
        <f>'Sollecitazioni nel paramento'!$G$60*(sezione!$AL$28-C353)/C353</f>
        <v>3.379218478255553E-3</v>
      </c>
      <c r="L353" s="550">
        <f>'Sollecitazioni nel paramento'!$G$60*(sezione!$AM$28-C353)/C353</f>
        <v>6.8188277173833285E-3</v>
      </c>
      <c r="M353" s="551">
        <f>'Sollecitazioni nel paramento'!$G$60*(sezione!$AN$28-C353)/C353</f>
        <v>1.0258436956511106E-2</v>
      </c>
      <c r="N353" s="551">
        <f>'Sollecitazioni nel paramento'!$G$60*(sezione!$AO$28-C353)/C353</f>
        <v>2.4016873913022211E-2</v>
      </c>
      <c r="O353" s="551">
        <f>'Sollecitazioni nel paramento'!$G$60*(sezione!$AP$28-C353)/C353</f>
        <v>4.1350781521744505E-2</v>
      </c>
      <c r="P353" s="545">
        <f>-'Sollecitazioni nel paramento'!$G$47*'Sollecitazioni nel paramento'!$G$41*IF(DATI!$G$211="dx",DATI!$E$61,DATI!$E$64*DATI!$E$63)*1000*C353*sezione!$AD$5</f>
        <v>-775317.72204340564</v>
      </c>
      <c r="Q353" s="545">
        <f>'Foglio deposito bis'!$F$48*IF(ABS(K353)&lt;'Sollecitazioni nel paramento'!$G$58,ABS(K353)*'Sollecitazioni nel paramento'!$G$54,'Sollecitazioni nel paramento'!$G$53)*IF(K353&lt;0,-1,1)</f>
        <v>0</v>
      </c>
      <c r="R353" s="545">
        <f>'Foglio deposito bis'!$F$49*IF(ABS(L353)&lt;'Sollecitazioni nel paramento'!$G$58,ABS(L353)*'Sollecitazioni nel paramento'!$G$54,'Sollecitazioni nel paramento'!$G$53)*IF(L353&lt;0,-1,1)</f>
        <v>204886.47740803001</v>
      </c>
      <c r="S353" s="545">
        <f>'Foglio deposito bis'!$F$50*IF(ABS(M353)&lt;'Sollecitazioni nel paramento'!$G$58,ABS(M353)*'Sollecitazioni nel paramento'!$G$54,'Sollecitazioni nel paramento'!$G$53)*IF(M353&lt;0,-1,1)</f>
        <v>0</v>
      </c>
      <c r="T353" s="545">
        <f>'Foglio deposito bis'!$F$51*IF(ABS(N353)&lt;'Sollecitazioni nel paramento'!$G$58,ABS(N353)*'Sollecitazioni nel paramento'!$G$54,'Sollecitazioni nel paramento'!$G$53)*IF(N353&lt;0,-1,1)</f>
        <v>240946.49743184328</v>
      </c>
      <c r="U353" s="545">
        <f>'Foglio deposito bis'!$F$52*IF(ABS(O353)&lt;'Sollecitazioni nel paramento'!$G$58,ABS(O353)*'Sollecitazioni nel paramento'!$G$54,'Sollecitazioni nel paramento'!$G$53)*IF(O353&lt;0,-1,1)</f>
        <v>240946.49743184328</v>
      </c>
      <c r="V353" s="472">
        <f t="shared" si="27"/>
        <v>-88538.249771689094</v>
      </c>
      <c r="W353" s="551"/>
      <c r="X353" s="551"/>
    </row>
    <row r="354" spans="1:24" x14ac:dyDescent="0.25">
      <c r="A354" s="545">
        <f t="shared" si="26"/>
        <v>96291.426992123044</v>
      </c>
      <c r="B354" s="3">
        <f t="shared" si="28"/>
        <v>5.0499999999999901</v>
      </c>
      <c r="C354" s="545">
        <f>'Foglio deposito bis'!$E$154/sezione!$B$247*B354</f>
        <v>20.554660452629861</v>
      </c>
      <c r="D354" s="603">
        <f>-'Sollecitazioni nel paramento'!$G$47*'Sollecitazioni nel paramento'!$G$41*IF(DATI!$G$211="dx",DATI!$E$61,DATI!$E$64*DATI!$E$63)*1000*C354^2*sezione!$AD$5*(1-sezione!$AD$6)</f>
        <v>-9399921.7637069896</v>
      </c>
      <c r="E354" s="545">
        <f>-'Foglio deposito bis'!$F$48*(C354-sezione!$AL$28)*IF(ABS(K354)&lt;'Sollecitazioni nel paramento'!$G$58,ABS(K354)*'Sollecitazioni nel paramento'!$G$54,'Sollecitazioni nel paramento'!$G$53)</f>
        <v>0</v>
      </c>
      <c r="F354" s="545">
        <f>-'Foglio deposito bis'!$F$49*(C354-sezione!$AM$28)*IF(ABS(L354)&lt;'Sollecitazioni nel paramento'!$G$58,ABS(L354)*'Sollecitazioni nel paramento'!$G$54,'Sollecitazioni nel paramento'!$G$53)</f>
        <v>8081816.6700243242</v>
      </c>
      <c r="G354" s="545">
        <f>-'Foglio deposito bis'!$F$50*(C354-sezione!$AN$28)*IF(ABS(M354)&lt;'Sollecitazioni nel paramento'!$G$58,ABS(M354)*'Sollecitazioni nel paramento'!$G$54,'Sollecitazioni nel paramento'!$G$53)</f>
        <v>0</v>
      </c>
      <c r="H354" s="545">
        <f>-'Foglio deposito bis'!$F$51*(C354-sezione!$AO$28)*IF(ABS(N354)&lt;'Sollecitazioni nel paramento'!$G$58,ABS(N354)*'Sollecitazioni nel paramento'!$G$54,'Sollecitazioni nel paramento'!$G$53)</f>
        <v>33598866.147132933</v>
      </c>
      <c r="I354" s="472">
        <f>-'Foglio deposito bis'!$F$52*(C354-sezione!$AP$28)*IF(ABS(O354)&lt;'Sollecitazioni nel paramento'!$G$58,ABS(O354)*'Sollecitazioni nel paramento'!$G$54,'Sollecitazioni nel paramento'!$G$53)</f>
        <v>57883859.207495295</v>
      </c>
      <c r="J354" s="472">
        <f t="shared" si="25"/>
        <v>90164620.260945559</v>
      </c>
      <c r="K354" s="550">
        <f>'Sollecitazioni nel paramento'!$G$60*(sezione!$AL$28-C354)/C354</f>
        <v>3.3111074042134194E-3</v>
      </c>
      <c r="L354" s="550">
        <f>'Sollecitazioni nel paramento'!$G$60*(sezione!$AM$28-C354)/C354</f>
        <v>6.7166611063201294E-3</v>
      </c>
      <c r="M354" s="551">
        <f>'Sollecitazioni nel paramento'!$G$60*(sezione!$AN$28-C354)/C354</f>
        <v>1.012221480842684E-2</v>
      </c>
      <c r="N354" s="551">
        <f>'Sollecitazioni nel paramento'!$G$60*(sezione!$AO$28-C354)/C354</f>
        <v>2.3744429616853677E-2</v>
      </c>
      <c r="O354" s="551">
        <f>'Sollecitazioni nel paramento'!$G$60*(sezione!$AP$28-C354)/C354</f>
        <v>4.0906714377964865E-2</v>
      </c>
      <c r="P354" s="545">
        <f>-'Sollecitazioni nel paramento'!$G$47*'Sollecitazioni nel paramento'!$G$41*IF(DATI!$G$211="dx",DATI!$E$61,DATI!$E$64*DATI!$E$63)*1000*C354*sezione!$AD$5</f>
        <v>-783070.89926383959</v>
      </c>
      <c r="Q354" s="545">
        <f>'Foglio deposito bis'!$F$48*IF(ABS(K354)&lt;'Sollecitazioni nel paramento'!$G$58,ABS(K354)*'Sollecitazioni nel paramento'!$G$54,'Sollecitazioni nel paramento'!$G$53)*IF(K354&lt;0,-1,1)</f>
        <v>0</v>
      </c>
      <c r="R354" s="545">
        <f>'Foglio deposito bis'!$F$49*IF(ABS(L354)&lt;'Sollecitazioni nel paramento'!$G$58,ABS(L354)*'Sollecitazioni nel paramento'!$G$54,'Sollecitazioni nel paramento'!$G$53)*IF(L354&lt;0,-1,1)</f>
        <v>204886.47740803001</v>
      </c>
      <c r="S354" s="545">
        <f>'Foglio deposito bis'!$F$50*IF(ABS(M354)&lt;'Sollecitazioni nel paramento'!$G$58,ABS(M354)*'Sollecitazioni nel paramento'!$G$54,'Sollecitazioni nel paramento'!$G$53)*IF(M354&lt;0,-1,1)</f>
        <v>0</v>
      </c>
      <c r="T354" s="545">
        <f>'Foglio deposito bis'!$F$51*IF(ABS(N354)&lt;'Sollecitazioni nel paramento'!$G$58,ABS(N354)*'Sollecitazioni nel paramento'!$G$54,'Sollecitazioni nel paramento'!$G$53)*IF(N354&lt;0,-1,1)</f>
        <v>240946.49743184328</v>
      </c>
      <c r="U354" s="545">
        <f>'Foglio deposito bis'!$F$52*IF(ABS(O354)&lt;'Sollecitazioni nel paramento'!$G$58,ABS(O354)*'Sollecitazioni nel paramento'!$G$54,'Sollecitazioni nel paramento'!$G$53)*IF(O354&lt;0,-1,1)</f>
        <v>240946.49743184328</v>
      </c>
      <c r="V354" s="472">
        <f t="shared" si="27"/>
        <v>-96291.426992123044</v>
      </c>
      <c r="W354" s="551"/>
      <c r="X354" s="551"/>
    </row>
    <row r="355" spans="1:24" x14ac:dyDescent="0.25">
      <c r="A355" s="545">
        <f t="shared" si="26"/>
        <v>104044.60421255723</v>
      </c>
      <c r="B355" s="3">
        <f t="shared" si="28"/>
        <v>5.0999999999999899</v>
      </c>
      <c r="C355" s="545">
        <f>'Foglio deposito bis'!$E$154/sezione!$B$247*B355</f>
        <v>20.75817194225986</v>
      </c>
      <c r="D355" s="603">
        <f>-'Sollecitazioni nel paramento'!$G$47*'Sollecitazioni nel paramento'!$G$41*IF(DATI!$G$211="dx",DATI!$E$61,DATI!$E$64*DATI!$E$63)*1000*C355^2*sezione!$AD$5*(1-sezione!$AD$6)</f>
        <v>-9586980.2989518214</v>
      </c>
      <c r="E355" s="545">
        <f>-'Foglio deposito bis'!$F$48*(C355-sezione!$AL$28)*IF(ABS(K355)&lt;'Sollecitazioni nel paramento'!$G$58,ABS(K355)*'Sollecitazioni nel paramento'!$G$54,'Sollecitazioni nel paramento'!$G$53)</f>
        <v>0</v>
      </c>
      <c r="F355" s="545">
        <f>-'Foglio deposito bis'!$F$49*(C355-sezione!$AM$28)*IF(ABS(L355)&lt;'Sollecitazioni nel paramento'!$G$58,ABS(L355)*'Sollecitazioni nel paramento'!$G$54,'Sollecitazioni nel paramento'!$G$53)</f>
        <v>8040119.9178019725</v>
      </c>
      <c r="G355" s="545">
        <f>-'Foglio deposito bis'!$F$50*(C355-sezione!$AN$28)*IF(ABS(M355)&lt;'Sollecitazioni nel paramento'!$G$58,ABS(M355)*'Sollecitazioni nel paramento'!$G$54,'Sollecitazioni nel paramento'!$G$53)</f>
        <v>0</v>
      </c>
      <c r="H355" s="545">
        <f>-'Foglio deposito bis'!$F$51*(C355-sezione!$AO$28)*IF(ABS(N355)&lt;'Sollecitazioni nel paramento'!$G$58,ABS(N355)*'Sollecitazioni nel paramento'!$G$54,'Sollecitazioni nel paramento'!$G$53)</f>
        <v>33549830.766519453</v>
      </c>
      <c r="I355" s="472">
        <f>-'Foglio deposito bis'!$F$52*(C355-sezione!$AP$28)*IF(ABS(O355)&lt;'Sollecitazioni nel paramento'!$G$58,ABS(O355)*'Sollecitazioni nel paramento'!$G$54,'Sollecitazioni nel paramento'!$G$53)</f>
        <v>57834823.826881811</v>
      </c>
      <c r="J355" s="472">
        <f t="shared" si="25"/>
        <v>89837794.212251425</v>
      </c>
      <c r="K355" s="550">
        <f>'Sollecitazioni nel paramento'!$G$60*(sezione!$AL$28-C355)/C355</f>
        <v>3.2443318414270127E-3</v>
      </c>
      <c r="L355" s="550">
        <f>'Sollecitazioni nel paramento'!$G$60*(sezione!$AM$28-C355)/C355</f>
        <v>6.6164977621405198E-3</v>
      </c>
      <c r="M355" s="551">
        <f>'Sollecitazioni nel paramento'!$G$60*(sezione!$AN$28-C355)/C355</f>
        <v>9.9886636828540251E-3</v>
      </c>
      <c r="N355" s="551">
        <f>'Sollecitazioni nel paramento'!$G$60*(sezione!$AO$28-C355)/C355</f>
        <v>2.3477327365708053E-2</v>
      </c>
      <c r="O355" s="551">
        <f>'Sollecitazioni nel paramento'!$G$60*(sezione!$AP$28-C355)/C355</f>
        <v>4.0471354433082855E-2</v>
      </c>
      <c r="P355" s="545">
        <f>-'Sollecitazioni nel paramento'!$G$47*'Sollecitazioni nel paramento'!$G$41*IF(DATI!$G$211="dx",DATI!$E$61,DATI!$E$64*DATI!$E$63)*1000*C355*sezione!$AD$5</f>
        <v>-790824.07648427377</v>
      </c>
      <c r="Q355" s="545">
        <f>'Foglio deposito bis'!$F$48*IF(ABS(K355)&lt;'Sollecitazioni nel paramento'!$G$58,ABS(K355)*'Sollecitazioni nel paramento'!$G$54,'Sollecitazioni nel paramento'!$G$53)*IF(K355&lt;0,-1,1)</f>
        <v>0</v>
      </c>
      <c r="R355" s="545">
        <f>'Foglio deposito bis'!$F$49*IF(ABS(L355)&lt;'Sollecitazioni nel paramento'!$G$58,ABS(L355)*'Sollecitazioni nel paramento'!$G$54,'Sollecitazioni nel paramento'!$G$53)*IF(L355&lt;0,-1,1)</f>
        <v>204886.47740803001</v>
      </c>
      <c r="S355" s="545">
        <f>'Foglio deposito bis'!$F$50*IF(ABS(M355)&lt;'Sollecitazioni nel paramento'!$G$58,ABS(M355)*'Sollecitazioni nel paramento'!$G$54,'Sollecitazioni nel paramento'!$G$53)*IF(M355&lt;0,-1,1)</f>
        <v>0</v>
      </c>
      <c r="T355" s="545">
        <f>'Foglio deposito bis'!$F$51*IF(ABS(N355)&lt;'Sollecitazioni nel paramento'!$G$58,ABS(N355)*'Sollecitazioni nel paramento'!$G$54,'Sollecitazioni nel paramento'!$G$53)*IF(N355&lt;0,-1,1)</f>
        <v>240946.49743184328</v>
      </c>
      <c r="U355" s="545">
        <f>'Foglio deposito bis'!$F$52*IF(ABS(O355)&lt;'Sollecitazioni nel paramento'!$G$58,ABS(O355)*'Sollecitazioni nel paramento'!$G$54,'Sollecitazioni nel paramento'!$G$53)*IF(O355&lt;0,-1,1)</f>
        <v>240946.49743184328</v>
      </c>
      <c r="V355" s="472">
        <f t="shared" si="27"/>
        <v>-104044.60421255723</v>
      </c>
      <c r="W355" s="551"/>
      <c r="X355" s="551"/>
    </row>
    <row r="356" spans="1:24" x14ac:dyDescent="0.25">
      <c r="A356" s="545">
        <f t="shared" si="26"/>
        <v>135057.31309429349</v>
      </c>
      <c r="B356" s="3">
        <f>B355+0.2</f>
        <v>5.2999999999999901</v>
      </c>
      <c r="C356" s="545">
        <f>'Foglio deposito bis'!$E$154/sezione!$B$247*B356</f>
        <v>21.572217900779858</v>
      </c>
      <c r="D356" s="603">
        <f>-'Sollecitazioni nel paramento'!$G$47*'Sollecitazioni nel paramento'!$G$41*IF(DATI!$G$211="dx",DATI!$E$61,DATI!$E$64*DATI!$E$63)*1000*C356^2*sezione!$AD$5*(1-sezione!$AD$6)</f>
        <v>-10353643.85227054</v>
      </c>
      <c r="E356" s="545">
        <f>-'Foglio deposito bis'!$F$48*(C356-sezione!$AL$28)*IF(ABS(K356)&lt;'Sollecitazioni nel paramento'!$G$58,ABS(K356)*'Sollecitazioni nel paramento'!$G$54,'Sollecitazioni nel paramento'!$G$53)</f>
        <v>0</v>
      </c>
      <c r="F356" s="545">
        <f>-'Foglio deposito bis'!$F$49*(C356-sezione!$AM$28)*IF(ABS(L356)&lt;'Sollecitazioni nel paramento'!$G$58,ABS(L356)*'Sollecitazioni nel paramento'!$G$54,'Sollecitazioni nel paramento'!$G$53)</f>
        <v>7873332.9089125665</v>
      </c>
      <c r="G356" s="545">
        <f>-'Foglio deposito bis'!$F$50*(C356-sezione!$AN$28)*IF(ABS(M356)&lt;'Sollecitazioni nel paramento'!$G$58,ABS(M356)*'Sollecitazioni nel paramento'!$G$54,'Sollecitazioni nel paramento'!$G$53)</f>
        <v>0</v>
      </c>
      <c r="H356" s="545">
        <f>-'Foglio deposito bis'!$F$51*(C356-sezione!$AO$28)*IF(ABS(N356)&lt;'Sollecitazioni nel paramento'!$G$58,ABS(N356)*'Sollecitazioni nel paramento'!$G$54,'Sollecitazioni nel paramento'!$G$53)</f>
        <v>33353689.244065505</v>
      </c>
      <c r="I356" s="472">
        <f>-'Foglio deposito bis'!$F$52*(C356-sezione!$AP$28)*IF(ABS(O356)&lt;'Sollecitazioni nel paramento'!$G$58,ABS(O356)*'Sollecitazioni nel paramento'!$G$54,'Sollecitazioni nel paramento'!$G$53)</f>
        <v>57638682.30442787</v>
      </c>
      <c r="J356" s="472">
        <f t="shared" si="25"/>
        <v>88512060.605135396</v>
      </c>
      <c r="K356" s="550">
        <f>'Sollecitazioni nel paramento'!$G$60*(sezione!$AL$28-C356)/C356</f>
        <v>2.9898287530712758E-3</v>
      </c>
      <c r="L356" s="550">
        <f>'Sollecitazioni nel paramento'!$G$60*(sezione!$AM$28-C356)/C356</f>
        <v>6.2347431296069129E-3</v>
      </c>
      <c r="M356" s="551">
        <f>'Sollecitazioni nel paramento'!$G$60*(sezione!$AN$28-C356)/C356</f>
        <v>9.4796575061425505E-3</v>
      </c>
      <c r="N356" s="551">
        <f>'Sollecitazioni nel paramento'!$G$60*(sezione!$AO$28-C356)/C356</f>
        <v>2.2459315012285104E-2</v>
      </c>
      <c r="O356" s="551">
        <f>'Sollecitazioni nel paramento'!$G$60*(sezione!$AP$28-C356)/C356</f>
        <v>3.8812058039381613E-2</v>
      </c>
      <c r="P356" s="545">
        <f>-'Sollecitazioni nel paramento'!$G$47*'Sollecitazioni nel paramento'!$G$41*IF(DATI!$G$211="dx",DATI!$E$61,DATI!$E$64*DATI!$E$63)*1000*C356*sezione!$AD$5</f>
        <v>-821836.78536601004</v>
      </c>
      <c r="Q356" s="545">
        <f>'Foglio deposito bis'!$F$48*IF(ABS(K356)&lt;'Sollecitazioni nel paramento'!$G$58,ABS(K356)*'Sollecitazioni nel paramento'!$G$54,'Sollecitazioni nel paramento'!$G$53)*IF(K356&lt;0,-1,1)</f>
        <v>0</v>
      </c>
      <c r="R356" s="545">
        <f>'Foglio deposito bis'!$F$49*IF(ABS(L356)&lt;'Sollecitazioni nel paramento'!$G$58,ABS(L356)*'Sollecitazioni nel paramento'!$G$54,'Sollecitazioni nel paramento'!$G$53)*IF(L356&lt;0,-1,1)</f>
        <v>204886.47740803001</v>
      </c>
      <c r="S356" s="545">
        <f>'Foglio deposito bis'!$F$50*IF(ABS(M356)&lt;'Sollecitazioni nel paramento'!$G$58,ABS(M356)*'Sollecitazioni nel paramento'!$G$54,'Sollecitazioni nel paramento'!$G$53)*IF(M356&lt;0,-1,1)</f>
        <v>0</v>
      </c>
      <c r="T356" s="545">
        <f>'Foglio deposito bis'!$F$51*IF(ABS(N356)&lt;'Sollecitazioni nel paramento'!$G$58,ABS(N356)*'Sollecitazioni nel paramento'!$G$54,'Sollecitazioni nel paramento'!$G$53)*IF(N356&lt;0,-1,1)</f>
        <v>240946.49743184328</v>
      </c>
      <c r="U356" s="545">
        <f>'Foglio deposito bis'!$F$52*IF(ABS(O356)&lt;'Sollecitazioni nel paramento'!$G$58,ABS(O356)*'Sollecitazioni nel paramento'!$G$54,'Sollecitazioni nel paramento'!$G$53)*IF(O356&lt;0,-1,1)</f>
        <v>240946.49743184328</v>
      </c>
      <c r="V356" s="472">
        <f t="shared" si="27"/>
        <v>-135057.31309429349</v>
      </c>
      <c r="W356" s="551"/>
      <c r="X356" s="551"/>
    </row>
    <row r="357" spans="1:24" x14ac:dyDescent="0.25">
      <c r="A357" s="545">
        <f t="shared" si="26"/>
        <v>166070.02197602976</v>
      </c>
      <c r="B357" s="3">
        <f t="shared" ref="B357:B420" si="29">B356+0.2</f>
        <v>5.4999999999999902</v>
      </c>
      <c r="C357" s="545">
        <f>'Foglio deposito bis'!$E$154/sezione!$B$247*B357</f>
        <v>22.386263859299852</v>
      </c>
      <c r="D357" s="603">
        <f>-'Sollecitazioni nel paramento'!$G$47*'Sollecitazioni nel paramento'!$G$41*IF(DATI!$G$211="dx",DATI!$E$61,DATI!$E$64*DATI!$E$63)*1000*C357^2*sezione!$AD$5*(1-sezione!$AD$6)</f>
        <v>-11149794.465332283</v>
      </c>
      <c r="E357" s="545">
        <f>-'Foglio deposito bis'!$F$48*(C357-sezione!$AL$28)*IF(ABS(K357)&lt;'Sollecitazioni nel paramento'!$G$58,ABS(K357)*'Sollecitazioni nel paramento'!$G$54,'Sollecitazioni nel paramento'!$G$53)</f>
        <v>0</v>
      </c>
      <c r="F357" s="545">
        <f>-'Foglio deposito bis'!$F$49*(C357-sezione!$AM$28)*IF(ABS(L357)&lt;'Sollecitazioni nel paramento'!$G$58,ABS(L357)*'Sollecitazioni nel paramento'!$G$54,'Sollecitazioni nel paramento'!$G$53)</f>
        <v>7706545.9000231633</v>
      </c>
      <c r="G357" s="545">
        <f>-'Foglio deposito bis'!$F$50*(C357-sezione!$AN$28)*IF(ABS(M357)&lt;'Sollecitazioni nel paramento'!$G$58,ABS(M357)*'Sollecitazioni nel paramento'!$G$54,'Sollecitazioni nel paramento'!$G$53)</f>
        <v>0</v>
      </c>
      <c r="H357" s="545">
        <f>-'Foglio deposito bis'!$F$51*(C357-sezione!$AO$28)*IF(ABS(N357)&lt;'Sollecitazioni nel paramento'!$G$58,ABS(N357)*'Sollecitazioni nel paramento'!$G$54,'Sollecitazioni nel paramento'!$G$53)</f>
        <v>33157547.721611567</v>
      </c>
      <c r="I357" s="472">
        <f>-'Foglio deposito bis'!$F$52*(C357-sezione!$AP$28)*IF(ABS(O357)&lt;'Sollecitazioni nel paramento'!$G$58,ABS(O357)*'Sollecitazioni nel paramento'!$G$54,'Sollecitazioni nel paramento'!$G$53)</f>
        <v>57442540.781973921</v>
      </c>
      <c r="J357" s="472">
        <f t="shared" si="25"/>
        <v>87156839.938276365</v>
      </c>
      <c r="K357" s="550">
        <f>'Sollecitazioni nel paramento'!$G$60*(sezione!$AL$28-C357)/C357</f>
        <v>2.7538349802323204E-3</v>
      </c>
      <c r="L357" s="550">
        <f>'Sollecitazioni nel paramento'!$G$60*(sezione!$AM$28-C357)/C357</f>
        <v>5.880752470348481E-3</v>
      </c>
      <c r="M357" s="551">
        <f>'Sollecitazioni nel paramento'!$G$60*(sezione!$AN$28-C357)/C357</f>
        <v>9.0076699604646412E-3</v>
      </c>
      <c r="N357" s="551">
        <f>'Sollecitazioni nel paramento'!$G$60*(sezione!$AO$28-C357)/C357</f>
        <v>2.1515339920929282E-2</v>
      </c>
      <c r="O357" s="551">
        <f>'Sollecitazioni nel paramento'!$G$60*(sezione!$AP$28-C357)/C357</f>
        <v>3.7273437747040464E-2</v>
      </c>
      <c r="P357" s="545">
        <f>-'Sollecitazioni nel paramento'!$G$47*'Sollecitazioni nel paramento'!$G$41*IF(DATI!$G$211="dx",DATI!$E$61,DATI!$E$64*DATI!$E$63)*1000*C357*sezione!$AD$5</f>
        <v>-852849.49424774642</v>
      </c>
      <c r="Q357" s="545">
        <f>'Foglio deposito bis'!$F$48*IF(ABS(K357)&lt;'Sollecitazioni nel paramento'!$G$58,ABS(K357)*'Sollecitazioni nel paramento'!$G$54,'Sollecitazioni nel paramento'!$G$53)*IF(K357&lt;0,-1,1)</f>
        <v>0</v>
      </c>
      <c r="R357" s="545">
        <f>'Foglio deposito bis'!$F$49*IF(ABS(L357)&lt;'Sollecitazioni nel paramento'!$G$58,ABS(L357)*'Sollecitazioni nel paramento'!$G$54,'Sollecitazioni nel paramento'!$G$53)*IF(L357&lt;0,-1,1)</f>
        <v>204886.47740803001</v>
      </c>
      <c r="S357" s="545">
        <f>'Foglio deposito bis'!$F$50*IF(ABS(M357)&lt;'Sollecitazioni nel paramento'!$G$58,ABS(M357)*'Sollecitazioni nel paramento'!$G$54,'Sollecitazioni nel paramento'!$G$53)*IF(M357&lt;0,-1,1)</f>
        <v>0</v>
      </c>
      <c r="T357" s="545">
        <f>'Foglio deposito bis'!$F$51*IF(ABS(N357)&lt;'Sollecitazioni nel paramento'!$G$58,ABS(N357)*'Sollecitazioni nel paramento'!$G$54,'Sollecitazioni nel paramento'!$G$53)*IF(N357&lt;0,-1,1)</f>
        <v>240946.49743184328</v>
      </c>
      <c r="U357" s="545">
        <f>'Foglio deposito bis'!$F$52*IF(ABS(O357)&lt;'Sollecitazioni nel paramento'!$G$58,ABS(O357)*'Sollecitazioni nel paramento'!$G$54,'Sollecitazioni nel paramento'!$G$53)*IF(O357&lt;0,-1,1)</f>
        <v>240946.49743184328</v>
      </c>
      <c r="V357" s="472">
        <f t="shared" si="27"/>
        <v>-166070.02197602976</v>
      </c>
      <c r="W357" s="551"/>
      <c r="X357" s="551"/>
    </row>
    <row r="358" spans="1:24" x14ac:dyDescent="0.25">
      <c r="A358" s="545">
        <f t="shared" si="26"/>
        <v>197082.73085776603</v>
      </c>
      <c r="B358" s="3">
        <f t="shared" si="29"/>
        <v>5.6999999999999904</v>
      </c>
      <c r="C358" s="545">
        <f>'Foglio deposito bis'!$E$154/sezione!$B$247*B358</f>
        <v>23.20030981781985</v>
      </c>
      <c r="D358" s="603">
        <f>-'Sollecitazioni nel paramento'!$G$47*'Sollecitazioni nel paramento'!$G$41*IF(DATI!$G$211="dx",DATI!$E$61,DATI!$E$64*DATI!$E$63)*1000*C358^2*sezione!$AD$5*(1-sezione!$AD$6)</f>
        <v>-11975432.138137056</v>
      </c>
      <c r="E358" s="545">
        <f>-'Foglio deposito bis'!$F$48*(C358-sezione!$AL$28)*IF(ABS(K358)&lt;'Sollecitazioni nel paramento'!$G$58,ABS(K358)*'Sollecitazioni nel paramento'!$G$54,'Sollecitazioni nel paramento'!$G$53)</f>
        <v>0</v>
      </c>
      <c r="F358" s="545">
        <f>-'Foglio deposito bis'!$F$49*(C358-sezione!$AM$28)*IF(ABS(L358)&lt;'Sollecitazioni nel paramento'!$G$58,ABS(L358)*'Sollecitazioni nel paramento'!$G$54,'Sollecitazioni nel paramento'!$G$53)</f>
        <v>7539758.8911337573</v>
      </c>
      <c r="G358" s="545">
        <f>-'Foglio deposito bis'!$F$50*(C358-sezione!$AN$28)*IF(ABS(M358)&lt;'Sollecitazioni nel paramento'!$G$58,ABS(M358)*'Sollecitazioni nel paramento'!$G$54,'Sollecitazioni nel paramento'!$G$53)</f>
        <v>0</v>
      </c>
      <c r="H358" s="545">
        <f>-'Foglio deposito bis'!$F$51*(C358-sezione!$AO$28)*IF(ABS(N358)&lt;'Sollecitazioni nel paramento'!$G$58,ABS(N358)*'Sollecitazioni nel paramento'!$G$54,'Sollecitazioni nel paramento'!$G$53)</f>
        <v>32961406.199157622</v>
      </c>
      <c r="I358" s="472">
        <f>-'Foglio deposito bis'!$F$52*(C358-sezione!$AP$28)*IF(ABS(O358)&lt;'Sollecitazioni nel paramento'!$G$58,ABS(O358)*'Sollecitazioni nel paramento'!$G$54,'Sollecitazioni nel paramento'!$G$53)</f>
        <v>57246399.259519979</v>
      </c>
      <c r="J358" s="472">
        <f t="shared" si="25"/>
        <v>85772132.211674303</v>
      </c>
      <c r="K358" s="550">
        <f>'Sollecitazioni nel paramento'!$G$60*(sezione!$AL$28-C358)/C358</f>
        <v>2.5344021739083784E-3</v>
      </c>
      <c r="L358" s="550">
        <f>'Sollecitazioni nel paramento'!$G$60*(sezione!$AM$28-C358)/C358</f>
        <v>5.5516032608625672E-3</v>
      </c>
      <c r="M358" s="551">
        <f>'Sollecitazioni nel paramento'!$G$60*(sezione!$AN$28-C358)/C358</f>
        <v>8.5688043478167573E-3</v>
      </c>
      <c r="N358" s="551">
        <f>'Sollecitazioni nel paramento'!$G$60*(sezione!$AO$28-C358)/C358</f>
        <v>2.0637608695633514E-2</v>
      </c>
      <c r="O358" s="551">
        <f>'Sollecitazioni nel paramento'!$G$60*(sezione!$AP$28-C358)/C358</f>
        <v>3.5842790808547804E-2</v>
      </c>
      <c r="P358" s="545">
        <f>-'Sollecitazioni nel paramento'!$G$47*'Sollecitazioni nel paramento'!$G$41*IF(DATI!$G$211="dx",DATI!$E$61,DATI!$E$64*DATI!$E$63)*1000*C358*sezione!$AD$5</f>
        <v>-883862.20312948269</v>
      </c>
      <c r="Q358" s="545">
        <f>'Foglio deposito bis'!$F$48*IF(ABS(K358)&lt;'Sollecitazioni nel paramento'!$G$58,ABS(K358)*'Sollecitazioni nel paramento'!$G$54,'Sollecitazioni nel paramento'!$G$53)*IF(K358&lt;0,-1,1)</f>
        <v>0</v>
      </c>
      <c r="R358" s="545">
        <f>'Foglio deposito bis'!$F$49*IF(ABS(L358)&lt;'Sollecitazioni nel paramento'!$G$58,ABS(L358)*'Sollecitazioni nel paramento'!$G$54,'Sollecitazioni nel paramento'!$G$53)*IF(L358&lt;0,-1,1)</f>
        <v>204886.47740803001</v>
      </c>
      <c r="S358" s="545">
        <f>'Foglio deposito bis'!$F$50*IF(ABS(M358)&lt;'Sollecitazioni nel paramento'!$G$58,ABS(M358)*'Sollecitazioni nel paramento'!$G$54,'Sollecitazioni nel paramento'!$G$53)*IF(M358&lt;0,-1,1)</f>
        <v>0</v>
      </c>
      <c r="T358" s="545">
        <f>'Foglio deposito bis'!$F$51*IF(ABS(N358)&lt;'Sollecitazioni nel paramento'!$G$58,ABS(N358)*'Sollecitazioni nel paramento'!$G$54,'Sollecitazioni nel paramento'!$G$53)*IF(N358&lt;0,-1,1)</f>
        <v>240946.49743184328</v>
      </c>
      <c r="U358" s="545">
        <f>'Foglio deposito bis'!$F$52*IF(ABS(O358)&lt;'Sollecitazioni nel paramento'!$G$58,ABS(O358)*'Sollecitazioni nel paramento'!$G$54,'Sollecitazioni nel paramento'!$G$53)*IF(O358&lt;0,-1,1)</f>
        <v>240946.49743184328</v>
      </c>
      <c r="V358" s="472">
        <f t="shared" si="27"/>
        <v>-197082.73085776603</v>
      </c>
      <c r="W358" s="551"/>
      <c r="X358" s="551"/>
    </row>
    <row r="359" spans="1:24" x14ac:dyDescent="0.25">
      <c r="A359" s="545">
        <f t="shared" si="26"/>
        <v>228095.43973950253</v>
      </c>
      <c r="B359" s="3">
        <f t="shared" si="29"/>
        <v>5.8999999999999906</v>
      </c>
      <c r="C359" s="545">
        <f>'Foglio deposito bis'!$E$154/sezione!$B$247*B359</f>
        <v>24.014355776339848</v>
      </c>
      <c r="D359" s="603">
        <f>-'Sollecitazioni nel paramento'!$G$47*'Sollecitazioni nel paramento'!$G$41*IF(DATI!$G$211="dx",DATI!$E$61,DATI!$E$64*DATI!$E$63)*1000*C359^2*sezione!$AD$5*(1-sezione!$AD$6)</f>
        <v>-12830556.870684858</v>
      </c>
      <c r="E359" s="545">
        <f>-'Foglio deposito bis'!$F$48*(C359-sezione!$AL$28)*IF(ABS(K359)&lt;'Sollecitazioni nel paramento'!$G$58,ABS(K359)*'Sollecitazioni nel paramento'!$G$54,'Sollecitazioni nel paramento'!$G$53)</f>
        <v>0</v>
      </c>
      <c r="F359" s="545">
        <f>-'Foglio deposito bis'!$F$49*(C359-sezione!$AM$28)*IF(ABS(L359)&lt;'Sollecitazioni nel paramento'!$G$58,ABS(L359)*'Sollecitazioni nel paramento'!$G$54,'Sollecitazioni nel paramento'!$G$53)</f>
        <v>7372971.8822443513</v>
      </c>
      <c r="G359" s="545">
        <f>-'Foglio deposito bis'!$F$50*(C359-sezione!$AN$28)*IF(ABS(M359)&lt;'Sollecitazioni nel paramento'!$G$58,ABS(M359)*'Sollecitazioni nel paramento'!$G$54,'Sollecitazioni nel paramento'!$G$53)</f>
        <v>0</v>
      </c>
      <c r="H359" s="545">
        <f>-'Foglio deposito bis'!$F$51*(C359-sezione!$AO$28)*IF(ABS(N359)&lt;'Sollecitazioni nel paramento'!$G$58,ABS(N359)*'Sollecitazioni nel paramento'!$G$54,'Sollecitazioni nel paramento'!$G$53)</f>
        <v>32765264.676703684</v>
      </c>
      <c r="I359" s="472">
        <f>-'Foglio deposito bis'!$F$52*(C359-sezione!$AP$28)*IF(ABS(O359)&lt;'Sollecitazioni nel paramento'!$G$58,ABS(O359)*'Sollecitazioni nel paramento'!$G$54,'Sollecitazioni nel paramento'!$G$53)</f>
        <v>57050257.737066045</v>
      </c>
      <c r="J359" s="472">
        <f t="shared" si="25"/>
        <v>84357937.425329223</v>
      </c>
      <c r="K359" s="550">
        <f>'Sollecitazioni nel paramento'!$G$60*(sezione!$AL$28-C359)/C359</f>
        <v>2.3298461680131785E-3</v>
      </c>
      <c r="L359" s="550">
        <f>'Sollecitazioni nel paramento'!$G$60*(sezione!$AM$28-C359)/C359</f>
        <v>5.2447692520197677E-3</v>
      </c>
      <c r="M359" s="551">
        <f>'Sollecitazioni nel paramento'!$G$60*(sezione!$AN$28-C359)/C359</f>
        <v>8.1596923360263574E-3</v>
      </c>
      <c r="N359" s="551">
        <f>'Sollecitazioni nel paramento'!$G$60*(sezione!$AO$28-C359)/C359</f>
        <v>1.9819384672052714E-2</v>
      </c>
      <c r="O359" s="551">
        <f>'Sollecitazioni nel paramento'!$G$60*(sezione!$AP$28-C359)/C359</f>
        <v>3.4509136882834315E-2</v>
      </c>
      <c r="P359" s="545">
        <f>-'Sollecitazioni nel paramento'!$G$47*'Sollecitazioni nel paramento'!$G$41*IF(DATI!$G$211="dx",DATI!$E$61,DATI!$E$64*DATI!$E$63)*1000*C359*sezione!$AD$5</f>
        <v>-914874.91201121907</v>
      </c>
      <c r="Q359" s="545">
        <f>'Foglio deposito bis'!$F$48*IF(ABS(K359)&lt;'Sollecitazioni nel paramento'!$G$58,ABS(K359)*'Sollecitazioni nel paramento'!$G$54,'Sollecitazioni nel paramento'!$G$53)*IF(K359&lt;0,-1,1)</f>
        <v>0</v>
      </c>
      <c r="R359" s="545">
        <f>'Foglio deposito bis'!$F$49*IF(ABS(L359)&lt;'Sollecitazioni nel paramento'!$G$58,ABS(L359)*'Sollecitazioni nel paramento'!$G$54,'Sollecitazioni nel paramento'!$G$53)*IF(L359&lt;0,-1,1)</f>
        <v>204886.47740803001</v>
      </c>
      <c r="S359" s="545">
        <f>'Foglio deposito bis'!$F$50*IF(ABS(M359)&lt;'Sollecitazioni nel paramento'!$G$58,ABS(M359)*'Sollecitazioni nel paramento'!$G$54,'Sollecitazioni nel paramento'!$G$53)*IF(M359&lt;0,-1,1)</f>
        <v>0</v>
      </c>
      <c r="T359" s="545">
        <f>'Foglio deposito bis'!$F$51*IF(ABS(N359)&lt;'Sollecitazioni nel paramento'!$G$58,ABS(N359)*'Sollecitazioni nel paramento'!$G$54,'Sollecitazioni nel paramento'!$G$53)*IF(N359&lt;0,-1,1)</f>
        <v>240946.49743184328</v>
      </c>
      <c r="U359" s="545">
        <f>'Foglio deposito bis'!$F$52*IF(ABS(O359)&lt;'Sollecitazioni nel paramento'!$G$58,ABS(O359)*'Sollecitazioni nel paramento'!$G$54,'Sollecitazioni nel paramento'!$G$53)*IF(O359&lt;0,-1,1)</f>
        <v>240946.49743184328</v>
      </c>
      <c r="V359" s="472">
        <f t="shared" si="27"/>
        <v>-228095.43973950253</v>
      </c>
      <c r="W359" s="551"/>
      <c r="X359" s="551"/>
    </row>
    <row r="360" spans="1:24" x14ac:dyDescent="0.25">
      <c r="A360" s="545">
        <f t="shared" si="26"/>
        <v>259108.1486212388</v>
      </c>
      <c r="B360" s="3">
        <f t="shared" si="29"/>
        <v>6.0999999999999908</v>
      </c>
      <c r="C360" s="545">
        <f>'Foglio deposito bis'!$E$154/sezione!$B$247*B360</f>
        <v>24.828401734859845</v>
      </c>
      <c r="D360" s="603">
        <f>-'Sollecitazioni nel paramento'!$G$47*'Sollecitazioni nel paramento'!$G$41*IF(DATI!$G$211="dx",DATI!$E$61,DATI!$E$64*DATI!$E$63)*1000*C360^2*sezione!$AD$5*(1-sezione!$AD$6)</f>
        <v>-13715168.662975688</v>
      </c>
      <c r="E360" s="545">
        <f>-'Foglio deposito bis'!$F$48*(C360-sezione!$AL$28)*IF(ABS(K360)&lt;'Sollecitazioni nel paramento'!$G$58,ABS(K360)*'Sollecitazioni nel paramento'!$G$54,'Sollecitazioni nel paramento'!$G$53)</f>
        <v>0</v>
      </c>
      <c r="F360" s="545">
        <f>-'Foglio deposito bis'!$F$49*(C360-sezione!$AM$28)*IF(ABS(L360)&lt;'Sollecitazioni nel paramento'!$G$58,ABS(L360)*'Sollecitazioni nel paramento'!$G$54,'Sollecitazioni nel paramento'!$G$53)</f>
        <v>7206184.8733549453</v>
      </c>
      <c r="G360" s="545">
        <f>-'Foglio deposito bis'!$F$50*(C360-sezione!$AN$28)*IF(ABS(M360)&lt;'Sollecitazioni nel paramento'!$G$58,ABS(M360)*'Sollecitazioni nel paramento'!$G$54,'Sollecitazioni nel paramento'!$G$53)</f>
        <v>0</v>
      </c>
      <c r="H360" s="545">
        <f>-'Foglio deposito bis'!$F$51*(C360-sezione!$AO$28)*IF(ABS(N360)&lt;'Sollecitazioni nel paramento'!$G$58,ABS(N360)*'Sollecitazioni nel paramento'!$G$54,'Sollecitazioni nel paramento'!$G$53)</f>
        <v>32569123.154249739</v>
      </c>
      <c r="I360" s="472">
        <f>-'Foglio deposito bis'!$F$52*(C360-sezione!$AP$28)*IF(ABS(O360)&lt;'Sollecitazioni nel paramento'!$G$58,ABS(O360)*'Sollecitazioni nel paramento'!$G$54,'Sollecitazioni nel paramento'!$G$53)</f>
        <v>56854116.214612104</v>
      </c>
      <c r="J360" s="472">
        <f t="shared" si="25"/>
        <v>82914255.579241097</v>
      </c>
      <c r="K360" s="550">
        <f>'Sollecitazioni nel paramento'!$G$60*(sezione!$AL$28-C360)/C360</f>
        <v>2.1387036707012702E-3</v>
      </c>
      <c r="L360" s="550">
        <f>'Sollecitazioni nel paramento'!$G$60*(sezione!$AM$28-C360)/C360</f>
        <v>4.9580555060519055E-3</v>
      </c>
      <c r="M360" s="551">
        <f>'Sollecitazioni nel paramento'!$G$60*(sezione!$AN$28-C360)/C360</f>
        <v>7.7774073414025409E-3</v>
      </c>
      <c r="N360" s="551">
        <f>'Sollecitazioni nel paramento'!$G$60*(sezione!$AO$28-C360)/C360</f>
        <v>1.905481468280508E-2</v>
      </c>
      <c r="O360" s="551">
        <f>'Sollecitazioni nel paramento'!$G$60*(sezione!$AP$28-C360)/C360</f>
        <v>3.3262935673561055E-2</v>
      </c>
      <c r="P360" s="545">
        <f>-'Sollecitazioni nel paramento'!$G$47*'Sollecitazioni nel paramento'!$G$41*IF(DATI!$G$211="dx",DATI!$E$61,DATI!$E$64*DATI!$E$63)*1000*C360*sezione!$AD$5</f>
        <v>-945887.62089295534</v>
      </c>
      <c r="Q360" s="545">
        <f>'Foglio deposito bis'!$F$48*IF(ABS(K360)&lt;'Sollecitazioni nel paramento'!$G$58,ABS(K360)*'Sollecitazioni nel paramento'!$G$54,'Sollecitazioni nel paramento'!$G$53)*IF(K360&lt;0,-1,1)</f>
        <v>0</v>
      </c>
      <c r="R360" s="545">
        <f>'Foglio deposito bis'!$F$49*IF(ABS(L360)&lt;'Sollecitazioni nel paramento'!$G$58,ABS(L360)*'Sollecitazioni nel paramento'!$G$54,'Sollecitazioni nel paramento'!$G$53)*IF(L360&lt;0,-1,1)</f>
        <v>204886.47740803001</v>
      </c>
      <c r="S360" s="545">
        <f>'Foglio deposito bis'!$F$50*IF(ABS(M360)&lt;'Sollecitazioni nel paramento'!$G$58,ABS(M360)*'Sollecitazioni nel paramento'!$G$54,'Sollecitazioni nel paramento'!$G$53)*IF(M360&lt;0,-1,1)</f>
        <v>0</v>
      </c>
      <c r="T360" s="545">
        <f>'Foglio deposito bis'!$F$51*IF(ABS(N360)&lt;'Sollecitazioni nel paramento'!$G$58,ABS(N360)*'Sollecitazioni nel paramento'!$G$54,'Sollecitazioni nel paramento'!$G$53)*IF(N360&lt;0,-1,1)</f>
        <v>240946.49743184328</v>
      </c>
      <c r="U360" s="545">
        <f>'Foglio deposito bis'!$F$52*IF(ABS(O360)&lt;'Sollecitazioni nel paramento'!$G$58,ABS(O360)*'Sollecitazioni nel paramento'!$G$54,'Sollecitazioni nel paramento'!$G$53)*IF(O360&lt;0,-1,1)</f>
        <v>240946.49743184328</v>
      </c>
      <c r="V360" s="472">
        <f t="shared" si="27"/>
        <v>-259108.1486212388</v>
      </c>
      <c r="W360" s="551"/>
      <c r="X360" s="551"/>
    </row>
    <row r="361" spans="1:24" x14ac:dyDescent="0.25">
      <c r="A361" s="545">
        <f t="shared" si="26"/>
        <v>290120.8575029748</v>
      </c>
      <c r="B361" s="3">
        <f t="shared" si="29"/>
        <v>6.2999999999999909</v>
      </c>
      <c r="C361" s="545">
        <f>'Foglio deposito bis'!$E$154/sezione!$B$247*B361</f>
        <v>25.64244769337984</v>
      </c>
      <c r="D361" s="603">
        <f>-'Sollecitazioni nel paramento'!$G$47*'Sollecitazioni nel paramento'!$G$41*IF(DATI!$G$211="dx",DATI!$E$61,DATI!$E$64*DATI!$E$63)*1000*C361^2*sezione!$AD$5*(1-sezione!$AD$6)</f>
        <v>-14629267.515009539</v>
      </c>
      <c r="E361" s="545">
        <f>-'Foglio deposito bis'!$F$48*(C361-sezione!$AL$28)*IF(ABS(K361)&lt;'Sollecitazioni nel paramento'!$G$58,ABS(K361)*'Sollecitazioni nel paramento'!$G$54,'Sollecitazioni nel paramento'!$G$53)</f>
        <v>0</v>
      </c>
      <c r="F361" s="545">
        <f>-'Foglio deposito bis'!$F$49*(C361-sezione!$AM$28)*IF(ABS(L361)&lt;'Sollecitazioni nel paramento'!$G$58,ABS(L361)*'Sollecitazioni nel paramento'!$G$54,'Sollecitazioni nel paramento'!$G$53)</f>
        <v>7039397.8644655421</v>
      </c>
      <c r="G361" s="545">
        <f>-'Foglio deposito bis'!$F$50*(C361-sezione!$AN$28)*IF(ABS(M361)&lt;'Sollecitazioni nel paramento'!$G$58,ABS(M361)*'Sollecitazioni nel paramento'!$G$54,'Sollecitazioni nel paramento'!$G$53)</f>
        <v>0</v>
      </c>
      <c r="H361" s="545">
        <f>-'Foglio deposito bis'!$F$51*(C361-sezione!$AO$28)*IF(ABS(N361)&lt;'Sollecitazioni nel paramento'!$G$58,ABS(N361)*'Sollecitazioni nel paramento'!$G$54,'Sollecitazioni nel paramento'!$G$53)</f>
        <v>32372981.631795801</v>
      </c>
      <c r="I361" s="472">
        <f>-'Foglio deposito bis'!$F$52*(C361-sezione!$AP$28)*IF(ABS(O361)&lt;'Sollecitazioni nel paramento'!$G$58,ABS(O361)*'Sollecitazioni nel paramento'!$G$54,'Sollecitazioni nel paramento'!$G$53)</f>
        <v>56657974.692158163</v>
      </c>
      <c r="J361" s="472">
        <f t="shared" si="25"/>
        <v>81441086.673409969</v>
      </c>
      <c r="K361" s="550">
        <f>'Sollecitazioni nel paramento'!$G$60*(sezione!$AL$28-C361)/C361</f>
        <v>1.9596972049647225E-3</v>
      </c>
      <c r="L361" s="550">
        <f>'Sollecitazioni nel paramento'!$G$60*(sezione!$AM$28-C361)/C361</f>
        <v>4.6895458074470838E-3</v>
      </c>
      <c r="M361" s="551">
        <f>'Sollecitazioni nel paramento'!$G$60*(sezione!$AN$28-C361)/C361</f>
        <v>7.4193944099294456E-3</v>
      </c>
      <c r="N361" s="551">
        <f>'Sollecitazioni nel paramento'!$G$60*(sezione!$AO$28-C361)/C361</f>
        <v>1.8338788819858891E-2</v>
      </c>
      <c r="O361" s="551">
        <f>'Sollecitazioni nel paramento'!$G$60*(sezione!$AP$28-C361)/C361</f>
        <v>3.2095858350590867E-2</v>
      </c>
      <c r="P361" s="545">
        <f>-'Sollecitazioni nel paramento'!$G$47*'Sollecitazioni nel paramento'!$G$41*IF(DATI!$G$211="dx",DATI!$E$61,DATI!$E$64*DATI!$E$63)*1000*C361*sezione!$AD$5</f>
        <v>-976900.32977469149</v>
      </c>
      <c r="Q361" s="545">
        <f>'Foglio deposito bis'!$F$48*IF(ABS(K361)&lt;'Sollecitazioni nel paramento'!$G$58,ABS(K361)*'Sollecitazioni nel paramento'!$G$54,'Sollecitazioni nel paramento'!$G$53)*IF(K361&lt;0,-1,1)</f>
        <v>0</v>
      </c>
      <c r="R361" s="545">
        <f>'Foglio deposito bis'!$F$49*IF(ABS(L361)&lt;'Sollecitazioni nel paramento'!$G$58,ABS(L361)*'Sollecitazioni nel paramento'!$G$54,'Sollecitazioni nel paramento'!$G$53)*IF(L361&lt;0,-1,1)</f>
        <v>204886.47740803001</v>
      </c>
      <c r="S361" s="545">
        <f>'Foglio deposito bis'!$F$50*IF(ABS(M361)&lt;'Sollecitazioni nel paramento'!$G$58,ABS(M361)*'Sollecitazioni nel paramento'!$G$54,'Sollecitazioni nel paramento'!$G$53)*IF(M361&lt;0,-1,1)</f>
        <v>0</v>
      </c>
      <c r="T361" s="545">
        <f>'Foglio deposito bis'!$F$51*IF(ABS(N361)&lt;'Sollecitazioni nel paramento'!$G$58,ABS(N361)*'Sollecitazioni nel paramento'!$G$54,'Sollecitazioni nel paramento'!$G$53)*IF(N361&lt;0,-1,1)</f>
        <v>240946.49743184328</v>
      </c>
      <c r="U361" s="545">
        <f>'Foglio deposito bis'!$F$52*IF(ABS(O361)&lt;'Sollecitazioni nel paramento'!$G$58,ABS(O361)*'Sollecitazioni nel paramento'!$G$54,'Sollecitazioni nel paramento'!$G$53)*IF(O361&lt;0,-1,1)</f>
        <v>240946.49743184328</v>
      </c>
      <c r="V361" s="472">
        <f t="shared" si="27"/>
        <v>-290120.8575029748</v>
      </c>
      <c r="W361" s="551"/>
      <c r="X361" s="551"/>
    </row>
    <row r="362" spans="1:24" x14ac:dyDescent="0.25">
      <c r="A362" s="545">
        <f t="shared" si="26"/>
        <v>321133.5663847113</v>
      </c>
      <c r="B362" s="3">
        <f t="shared" si="29"/>
        <v>6.4999999999999911</v>
      </c>
      <c r="C362" s="545">
        <f>'Foglio deposito bis'!$E$154/sezione!$B$247*B362</f>
        <v>26.456493651899837</v>
      </c>
      <c r="D362" s="603">
        <f>-'Sollecitazioni nel paramento'!$G$47*'Sollecitazioni nel paramento'!$G$41*IF(DATI!$G$211="dx",DATI!$E$61,DATI!$E$64*DATI!$E$63)*1000*C362^2*sezione!$AD$5*(1-sezione!$AD$6)</f>
        <v>-15572853.426786425</v>
      </c>
      <c r="E362" s="545">
        <f>-'Foglio deposito bis'!$F$48*(C362-sezione!$AL$28)*IF(ABS(K362)&lt;'Sollecitazioni nel paramento'!$G$58,ABS(K362)*'Sollecitazioni nel paramento'!$G$54,'Sollecitazioni nel paramento'!$G$53)</f>
        <v>0</v>
      </c>
      <c r="F362" s="545">
        <f>-'Foglio deposito bis'!$F$49*(C362-sezione!$AM$28)*IF(ABS(L362)&lt;'Sollecitazioni nel paramento'!$G$58,ABS(L362)*'Sollecitazioni nel paramento'!$G$54,'Sollecitazioni nel paramento'!$G$53)</f>
        <v>6872610.8555761361</v>
      </c>
      <c r="G362" s="545">
        <f>-'Foglio deposito bis'!$F$50*(C362-sezione!$AN$28)*IF(ABS(M362)&lt;'Sollecitazioni nel paramento'!$G$58,ABS(M362)*'Sollecitazioni nel paramento'!$G$54,'Sollecitazioni nel paramento'!$G$53)</f>
        <v>0</v>
      </c>
      <c r="H362" s="545">
        <f>-'Foglio deposito bis'!$F$51*(C362-sezione!$AO$28)*IF(ABS(N362)&lt;'Sollecitazioni nel paramento'!$G$58,ABS(N362)*'Sollecitazioni nel paramento'!$G$54,'Sollecitazioni nel paramento'!$G$53)</f>
        <v>32176840.10934186</v>
      </c>
      <c r="I362" s="472">
        <f>-'Foglio deposito bis'!$F$52*(C362-sezione!$AP$28)*IF(ABS(O362)&lt;'Sollecitazioni nel paramento'!$G$58,ABS(O362)*'Sollecitazioni nel paramento'!$G$54,'Sollecitazioni nel paramento'!$G$53)</f>
        <v>56461833.169704221</v>
      </c>
      <c r="J362" s="472">
        <f t="shared" si="25"/>
        <v>79938430.707835793</v>
      </c>
      <c r="K362" s="550">
        <f>'Sollecitazioni nel paramento'!$G$60*(sezione!$AL$28-C362)/C362</f>
        <v>1.7917065217350379E-3</v>
      </c>
      <c r="L362" s="550">
        <f>'Sollecitazioni nel paramento'!$G$60*(sezione!$AM$28-C362)/C362</f>
        <v>4.4375597826025581E-3</v>
      </c>
      <c r="M362" s="551">
        <f>'Sollecitazioni nel paramento'!$G$60*(sezione!$AN$28-C362)/C362</f>
        <v>7.0834130434700767E-3</v>
      </c>
      <c r="N362" s="551">
        <f>'Sollecitazioni nel paramento'!$G$60*(sezione!$AO$28-C362)/C362</f>
        <v>1.7666826086940153E-2</v>
      </c>
      <c r="O362" s="551">
        <f>'Sollecitazioni nel paramento'!$G$60*(sezione!$AP$28-C362)/C362</f>
        <v>3.1000601170572684E-2</v>
      </c>
      <c r="P362" s="545">
        <f>-'Sollecitazioni nel paramento'!$G$47*'Sollecitazioni nel paramento'!$G$41*IF(DATI!$G$211="dx",DATI!$E$61,DATI!$E$64*DATI!$E$63)*1000*C362*sezione!$AD$5</f>
        <v>-1007913.038656428</v>
      </c>
      <c r="Q362" s="545">
        <f>'Foglio deposito bis'!$F$48*IF(ABS(K362)&lt;'Sollecitazioni nel paramento'!$G$58,ABS(K362)*'Sollecitazioni nel paramento'!$G$54,'Sollecitazioni nel paramento'!$G$53)*IF(K362&lt;0,-1,1)</f>
        <v>0</v>
      </c>
      <c r="R362" s="545">
        <f>'Foglio deposito bis'!$F$49*IF(ABS(L362)&lt;'Sollecitazioni nel paramento'!$G$58,ABS(L362)*'Sollecitazioni nel paramento'!$G$54,'Sollecitazioni nel paramento'!$G$53)*IF(L362&lt;0,-1,1)</f>
        <v>204886.47740803001</v>
      </c>
      <c r="S362" s="545">
        <f>'Foglio deposito bis'!$F$50*IF(ABS(M362)&lt;'Sollecitazioni nel paramento'!$G$58,ABS(M362)*'Sollecitazioni nel paramento'!$G$54,'Sollecitazioni nel paramento'!$G$53)*IF(M362&lt;0,-1,1)</f>
        <v>0</v>
      </c>
      <c r="T362" s="545">
        <f>'Foglio deposito bis'!$F$51*IF(ABS(N362)&lt;'Sollecitazioni nel paramento'!$G$58,ABS(N362)*'Sollecitazioni nel paramento'!$G$54,'Sollecitazioni nel paramento'!$G$53)*IF(N362&lt;0,-1,1)</f>
        <v>240946.49743184328</v>
      </c>
      <c r="U362" s="545">
        <f>'Foglio deposito bis'!$F$52*IF(ABS(O362)&lt;'Sollecitazioni nel paramento'!$G$58,ABS(O362)*'Sollecitazioni nel paramento'!$G$54,'Sollecitazioni nel paramento'!$G$53)*IF(O362&lt;0,-1,1)</f>
        <v>240946.49743184328</v>
      </c>
      <c r="V362" s="472">
        <f t="shared" si="27"/>
        <v>-321133.5663847113</v>
      </c>
      <c r="W362" s="551"/>
      <c r="X362" s="551"/>
    </row>
    <row r="363" spans="1:24" x14ac:dyDescent="0.25">
      <c r="A363" s="545">
        <f t="shared" si="26"/>
        <v>352146.27526644757</v>
      </c>
      <c r="B363" s="3">
        <f t="shared" si="29"/>
        <v>6.6999999999999913</v>
      </c>
      <c r="C363" s="545">
        <f>'Foglio deposito bis'!$E$154/sezione!$B$247*B363</f>
        <v>27.270539610419835</v>
      </c>
      <c r="D363" s="603">
        <f>-'Sollecitazioni nel paramento'!$G$47*'Sollecitazioni nel paramento'!$G$41*IF(DATI!$G$211="dx",DATI!$E$61,DATI!$E$64*DATI!$E$63)*1000*C363^2*sezione!$AD$5*(1-sezione!$AD$6)</f>
        <v>-16545926.39830634</v>
      </c>
      <c r="E363" s="545">
        <f>-'Foglio deposito bis'!$F$48*(C363-sezione!$AL$28)*IF(ABS(K363)&lt;'Sollecitazioni nel paramento'!$G$58,ABS(K363)*'Sollecitazioni nel paramento'!$G$54,'Sollecitazioni nel paramento'!$G$53)</f>
        <v>0</v>
      </c>
      <c r="F363" s="545">
        <f>-'Foglio deposito bis'!$F$49*(C363-sezione!$AM$28)*IF(ABS(L363)&lt;'Sollecitazioni nel paramento'!$G$58,ABS(L363)*'Sollecitazioni nel paramento'!$G$54,'Sollecitazioni nel paramento'!$G$53)</f>
        <v>6705823.8466867302</v>
      </c>
      <c r="G363" s="545">
        <f>-'Foglio deposito bis'!$F$50*(C363-sezione!$AN$28)*IF(ABS(M363)&lt;'Sollecitazioni nel paramento'!$G$58,ABS(M363)*'Sollecitazioni nel paramento'!$G$54,'Sollecitazioni nel paramento'!$G$53)</f>
        <v>0</v>
      </c>
      <c r="H363" s="545">
        <f>-'Foglio deposito bis'!$F$51*(C363-sezione!$AO$28)*IF(ABS(N363)&lt;'Sollecitazioni nel paramento'!$G$58,ABS(N363)*'Sollecitazioni nel paramento'!$G$54,'Sollecitazioni nel paramento'!$G$53)</f>
        <v>31980698.586887922</v>
      </c>
      <c r="I363" s="472">
        <f>-'Foglio deposito bis'!$F$52*(C363-sezione!$AP$28)*IF(ABS(O363)&lt;'Sollecitazioni nel paramento'!$G$58,ABS(O363)*'Sollecitazioni nel paramento'!$G$54,'Sollecitazioni nel paramento'!$G$53)</f>
        <v>56265691.647250287</v>
      </c>
      <c r="J363" s="472">
        <f t="shared" si="25"/>
        <v>78406287.682518601</v>
      </c>
      <c r="K363" s="550">
        <f>'Sollecitazioni nel paramento'!$G$60*(sezione!$AL$28-C363)/C363</f>
        <v>1.6337451330265288E-3</v>
      </c>
      <c r="L363" s="550">
        <f>'Sollecitazioni nel paramento'!$G$60*(sezione!$AM$28-C363)/C363</f>
        <v>4.2006176995397935E-3</v>
      </c>
      <c r="M363" s="551">
        <f>'Sollecitazioni nel paramento'!$G$60*(sezione!$AN$28-C363)/C363</f>
        <v>6.7674902660530582E-3</v>
      </c>
      <c r="N363" s="551">
        <f>'Sollecitazioni nel paramento'!$G$60*(sezione!$AO$28-C363)/C363</f>
        <v>1.7034980532106118E-2</v>
      </c>
      <c r="O363" s="551">
        <f>'Sollecitazioni nel paramento'!$G$60*(sezione!$AP$28-C363)/C363</f>
        <v>2.9970732478913794E-2</v>
      </c>
      <c r="P363" s="545">
        <f>-'Sollecitazioni nel paramento'!$G$47*'Sollecitazioni nel paramento'!$G$41*IF(DATI!$G$211="dx",DATI!$E$61,DATI!$E$64*DATI!$E$63)*1000*C363*sezione!$AD$5</f>
        <v>-1038925.7475381643</v>
      </c>
      <c r="Q363" s="545">
        <f>'Foglio deposito bis'!$F$48*IF(ABS(K363)&lt;'Sollecitazioni nel paramento'!$G$58,ABS(K363)*'Sollecitazioni nel paramento'!$G$54,'Sollecitazioni nel paramento'!$G$53)*IF(K363&lt;0,-1,1)</f>
        <v>0</v>
      </c>
      <c r="R363" s="545">
        <f>'Foglio deposito bis'!$F$49*IF(ABS(L363)&lt;'Sollecitazioni nel paramento'!$G$58,ABS(L363)*'Sollecitazioni nel paramento'!$G$54,'Sollecitazioni nel paramento'!$G$53)*IF(L363&lt;0,-1,1)</f>
        <v>204886.47740803001</v>
      </c>
      <c r="S363" s="545">
        <f>'Foglio deposito bis'!$F$50*IF(ABS(M363)&lt;'Sollecitazioni nel paramento'!$G$58,ABS(M363)*'Sollecitazioni nel paramento'!$G$54,'Sollecitazioni nel paramento'!$G$53)*IF(M363&lt;0,-1,1)</f>
        <v>0</v>
      </c>
      <c r="T363" s="545">
        <f>'Foglio deposito bis'!$F$51*IF(ABS(N363)&lt;'Sollecitazioni nel paramento'!$G$58,ABS(N363)*'Sollecitazioni nel paramento'!$G$54,'Sollecitazioni nel paramento'!$G$53)*IF(N363&lt;0,-1,1)</f>
        <v>240946.49743184328</v>
      </c>
      <c r="U363" s="545">
        <f>'Foglio deposito bis'!$F$52*IF(ABS(O363)&lt;'Sollecitazioni nel paramento'!$G$58,ABS(O363)*'Sollecitazioni nel paramento'!$G$54,'Sollecitazioni nel paramento'!$G$53)*IF(O363&lt;0,-1,1)</f>
        <v>240946.49743184328</v>
      </c>
      <c r="V363" s="472">
        <f t="shared" si="27"/>
        <v>-352146.27526644757</v>
      </c>
      <c r="W363" s="551"/>
      <c r="X363" s="551"/>
    </row>
    <row r="364" spans="1:24" x14ac:dyDescent="0.25">
      <c r="A364" s="545">
        <f t="shared" si="26"/>
        <v>383158.98414818384</v>
      </c>
      <c r="B364" s="3">
        <f t="shared" si="29"/>
        <v>6.8999999999999915</v>
      </c>
      <c r="C364" s="545">
        <f>'Foglio deposito bis'!$E$154/sezione!$B$247*B364</f>
        <v>28.084585568939833</v>
      </c>
      <c r="D364" s="603">
        <f>-'Sollecitazioni nel paramento'!$G$47*'Sollecitazioni nel paramento'!$G$41*IF(DATI!$G$211="dx",DATI!$E$61,DATI!$E$64*DATI!$E$63)*1000*C364^2*sezione!$AD$5*(1-sezione!$AD$6)</f>
        <v>-17548486.429569278</v>
      </c>
      <c r="E364" s="545">
        <f>-'Foglio deposito bis'!$F$48*(C364-sezione!$AL$28)*IF(ABS(K364)&lt;'Sollecitazioni nel paramento'!$G$58,ABS(K364)*'Sollecitazioni nel paramento'!$G$54,'Sollecitazioni nel paramento'!$G$53)</f>
        <v>0</v>
      </c>
      <c r="F364" s="545">
        <f>-'Foglio deposito bis'!$F$49*(C364-sezione!$AM$28)*IF(ABS(L364)&lt;'Sollecitazioni nel paramento'!$G$58,ABS(L364)*'Sollecitazioni nel paramento'!$G$54,'Sollecitazioni nel paramento'!$G$53)</f>
        <v>6539036.8377973232</v>
      </c>
      <c r="G364" s="545">
        <f>-'Foglio deposito bis'!$F$50*(C364-sezione!$AN$28)*IF(ABS(M364)&lt;'Sollecitazioni nel paramento'!$G$58,ABS(M364)*'Sollecitazioni nel paramento'!$G$54,'Sollecitazioni nel paramento'!$G$53)</f>
        <v>0</v>
      </c>
      <c r="H364" s="545">
        <f>-'Foglio deposito bis'!$F$51*(C364-sezione!$AO$28)*IF(ABS(N364)&lt;'Sollecitazioni nel paramento'!$G$58,ABS(N364)*'Sollecitazioni nel paramento'!$G$54,'Sollecitazioni nel paramento'!$G$53)</f>
        <v>31784557.064433977</v>
      </c>
      <c r="I364" s="472">
        <f>-'Foglio deposito bis'!$F$52*(C364-sezione!$AP$28)*IF(ABS(O364)&lt;'Sollecitazioni nel paramento'!$G$58,ABS(O364)*'Sollecitazioni nel paramento'!$G$54,'Sollecitazioni nel paramento'!$G$53)</f>
        <v>56069550.124796346</v>
      </c>
      <c r="J364" s="472">
        <f t="shared" si="25"/>
        <v>76844657.597458363</v>
      </c>
      <c r="K364" s="550">
        <f>'Sollecitazioni nel paramento'!$G$60*(sezione!$AL$28-C364)/C364</f>
        <v>1.4849409262721362E-3</v>
      </c>
      <c r="L364" s="550">
        <f>'Sollecitazioni nel paramento'!$G$60*(sezione!$AM$28-C364)/C364</f>
        <v>3.9774113894082046E-3</v>
      </c>
      <c r="M364" s="551">
        <f>'Sollecitazioni nel paramento'!$G$60*(sezione!$AN$28-C364)/C364</f>
        <v>6.4698818525442733E-3</v>
      </c>
      <c r="N364" s="551">
        <f>'Sollecitazioni nel paramento'!$G$60*(sezione!$AO$28-C364)/C364</f>
        <v>1.6439763705088543E-2</v>
      </c>
      <c r="O364" s="551">
        <f>'Sollecitazioni nel paramento'!$G$60*(sezione!$AP$28-C364)/C364</f>
        <v>2.9000566320104695E-2</v>
      </c>
      <c r="P364" s="545">
        <f>-'Sollecitazioni nel paramento'!$G$47*'Sollecitazioni nel paramento'!$G$41*IF(DATI!$G$211="dx",DATI!$E$61,DATI!$E$64*DATI!$E$63)*1000*C364*sezione!$AD$5</f>
        <v>-1069938.4564199005</v>
      </c>
      <c r="Q364" s="545">
        <f>'Foglio deposito bis'!$F$48*IF(ABS(K364)&lt;'Sollecitazioni nel paramento'!$G$58,ABS(K364)*'Sollecitazioni nel paramento'!$G$54,'Sollecitazioni nel paramento'!$G$53)*IF(K364&lt;0,-1,1)</f>
        <v>0</v>
      </c>
      <c r="R364" s="545">
        <f>'Foglio deposito bis'!$F$49*IF(ABS(L364)&lt;'Sollecitazioni nel paramento'!$G$58,ABS(L364)*'Sollecitazioni nel paramento'!$G$54,'Sollecitazioni nel paramento'!$G$53)*IF(L364&lt;0,-1,1)</f>
        <v>204886.47740803001</v>
      </c>
      <c r="S364" s="545">
        <f>'Foglio deposito bis'!$F$50*IF(ABS(M364)&lt;'Sollecitazioni nel paramento'!$G$58,ABS(M364)*'Sollecitazioni nel paramento'!$G$54,'Sollecitazioni nel paramento'!$G$53)*IF(M364&lt;0,-1,1)</f>
        <v>0</v>
      </c>
      <c r="T364" s="545">
        <f>'Foglio deposito bis'!$F$51*IF(ABS(N364)&lt;'Sollecitazioni nel paramento'!$G$58,ABS(N364)*'Sollecitazioni nel paramento'!$G$54,'Sollecitazioni nel paramento'!$G$53)*IF(N364&lt;0,-1,1)</f>
        <v>240946.49743184328</v>
      </c>
      <c r="U364" s="545">
        <f>'Foglio deposito bis'!$F$52*IF(ABS(O364)&lt;'Sollecitazioni nel paramento'!$G$58,ABS(O364)*'Sollecitazioni nel paramento'!$G$54,'Sollecitazioni nel paramento'!$G$53)*IF(O364&lt;0,-1,1)</f>
        <v>240946.49743184328</v>
      </c>
      <c r="V364" s="472">
        <f t="shared" si="27"/>
        <v>-383158.98414818384</v>
      </c>
      <c r="W364" s="551"/>
      <c r="X364" s="551"/>
    </row>
    <row r="365" spans="1:24" x14ac:dyDescent="0.25">
      <c r="A365" s="545">
        <f t="shared" si="26"/>
        <v>414171.6930299201</v>
      </c>
      <c r="B365" s="3">
        <f t="shared" si="29"/>
        <v>7.0999999999999917</v>
      </c>
      <c r="C365" s="545">
        <f>'Foglio deposito bis'!$E$154/sezione!$B$247*B365</f>
        <v>28.898631527459827</v>
      </c>
      <c r="D365" s="603">
        <f>-'Sollecitazioni nel paramento'!$G$47*'Sollecitazioni nel paramento'!$G$41*IF(DATI!$G$211="dx",DATI!$E$61,DATI!$E$64*DATI!$E$63)*1000*C365^2*sezione!$AD$5*(1-sezione!$AD$6)</f>
        <v>-18580533.520575244</v>
      </c>
      <c r="E365" s="545">
        <f>-'Foglio deposito bis'!$F$48*(C365-sezione!$AL$28)*IF(ABS(K365)&lt;'Sollecitazioni nel paramento'!$G$58,ABS(K365)*'Sollecitazioni nel paramento'!$G$54,'Sollecitazioni nel paramento'!$G$53)</f>
        <v>0</v>
      </c>
      <c r="F365" s="545">
        <f>-'Foglio deposito bis'!$F$49*(C365-sezione!$AM$28)*IF(ABS(L365)&lt;'Sollecitazioni nel paramento'!$G$58,ABS(L365)*'Sollecitazioni nel paramento'!$G$54,'Sollecitazioni nel paramento'!$G$53)</f>
        <v>6372249.8289079191</v>
      </c>
      <c r="G365" s="545">
        <f>-'Foglio deposito bis'!$F$50*(C365-sezione!$AN$28)*IF(ABS(M365)&lt;'Sollecitazioni nel paramento'!$G$58,ABS(M365)*'Sollecitazioni nel paramento'!$G$54,'Sollecitazioni nel paramento'!$G$53)</f>
        <v>0</v>
      </c>
      <c r="H365" s="545">
        <f>-'Foglio deposito bis'!$F$51*(C365-sezione!$AO$28)*IF(ABS(N365)&lt;'Sollecitazioni nel paramento'!$G$58,ABS(N365)*'Sollecitazioni nel paramento'!$G$54,'Sollecitazioni nel paramento'!$G$53)</f>
        <v>31588415.541980039</v>
      </c>
      <c r="I365" s="472">
        <f>-'Foglio deposito bis'!$F$52*(C365-sezione!$AP$28)*IF(ABS(O365)&lt;'Sollecitazioni nel paramento'!$G$58,ABS(O365)*'Sollecitazioni nel paramento'!$G$54,'Sollecitazioni nel paramento'!$G$53)</f>
        <v>55873408.602342397</v>
      </c>
      <c r="J365" s="472">
        <f t="shared" si="25"/>
        <v>75253540.452655107</v>
      </c>
      <c r="K365" s="550">
        <f>'Sollecitazioni nel paramento'!$G$60*(sezione!$AL$28-C365)/C365</f>
        <v>1.3445200551095412E-3</v>
      </c>
      <c r="L365" s="550">
        <f>'Sollecitazioni nel paramento'!$G$60*(sezione!$AM$28-C365)/C365</f>
        <v>3.7667800826643115E-3</v>
      </c>
      <c r="M365" s="551">
        <f>'Sollecitazioni nel paramento'!$G$60*(sezione!$AN$28-C365)/C365</f>
        <v>6.1890401102190828E-3</v>
      </c>
      <c r="N365" s="551">
        <f>'Sollecitazioni nel paramento'!$G$60*(sezione!$AO$28-C365)/C365</f>
        <v>1.5878080220438164E-2</v>
      </c>
      <c r="O365" s="551">
        <f>'Sollecitazioni nel paramento'!$G$60*(sezione!$AP$28-C365)/C365</f>
        <v>2.8085057409679211E-2</v>
      </c>
      <c r="P365" s="545">
        <f>-'Sollecitazioni nel paramento'!$G$47*'Sollecitazioni nel paramento'!$G$41*IF(DATI!$G$211="dx",DATI!$E$61,DATI!$E$64*DATI!$E$63)*1000*C365*sezione!$AD$5</f>
        <v>-1100951.1653016368</v>
      </c>
      <c r="Q365" s="545">
        <f>'Foglio deposito bis'!$F$48*IF(ABS(K365)&lt;'Sollecitazioni nel paramento'!$G$58,ABS(K365)*'Sollecitazioni nel paramento'!$G$54,'Sollecitazioni nel paramento'!$G$53)*IF(K365&lt;0,-1,1)</f>
        <v>0</v>
      </c>
      <c r="R365" s="545">
        <f>'Foglio deposito bis'!$F$49*IF(ABS(L365)&lt;'Sollecitazioni nel paramento'!$G$58,ABS(L365)*'Sollecitazioni nel paramento'!$G$54,'Sollecitazioni nel paramento'!$G$53)*IF(L365&lt;0,-1,1)</f>
        <v>204886.47740803001</v>
      </c>
      <c r="S365" s="545">
        <f>'Foglio deposito bis'!$F$50*IF(ABS(M365)&lt;'Sollecitazioni nel paramento'!$G$58,ABS(M365)*'Sollecitazioni nel paramento'!$G$54,'Sollecitazioni nel paramento'!$G$53)*IF(M365&lt;0,-1,1)</f>
        <v>0</v>
      </c>
      <c r="T365" s="545">
        <f>'Foglio deposito bis'!$F$51*IF(ABS(N365)&lt;'Sollecitazioni nel paramento'!$G$58,ABS(N365)*'Sollecitazioni nel paramento'!$G$54,'Sollecitazioni nel paramento'!$G$53)*IF(N365&lt;0,-1,1)</f>
        <v>240946.49743184328</v>
      </c>
      <c r="U365" s="545">
        <f>'Foglio deposito bis'!$F$52*IF(ABS(O365)&lt;'Sollecitazioni nel paramento'!$G$58,ABS(O365)*'Sollecitazioni nel paramento'!$G$54,'Sollecitazioni nel paramento'!$G$53)*IF(O365&lt;0,-1,1)</f>
        <v>240946.49743184328</v>
      </c>
      <c r="V365" s="472">
        <f t="shared" si="27"/>
        <v>-414171.6930299201</v>
      </c>
      <c r="W365" s="551"/>
      <c r="X365" s="551"/>
    </row>
    <row r="366" spans="1:24" x14ac:dyDescent="0.25">
      <c r="A366" s="545">
        <f t="shared" si="26"/>
        <v>445184.40191165637</v>
      </c>
      <c r="B366" s="3">
        <f t="shared" si="29"/>
        <v>7.2999999999999918</v>
      </c>
      <c r="C366" s="545">
        <f>'Foglio deposito bis'!$E$154/sezione!$B$247*B366</f>
        <v>29.712677485979825</v>
      </c>
      <c r="D366" s="603">
        <f>-'Sollecitazioni nel paramento'!$G$47*'Sollecitazioni nel paramento'!$G$41*IF(DATI!$G$211="dx",DATI!$E$61,DATI!$E$64*DATI!$E$63)*1000*C366^2*sezione!$AD$5*(1-sezione!$AD$6)</f>
        <v>-19642067.671324238</v>
      </c>
      <c r="E366" s="545">
        <f>-'Foglio deposito bis'!$F$48*(C366-sezione!$AL$28)*IF(ABS(K366)&lt;'Sollecitazioni nel paramento'!$G$58,ABS(K366)*'Sollecitazioni nel paramento'!$G$54,'Sollecitazioni nel paramento'!$G$53)</f>
        <v>0</v>
      </c>
      <c r="F366" s="545">
        <f>-'Foglio deposito bis'!$F$49*(C366-sezione!$AM$28)*IF(ABS(L366)&lt;'Sollecitazioni nel paramento'!$G$58,ABS(L366)*'Sollecitazioni nel paramento'!$G$54,'Sollecitazioni nel paramento'!$G$53)</f>
        <v>6205462.8200185141</v>
      </c>
      <c r="G366" s="545">
        <f>-'Foglio deposito bis'!$F$50*(C366-sezione!$AN$28)*IF(ABS(M366)&lt;'Sollecitazioni nel paramento'!$G$58,ABS(M366)*'Sollecitazioni nel paramento'!$G$54,'Sollecitazioni nel paramento'!$G$53)</f>
        <v>0</v>
      </c>
      <c r="H366" s="545">
        <f>-'Foglio deposito bis'!$F$51*(C366-sezione!$AO$28)*IF(ABS(N366)&lt;'Sollecitazioni nel paramento'!$G$58,ABS(N366)*'Sollecitazioni nel paramento'!$G$54,'Sollecitazioni nel paramento'!$G$53)</f>
        <v>31392274.019526098</v>
      </c>
      <c r="I366" s="472">
        <f>-'Foglio deposito bis'!$F$52*(C366-sezione!$AP$28)*IF(ABS(O366)&lt;'Sollecitazioni nel paramento'!$G$58,ABS(O366)*'Sollecitazioni nel paramento'!$G$54,'Sollecitazioni nel paramento'!$G$53)</f>
        <v>55677267.079888456</v>
      </c>
      <c r="J366" s="472">
        <f t="shared" si="25"/>
        <v>73632936.248108834</v>
      </c>
      <c r="K366" s="550">
        <f>'Sollecitazioni nel paramento'!$G$60*(sezione!$AL$28-C366)/C366</f>
        <v>1.2117934782572245E-3</v>
      </c>
      <c r="L366" s="550">
        <f>'Sollecitazioni nel paramento'!$G$60*(sezione!$AM$28-C366)/C366</f>
        <v>3.5676902173858369E-3</v>
      </c>
      <c r="M366" s="551">
        <f>'Sollecitazioni nel paramento'!$G$60*(sezione!$AN$28-C366)/C366</f>
        <v>5.923586956514449E-3</v>
      </c>
      <c r="N366" s="551">
        <f>'Sollecitazioni nel paramento'!$G$60*(sezione!$AO$28-C366)/C366</f>
        <v>1.5347173913028896E-2</v>
      </c>
      <c r="O366" s="551">
        <f>'Sollecitazioni nel paramento'!$G$60*(sezione!$AP$28-C366)/C366</f>
        <v>2.7219713371057858E-2</v>
      </c>
      <c r="P366" s="545">
        <f>-'Sollecitazioni nel paramento'!$G$47*'Sollecitazioni nel paramento'!$G$41*IF(DATI!$G$211="dx",DATI!$E$61,DATI!$E$64*DATI!$E$63)*1000*C366*sezione!$AD$5</f>
        <v>-1131963.8741833731</v>
      </c>
      <c r="Q366" s="545">
        <f>'Foglio deposito bis'!$F$48*IF(ABS(K366)&lt;'Sollecitazioni nel paramento'!$G$58,ABS(K366)*'Sollecitazioni nel paramento'!$G$54,'Sollecitazioni nel paramento'!$G$53)*IF(K366&lt;0,-1,1)</f>
        <v>0</v>
      </c>
      <c r="R366" s="545">
        <f>'Foglio deposito bis'!$F$49*IF(ABS(L366)&lt;'Sollecitazioni nel paramento'!$G$58,ABS(L366)*'Sollecitazioni nel paramento'!$G$54,'Sollecitazioni nel paramento'!$G$53)*IF(L366&lt;0,-1,1)</f>
        <v>204886.47740803001</v>
      </c>
      <c r="S366" s="545">
        <f>'Foglio deposito bis'!$F$50*IF(ABS(M366)&lt;'Sollecitazioni nel paramento'!$G$58,ABS(M366)*'Sollecitazioni nel paramento'!$G$54,'Sollecitazioni nel paramento'!$G$53)*IF(M366&lt;0,-1,1)</f>
        <v>0</v>
      </c>
      <c r="T366" s="545">
        <f>'Foglio deposito bis'!$F$51*IF(ABS(N366)&lt;'Sollecitazioni nel paramento'!$G$58,ABS(N366)*'Sollecitazioni nel paramento'!$G$54,'Sollecitazioni nel paramento'!$G$53)*IF(N366&lt;0,-1,1)</f>
        <v>240946.49743184328</v>
      </c>
      <c r="U366" s="545">
        <f>'Foglio deposito bis'!$F$52*IF(ABS(O366)&lt;'Sollecitazioni nel paramento'!$G$58,ABS(O366)*'Sollecitazioni nel paramento'!$G$54,'Sollecitazioni nel paramento'!$G$53)*IF(O366&lt;0,-1,1)</f>
        <v>240946.49743184328</v>
      </c>
      <c r="V366" s="472">
        <f t="shared" si="27"/>
        <v>-445184.40191165637</v>
      </c>
      <c r="W366" s="551"/>
      <c r="X366" s="551"/>
    </row>
    <row r="367" spans="1:24" x14ac:dyDescent="0.25">
      <c r="A367" s="545">
        <f t="shared" si="26"/>
        <v>476197.11079339287</v>
      </c>
      <c r="B367" s="3">
        <f t="shared" si="29"/>
        <v>7.499999999999992</v>
      </c>
      <c r="C367" s="545">
        <f>'Foglio deposito bis'!$E$154/sezione!$B$247*B367</f>
        <v>30.526723444499822</v>
      </c>
      <c r="D367" s="603">
        <f>-'Sollecitazioni nel paramento'!$G$47*'Sollecitazioni nel paramento'!$G$41*IF(DATI!$G$211="dx",DATI!$E$61,DATI!$E$64*DATI!$E$63)*1000*C367^2*sezione!$AD$5*(1-sezione!$AD$6)</f>
        <v>-20733088.881816261</v>
      </c>
      <c r="E367" s="545">
        <f>-'Foglio deposito bis'!$F$48*(C367-sezione!$AL$28)*IF(ABS(K367)&lt;'Sollecitazioni nel paramento'!$G$58,ABS(K367)*'Sollecitazioni nel paramento'!$G$54,'Sollecitazioni nel paramento'!$G$53)</f>
        <v>0</v>
      </c>
      <c r="F367" s="545">
        <f>-'Foglio deposito bis'!$F$49*(C367-sezione!$AM$28)*IF(ABS(L367)&lt;'Sollecitazioni nel paramento'!$G$58,ABS(L367)*'Sollecitazioni nel paramento'!$G$54,'Sollecitazioni nel paramento'!$G$53)</f>
        <v>6038675.8111291071</v>
      </c>
      <c r="G367" s="545">
        <f>-'Foglio deposito bis'!$F$50*(C367-sezione!$AN$28)*IF(ABS(M367)&lt;'Sollecitazioni nel paramento'!$G$58,ABS(M367)*'Sollecitazioni nel paramento'!$G$54,'Sollecitazioni nel paramento'!$G$53)</f>
        <v>0</v>
      </c>
      <c r="H367" s="545">
        <f>-'Foglio deposito bis'!$F$51*(C367-sezione!$AO$28)*IF(ABS(N367)&lt;'Sollecitazioni nel paramento'!$G$58,ABS(N367)*'Sollecitazioni nel paramento'!$G$54,'Sollecitazioni nel paramento'!$G$53)</f>
        <v>31196132.49707216</v>
      </c>
      <c r="I367" s="472">
        <f>-'Foglio deposito bis'!$F$52*(C367-sezione!$AP$28)*IF(ABS(O367)&lt;'Sollecitazioni nel paramento'!$G$58,ABS(O367)*'Sollecitazioni nel paramento'!$G$54,'Sollecitazioni nel paramento'!$G$53)</f>
        <v>55481125.557434522</v>
      </c>
      <c r="J367" s="472">
        <f t="shared" si="25"/>
        <v>71982844.983819529</v>
      </c>
      <c r="K367" s="550">
        <f>'Sollecitazioni nel paramento'!$G$60*(sezione!$AL$28-C367)/C367</f>
        <v>1.0861456521703648E-3</v>
      </c>
      <c r="L367" s="550">
        <f>'Sollecitazioni nel paramento'!$G$60*(sezione!$AM$28-C367)/C367</f>
        <v>3.3792184782555469E-3</v>
      </c>
      <c r="M367" s="551">
        <f>'Sollecitazioni nel paramento'!$G$60*(sezione!$AN$28-C367)/C367</f>
        <v>5.67229130434073E-3</v>
      </c>
      <c r="N367" s="551">
        <f>'Sollecitazioni nel paramento'!$G$60*(sezione!$AO$28-C367)/C367</f>
        <v>1.484458260868146E-2</v>
      </c>
      <c r="O367" s="551">
        <f>'Sollecitazioni nel paramento'!$G$60*(sezione!$AP$28-C367)/C367</f>
        <v>2.6400521014496317E-2</v>
      </c>
      <c r="P367" s="545">
        <f>-'Sollecitazioni nel paramento'!$G$47*'Sollecitazioni nel paramento'!$G$41*IF(DATI!$G$211="dx",DATI!$E$61,DATI!$E$64*DATI!$E$63)*1000*C367*sezione!$AD$5</f>
        <v>-1162976.5830651096</v>
      </c>
      <c r="Q367" s="545">
        <f>'Foglio deposito bis'!$F$48*IF(ABS(K367)&lt;'Sollecitazioni nel paramento'!$G$58,ABS(K367)*'Sollecitazioni nel paramento'!$G$54,'Sollecitazioni nel paramento'!$G$53)*IF(K367&lt;0,-1,1)</f>
        <v>0</v>
      </c>
      <c r="R367" s="545">
        <f>'Foglio deposito bis'!$F$49*IF(ABS(L367)&lt;'Sollecitazioni nel paramento'!$G$58,ABS(L367)*'Sollecitazioni nel paramento'!$G$54,'Sollecitazioni nel paramento'!$G$53)*IF(L367&lt;0,-1,1)</f>
        <v>204886.47740803001</v>
      </c>
      <c r="S367" s="545">
        <f>'Foglio deposito bis'!$F$50*IF(ABS(M367)&lt;'Sollecitazioni nel paramento'!$G$58,ABS(M367)*'Sollecitazioni nel paramento'!$G$54,'Sollecitazioni nel paramento'!$G$53)*IF(M367&lt;0,-1,1)</f>
        <v>0</v>
      </c>
      <c r="T367" s="545">
        <f>'Foglio deposito bis'!$F$51*IF(ABS(N367)&lt;'Sollecitazioni nel paramento'!$G$58,ABS(N367)*'Sollecitazioni nel paramento'!$G$54,'Sollecitazioni nel paramento'!$G$53)*IF(N367&lt;0,-1,1)</f>
        <v>240946.49743184328</v>
      </c>
      <c r="U367" s="545">
        <f>'Foglio deposito bis'!$F$52*IF(ABS(O367)&lt;'Sollecitazioni nel paramento'!$G$58,ABS(O367)*'Sollecitazioni nel paramento'!$G$54,'Sollecitazioni nel paramento'!$G$53)*IF(O367&lt;0,-1,1)</f>
        <v>240946.49743184328</v>
      </c>
      <c r="V367" s="472">
        <f t="shared" si="27"/>
        <v>-476197.11079339287</v>
      </c>
      <c r="W367" s="551"/>
      <c r="X367" s="551"/>
    </row>
    <row r="368" spans="1:24" x14ac:dyDescent="0.25">
      <c r="A368" s="545">
        <f t="shared" si="26"/>
        <v>507209.81967512914</v>
      </c>
      <c r="B368" s="3">
        <f t="shared" si="29"/>
        <v>7.6999999999999922</v>
      </c>
      <c r="C368" s="545">
        <f>'Foglio deposito bis'!$E$154/sezione!$B$247*B368</f>
        <v>31.34076940301982</v>
      </c>
      <c r="D368" s="603">
        <f>-'Sollecitazioni nel paramento'!$G$47*'Sollecitazioni nel paramento'!$G$41*IF(DATI!$G$211="dx",DATI!$E$61,DATI!$E$64*DATI!$E$63)*1000*C368^2*sezione!$AD$5*(1-sezione!$AD$6)</f>
        <v>-21853597.152051311</v>
      </c>
      <c r="E368" s="545">
        <f>-'Foglio deposito bis'!$F$48*(C368-sezione!$AL$28)*IF(ABS(K368)&lt;'Sollecitazioni nel paramento'!$G$58,ABS(K368)*'Sollecitazioni nel paramento'!$G$54,'Sollecitazioni nel paramento'!$G$53)</f>
        <v>0</v>
      </c>
      <c r="F368" s="545">
        <f>-'Foglio deposito bis'!$F$49*(C368-sezione!$AM$28)*IF(ABS(L368)&lt;'Sollecitazioni nel paramento'!$G$58,ABS(L368)*'Sollecitazioni nel paramento'!$G$54,'Sollecitazioni nel paramento'!$G$53)</f>
        <v>5871888.8022397021</v>
      </c>
      <c r="G368" s="545">
        <f>-'Foglio deposito bis'!$F$50*(C368-sezione!$AN$28)*IF(ABS(M368)&lt;'Sollecitazioni nel paramento'!$G$58,ABS(M368)*'Sollecitazioni nel paramento'!$G$54,'Sollecitazioni nel paramento'!$G$53)</f>
        <v>0</v>
      </c>
      <c r="H368" s="545">
        <f>-'Foglio deposito bis'!$F$51*(C368-sezione!$AO$28)*IF(ABS(N368)&lt;'Sollecitazioni nel paramento'!$G$58,ABS(N368)*'Sollecitazioni nel paramento'!$G$54,'Sollecitazioni nel paramento'!$G$53)</f>
        <v>30999990.974618219</v>
      </c>
      <c r="I368" s="472">
        <f>-'Foglio deposito bis'!$F$52*(C368-sezione!$AP$28)*IF(ABS(O368)&lt;'Sollecitazioni nel paramento'!$G$58,ABS(O368)*'Sollecitazioni nel paramento'!$G$54,'Sollecitazioni nel paramento'!$G$53)</f>
        <v>55284984.03498058</v>
      </c>
      <c r="J368" s="472">
        <f t="shared" si="25"/>
        <v>70303266.659787193</v>
      </c>
      <c r="K368" s="550">
        <f>'Sollecitazioni nel paramento'!$G$60*(sezione!$AL$28-C368)/C368</f>
        <v>9.6702498588022504E-4</v>
      </c>
      <c r="L368" s="550">
        <f>'Sollecitazioni nel paramento'!$G$60*(sezione!$AM$28-C368)/C368</f>
        <v>3.2005374788203374E-3</v>
      </c>
      <c r="M368" s="551">
        <f>'Sollecitazioni nel paramento'!$G$60*(sezione!$AN$28-C368)/C368</f>
        <v>5.4340499717604497E-3</v>
      </c>
      <c r="N368" s="551">
        <f>'Sollecitazioni nel paramento'!$G$60*(sezione!$AO$28-C368)/C368</f>
        <v>1.4368099943520901E-2</v>
      </c>
      <c r="O368" s="551">
        <f>'Sollecitazioni nel paramento'!$G$60*(sezione!$AP$28-C368)/C368</f>
        <v>2.5623884105028878E-2</v>
      </c>
      <c r="P368" s="545">
        <f>-'Sollecitazioni nel paramento'!$G$47*'Sollecitazioni nel paramento'!$G$41*IF(DATI!$G$211="dx",DATI!$E$61,DATI!$E$64*DATI!$E$63)*1000*C368*sezione!$AD$5</f>
        <v>-1193989.2919468458</v>
      </c>
      <c r="Q368" s="545">
        <f>'Foglio deposito bis'!$F$48*IF(ABS(K368)&lt;'Sollecitazioni nel paramento'!$G$58,ABS(K368)*'Sollecitazioni nel paramento'!$G$54,'Sollecitazioni nel paramento'!$G$53)*IF(K368&lt;0,-1,1)</f>
        <v>0</v>
      </c>
      <c r="R368" s="545">
        <f>'Foglio deposito bis'!$F$49*IF(ABS(L368)&lt;'Sollecitazioni nel paramento'!$G$58,ABS(L368)*'Sollecitazioni nel paramento'!$G$54,'Sollecitazioni nel paramento'!$G$53)*IF(L368&lt;0,-1,1)</f>
        <v>204886.47740803001</v>
      </c>
      <c r="S368" s="545">
        <f>'Foglio deposito bis'!$F$50*IF(ABS(M368)&lt;'Sollecitazioni nel paramento'!$G$58,ABS(M368)*'Sollecitazioni nel paramento'!$G$54,'Sollecitazioni nel paramento'!$G$53)*IF(M368&lt;0,-1,1)</f>
        <v>0</v>
      </c>
      <c r="T368" s="545">
        <f>'Foglio deposito bis'!$F$51*IF(ABS(N368)&lt;'Sollecitazioni nel paramento'!$G$58,ABS(N368)*'Sollecitazioni nel paramento'!$G$54,'Sollecitazioni nel paramento'!$G$53)*IF(N368&lt;0,-1,1)</f>
        <v>240946.49743184328</v>
      </c>
      <c r="U368" s="545">
        <f>'Foglio deposito bis'!$F$52*IF(ABS(O368)&lt;'Sollecitazioni nel paramento'!$G$58,ABS(O368)*'Sollecitazioni nel paramento'!$G$54,'Sollecitazioni nel paramento'!$G$53)*IF(O368&lt;0,-1,1)</f>
        <v>240946.49743184328</v>
      </c>
      <c r="V368" s="472">
        <f t="shared" si="27"/>
        <v>-507209.81967512914</v>
      </c>
      <c r="W368" s="551"/>
      <c r="X368" s="551"/>
    </row>
    <row r="369" spans="1:24" x14ac:dyDescent="0.25">
      <c r="A369" s="545">
        <f t="shared" si="26"/>
        <v>538222.52855686564</v>
      </c>
      <c r="B369" s="3">
        <f t="shared" si="29"/>
        <v>7.8999999999999924</v>
      </c>
      <c r="C369" s="545">
        <f>'Foglio deposito bis'!$E$154/sezione!$B$247*B369</f>
        <v>32.154815361539818</v>
      </c>
      <c r="D369" s="603">
        <f>-'Sollecitazioni nel paramento'!$G$47*'Sollecitazioni nel paramento'!$G$41*IF(DATI!$G$211="dx",DATI!$E$61,DATI!$E$64*DATI!$E$63)*1000*C369^2*sezione!$AD$5*(1-sezione!$AD$6)</f>
        <v>-23003592.48202939</v>
      </c>
      <c r="E369" s="545">
        <f>-'Foglio deposito bis'!$F$48*(C369-sezione!$AL$28)*IF(ABS(K369)&lt;'Sollecitazioni nel paramento'!$G$58,ABS(K369)*'Sollecitazioni nel paramento'!$G$54,'Sollecitazioni nel paramento'!$G$53)</f>
        <v>0</v>
      </c>
      <c r="F369" s="545">
        <f>-'Foglio deposito bis'!$F$49*(C369-sezione!$AM$28)*IF(ABS(L369)&lt;'Sollecitazioni nel paramento'!$G$58,ABS(L369)*'Sollecitazioni nel paramento'!$G$54,'Sollecitazioni nel paramento'!$G$53)</f>
        <v>5705101.7933502961</v>
      </c>
      <c r="G369" s="545">
        <f>-'Foglio deposito bis'!$F$50*(C369-sezione!$AN$28)*IF(ABS(M369)&lt;'Sollecitazioni nel paramento'!$G$58,ABS(M369)*'Sollecitazioni nel paramento'!$G$54,'Sollecitazioni nel paramento'!$G$53)</f>
        <v>0</v>
      </c>
      <c r="H369" s="545">
        <f>-'Foglio deposito bis'!$F$51*(C369-sezione!$AO$28)*IF(ABS(N369)&lt;'Sollecitazioni nel paramento'!$G$58,ABS(N369)*'Sollecitazioni nel paramento'!$G$54,'Sollecitazioni nel paramento'!$G$53)</f>
        <v>30803849.452164277</v>
      </c>
      <c r="I369" s="472">
        <f>-'Foglio deposito bis'!$F$52*(C369-sezione!$AP$28)*IF(ABS(O369)&lt;'Sollecitazioni nel paramento'!$G$58,ABS(O369)*'Sollecitazioni nel paramento'!$G$54,'Sollecitazioni nel paramento'!$G$53)</f>
        <v>55088842.512526639</v>
      </c>
      <c r="J369" s="472">
        <f t="shared" si="25"/>
        <v>68594201.276011825</v>
      </c>
      <c r="K369" s="550">
        <f>'Sollecitazioni nel paramento'!$G$60*(sezione!$AL$28-C369)/C369</f>
        <v>8.5393574573135829E-4</v>
      </c>
      <c r="L369" s="550">
        <f>'Sollecitazioni nel paramento'!$G$60*(sezione!$AM$28-C369)/C369</f>
        <v>3.0309036185970375E-3</v>
      </c>
      <c r="M369" s="551">
        <f>'Sollecitazioni nel paramento'!$G$60*(sezione!$AN$28-C369)/C369</f>
        <v>5.2078714914627162E-3</v>
      </c>
      <c r="N369" s="551">
        <f>'Sollecitazioni nel paramento'!$G$60*(sezione!$AO$28-C369)/C369</f>
        <v>1.3915742982925434E-2</v>
      </c>
      <c r="O369" s="551">
        <f>'Sollecitazioni nel paramento'!$G$60*(sezione!$AP$28-C369)/C369</f>
        <v>2.4886570583382572E-2</v>
      </c>
      <c r="P369" s="545">
        <f>-'Sollecitazioni nel paramento'!$G$47*'Sollecitazioni nel paramento'!$G$41*IF(DATI!$G$211="dx",DATI!$E$61,DATI!$E$64*DATI!$E$63)*1000*C369*sezione!$AD$5</f>
        <v>-1225002.0008285823</v>
      </c>
      <c r="Q369" s="545">
        <f>'Foglio deposito bis'!$F$48*IF(ABS(K369)&lt;'Sollecitazioni nel paramento'!$G$58,ABS(K369)*'Sollecitazioni nel paramento'!$G$54,'Sollecitazioni nel paramento'!$G$53)*IF(K369&lt;0,-1,1)</f>
        <v>0</v>
      </c>
      <c r="R369" s="545">
        <f>'Foglio deposito bis'!$F$49*IF(ABS(L369)&lt;'Sollecitazioni nel paramento'!$G$58,ABS(L369)*'Sollecitazioni nel paramento'!$G$54,'Sollecitazioni nel paramento'!$G$53)*IF(L369&lt;0,-1,1)</f>
        <v>204886.47740803001</v>
      </c>
      <c r="S369" s="545">
        <f>'Foglio deposito bis'!$F$50*IF(ABS(M369)&lt;'Sollecitazioni nel paramento'!$G$58,ABS(M369)*'Sollecitazioni nel paramento'!$G$54,'Sollecitazioni nel paramento'!$G$53)*IF(M369&lt;0,-1,1)</f>
        <v>0</v>
      </c>
      <c r="T369" s="545">
        <f>'Foglio deposito bis'!$F$51*IF(ABS(N369)&lt;'Sollecitazioni nel paramento'!$G$58,ABS(N369)*'Sollecitazioni nel paramento'!$G$54,'Sollecitazioni nel paramento'!$G$53)*IF(N369&lt;0,-1,1)</f>
        <v>240946.49743184328</v>
      </c>
      <c r="U369" s="545">
        <f>'Foglio deposito bis'!$F$52*IF(ABS(O369)&lt;'Sollecitazioni nel paramento'!$G$58,ABS(O369)*'Sollecitazioni nel paramento'!$G$54,'Sollecitazioni nel paramento'!$G$53)*IF(O369&lt;0,-1,1)</f>
        <v>240946.49743184328</v>
      </c>
      <c r="V369" s="472">
        <f t="shared" si="27"/>
        <v>-538222.52855686564</v>
      </c>
      <c r="W369" s="551"/>
      <c r="X369" s="551"/>
    </row>
    <row r="370" spans="1:24" x14ac:dyDescent="0.25">
      <c r="A370" s="545">
        <f t="shared" si="26"/>
        <v>569235.23743860191</v>
      </c>
      <c r="B370" s="3">
        <f t="shared" si="29"/>
        <v>8.0999999999999925</v>
      </c>
      <c r="C370" s="545">
        <f>'Foglio deposito bis'!$E$154/sezione!$B$247*B370</f>
        <v>32.968861320059816</v>
      </c>
      <c r="D370" s="603">
        <f>-'Sollecitazioni nel paramento'!$G$47*'Sollecitazioni nel paramento'!$G$41*IF(DATI!$G$211="dx",DATI!$E$61,DATI!$E$64*DATI!$E$63)*1000*C370^2*sezione!$AD$5*(1-sezione!$AD$6)</f>
        <v>-24183074.871750496</v>
      </c>
      <c r="E370" s="545">
        <f>-'Foglio deposito bis'!$F$48*(C370-sezione!$AL$28)*IF(ABS(K370)&lt;'Sollecitazioni nel paramento'!$G$58,ABS(K370)*'Sollecitazioni nel paramento'!$G$54,'Sollecitazioni nel paramento'!$G$53)</f>
        <v>0</v>
      </c>
      <c r="F370" s="545">
        <f>-'Foglio deposito bis'!$F$49*(C370-sezione!$AM$28)*IF(ABS(L370)&lt;'Sollecitazioni nel paramento'!$G$58,ABS(L370)*'Sollecitazioni nel paramento'!$G$54,'Sollecitazioni nel paramento'!$G$53)</f>
        <v>5538314.784460891</v>
      </c>
      <c r="G370" s="545">
        <f>-'Foglio deposito bis'!$F$50*(C370-sezione!$AN$28)*IF(ABS(M370)&lt;'Sollecitazioni nel paramento'!$G$58,ABS(M370)*'Sollecitazioni nel paramento'!$G$54,'Sollecitazioni nel paramento'!$G$53)</f>
        <v>0</v>
      </c>
      <c r="H370" s="545">
        <f>-'Foglio deposito bis'!$F$51*(C370-sezione!$AO$28)*IF(ABS(N370)&lt;'Sollecitazioni nel paramento'!$G$58,ABS(N370)*'Sollecitazioni nel paramento'!$G$54,'Sollecitazioni nel paramento'!$G$53)</f>
        <v>30607707.929710332</v>
      </c>
      <c r="I370" s="472">
        <f>-'Foglio deposito bis'!$F$52*(C370-sezione!$AP$28)*IF(ABS(O370)&lt;'Sollecitazioni nel paramento'!$G$58,ABS(O370)*'Sollecitazioni nel paramento'!$G$54,'Sollecitazioni nel paramento'!$G$53)</f>
        <v>54892700.99007269</v>
      </c>
      <c r="J370" s="472">
        <f t="shared" si="25"/>
        <v>66855648.832493417</v>
      </c>
      <c r="K370" s="550">
        <f>'Sollecitazioni nel paramento'!$G$60*(sezione!$AL$28-C370)/C370</f>
        <v>7.4643115941700345E-4</v>
      </c>
      <c r="L370" s="550">
        <f>'Sollecitazioni nel paramento'!$G$60*(sezione!$AM$28-C370)/C370</f>
        <v>2.8696467391255052E-3</v>
      </c>
      <c r="M370" s="551">
        <f>'Sollecitazioni nel paramento'!$G$60*(sezione!$AN$28-C370)/C370</f>
        <v>4.9928623188340068E-3</v>
      </c>
      <c r="N370" s="551">
        <f>'Sollecitazioni nel paramento'!$G$60*(sezione!$AO$28-C370)/C370</f>
        <v>1.3485724637668013E-2</v>
      </c>
      <c r="O370" s="551">
        <f>'Sollecitazioni nel paramento'!$G$60*(sezione!$AP$28-C370)/C370</f>
        <v>2.41856676060151E-2</v>
      </c>
      <c r="P370" s="545">
        <f>-'Sollecitazioni nel paramento'!$G$47*'Sollecitazioni nel paramento'!$G$41*IF(DATI!$G$211="dx",DATI!$E$61,DATI!$E$64*DATI!$E$63)*1000*C370*sezione!$AD$5</f>
        <v>-1256014.7097103186</v>
      </c>
      <c r="Q370" s="545">
        <f>'Foglio deposito bis'!$F$48*IF(ABS(K370)&lt;'Sollecitazioni nel paramento'!$G$58,ABS(K370)*'Sollecitazioni nel paramento'!$G$54,'Sollecitazioni nel paramento'!$G$53)*IF(K370&lt;0,-1,1)</f>
        <v>0</v>
      </c>
      <c r="R370" s="545">
        <f>'Foglio deposito bis'!$F$49*IF(ABS(L370)&lt;'Sollecitazioni nel paramento'!$G$58,ABS(L370)*'Sollecitazioni nel paramento'!$G$54,'Sollecitazioni nel paramento'!$G$53)*IF(L370&lt;0,-1,1)</f>
        <v>204886.47740803001</v>
      </c>
      <c r="S370" s="545">
        <f>'Foglio deposito bis'!$F$50*IF(ABS(M370)&lt;'Sollecitazioni nel paramento'!$G$58,ABS(M370)*'Sollecitazioni nel paramento'!$G$54,'Sollecitazioni nel paramento'!$G$53)*IF(M370&lt;0,-1,1)</f>
        <v>0</v>
      </c>
      <c r="T370" s="545">
        <f>'Foglio deposito bis'!$F$51*IF(ABS(N370)&lt;'Sollecitazioni nel paramento'!$G$58,ABS(N370)*'Sollecitazioni nel paramento'!$G$54,'Sollecitazioni nel paramento'!$G$53)*IF(N370&lt;0,-1,1)</f>
        <v>240946.49743184328</v>
      </c>
      <c r="U370" s="545">
        <f>'Foglio deposito bis'!$F$52*IF(ABS(O370)&lt;'Sollecitazioni nel paramento'!$G$58,ABS(O370)*'Sollecitazioni nel paramento'!$G$54,'Sollecitazioni nel paramento'!$G$53)*IF(O370&lt;0,-1,1)</f>
        <v>240946.49743184328</v>
      </c>
      <c r="V370" s="472">
        <f t="shared" si="27"/>
        <v>-569235.23743860191</v>
      </c>
      <c r="W370" s="551"/>
      <c r="X370" s="551"/>
    </row>
    <row r="371" spans="1:24" x14ac:dyDescent="0.25">
      <c r="A371" s="545">
        <f t="shared" si="26"/>
        <v>600247.94632033794</v>
      </c>
      <c r="B371" s="3">
        <f t="shared" si="29"/>
        <v>8.2999999999999918</v>
      </c>
      <c r="C371" s="545">
        <f>'Foglio deposito bis'!$E$154/sezione!$B$247*B371</f>
        <v>33.782907278579806</v>
      </c>
      <c r="D371" s="603">
        <f>-'Sollecitazioni nel paramento'!$G$47*'Sollecitazioni nel paramento'!$G$41*IF(DATI!$G$211="dx",DATI!$E$61,DATI!$E$64*DATI!$E$63)*1000*C371^2*sezione!$AD$5*(1-sezione!$AD$6)</f>
        <v>-25392044.321214616</v>
      </c>
      <c r="E371" s="545">
        <f>-'Foglio deposito bis'!$F$48*(C371-sezione!$AL$28)*IF(ABS(K371)&lt;'Sollecitazioni nel paramento'!$G$58,ABS(K371)*'Sollecitazioni nel paramento'!$G$54,'Sollecitazioni nel paramento'!$G$53)</f>
        <v>0</v>
      </c>
      <c r="F371" s="545">
        <f>-'Foglio deposito bis'!$F$49*(C371-sezione!$AM$28)*IF(ABS(L371)&lt;'Sollecitazioni nel paramento'!$G$58,ABS(L371)*'Sollecitazioni nel paramento'!$G$54,'Sollecitazioni nel paramento'!$G$53)</f>
        <v>5371527.7755714869</v>
      </c>
      <c r="G371" s="545">
        <f>-'Foglio deposito bis'!$F$50*(C371-sezione!$AN$28)*IF(ABS(M371)&lt;'Sollecitazioni nel paramento'!$G$58,ABS(M371)*'Sollecitazioni nel paramento'!$G$54,'Sollecitazioni nel paramento'!$G$53)</f>
        <v>0</v>
      </c>
      <c r="H371" s="545">
        <f>-'Foglio deposito bis'!$F$51*(C371-sezione!$AO$28)*IF(ABS(N371)&lt;'Sollecitazioni nel paramento'!$G$58,ABS(N371)*'Sollecitazioni nel paramento'!$G$54,'Sollecitazioni nel paramento'!$G$53)</f>
        <v>30411566.407256395</v>
      </c>
      <c r="I371" s="472">
        <f>-'Foglio deposito bis'!$F$52*(C371-sezione!$AP$28)*IF(ABS(O371)&lt;'Sollecitazioni nel paramento'!$G$58,ABS(O371)*'Sollecitazioni nel paramento'!$G$54,'Sollecitazioni nel paramento'!$G$53)</f>
        <v>54696559.467618749</v>
      </c>
      <c r="J371" s="472">
        <f t="shared" si="25"/>
        <v>65087609.329232015</v>
      </c>
      <c r="K371" s="550">
        <f>'Sollecitazioni nel paramento'!$G$60*(sezione!$AL$28-C371)/C371</f>
        <v>6.4410751702141352E-4</v>
      </c>
      <c r="L371" s="550">
        <f>'Sollecitazioni nel paramento'!$G$60*(sezione!$AM$28-C371)/C371</f>
        <v>2.7161612755321205E-3</v>
      </c>
      <c r="M371" s="551">
        <f>'Sollecitazioni nel paramento'!$G$60*(sezione!$AN$28-C371)/C371</f>
        <v>4.7882150340428269E-3</v>
      </c>
      <c r="N371" s="551">
        <f>'Sollecitazioni nel paramento'!$G$60*(sezione!$AO$28-C371)/C371</f>
        <v>1.3076430068085653E-2</v>
      </c>
      <c r="O371" s="551">
        <f>'Sollecitazioni nel paramento'!$G$60*(sezione!$AP$28-C371)/C371</f>
        <v>2.3518543085388231E-2</v>
      </c>
      <c r="P371" s="545">
        <f>-'Sollecitazioni nel paramento'!$G$47*'Sollecitazioni nel paramento'!$G$41*IF(DATI!$G$211="dx",DATI!$E$61,DATI!$E$64*DATI!$E$63)*1000*C371*sezione!$AD$5</f>
        <v>-1287027.4185920546</v>
      </c>
      <c r="Q371" s="545">
        <f>'Foglio deposito bis'!$F$48*IF(ABS(K371)&lt;'Sollecitazioni nel paramento'!$G$58,ABS(K371)*'Sollecitazioni nel paramento'!$G$54,'Sollecitazioni nel paramento'!$G$53)*IF(K371&lt;0,-1,1)</f>
        <v>0</v>
      </c>
      <c r="R371" s="545">
        <f>'Foglio deposito bis'!$F$49*IF(ABS(L371)&lt;'Sollecitazioni nel paramento'!$G$58,ABS(L371)*'Sollecitazioni nel paramento'!$G$54,'Sollecitazioni nel paramento'!$G$53)*IF(L371&lt;0,-1,1)</f>
        <v>204886.47740803001</v>
      </c>
      <c r="S371" s="545">
        <f>'Foglio deposito bis'!$F$50*IF(ABS(M371)&lt;'Sollecitazioni nel paramento'!$G$58,ABS(M371)*'Sollecitazioni nel paramento'!$G$54,'Sollecitazioni nel paramento'!$G$53)*IF(M371&lt;0,-1,1)</f>
        <v>0</v>
      </c>
      <c r="T371" s="545">
        <f>'Foglio deposito bis'!$F$51*IF(ABS(N371)&lt;'Sollecitazioni nel paramento'!$G$58,ABS(N371)*'Sollecitazioni nel paramento'!$G$54,'Sollecitazioni nel paramento'!$G$53)*IF(N371&lt;0,-1,1)</f>
        <v>240946.49743184328</v>
      </c>
      <c r="U371" s="545">
        <f>'Foglio deposito bis'!$F$52*IF(ABS(O371)&lt;'Sollecitazioni nel paramento'!$G$58,ABS(O371)*'Sollecitazioni nel paramento'!$G$54,'Sollecitazioni nel paramento'!$G$53)*IF(O371&lt;0,-1,1)</f>
        <v>240946.49743184328</v>
      </c>
      <c r="V371" s="472">
        <f t="shared" si="27"/>
        <v>-600247.94632033794</v>
      </c>
      <c r="W371" s="551"/>
      <c r="X371" s="551"/>
    </row>
    <row r="372" spans="1:24" x14ac:dyDescent="0.25">
      <c r="A372" s="545">
        <f t="shared" si="26"/>
        <v>631260.65520207421</v>
      </c>
      <c r="B372" s="3">
        <f t="shared" si="29"/>
        <v>8.4999999999999911</v>
      </c>
      <c r="C372" s="545">
        <f>'Foglio deposito bis'!$E$154/sezione!$B$247*B372</f>
        <v>34.596953237099797</v>
      </c>
      <c r="D372" s="603">
        <f>-'Sollecitazioni nel paramento'!$G$47*'Sollecitazioni nel paramento'!$G$41*IF(DATI!$G$211="dx",DATI!$E$61,DATI!$E$64*DATI!$E$63)*1000*C372^2*sezione!$AD$5*(1-sezione!$AD$6)</f>
        <v>-26630500.830421768</v>
      </c>
      <c r="E372" s="545">
        <f>-'Foglio deposito bis'!$F$48*(C372-sezione!$AL$28)*IF(ABS(K372)&lt;'Sollecitazioni nel paramento'!$G$58,ABS(K372)*'Sollecitazioni nel paramento'!$G$54,'Sollecitazioni nel paramento'!$G$53)</f>
        <v>0</v>
      </c>
      <c r="F372" s="545">
        <f>-'Foglio deposito bis'!$F$49*(C372-sezione!$AM$28)*IF(ABS(L372)&lt;'Sollecitazioni nel paramento'!$G$58,ABS(L372)*'Sollecitazioni nel paramento'!$G$54,'Sollecitazioni nel paramento'!$G$53)</f>
        <v>5204740.7666820819</v>
      </c>
      <c r="G372" s="545">
        <f>-'Foglio deposito bis'!$F$50*(C372-sezione!$AN$28)*IF(ABS(M372)&lt;'Sollecitazioni nel paramento'!$G$58,ABS(M372)*'Sollecitazioni nel paramento'!$G$54,'Sollecitazioni nel paramento'!$G$53)</f>
        <v>0</v>
      </c>
      <c r="H372" s="545">
        <f>-'Foglio deposito bis'!$F$51*(C372-sezione!$AO$28)*IF(ABS(N372)&lt;'Sollecitazioni nel paramento'!$G$58,ABS(N372)*'Sollecitazioni nel paramento'!$G$54,'Sollecitazioni nel paramento'!$G$53)</f>
        <v>30215424.884802457</v>
      </c>
      <c r="I372" s="472">
        <f>-'Foglio deposito bis'!$F$52*(C372-sezione!$AP$28)*IF(ABS(O372)&lt;'Sollecitazioni nel paramento'!$G$58,ABS(O372)*'Sollecitazioni nel paramento'!$G$54,'Sollecitazioni nel paramento'!$G$53)</f>
        <v>54500417.945164815</v>
      </c>
      <c r="J372" s="472">
        <f t="shared" si="25"/>
        <v>63290082.766227588</v>
      </c>
      <c r="K372" s="550">
        <f>'Sollecitazioni nel paramento'!$G$60*(sezione!$AL$28-C372)/C372</f>
        <v>5.4659910485620438E-4</v>
      </c>
      <c r="L372" s="550">
        <f>'Sollecitazioni nel paramento'!$G$60*(sezione!$AM$28-C372)/C372</f>
        <v>2.5698986572843066E-3</v>
      </c>
      <c r="M372" s="551">
        <f>'Sollecitazioni nel paramento'!$G$60*(sezione!$AN$28-C372)/C372</f>
        <v>4.5931982097124086E-3</v>
      </c>
      <c r="N372" s="551">
        <f>'Sollecitazioni nel paramento'!$G$60*(sezione!$AO$28-C372)/C372</f>
        <v>1.2686396419424819E-2</v>
      </c>
      <c r="O372" s="551">
        <f>'Sollecitazioni nel paramento'!$G$60*(sezione!$AP$28-C372)/C372</f>
        <v>2.2882812659849691E-2</v>
      </c>
      <c r="P372" s="545">
        <f>-'Sollecitazioni nel paramento'!$G$47*'Sollecitazioni nel paramento'!$G$41*IF(DATI!$G$211="dx",DATI!$E$61,DATI!$E$64*DATI!$E$63)*1000*C372*sezione!$AD$5</f>
        <v>-1318040.1274737909</v>
      </c>
      <c r="Q372" s="545">
        <f>'Foglio deposito bis'!$F$48*IF(ABS(K372)&lt;'Sollecitazioni nel paramento'!$G$58,ABS(K372)*'Sollecitazioni nel paramento'!$G$54,'Sollecitazioni nel paramento'!$G$53)*IF(K372&lt;0,-1,1)</f>
        <v>0</v>
      </c>
      <c r="R372" s="545">
        <f>'Foglio deposito bis'!$F$49*IF(ABS(L372)&lt;'Sollecitazioni nel paramento'!$G$58,ABS(L372)*'Sollecitazioni nel paramento'!$G$54,'Sollecitazioni nel paramento'!$G$53)*IF(L372&lt;0,-1,1)</f>
        <v>204886.47740803001</v>
      </c>
      <c r="S372" s="545">
        <f>'Foglio deposito bis'!$F$50*IF(ABS(M372)&lt;'Sollecitazioni nel paramento'!$G$58,ABS(M372)*'Sollecitazioni nel paramento'!$G$54,'Sollecitazioni nel paramento'!$G$53)*IF(M372&lt;0,-1,1)</f>
        <v>0</v>
      </c>
      <c r="T372" s="545">
        <f>'Foglio deposito bis'!$F$51*IF(ABS(N372)&lt;'Sollecitazioni nel paramento'!$G$58,ABS(N372)*'Sollecitazioni nel paramento'!$G$54,'Sollecitazioni nel paramento'!$G$53)*IF(N372&lt;0,-1,1)</f>
        <v>240946.49743184328</v>
      </c>
      <c r="U372" s="545">
        <f>'Foglio deposito bis'!$F$52*IF(ABS(O372)&lt;'Sollecitazioni nel paramento'!$G$58,ABS(O372)*'Sollecitazioni nel paramento'!$G$54,'Sollecitazioni nel paramento'!$G$53)*IF(O372&lt;0,-1,1)</f>
        <v>240946.49743184328</v>
      </c>
      <c r="V372" s="472">
        <f t="shared" si="27"/>
        <v>-631260.65520207421</v>
      </c>
      <c r="W372" s="551"/>
      <c r="X372" s="551"/>
    </row>
    <row r="373" spans="1:24" x14ac:dyDescent="0.25">
      <c r="A373" s="545">
        <f t="shared" si="26"/>
        <v>662273.36408381048</v>
      </c>
      <c r="B373" s="3">
        <f t="shared" si="29"/>
        <v>8.6999999999999904</v>
      </c>
      <c r="C373" s="545">
        <f>'Foglio deposito bis'!$E$154/sezione!$B$247*B373</f>
        <v>35.410999195619794</v>
      </c>
      <c r="D373" s="603">
        <f>-'Sollecitazioni nel paramento'!$G$47*'Sollecitazioni nel paramento'!$G$41*IF(DATI!$G$211="dx",DATI!$E$61,DATI!$E$64*DATI!$E$63)*1000*C373^2*sezione!$AD$5*(1-sezione!$AD$6)</f>
        <v>-27898444.399371956</v>
      </c>
      <c r="E373" s="545">
        <f>-'Foglio deposito bis'!$F$48*(C373-sezione!$AL$28)*IF(ABS(K373)&lt;'Sollecitazioni nel paramento'!$G$58,ABS(K373)*'Sollecitazioni nel paramento'!$G$54,'Sollecitazioni nel paramento'!$G$53)</f>
        <v>0</v>
      </c>
      <c r="F373" s="545">
        <f>-'Foglio deposito bis'!$F$49*(C373-sezione!$AM$28)*IF(ABS(L373)&lt;'Sollecitazioni nel paramento'!$G$58,ABS(L373)*'Sollecitazioni nel paramento'!$G$54,'Sollecitazioni nel paramento'!$G$53)</f>
        <v>5037953.7577926768</v>
      </c>
      <c r="G373" s="545">
        <f>-'Foglio deposito bis'!$F$50*(C373-sezione!$AN$28)*IF(ABS(M373)&lt;'Sollecitazioni nel paramento'!$G$58,ABS(M373)*'Sollecitazioni nel paramento'!$G$54,'Sollecitazioni nel paramento'!$G$53)</f>
        <v>0</v>
      </c>
      <c r="H373" s="545">
        <f>-'Foglio deposito bis'!$F$51*(C373-sezione!$AO$28)*IF(ABS(N373)&lt;'Sollecitazioni nel paramento'!$G$58,ABS(N373)*'Sollecitazioni nel paramento'!$G$54,'Sollecitazioni nel paramento'!$G$53)</f>
        <v>30019283.362348516</v>
      </c>
      <c r="I373" s="472">
        <f>-'Foglio deposito bis'!$F$52*(C373-sezione!$AP$28)*IF(ABS(O373)&lt;'Sollecitazioni nel paramento'!$G$58,ABS(O373)*'Sollecitazioni nel paramento'!$G$54,'Sollecitazioni nel paramento'!$G$53)</f>
        <v>54304276.422710873</v>
      </c>
      <c r="J373" s="472">
        <f t="shared" si="25"/>
        <v>61463069.143480107</v>
      </c>
      <c r="K373" s="550">
        <f>'Sollecitazioni nel paramento'!$G$60*(sezione!$AL$28-C373)/C373</f>
        <v>4.5357383807790051E-4</v>
      </c>
      <c r="L373" s="550">
        <f>'Sollecitazioni nel paramento'!$G$60*(sezione!$AM$28-C373)/C373</f>
        <v>2.4303607571168509E-3</v>
      </c>
      <c r="M373" s="551">
        <f>'Sollecitazioni nel paramento'!$G$60*(sezione!$AN$28-C373)/C373</f>
        <v>4.4071476761558008E-3</v>
      </c>
      <c r="N373" s="551">
        <f>'Sollecitazioni nel paramento'!$G$60*(sezione!$AO$28-C373)/C373</f>
        <v>1.2314295352311603E-2</v>
      </c>
      <c r="O373" s="551">
        <f>'Sollecitazioni nel paramento'!$G$60*(sezione!$AP$28-C373)/C373</f>
        <v>2.2276311219393375E-2</v>
      </c>
      <c r="P373" s="545">
        <f>-'Sollecitazioni nel paramento'!$G$47*'Sollecitazioni nel paramento'!$G$41*IF(DATI!$G$211="dx",DATI!$E$61,DATI!$E$64*DATI!$E$63)*1000*C373*sezione!$AD$5</f>
        <v>-1349052.8363555272</v>
      </c>
      <c r="Q373" s="545">
        <f>'Foglio deposito bis'!$F$48*IF(ABS(K373)&lt;'Sollecitazioni nel paramento'!$G$58,ABS(K373)*'Sollecitazioni nel paramento'!$G$54,'Sollecitazioni nel paramento'!$G$53)*IF(K373&lt;0,-1,1)</f>
        <v>0</v>
      </c>
      <c r="R373" s="545">
        <f>'Foglio deposito bis'!$F$49*IF(ABS(L373)&lt;'Sollecitazioni nel paramento'!$G$58,ABS(L373)*'Sollecitazioni nel paramento'!$G$54,'Sollecitazioni nel paramento'!$G$53)*IF(L373&lt;0,-1,1)</f>
        <v>204886.47740803001</v>
      </c>
      <c r="S373" s="545">
        <f>'Foglio deposito bis'!$F$50*IF(ABS(M373)&lt;'Sollecitazioni nel paramento'!$G$58,ABS(M373)*'Sollecitazioni nel paramento'!$G$54,'Sollecitazioni nel paramento'!$G$53)*IF(M373&lt;0,-1,1)</f>
        <v>0</v>
      </c>
      <c r="T373" s="545">
        <f>'Foglio deposito bis'!$F$51*IF(ABS(N373)&lt;'Sollecitazioni nel paramento'!$G$58,ABS(N373)*'Sollecitazioni nel paramento'!$G$54,'Sollecitazioni nel paramento'!$G$53)*IF(N373&lt;0,-1,1)</f>
        <v>240946.49743184328</v>
      </c>
      <c r="U373" s="545">
        <f>'Foglio deposito bis'!$F$52*IF(ABS(O373)&lt;'Sollecitazioni nel paramento'!$G$58,ABS(O373)*'Sollecitazioni nel paramento'!$G$54,'Sollecitazioni nel paramento'!$G$53)*IF(O373&lt;0,-1,1)</f>
        <v>240946.49743184328</v>
      </c>
      <c r="V373" s="472">
        <f t="shared" si="27"/>
        <v>-662273.36408381048</v>
      </c>
      <c r="W373" s="551"/>
      <c r="X373" s="551"/>
    </row>
    <row r="374" spans="1:24" x14ac:dyDescent="0.25">
      <c r="A374" s="545">
        <f t="shared" si="26"/>
        <v>693286.07296554628</v>
      </c>
      <c r="B374" s="3">
        <f t="shared" si="29"/>
        <v>8.8999999999999897</v>
      </c>
      <c r="C374" s="545">
        <f>'Foglio deposito bis'!$E$154/sezione!$B$247*B374</f>
        <v>36.225045154139785</v>
      </c>
      <c r="D374" s="603">
        <f>-'Sollecitazioni nel paramento'!$G$47*'Sollecitazioni nel paramento'!$G$41*IF(DATI!$G$211="dx",DATI!$E$61,DATI!$E$64*DATI!$E$63)*1000*C374^2*sezione!$AD$5*(1-sezione!$AD$6)</f>
        <v>-29195875.028065167</v>
      </c>
      <c r="E374" s="545">
        <f>-'Foglio deposito bis'!$F$48*(C374-sezione!$AL$28)*IF(ABS(K374)&lt;'Sollecitazioni nel paramento'!$G$58,ABS(K374)*'Sollecitazioni nel paramento'!$G$54,'Sollecitazioni nel paramento'!$G$53)</f>
        <v>0</v>
      </c>
      <c r="F374" s="545">
        <f>-'Foglio deposito bis'!$F$49*(C374-sezione!$AM$28)*IF(ABS(L374)&lt;'Sollecitazioni nel paramento'!$G$58,ABS(L374)*'Sollecitazioni nel paramento'!$G$54,'Sollecitazioni nel paramento'!$G$53)</f>
        <v>4871166.7489032727</v>
      </c>
      <c r="G374" s="545">
        <f>-'Foglio deposito bis'!$F$50*(C374-sezione!$AN$28)*IF(ABS(M374)&lt;'Sollecitazioni nel paramento'!$G$58,ABS(M374)*'Sollecitazioni nel paramento'!$G$54,'Sollecitazioni nel paramento'!$G$53)</f>
        <v>0</v>
      </c>
      <c r="H374" s="545">
        <f>-'Foglio deposito bis'!$F$51*(C374-sezione!$AO$28)*IF(ABS(N374)&lt;'Sollecitazioni nel paramento'!$G$58,ABS(N374)*'Sollecitazioni nel paramento'!$G$54,'Sollecitazioni nel paramento'!$G$53)</f>
        <v>29823141.83989457</v>
      </c>
      <c r="I374" s="472">
        <f>-'Foglio deposito bis'!$F$52*(C374-sezione!$AP$28)*IF(ABS(O374)&lt;'Sollecitazioni nel paramento'!$G$58,ABS(O374)*'Sollecitazioni nel paramento'!$G$54,'Sollecitazioni nel paramento'!$G$53)</f>
        <v>54108134.900256932</v>
      </c>
      <c r="J374" s="472">
        <f t="shared" si="25"/>
        <v>59606568.460989609</v>
      </c>
      <c r="K374" s="550">
        <f>'Sollecitazioni nel paramento'!$G$60*(sezione!$AL$28-C374)/C374</f>
        <v>3.6472948216603816E-4</v>
      </c>
      <c r="L374" s="550">
        <f>'Sollecitazioni nel paramento'!$G$60*(sezione!$AM$28-C374)/C374</f>
        <v>2.2970942232490572E-3</v>
      </c>
      <c r="M374" s="551">
        <f>'Sollecitazioni nel paramento'!$G$60*(sezione!$AN$28-C374)/C374</f>
        <v>4.2294589643320762E-3</v>
      </c>
      <c r="N374" s="551">
        <f>'Sollecitazioni nel paramento'!$G$60*(sezione!$AO$28-C374)/C374</f>
        <v>1.1958917928664152E-2</v>
      </c>
      <c r="O374" s="551">
        <f>'Sollecitazioni nel paramento'!$G$60*(sezione!$AP$28-C374)/C374</f>
        <v>2.1697068270642963E-2</v>
      </c>
      <c r="P374" s="545">
        <f>-'Sollecitazioni nel paramento'!$G$47*'Sollecitazioni nel paramento'!$G$41*IF(DATI!$G$211="dx",DATI!$E$61,DATI!$E$64*DATI!$E$63)*1000*C374*sezione!$AD$5</f>
        <v>-1380065.545237263</v>
      </c>
      <c r="Q374" s="545">
        <f>'Foglio deposito bis'!$F$48*IF(ABS(K374)&lt;'Sollecitazioni nel paramento'!$G$58,ABS(K374)*'Sollecitazioni nel paramento'!$G$54,'Sollecitazioni nel paramento'!$G$53)*IF(K374&lt;0,-1,1)</f>
        <v>0</v>
      </c>
      <c r="R374" s="545">
        <f>'Foglio deposito bis'!$F$49*IF(ABS(L374)&lt;'Sollecitazioni nel paramento'!$G$58,ABS(L374)*'Sollecitazioni nel paramento'!$G$54,'Sollecitazioni nel paramento'!$G$53)*IF(L374&lt;0,-1,1)</f>
        <v>204886.47740803001</v>
      </c>
      <c r="S374" s="545">
        <f>'Foglio deposito bis'!$F$50*IF(ABS(M374)&lt;'Sollecitazioni nel paramento'!$G$58,ABS(M374)*'Sollecitazioni nel paramento'!$G$54,'Sollecitazioni nel paramento'!$G$53)*IF(M374&lt;0,-1,1)</f>
        <v>0</v>
      </c>
      <c r="T374" s="545">
        <f>'Foglio deposito bis'!$F$51*IF(ABS(N374)&lt;'Sollecitazioni nel paramento'!$G$58,ABS(N374)*'Sollecitazioni nel paramento'!$G$54,'Sollecitazioni nel paramento'!$G$53)*IF(N374&lt;0,-1,1)</f>
        <v>240946.49743184328</v>
      </c>
      <c r="U374" s="545">
        <f>'Foglio deposito bis'!$F$52*IF(ABS(O374)&lt;'Sollecitazioni nel paramento'!$G$58,ABS(O374)*'Sollecitazioni nel paramento'!$G$54,'Sollecitazioni nel paramento'!$G$53)*IF(O374&lt;0,-1,1)</f>
        <v>240946.49743184328</v>
      </c>
      <c r="V374" s="472">
        <f t="shared" si="27"/>
        <v>-693286.07296554628</v>
      </c>
      <c r="W374" s="551"/>
      <c r="X374" s="551"/>
    </row>
    <row r="375" spans="1:24" x14ac:dyDescent="0.25">
      <c r="A375" s="545">
        <f t="shared" si="26"/>
        <v>724298.78184728255</v>
      </c>
      <c r="B375" s="3">
        <f t="shared" si="29"/>
        <v>9.099999999999989</v>
      </c>
      <c r="C375" s="545">
        <f>'Foglio deposito bis'!$E$154/sezione!$B$247*B375</f>
        <v>37.039091112659776</v>
      </c>
      <c r="D375" s="603">
        <f>-'Sollecitazioni nel paramento'!$G$47*'Sollecitazioni nel paramento'!$G$41*IF(DATI!$G$211="dx",DATI!$E$61,DATI!$E$64*DATI!$E$63)*1000*C375^2*sezione!$AD$5*(1-sezione!$AD$6)</f>
        <v>-30522792.7165014</v>
      </c>
      <c r="E375" s="545">
        <f>-'Foglio deposito bis'!$F$48*(C375-sezione!$AL$28)*IF(ABS(K375)&lt;'Sollecitazioni nel paramento'!$G$58,ABS(K375)*'Sollecitazioni nel paramento'!$G$54,'Sollecitazioni nel paramento'!$G$53)</f>
        <v>0</v>
      </c>
      <c r="F375" s="545">
        <f>-'Foglio deposito bis'!$F$49*(C375-sezione!$AM$28)*IF(ABS(L375)&lt;'Sollecitazioni nel paramento'!$G$58,ABS(L375)*'Sollecitazioni nel paramento'!$G$54,'Sollecitazioni nel paramento'!$G$53)</f>
        <v>4704379.7400138685</v>
      </c>
      <c r="G375" s="545">
        <f>-'Foglio deposito bis'!$F$50*(C375-sezione!$AN$28)*IF(ABS(M375)&lt;'Sollecitazioni nel paramento'!$G$58,ABS(M375)*'Sollecitazioni nel paramento'!$G$54,'Sollecitazioni nel paramento'!$G$53)</f>
        <v>0</v>
      </c>
      <c r="H375" s="545">
        <f>-'Foglio deposito bis'!$F$51*(C375-sezione!$AO$28)*IF(ABS(N375)&lt;'Sollecitazioni nel paramento'!$G$58,ABS(N375)*'Sollecitazioni nel paramento'!$G$54,'Sollecitazioni nel paramento'!$G$53)</f>
        <v>29627000.317440633</v>
      </c>
      <c r="I375" s="472">
        <f>-'Foglio deposito bis'!$F$52*(C375-sezione!$AP$28)*IF(ABS(O375)&lt;'Sollecitazioni nel paramento'!$G$58,ABS(O375)*'Sollecitazioni nel paramento'!$G$54,'Sollecitazioni nel paramento'!$G$53)</f>
        <v>53911993.377802998</v>
      </c>
      <c r="J375" s="472">
        <f t="shared" si="25"/>
        <v>57720580.718756095</v>
      </c>
      <c r="K375" s="550">
        <f>'Sollecitazioni nel paramento'!$G$60*(sezione!$AL$28-C375)/C375</f>
        <v>2.7979037266788389E-4</v>
      </c>
      <c r="L375" s="550">
        <f>'Sollecitazioni nel paramento'!$G$60*(sezione!$AM$28-C375)/C375</f>
        <v>2.1696855590018259E-3</v>
      </c>
      <c r="M375" s="551">
        <f>'Sollecitazioni nel paramento'!$G$60*(sezione!$AN$28-C375)/C375</f>
        <v>4.0595807453357681E-3</v>
      </c>
      <c r="N375" s="551">
        <f>'Sollecitazioni nel paramento'!$G$60*(sezione!$AO$28-C375)/C375</f>
        <v>1.1619161490671536E-2</v>
      </c>
      <c r="O375" s="551">
        <f>'Sollecitazioni nel paramento'!$G$60*(sezione!$AP$28-C375)/C375</f>
        <v>2.1143286550409056E-2</v>
      </c>
      <c r="P375" s="545">
        <f>-'Sollecitazioni nel paramento'!$G$47*'Sollecitazioni nel paramento'!$G$41*IF(DATI!$G$211="dx",DATI!$E$61,DATI!$E$64*DATI!$E$63)*1000*C375*sezione!$AD$5</f>
        <v>-1411078.2541189992</v>
      </c>
      <c r="Q375" s="545">
        <f>'Foglio deposito bis'!$F$48*IF(ABS(K375)&lt;'Sollecitazioni nel paramento'!$G$58,ABS(K375)*'Sollecitazioni nel paramento'!$G$54,'Sollecitazioni nel paramento'!$G$53)*IF(K375&lt;0,-1,1)</f>
        <v>0</v>
      </c>
      <c r="R375" s="545">
        <f>'Foglio deposito bis'!$F$49*IF(ABS(L375)&lt;'Sollecitazioni nel paramento'!$G$58,ABS(L375)*'Sollecitazioni nel paramento'!$G$54,'Sollecitazioni nel paramento'!$G$53)*IF(L375&lt;0,-1,1)</f>
        <v>204886.47740803001</v>
      </c>
      <c r="S375" s="545">
        <f>'Foglio deposito bis'!$F$50*IF(ABS(M375)&lt;'Sollecitazioni nel paramento'!$G$58,ABS(M375)*'Sollecitazioni nel paramento'!$G$54,'Sollecitazioni nel paramento'!$G$53)*IF(M375&lt;0,-1,1)</f>
        <v>0</v>
      </c>
      <c r="T375" s="545">
        <f>'Foglio deposito bis'!$F$51*IF(ABS(N375)&lt;'Sollecitazioni nel paramento'!$G$58,ABS(N375)*'Sollecitazioni nel paramento'!$G$54,'Sollecitazioni nel paramento'!$G$53)*IF(N375&lt;0,-1,1)</f>
        <v>240946.49743184328</v>
      </c>
      <c r="U375" s="545">
        <f>'Foglio deposito bis'!$F$52*IF(ABS(O375)&lt;'Sollecitazioni nel paramento'!$G$58,ABS(O375)*'Sollecitazioni nel paramento'!$G$54,'Sollecitazioni nel paramento'!$G$53)*IF(O375&lt;0,-1,1)</f>
        <v>240946.49743184328</v>
      </c>
      <c r="V375" s="472">
        <f t="shared" si="27"/>
        <v>-724298.78184728255</v>
      </c>
      <c r="W375" s="551"/>
      <c r="X375" s="551"/>
    </row>
    <row r="376" spans="1:24" x14ac:dyDescent="0.25">
      <c r="A376" s="545">
        <f t="shared" si="26"/>
        <v>755311.49072901881</v>
      </c>
      <c r="B376" s="3">
        <f t="shared" si="29"/>
        <v>9.2999999999999883</v>
      </c>
      <c r="C376" s="545">
        <f>'Foglio deposito bis'!$E$154/sezione!$B$247*B376</f>
        <v>37.853137071179773</v>
      </c>
      <c r="D376" s="603">
        <f>-'Sollecitazioni nel paramento'!$G$47*'Sollecitazioni nel paramento'!$G$41*IF(DATI!$G$211="dx",DATI!$E$61,DATI!$E$64*DATI!$E$63)*1000*C376^2*sezione!$AD$5*(1-sezione!$AD$6)</f>
        <v>-31879197.464680672</v>
      </c>
      <c r="E376" s="545">
        <f>-'Foglio deposito bis'!$F$48*(C376-sezione!$AL$28)*IF(ABS(K376)&lt;'Sollecitazioni nel paramento'!$G$58,ABS(K376)*'Sollecitazioni nel paramento'!$G$54,'Sollecitazioni nel paramento'!$G$53)</f>
        <v>0</v>
      </c>
      <c r="F376" s="545">
        <f>-'Foglio deposito bis'!$F$49*(C376-sezione!$AM$28)*IF(ABS(L376)&lt;'Sollecitazioni nel paramento'!$G$58,ABS(L376)*'Sollecitazioni nel paramento'!$G$54,'Sollecitazioni nel paramento'!$G$53)</f>
        <v>4537592.7311244626</v>
      </c>
      <c r="G376" s="545">
        <f>-'Foglio deposito bis'!$F$50*(C376-sezione!$AN$28)*IF(ABS(M376)&lt;'Sollecitazioni nel paramento'!$G$58,ABS(M376)*'Sollecitazioni nel paramento'!$G$54,'Sollecitazioni nel paramento'!$G$53)</f>
        <v>0</v>
      </c>
      <c r="H376" s="545">
        <f>-'Foglio deposito bis'!$F$51*(C376-sezione!$AO$28)*IF(ABS(N376)&lt;'Sollecitazioni nel paramento'!$G$58,ABS(N376)*'Sollecitazioni nel paramento'!$G$54,'Sollecitazioni nel paramento'!$G$53)</f>
        <v>29430858.794986695</v>
      </c>
      <c r="I376" s="472">
        <f>-'Foglio deposito bis'!$F$52*(C376-sezione!$AP$28)*IF(ABS(O376)&lt;'Sollecitazioni nel paramento'!$G$58,ABS(O376)*'Sollecitazioni nel paramento'!$G$54,'Sollecitazioni nel paramento'!$G$53)</f>
        <v>53715851.855349056</v>
      </c>
      <c r="J376" s="472">
        <f t="shared" si="25"/>
        <v>55805105.91677954</v>
      </c>
      <c r="K376" s="550">
        <f>'Sollecitazioni nel paramento'!$G$60*(sezione!$AL$28-C376)/C376</f>
        <v>1.9850455820190764E-4</v>
      </c>
      <c r="L376" s="550">
        <f>'Sollecitazioni nel paramento'!$G$60*(sezione!$AM$28-C376)/C376</f>
        <v>2.0477568373028616E-3</v>
      </c>
      <c r="M376" s="551">
        <f>'Sollecitazioni nel paramento'!$G$60*(sezione!$AN$28-C376)/C376</f>
        <v>3.8970091164038153E-3</v>
      </c>
      <c r="N376" s="551">
        <f>'Sollecitazioni nel paramento'!$G$60*(sezione!$AO$28-C376)/C376</f>
        <v>1.1294018232807632E-2</v>
      </c>
      <c r="O376" s="551">
        <f>'Sollecitazioni nel paramento'!$G$60*(sezione!$AP$28-C376)/C376</f>
        <v>2.0613323398787353E-2</v>
      </c>
      <c r="P376" s="545">
        <f>-'Sollecitazioni nel paramento'!$G$47*'Sollecitazioni nel paramento'!$G$41*IF(DATI!$G$211="dx",DATI!$E$61,DATI!$E$64*DATI!$E$63)*1000*C376*sezione!$AD$5</f>
        <v>-1442090.9630007355</v>
      </c>
      <c r="Q376" s="545">
        <f>'Foglio deposito bis'!$F$48*IF(ABS(K376)&lt;'Sollecitazioni nel paramento'!$G$58,ABS(K376)*'Sollecitazioni nel paramento'!$G$54,'Sollecitazioni nel paramento'!$G$53)*IF(K376&lt;0,-1,1)</f>
        <v>0</v>
      </c>
      <c r="R376" s="545">
        <f>'Foglio deposito bis'!$F$49*IF(ABS(L376)&lt;'Sollecitazioni nel paramento'!$G$58,ABS(L376)*'Sollecitazioni nel paramento'!$G$54,'Sollecitazioni nel paramento'!$G$53)*IF(L376&lt;0,-1,1)</f>
        <v>204886.47740803001</v>
      </c>
      <c r="S376" s="545">
        <f>'Foglio deposito bis'!$F$50*IF(ABS(M376)&lt;'Sollecitazioni nel paramento'!$G$58,ABS(M376)*'Sollecitazioni nel paramento'!$G$54,'Sollecitazioni nel paramento'!$G$53)*IF(M376&lt;0,-1,1)</f>
        <v>0</v>
      </c>
      <c r="T376" s="545">
        <f>'Foglio deposito bis'!$F$51*IF(ABS(N376)&lt;'Sollecitazioni nel paramento'!$G$58,ABS(N376)*'Sollecitazioni nel paramento'!$G$54,'Sollecitazioni nel paramento'!$G$53)*IF(N376&lt;0,-1,1)</f>
        <v>240946.49743184328</v>
      </c>
      <c r="U376" s="545">
        <f>'Foglio deposito bis'!$F$52*IF(ABS(O376)&lt;'Sollecitazioni nel paramento'!$G$58,ABS(O376)*'Sollecitazioni nel paramento'!$G$54,'Sollecitazioni nel paramento'!$G$53)*IF(O376&lt;0,-1,1)</f>
        <v>240946.49743184328</v>
      </c>
      <c r="V376" s="472">
        <f t="shared" si="27"/>
        <v>-755311.49072901881</v>
      </c>
      <c r="W376" s="551"/>
      <c r="X376" s="551"/>
    </row>
    <row r="377" spans="1:24" x14ac:dyDescent="0.25">
      <c r="A377" s="545">
        <f t="shared" si="26"/>
        <v>786324.19961075485</v>
      </c>
      <c r="B377" s="3">
        <f t="shared" si="29"/>
        <v>9.4999999999999876</v>
      </c>
      <c r="C377" s="545">
        <f>'Foglio deposito bis'!$E$154/sezione!$B$247*B377</f>
        <v>38.667183029699764</v>
      </c>
      <c r="D377" s="603">
        <f>-'Sollecitazioni nel paramento'!$G$47*'Sollecitazioni nel paramento'!$G$41*IF(DATI!$G$211="dx",DATI!$E$61,DATI!$E$64*DATI!$E$63)*1000*C377^2*sezione!$AD$5*(1-sezione!$AD$6)</f>
        <v>-33265089.272602957</v>
      </c>
      <c r="E377" s="545">
        <f>-'Foglio deposito bis'!$F$48*(C377-sezione!$AL$28)*IF(ABS(K377)&lt;'Sollecitazioni nel paramento'!$G$58,ABS(K377)*'Sollecitazioni nel paramento'!$G$54,'Sollecitazioni nel paramento'!$G$53)</f>
        <v>0</v>
      </c>
      <c r="F377" s="545">
        <f>-'Foglio deposito bis'!$F$49*(C377-sezione!$AM$28)*IF(ABS(L377)&lt;'Sollecitazioni nel paramento'!$G$58,ABS(L377)*'Sollecitazioni nel paramento'!$G$54,'Sollecitazioni nel paramento'!$G$53)</f>
        <v>4370805.7222350584</v>
      </c>
      <c r="G377" s="545">
        <f>-'Foglio deposito bis'!$F$50*(C377-sezione!$AN$28)*IF(ABS(M377)&lt;'Sollecitazioni nel paramento'!$G$58,ABS(M377)*'Sollecitazioni nel paramento'!$G$54,'Sollecitazioni nel paramento'!$G$53)</f>
        <v>0</v>
      </c>
      <c r="H377" s="545">
        <f>-'Foglio deposito bis'!$F$51*(C377-sezione!$AO$28)*IF(ABS(N377)&lt;'Sollecitazioni nel paramento'!$G$58,ABS(N377)*'Sollecitazioni nel paramento'!$G$54,'Sollecitazioni nel paramento'!$G$53)</f>
        <v>29234717.272532754</v>
      </c>
      <c r="I377" s="472">
        <f>-'Foglio deposito bis'!$F$52*(C377-sezione!$AP$28)*IF(ABS(O377)&lt;'Sollecitazioni nel paramento'!$G$58,ABS(O377)*'Sollecitazioni nel paramento'!$G$54,'Sollecitazioni nel paramento'!$G$53)</f>
        <v>53519710.332895108</v>
      </c>
      <c r="J377" s="472">
        <f t="shared" si="25"/>
        <v>53860144.055059962</v>
      </c>
      <c r="K377" s="550">
        <f>'Sollecitazioni nel paramento'!$G$60*(sezione!$AL$28-C377)/C377</f>
        <v>1.2064130434502581E-4</v>
      </c>
      <c r="L377" s="550">
        <f>'Sollecitazioni nel paramento'!$G$60*(sezione!$AM$28-C377)/C377</f>
        <v>1.9309619565175389E-3</v>
      </c>
      <c r="M377" s="551">
        <f>'Sollecitazioni nel paramento'!$G$60*(sezione!$AN$28-C377)/C377</f>
        <v>3.7412826086900518E-3</v>
      </c>
      <c r="N377" s="551">
        <f>'Sollecitazioni nel paramento'!$G$60*(sezione!$AO$28-C377)/C377</f>
        <v>1.0982565217380103E-2</v>
      </c>
      <c r="O377" s="551">
        <f>'Sollecitazioni nel paramento'!$G$60*(sezione!$AP$28-C377)/C377</f>
        <v>2.0105674485128674E-2</v>
      </c>
      <c r="P377" s="545">
        <f>-'Sollecitazioni nel paramento'!$G$47*'Sollecitazioni nel paramento'!$G$41*IF(DATI!$G$211="dx",DATI!$E$61,DATI!$E$64*DATI!$E$63)*1000*C377*sezione!$AD$5</f>
        <v>-1473103.6718824715</v>
      </c>
      <c r="Q377" s="545">
        <f>'Foglio deposito bis'!$F$48*IF(ABS(K377)&lt;'Sollecitazioni nel paramento'!$G$58,ABS(K377)*'Sollecitazioni nel paramento'!$G$54,'Sollecitazioni nel paramento'!$G$53)*IF(K377&lt;0,-1,1)</f>
        <v>0</v>
      </c>
      <c r="R377" s="545">
        <f>'Foglio deposito bis'!$F$49*IF(ABS(L377)&lt;'Sollecitazioni nel paramento'!$G$58,ABS(L377)*'Sollecitazioni nel paramento'!$G$54,'Sollecitazioni nel paramento'!$G$53)*IF(L377&lt;0,-1,1)</f>
        <v>204886.47740803001</v>
      </c>
      <c r="S377" s="545">
        <f>'Foglio deposito bis'!$F$50*IF(ABS(M377)&lt;'Sollecitazioni nel paramento'!$G$58,ABS(M377)*'Sollecitazioni nel paramento'!$G$54,'Sollecitazioni nel paramento'!$G$53)*IF(M377&lt;0,-1,1)</f>
        <v>0</v>
      </c>
      <c r="T377" s="545">
        <f>'Foglio deposito bis'!$F$51*IF(ABS(N377)&lt;'Sollecitazioni nel paramento'!$G$58,ABS(N377)*'Sollecitazioni nel paramento'!$G$54,'Sollecitazioni nel paramento'!$G$53)*IF(N377&lt;0,-1,1)</f>
        <v>240946.49743184328</v>
      </c>
      <c r="U377" s="545">
        <f>'Foglio deposito bis'!$F$52*IF(ABS(O377)&lt;'Sollecitazioni nel paramento'!$G$58,ABS(O377)*'Sollecitazioni nel paramento'!$G$54,'Sollecitazioni nel paramento'!$G$53)*IF(O377&lt;0,-1,1)</f>
        <v>240946.49743184328</v>
      </c>
      <c r="V377" s="472">
        <f t="shared" si="27"/>
        <v>-786324.19961075485</v>
      </c>
      <c r="W377" s="551"/>
      <c r="X377" s="551"/>
    </row>
    <row r="378" spans="1:24" x14ac:dyDescent="0.25">
      <c r="A378" s="545">
        <f t="shared" si="26"/>
        <v>826025.38917033328</v>
      </c>
      <c r="B378" s="3">
        <f t="shared" si="29"/>
        <v>9.6999999999999869</v>
      </c>
      <c r="C378" s="545">
        <f>'Foglio deposito bis'!$E$154/sezione!$B$247*B378</f>
        <v>39.481228988219762</v>
      </c>
      <c r="D378" s="603">
        <f>-'Sollecitazioni nel paramento'!$G$47*'Sollecitazioni nel paramento'!$G$41*IF(DATI!$G$211="dx",DATI!$E$61,DATI!$E$64*DATI!$E$63)*1000*C378^2*sezione!$AD$5*(1-sezione!$AD$6)</f>
        <v>-34680468.140268281</v>
      </c>
      <c r="E378" s="545">
        <f>-'Foglio deposito bis'!$F$48*(C378-sezione!$AL$28)*IF(ABS(K378)&lt;'Sollecitazioni nel paramento'!$G$58,ABS(K378)*'Sollecitazioni nel paramento'!$G$54,'Sollecitazioni nel paramento'!$G$53)</f>
        <v>0</v>
      </c>
      <c r="F378" s="545">
        <f>-'Foglio deposito bis'!$F$49*(C378-sezione!$AM$28)*IF(ABS(L378)&lt;'Sollecitazioni nel paramento'!$G$58,ABS(L378)*'Sollecitazioni nel paramento'!$G$54,'Sollecitazioni nel paramento'!$G$53)</f>
        <v>4025741.7678767387</v>
      </c>
      <c r="G378" s="545">
        <f>-'Foglio deposito bis'!$F$50*(C378-sezione!$AN$28)*IF(ABS(M378)&lt;'Sollecitazioni nel paramento'!$G$58,ABS(M378)*'Sollecitazioni nel paramento'!$G$54,'Sollecitazioni nel paramento'!$G$53)</f>
        <v>0</v>
      </c>
      <c r="H378" s="545">
        <f>-'Foglio deposito bis'!$F$51*(C378-sezione!$AO$28)*IF(ABS(N378)&lt;'Sollecitazioni nel paramento'!$G$58,ABS(N378)*'Sollecitazioni nel paramento'!$G$54,'Sollecitazioni nel paramento'!$G$53)</f>
        <v>29038575.750078812</v>
      </c>
      <c r="I378" s="472">
        <f>-'Foglio deposito bis'!$F$52*(C378-sezione!$AP$28)*IF(ABS(O378)&lt;'Sollecitazioni nel paramento'!$G$58,ABS(O378)*'Sollecitazioni nel paramento'!$G$54,'Sollecitazioni nel paramento'!$G$53)</f>
        <v>53323568.810441181</v>
      </c>
      <c r="J378" s="472">
        <f t="shared" si="25"/>
        <v>51707418.188128449</v>
      </c>
      <c r="K378" s="550">
        <f>'Sollecitazioni nel paramento'!$G$60*(sezione!$AL$28-C378)/C378</f>
        <v>4.5988906317293059E-5</v>
      </c>
      <c r="L378" s="550">
        <f>'Sollecitazioni nel paramento'!$G$60*(sezione!$AM$28-C378)/C378</f>
        <v>1.8189833594759396E-3</v>
      </c>
      <c r="M378" s="551">
        <f>'Sollecitazioni nel paramento'!$G$60*(sezione!$AN$28-C378)/C378</f>
        <v>3.591977812634586E-3</v>
      </c>
      <c r="N378" s="551">
        <f>'Sollecitazioni nel paramento'!$G$60*(sezione!$AO$28-C378)/C378</f>
        <v>1.0683955625269173E-2</v>
      </c>
      <c r="O378" s="551">
        <f>'Sollecitazioni nel paramento'!$G$60*(sezione!$AP$28-C378)/C378</f>
        <v>1.9618959547290971E-2</v>
      </c>
      <c r="P378" s="545">
        <f>-'Sollecitazioni nel paramento'!$G$47*'Sollecitazioni nel paramento'!$G$41*IF(DATI!$G$211="dx",DATI!$E$61,DATI!$E$64*DATI!$E$63)*1000*C378*sezione!$AD$5</f>
        <v>-1504116.380764208</v>
      </c>
      <c r="Q378" s="545">
        <f>'Foglio deposito bis'!$F$48*IF(ABS(K378)&lt;'Sollecitazioni nel paramento'!$G$58,ABS(K378)*'Sollecitazioni nel paramento'!$G$54,'Sollecitazioni nel paramento'!$G$53)*IF(K378&lt;0,-1,1)</f>
        <v>0</v>
      </c>
      <c r="R378" s="545">
        <f>'Foglio deposito bis'!$F$49*IF(ABS(L378)&lt;'Sollecitazioni nel paramento'!$G$58,ABS(L378)*'Sollecitazioni nel paramento'!$G$54,'Sollecitazioni nel paramento'!$G$53)*IF(L378&lt;0,-1,1)</f>
        <v>196197.99673018817</v>
      </c>
      <c r="S378" s="545">
        <f>'Foglio deposito bis'!$F$50*IF(ABS(M378)&lt;'Sollecitazioni nel paramento'!$G$58,ABS(M378)*'Sollecitazioni nel paramento'!$G$54,'Sollecitazioni nel paramento'!$G$53)*IF(M378&lt;0,-1,1)</f>
        <v>0</v>
      </c>
      <c r="T378" s="545">
        <f>'Foglio deposito bis'!$F$51*IF(ABS(N378)&lt;'Sollecitazioni nel paramento'!$G$58,ABS(N378)*'Sollecitazioni nel paramento'!$G$54,'Sollecitazioni nel paramento'!$G$53)*IF(N378&lt;0,-1,1)</f>
        <v>240946.49743184328</v>
      </c>
      <c r="U378" s="545">
        <f>'Foglio deposito bis'!$F$52*IF(ABS(O378)&lt;'Sollecitazioni nel paramento'!$G$58,ABS(O378)*'Sollecitazioni nel paramento'!$G$54,'Sollecitazioni nel paramento'!$G$53)*IF(O378&lt;0,-1,1)</f>
        <v>240946.49743184328</v>
      </c>
      <c r="V378" s="472">
        <f t="shared" si="27"/>
        <v>-826025.38917033328</v>
      </c>
      <c r="W378" s="551"/>
      <c r="X378" s="551"/>
    </row>
    <row r="379" spans="1:24" x14ac:dyDescent="0.25">
      <c r="A379" s="545">
        <f t="shared" si="26"/>
        <v>868628.25388917141</v>
      </c>
      <c r="B379" s="3">
        <f t="shared" si="29"/>
        <v>9.8999999999999861</v>
      </c>
      <c r="C379" s="545">
        <f>'Foglio deposito bis'!$E$154/sezione!$B$247*B379</f>
        <v>40.295274946739752</v>
      </c>
      <c r="D379" s="603">
        <f>-'Sollecitazioni nel paramento'!$G$47*'Sollecitazioni nel paramento'!$G$41*IF(DATI!$G$211="dx",DATI!$E$61,DATI!$E$64*DATI!$E$63)*1000*C379^2*sezione!$AD$5*(1-sezione!$AD$6)</f>
        <v>-36125334.067676626</v>
      </c>
      <c r="E379" s="545">
        <f>-'Foglio deposito bis'!$F$48*(C379-sezione!$AL$28)*IF(ABS(K379)&lt;'Sollecitazioni nel paramento'!$G$58,ABS(K379)*'Sollecitazioni nel paramento'!$G$54,'Sollecitazioni nel paramento'!$G$53)</f>
        <v>0</v>
      </c>
      <c r="F379" s="545">
        <f>-'Foglio deposito bis'!$F$49*(C379-sezione!$AM$28)*IF(ABS(L379)&lt;'Sollecitazioni nel paramento'!$G$58,ABS(L379)*'Sollecitazioni nel paramento'!$G$54,'Sollecitazioni nel paramento'!$G$53)</f>
        <v>3637646.7474742727</v>
      </c>
      <c r="G379" s="545">
        <f>-'Foglio deposito bis'!$F$50*(C379-sezione!$AN$28)*IF(ABS(M379)&lt;'Sollecitazioni nel paramento'!$G$58,ABS(M379)*'Sollecitazioni nel paramento'!$G$54,'Sollecitazioni nel paramento'!$G$53)</f>
        <v>0</v>
      </c>
      <c r="H379" s="545">
        <f>-'Foglio deposito bis'!$F$51*(C379-sezione!$AO$28)*IF(ABS(N379)&lt;'Sollecitazioni nel paramento'!$G$58,ABS(N379)*'Sollecitazioni nel paramento'!$G$54,'Sollecitazioni nel paramento'!$G$53)</f>
        <v>28842434.227624875</v>
      </c>
      <c r="I379" s="472">
        <f>-'Foglio deposito bis'!$F$52*(C379-sezione!$AP$28)*IF(ABS(O379)&lt;'Sollecitazioni nel paramento'!$G$58,ABS(O379)*'Sollecitazioni nel paramento'!$G$54,'Sollecitazioni nel paramento'!$G$53)</f>
        <v>53127427.287987232</v>
      </c>
      <c r="J379" s="472">
        <f t="shared" si="25"/>
        <v>49482174.195409752</v>
      </c>
      <c r="K379" s="550">
        <f>'Sollecitazioni nel paramento'!$G$60*(sezione!$AL$28-C379)/C379</f>
        <v>-2.5647233204268027E-5</v>
      </c>
      <c r="L379" s="550">
        <f>'Sollecitazioni nel paramento'!$G$60*(sezione!$AM$28-C379)/C379</f>
        <v>1.7115291501935981E-3</v>
      </c>
      <c r="M379" s="551">
        <f>'Sollecitazioni nel paramento'!$G$60*(sezione!$AN$28-C379)/C379</f>
        <v>3.4487055335914642E-3</v>
      </c>
      <c r="N379" s="551">
        <f>'Sollecitazioni nel paramento'!$G$60*(sezione!$AO$28-C379)/C379</f>
        <v>1.0397411067182928E-2</v>
      </c>
      <c r="O379" s="551">
        <f>'Sollecitazioni nel paramento'!$G$60*(sezione!$AP$28-C379)/C379</f>
        <v>1.9151909859466913E-2</v>
      </c>
      <c r="P379" s="545">
        <f>-'Sollecitazioni nel paramento'!$G$47*'Sollecitazioni nel paramento'!$G$41*IF(DATI!$G$211="dx",DATI!$E$61,DATI!$E$64*DATI!$E$63)*1000*C379*sezione!$AD$5</f>
        <v>-1535129.0896459441</v>
      </c>
      <c r="Q379" s="545">
        <f>'Foglio deposito bis'!$F$48*IF(ABS(K379)&lt;'Sollecitazioni nel paramento'!$G$58,ABS(K379)*'Sollecitazioni nel paramento'!$G$54,'Sollecitazioni nel paramento'!$G$53)*IF(K379&lt;0,-1,1)</f>
        <v>0</v>
      </c>
      <c r="R379" s="545">
        <f>'Foglio deposito bis'!$F$49*IF(ABS(L379)&lt;'Sollecitazioni nel paramento'!$G$58,ABS(L379)*'Sollecitazioni nel paramento'!$G$54,'Sollecitazioni nel paramento'!$G$53)*IF(L379&lt;0,-1,1)</f>
        <v>184607.84089308596</v>
      </c>
      <c r="S379" s="545">
        <f>'Foglio deposito bis'!$F$50*IF(ABS(M379)&lt;'Sollecitazioni nel paramento'!$G$58,ABS(M379)*'Sollecitazioni nel paramento'!$G$54,'Sollecitazioni nel paramento'!$G$53)*IF(M379&lt;0,-1,1)</f>
        <v>0</v>
      </c>
      <c r="T379" s="545">
        <f>'Foglio deposito bis'!$F$51*IF(ABS(N379)&lt;'Sollecitazioni nel paramento'!$G$58,ABS(N379)*'Sollecitazioni nel paramento'!$G$54,'Sollecitazioni nel paramento'!$G$53)*IF(N379&lt;0,-1,1)</f>
        <v>240946.49743184328</v>
      </c>
      <c r="U379" s="545">
        <f>'Foglio deposito bis'!$F$52*IF(ABS(O379)&lt;'Sollecitazioni nel paramento'!$G$58,ABS(O379)*'Sollecitazioni nel paramento'!$G$54,'Sollecitazioni nel paramento'!$G$53)*IF(O379&lt;0,-1,1)</f>
        <v>240946.49743184328</v>
      </c>
      <c r="V379" s="472">
        <f t="shared" si="27"/>
        <v>-868628.25388917141</v>
      </c>
      <c r="W379" s="551"/>
      <c r="X379" s="551"/>
    </row>
    <row r="380" spans="1:24" x14ac:dyDescent="0.25">
      <c r="A380" s="545">
        <f t="shared" si="26"/>
        <v>910772.10253525316</v>
      </c>
      <c r="B380" s="3">
        <f t="shared" si="29"/>
        <v>10.099999999999985</v>
      </c>
      <c r="C380" s="545">
        <f>'Foglio deposito bis'!$E$154/sezione!$B$247*B380</f>
        <v>41.109320905259743</v>
      </c>
      <c r="D380" s="603">
        <f>-'Sollecitazioni nel paramento'!$G$47*'Sollecitazioni nel paramento'!$G$41*IF(DATI!$G$211="dx",DATI!$E$61,DATI!$E$64*DATI!$E$63)*1000*C380^2*sezione!$AD$5*(1-sezione!$AD$6)</f>
        <v>-37599687.054827996</v>
      </c>
      <c r="E380" s="545">
        <f>-'Foglio deposito bis'!$F$48*(C380-sezione!$AL$28)*IF(ABS(K380)&lt;'Sollecitazioni nel paramento'!$G$58,ABS(K380)*'Sollecitazioni nel paramento'!$G$54,'Sollecitazioni nel paramento'!$G$53)</f>
        <v>0</v>
      </c>
      <c r="F380" s="545">
        <f>-'Foglio deposito bis'!$F$49*(C380-sezione!$AM$28)*IF(ABS(L380)&lt;'Sollecitazioni nel paramento'!$G$58,ABS(L380)*'Sollecitazioni nel paramento'!$G$54,'Sollecitazioni nel paramento'!$G$53)</f>
        <v>3277092.6914371974</v>
      </c>
      <c r="G380" s="545">
        <f>-'Foglio deposito bis'!$F$50*(C380-sezione!$AN$28)*IF(ABS(M380)&lt;'Sollecitazioni nel paramento'!$G$58,ABS(M380)*'Sollecitazioni nel paramento'!$G$54,'Sollecitazioni nel paramento'!$G$53)</f>
        <v>0</v>
      </c>
      <c r="H380" s="545">
        <f>-'Foglio deposito bis'!$F$51*(C380-sezione!$AO$28)*IF(ABS(N380)&lt;'Sollecitazioni nel paramento'!$G$58,ABS(N380)*'Sollecitazioni nel paramento'!$G$54,'Sollecitazioni nel paramento'!$G$53)</f>
        <v>28646292.705170933</v>
      </c>
      <c r="I380" s="472">
        <f>-'Foglio deposito bis'!$F$52*(C380-sezione!$AP$28)*IF(ABS(O380)&lt;'Sollecitazioni nel paramento'!$G$58,ABS(O380)*'Sollecitazioni nel paramento'!$G$54,'Sollecitazioni nel paramento'!$G$53)</f>
        <v>52931285.765533291</v>
      </c>
      <c r="J380" s="472">
        <f t="shared" si="25"/>
        <v>47254984.107313424</v>
      </c>
      <c r="K380" s="550">
        <f>'Sollecitazioni nel paramento'!$G$60*(sezione!$AL$28-C380)/C380</f>
        <v>-9.4446297893292075E-5</v>
      </c>
      <c r="L380" s="550">
        <f>'Sollecitazioni nel paramento'!$G$60*(sezione!$AM$28-C380)/C380</f>
        <v>1.6083305531600619E-3</v>
      </c>
      <c r="M380" s="551">
        <f>'Sollecitazioni nel paramento'!$G$60*(sezione!$AN$28-C380)/C380</f>
        <v>3.3111074042134155E-3</v>
      </c>
      <c r="N380" s="551">
        <f>'Sollecitazioni nel paramento'!$G$60*(sezione!$AO$28-C380)/C380</f>
        <v>1.0122214808426832E-2</v>
      </c>
      <c r="O380" s="551">
        <f>'Sollecitazioni nel paramento'!$G$60*(sezione!$AP$28-C380)/C380</f>
        <v>1.870335718898242E-2</v>
      </c>
      <c r="P380" s="545">
        <f>-'Sollecitazioni nel paramento'!$G$47*'Sollecitazioni nel paramento'!$G$41*IF(DATI!$G$211="dx",DATI!$E$61,DATI!$E$64*DATI!$E$63)*1000*C380*sezione!$AD$5</f>
        <v>-1566141.7985276801</v>
      </c>
      <c r="Q380" s="545">
        <f>'Foglio deposito bis'!$F$48*IF(ABS(K380)&lt;'Sollecitazioni nel paramento'!$G$58,ABS(K380)*'Sollecitazioni nel paramento'!$G$54,'Sollecitazioni nel paramento'!$G$53)*IF(K380&lt;0,-1,1)</f>
        <v>0</v>
      </c>
      <c r="R380" s="545">
        <f>'Foglio deposito bis'!$F$49*IF(ABS(L380)&lt;'Sollecitazioni nel paramento'!$G$58,ABS(L380)*'Sollecitazioni nel paramento'!$G$54,'Sollecitazioni nel paramento'!$G$53)*IF(L380&lt;0,-1,1)</f>
        <v>173476.70112874027</v>
      </c>
      <c r="S380" s="545">
        <f>'Foglio deposito bis'!$F$50*IF(ABS(M380)&lt;'Sollecitazioni nel paramento'!$G$58,ABS(M380)*'Sollecitazioni nel paramento'!$G$54,'Sollecitazioni nel paramento'!$G$53)*IF(M380&lt;0,-1,1)</f>
        <v>0</v>
      </c>
      <c r="T380" s="545">
        <f>'Foglio deposito bis'!$F$51*IF(ABS(N380)&lt;'Sollecitazioni nel paramento'!$G$58,ABS(N380)*'Sollecitazioni nel paramento'!$G$54,'Sollecitazioni nel paramento'!$G$53)*IF(N380&lt;0,-1,1)</f>
        <v>240946.49743184328</v>
      </c>
      <c r="U380" s="545">
        <f>'Foglio deposito bis'!$F$52*IF(ABS(O380)&lt;'Sollecitazioni nel paramento'!$G$58,ABS(O380)*'Sollecitazioni nel paramento'!$G$54,'Sollecitazioni nel paramento'!$G$53)*IF(O380&lt;0,-1,1)</f>
        <v>240946.49743184328</v>
      </c>
      <c r="V380" s="472">
        <f t="shared" si="27"/>
        <v>-910772.10253525316</v>
      </c>
      <c r="W380" s="551"/>
      <c r="X380" s="551"/>
    </row>
    <row r="381" spans="1:24" x14ac:dyDescent="0.25">
      <c r="A381" s="545">
        <f t="shared" si="26"/>
        <v>952483.67390893376</v>
      </c>
      <c r="B381" s="3">
        <f t="shared" si="29"/>
        <v>10.299999999999985</v>
      </c>
      <c r="C381" s="545">
        <f>'Foglio deposito bis'!$E$154/sezione!$B$247*B381</f>
        <v>41.923366863779741</v>
      </c>
      <c r="D381" s="603">
        <f>-'Sollecitazioni nel paramento'!$G$47*'Sollecitazioni nel paramento'!$G$41*IF(DATI!$G$211="dx",DATI!$E$61,DATI!$E$64*DATI!$E$63)*1000*C381^2*sezione!$AD$5*(1-sezione!$AD$6)</f>
        <v>-39103527.101722404</v>
      </c>
      <c r="E381" s="545">
        <f>-'Foglio deposito bis'!$F$48*(C381-sezione!$AL$28)*IF(ABS(K381)&lt;'Sollecitazioni nel paramento'!$G$58,ABS(K381)*'Sollecitazioni nel paramento'!$G$54,'Sollecitazioni nel paramento'!$G$53)</f>
        <v>0</v>
      </c>
      <c r="F381" s="545">
        <f>-'Foglio deposito bis'!$F$49*(C381-sezione!$AM$28)*IF(ABS(L381)&lt;'Sollecitazioni nel paramento'!$G$58,ABS(L381)*'Sollecitazioni nel paramento'!$G$54,'Sollecitazioni nel paramento'!$G$53)</f>
        <v>2942475.2717442256</v>
      </c>
      <c r="G381" s="545">
        <f>-'Foglio deposito bis'!$F$50*(C381-sezione!$AN$28)*IF(ABS(M381)&lt;'Sollecitazioni nel paramento'!$G$58,ABS(M381)*'Sollecitazioni nel paramento'!$G$54,'Sollecitazioni nel paramento'!$G$53)</f>
        <v>0</v>
      </c>
      <c r="H381" s="545">
        <f>-'Foglio deposito bis'!$F$51*(C381-sezione!$AO$28)*IF(ABS(N381)&lt;'Sollecitazioni nel paramento'!$G$58,ABS(N381)*'Sollecitazioni nel paramento'!$G$54,'Sollecitazioni nel paramento'!$G$53)</f>
        <v>28450151.182716995</v>
      </c>
      <c r="I381" s="472">
        <f>-'Foglio deposito bis'!$F$52*(C381-sezione!$AP$28)*IF(ABS(O381)&lt;'Sollecitazioni nel paramento'!$G$58,ABS(O381)*'Sollecitazioni nel paramento'!$G$54,'Sollecitazioni nel paramento'!$G$53)</f>
        <v>52735144.243079357</v>
      </c>
      <c r="J381" s="472">
        <f t="shared" ref="J381:J444" si="30">D381+E381+F381+G381+H381+I381</f>
        <v>45024243.595818177</v>
      </c>
      <c r="K381" s="550">
        <f>'Sollecitazioni nel paramento'!$G$60*(sezione!$AL$28-C381)/C381</f>
        <v>-1.6057355424487884E-4</v>
      </c>
      <c r="L381" s="550">
        <f>'Sollecitazioni nel paramento'!$G$60*(sezione!$AM$28-C381)/C381</f>
        <v>1.5091396686326816E-3</v>
      </c>
      <c r="M381" s="551">
        <f>'Sollecitazioni nel paramento'!$G$60*(sezione!$AN$28-C381)/C381</f>
        <v>3.1788528915102422E-3</v>
      </c>
      <c r="N381" s="551">
        <f>'Sollecitazioni nel paramento'!$G$60*(sezione!$AO$28-C381)/C381</f>
        <v>9.8577057830204848E-3</v>
      </c>
      <c r="O381" s="551">
        <f>'Sollecitazioni nel paramento'!$G$60*(sezione!$AP$28-C381)/C381</f>
        <v>1.8272224039681793E-2</v>
      </c>
      <c r="P381" s="545">
        <f>-'Sollecitazioni nel paramento'!$G$47*'Sollecitazioni nel paramento'!$G$41*IF(DATI!$G$211="dx",DATI!$E$61,DATI!$E$64*DATI!$E$63)*1000*C381*sezione!$AD$5</f>
        <v>-1597154.5074094166</v>
      </c>
      <c r="Q381" s="545">
        <f>'Foglio deposito bis'!$F$48*IF(ABS(K381)&lt;'Sollecitazioni nel paramento'!$G$58,ABS(K381)*'Sollecitazioni nel paramento'!$G$54,'Sollecitazioni nel paramento'!$G$53)*IF(K381&lt;0,-1,1)</f>
        <v>0</v>
      </c>
      <c r="R381" s="545">
        <f>'Foglio deposito bis'!$F$49*IF(ABS(L381)&lt;'Sollecitazioni nel paramento'!$G$58,ABS(L381)*'Sollecitazioni nel paramento'!$G$54,'Sollecitazioni nel paramento'!$G$53)*IF(L381&lt;0,-1,1)</f>
        <v>162777.83863679628</v>
      </c>
      <c r="S381" s="545">
        <f>'Foglio deposito bis'!$F$50*IF(ABS(M381)&lt;'Sollecitazioni nel paramento'!$G$58,ABS(M381)*'Sollecitazioni nel paramento'!$G$54,'Sollecitazioni nel paramento'!$G$53)*IF(M381&lt;0,-1,1)</f>
        <v>0</v>
      </c>
      <c r="T381" s="545">
        <f>'Foglio deposito bis'!$F$51*IF(ABS(N381)&lt;'Sollecitazioni nel paramento'!$G$58,ABS(N381)*'Sollecitazioni nel paramento'!$G$54,'Sollecitazioni nel paramento'!$G$53)*IF(N381&lt;0,-1,1)</f>
        <v>240946.49743184328</v>
      </c>
      <c r="U381" s="545">
        <f>'Foglio deposito bis'!$F$52*IF(ABS(O381)&lt;'Sollecitazioni nel paramento'!$G$58,ABS(O381)*'Sollecitazioni nel paramento'!$G$54,'Sollecitazioni nel paramento'!$G$53)*IF(O381&lt;0,-1,1)</f>
        <v>240946.49743184328</v>
      </c>
      <c r="V381" s="472">
        <f t="shared" si="27"/>
        <v>-952483.67390893376</v>
      </c>
      <c r="W381" s="551"/>
      <c r="X381" s="551"/>
    </row>
    <row r="382" spans="1:24" x14ac:dyDescent="0.25">
      <c r="A382" s="545">
        <f t="shared" ref="A382:A445" si="31">ABS(V382)</f>
        <v>993787.66956863459</v>
      </c>
      <c r="B382" s="3">
        <f t="shared" si="29"/>
        <v>10.499999999999984</v>
      </c>
      <c r="C382" s="545">
        <f>'Foglio deposito bis'!$E$154/sezione!$B$247*B382</f>
        <v>42.737412822299731</v>
      </c>
      <c r="D382" s="603">
        <f>-'Sollecitazioni nel paramento'!$G$47*'Sollecitazioni nel paramento'!$G$41*IF(DATI!$G$211="dx",DATI!$E$61,DATI!$E$64*DATI!$E$63)*1000*C382^2*sezione!$AD$5*(1-sezione!$AD$6)</f>
        <v>-40636854.20835983</v>
      </c>
      <c r="E382" s="545">
        <f>-'Foglio deposito bis'!$F$48*(C382-sezione!$AL$28)*IF(ABS(K382)&lt;'Sollecitazioni nel paramento'!$G$58,ABS(K382)*'Sollecitazioni nel paramento'!$G$54,'Sollecitazioni nel paramento'!$G$53)</f>
        <v>0</v>
      </c>
      <c r="F382" s="545">
        <f>-'Foglio deposito bis'!$F$49*(C382-sezione!$AM$28)*IF(ABS(L382)&lt;'Sollecitazioni nel paramento'!$G$58,ABS(L382)*'Sollecitazioni nel paramento'!$G$54,'Sollecitazioni nel paramento'!$G$53)</f>
        <v>2632312.3948899871</v>
      </c>
      <c r="G382" s="545">
        <f>-'Foglio deposito bis'!$F$50*(C382-sezione!$AN$28)*IF(ABS(M382)&lt;'Sollecitazioni nel paramento'!$G$58,ABS(M382)*'Sollecitazioni nel paramento'!$G$54,'Sollecitazioni nel paramento'!$G$53)</f>
        <v>0</v>
      </c>
      <c r="H382" s="545">
        <f>-'Foglio deposito bis'!$F$51*(C382-sezione!$AO$28)*IF(ABS(N382)&lt;'Sollecitazioni nel paramento'!$G$58,ABS(N382)*'Sollecitazioni nel paramento'!$G$54,'Sollecitazioni nel paramento'!$G$53)</f>
        <v>28254009.660263058</v>
      </c>
      <c r="I382" s="472">
        <f>-'Foglio deposito bis'!$F$52*(C382-sezione!$AP$28)*IF(ABS(O382)&lt;'Sollecitazioni nel paramento'!$G$58,ABS(O382)*'Sollecitazioni nel paramento'!$G$54,'Sollecitazioni nel paramento'!$G$53)</f>
        <v>52539002.720625415</v>
      </c>
      <c r="J382" s="472">
        <f t="shared" si="30"/>
        <v>42788470.567418635</v>
      </c>
      <c r="K382" s="550">
        <f>'Sollecitazioni nel paramento'!$G$60*(sezione!$AL$28-C382)/C382</f>
        <v>-2.2418167702116653E-4</v>
      </c>
      <c r="L382" s="550">
        <f>'Sollecitazioni nel paramento'!$G$60*(sezione!$AM$28-C382)/C382</f>
        <v>1.4137274844682503E-3</v>
      </c>
      <c r="M382" s="551">
        <f>'Sollecitazioni nel paramento'!$G$60*(sezione!$AN$28-C382)/C382</f>
        <v>3.0516366459576675E-3</v>
      </c>
      <c r="N382" s="551">
        <f>'Sollecitazioni nel paramento'!$G$60*(sezione!$AO$28-C382)/C382</f>
        <v>9.6032732919153329E-3</v>
      </c>
      <c r="O382" s="551">
        <f>'Sollecitazioni nel paramento'!$G$60*(sezione!$AP$28-C382)/C382</f>
        <v>1.7857515010354517E-2</v>
      </c>
      <c r="P382" s="545">
        <f>-'Sollecitazioni nel paramento'!$G$47*'Sollecitazioni nel paramento'!$G$41*IF(DATI!$G$211="dx",DATI!$E$61,DATI!$E$64*DATI!$E$63)*1000*C382*sezione!$AD$5</f>
        <v>-1628167.2162911524</v>
      </c>
      <c r="Q382" s="545">
        <f>'Foglio deposito bis'!$F$48*IF(ABS(K382)&lt;'Sollecitazioni nel paramento'!$G$58,ABS(K382)*'Sollecitazioni nel paramento'!$G$54,'Sollecitazioni nel paramento'!$G$53)*IF(K382&lt;0,-1,1)</f>
        <v>0</v>
      </c>
      <c r="R382" s="545">
        <f>'Foglio deposito bis'!$F$49*IF(ABS(L382)&lt;'Sollecitazioni nel paramento'!$G$58,ABS(L382)*'Sollecitazioni nel paramento'!$G$54,'Sollecitazioni nel paramento'!$G$53)*IF(L382&lt;0,-1,1)</f>
        <v>152486.55185883123</v>
      </c>
      <c r="S382" s="545">
        <f>'Foglio deposito bis'!$F$50*IF(ABS(M382)&lt;'Sollecitazioni nel paramento'!$G$58,ABS(M382)*'Sollecitazioni nel paramento'!$G$54,'Sollecitazioni nel paramento'!$G$53)*IF(M382&lt;0,-1,1)</f>
        <v>0</v>
      </c>
      <c r="T382" s="545">
        <f>'Foglio deposito bis'!$F$51*IF(ABS(N382)&lt;'Sollecitazioni nel paramento'!$G$58,ABS(N382)*'Sollecitazioni nel paramento'!$G$54,'Sollecitazioni nel paramento'!$G$53)*IF(N382&lt;0,-1,1)</f>
        <v>240946.49743184328</v>
      </c>
      <c r="U382" s="545">
        <f>'Foglio deposito bis'!$F$52*IF(ABS(O382)&lt;'Sollecitazioni nel paramento'!$G$58,ABS(O382)*'Sollecitazioni nel paramento'!$G$54,'Sollecitazioni nel paramento'!$G$53)*IF(O382&lt;0,-1,1)</f>
        <v>240946.49743184328</v>
      </c>
      <c r="V382" s="472">
        <f t="shared" ref="V382:V445" si="32">P382+Q382+R382+S382+T382+U382</f>
        <v>-993787.66956863459</v>
      </c>
      <c r="W382" s="551"/>
      <c r="X382" s="551"/>
    </row>
    <row r="383" spans="1:24" x14ac:dyDescent="0.25">
      <c r="A383" s="545">
        <f t="shared" si="31"/>
        <v>1034706.9442272906</v>
      </c>
      <c r="B383" s="3">
        <f t="shared" si="29"/>
        <v>10.699999999999983</v>
      </c>
      <c r="C383" s="545">
        <f>'Foglio deposito bis'!$E$154/sezione!$B$247*B383</f>
        <v>43.551458780819722</v>
      </c>
      <c r="D383" s="603">
        <f>-'Sollecitazioni nel paramento'!$G$47*'Sollecitazioni nel paramento'!$G$41*IF(DATI!$G$211="dx",DATI!$E$61,DATI!$E$64*DATI!$E$63)*1000*C383^2*sezione!$AD$5*(1-sezione!$AD$6)</f>
        <v>-42199668.374740273</v>
      </c>
      <c r="E383" s="545">
        <f>-'Foglio deposito bis'!$F$48*(C383-sezione!$AL$28)*IF(ABS(K383)&lt;'Sollecitazioni nel paramento'!$G$58,ABS(K383)*'Sollecitazioni nel paramento'!$G$54,'Sollecitazioni nel paramento'!$G$53)</f>
        <v>0</v>
      </c>
      <c r="F383" s="545">
        <f>-'Foglio deposito bis'!$F$49*(C383-sezione!$AM$28)*IF(ABS(L383)&lt;'Sollecitazioni nel paramento'!$G$58,ABS(L383)*'Sollecitazioni nel paramento'!$G$54,'Sollecitazioni nel paramento'!$G$53)</f>
        <v>2345232.7780984719</v>
      </c>
      <c r="G383" s="545">
        <f>-'Foglio deposito bis'!$F$50*(C383-sezione!$AN$28)*IF(ABS(M383)&lt;'Sollecitazioni nel paramento'!$G$58,ABS(M383)*'Sollecitazioni nel paramento'!$G$54,'Sollecitazioni nel paramento'!$G$53)</f>
        <v>0</v>
      </c>
      <c r="H383" s="545">
        <f>-'Foglio deposito bis'!$F$51*(C383-sezione!$AO$28)*IF(ABS(N383)&lt;'Sollecitazioni nel paramento'!$G$58,ABS(N383)*'Sollecitazioni nel paramento'!$G$54,'Sollecitazioni nel paramento'!$G$53)</f>
        <v>28057868.137809113</v>
      </c>
      <c r="I383" s="472">
        <f>-'Foglio deposito bis'!$F$52*(C383-sezione!$AP$28)*IF(ABS(O383)&lt;'Sollecitazioni nel paramento'!$G$58,ABS(O383)*'Sollecitazioni nel paramento'!$G$54,'Sollecitazioni nel paramento'!$G$53)</f>
        <v>52342861.198171474</v>
      </c>
      <c r="J383" s="472">
        <f t="shared" si="30"/>
        <v>40546293.739338785</v>
      </c>
      <c r="K383" s="550">
        <f>'Sollecitazioni nel paramento'!$G$60*(sezione!$AL$28-C383)/C383</f>
        <v>-2.8541192604880801E-4</v>
      </c>
      <c r="L383" s="550">
        <f>'Sollecitazioni nel paramento'!$G$60*(sezione!$AM$28-C383)/C383</f>
        <v>1.3218821109267881E-3</v>
      </c>
      <c r="M383" s="551">
        <f>'Sollecitazioni nel paramento'!$G$60*(sezione!$AN$28-C383)/C383</f>
        <v>2.9291761479023843E-3</v>
      </c>
      <c r="N383" s="551">
        <f>'Sollecitazioni nel paramento'!$G$60*(sezione!$AO$28-C383)/C383</f>
        <v>9.3583522958047682E-3</v>
      </c>
      <c r="O383" s="551">
        <f>'Sollecitazioni nel paramento'!$G$60*(sezione!$AP$28-C383)/C383</f>
        <v>1.7458309122310511E-2</v>
      </c>
      <c r="P383" s="545">
        <f>-'Sollecitazioni nel paramento'!$G$47*'Sollecitazioni nel paramento'!$G$41*IF(DATI!$G$211="dx",DATI!$E$61,DATI!$E$64*DATI!$E$63)*1000*C383*sezione!$AD$5</f>
        <v>-1659179.9251728887</v>
      </c>
      <c r="Q383" s="545">
        <f>'Foglio deposito bis'!$F$48*IF(ABS(K383)&lt;'Sollecitazioni nel paramento'!$G$58,ABS(K383)*'Sollecitazioni nel paramento'!$G$54,'Sollecitazioni nel paramento'!$G$53)*IF(K383&lt;0,-1,1)</f>
        <v>0</v>
      </c>
      <c r="R383" s="545">
        <f>'Foglio deposito bis'!$F$49*IF(ABS(L383)&lt;'Sollecitazioni nel paramento'!$G$58,ABS(L383)*'Sollecitazioni nel paramento'!$G$54,'Sollecitazioni nel paramento'!$G$53)*IF(L383&lt;0,-1,1)</f>
        <v>142579.98608191154</v>
      </c>
      <c r="S383" s="545">
        <f>'Foglio deposito bis'!$F$50*IF(ABS(M383)&lt;'Sollecitazioni nel paramento'!$G$58,ABS(M383)*'Sollecitazioni nel paramento'!$G$54,'Sollecitazioni nel paramento'!$G$53)*IF(M383&lt;0,-1,1)</f>
        <v>0</v>
      </c>
      <c r="T383" s="545">
        <f>'Foglio deposito bis'!$F$51*IF(ABS(N383)&lt;'Sollecitazioni nel paramento'!$G$58,ABS(N383)*'Sollecitazioni nel paramento'!$G$54,'Sollecitazioni nel paramento'!$G$53)*IF(N383&lt;0,-1,1)</f>
        <v>240946.49743184328</v>
      </c>
      <c r="U383" s="545">
        <f>'Foglio deposito bis'!$F$52*IF(ABS(O383)&lt;'Sollecitazioni nel paramento'!$G$58,ABS(O383)*'Sollecitazioni nel paramento'!$G$54,'Sollecitazioni nel paramento'!$G$53)*IF(O383&lt;0,-1,1)</f>
        <v>240946.49743184328</v>
      </c>
      <c r="V383" s="472">
        <f t="shared" si="32"/>
        <v>-1034706.9442272906</v>
      </c>
      <c r="W383" s="551"/>
      <c r="X383" s="551"/>
    </row>
    <row r="384" spans="1:24" x14ac:dyDescent="0.25">
      <c r="A384" s="545">
        <f t="shared" si="31"/>
        <v>1075262.6751877109</v>
      </c>
      <c r="B384" s="3">
        <f t="shared" si="29"/>
        <v>10.899999999999983</v>
      </c>
      <c r="C384" s="545">
        <f>'Foglio deposito bis'!$E$154/sezione!$B$247*B384</f>
        <v>44.36550473933972</v>
      </c>
      <c r="D384" s="603">
        <f>-'Sollecitazioni nel paramento'!$G$47*'Sollecitazioni nel paramento'!$G$41*IF(DATI!$G$211="dx",DATI!$E$61,DATI!$E$64*DATI!$E$63)*1000*C384^2*sezione!$AD$5*(1-sezione!$AD$6)</f>
        <v>-43791969.60086377</v>
      </c>
      <c r="E384" s="545">
        <f>-'Foglio deposito bis'!$F$48*(C384-sezione!$AL$28)*IF(ABS(K384)&lt;'Sollecitazioni nel paramento'!$G$58,ABS(K384)*'Sollecitazioni nel paramento'!$G$54,'Sollecitazioni nel paramento'!$G$53)</f>
        <v>0</v>
      </c>
      <c r="F384" s="545">
        <f>-'Foglio deposito bis'!$F$49*(C384-sezione!$AM$28)*IF(ABS(L384)&lt;'Sollecitazioni nel paramento'!$G$58,ABS(L384)*'Sollecitazioni nel paramento'!$G$54,'Sollecitazioni nel paramento'!$G$53)</f>
        <v>2079965.783201091</v>
      </c>
      <c r="G384" s="545">
        <f>-'Foglio deposito bis'!$F$50*(C384-sezione!$AN$28)*IF(ABS(M384)&lt;'Sollecitazioni nel paramento'!$G$58,ABS(M384)*'Sollecitazioni nel paramento'!$G$54,'Sollecitazioni nel paramento'!$G$53)</f>
        <v>0</v>
      </c>
      <c r="H384" s="545">
        <f>-'Foglio deposito bis'!$F$51*(C384-sezione!$AO$28)*IF(ABS(N384)&lt;'Sollecitazioni nel paramento'!$G$58,ABS(N384)*'Sollecitazioni nel paramento'!$G$54,'Sollecitazioni nel paramento'!$G$53)</f>
        <v>27861726.615355175</v>
      </c>
      <c r="I384" s="472">
        <f>-'Foglio deposito bis'!$F$52*(C384-sezione!$AP$28)*IF(ABS(O384)&lt;'Sollecitazioni nel paramento'!$G$58,ABS(O384)*'Sollecitazioni nel paramento'!$G$54,'Sollecitazioni nel paramento'!$G$53)</f>
        <v>52146719.67571754</v>
      </c>
      <c r="J384" s="472">
        <f t="shared" si="30"/>
        <v>38296442.47341004</v>
      </c>
      <c r="K384" s="550">
        <f>'Sollecitazioni nel paramento'!$G$60*(sezione!$AL$28-C384)/C384</f>
        <v>-3.4439519346075664E-4</v>
      </c>
      <c r="L384" s="550">
        <f>'Sollecitazioni nel paramento'!$G$60*(sezione!$AM$28-C384)/C384</f>
        <v>1.2334072098088651E-3</v>
      </c>
      <c r="M384" s="551">
        <f>'Sollecitazioni nel paramento'!$G$60*(sezione!$AN$28-C384)/C384</f>
        <v>2.8112096130784867E-3</v>
      </c>
      <c r="N384" s="551">
        <f>'Sollecitazioni nel paramento'!$G$60*(sezione!$AO$28-C384)/C384</f>
        <v>9.1224192261569748E-3</v>
      </c>
      <c r="O384" s="551">
        <f>'Sollecitazioni nel paramento'!$G$60*(sezione!$AP$28-C384)/C384</f>
        <v>1.7073752991625918E-2</v>
      </c>
      <c r="P384" s="545">
        <f>-'Sollecitazioni nel paramento'!$G$47*'Sollecitazioni nel paramento'!$G$41*IF(DATI!$G$211="dx",DATI!$E$61,DATI!$E$64*DATI!$E$63)*1000*C384*sezione!$AD$5</f>
        <v>-1690192.6340546249</v>
      </c>
      <c r="Q384" s="545">
        <f>'Foglio deposito bis'!$F$48*IF(ABS(K384)&lt;'Sollecitazioni nel paramento'!$G$58,ABS(K384)*'Sollecitazioni nel paramento'!$G$54,'Sollecitazioni nel paramento'!$G$53)*IF(K384&lt;0,-1,1)</f>
        <v>0</v>
      </c>
      <c r="R384" s="545">
        <f>'Foglio deposito bis'!$F$49*IF(ABS(L384)&lt;'Sollecitazioni nel paramento'!$G$58,ABS(L384)*'Sollecitazioni nel paramento'!$G$54,'Sollecitazioni nel paramento'!$G$53)*IF(L384&lt;0,-1,1)</f>
        <v>133036.96400322739</v>
      </c>
      <c r="S384" s="545">
        <f>'Foglio deposito bis'!$F$50*IF(ABS(M384)&lt;'Sollecitazioni nel paramento'!$G$58,ABS(M384)*'Sollecitazioni nel paramento'!$G$54,'Sollecitazioni nel paramento'!$G$53)*IF(M384&lt;0,-1,1)</f>
        <v>0</v>
      </c>
      <c r="T384" s="545">
        <f>'Foglio deposito bis'!$F$51*IF(ABS(N384)&lt;'Sollecitazioni nel paramento'!$G$58,ABS(N384)*'Sollecitazioni nel paramento'!$G$54,'Sollecitazioni nel paramento'!$G$53)*IF(N384&lt;0,-1,1)</f>
        <v>240946.49743184328</v>
      </c>
      <c r="U384" s="545">
        <f>'Foglio deposito bis'!$F$52*IF(ABS(O384)&lt;'Sollecitazioni nel paramento'!$G$58,ABS(O384)*'Sollecitazioni nel paramento'!$G$54,'Sollecitazioni nel paramento'!$G$53)*IF(O384&lt;0,-1,1)</f>
        <v>240946.49743184328</v>
      </c>
      <c r="V384" s="472">
        <f t="shared" si="32"/>
        <v>-1075262.6751877109</v>
      </c>
      <c r="W384" s="551"/>
      <c r="X384" s="551"/>
    </row>
    <row r="385" spans="1:24" x14ac:dyDescent="0.25">
      <c r="A385" s="545">
        <f t="shared" si="31"/>
        <v>1115474.5134606112</v>
      </c>
      <c r="B385" s="3">
        <f t="shared" si="29"/>
        <v>11.099999999999982</v>
      </c>
      <c r="C385" s="545">
        <f>'Foglio deposito bis'!$E$154/sezione!$B$247*B385</f>
        <v>45.17955069785971</v>
      </c>
      <c r="D385" s="603">
        <f>-'Sollecitazioni nel paramento'!$G$47*'Sollecitazioni nel paramento'!$G$41*IF(DATI!$G$211="dx",DATI!$E$61,DATI!$E$64*DATI!$E$63)*1000*C385^2*sezione!$AD$5*(1-sezione!$AD$6)</f>
        <v>-45413757.886730283</v>
      </c>
      <c r="E385" s="545">
        <f>-'Foglio deposito bis'!$F$48*(C385-sezione!$AL$28)*IF(ABS(K385)&lt;'Sollecitazioni nel paramento'!$G$58,ABS(K385)*'Sollecitazioni nel paramento'!$G$54,'Sollecitazioni nel paramento'!$G$53)</f>
        <v>0</v>
      </c>
      <c r="F385" s="545">
        <f>-'Foglio deposito bis'!$F$49*(C385-sezione!$AM$28)*IF(ABS(L385)&lt;'Sollecitazioni nel paramento'!$G$58,ABS(L385)*'Sollecitazioni nel paramento'!$G$54,'Sollecitazioni nel paramento'!$G$53)</f>
        <v>1835332.3495549203</v>
      </c>
      <c r="G385" s="545">
        <f>-'Foglio deposito bis'!$F$50*(C385-sezione!$AN$28)*IF(ABS(M385)&lt;'Sollecitazioni nel paramento'!$G$58,ABS(M385)*'Sollecitazioni nel paramento'!$G$54,'Sollecitazioni nel paramento'!$G$53)</f>
        <v>0</v>
      </c>
      <c r="H385" s="545">
        <f>-'Foglio deposito bis'!$F$51*(C385-sezione!$AO$28)*IF(ABS(N385)&lt;'Sollecitazioni nel paramento'!$G$58,ABS(N385)*'Sollecitazioni nel paramento'!$G$54,'Sollecitazioni nel paramento'!$G$53)</f>
        <v>27665585.092901237</v>
      </c>
      <c r="I385" s="472">
        <f>-'Foglio deposito bis'!$F$52*(C385-sezione!$AP$28)*IF(ABS(O385)&lt;'Sollecitazioni nel paramento'!$G$58,ABS(O385)*'Sollecitazioni nel paramento'!$G$54,'Sollecitazioni nel paramento'!$G$53)</f>
        <v>51950578.153263599</v>
      </c>
      <c r="J385" s="472">
        <f t="shared" si="30"/>
        <v>36037737.708989471</v>
      </c>
      <c r="K385" s="550">
        <f>'Sollecitazioni nel paramento'!$G$60*(sezione!$AL$28-C385)/C385</f>
        <v>-4.0125293772272472E-4</v>
      </c>
      <c r="L385" s="550">
        <f>'Sollecitazioni nel paramento'!$G$60*(sezione!$AM$28-C385)/C385</f>
        <v>1.1481205934159131E-3</v>
      </c>
      <c r="M385" s="551">
        <f>'Sollecitazioni nel paramento'!$G$60*(sezione!$AN$28-C385)/C385</f>
        <v>2.6974941245545506E-3</v>
      </c>
      <c r="N385" s="551">
        <f>'Sollecitazioni nel paramento'!$G$60*(sezione!$AO$28-C385)/C385</f>
        <v>8.8949882491091009E-3</v>
      </c>
      <c r="O385" s="551">
        <f>'Sollecitazioni nel paramento'!$G$60*(sezione!$AP$28-C385)/C385</f>
        <v>1.6703054739524548E-2</v>
      </c>
      <c r="P385" s="545">
        <f>-'Sollecitazioni nel paramento'!$G$47*'Sollecitazioni nel paramento'!$G$41*IF(DATI!$G$211="dx",DATI!$E$61,DATI!$E$64*DATI!$E$63)*1000*C385*sezione!$AD$5</f>
        <v>-1721205.3429363612</v>
      </c>
      <c r="Q385" s="545">
        <f>'Foglio deposito bis'!$F$48*IF(ABS(K385)&lt;'Sollecitazioni nel paramento'!$G$58,ABS(K385)*'Sollecitazioni nel paramento'!$G$54,'Sollecitazioni nel paramento'!$G$53)*IF(K385&lt;0,-1,1)</f>
        <v>0</v>
      </c>
      <c r="R385" s="545">
        <f>'Foglio deposito bis'!$F$49*IF(ABS(L385)&lt;'Sollecitazioni nel paramento'!$G$58,ABS(L385)*'Sollecitazioni nel paramento'!$G$54,'Sollecitazioni nel paramento'!$G$53)*IF(L385&lt;0,-1,1)</f>
        <v>123837.83461206345</v>
      </c>
      <c r="S385" s="545">
        <f>'Foglio deposito bis'!$F$50*IF(ABS(M385)&lt;'Sollecitazioni nel paramento'!$G$58,ABS(M385)*'Sollecitazioni nel paramento'!$G$54,'Sollecitazioni nel paramento'!$G$53)*IF(M385&lt;0,-1,1)</f>
        <v>0</v>
      </c>
      <c r="T385" s="545">
        <f>'Foglio deposito bis'!$F$51*IF(ABS(N385)&lt;'Sollecitazioni nel paramento'!$G$58,ABS(N385)*'Sollecitazioni nel paramento'!$G$54,'Sollecitazioni nel paramento'!$G$53)*IF(N385&lt;0,-1,1)</f>
        <v>240946.49743184328</v>
      </c>
      <c r="U385" s="545">
        <f>'Foglio deposito bis'!$F$52*IF(ABS(O385)&lt;'Sollecitazioni nel paramento'!$G$58,ABS(O385)*'Sollecitazioni nel paramento'!$G$54,'Sollecitazioni nel paramento'!$G$53)*IF(O385&lt;0,-1,1)</f>
        <v>240946.49743184328</v>
      </c>
      <c r="V385" s="472">
        <f t="shared" si="32"/>
        <v>-1115474.5134606112</v>
      </c>
      <c r="W385" s="551"/>
      <c r="X385" s="551"/>
    </row>
    <row r="386" spans="1:24" x14ac:dyDescent="0.25">
      <c r="A386" s="545">
        <f t="shared" si="31"/>
        <v>1155360.7188347091</v>
      </c>
      <c r="B386" s="3">
        <f t="shared" si="29"/>
        <v>11.299999999999981</v>
      </c>
      <c r="C386" s="545">
        <f>'Foglio deposito bis'!$E$154/sezione!$B$247*B386</f>
        <v>45.993596656379708</v>
      </c>
      <c r="D386" s="603">
        <f>-'Sollecitazioni nel paramento'!$G$47*'Sollecitazioni nel paramento'!$G$41*IF(DATI!$G$211="dx",DATI!$E$61,DATI!$E$64*DATI!$E$63)*1000*C386^2*sezione!$AD$5*(1-sezione!$AD$6)</f>
        <v>-47065033.232339829</v>
      </c>
      <c r="E386" s="545">
        <f>-'Foglio deposito bis'!$F$48*(C386-sezione!$AL$28)*IF(ABS(K386)&lt;'Sollecitazioni nel paramento'!$G$58,ABS(K386)*'Sollecitazioni nel paramento'!$G$54,'Sollecitazioni nel paramento'!$G$53)</f>
        <v>0</v>
      </c>
      <c r="F386" s="545">
        <f>-'Foglio deposito bis'!$F$49*(C386-sezione!$AM$28)*IF(ABS(L386)&lt;'Sollecitazioni nel paramento'!$G$58,ABS(L386)*'Sollecitazioni nel paramento'!$G$54,'Sollecitazioni nel paramento'!$G$53)</f>
        <v>1610236.8898368836</v>
      </c>
      <c r="G386" s="545">
        <f>-'Foglio deposito bis'!$F$50*(C386-sezione!$AN$28)*IF(ABS(M386)&lt;'Sollecitazioni nel paramento'!$G$58,ABS(M386)*'Sollecitazioni nel paramento'!$G$54,'Sollecitazioni nel paramento'!$G$53)</f>
        <v>0</v>
      </c>
      <c r="H386" s="545">
        <f>-'Foglio deposito bis'!$F$51*(C386-sezione!$AO$28)*IF(ABS(N386)&lt;'Sollecitazioni nel paramento'!$G$58,ABS(N386)*'Sollecitazioni nel paramento'!$G$54,'Sollecitazioni nel paramento'!$G$53)</f>
        <v>27469443.570447296</v>
      </c>
      <c r="I386" s="472">
        <f>-'Foglio deposito bis'!$F$52*(C386-sezione!$AP$28)*IF(ABS(O386)&lt;'Sollecitazioni nel paramento'!$G$58,ABS(O386)*'Sollecitazioni nel paramento'!$G$54,'Sollecitazioni nel paramento'!$G$53)</f>
        <v>51754436.63080965</v>
      </c>
      <c r="J386" s="472">
        <f t="shared" si="30"/>
        <v>33769083.858754002</v>
      </c>
      <c r="K386" s="550">
        <f>'Sollecitazioni nel paramento'!$G$60*(sezione!$AL$28-C386)/C386</f>
        <v>-4.5609801847099529E-4</v>
      </c>
      <c r="L386" s="550">
        <f>'Sollecitazioni nel paramento'!$G$60*(sezione!$AM$28-C386)/C386</f>
        <v>1.0658529722935072E-3</v>
      </c>
      <c r="M386" s="551">
        <f>'Sollecitazioni nel paramento'!$G$60*(sezione!$AN$28-C386)/C386</f>
        <v>2.5878039630580097E-3</v>
      </c>
      <c r="N386" s="551">
        <f>'Sollecitazioni nel paramento'!$G$60*(sezione!$AO$28-C386)/C386</f>
        <v>8.6756079261160191E-3</v>
      </c>
      <c r="O386" s="551">
        <f>'Sollecitazioni nel paramento'!$G$60*(sezione!$AP$28-C386)/C386</f>
        <v>1.6345478549444466E-2</v>
      </c>
      <c r="P386" s="545">
        <f>-'Sollecitazioni nel paramento'!$G$47*'Sollecitazioni nel paramento'!$G$41*IF(DATI!$G$211="dx",DATI!$E$61,DATI!$E$64*DATI!$E$63)*1000*C386*sezione!$AD$5</f>
        <v>-1752218.0518180975</v>
      </c>
      <c r="Q386" s="545">
        <f>'Foglio deposito bis'!$F$48*IF(ABS(K386)&lt;'Sollecitazioni nel paramento'!$G$58,ABS(K386)*'Sollecitazioni nel paramento'!$G$54,'Sollecitazioni nel paramento'!$G$53)*IF(K386&lt;0,-1,1)</f>
        <v>0</v>
      </c>
      <c r="R386" s="545">
        <f>'Foglio deposito bis'!$F$49*IF(ABS(L386)&lt;'Sollecitazioni nel paramento'!$G$58,ABS(L386)*'Sollecitazioni nel paramento'!$G$54,'Sollecitazioni nel paramento'!$G$53)*IF(L386&lt;0,-1,1)</f>
        <v>114964.33811970172</v>
      </c>
      <c r="S386" s="545">
        <f>'Foglio deposito bis'!$F$50*IF(ABS(M386)&lt;'Sollecitazioni nel paramento'!$G$58,ABS(M386)*'Sollecitazioni nel paramento'!$G$54,'Sollecitazioni nel paramento'!$G$53)*IF(M386&lt;0,-1,1)</f>
        <v>0</v>
      </c>
      <c r="T386" s="545">
        <f>'Foglio deposito bis'!$F$51*IF(ABS(N386)&lt;'Sollecitazioni nel paramento'!$G$58,ABS(N386)*'Sollecitazioni nel paramento'!$G$54,'Sollecitazioni nel paramento'!$G$53)*IF(N386&lt;0,-1,1)</f>
        <v>240946.49743184328</v>
      </c>
      <c r="U386" s="545">
        <f>'Foglio deposito bis'!$F$52*IF(ABS(O386)&lt;'Sollecitazioni nel paramento'!$G$58,ABS(O386)*'Sollecitazioni nel paramento'!$G$54,'Sollecitazioni nel paramento'!$G$53)*IF(O386&lt;0,-1,1)</f>
        <v>240946.49743184328</v>
      </c>
      <c r="V386" s="472">
        <f t="shared" si="32"/>
        <v>-1155360.7188347091</v>
      </c>
      <c r="W386" s="551"/>
      <c r="X386" s="551"/>
    </row>
    <row r="387" spans="1:24" x14ac:dyDescent="0.25">
      <c r="A387" s="545">
        <f t="shared" si="31"/>
        <v>1194938.2808525509</v>
      </c>
      <c r="B387" s="3">
        <f t="shared" si="29"/>
        <v>11.49999999999998</v>
      </c>
      <c r="C387" s="545">
        <f>'Foglio deposito bis'!$E$154/sezione!$B$247*B387</f>
        <v>46.807642614899699</v>
      </c>
      <c r="D387" s="603">
        <f>-'Sollecitazioni nel paramento'!$G$47*'Sollecitazioni nel paramento'!$G$41*IF(DATI!$G$211="dx",DATI!$E$61,DATI!$E$64*DATI!$E$63)*1000*C387^2*sezione!$AD$5*(1-sezione!$AD$6)</f>
        <v>-48745795.637692384</v>
      </c>
      <c r="E387" s="545">
        <f>-'Foglio deposito bis'!$F$48*(C387-sezione!$AL$28)*IF(ABS(K387)&lt;'Sollecitazioni nel paramento'!$G$58,ABS(K387)*'Sollecitazioni nel paramento'!$G$54,'Sollecitazioni nel paramento'!$G$53)</f>
        <v>0</v>
      </c>
      <c r="F387" s="545">
        <f>-'Foglio deposito bis'!$F$49*(C387-sezione!$AM$28)*IF(ABS(L387)&lt;'Sollecitazioni nel paramento'!$G$58,ABS(L387)*'Sollecitazioni nel paramento'!$G$54,'Sollecitazioni nel paramento'!$G$53)</f>
        <v>1403660.0314942126</v>
      </c>
      <c r="G387" s="545">
        <f>-'Foglio deposito bis'!$F$50*(C387-sezione!$AN$28)*IF(ABS(M387)&lt;'Sollecitazioni nel paramento'!$G$58,ABS(M387)*'Sollecitazioni nel paramento'!$G$54,'Sollecitazioni nel paramento'!$G$53)</f>
        <v>0</v>
      </c>
      <c r="H387" s="545">
        <f>-'Foglio deposito bis'!$F$51*(C387-sezione!$AO$28)*IF(ABS(N387)&lt;'Sollecitazioni nel paramento'!$G$58,ABS(N387)*'Sollecitazioni nel paramento'!$G$54,'Sollecitazioni nel paramento'!$G$53)</f>
        <v>27273302.047993358</v>
      </c>
      <c r="I387" s="472">
        <f>-'Foglio deposito bis'!$F$52*(C387-sezione!$AP$28)*IF(ABS(O387)&lt;'Sollecitazioni nel paramento'!$G$58,ABS(O387)*'Sollecitazioni nel paramento'!$G$54,'Sollecitazioni nel paramento'!$G$53)</f>
        <v>51558295.108355723</v>
      </c>
      <c r="J387" s="472">
        <f t="shared" si="30"/>
        <v>31489461.550150912</v>
      </c>
      <c r="K387" s="550">
        <f>'Sollecitazioni nel paramento'!$G$60*(sezione!$AL$28-C387)/C387</f>
        <v>-5.0903544423671688E-4</v>
      </c>
      <c r="L387" s="550">
        <f>'Sollecitazioni nel paramento'!$G$60*(sezione!$AM$28-C387)/C387</f>
        <v>9.8644683364492477E-4</v>
      </c>
      <c r="M387" s="551">
        <f>'Sollecitazioni nel paramento'!$G$60*(sezione!$AN$28-C387)/C387</f>
        <v>2.4819291115265665E-3</v>
      </c>
      <c r="N387" s="551">
        <f>'Sollecitazioni nel paramento'!$G$60*(sezione!$AO$28-C387)/C387</f>
        <v>8.4638582230531344E-3</v>
      </c>
      <c r="O387" s="551">
        <f>'Sollecitazioni nel paramento'!$G$60*(sezione!$AP$28-C387)/C387</f>
        <v>1.6000339792062827E-2</v>
      </c>
      <c r="P387" s="545">
        <f>-'Sollecitazioni nel paramento'!$G$47*'Sollecitazioni nel paramento'!$G$41*IF(DATI!$G$211="dx",DATI!$E$61,DATI!$E$64*DATI!$E$63)*1000*C387*sezione!$AD$5</f>
        <v>-1783230.7606998335</v>
      </c>
      <c r="Q387" s="545">
        <f>'Foglio deposito bis'!$F$48*IF(ABS(K387)&lt;'Sollecitazioni nel paramento'!$G$58,ABS(K387)*'Sollecitazioni nel paramento'!$G$54,'Sollecitazioni nel paramento'!$G$53)*IF(K387&lt;0,-1,1)</f>
        <v>0</v>
      </c>
      <c r="R387" s="545">
        <f>'Foglio deposito bis'!$F$49*IF(ABS(L387)&lt;'Sollecitazioni nel paramento'!$G$58,ABS(L387)*'Sollecitazioni nel paramento'!$G$54,'Sollecitazioni nel paramento'!$G$53)*IF(L387&lt;0,-1,1)</f>
        <v>106399.48498359609</v>
      </c>
      <c r="S387" s="545">
        <f>'Foglio deposito bis'!$F$50*IF(ABS(M387)&lt;'Sollecitazioni nel paramento'!$G$58,ABS(M387)*'Sollecitazioni nel paramento'!$G$54,'Sollecitazioni nel paramento'!$G$53)*IF(M387&lt;0,-1,1)</f>
        <v>0</v>
      </c>
      <c r="T387" s="545">
        <f>'Foglio deposito bis'!$F$51*IF(ABS(N387)&lt;'Sollecitazioni nel paramento'!$G$58,ABS(N387)*'Sollecitazioni nel paramento'!$G$54,'Sollecitazioni nel paramento'!$G$53)*IF(N387&lt;0,-1,1)</f>
        <v>240946.49743184328</v>
      </c>
      <c r="U387" s="545">
        <f>'Foglio deposito bis'!$F$52*IF(ABS(O387)&lt;'Sollecitazioni nel paramento'!$G$58,ABS(O387)*'Sollecitazioni nel paramento'!$G$54,'Sollecitazioni nel paramento'!$G$53)*IF(O387&lt;0,-1,1)</f>
        <v>240946.49743184328</v>
      </c>
      <c r="V387" s="472">
        <f t="shared" si="32"/>
        <v>-1194938.2808525509</v>
      </c>
      <c r="W387" s="551"/>
      <c r="X387" s="551"/>
    </row>
    <row r="388" spans="1:24" x14ac:dyDescent="0.25">
      <c r="A388" s="545">
        <f t="shared" si="31"/>
        <v>1234223.0273785598</v>
      </c>
      <c r="B388" s="3">
        <f t="shared" si="29"/>
        <v>11.69999999999998</v>
      </c>
      <c r="C388" s="545">
        <f>'Foglio deposito bis'!$E$154/sezione!$B$247*B388</f>
        <v>47.621688573419689</v>
      </c>
      <c r="D388" s="603">
        <f>-'Sollecitazioni nel paramento'!$G$47*'Sollecitazioni nel paramento'!$G$41*IF(DATI!$G$211="dx",DATI!$E$61,DATI!$E$64*DATI!$E$63)*1000*C388^2*sezione!$AD$5*(1-sezione!$AD$6)</f>
        <v>-50456045.102787971</v>
      </c>
      <c r="E388" s="545">
        <f>-'Foglio deposito bis'!$F$48*(C388-sezione!$AL$28)*IF(ABS(K388)&lt;'Sollecitazioni nel paramento'!$G$58,ABS(K388)*'Sollecitazioni nel paramento'!$G$54,'Sollecitazioni nel paramento'!$G$53)</f>
        <v>0</v>
      </c>
      <c r="F388" s="545">
        <f>-'Foglio deposito bis'!$F$49*(C388-sezione!$AM$28)*IF(ABS(L388)&lt;'Sollecitazioni nel paramento'!$G$58,ABS(L388)*'Sollecitazioni nel paramento'!$G$54,'Sollecitazioni nel paramento'!$G$53)</f>
        <v>1214652.1026615014</v>
      </c>
      <c r="G388" s="545">
        <f>-'Foglio deposito bis'!$F$50*(C388-sezione!$AN$28)*IF(ABS(M388)&lt;'Sollecitazioni nel paramento'!$G$58,ABS(M388)*'Sollecitazioni nel paramento'!$G$54,'Sollecitazioni nel paramento'!$G$53)</f>
        <v>0</v>
      </c>
      <c r="H388" s="545">
        <f>-'Foglio deposito bis'!$F$51*(C388-sezione!$AO$28)*IF(ABS(N388)&lt;'Sollecitazioni nel paramento'!$G$58,ABS(N388)*'Sollecitazioni nel paramento'!$G$54,'Sollecitazioni nel paramento'!$G$53)</f>
        <v>27077160.525539421</v>
      </c>
      <c r="I388" s="472">
        <f>-'Foglio deposito bis'!$F$52*(C388-sezione!$AP$28)*IF(ABS(O388)&lt;'Sollecitazioni nel paramento'!$G$58,ABS(O388)*'Sollecitazioni nel paramento'!$G$54,'Sollecitazioni nel paramento'!$G$53)</f>
        <v>51362153.585901774</v>
      </c>
      <c r="J388" s="472">
        <f t="shared" si="30"/>
        <v>29197921.111314721</v>
      </c>
      <c r="K388" s="550">
        <f>'Sollecitazioni nel paramento'!$G$60*(sezione!$AL$28-C388)/C388</f>
        <v>-5.6016304348053333E-4</v>
      </c>
      <c r="L388" s="550">
        <f>'Sollecitazioni nel paramento'!$G$60*(sezione!$AM$28-C388)/C388</f>
        <v>9.0975543477919999E-4</v>
      </c>
      <c r="M388" s="551">
        <f>'Sollecitazioni nel paramento'!$G$60*(sezione!$AN$28-C388)/C388</f>
        <v>2.3796739130389332E-3</v>
      </c>
      <c r="N388" s="551">
        <f>'Sollecitazioni nel paramento'!$G$60*(sezione!$AO$28-C388)/C388</f>
        <v>8.2593478260778661E-3</v>
      </c>
      <c r="O388" s="551">
        <f>'Sollecitazioni nel paramento'!$G$60*(sezione!$AP$28-C388)/C388</f>
        <v>1.5667000650318161E-2</v>
      </c>
      <c r="P388" s="545">
        <f>-'Sollecitazioni nel paramento'!$G$47*'Sollecitazioni nel paramento'!$G$41*IF(DATI!$G$211="dx",DATI!$E$61,DATI!$E$64*DATI!$E$63)*1000*C388*sezione!$AD$5</f>
        <v>-1814243.4695815695</v>
      </c>
      <c r="Q388" s="545">
        <f>'Foglio deposito bis'!$F$48*IF(ABS(K388)&lt;'Sollecitazioni nel paramento'!$G$58,ABS(K388)*'Sollecitazioni nel paramento'!$G$54,'Sollecitazioni nel paramento'!$G$53)*IF(K388&lt;0,-1,1)</f>
        <v>0</v>
      </c>
      <c r="R388" s="545">
        <f>'Foglio deposito bis'!$F$49*IF(ABS(L388)&lt;'Sollecitazioni nel paramento'!$G$58,ABS(L388)*'Sollecitazioni nel paramento'!$G$54,'Sollecitazioni nel paramento'!$G$53)*IF(L388&lt;0,-1,1)</f>
        <v>98127.447339323146</v>
      </c>
      <c r="S388" s="545">
        <f>'Foglio deposito bis'!$F$50*IF(ABS(M388)&lt;'Sollecitazioni nel paramento'!$G$58,ABS(M388)*'Sollecitazioni nel paramento'!$G$54,'Sollecitazioni nel paramento'!$G$53)*IF(M388&lt;0,-1,1)</f>
        <v>0</v>
      </c>
      <c r="T388" s="545">
        <f>'Foglio deposito bis'!$F$51*IF(ABS(N388)&lt;'Sollecitazioni nel paramento'!$G$58,ABS(N388)*'Sollecitazioni nel paramento'!$G$54,'Sollecitazioni nel paramento'!$G$53)*IF(N388&lt;0,-1,1)</f>
        <v>240946.49743184328</v>
      </c>
      <c r="U388" s="545">
        <f>'Foglio deposito bis'!$F$52*IF(ABS(O388)&lt;'Sollecitazioni nel paramento'!$G$58,ABS(O388)*'Sollecitazioni nel paramento'!$G$54,'Sollecitazioni nel paramento'!$G$53)*IF(O388&lt;0,-1,1)</f>
        <v>240946.49743184328</v>
      </c>
      <c r="V388" s="472">
        <f t="shared" si="32"/>
        <v>-1234223.0273785598</v>
      </c>
      <c r="W388" s="551"/>
      <c r="X388" s="551"/>
    </row>
    <row r="389" spans="1:24" x14ac:dyDescent="0.25">
      <c r="A389" s="545">
        <f t="shared" si="31"/>
        <v>1273229.7222190474</v>
      </c>
      <c r="B389" s="3">
        <f t="shared" si="29"/>
        <v>11.899999999999979</v>
      </c>
      <c r="C389" s="545">
        <f>'Foglio deposito bis'!$E$154/sezione!$B$247*B389</f>
        <v>48.435734531939687</v>
      </c>
      <c r="D389" s="603">
        <f>-'Sollecitazioni nel paramento'!$G$47*'Sollecitazioni nel paramento'!$G$41*IF(DATI!$G$211="dx",DATI!$E$61,DATI!$E$64*DATI!$E$63)*1000*C389^2*sezione!$AD$5*(1-sezione!$AD$6)</f>
        <v>-52195781.627626613</v>
      </c>
      <c r="E389" s="545">
        <f>-'Foglio deposito bis'!$F$48*(C389-sezione!$AL$28)*IF(ABS(K389)&lt;'Sollecitazioni nel paramento'!$G$58,ABS(K389)*'Sollecitazioni nel paramento'!$G$54,'Sollecitazioni nel paramento'!$G$53)</f>
        <v>0</v>
      </c>
      <c r="F389" s="545">
        <f>-'Foglio deposito bis'!$F$49*(C389-sezione!$AM$28)*IF(ABS(L389)&lt;'Sollecitazioni nel paramento'!$G$58,ABS(L389)*'Sollecitazioni nel paramento'!$G$54,'Sollecitazioni nel paramento'!$G$53)</f>
        <v>1042327.2749600954</v>
      </c>
      <c r="G389" s="545">
        <f>-'Foglio deposito bis'!$F$50*(C389-sezione!$AN$28)*IF(ABS(M389)&lt;'Sollecitazioni nel paramento'!$G$58,ABS(M389)*'Sollecitazioni nel paramento'!$G$54,'Sollecitazioni nel paramento'!$G$53)</f>
        <v>0</v>
      </c>
      <c r="H389" s="545">
        <f>-'Foglio deposito bis'!$F$51*(C389-sezione!$AO$28)*IF(ABS(N389)&lt;'Sollecitazioni nel paramento'!$G$58,ABS(N389)*'Sollecitazioni nel paramento'!$G$54,'Sollecitazioni nel paramento'!$G$53)</f>
        <v>26881019.003085475</v>
      </c>
      <c r="I389" s="472">
        <f>-'Foglio deposito bis'!$F$52*(C389-sezione!$AP$28)*IF(ABS(O389)&lt;'Sollecitazioni nel paramento'!$G$58,ABS(O389)*'Sollecitazioni nel paramento'!$G$54,'Sollecitazioni nel paramento'!$G$53)</f>
        <v>51166012.063447833</v>
      </c>
      <c r="J389" s="472">
        <f t="shared" si="30"/>
        <v>26893576.713866789</v>
      </c>
      <c r="K389" s="550">
        <f>'Sollecitazioni nel paramento'!$G$60*(sezione!$AL$28-C389)/C389</f>
        <v>-6.0957206795985233E-4</v>
      </c>
      <c r="L389" s="550">
        <f>'Sollecitazioni nel paramento'!$G$60*(sezione!$AM$28-C389)/C389</f>
        <v>8.3564189806022149E-4</v>
      </c>
      <c r="M389" s="551">
        <f>'Sollecitazioni nel paramento'!$G$60*(sezione!$AN$28-C389)/C389</f>
        <v>2.2808558640802952E-3</v>
      </c>
      <c r="N389" s="551">
        <f>'Sollecitazioni nel paramento'!$G$60*(sezione!$AO$28-C389)/C389</f>
        <v>8.06171172816059E-3</v>
      </c>
      <c r="O389" s="551">
        <f>'Sollecitazioni nel paramento'!$G$60*(sezione!$AP$28-C389)/C389</f>
        <v>1.5344866185606933E-2</v>
      </c>
      <c r="P389" s="545">
        <f>-'Sollecitazioni nel paramento'!$G$47*'Sollecitazioni nel paramento'!$G$41*IF(DATI!$G$211="dx",DATI!$E$61,DATI!$E$64*DATI!$E$63)*1000*C389*sezione!$AD$5</f>
        <v>-1845256.1784633058</v>
      </c>
      <c r="Q389" s="545">
        <f>'Foglio deposito bis'!$F$48*IF(ABS(K389)&lt;'Sollecitazioni nel paramento'!$G$58,ABS(K389)*'Sollecitazioni nel paramento'!$G$54,'Sollecitazioni nel paramento'!$G$53)*IF(K389&lt;0,-1,1)</f>
        <v>0</v>
      </c>
      <c r="R389" s="545">
        <f>'Foglio deposito bis'!$F$49*IF(ABS(L389)&lt;'Sollecitazioni nel paramento'!$G$58,ABS(L389)*'Sollecitazioni nel paramento'!$G$54,'Sollecitazioni nel paramento'!$G$53)*IF(L389&lt;0,-1,1)</f>
        <v>90133.461380571898</v>
      </c>
      <c r="S389" s="545">
        <f>'Foglio deposito bis'!$F$50*IF(ABS(M389)&lt;'Sollecitazioni nel paramento'!$G$58,ABS(M389)*'Sollecitazioni nel paramento'!$G$54,'Sollecitazioni nel paramento'!$G$53)*IF(M389&lt;0,-1,1)</f>
        <v>0</v>
      </c>
      <c r="T389" s="545">
        <f>'Foglio deposito bis'!$F$51*IF(ABS(N389)&lt;'Sollecitazioni nel paramento'!$G$58,ABS(N389)*'Sollecitazioni nel paramento'!$G$54,'Sollecitazioni nel paramento'!$G$53)*IF(N389&lt;0,-1,1)</f>
        <v>240946.49743184328</v>
      </c>
      <c r="U389" s="545">
        <f>'Foglio deposito bis'!$F$52*IF(ABS(O389)&lt;'Sollecitazioni nel paramento'!$G$58,ABS(O389)*'Sollecitazioni nel paramento'!$G$54,'Sollecitazioni nel paramento'!$G$53)*IF(O389&lt;0,-1,1)</f>
        <v>240946.49743184328</v>
      </c>
      <c r="V389" s="472">
        <f t="shared" si="32"/>
        <v>-1273229.7222190474</v>
      </c>
      <c r="W389" s="551"/>
      <c r="X389" s="551"/>
    </row>
    <row r="390" spans="1:24" x14ac:dyDescent="0.25">
      <c r="A390" s="545">
        <f t="shared" si="31"/>
        <v>1311972.1530608982</v>
      </c>
      <c r="B390" s="3">
        <f t="shared" si="29"/>
        <v>12.099999999999978</v>
      </c>
      <c r="C390" s="545">
        <f>'Foglio deposito bis'!$E$154/sezione!$B$247*B390</f>
        <v>49.249780490459678</v>
      </c>
      <c r="D390" s="603">
        <f>-'Sollecitazioni nel paramento'!$G$47*'Sollecitazioni nel paramento'!$G$41*IF(DATI!$G$211="dx",DATI!$E$61,DATI!$E$64*DATI!$E$63)*1000*C390^2*sezione!$AD$5*(1-sezione!$AD$6)</f>
        <v>-53965005.212208256</v>
      </c>
      <c r="E390" s="545">
        <f>-'Foglio deposito bis'!$F$48*(C390-sezione!$AL$28)*IF(ABS(K390)&lt;'Sollecitazioni nel paramento'!$G$58,ABS(K390)*'Sollecitazioni nel paramento'!$G$54,'Sollecitazioni nel paramento'!$G$53)</f>
        <v>0</v>
      </c>
      <c r="F390" s="545">
        <f>-'Foglio deposito bis'!$F$49*(C390-sezione!$AM$28)*IF(ABS(L390)&lt;'Sollecitazioni nel paramento'!$G$58,ABS(L390)*'Sollecitazioni nel paramento'!$G$54,'Sollecitazioni nel paramento'!$G$53)</f>
        <v>885858.28717687551</v>
      </c>
      <c r="G390" s="545">
        <f>-'Foglio deposito bis'!$F$50*(C390-sezione!$AN$28)*IF(ABS(M390)&lt;'Sollecitazioni nel paramento'!$G$58,ABS(M390)*'Sollecitazioni nel paramento'!$G$54,'Sollecitazioni nel paramento'!$G$53)</f>
        <v>0</v>
      </c>
      <c r="H390" s="545">
        <f>-'Foglio deposito bis'!$F$51*(C390-sezione!$AO$28)*IF(ABS(N390)&lt;'Sollecitazioni nel paramento'!$G$58,ABS(N390)*'Sollecitazioni nel paramento'!$G$54,'Sollecitazioni nel paramento'!$G$53)</f>
        <v>26684877.480631538</v>
      </c>
      <c r="I390" s="472">
        <f>-'Foglio deposito bis'!$F$52*(C390-sezione!$AP$28)*IF(ABS(O390)&lt;'Sollecitazioni nel paramento'!$G$58,ABS(O390)*'Sollecitazioni nel paramento'!$G$54,'Sollecitazioni nel paramento'!$G$53)</f>
        <v>50969870.540993899</v>
      </c>
      <c r="J390" s="472">
        <f t="shared" si="30"/>
        <v>24575601.096594058</v>
      </c>
      <c r="K390" s="550">
        <f>'Sollecitazioni nel paramento'!$G$60*(sezione!$AL$28-C390)/C390</f>
        <v>-6.5734773625803638E-4</v>
      </c>
      <c r="L390" s="550">
        <f>'Sollecitazioni nel paramento'!$G$60*(sezione!$AM$28-C390)/C390</f>
        <v>7.6397839561294552E-4</v>
      </c>
      <c r="M390" s="551">
        <f>'Sollecitazioni nel paramento'!$G$60*(sezione!$AN$28-C390)/C390</f>
        <v>2.1853045274839271E-3</v>
      </c>
      <c r="N390" s="551">
        <f>'Sollecitazioni nel paramento'!$G$60*(sezione!$AO$28-C390)/C390</f>
        <v>7.8706090549678556E-3</v>
      </c>
      <c r="O390" s="551">
        <f>'Sollecitazioni nel paramento'!$G$60*(sezione!$AP$28-C390)/C390</f>
        <v>1.5033380794109302E-2</v>
      </c>
      <c r="P390" s="545">
        <f>-'Sollecitazioni nel paramento'!$G$47*'Sollecitazioni nel paramento'!$G$41*IF(DATI!$G$211="dx",DATI!$E$61,DATI!$E$64*DATI!$E$63)*1000*C390*sezione!$AD$5</f>
        <v>-1876268.8873450418</v>
      </c>
      <c r="Q390" s="545">
        <f>'Foglio deposito bis'!$F$48*IF(ABS(K390)&lt;'Sollecitazioni nel paramento'!$G$58,ABS(K390)*'Sollecitazioni nel paramento'!$G$54,'Sollecitazioni nel paramento'!$G$53)*IF(K390&lt;0,-1,1)</f>
        <v>0</v>
      </c>
      <c r="R390" s="545">
        <f>'Foglio deposito bis'!$F$49*IF(ABS(L390)&lt;'Sollecitazioni nel paramento'!$G$58,ABS(L390)*'Sollecitazioni nel paramento'!$G$54,'Sollecitazioni nel paramento'!$G$53)*IF(L390&lt;0,-1,1)</f>
        <v>82403.739420457161</v>
      </c>
      <c r="S390" s="545">
        <f>'Foglio deposito bis'!$F$50*IF(ABS(M390)&lt;'Sollecitazioni nel paramento'!$G$58,ABS(M390)*'Sollecitazioni nel paramento'!$G$54,'Sollecitazioni nel paramento'!$G$53)*IF(M390&lt;0,-1,1)</f>
        <v>0</v>
      </c>
      <c r="T390" s="545">
        <f>'Foglio deposito bis'!$F$51*IF(ABS(N390)&lt;'Sollecitazioni nel paramento'!$G$58,ABS(N390)*'Sollecitazioni nel paramento'!$G$54,'Sollecitazioni nel paramento'!$G$53)*IF(N390&lt;0,-1,1)</f>
        <v>240946.49743184328</v>
      </c>
      <c r="U390" s="545">
        <f>'Foglio deposito bis'!$F$52*IF(ABS(O390)&lt;'Sollecitazioni nel paramento'!$G$58,ABS(O390)*'Sollecitazioni nel paramento'!$G$54,'Sollecitazioni nel paramento'!$G$53)*IF(O390&lt;0,-1,1)</f>
        <v>240946.49743184328</v>
      </c>
      <c r="V390" s="472">
        <f t="shared" si="32"/>
        <v>-1311972.1530608982</v>
      </c>
      <c r="W390" s="551"/>
      <c r="X390" s="551"/>
    </row>
    <row r="391" spans="1:24" x14ac:dyDescent="0.25">
      <c r="A391" s="545">
        <f t="shared" si="31"/>
        <v>1350463.2108308754</v>
      </c>
      <c r="B391" s="3">
        <f t="shared" si="29"/>
        <v>12.299999999999978</v>
      </c>
      <c r="C391" s="545">
        <f>'Foglio deposito bis'!$E$154/sezione!$B$247*B391</f>
        <v>50.063826448979668</v>
      </c>
      <c r="D391" s="603">
        <f>-'Sollecitazioni nel paramento'!$G$47*'Sollecitazioni nel paramento'!$G$41*IF(DATI!$G$211="dx",DATI!$E$61,DATI!$E$64*DATI!$E$63)*1000*C391^2*sezione!$AD$5*(1-sezione!$AD$6)</f>
        <v>-55763715.856532916</v>
      </c>
      <c r="E391" s="545">
        <f>-'Foglio deposito bis'!$F$48*(C391-sezione!$AL$28)*IF(ABS(K391)&lt;'Sollecitazioni nel paramento'!$G$58,ABS(K391)*'Sollecitazioni nel paramento'!$G$54,'Sollecitazioni nel paramento'!$G$53)</f>
        <v>0</v>
      </c>
      <c r="F391" s="545">
        <f>-'Foglio deposito bis'!$F$49*(C391-sezione!$AM$28)*IF(ABS(L391)&lt;'Sollecitazioni nel paramento'!$G$58,ABS(L391)*'Sollecitazioni nel paramento'!$G$54,'Sollecitazioni nel paramento'!$G$53)</f>
        <v>744471.68370607414</v>
      </c>
      <c r="G391" s="545">
        <f>-'Foglio deposito bis'!$F$50*(C391-sezione!$AN$28)*IF(ABS(M391)&lt;'Sollecitazioni nel paramento'!$G$58,ABS(M391)*'Sollecitazioni nel paramento'!$G$54,'Sollecitazioni nel paramento'!$G$53)</f>
        <v>0</v>
      </c>
      <c r="H391" s="545">
        <f>-'Foglio deposito bis'!$F$51*(C391-sezione!$AO$28)*IF(ABS(N391)&lt;'Sollecitazioni nel paramento'!$G$58,ABS(N391)*'Sollecitazioni nel paramento'!$G$54,'Sollecitazioni nel paramento'!$G$53)</f>
        <v>26488735.958177593</v>
      </c>
      <c r="I391" s="472">
        <f>-'Foglio deposito bis'!$F$52*(C391-sezione!$AP$28)*IF(ABS(O391)&lt;'Sollecitazioni nel paramento'!$G$58,ABS(O391)*'Sollecitazioni nel paramento'!$G$54,'Sollecitazioni nel paramento'!$G$53)</f>
        <v>50773729.01853995</v>
      </c>
      <c r="J391" s="472">
        <f t="shared" si="30"/>
        <v>22243220.803890701</v>
      </c>
      <c r="K391" s="550">
        <f>'Sollecitazioni nel paramento'!$G$60*(sezione!$AL$28-C391)/C391</f>
        <v>-7.0356972428636073E-4</v>
      </c>
      <c r="L391" s="550">
        <f>'Sollecitazioni nel paramento'!$G$60*(sezione!$AM$28-C391)/C391</f>
        <v>6.9464541357045883E-4</v>
      </c>
      <c r="M391" s="551">
        <f>'Sollecitazioni nel paramento'!$G$60*(sezione!$AN$28-C391)/C391</f>
        <v>2.0928605514272786E-3</v>
      </c>
      <c r="N391" s="551">
        <f>'Sollecitazioni nel paramento'!$G$60*(sezione!$AO$28-C391)/C391</f>
        <v>7.6857211028545577E-3</v>
      </c>
      <c r="O391" s="551">
        <f>'Sollecitazioni nel paramento'!$G$60*(sezione!$AP$28-C391)/C391</f>
        <v>1.4732025008839229E-2</v>
      </c>
      <c r="P391" s="545">
        <f>-'Sollecitazioni nel paramento'!$G$47*'Sollecitazioni nel paramento'!$G$41*IF(DATI!$G$211="dx",DATI!$E$61,DATI!$E$64*DATI!$E$63)*1000*C391*sezione!$AD$5</f>
        <v>-1907281.5962267781</v>
      </c>
      <c r="Q391" s="545">
        <f>'Foglio deposito bis'!$F$48*IF(ABS(K391)&lt;'Sollecitazioni nel paramento'!$G$58,ABS(K391)*'Sollecitazioni nel paramento'!$G$54,'Sollecitazioni nel paramento'!$G$53)*IF(K391&lt;0,-1,1)</f>
        <v>0</v>
      </c>
      <c r="R391" s="545">
        <f>'Foglio deposito bis'!$F$49*IF(ABS(L391)&lt;'Sollecitazioni nel paramento'!$G$58,ABS(L391)*'Sollecitazioni nel paramento'!$G$54,'Sollecitazioni nel paramento'!$G$53)*IF(L391&lt;0,-1,1)</f>
        <v>74925.390532216028</v>
      </c>
      <c r="S391" s="545">
        <f>'Foglio deposito bis'!$F$50*IF(ABS(M391)&lt;'Sollecitazioni nel paramento'!$G$58,ABS(M391)*'Sollecitazioni nel paramento'!$G$54,'Sollecitazioni nel paramento'!$G$53)*IF(M391&lt;0,-1,1)</f>
        <v>0</v>
      </c>
      <c r="T391" s="545">
        <f>'Foglio deposito bis'!$F$51*IF(ABS(N391)&lt;'Sollecitazioni nel paramento'!$G$58,ABS(N391)*'Sollecitazioni nel paramento'!$G$54,'Sollecitazioni nel paramento'!$G$53)*IF(N391&lt;0,-1,1)</f>
        <v>240946.49743184328</v>
      </c>
      <c r="U391" s="545">
        <f>'Foglio deposito bis'!$F$52*IF(ABS(O391)&lt;'Sollecitazioni nel paramento'!$G$58,ABS(O391)*'Sollecitazioni nel paramento'!$G$54,'Sollecitazioni nel paramento'!$G$53)*IF(O391&lt;0,-1,1)</f>
        <v>240946.49743184328</v>
      </c>
      <c r="V391" s="472">
        <f t="shared" si="32"/>
        <v>-1350463.2108308754</v>
      </c>
      <c r="W391" s="551"/>
      <c r="X391" s="551"/>
    </row>
    <row r="392" spans="1:24" x14ac:dyDescent="0.25">
      <c r="A392" s="545">
        <f t="shared" si="31"/>
        <v>1388714.9614364295</v>
      </c>
      <c r="B392" s="3">
        <f t="shared" si="29"/>
        <v>12.499999999999977</v>
      </c>
      <c r="C392" s="545">
        <f>'Foglio deposito bis'!$E$154/sezione!$B$247*B392</f>
        <v>50.877872407499666</v>
      </c>
      <c r="D392" s="603">
        <f>-'Sollecitazioni nel paramento'!$G$47*'Sollecitazioni nel paramento'!$G$41*IF(DATI!$G$211="dx",DATI!$E$61,DATI!$E$64*DATI!$E$63)*1000*C392^2*sezione!$AD$5*(1-sezione!$AD$6)</f>
        <v>-57591913.560600631</v>
      </c>
      <c r="E392" s="545">
        <f>-'Foglio deposito bis'!$F$48*(C392-sezione!$AL$28)*IF(ABS(K392)&lt;'Sollecitazioni nel paramento'!$G$58,ABS(K392)*'Sollecitazioni nel paramento'!$G$54,'Sollecitazioni nel paramento'!$G$53)</f>
        <v>0</v>
      </c>
      <c r="F392" s="545">
        <f>-'Foglio deposito bis'!$F$49*(C392-sezione!$AM$28)*IF(ABS(L392)&lt;'Sollecitazioni nel paramento'!$G$58,ABS(L392)*'Sollecitazioni nel paramento'!$G$54,'Sollecitazioni nel paramento'!$G$53)</f>
        <v>617443.51010069484</v>
      </c>
      <c r="G392" s="545">
        <f>-'Foglio deposito bis'!$F$50*(C392-sezione!$AN$28)*IF(ABS(M392)&lt;'Sollecitazioni nel paramento'!$G$58,ABS(M392)*'Sollecitazioni nel paramento'!$G$54,'Sollecitazioni nel paramento'!$G$53)</f>
        <v>0</v>
      </c>
      <c r="H392" s="545">
        <f>-'Foglio deposito bis'!$F$51*(C392-sezione!$AO$28)*IF(ABS(N392)&lt;'Sollecitazioni nel paramento'!$G$58,ABS(N392)*'Sollecitazioni nel paramento'!$G$54,'Sollecitazioni nel paramento'!$G$53)</f>
        <v>26292594.435723655</v>
      </c>
      <c r="I392" s="472">
        <f>-'Foglio deposito bis'!$F$52*(C392-sezione!$AP$28)*IF(ABS(O392)&lt;'Sollecitazioni nel paramento'!$G$58,ABS(O392)*'Sollecitazioni nel paramento'!$G$54,'Sollecitazioni nel paramento'!$G$53)</f>
        <v>50577587.496086016</v>
      </c>
      <c r="J392" s="472">
        <f t="shared" si="30"/>
        <v>19895711.881309733</v>
      </c>
      <c r="K392" s="550">
        <f>'Sollecitazioni nel paramento'!$G$60*(sezione!$AL$28-C392)/C392</f>
        <v>-7.4831260869777914E-4</v>
      </c>
      <c r="L392" s="550">
        <f>'Sollecitazioni nel paramento'!$G$60*(sezione!$AM$28-C392)/C392</f>
        <v>6.2753108695333133E-4</v>
      </c>
      <c r="M392" s="551">
        <f>'Sollecitazioni nel paramento'!$G$60*(sezione!$AN$28-C392)/C392</f>
        <v>2.0033747826044418E-3</v>
      </c>
      <c r="N392" s="551">
        <f>'Sollecitazioni nel paramento'!$G$60*(sezione!$AO$28-C392)/C392</f>
        <v>7.5067495652088832E-3</v>
      </c>
      <c r="O392" s="551">
        <f>'Sollecitazioni nel paramento'!$G$60*(sezione!$AP$28-C392)/C392</f>
        <v>1.4440312608697803E-2</v>
      </c>
      <c r="P392" s="545">
        <f>-'Sollecitazioni nel paramento'!$G$47*'Sollecitazioni nel paramento'!$G$41*IF(DATI!$G$211="dx",DATI!$E$61,DATI!$E$64*DATI!$E$63)*1000*C392*sezione!$AD$5</f>
        <v>-1938294.3051085146</v>
      </c>
      <c r="Q392" s="545">
        <f>'Foglio deposito bis'!$F$48*IF(ABS(K392)&lt;'Sollecitazioni nel paramento'!$G$58,ABS(K392)*'Sollecitazioni nel paramento'!$G$54,'Sollecitazioni nel paramento'!$G$53)*IF(K392&lt;0,-1,1)</f>
        <v>0</v>
      </c>
      <c r="R392" s="545">
        <f>'Foglio deposito bis'!$F$49*IF(ABS(L392)&lt;'Sollecitazioni nel paramento'!$G$58,ABS(L392)*'Sollecitazioni nel paramento'!$G$54,'Sollecitazioni nel paramento'!$G$53)*IF(L392&lt;0,-1,1)</f>
        <v>67686.348808398587</v>
      </c>
      <c r="S392" s="545">
        <f>'Foglio deposito bis'!$F$50*IF(ABS(M392)&lt;'Sollecitazioni nel paramento'!$G$58,ABS(M392)*'Sollecitazioni nel paramento'!$G$54,'Sollecitazioni nel paramento'!$G$53)*IF(M392&lt;0,-1,1)</f>
        <v>0</v>
      </c>
      <c r="T392" s="545">
        <f>'Foglio deposito bis'!$F$51*IF(ABS(N392)&lt;'Sollecitazioni nel paramento'!$G$58,ABS(N392)*'Sollecitazioni nel paramento'!$G$54,'Sollecitazioni nel paramento'!$G$53)*IF(N392&lt;0,-1,1)</f>
        <v>240946.49743184328</v>
      </c>
      <c r="U392" s="545">
        <f>'Foglio deposito bis'!$F$52*IF(ABS(O392)&lt;'Sollecitazioni nel paramento'!$G$58,ABS(O392)*'Sollecitazioni nel paramento'!$G$54,'Sollecitazioni nel paramento'!$G$53)*IF(O392&lt;0,-1,1)</f>
        <v>240946.49743184328</v>
      </c>
      <c r="V392" s="472">
        <f t="shared" si="32"/>
        <v>-1388714.9614364295</v>
      </c>
      <c r="W392" s="551"/>
      <c r="X392" s="551"/>
    </row>
    <row r="393" spans="1:24" x14ac:dyDescent="0.25">
      <c r="A393" s="545">
        <f t="shared" si="31"/>
        <v>1426738.7107278469</v>
      </c>
      <c r="B393" s="3">
        <f t="shared" si="29"/>
        <v>12.699999999999976</v>
      </c>
      <c r="C393" s="545">
        <f>'Foglio deposito bis'!$E$154/sezione!$B$247*B393</f>
        <v>51.691918366019657</v>
      </c>
      <c r="D393" s="603">
        <f>-'Sollecitazioni nel paramento'!$G$47*'Sollecitazioni nel paramento'!$G$41*IF(DATI!$G$211="dx",DATI!$E$61,DATI!$E$64*DATI!$E$63)*1000*C393^2*sezione!$AD$5*(1-sezione!$AD$6)</f>
        <v>-59449598.324411362</v>
      </c>
      <c r="E393" s="545">
        <f>-'Foglio deposito bis'!$F$48*(C393-sezione!$AL$28)*IF(ABS(K393)&lt;'Sollecitazioni nel paramento'!$G$58,ABS(K393)*'Sollecitazioni nel paramento'!$G$54,'Sollecitazioni nel paramento'!$G$53)</f>
        <v>0</v>
      </c>
      <c r="F393" s="545">
        <f>-'Foglio deposito bis'!$F$49*(C393-sezione!$AM$28)*IF(ABS(L393)&lt;'Sollecitazioni nel paramento'!$G$58,ABS(L393)*'Sollecitazioni nel paramento'!$G$54,'Sollecitazioni nel paramento'!$G$53)</f>
        <v>504095.41534347535</v>
      </c>
      <c r="G393" s="545">
        <f>-'Foglio deposito bis'!$F$50*(C393-sezione!$AN$28)*IF(ABS(M393)&lt;'Sollecitazioni nel paramento'!$G$58,ABS(M393)*'Sollecitazioni nel paramento'!$G$54,'Sollecitazioni nel paramento'!$G$53)</f>
        <v>0</v>
      </c>
      <c r="H393" s="545">
        <f>-'Foglio deposito bis'!$F$51*(C393-sezione!$AO$28)*IF(ABS(N393)&lt;'Sollecitazioni nel paramento'!$G$58,ABS(N393)*'Sollecitazioni nel paramento'!$G$54,'Sollecitazioni nel paramento'!$G$53)</f>
        <v>26096452.913269717</v>
      </c>
      <c r="I393" s="472">
        <f>-'Foglio deposito bis'!$F$52*(C393-sezione!$AP$28)*IF(ABS(O393)&lt;'Sollecitazioni nel paramento'!$G$58,ABS(O393)*'Sollecitazioni nel paramento'!$G$54,'Sollecitazioni nel paramento'!$G$53)</f>
        <v>50381445.973632075</v>
      </c>
      <c r="J393" s="472">
        <f t="shared" si="30"/>
        <v>17532395.977833908</v>
      </c>
      <c r="K393" s="550">
        <f>'Sollecitazioni nel paramento'!$G$60*(sezione!$AL$28-C393)/C393</f>
        <v>-7.9164626840332573E-4</v>
      </c>
      <c r="L393" s="550">
        <f>'Sollecitazioni nel paramento'!$G$60*(sezione!$AM$28-C393)/C393</f>
        <v>5.6253059739501149E-4</v>
      </c>
      <c r="M393" s="551">
        <f>'Sollecitazioni nel paramento'!$G$60*(sezione!$AN$28-C393)/C393</f>
        <v>1.9167074631933488E-3</v>
      </c>
      <c r="N393" s="551">
        <f>'Sollecitazioni nel paramento'!$G$60*(sezione!$AO$28-C393)/C393</f>
        <v>7.3334149263866973E-3</v>
      </c>
      <c r="O393" s="551">
        <f>'Sollecitazioni nel paramento'!$G$60*(sezione!$AP$28-C393)/C393</f>
        <v>1.4157788000686814E-2</v>
      </c>
      <c r="P393" s="545">
        <f>-'Sollecitazioni nel paramento'!$G$47*'Sollecitazioni nel paramento'!$G$41*IF(DATI!$G$211="dx",DATI!$E$61,DATI!$E$64*DATI!$E$63)*1000*C393*sezione!$AD$5</f>
        <v>-1969307.0139902506</v>
      </c>
      <c r="Q393" s="545">
        <f>'Foglio deposito bis'!$F$48*IF(ABS(K393)&lt;'Sollecitazioni nel paramento'!$G$58,ABS(K393)*'Sollecitazioni nel paramento'!$G$54,'Sollecitazioni nel paramento'!$G$53)*IF(K393&lt;0,-1,1)</f>
        <v>0</v>
      </c>
      <c r="R393" s="545">
        <f>'Foglio deposito bis'!$F$49*IF(ABS(L393)&lt;'Sollecitazioni nel paramento'!$G$58,ABS(L393)*'Sollecitazioni nel paramento'!$G$54,'Sollecitazioni nel paramento'!$G$53)*IF(L393&lt;0,-1,1)</f>
        <v>60675.30839871717</v>
      </c>
      <c r="S393" s="545">
        <f>'Foglio deposito bis'!$F$50*IF(ABS(M393)&lt;'Sollecitazioni nel paramento'!$G$58,ABS(M393)*'Sollecitazioni nel paramento'!$G$54,'Sollecitazioni nel paramento'!$G$53)*IF(M393&lt;0,-1,1)</f>
        <v>0</v>
      </c>
      <c r="T393" s="545">
        <f>'Foglio deposito bis'!$F$51*IF(ABS(N393)&lt;'Sollecitazioni nel paramento'!$G$58,ABS(N393)*'Sollecitazioni nel paramento'!$G$54,'Sollecitazioni nel paramento'!$G$53)*IF(N393&lt;0,-1,1)</f>
        <v>240946.49743184328</v>
      </c>
      <c r="U393" s="545">
        <f>'Foglio deposito bis'!$F$52*IF(ABS(O393)&lt;'Sollecitazioni nel paramento'!$G$58,ABS(O393)*'Sollecitazioni nel paramento'!$G$54,'Sollecitazioni nel paramento'!$G$53)*IF(O393&lt;0,-1,1)</f>
        <v>240946.49743184328</v>
      </c>
      <c r="V393" s="472">
        <f t="shared" si="32"/>
        <v>-1426738.7107278469</v>
      </c>
      <c r="W393" s="551"/>
      <c r="X393" s="551"/>
    </row>
    <row r="394" spans="1:24" x14ac:dyDescent="0.25">
      <c r="A394" s="545">
        <f t="shared" si="31"/>
        <v>1464545.0634174135</v>
      </c>
      <c r="B394" s="3">
        <f t="shared" si="29"/>
        <v>12.899999999999975</v>
      </c>
      <c r="C394" s="545">
        <f>'Foglio deposito bis'!$E$154/sezione!$B$247*B394</f>
        <v>52.505964324539647</v>
      </c>
      <c r="D394" s="603">
        <f>-'Sollecitazioni nel paramento'!$G$47*'Sollecitazioni nel paramento'!$G$41*IF(DATI!$G$211="dx",DATI!$E$61,DATI!$E$64*DATI!$E$63)*1000*C394^2*sezione!$AD$5*(1-sezione!$AD$6)</f>
        <v>-61336770.147965111</v>
      </c>
      <c r="E394" s="545">
        <f>-'Foglio deposito bis'!$F$48*(C394-sezione!$AL$28)*IF(ABS(K394)&lt;'Sollecitazioni nel paramento'!$G$58,ABS(K394)*'Sollecitazioni nel paramento'!$G$54,'Sollecitazioni nel paramento'!$G$53)</f>
        <v>0</v>
      </c>
      <c r="F394" s="545">
        <f>-'Foglio deposito bis'!$F$49*(C394-sezione!$AM$28)*IF(ABS(L394)&lt;'Sollecitazioni nel paramento'!$G$58,ABS(L394)*'Sollecitazioni nel paramento'!$G$54,'Sollecitazioni nel paramento'!$G$53)</f>
        <v>403791.11669729115</v>
      </c>
      <c r="G394" s="545">
        <f>-'Foglio deposito bis'!$F$50*(C394-sezione!$AN$28)*IF(ABS(M394)&lt;'Sollecitazioni nel paramento'!$G$58,ABS(M394)*'Sollecitazioni nel paramento'!$G$54,'Sollecitazioni nel paramento'!$G$53)</f>
        <v>0</v>
      </c>
      <c r="H394" s="545">
        <f>-'Foglio deposito bis'!$F$51*(C394-sezione!$AO$28)*IF(ABS(N394)&lt;'Sollecitazioni nel paramento'!$G$58,ABS(N394)*'Sollecitazioni nel paramento'!$G$54,'Sollecitazioni nel paramento'!$G$53)</f>
        <v>25900311.390815776</v>
      </c>
      <c r="I394" s="472">
        <f>-'Foglio deposito bis'!$F$52*(C394-sezione!$AP$28)*IF(ABS(O394)&lt;'Sollecitazioni nel paramento'!$G$58,ABS(O394)*'Sollecitazioni nel paramento'!$G$54,'Sollecitazioni nel paramento'!$G$53)</f>
        <v>50185304.451178133</v>
      </c>
      <c r="J394" s="472">
        <f t="shared" si="30"/>
        <v>15152636.810726091</v>
      </c>
      <c r="K394" s="550">
        <f>'Sollecitazioni nel paramento'!$G$60*(sezione!$AL$28-C394)/C394</f>
        <v>-8.3363624873815769E-4</v>
      </c>
      <c r="L394" s="550">
        <f>'Sollecitazioni nel paramento'!$G$60*(sezione!$AM$28-C394)/C394</f>
        <v>4.9954562689276361E-4</v>
      </c>
      <c r="M394" s="551">
        <f>'Sollecitazioni nel paramento'!$G$60*(sezione!$AN$28-C394)/C394</f>
        <v>1.8327275025236847E-3</v>
      </c>
      <c r="N394" s="551">
        <f>'Sollecitazioni nel paramento'!$G$60*(sezione!$AO$28-C394)/C394</f>
        <v>7.1654550050473699E-3</v>
      </c>
      <c r="O394" s="551">
        <f>'Sollecitazioni nel paramento'!$G$60*(sezione!$AP$28-C394)/C394</f>
        <v>1.3884023845637406E-2</v>
      </c>
      <c r="P394" s="545">
        <f>-'Sollecitazioni nel paramento'!$G$47*'Sollecitazioni nel paramento'!$G$41*IF(DATI!$G$211="dx",DATI!$E$61,DATI!$E$64*DATI!$E$63)*1000*C394*sezione!$AD$5</f>
        <v>-2000319.7228719865</v>
      </c>
      <c r="Q394" s="545">
        <f>'Foglio deposito bis'!$F$48*IF(ABS(K394)&lt;'Sollecitazioni nel paramento'!$G$58,ABS(K394)*'Sollecitazioni nel paramento'!$G$54,'Sollecitazioni nel paramento'!$G$53)*IF(K394&lt;0,-1,1)</f>
        <v>0</v>
      </c>
      <c r="R394" s="545">
        <f>'Foglio deposito bis'!$F$49*IF(ABS(L394)&lt;'Sollecitazioni nel paramento'!$G$58,ABS(L394)*'Sollecitazioni nel paramento'!$G$54,'Sollecitazioni nel paramento'!$G$53)*IF(L394&lt;0,-1,1)</f>
        <v>53881.66459088635</v>
      </c>
      <c r="S394" s="545">
        <f>'Foglio deposito bis'!$F$50*IF(ABS(M394)&lt;'Sollecitazioni nel paramento'!$G$58,ABS(M394)*'Sollecitazioni nel paramento'!$G$54,'Sollecitazioni nel paramento'!$G$53)*IF(M394&lt;0,-1,1)</f>
        <v>0</v>
      </c>
      <c r="T394" s="545">
        <f>'Foglio deposito bis'!$F$51*IF(ABS(N394)&lt;'Sollecitazioni nel paramento'!$G$58,ABS(N394)*'Sollecitazioni nel paramento'!$G$54,'Sollecitazioni nel paramento'!$G$53)*IF(N394&lt;0,-1,1)</f>
        <v>240946.49743184328</v>
      </c>
      <c r="U394" s="545">
        <f>'Foglio deposito bis'!$F$52*IF(ABS(O394)&lt;'Sollecitazioni nel paramento'!$G$58,ABS(O394)*'Sollecitazioni nel paramento'!$G$54,'Sollecitazioni nel paramento'!$G$53)*IF(O394&lt;0,-1,1)</f>
        <v>240946.49743184328</v>
      </c>
      <c r="V394" s="472">
        <f t="shared" si="32"/>
        <v>-1464545.0634174135</v>
      </c>
      <c r="W394" s="551"/>
      <c r="X394" s="551"/>
    </row>
    <row r="395" spans="1:24" x14ac:dyDescent="0.25">
      <c r="A395" s="545">
        <f t="shared" si="31"/>
        <v>1502143.9766013983</v>
      </c>
      <c r="B395" s="3">
        <f t="shared" si="29"/>
        <v>13.099999999999975</v>
      </c>
      <c r="C395" s="545">
        <f>'Foglio deposito bis'!$E$154/sezione!$B$247*B395</f>
        <v>53.320010283059645</v>
      </c>
      <c r="D395" s="603">
        <f>-'Sollecitazioni nel paramento'!$G$47*'Sollecitazioni nel paramento'!$G$41*IF(DATI!$G$211="dx",DATI!$E$61,DATI!$E$64*DATI!$E$63)*1000*C395^2*sezione!$AD$5*(1-sezione!$AD$6)</f>
        <v>-63253429.031261899</v>
      </c>
      <c r="E395" s="545">
        <f>-'Foglio deposito bis'!$F$48*(C395-sezione!$AL$28)*IF(ABS(K395)&lt;'Sollecitazioni nel paramento'!$G$58,ABS(K395)*'Sollecitazioni nel paramento'!$G$54,'Sollecitazioni nel paramento'!$G$53)</f>
        <v>0</v>
      </c>
      <c r="F395" s="545">
        <f>-'Foglio deposito bis'!$F$49*(C395-sezione!$AM$28)*IF(ABS(L395)&lt;'Sollecitazioni nel paramento'!$G$58,ABS(L395)*'Sollecitazioni nel paramento'!$G$54,'Sollecitazioni nel paramento'!$G$53)</f>
        <v>315933.18838606327</v>
      </c>
      <c r="G395" s="545">
        <f>-'Foglio deposito bis'!$F$50*(C395-sezione!$AN$28)*IF(ABS(M395)&lt;'Sollecitazioni nel paramento'!$G$58,ABS(M395)*'Sollecitazioni nel paramento'!$G$54,'Sollecitazioni nel paramento'!$G$53)</f>
        <v>0</v>
      </c>
      <c r="H395" s="545">
        <f>-'Foglio deposito bis'!$F$51*(C395-sezione!$AO$28)*IF(ABS(N395)&lt;'Sollecitazioni nel paramento'!$G$58,ABS(N395)*'Sollecitazioni nel paramento'!$G$54,'Sollecitazioni nel paramento'!$G$53)</f>
        <v>25704169.868361838</v>
      </c>
      <c r="I395" s="472">
        <f>-'Foglio deposito bis'!$F$52*(C395-sezione!$AP$28)*IF(ABS(O395)&lt;'Sollecitazioni nel paramento'!$G$58,ABS(O395)*'Sollecitazioni nel paramento'!$G$54,'Sollecitazioni nel paramento'!$G$53)</f>
        <v>49989162.928724192</v>
      </c>
      <c r="J395" s="472">
        <f t="shared" si="30"/>
        <v>12755836.954210192</v>
      </c>
      <c r="K395" s="550">
        <f>'Sollecitazioni nel paramento'!$G$60*(sezione!$AL$28-C395)/C395</f>
        <v>-8.7434409226887287E-4</v>
      </c>
      <c r="L395" s="550">
        <f>'Sollecitazioni nel paramento'!$G$60*(sezione!$AM$28-C395)/C395</f>
        <v>4.3848386159669057E-4</v>
      </c>
      <c r="M395" s="551">
        <f>'Sollecitazioni nel paramento'!$G$60*(sezione!$AN$28-C395)/C395</f>
        <v>1.7513118154622541E-3</v>
      </c>
      <c r="N395" s="551">
        <f>'Sollecitazioni nel paramento'!$G$60*(sezione!$AO$28-C395)/C395</f>
        <v>7.0026236309245083E-3</v>
      </c>
      <c r="O395" s="551">
        <f>'Sollecitazioni nel paramento'!$G$60*(sezione!$AP$28-C395)/C395</f>
        <v>1.3618618901429203E-2</v>
      </c>
      <c r="P395" s="545">
        <f>-'Sollecitazioni nel paramento'!$G$47*'Sollecitazioni nel paramento'!$G$41*IF(DATI!$G$211="dx",DATI!$E$61,DATI!$E$64*DATI!$E$63)*1000*C395*sezione!$AD$5</f>
        <v>-2031332.431753723</v>
      </c>
      <c r="Q395" s="545">
        <f>'Foglio deposito bis'!$F$48*IF(ABS(K395)&lt;'Sollecitazioni nel paramento'!$G$58,ABS(K395)*'Sollecitazioni nel paramento'!$G$54,'Sollecitazioni nel paramento'!$G$53)*IF(K395&lt;0,-1,1)</f>
        <v>0</v>
      </c>
      <c r="R395" s="545">
        <f>'Foglio deposito bis'!$F$49*IF(ABS(L395)&lt;'Sollecitazioni nel paramento'!$G$58,ABS(L395)*'Sollecitazioni nel paramento'!$G$54,'Sollecitazioni nel paramento'!$G$53)*IF(L395&lt;0,-1,1)</f>
        <v>47295.460288638074</v>
      </c>
      <c r="S395" s="545">
        <f>'Foglio deposito bis'!$F$50*IF(ABS(M395)&lt;'Sollecitazioni nel paramento'!$G$58,ABS(M395)*'Sollecitazioni nel paramento'!$G$54,'Sollecitazioni nel paramento'!$G$53)*IF(M395&lt;0,-1,1)</f>
        <v>0</v>
      </c>
      <c r="T395" s="545">
        <f>'Foglio deposito bis'!$F$51*IF(ABS(N395)&lt;'Sollecitazioni nel paramento'!$G$58,ABS(N395)*'Sollecitazioni nel paramento'!$G$54,'Sollecitazioni nel paramento'!$G$53)*IF(N395&lt;0,-1,1)</f>
        <v>240946.49743184328</v>
      </c>
      <c r="U395" s="545">
        <f>'Foglio deposito bis'!$F$52*IF(ABS(O395)&lt;'Sollecitazioni nel paramento'!$G$58,ABS(O395)*'Sollecitazioni nel paramento'!$G$54,'Sollecitazioni nel paramento'!$G$53)*IF(O395&lt;0,-1,1)</f>
        <v>240946.49743184328</v>
      </c>
      <c r="V395" s="472">
        <f t="shared" si="32"/>
        <v>-1502143.9766013983</v>
      </c>
      <c r="W395" s="551"/>
      <c r="X395" s="551"/>
    </row>
    <row r="396" spans="1:24" x14ac:dyDescent="0.25">
      <c r="A396" s="545">
        <f t="shared" si="31"/>
        <v>1539544.8084529841</v>
      </c>
      <c r="B396" s="3">
        <f t="shared" si="29"/>
        <v>13.299999999999974</v>
      </c>
      <c r="C396" s="545">
        <f>'Foglio deposito bis'!$E$154/sezione!$B$247*B396</f>
        <v>54.134056241579636</v>
      </c>
      <c r="D396" s="603">
        <f>-'Sollecitazioni nel paramento'!$G$47*'Sollecitazioni nel paramento'!$G$41*IF(DATI!$G$211="dx",DATI!$E$61,DATI!$E$64*DATI!$E$63)*1000*C396^2*sezione!$AD$5*(1-sezione!$AD$6)</f>
        <v>-65199574.974301711</v>
      </c>
      <c r="E396" s="545">
        <f>-'Foglio deposito bis'!$F$48*(C396-sezione!$AL$28)*IF(ABS(K396)&lt;'Sollecitazioni nel paramento'!$G$58,ABS(K396)*'Sollecitazioni nel paramento'!$G$54,'Sollecitazioni nel paramento'!$G$53)</f>
        <v>0</v>
      </c>
      <c r="F396" s="545">
        <f>-'Foglio deposito bis'!$F$49*(C396-sezione!$AM$28)*IF(ABS(L396)&lt;'Sollecitazioni nel paramento'!$G$58,ABS(L396)*'Sollecitazioni nel paramento'!$G$54,'Sollecitazioni nel paramento'!$G$53)</f>
        <v>239960.14001874268</v>
      </c>
      <c r="G396" s="545">
        <f>-'Foglio deposito bis'!$F$50*(C396-sezione!$AN$28)*IF(ABS(M396)&lt;'Sollecitazioni nel paramento'!$G$58,ABS(M396)*'Sollecitazioni nel paramento'!$G$54,'Sollecitazioni nel paramento'!$G$53)</f>
        <v>0</v>
      </c>
      <c r="H396" s="545">
        <f>-'Foglio deposito bis'!$F$51*(C396-sezione!$AO$28)*IF(ABS(N396)&lt;'Sollecitazioni nel paramento'!$G$58,ABS(N396)*'Sollecitazioni nel paramento'!$G$54,'Sollecitazioni nel paramento'!$G$53)</f>
        <v>25508028.3459079</v>
      </c>
      <c r="I396" s="472">
        <f>-'Foglio deposito bis'!$F$52*(C396-sezione!$AP$28)*IF(ABS(O396)&lt;'Sollecitazioni nel paramento'!$G$58,ABS(O396)*'Sollecitazioni nel paramento'!$G$54,'Sollecitazioni nel paramento'!$G$53)</f>
        <v>49793021.406270258</v>
      </c>
      <c r="J396" s="472">
        <f t="shared" si="30"/>
        <v>10341434.91789519</v>
      </c>
      <c r="K396" s="550">
        <f>'Sollecitazioni nel paramento'!$G$60*(sezione!$AL$28-C396)/C396</f>
        <v>-9.1382763975355133E-4</v>
      </c>
      <c r="L396" s="550">
        <f>'Sollecitazioni nel paramento'!$G$60*(sezione!$AM$28-C396)/C396</f>
        <v>3.7925854036967294E-4</v>
      </c>
      <c r="M396" s="551">
        <f>'Sollecitazioni nel paramento'!$G$60*(sezione!$AN$28-C396)/C396</f>
        <v>1.6723447204928972E-3</v>
      </c>
      <c r="N396" s="551">
        <f>'Sollecitazioni nel paramento'!$G$60*(sezione!$AO$28-C396)/C396</f>
        <v>6.8446894409857949E-3</v>
      </c>
      <c r="O396" s="551">
        <f>'Sollecitazioni nel paramento'!$G$60*(sezione!$AP$28-C396)/C396</f>
        <v>1.3361196060806208E-2</v>
      </c>
      <c r="P396" s="545">
        <f>-'Sollecitazioni nel paramento'!$G$47*'Sollecitazioni nel paramento'!$G$41*IF(DATI!$G$211="dx",DATI!$E$61,DATI!$E$64*DATI!$E$63)*1000*C396*sezione!$AD$5</f>
        <v>-2062345.140635459</v>
      </c>
      <c r="Q396" s="545">
        <f>'Foglio deposito bis'!$F$48*IF(ABS(K396)&lt;'Sollecitazioni nel paramento'!$G$58,ABS(K396)*'Sollecitazioni nel paramento'!$G$54,'Sollecitazioni nel paramento'!$G$53)*IF(K396&lt;0,-1,1)</f>
        <v>0</v>
      </c>
      <c r="R396" s="545">
        <f>'Foglio deposito bis'!$F$49*IF(ABS(L396)&lt;'Sollecitazioni nel paramento'!$G$58,ABS(L396)*'Sollecitazioni nel paramento'!$G$54,'Sollecitazioni nel paramento'!$G$53)*IF(L396&lt;0,-1,1)</f>
        <v>40907.337318788304</v>
      </c>
      <c r="S396" s="545">
        <f>'Foglio deposito bis'!$F$50*IF(ABS(M396)&lt;'Sollecitazioni nel paramento'!$G$58,ABS(M396)*'Sollecitazioni nel paramento'!$G$54,'Sollecitazioni nel paramento'!$G$53)*IF(M396&lt;0,-1,1)</f>
        <v>0</v>
      </c>
      <c r="T396" s="545">
        <f>'Foglio deposito bis'!$F$51*IF(ABS(N396)&lt;'Sollecitazioni nel paramento'!$G$58,ABS(N396)*'Sollecitazioni nel paramento'!$G$54,'Sollecitazioni nel paramento'!$G$53)*IF(N396&lt;0,-1,1)</f>
        <v>240946.49743184328</v>
      </c>
      <c r="U396" s="545">
        <f>'Foglio deposito bis'!$F$52*IF(ABS(O396)&lt;'Sollecitazioni nel paramento'!$G$58,ABS(O396)*'Sollecitazioni nel paramento'!$G$54,'Sollecitazioni nel paramento'!$G$53)*IF(O396&lt;0,-1,1)</f>
        <v>240946.49743184328</v>
      </c>
      <c r="V396" s="472">
        <f t="shared" si="32"/>
        <v>-1539544.8084529841</v>
      </c>
      <c r="W396" s="551"/>
      <c r="X396" s="551"/>
    </row>
    <row r="397" spans="1:24" x14ac:dyDescent="0.25">
      <c r="A397" s="545">
        <f t="shared" si="31"/>
        <v>1576756.3625869451</v>
      </c>
      <c r="B397" s="3">
        <f t="shared" si="29"/>
        <v>13.499999999999973</v>
      </c>
      <c r="C397" s="545">
        <f>'Foglio deposito bis'!$E$154/sezione!$B$247*B397</f>
        <v>54.948102200099633</v>
      </c>
      <c r="D397" s="603">
        <f>-'Sollecitazioni nel paramento'!$G$47*'Sollecitazioni nel paramento'!$G$41*IF(DATI!$G$211="dx",DATI!$E$61,DATI!$E$64*DATI!$E$63)*1000*C397^2*sezione!$AD$5*(1-sezione!$AD$6)</f>
        <v>-67175207.977084562</v>
      </c>
      <c r="E397" s="545">
        <f>-'Foglio deposito bis'!$F$48*(C397-sezione!$AL$28)*IF(ABS(K397)&lt;'Sollecitazioni nel paramento'!$G$58,ABS(K397)*'Sollecitazioni nel paramento'!$G$54,'Sollecitazioni nel paramento'!$G$53)</f>
        <v>0</v>
      </c>
      <c r="F397" s="545">
        <f>-'Foglio deposito bis'!$F$49*(C397-sezione!$AM$28)*IF(ABS(L397)&lt;'Sollecitazioni nel paramento'!$G$58,ABS(L397)*'Sollecitazioni nel paramento'!$G$54,'Sollecitazioni nel paramento'!$G$53)</f>
        <v>175343.75470893228</v>
      </c>
      <c r="G397" s="545">
        <f>-'Foglio deposito bis'!$F$50*(C397-sezione!$AN$28)*IF(ABS(M397)&lt;'Sollecitazioni nel paramento'!$G$58,ABS(M397)*'Sollecitazioni nel paramento'!$G$54,'Sollecitazioni nel paramento'!$G$53)</f>
        <v>0</v>
      </c>
      <c r="H397" s="545">
        <f>-'Foglio deposito bis'!$F$51*(C397-sezione!$AO$28)*IF(ABS(N397)&lt;'Sollecitazioni nel paramento'!$G$58,ABS(N397)*'Sollecitazioni nel paramento'!$G$54,'Sollecitazioni nel paramento'!$G$53)</f>
        <v>25311886.823453952</v>
      </c>
      <c r="I397" s="472">
        <f>-'Foglio deposito bis'!$F$52*(C397-sezione!$AP$28)*IF(ABS(O397)&lt;'Sollecitazioni nel paramento'!$G$58,ABS(O397)*'Sollecitazioni nel paramento'!$G$54,'Sollecitazioni nel paramento'!$G$53)</f>
        <v>49596879.883816317</v>
      </c>
      <c r="J397" s="472">
        <f t="shared" si="30"/>
        <v>7908902.4848946333</v>
      </c>
      <c r="K397" s="550">
        <f>'Sollecitazioni nel paramento'!$G$60*(sezione!$AL$28-C397)/C397</f>
        <v>-9.5214130434979525E-4</v>
      </c>
      <c r="L397" s="550">
        <f>'Sollecitazioni nel paramento'!$G$60*(sezione!$AM$28-C397)/C397</f>
        <v>3.2178804347530722E-4</v>
      </c>
      <c r="M397" s="551">
        <f>'Sollecitazioni nel paramento'!$G$60*(sezione!$AN$28-C397)/C397</f>
        <v>1.5957173913004096E-3</v>
      </c>
      <c r="N397" s="551">
        <f>'Sollecitazioni nel paramento'!$G$60*(sezione!$AO$28-C397)/C397</f>
        <v>6.6914347826008188E-3</v>
      </c>
      <c r="O397" s="551">
        <f>'Sollecitazioni nel paramento'!$G$60*(sezione!$AP$28-C397)/C397</f>
        <v>1.3111400563609077E-2</v>
      </c>
      <c r="P397" s="545">
        <f>-'Sollecitazioni nel paramento'!$G$47*'Sollecitazioni nel paramento'!$G$41*IF(DATI!$G$211="dx",DATI!$E$61,DATI!$E$64*DATI!$E$63)*1000*C397*sezione!$AD$5</f>
        <v>-2093357.8495171953</v>
      </c>
      <c r="Q397" s="545">
        <f>'Foglio deposito bis'!$F$48*IF(ABS(K397)&lt;'Sollecitazioni nel paramento'!$G$58,ABS(K397)*'Sollecitazioni nel paramento'!$G$54,'Sollecitazioni nel paramento'!$G$53)*IF(K397&lt;0,-1,1)</f>
        <v>0</v>
      </c>
      <c r="R397" s="545">
        <f>'Foglio deposito bis'!$F$49*IF(ABS(L397)&lt;'Sollecitazioni nel paramento'!$G$58,ABS(L397)*'Sollecitazioni nel paramento'!$G$54,'Sollecitazioni nel paramento'!$G$53)*IF(L397&lt;0,-1,1)</f>
        <v>34708.49206656366</v>
      </c>
      <c r="S397" s="545">
        <f>'Foglio deposito bis'!$F$50*IF(ABS(M397)&lt;'Sollecitazioni nel paramento'!$G$58,ABS(M397)*'Sollecitazioni nel paramento'!$G$54,'Sollecitazioni nel paramento'!$G$53)*IF(M397&lt;0,-1,1)</f>
        <v>0</v>
      </c>
      <c r="T397" s="545">
        <f>'Foglio deposito bis'!$F$51*IF(ABS(N397)&lt;'Sollecitazioni nel paramento'!$G$58,ABS(N397)*'Sollecitazioni nel paramento'!$G$54,'Sollecitazioni nel paramento'!$G$53)*IF(N397&lt;0,-1,1)</f>
        <v>240946.49743184328</v>
      </c>
      <c r="U397" s="545">
        <f>'Foglio deposito bis'!$F$52*IF(ABS(O397)&lt;'Sollecitazioni nel paramento'!$G$58,ABS(O397)*'Sollecitazioni nel paramento'!$G$54,'Sollecitazioni nel paramento'!$G$53)*IF(O397&lt;0,-1,1)</f>
        <v>240946.49743184328</v>
      </c>
      <c r="V397" s="472">
        <f t="shared" si="32"/>
        <v>-1576756.3625869451</v>
      </c>
      <c r="W397" s="551"/>
      <c r="X397" s="551"/>
    </row>
    <row r="398" spans="1:24" x14ac:dyDescent="0.25">
      <c r="A398" s="545">
        <f t="shared" si="31"/>
        <v>1613786.928538359</v>
      </c>
      <c r="B398" s="3">
        <f t="shared" si="29"/>
        <v>13.699999999999973</v>
      </c>
      <c r="C398" s="545">
        <f>'Foglio deposito bis'!$E$154/sezione!$B$247*B398</f>
        <v>55.762148158619624</v>
      </c>
      <c r="D398" s="603">
        <f>-'Sollecitazioni nel paramento'!$G$47*'Sollecitazioni nel paramento'!$G$41*IF(DATI!$G$211="dx",DATI!$E$61,DATI!$E$64*DATI!$E$63)*1000*C398^2*sezione!$AD$5*(1-sezione!$AD$6)</f>
        <v>-69180328.039610431</v>
      </c>
      <c r="E398" s="545">
        <f>-'Foglio deposito bis'!$F$48*(C398-sezione!$AL$28)*IF(ABS(K398)&lt;'Sollecitazioni nel paramento'!$G$58,ABS(K398)*'Sollecitazioni nel paramento'!$G$54,'Sollecitazioni nel paramento'!$G$53)</f>
        <v>0</v>
      </c>
      <c r="F398" s="545">
        <f>-'Foglio deposito bis'!$F$49*(C398-sezione!$AM$28)*IF(ABS(L398)&lt;'Sollecitazioni nel paramento'!$G$58,ABS(L398)*'Sollecitazioni nel paramento'!$G$54,'Sollecitazioni nel paramento'!$G$53)</f>
        <v>121586.66035192464</v>
      </c>
      <c r="G398" s="545">
        <f>-'Foglio deposito bis'!$F$50*(C398-sezione!$AN$28)*IF(ABS(M398)&lt;'Sollecitazioni nel paramento'!$G$58,ABS(M398)*'Sollecitazioni nel paramento'!$G$54,'Sollecitazioni nel paramento'!$G$53)</f>
        <v>0</v>
      </c>
      <c r="H398" s="545">
        <f>-'Foglio deposito bis'!$F$51*(C398-sezione!$AO$28)*IF(ABS(N398)&lt;'Sollecitazioni nel paramento'!$G$58,ABS(N398)*'Sollecitazioni nel paramento'!$G$54,'Sollecitazioni nel paramento'!$G$53)</f>
        <v>25115745.301000014</v>
      </c>
      <c r="I398" s="472">
        <f>-'Foglio deposito bis'!$F$52*(C398-sezione!$AP$28)*IF(ABS(O398)&lt;'Sollecitazioni nel paramento'!$G$58,ABS(O398)*'Sollecitazioni nel paramento'!$G$54,'Sollecitazioni nel paramento'!$G$53)</f>
        <v>49400738.361362375</v>
      </c>
      <c r="J398" s="472">
        <f t="shared" si="30"/>
        <v>5457742.2831038907</v>
      </c>
      <c r="K398" s="550">
        <f>'Sollecitazioni nel paramento'!$G$60*(sezione!$AL$28-C398)/C398</f>
        <v>-9.893363218045426E-4</v>
      </c>
      <c r="L398" s="550">
        <f>'Sollecitazioni nel paramento'!$G$60*(sezione!$AM$28-C398)/C398</f>
        <v>2.659955172931862E-4</v>
      </c>
      <c r="M398" s="551">
        <f>'Sollecitazioni nel paramento'!$G$60*(sezione!$AN$28-C398)/C398</f>
        <v>1.5213273563909149E-3</v>
      </c>
      <c r="N398" s="551">
        <f>'Sollecitazioni nel paramento'!$G$60*(sezione!$AO$28-C398)/C398</f>
        <v>6.5426547127818303E-3</v>
      </c>
      <c r="O398" s="551">
        <f>'Sollecitazioni nel paramento'!$G$60*(sezione!$AP$28-C398)/C398</f>
        <v>1.2868898365600187E-2</v>
      </c>
      <c r="P398" s="545">
        <f>-'Sollecitazioni nel paramento'!$G$47*'Sollecitazioni nel paramento'!$G$41*IF(DATI!$G$211="dx",DATI!$E$61,DATI!$E$64*DATI!$E$63)*1000*C398*sezione!$AD$5</f>
        <v>-2124370.5583989313</v>
      </c>
      <c r="Q398" s="545">
        <f>'Foglio deposito bis'!$F$48*IF(ABS(K398)&lt;'Sollecitazioni nel paramento'!$G$58,ABS(K398)*'Sollecitazioni nel paramento'!$G$54,'Sollecitazioni nel paramento'!$G$53)*IF(K398&lt;0,-1,1)</f>
        <v>0</v>
      </c>
      <c r="R398" s="545">
        <f>'Foglio deposito bis'!$F$49*IF(ABS(L398)&lt;'Sollecitazioni nel paramento'!$G$58,ABS(L398)*'Sollecitazioni nel paramento'!$G$54,'Sollecitazioni nel paramento'!$G$53)*IF(L398&lt;0,-1,1)</f>
        <v>28690.634996885772</v>
      </c>
      <c r="S398" s="545">
        <f>'Foglio deposito bis'!$F$50*IF(ABS(M398)&lt;'Sollecitazioni nel paramento'!$G$58,ABS(M398)*'Sollecitazioni nel paramento'!$G$54,'Sollecitazioni nel paramento'!$G$53)*IF(M398&lt;0,-1,1)</f>
        <v>0</v>
      </c>
      <c r="T398" s="545">
        <f>'Foglio deposito bis'!$F$51*IF(ABS(N398)&lt;'Sollecitazioni nel paramento'!$G$58,ABS(N398)*'Sollecitazioni nel paramento'!$G$54,'Sollecitazioni nel paramento'!$G$53)*IF(N398&lt;0,-1,1)</f>
        <v>240946.49743184328</v>
      </c>
      <c r="U398" s="545">
        <f>'Foglio deposito bis'!$F$52*IF(ABS(O398)&lt;'Sollecitazioni nel paramento'!$G$58,ABS(O398)*'Sollecitazioni nel paramento'!$G$54,'Sollecitazioni nel paramento'!$G$53)*IF(O398&lt;0,-1,1)</f>
        <v>240946.49743184328</v>
      </c>
      <c r="V398" s="472">
        <f t="shared" si="32"/>
        <v>-1613786.928538359</v>
      </c>
      <c r="W398" s="551"/>
      <c r="X398" s="551"/>
    </row>
    <row r="399" spans="1:24" x14ac:dyDescent="0.25">
      <c r="A399" s="545">
        <f t="shared" si="31"/>
        <v>1650644.318746761</v>
      </c>
      <c r="B399" s="3">
        <f t="shared" si="29"/>
        <v>13.899999999999972</v>
      </c>
      <c r="C399" s="545">
        <f>'Foglio deposito bis'!$E$154/sezione!$B$247*B399</f>
        <v>56.576194117139615</v>
      </c>
      <c r="D399" s="603">
        <f>-'Sollecitazioni nel paramento'!$G$47*'Sollecitazioni nel paramento'!$G$41*IF(DATI!$G$211="dx",DATI!$E$61,DATI!$E$64*DATI!$E$63)*1000*C399^2*sezione!$AD$5*(1-sezione!$AD$6)</f>
        <v>-71214935.161879316</v>
      </c>
      <c r="E399" s="545">
        <f>-'Foglio deposito bis'!$F$48*(C399-sezione!$AL$28)*IF(ABS(K399)&lt;'Sollecitazioni nel paramento'!$G$58,ABS(K399)*'Sollecitazioni nel paramento'!$G$54,'Sollecitazioni nel paramento'!$G$53)</f>
        <v>0</v>
      </c>
      <c r="F399" s="545">
        <f>-'Foglio deposito bis'!$F$49*(C399-sezione!$AM$28)*IF(ABS(L399)&lt;'Sollecitazioni nel paramento'!$G$58,ABS(L399)*'Sollecitazioni nel paramento'!$G$54,'Sollecitazioni nel paramento'!$G$53)</f>
        <v>78220.110575655723</v>
      </c>
      <c r="G399" s="545">
        <f>-'Foglio deposito bis'!$F$50*(C399-sezione!$AN$28)*IF(ABS(M399)&lt;'Sollecitazioni nel paramento'!$G$58,ABS(M399)*'Sollecitazioni nel paramento'!$G$54,'Sollecitazioni nel paramento'!$G$53)</f>
        <v>0</v>
      </c>
      <c r="H399" s="545">
        <f>-'Foglio deposito bis'!$F$51*(C399-sezione!$AO$28)*IF(ABS(N399)&lt;'Sollecitazioni nel paramento'!$G$58,ABS(N399)*'Sollecitazioni nel paramento'!$G$54,'Sollecitazioni nel paramento'!$G$53)</f>
        <v>24919603.778546076</v>
      </c>
      <c r="I399" s="472">
        <f>-'Foglio deposito bis'!$F$52*(C399-sezione!$AP$28)*IF(ABS(O399)&lt;'Sollecitazioni nel paramento'!$G$58,ABS(O399)*'Sollecitazioni nel paramento'!$G$54,'Sollecitazioni nel paramento'!$G$53)</f>
        <v>49204596.838908441</v>
      </c>
      <c r="J399" s="472">
        <f t="shared" si="30"/>
        <v>2987485.5661508664</v>
      </c>
      <c r="K399" s="550">
        <f>'Sollecitazioni nel paramento'!$G$60*(sezione!$AL$28-C399)/C399</f>
        <v>-1.0254609790447647E-3</v>
      </c>
      <c r="L399" s="550">
        <f>'Sollecitazioni nel paramento'!$G$60*(sezione!$AM$28-C399)/C399</f>
        <v>2.1180853143285282E-4</v>
      </c>
      <c r="M399" s="551">
        <f>'Sollecitazioni nel paramento'!$G$60*(sezione!$AN$28-C399)/C399</f>
        <v>1.4490780419104707E-3</v>
      </c>
      <c r="N399" s="551">
        <f>'Sollecitazioni nel paramento'!$G$60*(sezione!$AO$28-C399)/C399</f>
        <v>6.398156083820941E-3</v>
      </c>
      <c r="O399" s="551">
        <f>'Sollecitazioni nel paramento'!$G$60*(sezione!$AP$28-C399)/C399</f>
        <v>1.2633374648109538E-2</v>
      </c>
      <c r="P399" s="545">
        <f>-'Sollecitazioni nel paramento'!$G$47*'Sollecitazioni nel paramento'!$G$41*IF(DATI!$G$211="dx",DATI!$E$61,DATI!$E$64*DATI!$E$63)*1000*C399*sezione!$AD$5</f>
        <v>-2155383.2672806676</v>
      </c>
      <c r="Q399" s="545">
        <f>'Foglio deposito bis'!$F$48*IF(ABS(K399)&lt;'Sollecitazioni nel paramento'!$G$58,ABS(K399)*'Sollecitazioni nel paramento'!$G$54,'Sollecitazioni nel paramento'!$G$53)*IF(K399&lt;0,-1,1)</f>
        <v>0</v>
      </c>
      <c r="R399" s="545">
        <f>'Foglio deposito bis'!$F$49*IF(ABS(L399)&lt;'Sollecitazioni nel paramento'!$G$58,ABS(L399)*'Sollecitazioni nel paramento'!$G$54,'Sollecitazioni nel paramento'!$G$53)*IF(L399&lt;0,-1,1)</f>
        <v>22845.953670220199</v>
      </c>
      <c r="S399" s="545">
        <f>'Foglio deposito bis'!$F$50*IF(ABS(M399)&lt;'Sollecitazioni nel paramento'!$G$58,ABS(M399)*'Sollecitazioni nel paramento'!$G$54,'Sollecitazioni nel paramento'!$G$53)*IF(M399&lt;0,-1,1)</f>
        <v>0</v>
      </c>
      <c r="T399" s="545">
        <f>'Foglio deposito bis'!$F$51*IF(ABS(N399)&lt;'Sollecitazioni nel paramento'!$G$58,ABS(N399)*'Sollecitazioni nel paramento'!$G$54,'Sollecitazioni nel paramento'!$G$53)*IF(N399&lt;0,-1,1)</f>
        <v>240946.49743184328</v>
      </c>
      <c r="U399" s="545">
        <f>'Foglio deposito bis'!$F$52*IF(ABS(O399)&lt;'Sollecitazioni nel paramento'!$G$58,ABS(O399)*'Sollecitazioni nel paramento'!$G$54,'Sollecitazioni nel paramento'!$G$53)*IF(O399&lt;0,-1,1)</f>
        <v>240946.49743184328</v>
      </c>
      <c r="V399" s="472">
        <f t="shared" si="32"/>
        <v>-1650644.318746761</v>
      </c>
      <c r="W399" s="551"/>
      <c r="X399" s="551"/>
    </row>
    <row r="400" spans="1:24" x14ac:dyDescent="0.25">
      <c r="A400" s="545">
        <f t="shared" si="31"/>
        <v>1687335.902392704</v>
      </c>
      <c r="B400" s="3">
        <f t="shared" si="29"/>
        <v>14.099999999999971</v>
      </c>
      <c r="C400" s="545">
        <f>'Foglio deposito bis'!$E$154/sezione!$B$247*B400</f>
        <v>57.390240075659612</v>
      </c>
      <c r="D400" s="603">
        <f>-'Sollecitazioni nel paramento'!$G$47*'Sollecitazioni nel paramento'!$G$41*IF(DATI!$G$211="dx",DATI!$E$61,DATI!$E$64*DATI!$E$63)*1000*C400^2*sezione!$AD$5*(1-sezione!$AD$6)</f>
        <v>-73279029.343891248</v>
      </c>
      <c r="E400" s="545">
        <f>-'Foglio deposito bis'!$F$48*(C400-sezione!$AL$28)*IF(ABS(K400)&lt;'Sollecitazioni nel paramento'!$G$58,ABS(K400)*'Sollecitazioni nel paramento'!$G$54,'Sollecitazioni nel paramento'!$G$53)</f>
        <v>0</v>
      </c>
      <c r="F400" s="545">
        <f>-'Foglio deposito bis'!$F$49*(C400-sezione!$AM$28)*IF(ABS(L400)&lt;'Sollecitazioni nel paramento'!$G$58,ABS(L400)*'Sollecitazioni nel paramento'!$G$54,'Sollecitazioni nel paramento'!$G$53)</f>
        <v>44801.954546902409</v>
      </c>
      <c r="G400" s="545">
        <f>-'Foglio deposito bis'!$F$50*(C400-sezione!$AN$28)*IF(ABS(M400)&lt;'Sollecitazioni nel paramento'!$G$58,ABS(M400)*'Sollecitazioni nel paramento'!$G$54,'Sollecitazioni nel paramento'!$G$53)</f>
        <v>0</v>
      </c>
      <c r="H400" s="545">
        <f>-'Foglio deposito bis'!$F$51*(C400-sezione!$AO$28)*IF(ABS(N400)&lt;'Sollecitazioni nel paramento'!$G$58,ABS(N400)*'Sollecitazioni nel paramento'!$G$54,'Sollecitazioni nel paramento'!$G$53)</f>
        <v>24723462.256092135</v>
      </c>
      <c r="I400" s="472">
        <f>-'Foglio deposito bis'!$F$52*(C400-sezione!$AP$28)*IF(ABS(O400)&lt;'Sollecitazioni nel paramento'!$G$58,ABS(O400)*'Sollecitazioni nel paramento'!$G$54,'Sollecitazioni nel paramento'!$G$53)</f>
        <v>49008455.316454493</v>
      </c>
      <c r="J400" s="472">
        <f t="shared" si="30"/>
        <v>497690.18320227414</v>
      </c>
      <c r="K400" s="550">
        <f>'Sollecitazioni nel paramento'!$G$60*(sezione!$AL$28-C400)/C400</f>
        <v>-1.0605608233136335E-3</v>
      </c>
      <c r="L400" s="550">
        <f>'Sollecitazioni nel paramento'!$G$60*(sezione!$AM$28-C400)/C400</f>
        <v>1.5915876502954973E-4</v>
      </c>
      <c r="M400" s="551">
        <f>'Sollecitazioni nel paramento'!$G$60*(sezione!$AN$28-C400)/C400</f>
        <v>1.378878353372733E-3</v>
      </c>
      <c r="N400" s="551">
        <f>'Sollecitazioni nel paramento'!$G$60*(sezione!$AO$28-C400)/C400</f>
        <v>6.2577567067454657E-3</v>
      </c>
      <c r="O400" s="551">
        <f>'Sollecitazioni nel paramento'!$G$60*(sezione!$AP$28-C400)/C400</f>
        <v>1.2404532454519331E-2</v>
      </c>
      <c r="P400" s="545">
        <f>-'Sollecitazioni nel paramento'!$G$47*'Sollecitazioni nel paramento'!$G$41*IF(DATI!$G$211="dx",DATI!$E$61,DATI!$E$64*DATI!$E$63)*1000*C400*sezione!$AD$5</f>
        <v>-2186395.9761624038</v>
      </c>
      <c r="Q400" s="545">
        <f>'Foglio deposito bis'!$F$48*IF(ABS(K400)&lt;'Sollecitazioni nel paramento'!$G$58,ABS(K400)*'Sollecitazioni nel paramento'!$G$54,'Sollecitazioni nel paramento'!$G$53)*IF(K400&lt;0,-1,1)</f>
        <v>0</v>
      </c>
      <c r="R400" s="545">
        <f>'Foglio deposito bis'!$F$49*IF(ABS(L400)&lt;'Sollecitazioni nel paramento'!$G$58,ABS(L400)*'Sollecitazioni nel paramento'!$G$54,'Sollecitazioni nel paramento'!$G$53)*IF(L400&lt;0,-1,1)</f>
        <v>17167.078906013176</v>
      </c>
      <c r="S400" s="545">
        <f>'Foglio deposito bis'!$F$50*IF(ABS(M400)&lt;'Sollecitazioni nel paramento'!$G$58,ABS(M400)*'Sollecitazioni nel paramento'!$G$54,'Sollecitazioni nel paramento'!$G$53)*IF(M400&lt;0,-1,1)</f>
        <v>0</v>
      </c>
      <c r="T400" s="545">
        <f>'Foglio deposito bis'!$F$51*IF(ABS(N400)&lt;'Sollecitazioni nel paramento'!$G$58,ABS(N400)*'Sollecitazioni nel paramento'!$G$54,'Sollecitazioni nel paramento'!$G$53)*IF(N400&lt;0,-1,1)</f>
        <v>240946.49743184328</v>
      </c>
      <c r="U400" s="545">
        <f>'Foglio deposito bis'!$F$52*IF(ABS(O400)&lt;'Sollecitazioni nel paramento'!$G$58,ABS(O400)*'Sollecitazioni nel paramento'!$G$54,'Sollecitazioni nel paramento'!$G$53)*IF(O400&lt;0,-1,1)</f>
        <v>240946.49743184328</v>
      </c>
      <c r="V400" s="472">
        <f t="shared" si="32"/>
        <v>-1687335.902392704</v>
      </c>
      <c r="W400" s="551"/>
      <c r="X400" s="551"/>
    </row>
    <row r="401" spans="1:24" x14ac:dyDescent="0.25">
      <c r="A401" s="545">
        <f t="shared" si="31"/>
        <v>1723868.6363948933</v>
      </c>
      <c r="B401" s="3">
        <f t="shared" si="29"/>
        <v>14.299999999999971</v>
      </c>
      <c r="C401" s="545">
        <f>'Foglio deposito bis'!$E$154/sezione!$B$247*B401</f>
        <v>58.204286034179603</v>
      </c>
      <c r="D401" s="603">
        <f>-'Sollecitazioni nel paramento'!$G$47*'Sollecitazioni nel paramento'!$G$41*IF(DATI!$G$211="dx",DATI!$E$61,DATI!$E$64*DATI!$E$63)*1000*C401^2*sezione!$AD$5*(1-sezione!$AD$6)</f>
        <v>-75372610.585646197</v>
      </c>
      <c r="E401" s="545">
        <f>-'Foglio deposito bis'!$F$48*(C401-sezione!$AL$28)*IF(ABS(K401)&lt;'Sollecitazioni nel paramento'!$G$58,ABS(K401)*'Sollecitazioni nel paramento'!$G$54,'Sollecitazioni nel paramento'!$G$53)</f>
        <v>0</v>
      </c>
      <c r="F401" s="545">
        <f>-'Foglio deposito bis'!$F$49*(C401-sezione!$AM$28)*IF(ABS(L401)&lt;'Sollecitazioni nel paramento'!$G$58,ABS(L401)*'Sollecitazioni nel paramento'!$G$54,'Sollecitazioni nel paramento'!$G$53)</f>
        <v>20914.777143391853</v>
      </c>
      <c r="G401" s="545">
        <f>-'Foglio deposito bis'!$F$50*(C401-sezione!$AN$28)*IF(ABS(M401)&lt;'Sollecitazioni nel paramento'!$G$58,ABS(M401)*'Sollecitazioni nel paramento'!$G$54,'Sollecitazioni nel paramento'!$G$53)</f>
        <v>0</v>
      </c>
      <c r="H401" s="545">
        <f>-'Foglio deposito bis'!$F$51*(C401-sezione!$AO$28)*IF(ABS(N401)&lt;'Sollecitazioni nel paramento'!$G$58,ABS(N401)*'Sollecitazioni nel paramento'!$G$54,'Sollecitazioni nel paramento'!$G$53)</f>
        <v>24527320.733638197</v>
      </c>
      <c r="I401" s="472">
        <f>-'Foglio deposito bis'!$F$52*(C401-sezione!$AP$28)*IF(ABS(O401)&lt;'Sollecitazioni nel paramento'!$G$58,ABS(O401)*'Sollecitazioni nel paramento'!$G$54,'Sollecitazioni nel paramento'!$G$53)</f>
        <v>48812313.794000559</v>
      </c>
      <c r="J401" s="472">
        <f t="shared" si="30"/>
        <v>-2012061.2808640525</v>
      </c>
      <c r="K401" s="550">
        <f>'Sollecitazioni nel paramento'!$G$60*(sezione!$AL$28-C401)/C401</f>
        <v>-1.0946788537567992E-3</v>
      </c>
      <c r="L401" s="550">
        <f>'Sollecitazioni nel paramento'!$G$60*(sezione!$AM$28-C401)/C401</f>
        <v>1.0798171936480104E-4</v>
      </c>
      <c r="M401" s="551">
        <f>'Sollecitazioni nel paramento'!$G$60*(sezione!$AN$28-C401)/C401</f>
        <v>1.3106422924864015E-3</v>
      </c>
      <c r="N401" s="551">
        <f>'Sollecitazioni nel paramento'!$G$60*(sezione!$AO$28-C401)/C401</f>
        <v>6.1212845849728031E-3</v>
      </c>
      <c r="O401" s="551">
        <f>'Sollecitazioni nel paramento'!$G$60*(sezione!$AP$28-C401)/C401</f>
        <v>1.2182091441169413E-2</v>
      </c>
      <c r="P401" s="545">
        <f>-'Sollecitazioni nel paramento'!$G$47*'Sollecitazioni nel paramento'!$G$41*IF(DATI!$G$211="dx",DATI!$E$61,DATI!$E$64*DATI!$E$63)*1000*C401*sezione!$AD$5</f>
        <v>-2217408.6850441401</v>
      </c>
      <c r="Q401" s="545">
        <f>'Foglio deposito bis'!$F$48*IF(ABS(K401)&lt;'Sollecitazioni nel paramento'!$G$58,ABS(K401)*'Sollecitazioni nel paramento'!$G$54,'Sollecitazioni nel paramento'!$G$53)*IF(K401&lt;0,-1,1)</f>
        <v>0</v>
      </c>
      <c r="R401" s="545">
        <f>'Foglio deposito bis'!$F$49*IF(ABS(L401)&lt;'Sollecitazioni nel paramento'!$G$58,ABS(L401)*'Sollecitazioni nel paramento'!$G$54,'Sollecitazioni nel paramento'!$G$53)*IF(L401&lt;0,-1,1)</f>
        <v>11647.053785560243</v>
      </c>
      <c r="S401" s="545">
        <f>'Foglio deposito bis'!$F$50*IF(ABS(M401)&lt;'Sollecitazioni nel paramento'!$G$58,ABS(M401)*'Sollecitazioni nel paramento'!$G$54,'Sollecitazioni nel paramento'!$G$53)*IF(M401&lt;0,-1,1)</f>
        <v>0</v>
      </c>
      <c r="T401" s="545">
        <f>'Foglio deposito bis'!$F$51*IF(ABS(N401)&lt;'Sollecitazioni nel paramento'!$G$58,ABS(N401)*'Sollecitazioni nel paramento'!$G$54,'Sollecitazioni nel paramento'!$G$53)*IF(N401&lt;0,-1,1)</f>
        <v>240946.49743184328</v>
      </c>
      <c r="U401" s="545">
        <f>'Foglio deposito bis'!$F$52*IF(ABS(O401)&lt;'Sollecitazioni nel paramento'!$G$58,ABS(O401)*'Sollecitazioni nel paramento'!$G$54,'Sollecitazioni nel paramento'!$G$53)*IF(O401&lt;0,-1,1)</f>
        <v>240946.49743184328</v>
      </c>
      <c r="V401" s="472">
        <f t="shared" si="32"/>
        <v>-1723868.6363948933</v>
      </c>
      <c r="W401" s="551"/>
      <c r="X401" s="551"/>
    </row>
    <row r="402" spans="1:24" x14ac:dyDescent="0.25">
      <c r="A402" s="545">
        <f t="shared" si="31"/>
        <v>1760249.0938420352</v>
      </c>
      <c r="B402" s="3">
        <f t="shared" si="29"/>
        <v>14.49999999999997</v>
      </c>
      <c r="C402" s="545">
        <f>'Foglio deposito bis'!$E$154/sezione!$B$247*B402</f>
        <v>59.018331992699594</v>
      </c>
      <c r="D402" s="603">
        <f>-'Sollecitazioni nel paramento'!$G$47*'Sollecitazioni nel paramento'!$G$41*IF(DATI!$G$211="dx",DATI!$E$61,DATI!$E$64*DATI!$E$63)*1000*C402^2*sezione!$AD$5*(1-sezione!$AD$6)</f>
        <v>-77495678.887144163</v>
      </c>
      <c r="E402" s="545">
        <f>-'Foglio deposito bis'!$F$48*(C402-sezione!$AL$28)*IF(ABS(K402)&lt;'Sollecitazioni nel paramento'!$G$58,ABS(K402)*'Sollecitazioni nel paramento'!$G$54,'Sollecitazioni nel paramento'!$G$53)</f>
        <v>0</v>
      </c>
      <c r="F402" s="545">
        <f>-'Foglio deposito bis'!$F$49*(C402-sezione!$AM$28)*IF(ABS(L402)&lt;'Sollecitazioni nel paramento'!$G$58,ABS(L402)*'Sollecitazioni nel paramento'!$G$54,'Sollecitazioni nel paramento'!$G$53)</f>
        <v>6164.1930426998961</v>
      </c>
      <c r="G402" s="545">
        <f>-'Foglio deposito bis'!$F$50*(C402-sezione!$AN$28)*IF(ABS(M402)&lt;'Sollecitazioni nel paramento'!$G$58,ABS(M402)*'Sollecitazioni nel paramento'!$G$54,'Sollecitazioni nel paramento'!$G$53)</f>
        <v>0</v>
      </c>
      <c r="H402" s="545">
        <f>-'Foglio deposito bis'!$F$51*(C402-sezione!$AO$28)*IF(ABS(N402)&lt;'Sollecitazioni nel paramento'!$G$58,ABS(N402)*'Sollecitazioni nel paramento'!$G$54,'Sollecitazioni nel paramento'!$G$53)</f>
        <v>24331179.21118426</v>
      </c>
      <c r="I402" s="472">
        <f>-'Foglio deposito bis'!$F$52*(C402-sezione!$AP$28)*IF(ABS(O402)&lt;'Sollecitazioni nel paramento'!$G$58,ABS(O402)*'Sollecitazioni nel paramento'!$G$54,'Sollecitazioni nel paramento'!$G$53)</f>
        <v>48616172.271546617</v>
      </c>
      <c r="J402" s="472">
        <f t="shared" si="30"/>
        <v>-4542163.2113705873</v>
      </c>
      <c r="K402" s="550">
        <f>'Sollecitazioni nel paramento'!$G$60*(sezione!$AL$28-C402)/C402</f>
        <v>-1.1278556971532571E-3</v>
      </c>
      <c r="L402" s="550">
        <f>'Sollecitazioni nel paramento'!$G$60*(sezione!$AM$28-C402)/C402</f>
        <v>5.821645427011435E-5</v>
      </c>
      <c r="M402" s="551">
        <f>'Sollecitazioni nel paramento'!$G$60*(sezione!$AN$28-C402)/C402</f>
        <v>1.2442886056934859E-3</v>
      </c>
      <c r="N402" s="551">
        <f>'Sollecitazioni nel paramento'!$G$60*(sezione!$AO$28-C402)/C402</f>
        <v>5.9885772113869723E-3</v>
      </c>
      <c r="O402" s="551">
        <f>'Sollecitazioni nel paramento'!$G$60*(sezione!$AP$28-C402)/C402</f>
        <v>1.1965786731636041E-2</v>
      </c>
      <c r="P402" s="545">
        <f>-'Sollecitazioni nel paramento'!$G$47*'Sollecitazioni nel paramento'!$G$41*IF(DATI!$G$211="dx",DATI!$E$61,DATI!$E$64*DATI!$E$63)*1000*C402*sezione!$AD$5</f>
        <v>-2248421.3939258759</v>
      </c>
      <c r="Q402" s="545">
        <f>'Foglio deposito bis'!$F$48*IF(ABS(K402)&lt;'Sollecitazioni nel paramento'!$G$58,ABS(K402)*'Sollecitazioni nel paramento'!$G$54,'Sollecitazioni nel paramento'!$G$53)*IF(K402&lt;0,-1,1)</f>
        <v>0</v>
      </c>
      <c r="R402" s="545">
        <f>'Foglio deposito bis'!$F$49*IF(ABS(L402)&lt;'Sollecitazioni nel paramento'!$G$58,ABS(L402)*'Sollecitazioni nel paramento'!$G$54,'Sollecitazioni nel paramento'!$G$53)*IF(L402&lt;0,-1,1)</f>
        <v>6279.3052201542841</v>
      </c>
      <c r="S402" s="545">
        <f>'Foglio deposito bis'!$F$50*IF(ABS(M402)&lt;'Sollecitazioni nel paramento'!$G$58,ABS(M402)*'Sollecitazioni nel paramento'!$G$54,'Sollecitazioni nel paramento'!$G$53)*IF(M402&lt;0,-1,1)</f>
        <v>0</v>
      </c>
      <c r="T402" s="545">
        <f>'Foglio deposito bis'!$F$51*IF(ABS(N402)&lt;'Sollecitazioni nel paramento'!$G$58,ABS(N402)*'Sollecitazioni nel paramento'!$G$54,'Sollecitazioni nel paramento'!$G$53)*IF(N402&lt;0,-1,1)</f>
        <v>240946.49743184328</v>
      </c>
      <c r="U402" s="545">
        <f>'Foglio deposito bis'!$F$52*IF(ABS(O402)&lt;'Sollecitazioni nel paramento'!$G$58,ABS(O402)*'Sollecitazioni nel paramento'!$G$54,'Sollecitazioni nel paramento'!$G$53)*IF(O402&lt;0,-1,1)</f>
        <v>240946.49743184328</v>
      </c>
      <c r="V402" s="472">
        <f t="shared" si="32"/>
        <v>-1760249.0938420352</v>
      </c>
      <c r="W402" s="551"/>
      <c r="X402" s="551"/>
    </row>
    <row r="403" spans="1:24" x14ac:dyDescent="0.25">
      <c r="A403" s="545">
        <f t="shared" si="31"/>
        <v>1796483.4901037239</v>
      </c>
      <c r="B403" s="3">
        <f t="shared" si="29"/>
        <v>14.699999999999969</v>
      </c>
      <c r="C403" s="545">
        <f>'Foglio deposito bis'!$E$154/sezione!$B$247*B403</f>
        <v>59.832377951219591</v>
      </c>
      <c r="D403" s="603">
        <f>-'Sollecitazioni nel paramento'!$G$47*'Sollecitazioni nel paramento'!$G$41*IF(DATI!$G$211="dx",DATI!$E$61,DATI!$E$64*DATI!$E$63)*1000*C403^2*sezione!$AD$5*(1-sezione!$AD$6)</f>
        <v>-79648234.248385176</v>
      </c>
      <c r="E403" s="545">
        <f>-'Foglio deposito bis'!$F$48*(C403-sezione!$AL$28)*IF(ABS(K403)&lt;'Sollecitazioni nel paramento'!$G$58,ABS(K403)*'Sollecitazioni nel paramento'!$G$54,'Sollecitazioni nel paramento'!$G$53)</f>
        <v>0</v>
      </c>
      <c r="F403" s="545">
        <f>-'Foglio deposito bis'!$F$49*(C403-sezione!$AM$28)*IF(ABS(L403)&lt;'Sollecitazioni nel paramento'!$G$58,ABS(L403)*'Sollecitazioni nel paramento'!$G$54,'Sollecitazioni nel paramento'!$G$53)</f>
        <v>177.28006920128706</v>
      </c>
      <c r="G403" s="545">
        <f>-'Foglio deposito bis'!$F$50*(C403-sezione!$AN$28)*IF(ABS(M403)&lt;'Sollecitazioni nel paramento'!$G$58,ABS(M403)*'Sollecitazioni nel paramento'!$G$54,'Sollecitazioni nel paramento'!$G$53)</f>
        <v>0</v>
      </c>
      <c r="H403" s="545">
        <f>-'Foglio deposito bis'!$F$51*(C403-sezione!$AO$28)*IF(ABS(N403)&lt;'Sollecitazioni nel paramento'!$G$58,ABS(N403)*'Sollecitazioni nel paramento'!$G$54,'Sollecitazioni nel paramento'!$G$53)</f>
        <v>24135037.688730314</v>
      </c>
      <c r="I403" s="472">
        <f>-'Foglio deposito bis'!$F$52*(C403-sezione!$AP$28)*IF(ABS(O403)&lt;'Sollecitazioni nel paramento'!$G$58,ABS(O403)*'Sollecitazioni nel paramento'!$G$54,'Sollecitazioni nel paramento'!$G$53)</f>
        <v>48420030.749092676</v>
      </c>
      <c r="J403" s="472">
        <f t="shared" si="30"/>
        <v>-7092988.5304929838</v>
      </c>
      <c r="K403" s="550">
        <f>'Sollecitazioni nel paramento'!$G$60*(sezione!$AL$28-C403)/C403</f>
        <v>-1.160129769300832E-3</v>
      </c>
      <c r="L403" s="550">
        <f>'Sollecitazioni nel paramento'!$G$60*(sezione!$AM$28-C403)/C403</f>
        <v>9.805346048752057E-6</v>
      </c>
      <c r="M403" s="551">
        <f>'Sollecitazioni nel paramento'!$G$60*(sezione!$AN$28-C403)/C403</f>
        <v>1.1797404613983361E-3</v>
      </c>
      <c r="N403" s="551">
        <f>'Sollecitazioni nel paramento'!$G$60*(sezione!$AO$28-C403)/C403</f>
        <v>5.8594809227966718E-3</v>
      </c>
      <c r="O403" s="551">
        <f>'Sollecitazioni nel paramento'!$G$60*(sezione!$AP$28-C403)/C403</f>
        <v>1.1755367864538952E-2</v>
      </c>
      <c r="P403" s="545">
        <f>-'Sollecitazioni nel paramento'!$G$47*'Sollecitazioni nel paramento'!$G$41*IF(DATI!$G$211="dx",DATI!$E$61,DATI!$E$64*DATI!$E$63)*1000*C403*sezione!$AD$5</f>
        <v>-2279434.1028076122</v>
      </c>
      <c r="Q403" s="545">
        <f>'Foglio deposito bis'!$F$48*IF(ABS(K403)&lt;'Sollecitazioni nel paramento'!$G$58,ABS(K403)*'Sollecitazioni nel paramento'!$G$54,'Sollecitazioni nel paramento'!$G$53)*IF(K403&lt;0,-1,1)</f>
        <v>0</v>
      </c>
      <c r="R403" s="545">
        <f>'Foglio deposito bis'!$F$49*IF(ABS(L403)&lt;'Sollecitazioni nel paramento'!$G$58,ABS(L403)*'Sollecitazioni nel paramento'!$G$54,'Sollecitazioni nel paramento'!$G$53)*IF(L403&lt;0,-1,1)</f>
        <v>1057.6178402015039</v>
      </c>
      <c r="S403" s="545">
        <f>'Foglio deposito bis'!$F$50*IF(ABS(M403)&lt;'Sollecitazioni nel paramento'!$G$58,ABS(M403)*'Sollecitazioni nel paramento'!$G$54,'Sollecitazioni nel paramento'!$G$53)*IF(M403&lt;0,-1,1)</f>
        <v>0</v>
      </c>
      <c r="T403" s="545">
        <f>'Foglio deposito bis'!$F$51*IF(ABS(N403)&lt;'Sollecitazioni nel paramento'!$G$58,ABS(N403)*'Sollecitazioni nel paramento'!$G$54,'Sollecitazioni nel paramento'!$G$53)*IF(N403&lt;0,-1,1)</f>
        <v>240946.49743184328</v>
      </c>
      <c r="U403" s="545">
        <f>'Foglio deposito bis'!$F$52*IF(ABS(O403)&lt;'Sollecitazioni nel paramento'!$G$58,ABS(O403)*'Sollecitazioni nel paramento'!$G$54,'Sollecitazioni nel paramento'!$G$53)*IF(O403&lt;0,-1,1)</f>
        <v>240946.49743184328</v>
      </c>
      <c r="V403" s="472">
        <f t="shared" si="32"/>
        <v>-1796483.4901037239</v>
      </c>
      <c r="W403" s="551"/>
      <c r="X403" s="551"/>
    </row>
    <row r="404" spans="1:24" x14ac:dyDescent="0.25">
      <c r="A404" s="545">
        <f t="shared" si="31"/>
        <v>1832577.7068384346</v>
      </c>
      <c r="B404" s="3">
        <f t="shared" si="29"/>
        <v>14.899999999999968</v>
      </c>
      <c r="C404" s="545">
        <f>'Foglio deposito bis'!$E$154/sezione!$B$247*B404</f>
        <v>60.646423909739582</v>
      </c>
      <c r="D404" s="603">
        <f>-'Sollecitazioni nel paramento'!$G$47*'Sollecitazioni nel paramento'!$G$41*IF(DATI!$G$211="dx",DATI!$E$61,DATI!$E$64*DATI!$E$63)*1000*C404^2*sezione!$AD$5*(1-sezione!$AD$6)</f>
        <v>-81830276.669369206</v>
      </c>
      <c r="E404" s="545">
        <f>-'Foglio deposito bis'!$F$48*(C404-sezione!$AL$28)*IF(ABS(K404)&lt;'Sollecitazioni nel paramento'!$G$58,ABS(K404)*'Sollecitazioni nel paramento'!$G$54,'Sollecitazioni nel paramento'!$G$53)</f>
        <v>0</v>
      </c>
      <c r="F404" s="545">
        <f>-'Foglio deposito bis'!$F$49*(C404-sezione!$AM$28)*IF(ABS(L404)&lt;'Sollecitazioni nel paramento'!$G$58,ABS(L404)*'Sollecitazioni nel paramento'!$G$54,'Sollecitazioni nel paramento'!$G$53)</f>
        <v>-2601.1387144185419</v>
      </c>
      <c r="G404" s="545">
        <f>-'Foglio deposito bis'!$F$50*(C404-sezione!$AN$28)*IF(ABS(M404)&lt;'Sollecitazioni nel paramento'!$G$58,ABS(M404)*'Sollecitazioni nel paramento'!$G$54,'Sollecitazioni nel paramento'!$G$53)</f>
        <v>0</v>
      </c>
      <c r="H404" s="545">
        <f>-'Foglio deposito bis'!$F$51*(C404-sezione!$AO$28)*IF(ABS(N404)&lt;'Sollecitazioni nel paramento'!$G$58,ABS(N404)*'Sollecitazioni nel paramento'!$G$54,'Sollecitazioni nel paramento'!$G$53)</f>
        <v>23938896.166276377</v>
      </c>
      <c r="I404" s="472">
        <f>-'Foglio deposito bis'!$F$52*(C404-sezione!$AP$28)*IF(ABS(O404)&lt;'Sollecitazioni nel paramento'!$G$58,ABS(O404)*'Sollecitazioni nel paramento'!$G$54,'Sollecitazioni nel paramento'!$G$53)</f>
        <v>48223889.226638742</v>
      </c>
      <c r="J404" s="472">
        <f t="shared" si="30"/>
        <v>-9670092.4151685014</v>
      </c>
      <c r="K404" s="550">
        <f>'Sollecitazioni nel paramento'!$G$60*(sezione!$AL$28-C404)/C404</f>
        <v>-1.1915374234041764E-3</v>
      </c>
      <c r="L404" s="550">
        <f>'Sollecitazioni nel paramento'!$G$60*(sezione!$AM$28-C404)/C404</f>
        <v>-3.7306135106264533E-5</v>
      </c>
      <c r="M404" s="551">
        <f>'Sollecitazioni nel paramento'!$G$60*(sezione!$AN$28-C404)/C404</f>
        <v>1.1169251531916473E-3</v>
      </c>
      <c r="N404" s="551">
        <f>'Sollecitazioni nel paramento'!$G$60*(sezione!$AO$28-C404)/C404</f>
        <v>5.733850306383295E-3</v>
      </c>
      <c r="O404" s="551">
        <f>'Sollecitazioni nel paramento'!$G$60*(sezione!$AP$28-C404)/C404</f>
        <v>1.1550597826088766E-2</v>
      </c>
      <c r="P404" s="545">
        <f>-'Sollecitazioni nel paramento'!$G$47*'Sollecitazioni nel paramento'!$G$41*IF(DATI!$G$211="dx",DATI!$E$61,DATI!$E$64*DATI!$E$63)*1000*C404*sezione!$AD$5</f>
        <v>-2310446.8116893484</v>
      </c>
      <c r="Q404" s="545">
        <f>'Foglio deposito bis'!$F$48*IF(ABS(K404)&lt;'Sollecitazioni nel paramento'!$G$58,ABS(K404)*'Sollecitazioni nel paramento'!$G$54,'Sollecitazioni nel paramento'!$G$53)*IF(K404&lt;0,-1,1)</f>
        <v>0</v>
      </c>
      <c r="R404" s="545">
        <f>'Foglio deposito bis'!$F$49*IF(ABS(L404)&lt;'Sollecitazioni nel paramento'!$G$58,ABS(L404)*'Sollecitazioni nel paramento'!$G$54,'Sollecitazioni nel paramento'!$G$53)*IF(L404&lt;0,-1,1)</f>
        <v>-4023.8900127726333</v>
      </c>
      <c r="S404" s="545">
        <f>'Foglio deposito bis'!$F$50*IF(ABS(M404)&lt;'Sollecitazioni nel paramento'!$G$58,ABS(M404)*'Sollecitazioni nel paramento'!$G$54,'Sollecitazioni nel paramento'!$G$53)*IF(M404&lt;0,-1,1)</f>
        <v>0</v>
      </c>
      <c r="T404" s="545">
        <f>'Foglio deposito bis'!$F$51*IF(ABS(N404)&lt;'Sollecitazioni nel paramento'!$G$58,ABS(N404)*'Sollecitazioni nel paramento'!$G$54,'Sollecitazioni nel paramento'!$G$53)*IF(N404&lt;0,-1,1)</f>
        <v>240946.49743184328</v>
      </c>
      <c r="U404" s="545">
        <f>'Foglio deposito bis'!$F$52*IF(ABS(O404)&lt;'Sollecitazioni nel paramento'!$G$58,ABS(O404)*'Sollecitazioni nel paramento'!$G$54,'Sollecitazioni nel paramento'!$G$53)*IF(O404&lt;0,-1,1)</f>
        <v>240946.49743184328</v>
      </c>
      <c r="V404" s="472">
        <f t="shared" si="32"/>
        <v>-1832577.7068384346</v>
      </c>
      <c r="W404" s="551"/>
      <c r="X404" s="551"/>
    </row>
    <row r="405" spans="1:24" x14ac:dyDescent="0.25">
      <c r="A405" s="545">
        <f t="shared" si="31"/>
        <v>1868537.3140935961</v>
      </c>
      <c r="B405" s="3">
        <f t="shared" si="29"/>
        <v>15.099999999999968</v>
      </c>
      <c r="C405" s="545">
        <f>'Foglio deposito bis'!$E$154/sezione!$B$247*B405</f>
        <v>61.460469868259572</v>
      </c>
      <c r="D405" s="603">
        <f>-'Sollecitazioni nel paramento'!$G$47*'Sollecitazioni nel paramento'!$G$41*IF(DATI!$G$211="dx",DATI!$E$61,DATI!$E$64*DATI!$E$63)*1000*C405^2*sezione!$AD$5*(1-sezione!$AD$6)</f>
        <v>-84041806.150096253</v>
      </c>
      <c r="E405" s="545">
        <f>-'Foglio deposito bis'!$F$48*(C405-sezione!$AL$28)*IF(ABS(K405)&lt;'Sollecitazioni nel paramento'!$G$58,ABS(K405)*'Sollecitazioni nel paramento'!$G$54,'Sollecitazioni nel paramento'!$G$53)</f>
        <v>0</v>
      </c>
      <c r="F405" s="545">
        <f>-'Foglio deposito bis'!$F$49*(C405-sezione!$AM$28)*IF(ABS(L405)&lt;'Sollecitazioni nel paramento'!$G$58,ABS(L405)*'Sollecitazioni nel paramento'!$G$54,'Sollecitazioni nel paramento'!$G$53)</f>
        <v>-13101.566132574786</v>
      </c>
      <c r="G405" s="545">
        <f>-'Foglio deposito bis'!$F$50*(C405-sezione!$AN$28)*IF(ABS(M405)&lt;'Sollecitazioni nel paramento'!$G$58,ABS(M405)*'Sollecitazioni nel paramento'!$G$54,'Sollecitazioni nel paramento'!$G$53)</f>
        <v>0</v>
      </c>
      <c r="H405" s="545">
        <f>-'Foglio deposito bis'!$F$51*(C405-sezione!$AO$28)*IF(ABS(N405)&lt;'Sollecitazioni nel paramento'!$G$58,ABS(N405)*'Sollecitazioni nel paramento'!$G$54,'Sollecitazioni nel paramento'!$G$53)</f>
        <v>23742754.643822439</v>
      </c>
      <c r="I405" s="472">
        <f>-'Foglio deposito bis'!$F$52*(C405-sezione!$AP$28)*IF(ABS(O405)&lt;'Sollecitazioni nel paramento'!$G$58,ABS(O405)*'Sollecitazioni nel paramento'!$G$54,'Sollecitazioni nel paramento'!$G$53)</f>
        <v>48027747.7041848</v>
      </c>
      <c r="J405" s="472">
        <f t="shared" si="30"/>
        <v>-12284405.368221588</v>
      </c>
      <c r="K405" s="550">
        <f>'Sollecitazioni nel paramento'!$G$60*(sezione!$AL$28-C405)/C405</f>
        <v>-1.2221130866703462E-3</v>
      </c>
      <c r="L405" s="550">
        <f>'Sollecitazioni nel paramento'!$G$60*(sezione!$AM$28-C405)/C405</f>
        <v>-8.3169630005519097E-5</v>
      </c>
      <c r="M405" s="551">
        <f>'Sollecitazioni nel paramento'!$G$60*(sezione!$AN$28-C405)/C405</f>
        <v>1.0557738266593077E-3</v>
      </c>
      <c r="N405" s="551">
        <f>'Sollecitazioni nel paramento'!$G$60*(sezione!$AO$28-C405)/C405</f>
        <v>5.6115476533186159E-3</v>
      </c>
      <c r="O405" s="551">
        <f>'Sollecitazioni nel paramento'!$G$60*(sezione!$AP$28-C405)/C405</f>
        <v>1.1351252159518054E-2</v>
      </c>
      <c r="P405" s="545">
        <f>-'Sollecitazioni nel paramento'!$G$47*'Sollecitazioni nel paramento'!$G$41*IF(DATI!$G$211="dx",DATI!$E$61,DATI!$E$64*DATI!$E$63)*1000*C405*sezione!$AD$5</f>
        <v>-2341459.5205710847</v>
      </c>
      <c r="Q405" s="545">
        <f>'Foglio deposito bis'!$F$48*IF(ABS(K405)&lt;'Sollecitazioni nel paramento'!$G$58,ABS(K405)*'Sollecitazioni nel paramento'!$G$54,'Sollecitazioni nel paramento'!$G$53)*IF(K405&lt;0,-1,1)</f>
        <v>0</v>
      </c>
      <c r="R405" s="545">
        <f>'Foglio deposito bis'!$F$49*IF(ABS(L405)&lt;'Sollecitazioni nel paramento'!$G$58,ABS(L405)*'Sollecitazioni nel paramento'!$G$54,'Sollecitazioni nel paramento'!$G$53)*IF(L405&lt;0,-1,1)</f>
        <v>-8970.788386197788</v>
      </c>
      <c r="S405" s="545">
        <f>'Foglio deposito bis'!$F$50*IF(ABS(M405)&lt;'Sollecitazioni nel paramento'!$G$58,ABS(M405)*'Sollecitazioni nel paramento'!$G$54,'Sollecitazioni nel paramento'!$G$53)*IF(M405&lt;0,-1,1)</f>
        <v>0</v>
      </c>
      <c r="T405" s="545">
        <f>'Foglio deposito bis'!$F$51*IF(ABS(N405)&lt;'Sollecitazioni nel paramento'!$G$58,ABS(N405)*'Sollecitazioni nel paramento'!$G$54,'Sollecitazioni nel paramento'!$G$53)*IF(N405&lt;0,-1,1)</f>
        <v>240946.49743184328</v>
      </c>
      <c r="U405" s="545">
        <f>'Foglio deposito bis'!$F$52*IF(ABS(O405)&lt;'Sollecitazioni nel paramento'!$G$58,ABS(O405)*'Sollecitazioni nel paramento'!$G$54,'Sollecitazioni nel paramento'!$G$53)*IF(O405&lt;0,-1,1)</f>
        <v>240946.49743184328</v>
      </c>
      <c r="V405" s="472">
        <f t="shared" si="32"/>
        <v>-1868537.3140935961</v>
      </c>
      <c r="W405" s="551"/>
      <c r="X405" s="551"/>
    </row>
    <row r="406" spans="1:24" x14ac:dyDescent="0.25">
      <c r="A406" s="545">
        <f t="shared" si="31"/>
        <v>1904367.5906723279</v>
      </c>
      <c r="B406" s="3">
        <f t="shared" si="29"/>
        <v>15.299999999999967</v>
      </c>
      <c r="C406" s="545">
        <f>'Foglio deposito bis'!$E$154/sezione!$B$247*B406</f>
        <v>62.27451582677957</v>
      </c>
      <c r="D406" s="603">
        <f>-'Sollecitazioni nel paramento'!$G$47*'Sollecitazioni nel paramento'!$G$41*IF(DATI!$G$211="dx",DATI!$E$61,DATI!$E$64*DATI!$E$63)*1000*C406^2*sezione!$AD$5*(1-sezione!$AD$6)</f>
        <v>-86282822.690566361</v>
      </c>
      <c r="E406" s="545">
        <f>-'Foglio deposito bis'!$F$48*(C406-sezione!$AL$28)*IF(ABS(K406)&lt;'Sollecitazioni nel paramento'!$G$58,ABS(K406)*'Sollecitazioni nel paramento'!$G$54,'Sollecitazioni nel paramento'!$G$53)</f>
        <v>0</v>
      </c>
      <c r="F406" s="545">
        <f>-'Foglio deposito bis'!$F$49*(C406-sezione!$AM$28)*IF(ABS(L406)&lt;'Sollecitazioni nel paramento'!$G$58,ABS(L406)*'Sollecitazioni nel paramento'!$G$54,'Sollecitazioni nel paramento'!$G$53)</f>
        <v>-31361.834136496134</v>
      </c>
      <c r="G406" s="545">
        <f>-'Foglio deposito bis'!$F$50*(C406-sezione!$AN$28)*IF(ABS(M406)&lt;'Sollecitazioni nel paramento'!$G$58,ABS(M406)*'Sollecitazioni nel paramento'!$G$54,'Sollecitazioni nel paramento'!$G$53)</f>
        <v>0</v>
      </c>
      <c r="H406" s="545">
        <f>-'Foglio deposito bis'!$F$51*(C406-sezione!$AO$28)*IF(ABS(N406)&lt;'Sollecitazioni nel paramento'!$G$58,ABS(N406)*'Sollecitazioni nel paramento'!$G$54,'Sollecitazioni nel paramento'!$G$53)</f>
        <v>23546613.121368494</v>
      </c>
      <c r="I406" s="472">
        <f>-'Foglio deposito bis'!$F$52*(C406-sezione!$AP$28)*IF(ABS(O406)&lt;'Sollecitazioni nel paramento'!$G$58,ABS(O406)*'Sollecitazioni nel paramento'!$G$54,'Sollecitazioni nel paramento'!$G$53)</f>
        <v>47831606.181730859</v>
      </c>
      <c r="J406" s="472">
        <f t="shared" si="30"/>
        <v>-14935965.221603505</v>
      </c>
      <c r="K406" s="550">
        <f>'Sollecitazioni nel paramento'!$G$60*(sezione!$AL$28-C406)/C406</f>
        <v>-1.2518893861909954E-3</v>
      </c>
      <c r="L406" s="550">
        <f>'Sollecitazioni nel paramento'!$G$60*(sezione!$AM$28-C406)/C406</f>
        <v>-1.2783407928649288E-4</v>
      </c>
      <c r="M406" s="551">
        <f>'Sollecitazioni nel paramento'!$G$60*(sezione!$AN$28-C406)/C406</f>
        <v>9.9622122761800955E-4</v>
      </c>
      <c r="N406" s="551">
        <f>'Sollecitazioni nel paramento'!$G$60*(sezione!$AO$28-C406)/C406</f>
        <v>5.4924424552360183E-3</v>
      </c>
      <c r="O406" s="551">
        <f>'Sollecitazioni nel paramento'!$G$60*(sezione!$AP$28-C406)/C406</f>
        <v>1.1157118144360954E-2</v>
      </c>
      <c r="P406" s="545">
        <f>-'Sollecitazioni nel paramento'!$G$47*'Sollecitazioni nel paramento'!$G$41*IF(DATI!$G$211="dx",DATI!$E$61,DATI!$E$64*DATI!$E$63)*1000*C406*sezione!$AD$5</f>
        <v>-2372472.2294528205</v>
      </c>
      <c r="Q406" s="545">
        <f>'Foglio deposito bis'!$F$48*IF(ABS(K406)&lt;'Sollecitazioni nel paramento'!$G$58,ABS(K406)*'Sollecitazioni nel paramento'!$G$54,'Sollecitazioni nel paramento'!$G$53)*IF(K406&lt;0,-1,1)</f>
        <v>0</v>
      </c>
      <c r="R406" s="545">
        <f>'Foglio deposito bis'!$F$49*IF(ABS(L406)&lt;'Sollecitazioni nel paramento'!$G$58,ABS(L406)*'Sollecitazioni nel paramento'!$G$54,'Sollecitazioni nel paramento'!$G$53)*IF(L406&lt;0,-1,1)</f>
        <v>-13788.356083193568</v>
      </c>
      <c r="S406" s="545">
        <f>'Foglio deposito bis'!$F$50*IF(ABS(M406)&lt;'Sollecitazioni nel paramento'!$G$58,ABS(M406)*'Sollecitazioni nel paramento'!$G$54,'Sollecitazioni nel paramento'!$G$53)*IF(M406&lt;0,-1,1)</f>
        <v>0</v>
      </c>
      <c r="T406" s="545">
        <f>'Foglio deposito bis'!$F$51*IF(ABS(N406)&lt;'Sollecitazioni nel paramento'!$G$58,ABS(N406)*'Sollecitazioni nel paramento'!$G$54,'Sollecitazioni nel paramento'!$G$53)*IF(N406&lt;0,-1,1)</f>
        <v>240946.49743184328</v>
      </c>
      <c r="U406" s="545">
        <f>'Foglio deposito bis'!$F$52*IF(ABS(O406)&lt;'Sollecitazioni nel paramento'!$G$58,ABS(O406)*'Sollecitazioni nel paramento'!$G$54,'Sollecitazioni nel paramento'!$G$53)*IF(O406&lt;0,-1,1)</f>
        <v>240946.49743184328</v>
      </c>
      <c r="V406" s="472">
        <f t="shared" si="32"/>
        <v>-1904367.5906723279</v>
      </c>
      <c r="W406" s="551"/>
      <c r="X406" s="551"/>
    </row>
    <row r="407" spans="1:24" x14ac:dyDescent="0.25">
      <c r="A407" s="545">
        <f t="shared" si="31"/>
        <v>1940073.5429233953</v>
      </c>
      <c r="B407" s="3">
        <f t="shared" si="29"/>
        <v>15.499999999999966</v>
      </c>
      <c r="C407" s="545">
        <f>'Foglio deposito bis'!$E$154/sezione!$B$247*B407</f>
        <v>63.088561785299561</v>
      </c>
      <c r="D407" s="603">
        <f>-'Sollecitazioni nel paramento'!$G$47*'Sollecitazioni nel paramento'!$G$41*IF(DATI!$G$211="dx",DATI!$E$61,DATI!$E$64*DATI!$E$63)*1000*C407^2*sezione!$AD$5*(1-sezione!$AD$6)</f>
        <v>-88553326.290779456</v>
      </c>
      <c r="E407" s="545">
        <f>-'Foglio deposito bis'!$F$48*(C407-sezione!$AL$28)*IF(ABS(K407)&lt;'Sollecitazioni nel paramento'!$G$58,ABS(K407)*'Sollecitazioni nel paramento'!$G$54,'Sollecitazioni nel paramento'!$G$53)</f>
        <v>0</v>
      </c>
      <c r="F407" s="545">
        <f>-'Foglio deposito bis'!$F$49*(C407-sezione!$AM$28)*IF(ABS(L407)&lt;'Sollecitazioni nel paramento'!$G$58,ABS(L407)*'Sollecitazioni nel paramento'!$G$54,'Sollecitazioni nel paramento'!$G$53)</f>
        <v>-57081.561800281692</v>
      </c>
      <c r="G407" s="545">
        <f>-'Foglio deposito bis'!$F$50*(C407-sezione!$AN$28)*IF(ABS(M407)&lt;'Sollecitazioni nel paramento'!$G$58,ABS(M407)*'Sollecitazioni nel paramento'!$G$54,'Sollecitazioni nel paramento'!$G$53)</f>
        <v>0</v>
      </c>
      <c r="H407" s="545">
        <f>-'Foglio deposito bis'!$F$51*(C407-sezione!$AO$28)*IF(ABS(N407)&lt;'Sollecitazioni nel paramento'!$G$58,ABS(N407)*'Sollecitazioni nel paramento'!$G$54,'Sollecitazioni nel paramento'!$G$53)</f>
        <v>23350471.598914556</v>
      </c>
      <c r="I407" s="472">
        <f>-'Foglio deposito bis'!$F$52*(C407-sezione!$AP$28)*IF(ABS(O407)&lt;'Sollecitazioni nel paramento'!$G$58,ABS(O407)*'Sollecitazioni nel paramento'!$G$54,'Sollecitazioni nel paramento'!$G$53)</f>
        <v>47635464.659276918</v>
      </c>
      <c r="J407" s="472">
        <f t="shared" si="30"/>
        <v>-17624471.594388269</v>
      </c>
      <c r="K407" s="550">
        <f>'Sollecitazioni nel paramento'!$G$60*(sezione!$AL$28-C407)/C407</f>
        <v>-1.2808972650788534E-3</v>
      </c>
      <c r="L407" s="550">
        <f>'Sollecitazioni nel paramento'!$G$60*(sezione!$AM$28-C407)/C407</f>
        <v>-1.7134589761827988E-4</v>
      </c>
      <c r="M407" s="551">
        <f>'Sollecitazioni nel paramento'!$G$60*(sezione!$AN$28-C407)/C407</f>
        <v>9.3820546984229344E-4</v>
      </c>
      <c r="N407" s="551">
        <f>'Sollecitazioni nel paramento'!$G$60*(sezione!$AO$28-C407)/C407</f>
        <v>5.3764109396845878E-3</v>
      </c>
      <c r="O407" s="551">
        <f>'Sollecitazioni nel paramento'!$G$60*(sezione!$AP$28-C407)/C407</f>
        <v>1.0967994039272427E-2</v>
      </c>
      <c r="P407" s="545">
        <f>-'Sollecitazioni nel paramento'!$G$47*'Sollecitazioni nel paramento'!$G$41*IF(DATI!$G$211="dx",DATI!$E$61,DATI!$E$64*DATI!$E$63)*1000*C407*sezione!$AD$5</f>
        <v>-2403484.9383345568</v>
      </c>
      <c r="Q407" s="545">
        <f>'Foglio deposito bis'!$F$48*IF(ABS(K407)&lt;'Sollecitazioni nel paramento'!$G$58,ABS(K407)*'Sollecitazioni nel paramento'!$G$54,'Sollecitazioni nel paramento'!$G$53)*IF(K407&lt;0,-1,1)</f>
        <v>0</v>
      </c>
      <c r="R407" s="545">
        <f>'Foglio deposito bis'!$F$49*IF(ABS(L407)&lt;'Sollecitazioni nel paramento'!$G$58,ABS(L407)*'Sollecitazioni nel paramento'!$G$54,'Sollecitazioni nel paramento'!$G$53)*IF(L407&lt;0,-1,1)</f>
        <v>-18481.599452524901</v>
      </c>
      <c r="S407" s="545">
        <f>'Foglio deposito bis'!$F$50*IF(ABS(M407)&lt;'Sollecitazioni nel paramento'!$G$58,ABS(M407)*'Sollecitazioni nel paramento'!$G$54,'Sollecitazioni nel paramento'!$G$53)*IF(M407&lt;0,-1,1)</f>
        <v>0</v>
      </c>
      <c r="T407" s="545">
        <f>'Foglio deposito bis'!$F$51*IF(ABS(N407)&lt;'Sollecitazioni nel paramento'!$G$58,ABS(N407)*'Sollecitazioni nel paramento'!$G$54,'Sollecitazioni nel paramento'!$G$53)*IF(N407&lt;0,-1,1)</f>
        <v>240946.49743184328</v>
      </c>
      <c r="U407" s="545">
        <f>'Foglio deposito bis'!$F$52*IF(ABS(O407)&lt;'Sollecitazioni nel paramento'!$G$58,ABS(O407)*'Sollecitazioni nel paramento'!$G$54,'Sollecitazioni nel paramento'!$G$53)*IF(O407&lt;0,-1,1)</f>
        <v>240946.49743184328</v>
      </c>
      <c r="V407" s="472">
        <f t="shared" si="32"/>
        <v>-1940073.5429233953</v>
      </c>
      <c r="W407" s="551"/>
      <c r="X407" s="551"/>
    </row>
    <row r="408" spans="1:24" x14ac:dyDescent="0.25">
      <c r="A408" s="545">
        <f t="shared" si="31"/>
        <v>1975659.9220949898</v>
      </c>
      <c r="B408" s="3">
        <f t="shared" si="29"/>
        <v>15.699999999999966</v>
      </c>
      <c r="C408" s="545">
        <f>'Foglio deposito bis'!$E$154/sezione!$B$247*B408</f>
        <v>63.902607743819559</v>
      </c>
      <c r="D408" s="603">
        <f>-'Sollecitazioni nel paramento'!$G$47*'Sollecitazioni nel paramento'!$G$41*IF(DATI!$G$211="dx",DATI!$E$61,DATI!$E$64*DATI!$E$63)*1000*C408^2*sezione!$AD$5*(1-sezione!$AD$6)</f>
        <v>-90853316.950735614</v>
      </c>
      <c r="E408" s="545">
        <f>-'Foglio deposito bis'!$F$48*(C408-sezione!$AL$28)*IF(ABS(K408)&lt;'Sollecitazioni nel paramento'!$G$58,ABS(K408)*'Sollecitazioni nel paramento'!$G$54,'Sollecitazioni nel paramento'!$G$53)</f>
        <v>0</v>
      </c>
      <c r="F408" s="545">
        <f>-'Foglio deposito bis'!$F$49*(C408-sezione!$AM$28)*IF(ABS(L408)&lt;'Sollecitazioni nel paramento'!$G$58,ABS(L408)*'Sollecitazioni nel paramento'!$G$54,'Sollecitazioni nel paramento'!$G$53)</f>
        <v>-89975.674232472113</v>
      </c>
      <c r="G408" s="545">
        <f>-'Foglio deposito bis'!$F$50*(C408-sezione!$AN$28)*IF(ABS(M408)&lt;'Sollecitazioni nel paramento'!$G$58,ABS(M408)*'Sollecitazioni nel paramento'!$G$54,'Sollecitazioni nel paramento'!$G$53)</f>
        <v>0</v>
      </c>
      <c r="H408" s="545">
        <f>-'Foglio deposito bis'!$F$51*(C408-sezione!$AO$28)*IF(ABS(N408)&lt;'Sollecitazioni nel paramento'!$G$58,ABS(N408)*'Sollecitazioni nel paramento'!$G$54,'Sollecitazioni nel paramento'!$G$53)</f>
        <v>23154330.076460619</v>
      </c>
      <c r="I408" s="472">
        <f>-'Foglio deposito bis'!$F$52*(C408-sezione!$AP$28)*IF(ABS(O408)&lt;'Sollecitazioni nel paramento'!$G$58,ABS(O408)*'Sollecitazioni nel paramento'!$G$54,'Sollecitazioni nel paramento'!$G$53)</f>
        <v>47439323.136822984</v>
      </c>
      <c r="J408" s="472">
        <f t="shared" si="30"/>
        <v>-20349639.411684483</v>
      </c>
      <c r="K408" s="550">
        <f>'Sollecitazioni nel paramento'!$G$60*(sezione!$AL$28-C408)/C408</f>
        <v>-1.3091660897275304E-3</v>
      </c>
      <c r="L408" s="550">
        <f>'Sollecitazioni nel paramento'!$G$60*(sezione!$AM$28-C408)/C408</f>
        <v>-2.1374913459129558E-4</v>
      </c>
      <c r="M408" s="551">
        <f>'Sollecitazioni nel paramento'!$G$60*(sezione!$AN$28-C408)/C408</f>
        <v>8.8166782054493922E-4</v>
      </c>
      <c r="N408" s="551">
        <f>'Sollecitazioni nel paramento'!$G$60*(sezione!$AO$28-C408)/C408</f>
        <v>5.2633356410898783E-3</v>
      </c>
      <c r="O408" s="551">
        <f>'Sollecitazioni nel paramento'!$G$60*(sezione!$AP$28-C408)/C408</f>
        <v>1.0783688382721186E-2</v>
      </c>
      <c r="P408" s="545">
        <f>-'Sollecitazioni nel paramento'!$G$47*'Sollecitazioni nel paramento'!$G$41*IF(DATI!$G$211="dx",DATI!$E$61,DATI!$E$64*DATI!$E$63)*1000*C408*sezione!$AD$5</f>
        <v>-2434497.6472162935</v>
      </c>
      <c r="Q408" s="545">
        <f>'Foglio deposito bis'!$F$48*IF(ABS(K408)&lt;'Sollecitazioni nel paramento'!$G$58,ABS(K408)*'Sollecitazioni nel paramento'!$G$54,'Sollecitazioni nel paramento'!$G$53)*IF(K408&lt;0,-1,1)</f>
        <v>0</v>
      </c>
      <c r="R408" s="545">
        <f>'Foglio deposito bis'!$F$49*IF(ABS(L408)&lt;'Sollecitazioni nel paramento'!$G$58,ABS(L408)*'Sollecitazioni nel paramento'!$G$54,'Sollecitazioni nel paramento'!$G$53)*IF(L408&lt;0,-1,1)</f>
        <v>-23055.269742382861</v>
      </c>
      <c r="S408" s="545">
        <f>'Foglio deposito bis'!$F$50*IF(ABS(M408)&lt;'Sollecitazioni nel paramento'!$G$58,ABS(M408)*'Sollecitazioni nel paramento'!$G$54,'Sollecitazioni nel paramento'!$G$53)*IF(M408&lt;0,-1,1)</f>
        <v>0</v>
      </c>
      <c r="T408" s="545">
        <f>'Foglio deposito bis'!$F$51*IF(ABS(N408)&lt;'Sollecitazioni nel paramento'!$G$58,ABS(N408)*'Sollecitazioni nel paramento'!$G$54,'Sollecitazioni nel paramento'!$G$53)*IF(N408&lt;0,-1,1)</f>
        <v>240946.49743184328</v>
      </c>
      <c r="U408" s="545">
        <f>'Foglio deposito bis'!$F$52*IF(ABS(O408)&lt;'Sollecitazioni nel paramento'!$G$58,ABS(O408)*'Sollecitazioni nel paramento'!$G$54,'Sollecitazioni nel paramento'!$G$53)*IF(O408&lt;0,-1,1)</f>
        <v>240946.49743184328</v>
      </c>
      <c r="V408" s="472">
        <f t="shared" si="32"/>
        <v>-1975659.9220949898</v>
      </c>
      <c r="W408" s="551"/>
      <c r="X408" s="551"/>
    </row>
    <row r="409" spans="1:24" x14ac:dyDescent="0.25">
      <c r="A409" s="545">
        <f t="shared" si="31"/>
        <v>2011131.2403787884</v>
      </c>
      <c r="B409" s="3">
        <f t="shared" si="29"/>
        <v>15.899999999999965</v>
      </c>
      <c r="C409" s="545">
        <f>'Foglio deposito bis'!$E$154/sezione!$B$247*B409</f>
        <v>64.716653702339542</v>
      </c>
      <c r="D409" s="603">
        <f>-'Sollecitazioni nel paramento'!$G$47*'Sollecitazioni nel paramento'!$G$41*IF(DATI!$G$211="dx",DATI!$E$61,DATI!$E$64*DATI!$E$63)*1000*C409^2*sezione!$AD$5*(1-sezione!$AD$6)</f>
        <v>-93182794.670434758</v>
      </c>
      <c r="E409" s="545">
        <f>-'Foglio deposito bis'!$F$48*(C409-sezione!$AL$28)*IF(ABS(K409)&lt;'Sollecitazioni nel paramento'!$G$58,ABS(K409)*'Sollecitazioni nel paramento'!$G$54,'Sollecitazioni nel paramento'!$G$53)</f>
        <v>0</v>
      </c>
      <c r="F409" s="545">
        <f>-'Foglio deposito bis'!$F$49*(C409-sezione!$AM$28)*IF(ABS(L409)&lt;'Sollecitazioni nel paramento'!$G$58,ABS(L409)*'Sollecitazioni nel paramento'!$G$54,'Sollecitazioni nel paramento'!$G$53)</f>
        <v>-129773.43993237194</v>
      </c>
      <c r="G409" s="545">
        <f>-'Foglio deposito bis'!$F$50*(C409-sezione!$AN$28)*IF(ABS(M409)&lt;'Sollecitazioni nel paramento'!$G$58,ABS(M409)*'Sollecitazioni nel paramento'!$G$54,'Sollecitazioni nel paramento'!$G$53)</f>
        <v>0</v>
      </c>
      <c r="H409" s="545">
        <f>-'Foglio deposito bis'!$F$51*(C409-sezione!$AO$28)*IF(ABS(N409)&lt;'Sollecitazioni nel paramento'!$G$58,ABS(N409)*'Sollecitazioni nel paramento'!$G$54,'Sollecitazioni nel paramento'!$G$53)</f>
        <v>22958188.554006681</v>
      </c>
      <c r="I409" s="472">
        <f>-'Foglio deposito bis'!$F$52*(C409-sezione!$AP$28)*IF(ABS(O409)&lt;'Sollecitazioni nel paramento'!$G$58,ABS(O409)*'Sollecitazioni nel paramento'!$G$54,'Sollecitazioni nel paramento'!$G$53)</f>
        <v>47243181.614369035</v>
      </c>
      <c r="J409" s="472">
        <f t="shared" si="30"/>
        <v>-23111197.941991419</v>
      </c>
      <c r="K409" s="550">
        <f>'Sollecitazioni nel paramento'!$G$60*(sezione!$AL$28-C409)/C409</f>
        <v>-1.3367237489762404E-3</v>
      </c>
      <c r="L409" s="550">
        <f>'Sollecitazioni nel paramento'!$G$60*(sezione!$AM$28-C409)/C409</f>
        <v>-2.5508562346436049E-4</v>
      </c>
      <c r="M409" s="551">
        <f>'Sollecitazioni nel paramento'!$G$60*(sezione!$AN$28-C409)/C409</f>
        <v>8.2655250204751937E-4</v>
      </c>
      <c r="N409" s="551">
        <f>'Sollecitazioni nel paramento'!$G$60*(sezione!$AO$28-C409)/C409</f>
        <v>5.1531050040950384E-3</v>
      </c>
      <c r="O409" s="551">
        <f>'Sollecitazioni nel paramento'!$G$60*(sezione!$AP$28-C409)/C409</f>
        <v>1.0604019346460544E-2</v>
      </c>
      <c r="P409" s="545">
        <f>-'Sollecitazioni nel paramento'!$G$47*'Sollecitazioni nel paramento'!$G$41*IF(DATI!$G$211="dx",DATI!$E$61,DATI!$E$64*DATI!$E$63)*1000*C409*sezione!$AD$5</f>
        <v>-2465510.3560980293</v>
      </c>
      <c r="Q409" s="545">
        <f>'Foglio deposito bis'!$F$48*IF(ABS(K409)&lt;'Sollecitazioni nel paramento'!$G$58,ABS(K409)*'Sollecitazioni nel paramento'!$G$54,'Sollecitazioni nel paramento'!$G$53)*IF(K409&lt;0,-1,1)</f>
        <v>0</v>
      </c>
      <c r="R409" s="545">
        <f>'Foglio deposito bis'!$F$49*IF(ABS(L409)&lt;'Sollecitazioni nel paramento'!$G$58,ABS(L409)*'Sollecitazioni nel paramento'!$G$54,'Sollecitazioni nel paramento'!$G$53)*IF(L409&lt;0,-1,1)</f>
        <v>-27513.879144445578</v>
      </c>
      <c r="S409" s="545">
        <f>'Foglio deposito bis'!$F$50*IF(ABS(M409)&lt;'Sollecitazioni nel paramento'!$G$58,ABS(M409)*'Sollecitazioni nel paramento'!$G$54,'Sollecitazioni nel paramento'!$G$53)*IF(M409&lt;0,-1,1)</f>
        <v>0</v>
      </c>
      <c r="T409" s="545">
        <f>'Foglio deposito bis'!$F$51*IF(ABS(N409)&lt;'Sollecitazioni nel paramento'!$G$58,ABS(N409)*'Sollecitazioni nel paramento'!$G$54,'Sollecitazioni nel paramento'!$G$53)*IF(N409&lt;0,-1,1)</f>
        <v>240946.49743184328</v>
      </c>
      <c r="U409" s="545">
        <f>'Foglio deposito bis'!$F$52*IF(ABS(O409)&lt;'Sollecitazioni nel paramento'!$G$58,ABS(O409)*'Sollecitazioni nel paramento'!$G$54,'Sollecitazioni nel paramento'!$G$53)*IF(O409&lt;0,-1,1)</f>
        <v>240946.49743184328</v>
      </c>
      <c r="V409" s="472">
        <f t="shared" si="32"/>
        <v>-2011131.2403787884</v>
      </c>
      <c r="W409" s="551"/>
      <c r="X409" s="551"/>
    </row>
    <row r="410" spans="1:24" x14ac:dyDescent="0.25">
      <c r="A410" s="545">
        <f t="shared" si="31"/>
        <v>2046491.7857581892</v>
      </c>
      <c r="B410" s="3">
        <f t="shared" si="29"/>
        <v>16.099999999999966</v>
      </c>
      <c r="C410" s="545">
        <f>'Foglio deposito bis'!$E$154/sezione!$B$247*B410</f>
        <v>65.530699660859554</v>
      </c>
      <c r="D410" s="603">
        <f>-'Sollecitazioni nel paramento'!$G$47*'Sollecitazioni nel paramento'!$G$41*IF(DATI!$G$211="dx",DATI!$E$61,DATI!$E$64*DATI!$E$63)*1000*C410^2*sezione!$AD$5*(1-sezione!$AD$6)</f>
        <v>-95541759.449877009</v>
      </c>
      <c r="E410" s="545">
        <f>-'Foglio deposito bis'!$F$48*(C410-sezione!$AL$28)*IF(ABS(K410)&lt;'Sollecitazioni nel paramento'!$G$58,ABS(K410)*'Sollecitazioni nel paramento'!$G$54,'Sollecitazioni nel paramento'!$G$53)</f>
        <v>0</v>
      </c>
      <c r="F410" s="545">
        <f>-'Foglio deposito bis'!$F$49*(C410-sezione!$AM$28)*IF(ABS(L410)&lt;'Sollecitazioni nel paramento'!$G$58,ABS(L410)*'Sollecitazioni nel paramento'!$G$54,'Sollecitazioni nel paramento'!$G$53)</f>
        <v>-176217.57989621785</v>
      </c>
      <c r="G410" s="545">
        <f>-'Foglio deposito bis'!$F$50*(C410-sezione!$AN$28)*IF(ABS(M410)&lt;'Sollecitazioni nel paramento'!$G$58,ABS(M410)*'Sollecitazioni nel paramento'!$G$54,'Sollecitazioni nel paramento'!$G$53)</f>
        <v>0</v>
      </c>
      <c r="H410" s="545">
        <f>-'Foglio deposito bis'!$F$51*(C410-sezione!$AO$28)*IF(ABS(N410)&lt;'Sollecitazioni nel paramento'!$G$58,ABS(N410)*'Sollecitazioni nel paramento'!$G$54,'Sollecitazioni nel paramento'!$G$53)</f>
        <v>22762047.031552732</v>
      </c>
      <c r="I410" s="472">
        <f>-'Foglio deposito bis'!$F$52*(C410-sezione!$AP$28)*IF(ABS(O410)&lt;'Sollecitazioni nel paramento'!$G$58,ABS(O410)*'Sollecitazioni nel paramento'!$G$54,'Sollecitazioni nel paramento'!$G$53)</f>
        <v>47047040.091915093</v>
      </c>
      <c r="J410" s="472">
        <f t="shared" si="30"/>
        <v>-25908889.906305395</v>
      </c>
      <c r="K410" s="550">
        <f>'Sollecitazioni nel paramento'!$G$60*(sezione!$AL$28-C410)/C410</f>
        <v>-1.3635967458833684E-3</v>
      </c>
      <c r="L410" s="550">
        <f>'Sollecitazioni nel paramento'!$G$60*(sezione!$AM$28-C410)/C410</f>
        <v>-2.9539511882505255E-4</v>
      </c>
      <c r="M410" s="551">
        <f>'Sollecitazioni nel paramento'!$G$60*(sezione!$AN$28-C410)/C410</f>
        <v>7.7280650823326332E-4</v>
      </c>
      <c r="N410" s="551">
        <f>'Sollecitazioni nel paramento'!$G$60*(sezione!$AO$28-C410)/C410</f>
        <v>5.0456130164665269E-3</v>
      </c>
      <c r="O410" s="551">
        <f>'Sollecitazioni nel paramento'!$G$60*(sezione!$AP$28-C410)/C410</f>
        <v>1.0428814137187738E-2</v>
      </c>
      <c r="P410" s="545">
        <f>-'Sollecitazioni nel paramento'!$G$47*'Sollecitazioni nel paramento'!$G$41*IF(DATI!$G$211="dx",DATI!$E$61,DATI!$E$64*DATI!$E$63)*1000*C410*sezione!$AD$5</f>
        <v>-2496523.064979766</v>
      </c>
      <c r="Q410" s="545">
        <f>'Foglio deposito bis'!$F$48*IF(ABS(K410)&lt;'Sollecitazioni nel paramento'!$G$58,ABS(K410)*'Sollecitazioni nel paramento'!$G$54,'Sollecitazioni nel paramento'!$G$53)*IF(K410&lt;0,-1,1)</f>
        <v>0</v>
      </c>
      <c r="R410" s="545">
        <f>'Foglio deposito bis'!$F$49*IF(ABS(L410)&lt;'Sollecitazioni nel paramento'!$G$58,ABS(L410)*'Sollecitazioni nel paramento'!$G$54,'Sollecitazioni nel paramento'!$G$53)*IF(L410&lt;0,-1,1)</f>
        <v>-31861.715642109371</v>
      </c>
      <c r="S410" s="545">
        <f>'Foglio deposito bis'!$F$50*IF(ABS(M410)&lt;'Sollecitazioni nel paramento'!$G$58,ABS(M410)*'Sollecitazioni nel paramento'!$G$54,'Sollecitazioni nel paramento'!$G$53)*IF(M410&lt;0,-1,1)</f>
        <v>0</v>
      </c>
      <c r="T410" s="545">
        <f>'Foglio deposito bis'!$F$51*IF(ABS(N410)&lt;'Sollecitazioni nel paramento'!$G$58,ABS(N410)*'Sollecitazioni nel paramento'!$G$54,'Sollecitazioni nel paramento'!$G$53)*IF(N410&lt;0,-1,1)</f>
        <v>240946.49743184328</v>
      </c>
      <c r="U410" s="545">
        <f>'Foglio deposito bis'!$F$52*IF(ABS(O410)&lt;'Sollecitazioni nel paramento'!$G$58,ABS(O410)*'Sollecitazioni nel paramento'!$G$54,'Sollecitazioni nel paramento'!$G$53)*IF(O410&lt;0,-1,1)</f>
        <v>240946.49743184328</v>
      </c>
      <c r="V410" s="472">
        <f t="shared" si="32"/>
        <v>-2046491.7857581892</v>
      </c>
      <c r="W410" s="551"/>
      <c r="X410" s="551"/>
    </row>
    <row r="411" spans="1:24" x14ac:dyDescent="0.25">
      <c r="A411" s="545">
        <f t="shared" si="31"/>
        <v>2081745.6357634126</v>
      </c>
      <c r="B411" s="3">
        <f t="shared" si="29"/>
        <v>16.299999999999965</v>
      </c>
      <c r="C411" s="545">
        <f>'Foglio deposito bis'!$E$154/sezione!$B$247*B411</f>
        <v>66.344745619379538</v>
      </c>
      <c r="D411" s="603">
        <f>-'Sollecitazioni nel paramento'!$G$47*'Sollecitazioni nel paramento'!$G$41*IF(DATI!$G$211="dx",DATI!$E$61,DATI!$E$64*DATI!$E$63)*1000*C411^2*sezione!$AD$5*(1-sezione!$AD$6)</f>
        <v>-97930211.289062202</v>
      </c>
      <c r="E411" s="545">
        <f>-'Foglio deposito bis'!$F$48*(C411-sezione!$AL$28)*IF(ABS(K411)&lt;'Sollecitazioni nel paramento'!$G$58,ABS(K411)*'Sollecitazioni nel paramento'!$G$54,'Sollecitazioni nel paramento'!$G$53)</f>
        <v>0</v>
      </c>
      <c r="F411" s="545">
        <f>-'Foglio deposito bis'!$F$49*(C411-sezione!$AM$28)*IF(ABS(L411)&lt;'Sollecitazioni nel paramento'!$G$58,ABS(L411)*'Sollecitazioni nel paramento'!$G$54,'Sollecitazioni nel paramento'!$G$53)</f>
        <v>-229063.44231060988</v>
      </c>
      <c r="G411" s="545">
        <f>-'Foglio deposito bis'!$F$50*(C411-sezione!$AN$28)*IF(ABS(M411)&lt;'Sollecitazioni nel paramento'!$G$58,ABS(M411)*'Sollecitazioni nel paramento'!$G$54,'Sollecitazioni nel paramento'!$G$53)</f>
        <v>0</v>
      </c>
      <c r="H411" s="545">
        <f>-'Foglio deposito bis'!$F$51*(C411-sezione!$AO$28)*IF(ABS(N411)&lt;'Sollecitazioni nel paramento'!$G$58,ABS(N411)*'Sollecitazioni nel paramento'!$G$54,'Sollecitazioni nel paramento'!$G$53)</f>
        <v>22565905.509098798</v>
      </c>
      <c r="I411" s="472">
        <f>-'Foglio deposito bis'!$F$52*(C411-sezione!$AP$28)*IF(ABS(O411)&lt;'Sollecitazioni nel paramento'!$G$58,ABS(O411)*'Sollecitazioni nel paramento'!$G$54,'Sollecitazioni nel paramento'!$G$53)</f>
        <v>46850898.569461159</v>
      </c>
      <c r="J411" s="472">
        <f t="shared" si="30"/>
        <v>-28742470.652812861</v>
      </c>
      <c r="K411" s="550">
        <f>'Sollecitazioni nel paramento'!$G$60*(sezione!$AL$28-C411)/C411</f>
        <v>-1.3898102827436948E-3</v>
      </c>
      <c r="L411" s="550">
        <f>'Sollecitazioni nel paramento'!$G$60*(sezione!$AM$28-C411)/C411</f>
        <v>-3.3471542411554219E-4</v>
      </c>
      <c r="M411" s="551">
        <f>'Sollecitazioni nel paramento'!$G$60*(sezione!$AN$28-C411)/C411</f>
        <v>7.2037943451261051E-4</v>
      </c>
      <c r="N411" s="551">
        <f>'Sollecitazioni nel paramento'!$G$60*(sezione!$AO$28-C411)/C411</f>
        <v>4.9407588690252215E-3</v>
      </c>
      <c r="O411" s="551">
        <f>'Sollecitazioni nel paramento'!$G$60*(sezione!$AP$28-C411)/C411</f>
        <v>1.0257908442252921E-2</v>
      </c>
      <c r="P411" s="545">
        <f>-'Sollecitazioni nel paramento'!$G$47*'Sollecitazioni nel paramento'!$G$41*IF(DATI!$G$211="dx",DATI!$E$61,DATI!$E$64*DATI!$E$63)*1000*C411*sezione!$AD$5</f>
        <v>-2527535.7738615018</v>
      </c>
      <c r="Q411" s="545">
        <f>'Foglio deposito bis'!$F$48*IF(ABS(K411)&lt;'Sollecitazioni nel paramento'!$G$58,ABS(K411)*'Sollecitazioni nel paramento'!$G$54,'Sollecitazioni nel paramento'!$G$53)*IF(K411&lt;0,-1,1)</f>
        <v>0</v>
      </c>
      <c r="R411" s="545">
        <f>'Foglio deposito bis'!$F$49*IF(ABS(L411)&lt;'Sollecitazioni nel paramento'!$G$58,ABS(L411)*'Sollecitazioni nel paramento'!$G$54,'Sollecitazioni nel paramento'!$G$53)*IF(L411&lt;0,-1,1)</f>
        <v>-36102.856765597222</v>
      </c>
      <c r="S411" s="545">
        <f>'Foglio deposito bis'!$F$50*IF(ABS(M411)&lt;'Sollecitazioni nel paramento'!$G$58,ABS(M411)*'Sollecitazioni nel paramento'!$G$54,'Sollecitazioni nel paramento'!$G$53)*IF(M411&lt;0,-1,1)</f>
        <v>0</v>
      </c>
      <c r="T411" s="545">
        <f>'Foglio deposito bis'!$F$51*IF(ABS(N411)&lt;'Sollecitazioni nel paramento'!$G$58,ABS(N411)*'Sollecitazioni nel paramento'!$G$54,'Sollecitazioni nel paramento'!$G$53)*IF(N411&lt;0,-1,1)</f>
        <v>240946.49743184328</v>
      </c>
      <c r="U411" s="545">
        <f>'Foglio deposito bis'!$F$52*IF(ABS(O411)&lt;'Sollecitazioni nel paramento'!$G$58,ABS(O411)*'Sollecitazioni nel paramento'!$G$54,'Sollecitazioni nel paramento'!$G$53)*IF(O411&lt;0,-1,1)</f>
        <v>240946.49743184328</v>
      </c>
      <c r="V411" s="472">
        <f t="shared" si="32"/>
        <v>-2081745.6357634126</v>
      </c>
      <c r="W411" s="551"/>
      <c r="X411" s="551"/>
    </row>
    <row r="412" spans="1:24" x14ac:dyDescent="0.25">
      <c r="A412" s="545">
        <f t="shared" si="31"/>
        <v>2116896.6702262494</v>
      </c>
      <c r="B412" s="3">
        <f t="shared" si="29"/>
        <v>16.499999999999964</v>
      </c>
      <c r="C412" s="545">
        <f>'Foglio deposito bis'!$E$154/sezione!$B$247*B412</f>
        <v>67.158791577899535</v>
      </c>
      <c r="D412" s="603">
        <f>-'Sollecitazioni nel paramento'!$G$47*'Sollecitazioni nel paramento'!$G$41*IF(DATI!$G$211="dx",DATI!$E$61,DATI!$E$64*DATI!$E$63)*1000*C412^2*sezione!$AD$5*(1-sezione!$AD$6)</f>
        <v>-100348150.18799049</v>
      </c>
      <c r="E412" s="545">
        <f>-'Foglio deposito bis'!$F$48*(C412-sezione!$AL$28)*IF(ABS(K412)&lt;'Sollecitazioni nel paramento'!$G$58,ABS(K412)*'Sollecitazioni nel paramento'!$G$54,'Sollecitazioni nel paramento'!$G$53)</f>
        <v>0</v>
      </c>
      <c r="F412" s="545">
        <f>-'Foglio deposito bis'!$F$49*(C412-sezione!$AM$28)*IF(ABS(L412)&lt;'Sollecitazioni nel paramento'!$G$58,ABS(L412)*'Sollecitazioni nel paramento'!$G$54,'Sollecitazioni nel paramento'!$G$53)</f>
        <v>-288078.23726825794</v>
      </c>
      <c r="G412" s="545">
        <f>-'Foglio deposito bis'!$F$50*(C412-sezione!$AN$28)*IF(ABS(M412)&lt;'Sollecitazioni nel paramento'!$G$58,ABS(M412)*'Sollecitazioni nel paramento'!$G$54,'Sollecitazioni nel paramento'!$G$53)</f>
        <v>0</v>
      </c>
      <c r="H412" s="545">
        <f>-'Foglio deposito bis'!$F$51*(C412-sezione!$AO$28)*IF(ABS(N412)&lt;'Sollecitazioni nel paramento'!$G$58,ABS(N412)*'Sollecitazioni nel paramento'!$G$54,'Sollecitazioni nel paramento'!$G$53)</f>
        <v>22369763.986644853</v>
      </c>
      <c r="I412" s="472">
        <f>-'Foglio deposito bis'!$F$52*(C412-sezione!$AP$28)*IF(ABS(O412)&lt;'Sollecitazioni nel paramento'!$G$58,ABS(O412)*'Sollecitazioni nel paramento'!$G$54,'Sollecitazioni nel paramento'!$G$53)</f>
        <v>46654757.047007218</v>
      </c>
      <c r="J412" s="472">
        <f t="shared" si="30"/>
        <v>-31611707.391606674</v>
      </c>
      <c r="K412" s="550">
        <f>'Sollecitazioni nel paramento'!$G$60*(sezione!$AL$28-C412)/C412</f>
        <v>-1.4153883399225593E-3</v>
      </c>
      <c r="L412" s="550">
        <f>'Sollecitazioni nel paramento'!$G$60*(sezione!$AM$28-C412)/C412</f>
        <v>-3.7308250988383882E-4</v>
      </c>
      <c r="M412" s="551">
        <f>'Sollecitazioni nel paramento'!$G$60*(sezione!$AN$28-C412)/C412</f>
        <v>6.692233201548816E-4</v>
      </c>
      <c r="N412" s="551">
        <f>'Sollecitazioni nel paramento'!$G$60*(sezione!$AO$28-C412)/C412</f>
        <v>4.8384466403097633E-3</v>
      </c>
      <c r="O412" s="551">
        <f>'Sollecitazioni nel paramento'!$G$60*(sezione!$AP$28-C412)/C412</f>
        <v>1.0091145915680158E-2</v>
      </c>
      <c r="P412" s="545">
        <f>-'Sollecitazioni nel paramento'!$G$47*'Sollecitazioni nel paramento'!$G$41*IF(DATI!$G$211="dx",DATI!$E$61,DATI!$E$64*DATI!$E$63)*1000*C412*sezione!$AD$5</f>
        <v>-2558548.4827432381</v>
      </c>
      <c r="Q412" s="545">
        <f>'Foglio deposito bis'!$F$48*IF(ABS(K412)&lt;'Sollecitazioni nel paramento'!$G$58,ABS(K412)*'Sollecitazioni nel paramento'!$G$54,'Sollecitazioni nel paramento'!$G$53)*IF(K412&lt;0,-1,1)</f>
        <v>0</v>
      </c>
      <c r="R412" s="545">
        <f>'Foglio deposito bis'!$F$49*IF(ABS(L412)&lt;'Sollecitazioni nel paramento'!$G$58,ABS(L412)*'Sollecitazioni nel paramento'!$G$54,'Sollecitazioni nel paramento'!$G$53)*IF(L412&lt;0,-1,1)</f>
        <v>-40241.182346697555</v>
      </c>
      <c r="S412" s="545">
        <f>'Foglio deposito bis'!$F$50*IF(ABS(M412)&lt;'Sollecitazioni nel paramento'!$G$58,ABS(M412)*'Sollecitazioni nel paramento'!$G$54,'Sollecitazioni nel paramento'!$G$53)*IF(M412&lt;0,-1,1)</f>
        <v>0</v>
      </c>
      <c r="T412" s="545">
        <f>'Foglio deposito bis'!$F$51*IF(ABS(N412)&lt;'Sollecitazioni nel paramento'!$G$58,ABS(N412)*'Sollecitazioni nel paramento'!$G$54,'Sollecitazioni nel paramento'!$G$53)*IF(N412&lt;0,-1,1)</f>
        <v>240946.49743184328</v>
      </c>
      <c r="U412" s="545">
        <f>'Foglio deposito bis'!$F$52*IF(ABS(O412)&lt;'Sollecitazioni nel paramento'!$G$58,ABS(O412)*'Sollecitazioni nel paramento'!$G$54,'Sollecitazioni nel paramento'!$G$53)*IF(O412&lt;0,-1,1)</f>
        <v>240946.49743184328</v>
      </c>
      <c r="V412" s="472">
        <f t="shared" si="32"/>
        <v>-2116896.6702262494</v>
      </c>
      <c r="W412" s="551"/>
      <c r="X412" s="551"/>
    </row>
    <row r="413" spans="1:24" x14ac:dyDescent="0.25">
      <c r="A413" s="545">
        <f t="shared" si="31"/>
        <v>2151948.5831182813</v>
      </c>
      <c r="B413" s="3">
        <f t="shared" si="29"/>
        <v>16.699999999999964</v>
      </c>
      <c r="C413" s="545">
        <f>'Foglio deposito bis'!$E$154/sezione!$B$247*B413</f>
        <v>67.972837536419533</v>
      </c>
      <c r="D413" s="603">
        <f>-'Sollecitazioni nel paramento'!$G$47*'Sollecitazioni nel paramento'!$G$41*IF(DATI!$G$211="dx",DATI!$E$61,DATI!$E$64*DATI!$E$63)*1000*C413^2*sezione!$AD$5*(1-sezione!$AD$6)</f>
        <v>-102795576.14666177</v>
      </c>
      <c r="E413" s="545">
        <f>-'Foglio deposito bis'!$F$48*(C413-sezione!$AL$28)*IF(ABS(K413)&lt;'Sollecitazioni nel paramento'!$G$58,ABS(K413)*'Sollecitazioni nel paramento'!$G$54,'Sollecitazioni nel paramento'!$G$53)</f>
        <v>0</v>
      </c>
      <c r="F413" s="545">
        <f>-'Foglio deposito bis'!$F$49*(C413-sezione!$AM$28)*IF(ABS(L413)&lt;'Sollecitazioni nel paramento'!$G$58,ABS(L413)*'Sollecitazioni nel paramento'!$G$54,'Sollecitazioni nel paramento'!$G$53)</f>
        <v>-353040.32647419389</v>
      </c>
      <c r="G413" s="545">
        <f>-'Foglio deposito bis'!$F$50*(C413-sezione!$AN$28)*IF(ABS(M413)&lt;'Sollecitazioni nel paramento'!$G$58,ABS(M413)*'Sollecitazioni nel paramento'!$G$54,'Sollecitazioni nel paramento'!$G$53)</f>
        <v>0</v>
      </c>
      <c r="H413" s="545">
        <f>-'Foglio deposito bis'!$F$51*(C413-sezione!$AO$28)*IF(ABS(N413)&lt;'Sollecitazioni nel paramento'!$G$58,ABS(N413)*'Sollecitazioni nel paramento'!$G$54,'Sollecitazioni nel paramento'!$G$53)</f>
        <v>22173622.464190915</v>
      </c>
      <c r="I413" s="472">
        <f>-'Foglio deposito bis'!$F$52*(C413-sezione!$AP$28)*IF(ABS(O413)&lt;'Sollecitazioni nel paramento'!$G$58,ABS(O413)*'Sollecitazioni nel paramento'!$G$54,'Sollecitazioni nel paramento'!$G$53)</f>
        <v>46458615.524553277</v>
      </c>
      <c r="J413" s="472">
        <f t="shared" si="30"/>
        <v>-34516378.484391771</v>
      </c>
      <c r="K413" s="550">
        <f>'Sollecitazioni nel paramento'!$G$60*(sezione!$AL$28-C413)/C413</f>
        <v>-1.4403537490252831E-3</v>
      </c>
      <c r="L413" s="550">
        <f>'Sollecitazioni nel paramento'!$G$60*(sezione!$AM$28-C413)/C413</f>
        <v>-4.1053062353792473E-4</v>
      </c>
      <c r="M413" s="551">
        <f>'Sollecitazioni nel paramento'!$G$60*(sezione!$AN$28-C413)/C413</f>
        <v>6.1929250194943375E-4</v>
      </c>
      <c r="N413" s="551">
        <f>'Sollecitazioni nel paramento'!$G$60*(sezione!$AO$28-C413)/C413</f>
        <v>4.7385850038988674E-3</v>
      </c>
      <c r="O413" s="551">
        <f>'Sollecitazioni nel paramento'!$G$60*(sezione!$AP$28-C413)/C413</f>
        <v>9.9283777011211112E-3</v>
      </c>
      <c r="P413" s="545">
        <f>-'Sollecitazioni nel paramento'!$G$47*'Sollecitazioni nel paramento'!$G$41*IF(DATI!$G$211="dx",DATI!$E$61,DATI!$E$64*DATI!$E$63)*1000*C413*sezione!$AD$5</f>
        <v>-2589561.1916249744</v>
      </c>
      <c r="Q413" s="545">
        <f>'Foglio deposito bis'!$F$48*IF(ABS(K413)&lt;'Sollecitazioni nel paramento'!$G$58,ABS(K413)*'Sollecitazioni nel paramento'!$G$54,'Sollecitazioni nel paramento'!$G$53)*IF(K413&lt;0,-1,1)</f>
        <v>0</v>
      </c>
      <c r="R413" s="545">
        <f>'Foglio deposito bis'!$F$49*IF(ABS(L413)&lt;'Sollecitazioni nel paramento'!$G$58,ABS(L413)*'Sollecitazioni nel paramento'!$G$54,'Sollecitazioni nel paramento'!$G$53)*IF(L413&lt;0,-1,1)</f>
        <v>-44280.386356993091</v>
      </c>
      <c r="S413" s="545">
        <f>'Foglio deposito bis'!$F$50*IF(ABS(M413)&lt;'Sollecitazioni nel paramento'!$G$58,ABS(M413)*'Sollecitazioni nel paramento'!$G$54,'Sollecitazioni nel paramento'!$G$53)*IF(M413&lt;0,-1,1)</f>
        <v>0</v>
      </c>
      <c r="T413" s="545">
        <f>'Foglio deposito bis'!$F$51*IF(ABS(N413)&lt;'Sollecitazioni nel paramento'!$G$58,ABS(N413)*'Sollecitazioni nel paramento'!$G$54,'Sollecitazioni nel paramento'!$G$53)*IF(N413&lt;0,-1,1)</f>
        <v>240946.49743184328</v>
      </c>
      <c r="U413" s="545">
        <f>'Foglio deposito bis'!$F$52*IF(ABS(O413)&lt;'Sollecitazioni nel paramento'!$G$58,ABS(O413)*'Sollecitazioni nel paramento'!$G$54,'Sollecitazioni nel paramento'!$G$53)*IF(O413&lt;0,-1,1)</f>
        <v>240946.49743184328</v>
      </c>
      <c r="V413" s="472">
        <f t="shared" si="32"/>
        <v>-2151948.5831182813</v>
      </c>
      <c r="W413" s="551"/>
      <c r="X413" s="551"/>
    </row>
    <row r="414" spans="1:24" x14ac:dyDescent="0.25">
      <c r="A414" s="545">
        <f t="shared" si="31"/>
        <v>2186904.8935485305</v>
      </c>
      <c r="B414" s="3">
        <f t="shared" si="29"/>
        <v>16.899999999999963</v>
      </c>
      <c r="C414" s="545">
        <f>'Foglio deposito bis'!$E$154/sezione!$B$247*B414</f>
        <v>68.786883494939516</v>
      </c>
      <c r="D414" s="603">
        <f>-'Sollecitazioni nel paramento'!$G$47*'Sollecitazioni nel paramento'!$G$41*IF(DATI!$G$211="dx",DATI!$E$61,DATI!$E$64*DATI!$E$63)*1000*C414^2*sezione!$AD$5*(1-sezione!$AD$6)</f>
        <v>-105272489.16507606</v>
      </c>
      <c r="E414" s="545">
        <f>-'Foglio deposito bis'!$F$48*(C414-sezione!$AL$28)*IF(ABS(K414)&lt;'Sollecitazioni nel paramento'!$G$58,ABS(K414)*'Sollecitazioni nel paramento'!$G$54,'Sollecitazioni nel paramento'!$G$53)</f>
        <v>0</v>
      </c>
      <c r="F414" s="545">
        <f>-'Foglio deposito bis'!$F$49*(C414-sezione!$AM$28)*IF(ABS(L414)&lt;'Sollecitazioni nel paramento'!$G$58,ABS(L414)*'Sollecitazioni nel paramento'!$G$54,'Sollecitazioni nel paramento'!$G$53)</f>
        <v>-423738.56338705722</v>
      </c>
      <c r="G414" s="545">
        <f>-'Foglio deposito bis'!$F$50*(C414-sezione!$AN$28)*IF(ABS(M414)&lt;'Sollecitazioni nel paramento'!$G$58,ABS(M414)*'Sollecitazioni nel paramento'!$G$54,'Sollecitazioni nel paramento'!$G$53)</f>
        <v>0</v>
      </c>
      <c r="H414" s="545">
        <f>-'Foglio deposito bis'!$F$51*(C414-sezione!$AO$28)*IF(ABS(N414)&lt;'Sollecitazioni nel paramento'!$G$58,ABS(N414)*'Sollecitazioni nel paramento'!$G$54,'Sollecitazioni nel paramento'!$G$53)</f>
        <v>21977480.941736978</v>
      </c>
      <c r="I414" s="472">
        <f>-'Foglio deposito bis'!$F$52*(C414-sezione!$AP$28)*IF(ABS(O414)&lt;'Sollecitazioni nel paramento'!$G$58,ABS(O414)*'Sollecitazioni nel paramento'!$G$54,'Sollecitazioni nel paramento'!$G$53)</f>
        <v>46262474.002099343</v>
      </c>
      <c r="J414" s="472">
        <f t="shared" si="30"/>
        <v>-37456272.784626789</v>
      </c>
      <c r="K414" s="550">
        <f>'Sollecitazioni nel paramento'!$G$60*(sezione!$AL$28-C414)/C414</f>
        <v>-1.4647282608711374E-3</v>
      </c>
      <c r="L414" s="550">
        <f>'Sollecitazioni nel paramento'!$G$60*(sezione!$AM$28-C414)/C414</f>
        <v>-4.4709239130670618E-4</v>
      </c>
      <c r="M414" s="551">
        <f>'Sollecitazioni nel paramento'!$G$60*(sezione!$AN$28-C414)/C414</f>
        <v>5.7054347825772516E-4</v>
      </c>
      <c r="N414" s="551">
        <f>'Sollecitazioni nel paramento'!$G$60*(sezione!$AO$28-C414)/C414</f>
        <v>4.641086956515451E-3</v>
      </c>
      <c r="O414" s="551">
        <f>'Sollecitazioni nel paramento'!$G$60*(sezione!$AP$28-C414)/C414</f>
        <v>9.7694619886818136E-3</v>
      </c>
      <c r="P414" s="545">
        <f>-'Sollecitazioni nel paramento'!$G$47*'Sollecitazioni nel paramento'!$G$41*IF(DATI!$G$211="dx",DATI!$E$61,DATI!$E$64*DATI!$E$63)*1000*C414*sezione!$AD$5</f>
        <v>-2620573.9005067102</v>
      </c>
      <c r="Q414" s="545">
        <f>'Foglio deposito bis'!$F$48*IF(ABS(K414)&lt;'Sollecitazioni nel paramento'!$G$58,ABS(K414)*'Sollecitazioni nel paramento'!$G$54,'Sollecitazioni nel paramento'!$G$53)*IF(K414&lt;0,-1,1)</f>
        <v>0</v>
      </c>
      <c r="R414" s="545">
        <f>'Foglio deposito bis'!$F$49*IF(ABS(L414)&lt;'Sollecitazioni nel paramento'!$G$58,ABS(L414)*'Sollecitazioni nel paramento'!$G$54,'Sollecitazioni nel paramento'!$G$53)*IF(L414&lt;0,-1,1)</f>
        <v>-48223.987905506416</v>
      </c>
      <c r="S414" s="545">
        <f>'Foglio deposito bis'!$F$50*IF(ABS(M414)&lt;'Sollecitazioni nel paramento'!$G$58,ABS(M414)*'Sollecitazioni nel paramento'!$G$54,'Sollecitazioni nel paramento'!$G$53)*IF(M414&lt;0,-1,1)</f>
        <v>0</v>
      </c>
      <c r="T414" s="545">
        <f>'Foglio deposito bis'!$F$51*IF(ABS(N414)&lt;'Sollecitazioni nel paramento'!$G$58,ABS(N414)*'Sollecitazioni nel paramento'!$G$54,'Sollecitazioni nel paramento'!$G$53)*IF(N414&lt;0,-1,1)</f>
        <v>240946.49743184328</v>
      </c>
      <c r="U414" s="545">
        <f>'Foglio deposito bis'!$F$52*IF(ABS(O414)&lt;'Sollecitazioni nel paramento'!$G$58,ABS(O414)*'Sollecitazioni nel paramento'!$G$54,'Sollecitazioni nel paramento'!$G$53)*IF(O414&lt;0,-1,1)</f>
        <v>240946.49743184328</v>
      </c>
      <c r="V414" s="472">
        <f t="shared" si="32"/>
        <v>-2186904.8935485305</v>
      </c>
      <c r="W414" s="551"/>
      <c r="X414" s="551"/>
    </row>
    <row r="415" spans="1:24" x14ac:dyDescent="0.25">
      <c r="A415" s="545">
        <f t="shared" si="31"/>
        <v>2221768.9559893413</v>
      </c>
      <c r="B415" s="3">
        <f t="shared" si="29"/>
        <v>17.099999999999962</v>
      </c>
      <c r="C415" s="545">
        <f>'Foglio deposito bis'!$E$154/sezione!$B$247*B415</f>
        <v>69.600929453459514</v>
      </c>
      <c r="D415" s="603">
        <f>-'Sollecitazioni nel paramento'!$G$47*'Sollecitazioni nel paramento'!$G$41*IF(DATI!$G$211="dx",DATI!$E$61,DATI!$E$64*DATI!$E$63)*1000*C415^2*sezione!$AD$5*(1-sezione!$AD$6)</f>
        <v>-107778889.2432334</v>
      </c>
      <c r="E415" s="545">
        <f>-'Foglio deposito bis'!$F$48*(C415-sezione!$AL$28)*IF(ABS(K415)&lt;'Sollecitazioni nel paramento'!$G$58,ABS(K415)*'Sollecitazioni nel paramento'!$G$54,'Sollecitazioni nel paramento'!$G$53)</f>
        <v>0</v>
      </c>
      <c r="F415" s="545">
        <f>-'Foglio deposito bis'!$F$49*(C415-sezione!$AM$28)*IF(ABS(L415)&lt;'Sollecitazioni nel paramento'!$G$58,ABS(L415)*'Sollecitazioni nel paramento'!$G$54,'Sollecitazioni nel paramento'!$G$53)</f>
        <v>-499971.67966625636</v>
      </c>
      <c r="G415" s="545">
        <f>-'Foglio deposito bis'!$F$50*(C415-sezione!$AN$28)*IF(ABS(M415)&lt;'Sollecitazioni nel paramento'!$G$58,ABS(M415)*'Sollecitazioni nel paramento'!$G$54,'Sollecitazioni nel paramento'!$G$53)</f>
        <v>0</v>
      </c>
      <c r="H415" s="545">
        <f>-'Foglio deposito bis'!$F$51*(C415-sezione!$AO$28)*IF(ABS(N415)&lt;'Sollecitazioni nel paramento'!$G$58,ABS(N415)*'Sollecitazioni nel paramento'!$G$54,'Sollecitazioni nel paramento'!$G$53)</f>
        <v>21781339.419283036</v>
      </c>
      <c r="I415" s="472">
        <f>-'Foglio deposito bis'!$F$52*(C415-sezione!$AP$28)*IF(ABS(O415)&lt;'Sollecitazioni nel paramento'!$G$58,ABS(O415)*'Sollecitazioni nel paramento'!$G$54,'Sollecitazioni nel paramento'!$G$53)</f>
        <v>46066332.479645401</v>
      </c>
      <c r="J415" s="472">
        <f t="shared" si="30"/>
        <v>-40431189.023971215</v>
      </c>
      <c r="K415" s="550">
        <f>'Sollecitazioni nel paramento'!$G$60*(sezione!$AL$28-C415)/C415</f>
        <v>-1.488532608697206E-3</v>
      </c>
      <c r="L415" s="550">
        <f>'Sollecitazioni nel paramento'!$G$60*(sezione!$AM$28-C415)/C415</f>
        <v>-4.827989130458092E-4</v>
      </c>
      <c r="M415" s="551">
        <f>'Sollecitazioni nel paramento'!$G$60*(sezione!$AN$28-C415)/C415</f>
        <v>5.2293478260558772E-4</v>
      </c>
      <c r="N415" s="551">
        <f>'Sollecitazioni nel paramento'!$G$60*(sezione!$AO$28-C415)/C415</f>
        <v>4.5458695652111757E-3</v>
      </c>
      <c r="O415" s="551">
        <f>'Sollecitazioni nel paramento'!$G$60*(sezione!$AP$28-C415)/C415</f>
        <v>9.6142636028492771E-3</v>
      </c>
      <c r="P415" s="545">
        <f>-'Sollecitazioni nel paramento'!$G$47*'Sollecitazioni nel paramento'!$G$41*IF(DATI!$G$211="dx",DATI!$E$61,DATI!$E$64*DATI!$E$63)*1000*C415*sezione!$AD$5</f>
        <v>-2651586.6093884464</v>
      </c>
      <c r="Q415" s="545">
        <f>'Foglio deposito bis'!$F$48*IF(ABS(K415)&lt;'Sollecitazioni nel paramento'!$G$58,ABS(K415)*'Sollecitazioni nel paramento'!$G$54,'Sollecitazioni nel paramento'!$G$53)*IF(K415&lt;0,-1,1)</f>
        <v>0</v>
      </c>
      <c r="R415" s="545">
        <f>'Foglio deposito bis'!$F$49*IF(ABS(L415)&lt;'Sollecitazioni nel paramento'!$G$58,ABS(L415)*'Sollecitazioni nel paramento'!$G$54,'Sollecitazioni nel paramento'!$G$53)*IF(L415&lt;0,-1,1)</f>
        <v>-52075.341464580903</v>
      </c>
      <c r="S415" s="545">
        <f>'Foglio deposito bis'!$F$50*IF(ABS(M415)&lt;'Sollecitazioni nel paramento'!$G$58,ABS(M415)*'Sollecitazioni nel paramento'!$G$54,'Sollecitazioni nel paramento'!$G$53)*IF(M415&lt;0,-1,1)</f>
        <v>0</v>
      </c>
      <c r="T415" s="545">
        <f>'Foglio deposito bis'!$F$51*IF(ABS(N415)&lt;'Sollecitazioni nel paramento'!$G$58,ABS(N415)*'Sollecitazioni nel paramento'!$G$54,'Sollecitazioni nel paramento'!$G$53)*IF(N415&lt;0,-1,1)</f>
        <v>240946.49743184328</v>
      </c>
      <c r="U415" s="545">
        <f>'Foglio deposito bis'!$F$52*IF(ABS(O415)&lt;'Sollecitazioni nel paramento'!$G$58,ABS(O415)*'Sollecitazioni nel paramento'!$G$54,'Sollecitazioni nel paramento'!$G$53)*IF(O415&lt;0,-1,1)</f>
        <v>240946.49743184328</v>
      </c>
      <c r="V415" s="472">
        <f t="shared" si="32"/>
        <v>-2221768.9559893413</v>
      </c>
      <c r="W415" s="551"/>
      <c r="X415" s="551"/>
    </row>
    <row r="416" spans="1:24" x14ac:dyDescent="0.25">
      <c r="A416" s="545">
        <f t="shared" si="31"/>
        <v>2256543.9697929481</v>
      </c>
      <c r="B416" s="3">
        <f t="shared" si="29"/>
        <v>17.299999999999962</v>
      </c>
      <c r="C416" s="545">
        <f>'Foglio deposito bis'!$E$154/sezione!$B$247*B416</f>
        <v>70.414975411979512</v>
      </c>
      <c r="D416" s="603">
        <f>-'Sollecitazioni nel paramento'!$G$47*'Sollecitazioni nel paramento'!$G$41*IF(DATI!$G$211="dx",DATI!$E$61,DATI!$E$64*DATI!$E$63)*1000*C416^2*sezione!$AD$5*(1-sezione!$AD$6)</f>
        <v>-110314776.38113378</v>
      </c>
      <c r="E416" s="545">
        <f>-'Foglio deposito bis'!$F$48*(C416-sezione!$AL$28)*IF(ABS(K416)&lt;'Sollecitazioni nel paramento'!$G$58,ABS(K416)*'Sollecitazioni nel paramento'!$G$54,'Sollecitazioni nel paramento'!$G$53)</f>
        <v>0</v>
      </c>
      <c r="F416" s="545">
        <f>-'Foglio deposito bis'!$F$49*(C416-sezione!$AM$28)*IF(ABS(L416)&lt;'Sollecitazioni nel paramento'!$G$58,ABS(L416)*'Sollecitazioni nel paramento'!$G$54,'Sollecitazioni nel paramento'!$G$53)</f>
        <v>-581547.71417769743</v>
      </c>
      <c r="G416" s="545">
        <f>-'Foglio deposito bis'!$F$50*(C416-sezione!$AN$28)*IF(ABS(M416)&lt;'Sollecitazioni nel paramento'!$G$58,ABS(M416)*'Sollecitazioni nel paramento'!$G$54,'Sollecitazioni nel paramento'!$G$53)</f>
        <v>0</v>
      </c>
      <c r="H416" s="545">
        <f>-'Foglio deposito bis'!$F$51*(C416-sezione!$AO$28)*IF(ABS(N416)&lt;'Sollecitazioni nel paramento'!$G$58,ABS(N416)*'Sollecitazioni nel paramento'!$G$54,'Sollecitazioni nel paramento'!$G$53)</f>
        <v>21585197.896829095</v>
      </c>
      <c r="I416" s="472">
        <f>-'Foglio deposito bis'!$F$52*(C416-sezione!$AP$28)*IF(ABS(O416)&lt;'Sollecitazioni nel paramento'!$G$58,ABS(O416)*'Sollecitazioni nel paramento'!$G$54,'Sollecitazioni nel paramento'!$G$53)</f>
        <v>45870190.957191452</v>
      </c>
      <c r="J416" s="472">
        <f t="shared" si="30"/>
        <v>-43440935.241290927</v>
      </c>
      <c r="K416" s="550">
        <f>'Sollecitazioni nel paramento'!$G$60*(sezione!$AL$28-C416)/C416</f>
        <v>-1.5117865669781634E-3</v>
      </c>
      <c r="L416" s="550">
        <f>'Sollecitazioni nel paramento'!$G$60*(sezione!$AM$28-C416)/C416</f>
        <v>-5.1767985046724508E-4</v>
      </c>
      <c r="M416" s="551">
        <f>'Sollecitazioni nel paramento'!$G$60*(sezione!$AN$28-C416)/C416</f>
        <v>4.7642686604367331E-4</v>
      </c>
      <c r="N416" s="551">
        <f>'Sollecitazioni nel paramento'!$G$60*(sezione!$AO$28-C416)/C416</f>
        <v>4.4528537320873461E-3</v>
      </c>
      <c r="O416" s="551">
        <f>'Sollecitazioni nel paramento'!$G$60*(sezione!$AP$28-C416)/C416</f>
        <v>9.4626536190013048E-3</v>
      </c>
      <c r="P416" s="545">
        <f>-'Sollecitazioni nel paramento'!$G$47*'Sollecitazioni nel paramento'!$G$41*IF(DATI!$G$211="dx",DATI!$E$61,DATI!$E$64*DATI!$E$63)*1000*C416*sezione!$AD$5</f>
        <v>-2682599.3182701827</v>
      </c>
      <c r="Q416" s="545">
        <f>'Foglio deposito bis'!$F$48*IF(ABS(K416)&lt;'Sollecitazioni nel paramento'!$G$58,ABS(K416)*'Sollecitazioni nel paramento'!$G$54,'Sollecitazioni nel paramento'!$G$53)*IF(K416&lt;0,-1,1)</f>
        <v>0</v>
      </c>
      <c r="R416" s="545">
        <f>'Foglio deposito bis'!$F$49*IF(ABS(L416)&lt;'Sollecitazioni nel paramento'!$G$58,ABS(L416)*'Sollecitazioni nel paramento'!$G$54,'Sollecitazioni nel paramento'!$G$53)*IF(L416&lt;0,-1,1)</f>
        <v>-55837.64638645135</v>
      </c>
      <c r="S416" s="545">
        <f>'Foglio deposito bis'!$F$50*IF(ABS(M416)&lt;'Sollecitazioni nel paramento'!$G$58,ABS(M416)*'Sollecitazioni nel paramento'!$G$54,'Sollecitazioni nel paramento'!$G$53)*IF(M416&lt;0,-1,1)</f>
        <v>0</v>
      </c>
      <c r="T416" s="545">
        <f>'Foglio deposito bis'!$F$51*IF(ABS(N416)&lt;'Sollecitazioni nel paramento'!$G$58,ABS(N416)*'Sollecitazioni nel paramento'!$G$54,'Sollecitazioni nel paramento'!$G$53)*IF(N416&lt;0,-1,1)</f>
        <v>240946.49743184328</v>
      </c>
      <c r="U416" s="545">
        <f>'Foglio deposito bis'!$F$52*IF(ABS(O416)&lt;'Sollecitazioni nel paramento'!$G$58,ABS(O416)*'Sollecitazioni nel paramento'!$G$54,'Sollecitazioni nel paramento'!$G$53)*IF(O416&lt;0,-1,1)</f>
        <v>240946.49743184328</v>
      </c>
      <c r="V416" s="472">
        <f t="shared" si="32"/>
        <v>-2256543.9697929481</v>
      </c>
      <c r="W416" s="551"/>
      <c r="X416" s="551"/>
    </row>
    <row r="417" spans="1:24" x14ac:dyDescent="0.25">
      <c r="A417" s="545">
        <f t="shared" si="31"/>
        <v>2291232.9880554834</v>
      </c>
      <c r="B417" s="3">
        <f t="shared" si="29"/>
        <v>17.499999999999961</v>
      </c>
      <c r="C417" s="545">
        <f>'Foglio deposito bis'!$E$154/sezione!$B$247*B417</f>
        <v>71.229021370499495</v>
      </c>
      <c r="D417" s="603">
        <f>-'Sollecitazioni nel paramento'!$G$47*'Sollecitazioni nel paramento'!$G$41*IF(DATI!$G$211="dx",DATI!$E$61,DATI!$E$64*DATI!$E$63)*1000*C417^2*sezione!$AD$5*(1-sezione!$AD$6)</f>
        <v>-112880150.5787771</v>
      </c>
      <c r="E417" s="545">
        <f>-'Foglio deposito bis'!$F$48*(C417-sezione!$AL$28)*IF(ABS(K417)&lt;'Sollecitazioni nel paramento'!$G$58,ABS(K417)*'Sollecitazioni nel paramento'!$G$54,'Sollecitazioni nel paramento'!$G$53)</f>
        <v>0</v>
      </c>
      <c r="F417" s="545">
        <f>-'Foglio deposito bis'!$F$49*(C417-sezione!$AM$28)*IF(ABS(L417)&lt;'Sollecitazioni nel paramento'!$G$58,ABS(L417)*'Sollecitazioni nel paramento'!$G$54,'Sollecitazioni nel paramento'!$G$53)</f>
        <v>-668283.48115341668</v>
      </c>
      <c r="G417" s="545">
        <f>-'Foglio deposito bis'!$F$50*(C417-sezione!$AN$28)*IF(ABS(M417)&lt;'Sollecitazioni nel paramento'!$G$58,ABS(M417)*'Sollecitazioni nel paramento'!$G$54,'Sollecitazioni nel paramento'!$G$53)</f>
        <v>0</v>
      </c>
      <c r="H417" s="545">
        <f>-'Foglio deposito bis'!$F$51*(C417-sezione!$AO$28)*IF(ABS(N417)&lt;'Sollecitazioni nel paramento'!$G$58,ABS(N417)*'Sollecitazioni nel paramento'!$G$54,'Sollecitazioni nel paramento'!$G$53)</f>
        <v>21389056.374375157</v>
      </c>
      <c r="I417" s="472">
        <f>-'Foglio deposito bis'!$F$52*(C417-sezione!$AP$28)*IF(ABS(O417)&lt;'Sollecitazioni nel paramento'!$G$58,ABS(O417)*'Sollecitazioni nel paramento'!$G$54,'Sollecitazioni nel paramento'!$G$53)</f>
        <v>45674049.434737526</v>
      </c>
      <c r="J417" s="472">
        <f t="shared" si="30"/>
        <v>-46485328.250817843</v>
      </c>
      <c r="K417" s="550">
        <f>'Sollecitazioni nel paramento'!$G$60*(sezione!$AL$28-C417)/C417</f>
        <v>-1.5345090062126984E-3</v>
      </c>
      <c r="L417" s="550">
        <f>'Sollecitazioni nel paramento'!$G$60*(sezione!$AM$28-C417)/C417</f>
        <v>-5.5176350931904759E-4</v>
      </c>
      <c r="M417" s="551">
        <f>'Sollecitazioni nel paramento'!$G$60*(sezione!$AN$28-C417)/C417</f>
        <v>4.309819875746033E-4</v>
      </c>
      <c r="N417" s="551">
        <f>'Sollecitazioni nel paramento'!$G$60*(sezione!$AO$28-C417)/C417</f>
        <v>4.3619639751492061E-3</v>
      </c>
      <c r="O417" s="551">
        <f>'Sollecitazioni nel paramento'!$G$60*(sezione!$AP$28-C417)/C417</f>
        <v>9.3145090062127234E-3</v>
      </c>
      <c r="P417" s="545">
        <f>-'Sollecitazioni nel paramento'!$G$47*'Sollecitazioni nel paramento'!$G$41*IF(DATI!$G$211="dx",DATI!$E$61,DATI!$E$64*DATI!$E$63)*1000*C417*sezione!$AD$5</f>
        <v>-2713612.027151919</v>
      </c>
      <c r="Q417" s="545">
        <f>'Foglio deposito bis'!$F$48*IF(ABS(K417)&lt;'Sollecitazioni nel paramento'!$G$58,ABS(K417)*'Sollecitazioni nel paramento'!$G$54,'Sollecitazioni nel paramento'!$G$53)*IF(K417&lt;0,-1,1)</f>
        <v>0</v>
      </c>
      <c r="R417" s="545">
        <f>'Foglio deposito bis'!$F$49*IF(ABS(L417)&lt;'Sollecitazioni nel paramento'!$G$58,ABS(L417)*'Sollecitazioni nel paramento'!$G$54,'Sollecitazioni nel paramento'!$G$53)*IF(L417&lt;0,-1,1)</f>
        <v>-59513.955767250416</v>
      </c>
      <c r="S417" s="545">
        <f>'Foglio deposito bis'!$F$50*IF(ABS(M417)&lt;'Sollecitazioni nel paramento'!$G$58,ABS(M417)*'Sollecitazioni nel paramento'!$G$54,'Sollecitazioni nel paramento'!$G$53)*IF(M417&lt;0,-1,1)</f>
        <v>0</v>
      </c>
      <c r="T417" s="545">
        <f>'Foglio deposito bis'!$F$51*IF(ABS(N417)&lt;'Sollecitazioni nel paramento'!$G$58,ABS(N417)*'Sollecitazioni nel paramento'!$G$54,'Sollecitazioni nel paramento'!$G$53)*IF(N417&lt;0,-1,1)</f>
        <v>240946.49743184328</v>
      </c>
      <c r="U417" s="545">
        <f>'Foglio deposito bis'!$F$52*IF(ABS(O417)&lt;'Sollecitazioni nel paramento'!$G$58,ABS(O417)*'Sollecitazioni nel paramento'!$G$54,'Sollecitazioni nel paramento'!$G$53)*IF(O417&lt;0,-1,1)</f>
        <v>240946.49743184328</v>
      </c>
      <c r="V417" s="472">
        <f t="shared" si="32"/>
        <v>-2291232.9880554834</v>
      </c>
      <c r="W417" s="551"/>
      <c r="X417" s="551"/>
    </row>
    <row r="418" spans="1:24" x14ac:dyDescent="0.25">
      <c r="A418" s="545">
        <f t="shared" si="31"/>
        <v>2325838.9258800345</v>
      </c>
      <c r="B418" s="3">
        <f t="shared" si="29"/>
        <v>17.69999999999996</v>
      </c>
      <c r="C418" s="545">
        <f>'Foglio deposito bis'!$E$154/sezione!$B$247*B418</f>
        <v>72.043067329019493</v>
      </c>
      <c r="D418" s="603">
        <f>-'Sollecitazioni nel paramento'!$G$47*'Sollecitazioni nel paramento'!$G$41*IF(DATI!$G$211="dx",DATI!$E$61,DATI!$E$64*DATI!$E$63)*1000*C418^2*sezione!$AD$5*(1-sezione!$AD$6)</f>
        <v>-115475011.83616354</v>
      </c>
      <c r="E418" s="545">
        <f>-'Foglio deposito bis'!$F$48*(C418-sezione!$AL$28)*IF(ABS(K418)&lt;'Sollecitazioni nel paramento'!$G$58,ABS(K418)*'Sollecitazioni nel paramento'!$G$54,'Sollecitazioni nel paramento'!$G$53)</f>
        <v>0</v>
      </c>
      <c r="F418" s="545">
        <f>-'Foglio deposito bis'!$F$49*(C418-sezione!$AM$28)*IF(ABS(L418)&lt;'Sollecitazioni nel paramento'!$G$58,ABS(L418)*'Sollecitazioni nel paramento'!$G$54,'Sollecitazioni nel paramento'!$G$53)</f>
        <v>-760004.07440818695</v>
      </c>
      <c r="G418" s="545">
        <f>-'Foglio deposito bis'!$F$50*(C418-sezione!$AN$28)*IF(ABS(M418)&lt;'Sollecitazioni nel paramento'!$G$58,ABS(M418)*'Sollecitazioni nel paramento'!$G$54,'Sollecitazioni nel paramento'!$G$53)</f>
        <v>0</v>
      </c>
      <c r="H418" s="545">
        <f>-'Foglio deposito bis'!$F$51*(C418-sezione!$AO$28)*IF(ABS(N418)&lt;'Sollecitazioni nel paramento'!$G$58,ABS(N418)*'Sollecitazioni nel paramento'!$G$54,'Sollecitazioni nel paramento'!$G$53)</f>
        <v>21192914.851921216</v>
      </c>
      <c r="I418" s="472">
        <f>-'Foglio deposito bis'!$F$52*(C418-sezione!$AP$28)*IF(ABS(O418)&lt;'Sollecitazioni nel paramento'!$G$58,ABS(O418)*'Sollecitazioni nel paramento'!$G$54,'Sollecitazioni nel paramento'!$G$53)</f>
        <v>45477907.912283577</v>
      </c>
      <c r="J418" s="472">
        <f t="shared" si="30"/>
        <v>-49564193.146366931</v>
      </c>
      <c r="K418" s="550">
        <f>'Sollecitazioni nel paramento'!$G$60*(sezione!$AL$28-C418)/C418</f>
        <v>-1.5567179439956059E-3</v>
      </c>
      <c r="L418" s="550">
        <f>'Sollecitazioni nel paramento'!$G$60*(sezione!$AM$28-C418)/C418</f>
        <v>-5.8507691599340875E-4</v>
      </c>
      <c r="M418" s="551">
        <f>'Sollecitazioni nel paramento'!$G$60*(sezione!$AN$28-C418)/C418</f>
        <v>3.8656411200878841E-4</v>
      </c>
      <c r="N418" s="551">
        <f>'Sollecitazioni nel paramento'!$G$60*(sezione!$AO$28-C418)/C418</f>
        <v>4.2731282240175772E-3</v>
      </c>
      <c r="O418" s="551">
        <f>'Sollecitazioni nel paramento'!$G$60*(sezione!$AP$28-C418)/C418</f>
        <v>9.1697122942781158E-3</v>
      </c>
      <c r="P418" s="545">
        <f>-'Sollecitazioni nel paramento'!$G$47*'Sollecitazioni nel paramento'!$G$41*IF(DATI!$G$211="dx",DATI!$E$61,DATI!$E$64*DATI!$E$63)*1000*C418*sezione!$AD$5</f>
        <v>-2744624.7360336552</v>
      </c>
      <c r="Q418" s="545">
        <f>'Foglio deposito bis'!$F$48*IF(ABS(K418)&lt;'Sollecitazioni nel paramento'!$G$58,ABS(K418)*'Sollecitazioni nel paramento'!$G$54,'Sollecitazioni nel paramento'!$G$53)*IF(K418&lt;0,-1,1)</f>
        <v>0</v>
      </c>
      <c r="R418" s="545">
        <f>'Foglio deposito bis'!$F$49*IF(ABS(L418)&lt;'Sollecitazioni nel paramento'!$G$58,ABS(L418)*'Sollecitazioni nel paramento'!$G$54,'Sollecitazioni nel paramento'!$G$53)*IF(L418&lt;0,-1,1)</f>
        <v>-63107.184710065383</v>
      </c>
      <c r="S418" s="545">
        <f>'Foglio deposito bis'!$F$50*IF(ABS(M418)&lt;'Sollecitazioni nel paramento'!$G$58,ABS(M418)*'Sollecitazioni nel paramento'!$G$54,'Sollecitazioni nel paramento'!$G$53)*IF(M418&lt;0,-1,1)</f>
        <v>0</v>
      </c>
      <c r="T418" s="545">
        <f>'Foglio deposito bis'!$F$51*IF(ABS(N418)&lt;'Sollecitazioni nel paramento'!$G$58,ABS(N418)*'Sollecitazioni nel paramento'!$G$54,'Sollecitazioni nel paramento'!$G$53)*IF(N418&lt;0,-1,1)</f>
        <v>240946.49743184328</v>
      </c>
      <c r="U418" s="545">
        <f>'Foglio deposito bis'!$F$52*IF(ABS(O418)&lt;'Sollecitazioni nel paramento'!$G$58,ABS(O418)*'Sollecitazioni nel paramento'!$G$54,'Sollecitazioni nel paramento'!$G$53)*IF(O418&lt;0,-1,1)</f>
        <v>240946.49743184328</v>
      </c>
      <c r="V418" s="472">
        <f t="shared" si="32"/>
        <v>-2325838.9258800345</v>
      </c>
      <c r="W418" s="551"/>
      <c r="X418" s="551"/>
    </row>
    <row r="419" spans="1:24" x14ac:dyDescent="0.25">
      <c r="A419" s="545">
        <f t="shared" si="31"/>
        <v>2360364.568085752</v>
      </c>
      <c r="B419" s="3">
        <f t="shared" si="29"/>
        <v>17.899999999999959</v>
      </c>
      <c r="C419" s="545">
        <f>'Foglio deposito bis'!$E$154/sezione!$B$247*B419</f>
        <v>72.857113287539491</v>
      </c>
      <c r="D419" s="603">
        <f>-'Sollecitazioni nel paramento'!$G$47*'Sollecitazioni nel paramento'!$G$41*IF(DATI!$G$211="dx",DATI!$E$61,DATI!$E$64*DATI!$E$63)*1000*C419^2*sezione!$AD$5*(1-sezione!$AD$6)</f>
        <v>-118099360.15329301</v>
      </c>
      <c r="E419" s="545">
        <f>-'Foglio deposito bis'!$F$48*(C419-sezione!$AL$28)*IF(ABS(K419)&lt;'Sollecitazioni nel paramento'!$G$58,ABS(K419)*'Sollecitazioni nel paramento'!$G$54,'Sollecitazioni nel paramento'!$G$53)</f>
        <v>0</v>
      </c>
      <c r="F419" s="545">
        <f>-'Foglio deposito bis'!$F$49*(C419-sezione!$AM$28)*IF(ABS(L419)&lt;'Sollecitazioni nel paramento'!$G$58,ABS(L419)*'Sollecitazioni nel paramento'!$G$54,'Sollecitazioni nel paramento'!$G$53)</f>
        <v>-856542.40479298844</v>
      </c>
      <c r="G419" s="545">
        <f>-'Foglio deposito bis'!$F$50*(C419-sezione!$AN$28)*IF(ABS(M419)&lt;'Sollecitazioni nel paramento'!$G$58,ABS(M419)*'Sollecitazioni nel paramento'!$G$54,'Sollecitazioni nel paramento'!$G$53)</f>
        <v>0</v>
      </c>
      <c r="H419" s="545">
        <f>-'Foglio deposito bis'!$F$51*(C419-sezione!$AO$28)*IF(ABS(N419)&lt;'Sollecitazioni nel paramento'!$G$58,ABS(N419)*'Sollecitazioni nel paramento'!$G$54,'Sollecitazioni nel paramento'!$G$53)</f>
        <v>20996773.329467274</v>
      </c>
      <c r="I419" s="472">
        <f>-'Foglio deposito bis'!$F$52*(C419-sezione!$AP$28)*IF(ABS(O419)&lt;'Sollecitazioni nel paramento'!$G$58,ABS(O419)*'Sollecitazioni nel paramento'!$G$54,'Sollecitazioni nel paramento'!$G$53)</f>
        <v>45281766.389829628</v>
      </c>
      <c r="J419" s="472">
        <f t="shared" si="30"/>
        <v>-52677362.838789113</v>
      </c>
      <c r="K419" s="550">
        <f>'Sollecitazioni nel paramento'!$G$60*(sezione!$AL$28-C419)/C419</f>
        <v>-1.5784305926660463E-3</v>
      </c>
      <c r="L419" s="550">
        <f>'Sollecitazioni nel paramento'!$G$60*(sezione!$AM$28-C419)/C419</f>
        <v>-6.1764588899906913E-4</v>
      </c>
      <c r="M419" s="551">
        <f>'Sollecitazioni nel paramento'!$G$60*(sezione!$AN$28-C419)/C419</f>
        <v>3.4313881466790789E-4</v>
      </c>
      <c r="N419" s="551">
        <f>'Sollecitazioni nel paramento'!$G$60*(sezione!$AO$28-C419)/C419</f>
        <v>4.1862776293358156E-3</v>
      </c>
      <c r="O419" s="551">
        <f>'Sollecitazioni nel paramento'!$G$60*(sezione!$AP$28-C419)/C419</f>
        <v>9.028151263057128E-3</v>
      </c>
      <c r="P419" s="545">
        <f>-'Sollecitazioni nel paramento'!$G$47*'Sollecitazioni nel paramento'!$G$41*IF(DATI!$G$211="dx",DATI!$E$61,DATI!$E$64*DATI!$E$63)*1000*C419*sezione!$AD$5</f>
        <v>-2775637.4449153915</v>
      </c>
      <c r="Q419" s="545">
        <f>'Foglio deposito bis'!$F$48*IF(ABS(K419)&lt;'Sollecitazioni nel paramento'!$G$58,ABS(K419)*'Sollecitazioni nel paramento'!$G$54,'Sollecitazioni nel paramento'!$G$53)*IF(K419&lt;0,-1,1)</f>
        <v>0</v>
      </c>
      <c r="R419" s="545">
        <f>'Foglio deposito bis'!$F$49*IF(ABS(L419)&lt;'Sollecitazioni nel paramento'!$G$58,ABS(L419)*'Sollecitazioni nel paramento'!$G$54,'Sollecitazioni nel paramento'!$G$53)*IF(L419&lt;0,-1,1)</f>
        <v>-66620.118034046493</v>
      </c>
      <c r="S419" s="545">
        <f>'Foglio deposito bis'!$F$50*IF(ABS(M419)&lt;'Sollecitazioni nel paramento'!$G$58,ABS(M419)*'Sollecitazioni nel paramento'!$G$54,'Sollecitazioni nel paramento'!$G$53)*IF(M419&lt;0,-1,1)</f>
        <v>0</v>
      </c>
      <c r="T419" s="545">
        <f>'Foglio deposito bis'!$F$51*IF(ABS(N419)&lt;'Sollecitazioni nel paramento'!$G$58,ABS(N419)*'Sollecitazioni nel paramento'!$G$54,'Sollecitazioni nel paramento'!$G$53)*IF(N419&lt;0,-1,1)</f>
        <v>240946.49743184328</v>
      </c>
      <c r="U419" s="545">
        <f>'Foglio deposito bis'!$F$52*IF(ABS(O419)&lt;'Sollecitazioni nel paramento'!$G$58,ABS(O419)*'Sollecitazioni nel paramento'!$G$54,'Sollecitazioni nel paramento'!$G$53)*IF(O419&lt;0,-1,1)</f>
        <v>240946.49743184328</v>
      </c>
      <c r="V419" s="472">
        <f t="shared" si="32"/>
        <v>-2360364.568085752</v>
      </c>
      <c r="W419" s="551"/>
      <c r="X419" s="551"/>
    </row>
    <row r="420" spans="1:24" x14ac:dyDescent="0.25">
      <c r="A420" s="545">
        <f t="shared" si="31"/>
        <v>2394812.5764058563</v>
      </c>
      <c r="B420" s="3">
        <f t="shared" si="29"/>
        <v>18.099999999999959</v>
      </c>
      <c r="C420" s="545">
        <f>'Foglio deposito bis'!$E$154/sezione!$B$247*B420</f>
        <v>73.671159246059489</v>
      </c>
      <c r="D420" s="603">
        <f>-'Sollecitazioni nel paramento'!$G$47*'Sollecitazioni nel paramento'!$G$41*IF(DATI!$G$211="dx",DATI!$E$61,DATI!$E$64*DATI!$E$63)*1000*C420^2*sezione!$AD$5*(1-sezione!$AD$6)</f>
        <v>-120753195.53016548</v>
      </c>
      <c r="E420" s="545">
        <f>-'Foglio deposito bis'!$F$48*(C420-sezione!$AL$28)*IF(ABS(K420)&lt;'Sollecitazioni nel paramento'!$G$58,ABS(K420)*'Sollecitazioni nel paramento'!$G$54,'Sollecitazioni nel paramento'!$G$53)</f>
        <v>0</v>
      </c>
      <c r="F420" s="545">
        <f>-'Foglio deposito bis'!$F$49*(C420-sezione!$AM$28)*IF(ABS(L420)&lt;'Sollecitazioni nel paramento'!$G$58,ABS(L420)*'Sollecitazioni nel paramento'!$G$54,'Sollecitazioni nel paramento'!$G$53)</f>
        <v>-957738.76831456029</v>
      </c>
      <c r="G420" s="545">
        <f>-'Foglio deposito bis'!$F$50*(C420-sezione!$AN$28)*IF(ABS(M420)&lt;'Sollecitazioni nel paramento'!$G$58,ABS(M420)*'Sollecitazioni nel paramento'!$G$54,'Sollecitazioni nel paramento'!$G$53)</f>
        <v>0</v>
      </c>
      <c r="H420" s="545">
        <f>-'Foglio deposito bis'!$F$51*(C420-sezione!$AO$28)*IF(ABS(N420)&lt;'Sollecitazioni nel paramento'!$G$58,ABS(N420)*'Sollecitazioni nel paramento'!$G$54,'Sollecitazioni nel paramento'!$G$53)</f>
        <v>20800631.807013333</v>
      </c>
      <c r="I420" s="472">
        <f>-'Foglio deposito bis'!$F$52*(C420-sezione!$AP$28)*IF(ABS(O420)&lt;'Sollecitazioni nel paramento'!$G$58,ABS(O420)*'Sollecitazioni nel paramento'!$G$54,'Sollecitazioni nel paramento'!$G$53)</f>
        <v>45085624.867375694</v>
      </c>
      <c r="J420" s="472">
        <f t="shared" si="30"/>
        <v>-55824677.624091007</v>
      </c>
      <c r="K420" s="550">
        <f>'Sollecitazioni nel paramento'!$G$60*(sezione!$AL$28-C420)/C420</f>
        <v>-1.5996634037968081E-3</v>
      </c>
      <c r="L420" s="550">
        <f>'Sollecitazioni nel paramento'!$G$60*(sezione!$AM$28-C420)/C420</f>
        <v>-6.4949510569521206E-4</v>
      </c>
      <c r="M420" s="551">
        <f>'Sollecitazioni nel paramento'!$G$60*(sezione!$AN$28-C420)/C420</f>
        <v>3.0067319240638385E-4</v>
      </c>
      <c r="N420" s="551">
        <f>'Sollecitazioni nel paramento'!$G$60*(sezione!$AO$28-C420)/C420</f>
        <v>4.1013463848127672E-3</v>
      </c>
      <c r="O420" s="551">
        <f>'Sollecitazioni nel paramento'!$G$60*(sezione!$AP$28-C420)/C420</f>
        <v>8.8897186524156142E-3</v>
      </c>
      <c r="P420" s="545">
        <f>-'Sollecitazioni nel paramento'!$G$47*'Sollecitazioni nel paramento'!$G$41*IF(DATI!$G$211="dx",DATI!$E$61,DATI!$E$64*DATI!$E$63)*1000*C420*sezione!$AD$5</f>
        <v>-2806650.1537971278</v>
      </c>
      <c r="Q420" s="545">
        <f>'Foglio deposito bis'!$F$48*IF(ABS(K420)&lt;'Sollecitazioni nel paramento'!$G$58,ABS(K420)*'Sollecitazioni nel paramento'!$G$54,'Sollecitazioni nel paramento'!$G$53)*IF(K420&lt;0,-1,1)</f>
        <v>0</v>
      </c>
      <c r="R420" s="545">
        <f>'Foglio deposito bis'!$F$49*IF(ABS(L420)&lt;'Sollecitazioni nel paramento'!$G$58,ABS(L420)*'Sollecitazioni nel paramento'!$G$54,'Sollecitazioni nel paramento'!$G$53)*IF(L420&lt;0,-1,1)</f>
        <v>-70055.417472414745</v>
      </c>
      <c r="S420" s="545">
        <f>'Foglio deposito bis'!$F$50*IF(ABS(M420)&lt;'Sollecitazioni nel paramento'!$G$58,ABS(M420)*'Sollecitazioni nel paramento'!$G$54,'Sollecitazioni nel paramento'!$G$53)*IF(M420&lt;0,-1,1)</f>
        <v>0</v>
      </c>
      <c r="T420" s="545">
        <f>'Foglio deposito bis'!$F$51*IF(ABS(N420)&lt;'Sollecitazioni nel paramento'!$G$58,ABS(N420)*'Sollecitazioni nel paramento'!$G$54,'Sollecitazioni nel paramento'!$G$53)*IF(N420&lt;0,-1,1)</f>
        <v>240946.49743184328</v>
      </c>
      <c r="U420" s="545">
        <f>'Foglio deposito bis'!$F$52*IF(ABS(O420)&lt;'Sollecitazioni nel paramento'!$G$58,ABS(O420)*'Sollecitazioni nel paramento'!$G$54,'Sollecitazioni nel paramento'!$G$53)*IF(O420&lt;0,-1,1)</f>
        <v>240946.49743184328</v>
      </c>
      <c r="V420" s="472">
        <f t="shared" si="32"/>
        <v>-2394812.5764058563</v>
      </c>
      <c r="W420" s="551"/>
      <c r="X420" s="551"/>
    </row>
    <row r="421" spans="1:24" x14ac:dyDescent="0.25">
      <c r="A421" s="545">
        <f t="shared" si="31"/>
        <v>2429185.4962136461</v>
      </c>
      <c r="B421" s="3">
        <f t="shared" ref="B421:B444" si="33">B420+0.2</f>
        <v>18.299999999999958</v>
      </c>
      <c r="C421" s="545">
        <f>'Foglio deposito bis'!$E$154/sezione!$B$247*B421</f>
        <v>74.485205204579472</v>
      </c>
      <c r="D421" s="603">
        <f>-'Sollecitazioni nel paramento'!$G$47*'Sollecitazioni nel paramento'!$G$41*IF(DATI!$G$211="dx",DATI!$E$61,DATI!$E$64*DATI!$E$63)*1000*C421^2*sezione!$AD$5*(1-sezione!$AD$6)</f>
        <v>-123436517.96678098</v>
      </c>
      <c r="E421" s="545">
        <f>-'Foglio deposito bis'!$F$48*(C421-sezione!$AL$28)*IF(ABS(K421)&lt;'Sollecitazioni nel paramento'!$G$58,ABS(K421)*'Sollecitazioni nel paramento'!$G$54,'Sollecitazioni nel paramento'!$G$53)</f>
        <v>0</v>
      </c>
      <c r="F421" s="545">
        <f>-'Foglio deposito bis'!$F$49*(C421-sezione!$AM$28)*IF(ABS(L421)&lt;'Sollecitazioni nel paramento'!$G$58,ABS(L421)*'Sollecitazioni nel paramento'!$G$54,'Sollecitazioni nel paramento'!$G$53)</f>
        <v>-1063440.4425749744</v>
      </c>
      <c r="G421" s="545">
        <f>-'Foglio deposito bis'!$F$50*(C421-sezione!$AN$28)*IF(ABS(M421)&lt;'Sollecitazioni nel paramento'!$G$58,ABS(M421)*'Sollecitazioni nel paramento'!$G$54,'Sollecitazioni nel paramento'!$G$53)</f>
        <v>0</v>
      </c>
      <c r="H421" s="545">
        <f>-'Foglio deposito bis'!$F$51*(C421-sezione!$AO$28)*IF(ABS(N421)&lt;'Sollecitazioni nel paramento'!$G$58,ABS(N421)*'Sollecitazioni nel paramento'!$G$54,'Sollecitazioni nel paramento'!$G$53)</f>
        <v>20604490.284559395</v>
      </c>
      <c r="I421" s="472">
        <f>-'Foglio deposito bis'!$F$52*(C421-sezione!$AP$28)*IF(ABS(O421)&lt;'Sollecitazioni nel paramento'!$G$58,ABS(O421)*'Sollecitazioni nel paramento'!$G$54,'Sollecitazioni nel paramento'!$G$53)</f>
        <v>44889483.344921753</v>
      </c>
      <c r="J421" s="472">
        <f t="shared" si="30"/>
        <v>-59005984.779874802</v>
      </c>
      <c r="K421" s="550">
        <f>'Sollecitazioni nel paramento'!$G$60*(sezione!$AL$28-C421)/C421</f>
        <v>-1.6204321097662414E-3</v>
      </c>
      <c r="L421" s="550">
        <f>'Sollecitazioni nel paramento'!$G$60*(sezione!$AM$28-C421)/C421</f>
        <v>-6.8064816464936246E-4</v>
      </c>
      <c r="M421" s="551">
        <f>'Sollecitazioni nel paramento'!$G$60*(sezione!$AN$28-C421)/C421</f>
        <v>2.591357804675168E-4</v>
      </c>
      <c r="N421" s="551">
        <f>'Sollecitazioni nel paramento'!$G$60*(sezione!$AO$28-C421)/C421</f>
        <v>4.018271560935034E-3</v>
      </c>
      <c r="O421" s="551">
        <f>'Sollecitazioni nel paramento'!$G$60*(sezione!$AP$28-C421)/C421</f>
        <v>8.7543118911870312E-3</v>
      </c>
      <c r="P421" s="545">
        <f>-'Sollecitazioni nel paramento'!$G$47*'Sollecitazioni nel paramento'!$G$41*IF(DATI!$G$211="dx",DATI!$E$61,DATI!$E$64*DATI!$E$63)*1000*C421*sezione!$AD$5</f>
        <v>-2837662.8626788636</v>
      </c>
      <c r="Q421" s="545">
        <f>'Foglio deposito bis'!$F$48*IF(ABS(K421)&lt;'Sollecitazioni nel paramento'!$G$58,ABS(K421)*'Sollecitazioni nel paramento'!$G$54,'Sollecitazioni nel paramento'!$G$53)*IF(K421&lt;0,-1,1)</f>
        <v>0</v>
      </c>
      <c r="R421" s="545">
        <f>'Foglio deposito bis'!$F$49*IF(ABS(L421)&lt;'Sollecitazioni nel paramento'!$G$58,ABS(L421)*'Sollecitazioni nel paramento'!$G$54,'Sollecitazioni nel paramento'!$G$53)*IF(L421&lt;0,-1,1)</f>
        <v>-73415.628398468922</v>
      </c>
      <c r="S421" s="545">
        <f>'Foglio deposito bis'!$F$50*IF(ABS(M421)&lt;'Sollecitazioni nel paramento'!$G$58,ABS(M421)*'Sollecitazioni nel paramento'!$G$54,'Sollecitazioni nel paramento'!$G$53)*IF(M421&lt;0,-1,1)</f>
        <v>0</v>
      </c>
      <c r="T421" s="545">
        <f>'Foglio deposito bis'!$F$51*IF(ABS(N421)&lt;'Sollecitazioni nel paramento'!$G$58,ABS(N421)*'Sollecitazioni nel paramento'!$G$54,'Sollecitazioni nel paramento'!$G$53)*IF(N421&lt;0,-1,1)</f>
        <v>240946.49743184328</v>
      </c>
      <c r="U421" s="545">
        <f>'Foglio deposito bis'!$F$52*IF(ABS(O421)&lt;'Sollecitazioni nel paramento'!$G$58,ABS(O421)*'Sollecitazioni nel paramento'!$G$54,'Sollecitazioni nel paramento'!$G$53)*IF(O421&lt;0,-1,1)</f>
        <v>240946.49743184328</v>
      </c>
      <c r="V421" s="472">
        <f t="shared" si="32"/>
        <v>-2429185.4962136461</v>
      </c>
      <c r="W421" s="551"/>
      <c r="X421" s="551"/>
    </row>
    <row r="422" spans="1:24" x14ac:dyDescent="0.25">
      <c r="A422" s="545">
        <f t="shared" si="31"/>
        <v>2463485.7628122247</v>
      </c>
      <c r="B422" s="3">
        <f t="shared" si="33"/>
        <v>18.499999999999957</v>
      </c>
      <c r="C422" s="545">
        <f>'Foglio deposito bis'!$E$154/sezione!$B$247*B422</f>
        <v>75.29925116309947</v>
      </c>
      <c r="D422" s="603">
        <f>-'Sollecitazioni nel paramento'!$G$47*'Sollecitazioni nel paramento'!$G$41*IF(DATI!$G$211="dx",DATI!$E$61,DATI!$E$64*DATI!$E$63)*1000*C422^2*sezione!$AD$5*(1-sezione!$AD$6)</f>
        <v>-126149327.4631395</v>
      </c>
      <c r="E422" s="545">
        <f>-'Foglio deposito bis'!$F$48*(C422-sezione!$AL$28)*IF(ABS(K422)&lt;'Sollecitazioni nel paramento'!$G$58,ABS(K422)*'Sollecitazioni nel paramento'!$G$54,'Sollecitazioni nel paramento'!$G$53)</f>
        <v>0</v>
      </c>
      <c r="F422" s="545">
        <f>-'Foglio deposito bis'!$F$49*(C422-sezione!$AM$28)*IF(ABS(L422)&lt;'Sollecitazioni nel paramento'!$G$58,ABS(L422)*'Sollecitazioni nel paramento'!$G$54,'Sollecitazioni nel paramento'!$G$53)</f>
        <v>-1173501.3093881088</v>
      </c>
      <c r="G422" s="545">
        <f>-'Foglio deposito bis'!$F$50*(C422-sezione!$AN$28)*IF(ABS(M422)&lt;'Sollecitazioni nel paramento'!$G$58,ABS(M422)*'Sollecitazioni nel paramento'!$G$54,'Sollecitazioni nel paramento'!$G$53)</f>
        <v>0</v>
      </c>
      <c r="H422" s="545">
        <f>-'Foglio deposito bis'!$F$51*(C422-sezione!$AO$28)*IF(ABS(N422)&lt;'Sollecitazioni nel paramento'!$G$58,ABS(N422)*'Sollecitazioni nel paramento'!$G$54,'Sollecitazioni nel paramento'!$G$53)</f>
        <v>20408348.762105457</v>
      </c>
      <c r="I422" s="472">
        <f>-'Foglio deposito bis'!$F$52*(C422-sezione!$AP$28)*IF(ABS(O422)&lt;'Sollecitazioni nel paramento'!$G$58,ABS(O422)*'Sollecitazioni nel paramento'!$G$54,'Sollecitazioni nel paramento'!$G$53)</f>
        <v>44693341.822467811</v>
      </c>
      <c r="J422" s="472">
        <f t="shared" si="30"/>
        <v>-62221138.187954359</v>
      </c>
      <c r="K422" s="550">
        <f>'Sollecitazioni nel paramento'!$G$60*(sezione!$AL$28-C422)/C422</f>
        <v>-1.6407517626336337E-3</v>
      </c>
      <c r="L422" s="550">
        <f>'Sollecitazioni nel paramento'!$G$60*(sezione!$AM$28-C422)/C422</f>
        <v>-7.1112764395045045E-4</v>
      </c>
      <c r="M422" s="551">
        <f>'Sollecitazioni nel paramento'!$G$60*(sezione!$AN$28-C422)/C422</f>
        <v>2.1849647473273272E-4</v>
      </c>
      <c r="N422" s="551">
        <f>'Sollecitazioni nel paramento'!$G$60*(sezione!$AO$28-C422)/C422</f>
        <v>3.9369929494654657E-3</v>
      </c>
      <c r="O422" s="551">
        <f>'Sollecitazioni nel paramento'!$G$60*(sezione!$AP$28-C422)/C422</f>
        <v>8.6218328437147364E-3</v>
      </c>
      <c r="P422" s="545">
        <f>-'Sollecitazioni nel paramento'!$G$47*'Sollecitazioni nel paramento'!$G$41*IF(DATI!$G$211="dx",DATI!$E$61,DATI!$E$64*DATI!$E$63)*1000*C422*sezione!$AD$5</f>
        <v>-2868675.5715605998</v>
      </c>
      <c r="Q422" s="545">
        <f>'Foglio deposito bis'!$F$48*IF(ABS(K422)&lt;'Sollecitazioni nel paramento'!$G$58,ABS(K422)*'Sollecitazioni nel paramento'!$G$54,'Sollecitazioni nel paramento'!$G$53)*IF(K422&lt;0,-1,1)</f>
        <v>0</v>
      </c>
      <c r="R422" s="545">
        <f>'Foglio deposito bis'!$F$49*IF(ABS(L422)&lt;'Sollecitazioni nel paramento'!$G$58,ABS(L422)*'Sollecitazioni nel paramento'!$G$54,'Sollecitazioni nel paramento'!$G$53)*IF(L422&lt;0,-1,1)</f>
        <v>-76703.186115311124</v>
      </c>
      <c r="S422" s="545">
        <f>'Foglio deposito bis'!$F$50*IF(ABS(M422)&lt;'Sollecitazioni nel paramento'!$G$58,ABS(M422)*'Sollecitazioni nel paramento'!$G$54,'Sollecitazioni nel paramento'!$G$53)*IF(M422&lt;0,-1,1)</f>
        <v>0</v>
      </c>
      <c r="T422" s="545">
        <f>'Foglio deposito bis'!$F$51*IF(ABS(N422)&lt;'Sollecitazioni nel paramento'!$G$58,ABS(N422)*'Sollecitazioni nel paramento'!$G$54,'Sollecitazioni nel paramento'!$G$53)*IF(N422&lt;0,-1,1)</f>
        <v>240946.49743184328</v>
      </c>
      <c r="U422" s="545">
        <f>'Foglio deposito bis'!$F$52*IF(ABS(O422)&lt;'Sollecitazioni nel paramento'!$G$58,ABS(O422)*'Sollecitazioni nel paramento'!$G$54,'Sollecitazioni nel paramento'!$G$53)*IF(O422&lt;0,-1,1)</f>
        <v>240946.49743184328</v>
      </c>
      <c r="V422" s="472">
        <f t="shared" si="32"/>
        <v>-2463485.7628122247</v>
      </c>
      <c r="W422" s="551"/>
      <c r="X422" s="551"/>
    </row>
    <row r="423" spans="1:24" x14ac:dyDescent="0.25">
      <c r="A423" s="545">
        <f t="shared" si="31"/>
        <v>2497715.707320604</v>
      </c>
      <c r="B423" s="3">
        <f t="shared" si="33"/>
        <v>18.699999999999957</v>
      </c>
      <c r="C423" s="545">
        <f>'Foglio deposito bis'!$E$154/sezione!$B$247*B423</f>
        <v>76.113297121619468</v>
      </c>
      <c r="D423" s="603">
        <f>-'Sollecitazioni nel paramento'!$G$47*'Sollecitazioni nel paramento'!$G$41*IF(DATI!$G$211="dx",DATI!$E$61,DATI!$E$64*DATI!$E$63)*1000*C423^2*sezione!$AD$5*(1-sezione!$AD$6)</f>
        <v>-128891624.01924108</v>
      </c>
      <c r="E423" s="545">
        <f>-'Foglio deposito bis'!$F$48*(C423-sezione!$AL$28)*IF(ABS(K423)&lt;'Sollecitazioni nel paramento'!$G$58,ABS(K423)*'Sollecitazioni nel paramento'!$G$54,'Sollecitazioni nel paramento'!$G$53)</f>
        <v>0</v>
      </c>
      <c r="F423" s="545">
        <f>-'Foglio deposito bis'!$F$49*(C423-sezione!$AM$28)*IF(ABS(L423)&lt;'Sollecitazioni nel paramento'!$G$58,ABS(L423)*'Sollecitazioni nel paramento'!$G$54,'Sollecitazioni nel paramento'!$G$53)</f>
        <v>-1287781.5016132335</v>
      </c>
      <c r="G423" s="545">
        <f>-'Foglio deposito bis'!$F$50*(C423-sezione!$AN$28)*IF(ABS(M423)&lt;'Sollecitazioni nel paramento'!$G$58,ABS(M423)*'Sollecitazioni nel paramento'!$G$54,'Sollecitazioni nel paramento'!$G$53)</f>
        <v>0</v>
      </c>
      <c r="H423" s="545">
        <f>-'Foglio deposito bis'!$F$51*(C423-sezione!$AO$28)*IF(ABS(N423)&lt;'Sollecitazioni nel paramento'!$G$58,ABS(N423)*'Sollecitazioni nel paramento'!$G$54,'Sollecitazioni nel paramento'!$G$53)</f>
        <v>20212207.239651516</v>
      </c>
      <c r="I423" s="472">
        <f>-'Foglio deposito bis'!$F$52*(C423-sezione!$AP$28)*IF(ABS(O423)&lt;'Sollecitazioni nel paramento'!$G$58,ABS(O423)*'Sollecitazioni nel paramento'!$G$54,'Sollecitazioni nel paramento'!$G$53)</f>
        <v>44497200.300013877</v>
      </c>
      <c r="J423" s="472">
        <f t="shared" si="30"/>
        <v>-65469997.981188916</v>
      </c>
      <c r="K423" s="550">
        <f>'Sollecitazioni nel paramento'!$G$60*(sezione!$AL$28-C423)/C423</f>
        <v>-1.6606367705199049E-3</v>
      </c>
      <c r="L423" s="550">
        <f>'Sollecitazioni nel paramento'!$G$60*(sezione!$AM$28-C423)/C423</f>
        <v>-7.409551557798575E-4</v>
      </c>
      <c r="M423" s="551">
        <f>'Sollecitazioni nel paramento'!$G$60*(sezione!$AN$28-C423)/C423</f>
        <v>1.787264589601899E-4</v>
      </c>
      <c r="N423" s="551">
        <f>'Sollecitazioni nel paramento'!$G$60*(sezione!$AO$28-C423)/C423</f>
        <v>3.8574529179203798E-3</v>
      </c>
      <c r="O423" s="551">
        <f>'Sollecitazioni nel paramento'!$G$60*(sezione!$AP$28-C423)/C423</f>
        <v>8.4921875726589637E-3</v>
      </c>
      <c r="P423" s="545">
        <f>-'Sollecitazioni nel paramento'!$G$47*'Sollecitazioni nel paramento'!$G$41*IF(DATI!$G$211="dx",DATI!$E$61,DATI!$E$64*DATI!$E$63)*1000*C423*sezione!$AD$5</f>
        <v>-2899688.2804423366</v>
      </c>
      <c r="Q423" s="545">
        <f>'Foglio deposito bis'!$F$48*IF(ABS(K423)&lt;'Sollecitazioni nel paramento'!$G$58,ABS(K423)*'Sollecitazioni nel paramento'!$G$54,'Sollecitazioni nel paramento'!$G$53)*IF(K423&lt;0,-1,1)</f>
        <v>0</v>
      </c>
      <c r="R423" s="545">
        <f>'Foglio deposito bis'!$F$49*IF(ABS(L423)&lt;'Sollecitazioni nel paramento'!$G$58,ABS(L423)*'Sollecitazioni nel paramento'!$G$54,'Sollecitazioni nel paramento'!$G$53)*IF(L423&lt;0,-1,1)</f>
        <v>-79920.421741953513</v>
      </c>
      <c r="S423" s="545">
        <f>'Foglio deposito bis'!$F$50*IF(ABS(M423)&lt;'Sollecitazioni nel paramento'!$G$58,ABS(M423)*'Sollecitazioni nel paramento'!$G$54,'Sollecitazioni nel paramento'!$G$53)*IF(M423&lt;0,-1,1)</f>
        <v>0</v>
      </c>
      <c r="T423" s="545">
        <f>'Foglio deposito bis'!$F$51*IF(ABS(N423)&lt;'Sollecitazioni nel paramento'!$G$58,ABS(N423)*'Sollecitazioni nel paramento'!$G$54,'Sollecitazioni nel paramento'!$G$53)*IF(N423&lt;0,-1,1)</f>
        <v>240946.49743184328</v>
      </c>
      <c r="U423" s="545">
        <f>'Foglio deposito bis'!$F$52*IF(ABS(O423)&lt;'Sollecitazioni nel paramento'!$G$58,ABS(O423)*'Sollecitazioni nel paramento'!$G$54,'Sollecitazioni nel paramento'!$G$53)*IF(O423&lt;0,-1,1)</f>
        <v>240946.49743184328</v>
      </c>
      <c r="V423" s="472">
        <f t="shared" si="32"/>
        <v>-2497715.707320604</v>
      </c>
      <c r="W423" s="551"/>
      <c r="X423" s="551"/>
    </row>
    <row r="424" spans="1:24" x14ac:dyDescent="0.25">
      <c r="A424" s="545">
        <f t="shared" si="31"/>
        <v>2531877.5621860903</v>
      </c>
      <c r="B424" s="3">
        <f t="shared" si="33"/>
        <v>18.899999999999956</v>
      </c>
      <c r="C424" s="545">
        <f>'Foglio deposito bis'!$E$154/sezione!$B$247*B424</f>
        <v>76.927343080139451</v>
      </c>
      <c r="D424" s="603">
        <f>-'Sollecitazioni nel paramento'!$G$47*'Sollecitazioni nel paramento'!$G$41*IF(DATI!$G$211="dx",DATI!$E$61,DATI!$E$64*DATI!$E$63)*1000*C424^2*sezione!$AD$5*(1-sezione!$AD$6)</f>
        <v>-131663407.63508564</v>
      </c>
      <c r="E424" s="545">
        <f>-'Foglio deposito bis'!$F$48*(C424-sezione!$AL$28)*IF(ABS(K424)&lt;'Sollecitazioni nel paramento'!$G$58,ABS(K424)*'Sollecitazioni nel paramento'!$G$54,'Sollecitazioni nel paramento'!$G$53)</f>
        <v>0</v>
      </c>
      <c r="F424" s="545">
        <f>-'Foglio deposito bis'!$F$49*(C424-sezione!$AM$28)*IF(ABS(L424)&lt;'Sollecitazioni nel paramento'!$G$58,ABS(L424)*'Sollecitazioni nel paramento'!$G$54,'Sollecitazioni nel paramento'!$G$53)</f>
        <v>-1406147.0724118704</v>
      </c>
      <c r="G424" s="545">
        <f>-'Foglio deposito bis'!$F$50*(C424-sezione!$AN$28)*IF(ABS(M424)&lt;'Sollecitazioni nel paramento'!$G$58,ABS(M424)*'Sollecitazioni nel paramento'!$G$54,'Sollecitazioni nel paramento'!$G$53)</f>
        <v>0</v>
      </c>
      <c r="H424" s="545">
        <f>-'Foglio deposito bis'!$F$51*(C424-sezione!$AO$28)*IF(ABS(N424)&lt;'Sollecitazioni nel paramento'!$G$58,ABS(N424)*'Sollecitazioni nel paramento'!$G$54,'Sollecitazioni nel paramento'!$G$53)</f>
        <v>20016065.717197578</v>
      </c>
      <c r="I424" s="472">
        <f>-'Foglio deposito bis'!$F$52*(C424-sezione!$AP$28)*IF(ABS(O424)&lt;'Sollecitazioni nel paramento'!$G$58,ABS(O424)*'Sollecitazioni nel paramento'!$G$54,'Sollecitazioni nel paramento'!$G$53)</f>
        <v>44301058.777559936</v>
      </c>
      <c r="J424" s="472">
        <f t="shared" si="30"/>
        <v>-68752430.212739989</v>
      </c>
      <c r="K424" s="550">
        <f>'Sollecitazioni nel paramento'!$G$60*(sezione!$AL$28-C424)/C424</f>
        <v>-1.6801009316784244E-3</v>
      </c>
      <c r="L424" s="550">
        <f>'Sollecitazioni nel paramento'!$G$60*(sezione!$AM$28-C424)/C424</f>
        <v>-7.7015139751763649E-4</v>
      </c>
      <c r="M424" s="551">
        <f>'Sollecitazioni nel paramento'!$G$60*(sezione!$AN$28-C424)/C424</f>
        <v>1.3979813664315139E-4</v>
      </c>
      <c r="N424" s="551">
        <f>'Sollecitazioni nel paramento'!$G$60*(sezione!$AO$28-C424)/C424</f>
        <v>3.7795962732863025E-3</v>
      </c>
      <c r="O424" s="551">
        <f>'Sollecitazioni nel paramento'!$G$60*(sezione!$AP$28-C424)/C424</f>
        <v>8.3652861168636312E-3</v>
      </c>
      <c r="P424" s="545">
        <f>-'Sollecitazioni nel paramento'!$G$47*'Sollecitazioni nel paramento'!$G$41*IF(DATI!$G$211="dx",DATI!$E$61,DATI!$E$64*DATI!$E$63)*1000*C424*sezione!$AD$5</f>
        <v>-2930700.9893240724</v>
      </c>
      <c r="Q424" s="545">
        <f>'Foglio deposito bis'!$F$48*IF(ABS(K424)&lt;'Sollecitazioni nel paramento'!$G$58,ABS(K424)*'Sollecitazioni nel paramento'!$G$54,'Sollecitazioni nel paramento'!$G$53)*IF(K424&lt;0,-1,1)</f>
        <v>0</v>
      </c>
      <c r="R424" s="545">
        <f>'Foglio deposito bis'!$F$49*IF(ABS(L424)&lt;'Sollecitazioni nel paramento'!$G$58,ABS(L424)*'Sollecitazioni nel paramento'!$G$54,'Sollecitazioni nel paramento'!$G$53)*IF(L424&lt;0,-1,1)</f>
        <v>-83069.56772570395</v>
      </c>
      <c r="S424" s="545">
        <f>'Foglio deposito bis'!$F$50*IF(ABS(M424)&lt;'Sollecitazioni nel paramento'!$G$58,ABS(M424)*'Sollecitazioni nel paramento'!$G$54,'Sollecitazioni nel paramento'!$G$53)*IF(M424&lt;0,-1,1)</f>
        <v>0</v>
      </c>
      <c r="T424" s="545">
        <f>'Foglio deposito bis'!$F$51*IF(ABS(N424)&lt;'Sollecitazioni nel paramento'!$G$58,ABS(N424)*'Sollecitazioni nel paramento'!$G$54,'Sollecitazioni nel paramento'!$G$53)*IF(N424&lt;0,-1,1)</f>
        <v>240946.49743184328</v>
      </c>
      <c r="U424" s="545">
        <f>'Foglio deposito bis'!$F$52*IF(ABS(O424)&lt;'Sollecitazioni nel paramento'!$G$58,ABS(O424)*'Sollecitazioni nel paramento'!$G$54,'Sollecitazioni nel paramento'!$G$53)*IF(O424&lt;0,-1,1)</f>
        <v>240946.49743184328</v>
      </c>
      <c r="V424" s="472">
        <f t="shared" si="32"/>
        <v>-2531877.5621860903</v>
      </c>
      <c r="W424" s="551"/>
      <c r="X424" s="551"/>
    </row>
    <row r="425" spans="1:24" x14ac:dyDescent="0.25">
      <c r="A425" s="545">
        <f t="shared" si="31"/>
        <v>2565973.4663503459</v>
      </c>
      <c r="B425" s="3">
        <f t="shared" si="33"/>
        <v>19.099999999999955</v>
      </c>
      <c r="C425" s="545">
        <f>'Foglio deposito bis'!$E$154/sezione!$B$247*B425</f>
        <v>77.741389038659449</v>
      </c>
      <c r="D425" s="603">
        <f>-'Sollecitazioni nel paramento'!$G$47*'Sollecitazioni nel paramento'!$G$41*IF(DATI!$G$211="dx",DATI!$E$61,DATI!$E$64*DATI!$E$63)*1000*C425^2*sezione!$AD$5*(1-sezione!$AD$6)</f>
        <v>-134464678.31067324</v>
      </c>
      <c r="E425" s="545">
        <f>-'Foglio deposito bis'!$F$48*(C425-sezione!$AL$28)*IF(ABS(K425)&lt;'Sollecitazioni nel paramento'!$G$58,ABS(K425)*'Sollecitazioni nel paramento'!$G$54,'Sollecitazioni nel paramento'!$G$53)</f>
        <v>0</v>
      </c>
      <c r="F425" s="545">
        <f>-'Foglio deposito bis'!$F$49*(C425-sezione!$AM$28)*IF(ABS(L425)&lt;'Sollecitazioni nel paramento'!$G$58,ABS(L425)*'Sollecitazioni nel paramento'!$G$54,'Sollecitazioni nel paramento'!$G$53)</f>
        <v>-1528469.6852843319</v>
      </c>
      <c r="G425" s="545">
        <f>-'Foglio deposito bis'!$F$50*(C425-sezione!$AN$28)*IF(ABS(M425)&lt;'Sollecitazioni nel paramento'!$G$58,ABS(M425)*'Sollecitazioni nel paramento'!$G$54,'Sollecitazioni nel paramento'!$G$53)</f>
        <v>0</v>
      </c>
      <c r="H425" s="545">
        <f>-'Foglio deposito bis'!$F$51*(C425-sezione!$AO$28)*IF(ABS(N425)&lt;'Sollecitazioni nel paramento'!$G$58,ABS(N425)*'Sollecitazioni nel paramento'!$G$54,'Sollecitazioni nel paramento'!$G$53)</f>
        <v>19819924.194743637</v>
      </c>
      <c r="I425" s="472">
        <f>-'Foglio deposito bis'!$F$52*(C425-sezione!$AP$28)*IF(ABS(O425)&lt;'Sollecitazioni nel paramento'!$G$58,ABS(O425)*'Sollecitazioni nel paramento'!$G$54,'Sollecitazioni nel paramento'!$G$53)</f>
        <v>44104917.255105995</v>
      </c>
      <c r="J425" s="472">
        <f t="shared" si="30"/>
        <v>-72068306.546107948</v>
      </c>
      <c r="K425" s="550">
        <f>'Sollecitazioni nel paramento'!$G$60*(sezione!$AL$28-C425)/C425</f>
        <v>-1.6991574664252471E-3</v>
      </c>
      <c r="L425" s="550">
        <f>'Sollecitazioni nel paramento'!$G$60*(sezione!$AM$28-C425)/C425</f>
        <v>-7.9873619963787077E-4</v>
      </c>
      <c r="M425" s="551">
        <f>'Sollecitazioni nel paramento'!$G$60*(sezione!$AN$28-C425)/C425</f>
        <v>1.0168506714950566E-4</v>
      </c>
      <c r="N425" s="551">
        <f>'Sollecitazioni nel paramento'!$G$60*(sezione!$AO$28-C425)/C425</f>
        <v>3.7033701342990117E-3</v>
      </c>
      <c r="O425" s="551">
        <f>'Sollecitazioni nel paramento'!$G$60*(sezione!$AP$28-C425)/C425</f>
        <v>8.2410422831791959E-3</v>
      </c>
      <c r="P425" s="545">
        <f>-'Sollecitazioni nel paramento'!$G$47*'Sollecitazioni nel paramento'!$G$41*IF(DATI!$G$211="dx",DATI!$E$61,DATI!$E$64*DATI!$E$63)*1000*C425*sezione!$AD$5</f>
        <v>-2961713.6982058082</v>
      </c>
      <c r="Q425" s="545">
        <f>'Foglio deposito bis'!$F$48*IF(ABS(K425)&lt;'Sollecitazioni nel paramento'!$G$58,ABS(K425)*'Sollecitazioni nel paramento'!$G$54,'Sollecitazioni nel paramento'!$G$53)*IF(K425&lt;0,-1,1)</f>
        <v>0</v>
      </c>
      <c r="R425" s="545">
        <f>'Foglio deposito bis'!$F$49*IF(ABS(L425)&lt;'Sollecitazioni nel paramento'!$G$58,ABS(L425)*'Sollecitazioni nel paramento'!$G$54,'Sollecitazioni nel paramento'!$G$53)*IF(L425&lt;0,-1,1)</f>
        <v>-86152.763008224079</v>
      </c>
      <c r="S425" s="545">
        <f>'Foglio deposito bis'!$F$50*IF(ABS(M425)&lt;'Sollecitazioni nel paramento'!$G$58,ABS(M425)*'Sollecitazioni nel paramento'!$G$54,'Sollecitazioni nel paramento'!$G$53)*IF(M425&lt;0,-1,1)</f>
        <v>0</v>
      </c>
      <c r="T425" s="545">
        <f>'Foglio deposito bis'!$F$51*IF(ABS(N425)&lt;'Sollecitazioni nel paramento'!$G$58,ABS(N425)*'Sollecitazioni nel paramento'!$G$54,'Sollecitazioni nel paramento'!$G$53)*IF(N425&lt;0,-1,1)</f>
        <v>240946.49743184328</v>
      </c>
      <c r="U425" s="545">
        <f>'Foglio deposito bis'!$F$52*IF(ABS(O425)&lt;'Sollecitazioni nel paramento'!$G$58,ABS(O425)*'Sollecitazioni nel paramento'!$G$54,'Sollecitazioni nel paramento'!$G$53)*IF(O425&lt;0,-1,1)</f>
        <v>240946.49743184328</v>
      </c>
      <c r="V425" s="472">
        <f t="shared" si="32"/>
        <v>-2565973.4663503459</v>
      </c>
      <c r="W425" s="551"/>
      <c r="X425" s="551"/>
    </row>
    <row r="426" spans="1:24" x14ac:dyDescent="0.25">
      <c r="A426" s="545">
        <f t="shared" si="31"/>
        <v>2600005.4700942398</v>
      </c>
      <c r="B426" s="3">
        <f t="shared" si="33"/>
        <v>19.299999999999955</v>
      </c>
      <c r="C426" s="545">
        <f>'Foglio deposito bis'!$E$154/sezione!$B$247*B426</f>
        <v>78.555434997179447</v>
      </c>
      <c r="D426" s="603">
        <f>-'Sollecitazioni nel paramento'!$G$47*'Sollecitazioni nel paramento'!$G$41*IF(DATI!$G$211="dx",DATI!$E$61,DATI!$E$64*DATI!$E$63)*1000*C426^2*sezione!$AD$5*(1-sezione!$AD$6)</f>
        <v>-137295436.04600391</v>
      </c>
      <c r="E426" s="545">
        <f>-'Foglio deposito bis'!$F$48*(C426-sezione!$AL$28)*IF(ABS(K426)&lt;'Sollecitazioni nel paramento'!$G$58,ABS(K426)*'Sollecitazioni nel paramento'!$G$54,'Sollecitazioni nel paramento'!$G$53)</f>
        <v>0</v>
      </c>
      <c r="F426" s="545">
        <f>-'Foglio deposito bis'!$F$49*(C426-sezione!$AM$28)*IF(ABS(L426)&lt;'Sollecitazioni nel paramento'!$G$58,ABS(L426)*'Sollecitazioni nel paramento'!$G$54,'Sollecitazioni nel paramento'!$G$53)</f>
        <v>-1654626.3233785797</v>
      </c>
      <c r="G426" s="545">
        <f>-'Foglio deposito bis'!$F$50*(C426-sezione!$AN$28)*IF(ABS(M426)&lt;'Sollecitazioni nel paramento'!$G$58,ABS(M426)*'Sollecitazioni nel paramento'!$G$54,'Sollecitazioni nel paramento'!$G$53)</f>
        <v>0</v>
      </c>
      <c r="H426" s="545">
        <f>-'Foglio deposito bis'!$F$51*(C426-sezione!$AO$28)*IF(ABS(N426)&lt;'Sollecitazioni nel paramento'!$G$58,ABS(N426)*'Sollecitazioni nel paramento'!$G$54,'Sollecitazioni nel paramento'!$G$53)</f>
        <v>19623782.672289692</v>
      </c>
      <c r="I426" s="472">
        <f>-'Foglio deposito bis'!$F$52*(C426-sezione!$AP$28)*IF(ABS(O426)&lt;'Sollecitazioni nel paramento'!$G$58,ABS(O426)*'Sollecitazioni nel paramento'!$G$54,'Sollecitazioni nel paramento'!$G$53)</f>
        <v>43908775.732652053</v>
      </c>
      <c r="J426" s="472">
        <f t="shared" si="30"/>
        <v>-75417503.964440748</v>
      </c>
      <c r="K426" s="550">
        <f>'Sollecitazioni nel paramento'!$G$60*(sezione!$AL$28-C426)/C426</f>
        <v>-1.7178190470840532E-3</v>
      </c>
      <c r="L426" s="550">
        <f>'Sollecitazioni nel paramento'!$G$60*(sezione!$AM$28-C426)/C426</f>
        <v>-8.2672857062607947E-4</v>
      </c>
      <c r="M426" s="551">
        <f>'Sollecitazioni nel paramento'!$G$60*(sezione!$AN$28-C426)/C426</f>
        <v>6.4361905831894034E-5</v>
      </c>
      <c r="N426" s="551">
        <f>'Sollecitazioni nel paramento'!$G$60*(sezione!$AO$28-C426)/C426</f>
        <v>3.6287238116637882E-3</v>
      </c>
      <c r="O426" s="551">
        <f>'Sollecitazioni nel paramento'!$G$60*(sezione!$AP$28-C426)/C426</f>
        <v>8.1193734512291522E-3</v>
      </c>
      <c r="P426" s="545">
        <f>-'Sollecitazioni nel paramento'!$G$47*'Sollecitazioni nel paramento'!$G$41*IF(DATI!$G$211="dx",DATI!$E$61,DATI!$E$64*DATI!$E$63)*1000*C426*sezione!$AD$5</f>
        <v>-2992726.4070875449</v>
      </c>
      <c r="Q426" s="545">
        <f>'Foglio deposito bis'!$F$48*IF(ABS(K426)&lt;'Sollecitazioni nel paramento'!$G$58,ABS(K426)*'Sollecitazioni nel paramento'!$G$54,'Sollecitazioni nel paramento'!$G$53)*IF(K426&lt;0,-1,1)</f>
        <v>0</v>
      </c>
      <c r="R426" s="545">
        <f>'Foglio deposito bis'!$F$49*IF(ABS(L426)&lt;'Sollecitazioni nel paramento'!$G$58,ABS(L426)*'Sollecitazioni nel paramento'!$G$54,'Sollecitazioni nel paramento'!$G$53)*IF(L426&lt;0,-1,1)</f>
        <v>-89172.057870381061</v>
      </c>
      <c r="S426" s="545">
        <f>'Foglio deposito bis'!$F$50*IF(ABS(M426)&lt;'Sollecitazioni nel paramento'!$G$58,ABS(M426)*'Sollecitazioni nel paramento'!$G$54,'Sollecitazioni nel paramento'!$G$53)*IF(M426&lt;0,-1,1)</f>
        <v>0</v>
      </c>
      <c r="T426" s="545">
        <f>'Foglio deposito bis'!$F$51*IF(ABS(N426)&lt;'Sollecitazioni nel paramento'!$G$58,ABS(N426)*'Sollecitazioni nel paramento'!$G$54,'Sollecitazioni nel paramento'!$G$53)*IF(N426&lt;0,-1,1)</f>
        <v>240946.49743184328</v>
      </c>
      <c r="U426" s="545">
        <f>'Foglio deposito bis'!$F$52*IF(ABS(O426)&lt;'Sollecitazioni nel paramento'!$G$58,ABS(O426)*'Sollecitazioni nel paramento'!$G$54,'Sollecitazioni nel paramento'!$G$53)*IF(O426&lt;0,-1,1)</f>
        <v>240946.49743184328</v>
      </c>
      <c r="V426" s="472">
        <f t="shared" si="32"/>
        <v>-2600005.4700942398</v>
      </c>
      <c r="W426" s="551"/>
      <c r="X426" s="551"/>
    </row>
    <row r="427" spans="1:24" x14ac:dyDescent="0.25">
      <c r="A427" s="545">
        <f t="shared" si="31"/>
        <v>2633975.5395845501</v>
      </c>
      <c r="B427" s="3">
        <f t="shared" si="33"/>
        <v>19.499999999999954</v>
      </c>
      <c r="C427" s="545">
        <f>'Foglio deposito bis'!$E$154/sezione!$B$247*B427</f>
        <v>79.36948095569943</v>
      </c>
      <c r="D427" s="603">
        <f>-'Sollecitazioni nel paramento'!$G$47*'Sollecitazioni nel paramento'!$G$41*IF(DATI!$G$211="dx",DATI!$E$61,DATI!$E$64*DATI!$E$63)*1000*C427^2*sezione!$AD$5*(1-sezione!$AD$6)</f>
        <v>-140155680.84107757</v>
      </c>
      <c r="E427" s="545">
        <f>-'Foglio deposito bis'!$F$48*(C427-sezione!$AL$28)*IF(ABS(K427)&lt;'Sollecitazioni nel paramento'!$G$58,ABS(K427)*'Sollecitazioni nel paramento'!$G$54,'Sollecitazioni nel paramento'!$G$53)</f>
        <v>0</v>
      </c>
      <c r="F427" s="545">
        <f>-'Foglio deposito bis'!$F$49*(C427-sezione!$AM$28)*IF(ABS(L427)&lt;'Sollecitazioni nel paramento'!$G$58,ABS(L427)*'Sollecitazioni nel paramento'!$G$54,'Sollecitazioni nel paramento'!$G$53)</f>
        <v>-1784499.0166877883</v>
      </c>
      <c r="G427" s="545">
        <f>-'Foglio deposito bis'!$F$50*(C427-sezione!$AN$28)*IF(ABS(M427)&lt;'Sollecitazioni nel paramento'!$G$58,ABS(M427)*'Sollecitazioni nel paramento'!$G$54,'Sollecitazioni nel paramento'!$G$53)</f>
        <v>0</v>
      </c>
      <c r="H427" s="545">
        <f>-'Foglio deposito bis'!$F$51*(C427-sezione!$AO$28)*IF(ABS(N427)&lt;'Sollecitazioni nel paramento'!$G$58,ABS(N427)*'Sollecitazioni nel paramento'!$G$54,'Sollecitazioni nel paramento'!$G$53)</f>
        <v>19427641.149835758</v>
      </c>
      <c r="I427" s="472">
        <f>-'Foglio deposito bis'!$F$52*(C427-sezione!$AP$28)*IF(ABS(O427)&lt;'Sollecitazioni nel paramento'!$G$58,ABS(O427)*'Sollecitazioni nel paramento'!$G$54,'Sollecitazioni nel paramento'!$G$53)</f>
        <v>43712634.210198119</v>
      </c>
      <c r="J427" s="472">
        <f t="shared" si="30"/>
        <v>-78799904.497731462</v>
      </c>
      <c r="K427" s="550">
        <f>'Sollecitazioni nel paramento'!$G$60*(sezione!$AL$28-C427)/C427</f>
        <v>-1.7360978260883189E-3</v>
      </c>
      <c r="L427" s="550">
        <f>'Sollecitazioni nel paramento'!$G$60*(sezione!$AM$28-C427)/C427</f>
        <v>-8.5414673913247828E-4</v>
      </c>
      <c r="M427" s="551">
        <f>'Sollecitazioni nel paramento'!$G$60*(sezione!$AN$28-C427)/C427</f>
        <v>2.7804347823362272E-5</v>
      </c>
      <c r="N427" s="551">
        <f>'Sollecitazioni nel paramento'!$G$60*(sezione!$AO$28-C427)/C427</f>
        <v>3.5556086956467243E-3</v>
      </c>
      <c r="O427" s="551">
        <f>'Sollecitazioni nel paramento'!$G$60*(sezione!$AP$28-C427)/C427</f>
        <v>8.0002003901909046E-3</v>
      </c>
      <c r="P427" s="545">
        <f>-'Sollecitazioni nel paramento'!$G$47*'Sollecitazioni nel paramento'!$G$41*IF(DATI!$G$211="dx",DATI!$E$61,DATI!$E$64*DATI!$E$63)*1000*C427*sezione!$AD$5</f>
        <v>-3023739.1159692807</v>
      </c>
      <c r="Q427" s="545">
        <f>'Foglio deposito bis'!$F$48*IF(ABS(K427)&lt;'Sollecitazioni nel paramento'!$G$58,ABS(K427)*'Sollecitazioni nel paramento'!$G$54,'Sollecitazioni nel paramento'!$G$53)*IF(K427&lt;0,-1,1)</f>
        <v>0</v>
      </c>
      <c r="R427" s="545">
        <f>'Foglio deposito bis'!$F$49*IF(ABS(L427)&lt;'Sollecitazioni nel paramento'!$G$58,ABS(L427)*'Sollecitazioni nel paramento'!$G$54,'Sollecitazioni nel paramento'!$G$53)*IF(L427&lt;0,-1,1)</f>
        <v>-92129.418478955311</v>
      </c>
      <c r="S427" s="545">
        <f>'Foglio deposito bis'!$F$50*IF(ABS(M427)&lt;'Sollecitazioni nel paramento'!$G$58,ABS(M427)*'Sollecitazioni nel paramento'!$G$54,'Sollecitazioni nel paramento'!$G$53)*IF(M427&lt;0,-1,1)</f>
        <v>0</v>
      </c>
      <c r="T427" s="545">
        <f>'Foglio deposito bis'!$F$51*IF(ABS(N427)&lt;'Sollecitazioni nel paramento'!$G$58,ABS(N427)*'Sollecitazioni nel paramento'!$G$54,'Sollecitazioni nel paramento'!$G$53)*IF(N427&lt;0,-1,1)</f>
        <v>240946.49743184328</v>
      </c>
      <c r="U427" s="545">
        <f>'Foglio deposito bis'!$F$52*IF(ABS(O427)&lt;'Sollecitazioni nel paramento'!$G$58,ABS(O427)*'Sollecitazioni nel paramento'!$G$54,'Sollecitazioni nel paramento'!$G$53)*IF(O427&lt;0,-1,1)</f>
        <v>240946.49743184328</v>
      </c>
      <c r="V427" s="472">
        <f t="shared" si="32"/>
        <v>-2633975.5395845501</v>
      </c>
      <c r="W427" s="551"/>
      <c r="X427" s="551"/>
    </row>
    <row r="428" spans="1:24" x14ac:dyDescent="0.25">
      <c r="A428" s="545">
        <f t="shared" si="31"/>
        <v>2667885.5611437219</v>
      </c>
      <c r="B428" s="3">
        <f t="shared" si="33"/>
        <v>19.699999999999953</v>
      </c>
      <c r="C428" s="545">
        <f>'Foglio deposito bis'!$E$154/sezione!$B$247*B428</f>
        <v>80.183526914219428</v>
      </c>
      <c r="D428" s="603">
        <f>-'Sollecitazioni nel paramento'!$G$47*'Sollecitazioni nel paramento'!$G$41*IF(DATI!$G$211="dx",DATI!$E$61,DATI!$E$64*DATI!$E$63)*1000*C428^2*sezione!$AD$5*(1-sezione!$AD$6)</f>
        <v>-143045412.69589424</v>
      </c>
      <c r="E428" s="545">
        <f>-'Foglio deposito bis'!$F$48*(C428-sezione!$AL$28)*IF(ABS(K428)&lt;'Sollecitazioni nel paramento'!$G$58,ABS(K428)*'Sollecitazioni nel paramento'!$G$54,'Sollecitazioni nel paramento'!$G$53)</f>
        <v>0</v>
      </c>
      <c r="F428" s="545">
        <f>-'Foglio deposito bis'!$F$49*(C428-sezione!$AM$28)*IF(ABS(L428)&lt;'Sollecitazioni nel paramento'!$G$58,ABS(L428)*'Sollecitazioni nel paramento'!$G$54,'Sollecitazioni nel paramento'!$G$53)</f>
        <v>-1917974.5858653127</v>
      </c>
      <c r="G428" s="545">
        <f>-'Foglio deposito bis'!$F$50*(C428-sezione!$AN$28)*IF(ABS(M428)&lt;'Sollecitazioni nel paramento'!$G$58,ABS(M428)*'Sollecitazioni nel paramento'!$G$54,'Sollecitazioni nel paramento'!$G$53)</f>
        <v>0</v>
      </c>
      <c r="H428" s="545">
        <f>-'Foglio deposito bis'!$F$51*(C428-sezione!$AO$28)*IF(ABS(N428)&lt;'Sollecitazioni nel paramento'!$G$58,ABS(N428)*'Sollecitazioni nel paramento'!$G$54,'Sollecitazioni nel paramento'!$G$53)</f>
        <v>19231499.627381817</v>
      </c>
      <c r="I428" s="472">
        <f>-'Foglio deposito bis'!$F$52*(C428-sezione!$AP$28)*IF(ABS(O428)&lt;'Sollecitazioni nel paramento'!$G$58,ABS(O428)*'Sollecitazioni nel paramento'!$G$54,'Sollecitazioni nel paramento'!$G$53)</f>
        <v>43516492.68774417</v>
      </c>
      <c r="J428" s="472">
        <f t="shared" si="30"/>
        <v>-82215394.966633573</v>
      </c>
      <c r="K428" s="550">
        <f>'Sollecitazioni nel paramento'!$G$60*(sezione!$AL$28-C428)/C428</f>
        <v>-1.7540054623716864E-3</v>
      </c>
      <c r="L428" s="550">
        <f>'Sollecitazioni nel paramento'!$G$60*(sezione!$AM$28-C428)/C428</f>
        <v>-8.8100819355752945E-4</v>
      </c>
      <c r="M428" s="551">
        <f>'Sollecitazioni nel paramento'!$G$60*(sezione!$AN$28-C428)/C428</f>
        <v>-8.0109247433725254E-6</v>
      </c>
      <c r="N428" s="551">
        <f>'Sollecitazioni nel paramento'!$G$60*(sezione!$AO$28-C428)/C428</f>
        <v>3.4839781505132555E-3</v>
      </c>
      <c r="O428" s="551">
        <f>'Sollecitazioni nel paramento'!$G$60*(sezione!$AP$28-C428)/C428</f>
        <v>7.8834470867371904E-3</v>
      </c>
      <c r="P428" s="545">
        <f>-'Sollecitazioni nel paramento'!$G$47*'Sollecitazioni nel paramento'!$G$41*IF(DATI!$G$211="dx",DATI!$E$61,DATI!$E$64*DATI!$E$63)*1000*C428*sezione!$AD$5</f>
        <v>-3054751.824851017</v>
      </c>
      <c r="Q428" s="545">
        <f>'Foglio deposito bis'!$F$48*IF(ABS(K428)&lt;'Sollecitazioni nel paramento'!$G$58,ABS(K428)*'Sollecitazioni nel paramento'!$G$54,'Sollecitazioni nel paramento'!$G$53)*IF(K428&lt;0,-1,1)</f>
        <v>0</v>
      </c>
      <c r="R428" s="545">
        <f>'Foglio deposito bis'!$F$49*IF(ABS(L428)&lt;'Sollecitazioni nel paramento'!$G$58,ABS(L428)*'Sollecitazioni nel paramento'!$G$54,'Sollecitazioni nel paramento'!$G$53)*IF(L428&lt;0,-1,1)</f>
        <v>-95026.731156391048</v>
      </c>
      <c r="S428" s="545">
        <f>'Foglio deposito bis'!$F$50*IF(ABS(M428)&lt;'Sollecitazioni nel paramento'!$G$58,ABS(M428)*'Sollecitazioni nel paramento'!$G$54,'Sollecitazioni nel paramento'!$G$53)*IF(M428&lt;0,-1,1)</f>
        <v>0</v>
      </c>
      <c r="T428" s="545">
        <f>'Foglio deposito bis'!$F$51*IF(ABS(N428)&lt;'Sollecitazioni nel paramento'!$G$58,ABS(N428)*'Sollecitazioni nel paramento'!$G$54,'Sollecitazioni nel paramento'!$G$53)*IF(N428&lt;0,-1,1)</f>
        <v>240946.49743184328</v>
      </c>
      <c r="U428" s="545">
        <f>'Foglio deposito bis'!$F$52*IF(ABS(O428)&lt;'Sollecitazioni nel paramento'!$G$58,ABS(O428)*'Sollecitazioni nel paramento'!$G$54,'Sollecitazioni nel paramento'!$G$53)*IF(O428&lt;0,-1,1)</f>
        <v>240946.49743184328</v>
      </c>
      <c r="V428" s="472">
        <f t="shared" si="32"/>
        <v>-2667885.5611437219</v>
      </c>
      <c r="W428" s="551"/>
      <c r="X428" s="551"/>
    </row>
    <row r="429" spans="1:24" x14ac:dyDescent="0.25">
      <c r="A429" s="545">
        <f t="shared" si="31"/>
        <v>2701737.3452621414</v>
      </c>
      <c r="B429" s="3">
        <f t="shared" si="33"/>
        <v>19.899999999999952</v>
      </c>
      <c r="C429" s="545">
        <f>'Foglio deposito bis'!$E$154/sezione!$B$247*B429</f>
        <v>80.997572872739426</v>
      </c>
      <c r="D429" s="603">
        <f>-'Sollecitazioni nel paramento'!$G$47*'Sollecitazioni nel paramento'!$G$41*IF(DATI!$G$211="dx",DATI!$E$61,DATI!$E$64*DATI!$E$63)*1000*C429^2*sezione!$AD$5*(1-sezione!$AD$6)</f>
        <v>-145964631.61045396</v>
      </c>
      <c r="E429" s="545">
        <f>-'Foglio deposito bis'!$F$48*(C429-sezione!$AL$28)*IF(ABS(K429)&lt;'Sollecitazioni nel paramento'!$G$58,ABS(K429)*'Sollecitazioni nel paramento'!$G$54,'Sollecitazioni nel paramento'!$G$53)</f>
        <v>0</v>
      </c>
      <c r="F429" s="545">
        <f>-'Foglio deposito bis'!$F$49*(C429-sezione!$AM$28)*IF(ABS(L429)&lt;'Sollecitazioni nel paramento'!$G$58,ABS(L429)*'Sollecitazioni nel paramento'!$G$54,'Sollecitazioni nel paramento'!$G$53)</f>
        <v>-2054944.4014879854</v>
      </c>
      <c r="G429" s="545">
        <f>-'Foglio deposito bis'!$F$50*(C429-sezione!$AN$28)*IF(ABS(M429)&lt;'Sollecitazioni nel paramento'!$G$58,ABS(M429)*'Sollecitazioni nel paramento'!$G$54,'Sollecitazioni nel paramento'!$G$53)</f>
        <v>0</v>
      </c>
      <c r="H429" s="545">
        <f>-'Foglio deposito bis'!$F$51*(C429-sezione!$AO$28)*IF(ABS(N429)&lt;'Sollecitazioni nel paramento'!$G$58,ABS(N429)*'Sollecitazioni nel paramento'!$G$54,'Sollecitazioni nel paramento'!$G$53)</f>
        <v>19035358.104927875</v>
      </c>
      <c r="I429" s="472">
        <f>-'Foglio deposito bis'!$F$52*(C429-sezione!$AP$28)*IF(ABS(O429)&lt;'Sollecitazioni nel paramento'!$G$58,ABS(O429)*'Sollecitazioni nel paramento'!$G$54,'Sollecitazioni nel paramento'!$G$53)</f>
        <v>43320351.165290236</v>
      </c>
      <c r="J429" s="472">
        <f t="shared" si="30"/>
        <v>-85663866.741723835</v>
      </c>
      <c r="K429" s="550">
        <f>'Sollecitazioni nel paramento'!$G$60*(sezione!$AL$28-C429)/C429</f>
        <v>-1.7715531461669459E-3</v>
      </c>
      <c r="L429" s="550">
        <f>'Sollecitazioni nel paramento'!$G$60*(sezione!$AM$28-C429)/C429</f>
        <v>-9.0732971925041857E-4</v>
      </c>
      <c r="M429" s="551">
        <f>'Sollecitazioni nel paramento'!$G$60*(sezione!$AN$28-C429)/C429</f>
        <v>-4.3106292333891547E-5</v>
      </c>
      <c r="N429" s="551">
        <f>'Sollecitazioni nel paramento'!$G$60*(sezione!$AO$28-C429)/C429</f>
        <v>3.4137874153322171E-3</v>
      </c>
      <c r="O429" s="551">
        <f>'Sollecitazioni nel paramento'!$G$60*(sezione!$AP$28-C429)/C429</f>
        <v>7.7690405833528969E-3</v>
      </c>
      <c r="P429" s="545">
        <f>-'Sollecitazioni nel paramento'!$G$47*'Sollecitazioni nel paramento'!$G$41*IF(DATI!$G$211="dx",DATI!$E$61,DATI!$E$64*DATI!$E$63)*1000*C429*sezione!$AD$5</f>
        <v>-3085764.5337327532</v>
      </c>
      <c r="Q429" s="545">
        <f>'Foglio deposito bis'!$F$48*IF(ABS(K429)&lt;'Sollecitazioni nel paramento'!$G$58,ABS(K429)*'Sollecitazioni nel paramento'!$G$54,'Sollecitazioni nel paramento'!$G$53)*IF(K429&lt;0,-1,1)</f>
        <v>0</v>
      </c>
      <c r="R429" s="545">
        <f>'Foglio deposito bis'!$F$49*IF(ABS(L429)&lt;'Sollecitazioni nel paramento'!$G$58,ABS(L429)*'Sollecitazioni nel paramento'!$G$54,'Sollecitazioni nel paramento'!$G$53)*IF(L429&lt;0,-1,1)</f>
        <v>-97865.806393074294</v>
      </c>
      <c r="S429" s="545">
        <f>'Foglio deposito bis'!$F$50*IF(ABS(M429)&lt;'Sollecitazioni nel paramento'!$G$58,ABS(M429)*'Sollecitazioni nel paramento'!$G$54,'Sollecitazioni nel paramento'!$G$53)*IF(M429&lt;0,-1,1)</f>
        <v>0</v>
      </c>
      <c r="T429" s="545">
        <f>'Foglio deposito bis'!$F$51*IF(ABS(N429)&lt;'Sollecitazioni nel paramento'!$G$58,ABS(N429)*'Sollecitazioni nel paramento'!$G$54,'Sollecitazioni nel paramento'!$G$53)*IF(N429&lt;0,-1,1)</f>
        <v>240946.49743184328</v>
      </c>
      <c r="U429" s="545">
        <f>'Foglio deposito bis'!$F$52*IF(ABS(O429)&lt;'Sollecitazioni nel paramento'!$G$58,ABS(O429)*'Sollecitazioni nel paramento'!$G$54,'Sollecitazioni nel paramento'!$G$53)*IF(O429&lt;0,-1,1)</f>
        <v>240946.49743184328</v>
      </c>
      <c r="V429" s="472">
        <f t="shared" si="32"/>
        <v>-2701737.3452621414</v>
      </c>
      <c r="W429" s="551"/>
      <c r="X429" s="551"/>
    </row>
    <row r="430" spans="1:24" x14ac:dyDescent="0.25">
      <c r="A430" s="545">
        <f t="shared" si="31"/>
        <v>2735532.6303708754</v>
      </c>
      <c r="B430" s="3">
        <f t="shared" si="33"/>
        <v>20.099999999999952</v>
      </c>
      <c r="C430" s="545">
        <f>'Foglio deposito bis'!$E$154/sezione!$B$247*B430</f>
        <v>81.811618831259409</v>
      </c>
      <c r="D430" s="603">
        <f>-'Sollecitazioni nel paramento'!$G$47*'Sollecitazioni nel paramento'!$G$41*IF(DATI!$G$211="dx",DATI!$E$61,DATI!$E$64*DATI!$E$63)*1000*C430^2*sezione!$AD$5*(1-sezione!$AD$6)</f>
        <v>-148913337.58475667</v>
      </c>
      <c r="E430" s="545">
        <f>-'Foglio deposito bis'!$F$48*(C430-sezione!$AL$28)*IF(ABS(K430)&lt;'Sollecitazioni nel paramento'!$G$58,ABS(K430)*'Sollecitazioni nel paramento'!$G$54,'Sollecitazioni nel paramento'!$G$53)</f>
        <v>0</v>
      </c>
      <c r="F430" s="545">
        <f>-'Foglio deposito bis'!$F$49*(C430-sezione!$AM$28)*IF(ABS(L430)&lt;'Sollecitazioni nel paramento'!$G$58,ABS(L430)*'Sollecitazioni nel paramento'!$G$54,'Sollecitazioni nel paramento'!$G$53)</f>
        <v>-2195304.1576917707</v>
      </c>
      <c r="G430" s="545">
        <f>-'Foglio deposito bis'!$F$50*(C430-sezione!$AN$28)*IF(ABS(M430)&lt;'Sollecitazioni nel paramento'!$G$58,ABS(M430)*'Sollecitazioni nel paramento'!$G$54,'Sollecitazioni nel paramento'!$G$53)</f>
        <v>0</v>
      </c>
      <c r="H430" s="545">
        <f>-'Foglio deposito bis'!$F$51*(C430-sezione!$AO$28)*IF(ABS(N430)&lt;'Sollecitazioni nel paramento'!$G$58,ABS(N430)*'Sollecitazioni nel paramento'!$G$54,'Sollecitazioni nel paramento'!$G$53)</f>
        <v>18839216.582473937</v>
      </c>
      <c r="I430" s="472">
        <f>-'Foglio deposito bis'!$F$52*(C430-sezione!$AP$28)*IF(ABS(O430)&lt;'Sollecitazioni nel paramento'!$G$58,ABS(O430)*'Sollecitazioni nel paramento'!$G$54,'Sollecitazioni nel paramento'!$G$53)</f>
        <v>43124209.642836295</v>
      </c>
      <c r="J430" s="472">
        <f t="shared" si="30"/>
        <v>-89145215.517138213</v>
      </c>
      <c r="K430" s="550">
        <f>'Sollecitazioni nel paramento'!$G$60*(sezione!$AL$28-C430)/C430</f>
        <v>-1.7887516223244885E-3</v>
      </c>
      <c r="L430" s="550">
        <f>'Sollecitazioni nel paramento'!$G$60*(sezione!$AM$28-C430)/C430</f>
        <v>-9.3312743348673269E-4</v>
      </c>
      <c r="M430" s="551">
        <f>'Sollecitazioni nel paramento'!$G$60*(sezione!$AN$28-C430)/C430</f>
        <v>-7.7503244648976756E-5</v>
      </c>
      <c r="N430" s="551">
        <f>'Sollecitazioni nel paramento'!$G$60*(sezione!$AO$28-C430)/C430</f>
        <v>3.3449935107020463E-3</v>
      </c>
      <c r="O430" s="551">
        <f>'Sollecitazioni nel paramento'!$G$60*(sezione!$AP$28-C430)/C430</f>
        <v>7.6569108263046101E-3</v>
      </c>
      <c r="P430" s="545">
        <f>-'Sollecitazioni nel paramento'!$G$47*'Sollecitazioni nel paramento'!$G$41*IF(DATI!$G$211="dx",DATI!$E$61,DATI!$E$64*DATI!$E$63)*1000*C430*sezione!$AD$5</f>
        <v>-3116777.242614489</v>
      </c>
      <c r="Q430" s="545">
        <f>'Foglio deposito bis'!$F$48*IF(ABS(K430)&lt;'Sollecitazioni nel paramento'!$G$58,ABS(K430)*'Sollecitazioni nel paramento'!$G$54,'Sollecitazioni nel paramento'!$G$53)*IF(K430&lt;0,-1,1)</f>
        <v>0</v>
      </c>
      <c r="R430" s="545">
        <f>'Foglio deposito bis'!$F$49*IF(ABS(L430)&lt;'Sollecitazioni nel paramento'!$G$58,ABS(L430)*'Sollecitazioni nel paramento'!$G$54,'Sollecitazioni nel paramento'!$G$53)*IF(L430&lt;0,-1,1)</f>
        <v>-100648.38262007227</v>
      </c>
      <c r="S430" s="545">
        <f>'Foglio deposito bis'!$F$50*IF(ABS(M430)&lt;'Sollecitazioni nel paramento'!$G$58,ABS(M430)*'Sollecitazioni nel paramento'!$G$54,'Sollecitazioni nel paramento'!$G$53)*IF(M430&lt;0,-1,1)</f>
        <v>0</v>
      </c>
      <c r="T430" s="545">
        <f>'Foglio deposito bis'!$F$51*IF(ABS(N430)&lt;'Sollecitazioni nel paramento'!$G$58,ABS(N430)*'Sollecitazioni nel paramento'!$G$54,'Sollecitazioni nel paramento'!$G$53)*IF(N430&lt;0,-1,1)</f>
        <v>240946.49743184328</v>
      </c>
      <c r="U430" s="545">
        <f>'Foglio deposito bis'!$F$52*IF(ABS(O430)&lt;'Sollecitazioni nel paramento'!$G$58,ABS(O430)*'Sollecitazioni nel paramento'!$G$54,'Sollecitazioni nel paramento'!$G$53)*IF(O430&lt;0,-1,1)</f>
        <v>240946.49743184328</v>
      </c>
      <c r="V430" s="472">
        <f t="shared" si="32"/>
        <v>-2735532.6303708754</v>
      </c>
      <c r="W430" s="551"/>
      <c r="X430" s="551"/>
    </row>
    <row r="431" spans="1:24" x14ac:dyDescent="0.25">
      <c r="A431" s="545">
        <f t="shared" si="31"/>
        <v>2769273.0863913926</v>
      </c>
      <c r="B431" s="3">
        <f t="shared" si="33"/>
        <v>20.299999999999951</v>
      </c>
      <c r="C431" s="545">
        <f>'Foglio deposito bis'!$E$154/sezione!$B$247*B431</f>
        <v>82.625664789779407</v>
      </c>
      <c r="D431" s="603">
        <f>-'Sollecitazioni nel paramento'!$G$47*'Sollecitazioni nel paramento'!$G$41*IF(DATI!$G$211="dx",DATI!$E$61,DATI!$E$64*DATI!$E$63)*1000*C431^2*sezione!$AD$5*(1-sezione!$AD$6)</f>
        <v>-151891530.61880246</v>
      </c>
      <c r="E431" s="545">
        <f>-'Foglio deposito bis'!$F$48*(C431-sezione!$AL$28)*IF(ABS(K431)&lt;'Sollecitazioni nel paramento'!$G$58,ABS(K431)*'Sollecitazioni nel paramento'!$G$54,'Sollecitazioni nel paramento'!$G$53)</f>
        <v>0</v>
      </c>
      <c r="F431" s="545">
        <f>-'Foglio deposito bis'!$F$49*(C431-sezione!$AM$28)*IF(ABS(L431)&lt;'Sollecitazioni nel paramento'!$G$58,ABS(L431)*'Sollecitazioni nel paramento'!$G$54,'Sollecitazioni nel paramento'!$G$53)</f>
        <v>-2338953.6591885602</v>
      </c>
      <c r="G431" s="545">
        <f>-'Foglio deposito bis'!$F$50*(C431-sezione!$AN$28)*IF(ABS(M431)&lt;'Sollecitazioni nel paramento'!$G$58,ABS(M431)*'Sollecitazioni nel paramento'!$G$54,'Sollecitazioni nel paramento'!$G$53)</f>
        <v>0</v>
      </c>
      <c r="H431" s="545">
        <f>-'Foglio deposito bis'!$F$51*(C431-sezione!$AO$28)*IF(ABS(N431)&lt;'Sollecitazioni nel paramento'!$G$58,ABS(N431)*'Sollecitazioni nel paramento'!$G$54,'Sollecitazioni nel paramento'!$G$53)</f>
        <v>18643075.060019996</v>
      </c>
      <c r="I431" s="472">
        <f>-'Foglio deposito bis'!$F$52*(C431-sezione!$AP$28)*IF(ABS(O431)&lt;'Sollecitazioni nel paramento'!$G$58,ABS(O431)*'Sollecitazioni nel paramento'!$G$54,'Sollecitazioni nel paramento'!$G$53)</f>
        <v>42928068.120382354</v>
      </c>
      <c r="J431" s="472">
        <f t="shared" si="30"/>
        <v>-92659341.097588673</v>
      </c>
      <c r="K431" s="550">
        <f>'Sollecitazioni nel paramento'!$G$60*(sezione!$AL$28-C431)/C431</f>
        <v>-1.8056112122523261E-3</v>
      </c>
      <c r="L431" s="550">
        <f>'Sollecitazioni nel paramento'!$G$60*(sezione!$AM$28-C431)/C431</f>
        <v>-9.5841681837848902E-4</v>
      </c>
      <c r="M431" s="551">
        <f>'Sollecitazioni nel paramento'!$G$60*(sezione!$AN$28-C431)/C431</f>
        <v>-1.1122242450465201E-4</v>
      </c>
      <c r="N431" s="551">
        <f>'Sollecitazioni nel paramento'!$G$60*(sezione!$AO$28-C431)/C431</f>
        <v>3.2775551509906958E-3</v>
      </c>
      <c r="O431" s="551">
        <f>'Sollecitazioni nel paramento'!$G$60*(sezione!$AP$28-C431)/C431</f>
        <v>7.5469905225971747E-3</v>
      </c>
      <c r="P431" s="545">
        <f>-'Sollecitazioni nel paramento'!$G$47*'Sollecitazioni nel paramento'!$G$41*IF(DATI!$G$211="dx",DATI!$E$61,DATI!$E$64*DATI!$E$63)*1000*C431*sezione!$AD$5</f>
        <v>-3147789.9514962253</v>
      </c>
      <c r="Q431" s="545">
        <f>'Foglio deposito bis'!$F$48*IF(ABS(K431)&lt;'Sollecitazioni nel paramento'!$G$58,ABS(K431)*'Sollecitazioni nel paramento'!$G$54,'Sollecitazioni nel paramento'!$G$53)*IF(K431&lt;0,-1,1)</f>
        <v>0</v>
      </c>
      <c r="R431" s="545">
        <f>'Foglio deposito bis'!$F$49*IF(ABS(L431)&lt;'Sollecitazioni nel paramento'!$G$58,ABS(L431)*'Sollecitazioni nel paramento'!$G$54,'Sollecitazioni nel paramento'!$G$53)*IF(L431&lt;0,-1,1)</f>
        <v>-103376.12975885357</v>
      </c>
      <c r="S431" s="545">
        <f>'Foglio deposito bis'!$F$50*IF(ABS(M431)&lt;'Sollecitazioni nel paramento'!$G$58,ABS(M431)*'Sollecitazioni nel paramento'!$G$54,'Sollecitazioni nel paramento'!$G$53)*IF(M431&lt;0,-1,1)</f>
        <v>0</v>
      </c>
      <c r="T431" s="545">
        <f>'Foglio deposito bis'!$F$51*IF(ABS(N431)&lt;'Sollecitazioni nel paramento'!$G$58,ABS(N431)*'Sollecitazioni nel paramento'!$G$54,'Sollecitazioni nel paramento'!$G$53)*IF(N431&lt;0,-1,1)</f>
        <v>240946.49743184328</v>
      </c>
      <c r="U431" s="545">
        <f>'Foglio deposito bis'!$F$52*IF(ABS(O431)&lt;'Sollecitazioni nel paramento'!$G$58,ABS(O431)*'Sollecitazioni nel paramento'!$G$54,'Sollecitazioni nel paramento'!$G$53)*IF(O431&lt;0,-1,1)</f>
        <v>240946.49743184328</v>
      </c>
      <c r="V431" s="472">
        <f t="shared" si="32"/>
        <v>-2769273.0863913926</v>
      </c>
      <c r="W431" s="551"/>
      <c r="X431" s="551"/>
    </row>
    <row r="432" spans="1:24" x14ac:dyDescent="0.25">
      <c r="A432" s="545">
        <f t="shared" si="31"/>
        <v>2802960.3180774953</v>
      </c>
      <c r="B432" s="3">
        <f t="shared" si="33"/>
        <v>20.49999999999995</v>
      </c>
      <c r="C432" s="545">
        <f>'Foglio deposito bis'!$E$154/sezione!$B$247*B432</f>
        <v>83.439710748299404</v>
      </c>
      <c r="D432" s="603">
        <f>-'Sollecitazioni nel paramento'!$G$47*'Sollecitazioni nel paramento'!$G$41*IF(DATI!$G$211="dx",DATI!$E$61,DATI!$E$64*DATI!$E$63)*1000*C432^2*sezione!$AD$5*(1-sezione!$AD$6)</f>
        <v>-154899210.71259126</v>
      </c>
      <c r="E432" s="545">
        <f>-'Foglio deposito bis'!$F$48*(C432-sezione!$AL$28)*IF(ABS(K432)&lt;'Sollecitazioni nel paramento'!$G$58,ABS(K432)*'Sollecitazioni nel paramento'!$G$54,'Sollecitazioni nel paramento'!$G$53)</f>
        <v>0</v>
      </c>
      <c r="F432" s="545">
        <f>-'Foglio deposito bis'!$F$49*(C432-sezione!$AM$28)*IF(ABS(L432)&lt;'Sollecitazioni nel paramento'!$G$58,ABS(L432)*'Sollecitazioni nel paramento'!$G$54,'Sollecitazioni nel paramento'!$G$53)</f>
        <v>-2485796.6207502647</v>
      </c>
      <c r="G432" s="545">
        <f>-'Foglio deposito bis'!$F$50*(C432-sezione!$AN$28)*IF(ABS(M432)&lt;'Sollecitazioni nel paramento'!$G$58,ABS(M432)*'Sollecitazioni nel paramento'!$G$54,'Sollecitazioni nel paramento'!$G$53)</f>
        <v>0</v>
      </c>
      <c r="H432" s="545">
        <f>-'Foglio deposito bis'!$F$51*(C432-sezione!$AO$28)*IF(ABS(N432)&lt;'Sollecitazioni nel paramento'!$G$58,ABS(N432)*'Sollecitazioni nel paramento'!$G$54,'Sollecitazioni nel paramento'!$G$53)</f>
        <v>18446933.537566055</v>
      </c>
      <c r="I432" s="472">
        <f>-'Foglio deposito bis'!$F$52*(C432-sezione!$AP$28)*IF(ABS(O432)&lt;'Sollecitazioni nel paramento'!$G$58,ABS(O432)*'Sollecitazioni nel paramento'!$G$54,'Sollecitazioni nel paramento'!$G$53)</f>
        <v>42731926.59792842</v>
      </c>
      <c r="J432" s="472">
        <f t="shared" si="30"/>
        <v>-96206147.197847053</v>
      </c>
      <c r="K432" s="550">
        <f>'Sollecitazioni nel paramento'!$G$60*(sezione!$AL$28-C432)/C432</f>
        <v>-1.8221418345718155E-3</v>
      </c>
      <c r="L432" s="550">
        <f>'Sollecitazioni nel paramento'!$G$60*(sezione!$AM$28-C432)/C432</f>
        <v>-9.8321275185772345E-4</v>
      </c>
      <c r="M432" s="551">
        <f>'Sollecitazioni nel paramento'!$G$60*(sezione!$AN$28-C432)/C432</f>
        <v>-1.4428366914363117E-4</v>
      </c>
      <c r="N432" s="551">
        <f>'Sollecitazioni nel paramento'!$G$60*(sezione!$AO$28-C432)/C432</f>
        <v>3.2114326617127377E-3</v>
      </c>
      <c r="O432" s="551">
        <f>'Sollecitazioni nel paramento'!$G$60*(sezione!$AP$28-C432)/C432</f>
        <v>7.4392150053035448E-3</v>
      </c>
      <c r="P432" s="545">
        <f>-'Sollecitazioni nel paramento'!$G$47*'Sollecitazioni nel paramento'!$G$41*IF(DATI!$G$211="dx",DATI!$E$61,DATI!$E$64*DATI!$E$63)*1000*C432*sezione!$AD$5</f>
        <v>-3178802.660377962</v>
      </c>
      <c r="Q432" s="545">
        <f>'Foglio deposito bis'!$F$48*IF(ABS(K432)&lt;'Sollecitazioni nel paramento'!$G$58,ABS(K432)*'Sollecitazioni nel paramento'!$G$54,'Sollecitazioni nel paramento'!$G$53)*IF(K432&lt;0,-1,1)</f>
        <v>0</v>
      </c>
      <c r="R432" s="545">
        <f>'Foglio deposito bis'!$F$49*IF(ABS(L432)&lt;'Sollecitazioni nel paramento'!$G$58,ABS(L432)*'Sollecitazioni nel paramento'!$G$54,'Sollecitazioni nel paramento'!$G$53)*IF(L432&lt;0,-1,1)</f>
        <v>-106050.65256321963</v>
      </c>
      <c r="S432" s="545">
        <f>'Foglio deposito bis'!$F$50*IF(ABS(M432)&lt;'Sollecitazioni nel paramento'!$G$58,ABS(M432)*'Sollecitazioni nel paramento'!$G$54,'Sollecitazioni nel paramento'!$G$53)*IF(M432&lt;0,-1,1)</f>
        <v>0</v>
      </c>
      <c r="T432" s="545">
        <f>'Foglio deposito bis'!$F$51*IF(ABS(N432)&lt;'Sollecitazioni nel paramento'!$G$58,ABS(N432)*'Sollecitazioni nel paramento'!$G$54,'Sollecitazioni nel paramento'!$G$53)*IF(N432&lt;0,-1,1)</f>
        <v>240946.49743184328</v>
      </c>
      <c r="U432" s="545">
        <f>'Foglio deposito bis'!$F$52*IF(ABS(O432)&lt;'Sollecitazioni nel paramento'!$G$58,ABS(O432)*'Sollecitazioni nel paramento'!$G$54,'Sollecitazioni nel paramento'!$G$53)*IF(O432&lt;0,-1,1)</f>
        <v>240946.49743184328</v>
      </c>
      <c r="V432" s="472">
        <f t="shared" si="32"/>
        <v>-2802960.3180774953</v>
      </c>
      <c r="W432" s="551"/>
      <c r="X432" s="551"/>
    </row>
    <row r="433" spans="1:24" x14ac:dyDescent="0.25">
      <c r="A433" s="545">
        <f t="shared" si="31"/>
        <v>2836595.868163513</v>
      </c>
      <c r="B433" s="3">
        <f t="shared" si="33"/>
        <v>20.69999999999995</v>
      </c>
      <c r="C433" s="545">
        <f>'Foglio deposito bis'!$E$154/sezione!$B$247*B433</f>
        <v>84.253756706819388</v>
      </c>
      <c r="D433" s="603">
        <f>-'Sollecitazioni nel paramento'!$G$47*'Sollecitazioni nel paramento'!$G$41*IF(DATI!$G$211="dx",DATI!$E$61,DATI!$E$64*DATI!$E$63)*1000*C433^2*sezione!$AD$5*(1-sezione!$AD$6)</f>
        <v>-157936377.86612308</v>
      </c>
      <c r="E433" s="545">
        <f>-'Foglio deposito bis'!$F$48*(C433-sezione!$AL$28)*IF(ABS(K433)&lt;'Sollecitazioni nel paramento'!$G$58,ABS(K433)*'Sollecitazioni nel paramento'!$G$54,'Sollecitazioni nel paramento'!$G$53)</f>
        <v>0</v>
      </c>
      <c r="F433" s="545">
        <f>-'Foglio deposito bis'!$F$49*(C433-sezione!$AM$28)*IF(ABS(L433)&lt;'Sollecitazioni nel paramento'!$G$58,ABS(L433)*'Sollecitazioni nel paramento'!$G$54,'Sollecitazioni nel paramento'!$G$53)</f>
        <v>-2635740.4783170288</v>
      </c>
      <c r="G433" s="545">
        <f>-'Foglio deposito bis'!$F$50*(C433-sezione!$AN$28)*IF(ABS(M433)&lt;'Sollecitazioni nel paramento'!$G$58,ABS(M433)*'Sollecitazioni nel paramento'!$G$54,'Sollecitazioni nel paramento'!$G$53)</f>
        <v>0</v>
      </c>
      <c r="H433" s="545">
        <f>-'Foglio deposito bis'!$F$51*(C433-sezione!$AO$28)*IF(ABS(N433)&lt;'Sollecitazioni nel paramento'!$G$58,ABS(N433)*'Sollecitazioni nel paramento'!$G$54,'Sollecitazioni nel paramento'!$G$53)</f>
        <v>18250792.015112117</v>
      </c>
      <c r="I433" s="472">
        <f>-'Foglio deposito bis'!$F$52*(C433-sezione!$AP$28)*IF(ABS(O433)&lt;'Sollecitazioni nel paramento'!$G$58,ABS(O433)*'Sollecitazioni nel paramento'!$G$54,'Sollecitazioni nel paramento'!$G$53)</f>
        <v>42535785.075474478</v>
      </c>
      <c r="J433" s="472">
        <f t="shared" si="30"/>
        <v>-99785541.25385353</v>
      </c>
      <c r="K433" s="550">
        <f>'Sollecitazioni nel paramento'!$G$60*(sezione!$AL$28-C433)/C433</f>
        <v>-1.8383530245759524E-3</v>
      </c>
      <c r="L433" s="550">
        <f>'Sollecitazioni nel paramento'!$G$60*(sezione!$AM$28-C433)/C433</f>
        <v>-1.0075295368639286E-3</v>
      </c>
      <c r="M433" s="551">
        <f>'Sollecitazioni nel paramento'!$G$60*(sezione!$AN$28-C433)/C433</f>
        <v>-1.7670604915190485E-4</v>
      </c>
      <c r="N433" s="551">
        <f>'Sollecitazioni nel paramento'!$G$60*(sezione!$AO$28-C433)/C433</f>
        <v>3.1465879016961905E-3</v>
      </c>
      <c r="O433" s="551">
        <f>'Sollecitazioni nel paramento'!$G$60*(sezione!$AP$28-C433)/C433</f>
        <v>7.3335221067015784E-3</v>
      </c>
      <c r="P433" s="545">
        <f>-'Sollecitazioni nel paramento'!$G$47*'Sollecitazioni nel paramento'!$G$41*IF(DATI!$G$211="dx",DATI!$E$61,DATI!$E$64*DATI!$E$63)*1000*C433*sezione!$AD$5</f>
        <v>-3209815.3692596979</v>
      </c>
      <c r="Q433" s="545">
        <f>'Foglio deposito bis'!$F$48*IF(ABS(K433)&lt;'Sollecitazioni nel paramento'!$G$58,ABS(K433)*'Sollecitazioni nel paramento'!$G$54,'Sollecitazioni nel paramento'!$G$53)*IF(K433&lt;0,-1,1)</f>
        <v>0</v>
      </c>
      <c r="R433" s="545">
        <f>'Foglio deposito bis'!$F$49*IF(ABS(L433)&lt;'Sollecitazioni nel paramento'!$G$58,ABS(L433)*'Sollecitazioni nel paramento'!$G$54,'Sollecitazioni nel paramento'!$G$53)*IF(L433&lt;0,-1,1)</f>
        <v>-108673.49376750126</v>
      </c>
      <c r="S433" s="545">
        <f>'Foglio deposito bis'!$F$50*IF(ABS(M433)&lt;'Sollecitazioni nel paramento'!$G$58,ABS(M433)*'Sollecitazioni nel paramento'!$G$54,'Sollecitazioni nel paramento'!$G$53)*IF(M433&lt;0,-1,1)</f>
        <v>0</v>
      </c>
      <c r="T433" s="545">
        <f>'Foglio deposito bis'!$F$51*IF(ABS(N433)&lt;'Sollecitazioni nel paramento'!$G$58,ABS(N433)*'Sollecitazioni nel paramento'!$G$54,'Sollecitazioni nel paramento'!$G$53)*IF(N433&lt;0,-1,1)</f>
        <v>240946.49743184328</v>
      </c>
      <c r="U433" s="545">
        <f>'Foglio deposito bis'!$F$52*IF(ABS(O433)&lt;'Sollecitazioni nel paramento'!$G$58,ABS(O433)*'Sollecitazioni nel paramento'!$G$54,'Sollecitazioni nel paramento'!$G$53)*IF(O433&lt;0,-1,1)</f>
        <v>240946.49743184328</v>
      </c>
      <c r="V433" s="472">
        <f t="shared" si="32"/>
        <v>-2836595.868163513</v>
      </c>
      <c r="W433" s="551"/>
      <c r="X433" s="551"/>
    </row>
    <row r="434" spans="1:24" x14ac:dyDescent="0.25">
      <c r="A434" s="545">
        <f t="shared" si="31"/>
        <v>2870181.2203317452</v>
      </c>
      <c r="B434" s="3">
        <f t="shared" si="33"/>
        <v>20.899999999999949</v>
      </c>
      <c r="C434" s="545">
        <f>'Foglio deposito bis'!$E$154/sezione!$B$247*B434</f>
        <v>85.067802665339386</v>
      </c>
      <c r="D434" s="603">
        <f>-'Sollecitazioni nel paramento'!$G$47*'Sollecitazioni nel paramento'!$G$41*IF(DATI!$G$211="dx",DATI!$E$61,DATI!$E$64*DATI!$E$63)*1000*C434^2*sezione!$AD$5*(1-sezione!$AD$6)</f>
        <v>-161003032.07939792</v>
      </c>
      <c r="E434" s="545">
        <f>-'Foglio deposito bis'!$F$48*(C434-sezione!$AL$28)*IF(ABS(K434)&lt;'Sollecitazioni nel paramento'!$G$58,ABS(K434)*'Sollecitazioni nel paramento'!$G$54,'Sollecitazioni nel paramento'!$G$53)</f>
        <v>0</v>
      </c>
      <c r="F434" s="545">
        <f>-'Foglio deposito bis'!$F$49*(C434-sezione!$AM$28)*IF(ABS(L434)&lt;'Sollecitazioni nel paramento'!$G$58,ABS(L434)*'Sollecitazioni nel paramento'!$G$54,'Sollecitazioni nel paramento'!$G$53)</f>
        <v>-2788696.2109509134</v>
      </c>
      <c r="G434" s="545">
        <f>-'Foglio deposito bis'!$F$50*(C434-sezione!$AN$28)*IF(ABS(M434)&lt;'Sollecitazioni nel paramento'!$G$58,ABS(M434)*'Sollecitazioni nel paramento'!$G$54,'Sollecitazioni nel paramento'!$G$53)</f>
        <v>0</v>
      </c>
      <c r="H434" s="545">
        <f>-'Foglio deposito bis'!$F$51*(C434-sezione!$AO$28)*IF(ABS(N434)&lt;'Sollecitazioni nel paramento'!$G$58,ABS(N434)*'Sollecitazioni nel paramento'!$G$54,'Sollecitazioni nel paramento'!$G$53)</f>
        <v>18054650.492658176</v>
      </c>
      <c r="I434" s="472">
        <f>-'Foglio deposito bis'!$F$52*(C434-sezione!$AP$28)*IF(ABS(O434)&lt;'Sollecitazioni nel paramento'!$G$58,ABS(O434)*'Sollecitazioni nel paramento'!$G$54,'Sollecitazioni nel paramento'!$G$53)</f>
        <v>42339643.553020537</v>
      </c>
      <c r="J434" s="472">
        <f t="shared" si="30"/>
        <v>-103397434.24467012</v>
      </c>
      <c r="K434" s="550">
        <f>'Sollecitazioni nel paramento'!$G$60*(sezione!$AL$28-C434)/C434</f>
        <v>-1.8542539525704409E-3</v>
      </c>
      <c r="L434" s="550">
        <f>'Sollecitazioni nel paramento'!$G$60*(sezione!$AM$28-C434)/C434</f>
        <v>-1.0313809288556616E-3</v>
      </c>
      <c r="M434" s="551">
        <f>'Sollecitazioni nel paramento'!$G$60*(sezione!$AN$28-C434)/C434</f>
        <v>-2.0850790514088198E-4</v>
      </c>
      <c r="N434" s="551">
        <f>'Sollecitazioni nel paramento'!$G$60*(sezione!$AO$28-C434)/C434</f>
        <v>3.0829841897182359E-3</v>
      </c>
      <c r="O434" s="551">
        <f>'Sollecitazioni nel paramento'!$G$60*(sezione!$AP$28-C434)/C434</f>
        <v>7.2298520386948643E-3</v>
      </c>
      <c r="P434" s="545">
        <f>-'Sollecitazioni nel paramento'!$G$47*'Sollecitazioni nel paramento'!$G$41*IF(DATI!$G$211="dx",DATI!$E$61,DATI!$E$64*DATI!$E$63)*1000*C434*sezione!$AD$5</f>
        <v>-3240828.0781414337</v>
      </c>
      <c r="Q434" s="545">
        <f>'Foglio deposito bis'!$F$48*IF(ABS(K434)&lt;'Sollecitazioni nel paramento'!$G$58,ABS(K434)*'Sollecitazioni nel paramento'!$G$54,'Sollecitazioni nel paramento'!$G$53)*IF(K434&lt;0,-1,1)</f>
        <v>0</v>
      </c>
      <c r="R434" s="545">
        <f>'Foglio deposito bis'!$F$49*IF(ABS(L434)&lt;'Sollecitazioni nel paramento'!$G$58,ABS(L434)*'Sollecitazioni nel paramento'!$G$54,'Sollecitazioni nel paramento'!$G$53)*IF(L434&lt;0,-1,1)</f>
        <v>-111246.13705399768</v>
      </c>
      <c r="S434" s="545">
        <f>'Foglio deposito bis'!$F$50*IF(ABS(M434)&lt;'Sollecitazioni nel paramento'!$G$58,ABS(M434)*'Sollecitazioni nel paramento'!$G$54,'Sollecitazioni nel paramento'!$G$53)*IF(M434&lt;0,-1,1)</f>
        <v>0</v>
      </c>
      <c r="T434" s="545">
        <f>'Foglio deposito bis'!$F$51*IF(ABS(N434)&lt;'Sollecitazioni nel paramento'!$G$58,ABS(N434)*'Sollecitazioni nel paramento'!$G$54,'Sollecitazioni nel paramento'!$G$53)*IF(N434&lt;0,-1,1)</f>
        <v>240946.49743184328</v>
      </c>
      <c r="U434" s="545">
        <f>'Foglio deposito bis'!$F$52*IF(ABS(O434)&lt;'Sollecitazioni nel paramento'!$G$58,ABS(O434)*'Sollecitazioni nel paramento'!$G$54,'Sollecitazioni nel paramento'!$G$53)*IF(O434&lt;0,-1,1)</f>
        <v>240946.49743184328</v>
      </c>
      <c r="V434" s="472">
        <f t="shared" si="32"/>
        <v>-2870181.2203317452</v>
      </c>
      <c r="W434" s="551"/>
      <c r="X434" s="551"/>
    </row>
    <row r="435" spans="1:24" x14ac:dyDescent="0.25">
      <c r="A435" s="545">
        <f t="shared" si="31"/>
        <v>2903717.8020111346</v>
      </c>
      <c r="B435" s="3">
        <f t="shared" si="33"/>
        <v>21.099999999999948</v>
      </c>
      <c r="C435" s="545">
        <f>'Foglio deposito bis'!$E$154/sezione!$B$247*B435</f>
        <v>85.881848623859383</v>
      </c>
      <c r="D435" s="603">
        <f>-'Sollecitazioni nel paramento'!$G$47*'Sollecitazioni nel paramento'!$G$41*IF(DATI!$G$211="dx",DATI!$E$61,DATI!$E$64*DATI!$E$63)*1000*C435^2*sezione!$AD$5*(1-sezione!$AD$6)</f>
        <v>-164099173.35241583</v>
      </c>
      <c r="E435" s="545">
        <f>-'Foglio deposito bis'!$F$48*(C435-sezione!$AL$28)*IF(ABS(K435)&lt;'Sollecitazioni nel paramento'!$G$58,ABS(K435)*'Sollecitazioni nel paramento'!$G$54,'Sollecitazioni nel paramento'!$G$53)</f>
        <v>0</v>
      </c>
      <c r="F435" s="545">
        <f>-'Foglio deposito bis'!$F$49*(C435-sezione!$AM$28)*IF(ABS(L435)&lt;'Sollecitazioni nel paramento'!$G$58,ABS(L435)*'Sollecitazioni nel paramento'!$G$54,'Sollecitazioni nel paramento'!$G$53)</f>
        <v>-2944578.1729154103</v>
      </c>
      <c r="G435" s="545">
        <f>-'Foglio deposito bis'!$F$50*(C435-sezione!$AN$28)*IF(ABS(M435)&lt;'Sollecitazioni nel paramento'!$G$58,ABS(M435)*'Sollecitazioni nel paramento'!$G$54,'Sollecitazioni nel paramento'!$G$53)</f>
        <v>0</v>
      </c>
      <c r="H435" s="545">
        <f>-'Foglio deposito bis'!$F$51*(C435-sezione!$AO$28)*IF(ABS(N435)&lt;'Sollecitazioni nel paramento'!$G$58,ABS(N435)*'Sollecitazioni nel paramento'!$G$54,'Sollecitazioni nel paramento'!$G$53)</f>
        <v>17858508.970204238</v>
      </c>
      <c r="I435" s="472">
        <f>-'Foglio deposito bis'!$F$52*(C435-sezione!$AP$28)*IF(ABS(O435)&lt;'Sollecitazioni nel paramento'!$G$58,ABS(O435)*'Sollecitazioni nel paramento'!$G$54,'Sollecitazioni nel paramento'!$G$53)</f>
        <v>42143502.030566595</v>
      </c>
      <c r="J435" s="472">
        <f t="shared" si="30"/>
        <v>-107041740.52456039</v>
      </c>
      <c r="K435" s="550">
        <f>'Sollecitazioni nel paramento'!$G$60*(sezione!$AL$28-C435)/C435</f>
        <v>-1.8698534411716692E-3</v>
      </c>
      <c r="L435" s="550">
        <f>'Sollecitazioni nel paramento'!$G$60*(sezione!$AM$28-C435)/C435</f>
        <v>-1.0547801617575038E-3</v>
      </c>
      <c r="M435" s="551">
        <f>'Sollecitazioni nel paramento'!$G$60*(sezione!$AN$28-C435)/C435</f>
        <v>-2.3970688234333822E-4</v>
      </c>
      <c r="N435" s="551">
        <f>'Sollecitazioni nel paramento'!$G$60*(sezione!$AO$28-C435)/C435</f>
        <v>3.020586235313324E-3</v>
      </c>
      <c r="O435" s="551">
        <f>'Sollecitazioni nel paramento'!$G$60*(sezione!$AP$28-C435)/C435</f>
        <v>7.1281472800342497E-3</v>
      </c>
      <c r="P435" s="545">
        <f>-'Sollecitazioni nel paramento'!$G$47*'Sollecitazioni nel paramento'!$G$41*IF(DATI!$G$211="dx",DATI!$E$61,DATI!$E$64*DATI!$E$63)*1000*C435*sezione!$AD$5</f>
        <v>-3271840.7870231704</v>
      </c>
      <c r="Q435" s="545">
        <f>'Foglio deposito bis'!$F$48*IF(ABS(K435)&lt;'Sollecitazioni nel paramento'!$G$58,ABS(K435)*'Sollecitazioni nel paramento'!$G$54,'Sollecitazioni nel paramento'!$G$53)*IF(K435&lt;0,-1,1)</f>
        <v>0</v>
      </c>
      <c r="R435" s="545">
        <f>'Foglio deposito bis'!$F$49*IF(ABS(L435)&lt;'Sollecitazioni nel paramento'!$G$58,ABS(L435)*'Sollecitazioni nel paramento'!$G$54,'Sollecitazioni nel paramento'!$G$53)*IF(L435&lt;0,-1,1)</f>
        <v>-113770.00985165054</v>
      </c>
      <c r="S435" s="545">
        <f>'Foglio deposito bis'!$F$50*IF(ABS(M435)&lt;'Sollecitazioni nel paramento'!$G$58,ABS(M435)*'Sollecitazioni nel paramento'!$G$54,'Sollecitazioni nel paramento'!$G$53)*IF(M435&lt;0,-1,1)</f>
        <v>0</v>
      </c>
      <c r="T435" s="545">
        <f>'Foglio deposito bis'!$F$51*IF(ABS(N435)&lt;'Sollecitazioni nel paramento'!$G$58,ABS(N435)*'Sollecitazioni nel paramento'!$G$54,'Sollecitazioni nel paramento'!$G$53)*IF(N435&lt;0,-1,1)</f>
        <v>240946.49743184328</v>
      </c>
      <c r="U435" s="545">
        <f>'Foglio deposito bis'!$F$52*IF(ABS(O435)&lt;'Sollecitazioni nel paramento'!$G$58,ABS(O435)*'Sollecitazioni nel paramento'!$G$54,'Sollecitazioni nel paramento'!$G$53)*IF(O435&lt;0,-1,1)</f>
        <v>240946.49743184328</v>
      </c>
      <c r="V435" s="472">
        <f t="shared" si="32"/>
        <v>-2903717.8020111346</v>
      </c>
      <c r="W435" s="551"/>
      <c r="X435" s="551"/>
    </row>
    <row r="436" spans="1:24" x14ac:dyDescent="0.25">
      <c r="A436" s="545">
        <f t="shared" si="31"/>
        <v>2937206.9870182672</v>
      </c>
      <c r="B436" s="3">
        <f t="shared" si="33"/>
        <v>21.299999999999947</v>
      </c>
      <c r="C436" s="545">
        <f>'Foglio deposito bis'!$E$154/sezione!$B$247*B436</f>
        <v>86.695894582379367</v>
      </c>
      <c r="D436" s="603">
        <f>-'Sollecitazioni nel paramento'!$G$47*'Sollecitazioni nel paramento'!$G$41*IF(DATI!$G$211="dx",DATI!$E$61,DATI!$E$64*DATI!$E$63)*1000*C436^2*sezione!$AD$5*(1-sezione!$AD$6)</f>
        <v>-167224801.6851767</v>
      </c>
      <c r="E436" s="545">
        <f>-'Foglio deposito bis'!$F$48*(C436-sezione!$AL$28)*IF(ABS(K436)&lt;'Sollecitazioni nel paramento'!$G$58,ABS(K436)*'Sollecitazioni nel paramento'!$G$54,'Sollecitazioni nel paramento'!$G$53)</f>
        <v>0</v>
      </c>
      <c r="F436" s="545">
        <f>-'Foglio deposito bis'!$F$49*(C436-sezione!$AM$28)*IF(ABS(L436)&lt;'Sollecitazioni nel paramento'!$G$58,ABS(L436)*'Sollecitazioni nel paramento'!$G$54,'Sollecitazioni nel paramento'!$G$53)</f>
        <v>-3103303.9352152874</v>
      </c>
      <c r="G436" s="545">
        <f>-'Foglio deposito bis'!$F$50*(C436-sezione!$AN$28)*IF(ABS(M436)&lt;'Sollecitazioni nel paramento'!$G$58,ABS(M436)*'Sollecitazioni nel paramento'!$G$54,'Sollecitazioni nel paramento'!$G$53)</f>
        <v>0</v>
      </c>
      <c r="H436" s="545">
        <f>-'Foglio deposito bis'!$F$51*(C436-sezione!$AO$28)*IF(ABS(N436)&lt;'Sollecitazioni nel paramento'!$G$58,ABS(N436)*'Sollecitazioni nel paramento'!$G$54,'Sollecitazioni nel paramento'!$G$53)</f>
        <v>17662367.447750296</v>
      </c>
      <c r="I436" s="472">
        <f>-'Foglio deposito bis'!$F$52*(C436-sezione!$AP$28)*IF(ABS(O436)&lt;'Sollecitazioni nel paramento'!$G$58,ABS(O436)*'Sollecitazioni nel paramento'!$G$54,'Sollecitazioni nel paramento'!$G$53)</f>
        <v>41947360.508112662</v>
      </c>
      <c r="J436" s="472">
        <f t="shared" si="30"/>
        <v>-110718377.66452903</v>
      </c>
      <c r="K436" s="550">
        <f>'Sollecitazioni nel paramento'!$G$60*(sezione!$AL$28-C436)/C436</f>
        <v>-1.8851599816301508E-3</v>
      </c>
      <c r="L436" s="550">
        <f>'Sollecitazioni nel paramento'!$G$60*(sezione!$AM$28-C436)/C436</f>
        <v>-1.0777399724452264E-3</v>
      </c>
      <c r="M436" s="551">
        <f>'Sollecitazioni nel paramento'!$G$60*(sezione!$AN$28-C436)/C436</f>
        <v>-2.7031996326030175E-4</v>
      </c>
      <c r="N436" s="551">
        <f>'Sollecitazioni nel paramento'!$G$60*(sezione!$AO$28-C436)/C436</f>
        <v>2.9593600734793965E-3</v>
      </c>
      <c r="O436" s="551">
        <f>'Sollecitazioni nel paramento'!$G$60*(sezione!$AP$28-C436)/C436</f>
        <v>7.0283524698930835E-3</v>
      </c>
      <c r="P436" s="545">
        <f>-'Sollecitazioni nel paramento'!$G$47*'Sollecitazioni nel paramento'!$G$41*IF(DATI!$G$211="dx",DATI!$E$61,DATI!$E$64*DATI!$E$63)*1000*C436*sezione!$AD$5</f>
        <v>-3302853.4959049062</v>
      </c>
      <c r="Q436" s="545">
        <f>'Foglio deposito bis'!$F$48*IF(ABS(K436)&lt;'Sollecitazioni nel paramento'!$G$58,ABS(K436)*'Sollecitazioni nel paramento'!$G$54,'Sollecitazioni nel paramento'!$G$53)*IF(K436&lt;0,-1,1)</f>
        <v>0</v>
      </c>
      <c r="R436" s="545">
        <f>'Foglio deposito bis'!$F$49*IF(ABS(L436)&lt;'Sollecitazioni nel paramento'!$G$58,ABS(L436)*'Sollecitazioni nel paramento'!$G$54,'Sollecitazioni nel paramento'!$G$53)*IF(L436&lt;0,-1,1)</f>
        <v>-116246.48597704696</v>
      </c>
      <c r="S436" s="545">
        <f>'Foglio deposito bis'!$F$50*IF(ABS(M436)&lt;'Sollecitazioni nel paramento'!$G$58,ABS(M436)*'Sollecitazioni nel paramento'!$G$54,'Sollecitazioni nel paramento'!$G$53)*IF(M436&lt;0,-1,1)</f>
        <v>0</v>
      </c>
      <c r="T436" s="545">
        <f>'Foglio deposito bis'!$F$51*IF(ABS(N436)&lt;'Sollecitazioni nel paramento'!$G$58,ABS(N436)*'Sollecitazioni nel paramento'!$G$54,'Sollecitazioni nel paramento'!$G$53)*IF(N436&lt;0,-1,1)</f>
        <v>240946.49743184328</v>
      </c>
      <c r="U436" s="545">
        <f>'Foglio deposito bis'!$F$52*IF(ABS(O436)&lt;'Sollecitazioni nel paramento'!$G$58,ABS(O436)*'Sollecitazioni nel paramento'!$G$54,'Sollecitazioni nel paramento'!$G$53)*IF(O436&lt;0,-1,1)</f>
        <v>240946.49743184328</v>
      </c>
      <c r="V436" s="472">
        <f t="shared" si="32"/>
        <v>-2937206.9870182672</v>
      </c>
      <c r="W436" s="551"/>
      <c r="X436" s="551"/>
    </row>
    <row r="437" spans="1:24" x14ac:dyDescent="0.25">
      <c r="A437" s="545">
        <f t="shared" si="31"/>
        <v>2970650.0980509738</v>
      </c>
      <c r="B437" s="3">
        <f t="shared" si="33"/>
        <v>21.499999999999947</v>
      </c>
      <c r="C437" s="545">
        <f>'Foglio deposito bis'!$E$154/sezione!$B$247*B437</f>
        <v>87.509940540899365</v>
      </c>
      <c r="D437" s="603">
        <f>-'Sollecitazioni nel paramento'!$G$47*'Sollecitazioni nel paramento'!$G$41*IF(DATI!$G$211="dx",DATI!$E$61,DATI!$E$64*DATI!$E$63)*1000*C437^2*sezione!$AD$5*(1-sezione!$AD$6)</f>
        <v>-170379917.07768071</v>
      </c>
      <c r="E437" s="545">
        <f>-'Foglio deposito bis'!$F$48*(C437-sezione!$AL$28)*IF(ABS(K437)&lt;'Sollecitazioni nel paramento'!$G$58,ABS(K437)*'Sollecitazioni nel paramento'!$G$54,'Sollecitazioni nel paramento'!$G$53)</f>
        <v>0</v>
      </c>
      <c r="F437" s="545">
        <f>-'Foglio deposito bis'!$F$49*(C437-sezione!$AM$28)*IF(ABS(L437)&lt;'Sollecitazioni nel paramento'!$G$58,ABS(L437)*'Sollecitazioni nel paramento'!$G$54,'Sollecitazioni nel paramento'!$G$53)</f>
        <v>-3264794.1359807258</v>
      </c>
      <c r="G437" s="545">
        <f>-'Foglio deposito bis'!$F$50*(C437-sezione!$AN$28)*IF(ABS(M437)&lt;'Sollecitazioni nel paramento'!$G$58,ABS(M437)*'Sollecitazioni nel paramento'!$G$54,'Sollecitazioni nel paramento'!$G$53)</f>
        <v>0</v>
      </c>
      <c r="H437" s="545">
        <f>-'Foglio deposito bis'!$F$51*(C437-sezione!$AO$28)*IF(ABS(N437)&lt;'Sollecitazioni nel paramento'!$G$58,ABS(N437)*'Sollecitazioni nel paramento'!$G$54,'Sollecitazioni nel paramento'!$G$53)</f>
        <v>17466225.925296359</v>
      </c>
      <c r="I437" s="472">
        <f>-'Foglio deposito bis'!$F$52*(C437-sezione!$AP$28)*IF(ABS(O437)&lt;'Sollecitazioni nel paramento'!$G$58,ABS(O437)*'Sollecitazioni nel paramento'!$G$54,'Sollecitazioni nel paramento'!$G$53)</f>
        <v>41751218.98565872</v>
      </c>
      <c r="J437" s="472">
        <f t="shared" si="30"/>
        <v>-114427266.30270635</v>
      </c>
      <c r="K437" s="550">
        <f>'Sollecitazioni nel paramento'!$G$60*(sezione!$AL$28-C437)/C437</f>
        <v>-1.900181749242894E-3</v>
      </c>
      <c r="L437" s="550">
        <f>'Sollecitazioni nel paramento'!$G$60*(sezione!$AM$28-C437)/C437</f>
        <v>-1.1002726238643406E-3</v>
      </c>
      <c r="M437" s="551">
        <f>'Sollecitazioni nel paramento'!$G$60*(sezione!$AN$28-C437)/C437</f>
        <v>-3.0036349848578748E-4</v>
      </c>
      <c r="N437" s="551">
        <f>'Sollecitazioni nel paramento'!$G$60*(sezione!$AO$28-C437)/C437</f>
        <v>2.8992730030284251E-3</v>
      </c>
      <c r="O437" s="551">
        <f>'Sollecitazioni nel paramento'!$G$60*(sezione!$AP$28-C437)/C437</f>
        <v>6.9304143073824495E-3</v>
      </c>
      <c r="P437" s="545">
        <f>-'Sollecitazioni nel paramento'!$G$47*'Sollecitazioni nel paramento'!$G$41*IF(DATI!$G$211="dx",DATI!$E$61,DATI!$E$64*DATI!$E$63)*1000*C437*sezione!$AD$5</f>
        <v>-3333866.2047866425</v>
      </c>
      <c r="Q437" s="545">
        <f>'Foglio deposito bis'!$F$48*IF(ABS(K437)&lt;'Sollecitazioni nel paramento'!$G$58,ABS(K437)*'Sollecitazioni nel paramento'!$G$54,'Sollecitazioni nel paramento'!$G$53)*IF(K437&lt;0,-1,1)</f>
        <v>0</v>
      </c>
      <c r="R437" s="545">
        <f>'Foglio deposito bis'!$F$49*IF(ABS(L437)&lt;'Sollecitazioni nel paramento'!$G$58,ABS(L437)*'Sollecitazioni nel paramento'!$G$54,'Sollecitazioni nel paramento'!$G$53)*IF(L437&lt;0,-1,1)</f>
        <v>-118676.88812801745</v>
      </c>
      <c r="S437" s="545">
        <f>'Foglio deposito bis'!$F$50*IF(ABS(M437)&lt;'Sollecitazioni nel paramento'!$G$58,ABS(M437)*'Sollecitazioni nel paramento'!$G$54,'Sollecitazioni nel paramento'!$G$53)*IF(M437&lt;0,-1,1)</f>
        <v>0</v>
      </c>
      <c r="T437" s="545">
        <f>'Foglio deposito bis'!$F$51*IF(ABS(N437)&lt;'Sollecitazioni nel paramento'!$G$58,ABS(N437)*'Sollecitazioni nel paramento'!$G$54,'Sollecitazioni nel paramento'!$G$53)*IF(N437&lt;0,-1,1)</f>
        <v>240946.49743184328</v>
      </c>
      <c r="U437" s="545">
        <f>'Foglio deposito bis'!$F$52*IF(ABS(O437)&lt;'Sollecitazioni nel paramento'!$G$58,ABS(O437)*'Sollecitazioni nel paramento'!$G$54,'Sollecitazioni nel paramento'!$G$53)*IF(O437&lt;0,-1,1)</f>
        <v>240946.49743184328</v>
      </c>
      <c r="V437" s="472">
        <f t="shared" si="32"/>
        <v>-2970650.0980509738</v>
      </c>
      <c r="W437" s="551"/>
      <c r="X437" s="551"/>
    </row>
    <row r="438" spans="1:24" x14ac:dyDescent="0.25">
      <c r="A438" s="545">
        <f t="shared" si="31"/>
        <v>3004048.4090440311</v>
      </c>
      <c r="B438" s="3">
        <f t="shared" si="33"/>
        <v>21.699999999999946</v>
      </c>
      <c r="C438" s="545">
        <f>'Foglio deposito bis'!$E$154/sezione!$B$247*B438</f>
        <v>88.323986499419362</v>
      </c>
      <c r="D438" s="603">
        <f>-'Sollecitazioni nel paramento'!$G$47*'Sollecitazioni nel paramento'!$G$41*IF(DATI!$G$211="dx",DATI!$E$61,DATI!$E$64*DATI!$E$63)*1000*C438^2*sezione!$AD$5*(1-sezione!$AD$6)</f>
        <v>-173564519.52992767</v>
      </c>
      <c r="E438" s="545">
        <f>-'Foglio deposito bis'!$F$48*(C438-sezione!$AL$28)*IF(ABS(K438)&lt;'Sollecitazioni nel paramento'!$G$58,ABS(K438)*'Sollecitazioni nel paramento'!$G$54,'Sollecitazioni nel paramento'!$G$53)</f>
        <v>0</v>
      </c>
      <c r="F438" s="545">
        <f>-'Foglio deposito bis'!$F$49*(C438-sezione!$AM$28)*IF(ABS(L438)&lt;'Sollecitazioni nel paramento'!$G$58,ABS(L438)*'Sollecitazioni nel paramento'!$G$54,'Sollecitazioni nel paramento'!$G$53)</f>
        <v>-3428972.3391251178</v>
      </c>
      <c r="G438" s="545">
        <f>-'Foglio deposito bis'!$F$50*(C438-sezione!$AN$28)*IF(ABS(M438)&lt;'Sollecitazioni nel paramento'!$G$58,ABS(M438)*'Sollecitazioni nel paramento'!$G$54,'Sollecitazioni nel paramento'!$G$53)</f>
        <v>0</v>
      </c>
      <c r="H438" s="545">
        <f>-'Foglio deposito bis'!$F$51*(C438-sezione!$AO$28)*IF(ABS(N438)&lt;'Sollecitazioni nel paramento'!$G$58,ABS(N438)*'Sollecitazioni nel paramento'!$G$54,'Sollecitazioni nel paramento'!$G$53)</f>
        <v>17270084.402842417</v>
      </c>
      <c r="I438" s="472">
        <f>-'Foglio deposito bis'!$F$52*(C438-sezione!$AP$28)*IF(ABS(O438)&lt;'Sollecitazioni nel paramento'!$G$58,ABS(O438)*'Sollecitazioni nel paramento'!$G$54,'Sollecitazioni nel paramento'!$G$53)</f>
        <v>41555077.463204779</v>
      </c>
      <c r="J438" s="472">
        <f t="shared" si="30"/>
        <v>-118168330.00300559</v>
      </c>
      <c r="K438" s="550">
        <f>'Sollecitazioni nel paramento'!$G$60*(sezione!$AL$28-C438)/C438</f>
        <v>-1.9149266179134662E-3</v>
      </c>
      <c r="L438" s="550">
        <f>'Sollecitazioni nel paramento'!$G$60*(sezione!$AM$28-C438)/C438</f>
        <v>-1.1223899268701992E-3</v>
      </c>
      <c r="M438" s="551">
        <f>'Sollecitazioni nel paramento'!$G$60*(sezione!$AN$28-C438)/C438</f>
        <v>-3.2985323582693238E-4</v>
      </c>
      <c r="N438" s="551">
        <f>'Sollecitazioni nel paramento'!$G$60*(sezione!$AO$28-C438)/C438</f>
        <v>2.8402935283461349E-3</v>
      </c>
      <c r="O438" s="551">
        <f>'Sollecitazioni nel paramento'!$G$60*(sezione!$AP$28-C438)/C438</f>
        <v>6.834281456623164E-3</v>
      </c>
      <c r="P438" s="545">
        <f>-'Sollecitazioni nel paramento'!$G$47*'Sollecitazioni nel paramento'!$G$41*IF(DATI!$G$211="dx",DATI!$E$61,DATI!$E$64*DATI!$E$63)*1000*C438*sezione!$AD$5</f>
        <v>-3364878.9136683787</v>
      </c>
      <c r="Q438" s="545">
        <f>'Foglio deposito bis'!$F$48*IF(ABS(K438)&lt;'Sollecitazioni nel paramento'!$G$58,ABS(K438)*'Sollecitazioni nel paramento'!$G$54,'Sollecitazioni nel paramento'!$G$53)*IF(K438&lt;0,-1,1)</f>
        <v>0</v>
      </c>
      <c r="R438" s="545">
        <f>'Foglio deposito bis'!$F$49*IF(ABS(L438)&lt;'Sollecitazioni nel paramento'!$G$58,ABS(L438)*'Sollecitazioni nel paramento'!$G$54,'Sollecitazioni nel paramento'!$G$53)*IF(L438&lt;0,-1,1)</f>
        <v>-121062.4902393387</v>
      </c>
      <c r="S438" s="545">
        <f>'Foglio deposito bis'!$F$50*IF(ABS(M438)&lt;'Sollecitazioni nel paramento'!$G$58,ABS(M438)*'Sollecitazioni nel paramento'!$G$54,'Sollecitazioni nel paramento'!$G$53)*IF(M438&lt;0,-1,1)</f>
        <v>0</v>
      </c>
      <c r="T438" s="545">
        <f>'Foglio deposito bis'!$F$51*IF(ABS(N438)&lt;'Sollecitazioni nel paramento'!$G$58,ABS(N438)*'Sollecitazioni nel paramento'!$G$54,'Sollecitazioni nel paramento'!$G$53)*IF(N438&lt;0,-1,1)</f>
        <v>240946.49743184328</v>
      </c>
      <c r="U438" s="545">
        <f>'Foglio deposito bis'!$F$52*IF(ABS(O438)&lt;'Sollecitazioni nel paramento'!$G$58,ABS(O438)*'Sollecitazioni nel paramento'!$G$54,'Sollecitazioni nel paramento'!$G$53)*IF(O438&lt;0,-1,1)</f>
        <v>240946.49743184328</v>
      </c>
      <c r="V438" s="472">
        <f t="shared" si="32"/>
        <v>-3004048.4090440311</v>
      </c>
      <c r="W438" s="551"/>
      <c r="X438" s="551"/>
    </row>
    <row r="439" spans="1:24" x14ac:dyDescent="0.25">
      <c r="A439" s="545">
        <f t="shared" si="31"/>
        <v>3037403.1473957868</v>
      </c>
      <c r="B439" s="3">
        <f t="shared" si="33"/>
        <v>21.899999999999945</v>
      </c>
      <c r="C439" s="545">
        <f>'Foglio deposito bis'!$E$154/sezione!$B$247*B439</f>
        <v>89.13803245793936</v>
      </c>
      <c r="D439" s="603">
        <f>-'Sollecitazioni nel paramento'!$G$47*'Sollecitazioni nel paramento'!$G$41*IF(DATI!$G$211="dx",DATI!$E$61,DATI!$E$64*DATI!$E$63)*1000*C439^2*sezione!$AD$5*(1-sezione!$AD$6)</f>
        <v>-176778609.04191765</v>
      </c>
      <c r="E439" s="545">
        <f>-'Foglio deposito bis'!$F$48*(C439-sezione!$AL$28)*IF(ABS(K439)&lt;'Sollecitazioni nel paramento'!$G$58,ABS(K439)*'Sollecitazioni nel paramento'!$G$54,'Sollecitazioni nel paramento'!$G$53)</f>
        <v>0</v>
      </c>
      <c r="F439" s="545">
        <f>-'Foglio deposito bis'!$F$49*(C439-sezione!$AM$28)*IF(ABS(L439)&lt;'Sollecitazioni nel paramento'!$G$58,ABS(L439)*'Sollecitazioni nel paramento'!$G$54,'Sollecitazioni nel paramento'!$G$53)</f>
        <v>-3595764.9007476708</v>
      </c>
      <c r="G439" s="545">
        <f>-'Foglio deposito bis'!$F$50*(C439-sezione!$AN$28)*IF(ABS(M439)&lt;'Sollecitazioni nel paramento'!$G$58,ABS(M439)*'Sollecitazioni nel paramento'!$G$54,'Sollecitazioni nel paramento'!$G$53)</f>
        <v>0</v>
      </c>
      <c r="H439" s="545">
        <f>-'Foglio deposito bis'!$F$51*(C439-sezione!$AO$28)*IF(ABS(N439)&lt;'Sollecitazioni nel paramento'!$G$58,ABS(N439)*'Sollecitazioni nel paramento'!$G$54,'Sollecitazioni nel paramento'!$G$53)</f>
        <v>17073942.880388476</v>
      </c>
      <c r="I439" s="472">
        <f>-'Foglio deposito bis'!$F$52*(C439-sezione!$AP$28)*IF(ABS(O439)&lt;'Sollecitazioni nel paramento'!$G$58,ABS(O439)*'Sollecitazioni nel paramento'!$G$54,'Sollecitazioni nel paramento'!$G$53)</f>
        <v>41358935.940750837</v>
      </c>
      <c r="J439" s="472">
        <f t="shared" si="30"/>
        <v>-121941495.121526</v>
      </c>
      <c r="K439" s="550">
        <f>'Sollecitazioni nel paramento'!$G$60*(sezione!$AL$28-C439)/C439</f>
        <v>-1.9294021739142565E-3</v>
      </c>
      <c r="L439" s="550">
        <f>'Sollecitazioni nel paramento'!$G$60*(sezione!$AM$28-C439)/C439</f>
        <v>-1.1441032608713849E-3</v>
      </c>
      <c r="M439" s="551">
        <f>'Sollecitazioni nel paramento'!$G$60*(sezione!$AN$28-C439)/C439</f>
        <v>-3.5880434782851301E-4</v>
      </c>
      <c r="N439" s="551">
        <f>'Sollecitazioni nel paramento'!$G$60*(sezione!$AO$28-C439)/C439</f>
        <v>2.7823913043429739E-3</v>
      </c>
      <c r="O439" s="551">
        <f>'Sollecitazioni nel paramento'!$G$60*(sezione!$AP$28-C439)/C439</f>
        <v>6.7399044570193006E-3</v>
      </c>
      <c r="P439" s="545">
        <f>-'Sollecitazioni nel paramento'!$G$47*'Sollecitazioni nel paramento'!$G$41*IF(DATI!$G$211="dx",DATI!$E$61,DATI!$E$64*DATI!$E$63)*1000*C439*sezione!$AD$5</f>
        <v>-3395891.6225501155</v>
      </c>
      <c r="Q439" s="545">
        <f>'Foglio deposito bis'!$F$48*IF(ABS(K439)&lt;'Sollecitazioni nel paramento'!$G$58,ABS(K439)*'Sollecitazioni nel paramento'!$G$54,'Sollecitazioni nel paramento'!$G$53)*IF(K439&lt;0,-1,1)</f>
        <v>0</v>
      </c>
      <c r="R439" s="545">
        <f>'Foglio deposito bis'!$F$49*IF(ABS(L439)&lt;'Sollecitazioni nel paramento'!$G$58,ABS(L439)*'Sollecitazioni nel paramento'!$G$54,'Sollecitazioni nel paramento'!$G$53)*IF(L439&lt;0,-1,1)</f>
        <v>-123404.51970935731</v>
      </c>
      <c r="S439" s="545">
        <f>'Foglio deposito bis'!$F$50*IF(ABS(M439)&lt;'Sollecitazioni nel paramento'!$G$58,ABS(M439)*'Sollecitazioni nel paramento'!$G$54,'Sollecitazioni nel paramento'!$G$53)*IF(M439&lt;0,-1,1)</f>
        <v>0</v>
      </c>
      <c r="T439" s="545">
        <f>'Foglio deposito bis'!$F$51*IF(ABS(N439)&lt;'Sollecitazioni nel paramento'!$G$58,ABS(N439)*'Sollecitazioni nel paramento'!$G$54,'Sollecitazioni nel paramento'!$G$53)*IF(N439&lt;0,-1,1)</f>
        <v>240946.49743184328</v>
      </c>
      <c r="U439" s="545">
        <f>'Foglio deposito bis'!$F$52*IF(ABS(O439)&lt;'Sollecitazioni nel paramento'!$G$58,ABS(O439)*'Sollecitazioni nel paramento'!$G$54,'Sollecitazioni nel paramento'!$G$53)*IF(O439&lt;0,-1,1)</f>
        <v>240946.49743184328</v>
      </c>
      <c r="V439" s="472">
        <f t="shared" si="32"/>
        <v>-3037403.1473957868</v>
      </c>
      <c r="W439" s="551"/>
      <c r="X439" s="551"/>
    </row>
    <row r="440" spans="1:24" x14ac:dyDescent="0.25">
      <c r="A440" s="545">
        <f t="shared" si="31"/>
        <v>3070715.4960738751</v>
      </c>
      <c r="B440" s="3">
        <f t="shared" si="33"/>
        <v>22.099999999999945</v>
      </c>
      <c r="C440" s="545">
        <f>'Foglio deposito bis'!$E$154/sezione!$B$247*B440</f>
        <v>89.952078416459344</v>
      </c>
      <c r="D440" s="603">
        <f>-'Sollecitazioni nel paramento'!$G$47*'Sollecitazioni nel paramento'!$G$41*IF(DATI!$G$211="dx",DATI!$E$61,DATI!$E$64*DATI!$E$63)*1000*C440^2*sezione!$AD$5*(1-sezione!$AD$6)</f>
        <v>-180022185.61365062</v>
      </c>
      <c r="E440" s="545">
        <f>-'Foglio deposito bis'!$F$48*(C440-sezione!$AL$28)*IF(ABS(K440)&lt;'Sollecitazioni nel paramento'!$G$58,ABS(K440)*'Sollecitazioni nel paramento'!$G$54,'Sollecitazioni nel paramento'!$G$53)</f>
        <v>0</v>
      </c>
      <c r="F440" s="545">
        <f>-'Foglio deposito bis'!$F$49*(C440-sezione!$AM$28)*IF(ABS(L440)&lt;'Sollecitazioni nel paramento'!$G$58,ABS(L440)*'Sollecitazioni nel paramento'!$G$54,'Sollecitazioni nel paramento'!$G$53)</f>
        <v>-3765100.8427901501</v>
      </c>
      <c r="G440" s="545">
        <f>-'Foglio deposito bis'!$F$50*(C440-sezione!$AN$28)*IF(ABS(M440)&lt;'Sollecitazioni nel paramento'!$G$58,ABS(M440)*'Sollecitazioni nel paramento'!$G$54,'Sollecitazioni nel paramento'!$G$53)</f>
        <v>0</v>
      </c>
      <c r="H440" s="545">
        <f>-'Foglio deposito bis'!$F$51*(C440-sezione!$AO$28)*IF(ABS(N440)&lt;'Sollecitazioni nel paramento'!$G$58,ABS(N440)*'Sollecitazioni nel paramento'!$G$54,'Sollecitazioni nel paramento'!$G$53)</f>
        <v>16877801.357934538</v>
      </c>
      <c r="I440" s="472">
        <f>-'Foglio deposito bis'!$F$52*(C440-sezione!$AP$28)*IF(ABS(O440)&lt;'Sollecitazioni nel paramento'!$G$58,ABS(O440)*'Sollecitazioni nel paramento'!$G$54,'Sollecitazioni nel paramento'!$G$53)</f>
        <v>41162794.418296896</v>
      </c>
      <c r="J440" s="472">
        <f t="shared" si="30"/>
        <v>-125746690.68020934</v>
      </c>
      <c r="K440" s="550">
        <f>'Sollecitazioni nel paramento'!$G$60*(sezione!$AL$28-C440)/C440</f>
        <v>-1.9436157289014577E-3</v>
      </c>
      <c r="L440" s="550">
        <f>'Sollecitazioni nel paramento'!$G$60*(sezione!$AM$28-C440)/C440</f>
        <v>-1.1654235933521865E-3</v>
      </c>
      <c r="M440" s="551">
        <f>'Sollecitazioni nel paramento'!$G$60*(sezione!$AN$28-C440)/C440</f>
        <v>-3.8723145780291529E-4</v>
      </c>
      <c r="N440" s="551">
        <f>'Sollecitazioni nel paramento'!$G$60*(sezione!$AO$28-C440)/C440</f>
        <v>2.7255370843941693E-3</v>
      </c>
      <c r="O440" s="551">
        <f>'Sollecitazioni nel paramento'!$G$60*(sezione!$AP$28-C440)/C440</f>
        <v>6.6472356384037418E-3</v>
      </c>
      <c r="P440" s="545">
        <f>-'Sollecitazioni nel paramento'!$G$47*'Sollecitazioni nel paramento'!$G$41*IF(DATI!$G$211="dx",DATI!$E$61,DATI!$E$64*DATI!$E$63)*1000*C440*sezione!$AD$5</f>
        <v>-3426904.3314318508</v>
      </c>
      <c r="Q440" s="545">
        <f>'Foglio deposito bis'!$F$48*IF(ABS(K440)&lt;'Sollecitazioni nel paramento'!$G$58,ABS(K440)*'Sollecitazioni nel paramento'!$G$54,'Sollecitazioni nel paramento'!$G$53)*IF(K440&lt;0,-1,1)</f>
        <v>0</v>
      </c>
      <c r="R440" s="545">
        <f>'Foglio deposito bis'!$F$49*IF(ABS(L440)&lt;'Sollecitazioni nel paramento'!$G$58,ABS(L440)*'Sollecitazioni nel paramento'!$G$54,'Sollecitazioni nel paramento'!$G$53)*IF(L440&lt;0,-1,1)</f>
        <v>-125704.15950571037</v>
      </c>
      <c r="S440" s="545">
        <f>'Foglio deposito bis'!$F$50*IF(ABS(M440)&lt;'Sollecitazioni nel paramento'!$G$58,ABS(M440)*'Sollecitazioni nel paramento'!$G$54,'Sollecitazioni nel paramento'!$G$53)*IF(M440&lt;0,-1,1)</f>
        <v>0</v>
      </c>
      <c r="T440" s="545">
        <f>'Foglio deposito bis'!$F$51*IF(ABS(N440)&lt;'Sollecitazioni nel paramento'!$G$58,ABS(N440)*'Sollecitazioni nel paramento'!$G$54,'Sollecitazioni nel paramento'!$G$53)*IF(N440&lt;0,-1,1)</f>
        <v>240946.49743184328</v>
      </c>
      <c r="U440" s="545">
        <f>'Foglio deposito bis'!$F$52*IF(ABS(O440)&lt;'Sollecitazioni nel paramento'!$G$58,ABS(O440)*'Sollecitazioni nel paramento'!$G$54,'Sollecitazioni nel paramento'!$G$53)*IF(O440&lt;0,-1,1)</f>
        <v>240946.49743184328</v>
      </c>
      <c r="V440" s="472">
        <f t="shared" si="32"/>
        <v>-3070715.4960738751</v>
      </c>
      <c r="W440" s="551"/>
      <c r="X440" s="551"/>
    </row>
    <row r="441" spans="1:24" x14ac:dyDescent="0.25">
      <c r="A441" s="545">
        <f t="shared" si="31"/>
        <v>3103986.5956076351</v>
      </c>
      <c r="B441" s="3">
        <f t="shared" si="33"/>
        <v>22.299999999999944</v>
      </c>
      <c r="C441" s="545">
        <f>'Foglio deposito bis'!$E$154/sezione!$B$247*B441</f>
        <v>90.766124374979341</v>
      </c>
      <c r="D441" s="603">
        <f>-'Sollecitazioni nel paramento'!$G$47*'Sollecitazioni nel paramento'!$G$41*IF(DATI!$G$211="dx",DATI!$E$61,DATI!$E$64*DATI!$E$63)*1000*C441^2*sezione!$AD$5*(1-sezione!$AD$6)</f>
        <v>-183295249.24512669</v>
      </c>
      <c r="E441" s="545">
        <f>-'Foglio deposito bis'!$F$48*(C441-sezione!$AL$28)*IF(ABS(K441)&lt;'Sollecitazioni nel paramento'!$G$58,ABS(K441)*'Sollecitazioni nel paramento'!$G$54,'Sollecitazioni nel paramento'!$G$53)</f>
        <v>0</v>
      </c>
      <c r="F441" s="545">
        <f>-'Foglio deposito bis'!$F$49*(C441-sezione!$AM$28)*IF(ABS(L441)&lt;'Sollecitazioni nel paramento'!$G$58,ABS(L441)*'Sollecitazioni nel paramento'!$G$54,'Sollecitazioni nel paramento'!$G$53)</f>
        <v>-3936911.7334923851</v>
      </c>
      <c r="G441" s="545">
        <f>-'Foglio deposito bis'!$F$50*(C441-sezione!$AN$28)*IF(ABS(M441)&lt;'Sollecitazioni nel paramento'!$G$58,ABS(M441)*'Sollecitazioni nel paramento'!$G$54,'Sollecitazioni nel paramento'!$G$53)</f>
        <v>0</v>
      </c>
      <c r="H441" s="545">
        <f>-'Foglio deposito bis'!$F$51*(C441-sezione!$AO$28)*IF(ABS(N441)&lt;'Sollecitazioni nel paramento'!$G$58,ABS(N441)*'Sollecitazioni nel paramento'!$G$54,'Sollecitazioni nel paramento'!$G$53)</f>
        <v>16681659.835480599</v>
      </c>
      <c r="I441" s="472">
        <f>-'Foglio deposito bis'!$F$52*(C441-sezione!$AP$28)*IF(ABS(O441)&lt;'Sollecitazioni nel paramento'!$G$58,ABS(O441)*'Sollecitazioni nel paramento'!$G$54,'Sollecitazioni nel paramento'!$G$53)</f>
        <v>40966652.895842962</v>
      </c>
      <c r="J441" s="472">
        <f t="shared" si="30"/>
        <v>-129583848.2472955</v>
      </c>
      <c r="K441" s="550">
        <f>'Sollecitazioni nel paramento'!$G$60*(sezione!$AL$28-C441)/C441</f>
        <v>-1.9575743322296957E-3</v>
      </c>
      <c r="L441" s="550">
        <f>'Sollecitazioni nel paramento'!$G$60*(sezione!$AM$28-C441)/C441</f>
        <v>-1.1863614983445437E-3</v>
      </c>
      <c r="M441" s="551">
        <f>'Sollecitazioni nel paramento'!$G$60*(sezione!$AN$28-C441)/C441</f>
        <v>-4.1514866445939148E-4</v>
      </c>
      <c r="N441" s="551">
        <f>'Sollecitazioni nel paramento'!$G$60*(sezione!$AO$28-C441)/C441</f>
        <v>2.669702671081217E-3</v>
      </c>
      <c r="O441" s="551">
        <f>'Sollecitazioni nel paramento'!$G$60*(sezione!$AP$28-C441)/C441</f>
        <v>6.5562290407498959E-3</v>
      </c>
      <c r="P441" s="545">
        <f>-'Sollecitazioni nel paramento'!$G$47*'Sollecitazioni nel paramento'!$G$41*IF(DATI!$G$211="dx",DATI!$E$61,DATI!$E$64*DATI!$E$63)*1000*C441*sezione!$AD$5</f>
        <v>-3457917.0403135871</v>
      </c>
      <c r="Q441" s="545">
        <f>'Foglio deposito bis'!$F$48*IF(ABS(K441)&lt;'Sollecitazioni nel paramento'!$G$58,ABS(K441)*'Sollecitazioni nel paramento'!$G$54,'Sollecitazioni nel paramento'!$G$53)*IF(K441&lt;0,-1,1)</f>
        <v>0</v>
      </c>
      <c r="R441" s="545">
        <f>'Foglio deposito bis'!$F$49*IF(ABS(L441)&lt;'Sollecitazioni nel paramento'!$G$58,ABS(L441)*'Sollecitazioni nel paramento'!$G$54,'Sollecitazioni nel paramento'!$G$53)*IF(L441&lt;0,-1,1)</f>
        <v>-127962.55015773427</v>
      </c>
      <c r="S441" s="545">
        <f>'Foglio deposito bis'!$F$50*IF(ABS(M441)&lt;'Sollecitazioni nel paramento'!$G$58,ABS(M441)*'Sollecitazioni nel paramento'!$G$54,'Sollecitazioni nel paramento'!$G$53)*IF(M441&lt;0,-1,1)</f>
        <v>0</v>
      </c>
      <c r="T441" s="545">
        <f>'Foglio deposito bis'!$F$51*IF(ABS(N441)&lt;'Sollecitazioni nel paramento'!$G$58,ABS(N441)*'Sollecitazioni nel paramento'!$G$54,'Sollecitazioni nel paramento'!$G$53)*IF(N441&lt;0,-1,1)</f>
        <v>240946.49743184328</v>
      </c>
      <c r="U441" s="545">
        <f>'Foglio deposito bis'!$F$52*IF(ABS(O441)&lt;'Sollecitazioni nel paramento'!$G$58,ABS(O441)*'Sollecitazioni nel paramento'!$G$54,'Sollecitazioni nel paramento'!$G$53)*IF(O441&lt;0,-1,1)</f>
        <v>240946.49743184328</v>
      </c>
      <c r="V441" s="472">
        <f t="shared" si="32"/>
        <v>-3103986.5956076351</v>
      </c>
      <c r="W441" s="551"/>
      <c r="X441" s="551"/>
    </row>
    <row r="442" spans="1:24" x14ac:dyDescent="0.25">
      <c r="A442" s="545">
        <f t="shared" si="31"/>
        <v>3137217.5459742486</v>
      </c>
      <c r="B442" s="3">
        <f t="shared" si="33"/>
        <v>22.499999999999943</v>
      </c>
      <c r="C442" s="545">
        <f>'Foglio deposito bis'!$E$154/sezione!$B$247*B442</f>
        <v>91.580170333499339</v>
      </c>
      <c r="D442" s="603">
        <f>-'Sollecitazioni nel paramento'!$G$47*'Sollecitazioni nel paramento'!$G$41*IF(DATI!$G$211="dx",DATI!$E$61,DATI!$E$64*DATI!$E$63)*1000*C442^2*sezione!$AD$5*(1-sezione!$AD$6)</f>
        <v>-186597799.93634579</v>
      </c>
      <c r="E442" s="545">
        <f>-'Foglio deposito bis'!$F$48*(C442-sezione!$AL$28)*IF(ABS(K442)&lt;'Sollecitazioni nel paramento'!$G$58,ABS(K442)*'Sollecitazioni nel paramento'!$G$54,'Sollecitazioni nel paramento'!$G$53)</f>
        <v>0</v>
      </c>
      <c r="F442" s="545">
        <f>-'Foglio deposito bis'!$F$49*(C442-sezione!$AM$28)*IF(ABS(L442)&lt;'Sollecitazioni nel paramento'!$G$58,ABS(L442)*'Sollecitazioni nel paramento'!$G$54,'Sollecitazioni nel paramento'!$G$53)</f>
        <v>-4111131.5742234448</v>
      </c>
      <c r="G442" s="545">
        <f>-'Foglio deposito bis'!$F$50*(C442-sezione!$AN$28)*IF(ABS(M442)&lt;'Sollecitazioni nel paramento'!$G$58,ABS(M442)*'Sollecitazioni nel paramento'!$G$54,'Sollecitazioni nel paramento'!$G$53)</f>
        <v>0</v>
      </c>
      <c r="H442" s="545">
        <f>-'Foglio deposito bis'!$F$51*(C442-sezione!$AO$28)*IF(ABS(N442)&lt;'Sollecitazioni nel paramento'!$G$58,ABS(N442)*'Sollecitazioni nel paramento'!$G$54,'Sollecitazioni nel paramento'!$G$53)</f>
        <v>16485518.313026654</v>
      </c>
      <c r="I442" s="472">
        <f>-'Foglio deposito bis'!$F$52*(C442-sezione!$AP$28)*IF(ABS(O442)&lt;'Sollecitazioni nel paramento'!$G$58,ABS(O442)*'Sollecitazioni nel paramento'!$G$54,'Sollecitazioni nel paramento'!$G$53)</f>
        <v>40770511.373389021</v>
      </c>
      <c r="J442" s="472">
        <f t="shared" si="30"/>
        <v>-133452901.82415356</v>
      </c>
      <c r="K442" s="550">
        <f>'Sollecitazioni nel paramento'!$G$60*(sezione!$AL$28-C442)/C442</f>
        <v>-1.9712847826098764E-3</v>
      </c>
      <c r="L442" s="550">
        <f>'Sollecitazioni nel paramento'!$G$60*(sezione!$AM$28-C442)/C442</f>
        <v>-1.2069271739148144E-3</v>
      </c>
      <c r="M442" s="551">
        <f>'Sollecitazioni nel paramento'!$G$60*(sezione!$AN$28-C442)/C442</f>
        <v>-4.4256956521975265E-4</v>
      </c>
      <c r="N442" s="551">
        <f>'Sollecitazioni nel paramento'!$G$60*(sezione!$AO$28-C442)/C442</f>
        <v>2.6148608695604949E-3</v>
      </c>
      <c r="O442" s="551">
        <f>'Sollecitazioni nel paramento'!$G$60*(sezione!$AP$28-C442)/C442</f>
        <v>6.4668403381654528E-3</v>
      </c>
      <c r="P442" s="545">
        <f>-'Sollecitazioni nel paramento'!$G$47*'Sollecitazioni nel paramento'!$G$41*IF(DATI!$G$211="dx",DATI!$E$61,DATI!$E$64*DATI!$E$63)*1000*C442*sezione!$AD$5</f>
        <v>-3488929.7491953238</v>
      </c>
      <c r="Q442" s="545">
        <f>'Foglio deposito bis'!$F$48*IF(ABS(K442)&lt;'Sollecitazioni nel paramento'!$G$58,ABS(K442)*'Sollecitazioni nel paramento'!$G$54,'Sollecitazioni nel paramento'!$G$53)*IF(K442&lt;0,-1,1)</f>
        <v>0</v>
      </c>
      <c r="R442" s="545">
        <f>'Foglio deposito bis'!$F$49*IF(ABS(L442)&lt;'Sollecitazioni nel paramento'!$G$58,ABS(L442)*'Sollecitazioni nel paramento'!$G$54,'Sollecitazioni nel paramento'!$G$53)*IF(L442&lt;0,-1,1)</f>
        <v>-130180.79164261106</v>
      </c>
      <c r="S442" s="545">
        <f>'Foglio deposito bis'!$F$50*IF(ABS(M442)&lt;'Sollecitazioni nel paramento'!$G$58,ABS(M442)*'Sollecitazioni nel paramento'!$G$54,'Sollecitazioni nel paramento'!$G$53)*IF(M442&lt;0,-1,1)</f>
        <v>0</v>
      </c>
      <c r="T442" s="545">
        <f>'Foglio deposito bis'!$F$51*IF(ABS(N442)&lt;'Sollecitazioni nel paramento'!$G$58,ABS(N442)*'Sollecitazioni nel paramento'!$G$54,'Sollecitazioni nel paramento'!$G$53)*IF(N442&lt;0,-1,1)</f>
        <v>240946.49743184328</v>
      </c>
      <c r="U442" s="545">
        <f>'Foglio deposito bis'!$F$52*IF(ABS(O442)&lt;'Sollecitazioni nel paramento'!$G$58,ABS(O442)*'Sollecitazioni nel paramento'!$G$54,'Sollecitazioni nel paramento'!$G$53)*IF(O442&lt;0,-1,1)</f>
        <v>240946.49743184328</v>
      </c>
      <c r="V442" s="472">
        <f t="shared" si="32"/>
        <v>-3137217.5459742486</v>
      </c>
      <c r="W442" s="551"/>
      <c r="X442" s="551"/>
    </row>
    <row r="443" spans="1:24" x14ac:dyDescent="0.25">
      <c r="A443" s="545">
        <f t="shared" si="31"/>
        <v>3170409.4083851809</v>
      </c>
      <c r="B443" s="3">
        <f t="shared" si="33"/>
        <v>22.699999999999942</v>
      </c>
      <c r="C443" s="545">
        <f>'Foglio deposito bis'!$E$154/sezione!$B$247*B443</f>
        <v>92.394216292019323</v>
      </c>
      <c r="D443" s="603">
        <f>-'Sollecitazioni nel paramento'!$G$47*'Sollecitazioni nel paramento'!$G$41*IF(DATI!$G$211="dx",DATI!$E$61,DATI!$E$64*DATI!$E$63)*1000*C443^2*sezione!$AD$5*(1-sezione!$AD$6)</f>
        <v>-189929837.68730789</v>
      </c>
      <c r="E443" s="545">
        <f>-'Foglio deposito bis'!$F$48*(C443-sezione!$AL$28)*IF(ABS(K443)&lt;'Sollecitazioni nel paramento'!$G$58,ABS(K443)*'Sollecitazioni nel paramento'!$G$54,'Sollecitazioni nel paramento'!$G$53)</f>
        <v>0</v>
      </c>
      <c r="F443" s="545">
        <f>-'Foglio deposito bis'!$F$49*(C443-sezione!$AM$28)*IF(ABS(L443)&lt;'Sollecitazioni nel paramento'!$G$58,ABS(L443)*'Sollecitazioni nel paramento'!$G$54,'Sollecitazioni nel paramento'!$G$53)</f>
        <v>-4287696.6922953399</v>
      </c>
      <c r="G443" s="545">
        <f>-'Foglio deposito bis'!$F$50*(C443-sezione!$AN$28)*IF(ABS(M443)&lt;'Sollecitazioni nel paramento'!$G$58,ABS(M443)*'Sollecitazioni nel paramento'!$G$54,'Sollecitazioni nel paramento'!$G$53)</f>
        <v>0</v>
      </c>
      <c r="H443" s="545">
        <f>-'Foglio deposito bis'!$F$51*(C443-sezione!$AO$28)*IF(ABS(N443)&lt;'Sollecitazioni nel paramento'!$G$58,ABS(N443)*'Sollecitazioni nel paramento'!$G$54,'Sollecitazioni nel paramento'!$G$53)</f>
        <v>16289376.79057272</v>
      </c>
      <c r="I443" s="472">
        <f>-'Foglio deposito bis'!$F$52*(C443-sezione!$AP$28)*IF(ABS(O443)&lt;'Sollecitazioni nel paramento'!$G$58,ABS(O443)*'Sollecitazioni nel paramento'!$G$54,'Sollecitazioni nel paramento'!$G$53)</f>
        <v>40574369.850935079</v>
      </c>
      <c r="J443" s="472">
        <f t="shared" si="30"/>
        <v>-137353787.73809543</v>
      </c>
      <c r="K443" s="550">
        <f>'Sollecitazioni nel paramento'!$G$60*(sezione!$AL$28-C443)/C443</f>
        <v>-1.9847536391507585E-3</v>
      </c>
      <c r="L443" s="550">
        <f>'Sollecitazioni nel paramento'!$G$60*(sezione!$AM$28-C443)/C443</f>
        <v>-1.2271304587261375E-3</v>
      </c>
      <c r="M443" s="551">
        <f>'Sollecitazioni nel paramento'!$G$60*(sezione!$AN$28-C443)/C443</f>
        <v>-4.6950727830151657E-4</v>
      </c>
      <c r="N443" s="551">
        <f>'Sollecitazioni nel paramento'!$G$60*(sezione!$AO$28-C443)/C443</f>
        <v>2.5609854433969671E-3</v>
      </c>
      <c r="O443" s="551">
        <f>'Sollecitazioni nel paramento'!$G$60*(sezione!$AP$28-C443)/C443</f>
        <v>6.3790267669040831E-3</v>
      </c>
      <c r="P443" s="545">
        <f>-'Sollecitazioni nel paramento'!$G$47*'Sollecitazioni nel paramento'!$G$41*IF(DATI!$G$211="dx",DATI!$E$61,DATI!$E$64*DATI!$E$63)*1000*C443*sezione!$AD$5</f>
        <v>-3519942.4580770596</v>
      </c>
      <c r="Q443" s="545">
        <f>'Foglio deposito bis'!$F$48*IF(ABS(K443)&lt;'Sollecitazioni nel paramento'!$G$58,ABS(K443)*'Sollecitazioni nel paramento'!$G$54,'Sollecitazioni nel paramento'!$G$53)*IF(K443&lt;0,-1,1)</f>
        <v>0</v>
      </c>
      <c r="R443" s="545">
        <f>'Foglio deposito bis'!$F$49*IF(ABS(L443)&lt;'Sollecitazioni nel paramento'!$G$58,ABS(L443)*'Sollecitazioni nel paramento'!$G$54,'Sollecitazioni nel paramento'!$G$53)*IF(L443&lt;0,-1,1)</f>
        <v>-132359.94517180719</v>
      </c>
      <c r="S443" s="545">
        <f>'Foglio deposito bis'!$F$50*IF(ABS(M443)&lt;'Sollecitazioni nel paramento'!$G$58,ABS(M443)*'Sollecitazioni nel paramento'!$G$54,'Sollecitazioni nel paramento'!$G$53)*IF(M443&lt;0,-1,1)</f>
        <v>0</v>
      </c>
      <c r="T443" s="545">
        <f>'Foglio deposito bis'!$F$51*IF(ABS(N443)&lt;'Sollecitazioni nel paramento'!$G$58,ABS(N443)*'Sollecitazioni nel paramento'!$G$54,'Sollecitazioni nel paramento'!$G$53)*IF(N443&lt;0,-1,1)</f>
        <v>240946.49743184328</v>
      </c>
      <c r="U443" s="545">
        <f>'Foglio deposito bis'!$F$52*IF(ABS(O443)&lt;'Sollecitazioni nel paramento'!$G$58,ABS(O443)*'Sollecitazioni nel paramento'!$G$54,'Sollecitazioni nel paramento'!$G$53)*IF(O443&lt;0,-1,1)</f>
        <v>240946.49743184328</v>
      </c>
      <c r="V443" s="472">
        <f t="shared" si="32"/>
        <v>-3170409.4083851809</v>
      </c>
      <c r="W443" s="551"/>
      <c r="X443" s="551"/>
    </row>
    <row r="444" spans="1:24" x14ac:dyDescent="0.25">
      <c r="A444" s="545">
        <f t="shared" si="31"/>
        <v>3203563.2069790089</v>
      </c>
      <c r="B444" s="3">
        <f t="shared" si="33"/>
        <v>22.899999999999942</v>
      </c>
      <c r="C444" s="545">
        <f>'Foglio deposito bis'!$E$154/sezione!$B$247*B444</f>
        <v>93.20826225053932</v>
      </c>
      <c r="D444" s="603">
        <f>-'Sollecitazioni nel paramento'!$G$47*'Sollecitazioni nel paramento'!$G$41*IF(DATI!$G$211="dx",DATI!$E$61,DATI!$E$64*DATI!$E$63)*1000*C444^2*sezione!$AD$5*(1-sezione!$AD$6)</f>
        <v>-193291362.49801302</v>
      </c>
      <c r="E444" s="545">
        <f>-'Foglio deposito bis'!$F$48*(C444-sezione!$AL$28)*IF(ABS(K444)&lt;'Sollecitazioni nel paramento'!$G$58,ABS(K444)*'Sollecitazioni nel paramento'!$G$54,'Sollecitazioni nel paramento'!$G$53)</f>
        <v>0</v>
      </c>
      <c r="F444" s="545">
        <f>-'Foglio deposito bis'!$F$49*(C444-sezione!$AM$28)*IF(ABS(L444)&lt;'Sollecitazioni nel paramento'!$G$58,ABS(L444)*'Sollecitazioni nel paramento'!$G$54,'Sollecitazioni nel paramento'!$G$53)</f>
        <v>-4466545.6393934703</v>
      </c>
      <c r="G444" s="545">
        <f>-'Foglio deposito bis'!$F$50*(C444-sezione!$AN$28)*IF(ABS(M444)&lt;'Sollecitazioni nel paramento'!$G$58,ABS(M444)*'Sollecitazioni nel paramento'!$G$54,'Sollecitazioni nel paramento'!$G$53)</f>
        <v>0</v>
      </c>
      <c r="H444" s="545">
        <f>-'Foglio deposito bis'!$F$51*(C444-sezione!$AO$28)*IF(ABS(N444)&lt;'Sollecitazioni nel paramento'!$G$58,ABS(N444)*'Sollecitazioni nel paramento'!$G$54,'Sollecitazioni nel paramento'!$G$53)</f>
        <v>16093235.268118776</v>
      </c>
      <c r="I444" s="472">
        <f>-'Foglio deposito bis'!$F$52*(C444-sezione!$AP$28)*IF(ABS(O444)&lt;'Sollecitazioni nel paramento'!$G$58,ABS(O444)*'Sollecitazioni nel paramento'!$G$54,'Sollecitazioni nel paramento'!$G$53)</f>
        <v>40378228.328481138</v>
      </c>
      <c r="J444" s="472">
        <f t="shared" si="30"/>
        <v>-141286444.54080659</v>
      </c>
      <c r="K444" s="550">
        <f>'Sollecitazioni nel paramento'!$G$60*(sezione!$AL$28-C444)/C444</f>
        <v>-1.9979872318219307E-3</v>
      </c>
      <c r="L444" s="550">
        <f>'Sollecitazioni nel paramento'!$G$60*(sezione!$AM$28-C444)/C444</f>
        <v>-1.246980847732896E-3</v>
      </c>
      <c r="M444" s="551">
        <f>'Sollecitazioni nel paramento'!$G$60*(sezione!$AN$28-C444)/C444</f>
        <v>-4.9597446364386141E-4</v>
      </c>
      <c r="N444" s="551">
        <f>'Sollecitazioni nel paramento'!$G$60*(sezione!$AO$28-C444)/C444</f>
        <v>2.508051072712277E-3</v>
      </c>
      <c r="O444" s="551">
        <f>'Sollecitazioni nel paramento'!$G$60*(sezione!$AP$28-C444)/C444</f>
        <v>6.2927470571494618E-3</v>
      </c>
      <c r="P444" s="545">
        <f>-'Sollecitazioni nel paramento'!$G$47*'Sollecitazioni nel paramento'!$G$41*IF(DATI!$G$211="dx",DATI!$E$61,DATI!$E$64*DATI!$E$63)*1000*C444*sezione!$AD$5</f>
        <v>-3550955.1669587954</v>
      </c>
      <c r="Q444" s="545">
        <f>'Foglio deposito bis'!$F$48*IF(ABS(K444)&lt;'Sollecitazioni nel paramento'!$G$58,ABS(K444)*'Sollecitazioni nel paramento'!$G$54,'Sollecitazioni nel paramento'!$G$53)*IF(K444&lt;0,-1,1)</f>
        <v>0</v>
      </c>
      <c r="R444" s="545">
        <f>'Foglio deposito bis'!$F$49*IF(ABS(L444)&lt;'Sollecitazioni nel paramento'!$G$58,ABS(L444)*'Sollecitazioni nel paramento'!$G$54,'Sollecitazioni nel paramento'!$G$53)*IF(L444&lt;0,-1,1)</f>
        <v>-134501.03488389944</v>
      </c>
      <c r="S444" s="545">
        <f>'Foglio deposito bis'!$F$50*IF(ABS(M444)&lt;'Sollecitazioni nel paramento'!$G$58,ABS(M444)*'Sollecitazioni nel paramento'!$G$54,'Sollecitazioni nel paramento'!$G$53)*IF(M444&lt;0,-1,1)</f>
        <v>0</v>
      </c>
      <c r="T444" s="545">
        <f>'Foglio deposito bis'!$F$51*IF(ABS(N444)&lt;'Sollecitazioni nel paramento'!$G$58,ABS(N444)*'Sollecitazioni nel paramento'!$G$54,'Sollecitazioni nel paramento'!$G$53)*IF(N444&lt;0,-1,1)</f>
        <v>240946.49743184328</v>
      </c>
      <c r="U444" s="545">
        <f>'Foglio deposito bis'!$F$52*IF(ABS(O444)&lt;'Sollecitazioni nel paramento'!$G$58,ABS(O444)*'Sollecitazioni nel paramento'!$G$54,'Sollecitazioni nel paramento'!$G$53)*IF(O444&lt;0,-1,1)</f>
        <v>240946.49743184328</v>
      </c>
      <c r="V444" s="472">
        <f t="shared" si="32"/>
        <v>-3203563.2069790089</v>
      </c>
      <c r="W444" s="551"/>
      <c r="X444" s="551"/>
    </row>
    <row r="445" spans="1:24" x14ac:dyDescent="0.25">
      <c r="A445" s="545">
        <f t="shared" si="31"/>
        <v>3368794.6878865384</v>
      </c>
      <c r="B445" s="3">
        <f t="shared" ref="B445:B495" si="34">B444+1</f>
        <v>23.899999999999942</v>
      </c>
      <c r="C445" s="545">
        <f>'Foglio deposito bis'!$E$154/sezione!$B$247*B445</f>
        <v>97.278492043139295</v>
      </c>
      <c r="D445" s="603">
        <f>-'Sollecitazioni nel paramento'!$G$47*'Sollecitazioni nel paramento'!$G$41*IF(DATI!$G$211="dx",DATI!$E$61,DATI!$E$64*DATI!$E$63)*1000*C445^2*sezione!$AD$5*(1-sezione!$AD$6)</f>
        <v>-210541292.44768411</v>
      </c>
      <c r="E445" s="545">
        <f>-'Foglio deposito bis'!$F$48*(C445-sezione!$AL$28)*IF(ABS(K445)&lt;'Sollecitazioni nel paramento'!$G$58,ABS(K445)*'Sollecitazioni nel paramento'!$G$54,'Sollecitazioni nel paramento'!$G$53)</f>
        <v>0</v>
      </c>
      <c r="F445" s="545">
        <f>-'Foglio deposito bis'!$F$49*(C445-sezione!$AM$28)*IF(ABS(L445)&lt;'Sollecitazioni nel paramento'!$G$58,ABS(L445)*'Sollecitazioni nel paramento'!$G$54,'Sollecitazioni nel paramento'!$G$53)</f>
        <v>-5393041.0985809099</v>
      </c>
      <c r="G445" s="545">
        <f>-'Foglio deposito bis'!$F$50*(C445-sezione!$AN$28)*IF(ABS(M445)&lt;'Sollecitazioni nel paramento'!$G$58,ABS(M445)*'Sollecitazioni nel paramento'!$G$54,'Sollecitazioni nel paramento'!$G$53)</f>
        <v>0</v>
      </c>
      <c r="H445" s="545">
        <f>-'Foglio deposito bis'!$F$51*(C445-sezione!$AO$28)*IF(ABS(N445)&lt;'Sollecitazioni nel paramento'!$G$58,ABS(N445)*'Sollecitazioni nel paramento'!$G$54,'Sollecitazioni nel paramento'!$G$53)</f>
        <v>15112527.655849075</v>
      </c>
      <c r="I445" s="472">
        <f>-'Foglio deposito bis'!$F$52*(C445-sezione!$AP$28)*IF(ABS(O445)&lt;'Sollecitazioni nel paramento'!$G$58,ABS(O445)*'Sollecitazioni nel paramento'!$G$54,'Sollecitazioni nel paramento'!$G$53)</f>
        <v>39397520.716211431</v>
      </c>
      <c r="J445" s="472">
        <f t="shared" ref="J445:J495" si="35">D445+E445+F445+G445+H445+I445</f>
        <v>-161424285.1742045</v>
      </c>
      <c r="K445" s="550">
        <f>'Sollecitazioni nel paramento'!$G$60*(sezione!$AL$28-C445)/C445</f>
        <v>-2.0608329543398414E-3</v>
      </c>
      <c r="L445" s="550">
        <f>'Sollecitazioni nel paramento'!$G$60*(sezione!$AM$28-C445)/C445</f>
        <v>-1.3412494315097627E-3</v>
      </c>
      <c r="M445" s="551">
        <f>'Sollecitazioni nel paramento'!$G$60*(sezione!$AN$28-C445)/C445</f>
        <v>-6.2166590867968323E-4</v>
      </c>
      <c r="N445" s="551">
        <f>'Sollecitazioni nel paramento'!$G$60*(sezione!$AO$28-C445)/C445</f>
        <v>2.2566681826406334E-3</v>
      </c>
      <c r="O445" s="551">
        <f>'Sollecitazioni nel paramento'!$G$60*(sezione!$AP$28-C445)/C445</f>
        <v>5.8830086865574345E-3</v>
      </c>
      <c r="P445" s="545">
        <f>-'Sollecitazioni nel paramento'!$G$47*'Sollecitazioni nel paramento'!$G$41*IF(DATI!$G$211="dx",DATI!$E$61,DATI!$E$64*DATI!$E$63)*1000*C445*sezione!$AD$5</f>
        <v>-3706018.7113674767</v>
      </c>
      <c r="Q445" s="545">
        <f>'Foglio deposito bis'!$F$48*IF(ABS(K445)&lt;'Sollecitazioni nel paramento'!$G$58,ABS(K445)*'Sollecitazioni nel paramento'!$G$54,'Sollecitazioni nel paramento'!$G$53)*IF(K445&lt;0,-1,1)</f>
        <v>0</v>
      </c>
      <c r="R445" s="545">
        <f>'Foglio deposito bis'!$F$49*IF(ABS(L445)&lt;'Sollecitazioni nel paramento'!$G$58,ABS(L445)*'Sollecitazioni nel paramento'!$G$54,'Sollecitazioni nel paramento'!$G$53)*IF(L445&lt;0,-1,1)</f>
        <v>-144668.97138274778</v>
      </c>
      <c r="S445" s="545">
        <f>'Foglio deposito bis'!$F$50*IF(ABS(M445)&lt;'Sollecitazioni nel paramento'!$G$58,ABS(M445)*'Sollecitazioni nel paramento'!$G$54,'Sollecitazioni nel paramento'!$G$53)*IF(M445&lt;0,-1,1)</f>
        <v>0</v>
      </c>
      <c r="T445" s="545">
        <f>'Foglio deposito bis'!$F$51*IF(ABS(N445)&lt;'Sollecitazioni nel paramento'!$G$58,ABS(N445)*'Sollecitazioni nel paramento'!$G$54,'Sollecitazioni nel paramento'!$G$53)*IF(N445&lt;0,-1,1)</f>
        <v>240946.49743184328</v>
      </c>
      <c r="U445" s="545">
        <f>'Foglio deposito bis'!$F$52*IF(ABS(O445)&lt;'Sollecitazioni nel paramento'!$G$58,ABS(O445)*'Sollecitazioni nel paramento'!$G$54,'Sollecitazioni nel paramento'!$G$53)*IF(O445&lt;0,-1,1)</f>
        <v>240946.49743184328</v>
      </c>
      <c r="V445" s="472">
        <f t="shared" si="32"/>
        <v>-3368794.6878865384</v>
      </c>
      <c r="W445" s="551"/>
      <c r="X445" s="551"/>
    </row>
    <row r="446" spans="1:24" x14ac:dyDescent="0.25">
      <c r="A446" s="545">
        <f t="shared" ref="A446:A495" si="36">ABS(V446)</f>
        <v>3533209.4670672538</v>
      </c>
      <c r="B446" s="3">
        <f t="shared" si="34"/>
        <v>24.899999999999942</v>
      </c>
      <c r="C446" s="545">
        <f>'Foglio deposito bis'!$E$154/sezione!$B$247*B446</f>
        <v>101.34872183573928</v>
      </c>
      <c r="D446" s="603">
        <f>-'Sollecitazioni nel paramento'!$G$47*'Sollecitazioni nel paramento'!$G$41*IF(DATI!$G$211="dx",DATI!$E$61,DATI!$E$64*DATI!$E$63)*1000*C446^2*sezione!$AD$5*(1-sezione!$AD$6)</f>
        <v>-228528398.89093095</v>
      </c>
      <c r="E446" s="545">
        <f>-'Foglio deposito bis'!$F$48*(C446-sezione!$AL$28)*IF(ABS(K446)&lt;'Sollecitazioni nel paramento'!$G$58,ABS(K446)*'Sollecitazioni nel paramento'!$G$54,'Sollecitazioni nel paramento'!$G$53)</f>
        <v>0</v>
      </c>
      <c r="F446" s="545">
        <f>-'Foglio deposito bis'!$F$49*(C446-sezione!$AM$28)*IF(ABS(L446)&lt;'Sollecitazioni nel paramento'!$G$58,ABS(L446)*'Sollecitazioni nel paramento'!$G$54,'Sollecitazioni nel paramento'!$G$53)</f>
        <v>-6368538.6613772577</v>
      </c>
      <c r="G446" s="545">
        <f>-'Foglio deposito bis'!$F$50*(C446-sezione!$AN$28)*IF(ABS(M446)&lt;'Sollecitazioni nel paramento'!$G$58,ABS(M446)*'Sollecitazioni nel paramento'!$G$54,'Sollecitazioni nel paramento'!$G$53)</f>
        <v>0</v>
      </c>
      <c r="H446" s="545">
        <f>-'Foglio deposito bis'!$F$51*(C446-sezione!$AO$28)*IF(ABS(N446)&lt;'Sollecitazioni nel paramento'!$G$58,ABS(N446)*'Sollecitazioni nel paramento'!$G$54,'Sollecitazioni nel paramento'!$G$53)</f>
        <v>14131820.04357937</v>
      </c>
      <c r="I446" s="472">
        <f>-'Foglio deposito bis'!$F$52*(C446-sezione!$AP$28)*IF(ABS(O446)&lt;'Sollecitazioni nel paramento'!$G$58,ABS(O446)*'Sollecitazioni nel paramento'!$G$54,'Sollecitazioni nel paramento'!$G$53)</f>
        <v>38416813.103941731</v>
      </c>
      <c r="J446" s="472">
        <f t="shared" si="35"/>
        <v>-182348304.40478709</v>
      </c>
      <c r="K446" s="550">
        <f>'Sollecitazioni nel paramento'!$G$60*(sezione!$AL$28-C446)/C446</f>
        <v>-2.1186308276595271E-3</v>
      </c>
      <c r="L446" s="550">
        <f>'Sollecitazioni nel paramento'!$G$60*(sezione!$AM$28-C446)/C446</f>
        <v>-1.4279462414892904E-3</v>
      </c>
      <c r="M446" s="551">
        <f>'Sollecitazioni nel paramento'!$G$60*(sezione!$AN$28-C446)/C446</f>
        <v>-7.3726165531905392E-4</v>
      </c>
      <c r="N446" s="551">
        <f>'Sollecitazioni nel paramento'!$G$60*(sezione!$AO$28-C446)/C446</f>
        <v>2.0254766893618922E-3</v>
      </c>
      <c r="O446" s="551">
        <f>'Sollecitazioni nel paramento'!$G$60*(sezione!$AP$28-C446)/C446</f>
        <v>5.5061810284627562E-3</v>
      </c>
      <c r="P446" s="545">
        <f>-'Sollecitazioni nel paramento'!$G$47*'Sollecitazioni nel paramento'!$G$41*IF(DATI!$G$211="dx",DATI!$E$61,DATI!$E$64*DATI!$E$63)*1000*C446*sezione!$AD$5</f>
        <v>-3861082.255776159</v>
      </c>
      <c r="Q446" s="545">
        <f>'Foglio deposito bis'!$F$48*IF(ABS(K446)&lt;'Sollecitazioni nel paramento'!$G$58,ABS(K446)*'Sollecitazioni nel paramento'!$G$54,'Sollecitazioni nel paramento'!$G$53)*IF(K446&lt;0,-1,1)</f>
        <v>0</v>
      </c>
      <c r="R446" s="545">
        <f>'Foglio deposito bis'!$F$49*IF(ABS(L446)&lt;'Sollecitazioni nel paramento'!$G$58,ABS(L446)*'Sollecitazioni nel paramento'!$G$54,'Sollecitazioni nel paramento'!$G$53)*IF(L446&lt;0,-1,1)</f>
        <v>-154020.20615478096</v>
      </c>
      <c r="S446" s="545">
        <f>'Foglio deposito bis'!$F$50*IF(ABS(M446)&lt;'Sollecitazioni nel paramento'!$G$58,ABS(M446)*'Sollecitazioni nel paramento'!$G$54,'Sollecitazioni nel paramento'!$G$53)*IF(M446&lt;0,-1,1)</f>
        <v>0</v>
      </c>
      <c r="T446" s="545">
        <f>'Foglio deposito bis'!$F$51*IF(ABS(N446)&lt;'Sollecitazioni nel paramento'!$G$58,ABS(N446)*'Sollecitazioni nel paramento'!$G$54,'Sollecitazioni nel paramento'!$G$53)*IF(N446&lt;0,-1,1)</f>
        <v>240946.49743184328</v>
      </c>
      <c r="U446" s="545">
        <f>'Foglio deposito bis'!$F$52*IF(ABS(O446)&lt;'Sollecitazioni nel paramento'!$G$58,ABS(O446)*'Sollecitazioni nel paramento'!$G$54,'Sollecitazioni nel paramento'!$G$53)*IF(O446&lt;0,-1,1)</f>
        <v>240946.49743184328</v>
      </c>
      <c r="V446" s="472">
        <f t="shared" ref="V446:V495" si="37">P446+Q446+R446+S446+T446+U446</f>
        <v>-3533209.4670672538</v>
      </c>
      <c r="W446" s="551"/>
      <c r="X446" s="551"/>
    </row>
    <row r="447" spans="1:24" x14ac:dyDescent="0.25">
      <c r="A447" s="545">
        <f t="shared" si="36"/>
        <v>3707988.1183993272</v>
      </c>
      <c r="B447" s="3">
        <f t="shared" si="34"/>
        <v>25.899999999999942</v>
      </c>
      <c r="C447" s="545">
        <f>'Foglio deposito bis'!$E$154/sezione!$B$247*B447</f>
        <v>105.41895162833926</v>
      </c>
      <c r="D447" s="603">
        <f>-'Sollecitazioni nel paramento'!$G$47*'Sollecitazioni nel paramento'!$G$41*IF(DATI!$G$211="dx",DATI!$E$61,DATI!$E$64*DATI!$E$63)*1000*C447^2*sezione!$AD$5*(1-sezione!$AD$6)</f>
        <v>-247252681.82775345</v>
      </c>
      <c r="E447" s="545">
        <f>-'Foglio deposito bis'!$F$48*(C447-sezione!$AL$28)*IF(ABS(K447)&lt;'Sollecitazioni nel paramento'!$G$58,ABS(K447)*'Sollecitazioni nel paramento'!$G$54,'Sollecitazioni nel paramento'!$G$53)</f>
        <v>0</v>
      </c>
      <c r="F447" s="545">
        <f>-'Foglio deposito bis'!$F$49*(C447-sezione!$AM$28)*IF(ABS(L447)&lt;'Sollecitazioni nel paramento'!$G$58,ABS(L447)*'Sollecitazioni nel paramento'!$G$54,'Sollecitazioni nel paramento'!$G$53)</f>
        <v>-7387362.4084455715</v>
      </c>
      <c r="G447" s="545">
        <f>-'Foglio deposito bis'!$F$50*(C447-sezione!$AN$28)*IF(ABS(M447)&lt;'Sollecitazioni nel paramento'!$G$58,ABS(M447)*'Sollecitazioni nel paramento'!$G$54,'Sollecitazioni nel paramento'!$G$53)</f>
        <v>0</v>
      </c>
      <c r="H447" s="545">
        <f>-'Foglio deposito bis'!$F$51*(C447-sezione!$AO$28)*IF(ABS(N447)&lt;'Sollecitazioni nel paramento'!$G$58,ABS(N447)*'Sollecitazioni nel paramento'!$G$54,'Sollecitazioni nel paramento'!$G$53)</f>
        <v>12546028.281440152</v>
      </c>
      <c r="I447" s="472">
        <f>-'Foglio deposito bis'!$F$52*(C447-sezione!$AP$28)*IF(ABS(O447)&lt;'Sollecitazioni nel paramento'!$G$58,ABS(O447)*'Sollecitazioni nel paramento'!$G$54,'Sollecitazioni nel paramento'!$G$53)</f>
        <v>37436105.491672032</v>
      </c>
      <c r="J447" s="472">
        <f t="shared" si="35"/>
        <v>-204657910.46308684</v>
      </c>
      <c r="K447" s="550">
        <f>'Sollecitazioni nel paramento'!$G$60*(sezione!$AL$28-C447)/C447</f>
        <v>-2.1719655447383097E-3</v>
      </c>
      <c r="L447" s="550">
        <f>'Sollecitazioni nel paramento'!$G$60*(sezione!$AM$28-C447)/C447</f>
        <v>-1.5079483171074647E-3</v>
      </c>
      <c r="M447" s="551">
        <f>'Sollecitazioni nel paramento'!$G$60*(sezione!$AN$28-C447)/C447</f>
        <v>-8.4393108947661949E-4</v>
      </c>
      <c r="N447" s="551">
        <f>'Sollecitazioni nel paramento'!$G$60*(sezione!$AO$28-C447)/C447</f>
        <v>1.8121378210467611E-3</v>
      </c>
      <c r="O447" s="551">
        <f>'Sollecitazioni nel paramento'!$G$60*(sezione!$AP$28-C447)/C447</f>
        <v>5.1584520312248127E-3</v>
      </c>
      <c r="P447" s="545">
        <f>-'Sollecitazioni nel paramento'!$G$47*'Sollecitazioni nel paramento'!$G$41*IF(DATI!$G$211="dx",DATI!$E$61,DATI!$E$64*DATI!$E$63)*1000*C447*sezione!$AD$5</f>
        <v>-4016145.8001848399</v>
      </c>
      <c r="Q447" s="545">
        <f>'Foglio deposito bis'!$F$48*IF(ABS(K447)&lt;'Sollecitazioni nel paramento'!$G$58,ABS(K447)*'Sollecitazioni nel paramento'!$G$54,'Sollecitazioni nel paramento'!$G$53)*IF(K447&lt;0,-1,1)</f>
        <v>0</v>
      </c>
      <c r="R447" s="545">
        <f>'Foglio deposito bis'!$F$49*IF(ABS(L447)&lt;'Sollecitazioni nel paramento'!$G$58,ABS(L447)*'Sollecitazioni nel paramento'!$G$54,'Sollecitazioni nel paramento'!$G$53)*IF(L447&lt;0,-1,1)</f>
        <v>-162649.33785561466</v>
      </c>
      <c r="S447" s="545">
        <f>'Foglio deposito bis'!$F$50*IF(ABS(M447)&lt;'Sollecitazioni nel paramento'!$G$58,ABS(M447)*'Sollecitazioni nel paramento'!$G$54,'Sollecitazioni nel paramento'!$G$53)*IF(M447&lt;0,-1,1)</f>
        <v>0</v>
      </c>
      <c r="T447" s="545">
        <f>'Foglio deposito bis'!$F$51*IF(ABS(N447)&lt;'Sollecitazioni nel paramento'!$G$58,ABS(N447)*'Sollecitazioni nel paramento'!$G$54,'Sollecitazioni nel paramento'!$G$53)*IF(N447&lt;0,-1,1)</f>
        <v>229860.52220928442</v>
      </c>
      <c r="U447" s="545">
        <f>'Foglio deposito bis'!$F$52*IF(ABS(O447)&lt;'Sollecitazioni nel paramento'!$G$58,ABS(O447)*'Sollecitazioni nel paramento'!$G$54,'Sollecitazioni nel paramento'!$G$53)*IF(O447&lt;0,-1,1)</f>
        <v>240946.49743184328</v>
      </c>
      <c r="V447" s="472">
        <f t="shared" si="37"/>
        <v>-3707988.1183993272</v>
      </c>
      <c r="W447" s="551"/>
      <c r="X447" s="551"/>
    </row>
    <row r="448" spans="1:24" x14ac:dyDescent="0.25">
      <c r="A448" s="545">
        <f t="shared" si="36"/>
        <v>3896088.21332826</v>
      </c>
      <c r="B448" s="3">
        <f t="shared" si="34"/>
        <v>26.899999999999942</v>
      </c>
      <c r="C448" s="545">
        <f>'Foglio deposito bis'!$E$154/sezione!$B$247*B448</f>
        <v>109.48918142093925</v>
      </c>
      <c r="D448" s="603">
        <f>-'Sollecitazioni nel paramento'!$G$47*'Sollecitazioni nel paramento'!$G$41*IF(DATI!$G$211="dx",DATI!$E$61,DATI!$E$64*DATI!$E$63)*1000*C448^2*sezione!$AD$5*(1-sezione!$AD$6)</f>
        <v>-266714141.25815165</v>
      </c>
      <c r="E448" s="545">
        <f>-'Foglio deposito bis'!$F$48*(C448-sezione!$AL$28)*IF(ABS(K448)&lt;'Sollecitazioni nel paramento'!$G$58,ABS(K448)*'Sollecitazioni nel paramento'!$G$54,'Sollecitazioni nel paramento'!$G$53)</f>
        <v>0</v>
      </c>
      <c r="F448" s="545">
        <f>-'Foglio deposito bis'!$F$49*(C448-sezione!$AM$28)*IF(ABS(L448)&lt;'Sollecitazioni nel paramento'!$G$58,ABS(L448)*'Sollecitazioni nel paramento'!$G$54,'Sollecitazioni nel paramento'!$G$53)</f>
        <v>-8444680.4233243</v>
      </c>
      <c r="G448" s="545">
        <f>-'Foglio deposito bis'!$F$50*(C448-sezione!$AN$28)*IF(ABS(M448)&lt;'Sollecitazioni nel paramento'!$G$58,ABS(M448)*'Sollecitazioni nel paramento'!$G$54,'Sollecitazioni nel paramento'!$G$53)</f>
        <v>0</v>
      </c>
      <c r="H448" s="545">
        <f>-'Foglio deposito bis'!$F$51*(C448-sezione!$AO$28)*IF(ABS(N448)&lt;'Sollecitazioni nel paramento'!$G$58,ABS(N448)*'Sollecitazioni nel paramento'!$G$54,'Sollecitazioni nel paramento'!$G$53)</f>
        <v>10345198.148868853</v>
      </c>
      <c r="I448" s="472">
        <f>-'Foglio deposito bis'!$F$52*(C448-sezione!$AP$28)*IF(ABS(O448)&lt;'Sollecitazioni nel paramento'!$G$58,ABS(O448)*'Sollecitazioni nel paramento'!$G$54,'Sollecitazioni nel paramento'!$G$53)</f>
        <v>36455397.879402325</v>
      </c>
      <c r="J448" s="472">
        <f t="shared" si="35"/>
        <v>-228358225.65320474</v>
      </c>
      <c r="K448" s="550">
        <f>'Sollecitazioni nel paramento'!$G$60*(sezione!$AL$28-C448)/C448</f>
        <v>-2.2213348553428336E-3</v>
      </c>
      <c r="L448" s="550">
        <f>'Sollecitazioni nel paramento'!$G$60*(sezione!$AM$28-C448)/C448</f>
        <v>-1.5820022830142506E-3</v>
      </c>
      <c r="M448" s="551">
        <f>'Sollecitazioni nel paramento'!$G$60*(sezione!$AN$28-C448)/C448</f>
        <v>-9.4266971068566758E-4</v>
      </c>
      <c r="N448" s="551">
        <f>'Sollecitazioni nel paramento'!$G$60*(sezione!$AO$28-C448)/C448</f>
        <v>1.6146605786286651E-3</v>
      </c>
      <c r="O448" s="551">
        <f>'Sollecitazioni nel paramento'!$G$60*(sezione!$AP$28-C448)/C448</f>
        <v>4.8365764910305795E-3</v>
      </c>
      <c r="P448" s="545">
        <f>-'Sollecitazioni nel paramento'!$G$47*'Sollecitazioni nel paramento'!$G$41*IF(DATI!$G$211="dx",DATI!$E$61,DATI!$E$64*DATI!$E$63)*1000*C448*sezione!$AD$5</f>
        <v>-4171209.3445935217</v>
      </c>
      <c r="Q448" s="545">
        <f>'Foglio deposito bis'!$F$48*IF(ABS(K448)&lt;'Sollecitazioni nel paramento'!$G$58,ABS(K448)*'Sollecitazioni nel paramento'!$G$54,'Sollecitazioni nel paramento'!$G$53)*IF(K448&lt;0,-1,1)</f>
        <v>0</v>
      </c>
      <c r="R448" s="545">
        <f>'Foglio deposito bis'!$F$49*IF(ABS(L448)&lt;'Sollecitazioni nel paramento'!$G$58,ABS(L448)*'Sollecitazioni nel paramento'!$G$54,'Sollecitazioni nel paramento'!$G$53)*IF(L448&lt;0,-1,1)</f>
        <v>-170636.89842627486</v>
      </c>
      <c r="S448" s="545">
        <f>'Foglio deposito bis'!$F$50*IF(ABS(M448)&lt;'Sollecitazioni nel paramento'!$G$58,ABS(M448)*'Sollecitazioni nel paramento'!$G$54,'Sollecitazioni nel paramento'!$G$53)*IF(M448&lt;0,-1,1)</f>
        <v>0</v>
      </c>
      <c r="T448" s="545">
        <f>'Foglio deposito bis'!$F$51*IF(ABS(N448)&lt;'Sollecitazioni nel paramento'!$G$58,ABS(N448)*'Sollecitazioni nel paramento'!$G$54,'Sollecitazioni nel paramento'!$G$53)*IF(N448&lt;0,-1,1)</f>
        <v>204811.53225969401</v>
      </c>
      <c r="U448" s="545">
        <f>'Foglio deposito bis'!$F$52*IF(ABS(O448)&lt;'Sollecitazioni nel paramento'!$G$58,ABS(O448)*'Sollecitazioni nel paramento'!$G$54,'Sollecitazioni nel paramento'!$G$53)*IF(O448&lt;0,-1,1)</f>
        <v>240946.49743184328</v>
      </c>
      <c r="V448" s="472">
        <f t="shared" si="37"/>
        <v>-3896088.21332826</v>
      </c>
      <c r="W448" s="551"/>
      <c r="X448" s="551"/>
    </row>
    <row r="449" spans="1:24" x14ac:dyDescent="0.25">
      <c r="A449" s="545">
        <f t="shared" si="36"/>
        <v>4081820.0967503623</v>
      </c>
      <c r="B449" s="3">
        <f t="shared" si="34"/>
        <v>27.899999999999942</v>
      </c>
      <c r="C449" s="545">
        <f>'Foglio deposito bis'!$E$154/sezione!$B$247*B449</f>
        <v>113.55941121353922</v>
      </c>
      <c r="D449" s="603">
        <f>-'Sollecitazioni nel paramento'!$G$47*'Sollecitazioni nel paramento'!$G$41*IF(DATI!$G$211="dx",DATI!$E$61,DATI!$E$64*DATI!$E$63)*1000*C449^2*sezione!$AD$5*(1-sezione!$AD$6)</f>
        <v>-286912777.18212551</v>
      </c>
      <c r="E449" s="545">
        <f>-'Foglio deposito bis'!$F$48*(C449-sezione!$AL$28)*IF(ABS(K449)&lt;'Sollecitazioni nel paramento'!$G$58,ABS(K449)*'Sollecitazioni nel paramento'!$G$54,'Sollecitazioni nel paramento'!$G$53)</f>
        <v>0</v>
      </c>
      <c r="F449" s="545">
        <f>-'Foglio deposito bis'!$F$49*(C449-sezione!$AM$28)*IF(ABS(L449)&lt;'Sollecitazioni nel paramento'!$G$58,ABS(L449)*'Sollecitazioni nel paramento'!$G$54,'Sollecitazioni nel paramento'!$G$53)</f>
        <v>-9536353.5374316704</v>
      </c>
      <c r="G449" s="545">
        <f>-'Foglio deposito bis'!$F$50*(C449-sezione!$AN$28)*IF(ABS(M449)&lt;'Sollecitazioni nel paramento'!$G$58,ABS(M449)*'Sollecitazioni nel paramento'!$G$54,'Sollecitazioni nel paramento'!$G$53)</f>
        <v>0</v>
      </c>
      <c r="H449" s="545">
        <f>-'Foglio deposito bis'!$F$51*(C449-sezione!$AO$28)*IF(ABS(N449)&lt;'Sollecitazioni nel paramento'!$G$58,ABS(N449)*'Sollecitazioni nel paramento'!$G$54,'Sollecitazioni nel paramento'!$G$53)</f>
        <v>8431668.2594469879</v>
      </c>
      <c r="I449" s="472">
        <f>-'Foglio deposito bis'!$F$52*(C449-sezione!$AP$28)*IF(ABS(O449)&lt;'Sollecitazioni nel paramento'!$G$58,ABS(O449)*'Sollecitazioni nel paramento'!$G$54,'Sollecitazioni nel paramento'!$G$53)</f>
        <v>35474690.267132618</v>
      </c>
      <c r="J449" s="472">
        <f t="shared" si="35"/>
        <v>-252542772.19297758</v>
      </c>
      <c r="K449" s="550">
        <f>'Sollecitazioni nel paramento'!$G$60*(sezione!$AL$28-C449)/C449</f>
        <v>-2.2671651472660299E-3</v>
      </c>
      <c r="L449" s="550">
        <f>'Sollecitazioni nel paramento'!$G$60*(sezione!$AM$28-C449)/C449</f>
        <v>-1.6507477208990446E-3</v>
      </c>
      <c r="M449" s="551">
        <f>'Sollecitazioni nel paramento'!$G$60*(sezione!$AN$28-C449)/C449</f>
        <v>-1.0343302945320595E-3</v>
      </c>
      <c r="N449" s="551">
        <f>'Sollecitazioni nel paramento'!$G$60*(sezione!$AO$28-C449)/C449</f>
        <v>1.4313394109358812E-3</v>
      </c>
      <c r="O449" s="551">
        <f>'Sollecitazioni nel paramento'!$G$60*(sezione!$AP$28-C449)/C449</f>
        <v>4.5377744662624588E-3</v>
      </c>
      <c r="P449" s="545">
        <f>-'Sollecitazioni nel paramento'!$G$47*'Sollecitazioni nel paramento'!$G$41*IF(DATI!$G$211="dx",DATI!$E$61,DATI!$E$64*DATI!$E$63)*1000*C449*sezione!$AD$5</f>
        <v>-4326272.8890022021</v>
      </c>
      <c r="Q449" s="545">
        <f>'Foglio deposito bis'!$F$48*IF(ABS(K449)&lt;'Sollecitazioni nel paramento'!$G$58,ABS(K449)*'Sollecitazioni nel paramento'!$G$54,'Sollecitazioni nel paramento'!$G$53)*IF(K449&lt;0,-1,1)</f>
        <v>0</v>
      </c>
      <c r="R449" s="545">
        <f>'Foglio deposito bis'!$F$49*IF(ABS(L449)&lt;'Sollecitazioni nel paramento'!$G$58,ABS(L449)*'Sollecitazioni nel paramento'!$G$54,'Sollecitazioni nel paramento'!$G$53)*IF(L449&lt;0,-1,1)</f>
        <v>-178051.87400979095</v>
      </c>
      <c r="S449" s="545">
        <f>'Foglio deposito bis'!$F$50*IF(ABS(M449)&lt;'Sollecitazioni nel paramento'!$G$58,ABS(M449)*'Sollecitazioni nel paramento'!$G$54,'Sollecitazioni nel paramento'!$G$53)*IF(M449&lt;0,-1,1)</f>
        <v>0</v>
      </c>
      <c r="T449" s="545">
        <f>'Foglio deposito bis'!$F$51*IF(ABS(N449)&lt;'Sollecitazioni nel paramento'!$G$58,ABS(N449)*'Sollecitazioni nel paramento'!$G$54,'Sollecitazioni nel paramento'!$G$53)*IF(N449&lt;0,-1,1)</f>
        <v>181558.16882978758</v>
      </c>
      <c r="U449" s="545">
        <f>'Foglio deposito bis'!$F$52*IF(ABS(O449)&lt;'Sollecitazioni nel paramento'!$G$58,ABS(O449)*'Sollecitazioni nel paramento'!$G$54,'Sollecitazioni nel paramento'!$G$53)*IF(O449&lt;0,-1,1)</f>
        <v>240946.49743184328</v>
      </c>
      <c r="V449" s="472">
        <f t="shared" si="37"/>
        <v>-4081820.0967503623</v>
      </c>
      <c r="W449" s="551"/>
      <c r="X449" s="551"/>
    </row>
    <row r="450" spans="1:24" x14ac:dyDescent="0.25">
      <c r="A450" s="545">
        <f t="shared" si="36"/>
        <v>4265429.6037701545</v>
      </c>
      <c r="B450" s="3">
        <f t="shared" si="34"/>
        <v>28.899999999999942</v>
      </c>
      <c r="C450" s="545">
        <f>'Foglio deposito bis'!$E$154/sezione!$B$247*B450</f>
        <v>117.62964100613921</v>
      </c>
      <c r="D450" s="603">
        <f>-'Sollecitazioni nel paramento'!$G$47*'Sollecitazioni nel paramento'!$G$41*IF(DATI!$G$211="dx",DATI!$E$61,DATI!$E$64*DATI!$E$63)*1000*C450^2*sezione!$AD$5*(1-sezione!$AD$6)</f>
        <v>-307848589.59967512</v>
      </c>
      <c r="E450" s="545">
        <f>-'Foglio deposito bis'!$F$48*(C450-sezione!$AL$28)*IF(ABS(K450)&lt;'Sollecitazioni nel paramento'!$G$58,ABS(K450)*'Sollecitazioni nel paramento'!$G$54,'Sollecitazioni nel paramento'!$G$53)</f>
        <v>0</v>
      </c>
      <c r="F450" s="545">
        <f>-'Foglio deposito bis'!$F$49*(C450-sezione!$AM$28)*IF(ABS(L450)&lt;'Sollecitazioni nel paramento'!$G$58,ABS(L450)*'Sollecitazioni nel paramento'!$G$54,'Sollecitazioni nel paramento'!$G$53)</f>
        <v>-10658815.477491362</v>
      </c>
      <c r="G450" s="545">
        <f>-'Foglio deposito bis'!$F$50*(C450-sezione!$AN$28)*IF(ABS(M450)&lt;'Sollecitazioni nel paramento'!$G$58,ABS(M450)*'Sollecitazioni nel paramento'!$G$54,'Sollecitazioni nel paramento'!$G$53)</f>
        <v>0</v>
      </c>
      <c r="H450" s="545">
        <f>-'Foglio deposito bis'!$F$51*(C450-sezione!$AO$28)*IF(ABS(N450)&lt;'Sollecitazioni nel paramento'!$G$58,ABS(N450)*'Sollecitazioni nel paramento'!$G$54,'Sollecitazioni nel paramento'!$G$53)</f>
        <v>6775615.0585223474</v>
      </c>
      <c r="I450" s="472">
        <f>-'Foglio deposito bis'!$F$52*(C450-sezione!$AP$28)*IF(ABS(O450)&lt;'Sollecitazioni nel paramento'!$G$58,ABS(O450)*'Sollecitazioni nel paramento'!$G$54,'Sollecitazioni nel paramento'!$G$53)</f>
        <v>34493982.654862918</v>
      </c>
      <c r="J450" s="472">
        <f t="shared" si="35"/>
        <v>-277237807.36378121</v>
      </c>
      <c r="K450" s="550">
        <f>'Sollecitazioni nel paramento'!$G$60*(sezione!$AL$28-C450)/C450</f>
        <v>-2.3098237926893507E-3</v>
      </c>
      <c r="L450" s="550">
        <f>'Sollecitazioni nel paramento'!$G$60*(sezione!$AM$28-C450)/C450</f>
        <v>-1.714735689034026E-3</v>
      </c>
      <c r="M450" s="551">
        <f>'Sollecitazioni nel paramento'!$G$60*(sezione!$AN$28-C450)/C450</f>
        <v>-1.1196475853787013E-3</v>
      </c>
      <c r="N450" s="551">
        <f>'Sollecitazioni nel paramento'!$G$60*(sezione!$AO$28-C450)/C450</f>
        <v>1.2607048292425974E-3</v>
      </c>
      <c r="O450" s="551">
        <f>'Sollecitazioni nel paramento'!$G$60*(sezione!$AP$28-C450)/C450</f>
        <v>4.2596507823087397E-3</v>
      </c>
      <c r="P450" s="545">
        <f>-'Sollecitazioni nel paramento'!$G$47*'Sollecitazioni nel paramento'!$G$41*IF(DATI!$G$211="dx",DATI!$E$61,DATI!$E$64*DATI!$E$63)*1000*C450*sezione!$AD$5</f>
        <v>-4481336.4334108848</v>
      </c>
      <c r="Q450" s="545">
        <f>'Foglio deposito bis'!$F$48*IF(ABS(K450)&lt;'Sollecitazioni nel paramento'!$G$58,ABS(K450)*'Sollecitazioni nel paramento'!$G$54,'Sollecitazioni nel paramento'!$G$53)*IF(K450&lt;0,-1,1)</f>
        <v>0</v>
      </c>
      <c r="R450" s="545">
        <f>'Foglio deposito bis'!$F$49*IF(ABS(L450)&lt;'Sollecitazioni nel paramento'!$G$58,ABS(L450)*'Sollecitazioni nel paramento'!$G$54,'Sollecitazioni nel paramento'!$G$53)*IF(L450&lt;0,-1,1)</f>
        <v>-184953.7024941018</v>
      </c>
      <c r="S450" s="545">
        <f>'Foglio deposito bis'!$F$50*IF(ABS(M450)&lt;'Sollecitazioni nel paramento'!$G$58,ABS(M450)*'Sollecitazioni nel paramento'!$G$54,'Sollecitazioni nel paramento'!$G$53)*IF(M450&lt;0,-1,1)</f>
        <v>0</v>
      </c>
      <c r="T450" s="545">
        <f>'Foglio deposito bis'!$F$51*IF(ABS(N450)&lt;'Sollecitazioni nel paramento'!$G$58,ABS(N450)*'Sollecitazioni nel paramento'!$G$54,'Sollecitazioni nel paramento'!$G$53)*IF(N450&lt;0,-1,1)</f>
        <v>159914.03470298878</v>
      </c>
      <c r="U450" s="545">
        <f>'Foglio deposito bis'!$F$52*IF(ABS(O450)&lt;'Sollecitazioni nel paramento'!$G$58,ABS(O450)*'Sollecitazioni nel paramento'!$G$54,'Sollecitazioni nel paramento'!$G$53)*IF(O450&lt;0,-1,1)</f>
        <v>240946.49743184328</v>
      </c>
      <c r="V450" s="472">
        <f t="shared" si="37"/>
        <v>-4265429.6037701545</v>
      </c>
      <c r="W450" s="551"/>
      <c r="X450" s="551"/>
    </row>
    <row r="451" spans="1:24" x14ac:dyDescent="0.25">
      <c r="A451" s="545">
        <f t="shared" si="36"/>
        <v>4447129.6818527468</v>
      </c>
      <c r="B451" s="3">
        <f t="shared" si="34"/>
        <v>29.899999999999942</v>
      </c>
      <c r="C451" s="545">
        <f>'Foglio deposito bis'!$E$154/sezione!$B$247*B451</f>
        <v>121.69987079873918</v>
      </c>
      <c r="D451" s="603">
        <f>-'Sollecitazioni nel paramento'!$G$47*'Sollecitazioni nel paramento'!$G$41*IF(DATI!$G$211="dx",DATI!$E$61,DATI!$E$64*DATI!$E$63)*1000*C451^2*sezione!$AD$5*(1-sezione!$AD$6)</f>
        <v>-329521578.51080042</v>
      </c>
      <c r="E451" s="545">
        <f>-'Foglio deposito bis'!$F$48*(C451-sezione!$AL$28)*IF(ABS(K451)&lt;'Sollecitazioni nel paramento'!$G$58,ABS(K451)*'Sollecitazioni nel paramento'!$G$54,'Sollecitazioni nel paramento'!$G$53)</f>
        <v>0</v>
      </c>
      <c r="F451" s="545">
        <f>-'Foglio deposito bis'!$F$49*(C451-sezione!$AM$28)*IF(ABS(L451)&lt;'Sollecitazioni nel paramento'!$G$58,ABS(L451)*'Sollecitazioni nel paramento'!$G$54,'Sollecitazioni nel paramento'!$G$53)</f>
        <v>-11808977.063641926</v>
      </c>
      <c r="G451" s="545">
        <f>-'Foglio deposito bis'!$F$50*(C451-sezione!$AN$28)*IF(ABS(M451)&lt;'Sollecitazioni nel paramento'!$G$58,ABS(M451)*'Sollecitazioni nel paramento'!$G$54,'Sollecitazioni nel paramento'!$G$53)</f>
        <v>0</v>
      </c>
      <c r="H451" s="545">
        <f>-'Foglio deposito bis'!$F$51*(C451-sezione!$AO$28)*IF(ABS(N451)&lt;'Sollecitazioni nel paramento'!$G$58,ABS(N451)*'Sollecitazioni nel paramento'!$G$54,'Sollecitazioni nel paramento'!$G$53)</f>
        <v>5351204.764640376</v>
      </c>
      <c r="I451" s="472">
        <f>-'Foglio deposito bis'!$F$52*(C451-sezione!$AP$28)*IF(ABS(O451)&lt;'Sollecitazioni nel paramento'!$G$58,ABS(O451)*'Sollecitazioni nel paramento'!$G$54,'Sollecitazioni nel paramento'!$G$53)</f>
        <v>33513275.042593215</v>
      </c>
      <c r="J451" s="472">
        <f t="shared" si="35"/>
        <v>-302466075.7672087</v>
      </c>
      <c r="K451" s="550">
        <f>'Sollecitazioni nel paramento'!$G$60*(sezione!$AL$28-C451)/C451</f>
        <v>-2.3496290170141212E-3</v>
      </c>
      <c r="L451" s="550">
        <f>'Sollecitazioni nel paramento'!$G$60*(sezione!$AM$28-C451)/C451</f>
        <v>-1.7744435255211822E-3</v>
      </c>
      <c r="M451" s="551">
        <f>'Sollecitazioni nel paramento'!$G$60*(sezione!$AN$28-C451)/C451</f>
        <v>-1.199258034028243E-3</v>
      </c>
      <c r="N451" s="551">
        <f>'Sollecitazioni nel paramento'!$G$60*(sezione!$AO$28-C451)/C451</f>
        <v>1.1014839319435138E-3</v>
      </c>
      <c r="O451" s="551">
        <f>'Sollecitazioni nel paramento'!$G$60*(sezione!$AP$28-C451)/C451</f>
        <v>4.0001306892549346E-3</v>
      </c>
      <c r="P451" s="545">
        <f>-'Sollecitazioni nel paramento'!$G$47*'Sollecitazioni nel paramento'!$G$41*IF(DATI!$G$211="dx",DATI!$E$61,DATI!$E$64*DATI!$E$63)*1000*C451*sezione!$AD$5</f>
        <v>-4636399.9778195657</v>
      </c>
      <c r="Q451" s="545">
        <f>'Foglio deposito bis'!$F$48*IF(ABS(K451)&lt;'Sollecitazioni nel paramento'!$G$58,ABS(K451)*'Sollecitazioni nel paramento'!$G$54,'Sollecitazioni nel paramento'!$G$53)*IF(K451&lt;0,-1,1)</f>
        <v>0</v>
      </c>
      <c r="R451" s="545">
        <f>'Foglio deposito bis'!$F$49*IF(ABS(L451)&lt;'Sollecitazioni nel paramento'!$G$58,ABS(L451)*'Sollecitazioni nel paramento'!$G$54,'Sollecitazioni nel paramento'!$G$53)*IF(L451&lt;0,-1,1)</f>
        <v>-191393.87021023128</v>
      </c>
      <c r="S451" s="545">
        <f>'Foglio deposito bis'!$F$50*IF(ABS(M451)&lt;'Sollecitazioni nel paramento'!$G$58,ABS(M451)*'Sollecitazioni nel paramento'!$G$54,'Sollecitazioni nel paramento'!$G$53)*IF(M451&lt;0,-1,1)</f>
        <v>0</v>
      </c>
      <c r="T451" s="545">
        <f>'Foglio deposito bis'!$F$51*IF(ABS(N451)&lt;'Sollecitazioni nel paramento'!$G$58,ABS(N451)*'Sollecitazioni nel paramento'!$G$54,'Sollecitazioni nel paramento'!$G$53)*IF(N451&lt;0,-1,1)</f>
        <v>139717.66874520667</v>
      </c>
      <c r="U451" s="545">
        <f>'Foglio deposito bis'!$F$52*IF(ABS(O451)&lt;'Sollecitazioni nel paramento'!$G$58,ABS(O451)*'Sollecitazioni nel paramento'!$G$54,'Sollecitazioni nel paramento'!$G$53)*IF(O451&lt;0,-1,1)</f>
        <v>240946.49743184328</v>
      </c>
      <c r="V451" s="472">
        <f t="shared" si="37"/>
        <v>-4447129.6818527468</v>
      </c>
      <c r="W451" s="551"/>
      <c r="X451" s="551"/>
    </row>
    <row r="452" spans="1:24" x14ac:dyDescent="0.25">
      <c r="A452" s="545">
        <f t="shared" si="36"/>
        <v>4627105.7124483548</v>
      </c>
      <c r="B452" s="3">
        <f t="shared" si="34"/>
        <v>30.899999999999942</v>
      </c>
      <c r="C452" s="545">
        <f>'Foglio deposito bis'!$E$154/sezione!$B$247*B452</f>
        <v>125.77010059133916</v>
      </c>
      <c r="D452" s="603">
        <f>-'Sollecitazioni nel paramento'!$G$47*'Sollecitazioni nel paramento'!$G$41*IF(DATI!$G$211="dx",DATI!$E$61,DATI!$E$64*DATI!$E$63)*1000*C452^2*sezione!$AD$5*(1-sezione!$AD$6)</f>
        <v>-351931743.91550124</v>
      </c>
      <c r="E452" s="545">
        <f>-'Foglio deposito bis'!$F$48*(C452-sezione!$AL$28)*IF(ABS(K452)&lt;'Sollecitazioni nel paramento'!$G$58,ABS(K452)*'Sollecitazioni nel paramento'!$G$54,'Sollecitazioni nel paramento'!$G$53)</f>
        <v>0</v>
      </c>
      <c r="F452" s="545">
        <f>-'Foglio deposito bis'!$F$49*(C452-sezione!$AM$28)*IF(ABS(L452)&lt;'Sollecitazioni nel paramento'!$G$58,ABS(L452)*'Sollecitazioni nel paramento'!$G$54,'Sollecitazioni nel paramento'!$G$53)</f>
        <v>-12984149.009855133</v>
      </c>
      <c r="G452" s="545">
        <f>-'Foglio deposito bis'!$F$50*(C452-sezione!$AN$28)*IF(ABS(M452)&lt;'Sollecitazioni nel paramento'!$G$58,ABS(M452)*'Sollecitazioni nel paramento'!$G$54,'Sollecitazioni nel paramento'!$G$53)</f>
        <v>0</v>
      </c>
      <c r="H452" s="545">
        <f>-'Foglio deposito bis'!$F$51*(C452-sezione!$AO$28)*IF(ABS(N452)&lt;'Sollecitazioni nel paramento'!$G$58,ABS(N452)*'Sollecitazioni nel paramento'!$G$54,'Sollecitazioni nel paramento'!$G$53)</f>
        <v>4135947.7751755677</v>
      </c>
      <c r="I452" s="472">
        <f>-'Foglio deposito bis'!$F$52*(C452-sezione!$AP$28)*IF(ABS(O452)&lt;'Sollecitazioni nel paramento'!$G$58,ABS(O452)*'Sollecitazioni nel paramento'!$G$54,'Sollecitazioni nel paramento'!$G$53)</f>
        <v>32532567.430323519</v>
      </c>
      <c r="J452" s="472">
        <f t="shared" si="35"/>
        <v>-328247377.71985728</v>
      </c>
      <c r="K452" s="550">
        <f>'Sollecitazioni nel paramento'!$G$60*(sezione!$AL$28-C452)/C452</f>
        <v>-2.386857851414959E-3</v>
      </c>
      <c r="L452" s="550">
        <f>'Sollecitazioni nel paramento'!$G$60*(sezione!$AM$28-C452)/C452</f>
        <v>-1.8302867771224386E-3</v>
      </c>
      <c r="M452" s="551">
        <f>'Sollecitazioni nel paramento'!$G$60*(sezione!$AN$28-C452)/C452</f>
        <v>-1.2737157028299181E-3</v>
      </c>
      <c r="N452" s="551">
        <f>'Sollecitazioni nel paramento'!$G$60*(sezione!$AO$28-C452)/C452</f>
        <v>9.5256859434016388E-4</v>
      </c>
      <c r="O452" s="551">
        <f>'Sollecitazioni nel paramento'!$G$60*(sezione!$AP$28-C452)/C452</f>
        <v>3.7574080132272676E-3</v>
      </c>
      <c r="P452" s="545">
        <f>-'Sollecitazioni nel paramento'!$G$47*'Sollecitazioni nel paramento'!$G$41*IF(DATI!$G$211="dx",DATI!$E$61,DATI!$E$64*DATI!$E$63)*1000*C452*sezione!$AD$5</f>
        <v>-4791463.5222282466</v>
      </c>
      <c r="Q452" s="545">
        <f>'Foglio deposito bis'!$F$48*IF(ABS(K452)&lt;'Sollecitazioni nel paramento'!$G$58,ABS(K452)*'Sollecitazioni nel paramento'!$G$54,'Sollecitazioni nel paramento'!$G$53)*IF(K452&lt;0,-1,1)</f>
        <v>0</v>
      </c>
      <c r="R452" s="545">
        <f>'Foglio deposito bis'!$F$49*IF(ABS(L452)&lt;'Sollecitazioni nel paramento'!$G$58,ABS(L452)*'Sollecitazioni nel paramento'!$G$54,'Sollecitazioni nel paramento'!$G$53)*IF(L452&lt;0,-1,1)</f>
        <v>-197417.19859198347</v>
      </c>
      <c r="S452" s="545">
        <f>'Foglio deposito bis'!$F$50*IF(ABS(M452)&lt;'Sollecitazioni nel paramento'!$G$58,ABS(M452)*'Sollecitazioni nel paramento'!$G$54,'Sollecitazioni nel paramento'!$G$53)*IF(M452&lt;0,-1,1)</f>
        <v>0</v>
      </c>
      <c r="T452" s="545">
        <f>'Foglio deposito bis'!$F$51*IF(ABS(N452)&lt;'Sollecitazioni nel paramento'!$G$58,ABS(N452)*'Sollecitazioni nel paramento'!$G$54,'Sollecitazioni nel paramento'!$G$53)*IF(N452&lt;0,-1,1)</f>
        <v>120828.51094003188</v>
      </c>
      <c r="U452" s="545">
        <f>'Foglio deposito bis'!$F$52*IF(ABS(O452)&lt;'Sollecitazioni nel paramento'!$G$58,ABS(O452)*'Sollecitazioni nel paramento'!$G$54,'Sollecitazioni nel paramento'!$G$53)*IF(O452&lt;0,-1,1)</f>
        <v>240946.49743184328</v>
      </c>
      <c r="V452" s="472">
        <f t="shared" si="37"/>
        <v>-4627105.7124483548</v>
      </c>
      <c r="W452" s="551"/>
      <c r="X452" s="551"/>
    </row>
    <row r="453" spans="1:24" x14ac:dyDescent="0.25">
      <c r="A453" s="545">
        <f t="shared" si="36"/>
        <v>4807343.4202616336</v>
      </c>
      <c r="B453" s="3">
        <f t="shared" si="34"/>
        <v>31.899999999999942</v>
      </c>
      <c r="C453" s="545">
        <f>'Foglio deposito bis'!$E$154/sezione!$B$247*B453</f>
        <v>129.84033038393915</v>
      </c>
      <c r="D453" s="603">
        <f>-'Sollecitazioni nel paramento'!$G$47*'Sollecitazioni nel paramento'!$G$41*IF(DATI!$G$211="dx",DATI!$E$61,DATI!$E$64*DATI!$E$63)*1000*C453^2*sezione!$AD$5*(1-sezione!$AD$6)</f>
        <v>-375079085.81377798</v>
      </c>
      <c r="E453" s="545">
        <f>-'Foglio deposito bis'!$F$48*(C453-sezione!$AL$28)*IF(ABS(K453)&lt;'Sollecitazioni nel paramento'!$G$58,ABS(K453)*'Sollecitazioni nel paramento'!$G$54,'Sollecitazioni nel paramento'!$G$53)</f>
        <v>0</v>
      </c>
      <c r="F453" s="545">
        <f>-'Foglio deposito bis'!$F$49*(C453-sezione!$AM$28)*IF(ABS(L453)&lt;'Sollecitazioni nel paramento'!$G$58,ABS(L453)*'Sollecitazioni nel paramento'!$G$54,'Sollecitazioni nel paramento'!$G$53)</f>
        <v>-14309339.273378298</v>
      </c>
      <c r="G453" s="545">
        <f>-'Foglio deposito bis'!$F$50*(C453-sezione!$AN$28)*IF(ABS(M453)&lt;'Sollecitazioni nel paramento'!$G$58,ABS(M453)*'Sollecitazioni nel paramento'!$G$54,'Sollecitazioni nel paramento'!$G$53)</f>
        <v>0</v>
      </c>
      <c r="H453" s="545">
        <f>-'Foglio deposito bis'!$F$51*(C453-sezione!$AO$28)*IF(ABS(N453)&lt;'Sollecitazioni nel paramento'!$G$58,ABS(N453)*'Sollecitazioni nel paramento'!$G$54,'Sollecitazioni nel paramento'!$G$53)</f>
        <v>3110174.5003708149</v>
      </c>
      <c r="I453" s="472">
        <f>-'Foglio deposito bis'!$F$52*(C453-sezione!$AP$28)*IF(ABS(O453)&lt;'Sollecitazioni nel paramento'!$G$58,ABS(O453)*'Sollecitazioni nel paramento'!$G$54,'Sollecitazioni nel paramento'!$G$53)</f>
        <v>31551859.818053808</v>
      </c>
      <c r="J453" s="472">
        <f t="shared" si="35"/>
        <v>-354726390.76873171</v>
      </c>
      <c r="K453" s="550">
        <f>'Sollecitazioni nel paramento'!$G$60*(sezione!$AL$28-C453)/C453</f>
        <v>-2.4217525896151173E-3</v>
      </c>
      <c r="L453" s="550">
        <f>'Sollecitazioni nel paramento'!$G$60*(sezione!$AM$28-C453)/C453</f>
        <v>-1.8826288844226758E-3</v>
      </c>
      <c r="M453" s="551">
        <f>'Sollecitazioni nel paramento'!$G$60*(sezione!$AN$28-C453)/C453</f>
        <v>-1.3435051792302344E-3</v>
      </c>
      <c r="N453" s="551">
        <f>'Sollecitazioni nel paramento'!$G$60*(sezione!$AO$28-C453)/C453</f>
        <v>8.1298964153953121E-4</v>
      </c>
      <c r="O453" s="551">
        <f>'Sollecitazioni nel paramento'!$G$60*(sezione!$AP$28-C453)/C453</f>
        <v>3.5299030598345623E-3</v>
      </c>
      <c r="P453" s="545">
        <f>-'Sollecitazioni nel paramento'!$G$47*'Sollecitazioni nel paramento'!$G$41*IF(DATI!$G$211="dx",DATI!$E$61,DATI!$E$64*DATI!$E$63)*1000*C453*sezione!$AD$5</f>
        <v>-4946527.0666369293</v>
      </c>
      <c r="Q453" s="545">
        <f>'Foglio deposito bis'!$F$48*IF(ABS(K453)&lt;'Sollecitazioni nel paramento'!$G$58,ABS(K453)*'Sollecitazioni nel paramento'!$G$54,'Sollecitazioni nel paramento'!$G$53)*IF(K453&lt;0,-1,1)</f>
        <v>0</v>
      </c>
      <c r="R453" s="545">
        <f>'Foglio deposito bis'!$F$49*IF(ABS(L453)&lt;'Sollecitazioni nel paramento'!$G$58,ABS(L453)*'Sollecitazioni nel paramento'!$G$54,'Sollecitazioni nel paramento'!$G$53)*IF(L453&lt;0,-1,1)</f>
        <v>-204886.47740803001</v>
      </c>
      <c r="S453" s="545">
        <f>'Foglio deposito bis'!$F$50*IF(ABS(M453)&lt;'Sollecitazioni nel paramento'!$G$58,ABS(M453)*'Sollecitazioni nel paramento'!$G$54,'Sollecitazioni nel paramento'!$G$53)*IF(M453&lt;0,-1,1)</f>
        <v>0</v>
      </c>
      <c r="T453" s="545">
        <f>'Foglio deposito bis'!$F$51*IF(ABS(N453)&lt;'Sollecitazioni nel paramento'!$G$58,ABS(N453)*'Sollecitazioni nel paramento'!$G$54,'Sollecitazioni nel paramento'!$G$53)*IF(N453&lt;0,-1,1)</f>
        <v>103123.62635148237</v>
      </c>
      <c r="U453" s="545">
        <f>'Foglio deposito bis'!$F$52*IF(ABS(O453)&lt;'Sollecitazioni nel paramento'!$G$58,ABS(O453)*'Sollecitazioni nel paramento'!$G$54,'Sollecitazioni nel paramento'!$G$53)*IF(O453&lt;0,-1,1)</f>
        <v>240946.49743184328</v>
      </c>
      <c r="V453" s="472">
        <f t="shared" si="37"/>
        <v>-4807343.4202616336</v>
      </c>
      <c r="W453" s="551"/>
      <c r="X453" s="551"/>
    </row>
    <row r="454" spans="1:24" x14ac:dyDescent="0.25">
      <c r="A454" s="545">
        <f t="shared" si="36"/>
        <v>4979035.5644814437</v>
      </c>
      <c r="B454" s="3">
        <f t="shared" si="34"/>
        <v>32.899999999999942</v>
      </c>
      <c r="C454" s="545">
        <f>'Foglio deposito bis'!$E$154/sezione!$B$247*B454</f>
        <v>133.91056017653912</v>
      </c>
      <c r="D454" s="603">
        <f>-'Sollecitazioni nel paramento'!$G$47*'Sollecitazioni nel paramento'!$G$41*IF(DATI!$G$211="dx",DATI!$E$61,DATI!$E$64*DATI!$E$63)*1000*C454^2*sezione!$AD$5*(1-sezione!$AD$6)</f>
        <v>-398963604.20563024</v>
      </c>
      <c r="E454" s="545">
        <f>-'Foglio deposito bis'!$F$48*(C454-sezione!$AL$28)*IF(ABS(K454)&lt;'Sollecitazioni nel paramento'!$G$58,ABS(K454)*'Sollecitazioni nel paramento'!$G$54,'Sollecitazioni nel paramento'!$G$53)</f>
        <v>0</v>
      </c>
      <c r="F454" s="545">
        <f>-'Foglio deposito bis'!$F$49*(C454-sezione!$AM$28)*IF(ABS(L454)&lt;'Sollecitazioni nel paramento'!$G$58,ABS(L454)*'Sollecitazioni nel paramento'!$G$54,'Sollecitazioni nel paramento'!$G$53)</f>
        <v>-15143274.317825327</v>
      </c>
      <c r="G454" s="545">
        <f>-'Foglio deposito bis'!$F$50*(C454-sezione!$AN$28)*IF(ABS(M454)&lt;'Sollecitazioni nel paramento'!$G$58,ABS(M454)*'Sollecitazioni nel paramento'!$G$54,'Sollecitazioni nel paramento'!$G$53)</f>
        <v>0</v>
      </c>
      <c r="H454" s="545">
        <f>-'Foglio deposito bis'!$F$51*(C454-sezione!$AO$28)*IF(ABS(N454)&lt;'Sollecitazioni nel paramento'!$G$58,ABS(N454)*'Sollecitazioni nel paramento'!$G$54,'Sollecitazioni nel paramento'!$G$53)</f>
        <v>2256606.7899531741</v>
      </c>
      <c r="I454" s="472">
        <f>-'Foglio deposito bis'!$F$52*(C454-sezione!$AP$28)*IF(ABS(O454)&lt;'Sollecitazioni nel paramento'!$G$58,ABS(O454)*'Sollecitazioni nel paramento'!$G$54,'Sollecitazioni nel paramento'!$G$53)</f>
        <v>30571152.205784108</v>
      </c>
      <c r="J454" s="472">
        <f t="shared" si="35"/>
        <v>-381279119.52771831</v>
      </c>
      <c r="K454" s="550">
        <f>'Sollecitazioni nel paramento'!$G$60*(sezione!$AL$28-C454)/C454</f>
        <v>-2.4545260671344146E-3</v>
      </c>
      <c r="L454" s="550">
        <f>'Sollecitazioni nel paramento'!$G$60*(sezione!$AM$28-C454)/C454</f>
        <v>-1.9317891007016219E-3</v>
      </c>
      <c r="M454" s="551">
        <f>'Sollecitazioni nel paramento'!$G$60*(sezione!$AN$28-C454)/C454</f>
        <v>-1.4090521342688292E-3</v>
      </c>
      <c r="N454" s="551">
        <f>'Sollecitazioni nel paramento'!$G$60*(sezione!$AO$28-C454)/C454</f>
        <v>6.8189573146234172E-4</v>
      </c>
      <c r="O454" s="551">
        <f>'Sollecitazioni nel paramento'!$G$60*(sezione!$AP$28-C454)/C454</f>
        <v>3.3162281947939978E-3</v>
      </c>
      <c r="P454" s="545">
        <f>-'Sollecitazioni nel paramento'!$G$47*'Sollecitazioni nel paramento'!$G$41*IF(DATI!$G$211="dx",DATI!$E$61,DATI!$E$64*DATI!$E$63)*1000*C454*sezione!$AD$5</f>
        <v>-5101590.6110456092</v>
      </c>
      <c r="Q454" s="545">
        <f>'Foglio deposito bis'!$F$48*IF(ABS(K454)&lt;'Sollecitazioni nel paramento'!$G$58,ABS(K454)*'Sollecitazioni nel paramento'!$G$54,'Sollecitazioni nel paramento'!$G$53)*IF(K454&lt;0,-1,1)</f>
        <v>0</v>
      </c>
      <c r="R454" s="545">
        <f>'Foglio deposito bis'!$F$49*IF(ABS(L454)&lt;'Sollecitazioni nel paramento'!$G$58,ABS(L454)*'Sollecitazioni nel paramento'!$G$54,'Sollecitazioni nel paramento'!$G$53)*IF(L454&lt;0,-1,1)</f>
        <v>-204886.47740803001</v>
      </c>
      <c r="S454" s="545">
        <f>'Foglio deposito bis'!$F$50*IF(ABS(M454)&lt;'Sollecitazioni nel paramento'!$G$58,ABS(M454)*'Sollecitazioni nel paramento'!$G$54,'Sollecitazioni nel paramento'!$G$53)*IF(M454&lt;0,-1,1)</f>
        <v>0</v>
      </c>
      <c r="T454" s="545">
        <f>'Foglio deposito bis'!$F$51*IF(ABS(N454)&lt;'Sollecitazioni nel paramento'!$G$58,ABS(N454)*'Sollecitazioni nel paramento'!$G$54,'Sollecitazioni nel paramento'!$G$53)*IF(N454&lt;0,-1,1)</f>
        <v>86495.026540352337</v>
      </c>
      <c r="U454" s="545">
        <f>'Foglio deposito bis'!$F$52*IF(ABS(O454)&lt;'Sollecitazioni nel paramento'!$G$58,ABS(O454)*'Sollecitazioni nel paramento'!$G$54,'Sollecitazioni nel paramento'!$G$53)*IF(O454&lt;0,-1,1)</f>
        <v>240946.49743184328</v>
      </c>
      <c r="V454" s="472">
        <f t="shared" si="37"/>
        <v>-4979035.5644814437</v>
      </c>
      <c r="W454" s="551"/>
      <c r="X454" s="551"/>
    </row>
    <row r="455" spans="1:24" x14ac:dyDescent="0.25">
      <c r="A455" s="545">
        <f t="shared" si="36"/>
        <v>5149746.6703643156</v>
      </c>
      <c r="B455" s="3">
        <f t="shared" si="34"/>
        <v>33.899999999999942</v>
      </c>
      <c r="C455" s="545">
        <f>'Foglio deposito bis'!$E$154/sezione!$B$247*B455</f>
        <v>137.9807899691391</v>
      </c>
      <c r="D455" s="603">
        <f>-'Sollecitazioni nel paramento'!$G$47*'Sollecitazioni nel paramento'!$G$41*IF(DATI!$G$211="dx",DATI!$E$61,DATI!$E$64*DATI!$E$63)*1000*C455^2*sezione!$AD$5*(1-sezione!$AD$6)</f>
        <v>-423585299.09105831</v>
      </c>
      <c r="E455" s="545">
        <f>-'Foglio deposito bis'!$F$48*(C455-sezione!$AL$28)*IF(ABS(K455)&lt;'Sollecitazioni nel paramento'!$G$58,ABS(K455)*'Sollecitazioni nel paramento'!$G$54,'Sollecitazioni nel paramento'!$G$53)</f>
        <v>0</v>
      </c>
      <c r="F455" s="545">
        <f>-'Foglio deposito bis'!$F$49*(C455-sezione!$AM$28)*IF(ABS(L455)&lt;'Sollecitazioni nel paramento'!$G$58,ABS(L455)*'Sollecitazioni nel paramento'!$G$54,'Sollecitazioni nel paramento'!$G$53)</f>
        <v>-15977209.36227235</v>
      </c>
      <c r="G455" s="545">
        <f>-'Foglio deposito bis'!$F$50*(C455-sezione!$AN$28)*IF(ABS(M455)&lt;'Sollecitazioni nel paramento'!$G$58,ABS(M455)*'Sollecitazioni nel paramento'!$G$54,'Sollecitazioni nel paramento'!$G$53)</f>
        <v>0</v>
      </c>
      <c r="H455" s="545">
        <f>-'Foglio deposito bis'!$F$51*(C455-sezione!$AO$28)*IF(ABS(N455)&lt;'Sollecitazioni nel paramento'!$G$58,ABS(N455)*'Sollecitazioni nel paramento'!$G$54,'Sollecitazioni nel paramento'!$G$53)</f>
        <v>1560005.2134459051</v>
      </c>
      <c r="I455" s="472">
        <f>-'Foglio deposito bis'!$F$52*(C455-sezione!$AP$28)*IF(ABS(O455)&lt;'Sollecitazioni nel paramento'!$G$58,ABS(O455)*'Sollecitazioni nel paramento'!$G$54,'Sollecitazioni nel paramento'!$G$53)</f>
        <v>29590444.593514405</v>
      </c>
      <c r="J455" s="472">
        <f t="shared" si="35"/>
        <v>-408412058.64637035</v>
      </c>
      <c r="K455" s="550">
        <f>'Sollecitazioni nel paramento'!$G$60*(sezione!$AL$28-C455)/C455</f>
        <v>-2.4853660061569982E-3</v>
      </c>
      <c r="L455" s="550">
        <f>'Sollecitazioni nel paramento'!$G$60*(sezione!$AM$28-C455)/C455</f>
        <v>-1.9780490092354977E-3</v>
      </c>
      <c r="M455" s="551">
        <f>'Sollecitazioni nel paramento'!$G$60*(sezione!$AN$28-C455)/C455</f>
        <v>-1.4707320123139964E-3</v>
      </c>
      <c r="N455" s="551">
        <f>'Sollecitazioni nel paramento'!$G$60*(sezione!$AO$28-C455)/C455</f>
        <v>5.5853597537200721E-4</v>
      </c>
      <c r="O455" s="551">
        <f>'Sollecitazioni nel paramento'!$G$60*(sezione!$AP$28-C455)/C455</f>
        <v>3.1151595164814901E-3</v>
      </c>
      <c r="P455" s="545">
        <f>-'Sollecitazioni nel paramento'!$G$47*'Sollecitazioni nel paramento'!$G$41*IF(DATI!$G$211="dx",DATI!$E$61,DATI!$E$64*DATI!$E$63)*1000*C455*sezione!$AD$5</f>
        <v>-5256654.155454291</v>
      </c>
      <c r="Q455" s="545">
        <f>'Foglio deposito bis'!$F$48*IF(ABS(K455)&lt;'Sollecitazioni nel paramento'!$G$58,ABS(K455)*'Sollecitazioni nel paramento'!$G$54,'Sollecitazioni nel paramento'!$G$53)*IF(K455&lt;0,-1,1)</f>
        <v>0</v>
      </c>
      <c r="R455" s="545">
        <f>'Foglio deposito bis'!$F$49*IF(ABS(L455)&lt;'Sollecitazioni nel paramento'!$G$58,ABS(L455)*'Sollecitazioni nel paramento'!$G$54,'Sollecitazioni nel paramento'!$G$53)*IF(L455&lt;0,-1,1)</f>
        <v>-204886.47740803001</v>
      </c>
      <c r="S455" s="545">
        <f>'Foglio deposito bis'!$F$50*IF(ABS(M455)&lt;'Sollecitazioni nel paramento'!$G$58,ABS(M455)*'Sollecitazioni nel paramento'!$G$54,'Sollecitazioni nel paramento'!$G$53)*IF(M455&lt;0,-1,1)</f>
        <v>0</v>
      </c>
      <c r="T455" s="545">
        <f>'Foglio deposito bis'!$F$51*IF(ABS(N455)&lt;'Sollecitazioni nel paramento'!$G$58,ABS(N455)*'Sollecitazioni nel paramento'!$G$54,'Sollecitazioni nel paramento'!$G$53)*IF(N455&lt;0,-1,1)</f>
        <v>70847.465066162156</v>
      </c>
      <c r="U455" s="545">
        <f>'Foglio deposito bis'!$F$52*IF(ABS(O455)&lt;'Sollecitazioni nel paramento'!$G$58,ABS(O455)*'Sollecitazioni nel paramento'!$G$54,'Sollecitazioni nel paramento'!$G$53)*IF(O455&lt;0,-1,1)</f>
        <v>240946.49743184328</v>
      </c>
      <c r="V455" s="472">
        <f t="shared" si="37"/>
        <v>-5149746.6703643156</v>
      </c>
      <c r="W455" s="551"/>
      <c r="X455" s="551"/>
    </row>
    <row r="456" spans="1:24" x14ac:dyDescent="0.25">
      <c r="A456" s="545">
        <f t="shared" si="36"/>
        <v>5319561.0678532515</v>
      </c>
      <c r="B456" s="3">
        <f t="shared" si="34"/>
        <v>34.899999999999942</v>
      </c>
      <c r="C456" s="545">
        <f>'Foglio deposito bis'!$E$154/sezione!$B$247*B456</f>
        <v>142.0510197617391</v>
      </c>
      <c r="D456" s="603">
        <f>-'Sollecitazioni nel paramento'!$G$47*'Sollecitazioni nel paramento'!$G$41*IF(DATI!$G$211="dx",DATI!$E$61,DATI!$E$64*DATI!$E$63)*1000*C456^2*sezione!$AD$5*(1-sezione!$AD$6)</f>
        <v>-448944170.47006214</v>
      </c>
      <c r="E456" s="545">
        <f>-'Foglio deposito bis'!$F$48*(C456-sezione!$AL$28)*IF(ABS(K456)&lt;'Sollecitazioni nel paramento'!$G$58,ABS(K456)*'Sollecitazioni nel paramento'!$G$54,'Sollecitazioni nel paramento'!$G$53)</f>
        <v>0</v>
      </c>
      <c r="F456" s="545">
        <f>-'Foglio deposito bis'!$F$49*(C456-sezione!$AM$28)*IF(ABS(L456)&lt;'Sollecitazioni nel paramento'!$G$58,ABS(L456)*'Sollecitazioni nel paramento'!$G$54,'Sollecitazioni nel paramento'!$G$53)</f>
        <v>-16811144.406719383</v>
      </c>
      <c r="G456" s="545">
        <f>-'Foglio deposito bis'!$F$50*(C456-sezione!$AN$28)*IF(ABS(M456)&lt;'Sollecitazioni nel paramento'!$G$58,ABS(M456)*'Sollecitazioni nel paramento'!$G$54,'Sollecitazioni nel paramento'!$G$53)</f>
        <v>0</v>
      </c>
      <c r="H456" s="545">
        <f>-'Foglio deposito bis'!$F$51*(C456-sezione!$AO$28)*IF(ABS(N456)&lt;'Sollecitazioni nel paramento'!$G$58,ABS(N456)*'Sollecitazioni nel paramento'!$G$54,'Sollecitazioni nel paramento'!$G$53)</f>
        <v>1006876.9799684569</v>
      </c>
      <c r="I456" s="472">
        <f>-'Foglio deposito bis'!$F$52*(C456-sezione!$AP$28)*IF(ABS(O456)&lt;'Sollecitazioni nel paramento'!$G$58,ABS(O456)*'Sollecitazioni nel paramento'!$G$54,'Sollecitazioni nel paramento'!$G$53)</f>
        <v>28609736.981244694</v>
      </c>
      <c r="J456" s="472">
        <f t="shared" si="35"/>
        <v>-436138700.91556841</v>
      </c>
      <c r="K456" s="550">
        <f>'Sollecitazioni nel paramento'!$G$60*(sezione!$AL$28-C456)/C456</f>
        <v>-2.514438613430437E-3</v>
      </c>
      <c r="L456" s="550">
        <f>'Sollecitazioni nel paramento'!$G$60*(sezione!$AM$28-C456)/C456</f>
        <v>-2.0216579201456555E-3</v>
      </c>
      <c r="M456" s="551">
        <f>'Sollecitazioni nel paramento'!$G$60*(sezione!$AN$28-C456)/C456</f>
        <v>-1.5288772268608737E-3</v>
      </c>
      <c r="N456" s="551">
        <f>'Sollecitazioni nel paramento'!$G$60*(sezione!$AO$28-C456)/C456</f>
        <v>4.4224554627825258E-4</v>
      </c>
      <c r="O456" s="551">
        <f>'Sollecitazioni nel paramento'!$G$60*(sezione!$AP$28-C456)/C456</f>
        <v>2.9256133985307298E-3</v>
      </c>
      <c r="P456" s="545">
        <f>-'Sollecitazioni nel paramento'!$G$47*'Sollecitazioni nel paramento'!$G$41*IF(DATI!$G$211="dx",DATI!$E$61,DATI!$E$64*DATI!$E$63)*1000*C456*sezione!$AD$5</f>
        <v>-5411717.6998629728</v>
      </c>
      <c r="Q456" s="545">
        <f>'Foglio deposito bis'!$F$48*IF(ABS(K456)&lt;'Sollecitazioni nel paramento'!$G$58,ABS(K456)*'Sollecitazioni nel paramento'!$G$54,'Sollecitazioni nel paramento'!$G$53)*IF(K456&lt;0,-1,1)</f>
        <v>0</v>
      </c>
      <c r="R456" s="545">
        <f>'Foglio deposito bis'!$F$49*IF(ABS(L456)&lt;'Sollecitazioni nel paramento'!$G$58,ABS(L456)*'Sollecitazioni nel paramento'!$G$54,'Sollecitazioni nel paramento'!$G$53)*IF(L456&lt;0,-1,1)</f>
        <v>-204886.47740803001</v>
      </c>
      <c r="S456" s="545">
        <f>'Foglio deposito bis'!$F$50*IF(ABS(M456)&lt;'Sollecitazioni nel paramento'!$G$58,ABS(M456)*'Sollecitazioni nel paramento'!$G$54,'Sollecitazioni nel paramento'!$G$53)*IF(M456&lt;0,-1,1)</f>
        <v>0</v>
      </c>
      <c r="T456" s="545">
        <f>'Foglio deposito bis'!$F$51*IF(ABS(N456)&lt;'Sollecitazioni nel paramento'!$G$58,ABS(N456)*'Sollecitazioni nel paramento'!$G$54,'Sollecitazioni nel paramento'!$G$53)*IF(N456&lt;0,-1,1)</f>
        <v>56096.611985908254</v>
      </c>
      <c r="U456" s="545">
        <f>'Foglio deposito bis'!$F$52*IF(ABS(O456)&lt;'Sollecitazioni nel paramento'!$G$58,ABS(O456)*'Sollecitazioni nel paramento'!$G$54,'Sollecitazioni nel paramento'!$G$53)*IF(O456&lt;0,-1,1)</f>
        <v>240946.49743184328</v>
      </c>
      <c r="V456" s="472">
        <f t="shared" si="37"/>
        <v>-5319561.0678532515</v>
      </c>
      <c r="W456" s="551"/>
      <c r="X456" s="551"/>
    </row>
    <row r="457" spans="1:24" x14ac:dyDescent="0.25">
      <c r="A457" s="545">
        <f t="shared" si="36"/>
        <v>5488553.6907973262</v>
      </c>
      <c r="B457" s="3">
        <f t="shared" si="34"/>
        <v>35.899999999999942</v>
      </c>
      <c r="C457" s="545">
        <f>'Foglio deposito bis'!$E$154/sezione!$B$247*B457</f>
        <v>146.12124955433907</v>
      </c>
      <c r="D457" s="603">
        <f>-'Sollecitazioni nel paramento'!$G$47*'Sollecitazioni nel paramento'!$G$41*IF(DATI!$G$211="dx",DATI!$E$61,DATI!$E$64*DATI!$E$63)*1000*C457^2*sezione!$AD$5*(1-sezione!$AD$6)</f>
        <v>-475040218.34264147</v>
      </c>
      <c r="E457" s="545">
        <f>-'Foglio deposito bis'!$F$48*(C457-sezione!$AL$28)*IF(ABS(K457)&lt;'Sollecitazioni nel paramento'!$G$58,ABS(K457)*'Sollecitazioni nel paramento'!$G$54,'Sollecitazioni nel paramento'!$G$53)</f>
        <v>0</v>
      </c>
      <c r="F457" s="545">
        <f>-'Foglio deposito bis'!$F$49*(C457-sezione!$AM$28)*IF(ABS(L457)&lt;'Sollecitazioni nel paramento'!$G$58,ABS(L457)*'Sollecitazioni nel paramento'!$G$54,'Sollecitazioni nel paramento'!$G$53)</f>
        <v>-17645079.451166406</v>
      </c>
      <c r="G457" s="545">
        <f>-'Foglio deposito bis'!$F$50*(C457-sezione!$AN$28)*IF(ABS(M457)&lt;'Sollecitazioni nel paramento'!$G$58,ABS(M457)*'Sollecitazioni nel paramento'!$G$54,'Sollecitazioni nel paramento'!$G$53)</f>
        <v>0</v>
      </c>
      <c r="H457" s="545">
        <f>-'Foglio deposito bis'!$F$51*(C457-sezione!$AO$28)*IF(ABS(N457)&lt;'Sollecitazioni nel paramento'!$G$58,ABS(N457)*'Sollecitazioni nel paramento'!$G$54,'Sollecitazioni nel paramento'!$G$53)</f>
        <v>585232.67366876267</v>
      </c>
      <c r="I457" s="472">
        <f>-'Foglio deposito bis'!$F$52*(C457-sezione!$AP$28)*IF(ABS(O457)&lt;'Sollecitazioni nel paramento'!$G$58,ABS(O457)*'Sollecitazioni nel paramento'!$G$54,'Sollecitazioni nel paramento'!$G$53)</f>
        <v>27629029.368974995</v>
      </c>
      <c r="J457" s="472">
        <f t="shared" si="35"/>
        <v>-464471035.75116414</v>
      </c>
      <c r="K457" s="550">
        <f>'Sollecitazioni nel paramento'!$G$60*(sezione!$AL$28-C457)/C457</f>
        <v>-2.5418915768446308E-3</v>
      </c>
      <c r="L457" s="550">
        <f>'Sollecitazioni nel paramento'!$G$60*(sezione!$AM$28-C457)/C457</f>
        <v>-2.0628373652669461E-3</v>
      </c>
      <c r="M457" s="551">
        <f>'Sollecitazioni nel paramento'!$G$60*(sezione!$AN$28-C457)/C457</f>
        <v>-1.5837831536892617E-3</v>
      </c>
      <c r="N457" s="551">
        <f>'Sollecitazioni nel paramento'!$G$60*(sezione!$AO$28-C457)/C457</f>
        <v>3.324336926214767E-4</v>
      </c>
      <c r="O457" s="551">
        <f>'Sollecitazioni nel paramento'!$G$60*(sezione!$AP$28-C457)/C457</f>
        <v>2.7466269528892058E-3</v>
      </c>
      <c r="P457" s="545">
        <f>-'Sollecitazioni nel paramento'!$G$47*'Sollecitazioni nel paramento'!$G$41*IF(DATI!$G$211="dx",DATI!$E$61,DATI!$E$64*DATI!$E$63)*1000*C457*sezione!$AD$5</f>
        <v>-5566781.2442716546</v>
      </c>
      <c r="Q457" s="545">
        <f>'Foglio deposito bis'!$F$48*IF(ABS(K457)&lt;'Sollecitazioni nel paramento'!$G$58,ABS(K457)*'Sollecitazioni nel paramento'!$G$54,'Sollecitazioni nel paramento'!$G$53)*IF(K457&lt;0,-1,1)</f>
        <v>0</v>
      </c>
      <c r="R457" s="545">
        <f>'Foglio deposito bis'!$F$49*IF(ABS(L457)&lt;'Sollecitazioni nel paramento'!$G$58,ABS(L457)*'Sollecitazioni nel paramento'!$G$54,'Sollecitazioni nel paramento'!$G$53)*IF(L457&lt;0,-1,1)</f>
        <v>-204886.47740803001</v>
      </c>
      <c r="S457" s="545">
        <f>'Foglio deposito bis'!$F$50*IF(ABS(M457)&lt;'Sollecitazioni nel paramento'!$G$58,ABS(M457)*'Sollecitazioni nel paramento'!$G$54,'Sollecitazioni nel paramento'!$G$53)*IF(M457&lt;0,-1,1)</f>
        <v>0</v>
      </c>
      <c r="T457" s="545">
        <f>'Foglio deposito bis'!$F$51*IF(ABS(N457)&lt;'Sollecitazioni nel paramento'!$G$58,ABS(N457)*'Sollecitazioni nel paramento'!$G$54,'Sollecitazioni nel paramento'!$G$53)*IF(N457&lt;0,-1,1)</f>
        <v>42167.533450515395</v>
      </c>
      <c r="U457" s="545">
        <f>'Foglio deposito bis'!$F$52*IF(ABS(O457)&lt;'Sollecitazioni nel paramento'!$G$58,ABS(O457)*'Sollecitazioni nel paramento'!$G$54,'Sollecitazioni nel paramento'!$G$53)*IF(O457&lt;0,-1,1)</f>
        <v>240946.49743184328</v>
      </c>
      <c r="V457" s="472">
        <f t="shared" si="37"/>
        <v>-5488553.6907973262</v>
      </c>
      <c r="W457" s="551"/>
      <c r="X457" s="551"/>
    </row>
    <row r="458" spans="1:24" x14ac:dyDescent="0.25">
      <c r="A458" s="545">
        <f t="shared" si="36"/>
        <v>5656791.3501351448</v>
      </c>
      <c r="B458" s="3">
        <f t="shared" si="34"/>
        <v>36.899999999999942</v>
      </c>
      <c r="C458" s="545">
        <f>'Foglio deposito bis'!$E$154/sezione!$B$247*B458</f>
        <v>150.19147934693905</v>
      </c>
      <c r="D458" s="603">
        <f>-'Sollecitazioni nel paramento'!$G$47*'Sollecitazioni nel paramento'!$G$41*IF(DATI!$G$211="dx",DATI!$E$61,DATI!$E$64*DATI!$E$63)*1000*C458^2*sezione!$AD$5*(1-sezione!$AD$6)</f>
        <v>-501873442.70879656</v>
      </c>
      <c r="E458" s="545">
        <f>-'Foglio deposito bis'!$F$48*(C458-sezione!$AL$28)*IF(ABS(K458)&lt;'Sollecitazioni nel paramento'!$G$58,ABS(K458)*'Sollecitazioni nel paramento'!$G$54,'Sollecitazioni nel paramento'!$G$53)</f>
        <v>0</v>
      </c>
      <c r="F458" s="545">
        <f>-'Foglio deposito bis'!$F$49*(C458-sezione!$AM$28)*IF(ABS(L458)&lt;'Sollecitazioni nel paramento'!$G$58,ABS(L458)*'Sollecitazioni nel paramento'!$G$54,'Sollecitazioni nel paramento'!$G$53)</f>
        <v>-18479014.495613433</v>
      </c>
      <c r="G458" s="545">
        <f>-'Foglio deposito bis'!$F$50*(C458-sezione!$AN$28)*IF(ABS(M458)&lt;'Sollecitazioni nel paramento'!$G$58,ABS(M458)*'Sollecitazioni nel paramento'!$G$54,'Sollecitazioni nel paramento'!$G$53)</f>
        <v>0</v>
      </c>
      <c r="H458" s="545">
        <f>-'Foglio deposito bis'!$F$51*(C458-sezione!$AO$28)*IF(ABS(N458)&lt;'Sollecitazioni nel paramento'!$G$58,ABS(N458)*'Sollecitazioni nel paramento'!$G$54,'Sollecitazioni nel paramento'!$G$53)</f>
        <v>284382.54436976532</v>
      </c>
      <c r="I458" s="472">
        <f>-'Foglio deposito bis'!$F$52*(C458-sezione!$AP$28)*IF(ABS(O458)&lt;'Sollecitazioni nel paramento'!$G$58,ABS(O458)*'Sollecitazioni nel paramento'!$G$54,'Sollecitazioni nel paramento'!$G$53)</f>
        <v>26648321.756705295</v>
      </c>
      <c r="J458" s="472">
        <f t="shared" si="35"/>
        <v>-493419752.90333498</v>
      </c>
      <c r="K458" s="550">
        <f>'Sollecitazioni nel paramento'!$G$60*(sezione!$AL$28-C458)/C458</f>
        <v>-2.5678565747621206E-3</v>
      </c>
      <c r="L458" s="550">
        <f>'Sollecitazioni nel paramento'!$G$60*(sezione!$AM$28-C458)/C458</f>
        <v>-2.1017848621431808E-3</v>
      </c>
      <c r="M458" s="551">
        <f>'Sollecitazioni nel paramento'!$G$60*(sezione!$AN$28-C458)/C458</f>
        <v>-1.6357131495242411E-3</v>
      </c>
      <c r="N458" s="551">
        <f>'Sollecitazioni nel paramento'!$G$60*(sezione!$AO$28-C458)/C458</f>
        <v>2.28573700951518E-4</v>
      </c>
      <c r="O458" s="551">
        <f>'Sollecitazioni nel paramento'!$G$60*(sezione!$AP$28-C458)/C458</f>
        <v>2.577341669613075E-3</v>
      </c>
      <c r="P458" s="545">
        <f>-'Sollecitazioni nel paramento'!$G$47*'Sollecitazioni nel paramento'!$G$41*IF(DATI!$G$211="dx",DATI!$E$61,DATI!$E$64*DATI!$E$63)*1000*C458*sezione!$AD$5</f>
        <v>-5721844.7886803355</v>
      </c>
      <c r="Q458" s="545">
        <f>'Foglio deposito bis'!$F$48*IF(ABS(K458)&lt;'Sollecitazioni nel paramento'!$G$58,ABS(K458)*'Sollecitazioni nel paramento'!$G$54,'Sollecitazioni nel paramento'!$G$53)*IF(K458&lt;0,-1,1)</f>
        <v>0</v>
      </c>
      <c r="R458" s="545">
        <f>'Foglio deposito bis'!$F$49*IF(ABS(L458)&lt;'Sollecitazioni nel paramento'!$G$58,ABS(L458)*'Sollecitazioni nel paramento'!$G$54,'Sollecitazioni nel paramento'!$G$53)*IF(L458&lt;0,-1,1)</f>
        <v>-204886.47740803001</v>
      </c>
      <c r="S458" s="545">
        <f>'Foglio deposito bis'!$F$50*IF(ABS(M458)&lt;'Sollecitazioni nel paramento'!$G$58,ABS(M458)*'Sollecitazioni nel paramento'!$G$54,'Sollecitazioni nel paramento'!$G$53)*IF(M458&lt;0,-1,1)</f>
        <v>0</v>
      </c>
      <c r="T458" s="545">
        <f>'Foglio deposito bis'!$F$51*IF(ABS(N458)&lt;'Sollecitazioni nel paramento'!$G$58,ABS(N458)*'Sollecitazioni nel paramento'!$G$54,'Sollecitazioni nel paramento'!$G$53)*IF(N458&lt;0,-1,1)</f>
        <v>28993.418521376901</v>
      </c>
      <c r="U458" s="545">
        <f>'Foglio deposito bis'!$F$52*IF(ABS(O458)&lt;'Sollecitazioni nel paramento'!$G$58,ABS(O458)*'Sollecitazioni nel paramento'!$G$54,'Sollecitazioni nel paramento'!$G$53)*IF(O458&lt;0,-1,1)</f>
        <v>240946.49743184328</v>
      </c>
      <c r="V458" s="472">
        <f t="shared" si="37"/>
        <v>-5656791.3501351448</v>
      </c>
      <c r="W458" s="551"/>
      <c r="X458" s="551"/>
    </row>
    <row r="459" spans="1:24" x14ac:dyDescent="0.25">
      <c r="A459" s="545">
        <f t="shared" si="36"/>
        <v>5824333.8055189215</v>
      </c>
      <c r="B459" s="3">
        <f t="shared" si="34"/>
        <v>37.899999999999942</v>
      </c>
      <c r="C459" s="545">
        <f>'Foglio deposito bis'!$E$154/sezione!$B$247*B459</f>
        <v>154.26170913953902</v>
      </c>
      <c r="D459" s="603">
        <f>-'Sollecitazioni nel paramento'!$G$47*'Sollecitazioni nel paramento'!$G$41*IF(DATI!$G$211="dx",DATI!$E$61,DATI!$E$64*DATI!$E$63)*1000*C459^2*sezione!$AD$5*(1-sezione!$AD$6)</f>
        <v>-529443843.56852734</v>
      </c>
      <c r="E459" s="545">
        <f>-'Foglio deposito bis'!$F$48*(C459-sezione!$AL$28)*IF(ABS(K459)&lt;'Sollecitazioni nel paramento'!$G$58,ABS(K459)*'Sollecitazioni nel paramento'!$G$54,'Sollecitazioni nel paramento'!$G$53)</f>
        <v>0</v>
      </c>
      <c r="F459" s="545">
        <f>-'Foglio deposito bis'!$F$49*(C459-sezione!$AM$28)*IF(ABS(L459)&lt;'Sollecitazioni nel paramento'!$G$58,ABS(L459)*'Sollecitazioni nel paramento'!$G$54,'Sollecitazioni nel paramento'!$G$53)</f>
        <v>-19312949.540060457</v>
      </c>
      <c r="G459" s="545">
        <f>-'Foglio deposito bis'!$F$50*(C459-sezione!$AN$28)*IF(ABS(M459)&lt;'Sollecitazioni nel paramento'!$G$58,ABS(M459)*'Sollecitazioni nel paramento'!$G$54,'Sollecitazioni nel paramento'!$G$53)</f>
        <v>0</v>
      </c>
      <c r="H459" s="545">
        <f>-'Foglio deposito bis'!$F$51*(C459-sezione!$AO$28)*IF(ABS(N459)&lt;'Sollecitazioni nel paramento'!$G$58,ABS(N459)*'Sollecitazioni nel paramento'!$G$54,'Sollecitazioni nel paramento'!$G$53)</f>
        <v>94765.04771784757</v>
      </c>
      <c r="I459" s="472">
        <f>-'Foglio deposito bis'!$F$52*(C459-sezione!$AP$28)*IF(ABS(O459)&lt;'Sollecitazioni nel paramento'!$G$58,ABS(O459)*'Sollecitazioni nel paramento'!$G$54,'Sollecitazioni nel paramento'!$G$53)</f>
        <v>25667614.144435592</v>
      </c>
      <c r="J459" s="472">
        <f t="shared" si="35"/>
        <v>-522994413.91643435</v>
      </c>
      <c r="K459" s="550">
        <f>'Sollecitazioni nel paramento'!$G$60*(sezione!$AL$28-C459)/C459</f>
        <v>-2.5924513880929353E-3</v>
      </c>
      <c r="L459" s="550">
        <f>'Sollecitazioni nel paramento'!$G$60*(sezione!$AM$28-C459)/C459</f>
        <v>-2.1386770821394028E-3</v>
      </c>
      <c r="M459" s="551">
        <f>'Sollecitazioni nel paramento'!$G$60*(sezione!$AN$28-C459)/C459</f>
        <v>-1.6849027761858704E-3</v>
      </c>
      <c r="N459" s="551">
        <f>'Sollecitazioni nel paramento'!$G$60*(sezione!$AO$28-C459)/C459</f>
        <v>1.3019444762825893E-4</v>
      </c>
      <c r="O459" s="551">
        <f>'Sollecitazioni nel paramento'!$G$60*(sezione!$AP$28-C459)/C459</f>
        <v>2.4169896466681392E-3</v>
      </c>
      <c r="P459" s="545">
        <f>-'Sollecitazioni nel paramento'!$G$47*'Sollecitazioni nel paramento'!$G$41*IF(DATI!$G$211="dx",DATI!$E$61,DATI!$E$64*DATI!$E$63)*1000*C459*sezione!$AD$5</f>
        <v>-5876908.3330890173</v>
      </c>
      <c r="Q459" s="545">
        <f>'Foglio deposito bis'!$F$48*IF(ABS(K459)&lt;'Sollecitazioni nel paramento'!$G$58,ABS(K459)*'Sollecitazioni nel paramento'!$G$54,'Sollecitazioni nel paramento'!$G$53)*IF(K459&lt;0,-1,1)</f>
        <v>0</v>
      </c>
      <c r="R459" s="545">
        <f>'Foglio deposito bis'!$F$49*IF(ABS(L459)&lt;'Sollecitazioni nel paramento'!$G$58,ABS(L459)*'Sollecitazioni nel paramento'!$G$54,'Sollecitazioni nel paramento'!$G$53)*IF(L459&lt;0,-1,1)</f>
        <v>-204886.47740803001</v>
      </c>
      <c r="S459" s="545">
        <f>'Foglio deposito bis'!$F$50*IF(ABS(M459)&lt;'Sollecitazioni nel paramento'!$G$58,ABS(M459)*'Sollecitazioni nel paramento'!$G$54,'Sollecitazioni nel paramento'!$G$53)*IF(M459&lt;0,-1,1)</f>
        <v>0</v>
      </c>
      <c r="T459" s="545">
        <f>'Foglio deposito bis'!$F$51*IF(ABS(N459)&lt;'Sollecitazioni nel paramento'!$G$58,ABS(N459)*'Sollecitazioni nel paramento'!$G$54,'Sollecitazioni nel paramento'!$G$53)*IF(N459&lt;0,-1,1)</f>
        <v>16514.507546282646</v>
      </c>
      <c r="U459" s="545">
        <f>'Foglio deposito bis'!$F$52*IF(ABS(O459)&lt;'Sollecitazioni nel paramento'!$G$58,ABS(O459)*'Sollecitazioni nel paramento'!$G$54,'Sollecitazioni nel paramento'!$G$53)*IF(O459&lt;0,-1,1)</f>
        <v>240946.49743184328</v>
      </c>
      <c r="V459" s="472">
        <f t="shared" si="37"/>
        <v>-5824333.8055189215</v>
      </c>
      <c r="W459" s="551"/>
      <c r="X459" s="551"/>
    </row>
    <row r="460" spans="1:24" x14ac:dyDescent="0.25">
      <c r="A460" s="545">
        <f t="shared" si="36"/>
        <v>5991234.6716494784</v>
      </c>
      <c r="B460" s="3">
        <f t="shared" si="34"/>
        <v>38.899999999999942</v>
      </c>
      <c r="C460" s="545">
        <f>'Foglio deposito bis'!$E$154/sezione!$B$247*B460</f>
        <v>158.331938932139</v>
      </c>
      <c r="D460" s="603">
        <f>-'Sollecitazioni nel paramento'!$G$47*'Sollecitazioni nel paramento'!$G$41*IF(DATI!$G$211="dx",DATI!$E$61,DATI!$E$64*DATI!$E$63)*1000*C460^2*sezione!$AD$5*(1-sezione!$AD$6)</f>
        <v>-557751420.92183375</v>
      </c>
      <c r="E460" s="545">
        <f>-'Foglio deposito bis'!$F$48*(C460-sezione!$AL$28)*IF(ABS(K460)&lt;'Sollecitazioni nel paramento'!$G$58,ABS(K460)*'Sollecitazioni nel paramento'!$G$54,'Sollecitazioni nel paramento'!$G$53)</f>
        <v>0</v>
      </c>
      <c r="F460" s="545">
        <f>-'Foglio deposito bis'!$F$49*(C460-sezione!$AM$28)*IF(ABS(L460)&lt;'Sollecitazioni nel paramento'!$G$58,ABS(L460)*'Sollecitazioni nel paramento'!$G$54,'Sollecitazioni nel paramento'!$G$53)</f>
        <v>-20146884.584507484</v>
      </c>
      <c r="G460" s="545">
        <f>-'Foglio deposito bis'!$F$50*(C460-sezione!$AN$28)*IF(ABS(M460)&lt;'Sollecitazioni nel paramento'!$G$58,ABS(M460)*'Sollecitazioni nel paramento'!$G$54,'Sollecitazioni nel paramento'!$G$53)</f>
        <v>0</v>
      </c>
      <c r="H460" s="545">
        <f>-'Foglio deposito bis'!$F$51*(C460-sezione!$AO$28)*IF(ABS(N460)&lt;'Sollecitazioni nel paramento'!$G$58,ABS(N460)*'Sollecitazioni nel paramento'!$G$54,'Sollecitazioni nel paramento'!$G$53)</f>
        <v>7801.8315808440393</v>
      </c>
      <c r="I460" s="472">
        <f>-'Foglio deposito bis'!$F$52*(C460-sezione!$AP$28)*IF(ABS(O460)&lt;'Sollecitazioni nel paramento'!$G$58,ABS(O460)*'Sollecitazioni nel paramento'!$G$54,'Sollecitazioni nel paramento'!$G$53)</f>
        <v>24686906.532165889</v>
      </c>
      <c r="J460" s="472">
        <f t="shared" si="35"/>
        <v>-553203597.14259446</v>
      </c>
      <c r="K460" s="550">
        <f>'Sollecitazioni nel paramento'!$G$60*(sezione!$AL$28-C460)/C460</f>
        <v>-2.6157816865995439E-3</v>
      </c>
      <c r="L460" s="550">
        <f>'Sollecitazioni nel paramento'!$G$60*(sezione!$AM$28-C460)/C460</f>
        <v>-2.1736725298993156E-3</v>
      </c>
      <c r="M460" s="551">
        <f>'Sollecitazioni nel paramento'!$G$60*(sezione!$AN$28-C460)/C460</f>
        <v>-1.7315633731990873E-3</v>
      </c>
      <c r="N460" s="551">
        <f>'Sollecitazioni nel paramento'!$G$60*(sezione!$AO$28-C460)/C460</f>
        <v>3.6873253601825525E-5</v>
      </c>
      <c r="O460" s="551">
        <f>'Sollecitazioni nel paramento'!$G$60*(sezione!$AP$28-C460)/C460</f>
        <v>2.2648819436689584E-3</v>
      </c>
      <c r="P460" s="545">
        <f>-'Sollecitazioni nel paramento'!$G$47*'Sollecitazioni nel paramento'!$G$41*IF(DATI!$G$211="dx",DATI!$E$61,DATI!$E$64*DATI!$E$63)*1000*C460*sezione!$AD$5</f>
        <v>-6031971.8774976982</v>
      </c>
      <c r="Q460" s="545">
        <f>'Foglio deposito bis'!$F$48*IF(ABS(K460)&lt;'Sollecitazioni nel paramento'!$G$58,ABS(K460)*'Sollecitazioni nel paramento'!$G$54,'Sollecitazioni nel paramento'!$G$53)*IF(K460&lt;0,-1,1)</f>
        <v>0</v>
      </c>
      <c r="R460" s="545">
        <f>'Foglio deposito bis'!$F$49*IF(ABS(L460)&lt;'Sollecitazioni nel paramento'!$G$58,ABS(L460)*'Sollecitazioni nel paramento'!$G$54,'Sollecitazioni nel paramento'!$G$53)*IF(L460&lt;0,-1,1)</f>
        <v>-204886.47740803001</v>
      </c>
      <c r="S460" s="545">
        <f>'Foglio deposito bis'!$F$50*IF(ABS(M460)&lt;'Sollecitazioni nel paramento'!$G$58,ABS(M460)*'Sollecitazioni nel paramento'!$G$54,'Sollecitazioni nel paramento'!$G$53)*IF(M460&lt;0,-1,1)</f>
        <v>0</v>
      </c>
      <c r="T460" s="545">
        <f>'Foglio deposito bis'!$F$51*IF(ABS(N460)&lt;'Sollecitazioni nel paramento'!$G$58,ABS(N460)*'Sollecitazioni nel paramento'!$G$54,'Sollecitazioni nel paramento'!$G$53)*IF(N460&lt;0,-1,1)</f>
        <v>4677.1858244066098</v>
      </c>
      <c r="U460" s="545">
        <f>'Foglio deposito bis'!$F$52*IF(ABS(O460)&lt;'Sollecitazioni nel paramento'!$G$58,ABS(O460)*'Sollecitazioni nel paramento'!$G$54,'Sollecitazioni nel paramento'!$G$53)*IF(O460&lt;0,-1,1)</f>
        <v>240946.49743184328</v>
      </c>
      <c r="V460" s="472">
        <f t="shared" si="37"/>
        <v>-5991234.6716494784</v>
      </c>
      <c r="W460" s="551"/>
      <c r="X460" s="551"/>
    </row>
    <row r="461" spans="1:24" x14ac:dyDescent="0.25">
      <c r="A461" s="545">
        <f t="shared" si="36"/>
        <v>6157542.1883202931</v>
      </c>
      <c r="B461" s="3">
        <f t="shared" si="34"/>
        <v>39.899999999999942</v>
      </c>
      <c r="C461" s="545">
        <f>'Foglio deposito bis'!$E$154/sezione!$B$247*B461</f>
        <v>162.402168724739</v>
      </c>
      <c r="D461" s="603">
        <f>-'Sollecitazioni nel paramento'!$G$47*'Sollecitazioni nel paramento'!$G$41*IF(DATI!$G$211="dx",DATI!$E$61,DATI!$E$64*DATI!$E$63)*1000*C461^2*sezione!$AD$5*(1-sezione!$AD$6)</f>
        <v>-586796174.76871622</v>
      </c>
      <c r="E461" s="545">
        <f>-'Foglio deposito bis'!$F$48*(C461-sezione!$AL$28)*IF(ABS(K461)&lt;'Sollecitazioni nel paramento'!$G$58,ABS(K461)*'Sollecitazioni nel paramento'!$G$54,'Sollecitazioni nel paramento'!$G$53)</f>
        <v>0</v>
      </c>
      <c r="F461" s="545">
        <f>-'Foglio deposito bis'!$F$49*(C461-sezione!$AM$28)*IF(ABS(L461)&lt;'Sollecitazioni nel paramento'!$G$58,ABS(L461)*'Sollecitazioni nel paramento'!$G$54,'Sollecitazioni nel paramento'!$G$53)</f>
        <v>-20980819.628954515</v>
      </c>
      <c r="G461" s="545">
        <f>-'Foglio deposito bis'!$F$50*(C461-sezione!$AN$28)*IF(ABS(M461)&lt;'Sollecitazioni nel paramento'!$G$58,ABS(M461)*'Sollecitazioni nel paramento'!$G$54,'Sollecitazioni nel paramento'!$G$53)</f>
        <v>0</v>
      </c>
      <c r="H461" s="545">
        <f>-'Foglio deposito bis'!$F$51*(C461-sezione!$AO$28)*IF(ABS(N461)&lt;'Sollecitazioni nel paramento'!$G$58,ABS(N461)*'Sollecitazioni nel paramento'!$G$54,'Sollecitazioni nel paramento'!$G$53)</f>
        <v>-15774.529002746445</v>
      </c>
      <c r="I461" s="472">
        <f>-'Foglio deposito bis'!$F$52*(C461-sezione!$AP$28)*IF(ABS(O461)&lt;'Sollecitazioni nel paramento'!$G$58,ABS(O461)*'Sollecitazioni nel paramento'!$G$54,'Sollecitazioni nel paramento'!$G$53)</f>
        <v>23706198.919896182</v>
      </c>
      <c r="J461" s="472">
        <f t="shared" si="35"/>
        <v>-584086570.00677741</v>
      </c>
      <c r="K461" s="550">
        <f>'Sollecitazioni nel paramento'!$G$60*(sezione!$AL$28-C461)/C461</f>
        <v>-2.6379425465845176E-3</v>
      </c>
      <c r="L461" s="550">
        <f>'Sollecitazioni nel paramento'!$G$60*(sezione!$AM$28-C461)/C461</f>
        <v>-2.2069138198767763E-3</v>
      </c>
      <c r="M461" s="551">
        <f>'Sollecitazioni nel paramento'!$G$60*(sezione!$AN$28-C461)/C461</f>
        <v>-1.7758850931690353E-3</v>
      </c>
      <c r="N461" s="551">
        <f>'Sollecitazioni nel paramento'!$G$60*(sezione!$AO$28-C461)/C461</f>
        <v>-5.1770186338070463E-5</v>
      </c>
      <c r="O461" s="551">
        <f>'Sollecitazioni nel paramento'!$G$60*(sezione!$AP$28-C461)/C461</f>
        <v>2.1203986869353995E-3</v>
      </c>
      <c r="P461" s="545">
        <f>-'Sollecitazioni nel paramento'!$G$47*'Sollecitazioni nel paramento'!$G$41*IF(DATI!$G$211="dx",DATI!$E$61,DATI!$E$64*DATI!$E$63)*1000*C461*sezione!$AD$5</f>
        <v>-6187035.42190638</v>
      </c>
      <c r="Q461" s="545">
        <f>'Foglio deposito bis'!$F$48*IF(ABS(K461)&lt;'Sollecitazioni nel paramento'!$G$58,ABS(K461)*'Sollecitazioni nel paramento'!$G$54,'Sollecitazioni nel paramento'!$G$53)*IF(K461&lt;0,-1,1)</f>
        <v>0</v>
      </c>
      <c r="R461" s="545">
        <f>'Foglio deposito bis'!$F$49*IF(ABS(L461)&lt;'Sollecitazioni nel paramento'!$G$58,ABS(L461)*'Sollecitazioni nel paramento'!$G$54,'Sollecitazioni nel paramento'!$G$53)*IF(L461&lt;0,-1,1)</f>
        <v>-204886.47740803001</v>
      </c>
      <c r="S461" s="545">
        <f>'Foglio deposito bis'!$F$50*IF(ABS(M461)&lt;'Sollecitazioni nel paramento'!$G$58,ABS(M461)*'Sollecitazioni nel paramento'!$G$54,'Sollecitazioni nel paramento'!$G$53)*IF(M461&lt;0,-1,1)</f>
        <v>0</v>
      </c>
      <c r="T461" s="545">
        <f>'Foglio deposito bis'!$F$51*IF(ABS(N461)&lt;'Sollecitazioni nel paramento'!$G$58,ABS(N461)*'Sollecitazioni nel paramento'!$G$54,'Sollecitazioni nel paramento'!$G$53)*IF(N461&lt;0,-1,1)</f>
        <v>-6566.786437726344</v>
      </c>
      <c r="U461" s="545">
        <f>'Foglio deposito bis'!$F$52*IF(ABS(O461)&lt;'Sollecitazioni nel paramento'!$G$58,ABS(O461)*'Sollecitazioni nel paramento'!$G$54,'Sollecitazioni nel paramento'!$G$53)*IF(O461&lt;0,-1,1)</f>
        <v>240946.49743184328</v>
      </c>
      <c r="V461" s="472">
        <f t="shared" si="37"/>
        <v>-6157542.1883202931</v>
      </c>
      <c r="W461" s="551"/>
      <c r="X461" s="551"/>
    </row>
    <row r="462" spans="1:24" x14ac:dyDescent="0.25">
      <c r="A462" s="545">
        <f t="shared" si="36"/>
        <v>6323299.8774966272</v>
      </c>
      <c r="B462" s="3">
        <f t="shared" si="34"/>
        <v>40.899999999999942</v>
      </c>
      <c r="C462" s="545">
        <f>'Foglio deposito bis'!$E$154/sezione!$B$247*B462</f>
        <v>166.47239851733897</v>
      </c>
      <c r="D462" s="603">
        <f>-'Sollecitazioni nel paramento'!$G$47*'Sollecitazioni nel paramento'!$G$41*IF(DATI!$G$211="dx",DATI!$E$61,DATI!$E$64*DATI!$E$63)*1000*C462^2*sezione!$AD$5*(1-sezione!$AD$6)</f>
        <v>-616578105.10917389</v>
      </c>
      <c r="E462" s="545">
        <f>-'Foglio deposito bis'!$F$48*(C462-sezione!$AL$28)*IF(ABS(K462)&lt;'Sollecitazioni nel paramento'!$G$58,ABS(K462)*'Sollecitazioni nel paramento'!$G$54,'Sollecitazioni nel paramento'!$G$53)</f>
        <v>0</v>
      </c>
      <c r="F462" s="545">
        <f>-'Foglio deposito bis'!$F$49*(C462-sezione!$AM$28)*IF(ABS(L462)&lt;'Sollecitazioni nel paramento'!$G$58,ABS(L462)*'Sollecitazioni nel paramento'!$G$54,'Sollecitazioni nel paramento'!$G$53)</f>
        <v>-21814754.673401542</v>
      </c>
      <c r="G462" s="545">
        <f>-'Foglio deposito bis'!$F$50*(C462-sezione!$AN$28)*IF(ABS(M462)&lt;'Sollecitazioni nel paramento'!$G$58,ABS(M462)*'Sollecitazioni nel paramento'!$G$54,'Sollecitazioni nel paramento'!$G$53)</f>
        <v>0</v>
      </c>
      <c r="H462" s="545">
        <f>-'Foglio deposito bis'!$F$51*(C462-sezione!$AO$28)*IF(ABS(N462)&lt;'Sollecitazioni nel paramento'!$G$58,ABS(N462)*'Sollecitazioni nel paramento'!$G$54,'Sollecitazioni nel paramento'!$G$53)</f>
        <v>-111719.62554158113</v>
      </c>
      <c r="I462" s="472">
        <f>-'Foglio deposito bis'!$F$52*(C462-sezione!$AP$28)*IF(ABS(O462)&lt;'Sollecitazioni nel paramento'!$G$58,ABS(O462)*'Sollecitazioni nel paramento'!$G$54,'Sollecitazioni nel paramento'!$G$53)</f>
        <v>22725491.307626482</v>
      </c>
      <c r="J462" s="472">
        <f t="shared" si="35"/>
        <v>-615779088.10049057</v>
      </c>
      <c r="K462" s="550">
        <f>'Sollecitazioni nel paramento'!$G$60*(sezione!$AL$28-C462)/C462</f>
        <v>-2.6590197459345297E-3</v>
      </c>
      <c r="L462" s="550">
        <f>'Sollecitazioni nel paramento'!$G$60*(sezione!$AM$28-C462)/C462</f>
        <v>-2.2385296189017943E-3</v>
      </c>
      <c r="M462" s="551">
        <f>'Sollecitazioni nel paramento'!$G$60*(sezione!$AN$28-C462)/C462</f>
        <v>-1.818039491869059E-3</v>
      </c>
      <c r="N462" s="551">
        <f>'Sollecitazioni nel paramento'!$G$60*(sezione!$AO$28-C462)/C462</f>
        <v>-1.3607898373811764E-4</v>
      </c>
      <c r="O462" s="551">
        <f>'Sollecitazioni nel paramento'!$G$60*(sezione!$AP$28-C462)/C462</f>
        <v>1.9829806261301326E-3</v>
      </c>
      <c r="P462" s="545">
        <f>-'Sollecitazioni nel paramento'!$G$47*'Sollecitazioni nel paramento'!$G$41*IF(DATI!$G$211="dx",DATI!$E$61,DATI!$E$64*DATI!$E$63)*1000*C462*sezione!$AD$5</f>
        <v>-6342098.9663150618</v>
      </c>
      <c r="Q462" s="545">
        <f>'Foglio deposito bis'!$F$48*IF(ABS(K462)&lt;'Sollecitazioni nel paramento'!$G$58,ABS(K462)*'Sollecitazioni nel paramento'!$G$54,'Sollecitazioni nel paramento'!$G$53)*IF(K462&lt;0,-1,1)</f>
        <v>0</v>
      </c>
      <c r="R462" s="545">
        <f>'Foglio deposito bis'!$F$49*IF(ABS(L462)&lt;'Sollecitazioni nel paramento'!$G$58,ABS(L462)*'Sollecitazioni nel paramento'!$G$54,'Sollecitazioni nel paramento'!$G$53)*IF(L462&lt;0,-1,1)</f>
        <v>-204886.47740803001</v>
      </c>
      <c r="S462" s="545">
        <f>'Foglio deposito bis'!$F$50*IF(ABS(M462)&lt;'Sollecitazioni nel paramento'!$G$58,ABS(M462)*'Sollecitazioni nel paramento'!$G$54,'Sollecitazioni nel paramento'!$G$53)*IF(M462&lt;0,-1,1)</f>
        <v>0</v>
      </c>
      <c r="T462" s="545">
        <f>'Foglio deposito bis'!$F$51*IF(ABS(N462)&lt;'Sollecitazioni nel paramento'!$G$58,ABS(N462)*'Sollecitazioni nel paramento'!$G$54,'Sollecitazioni nel paramento'!$G$53)*IF(N462&lt;0,-1,1)</f>
        <v>-17260.931205378394</v>
      </c>
      <c r="U462" s="545">
        <f>'Foglio deposito bis'!$F$52*IF(ABS(O462)&lt;'Sollecitazioni nel paramento'!$G$58,ABS(O462)*'Sollecitazioni nel paramento'!$G$54,'Sollecitazioni nel paramento'!$G$53)*IF(O462&lt;0,-1,1)</f>
        <v>240946.49743184328</v>
      </c>
      <c r="V462" s="472">
        <f t="shared" si="37"/>
        <v>-6323299.8774966272</v>
      </c>
      <c r="W462" s="551"/>
      <c r="X462" s="551"/>
    </row>
    <row r="463" spans="1:24" x14ac:dyDescent="0.25">
      <c r="A463" s="545">
        <f t="shared" si="36"/>
        <v>6494561.3032336626</v>
      </c>
      <c r="B463" s="3">
        <f t="shared" si="34"/>
        <v>41.899999999999942</v>
      </c>
      <c r="C463" s="545">
        <f>'Foglio deposito bis'!$E$154/sezione!$B$247*B463</f>
        <v>170.54262830993895</v>
      </c>
      <c r="D463" s="603">
        <f>-'Sollecitazioni nel paramento'!$G$47*'Sollecitazioni nel paramento'!$G$41*IF(DATI!$G$211="dx",DATI!$E$61,DATI!$E$64*DATI!$E$63)*1000*C463^2*sezione!$AD$5*(1-sezione!$AD$6)</f>
        <v>-647097211.94320738</v>
      </c>
      <c r="E463" s="545">
        <f>-'Foglio deposito bis'!$F$48*(C463-sezione!$AL$28)*IF(ABS(K463)&lt;'Sollecitazioni nel paramento'!$G$58,ABS(K463)*'Sollecitazioni nel paramento'!$G$54,'Sollecitazioni nel paramento'!$G$53)</f>
        <v>0</v>
      </c>
      <c r="F463" s="545">
        <f>-'Foglio deposito bis'!$F$49*(C463-sezione!$AM$28)*IF(ABS(L463)&lt;'Sollecitazioni nel paramento'!$G$58,ABS(L463)*'Sollecitazioni nel paramento'!$G$54,'Sollecitazioni nel paramento'!$G$53)</f>
        <v>-22648689.717848565</v>
      </c>
      <c r="G463" s="545">
        <f>-'Foglio deposito bis'!$F$50*(C463-sezione!$AN$28)*IF(ABS(M463)&lt;'Sollecitazioni nel paramento'!$G$58,ABS(M463)*'Sollecitazioni nel paramento'!$G$54,'Sollecitazioni nel paramento'!$G$53)</f>
        <v>0</v>
      </c>
      <c r="H463" s="545">
        <f>-'Foglio deposito bis'!$F$51*(C463-sezione!$AO$28)*IF(ABS(N463)&lt;'Sollecitazioni nel paramento'!$G$58,ABS(N463)*'Sollecitazioni nel paramento'!$G$54,'Sollecitazioni nel paramento'!$G$53)</f>
        <v>-289338.38140377274</v>
      </c>
      <c r="I463" s="472">
        <f>-'Foglio deposito bis'!$F$52*(C463-sezione!$AP$28)*IF(ABS(O463)&lt;'Sollecitazioni nel paramento'!$G$58,ABS(O463)*'Sollecitazioni nel paramento'!$G$54,'Sollecitazioni nel paramento'!$G$53)</f>
        <v>21202018.339686245</v>
      </c>
      <c r="J463" s="472">
        <f t="shared" si="35"/>
        <v>-648833221.70277345</v>
      </c>
      <c r="K463" s="550">
        <f>'Sollecitazioni nel paramento'!$G$60*(sezione!$AL$28-C463)/C463</f>
        <v>-2.6790908737165217E-3</v>
      </c>
      <c r="L463" s="550">
        <f>'Sollecitazioni nel paramento'!$G$60*(sezione!$AM$28-C463)/C463</f>
        <v>-2.2686363105747821E-3</v>
      </c>
      <c r="M463" s="551">
        <f>'Sollecitazioni nel paramento'!$G$60*(sezione!$AN$28-C463)/C463</f>
        <v>-1.858181747433043E-3</v>
      </c>
      <c r="N463" s="551">
        <f>'Sollecitazioni nel paramento'!$G$60*(sezione!$AO$28-C463)/C463</f>
        <v>-2.1636349486608617E-4</v>
      </c>
      <c r="O463" s="551">
        <f>'Sollecitazioni nel paramento'!$G$60*(sezione!$AP$28-C463)/C463</f>
        <v>1.8521218999695093E-3</v>
      </c>
      <c r="P463" s="545">
        <f>-'Sollecitazioni nel paramento'!$G$47*'Sollecitazioni nel paramento'!$G$41*IF(DATI!$G$211="dx",DATI!$E$61,DATI!$E$64*DATI!$E$63)*1000*C463*sezione!$AD$5</f>
        <v>-6497162.5107237427</v>
      </c>
      <c r="Q463" s="545">
        <f>'Foglio deposito bis'!$F$48*IF(ABS(K463)&lt;'Sollecitazioni nel paramento'!$G$58,ABS(K463)*'Sollecitazioni nel paramento'!$G$54,'Sollecitazioni nel paramento'!$G$53)*IF(K463&lt;0,-1,1)</f>
        <v>0</v>
      </c>
      <c r="R463" s="545">
        <f>'Foglio deposito bis'!$F$49*IF(ABS(L463)&lt;'Sollecitazioni nel paramento'!$G$58,ABS(L463)*'Sollecitazioni nel paramento'!$G$54,'Sollecitazioni nel paramento'!$G$53)*IF(L463&lt;0,-1,1)</f>
        <v>-204886.47740803001</v>
      </c>
      <c r="S463" s="545">
        <f>'Foglio deposito bis'!$F$50*IF(ABS(M463)&lt;'Sollecitazioni nel paramento'!$G$58,ABS(M463)*'Sollecitazioni nel paramento'!$G$54,'Sollecitazioni nel paramento'!$G$53)*IF(M463&lt;0,-1,1)</f>
        <v>0</v>
      </c>
      <c r="T463" s="545">
        <f>'Foglio deposito bis'!$F$51*IF(ABS(N463)&lt;'Sollecitazioni nel paramento'!$G$58,ABS(N463)*'Sollecitazioni nel paramento'!$G$54,'Sollecitazioni nel paramento'!$G$53)*IF(N463&lt;0,-1,1)</f>
        <v>-27444.615602259462</v>
      </c>
      <c r="U463" s="545">
        <f>'Foglio deposito bis'!$F$52*IF(ABS(O463)&lt;'Sollecitazioni nel paramento'!$G$58,ABS(O463)*'Sollecitazioni nel paramento'!$G$54,'Sollecitazioni nel paramento'!$G$53)*IF(O463&lt;0,-1,1)</f>
        <v>234932.30050037007</v>
      </c>
      <c r="V463" s="472">
        <f t="shared" si="37"/>
        <v>-6494561.3032336626</v>
      </c>
      <c r="W463" s="551"/>
      <c r="X463" s="551"/>
    </row>
    <row r="464" spans="1:24" x14ac:dyDescent="0.25">
      <c r="A464" s="545">
        <f t="shared" si="36"/>
        <v>6675158.700783778</v>
      </c>
      <c r="B464" s="3">
        <f t="shared" si="34"/>
        <v>42.899999999999942</v>
      </c>
      <c r="C464" s="545">
        <f>'Foglio deposito bis'!$E$154/sezione!$B$247*B464</f>
        <v>174.61285810253892</v>
      </c>
      <c r="D464" s="603">
        <f>-'Sollecitazioni nel paramento'!$G$47*'Sollecitazioni nel paramento'!$G$41*IF(DATI!$G$211="dx",DATI!$E$61,DATI!$E$64*DATI!$E$63)*1000*C464^2*sezione!$AD$5*(1-sezione!$AD$6)</f>
        <v>-678353495.27081656</v>
      </c>
      <c r="E464" s="545">
        <f>-'Foglio deposito bis'!$F$48*(C464-sezione!$AL$28)*IF(ABS(K464)&lt;'Sollecitazioni nel paramento'!$G$58,ABS(K464)*'Sollecitazioni nel paramento'!$G$54,'Sollecitazioni nel paramento'!$G$53)</f>
        <v>0</v>
      </c>
      <c r="F464" s="545">
        <f>-'Foglio deposito bis'!$F$49*(C464-sezione!$AM$28)*IF(ABS(L464)&lt;'Sollecitazioni nel paramento'!$G$58,ABS(L464)*'Sollecitazioni nel paramento'!$G$54,'Sollecitazioni nel paramento'!$G$53)</f>
        <v>-23482624.762295589</v>
      </c>
      <c r="G464" s="545">
        <f>-'Foglio deposito bis'!$F$50*(C464-sezione!$AN$28)*IF(ABS(M464)&lt;'Sollecitazioni nel paramento'!$G$58,ABS(M464)*'Sollecitazioni nel paramento'!$G$54,'Sollecitazioni nel paramento'!$G$53)</f>
        <v>0</v>
      </c>
      <c r="H464" s="545">
        <f>-'Foglio deposito bis'!$F$51*(C464-sezione!$AO$28)*IF(ABS(N464)&lt;'Sollecitazioni nel paramento'!$G$58,ABS(N464)*'Sollecitazioni nel paramento'!$G$54,'Sollecitazioni nel paramento'!$G$53)</f>
        <v>-542919.35188139428</v>
      </c>
      <c r="I464" s="472">
        <f>-'Foglio deposito bis'!$F$52*(C464-sezione!$AP$28)*IF(ABS(O464)&lt;'Sollecitazioni nel paramento'!$G$58,ABS(O464)*'Sollecitazioni nel paramento'!$G$54,'Sollecitazioni nel paramento'!$G$53)</f>
        <v>18882042.719994169</v>
      </c>
      <c r="J464" s="472">
        <f t="shared" si="35"/>
        <v>-683496996.66499937</v>
      </c>
      <c r="K464" s="550">
        <f>'Sollecitazioni nel paramento'!$G$60*(sezione!$AL$28-C464)/C464</f>
        <v>-2.6982262845856005E-3</v>
      </c>
      <c r="L464" s="550">
        <f>'Sollecitazioni nel paramento'!$G$60*(sezione!$AM$28-C464)/C464</f>
        <v>-2.2973394268784005E-3</v>
      </c>
      <c r="M464" s="551">
        <f>'Sollecitazioni nel paramento'!$G$60*(sezione!$AN$28-C464)/C464</f>
        <v>-1.8964525691712007E-3</v>
      </c>
      <c r="N464" s="551">
        <f>'Sollecitazioni nel paramento'!$G$60*(sezione!$AO$28-C464)/C464</f>
        <v>-2.9290513834240116E-4</v>
      </c>
      <c r="O464" s="551">
        <f>'Sollecitazioni nel paramento'!$G$60*(sezione!$AP$28-C464)/C464</f>
        <v>1.7273638137231336E-3</v>
      </c>
      <c r="P464" s="545">
        <f>-'Sollecitazioni nel paramento'!$G$47*'Sollecitazioni nel paramento'!$G$41*IF(DATI!$G$211="dx",DATI!$E$61,DATI!$E$64*DATI!$E$63)*1000*C464*sezione!$AD$5</f>
        <v>-6652226.0551324245</v>
      </c>
      <c r="Q464" s="545">
        <f>'Foglio deposito bis'!$F$48*IF(ABS(K464)&lt;'Sollecitazioni nel paramento'!$G$58,ABS(K464)*'Sollecitazioni nel paramento'!$G$54,'Sollecitazioni nel paramento'!$G$53)*IF(K464&lt;0,-1,1)</f>
        <v>0</v>
      </c>
      <c r="R464" s="545">
        <f>'Foglio deposito bis'!$F$49*IF(ABS(L464)&lt;'Sollecitazioni nel paramento'!$G$58,ABS(L464)*'Sollecitazioni nel paramento'!$G$54,'Sollecitazioni nel paramento'!$G$53)*IF(L464&lt;0,-1,1)</f>
        <v>-204886.47740803001</v>
      </c>
      <c r="S464" s="545">
        <f>'Foglio deposito bis'!$F$50*IF(ABS(M464)&lt;'Sollecitazioni nel paramento'!$G$58,ABS(M464)*'Sollecitazioni nel paramento'!$G$54,'Sollecitazioni nel paramento'!$G$53)*IF(M464&lt;0,-1,1)</f>
        <v>0</v>
      </c>
      <c r="T464" s="545">
        <f>'Foglio deposito bis'!$F$51*IF(ABS(N464)&lt;'Sollecitazioni nel paramento'!$G$58,ABS(N464)*'Sollecitazioni nel paramento'!$G$54,'Sollecitazioni nel paramento'!$G$53)*IF(N464&lt;0,-1,1)</f>
        <v>-37153.536157794093</v>
      </c>
      <c r="U464" s="545">
        <f>'Foglio deposito bis'!$F$52*IF(ABS(O464)&lt;'Sollecitazioni nel paramento'!$G$58,ABS(O464)*'Sollecitazioni nel paramento'!$G$54,'Sollecitazioni nel paramento'!$G$53)*IF(O464&lt;0,-1,1)</f>
        <v>219107.36791447108</v>
      </c>
      <c r="V464" s="472">
        <f t="shared" si="37"/>
        <v>-6675158.700783778</v>
      </c>
      <c r="W464" s="551"/>
      <c r="X464" s="551"/>
    </row>
    <row r="465" spans="1:24" x14ac:dyDescent="0.25">
      <c r="A465" s="545">
        <f t="shared" si="36"/>
        <v>6854592.8248422546</v>
      </c>
      <c r="B465" s="3">
        <f t="shared" si="34"/>
        <v>43.899999999999942</v>
      </c>
      <c r="C465" s="545">
        <f>'Foglio deposito bis'!$E$154/sezione!$B$247*B465</f>
        <v>178.68308789513893</v>
      </c>
      <c r="D465" s="603">
        <f>-'Sollecitazioni nel paramento'!$G$47*'Sollecitazioni nel paramento'!$G$41*IF(DATI!$G$211="dx",DATI!$E$61,DATI!$E$64*DATI!$E$63)*1000*C465^2*sezione!$AD$5*(1-sezione!$AD$6)</f>
        <v>-710346955.0920018</v>
      </c>
      <c r="E465" s="545">
        <f>-'Foglio deposito bis'!$F$48*(C465-sezione!$AL$28)*IF(ABS(K465)&lt;'Sollecitazioni nel paramento'!$G$58,ABS(K465)*'Sollecitazioni nel paramento'!$G$54,'Sollecitazioni nel paramento'!$G$53)</f>
        <v>0</v>
      </c>
      <c r="F465" s="545">
        <f>-'Foglio deposito bis'!$F$49*(C465-sezione!$AM$28)*IF(ABS(L465)&lt;'Sollecitazioni nel paramento'!$G$58,ABS(L465)*'Sollecitazioni nel paramento'!$G$54,'Sollecitazioni nel paramento'!$G$53)</f>
        <v>-24316559.80674262</v>
      </c>
      <c r="G465" s="545">
        <f>-'Foglio deposito bis'!$F$50*(C465-sezione!$AN$28)*IF(ABS(M465)&lt;'Sollecitazioni nel paramento'!$G$58,ABS(M465)*'Sollecitazioni nel paramento'!$G$54,'Sollecitazioni nel paramento'!$G$53)</f>
        <v>0</v>
      </c>
      <c r="H465" s="545">
        <f>-'Foglio deposito bis'!$F$51*(C465-sezione!$AO$28)*IF(ABS(N465)&lt;'Sollecitazioni nel paramento'!$G$58,ABS(N465)*'Sollecitazioni nel paramento'!$G$54,'Sollecitazioni nel paramento'!$G$53)</f>
        <v>-867271.49725129781</v>
      </c>
      <c r="I465" s="472">
        <f>-'Foglio deposito bis'!$F$52*(C465-sezione!$AP$28)*IF(ABS(O465)&lt;'Sollecitazioni nel paramento'!$G$58,ABS(O465)*'Sollecitazioni nel paramento'!$G$54,'Sollecitazioni nel paramento'!$G$53)</f>
        <v>16750084.589097304</v>
      </c>
      <c r="J465" s="472">
        <f t="shared" si="35"/>
        <v>-718780701.80689847</v>
      </c>
      <c r="K465" s="550">
        <f>'Sollecitazioni nel paramento'!$G$60*(sezione!$AL$28-C465)/C465</f>
        <v>-2.7164899227499375E-3</v>
      </c>
      <c r="L465" s="550">
        <f>'Sollecitazioni nel paramento'!$G$60*(sezione!$AM$28-C465)/C465</f>
        <v>-2.3247348841249063E-3</v>
      </c>
      <c r="M465" s="551">
        <f>'Sollecitazioni nel paramento'!$G$60*(sezione!$AN$28-C465)/C465</f>
        <v>-1.932979845499875E-3</v>
      </c>
      <c r="N465" s="551">
        <f>'Sollecitazioni nel paramento'!$G$60*(sezione!$AO$28-C465)/C465</f>
        <v>-3.6595969099975016E-4</v>
      </c>
      <c r="O465" s="551">
        <f>'Sollecitazioni nel paramento'!$G$60*(sezione!$AP$28-C465)/C465</f>
        <v>1.6082894671690753E-3</v>
      </c>
      <c r="P465" s="545">
        <f>-'Sollecitazioni nel paramento'!$G$47*'Sollecitazioni nel paramento'!$G$41*IF(DATI!$G$211="dx",DATI!$E$61,DATI!$E$64*DATI!$E$63)*1000*C465*sezione!$AD$5</f>
        <v>-6807289.5995411053</v>
      </c>
      <c r="Q465" s="545">
        <f>'Foglio deposito bis'!$F$48*IF(ABS(K465)&lt;'Sollecitazioni nel paramento'!$G$58,ABS(K465)*'Sollecitazioni nel paramento'!$G$54,'Sollecitazioni nel paramento'!$G$53)*IF(K465&lt;0,-1,1)</f>
        <v>0</v>
      </c>
      <c r="R465" s="545">
        <f>'Foglio deposito bis'!$F$49*IF(ABS(L465)&lt;'Sollecitazioni nel paramento'!$G$58,ABS(L465)*'Sollecitazioni nel paramento'!$G$54,'Sollecitazioni nel paramento'!$G$53)*IF(L465&lt;0,-1,1)</f>
        <v>-204886.47740803001</v>
      </c>
      <c r="S465" s="545">
        <f>'Foglio deposito bis'!$F$50*IF(ABS(M465)&lt;'Sollecitazioni nel paramento'!$G$58,ABS(M465)*'Sollecitazioni nel paramento'!$G$54,'Sollecitazioni nel paramento'!$G$53)*IF(M465&lt;0,-1,1)</f>
        <v>0</v>
      </c>
      <c r="T465" s="545">
        <f>'Foglio deposito bis'!$F$51*IF(ABS(N465)&lt;'Sollecitazioni nel paramento'!$G$58,ABS(N465)*'Sollecitazioni nel paramento'!$G$54,'Sollecitazioni nel paramento'!$G$53)*IF(N465&lt;0,-1,1)</f>
        <v>-46420.136870252034</v>
      </c>
      <c r="U465" s="545">
        <f>'Foglio deposito bis'!$F$52*IF(ABS(O465)&lt;'Sollecitazioni nel paramento'!$G$58,ABS(O465)*'Sollecitazioni nel paramento'!$G$54,'Sollecitazioni nel paramento'!$G$53)*IF(O465&lt;0,-1,1)</f>
        <v>204003.38897713233</v>
      </c>
      <c r="V465" s="472">
        <f t="shared" si="37"/>
        <v>-6854592.8248422546</v>
      </c>
      <c r="W465" s="551"/>
      <c r="X465" s="551"/>
    </row>
    <row r="466" spans="1:24" x14ac:dyDescent="0.25">
      <c r="A466" s="545">
        <f t="shared" si="36"/>
        <v>7032941.3996958425</v>
      </c>
      <c r="B466" s="3">
        <f t="shared" si="34"/>
        <v>44.899999999999942</v>
      </c>
      <c r="C466" s="545">
        <f>'Foglio deposito bis'!$E$154/sezione!$B$247*B466</f>
        <v>182.7533176877389</v>
      </c>
      <c r="D466" s="603">
        <f>-'Sollecitazioni nel paramento'!$G$47*'Sollecitazioni nel paramento'!$G$41*IF(DATI!$G$211="dx",DATI!$E$61,DATI!$E$64*DATI!$E$63)*1000*C466^2*sezione!$AD$5*(1-sezione!$AD$6)</f>
        <v>-743077591.40676236</v>
      </c>
      <c r="E466" s="545">
        <f>-'Foglio deposito bis'!$F$48*(C466-sezione!$AL$28)*IF(ABS(K466)&lt;'Sollecitazioni nel paramento'!$G$58,ABS(K466)*'Sollecitazioni nel paramento'!$G$54,'Sollecitazioni nel paramento'!$G$53)</f>
        <v>0</v>
      </c>
      <c r="F466" s="545">
        <f>-'Foglio deposito bis'!$F$49*(C466-sezione!$AM$28)*IF(ABS(L466)&lt;'Sollecitazioni nel paramento'!$G$58,ABS(L466)*'Sollecitazioni nel paramento'!$G$54,'Sollecitazioni nel paramento'!$G$53)</f>
        <v>-25150494.851189647</v>
      </c>
      <c r="G466" s="545">
        <f>-'Foglio deposito bis'!$F$50*(C466-sezione!$AN$28)*IF(ABS(M466)&lt;'Sollecitazioni nel paramento'!$G$58,ABS(M466)*'Sollecitazioni nel paramento'!$G$54,'Sollecitazioni nel paramento'!$G$53)</f>
        <v>0</v>
      </c>
      <c r="H466" s="545">
        <f>-'Foglio deposito bis'!$F$51*(C466-sezione!$AO$28)*IF(ABS(N466)&lt;'Sollecitazioni nel paramento'!$G$58,ABS(N466)*'Sollecitazioni nel paramento'!$G$54,'Sollecitazioni nel paramento'!$G$53)</f>
        <v>-1257666.2312177813</v>
      </c>
      <c r="I466" s="472">
        <f>-'Foglio deposito bis'!$F$52*(C466-sezione!$AP$28)*IF(ABS(O466)&lt;'Sollecitazioni nel paramento'!$G$58,ABS(O466)*'Sollecitazioni nel paramento'!$G$54,'Sollecitazioni nel paramento'!$G$53)</f>
        <v>14793581.531263268</v>
      </c>
      <c r="J466" s="472">
        <f t="shared" si="35"/>
        <v>-754692170.95790648</v>
      </c>
      <c r="K466" s="550">
        <f>'Sollecitazioni nel paramento'!$G$60*(sezione!$AL$28-C466)/C466</f>
        <v>-2.7339400358290036E-3</v>
      </c>
      <c r="L466" s="550">
        <f>'Sollecitazioni nel paramento'!$G$60*(sezione!$AM$28-C466)/C466</f>
        <v>-2.3509100537435052E-3</v>
      </c>
      <c r="M466" s="551">
        <f>'Sollecitazioni nel paramento'!$G$60*(sezione!$AN$28-C466)/C466</f>
        <v>-1.9678800716580072E-3</v>
      </c>
      <c r="N466" s="551">
        <f>'Sollecitazioni nel paramento'!$G$60*(sezione!$AO$28-C466)/C466</f>
        <v>-4.3576014331601405E-4</v>
      </c>
      <c r="O466" s="551">
        <f>'Sollecitazioni nel paramento'!$G$60*(sezione!$AP$28-C466)/C466</f>
        <v>1.4945191004169802E-3</v>
      </c>
      <c r="P466" s="545">
        <f>-'Sollecitazioni nel paramento'!$G$47*'Sollecitazioni nel paramento'!$G$41*IF(DATI!$G$211="dx",DATI!$E$61,DATI!$E$64*DATI!$E$63)*1000*C466*sezione!$AD$5</f>
        <v>-6962353.1439497871</v>
      </c>
      <c r="Q466" s="545">
        <f>'Foglio deposito bis'!$F$48*IF(ABS(K466)&lt;'Sollecitazioni nel paramento'!$G$58,ABS(K466)*'Sollecitazioni nel paramento'!$G$54,'Sollecitazioni nel paramento'!$G$53)*IF(K466&lt;0,-1,1)</f>
        <v>0</v>
      </c>
      <c r="R466" s="545">
        <f>'Foglio deposito bis'!$F$49*IF(ABS(L466)&lt;'Sollecitazioni nel paramento'!$G$58,ABS(L466)*'Sollecitazioni nel paramento'!$G$54,'Sollecitazioni nel paramento'!$G$53)*IF(L466&lt;0,-1,1)</f>
        <v>-204886.47740803001</v>
      </c>
      <c r="S466" s="545">
        <f>'Foglio deposito bis'!$F$50*IF(ABS(M466)&lt;'Sollecitazioni nel paramento'!$G$58,ABS(M466)*'Sollecitazioni nel paramento'!$G$54,'Sollecitazioni nel paramento'!$G$53)*IF(M466&lt;0,-1,1)</f>
        <v>0</v>
      </c>
      <c r="T466" s="545">
        <f>'Foglio deposito bis'!$F$51*IF(ABS(N466)&lt;'Sollecitazioni nel paramento'!$G$58,ABS(N466)*'Sollecitazioni nel paramento'!$G$54,'Sollecitazioni nel paramento'!$G$53)*IF(N466&lt;0,-1,1)</f>
        <v>-55273.971403981275</v>
      </c>
      <c r="U466" s="545">
        <f>'Foglio deposito bis'!$F$52*IF(ABS(O466)&lt;'Sollecitazioni nel paramento'!$G$58,ABS(O466)*'Sollecitazioni nel paramento'!$G$54,'Sollecitazioni nel paramento'!$G$53)*IF(O466&lt;0,-1,1)</f>
        <v>189572.1930659558</v>
      </c>
      <c r="V466" s="472">
        <f t="shared" si="37"/>
        <v>-7032941.3996958425</v>
      </c>
      <c r="W466" s="551"/>
      <c r="X466" s="551"/>
    </row>
    <row r="467" spans="1:24" x14ac:dyDescent="0.25">
      <c r="A467" s="545">
        <f t="shared" si="36"/>
        <v>7210275.3762729643</v>
      </c>
      <c r="B467" s="3">
        <f t="shared" si="34"/>
        <v>45.899999999999942</v>
      </c>
      <c r="C467" s="545">
        <f>'Foglio deposito bis'!$E$154/sezione!$B$247*B467</f>
        <v>186.82354748033887</v>
      </c>
      <c r="D467" s="603">
        <f>-'Sollecitazioni nel paramento'!$G$47*'Sollecitazioni nel paramento'!$G$41*IF(DATI!$G$211="dx",DATI!$E$61,DATI!$E$64*DATI!$E$63)*1000*C467^2*sezione!$AD$5*(1-sezione!$AD$6)</f>
        <v>-776545404.21509862</v>
      </c>
      <c r="E467" s="545">
        <f>-'Foglio deposito bis'!$F$48*(C467-sezione!$AL$28)*IF(ABS(K467)&lt;'Sollecitazioni nel paramento'!$G$58,ABS(K467)*'Sollecitazioni nel paramento'!$G$54,'Sollecitazioni nel paramento'!$G$53)</f>
        <v>0</v>
      </c>
      <c r="F467" s="545">
        <f>-'Foglio deposito bis'!$F$49*(C467-sezione!$AM$28)*IF(ABS(L467)&lt;'Sollecitazioni nel paramento'!$G$58,ABS(L467)*'Sollecitazioni nel paramento'!$G$54,'Sollecitazioni nel paramento'!$G$53)</f>
        <v>-25984429.89563667</v>
      </c>
      <c r="G467" s="545">
        <f>-'Foglio deposito bis'!$F$50*(C467-sezione!$AN$28)*IF(ABS(M467)&lt;'Sollecitazioni nel paramento'!$G$58,ABS(M467)*'Sollecitazioni nel paramento'!$G$54,'Sollecitazioni nel paramento'!$G$53)</f>
        <v>0</v>
      </c>
      <c r="H467" s="545">
        <f>-'Foglio deposito bis'!$F$51*(C467-sezione!$AO$28)*IF(ABS(N467)&lt;'Sollecitazioni nel paramento'!$G$58,ABS(N467)*'Sollecitazioni nel paramento'!$G$54,'Sollecitazioni nel paramento'!$G$53)</f>
        <v>-1709787.0447222465</v>
      </c>
      <c r="I467" s="472">
        <f>-'Foglio deposito bis'!$F$52*(C467-sezione!$AP$28)*IF(ABS(O467)&lt;'Sollecitazioni nel paramento'!$G$58,ABS(O467)*'Sollecitazioni nel paramento'!$G$54,'Sollecitazioni nel paramento'!$G$53)</f>
        <v>13001065.89465786</v>
      </c>
      <c r="J467" s="472">
        <f t="shared" si="35"/>
        <v>-791238555.26079965</v>
      </c>
      <c r="K467" s="550">
        <f>'Sollecitazioni nel paramento'!$G$60*(sezione!$AL$28-C467)/C467</f>
        <v>-2.7506297953969988E-3</v>
      </c>
      <c r="L467" s="550">
        <f>'Sollecitazioni nel paramento'!$G$60*(sezione!$AM$28-C467)/C467</f>
        <v>-2.3759446930954986E-3</v>
      </c>
      <c r="M467" s="551">
        <f>'Sollecitazioni nel paramento'!$G$60*(sezione!$AN$28-C467)/C467</f>
        <v>-2.0012595907939979E-3</v>
      </c>
      <c r="N467" s="551">
        <f>'Sollecitazioni nel paramento'!$G$60*(sezione!$AO$28-C467)/C467</f>
        <v>-5.0251918158799637E-4</v>
      </c>
      <c r="O467" s="551">
        <f>'Sollecitazioni nel paramento'!$G$60*(sezione!$AP$28-C467)/C467</f>
        <v>1.3857060481203137E-3</v>
      </c>
      <c r="P467" s="545">
        <f>-'Sollecitazioni nel paramento'!$G$47*'Sollecitazioni nel paramento'!$G$41*IF(DATI!$G$211="dx",DATI!$E$61,DATI!$E$64*DATI!$E$63)*1000*C467*sezione!$AD$5</f>
        <v>-7117416.6883584689</v>
      </c>
      <c r="Q467" s="545">
        <f>'Foglio deposito bis'!$F$48*IF(ABS(K467)&lt;'Sollecitazioni nel paramento'!$G$58,ABS(K467)*'Sollecitazioni nel paramento'!$G$54,'Sollecitazioni nel paramento'!$G$53)*IF(K467&lt;0,-1,1)</f>
        <v>0</v>
      </c>
      <c r="R467" s="545">
        <f>'Foglio deposito bis'!$F$49*IF(ABS(L467)&lt;'Sollecitazioni nel paramento'!$G$58,ABS(L467)*'Sollecitazioni nel paramento'!$G$54,'Sollecitazioni nel paramento'!$G$53)*IF(L467&lt;0,-1,1)</f>
        <v>-204886.47740803001</v>
      </c>
      <c r="S467" s="545">
        <f>'Foglio deposito bis'!$F$50*IF(ABS(M467)&lt;'Sollecitazioni nel paramento'!$G$58,ABS(M467)*'Sollecitazioni nel paramento'!$G$54,'Sollecitazioni nel paramento'!$G$53)*IF(M467&lt;0,-1,1)</f>
        <v>0</v>
      </c>
      <c r="T467" s="545">
        <f>'Foglio deposito bis'!$F$51*IF(ABS(N467)&lt;'Sollecitazioni nel paramento'!$G$58,ABS(N467)*'Sollecitazioni nel paramento'!$G$54,'Sollecitazioni nel paramento'!$G$53)*IF(N467&lt;0,-1,1)</f>
        <v>-63742.017940598147</v>
      </c>
      <c r="U467" s="545">
        <f>'Foglio deposito bis'!$F$52*IF(ABS(O467)&lt;'Sollecitazioni nel paramento'!$G$58,ABS(O467)*'Sollecitazioni nel paramento'!$G$54,'Sollecitazioni nel paramento'!$G$53)*IF(O467&lt;0,-1,1)</f>
        <v>175769.80743413331</v>
      </c>
      <c r="V467" s="472">
        <f t="shared" si="37"/>
        <v>-7210275.3762729643</v>
      </c>
      <c r="W467" s="551"/>
      <c r="X467" s="551"/>
    </row>
    <row r="468" spans="1:24" x14ac:dyDescent="0.25">
      <c r="A468" s="545">
        <f t="shared" si="36"/>
        <v>7386659.6542501505</v>
      </c>
      <c r="B468" s="3">
        <f t="shared" si="34"/>
        <v>46.899999999999942</v>
      </c>
      <c r="C468" s="545">
        <f>'Foglio deposito bis'!$E$154/sezione!$B$247*B468</f>
        <v>190.89377727293885</v>
      </c>
      <c r="D468" s="603">
        <f>-'Sollecitazioni nel paramento'!$G$47*'Sollecitazioni nel paramento'!$G$41*IF(DATI!$G$211="dx",DATI!$E$61,DATI!$E$64*DATI!$E$63)*1000*C468^2*sezione!$AD$5*(1-sezione!$AD$6)</f>
        <v>-810750393.51701045</v>
      </c>
      <c r="E468" s="545">
        <f>-'Foglio deposito bis'!$F$48*(C468-sezione!$AL$28)*IF(ABS(K468)&lt;'Sollecitazioni nel paramento'!$G$58,ABS(K468)*'Sollecitazioni nel paramento'!$G$54,'Sollecitazioni nel paramento'!$G$53)</f>
        <v>0</v>
      </c>
      <c r="F468" s="545">
        <f>-'Foglio deposito bis'!$F$49*(C468-sezione!$AM$28)*IF(ABS(L468)&lt;'Sollecitazioni nel paramento'!$G$58,ABS(L468)*'Sollecitazioni nel paramento'!$G$54,'Sollecitazioni nel paramento'!$G$53)</f>
        <v>-26818364.940083694</v>
      </c>
      <c r="G468" s="545">
        <f>-'Foglio deposito bis'!$F$50*(C468-sezione!$AN$28)*IF(ABS(M468)&lt;'Sollecitazioni nel paramento'!$G$58,ABS(M468)*'Sollecitazioni nel paramento'!$G$54,'Sollecitazioni nel paramento'!$G$53)</f>
        <v>0</v>
      </c>
      <c r="H468" s="545">
        <f>-'Foglio deposito bis'!$F$51*(C468-sezione!$AO$28)*IF(ABS(N468)&lt;'Sollecitazioni nel paramento'!$G$58,ABS(N468)*'Sollecitazioni nel paramento'!$G$54,'Sollecitazioni nel paramento'!$G$53)</f>
        <v>-2219685.5744680208</v>
      </c>
      <c r="I468" s="472">
        <f>-'Foglio deposito bis'!$F$52*(C468-sezione!$AP$28)*IF(ABS(O468)&lt;'Sollecitazioni nel paramento'!$G$58,ABS(O468)*'Sollecitazioni nel paramento'!$G$54,'Sollecitazioni nel paramento'!$G$53)</f>
        <v>11362048.078776063</v>
      </c>
      <c r="J468" s="472">
        <f t="shared" si="35"/>
        <v>-828426395.95278609</v>
      </c>
      <c r="K468" s="550">
        <f>'Sollecitazioni nel paramento'!$G$60*(sezione!$AL$28-C468)/C468</f>
        <v>-2.7666078381390672E-3</v>
      </c>
      <c r="L468" s="550">
        <f>'Sollecitazioni nel paramento'!$G$60*(sezione!$AM$28-C468)/C468</f>
        <v>-2.3999117572086012E-3</v>
      </c>
      <c r="M468" s="551">
        <f>'Sollecitazioni nel paramento'!$G$60*(sezione!$AN$28-C468)/C468</f>
        <v>-2.0332156762781347E-3</v>
      </c>
      <c r="N468" s="551">
        <f>'Sollecitazioni nel paramento'!$G$60*(sezione!$AO$28-C468)/C468</f>
        <v>-5.6643135255626928E-4</v>
      </c>
      <c r="O468" s="551">
        <f>'Sollecitazioni nel paramento'!$G$60*(sezione!$AP$28-C468)/C468</f>
        <v>1.2815332112733988E-3</v>
      </c>
      <c r="P468" s="545">
        <f>-'Sollecitazioni nel paramento'!$G$47*'Sollecitazioni nel paramento'!$G$41*IF(DATI!$G$211="dx",DATI!$E$61,DATI!$E$64*DATI!$E$63)*1000*C468*sezione!$AD$5</f>
        <v>-7272480.2327671498</v>
      </c>
      <c r="Q468" s="545">
        <f>'Foglio deposito bis'!$F$48*IF(ABS(K468)&lt;'Sollecitazioni nel paramento'!$G$58,ABS(K468)*'Sollecitazioni nel paramento'!$G$54,'Sollecitazioni nel paramento'!$G$53)*IF(K468&lt;0,-1,1)</f>
        <v>0</v>
      </c>
      <c r="R468" s="545">
        <f>'Foglio deposito bis'!$F$49*IF(ABS(L468)&lt;'Sollecitazioni nel paramento'!$G$58,ABS(L468)*'Sollecitazioni nel paramento'!$G$54,'Sollecitazioni nel paramento'!$G$53)*IF(L468&lt;0,-1,1)</f>
        <v>-204886.47740803001</v>
      </c>
      <c r="S468" s="545">
        <f>'Foglio deposito bis'!$F$50*IF(ABS(M468)&lt;'Sollecitazioni nel paramento'!$G$58,ABS(M468)*'Sollecitazioni nel paramento'!$G$54,'Sollecitazioni nel paramento'!$G$53)*IF(M468&lt;0,-1,1)</f>
        <v>0</v>
      </c>
      <c r="T468" s="545">
        <f>'Foglio deposito bis'!$F$51*IF(ABS(N468)&lt;'Sollecitazioni nel paramento'!$G$58,ABS(N468)*'Sollecitazioni nel paramento'!$G$54,'Sollecitazioni nel paramento'!$G$53)*IF(N468&lt;0,-1,1)</f>
        <v>-71848.953750706816</v>
      </c>
      <c r="U468" s="545">
        <f>'Foglio deposito bis'!$F$52*IF(ABS(O468)&lt;'Sollecitazioni nel paramento'!$G$58,ABS(O468)*'Sollecitazioni nel paramento'!$G$54,'Sollecitazioni nel paramento'!$G$53)*IF(O468&lt;0,-1,1)</f>
        <v>162556.00967573616</v>
      </c>
      <c r="V468" s="472">
        <f t="shared" si="37"/>
        <v>-7386659.6542501505</v>
      </c>
      <c r="W468" s="551"/>
      <c r="X468" s="551"/>
    </row>
    <row r="469" spans="1:24" x14ac:dyDescent="0.25">
      <c r="A469" s="545">
        <f t="shared" si="36"/>
        <v>7562153.7137067318</v>
      </c>
      <c r="B469" s="3">
        <f t="shared" si="34"/>
        <v>47.899999999999942</v>
      </c>
      <c r="C469" s="545">
        <f>'Foglio deposito bis'!$E$154/sezione!$B$247*B469</f>
        <v>194.96400706553882</v>
      </c>
      <c r="D469" s="603">
        <f>-'Sollecitazioni nel paramento'!$G$47*'Sollecitazioni nel paramento'!$G$41*IF(DATI!$G$211="dx",DATI!$E$61,DATI!$E$64*DATI!$E$63)*1000*C469^2*sezione!$AD$5*(1-sezione!$AD$6)</f>
        <v>-845692559.31249821</v>
      </c>
      <c r="E469" s="545">
        <f>-'Foglio deposito bis'!$F$48*(C469-sezione!$AL$28)*IF(ABS(K469)&lt;'Sollecitazioni nel paramento'!$G$58,ABS(K469)*'Sollecitazioni nel paramento'!$G$54,'Sollecitazioni nel paramento'!$G$53)</f>
        <v>0</v>
      </c>
      <c r="F469" s="545">
        <f>-'Foglio deposito bis'!$F$49*(C469-sezione!$AM$28)*IF(ABS(L469)&lt;'Sollecitazioni nel paramento'!$G$58,ABS(L469)*'Sollecitazioni nel paramento'!$G$54,'Sollecitazioni nel paramento'!$G$53)</f>
        <v>-27652299.984530725</v>
      </c>
      <c r="G469" s="545">
        <f>-'Foglio deposito bis'!$F$50*(C469-sezione!$AN$28)*IF(ABS(M469)&lt;'Sollecitazioni nel paramento'!$G$58,ABS(M469)*'Sollecitazioni nel paramento'!$G$54,'Sollecitazioni nel paramento'!$G$53)</f>
        <v>0</v>
      </c>
      <c r="H469" s="545">
        <f>-'Foglio deposito bis'!$F$51*(C469-sezione!$AO$28)*IF(ABS(N469)&lt;'Sollecitazioni nel paramento'!$G$58,ABS(N469)*'Sollecitazioni nel paramento'!$G$54,'Sollecitazioni nel paramento'!$G$53)</f>
        <v>-2783743.1743439571</v>
      </c>
      <c r="I469" s="472">
        <f>-'Foglio deposito bis'!$F$52*(C469-sezione!$AP$28)*IF(ABS(O469)&lt;'Sollecitazioni nel paramento'!$G$58,ABS(O469)*'Sollecitazioni nel paramento'!$G$54,'Sollecitazioni nel paramento'!$G$53)</f>
        <v>9866914.4414013587</v>
      </c>
      <c r="J469" s="472">
        <f t="shared" si="35"/>
        <v>-866261688.02997148</v>
      </c>
      <c r="K469" s="550">
        <f>'Sollecitazioni nel paramento'!$G$60*(sezione!$AL$28-C469)/C469</f>
        <v>-2.7819187392217593E-3</v>
      </c>
      <c r="L469" s="550">
        <f>'Sollecitazioni nel paramento'!$G$60*(sezione!$AM$28-C469)/C469</f>
        <v>-2.4228781088326385E-3</v>
      </c>
      <c r="M469" s="551">
        <f>'Sollecitazioni nel paramento'!$G$60*(sezione!$AN$28-C469)/C469</f>
        <v>-2.0638374784435181E-3</v>
      </c>
      <c r="N469" s="551">
        <f>'Sollecitazioni nel paramento'!$G$60*(sezione!$AO$28-C469)/C469</f>
        <v>-6.2767495688703613E-4</v>
      </c>
      <c r="O469" s="551">
        <f>'Sollecitazioni nel paramento'!$G$60*(sezione!$AP$28-C469)/C469</f>
        <v>1.1817099709545387E-3</v>
      </c>
      <c r="P469" s="545">
        <f>-'Sollecitazioni nel paramento'!$G$47*'Sollecitazioni nel paramento'!$G$41*IF(DATI!$G$211="dx",DATI!$E$61,DATI!$E$64*DATI!$E$63)*1000*C469*sezione!$AD$5</f>
        <v>-7427543.7771758316</v>
      </c>
      <c r="Q469" s="545">
        <f>'Foglio deposito bis'!$F$48*IF(ABS(K469)&lt;'Sollecitazioni nel paramento'!$G$58,ABS(K469)*'Sollecitazioni nel paramento'!$G$54,'Sollecitazioni nel paramento'!$G$53)*IF(K469&lt;0,-1,1)</f>
        <v>0</v>
      </c>
      <c r="R469" s="545">
        <f>'Foglio deposito bis'!$F$49*IF(ABS(L469)&lt;'Sollecitazioni nel paramento'!$G$58,ABS(L469)*'Sollecitazioni nel paramento'!$G$54,'Sollecitazioni nel paramento'!$G$53)*IF(L469&lt;0,-1,1)</f>
        <v>-204886.47740803001</v>
      </c>
      <c r="S469" s="545">
        <f>'Foglio deposito bis'!$F$50*IF(ABS(M469)&lt;'Sollecitazioni nel paramento'!$G$58,ABS(M469)*'Sollecitazioni nel paramento'!$G$54,'Sollecitazioni nel paramento'!$G$53)*IF(M469&lt;0,-1,1)</f>
        <v>0</v>
      </c>
      <c r="T469" s="545">
        <f>'Foglio deposito bis'!$F$51*IF(ABS(N469)&lt;'Sollecitazioni nel paramento'!$G$58,ABS(N469)*'Sollecitazioni nel paramento'!$G$54,'Sollecitazioni nel paramento'!$G$53)*IF(N469&lt;0,-1,1)</f>
        <v>-79617.395372501982</v>
      </c>
      <c r="U469" s="545">
        <f>'Foglio deposito bis'!$F$52*IF(ABS(O469)&lt;'Sollecitazioni nel paramento'!$G$58,ABS(O469)*'Sollecitazioni nel paramento'!$G$54,'Sollecitazioni nel paramento'!$G$53)*IF(O469&lt;0,-1,1)</f>
        <v>149893.93624963111</v>
      </c>
      <c r="V469" s="472">
        <f t="shared" si="37"/>
        <v>-7562153.7137067318</v>
      </c>
      <c r="W469" s="551"/>
      <c r="X469" s="551"/>
    </row>
    <row r="470" spans="1:24" x14ac:dyDescent="0.25">
      <c r="A470" s="545">
        <f t="shared" si="36"/>
        <v>7736812.1692758743</v>
      </c>
      <c r="B470" s="3">
        <f t="shared" si="34"/>
        <v>48.899999999999942</v>
      </c>
      <c r="C470" s="545">
        <f>'Foglio deposito bis'!$E$154/sezione!$B$247*B470</f>
        <v>199.03423685813883</v>
      </c>
      <c r="D470" s="603">
        <f>-'Sollecitazioni nel paramento'!$G$47*'Sollecitazioni nel paramento'!$G$41*IF(DATI!$G$211="dx",DATI!$E$61,DATI!$E$64*DATI!$E$63)*1000*C470^2*sezione!$AD$5*(1-sezione!$AD$6)</f>
        <v>-881371901.60156167</v>
      </c>
      <c r="E470" s="545">
        <f>-'Foglio deposito bis'!$F$48*(C470-sezione!$AL$28)*IF(ABS(K470)&lt;'Sollecitazioni nel paramento'!$G$58,ABS(K470)*'Sollecitazioni nel paramento'!$G$54,'Sollecitazioni nel paramento'!$G$53)</f>
        <v>0</v>
      </c>
      <c r="F470" s="545">
        <f>-'Foglio deposito bis'!$F$49*(C470-sezione!$AM$28)*IF(ABS(L470)&lt;'Sollecitazioni nel paramento'!$G$58,ABS(L470)*'Sollecitazioni nel paramento'!$G$54,'Sollecitazioni nel paramento'!$G$53)</f>
        <v>-28486235.028977755</v>
      </c>
      <c r="G470" s="545">
        <f>-'Foglio deposito bis'!$F$50*(C470-sezione!$AN$28)*IF(ABS(M470)&lt;'Sollecitazioni nel paramento'!$G$58,ABS(M470)*'Sollecitazioni nel paramento'!$G$54,'Sollecitazioni nel paramento'!$G$53)</f>
        <v>0</v>
      </c>
      <c r="H470" s="545">
        <f>-'Foglio deposito bis'!$F$51*(C470-sezione!$AO$28)*IF(ABS(N470)&lt;'Sollecitazioni nel paramento'!$G$58,ABS(N470)*'Sollecitazioni nel paramento'!$G$54,'Sollecitazioni nel paramento'!$G$53)</f>
        <v>-3398637.2020107871</v>
      </c>
      <c r="I470" s="472">
        <f>-'Foglio deposito bis'!$F$52*(C470-sezione!$AP$28)*IF(ABS(O470)&lt;'Sollecitazioni nel paramento'!$G$58,ABS(O470)*'Sollecitazioni nel paramento'!$G$54,'Sollecitazioni nel paramento'!$G$53)</f>
        <v>8506837.7323185876</v>
      </c>
      <c r="J470" s="472">
        <f t="shared" si="35"/>
        <v>-904749936.10023153</v>
      </c>
      <c r="K470" s="550">
        <f>'Sollecitazioni nel paramento'!$G$60*(sezione!$AL$28-C470)/C470</f>
        <v>-2.7966034275812325E-3</v>
      </c>
      <c r="L470" s="550">
        <f>'Sollecitazioni nel paramento'!$G$60*(sezione!$AM$28-C470)/C470</f>
        <v>-2.4449051413718485E-3</v>
      </c>
      <c r="M470" s="551">
        <f>'Sollecitazioni nel paramento'!$G$60*(sezione!$AN$28-C470)/C470</f>
        <v>-2.0932068551624645E-3</v>
      </c>
      <c r="N470" s="551">
        <f>'Sollecitazioni nel paramento'!$G$60*(sezione!$AO$28-C470)/C470</f>
        <v>-6.8641371032492949E-4</v>
      </c>
      <c r="O470" s="551">
        <f>'Sollecitazioni nel paramento'!$G$60*(sezione!$AP$28-C470)/C470</f>
        <v>1.0859694807509688E-3</v>
      </c>
      <c r="P470" s="545">
        <f>-'Sollecitazioni nel paramento'!$G$47*'Sollecitazioni nel paramento'!$G$41*IF(DATI!$G$211="dx",DATI!$E$61,DATI!$E$64*DATI!$E$63)*1000*C470*sezione!$AD$5</f>
        <v>-7582607.3215845125</v>
      </c>
      <c r="Q470" s="545">
        <f>'Foglio deposito bis'!$F$48*IF(ABS(K470)&lt;'Sollecitazioni nel paramento'!$G$58,ABS(K470)*'Sollecitazioni nel paramento'!$G$54,'Sollecitazioni nel paramento'!$G$53)*IF(K470&lt;0,-1,1)</f>
        <v>0</v>
      </c>
      <c r="R470" s="545">
        <f>'Foglio deposito bis'!$F$49*IF(ABS(L470)&lt;'Sollecitazioni nel paramento'!$G$58,ABS(L470)*'Sollecitazioni nel paramento'!$G$54,'Sollecitazioni nel paramento'!$G$53)*IF(L470&lt;0,-1,1)</f>
        <v>-204886.47740803001</v>
      </c>
      <c r="S470" s="545">
        <f>'Foglio deposito bis'!$F$50*IF(ABS(M470)&lt;'Sollecitazioni nel paramento'!$G$58,ABS(M470)*'Sollecitazioni nel paramento'!$G$54,'Sollecitazioni nel paramento'!$G$53)*IF(M470&lt;0,-1,1)</f>
        <v>0</v>
      </c>
      <c r="T470" s="545">
        <f>'Foglio deposito bis'!$F$51*IF(ABS(N470)&lt;'Sollecitazioni nel paramento'!$G$58,ABS(N470)*'Sollecitazioni nel paramento'!$G$54,'Sollecitazioni nel paramento'!$G$53)*IF(N470&lt;0,-1,1)</f>
        <v>-87068.109320604155</v>
      </c>
      <c r="U470" s="545">
        <f>'Foglio deposito bis'!$F$52*IF(ABS(O470)&lt;'Sollecitazioni nel paramento'!$G$58,ABS(O470)*'Sollecitazioni nel paramento'!$G$54,'Sollecitazioni nel paramento'!$G$53)*IF(O470&lt;0,-1,1)</f>
        <v>137749.73903727261</v>
      </c>
      <c r="V470" s="472">
        <f t="shared" si="37"/>
        <v>-7736812.1692758743</v>
      </c>
      <c r="W470" s="551"/>
      <c r="X470" s="551"/>
    </row>
    <row r="471" spans="1:24" x14ac:dyDescent="0.25">
      <c r="A471" s="545">
        <f t="shared" si="36"/>
        <v>7910685.2576642362</v>
      </c>
      <c r="B471" s="3">
        <f t="shared" si="34"/>
        <v>49.899999999999942</v>
      </c>
      <c r="C471" s="545">
        <f>'Foglio deposito bis'!$E$154/sezione!$B$247*B471</f>
        <v>203.1044666507388</v>
      </c>
      <c r="D471" s="603">
        <f>-'Sollecitazioni nel paramento'!$G$47*'Sollecitazioni nel paramento'!$G$41*IF(DATI!$G$211="dx",DATI!$E$61,DATI!$E$64*DATI!$E$63)*1000*C471^2*sezione!$AD$5*(1-sezione!$AD$6)</f>
        <v>-917788420.38420069</v>
      </c>
      <c r="E471" s="545">
        <f>-'Foglio deposito bis'!$F$48*(C471-sezione!$AL$28)*IF(ABS(K471)&lt;'Sollecitazioni nel paramento'!$G$58,ABS(K471)*'Sollecitazioni nel paramento'!$G$54,'Sollecitazioni nel paramento'!$G$53)</f>
        <v>0</v>
      </c>
      <c r="F471" s="545">
        <f>-'Foglio deposito bis'!$F$49*(C471-sezione!$AM$28)*IF(ABS(L471)&lt;'Sollecitazioni nel paramento'!$G$58,ABS(L471)*'Sollecitazioni nel paramento'!$G$54,'Sollecitazioni nel paramento'!$G$53)</f>
        <v>-29320170.073424779</v>
      </c>
      <c r="G471" s="545">
        <f>-'Foglio deposito bis'!$F$50*(C471-sezione!$AN$28)*IF(ABS(M471)&lt;'Sollecitazioni nel paramento'!$G$58,ABS(M471)*'Sollecitazioni nel paramento'!$G$54,'Sollecitazioni nel paramento'!$G$53)</f>
        <v>0</v>
      </c>
      <c r="H471" s="545">
        <f>-'Foglio deposito bis'!$F$51*(C471-sezione!$AO$28)*IF(ABS(N471)&lt;'Sollecitazioni nel paramento'!$G$58,ABS(N471)*'Sollecitazioni nel paramento'!$G$54,'Sollecitazioni nel paramento'!$G$53)</f>
        <v>-4061311.3592045195</v>
      </c>
      <c r="I471" s="472">
        <f>-'Foglio deposito bis'!$F$52*(C471-sezione!$AP$28)*IF(ABS(O471)&lt;'Sollecitazioni nel paramento'!$G$58,ABS(O471)*'Sollecitazioni nel paramento'!$G$54,'Sollecitazioni nel paramento'!$G$53)</f>
        <v>7273698.2965202276</v>
      </c>
      <c r="J471" s="472">
        <f t="shared" si="35"/>
        <v>-943896203.52030981</v>
      </c>
      <c r="K471" s="550">
        <f>'Sollecitazioni nel paramento'!$G$60*(sezione!$AL$28-C471)/C471</f>
        <v>-2.8106995512769991E-3</v>
      </c>
      <c r="L471" s="550">
        <f>'Sollecitazioni nel paramento'!$G$60*(sezione!$AM$28-C471)/C471</f>
        <v>-2.4660493269154991E-3</v>
      </c>
      <c r="M471" s="551">
        <f>'Sollecitazioni nel paramento'!$G$60*(sezione!$AN$28-C471)/C471</f>
        <v>-2.1213991025539987E-3</v>
      </c>
      <c r="N471" s="551">
        <f>'Sollecitazioni nel paramento'!$G$60*(sezione!$AO$28-C471)/C471</f>
        <v>-7.4279820510799702E-4</v>
      </c>
      <c r="O471" s="551">
        <f>'Sollecitazioni nel paramento'!$G$60*(sezione!$AP$28-C471)/C471</f>
        <v>9.9406628474393529E-4</v>
      </c>
      <c r="P471" s="545">
        <f>-'Sollecitazioni nel paramento'!$G$47*'Sollecitazioni nel paramento'!$G$41*IF(DATI!$G$211="dx",DATI!$E$61,DATI!$E$64*DATI!$E$63)*1000*C471*sezione!$AD$5</f>
        <v>-7737670.8659931943</v>
      </c>
      <c r="Q471" s="545">
        <f>'Foglio deposito bis'!$F$48*IF(ABS(K471)&lt;'Sollecitazioni nel paramento'!$G$58,ABS(K471)*'Sollecitazioni nel paramento'!$G$54,'Sollecitazioni nel paramento'!$G$53)*IF(K471&lt;0,-1,1)</f>
        <v>0</v>
      </c>
      <c r="R471" s="545">
        <f>'Foglio deposito bis'!$F$49*IF(ABS(L471)&lt;'Sollecitazioni nel paramento'!$G$58,ABS(L471)*'Sollecitazioni nel paramento'!$G$54,'Sollecitazioni nel paramento'!$G$53)*IF(L471&lt;0,-1,1)</f>
        <v>-204886.47740803001</v>
      </c>
      <c r="S471" s="545">
        <f>'Foglio deposito bis'!$F$50*IF(ABS(M471)&lt;'Sollecitazioni nel paramento'!$G$58,ABS(M471)*'Sollecitazioni nel paramento'!$G$54,'Sollecitazioni nel paramento'!$G$53)*IF(M471&lt;0,-1,1)</f>
        <v>0</v>
      </c>
      <c r="T471" s="545">
        <f>'Foglio deposito bis'!$F$51*IF(ABS(N471)&lt;'Sollecitazioni nel paramento'!$G$58,ABS(N471)*'Sollecitazioni nel paramento'!$G$54,'Sollecitazioni nel paramento'!$G$53)*IF(N471&lt;0,-1,1)</f>
        <v>-94220.197459163071</v>
      </c>
      <c r="U471" s="545">
        <f>'Foglio deposito bis'!$F$52*IF(ABS(O471)&lt;'Sollecitazioni nel paramento'!$G$58,ABS(O471)*'Sollecitazioni nel paramento'!$G$54,'Sollecitazioni nel paramento'!$G$53)*IF(O471&lt;0,-1,1)</f>
        <v>126092.28319615101</v>
      </c>
      <c r="V471" s="472">
        <f t="shared" si="37"/>
        <v>-7910685.2576642362</v>
      </c>
      <c r="W471" s="551"/>
      <c r="X471" s="551"/>
    </row>
    <row r="472" spans="1:24" x14ac:dyDescent="0.25">
      <c r="A472" s="545">
        <f t="shared" si="36"/>
        <v>8083819.2677036915</v>
      </c>
      <c r="B472" s="3">
        <f t="shared" si="34"/>
        <v>50.899999999999942</v>
      </c>
      <c r="C472" s="545">
        <f>'Foglio deposito bis'!$E$154/sezione!$B$247*B472</f>
        <v>207.17469644333877</v>
      </c>
      <c r="D472" s="603">
        <f>-'Sollecitazioni nel paramento'!$G$47*'Sollecitazioni nel paramento'!$G$41*IF(DATI!$G$211="dx",DATI!$E$61,DATI!$E$64*DATI!$E$63)*1000*C472^2*sezione!$AD$5*(1-sezione!$AD$6)</f>
        <v>-954942115.66041553</v>
      </c>
      <c r="E472" s="545">
        <f>-'Foglio deposito bis'!$F$48*(C472-sezione!$AL$28)*IF(ABS(K472)&lt;'Sollecitazioni nel paramento'!$G$58,ABS(K472)*'Sollecitazioni nel paramento'!$G$54,'Sollecitazioni nel paramento'!$G$53)</f>
        <v>0</v>
      </c>
      <c r="F472" s="545">
        <f>-'Foglio deposito bis'!$F$49*(C472-sezione!$AM$28)*IF(ABS(L472)&lt;'Sollecitazioni nel paramento'!$G$58,ABS(L472)*'Sollecitazioni nel paramento'!$G$54,'Sollecitazioni nel paramento'!$G$53)</f>
        <v>-30154105.117871806</v>
      </c>
      <c r="G472" s="545">
        <f>-'Foglio deposito bis'!$F$50*(C472-sezione!$AN$28)*IF(ABS(M472)&lt;'Sollecitazioni nel paramento'!$G$58,ABS(M472)*'Sollecitazioni nel paramento'!$G$54,'Sollecitazioni nel paramento'!$G$53)</f>
        <v>0</v>
      </c>
      <c r="H472" s="545">
        <f>-'Foglio deposito bis'!$F$51*(C472-sezione!$AO$28)*IF(ABS(N472)&lt;'Sollecitazioni nel paramento'!$G$58,ABS(N472)*'Sollecitazioni nel paramento'!$G$54,'Sollecitazioni nel paramento'!$G$53)</f>
        <v>-4768949.5282713138</v>
      </c>
      <c r="I472" s="472">
        <f>-'Foglio deposito bis'!$F$52*(C472-sezione!$AP$28)*IF(ABS(O472)&lt;'Sollecitazioni nel paramento'!$G$58,ABS(O472)*'Sollecitazioni nel paramento'!$G$54,'Sollecitazioni nel paramento'!$G$53)</f>
        <v>6160014.5658362722</v>
      </c>
      <c r="J472" s="472">
        <f t="shared" si="35"/>
        <v>-983705155.7407223</v>
      </c>
      <c r="K472" s="550">
        <f>'Sollecitazioni nel paramento'!$G$60*(sezione!$AL$28-C472)/C472</f>
        <v>-2.8242417997784335E-3</v>
      </c>
      <c r="L472" s="550">
        <f>'Sollecitazioni nel paramento'!$G$60*(sezione!$AM$28-C472)/C472</f>
        <v>-2.4863626996676504E-3</v>
      </c>
      <c r="M472" s="551">
        <f>'Sollecitazioni nel paramento'!$G$60*(sezione!$AN$28-C472)/C472</f>
        <v>-2.1484835995568669E-3</v>
      </c>
      <c r="N472" s="551">
        <f>'Sollecitazioni nel paramento'!$G$60*(sezione!$AO$28-C472)/C472</f>
        <v>-7.9696719911373374E-4</v>
      </c>
      <c r="O472" s="551">
        <f>'Sollecitazioni nel paramento'!$G$60*(sezione!$AP$28-C472)/C472</f>
        <v>9.057742162813827E-4</v>
      </c>
      <c r="P472" s="545">
        <f>-'Sollecitazioni nel paramento'!$G$47*'Sollecitazioni nel paramento'!$G$41*IF(DATI!$G$211="dx",DATI!$E$61,DATI!$E$64*DATI!$E$63)*1000*C472*sezione!$AD$5</f>
        <v>-7892734.4104018752</v>
      </c>
      <c r="Q472" s="545">
        <f>'Foglio deposito bis'!$F$48*IF(ABS(K472)&lt;'Sollecitazioni nel paramento'!$G$58,ABS(K472)*'Sollecitazioni nel paramento'!$G$54,'Sollecitazioni nel paramento'!$G$53)*IF(K472&lt;0,-1,1)</f>
        <v>0</v>
      </c>
      <c r="R472" s="545">
        <f>'Foglio deposito bis'!$F$49*IF(ABS(L472)&lt;'Sollecitazioni nel paramento'!$G$58,ABS(L472)*'Sollecitazioni nel paramento'!$G$54,'Sollecitazioni nel paramento'!$G$53)*IF(L472&lt;0,-1,1)</f>
        <v>-204886.47740803001</v>
      </c>
      <c r="S472" s="545">
        <f>'Foglio deposito bis'!$F$50*IF(ABS(M472)&lt;'Sollecitazioni nel paramento'!$G$58,ABS(M472)*'Sollecitazioni nel paramento'!$G$54,'Sollecitazioni nel paramento'!$G$53)*IF(M472&lt;0,-1,1)</f>
        <v>0</v>
      </c>
      <c r="T472" s="545">
        <f>'Foglio deposito bis'!$F$51*IF(ABS(N472)&lt;'Sollecitazioni nel paramento'!$G$58,ABS(N472)*'Sollecitazioni nel paramento'!$G$54,'Sollecitazioni nel paramento'!$G$53)*IF(N472&lt;0,-1,1)</f>
        <v>-101091.26052351538</v>
      </c>
      <c r="U472" s="545">
        <f>'Foglio deposito bis'!$F$52*IF(ABS(O472)&lt;'Sollecitazioni nel paramento'!$G$58,ABS(O472)*'Sollecitazioni nel paramento'!$G$54,'Sollecitazioni nel paramento'!$G$53)*IF(O472&lt;0,-1,1)</f>
        <v>114892.88062972968</v>
      </c>
      <c r="V472" s="472">
        <f t="shared" si="37"/>
        <v>-8083819.2677036915</v>
      </c>
      <c r="W472" s="551"/>
      <c r="X472" s="551"/>
    </row>
    <row r="473" spans="1:24" x14ac:dyDescent="0.25">
      <c r="A473" s="545">
        <f t="shared" si="36"/>
        <v>8256256.9206860829</v>
      </c>
      <c r="B473" s="3">
        <f t="shared" si="34"/>
        <v>51.899999999999942</v>
      </c>
      <c r="C473" s="545">
        <f>'Foglio deposito bis'!$E$154/sezione!$B$247*B473</f>
        <v>211.24492623593875</v>
      </c>
      <c r="D473" s="603">
        <f>-'Sollecitazioni nel paramento'!$G$47*'Sollecitazioni nel paramento'!$G$41*IF(DATI!$G$211="dx",DATI!$E$61,DATI!$E$64*DATI!$E$63)*1000*C473^2*sezione!$AD$5*(1-sezione!$AD$6)</f>
        <v>-992832987.43020594</v>
      </c>
      <c r="E473" s="545">
        <f>-'Foglio deposito bis'!$F$48*(C473-sezione!$AL$28)*IF(ABS(K473)&lt;'Sollecitazioni nel paramento'!$G$58,ABS(K473)*'Sollecitazioni nel paramento'!$G$54,'Sollecitazioni nel paramento'!$G$53)</f>
        <v>0</v>
      </c>
      <c r="F473" s="545">
        <f>-'Foglio deposito bis'!$F$49*(C473-sezione!$AM$28)*IF(ABS(L473)&lt;'Sollecitazioni nel paramento'!$G$58,ABS(L473)*'Sollecitazioni nel paramento'!$G$54,'Sollecitazioni nel paramento'!$G$53)</f>
        <v>-30988040.162318829</v>
      </c>
      <c r="G473" s="545">
        <f>-'Foglio deposito bis'!$F$50*(C473-sezione!$AN$28)*IF(ABS(M473)&lt;'Sollecitazioni nel paramento'!$G$58,ABS(M473)*'Sollecitazioni nel paramento'!$G$54,'Sollecitazioni nel paramento'!$G$53)</f>
        <v>0</v>
      </c>
      <c r="H473" s="545">
        <f>-'Foglio deposito bis'!$F$51*(C473-sezione!$AO$28)*IF(ABS(N473)&lt;'Sollecitazioni nel paramento'!$G$58,ABS(N473)*'Sollecitazioni nel paramento'!$G$54,'Sollecitazioni nel paramento'!$G$53)</f>
        <v>-5518952.6333803581</v>
      </c>
      <c r="I473" s="472">
        <f>-'Foglio deposito bis'!$F$52*(C473-sezione!$AP$28)*IF(ABS(O473)&lt;'Sollecitazioni nel paramento'!$G$58,ABS(O473)*'Sollecitazioni nel paramento'!$G$54,'Sollecitazioni nel paramento'!$G$53)</f>
        <v>5158881.5862138616</v>
      </c>
      <c r="J473" s="472">
        <f t="shared" si="35"/>
        <v>-1024181098.6396914</v>
      </c>
      <c r="K473" s="550">
        <f>'Sollecitazioni nel paramento'!$G$60*(sezione!$AL$28-C473)/C473</f>
        <v>-2.8372621889927218E-3</v>
      </c>
      <c r="L473" s="550">
        <f>'Sollecitazioni nel paramento'!$G$60*(sezione!$AM$28-C473)/C473</f>
        <v>-2.5058932834890824E-3</v>
      </c>
      <c r="M473" s="551">
        <f>'Sollecitazioni nel paramento'!$G$60*(sezione!$AN$28-C473)/C473</f>
        <v>-2.1745243779854435E-3</v>
      </c>
      <c r="N473" s="551">
        <f>'Sollecitazioni nel paramento'!$G$60*(sezione!$AO$28-C473)/C473</f>
        <v>-8.4904875597088727E-4</v>
      </c>
      <c r="O473" s="551">
        <f>'Sollecitazioni nel paramento'!$G$60*(sezione!$AP$28-C473)/C473</f>
        <v>8.2088453966709782E-4</v>
      </c>
      <c r="P473" s="545">
        <f>-'Sollecitazioni nel paramento'!$G$47*'Sollecitazioni nel paramento'!$G$41*IF(DATI!$G$211="dx",DATI!$E$61,DATI!$E$64*DATI!$E$63)*1000*C473*sezione!$AD$5</f>
        <v>-8047797.954810557</v>
      </c>
      <c r="Q473" s="545">
        <f>'Foglio deposito bis'!$F$48*IF(ABS(K473)&lt;'Sollecitazioni nel paramento'!$G$58,ABS(K473)*'Sollecitazioni nel paramento'!$G$54,'Sollecitazioni nel paramento'!$G$53)*IF(K473&lt;0,-1,1)</f>
        <v>0</v>
      </c>
      <c r="R473" s="545">
        <f>'Foglio deposito bis'!$F$49*IF(ABS(L473)&lt;'Sollecitazioni nel paramento'!$G$58,ABS(L473)*'Sollecitazioni nel paramento'!$G$54,'Sollecitazioni nel paramento'!$G$53)*IF(L473&lt;0,-1,1)</f>
        <v>-204886.47740803001</v>
      </c>
      <c r="S473" s="545">
        <f>'Foglio deposito bis'!$F$50*IF(ABS(M473)&lt;'Sollecitazioni nel paramento'!$G$58,ABS(M473)*'Sollecitazioni nel paramento'!$G$54,'Sollecitazioni nel paramento'!$G$53)*IF(M473&lt;0,-1,1)</f>
        <v>0</v>
      </c>
      <c r="T473" s="545">
        <f>'Foglio deposito bis'!$F$51*IF(ABS(N473)&lt;'Sollecitazioni nel paramento'!$G$58,ABS(N473)*'Sollecitazioni nel paramento'!$G$54,'Sollecitazioni nel paramento'!$G$53)*IF(N473&lt;0,-1,1)</f>
        <v>-107697.54273760362</v>
      </c>
      <c r="U473" s="545">
        <f>'Foglio deposito bis'!$F$52*IF(ABS(O473)&lt;'Sollecitazioni nel paramento'!$G$58,ABS(O473)*'Sollecitazioni nel paramento'!$G$54,'Sollecitazioni nel paramento'!$G$53)*IF(O473&lt;0,-1,1)</f>
        <v>104125.05427010685</v>
      </c>
      <c r="V473" s="472">
        <f t="shared" si="37"/>
        <v>-8256256.9206860829</v>
      </c>
      <c r="W473" s="551"/>
      <c r="X473" s="551"/>
    </row>
    <row r="474" spans="1:24" x14ac:dyDescent="0.25">
      <c r="A474" s="545">
        <f t="shared" si="36"/>
        <v>8428037.7075598314</v>
      </c>
      <c r="B474" s="3">
        <f t="shared" si="34"/>
        <v>52.899999999999942</v>
      </c>
      <c r="C474" s="545">
        <f>'Foglio deposito bis'!$E$154/sezione!$B$247*B474</f>
        <v>215.31515602853875</v>
      </c>
      <c r="D474" s="603">
        <f>-'Sollecitazioni nel paramento'!$G$47*'Sollecitazioni nel paramento'!$G$41*IF(DATI!$G$211="dx",DATI!$E$61,DATI!$E$64*DATI!$E$63)*1000*C474^2*sezione!$AD$5*(1-sezione!$AD$6)</f>
        <v>-1031461035.6935722</v>
      </c>
      <c r="E474" s="545">
        <f>-'Foglio deposito bis'!$F$48*(C474-sezione!$AL$28)*IF(ABS(K474)&lt;'Sollecitazioni nel paramento'!$G$58,ABS(K474)*'Sollecitazioni nel paramento'!$G$54,'Sollecitazioni nel paramento'!$G$53)</f>
        <v>0</v>
      </c>
      <c r="F474" s="545">
        <f>-'Foglio deposito bis'!$F$49*(C474-sezione!$AM$28)*IF(ABS(L474)&lt;'Sollecitazioni nel paramento'!$G$58,ABS(L474)*'Sollecitazioni nel paramento'!$G$54,'Sollecitazioni nel paramento'!$G$53)</f>
        <v>-31821975.20676586</v>
      </c>
      <c r="G474" s="545">
        <f>-'Foglio deposito bis'!$F$50*(C474-sezione!$AN$28)*IF(ABS(M474)&lt;'Sollecitazioni nel paramento'!$G$58,ABS(M474)*'Sollecitazioni nel paramento'!$G$54,'Sollecitazioni nel paramento'!$G$53)</f>
        <v>0</v>
      </c>
      <c r="H474" s="545">
        <f>-'Foglio deposito bis'!$F$51*(C474-sezione!$AO$28)*IF(ABS(N474)&lt;'Sollecitazioni nel paramento'!$G$58,ABS(N474)*'Sollecitazioni nel paramento'!$G$54,'Sollecitazioni nel paramento'!$G$53)</f>
        <v>-6308918.1261738744</v>
      </c>
      <c r="I474" s="472">
        <f>-'Foglio deposito bis'!$F$52*(C474-sezione!$AP$28)*IF(ABS(O474)&lt;'Sollecitazioni nel paramento'!$G$58,ABS(O474)*'Sollecitazioni nel paramento'!$G$54,'Sollecitazioni nel paramento'!$G$53)</f>
        <v>4263916.5173281403</v>
      </c>
      <c r="J474" s="472">
        <f t="shared" si="35"/>
        <v>-1065328012.5091838</v>
      </c>
      <c r="K474" s="550">
        <f>'Sollecitazioni nel paramento'!$G$60*(sezione!$AL$28-C474)/C474</f>
        <v>-2.8497903139645042E-3</v>
      </c>
      <c r="L474" s="550">
        <f>'Sollecitazioni nel paramento'!$G$60*(sezione!$AM$28-C474)/C474</f>
        <v>-2.524685470946756E-3</v>
      </c>
      <c r="M474" s="551">
        <f>'Sollecitazioni nel paramento'!$G$60*(sezione!$AN$28-C474)/C474</f>
        <v>-2.1995806279290083E-3</v>
      </c>
      <c r="N474" s="551">
        <f>'Sollecitazioni nel paramento'!$G$60*(sezione!$AO$28-C474)/C474</f>
        <v>-8.991612558580163E-4</v>
      </c>
      <c r="O474" s="551">
        <f>'Sollecitazioni nel paramento'!$G$60*(sezione!$AP$28-C474)/C474</f>
        <v>7.3920430262235071E-4</v>
      </c>
      <c r="P474" s="545">
        <f>-'Sollecitazioni nel paramento'!$G$47*'Sollecitazioni nel paramento'!$G$41*IF(DATI!$G$211="dx",DATI!$E$61,DATI!$E$64*DATI!$E$63)*1000*C474*sezione!$AD$5</f>
        <v>-8202861.4992192397</v>
      </c>
      <c r="Q474" s="545">
        <f>'Foglio deposito bis'!$F$48*IF(ABS(K474)&lt;'Sollecitazioni nel paramento'!$G$58,ABS(K474)*'Sollecitazioni nel paramento'!$G$54,'Sollecitazioni nel paramento'!$G$53)*IF(K474&lt;0,-1,1)</f>
        <v>0</v>
      </c>
      <c r="R474" s="545">
        <f>'Foglio deposito bis'!$F$49*IF(ABS(L474)&lt;'Sollecitazioni nel paramento'!$G$58,ABS(L474)*'Sollecitazioni nel paramento'!$G$54,'Sollecitazioni nel paramento'!$G$53)*IF(L474&lt;0,-1,1)</f>
        <v>-204886.47740803001</v>
      </c>
      <c r="S474" s="545">
        <f>'Foglio deposito bis'!$F$50*IF(ABS(M474)&lt;'Sollecitazioni nel paramento'!$G$58,ABS(M474)*'Sollecitazioni nel paramento'!$G$54,'Sollecitazioni nel paramento'!$G$53)*IF(M474&lt;0,-1,1)</f>
        <v>0</v>
      </c>
      <c r="T474" s="545">
        <f>'Foglio deposito bis'!$F$51*IF(ABS(N474)&lt;'Sollecitazioni nel paramento'!$G$58,ABS(N474)*'Sollecitazioni nel paramento'!$G$54,'Sollecitazioni nel paramento'!$G$53)*IF(N474&lt;0,-1,1)</f>
        <v>-114054.06002866398</v>
      </c>
      <c r="U474" s="545">
        <f>'Foglio deposito bis'!$F$52*IF(ABS(O474)&lt;'Sollecitazioni nel paramento'!$G$58,ABS(O474)*'Sollecitazioni nel paramento'!$G$54,'Sollecitazioni nel paramento'!$G$53)*IF(O474&lt;0,-1,1)</f>
        <v>93764.329096102971</v>
      </c>
      <c r="V474" s="472">
        <f t="shared" si="37"/>
        <v>-8428037.7075598314</v>
      </c>
      <c r="W474" s="551"/>
      <c r="X474" s="551"/>
    </row>
    <row r="475" spans="1:24" x14ac:dyDescent="0.25">
      <c r="A475" s="545">
        <f t="shared" si="36"/>
        <v>8599198.1885907147</v>
      </c>
      <c r="B475" s="3">
        <f t="shared" si="34"/>
        <v>53.899999999999942</v>
      </c>
      <c r="C475" s="545">
        <f>'Foglio deposito bis'!$E$154/sezione!$B$247*B475</f>
        <v>219.38538582113873</v>
      </c>
      <c r="D475" s="603">
        <f>-'Sollecitazioni nel paramento'!$G$47*'Sollecitazioni nel paramento'!$G$41*IF(DATI!$G$211="dx",DATI!$E$61,DATI!$E$64*DATI!$E$63)*1000*C475^2*sezione!$AD$5*(1-sezione!$AD$6)</f>
        <v>-1070826260.4505141</v>
      </c>
      <c r="E475" s="545">
        <f>-'Foglio deposito bis'!$F$48*(C475-sezione!$AL$28)*IF(ABS(K475)&lt;'Sollecitazioni nel paramento'!$G$58,ABS(K475)*'Sollecitazioni nel paramento'!$G$54,'Sollecitazioni nel paramento'!$G$53)</f>
        <v>0</v>
      </c>
      <c r="F475" s="545">
        <f>-'Foglio deposito bis'!$F$49*(C475-sezione!$AM$28)*IF(ABS(L475)&lt;'Sollecitazioni nel paramento'!$G$58,ABS(L475)*'Sollecitazioni nel paramento'!$G$54,'Sollecitazioni nel paramento'!$G$53)</f>
        <v>-32655910.251212884</v>
      </c>
      <c r="G475" s="545">
        <f>-'Foglio deposito bis'!$F$50*(C475-sezione!$AN$28)*IF(ABS(M475)&lt;'Sollecitazioni nel paramento'!$G$58,ABS(M475)*'Sollecitazioni nel paramento'!$G$54,'Sollecitazioni nel paramento'!$G$53)</f>
        <v>0</v>
      </c>
      <c r="H475" s="545">
        <f>-'Foglio deposito bis'!$F$51*(C475-sezione!$AO$28)*IF(ABS(N475)&lt;'Sollecitazioni nel paramento'!$G$58,ABS(N475)*'Sollecitazioni nel paramento'!$G$54,'Sollecitazioni nel paramento'!$G$53)</f>
        <v>-7136621.7550182054</v>
      </c>
      <c r="I475" s="472">
        <f>-'Foglio deposito bis'!$F$52*(C475-sezione!$AP$28)*IF(ABS(O475)&lt;'Sollecitazioni nel paramento'!$G$58,ABS(O475)*'Sollecitazioni nel paramento'!$G$54,'Sollecitazioni nel paramento'!$G$53)</f>
        <v>3469210.1990267993</v>
      </c>
      <c r="J475" s="472">
        <f t="shared" si="35"/>
        <v>-1107149582.2577183</v>
      </c>
      <c r="K475" s="550">
        <f>'Sollecitazioni nel paramento'!$G$60*(sezione!$AL$28-C475)/C475</f>
        <v>-2.8618535734456821E-3</v>
      </c>
      <c r="L475" s="550">
        <f>'Sollecitazioni nel paramento'!$G$60*(sezione!$AM$28-C475)/C475</f>
        <v>-2.5427803601685232E-3</v>
      </c>
      <c r="M475" s="551">
        <f>'Sollecitazioni nel paramento'!$G$60*(sezione!$AN$28-C475)/C475</f>
        <v>-2.2237071468913642E-3</v>
      </c>
      <c r="N475" s="551">
        <f>'Sollecitazioni nel paramento'!$G$60*(sezione!$AO$28-C475)/C475</f>
        <v>-9.4741429378272833E-4</v>
      </c>
      <c r="O475" s="551">
        <f>'Sollecitazioni nel paramento'!$G$60*(sezione!$AP$28-C475)/C475</f>
        <v>6.605548721469825E-4</v>
      </c>
      <c r="P475" s="545">
        <f>-'Sollecitazioni nel paramento'!$G$47*'Sollecitazioni nel paramento'!$G$41*IF(DATI!$G$211="dx",DATI!$E$61,DATI!$E$64*DATI!$E$63)*1000*C475*sezione!$AD$5</f>
        <v>-8357925.0436279196</v>
      </c>
      <c r="Q475" s="545">
        <f>'Foglio deposito bis'!$F$48*IF(ABS(K475)&lt;'Sollecitazioni nel paramento'!$G$58,ABS(K475)*'Sollecitazioni nel paramento'!$G$54,'Sollecitazioni nel paramento'!$G$53)*IF(K475&lt;0,-1,1)</f>
        <v>0</v>
      </c>
      <c r="R475" s="545">
        <f>'Foglio deposito bis'!$F$49*IF(ABS(L475)&lt;'Sollecitazioni nel paramento'!$G$58,ABS(L475)*'Sollecitazioni nel paramento'!$G$54,'Sollecitazioni nel paramento'!$G$53)*IF(L475&lt;0,-1,1)</f>
        <v>-204886.47740803001</v>
      </c>
      <c r="S475" s="545">
        <f>'Foglio deposito bis'!$F$50*IF(ABS(M475)&lt;'Sollecitazioni nel paramento'!$G$58,ABS(M475)*'Sollecitazioni nel paramento'!$G$54,'Sollecitazioni nel paramento'!$G$53)*IF(M475&lt;0,-1,1)</f>
        <v>0</v>
      </c>
      <c r="T475" s="545">
        <f>'Foglio deposito bis'!$F$51*IF(ABS(N475)&lt;'Sollecitazioni nel paramento'!$G$58,ABS(N475)*'Sollecitazioni nel paramento'!$G$54,'Sollecitazioni nel paramento'!$G$53)*IF(N475&lt;0,-1,1)</f>
        <v>-120174.71396940667</v>
      </c>
      <c r="U475" s="545">
        <f>'Foglio deposito bis'!$F$52*IF(ABS(O475)&lt;'Sollecitazioni nel paramento'!$G$58,ABS(O475)*'Sollecitazioni nel paramento'!$G$54,'Sollecitazioni nel paramento'!$G$53)*IF(O475&lt;0,-1,1)</f>
        <v>83788.046414641052</v>
      </c>
      <c r="V475" s="472">
        <f t="shared" si="37"/>
        <v>-8599198.1885907147</v>
      </c>
      <c r="W475" s="551"/>
      <c r="X475" s="551"/>
    </row>
    <row r="476" spans="1:24" x14ac:dyDescent="0.25">
      <c r="A476" s="545">
        <f t="shared" si="36"/>
        <v>8769772.2602728847</v>
      </c>
      <c r="B476" s="3">
        <f t="shared" si="34"/>
        <v>54.899999999999942</v>
      </c>
      <c r="C476" s="545">
        <f>'Foglio deposito bis'!$E$154/sezione!$B$247*B476</f>
        <v>223.4556156137387</v>
      </c>
      <c r="D476" s="603">
        <f>-'Sollecitazioni nel paramento'!$G$47*'Sollecitazioni nel paramento'!$G$41*IF(DATI!$G$211="dx",DATI!$E$61,DATI!$E$64*DATI!$E$63)*1000*C476^2*sezione!$AD$5*(1-sezione!$AD$6)</f>
        <v>-1110928661.7010314</v>
      </c>
      <c r="E476" s="545">
        <f>-'Foglio deposito bis'!$F$48*(C476-sezione!$AL$28)*IF(ABS(K476)&lt;'Sollecitazioni nel paramento'!$G$58,ABS(K476)*'Sollecitazioni nel paramento'!$G$54,'Sollecitazioni nel paramento'!$G$53)</f>
        <v>0</v>
      </c>
      <c r="F476" s="545">
        <f>-'Foglio deposito bis'!$F$49*(C476-sezione!$AM$28)*IF(ABS(L476)&lt;'Sollecitazioni nel paramento'!$G$58,ABS(L476)*'Sollecitazioni nel paramento'!$G$54,'Sollecitazioni nel paramento'!$G$53)</f>
        <v>-33489845.295659911</v>
      </c>
      <c r="G476" s="545">
        <f>-'Foglio deposito bis'!$F$50*(C476-sezione!$AN$28)*IF(ABS(M476)&lt;'Sollecitazioni nel paramento'!$G$58,ABS(M476)*'Sollecitazioni nel paramento'!$G$54,'Sollecitazioni nel paramento'!$G$53)</f>
        <v>0</v>
      </c>
      <c r="H476" s="545">
        <f>-'Foglio deposito bis'!$F$51*(C476-sezione!$AO$28)*IF(ABS(N476)&lt;'Sollecitazioni nel paramento'!$G$58,ABS(N476)*'Sollecitazioni nel paramento'!$G$54,'Sollecitazioni nel paramento'!$G$53)</f>
        <v>-8000001.3266865378</v>
      </c>
      <c r="I476" s="472">
        <f>-'Foglio deposito bis'!$F$52*(C476-sezione!$AP$28)*IF(ABS(O476)&lt;'Sollecitazioni nel paramento'!$G$58,ABS(O476)*'Sollecitazioni nel paramento'!$G$54,'Sollecitazioni nel paramento'!$G$53)</f>
        <v>2769284.0110593201</v>
      </c>
      <c r="J476" s="472">
        <f t="shared" si="35"/>
        <v>-1149649224.3123188</v>
      </c>
      <c r="K476" s="550">
        <f>'Sollecitazioni nel paramento'!$G$60*(sezione!$AL$28-C476)/C476</f>
        <v>-2.8734773699220814E-3</v>
      </c>
      <c r="L476" s="550">
        <f>'Sollecitazioni nel paramento'!$G$60*(sezione!$AM$28-C476)/C476</f>
        <v>-2.5602160548831221E-3</v>
      </c>
      <c r="M476" s="551">
        <f>'Sollecitazioni nel paramento'!$G$60*(sezione!$AN$28-C476)/C476</f>
        <v>-2.2469547398441627E-3</v>
      </c>
      <c r="N476" s="551">
        <f>'Sollecitazioni nel paramento'!$G$60*(sezione!$AO$28-C476)/C476</f>
        <v>-9.9390947968832537E-4</v>
      </c>
      <c r="O476" s="551">
        <f>'Sollecitazioni nel paramento'!$G$60*(sezione!$AP$28-C476)/C476</f>
        <v>5.847706303956714E-4</v>
      </c>
      <c r="P476" s="545">
        <f>-'Sollecitazioni nel paramento'!$G$47*'Sollecitazioni nel paramento'!$G$41*IF(DATI!$G$211="dx",DATI!$E$61,DATI!$E$64*DATI!$E$63)*1000*C476*sezione!$AD$5</f>
        <v>-8512988.5880366005</v>
      </c>
      <c r="Q476" s="545">
        <f>'Foglio deposito bis'!$F$48*IF(ABS(K476)&lt;'Sollecitazioni nel paramento'!$G$58,ABS(K476)*'Sollecitazioni nel paramento'!$G$54,'Sollecitazioni nel paramento'!$G$53)*IF(K476&lt;0,-1,1)</f>
        <v>0</v>
      </c>
      <c r="R476" s="545">
        <f>'Foglio deposito bis'!$F$49*IF(ABS(L476)&lt;'Sollecitazioni nel paramento'!$G$58,ABS(L476)*'Sollecitazioni nel paramento'!$G$54,'Sollecitazioni nel paramento'!$G$53)*IF(L476&lt;0,-1,1)</f>
        <v>-204886.47740803001</v>
      </c>
      <c r="S476" s="545">
        <f>'Foglio deposito bis'!$F$50*IF(ABS(M476)&lt;'Sollecitazioni nel paramento'!$G$58,ABS(M476)*'Sollecitazioni nel paramento'!$G$54,'Sollecitazioni nel paramento'!$G$53)*IF(M476&lt;0,-1,1)</f>
        <v>0</v>
      </c>
      <c r="T476" s="545">
        <f>'Foglio deposito bis'!$F$51*IF(ABS(N476)&lt;'Sollecitazioni nel paramento'!$G$58,ABS(N476)*'Sollecitazioni nel paramento'!$G$54,'Sollecitazioni nel paramento'!$G$53)*IF(N476&lt;0,-1,1)</f>
        <v>-126072.39326749937</v>
      </c>
      <c r="U476" s="545">
        <f>'Foglio deposito bis'!$F$52*IF(ABS(O476)&lt;'Sollecitazioni nel paramento'!$G$58,ABS(O476)*'Sollecitazioni nel paramento'!$G$54,'Sollecitazioni nel paramento'!$G$53)*IF(O476&lt;0,-1,1)</f>
        <v>74175.198439243308</v>
      </c>
      <c r="V476" s="472">
        <f t="shared" si="37"/>
        <v>-8769772.2602728847</v>
      </c>
      <c r="W476" s="551"/>
      <c r="X476" s="551"/>
    </row>
    <row r="477" spans="1:24" x14ac:dyDescent="0.25">
      <c r="A477" s="545">
        <f t="shared" si="36"/>
        <v>8939791.3935910705</v>
      </c>
      <c r="B477" s="3">
        <f t="shared" si="34"/>
        <v>55.899999999999942</v>
      </c>
      <c r="C477" s="545">
        <f>'Foglio deposito bis'!$E$154/sezione!$B$247*B477</f>
        <v>227.52584540633868</v>
      </c>
      <c r="D477" s="603">
        <f>-'Sollecitazioni nel paramento'!$G$47*'Sollecitazioni nel paramento'!$G$41*IF(DATI!$G$211="dx",DATI!$E$61,DATI!$E$64*DATI!$E$63)*1000*C477^2*sezione!$AD$5*(1-sezione!$AD$6)</f>
        <v>-1151768239.4451246</v>
      </c>
      <c r="E477" s="545">
        <f>-'Foglio deposito bis'!$F$48*(C477-sezione!$AL$28)*IF(ABS(K477)&lt;'Sollecitazioni nel paramento'!$G$58,ABS(K477)*'Sollecitazioni nel paramento'!$G$54,'Sollecitazioni nel paramento'!$G$53)</f>
        <v>0</v>
      </c>
      <c r="F477" s="545">
        <f>-'Foglio deposito bis'!$F$49*(C477-sezione!$AM$28)*IF(ABS(L477)&lt;'Sollecitazioni nel paramento'!$G$58,ABS(L477)*'Sollecitazioni nel paramento'!$G$54,'Sollecitazioni nel paramento'!$G$53)</f>
        <v>-34323780.340106934</v>
      </c>
      <c r="G477" s="545">
        <f>-'Foglio deposito bis'!$F$50*(C477-sezione!$AN$28)*IF(ABS(M477)&lt;'Sollecitazioni nel paramento'!$G$58,ABS(M477)*'Sollecitazioni nel paramento'!$G$54,'Sollecitazioni nel paramento'!$G$53)</f>
        <v>0</v>
      </c>
      <c r="H477" s="545">
        <f>-'Foglio deposito bis'!$F$51*(C477-sezione!$AO$28)*IF(ABS(N477)&lt;'Sollecitazioni nel paramento'!$G$58,ABS(N477)*'Sollecitazioni nel paramento'!$G$54,'Sollecitazioni nel paramento'!$G$53)</f>
        <v>-8897142.2109736484</v>
      </c>
      <c r="I477" s="472">
        <f>-'Foglio deposito bis'!$F$52*(C477-sezione!$AP$28)*IF(ABS(O477)&lt;'Sollecitazioni nel paramento'!$G$58,ABS(O477)*'Sollecitazioni nel paramento'!$G$54,'Sollecitazioni nel paramento'!$G$53)</f>
        <v>2159051.3632467822</v>
      </c>
      <c r="J477" s="472">
        <f t="shared" si="35"/>
        <v>-1192830110.6329587</v>
      </c>
      <c r="K477" s="550">
        <f>'Sollecitazioni nel paramento'!$G$60*(sezione!$AL$28-C477)/C477</f>
        <v>-2.8846852881703449E-3</v>
      </c>
      <c r="L477" s="550">
        <f>'Sollecitazioni nel paramento'!$G$60*(sezione!$AM$28-C477)/C477</f>
        <v>-2.5770279322555167E-3</v>
      </c>
      <c r="M477" s="551">
        <f>'Sollecitazioni nel paramento'!$G$60*(sezione!$AN$28-C477)/C477</f>
        <v>-2.2693705763406893E-3</v>
      </c>
      <c r="N477" s="551">
        <f>'Sollecitazioni nel paramento'!$G$60*(sezione!$AO$28-C477)/C477</f>
        <v>-1.0387411526813785E-3</v>
      </c>
      <c r="O477" s="551">
        <f>'Sollecitazioni nel paramento'!$G$60*(sezione!$AP$28-C477)/C477</f>
        <v>5.1169781053170586E-4</v>
      </c>
      <c r="P477" s="545">
        <f>-'Sollecitazioni nel paramento'!$G$47*'Sollecitazioni nel paramento'!$G$41*IF(DATI!$G$211="dx",DATI!$E$61,DATI!$E$64*DATI!$E$63)*1000*C477*sezione!$AD$5</f>
        <v>-8668052.1324452832</v>
      </c>
      <c r="Q477" s="545">
        <f>'Foglio deposito bis'!$F$48*IF(ABS(K477)&lt;'Sollecitazioni nel paramento'!$G$58,ABS(K477)*'Sollecitazioni nel paramento'!$G$54,'Sollecitazioni nel paramento'!$G$53)*IF(K477&lt;0,-1,1)</f>
        <v>0</v>
      </c>
      <c r="R477" s="545">
        <f>'Foglio deposito bis'!$F$49*IF(ABS(L477)&lt;'Sollecitazioni nel paramento'!$G$58,ABS(L477)*'Sollecitazioni nel paramento'!$G$54,'Sollecitazioni nel paramento'!$G$53)*IF(L477&lt;0,-1,1)</f>
        <v>-204886.47740803001</v>
      </c>
      <c r="S477" s="545">
        <f>'Foglio deposito bis'!$F$50*IF(ABS(M477)&lt;'Sollecitazioni nel paramento'!$G$58,ABS(M477)*'Sollecitazioni nel paramento'!$G$54,'Sollecitazioni nel paramento'!$G$53)*IF(M477&lt;0,-1,1)</f>
        <v>0</v>
      </c>
      <c r="T477" s="545">
        <f>'Foglio deposito bis'!$F$51*IF(ABS(N477)&lt;'Sollecitazioni nel paramento'!$G$58,ABS(N477)*'Sollecitazioni nel paramento'!$G$54,'Sollecitazioni nel paramento'!$G$53)*IF(N477&lt;0,-1,1)</f>
        <v>-131759.06436172468</v>
      </c>
      <c r="U477" s="545">
        <f>'Foglio deposito bis'!$F$52*IF(ABS(O477)&lt;'Sollecitazioni nel paramento'!$G$58,ABS(O477)*'Sollecitazioni nel paramento'!$G$54,'Sollecitazioni nel paramento'!$G$53)*IF(O477&lt;0,-1,1)</f>
        <v>64906.280623967126</v>
      </c>
      <c r="V477" s="472">
        <f t="shared" si="37"/>
        <v>-8939791.3935910705</v>
      </c>
      <c r="W477" s="551"/>
      <c r="X477" s="551"/>
    </row>
    <row r="478" spans="1:24" x14ac:dyDescent="0.25">
      <c r="A478" s="545">
        <f t="shared" si="36"/>
        <v>9109284.8471584786</v>
      </c>
      <c r="B478" s="3">
        <f t="shared" si="34"/>
        <v>56.899999999999942</v>
      </c>
      <c r="C478" s="545">
        <f>'Foglio deposito bis'!$E$154/sezione!$B$247*B478</f>
        <v>231.59607519893865</v>
      </c>
      <c r="D478" s="603">
        <f>-'Sollecitazioni nel paramento'!$G$47*'Sollecitazioni nel paramento'!$G$41*IF(DATI!$G$211="dx",DATI!$E$61,DATI!$E$64*DATI!$E$63)*1000*C478^2*sezione!$AD$5*(1-sezione!$AD$6)</f>
        <v>-1193344993.6827936</v>
      </c>
      <c r="E478" s="545">
        <f>-'Foglio deposito bis'!$F$48*(C478-sezione!$AL$28)*IF(ABS(K478)&lt;'Sollecitazioni nel paramento'!$G$58,ABS(K478)*'Sollecitazioni nel paramento'!$G$54,'Sollecitazioni nel paramento'!$G$53)</f>
        <v>0</v>
      </c>
      <c r="F478" s="545">
        <f>-'Foglio deposito bis'!$F$49*(C478-sezione!$AM$28)*IF(ABS(L478)&lt;'Sollecitazioni nel paramento'!$G$58,ABS(L478)*'Sollecitazioni nel paramento'!$G$54,'Sollecitazioni nel paramento'!$G$53)</f>
        <v>-35157715.384553961</v>
      </c>
      <c r="G478" s="545">
        <f>-'Foglio deposito bis'!$F$50*(C478-sezione!$AN$28)*IF(ABS(M478)&lt;'Sollecitazioni nel paramento'!$G$58,ABS(M478)*'Sollecitazioni nel paramento'!$G$54,'Sollecitazioni nel paramento'!$G$53)</f>
        <v>0</v>
      </c>
      <c r="H478" s="545">
        <f>-'Foglio deposito bis'!$F$51*(C478-sezione!$AO$28)*IF(ABS(N478)&lt;'Sollecitazioni nel paramento'!$G$58,ABS(N478)*'Sollecitazioni nel paramento'!$G$54,'Sollecitazioni nel paramento'!$G$53)</f>
        <v>-9826264.3738223091</v>
      </c>
      <c r="I478" s="472">
        <f>-'Foglio deposito bis'!$F$52*(C478-sezione!$AP$28)*IF(ABS(O478)&lt;'Sollecitazioni nel paramento'!$G$58,ABS(O478)*'Sollecitazioni nel paramento'!$G$54,'Sollecitazioni nel paramento'!$G$53)</f>
        <v>1633783.2464421783</v>
      </c>
      <c r="J478" s="472">
        <f t="shared" si="35"/>
        <v>-1236695190.1947277</v>
      </c>
      <c r="K478" s="550">
        <f>'Sollecitazioni nel paramento'!$G$60*(sezione!$AL$28-C478)/C478</f>
        <v>-2.8954992549863317E-3</v>
      </c>
      <c r="L478" s="550">
        <f>'Sollecitazioni nel paramento'!$G$60*(sezione!$AM$28-C478)/C478</f>
        <v>-2.5932488824794973E-3</v>
      </c>
      <c r="M478" s="551">
        <f>'Sollecitazioni nel paramento'!$G$60*(sezione!$AN$28-C478)/C478</f>
        <v>-2.2909985099726633E-3</v>
      </c>
      <c r="N478" s="551">
        <f>'Sollecitazioni nel paramento'!$G$60*(sezione!$AO$28-C478)/C478</f>
        <v>-1.0819970199453263E-3</v>
      </c>
      <c r="O478" s="551">
        <f>'Sollecitazioni nel paramento'!$G$60*(sezione!$AP$28-C478)/C478</f>
        <v>4.4119345533782706E-4</v>
      </c>
      <c r="P478" s="545">
        <f>-'Sollecitazioni nel paramento'!$G$47*'Sollecitazioni nel paramento'!$G$41*IF(DATI!$G$211="dx",DATI!$E$61,DATI!$E$64*DATI!$E$63)*1000*C478*sezione!$AD$5</f>
        <v>-8823115.6768539641</v>
      </c>
      <c r="Q478" s="545">
        <f>'Foglio deposito bis'!$F$48*IF(ABS(K478)&lt;'Sollecitazioni nel paramento'!$G$58,ABS(K478)*'Sollecitazioni nel paramento'!$G$54,'Sollecitazioni nel paramento'!$G$53)*IF(K478&lt;0,-1,1)</f>
        <v>0</v>
      </c>
      <c r="R478" s="545">
        <f>'Foglio deposito bis'!$F$49*IF(ABS(L478)&lt;'Sollecitazioni nel paramento'!$G$58,ABS(L478)*'Sollecitazioni nel paramento'!$G$54,'Sollecitazioni nel paramento'!$G$53)*IF(L478&lt;0,-1,1)</f>
        <v>-204886.47740803001</v>
      </c>
      <c r="S478" s="545">
        <f>'Foglio deposito bis'!$F$50*IF(ABS(M478)&lt;'Sollecitazioni nel paramento'!$G$58,ABS(M478)*'Sollecitazioni nel paramento'!$G$54,'Sollecitazioni nel paramento'!$G$53)*IF(M478&lt;0,-1,1)</f>
        <v>0</v>
      </c>
      <c r="T478" s="545">
        <f>'Foglio deposito bis'!$F$51*IF(ABS(N478)&lt;'Sollecitazioni nel paramento'!$G$58,ABS(N478)*'Sollecitazioni nel paramento'!$G$54,'Sollecitazioni nel paramento'!$G$53)*IF(N478&lt;0,-1,1)</f>
        <v>-137245.85246494037</v>
      </c>
      <c r="U478" s="545">
        <f>'Foglio deposito bis'!$F$52*IF(ABS(O478)&lt;'Sollecitazioni nel paramento'!$G$58,ABS(O478)*'Sollecitazioni nel paramento'!$G$54,'Sollecitazioni nel paramento'!$G$53)*IF(O478&lt;0,-1,1)</f>
        <v>55963.159568454612</v>
      </c>
      <c r="V478" s="472">
        <f t="shared" si="37"/>
        <v>-9109284.8471584786</v>
      </c>
      <c r="W478" s="551"/>
      <c r="X478" s="551"/>
    </row>
    <row r="479" spans="1:24" x14ac:dyDescent="0.25">
      <c r="A479" s="545">
        <f t="shared" si="36"/>
        <v>9278279.8582679015</v>
      </c>
      <c r="B479" s="3">
        <f t="shared" si="34"/>
        <v>57.899999999999942</v>
      </c>
      <c r="C479" s="545">
        <f>'Foglio deposito bis'!$E$154/sezione!$B$247*B479</f>
        <v>235.66630499153865</v>
      </c>
      <c r="D479" s="603">
        <f>-'Sollecitazioni nel paramento'!$G$47*'Sollecitazioni nel paramento'!$G$41*IF(DATI!$G$211="dx",DATI!$E$61,DATI!$E$64*DATI!$E$63)*1000*C479^2*sezione!$AD$5*(1-sezione!$AD$6)</f>
        <v>-1235658924.4140384</v>
      </c>
      <c r="E479" s="545">
        <f>-'Foglio deposito bis'!$F$48*(C479-sezione!$AL$28)*IF(ABS(K479)&lt;'Sollecitazioni nel paramento'!$G$58,ABS(K479)*'Sollecitazioni nel paramento'!$G$54,'Sollecitazioni nel paramento'!$G$53)</f>
        <v>0</v>
      </c>
      <c r="F479" s="545">
        <f>-'Foglio deposito bis'!$F$49*(C479-sezione!$AM$28)*IF(ABS(L479)&lt;'Sollecitazioni nel paramento'!$G$58,ABS(L479)*'Sollecitazioni nel paramento'!$G$54,'Sollecitazioni nel paramento'!$G$53)</f>
        <v>-35991650.429000996</v>
      </c>
      <c r="G479" s="545">
        <f>-'Foglio deposito bis'!$F$50*(C479-sezione!$AN$28)*IF(ABS(M479)&lt;'Sollecitazioni nel paramento'!$G$58,ABS(M479)*'Sollecitazioni nel paramento'!$G$54,'Sollecitazioni nel paramento'!$G$53)</f>
        <v>0</v>
      </c>
      <c r="H479" s="545">
        <f>-'Foglio deposito bis'!$F$51*(C479-sezione!$AO$28)*IF(ABS(N479)&lt;'Sollecitazioni nel paramento'!$G$58,ABS(N479)*'Sollecitazioni nel paramento'!$G$54,'Sollecitazioni nel paramento'!$G$53)</f>
        <v>-10785710.754167156</v>
      </c>
      <c r="I479" s="472">
        <f>-'Foglio deposito bis'!$F$52*(C479-sezione!$AP$28)*IF(ABS(O479)&lt;'Sollecitazioni nel paramento'!$G$58,ABS(O479)*'Sollecitazioni nel paramento'!$G$54,'Sollecitazioni nel paramento'!$G$53)</f>
        <v>1189077.3533393943</v>
      </c>
      <c r="J479" s="472">
        <f t="shared" si="35"/>
        <v>-1281247208.2438672</v>
      </c>
      <c r="K479" s="550">
        <f>'Sollecitazioni nel paramento'!$G$60*(sezione!$AL$28-C479)/C479</f>
        <v>-2.9059396823613516E-3</v>
      </c>
      <c r="L479" s="550">
        <f>'Sollecitazioni nel paramento'!$G$60*(sezione!$AM$28-C479)/C479</f>
        <v>-2.6089095235420278E-3</v>
      </c>
      <c r="M479" s="551">
        <f>'Sollecitazioni nel paramento'!$G$60*(sezione!$AN$28-C479)/C479</f>
        <v>-2.3118793647227036E-3</v>
      </c>
      <c r="N479" s="551">
        <f>'Sollecitazioni nel paramento'!$G$60*(sezione!$AO$28-C479)/C479</f>
        <v>-1.1237587294454072E-3</v>
      </c>
      <c r="O479" s="551">
        <f>'Sollecitazioni nel paramento'!$G$60*(sezione!$AP$28-C479)/C479</f>
        <v>3.7312448374304553E-4</v>
      </c>
      <c r="P479" s="545">
        <f>-'Sollecitazioni nel paramento'!$G$47*'Sollecitazioni nel paramento'!$G$41*IF(DATI!$G$211="dx",DATI!$E$61,DATI!$E$64*DATI!$E$63)*1000*C479*sezione!$AD$5</f>
        <v>-8978179.2212626468</v>
      </c>
      <c r="Q479" s="545">
        <f>'Foglio deposito bis'!$F$48*IF(ABS(K479)&lt;'Sollecitazioni nel paramento'!$G$58,ABS(K479)*'Sollecitazioni nel paramento'!$G$54,'Sollecitazioni nel paramento'!$G$53)*IF(K479&lt;0,-1,1)</f>
        <v>0</v>
      </c>
      <c r="R479" s="545">
        <f>'Foglio deposito bis'!$F$49*IF(ABS(L479)&lt;'Sollecitazioni nel paramento'!$G$58,ABS(L479)*'Sollecitazioni nel paramento'!$G$54,'Sollecitazioni nel paramento'!$G$53)*IF(L479&lt;0,-1,1)</f>
        <v>-204886.47740803001</v>
      </c>
      <c r="S479" s="545">
        <f>'Foglio deposito bis'!$F$50*IF(ABS(M479)&lt;'Sollecitazioni nel paramento'!$G$58,ABS(M479)*'Sollecitazioni nel paramento'!$G$54,'Sollecitazioni nel paramento'!$G$53)*IF(M479&lt;0,-1,1)</f>
        <v>0</v>
      </c>
      <c r="T479" s="545">
        <f>'Foglio deposito bis'!$F$51*IF(ABS(N479)&lt;'Sollecitazioni nel paramento'!$G$58,ABS(N479)*'Sollecitazioni nel paramento'!$G$54,'Sollecitazioni nel paramento'!$G$53)*IF(N479&lt;0,-1,1)</f>
        <v>-142543.11420880488</v>
      </c>
      <c r="U479" s="545">
        <f>'Foglio deposito bis'!$F$52*IF(ABS(O479)&lt;'Sollecitazioni nel paramento'!$G$58,ABS(O479)*'Sollecitazioni nel paramento'!$G$54,'Sollecitazioni nel paramento'!$G$53)*IF(O479&lt;0,-1,1)</f>
        <v>47328.954611578054</v>
      </c>
      <c r="V479" s="472">
        <f t="shared" si="37"/>
        <v>-9278279.8582679015</v>
      </c>
      <c r="W479" s="551"/>
      <c r="X479" s="551"/>
    </row>
    <row r="480" spans="1:24" x14ac:dyDescent="0.25">
      <c r="A480" s="545">
        <f t="shared" si="36"/>
        <v>9446801.8144808635</v>
      </c>
      <c r="B480" s="3">
        <f t="shared" si="34"/>
        <v>58.899999999999942</v>
      </c>
      <c r="C480" s="545">
        <f>'Foglio deposito bis'!$E$154/sezione!$B$247*B480</f>
        <v>239.73653478413863</v>
      </c>
      <c r="D480" s="603">
        <f>-'Sollecitazioni nel paramento'!$G$47*'Sollecitazioni nel paramento'!$G$41*IF(DATI!$G$211="dx",DATI!$E$61,DATI!$E$64*DATI!$E$63)*1000*C480^2*sezione!$AD$5*(1-sezione!$AD$6)</f>
        <v>-1278710031.6388586</v>
      </c>
      <c r="E480" s="545">
        <f>-'Foglio deposito bis'!$F$48*(C480-sezione!$AL$28)*IF(ABS(K480)&lt;'Sollecitazioni nel paramento'!$G$58,ABS(K480)*'Sollecitazioni nel paramento'!$G$54,'Sollecitazioni nel paramento'!$G$53)</f>
        <v>0</v>
      </c>
      <c r="F480" s="545">
        <f>-'Foglio deposito bis'!$F$49*(C480-sezione!$AM$28)*IF(ABS(L480)&lt;'Sollecitazioni nel paramento'!$G$58,ABS(L480)*'Sollecitazioni nel paramento'!$G$54,'Sollecitazioni nel paramento'!$G$53)</f>
        <v>-36825585.473448023</v>
      </c>
      <c r="G480" s="545">
        <f>-'Foglio deposito bis'!$F$50*(C480-sezione!$AN$28)*IF(ABS(M480)&lt;'Sollecitazioni nel paramento'!$G$58,ABS(M480)*'Sollecitazioni nel paramento'!$G$54,'Sollecitazioni nel paramento'!$G$53)</f>
        <v>0</v>
      </c>
      <c r="H480" s="545">
        <f>-'Foglio deposito bis'!$F$51*(C480-sezione!$AO$28)*IF(ABS(N480)&lt;'Sollecitazioni nel paramento'!$G$58,ABS(N480)*'Sollecitazioni nel paramento'!$G$54,'Sollecitazioni nel paramento'!$G$53)</f>
        <v>-11773936.824801246</v>
      </c>
      <c r="I480" s="472">
        <f>-'Foglio deposito bis'!$F$52*(C480-sezione!$AP$28)*IF(ABS(O480)&lt;'Sollecitazioni nel paramento'!$G$58,ABS(O480)*'Sollecitazioni nel paramento'!$G$54,'Sollecitazioni nel paramento'!$G$53)</f>
        <v>820830.34487043158</v>
      </c>
      <c r="J480" s="472">
        <f t="shared" si="35"/>
        <v>-1326488723.5922375</v>
      </c>
      <c r="K480" s="550">
        <f>'Sollecitazioni nel paramento'!$G$60*(sezione!$AL$28-C480)/C480</f>
        <v>-2.9160255960733834E-3</v>
      </c>
      <c r="L480" s="550">
        <f>'Sollecitazioni nel paramento'!$G$60*(sezione!$AM$28-C480)/C480</f>
        <v>-2.6240383941100748E-3</v>
      </c>
      <c r="M480" s="551">
        <f>'Sollecitazioni nel paramento'!$G$60*(sezione!$AN$28-C480)/C480</f>
        <v>-2.3320511921467663E-3</v>
      </c>
      <c r="N480" s="551">
        <f>'Sollecitazioni nel paramento'!$G$60*(sezione!$AO$28-C480)/C480</f>
        <v>-1.1641023842935325E-3</v>
      </c>
      <c r="O480" s="551">
        <f>'Sollecitazioni nel paramento'!$G$60*(sezione!$AP$28-C480)/C480</f>
        <v>3.0736685244010759E-4</v>
      </c>
      <c r="P480" s="545">
        <f>-'Sollecitazioni nel paramento'!$G$47*'Sollecitazioni nel paramento'!$G$41*IF(DATI!$G$211="dx",DATI!$E$61,DATI!$E$64*DATI!$E$63)*1000*C480*sezione!$AD$5</f>
        <v>-9133242.7656713277</v>
      </c>
      <c r="Q480" s="545">
        <f>'Foglio deposito bis'!$F$48*IF(ABS(K480)&lt;'Sollecitazioni nel paramento'!$G$58,ABS(K480)*'Sollecitazioni nel paramento'!$G$54,'Sollecitazioni nel paramento'!$G$53)*IF(K480&lt;0,-1,1)</f>
        <v>0</v>
      </c>
      <c r="R480" s="545">
        <f>'Foglio deposito bis'!$F$49*IF(ABS(L480)&lt;'Sollecitazioni nel paramento'!$G$58,ABS(L480)*'Sollecitazioni nel paramento'!$G$54,'Sollecitazioni nel paramento'!$G$53)*IF(L480&lt;0,-1,1)</f>
        <v>-204886.47740803001</v>
      </c>
      <c r="S480" s="545">
        <f>'Foglio deposito bis'!$F$50*IF(ABS(M480)&lt;'Sollecitazioni nel paramento'!$G$58,ABS(M480)*'Sollecitazioni nel paramento'!$G$54,'Sollecitazioni nel paramento'!$G$53)*IF(M480&lt;0,-1,1)</f>
        <v>0</v>
      </c>
      <c r="T480" s="545">
        <f>'Foglio deposito bis'!$F$51*IF(ABS(N480)&lt;'Sollecitazioni nel paramento'!$G$58,ABS(N480)*'Sollecitazioni nel paramento'!$G$54,'Sollecitazioni nel paramento'!$G$53)*IF(N480&lt;0,-1,1)</f>
        <v>-147660.50288836157</v>
      </c>
      <c r="U480" s="545">
        <f>'Foglio deposito bis'!$F$52*IF(ABS(O480)&lt;'Sollecitazioni nel paramento'!$G$58,ABS(O480)*'Sollecitazioni nel paramento'!$G$54,'Sollecitazioni nel paramento'!$G$53)*IF(O480&lt;0,-1,1)</f>
        <v>38987.931486853551</v>
      </c>
      <c r="V480" s="472">
        <f t="shared" si="37"/>
        <v>-9446801.8144808635</v>
      </c>
      <c r="W480" s="551"/>
      <c r="X480" s="551"/>
    </row>
    <row r="481" spans="1:24" x14ac:dyDescent="0.25">
      <c r="A481" s="545">
        <f t="shared" si="36"/>
        <v>9614874.4080292434</v>
      </c>
      <c r="B481" s="3">
        <f t="shared" si="34"/>
        <v>59.899999999999942</v>
      </c>
      <c r="C481" s="545">
        <f>'Foglio deposito bis'!$E$154/sezione!$B$247*B481</f>
        <v>243.8067645767386</v>
      </c>
      <c r="D481" s="603">
        <f>-'Sollecitazioni nel paramento'!$G$47*'Sollecitazioni nel paramento'!$G$41*IF(DATI!$G$211="dx",DATI!$E$61,DATI!$E$64*DATI!$E$63)*1000*C481^2*sezione!$AD$5*(1-sezione!$AD$6)</f>
        <v>-1322498315.3572547</v>
      </c>
      <c r="E481" s="545">
        <f>-'Foglio deposito bis'!$F$48*(C481-sezione!$AL$28)*IF(ABS(K481)&lt;'Sollecitazioni nel paramento'!$G$58,ABS(K481)*'Sollecitazioni nel paramento'!$G$54,'Sollecitazioni nel paramento'!$G$53)</f>
        <v>0</v>
      </c>
      <c r="F481" s="545">
        <f>-'Foglio deposito bis'!$F$49*(C481-sezione!$AM$28)*IF(ABS(L481)&lt;'Sollecitazioni nel paramento'!$G$58,ABS(L481)*'Sollecitazioni nel paramento'!$G$54,'Sollecitazioni nel paramento'!$G$53)</f>
        <v>-37659520.517895043</v>
      </c>
      <c r="G481" s="545">
        <f>-'Foglio deposito bis'!$F$50*(C481-sezione!$AN$28)*IF(ABS(M481)&lt;'Sollecitazioni nel paramento'!$G$58,ABS(M481)*'Sollecitazioni nel paramento'!$G$54,'Sollecitazioni nel paramento'!$G$53)</f>
        <v>0</v>
      </c>
      <c r="H481" s="545">
        <f>-'Foglio deposito bis'!$F$51*(C481-sezione!$AO$28)*IF(ABS(N481)&lt;'Sollecitazioni nel paramento'!$G$58,ABS(N481)*'Sollecitazioni nel paramento'!$G$54,'Sollecitazioni nel paramento'!$G$53)</f>
        <v>-12789501.198898744</v>
      </c>
      <c r="I481" s="472">
        <f>-'Foglio deposito bis'!$F$52*(C481-sezione!$AP$28)*IF(ABS(O481)&lt;'Sollecitazioni nel paramento'!$G$58,ABS(O481)*'Sollecitazioni nel paramento'!$G$54,'Sollecitazioni nel paramento'!$G$53)</f>
        <v>525212.8945928585</v>
      </c>
      <c r="J481" s="472">
        <f t="shared" si="35"/>
        <v>-1372422124.1794558</v>
      </c>
      <c r="K481" s="550">
        <f>'Sollecitazioni nel paramento'!$G$60*(sezione!$AL$28-C481)/C481</f>
        <v>-2.9257747513977009E-3</v>
      </c>
      <c r="L481" s="550">
        <f>'Sollecitazioni nel paramento'!$G$60*(sezione!$AM$28-C481)/C481</f>
        <v>-2.6386621270965507E-3</v>
      </c>
      <c r="M481" s="551">
        <f>'Sollecitazioni nel paramento'!$G$60*(sezione!$AN$28-C481)/C481</f>
        <v>-2.3515495027954013E-3</v>
      </c>
      <c r="N481" s="551">
        <f>'Sollecitazioni nel paramento'!$G$60*(sezione!$AO$28-C481)/C481</f>
        <v>-1.2030990055908026E-3</v>
      </c>
      <c r="O481" s="551">
        <f>'Sollecitazioni nel paramento'!$G$60*(sezione!$AP$28-C481)/C481</f>
        <v>2.4380480148117426E-4</v>
      </c>
      <c r="P481" s="545">
        <f>-'Sollecitazioni nel paramento'!$G$47*'Sollecitazioni nel paramento'!$G$41*IF(DATI!$G$211="dx",DATI!$E$61,DATI!$E$64*DATI!$E$63)*1000*C481*sezione!$AD$5</f>
        <v>-9288306.3100800086</v>
      </c>
      <c r="Q481" s="545">
        <f>'Foglio deposito bis'!$F$48*IF(ABS(K481)&lt;'Sollecitazioni nel paramento'!$G$58,ABS(K481)*'Sollecitazioni nel paramento'!$G$54,'Sollecitazioni nel paramento'!$G$53)*IF(K481&lt;0,-1,1)</f>
        <v>0</v>
      </c>
      <c r="R481" s="545">
        <f>'Foglio deposito bis'!$F$49*IF(ABS(L481)&lt;'Sollecitazioni nel paramento'!$G$58,ABS(L481)*'Sollecitazioni nel paramento'!$G$54,'Sollecitazioni nel paramento'!$G$53)*IF(L481&lt;0,-1,1)</f>
        <v>-204886.47740803001</v>
      </c>
      <c r="S481" s="545">
        <f>'Foglio deposito bis'!$F$50*IF(ABS(M481)&lt;'Sollecitazioni nel paramento'!$G$58,ABS(M481)*'Sollecitazioni nel paramento'!$G$54,'Sollecitazioni nel paramento'!$G$53)*IF(M481&lt;0,-1,1)</f>
        <v>0</v>
      </c>
      <c r="T481" s="545">
        <f>'Foglio deposito bis'!$F$51*IF(ABS(N481)&lt;'Sollecitazioni nel paramento'!$G$58,ABS(N481)*'Sollecitazioni nel paramento'!$G$54,'Sollecitazioni nel paramento'!$G$53)*IF(N481&lt;0,-1,1)</f>
        <v>-152607.027171272</v>
      </c>
      <c r="U481" s="545">
        <f>'Foglio deposito bis'!$F$52*IF(ABS(O481)&lt;'Sollecitazioni nel paramento'!$G$58,ABS(O481)*'Sollecitazioni nel paramento'!$G$54,'Sollecitazioni nel paramento'!$G$53)*IF(O481&lt;0,-1,1)</f>
        <v>30925.406630066427</v>
      </c>
      <c r="V481" s="472">
        <f t="shared" si="37"/>
        <v>-9614874.4080292434</v>
      </c>
      <c r="W481" s="551"/>
      <c r="X481" s="551"/>
    </row>
    <row r="482" spans="1:24" x14ac:dyDescent="0.25">
      <c r="A482" s="545">
        <f t="shared" si="36"/>
        <v>9782519.7750048898</v>
      </c>
      <c r="B482" s="3">
        <f t="shared" si="34"/>
        <v>60.899999999999942</v>
      </c>
      <c r="C482" s="545">
        <f>'Foglio deposito bis'!$E$154/sezione!$B$247*B482</f>
        <v>247.87699436933858</v>
      </c>
      <c r="D482" s="603">
        <f>-'Sollecitazioni nel paramento'!$G$47*'Sollecitazioni nel paramento'!$G$41*IF(DATI!$G$211="dx",DATI!$E$61,DATI!$E$64*DATI!$E$63)*1000*C482^2*sezione!$AD$5*(1-sezione!$AD$6)</f>
        <v>-1367023775.5692263</v>
      </c>
      <c r="E482" s="545">
        <f>-'Foglio deposito bis'!$F$48*(C482-sezione!$AL$28)*IF(ABS(K482)&lt;'Sollecitazioni nel paramento'!$G$58,ABS(K482)*'Sollecitazioni nel paramento'!$G$54,'Sollecitazioni nel paramento'!$G$53)</f>
        <v>0</v>
      </c>
      <c r="F482" s="545">
        <f>-'Foglio deposito bis'!$F$49*(C482-sezione!$AM$28)*IF(ABS(L482)&lt;'Sollecitazioni nel paramento'!$G$58,ABS(L482)*'Sollecitazioni nel paramento'!$G$54,'Sollecitazioni nel paramento'!$G$53)</f>
        <v>-38493455.56234207</v>
      </c>
      <c r="G482" s="545">
        <f>-'Foglio deposito bis'!$F$50*(C482-sezione!$AN$28)*IF(ABS(M482)&lt;'Sollecitazioni nel paramento'!$G$58,ABS(M482)*'Sollecitazioni nel paramento'!$G$54,'Sollecitazioni nel paramento'!$G$53)</f>
        <v>0</v>
      </c>
      <c r="H482" s="545">
        <f>-'Foglio deposito bis'!$F$51*(C482-sezione!$AO$28)*IF(ABS(N482)&lt;'Sollecitazioni nel paramento'!$G$58,ABS(N482)*'Sollecitazioni nel paramento'!$G$54,'Sollecitazioni nel paramento'!$G$53)</f>
        <v>-13831057.162003322</v>
      </c>
      <c r="I482" s="472">
        <f>-'Foglio deposito bis'!$F$52*(C482-sezione!$AP$28)*IF(ABS(O482)&lt;'Sollecitazioni nel paramento'!$G$58,ABS(O482)*'Sollecitazioni nel paramento'!$G$54,'Sollecitazioni nel paramento'!$G$53)</f>
        <v>298647.19175833103</v>
      </c>
      <c r="J482" s="472">
        <f t="shared" si="35"/>
        <v>-1419049641.1018133</v>
      </c>
      <c r="K482" s="550">
        <f>'Sollecitazioni nel paramento'!$G$60*(sezione!$AL$28-C482)/C482</f>
        <v>-2.9352037374174426E-3</v>
      </c>
      <c r="L482" s="550">
        <f>'Sollecitazioni nel paramento'!$G$60*(sezione!$AM$28-C482)/C482</f>
        <v>-2.6528056061261643E-3</v>
      </c>
      <c r="M482" s="551">
        <f>'Sollecitazioni nel paramento'!$G$60*(sezione!$AN$28-C482)/C482</f>
        <v>-2.370407474834886E-3</v>
      </c>
      <c r="N482" s="551">
        <f>'Sollecitazioni nel paramento'!$G$60*(sezione!$AO$28-C482)/C482</f>
        <v>-1.2408149496697712E-3</v>
      </c>
      <c r="O482" s="551">
        <f>'Sollecitazioni nel paramento'!$G$60*(sezione!$AP$28-C482)/C482</f>
        <v>1.8233017419905321E-4</v>
      </c>
      <c r="P482" s="545">
        <f>-'Sollecitazioni nel paramento'!$G$47*'Sollecitazioni nel paramento'!$G$41*IF(DATI!$G$211="dx",DATI!$E$61,DATI!$E$64*DATI!$E$63)*1000*C482*sezione!$AD$5</f>
        <v>-9443369.8544886895</v>
      </c>
      <c r="Q482" s="545">
        <f>'Foglio deposito bis'!$F$48*IF(ABS(K482)&lt;'Sollecitazioni nel paramento'!$G$58,ABS(K482)*'Sollecitazioni nel paramento'!$G$54,'Sollecitazioni nel paramento'!$G$53)*IF(K482&lt;0,-1,1)</f>
        <v>0</v>
      </c>
      <c r="R482" s="545">
        <f>'Foglio deposito bis'!$F$49*IF(ABS(L482)&lt;'Sollecitazioni nel paramento'!$G$58,ABS(L482)*'Sollecitazioni nel paramento'!$G$54,'Sollecitazioni nel paramento'!$G$53)*IF(L482&lt;0,-1,1)</f>
        <v>-204886.47740803001</v>
      </c>
      <c r="S482" s="545">
        <f>'Foglio deposito bis'!$F$50*IF(ABS(M482)&lt;'Sollecitazioni nel paramento'!$G$58,ABS(M482)*'Sollecitazioni nel paramento'!$G$54,'Sollecitazioni nel paramento'!$G$53)*IF(M482&lt;0,-1,1)</f>
        <v>0</v>
      </c>
      <c r="T482" s="545">
        <f>'Foglio deposito bis'!$F$51*IF(ABS(N482)&lt;'Sollecitazioni nel paramento'!$G$58,ABS(N482)*'Sollecitazioni nel paramento'!$G$54,'Sollecitazioni nel paramento'!$G$53)*IF(N482&lt;0,-1,1)</f>
        <v>-157391.10402288812</v>
      </c>
      <c r="U482" s="545">
        <f>'Foglio deposito bis'!$F$52*IF(ABS(O482)&lt;'Sollecitazioni nel paramento'!$G$58,ABS(O482)*'Sollecitazioni nel paramento'!$G$54,'Sollecitazioni nel paramento'!$G$53)*IF(O482&lt;0,-1,1)</f>
        <v>23127.660914717311</v>
      </c>
      <c r="V482" s="472">
        <f t="shared" si="37"/>
        <v>-9782519.7750048898</v>
      </c>
      <c r="W482" s="551"/>
      <c r="X482" s="551"/>
    </row>
    <row r="483" spans="1:24" x14ac:dyDescent="0.25">
      <c r="A483" s="545">
        <f t="shared" si="36"/>
        <v>9949758.6210575327</v>
      </c>
      <c r="B483" s="3">
        <f t="shared" si="34"/>
        <v>61.899999999999942</v>
      </c>
      <c r="C483" s="545">
        <f>'Foglio deposito bis'!$E$154/sezione!$B$247*B483</f>
        <v>251.94722416193855</v>
      </c>
      <c r="D483" s="603">
        <f>-'Sollecitazioni nel paramento'!$G$47*'Sollecitazioni nel paramento'!$G$41*IF(DATI!$G$211="dx",DATI!$E$61,DATI!$E$64*DATI!$E$63)*1000*C483^2*sezione!$AD$5*(1-sezione!$AD$6)</f>
        <v>-1412286412.2747734</v>
      </c>
      <c r="E483" s="545">
        <f>-'Foglio deposito bis'!$F$48*(C483-sezione!$AL$28)*IF(ABS(K483)&lt;'Sollecitazioni nel paramento'!$G$58,ABS(K483)*'Sollecitazioni nel paramento'!$G$54,'Sollecitazioni nel paramento'!$G$53)</f>
        <v>0</v>
      </c>
      <c r="F483" s="545">
        <f>-'Foglio deposito bis'!$F$49*(C483-sezione!$AM$28)*IF(ABS(L483)&lt;'Sollecitazioni nel paramento'!$G$58,ABS(L483)*'Sollecitazioni nel paramento'!$G$54,'Sollecitazioni nel paramento'!$G$53)</f>
        <v>-39327390.606789097</v>
      </c>
      <c r="G483" s="545">
        <f>-'Foglio deposito bis'!$F$50*(C483-sezione!$AN$28)*IF(ABS(M483)&lt;'Sollecitazioni nel paramento'!$G$58,ABS(M483)*'Sollecitazioni nel paramento'!$G$54,'Sollecitazioni nel paramento'!$G$53)</f>
        <v>0</v>
      </c>
      <c r="H483" s="545">
        <f>-'Foglio deposito bis'!$F$51*(C483-sezione!$AO$28)*IF(ABS(N483)&lt;'Sollecitazioni nel paramento'!$G$58,ABS(N483)*'Sollecitazioni nel paramento'!$G$54,'Sollecitazioni nel paramento'!$G$53)</f>
        <v>-14897345.024825465</v>
      </c>
      <c r="I483" s="472">
        <f>-'Foglio deposito bis'!$F$52*(C483-sezione!$AP$28)*IF(ABS(O483)&lt;'Sollecitazioni nel paramento'!$G$58,ABS(O483)*'Sollecitazioni nel paramento'!$G$54,'Sollecitazioni nel paramento'!$G$53)</f>
        <v>137786.62502065944</v>
      </c>
      <c r="J483" s="472">
        <f t="shared" si="35"/>
        <v>-1466373361.2813673</v>
      </c>
      <c r="K483" s="550">
        <f>'Sollecitazioni nel paramento'!$G$60*(sezione!$AL$28-C483)/C483</f>
        <v>-2.9443280712232998E-3</v>
      </c>
      <c r="L483" s="550">
        <f>'Sollecitazioni nel paramento'!$G$60*(sezione!$AM$28-C483)/C483</f>
        <v>-2.6664921068349501E-3</v>
      </c>
      <c r="M483" s="551">
        <f>'Sollecitazioni nel paramento'!$G$60*(sezione!$AN$28-C483)/C483</f>
        <v>-2.3886561424465999E-3</v>
      </c>
      <c r="N483" s="551">
        <f>'Sollecitazioni nel paramento'!$G$60*(sezione!$AO$28-C483)/C483</f>
        <v>-1.2773122848931998E-3</v>
      </c>
      <c r="O483" s="551">
        <f>'Sollecitazioni nel paramento'!$G$60*(sezione!$AP$28-C483)/C483</f>
        <v>1.2284180304882619E-4</v>
      </c>
      <c r="P483" s="545">
        <f>-'Sollecitazioni nel paramento'!$G$47*'Sollecitazioni nel paramento'!$G$41*IF(DATI!$G$211="dx",DATI!$E$61,DATI!$E$64*DATI!$E$63)*1000*C483*sezione!$AD$5</f>
        <v>-9598433.3988973703</v>
      </c>
      <c r="Q483" s="545">
        <f>'Foglio deposito bis'!$F$48*IF(ABS(K483)&lt;'Sollecitazioni nel paramento'!$G$58,ABS(K483)*'Sollecitazioni nel paramento'!$G$54,'Sollecitazioni nel paramento'!$G$53)*IF(K483&lt;0,-1,1)</f>
        <v>0</v>
      </c>
      <c r="R483" s="545">
        <f>'Foglio deposito bis'!$F$49*IF(ABS(L483)&lt;'Sollecitazioni nel paramento'!$G$58,ABS(L483)*'Sollecitazioni nel paramento'!$G$54,'Sollecitazioni nel paramento'!$G$53)*IF(L483&lt;0,-1,1)</f>
        <v>-204886.47740803001</v>
      </c>
      <c r="S483" s="545">
        <f>'Foglio deposito bis'!$F$50*IF(ABS(M483)&lt;'Sollecitazioni nel paramento'!$G$58,ABS(M483)*'Sollecitazioni nel paramento'!$G$54,'Sollecitazioni nel paramento'!$G$53)*IF(M483&lt;0,-1,1)</f>
        <v>0</v>
      </c>
      <c r="T483" s="545">
        <f>'Foglio deposito bis'!$F$51*IF(ABS(N483)&lt;'Sollecitazioni nel paramento'!$G$58,ABS(N483)*'Sollecitazioni nel paramento'!$G$54,'Sollecitazioni nel paramento'!$G$53)*IF(N483&lt;0,-1,1)</f>
        <v>-162020.6065012695</v>
      </c>
      <c r="U483" s="545">
        <f>'Foglio deposito bis'!$F$52*IF(ABS(O483)&lt;'Sollecitazioni nel paramento'!$G$58,ABS(O483)*'Sollecitazioni nel paramento'!$G$54,'Sollecitazioni nel paramento'!$G$53)*IF(O483&lt;0,-1,1)</f>
        <v>15581.861749137144</v>
      </c>
      <c r="V483" s="472">
        <f t="shared" si="37"/>
        <v>-9949758.6210575327</v>
      </c>
      <c r="W483" s="551"/>
      <c r="X483" s="551"/>
    </row>
    <row r="484" spans="1:24" x14ac:dyDescent="0.25">
      <c r="A484" s="545">
        <f t="shared" si="36"/>
        <v>10116610.33510242</v>
      </c>
      <c r="B484" s="3">
        <f t="shared" si="34"/>
        <v>62.899999999999942</v>
      </c>
      <c r="C484" s="545">
        <f>'Foglio deposito bis'!$E$154/sezione!$B$247*B484</f>
        <v>256.01745395453855</v>
      </c>
      <c r="D484" s="603">
        <f>-'Sollecitazioni nel paramento'!$G$47*'Sollecitazioni nel paramento'!$G$41*IF(DATI!$G$211="dx",DATI!$E$61,DATI!$E$64*DATI!$E$63)*1000*C484^2*sezione!$AD$5*(1-sezione!$AD$6)</f>
        <v>-1458286225.473897</v>
      </c>
      <c r="E484" s="545">
        <f>-'Foglio deposito bis'!$F$48*(C484-sezione!$AL$28)*IF(ABS(K484)&lt;'Sollecitazioni nel paramento'!$G$58,ABS(K484)*'Sollecitazioni nel paramento'!$G$54,'Sollecitazioni nel paramento'!$G$53)</f>
        <v>0</v>
      </c>
      <c r="F484" s="545">
        <f>-'Foglio deposito bis'!$F$49*(C484-sezione!$AM$28)*IF(ABS(L484)&lt;'Sollecitazioni nel paramento'!$G$58,ABS(L484)*'Sollecitazioni nel paramento'!$G$54,'Sollecitazioni nel paramento'!$G$53)</f>
        <v>-40161325.651236124</v>
      </c>
      <c r="G484" s="545">
        <f>-'Foglio deposito bis'!$F$50*(C484-sezione!$AN$28)*IF(ABS(M484)&lt;'Sollecitazioni nel paramento'!$G$58,ABS(M484)*'Sollecitazioni nel paramento'!$G$54,'Sollecitazioni nel paramento'!$G$53)</f>
        <v>0</v>
      </c>
      <c r="H484" s="545">
        <f>-'Foglio deposito bis'!$F$51*(C484-sezione!$AO$28)*IF(ABS(N484)&lt;'Sollecitazioni nel paramento'!$G$58,ABS(N484)*'Sollecitazioni nel paramento'!$G$54,'Sollecitazioni nel paramento'!$G$53)</f>
        <v>-15987185.205502655</v>
      </c>
      <c r="I484" s="472">
        <f>-'Foglio deposito bis'!$F$52*(C484-sezione!$AP$28)*IF(ABS(O484)&lt;'Sollecitazioni nel paramento'!$G$58,ABS(O484)*'Sollecitazioni nel paramento'!$G$54,'Sollecitazioni nel paramento'!$G$53)</f>
        <v>39497.404104953443</v>
      </c>
      <c r="J484" s="472">
        <f t="shared" si="35"/>
        <v>-1514395238.9265308</v>
      </c>
      <c r="K484" s="550">
        <f>'Sollecitazioni nel paramento'!$G$60*(sezione!$AL$28-C484)/C484</f>
        <v>-2.9531622831275401E-3</v>
      </c>
      <c r="L484" s="550">
        <f>'Sollecitazioni nel paramento'!$G$60*(sezione!$AM$28-C484)/C484</f>
        <v>-2.67974342469131E-3</v>
      </c>
      <c r="M484" s="551">
        <f>'Sollecitazioni nel paramento'!$G$60*(sezione!$AN$28-C484)/C484</f>
        <v>-2.4063245662550802E-3</v>
      </c>
      <c r="N484" s="551">
        <f>'Sollecitazioni nel paramento'!$G$60*(sezione!$AO$28-C484)/C484</f>
        <v>-1.3126491325101603E-3</v>
      </c>
      <c r="O484" s="551">
        <f>'Sollecitazioni nel paramento'!$G$60*(sezione!$AP$28-C484)/C484</f>
        <v>6.5244954033741168E-5</v>
      </c>
      <c r="P484" s="545">
        <f>-'Sollecitazioni nel paramento'!$G$47*'Sollecitazioni nel paramento'!$G$41*IF(DATI!$G$211="dx",DATI!$E$61,DATI!$E$64*DATI!$E$63)*1000*C484*sezione!$AD$5</f>
        <v>-9753496.9433060531</v>
      </c>
      <c r="Q484" s="545">
        <f>'Foglio deposito bis'!$F$48*IF(ABS(K484)&lt;'Sollecitazioni nel paramento'!$G$58,ABS(K484)*'Sollecitazioni nel paramento'!$G$54,'Sollecitazioni nel paramento'!$G$53)*IF(K484&lt;0,-1,1)</f>
        <v>0</v>
      </c>
      <c r="R484" s="545">
        <f>'Foglio deposito bis'!$F$49*IF(ABS(L484)&lt;'Sollecitazioni nel paramento'!$G$58,ABS(L484)*'Sollecitazioni nel paramento'!$G$54,'Sollecitazioni nel paramento'!$G$53)*IF(L484&lt;0,-1,1)</f>
        <v>-204886.47740803001</v>
      </c>
      <c r="S484" s="545">
        <f>'Foglio deposito bis'!$F$50*IF(ABS(M484)&lt;'Sollecitazioni nel paramento'!$G$58,ABS(M484)*'Sollecitazioni nel paramento'!$G$54,'Sollecitazioni nel paramento'!$G$53)*IF(M484&lt;0,-1,1)</f>
        <v>0</v>
      </c>
      <c r="T484" s="545">
        <f>'Foglio deposito bis'!$F$51*IF(ABS(N484)&lt;'Sollecitazioni nel paramento'!$G$58,ABS(N484)*'Sollecitazioni nel paramento'!$G$54,'Sollecitazioni nel paramento'!$G$53)*IF(N484&lt;0,-1,1)</f>
        <v>-166502.90699305691</v>
      </c>
      <c r="U484" s="545">
        <f>'Foglio deposito bis'!$F$52*IF(ABS(O484)&lt;'Sollecitazioni nel paramento'!$G$58,ABS(O484)*'Sollecitazioni nel paramento'!$G$54,'Sollecitazioni nel paramento'!$G$53)*IF(O484&lt;0,-1,1)</f>
        <v>8275.9926047200515</v>
      </c>
      <c r="V484" s="472">
        <f t="shared" si="37"/>
        <v>-10116610.33510242</v>
      </c>
      <c r="W484" s="551"/>
      <c r="X484" s="551"/>
    </row>
    <row r="485" spans="1:24" x14ac:dyDescent="0.25">
      <c r="A485" s="545">
        <f t="shared" si="36"/>
        <v>10283093.09235118</v>
      </c>
      <c r="B485" s="3">
        <f t="shared" si="34"/>
        <v>63.899999999999942</v>
      </c>
      <c r="C485" s="545">
        <f>'Foglio deposito bis'!$E$154/sezione!$B$247*B485</f>
        <v>260.0876837471385</v>
      </c>
      <c r="D485" s="603">
        <f>-'Sollecitazioni nel paramento'!$G$47*'Sollecitazioni nel paramento'!$G$41*IF(DATI!$G$211="dx",DATI!$E$61,DATI!$E$64*DATI!$E$63)*1000*C485^2*sezione!$AD$5*(1-sezione!$AD$6)</f>
        <v>-1505023215.1665952</v>
      </c>
      <c r="E485" s="545">
        <f>-'Foglio deposito bis'!$F$48*(C485-sezione!$AL$28)*IF(ABS(K485)&lt;'Sollecitazioni nel paramento'!$G$58,ABS(K485)*'Sollecitazioni nel paramento'!$G$54,'Sollecitazioni nel paramento'!$G$53)</f>
        <v>0</v>
      </c>
      <c r="F485" s="545">
        <f>-'Foglio deposito bis'!$F$49*(C485-sezione!$AM$28)*IF(ABS(L485)&lt;'Sollecitazioni nel paramento'!$G$58,ABS(L485)*'Sollecitazioni nel paramento'!$G$54,'Sollecitazioni nel paramento'!$G$53)</f>
        <v>-40995260.695683144</v>
      </c>
      <c r="G485" s="545">
        <f>-'Foglio deposito bis'!$F$50*(C485-sezione!$AN$28)*IF(ABS(M485)&lt;'Sollecitazioni nel paramento'!$G$58,ABS(M485)*'Sollecitazioni nel paramento'!$G$54,'Sollecitazioni nel paramento'!$G$53)</f>
        <v>0</v>
      </c>
      <c r="H485" s="545">
        <f>-'Foglio deposito bis'!$F$51*(C485-sezione!$AO$28)*IF(ABS(N485)&lt;'Sollecitazioni nel paramento'!$G$58,ABS(N485)*'Sollecitazioni nel paramento'!$G$54,'Sollecitazioni nel paramento'!$G$53)</f>
        <v>-17099471.961412568</v>
      </c>
      <c r="I485" s="472">
        <f>-'Foglio deposito bis'!$F$52*(C485-sezione!$AP$28)*IF(ABS(O485)&lt;'Sollecitazioni nel paramento'!$G$58,ABS(O485)*'Sollecitazioni nel paramento'!$G$54,'Sollecitazioni nel paramento'!$G$53)</f>
        <v>841.90714163856921</v>
      </c>
      <c r="J485" s="472">
        <f t="shared" si="35"/>
        <v>-1563117105.9165494</v>
      </c>
      <c r="K485" s="550">
        <f>'Sollecitazioni nel paramento'!$G$60*(sezione!$AL$28-C485)/C485</f>
        <v>-2.9617199938767181E-3</v>
      </c>
      <c r="L485" s="550">
        <f>'Sollecitazioni nel paramento'!$G$60*(sezione!$AM$28-C485)/C485</f>
        <v>-2.6925799908150768E-3</v>
      </c>
      <c r="M485" s="551">
        <f>'Sollecitazioni nel paramento'!$G$60*(sezione!$AN$28-C485)/C485</f>
        <v>-2.4234399877534358E-3</v>
      </c>
      <c r="N485" s="551">
        <f>'Sollecitazioni nel paramento'!$G$60*(sezione!$AO$28-C485)/C485</f>
        <v>-1.3468799755068711E-3</v>
      </c>
      <c r="O485" s="551">
        <f>'Sollecitazioni nel paramento'!$G$60*(sezione!$AP$28-C485)/C485</f>
        <v>9.4508232976892963E-6</v>
      </c>
      <c r="P485" s="545">
        <f>-'Sollecitazioni nel paramento'!$G$47*'Sollecitazioni nel paramento'!$G$41*IF(DATI!$G$211="dx",DATI!$E$61,DATI!$E$64*DATI!$E$63)*1000*C485*sezione!$AD$5</f>
        <v>-9908560.4877147339</v>
      </c>
      <c r="Q485" s="545">
        <f>'Foglio deposito bis'!$F$48*IF(ABS(K485)&lt;'Sollecitazioni nel paramento'!$G$58,ABS(K485)*'Sollecitazioni nel paramento'!$G$54,'Sollecitazioni nel paramento'!$G$53)*IF(K485&lt;0,-1,1)</f>
        <v>0</v>
      </c>
      <c r="R485" s="545">
        <f>'Foglio deposito bis'!$F$49*IF(ABS(L485)&lt;'Sollecitazioni nel paramento'!$G$58,ABS(L485)*'Sollecitazioni nel paramento'!$G$54,'Sollecitazioni nel paramento'!$G$53)*IF(L485&lt;0,-1,1)</f>
        <v>-204886.47740803001</v>
      </c>
      <c r="S485" s="545">
        <f>'Foglio deposito bis'!$F$50*IF(ABS(M485)&lt;'Sollecitazioni nel paramento'!$G$58,ABS(M485)*'Sollecitazioni nel paramento'!$G$54,'Sollecitazioni nel paramento'!$G$53)*IF(M485&lt;0,-1,1)</f>
        <v>0</v>
      </c>
      <c r="T485" s="545">
        <f>'Foglio deposito bis'!$F$51*IF(ABS(N485)&lt;'Sollecitazioni nel paramento'!$G$58,ABS(N485)*'Sollecitazioni nel paramento'!$G$54,'Sollecitazioni nel paramento'!$G$53)*IF(N485&lt;0,-1,1)</f>
        <v>-170844.91638963961</v>
      </c>
      <c r="U485" s="545">
        <f>'Foglio deposito bis'!$F$52*IF(ABS(O485)&lt;'Sollecitazioni nel paramento'!$G$58,ABS(O485)*'Sollecitazioni nel paramento'!$G$54,'Sollecitazioni nel paramento'!$G$53)*IF(O485&lt;0,-1,1)</f>
        <v>1198.789161223779</v>
      </c>
      <c r="V485" s="472">
        <f t="shared" si="37"/>
        <v>-10283093.09235118</v>
      </c>
      <c r="W485" s="551"/>
      <c r="X485" s="551"/>
    </row>
    <row r="486" spans="1:24" x14ac:dyDescent="0.25">
      <c r="A486" s="545">
        <f t="shared" si="36"/>
        <v>10449223.947817506</v>
      </c>
      <c r="B486" s="3">
        <f t="shared" si="34"/>
        <v>64.899999999999949</v>
      </c>
      <c r="C486" s="545">
        <f>'Foglio deposito bis'!$E$154/sezione!$B$247*B486</f>
        <v>264.15791353973856</v>
      </c>
      <c r="D486" s="603">
        <f>-'Sollecitazioni nel paramento'!$G$47*'Sollecitazioni nel paramento'!$G$41*IF(DATI!$G$211="dx",DATI!$E$61,DATI!$E$64*DATI!$E$63)*1000*C486^2*sezione!$AD$5*(1-sezione!$AD$6)</f>
        <v>-1552497381.3528705</v>
      </c>
      <c r="E486" s="545">
        <f>-'Foglio deposito bis'!$F$48*(C486-sezione!$AL$28)*IF(ABS(K486)&lt;'Sollecitazioni nel paramento'!$G$58,ABS(K486)*'Sollecitazioni nel paramento'!$G$54,'Sollecitazioni nel paramento'!$G$53)</f>
        <v>0</v>
      </c>
      <c r="F486" s="545">
        <f>-'Foglio deposito bis'!$F$49*(C486-sezione!$AM$28)*IF(ABS(L486)&lt;'Sollecitazioni nel paramento'!$G$58,ABS(L486)*'Sollecitazioni nel paramento'!$G$54,'Sollecitazioni nel paramento'!$G$53)</f>
        <v>-41829195.740130194</v>
      </c>
      <c r="G486" s="545">
        <f>-'Foglio deposito bis'!$F$50*(C486-sezione!$AN$28)*IF(ABS(M486)&lt;'Sollecitazioni nel paramento'!$G$58,ABS(M486)*'Sollecitazioni nel paramento'!$G$54,'Sollecitazioni nel paramento'!$G$53)</f>
        <v>0</v>
      </c>
      <c r="H486" s="545">
        <f>-'Foglio deposito bis'!$F$51*(C486-sezione!$AO$28)*IF(ABS(N486)&lt;'Sollecitazioni nel paramento'!$G$58,ABS(N486)*'Sollecitazioni nel paramento'!$G$54,'Sollecitazioni nel paramento'!$G$53)</f>
        <v>-18233167.700479783</v>
      </c>
      <c r="I486" s="472">
        <f>-'Foglio deposito bis'!$F$52*(C486-sezione!$AP$28)*IF(ABS(O486)&lt;'Sollecitazioni nel paramento'!$G$58,ABS(O486)*'Sollecitazioni nel paramento'!$G$54,'Sollecitazioni nel paramento'!$G$53)</f>
        <v>-19063.56753815398</v>
      </c>
      <c r="J486" s="472">
        <f t="shared" si="35"/>
        <v>-1612578808.3610187</v>
      </c>
      <c r="K486" s="550">
        <f>'Sollecitazioni nel paramento'!$G$60*(sezione!$AL$28-C486)/C486</f>
        <v>-2.9700139847260751E-3</v>
      </c>
      <c r="L486" s="550">
        <f>'Sollecitazioni nel paramento'!$G$60*(sezione!$AM$28-C486)/C486</f>
        <v>-2.705020977089113E-3</v>
      </c>
      <c r="M486" s="551">
        <f>'Sollecitazioni nel paramento'!$G$60*(sezione!$AN$28-C486)/C486</f>
        <v>-2.4400279694521501E-3</v>
      </c>
      <c r="N486" s="551">
        <f>'Sollecitazioni nel paramento'!$G$60*(sezione!$AO$28-C486)/C486</f>
        <v>-1.3800559389043007E-3</v>
      </c>
      <c r="O486" s="551">
        <f>'Sollecitazioni nel paramento'!$G$60*(sezione!$AP$28-C486)/C486</f>
        <v>-4.4623919742337822E-5</v>
      </c>
      <c r="P486" s="545">
        <f>-'Sollecitazioni nel paramento'!$G$47*'Sollecitazioni nel paramento'!$G$41*IF(DATI!$G$211="dx",DATI!$E$61,DATI!$E$64*DATI!$E$63)*1000*C486*sezione!$AD$5</f>
        <v>-10063624.032123419</v>
      </c>
      <c r="Q486" s="545">
        <f>'Foglio deposito bis'!$F$48*IF(ABS(K486)&lt;'Sollecitazioni nel paramento'!$G$58,ABS(K486)*'Sollecitazioni nel paramento'!$G$54,'Sollecitazioni nel paramento'!$G$53)*IF(K486&lt;0,-1,1)</f>
        <v>0</v>
      </c>
      <c r="R486" s="545">
        <f>'Foglio deposito bis'!$F$49*IF(ABS(L486)&lt;'Sollecitazioni nel paramento'!$G$58,ABS(L486)*'Sollecitazioni nel paramento'!$G$54,'Sollecitazioni nel paramento'!$G$53)*IF(L486&lt;0,-1,1)</f>
        <v>-204886.47740803001</v>
      </c>
      <c r="S486" s="545">
        <f>'Foglio deposito bis'!$F$50*IF(ABS(M486)&lt;'Sollecitazioni nel paramento'!$G$58,ABS(M486)*'Sollecitazioni nel paramento'!$G$54,'Sollecitazioni nel paramento'!$G$53)*IF(M486&lt;0,-1,1)</f>
        <v>0</v>
      </c>
      <c r="T486" s="545">
        <f>'Foglio deposito bis'!$F$51*IF(ABS(N486)&lt;'Sollecitazioni nel paramento'!$G$58,ABS(N486)*'Sollecitazioni nel paramento'!$G$54,'Sollecitazioni nel paramento'!$G$53)*IF(N486&lt;0,-1,1)</f>
        <v>-175053.11964148958</v>
      </c>
      <c r="U486" s="545">
        <f>'Foglio deposito bis'!$F$52*IF(ABS(O486)&lt;'Sollecitazioni nel paramento'!$G$58,ABS(O486)*'Sollecitazioni nel paramento'!$G$54,'Sollecitazioni nel paramento'!$G$53)*IF(O486&lt;0,-1,1)</f>
        <v>-5660.3186445686388</v>
      </c>
      <c r="V486" s="472">
        <f t="shared" si="37"/>
        <v>-10449223.947817506</v>
      </c>
      <c r="W486" s="551"/>
      <c r="X486" s="551"/>
    </row>
    <row r="487" spans="1:24" x14ac:dyDescent="0.25">
      <c r="A487" s="545">
        <f t="shared" si="36"/>
        <v>10615018.921309391</v>
      </c>
      <c r="B487" s="3">
        <f t="shared" si="34"/>
        <v>65.899999999999949</v>
      </c>
      <c r="C487" s="545">
        <f>'Foglio deposito bis'!$E$154/sezione!$B$247*B487</f>
        <v>268.2281433323385</v>
      </c>
      <c r="D487" s="603">
        <f>-'Sollecitazioni nel paramento'!$G$47*'Sollecitazioni nel paramento'!$G$41*IF(DATI!$G$211="dx",DATI!$E$61,DATI!$E$64*DATI!$E$63)*1000*C487^2*sezione!$AD$5*(1-sezione!$AD$6)</f>
        <v>-1600708724.0327201</v>
      </c>
      <c r="E487" s="545">
        <f>-'Foglio deposito bis'!$F$48*(C487-sezione!$AL$28)*IF(ABS(K487)&lt;'Sollecitazioni nel paramento'!$G$58,ABS(K487)*'Sollecitazioni nel paramento'!$G$54,'Sollecitazioni nel paramento'!$G$53)</f>
        <v>0</v>
      </c>
      <c r="F487" s="545">
        <f>-'Foglio deposito bis'!$F$49*(C487-sezione!$AM$28)*IF(ABS(L487)&lt;'Sollecitazioni nel paramento'!$G$58,ABS(L487)*'Sollecitazioni nel paramento'!$G$54,'Sollecitazioni nel paramento'!$G$53)</f>
        <v>-42663130.784577213</v>
      </c>
      <c r="G487" s="545">
        <f>-'Foglio deposito bis'!$F$50*(C487-sezione!$AN$28)*IF(ABS(M487)&lt;'Sollecitazioni nel paramento'!$G$58,ABS(M487)*'Sollecitazioni nel paramento'!$G$54,'Sollecitazioni nel paramento'!$G$53)</f>
        <v>0</v>
      </c>
      <c r="H487" s="545">
        <f>-'Foglio deposito bis'!$F$51*(C487-sezione!$AO$28)*IF(ABS(N487)&lt;'Sollecitazioni nel paramento'!$G$58,ABS(N487)*'Sollecitazioni nel paramento'!$G$54,'Sollecitazioni nel paramento'!$G$53)</f>
        <v>-19387297.810420886</v>
      </c>
      <c r="I487" s="472">
        <f>-'Foglio deposito bis'!$F$52*(C487-sezione!$AP$28)*IF(ABS(O487)&lt;'Sollecitazioni nel paramento'!$G$58,ABS(O487)*'Sollecitazioni nel paramento'!$G$54,'Sollecitazioni nel paramento'!$G$53)</f>
        <v>-91573.136856266647</v>
      </c>
      <c r="J487" s="472">
        <f t="shared" si="35"/>
        <v>-1662850725.7645745</v>
      </c>
      <c r="K487" s="550">
        <f>'Sollecitazioni nel paramento'!$G$60*(sezione!$AL$28-C487)/C487</f>
        <v>-2.9780562611338738E-3</v>
      </c>
      <c r="L487" s="550">
        <f>'Sollecitazioni nel paramento'!$G$60*(sezione!$AM$28-C487)/C487</f>
        <v>-2.7170843917008105E-3</v>
      </c>
      <c r="M487" s="551">
        <f>'Sollecitazioni nel paramento'!$G$60*(sezione!$AN$28-C487)/C487</f>
        <v>-2.4561125222677472E-3</v>
      </c>
      <c r="N487" s="551">
        <f>'Sollecitazioni nel paramento'!$G$60*(sezione!$AO$28-C487)/C487</f>
        <v>-1.4122250445354947E-3</v>
      </c>
      <c r="O487" s="551">
        <f>'Sollecitazioni nel paramento'!$G$60*(sezione!$AP$28-C487)/C487</f>
        <v>-9.705754766733988E-5</v>
      </c>
      <c r="P487" s="545">
        <f>-'Sollecitazioni nel paramento'!$G$47*'Sollecitazioni nel paramento'!$G$41*IF(DATI!$G$211="dx",DATI!$E$61,DATI!$E$64*DATI!$E$63)*1000*C487*sezione!$AD$5</f>
        <v>-10218687.576532098</v>
      </c>
      <c r="Q487" s="545">
        <f>'Foglio deposito bis'!$F$48*IF(ABS(K487)&lt;'Sollecitazioni nel paramento'!$G$58,ABS(K487)*'Sollecitazioni nel paramento'!$G$54,'Sollecitazioni nel paramento'!$G$53)*IF(K487&lt;0,-1,1)</f>
        <v>0</v>
      </c>
      <c r="R487" s="545">
        <f>'Foglio deposito bis'!$F$49*IF(ABS(L487)&lt;'Sollecitazioni nel paramento'!$G$58,ABS(L487)*'Sollecitazioni nel paramento'!$G$54,'Sollecitazioni nel paramento'!$G$53)*IF(L487&lt;0,-1,1)</f>
        <v>-204886.47740803001</v>
      </c>
      <c r="S487" s="545">
        <f>'Foglio deposito bis'!$F$50*IF(ABS(M487)&lt;'Sollecitazioni nel paramento'!$G$58,ABS(M487)*'Sollecitazioni nel paramento'!$G$54,'Sollecitazioni nel paramento'!$G$53)*IF(M487&lt;0,-1,1)</f>
        <v>0</v>
      </c>
      <c r="T487" s="545">
        <f>'Foglio deposito bis'!$F$51*IF(ABS(N487)&lt;'Sollecitazioni nel paramento'!$G$58,ABS(N487)*'Sollecitazioni nel paramento'!$G$54,'Sollecitazioni nel paramento'!$G$53)*IF(N487&lt;0,-1,1)</f>
        <v>-179133.60807537733</v>
      </c>
      <c r="U487" s="545">
        <f>'Foglio deposito bis'!$F$52*IF(ABS(O487)&lt;'Sollecitazioni nel paramento'!$G$58,ABS(O487)*'Sollecitazioni nel paramento'!$G$54,'Sollecitazioni nel paramento'!$G$53)*IF(O487&lt;0,-1,1)</f>
        <v>-12311.259293887655</v>
      </c>
      <c r="V487" s="472">
        <f t="shared" si="37"/>
        <v>-10615018.921309391</v>
      </c>
      <c r="W487" s="551"/>
      <c r="X487" s="551"/>
    </row>
    <row r="488" spans="1:24" x14ac:dyDescent="0.25">
      <c r="A488" s="545">
        <f t="shared" si="36"/>
        <v>10780493.074798794</v>
      </c>
      <c r="B488" s="3">
        <f t="shared" si="34"/>
        <v>66.899999999999949</v>
      </c>
      <c r="C488" s="545">
        <f>'Foglio deposito bis'!$E$154/sezione!$B$247*B488</f>
        <v>272.29837312493851</v>
      </c>
      <c r="D488" s="603">
        <f>-'Sollecitazioni nel paramento'!$G$47*'Sollecitazioni nel paramento'!$G$41*IF(DATI!$G$211="dx",DATI!$E$61,DATI!$E$64*DATI!$E$63)*1000*C488^2*sezione!$AD$5*(1-sezione!$AD$6)</f>
        <v>-1649657243.2061462</v>
      </c>
      <c r="E488" s="545">
        <f>-'Foglio deposito bis'!$F$48*(C488-sezione!$AL$28)*IF(ABS(K488)&lt;'Sollecitazioni nel paramento'!$G$58,ABS(K488)*'Sollecitazioni nel paramento'!$G$54,'Sollecitazioni nel paramento'!$G$53)</f>
        <v>0</v>
      </c>
      <c r="F488" s="545">
        <f>-'Foglio deposito bis'!$F$49*(C488-sezione!$AM$28)*IF(ABS(L488)&lt;'Sollecitazioni nel paramento'!$G$58,ABS(L488)*'Sollecitazioni nel paramento'!$G$54,'Sollecitazioni nel paramento'!$G$53)</f>
        <v>-43497065.82902424</v>
      </c>
      <c r="G488" s="545">
        <f>-'Foglio deposito bis'!$F$50*(C488-sezione!$AN$28)*IF(ABS(M488)&lt;'Sollecitazioni nel paramento'!$G$58,ABS(M488)*'Sollecitazioni nel paramento'!$G$54,'Sollecitazioni nel paramento'!$G$53)</f>
        <v>0</v>
      </c>
      <c r="H488" s="545">
        <f>-'Foglio deposito bis'!$F$51*(C488-sezione!$AO$28)*IF(ABS(N488)&lt;'Sollecitazioni nel paramento'!$G$58,ABS(N488)*'Sollecitazioni nel paramento'!$G$54,'Sollecitazioni nel paramento'!$G$53)</f>
        <v>-20560945.951734867</v>
      </c>
      <c r="I488" s="472">
        <f>-'Foglio deposito bis'!$F$52*(C488-sezione!$AP$28)*IF(ABS(O488)&lt;'Sollecitazioni nel paramento'!$G$58,ABS(O488)*'Sollecitazioni nel paramento'!$G$54,'Sollecitazioni nel paramento'!$G$53)</f>
        <v>-215936.17971832832</v>
      </c>
      <c r="J488" s="472">
        <f t="shared" si="35"/>
        <v>-1713931191.1666236</v>
      </c>
      <c r="K488" s="550">
        <f>'Sollecitazioni nel paramento'!$G$60*(sezione!$AL$28-C488)/C488</f>
        <v>-2.9858581107432328E-3</v>
      </c>
      <c r="L488" s="550">
        <f>'Sollecitazioni nel paramento'!$G$60*(sezione!$AM$28-C488)/C488</f>
        <v>-2.7287871661148492E-3</v>
      </c>
      <c r="M488" s="551">
        <f>'Sollecitazioni nel paramento'!$G$60*(sezione!$AN$28-C488)/C488</f>
        <v>-2.471716221486466E-3</v>
      </c>
      <c r="N488" s="551">
        <f>'Sollecitazioni nel paramento'!$G$60*(sezione!$AO$28-C488)/C488</f>
        <v>-1.4434324429729313E-3</v>
      </c>
      <c r="O488" s="551">
        <f>'Sollecitazioni nel paramento'!$G$60*(sezione!$AP$28-C488)/C488</f>
        <v>-1.47923653083374E-4</v>
      </c>
      <c r="P488" s="545">
        <f>-'Sollecitazioni nel paramento'!$G$47*'Sollecitazioni nel paramento'!$G$41*IF(DATI!$G$211="dx",DATI!$E$61,DATI!$E$64*DATI!$E$63)*1000*C488*sezione!$AD$5</f>
        <v>-10373751.12094078</v>
      </c>
      <c r="Q488" s="545">
        <f>'Foglio deposito bis'!$F$48*IF(ABS(K488)&lt;'Sollecitazioni nel paramento'!$G$58,ABS(K488)*'Sollecitazioni nel paramento'!$G$54,'Sollecitazioni nel paramento'!$G$53)*IF(K488&lt;0,-1,1)</f>
        <v>0</v>
      </c>
      <c r="R488" s="545">
        <f>'Foglio deposito bis'!$F$49*IF(ABS(L488)&lt;'Sollecitazioni nel paramento'!$G$58,ABS(L488)*'Sollecitazioni nel paramento'!$G$54,'Sollecitazioni nel paramento'!$G$53)*IF(L488&lt;0,-1,1)</f>
        <v>-204886.47740803001</v>
      </c>
      <c r="S488" s="545">
        <f>'Foglio deposito bis'!$F$50*IF(ABS(M488)&lt;'Sollecitazioni nel paramento'!$G$58,ABS(M488)*'Sollecitazioni nel paramento'!$G$54,'Sollecitazioni nel paramento'!$G$53)*IF(M488&lt;0,-1,1)</f>
        <v>0</v>
      </c>
      <c r="T488" s="545">
        <f>'Foglio deposito bis'!$F$51*IF(ABS(N488)&lt;'Sollecitazioni nel paramento'!$G$58,ABS(N488)*'Sollecitazioni nel paramento'!$G$54,'Sollecitazioni nel paramento'!$G$53)*IF(N488&lt;0,-1,1)</f>
        <v>-183092.10881318478</v>
      </c>
      <c r="U488" s="545">
        <f>'Foglio deposito bis'!$F$52*IF(ABS(O488)&lt;'Sollecitazioni nel paramento'!$G$58,ABS(O488)*'Sollecitazioni nel paramento'!$G$54,'Sollecitazioni nel paramento'!$G$53)*IF(O488&lt;0,-1,1)</f>
        <v>-18763.36763679962</v>
      </c>
      <c r="V488" s="472">
        <f t="shared" si="37"/>
        <v>-10780493.074798794</v>
      </c>
      <c r="W488" s="551"/>
      <c r="X488" s="551"/>
    </row>
    <row r="489" spans="1:24" x14ac:dyDescent="0.25">
      <c r="A489" s="545">
        <f t="shared" si="36"/>
        <v>10945660.582954448</v>
      </c>
      <c r="B489" s="3">
        <f t="shared" si="34"/>
        <v>67.899999999999949</v>
      </c>
      <c r="C489" s="545">
        <f>'Foglio deposito bis'!$E$154/sezione!$B$247*B489</f>
        <v>276.36860291753845</v>
      </c>
      <c r="D489" s="603">
        <f>-'Sollecitazioni nel paramento'!$G$47*'Sollecitazioni nel paramento'!$G$41*IF(DATI!$G$211="dx",DATI!$E$61,DATI!$E$64*DATI!$E$63)*1000*C489^2*sezione!$AD$5*(1-sezione!$AD$6)</f>
        <v>-1699342938.8731475</v>
      </c>
      <c r="E489" s="545">
        <f>-'Foglio deposito bis'!$F$48*(C489-sezione!$AL$28)*IF(ABS(K489)&lt;'Sollecitazioni nel paramento'!$G$58,ABS(K489)*'Sollecitazioni nel paramento'!$G$54,'Sollecitazioni nel paramento'!$G$53)</f>
        <v>0</v>
      </c>
      <c r="F489" s="545">
        <f>-'Foglio deposito bis'!$F$49*(C489-sezione!$AM$28)*IF(ABS(L489)&lt;'Sollecitazioni nel paramento'!$G$58,ABS(L489)*'Sollecitazioni nel paramento'!$G$54,'Sollecitazioni nel paramento'!$G$53)</f>
        <v>-44331000.87347126</v>
      </c>
      <c r="G489" s="545">
        <f>-'Foglio deposito bis'!$F$50*(C489-sezione!$AN$28)*IF(ABS(M489)&lt;'Sollecitazioni nel paramento'!$G$58,ABS(M489)*'Sollecitazioni nel paramento'!$G$54,'Sollecitazioni nel paramento'!$G$53)</f>
        <v>0</v>
      </c>
      <c r="H489" s="545">
        <f>-'Foglio deposito bis'!$F$51*(C489-sezione!$AO$28)*IF(ABS(N489)&lt;'Sollecitazioni nel paramento'!$G$58,ABS(N489)*'Sollecitazioni nel paramento'!$G$54,'Sollecitazioni nel paramento'!$G$53)</f>
        <v>-21753249.766629077</v>
      </c>
      <c r="I489" s="472">
        <f>-'Foglio deposito bis'!$F$52*(C489-sezione!$AP$28)*IF(ABS(O489)&lt;'Sollecitazioni nel paramento'!$G$58,ABS(O489)*'Sollecitazioni nel paramento'!$G$54,'Sollecitazioni nel paramento'!$G$53)</f>
        <v>-389861.67372916837</v>
      </c>
      <c r="J489" s="472">
        <f t="shared" si="35"/>
        <v>-1765817051.1869769</v>
      </c>
      <c r="K489" s="550">
        <f>'Sollecitazioni nel paramento'!$G$60*(sezione!$AL$28-C489)/C489</f>
        <v>-2.993430156240387E-3</v>
      </c>
      <c r="L489" s="550">
        <f>'Sollecitazioni nel paramento'!$G$60*(sezione!$AM$28-C489)/C489</f>
        <v>-2.7401452343605802E-3</v>
      </c>
      <c r="M489" s="551">
        <f>'Sollecitazioni nel paramento'!$G$60*(sezione!$AN$28-C489)/C489</f>
        <v>-2.4868603124807739E-3</v>
      </c>
      <c r="N489" s="551">
        <f>'Sollecitazioni nel paramento'!$G$60*(sezione!$AO$28-C489)/C489</f>
        <v>-1.4737206249615478E-3</v>
      </c>
      <c r="O489" s="551">
        <f>'Sollecitazioni nel paramento'!$G$60*(sezione!$AP$28-C489)/C489</f>
        <v>-1.9729149324414864E-4</v>
      </c>
      <c r="P489" s="545">
        <f>-'Sollecitazioni nel paramento'!$G$47*'Sollecitazioni nel paramento'!$G$41*IF(DATI!$G$211="dx",DATI!$E$61,DATI!$E$64*DATI!$E$63)*1000*C489*sezione!$AD$5</f>
        <v>-10528814.665349461</v>
      </c>
      <c r="Q489" s="545">
        <f>'Foglio deposito bis'!$F$48*IF(ABS(K489)&lt;'Sollecitazioni nel paramento'!$G$58,ABS(K489)*'Sollecitazioni nel paramento'!$G$54,'Sollecitazioni nel paramento'!$G$53)*IF(K489&lt;0,-1,1)</f>
        <v>0</v>
      </c>
      <c r="R489" s="545">
        <f>'Foglio deposito bis'!$F$49*IF(ABS(L489)&lt;'Sollecitazioni nel paramento'!$G$58,ABS(L489)*'Sollecitazioni nel paramento'!$G$54,'Sollecitazioni nel paramento'!$G$53)*IF(L489&lt;0,-1,1)</f>
        <v>-204886.47740803001</v>
      </c>
      <c r="S489" s="545">
        <f>'Foglio deposito bis'!$F$50*IF(ABS(M489)&lt;'Sollecitazioni nel paramento'!$G$58,ABS(M489)*'Sollecitazioni nel paramento'!$G$54,'Sollecitazioni nel paramento'!$G$53)*IF(M489&lt;0,-1,1)</f>
        <v>0</v>
      </c>
      <c r="T489" s="545">
        <f>'Foglio deposito bis'!$F$51*IF(ABS(N489)&lt;'Sollecitazioni nel paramento'!$G$58,ABS(N489)*'Sollecitazioni nel paramento'!$G$54,'Sollecitazioni nel paramento'!$G$53)*IF(N489&lt;0,-1,1)</f>
        <v>-186934.0115911157</v>
      </c>
      <c r="U489" s="545">
        <f>'Foglio deposito bis'!$F$52*IF(ABS(O489)&lt;'Sollecitazioni nel paramento'!$G$58,ABS(O489)*'Sollecitazioni nel paramento'!$G$54,'Sollecitazioni nel paramento'!$G$53)*IF(O489&lt;0,-1,1)</f>
        <v>-25025.428605840738</v>
      </c>
      <c r="V489" s="472">
        <f t="shared" si="37"/>
        <v>-10945660.582954448</v>
      </c>
      <c r="W489" s="551"/>
      <c r="X489" s="551"/>
    </row>
    <row r="490" spans="1:24" x14ac:dyDescent="0.25">
      <c r="A490" s="545">
        <f t="shared" si="36"/>
        <v>11110534.797532538</v>
      </c>
      <c r="B490" s="3">
        <f t="shared" si="34"/>
        <v>68.899999999999949</v>
      </c>
      <c r="C490" s="545">
        <f>'Foglio deposito bis'!$E$154/sezione!$B$247*B490</f>
        <v>280.43883271013846</v>
      </c>
      <c r="D490" s="603">
        <f>-'Sollecitazioni nel paramento'!$G$47*'Sollecitazioni nel paramento'!$G$41*IF(DATI!$G$211="dx",DATI!$E$61,DATI!$E$64*DATI!$E$63)*1000*C490^2*sezione!$AD$5*(1-sezione!$AD$6)</f>
        <v>-1749765811.0337248</v>
      </c>
      <c r="E490" s="545">
        <f>-'Foglio deposito bis'!$F$48*(C490-sezione!$AL$28)*IF(ABS(K490)&lt;'Sollecitazioni nel paramento'!$G$58,ABS(K490)*'Sollecitazioni nel paramento'!$G$54,'Sollecitazioni nel paramento'!$G$53)</f>
        <v>0</v>
      </c>
      <c r="F490" s="545">
        <f>-'Foglio deposito bis'!$F$49*(C490-sezione!$AM$28)*IF(ABS(L490)&lt;'Sollecitazioni nel paramento'!$G$58,ABS(L490)*'Sollecitazioni nel paramento'!$G$54,'Sollecitazioni nel paramento'!$G$53)</f>
        <v>-45164935.917918287</v>
      </c>
      <c r="G490" s="545">
        <f>-'Foglio deposito bis'!$F$50*(C490-sezione!$AN$28)*IF(ABS(M490)&lt;'Sollecitazioni nel paramento'!$G$58,ABS(M490)*'Sollecitazioni nel paramento'!$G$54,'Sollecitazioni nel paramento'!$G$53)</f>
        <v>0</v>
      </c>
      <c r="H490" s="545">
        <f>-'Foglio deposito bis'!$F$51*(C490-sezione!$AO$28)*IF(ABS(N490)&lt;'Sollecitazioni nel paramento'!$G$58,ABS(N490)*'Sollecitazioni nel paramento'!$G$54,'Sollecitazioni nel paramento'!$G$53)</f>
        <v>-22963396.961623989</v>
      </c>
      <c r="I490" s="472">
        <f>-'Foglio deposito bis'!$F$52*(C490-sezione!$AP$28)*IF(ABS(O490)&lt;'Sollecitazioni nel paramento'!$G$58,ABS(O490)*'Sollecitazioni nel paramento'!$G$54,'Sollecitazioni nel paramento'!$G$53)</f>
        <v>-611191.60214791622</v>
      </c>
      <c r="J490" s="472">
        <f t="shared" si="35"/>
        <v>-1818505335.5154147</v>
      </c>
      <c r="K490" s="550">
        <f>'Sollecitazioni nel paramento'!$G$60*(sezione!$AL$28-C490)/C490</f>
        <v>-3.0007824036099025E-3</v>
      </c>
      <c r="L490" s="550">
        <f>'Sollecitazioni nel paramento'!$G$60*(sezione!$AM$28-C490)/C490</f>
        <v>-2.7511736054148537E-3</v>
      </c>
      <c r="M490" s="551">
        <f>'Sollecitazioni nel paramento'!$G$60*(sezione!$AN$28-C490)/C490</f>
        <v>-2.5015648072198048E-3</v>
      </c>
      <c r="N490" s="551">
        <f>'Sollecitazioni nel paramento'!$G$60*(sezione!$AO$28-C490)/C490</f>
        <v>-1.5031296144396096E-3</v>
      </c>
      <c r="O490" s="551">
        <f>'Sollecitazioni nel paramento'!$G$60*(sezione!$AP$28-C490)/C490</f>
        <v>-2.4522630466295667E-4</v>
      </c>
      <c r="P490" s="545">
        <f>-'Sollecitazioni nel paramento'!$G$47*'Sollecitazioni nel paramento'!$G$41*IF(DATI!$G$211="dx",DATI!$E$61,DATI!$E$64*DATI!$E$63)*1000*C490*sezione!$AD$5</f>
        <v>-10683878.209758142</v>
      </c>
      <c r="Q490" s="545">
        <f>'Foglio deposito bis'!$F$48*IF(ABS(K490)&lt;'Sollecitazioni nel paramento'!$G$58,ABS(K490)*'Sollecitazioni nel paramento'!$G$54,'Sollecitazioni nel paramento'!$G$53)*IF(K490&lt;0,-1,1)</f>
        <v>0</v>
      </c>
      <c r="R490" s="545">
        <f>'Foglio deposito bis'!$F$49*IF(ABS(L490)&lt;'Sollecitazioni nel paramento'!$G$58,ABS(L490)*'Sollecitazioni nel paramento'!$G$54,'Sollecitazioni nel paramento'!$G$53)*IF(L490&lt;0,-1,1)</f>
        <v>-204886.47740803001</v>
      </c>
      <c r="S490" s="545">
        <f>'Foglio deposito bis'!$F$50*IF(ABS(M490)&lt;'Sollecitazioni nel paramento'!$G$58,ABS(M490)*'Sollecitazioni nel paramento'!$G$54,'Sollecitazioni nel paramento'!$G$53)*IF(M490&lt;0,-1,1)</f>
        <v>0</v>
      </c>
      <c r="T490" s="545">
        <f>'Foglio deposito bis'!$F$51*IF(ABS(N490)&lt;'Sollecitazioni nel paramento'!$G$58,ABS(N490)*'Sollecitazioni nel paramento'!$G$54,'Sollecitazioni nel paramento'!$G$53)*IF(N490&lt;0,-1,1)</f>
        <v>-190664.39324341732</v>
      </c>
      <c r="U490" s="545">
        <f>'Foglio deposito bis'!$F$52*IF(ABS(O490)&lt;'Sollecitazioni nel paramento'!$G$58,ABS(O490)*'Sollecitazioni nel paramento'!$G$54,'Sollecitazioni nel paramento'!$G$53)*IF(O490&lt;0,-1,1)</f>
        <v>-31105.71712295042</v>
      </c>
      <c r="V490" s="472">
        <f t="shared" si="37"/>
        <v>-11110534.797532538</v>
      </c>
      <c r="W490" s="551"/>
      <c r="X490" s="551"/>
    </row>
    <row r="491" spans="1:24" x14ac:dyDescent="0.25">
      <c r="A491" s="545">
        <f t="shared" si="36"/>
        <v>11275128.306240264</v>
      </c>
      <c r="B491" s="3">
        <f t="shared" si="34"/>
        <v>69.899999999999949</v>
      </c>
      <c r="C491" s="545">
        <f>'Foglio deposito bis'!$E$154/sezione!$B$247*B491</f>
        <v>284.50906250273846</v>
      </c>
      <c r="D491" s="603">
        <f>-'Sollecitazioni nel paramento'!$G$47*'Sollecitazioni nel paramento'!$G$41*IF(DATI!$G$211="dx",DATI!$E$61,DATI!$E$64*DATI!$E$63)*1000*C491^2*sezione!$AD$5*(1-sezione!$AD$6)</f>
        <v>-1800925859.6878784</v>
      </c>
      <c r="E491" s="545">
        <f>-'Foglio deposito bis'!$F$48*(C491-sezione!$AL$28)*IF(ABS(K491)&lt;'Sollecitazioni nel paramento'!$G$58,ABS(K491)*'Sollecitazioni nel paramento'!$G$54,'Sollecitazioni nel paramento'!$G$53)</f>
        <v>0</v>
      </c>
      <c r="F491" s="545">
        <f>-'Foglio deposito bis'!$F$49*(C491-sezione!$AM$28)*IF(ABS(L491)&lt;'Sollecitazioni nel paramento'!$G$58,ABS(L491)*'Sollecitazioni nel paramento'!$G$54,'Sollecitazioni nel paramento'!$G$53)</f>
        <v>-45998870.962365322</v>
      </c>
      <c r="G491" s="545">
        <f>-'Foglio deposito bis'!$F$50*(C491-sezione!$AN$28)*IF(ABS(M491)&lt;'Sollecitazioni nel paramento'!$G$58,ABS(M491)*'Sollecitazioni nel paramento'!$G$54,'Sollecitazioni nel paramento'!$G$53)</f>
        <v>0</v>
      </c>
      <c r="H491" s="545">
        <f>-'Foglio deposito bis'!$F$51*(C491-sezione!$AO$28)*IF(ABS(N491)&lt;'Sollecitazioni nel paramento'!$G$58,ABS(N491)*'Sollecitazioni nel paramento'!$G$54,'Sollecitazioni nel paramento'!$G$53)</f>
        <v>-24190621.726414852</v>
      </c>
      <c r="I491" s="472">
        <f>-'Foglio deposito bis'!$F$52*(C491-sezione!$AP$28)*IF(ABS(O491)&lt;'Sollecitazioni nel paramento'!$G$58,ABS(O491)*'Sollecitazioni nel paramento'!$G$54,'Sollecitazioni nel paramento'!$G$53)</f>
        <v>-877891.43989268481</v>
      </c>
      <c r="J491" s="472">
        <f t="shared" si="35"/>
        <v>-1871993243.8165514</v>
      </c>
      <c r="K491" s="550">
        <f>'Sollecitazioni nel paramento'!$G$60*(sezione!$AL$28-C491)/C491</f>
        <v>-3.0079242862478153E-3</v>
      </c>
      <c r="L491" s="550">
        <f>'Sollecitazioni nel paramento'!$G$60*(sezione!$AM$28-C491)/C491</f>
        <v>-2.7618864293717225E-3</v>
      </c>
      <c r="M491" s="551">
        <f>'Sollecitazioni nel paramento'!$G$60*(sezione!$AN$28-C491)/C491</f>
        <v>-2.5158485724956305E-3</v>
      </c>
      <c r="N491" s="551">
        <f>'Sollecitazioni nel paramento'!$G$60*(sezione!$AO$28-C491)/C491</f>
        <v>-1.5316971449912606E-3</v>
      </c>
      <c r="O491" s="551">
        <f>'Sollecitazioni nel paramento'!$G$60*(sezione!$AP$28-C491)/C491</f>
        <v>-2.9178959071928087E-4</v>
      </c>
      <c r="P491" s="545">
        <f>-'Sollecitazioni nel paramento'!$G$47*'Sollecitazioni nel paramento'!$G$41*IF(DATI!$G$211="dx",DATI!$E$61,DATI!$E$64*DATI!$E$63)*1000*C491*sezione!$AD$5</f>
        <v>-10838941.754166825</v>
      </c>
      <c r="Q491" s="545">
        <f>'Foglio deposito bis'!$F$48*IF(ABS(K491)&lt;'Sollecitazioni nel paramento'!$G$58,ABS(K491)*'Sollecitazioni nel paramento'!$G$54,'Sollecitazioni nel paramento'!$G$53)*IF(K491&lt;0,-1,1)</f>
        <v>0</v>
      </c>
      <c r="R491" s="545">
        <f>'Foglio deposito bis'!$F$49*IF(ABS(L491)&lt;'Sollecitazioni nel paramento'!$G$58,ABS(L491)*'Sollecitazioni nel paramento'!$G$54,'Sollecitazioni nel paramento'!$G$53)*IF(L491&lt;0,-1,1)</f>
        <v>-204886.47740803001</v>
      </c>
      <c r="S491" s="545">
        <f>'Foglio deposito bis'!$F$50*IF(ABS(M491)&lt;'Sollecitazioni nel paramento'!$G$58,ABS(M491)*'Sollecitazioni nel paramento'!$G$54,'Sollecitazioni nel paramento'!$G$53)*IF(M491&lt;0,-1,1)</f>
        <v>0</v>
      </c>
      <c r="T491" s="545">
        <f>'Foglio deposito bis'!$F$51*IF(ABS(N491)&lt;'Sollecitazioni nel paramento'!$G$58,ABS(N491)*'Sollecitazioni nel paramento'!$G$54,'Sollecitazioni nel paramento'!$G$53)*IF(N491&lt;0,-1,1)</f>
        <v>-194288.04008449428</v>
      </c>
      <c r="U491" s="545">
        <f>'Foglio deposito bis'!$F$52*IF(ABS(O491)&lt;'Sollecitazioni nel paramento'!$G$58,ABS(O491)*'Sollecitazioni nel paramento'!$G$54,'Sollecitazioni nel paramento'!$G$53)*IF(O491&lt;0,-1,1)</f>
        <v>-37012.03458091533</v>
      </c>
      <c r="V491" s="472">
        <f t="shared" si="37"/>
        <v>-11275128.306240264</v>
      </c>
      <c r="W491" s="551"/>
      <c r="X491" s="551"/>
    </row>
    <row r="492" spans="1:24" x14ac:dyDescent="0.25">
      <c r="A492" s="545">
        <f t="shared" si="36"/>
        <v>11439452.986617971</v>
      </c>
      <c r="B492" s="3">
        <f t="shared" si="34"/>
        <v>70.899999999999949</v>
      </c>
      <c r="C492" s="545">
        <f>'Foglio deposito bis'!$E$154/sezione!$B$247*B492</f>
        <v>288.5792922953384</v>
      </c>
      <c r="D492" s="603">
        <f>-'Sollecitazioni nel paramento'!$G$47*'Sollecitazioni nel paramento'!$G$41*IF(DATI!$G$211="dx",DATI!$E$61,DATI!$E$64*DATI!$E$63)*1000*C492^2*sezione!$AD$5*(1-sezione!$AD$6)</f>
        <v>-1852823084.8356061</v>
      </c>
      <c r="E492" s="545">
        <f>-'Foglio deposito bis'!$F$48*(C492-sezione!$AL$28)*IF(ABS(K492)&lt;'Sollecitazioni nel paramento'!$G$58,ABS(K492)*'Sollecitazioni nel paramento'!$G$54,'Sollecitazioni nel paramento'!$G$53)</f>
        <v>0</v>
      </c>
      <c r="F492" s="545">
        <f>-'Foglio deposito bis'!$F$49*(C492-sezione!$AM$28)*IF(ABS(L492)&lt;'Sollecitazioni nel paramento'!$G$58,ABS(L492)*'Sollecitazioni nel paramento'!$G$54,'Sollecitazioni nel paramento'!$G$53)</f>
        <v>-46832806.006812342</v>
      </c>
      <c r="G492" s="545">
        <f>-'Foglio deposito bis'!$F$50*(C492-sezione!$AN$28)*IF(ABS(M492)&lt;'Sollecitazioni nel paramento'!$G$58,ABS(M492)*'Sollecitazioni nel paramento'!$G$54,'Sollecitazioni nel paramento'!$G$53)</f>
        <v>0</v>
      </c>
      <c r="H492" s="545">
        <f>-'Foglio deposito bis'!$F$51*(C492-sezione!$AO$28)*IF(ABS(N492)&lt;'Sollecitazioni nel paramento'!$G$58,ABS(N492)*'Sollecitazioni nel paramento'!$G$54,'Sollecitazioni nel paramento'!$G$53)</f>
        <v>-25434201.455791652</v>
      </c>
      <c r="I492" s="472">
        <f>-'Foglio deposito bis'!$F$52*(C492-sezione!$AP$28)*IF(ABS(O492)&lt;'Sollecitazioni nel paramento'!$G$58,ABS(O492)*'Sollecitazioni nel paramento'!$G$54,'Sollecitazioni nel paramento'!$G$53)</f>
        <v>-1188041.4446788714</v>
      </c>
      <c r="J492" s="472">
        <f t="shared" si="35"/>
        <v>-1926278133.7428889</v>
      </c>
      <c r="K492" s="550">
        <f>'Sollecitazioni nel paramento'!$G$60*(sezione!$AL$28-C492)/C492</f>
        <v>-3.01486470534164E-3</v>
      </c>
      <c r="L492" s="550">
        <f>'Sollecitazioni nel paramento'!$G$60*(sezione!$AM$28-C492)/C492</f>
        <v>-2.7722970580124598E-3</v>
      </c>
      <c r="M492" s="551">
        <f>'Sollecitazioni nel paramento'!$G$60*(sezione!$AN$28-C492)/C492</f>
        <v>-2.52972941068328E-3</v>
      </c>
      <c r="N492" s="551">
        <f>'Sollecitazioni nel paramento'!$G$60*(sezione!$AO$28-C492)/C492</f>
        <v>-1.5594588213665599E-3</v>
      </c>
      <c r="O492" s="551">
        <f>'Sollecitazioni nel paramento'!$G$60*(sezione!$AP$28-C492)/C492</f>
        <v>-3.3703938492634289E-4</v>
      </c>
      <c r="P492" s="545">
        <f>-'Sollecitazioni nel paramento'!$G$47*'Sollecitazioni nel paramento'!$G$41*IF(DATI!$G$211="dx",DATI!$E$61,DATI!$E$64*DATI!$E$63)*1000*C492*sezione!$AD$5</f>
        <v>-10994005.298575506</v>
      </c>
      <c r="Q492" s="545">
        <f>'Foglio deposito bis'!$F$48*IF(ABS(K492)&lt;'Sollecitazioni nel paramento'!$G$58,ABS(K492)*'Sollecitazioni nel paramento'!$G$54,'Sollecitazioni nel paramento'!$G$53)*IF(K492&lt;0,-1,1)</f>
        <v>0</v>
      </c>
      <c r="R492" s="545">
        <f>'Foglio deposito bis'!$F$49*IF(ABS(L492)&lt;'Sollecitazioni nel paramento'!$G$58,ABS(L492)*'Sollecitazioni nel paramento'!$G$54,'Sollecitazioni nel paramento'!$G$53)*IF(L492&lt;0,-1,1)</f>
        <v>-204886.47740803001</v>
      </c>
      <c r="S492" s="545">
        <f>'Foglio deposito bis'!$F$50*IF(ABS(M492)&lt;'Sollecitazioni nel paramento'!$G$58,ABS(M492)*'Sollecitazioni nel paramento'!$G$54,'Sollecitazioni nel paramento'!$G$53)*IF(M492&lt;0,-1,1)</f>
        <v>0</v>
      </c>
      <c r="T492" s="545">
        <f>'Foglio deposito bis'!$F$51*IF(ABS(N492)&lt;'Sollecitazioni nel paramento'!$G$58,ABS(N492)*'Sollecitazioni nel paramento'!$G$54,'Sollecitazioni nel paramento'!$G$53)*IF(N492&lt;0,-1,1)</f>
        <v>-197809.46839690892</v>
      </c>
      <c r="U492" s="545">
        <f>'Foglio deposito bis'!$F$52*IF(ABS(O492)&lt;'Sollecitazioni nel paramento'!$G$58,ABS(O492)*'Sollecitazioni nel paramento'!$G$54,'Sollecitazioni nel paramento'!$G$53)*IF(O492&lt;0,-1,1)</f>
        <v>-42751.742237527142</v>
      </c>
      <c r="V492" s="472">
        <f t="shared" si="37"/>
        <v>-11439452.986617971</v>
      </c>
      <c r="W492" s="551"/>
      <c r="X492" s="551"/>
    </row>
    <row r="493" spans="1:24" x14ac:dyDescent="0.25">
      <c r="A493" s="545">
        <f t="shared" si="36"/>
        <v>11603520.055424916</v>
      </c>
      <c r="B493" s="3">
        <f t="shared" si="34"/>
        <v>71.899999999999949</v>
      </c>
      <c r="C493" s="545">
        <f>'Foglio deposito bis'!$E$154/sezione!$B$247*B493</f>
        <v>292.64952208793841</v>
      </c>
      <c r="D493" s="603">
        <f>-'Sollecitazioni nel paramento'!$G$47*'Sollecitazioni nel paramento'!$G$41*IF(DATI!$G$211="dx",DATI!$E$61,DATI!$E$64*DATI!$E$63)*1000*C493^2*sezione!$AD$5*(1-sezione!$AD$6)</f>
        <v>-1905457486.4769108</v>
      </c>
      <c r="E493" s="545">
        <f>-'Foglio deposito bis'!$F$48*(C493-sezione!$AL$28)*IF(ABS(K493)&lt;'Sollecitazioni nel paramento'!$G$58,ABS(K493)*'Sollecitazioni nel paramento'!$G$54,'Sollecitazioni nel paramento'!$G$53)</f>
        <v>0</v>
      </c>
      <c r="F493" s="545">
        <f>-'Foglio deposito bis'!$F$49*(C493-sezione!$AM$28)*IF(ABS(L493)&lt;'Sollecitazioni nel paramento'!$G$58,ABS(L493)*'Sollecitazioni nel paramento'!$G$54,'Sollecitazioni nel paramento'!$G$53)</f>
        <v>-47666741.051259369</v>
      </c>
      <c r="G493" s="545">
        <f>-'Foglio deposito bis'!$F$50*(C493-sezione!$AN$28)*IF(ABS(M493)&lt;'Sollecitazioni nel paramento'!$G$58,ABS(M493)*'Sollecitazioni nel paramento'!$G$54,'Sollecitazioni nel paramento'!$G$53)</f>
        <v>0</v>
      </c>
      <c r="H493" s="545">
        <f>-'Foglio deposito bis'!$F$51*(C493-sezione!$AO$28)*IF(ABS(N493)&lt;'Sollecitazioni nel paramento'!$G$58,ABS(N493)*'Sollecitazioni nel paramento'!$G$54,'Sollecitazioni nel paramento'!$G$53)</f>
        <v>-26693453.745112471</v>
      </c>
      <c r="I493" s="472">
        <f>-'Foglio deposito bis'!$F$52*(C493-sezione!$AP$28)*IF(ABS(O493)&lt;'Sollecitazioni nel paramento'!$G$58,ABS(O493)*'Sollecitazioni nel paramento'!$G$54,'Sollecitazioni nel paramento'!$G$53)</f>
        <v>-1539828.6749053118</v>
      </c>
      <c r="J493" s="472">
        <f t="shared" si="35"/>
        <v>-1981357509.9481878</v>
      </c>
      <c r="K493" s="550">
        <f>'Sollecitazioni nel paramento'!$G$60*(sezione!$AL$28-C493)/C493</f>
        <v>-3.0216120668806992E-3</v>
      </c>
      <c r="L493" s="550">
        <f>'Sollecitazioni nel paramento'!$G$60*(sezione!$AM$28-C493)/C493</f>
        <v>-2.7824181003210488E-3</v>
      </c>
      <c r="M493" s="551">
        <f>'Sollecitazioni nel paramento'!$G$60*(sezione!$AN$28-C493)/C493</f>
        <v>-2.5432241337613984E-3</v>
      </c>
      <c r="N493" s="551">
        <f>'Sollecitazioni nel paramento'!$G$60*(sezione!$AO$28-C493)/C493</f>
        <v>-1.5864482675227972E-3</v>
      </c>
      <c r="O493" s="551">
        <f>'Sollecitazioni nel paramento'!$G$60*(sezione!$AP$28-C493)/C493</f>
        <v>-3.8103049222917563E-4</v>
      </c>
      <c r="P493" s="545">
        <f>-'Sollecitazioni nel paramento'!$G$47*'Sollecitazioni nel paramento'!$G$41*IF(DATI!$G$211="dx",DATI!$E$61,DATI!$E$64*DATI!$E$63)*1000*C493*sezione!$AD$5</f>
        <v>-11149068.842984188</v>
      </c>
      <c r="Q493" s="545">
        <f>'Foglio deposito bis'!$F$48*IF(ABS(K493)&lt;'Sollecitazioni nel paramento'!$G$58,ABS(K493)*'Sollecitazioni nel paramento'!$G$54,'Sollecitazioni nel paramento'!$G$53)*IF(K493&lt;0,-1,1)</f>
        <v>0</v>
      </c>
      <c r="R493" s="545">
        <f>'Foglio deposito bis'!$F$49*IF(ABS(L493)&lt;'Sollecitazioni nel paramento'!$G$58,ABS(L493)*'Sollecitazioni nel paramento'!$G$54,'Sollecitazioni nel paramento'!$G$53)*IF(L493&lt;0,-1,1)</f>
        <v>-204886.47740803001</v>
      </c>
      <c r="S493" s="545">
        <f>'Foglio deposito bis'!$F$50*IF(ABS(M493)&lt;'Sollecitazioni nel paramento'!$G$58,ABS(M493)*'Sollecitazioni nel paramento'!$G$54,'Sollecitazioni nel paramento'!$G$53)*IF(M493&lt;0,-1,1)</f>
        <v>0</v>
      </c>
      <c r="T493" s="545">
        <f>'Foglio deposito bis'!$F$51*IF(ABS(N493)&lt;'Sollecitazioni nel paramento'!$G$58,ABS(N493)*'Sollecitazioni nel paramento'!$G$54,'Sollecitazioni nel paramento'!$G$53)*IF(N493&lt;0,-1,1)</f>
        <v>-201232.94320967371</v>
      </c>
      <c r="U493" s="545">
        <f>'Foglio deposito bis'!$F$52*IF(ABS(O493)&lt;'Sollecitazioni nel paramento'!$G$58,ABS(O493)*'Sollecitazioni nel paramento'!$G$54,'Sollecitazioni nel paramento'!$G$53)*IF(O493&lt;0,-1,1)</f>
        <v>-48331.791823023246</v>
      </c>
      <c r="V493" s="472">
        <f t="shared" si="37"/>
        <v>-11603520.055424916</v>
      </c>
      <c r="W493" s="551"/>
      <c r="X493" s="551"/>
    </row>
    <row r="494" spans="1:24" x14ac:dyDescent="0.25">
      <c r="A494" s="545">
        <f t="shared" si="36"/>
        <v>11767340.113960296</v>
      </c>
      <c r="B494" s="3">
        <f t="shared" si="34"/>
        <v>72.899999999999949</v>
      </c>
      <c r="C494" s="545">
        <f>'Foglio deposito bis'!$E$154/sezione!$B$247*B494</f>
        <v>296.71975188053835</v>
      </c>
      <c r="D494" s="603">
        <f>-'Sollecitazioni nel paramento'!$G$47*'Sollecitazioni nel paramento'!$G$41*IF(DATI!$G$211="dx",DATI!$E$61,DATI!$E$64*DATI!$E$63)*1000*C494^2*sezione!$AD$5*(1-sezione!$AD$6)</f>
        <v>-1958829064.6117904</v>
      </c>
      <c r="E494" s="545">
        <f>-'Foglio deposito bis'!$F$48*(C494-sezione!$AL$28)*IF(ABS(K494)&lt;'Sollecitazioni nel paramento'!$G$58,ABS(K494)*'Sollecitazioni nel paramento'!$G$54,'Sollecitazioni nel paramento'!$G$53)</f>
        <v>0</v>
      </c>
      <c r="F494" s="545">
        <f>-'Foglio deposito bis'!$F$49*(C494-sezione!$AM$28)*IF(ABS(L494)&lt;'Sollecitazioni nel paramento'!$G$58,ABS(L494)*'Sollecitazioni nel paramento'!$G$54,'Sollecitazioni nel paramento'!$G$53)</f>
        <v>-48500676.095706388</v>
      </c>
      <c r="G494" s="545">
        <f>-'Foglio deposito bis'!$F$50*(C494-sezione!$AN$28)*IF(ABS(M494)&lt;'Sollecitazioni nel paramento'!$G$58,ABS(M494)*'Sollecitazioni nel paramento'!$G$54,'Sollecitazioni nel paramento'!$G$53)</f>
        <v>0</v>
      </c>
      <c r="H494" s="545">
        <f>-'Foglio deposito bis'!$F$51*(C494-sezione!$AO$28)*IF(ABS(N494)&lt;'Sollecitazioni nel paramento'!$G$58,ABS(N494)*'Sollecitazioni nel paramento'!$G$54,'Sollecitazioni nel paramento'!$G$53)</f>
        <v>-27967733.633062683</v>
      </c>
      <c r="I494" s="472">
        <f>-'Foglio deposito bis'!$F$52*(C494-sezione!$AP$28)*IF(ABS(O494)&lt;'Sollecitazioni nel paramento'!$G$58,ABS(O494)*'Sollecitazioni nel paramento'!$G$54,'Sollecitazioni nel paramento'!$G$53)</f>
        <v>-1931539.6645044968</v>
      </c>
      <c r="J494" s="472">
        <f t="shared" si="35"/>
        <v>-2037229014.005064</v>
      </c>
      <c r="K494" s="550">
        <f>'Sollecitazioni nel paramento'!$G$60*(sezione!$AL$28-C494)/C494</f>
        <v>-3.0281743156203331E-3</v>
      </c>
      <c r="L494" s="550">
        <f>'Sollecitazioni nel paramento'!$G$60*(sezione!$AM$28-C494)/C494</f>
        <v>-2.7922614734304995E-3</v>
      </c>
      <c r="M494" s="551">
        <f>'Sollecitazioni nel paramento'!$G$60*(sezione!$AN$28-C494)/C494</f>
        <v>-2.556348631240666E-3</v>
      </c>
      <c r="N494" s="551">
        <f>'Sollecitazioni nel paramento'!$G$60*(sezione!$AO$28-C494)/C494</f>
        <v>-1.612697262481332E-3</v>
      </c>
      <c r="O494" s="551">
        <f>'Sollecitazioni nel paramento'!$G$60*(sezione!$AP$28-C494)/C494</f>
        <v>-4.2381471044276685E-4</v>
      </c>
      <c r="P494" s="545">
        <f>-'Sollecitazioni nel paramento'!$G$47*'Sollecitazioni nel paramento'!$G$41*IF(DATI!$G$211="dx",DATI!$E$61,DATI!$E$64*DATI!$E$63)*1000*C494*sezione!$AD$5</f>
        <v>-11304132.387392867</v>
      </c>
      <c r="Q494" s="545">
        <f>'Foglio deposito bis'!$F$48*IF(ABS(K494)&lt;'Sollecitazioni nel paramento'!$G$58,ABS(K494)*'Sollecitazioni nel paramento'!$G$54,'Sollecitazioni nel paramento'!$G$53)*IF(K494&lt;0,-1,1)</f>
        <v>0</v>
      </c>
      <c r="R494" s="545">
        <f>'Foglio deposito bis'!$F$49*IF(ABS(L494)&lt;'Sollecitazioni nel paramento'!$G$58,ABS(L494)*'Sollecitazioni nel paramento'!$G$54,'Sollecitazioni nel paramento'!$G$53)*IF(L494&lt;0,-1,1)</f>
        <v>-204886.47740803001</v>
      </c>
      <c r="S494" s="545">
        <f>'Foglio deposito bis'!$F$50*IF(ABS(M494)&lt;'Sollecitazioni nel paramento'!$G$58,ABS(M494)*'Sollecitazioni nel paramento'!$G$54,'Sollecitazioni nel paramento'!$G$53)*IF(M494&lt;0,-1,1)</f>
        <v>0</v>
      </c>
      <c r="T494" s="545">
        <f>'Foglio deposito bis'!$F$51*IF(ABS(N494)&lt;'Sollecitazioni nel paramento'!$G$58,ABS(N494)*'Sollecitazioni nel paramento'!$G$54,'Sollecitazioni nel paramento'!$G$53)*IF(N494&lt;0,-1,1)</f>
        <v>-204562.49553100456</v>
      </c>
      <c r="U494" s="545">
        <f>'Foglio deposito bis'!$F$52*IF(ABS(O494)&lt;'Sollecitazioni nel paramento'!$G$58,ABS(O494)*'Sollecitazioni nel paramento'!$G$54,'Sollecitazioni nel paramento'!$G$53)*IF(O494&lt;0,-1,1)</f>
        <v>-53758.753628395934</v>
      </c>
      <c r="V494" s="472">
        <f t="shared" si="37"/>
        <v>-11767340.113960296</v>
      </c>
      <c r="W494" s="551"/>
      <c r="X494" s="551"/>
    </row>
    <row r="495" spans="1:24" x14ac:dyDescent="0.25">
      <c r="A495" s="545">
        <f t="shared" si="36"/>
        <v>11930923.189704705</v>
      </c>
      <c r="B495" s="3">
        <f t="shared" si="34"/>
        <v>73.899999999999949</v>
      </c>
      <c r="C495" s="545">
        <f>'Foglio deposito bis'!$E$154/sezione!$B$247*B495</f>
        <v>300.78998167313836</v>
      </c>
      <c r="D495" s="31">
        <f>-'Sollecitazioni nel paramento'!$G$47*'Sollecitazioni nel paramento'!$G$41*IF(DATI!$G$211="dx",DATI!$E$61,DATI!$E$64*DATI!$E$63)*1000*C495^2*sezione!$AD$5*(1-sezione!$AD$6)</f>
        <v>-2012937819.2402463</v>
      </c>
      <c r="E495" s="545">
        <f>-'Foglio deposito bis'!$F$48*(C495-sezione!$AL$28)*IF(ABS(K495)&lt;'Sollecitazioni nel paramento'!$G$58,ABS(K495)*'Sollecitazioni nel paramento'!$G$54,'Sollecitazioni nel paramento'!$G$53)</f>
        <v>0</v>
      </c>
      <c r="F495" s="545">
        <f>-'Foglio deposito bis'!$F$49*(C495-sezione!$AM$28)*IF(ABS(L495)&lt;'Sollecitazioni nel paramento'!$G$58,ABS(L495)*'Sollecitazioni nel paramento'!$G$54,'Sollecitazioni nel paramento'!$G$53)</f>
        <v>-49334611.140153423</v>
      </c>
      <c r="G495" s="545">
        <f>-'Foglio deposito bis'!$F$50*(C495-sezione!$AN$28)*IF(ABS(M495)&lt;'Sollecitazioni nel paramento'!$G$58,ABS(M495)*'Sollecitazioni nel paramento'!$G$54,'Sollecitazioni nel paramento'!$G$53)</f>
        <v>0</v>
      </c>
      <c r="H495" s="545">
        <f>-'Foglio deposito bis'!$F$51*(C495-sezione!$AO$28)*IF(ABS(N495)&lt;'Sollecitazioni nel paramento'!$G$58,ABS(N495)*'Sollecitazioni nel paramento'!$G$54,'Sollecitazioni nel paramento'!$G$53)</f>
        <v>-29256431.068277128</v>
      </c>
      <c r="I495" s="472">
        <f>-'Foglio deposito bis'!$F$52*(C495-sezione!$AP$28)*IF(ABS(O495)&lt;'Sollecitazioni nel paramento'!$G$58,ABS(O495)*'Sollecitazioni nel paramento'!$G$54,'Sollecitazioni nel paramento'!$G$53)</f>
        <v>-2361553.6925276113</v>
      </c>
      <c r="J495" s="472">
        <f t="shared" si="35"/>
        <v>-2093890415.1412044</v>
      </c>
      <c r="K495" s="550">
        <f>'Sollecitazioni nel paramento'!$G$60*(sezione!$AL$28-C495)/C495</f>
        <v>-3.0345589662885289E-3</v>
      </c>
      <c r="L495" s="550">
        <f>'Sollecitazioni nel paramento'!$G$60*(sezione!$AM$28-C495)/C495</f>
        <v>-2.8018384494327931E-3</v>
      </c>
      <c r="M495" s="551">
        <f>'Sollecitazioni nel paramento'!$G$60*(sezione!$AN$28-C495)/C495</f>
        <v>-2.5691179325770578E-3</v>
      </c>
      <c r="N495" s="551">
        <f>'Sollecitazioni nel paramento'!$G$60*(sezione!$AO$28-C495)/C495</f>
        <v>-1.6382358651541151E-3</v>
      </c>
      <c r="O495" s="551">
        <f>'Sollecitazioni nel paramento'!$G$60*(sezione!$AP$28-C495)/C495</f>
        <v>-4.6544103371147125E-4</v>
      </c>
      <c r="P495" s="545">
        <f>-'Sollecitazioni nel paramento'!$G$47*'Sollecitazioni nel paramento'!$G$41*IF(DATI!$G$211="dx",DATI!$E$61,DATI!$E$64*DATI!$E$63)*1000*C495*sezione!$AD$5</f>
        <v>-11459195.93180155</v>
      </c>
      <c r="Q495" s="545">
        <f>'Foglio deposito bis'!$F$48*IF(ABS(K495)&lt;'Sollecitazioni nel paramento'!$G$58,ABS(K495)*'Sollecitazioni nel paramento'!$G$54,'Sollecitazioni nel paramento'!$G$53)*IF(K495&lt;0,-1,1)</f>
        <v>0</v>
      </c>
      <c r="R495" s="545">
        <f>'Foglio deposito bis'!$F$49*IF(ABS(L495)&lt;'Sollecitazioni nel paramento'!$G$58,ABS(L495)*'Sollecitazioni nel paramento'!$G$54,'Sollecitazioni nel paramento'!$G$53)*IF(L495&lt;0,-1,1)</f>
        <v>-204886.47740803001</v>
      </c>
      <c r="S495" s="545">
        <f>'Foglio deposito bis'!$F$50*IF(ABS(M495)&lt;'Sollecitazioni nel paramento'!$G$58,ABS(M495)*'Sollecitazioni nel paramento'!$G$54,'Sollecitazioni nel paramento'!$G$53)*IF(M495&lt;0,-1,1)</f>
        <v>0</v>
      </c>
      <c r="T495" s="545">
        <f>'Foglio deposito bis'!$F$51*IF(ABS(N495)&lt;'Sollecitazioni nel paramento'!$G$58,ABS(N495)*'Sollecitazioni nel paramento'!$G$54,'Sollecitazioni nel paramento'!$G$53)*IF(N495&lt;0,-1,1)</f>
        <v>-207801.93818193409</v>
      </c>
      <c r="U495" s="545">
        <f>'Foglio deposito bis'!$F$52*IF(ABS(O495)&lt;'Sollecitazioni nel paramento'!$G$58,ABS(O495)*'Sollecitazioni nel paramento'!$G$54,'Sollecitazioni nel paramento'!$G$53)*IF(O495&lt;0,-1,1)</f>
        <v>-59038.842313190275</v>
      </c>
      <c r="V495" s="472">
        <f t="shared" si="37"/>
        <v>-11930923.189704705</v>
      </c>
      <c r="W495" s="551"/>
      <c r="X495" s="551"/>
    </row>
    <row r="496" spans="1:24" x14ac:dyDescent="0.25">
      <c r="P496" s="545"/>
      <c r="Q496" s="545"/>
      <c r="R496" s="545"/>
      <c r="S496" s="545"/>
      <c r="T496" s="545"/>
      <c r="U496" s="545"/>
      <c r="V496" s="472"/>
    </row>
    <row r="497" spans="1:24" x14ac:dyDescent="0.25">
      <c r="P497" s="545"/>
      <c r="Q497" s="545"/>
      <c r="R497" s="545"/>
      <c r="S497" s="545"/>
      <c r="T497" s="545"/>
      <c r="U497" s="545"/>
      <c r="V497" s="472"/>
    </row>
    <row r="498" spans="1:24" ht="15.75" x14ac:dyDescent="0.25">
      <c r="A498" s="1035" t="s">
        <v>950</v>
      </c>
      <c r="B498" s="1036"/>
      <c r="C498" s="1036"/>
      <c r="D498" s="1036"/>
      <c r="E498" s="1036"/>
      <c r="F498" s="1036"/>
      <c r="G498" s="1036"/>
      <c r="H498" s="1036"/>
      <c r="I498" s="1036"/>
      <c r="J498" s="1036"/>
      <c r="K498" s="1036"/>
      <c r="L498" s="1036"/>
      <c r="M498" s="1036"/>
      <c r="N498" s="1036"/>
      <c r="O498" s="1037"/>
      <c r="P498" s="545"/>
      <c r="Q498" s="545"/>
      <c r="R498" s="545"/>
      <c r="S498" s="545"/>
      <c r="T498" s="545"/>
      <c r="U498" s="545"/>
      <c r="V498" s="472"/>
      <c r="W498" s="605"/>
      <c r="X498" s="605"/>
    </row>
    <row r="499" spans="1:24" x14ac:dyDescent="0.25">
      <c r="A499" s="533">
        <v>1</v>
      </c>
      <c r="B499" s="533">
        <v>2</v>
      </c>
      <c r="C499" s="533">
        <v>3</v>
      </c>
      <c r="D499" s="533">
        <v>4</v>
      </c>
      <c r="E499" s="533">
        <v>5</v>
      </c>
      <c r="F499" s="533">
        <v>6</v>
      </c>
      <c r="G499" s="533">
        <v>7</v>
      </c>
      <c r="H499" s="533">
        <v>8</v>
      </c>
      <c r="I499" s="533">
        <v>9</v>
      </c>
      <c r="J499" s="533">
        <v>10</v>
      </c>
      <c r="K499" s="533">
        <v>11</v>
      </c>
      <c r="L499" s="533">
        <v>12</v>
      </c>
      <c r="M499" s="533">
        <v>13</v>
      </c>
      <c r="N499" s="533">
        <v>14</v>
      </c>
      <c r="O499" s="533">
        <v>15</v>
      </c>
      <c r="P499" s="598">
        <v>4</v>
      </c>
      <c r="Q499" s="598">
        <v>5</v>
      </c>
      <c r="R499" s="598">
        <v>6</v>
      </c>
      <c r="S499" s="598">
        <v>7</v>
      </c>
      <c r="T499" s="598">
        <v>8</v>
      </c>
      <c r="U499" s="598">
        <v>9</v>
      </c>
      <c r="V499" s="598">
        <v>10</v>
      </c>
      <c r="W499" s="46"/>
      <c r="X499" s="46"/>
    </row>
    <row r="500" spans="1:24" x14ac:dyDescent="0.25">
      <c r="A500" s="553" t="s">
        <v>930</v>
      </c>
      <c r="B500" s="80" t="s">
        <v>918</v>
      </c>
      <c r="C500" s="533" t="s">
        <v>137</v>
      </c>
      <c r="D500" s="533" t="s">
        <v>912</v>
      </c>
      <c r="E500" s="533" t="s">
        <v>913</v>
      </c>
      <c r="F500" s="533" t="s">
        <v>914</v>
      </c>
      <c r="G500" s="533" t="s">
        <v>915</v>
      </c>
      <c r="H500" s="533" t="s">
        <v>916</v>
      </c>
      <c r="I500" s="533" t="s">
        <v>917</v>
      </c>
      <c r="J500" s="554" t="s">
        <v>911</v>
      </c>
      <c r="K500" s="553" t="s">
        <v>924</v>
      </c>
      <c r="L500" s="553" t="s">
        <v>925</v>
      </c>
      <c r="M500" s="553" t="s">
        <v>926</v>
      </c>
      <c r="N500" s="553" t="s">
        <v>927</v>
      </c>
      <c r="O500" s="553" t="s">
        <v>928</v>
      </c>
      <c r="P500" s="598" t="s">
        <v>296</v>
      </c>
      <c r="Q500" s="598" t="s">
        <v>969</v>
      </c>
      <c r="R500" s="598" t="s">
        <v>970</v>
      </c>
      <c r="S500" s="598" t="s">
        <v>971</v>
      </c>
      <c r="T500" s="598" t="s">
        <v>972</v>
      </c>
      <c r="U500" s="598" t="s">
        <v>973</v>
      </c>
      <c r="V500" s="599" t="s">
        <v>1022</v>
      </c>
      <c r="W500" s="57"/>
      <c r="X500" s="57"/>
    </row>
    <row r="501" spans="1:24" x14ac:dyDescent="0.25">
      <c r="A501" s="545">
        <f>ABS(V501)</f>
        <v>686398.5022717166</v>
      </c>
      <c r="B501" s="3">
        <v>0</v>
      </c>
      <c r="C501" s="41">
        <v>0.01</v>
      </c>
      <c r="D501" s="603">
        <f>-'Sollecitazioni nel paramento'!$G$47*'Sollecitazioni nel paramento'!$G$41*IF(DATI!$G$211="dx",DATI!$E$61,DATI!$E$64*DATI!$E$63)*1000*C501^2*sezione!$AD$5*(1-sezione!$AD$6)</f>
        <v>-2.2248647999999998</v>
      </c>
      <c r="E501" s="545">
        <f>-'Foglio deposito bis'!$F$48*(C501-sezione!$AL$29)*IF(ABS(K501)&lt;'Sollecitazioni nel paramento'!$G$58,ABS(K501)*'Sollecitazioni nel paramento'!$G$54,'Sollecitazioni nel paramento'!$G$53)</f>
        <v>0</v>
      </c>
      <c r="F501" s="545">
        <f>-'Foglio deposito bis'!$F$49*(C501-sezione!$AM$29)*IF(ABS(L501)&lt;'Sollecitazioni nel paramento'!$G$58,ABS(L501)*'Sollecitazioni nel paramento'!$G$54,'Sollecitazioni nel paramento'!$G$53)</f>
        <v>12291139.779707721</v>
      </c>
      <c r="G501" s="545">
        <f>-'Foglio deposito bis'!$F$50*(C501-sezione!$AN$29)*IF(ABS(M501)&lt;'Sollecitazioni nel paramento'!$G$58,ABS(M501)*'Sollecitazioni nel paramento'!$G$54,'Sollecitazioni nel paramento'!$G$53)</f>
        <v>0</v>
      </c>
      <c r="H501" s="545">
        <f>-'Foglio deposito bis'!$F$51*(C501-sezione!$AO$29)*IF(ABS(N501)&lt;'Sollecitazioni nel paramento'!$G$58,ABS(N501)*'Sollecitazioni nel paramento'!$G$54,'Sollecitazioni nel paramento'!$G$53)</f>
        <v>38549030.124120608</v>
      </c>
      <c r="I501" s="472">
        <f>-'Foglio deposito bis'!$F$52*(C501-sezione!$AP$29)*IF(ABS(O501)&lt;'Sollecitazioni nel paramento'!$G$58,ABS(O501)*'Sollecitazioni nel paramento'!$G$54,'Sollecitazioni nel paramento'!$G$53)</f>
        <v>77595096.453234419</v>
      </c>
      <c r="J501" s="472">
        <f t="shared" ref="J501:J564" si="38">D501+E501+F501+G501+H501+I501</f>
        <v>128435264.13219795</v>
      </c>
      <c r="K501" s="550">
        <f>'Sollecitazioni nel paramento'!$G$60*(sezione!$AL$29-C501)/C501</f>
        <v>13.996500000000001</v>
      </c>
      <c r="L501" s="550">
        <f>'Sollecitazioni nel paramento'!$G$60*(sezione!$AM$29-C501)/C501</f>
        <v>20.996500000000001</v>
      </c>
      <c r="M501" s="551">
        <f>'Sollecitazioni nel paramento'!$G$60*(sezione!$AN$29-C501)/C501</f>
        <v>27.996499999999997</v>
      </c>
      <c r="N501" s="551">
        <f>'Sollecitazioni nel paramento'!$G$60*(sezione!$AO$29-C501)/C501</f>
        <v>55.996500000000005</v>
      </c>
      <c r="O501" s="551">
        <f>'Sollecitazioni nel paramento'!$G$60*(sezione!$AP$29-C501)/C501</f>
        <v>112.71499709728852</v>
      </c>
      <c r="P501" s="545">
        <f>-'Sollecitazioni nel paramento'!$G$47*'Sollecitazioni nel paramento'!$G$41*IF(DATI!$G$211="dx",DATI!$E$61,DATI!$E$64*DATI!$E$63)*1000*C501*sezione!$AD$5</f>
        <v>-380.96999999999991</v>
      </c>
      <c r="Q501" s="545">
        <f>'Foglio deposito bis'!$F$48*IF(ABS(K501)&lt;'Sollecitazioni nel paramento'!$G$58,ABS(K501)*'Sollecitazioni nel paramento'!$G$54,'Sollecitazioni nel paramento'!$G$53)*IF(K501&lt;0,-1,1)</f>
        <v>0</v>
      </c>
      <c r="R501" s="545">
        <f>'Foglio deposito bis'!$F$49*IF(ABS(L501)&lt;'Sollecitazioni nel paramento'!$G$58,ABS(L501)*'Sollecitazioni nel paramento'!$G$54,'Sollecitazioni nel paramento'!$G$53)*IF(L501&lt;0,-1,1)</f>
        <v>204886.47740803001</v>
      </c>
      <c r="S501" s="545">
        <f>'Foglio deposito bis'!$F$50*IF(ABS(M501)&lt;'Sollecitazioni nel paramento'!$G$58,ABS(M501)*'Sollecitazioni nel paramento'!$G$54,'Sollecitazioni nel paramento'!$G$53)*IF(M501&lt;0,-1,1)</f>
        <v>0</v>
      </c>
      <c r="T501" s="545">
        <f>'Foglio deposito bis'!$F$51*IF(ABS(N501)&lt;'Sollecitazioni nel paramento'!$G$58,ABS(N501)*'Sollecitazioni nel paramento'!$G$54,'Sollecitazioni nel paramento'!$G$53)*IF(N501&lt;0,-1,1)</f>
        <v>240946.49743184328</v>
      </c>
      <c r="U501" s="545">
        <f>'Foglio deposito bis'!$F$52*IF(ABS(O501)&lt;'Sollecitazioni nel paramento'!$G$58,ABS(O501)*'Sollecitazioni nel paramento'!$G$54,'Sollecitazioni nel paramento'!$G$53)*IF(O501&lt;0,-1,1)</f>
        <v>240946.49743184328</v>
      </c>
      <c r="V501" s="472">
        <f t="shared" ref="V501:V564" si="39">P501+Q501+R501+S501+T501+U501</f>
        <v>686398.5022717166</v>
      </c>
      <c r="W501" s="551"/>
      <c r="X501" s="551"/>
    </row>
    <row r="502" spans="1:24" x14ac:dyDescent="0.25">
      <c r="A502" s="545">
        <f t="shared" ref="A502:A565" si="40">ABS(V502)</f>
        <v>677447.18040255865</v>
      </c>
      <c r="B502" s="3">
        <f>B501+0.05</f>
        <v>0.05</v>
      </c>
      <c r="C502" s="545">
        <f>'Foglio deposito bis'!$E$155/sezione!$B$247*B502</f>
        <v>0.24496133210378621</v>
      </c>
      <c r="D502" s="603">
        <f>-'Sollecitazioni nel paramento'!$G$47*'Sollecitazioni nel paramento'!$G$41*IF(DATI!$G$211="dx",DATI!$E$61,DATI!$E$64*DATI!$E$63)*1000*C502^2*sezione!$AD$5*(1-sezione!$AD$6)</f>
        <v>-1335.0535783445532</v>
      </c>
      <c r="E502" s="545">
        <f>-'Foglio deposito bis'!$F$48*(C502-sezione!$AL$29)*IF(ABS(K502)&lt;'Sollecitazioni nel paramento'!$G$58,ABS(K502)*'Sollecitazioni nel paramento'!$G$54,'Sollecitazioni nel paramento'!$G$53)</f>
        <v>0</v>
      </c>
      <c r="F502" s="545">
        <f>-'Foglio deposito bis'!$F$49*(C502-sezione!$AM$29)*IF(ABS(L502)&lt;'Sollecitazioni nel paramento'!$G$58,ABS(L502)*'Sollecitazioni nel paramento'!$G$54,'Sollecitazioni nel paramento'!$G$53)</f>
        <v>12242999.380045878</v>
      </c>
      <c r="G502" s="545">
        <f>-'Foglio deposito bis'!$F$50*(C502-sezione!$AN$29)*IF(ABS(M502)&lt;'Sollecitazioni nel paramento'!$G$58,ABS(M502)*'Sollecitazioni nel paramento'!$G$54,'Sollecitazioni nel paramento'!$G$53)</f>
        <v>0</v>
      </c>
      <c r="H502" s="545">
        <f>-'Foglio deposito bis'!$F$51*(C502-sezione!$AO$29)*IF(ABS(N502)&lt;'Sollecitazioni nel paramento'!$G$58,ABS(N502)*'Sollecitazioni nel paramento'!$G$54,'Sollecitazioni nel paramento'!$G$53)</f>
        <v>38492417.014118277</v>
      </c>
      <c r="I502" s="472">
        <f>-'Foglio deposito bis'!$F$52*(C502-sezione!$AP$29)*IF(ABS(O502)&lt;'Sollecitazioni nel paramento'!$G$58,ABS(O502)*'Sollecitazioni nel paramento'!$G$54,'Sollecitazioni nel paramento'!$G$53)</f>
        <v>77538483.343232095</v>
      </c>
      <c r="J502" s="472">
        <f t="shared" si="38"/>
        <v>128272564.68381791</v>
      </c>
      <c r="K502" s="550">
        <f>'Sollecitazioni nel paramento'!$G$60*(sezione!$AL$29-C502)/C502</f>
        <v>0.56801877317798166</v>
      </c>
      <c r="L502" s="550">
        <f>'Sollecitazioni nel paramento'!$G$60*(sezione!$AM$29-C502)/C502</f>
        <v>0.85377815976697236</v>
      </c>
      <c r="M502" s="551">
        <f>'Sollecitazioni nel paramento'!$G$60*(sezione!$AN$29-C502)/C502</f>
        <v>1.1395375463559632</v>
      </c>
      <c r="N502" s="551">
        <f>'Sollecitazioni nel paramento'!$G$60*(sezione!$AO$29-C502)/C502</f>
        <v>2.2825750927119262</v>
      </c>
      <c r="O502" s="551">
        <f>'Sollecitazioni nel paramento'!$G$60*(sezione!$AP$29-C502)/C502</f>
        <v>4.5979812268220144</v>
      </c>
      <c r="P502" s="545">
        <f>-'Sollecitazioni nel paramento'!$G$47*'Sollecitazioni nel paramento'!$G$41*IF(DATI!$G$211="dx",DATI!$E$61,DATI!$E$64*DATI!$E$63)*1000*C502*sezione!$AD$5</f>
        <v>-9332.2918691579416</v>
      </c>
      <c r="Q502" s="545">
        <f>'Foglio deposito bis'!$F$48*IF(ABS(K502)&lt;'Sollecitazioni nel paramento'!$G$58,ABS(K502)*'Sollecitazioni nel paramento'!$G$54,'Sollecitazioni nel paramento'!$G$53)*IF(K502&lt;0,-1,1)</f>
        <v>0</v>
      </c>
      <c r="R502" s="545">
        <f>'Foglio deposito bis'!$F$49*IF(ABS(L502)&lt;'Sollecitazioni nel paramento'!$G$58,ABS(L502)*'Sollecitazioni nel paramento'!$G$54,'Sollecitazioni nel paramento'!$G$53)*IF(L502&lt;0,-1,1)</f>
        <v>204886.47740803001</v>
      </c>
      <c r="S502" s="545">
        <f>'Foglio deposito bis'!$F$50*IF(ABS(M502)&lt;'Sollecitazioni nel paramento'!$G$58,ABS(M502)*'Sollecitazioni nel paramento'!$G$54,'Sollecitazioni nel paramento'!$G$53)*IF(M502&lt;0,-1,1)</f>
        <v>0</v>
      </c>
      <c r="T502" s="545">
        <f>'Foglio deposito bis'!$F$51*IF(ABS(N502)&lt;'Sollecitazioni nel paramento'!$G$58,ABS(N502)*'Sollecitazioni nel paramento'!$G$54,'Sollecitazioni nel paramento'!$G$53)*IF(N502&lt;0,-1,1)</f>
        <v>240946.49743184328</v>
      </c>
      <c r="U502" s="545">
        <f>'Foglio deposito bis'!$F$52*IF(ABS(O502)&lt;'Sollecitazioni nel paramento'!$G$58,ABS(O502)*'Sollecitazioni nel paramento'!$G$54,'Sollecitazioni nel paramento'!$G$53)*IF(O502&lt;0,-1,1)</f>
        <v>240946.49743184328</v>
      </c>
      <c r="V502" s="472">
        <f t="shared" si="39"/>
        <v>677447.18040255865</v>
      </c>
      <c r="W502" s="551"/>
      <c r="X502" s="551"/>
    </row>
    <row r="503" spans="1:24" x14ac:dyDescent="0.25">
      <c r="A503" s="545">
        <f t="shared" si="40"/>
        <v>668114.88853340072</v>
      </c>
      <c r="B503" s="3">
        <f t="shared" ref="B503:B566" si="41">B502+0.05</f>
        <v>0.1</v>
      </c>
      <c r="C503" s="545">
        <f>'Foglio deposito bis'!$E$155/sezione!$B$247*B503</f>
        <v>0.48992266420757241</v>
      </c>
      <c r="D503" s="603">
        <f>-'Sollecitazioni nel paramento'!$G$47*'Sollecitazioni nel paramento'!$G$41*IF(DATI!$G$211="dx",DATI!$E$61,DATI!$E$64*DATI!$E$63)*1000*C503^2*sezione!$AD$5*(1-sezione!$AD$6)</f>
        <v>-5340.2143133782129</v>
      </c>
      <c r="E503" s="545">
        <f>-'Foglio deposito bis'!$F$48*(C503-sezione!$AL$29)*IF(ABS(K503)&lt;'Sollecitazioni nel paramento'!$G$58,ABS(K503)*'Sollecitazioni nel paramento'!$G$54,'Sollecitazioni nel paramento'!$G$53)</f>
        <v>0</v>
      </c>
      <c r="F503" s="545">
        <f>-'Foglio deposito bis'!$F$49*(C503-sezione!$AM$29)*IF(ABS(L503)&lt;'Sollecitazioni nel paramento'!$G$58,ABS(L503)*'Sollecitazioni nel paramento'!$G$54,'Sollecitazioni nel paramento'!$G$53)</f>
        <v>12192810.115609953</v>
      </c>
      <c r="G503" s="545">
        <f>-'Foglio deposito bis'!$F$50*(C503-sezione!$AN$29)*IF(ABS(M503)&lt;'Sollecitazioni nel paramento'!$G$58,ABS(M503)*'Sollecitazioni nel paramento'!$G$54,'Sollecitazioni nel paramento'!$G$53)</f>
        <v>0</v>
      </c>
      <c r="H503" s="545">
        <f>-'Foglio deposito bis'!$F$51*(C503-sezione!$AO$29)*IF(ABS(N503)&lt;'Sollecitazioni nel paramento'!$G$58,ABS(N503)*'Sollecitazioni nel paramento'!$G$54,'Sollecitazioni nel paramento'!$G$53)</f>
        <v>38433394.439141631</v>
      </c>
      <c r="I503" s="472">
        <f>-'Foglio deposito bis'!$F$52*(C503-sezione!$AP$29)*IF(ABS(O503)&lt;'Sollecitazioni nel paramento'!$G$58,ABS(O503)*'Sollecitazioni nel paramento'!$G$54,'Sollecitazioni nel paramento'!$G$53)</f>
        <v>77479460.768255442</v>
      </c>
      <c r="J503" s="472">
        <f t="shared" si="38"/>
        <v>128100325.10869364</v>
      </c>
      <c r="K503" s="550">
        <f>'Sollecitazioni nel paramento'!$G$60*(sezione!$AL$29-C503)/C503</f>
        <v>0.2822593865889908</v>
      </c>
      <c r="L503" s="550">
        <f>'Sollecitazioni nel paramento'!$G$60*(sezione!$AM$29-C503)/C503</f>
        <v>0.4251390798834862</v>
      </c>
      <c r="M503" s="551">
        <f>'Sollecitazioni nel paramento'!$G$60*(sezione!$AN$29-C503)/C503</f>
        <v>0.56801877317798166</v>
      </c>
      <c r="N503" s="551">
        <f>'Sollecitazioni nel paramento'!$G$60*(sezione!$AO$29-C503)/C503</f>
        <v>1.1395375463559632</v>
      </c>
      <c r="O503" s="551">
        <f>'Sollecitazioni nel paramento'!$G$60*(sezione!$AP$29-C503)/C503</f>
        <v>2.2972406134110073</v>
      </c>
      <c r="P503" s="545">
        <f>-'Sollecitazioni nel paramento'!$G$47*'Sollecitazioni nel paramento'!$G$41*IF(DATI!$G$211="dx",DATI!$E$61,DATI!$E$64*DATI!$E$63)*1000*C503*sezione!$AD$5</f>
        <v>-18664.583738315883</v>
      </c>
      <c r="Q503" s="545">
        <f>'Foglio deposito bis'!$F$48*IF(ABS(K503)&lt;'Sollecitazioni nel paramento'!$G$58,ABS(K503)*'Sollecitazioni nel paramento'!$G$54,'Sollecitazioni nel paramento'!$G$53)*IF(K503&lt;0,-1,1)</f>
        <v>0</v>
      </c>
      <c r="R503" s="545">
        <f>'Foglio deposito bis'!$F$49*IF(ABS(L503)&lt;'Sollecitazioni nel paramento'!$G$58,ABS(L503)*'Sollecitazioni nel paramento'!$G$54,'Sollecitazioni nel paramento'!$G$53)*IF(L503&lt;0,-1,1)</f>
        <v>204886.47740803001</v>
      </c>
      <c r="S503" s="545">
        <f>'Foglio deposito bis'!$F$50*IF(ABS(M503)&lt;'Sollecitazioni nel paramento'!$G$58,ABS(M503)*'Sollecitazioni nel paramento'!$G$54,'Sollecitazioni nel paramento'!$G$53)*IF(M503&lt;0,-1,1)</f>
        <v>0</v>
      </c>
      <c r="T503" s="545">
        <f>'Foglio deposito bis'!$F$51*IF(ABS(N503)&lt;'Sollecitazioni nel paramento'!$G$58,ABS(N503)*'Sollecitazioni nel paramento'!$G$54,'Sollecitazioni nel paramento'!$G$53)*IF(N503&lt;0,-1,1)</f>
        <v>240946.49743184328</v>
      </c>
      <c r="U503" s="545">
        <f>'Foglio deposito bis'!$F$52*IF(ABS(O503)&lt;'Sollecitazioni nel paramento'!$G$58,ABS(O503)*'Sollecitazioni nel paramento'!$G$54,'Sollecitazioni nel paramento'!$G$53)*IF(O503&lt;0,-1,1)</f>
        <v>240946.49743184328</v>
      </c>
      <c r="V503" s="472">
        <f t="shared" si="39"/>
        <v>668114.88853340072</v>
      </c>
      <c r="W503" s="551"/>
      <c r="X503" s="551"/>
    </row>
    <row r="504" spans="1:24" x14ac:dyDescent="0.25">
      <c r="A504" s="545">
        <f t="shared" si="40"/>
        <v>658782.5966642428</v>
      </c>
      <c r="B504" s="3">
        <f t="shared" si="41"/>
        <v>0.15000000000000002</v>
      </c>
      <c r="C504" s="545">
        <f>'Foglio deposito bis'!$E$155/sezione!$B$247*B504</f>
        <v>0.7348839963113587</v>
      </c>
      <c r="D504" s="603">
        <f>-'Sollecitazioni nel paramento'!$G$47*'Sollecitazioni nel paramento'!$G$41*IF(DATI!$G$211="dx",DATI!$E$61,DATI!$E$64*DATI!$E$63)*1000*C504^2*sezione!$AD$5*(1-sezione!$AD$6)</f>
        <v>-12015.482205100983</v>
      </c>
      <c r="E504" s="545">
        <f>-'Foglio deposito bis'!$F$48*(C504-sezione!$AL$29)*IF(ABS(K504)&lt;'Sollecitazioni nel paramento'!$G$58,ABS(K504)*'Sollecitazioni nel paramento'!$G$54,'Sollecitazioni nel paramento'!$G$53)</f>
        <v>0</v>
      </c>
      <c r="F504" s="545">
        <f>-'Foglio deposito bis'!$F$49*(C504-sezione!$AM$29)*IF(ABS(L504)&lt;'Sollecitazioni nel paramento'!$G$58,ABS(L504)*'Sollecitazioni nel paramento'!$G$54,'Sollecitazioni nel paramento'!$G$53)</f>
        <v>12142620.85117403</v>
      </c>
      <c r="G504" s="545">
        <f>-'Foglio deposito bis'!$F$50*(C504-sezione!$AN$29)*IF(ABS(M504)&lt;'Sollecitazioni nel paramento'!$G$58,ABS(M504)*'Sollecitazioni nel paramento'!$G$54,'Sollecitazioni nel paramento'!$G$53)</f>
        <v>0</v>
      </c>
      <c r="H504" s="545">
        <f>-'Foglio deposito bis'!$F$51*(C504-sezione!$AO$29)*IF(ABS(N504)&lt;'Sollecitazioni nel paramento'!$G$58,ABS(N504)*'Sollecitazioni nel paramento'!$G$54,'Sollecitazioni nel paramento'!$G$53)</f>
        <v>38374371.864164986</v>
      </c>
      <c r="I504" s="472">
        <f>-'Foglio deposito bis'!$F$52*(C504-sezione!$AP$29)*IF(ABS(O504)&lt;'Sollecitazioni nel paramento'!$G$58,ABS(O504)*'Sollecitazioni nel paramento'!$G$54,'Sollecitazioni nel paramento'!$G$53)</f>
        <v>77420438.193278804</v>
      </c>
      <c r="J504" s="472">
        <f t="shared" si="38"/>
        <v>127925415.42641272</v>
      </c>
      <c r="K504" s="550">
        <f>'Sollecitazioni nel paramento'!$G$60*(sezione!$AL$29-C504)/C504</f>
        <v>0.18700625772599383</v>
      </c>
      <c r="L504" s="550">
        <f>'Sollecitazioni nel paramento'!$G$60*(sezione!$AM$29-C504)/C504</f>
        <v>0.28225938658899075</v>
      </c>
      <c r="M504" s="551">
        <f>'Sollecitazioni nel paramento'!$G$60*(sezione!$AN$29-C504)/C504</f>
        <v>0.37751251545198772</v>
      </c>
      <c r="N504" s="551">
        <f>'Sollecitazioni nel paramento'!$G$60*(sezione!$AO$29-C504)/C504</f>
        <v>0.75852503090397538</v>
      </c>
      <c r="O504" s="551">
        <f>'Sollecitazioni nel paramento'!$G$60*(sezione!$AP$29-C504)/C504</f>
        <v>1.5303270756073382</v>
      </c>
      <c r="P504" s="545">
        <f>-'Sollecitazioni nel paramento'!$G$47*'Sollecitazioni nel paramento'!$G$41*IF(DATI!$G$211="dx",DATI!$E$61,DATI!$E$64*DATI!$E$63)*1000*C504*sezione!$AD$5</f>
        <v>-27996.87560747383</v>
      </c>
      <c r="Q504" s="545">
        <f>'Foglio deposito bis'!$F$48*IF(ABS(K504)&lt;'Sollecitazioni nel paramento'!$G$58,ABS(K504)*'Sollecitazioni nel paramento'!$G$54,'Sollecitazioni nel paramento'!$G$53)*IF(K504&lt;0,-1,1)</f>
        <v>0</v>
      </c>
      <c r="R504" s="545">
        <f>'Foglio deposito bis'!$F$49*IF(ABS(L504)&lt;'Sollecitazioni nel paramento'!$G$58,ABS(L504)*'Sollecitazioni nel paramento'!$G$54,'Sollecitazioni nel paramento'!$G$53)*IF(L504&lt;0,-1,1)</f>
        <v>204886.47740803001</v>
      </c>
      <c r="S504" s="545">
        <f>'Foglio deposito bis'!$F$50*IF(ABS(M504)&lt;'Sollecitazioni nel paramento'!$G$58,ABS(M504)*'Sollecitazioni nel paramento'!$G$54,'Sollecitazioni nel paramento'!$G$53)*IF(M504&lt;0,-1,1)</f>
        <v>0</v>
      </c>
      <c r="T504" s="545">
        <f>'Foglio deposito bis'!$F$51*IF(ABS(N504)&lt;'Sollecitazioni nel paramento'!$G$58,ABS(N504)*'Sollecitazioni nel paramento'!$G$54,'Sollecitazioni nel paramento'!$G$53)*IF(N504&lt;0,-1,1)</f>
        <v>240946.49743184328</v>
      </c>
      <c r="U504" s="545">
        <f>'Foglio deposito bis'!$F$52*IF(ABS(O504)&lt;'Sollecitazioni nel paramento'!$G$58,ABS(O504)*'Sollecitazioni nel paramento'!$G$54,'Sollecitazioni nel paramento'!$G$53)*IF(O504&lt;0,-1,1)</f>
        <v>240946.49743184328</v>
      </c>
      <c r="V504" s="472">
        <f t="shared" si="39"/>
        <v>658782.5966642428</v>
      </c>
      <c r="W504" s="551"/>
      <c r="X504" s="551"/>
    </row>
    <row r="505" spans="1:24" x14ac:dyDescent="0.25">
      <c r="A505" s="545">
        <f t="shared" si="40"/>
        <v>649450.30479508487</v>
      </c>
      <c r="B505" s="3">
        <f t="shared" si="41"/>
        <v>0.2</v>
      </c>
      <c r="C505" s="545">
        <f>'Foglio deposito bis'!$E$155/sezione!$B$247*B505</f>
        <v>0.97984532841514482</v>
      </c>
      <c r="D505" s="603">
        <f>-'Sollecitazioni nel paramento'!$G$47*'Sollecitazioni nel paramento'!$G$41*IF(DATI!$G$211="dx",DATI!$E$61,DATI!$E$64*DATI!$E$63)*1000*C505^2*sezione!$AD$5*(1-sezione!$AD$6)</f>
        <v>-21360.857253512851</v>
      </c>
      <c r="E505" s="545">
        <f>-'Foglio deposito bis'!$F$48*(C505-sezione!$AL$29)*IF(ABS(K505)&lt;'Sollecitazioni nel paramento'!$G$58,ABS(K505)*'Sollecitazioni nel paramento'!$G$54,'Sollecitazioni nel paramento'!$G$53)</f>
        <v>0</v>
      </c>
      <c r="F505" s="545">
        <f>-'Foglio deposito bis'!$F$49*(C505-sezione!$AM$29)*IF(ABS(L505)&lt;'Sollecitazioni nel paramento'!$G$58,ABS(L505)*'Sollecitazioni nel paramento'!$G$54,'Sollecitazioni nel paramento'!$G$53)</f>
        <v>12092431.586738108</v>
      </c>
      <c r="G505" s="545">
        <f>-'Foglio deposito bis'!$F$50*(C505-sezione!$AN$29)*IF(ABS(M505)&lt;'Sollecitazioni nel paramento'!$G$58,ABS(M505)*'Sollecitazioni nel paramento'!$G$54,'Sollecitazioni nel paramento'!$G$53)</f>
        <v>0</v>
      </c>
      <c r="H505" s="545">
        <f>-'Foglio deposito bis'!$F$51*(C505-sezione!$AO$29)*IF(ABS(N505)&lt;'Sollecitazioni nel paramento'!$G$58,ABS(N505)*'Sollecitazioni nel paramento'!$G$54,'Sollecitazioni nel paramento'!$G$53)</f>
        <v>38315349.28918834</v>
      </c>
      <c r="I505" s="472">
        <f>-'Foglio deposito bis'!$F$52*(C505-sezione!$AP$29)*IF(ABS(O505)&lt;'Sollecitazioni nel paramento'!$G$58,ABS(O505)*'Sollecitazioni nel paramento'!$G$54,'Sollecitazioni nel paramento'!$G$53)</f>
        <v>77361415.618302152</v>
      </c>
      <c r="J505" s="472">
        <f t="shared" si="38"/>
        <v>127747835.63697508</v>
      </c>
      <c r="K505" s="550">
        <f>'Sollecitazioni nel paramento'!$G$60*(sezione!$AL$29-C505)/C505</f>
        <v>0.1393796932944954</v>
      </c>
      <c r="L505" s="550">
        <f>'Sollecitazioni nel paramento'!$G$60*(sezione!$AM$29-C505)/C505</f>
        <v>0.2108195399417431</v>
      </c>
      <c r="M505" s="551">
        <f>'Sollecitazioni nel paramento'!$G$60*(sezione!$AN$29-C505)/C505</f>
        <v>0.2822593865889908</v>
      </c>
      <c r="N505" s="551">
        <f>'Sollecitazioni nel paramento'!$G$60*(sezione!$AO$29-C505)/C505</f>
        <v>0.56801877317798166</v>
      </c>
      <c r="O505" s="551">
        <f>'Sollecitazioni nel paramento'!$G$60*(sezione!$AP$29-C505)/C505</f>
        <v>1.1468703067055037</v>
      </c>
      <c r="P505" s="545">
        <f>-'Sollecitazioni nel paramento'!$G$47*'Sollecitazioni nel paramento'!$G$41*IF(DATI!$G$211="dx",DATI!$E$61,DATI!$E$64*DATI!$E$63)*1000*C505*sezione!$AD$5</f>
        <v>-37329.167476631766</v>
      </c>
      <c r="Q505" s="545">
        <f>'Foglio deposito bis'!$F$48*IF(ABS(K505)&lt;'Sollecitazioni nel paramento'!$G$58,ABS(K505)*'Sollecitazioni nel paramento'!$G$54,'Sollecitazioni nel paramento'!$G$53)*IF(K505&lt;0,-1,1)</f>
        <v>0</v>
      </c>
      <c r="R505" s="545">
        <f>'Foglio deposito bis'!$F$49*IF(ABS(L505)&lt;'Sollecitazioni nel paramento'!$G$58,ABS(L505)*'Sollecitazioni nel paramento'!$G$54,'Sollecitazioni nel paramento'!$G$53)*IF(L505&lt;0,-1,1)</f>
        <v>204886.47740803001</v>
      </c>
      <c r="S505" s="545">
        <f>'Foglio deposito bis'!$F$50*IF(ABS(M505)&lt;'Sollecitazioni nel paramento'!$G$58,ABS(M505)*'Sollecitazioni nel paramento'!$G$54,'Sollecitazioni nel paramento'!$G$53)*IF(M505&lt;0,-1,1)</f>
        <v>0</v>
      </c>
      <c r="T505" s="545">
        <f>'Foglio deposito bis'!$F$51*IF(ABS(N505)&lt;'Sollecitazioni nel paramento'!$G$58,ABS(N505)*'Sollecitazioni nel paramento'!$G$54,'Sollecitazioni nel paramento'!$G$53)*IF(N505&lt;0,-1,1)</f>
        <v>240946.49743184328</v>
      </c>
      <c r="U505" s="545">
        <f>'Foglio deposito bis'!$F$52*IF(ABS(O505)&lt;'Sollecitazioni nel paramento'!$G$58,ABS(O505)*'Sollecitazioni nel paramento'!$G$54,'Sollecitazioni nel paramento'!$G$53)*IF(O505&lt;0,-1,1)</f>
        <v>240946.49743184328</v>
      </c>
      <c r="V505" s="472">
        <f t="shared" si="39"/>
        <v>649450.30479508487</v>
      </c>
      <c r="W505" s="551"/>
      <c r="X505" s="551"/>
    </row>
    <row r="506" spans="1:24" x14ac:dyDescent="0.25">
      <c r="A506" s="545">
        <f t="shared" si="40"/>
        <v>640118.01292592695</v>
      </c>
      <c r="B506" s="3">
        <f t="shared" si="41"/>
        <v>0.25</v>
      </c>
      <c r="C506" s="545">
        <f>'Foglio deposito bis'!$E$155/sezione!$B$247*B506</f>
        <v>1.2248066605189309</v>
      </c>
      <c r="D506" s="603">
        <f>-'Sollecitazioni nel paramento'!$G$47*'Sollecitazioni nel paramento'!$G$41*IF(DATI!$G$211="dx",DATI!$E$61,DATI!$E$64*DATI!$E$63)*1000*C506^2*sezione!$AD$5*(1-sezione!$AD$6)</f>
        <v>-33376.339458613831</v>
      </c>
      <c r="E506" s="545">
        <f>-'Foglio deposito bis'!$F$48*(C506-sezione!$AL$29)*IF(ABS(K506)&lt;'Sollecitazioni nel paramento'!$G$58,ABS(K506)*'Sollecitazioni nel paramento'!$G$54,'Sollecitazioni nel paramento'!$G$53)</f>
        <v>0</v>
      </c>
      <c r="F506" s="545">
        <f>-'Foglio deposito bis'!$F$49*(C506-sezione!$AM$29)*IF(ABS(L506)&lt;'Sollecitazioni nel paramento'!$G$58,ABS(L506)*'Sollecitazioni nel paramento'!$G$54,'Sollecitazioni nel paramento'!$G$53)</f>
        <v>12042242.322302185</v>
      </c>
      <c r="G506" s="545">
        <f>-'Foglio deposito bis'!$F$50*(C506-sezione!$AN$29)*IF(ABS(M506)&lt;'Sollecitazioni nel paramento'!$G$58,ABS(M506)*'Sollecitazioni nel paramento'!$G$54,'Sollecitazioni nel paramento'!$G$53)</f>
        <v>0</v>
      </c>
      <c r="H506" s="545">
        <f>-'Foglio deposito bis'!$F$51*(C506-sezione!$AO$29)*IF(ABS(N506)&lt;'Sollecitazioni nel paramento'!$G$58,ABS(N506)*'Sollecitazioni nel paramento'!$G$54,'Sollecitazioni nel paramento'!$G$53)</f>
        <v>38256326.714211687</v>
      </c>
      <c r="I506" s="472">
        <f>-'Foglio deposito bis'!$F$52*(C506-sezione!$AP$29)*IF(ABS(O506)&lt;'Sollecitazioni nel paramento'!$G$58,ABS(O506)*'Sollecitazioni nel paramento'!$G$54,'Sollecitazioni nel paramento'!$G$53)</f>
        <v>77302393.043325499</v>
      </c>
      <c r="J506" s="472">
        <f t="shared" si="38"/>
        <v>127567585.74038076</v>
      </c>
      <c r="K506" s="550">
        <f>'Sollecitazioni nel paramento'!$G$60*(sezione!$AL$29-C506)/C506</f>
        <v>0.11080375463559633</v>
      </c>
      <c r="L506" s="550">
        <f>'Sollecitazioni nel paramento'!$G$60*(sezione!$AM$29-C506)/C506</f>
        <v>0.1679556319533945</v>
      </c>
      <c r="M506" s="551">
        <f>'Sollecitazioni nel paramento'!$G$60*(sezione!$AN$29-C506)/C506</f>
        <v>0.22510750927119264</v>
      </c>
      <c r="N506" s="551">
        <f>'Sollecitazioni nel paramento'!$G$60*(sezione!$AO$29-C506)/C506</f>
        <v>0.45371501854238527</v>
      </c>
      <c r="O506" s="551">
        <f>'Sollecitazioni nel paramento'!$G$60*(sezione!$AP$29-C506)/C506</f>
        <v>0.91679624536440296</v>
      </c>
      <c r="P506" s="545">
        <f>-'Sollecitazioni nel paramento'!$G$47*'Sollecitazioni nel paramento'!$G$41*IF(DATI!$G$211="dx",DATI!$E$61,DATI!$E$64*DATI!$E$63)*1000*C506*sezione!$AD$5</f>
        <v>-46661.459345789699</v>
      </c>
      <c r="Q506" s="545">
        <f>'Foglio deposito bis'!$F$48*IF(ABS(K506)&lt;'Sollecitazioni nel paramento'!$G$58,ABS(K506)*'Sollecitazioni nel paramento'!$G$54,'Sollecitazioni nel paramento'!$G$53)*IF(K506&lt;0,-1,1)</f>
        <v>0</v>
      </c>
      <c r="R506" s="545">
        <f>'Foglio deposito bis'!$F$49*IF(ABS(L506)&lt;'Sollecitazioni nel paramento'!$G$58,ABS(L506)*'Sollecitazioni nel paramento'!$G$54,'Sollecitazioni nel paramento'!$G$53)*IF(L506&lt;0,-1,1)</f>
        <v>204886.47740803001</v>
      </c>
      <c r="S506" s="545">
        <f>'Foglio deposito bis'!$F$50*IF(ABS(M506)&lt;'Sollecitazioni nel paramento'!$G$58,ABS(M506)*'Sollecitazioni nel paramento'!$G$54,'Sollecitazioni nel paramento'!$G$53)*IF(M506&lt;0,-1,1)</f>
        <v>0</v>
      </c>
      <c r="T506" s="545">
        <f>'Foglio deposito bis'!$F$51*IF(ABS(N506)&lt;'Sollecitazioni nel paramento'!$G$58,ABS(N506)*'Sollecitazioni nel paramento'!$G$54,'Sollecitazioni nel paramento'!$G$53)*IF(N506&lt;0,-1,1)</f>
        <v>240946.49743184328</v>
      </c>
      <c r="U506" s="545">
        <f>'Foglio deposito bis'!$F$52*IF(ABS(O506)&lt;'Sollecitazioni nel paramento'!$G$58,ABS(O506)*'Sollecitazioni nel paramento'!$G$54,'Sollecitazioni nel paramento'!$G$53)*IF(O506&lt;0,-1,1)</f>
        <v>240946.49743184328</v>
      </c>
      <c r="V506" s="472">
        <f t="shared" si="39"/>
        <v>640118.01292592695</v>
      </c>
      <c r="W506" s="551"/>
      <c r="X506" s="551"/>
    </row>
    <row r="507" spans="1:24" x14ac:dyDescent="0.25">
      <c r="A507" s="545">
        <f t="shared" si="40"/>
        <v>630785.7210567689</v>
      </c>
      <c r="B507" s="3">
        <f t="shared" si="41"/>
        <v>0.3</v>
      </c>
      <c r="C507" s="545">
        <f>'Foglio deposito bis'!$E$155/sezione!$B$247*B507</f>
        <v>1.4697679926227172</v>
      </c>
      <c r="D507" s="603">
        <f>-'Sollecitazioni nel paramento'!$G$47*'Sollecitazioni nel paramento'!$G$41*IF(DATI!$G$211="dx",DATI!$E$61,DATI!$E$64*DATI!$E$63)*1000*C507^2*sezione!$AD$5*(1-sezione!$AD$6)</f>
        <v>-48061.928820403911</v>
      </c>
      <c r="E507" s="545">
        <f>-'Foglio deposito bis'!$F$48*(C507-sezione!$AL$29)*IF(ABS(K507)&lt;'Sollecitazioni nel paramento'!$G$58,ABS(K507)*'Sollecitazioni nel paramento'!$G$54,'Sollecitazioni nel paramento'!$G$53)</f>
        <v>0</v>
      </c>
      <c r="F507" s="545">
        <f>-'Foglio deposito bis'!$F$49*(C507-sezione!$AM$29)*IF(ABS(L507)&lt;'Sollecitazioni nel paramento'!$G$58,ABS(L507)*'Sollecitazioni nel paramento'!$G$54,'Sollecitazioni nel paramento'!$G$53)</f>
        <v>11992053.05786626</v>
      </c>
      <c r="G507" s="545">
        <f>-'Foglio deposito bis'!$F$50*(C507-sezione!$AN$29)*IF(ABS(M507)&lt;'Sollecitazioni nel paramento'!$G$58,ABS(M507)*'Sollecitazioni nel paramento'!$G$54,'Sollecitazioni nel paramento'!$G$53)</f>
        <v>0</v>
      </c>
      <c r="H507" s="545">
        <f>-'Foglio deposito bis'!$F$51*(C507-sezione!$AO$29)*IF(ABS(N507)&lt;'Sollecitazioni nel paramento'!$G$58,ABS(N507)*'Sollecitazioni nel paramento'!$G$54,'Sollecitazioni nel paramento'!$G$53)</f>
        <v>38197304.139235049</v>
      </c>
      <c r="I507" s="472">
        <f>-'Foglio deposito bis'!$F$52*(C507-sezione!$AP$29)*IF(ABS(O507)&lt;'Sollecitazioni nel paramento'!$G$58,ABS(O507)*'Sollecitazioni nel paramento'!$G$54,'Sollecitazioni nel paramento'!$G$53)</f>
        <v>77243370.468348861</v>
      </c>
      <c r="J507" s="472">
        <f t="shared" si="38"/>
        <v>127384665.73662977</v>
      </c>
      <c r="K507" s="550">
        <f>'Sollecitazioni nel paramento'!$G$60*(sezione!$AL$29-C507)/C507</f>
        <v>9.1753128862996941E-2</v>
      </c>
      <c r="L507" s="550">
        <f>'Sollecitazioni nel paramento'!$G$60*(sezione!$AM$29-C507)/C507</f>
        <v>0.1393796932944954</v>
      </c>
      <c r="M507" s="551">
        <f>'Sollecitazioni nel paramento'!$G$60*(sezione!$AN$29-C507)/C507</f>
        <v>0.18700625772599386</v>
      </c>
      <c r="N507" s="551">
        <f>'Sollecitazioni nel paramento'!$G$60*(sezione!$AO$29-C507)/C507</f>
        <v>0.37751251545198777</v>
      </c>
      <c r="O507" s="551">
        <f>'Sollecitazioni nel paramento'!$G$60*(sezione!$AP$29-C507)/C507</f>
        <v>0.76341353780366916</v>
      </c>
      <c r="P507" s="545">
        <f>-'Sollecitazioni nel paramento'!$G$47*'Sollecitazioni nel paramento'!$G$41*IF(DATI!$G$211="dx",DATI!$E$61,DATI!$E$64*DATI!$E$63)*1000*C507*sezione!$AD$5</f>
        <v>-55993.751214947646</v>
      </c>
      <c r="Q507" s="545">
        <f>'Foglio deposito bis'!$F$48*IF(ABS(K507)&lt;'Sollecitazioni nel paramento'!$G$58,ABS(K507)*'Sollecitazioni nel paramento'!$G$54,'Sollecitazioni nel paramento'!$G$53)*IF(K507&lt;0,-1,1)</f>
        <v>0</v>
      </c>
      <c r="R507" s="545">
        <f>'Foglio deposito bis'!$F$49*IF(ABS(L507)&lt;'Sollecitazioni nel paramento'!$G$58,ABS(L507)*'Sollecitazioni nel paramento'!$G$54,'Sollecitazioni nel paramento'!$G$53)*IF(L507&lt;0,-1,1)</f>
        <v>204886.47740803001</v>
      </c>
      <c r="S507" s="545">
        <f>'Foglio deposito bis'!$F$50*IF(ABS(M507)&lt;'Sollecitazioni nel paramento'!$G$58,ABS(M507)*'Sollecitazioni nel paramento'!$G$54,'Sollecitazioni nel paramento'!$G$53)*IF(M507&lt;0,-1,1)</f>
        <v>0</v>
      </c>
      <c r="T507" s="545">
        <f>'Foglio deposito bis'!$F$51*IF(ABS(N507)&lt;'Sollecitazioni nel paramento'!$G$58,ABS(N507)*'Sollecitazioni nel paramento'!$G$54,'Sollecitazioni nel paramento'!$G$53)*IF(N507&lt;0,-1,1)</f>
        <v>240946.49743184328</v>
      </c>
      <c r="U507" s="545">
        <f>'Foglio deposito bis'!$F$52*IF(ABS(O507)&lt;'Sollecitazioni nel paramento'!$G$58,ABS(O507)*'Sollecitazioni nel paramento'!$G$54,'Sollecitazioni nel paramento'!$G$53)*IF(O507&lt;0,-1,1)</f>
        <v>240946.49743184328</v>
      </c>
      <c r="V507" s="472">
        <f t="shared" si="39"/>
        <v>630785.7210567689</v>
      </c>
      <c r="W507" s="551"/>
      <c r="X507" s="551"/>
    </row>
    <row r="508" spans="1:24" x14ac:dyDescent="0.25">
      <c r="A508" s="545">
        <f t="shared" si="40"/>
        <v>621453.42918761098</v>
      </c>
      <c r="B508" s="3">
        <f t="shared" si="41"/>
        <v>0.35</v>
      </c>
      <c r="C508" s="545">
        <f>'Foglio deposito bis'!$E$155/sezione!$B$247*B508</f>
        <v>1.7147293247265032</v>
      </c>
      <c r="D508" s="603">
        <f>-'Sollecitazioni nel paramento'!$G$47*'Sollecitazioni nel paramento'!$G$41*IF(DATI!$G$211="dx",DATI!$E$61,DATI!$E$64*DATI!$E$63)*1000*C508^2*sezione!$AD$5*(1-sezione!$AD$6)</f>
        <v>-65417.625338883103</v>
      </c>
      <c r="E508" s="545">
        <f>-'Foglio deposito bis'!$F$48*(C508-sezione!$AL$29)*IF(ABS(K508)&lt;'Sollecitazioni nel paramento'!$G$58,ABS(K508)*'Sollecitazioni nel paramento'!$G$54,'Sollecitazioni nel paramento'!$G$53)</f>
        <v>0</v>
      </c>
      <c r="F508" s="545">
        <f>-'Foglio deposito bis'!$F$49*(C508-sezione!$AM$29)*IF(ABS(L508)&lt;'Sollecitazioni nel paramento'!$G$58,ABS(L508)*'Sollecitazioni nel paramento'!$G$54,'Sollecitazioni nel paramento'!$G$53)</f>
        <v>11941863.793430336</v>
      </c>
      <c r="G508" s="545">
        <f>-'Foglio deposito bis'!$F$50*(C508-sezione!$AN$29)*IF(ABS(M508)&lt;'Sollecitazioni nel paramento'!$G$58,ABS(M508)*'Sollecitazioni nel paramento'!$G$54,'Sollecitazioni nel paramento'!$G$53)</f>
        <v>0</v>
      </c>
      <c r="H508" s="545">
        <f>-'Foglio deposito bis'!$F$51*(C508-sezione!$AO$29)*IF(ABS(N508)&lt;'Sollecitazioni nel paramento'!$G$58,ABS(N508)*'Sollecitazioni nel paramento'!$G$54,'Sollecitazioni nel paramento'!$G$53)</f>
        <v>38138281.564258404</v>
      </c>
      <c r="I508" s="472">
        <f>-'Foglio deposito bis'!$F$52*(C508-sezione!$AP$29)*IF(ABS(O508)&lt;'Sollecitazioni nel paramento'!$G$58,ABS(O508)*'Sollecitazioni nel paramento'!$G$54,'Sollecitazioni nel paramento'!$G$53)</f>
        <v>77184347.893372223</v>
      </c>
      <c r="J508" s="472">
        <f t="shared" si="38"/>
        <v>127199075.62572208</v>
      </c>
      <c r="K508" s="550">
        <f>'Sollecitazioni nel paramento'!$G$60*(sezione!$AL$29-C508)/C508</f>
        <v>7.8145539025425939E-2</v>
      </c>
      <c r="L508" s="550">
        <f>'Sollecitazioni nel paramento'!$G$60*(sezione!$AM$29-C508)/C508</f>
        <v>0.11896830853813892</v>
      </c>
      <c r="M508" s="551">
        <f>'Sollecitazioni nel paramento'!$G$60*(sezione!$AN$29-C508)/C508</f>
        <v>0.15979107805085191</v>
      </c>
      <c r="N508" s="551">
        <f>'Sollecitazioni nel paramento'!$G$60*(sezione!$AO$29-C508)/C508</f>
        <v>0.32308215610170382</v>
      </c>
      <c r="O508" s="551">
        <f>'Sollecitazioni nel paramento'!$G$60*(sezione!$AP$29-C508)/C508</f>
        <v>0.65385446097457367</v>
      </c>
      <c r="P508" s="545">
        <f>-'Sollecitazioni nel paramento'!$G$47*'Sollecitazioni nel paramento'!$G$41*IF(DATI!$G$211="dx",DATI!$E$61,DATI!$E$64*DATI!$E$63)*1000*C508*sezione!$AD$5</f>
        <v>-65326.043084105571</v>
      </c>
      <c r="Q508" s="545">
        <f>'Foglio deposito bis'!$F$48*IF(ABS(K508)&lt;'Sollecitazioni nel paramento'!$G$58,ABS(K508)*'Sollecitazioni nel paramento'!$G$54,'Sollecitazioni nel paramento'!$G$53)*IF(K508&lt;0,-1,1)</f>
        <v>0</v>
      </c>
      <c r="R508" s="545">
        <f>'Foglio deposito bis'!$F$49*IF(ABS(L508)&lt;'Sollecitazioni nel paramento'!$G$58,ABS(L508)*'Sollecitazioni nel paramento'!$G$54,'Sollecitazioni nel paramento'!$G$53)*IF(L508&lt;0,-1,1)</f>
        <v>204886.47740803001</v>
      </c>
      <c r="S508" s="545">
        <f>'Foglio deposito bis'!$F$50*IF(ABS(M508)&lt;'Sollecitazioni nel paramento'!$G$58,ABS(M508)*'Sollecitazioni nel paramento'!$G$54,'Sollecitazioni nel paramento'!$G$53)*IF(M508&lt;0,-1,1)</f>
        <v>0</v>
      </c>
      <c r="T508" s="545">
        <f>'Foglio deposito bis'!$F$51*IF(ABS(N508)&lt;'Sollecitazioni nel paramento'!$G$58,ABS(N508)*'Sollecitazioni nel paramento'!$G$54,'Sollecitazioni nel paramento'!$G$53)*IF(N508&lt;0,-1,1)</f>
        <v>240946.49743184328</v>
      </c>
      <c r="U508" s="545">
        <f>'Foglio deposito bis'!$F$52*IF(ABS(O508)&lt;'Sollecitazioni nel paramento'!$G$58,ABS(O508)*'Sollecitazioni nel paramento'!$G$54,'Sollecitazioni nel paramento'!$G$53)*IF(O508&lt;0,-1,1)</f>
        <v>240946.49743184328</v>
      </c>
      <c r="V508" s="472">
        <f t="shared" si="39"/>
        <v>621453.42918761098</v>
      </c>
      <c r="W508" s="551"/>
      <c r="X508" s="551"/>
    </row>
    <row r="509" spans="1:24" x14ac:dyDescent="0.25">
      <c r="A509" s="545">
        <f t="shared" si="40"/>
        <v>612121.13731845305</v>
      </c>
      <c r="B509" s="3">
        <f t="shared" si="41"/>
        <v>0.39999999999999997</v>
      </c>
      <c r="C509" s="545">
        <f>'Foglio deposito bis'!$E$155/sezione!$B$247*B509</f>
        <v>1.9596906568302894</v>
      </c>
      <c r="D509" s="603">
        <f>-'Sollecitazioni nel paramento'!$G$47*'Sollecitazioni nel paramento'!$G$41*IF(DATI!$G$211="dx",DATI!$E$61,DATI!$E$64*DATI!$E$63)*1000*C509^2*sezione!$AD$5*(1-sezione!$AD$6)</f>
        <v>-85443.429014051391</v>
      </c>
      <c r="E509" s="545">
        <f>-'Foglio deposito bis'!$F$48*(C509-sezione!$AL$29)*IF(ABS(K509)&lt;'Sollecitazioni nel paramento'!$G$58,ABS(K509)*'Sollecitazioni nel paramento'!$G$54,'Sollecitazioni nel paramento'!$G$53)</f>
        <v>0</v>
      </c>
      <c r="F509" s="545">
        <f>-'Foglio deposito bis'!$F$49*(C509-sezione!$AM$29)*IF(ABS(L509)&lt;'Sollecitazioni nel paramento'!$G$58,ABS(L509)*'Sollecitazioni nel paramento'!$G$54,'Sollecitazioni nel paramento'!$G$53)</f>
        <v>11891674.528994413</v>
      </c>
      <c r="G509" s="545">
        <f>-'Foglio deposito bis'!$F$50*(C509-sezione!$AN$29)*IF(ABS(M509)&lt;'Sollecitazioni nel paramento'!$G$58,ABS(M509)*'Sollecitazioni nel paramento'!$G$54,'Sollecitazioni nel paramento'!$G$53)</f>
        <v>0</v>
      </c>
      <c r="H509" s="545">
        <f>-'Foglio deposito bis'!$F$51*(C509-sezione!$AO$29)*IF(ABS(N509)&lt;'Sollecitazioni nel paramento'!$G$58,ABS(N509)*'Sollecitazioni nel paramento'!$G$54,'Sollecitazioni nel paramento'!$G$53)</f>
        <v>38079258.989281759</v>
      </c>
      <c r="I509" s="472">
        <f>-'Foglio deposito bis'!$F$52*(C509-sezione!$AP$29)*IF(ABS(O509)&lt;'Sollecitazioni nel paramento'!$G$58,ABS(O509)*'Sollecitazioni nel paramento'!$G$54,'Sollecitazioni nel paramento'!$G$53)</f>
        <v>77125325.31839557</v>
      </c>
      <c r="J509" s="472">
        <f t="shared" si="38"/>
        <v>127010815.40765768</v>
      </c>
      <c r="K509" s="550">
        <f>'Sollecitazioni nel paramento'!$G$60*(sezione!$AL$29-C509)/C509</f>
        <v>6.7939846647247698E-2</v>
      </c>
      <c r="L509" s="550">
        <f>'Sollecitazioni nel paramento'!$G$60*(sezione!$AM$29-C509)/C509</f>
        <v>0.10365976997087155</v>
      </c>
      <c r="M509" s="551">
        <f>'Sollecitazioni nel paramento'!$G$60*(sezione!$AN$29-C509)/C509</f>
        <v>0.1393796932944954</v>
      </c>
      <c r="N509" s="551">
        <f>'Sollecitazioni nel paramento'!$G$60*(sezione!$AO$29-C509)/C509</f>
        <v>0.28225938658899086</v>
      </c>
      <c r="O509" s="551">
        <f>'Sollecitazioni nel paramento'!$G$60*(sezione!$AP$29-C509)/C509</f>
        <v>0.57168515335275194</v>
      </c>
      <c r="P509" s="545">
        <f>-'Sollecitazioni nel paramento'!$G$47*'Sollecitazioni nel paramento'!$G$41*IF(DATI!$G$211="dx",DATI!$E$61,DATI!$E$64*DATI!$E$63)*1000*C509*sezione!$AD$5</f>
        <v>-74658.334953263533</v>
      </c>
      <c r="Q509" s="545">
        <f>'Foglio deposito bis'!$F$48*IF(ABS(K509)&lt;'Sollecitazioni nel paramento'!$G$58,ABS(K509)*'Sollecitazioni nel paramento'!$G$54,'Sollecitazioni nel paramento'!$G$53)*IF(K509&lt;0,-1,1)</f>
        <v>0</v>
      </c>
      <c r="R509" s="545">
        <f>'Foglio deposito bis'!$F$49*IF(ABS(L509)&lt;'Sollecitazioni nel paramento'!$G$58,ABS(L509)*'Sollecitazioni nel paramento'!$G$54,'Sollecitazioni nel paramento'!$G$53)*IF(L509&lt;0,-1,1)</f>
        <v>204886.47740803001</v>
      </c>
      <c r="S509" s="545">
        <f>'Foglio deposito bis'!$F$50*IF(ABS(M509)&lt;'Sollecitazioni nel paramento'!$G$58,ABS(M509)*'Sollecitazioni nel paramento'!$G$54,'Sollecitazioni nel paramento'!$G$53)*IF(M509&lt;0,-1,1)</f>
        <v>0</v>
      </c>
      <c r="T509" s="545">
        <f>'Foglio deposito bis'!$F$51*IF(ABS(N509)&lt;'Sollecitazioni nel paramento'!$G$58,ABS(N509)*'Sollecitazioni nel paramento'!$G$54,'Sollecitazioni nel paramento'!$G$53)*IF(N509&lt;0,-1,1)</f>
        <v>240946.49743184328</v>
      </c>
      <c r="U509" s="545">
        <f>'Foglio deposito bis'!$F$52*IF(ABS(O509)&lt;'Sollecitazioni nel paramento'!$G$58,ABS(O509)*'Sollecitazioni nel paramento'!$G$54,'Sollecitazioni nel paramento'!$G$53)*IF(O509&lt;0,-1,1)</f>
        <v>240946.49743184328</v>
      </c>
      <c r="V509" s="472">
        <f t="shared" si="39"/>
        <v>612121.13731845305</v>
      </c>
      <c r="W509" s="551"/>
      <c r="X509" s="551"/>
    </row>
    <row r="510" spans="1:24" x14ac:dyDescent="0.25">
      <c r="A510" s="545">
        <f t="shared" si="40"/>
        <v>602788.84544929513</v>
      </c>
      <c r="B510" s="3">
        <f t="shared" si="41"/>
        <v>0.44999999999999996</v>
      </c>
      <c r="C510" s="545">
        <f>'Foglio deposito bis'!$E$155/sezione!$B$247*B510</f>
        <v>2.2046519889340757</v>
      </c>
      <c r="D510" s="603">
        <f>-'Sollecitazioni nel paramento'!$G$47*'Sollecitazioni nel paramento'!$G$41*IF(DATI!$G$211="dx",DATI!$E$61,DATI!$E$64*DATI!$E$63)*1000*C510^2*sezione!$AD$5*(1-sezione!$AD$6)</f>
        <v>-108139.33984590879</v>
      </c>
      <c r="E510" s="545">
        <f>-'Foglio deposito bis'!$F$48*(C510-sezione!$AL$29)*IF(ABS(K510)&lt;'Sollecitazioni nel paramento'!$G$58,ABS(K510)*'Sollecitazioni nel paramento'!$G$54,'Sollecitazioni nel paramento'!$G$53)</f>
        <v>0</v>
      </c>
      <c r="F510" s="545">
        <f>-'Foglio deposito bis'!$F$49*(C510-sezione!$AM$29)*IF(ABS(L510)&lt;'Sollecitazioni nel paramento'!$G$58,ABS(L510)*'Sollecitazioni nel paramento'!$G$54,'Sollecitazioni nel paramento'!$G$53)</f>
        <v>11841485.264558492</v>
      </c>
      <c r="G510" s="545">
        <f>-'Foglio deposito bis'!$F$50*(C510-sezione!$AN$29)*IF(ABS(M510)&lt;'Sollecitazioni nel paramento'!$G$58,ABS(M510)*'Sollecitazioni nel paramento'!$G$54,'Sollecitazioni nel paramento'!$G$53)</f>
        <v>0</v>
      </c>
      <c r="H510" s="545">
        <f>-'Foglio deposito bis'!$F$51*(C510-sezione!$AO$29)*IF(ABS(N510)&lt;'Sollecitazioni nel paramento'!$G$58,ABS(N510)*'Sollecitazioni nel paramento'!$G$54,'Sollecitazioni nel paramento'!$G$53)</f>
        <v>38020236.414305113</v>
      </c>
      <c r="I510" s="472">
        <f>-'Foglio deposito bis'!$F$52*(C510-sezione!$AP$29)*IF(ABS(O510)&lt;'Sollecitazioni nel paramento'!$G$58,ABS(O510)*'Sollecitazioni nel paramento'!$G$54,'Sollecitazioni nel paramento'!$G$53)</f>
        <v>77066302.743418932</v>
      </c>
      <c r="J510" s="472">
        <f t="shared" si="38"/>
        <v>126819885.08243662</v>
      </c>
      <c r="K510" s="550">
        <f>'Sollecitazioni nel paramento'!$G$60*(sezione!$AL$29-C510)/C510</f>
        <v>6.0002085908664626E-2</v>
      </c>
      <c r="L510" s="550">
        <f>'Sollecitazioni nel paramento'!$G$60*(sezione!$AM$29-C510)/C510</f>
        <v>9.1753128862996941E-2</v>
      </c>
      <c r="M510" s="551">
        <f>'Sollecitazioni nel paramento'!$G$60*(sezione!$AN$29-C510)/C510</f>
        <v>0.12350417181732926</v>
      </c>
      <c r="N510" s="551">
        <f>'Sollecitazioni nel paramento'!$G$60*(sezione!$AO$29-C510)/C510</f>
        <v>0.25050834363465851</v>
      </c>
      <c r="O510" s="551">
        <f>'Sollecitazioni nel paramento'!$G$60*(sezione!$AP$29-C510)/C510</f>
        <v>0.50777569186911276</v>
      </c>
      <c r="P510" s="545">
        <f>-'Sollecitazioni nel paramento'!$G$47*'Sollecitazioni nel paramento'!$G$41*IF(DATI!$G$211="dx",DATI!$E$61,DATI!$E$64*DATI!$E$63)*1000*C510*sezione!$AD$5</f>
        <v>-83990.626822421458</v>
      </c>
      <c r="Q510" s="545">
        <f>'Foglio deposito bis'!$F$48*IF(ABS(K510)&lt;'Sollecitazioni nel paramento'!$G$58,ABS(K510)*'Sollecitazioni nel paramento'!$G$54,'Sollecitazioni nel paramento'!$G$53)*IF(K510&lt;0,-1,1)</f>
        <v>0</v>
      </c>
      <c r="R510" s="545">
        <f>'Foglio deposito bis'!$F$49*IF(ABS(L510)&lt;'Sollecitazioni nel paramento'!$G$58,ABS(L510)*'Sollecitazioni nel paramento'!$G$54,'Sollecitazioni nel paramento'!$G$53)*IF(L510&lt;0,-1,1)</f>
        <v>204886.47740803001</v>
      </c>
      <c r="S510" s="545">
        <f>'Foglio deposito bis'!$F$50*IF(ABS(M510)&lt;'Sollecitazioni nel paramento'!$G$58,ABS(M510)*'Sollecitazioni nel paramento'!$G$54,'Sollecitazioni nel paramento'!$G$53)*IF(M510&lt;0,-1,1)</f>
        <v>0</v>
      </c>
      <c r="T510" s="545">
        <f>'Foglio deposito bis'!$F$51*IF(ABS(N510)&lt;'Sollecitazioni nel paramento'!$G$58,ABS(N510)*'Sollecitazioni nel paramento'!$G$54,'Sollecitazioni nel paramento'!$G$53)*IF(N510&lt;0,-1,1)</f>
        <v>240946.49743184328</v>
      </c>
      <c r="U510" s="545">
        <f>'Foglio deposito bis'!$F$52*IF(ABS(O510)&lt;'Sollecitazioni nel paramento'!$G$58,ABS(O510)*'Sollecitazioni nel paramento'!$G$54,'Sollecitazioni nel paramento'!$G$53)*IF(O510&lt;0,-1,1)</f>
        <v>240946.49743184328</v>
      </c>
      <c r="V510" s="472">
        <f t="shared" si="39"/>
        <v>602788.84544929513</v>
      </c>
      <c r="W510" s="551"/>
      <c r="X510" s="551"/>
    </row>
    <row r="511" spans="1:24" x14ac:dyDescent="0.25">
      <c r="A511" s="545">
        <f t="shared" si="40"/>
        <v>593456.5535801372</v>
      </c>
      <c r="B511" s="3">
        <f t="shared" si="41"/>
        <v>0.49999999999999994</v>
      </c>
      <c r="C511" s="545">
        <f>'Foglio deposito bis'!$E$155/sezione!$B$247*B511</f>
        <v>2.4496133210378614</v>
      </c>
      <c r="D511" s="603">
        <f>-'Sollecitazioni nel paramento'!$G$47*'Sollecitazioni nel paramento'!$G$41*IF(DATI!$G$211="dx",DATI!$E$61,DATI!$E$64*DATI!$E$63)*1000*C511^2*sezione!$AD$5*(1-sezione!$AD$6)</f>
        <v>-133505.35783445524</v>
      </c>
      <c r="E511" s="545">
        <f>-'Foglio deposito bis'!$F$48*(C511-sezione!$AL$29)*IF(ABS(K511)&lt;'Sollecitazioni nel paramento'!$G$58,ABS(K511)*'Sollecitazioni nel paramento'!$G$54,'Sollecitazioni nel paramento'!$G$53)</f>
        <v>0</v>
      </c>
      <c r="F511" s="545">
        <f>-'Foglio deposito bis'!$F$49*(C511-sezione!$AM$29)*IF(ABS(L511)&lt;'Sollecitazioni nel paramento'!$G$58,ABS(L511)*'Sollecitazioni nel paramento'!$G$54,'Sollecitazioni nel paramento'!$G$53)</f>
        <v>11791296.000122568</v>
      </c>
      <c r="G511" s="545">
        <f>-'Foglio deposito bis'!$F$50*(C511-sezione!$AN$29)*IF(ABS(M511)&lt;'Sollecitazioni nel paramento'!$G$58,ABS(M511)*'Sollecitazioni nel paramento'!$G$54,'Sollecitazioni nel paramento'!$G$53)</f>
        <v>0</v>
      </c>
      <c r="H511" s="545">
        <f>-'Foglio deposito bis'!$F$51*(C511-sezione!$AO$29)*IF(ABS(N511)&lt;'Sollecitazioni nel paramento'!$G$58,ABS(N511)*'Sollecitazioni nel paramento'!$G$54,'Sollecitazioni nel paramento'!$G$53)</f>
        <v>37961213.83932846</v>
      </c>
      <c r="I511" s="472">
        <f>-'Foglio deposito bis'!$F$52*(C511-sezione!$AP$29)*IF(ABS(O511)&lt;'Sollecitazioni nel paramento'!$G$58,ABS(O511)*'Sollecitazioni nel paramento'!$G$54,'Sollecitazioni nel paramento'!$G$53)</f>
        <v>77007280.168442279</v>
      </c>
      <c r="J511" s="472">
        <f t="shared" si="38"/>
        <v>126626284.65005885</v>
      </c>
      <c r="K511" s="550">
        <f>'Sollecitazioni nel paramento'!$G$60*(sezione!$AL$29-C511)/C511</f>
        <v>5.365187731779817E-2</v>
      </c>
      <c r="L511" s="550">
        <f>'Sollecitazioni nel paramento'!$G$60*(sezione!$AM$29-C511)/C511</f>
        <v>8.2227815976697261E-2</v>
      </c>
      <c r="M511" s="551">
        <f>'Sollecitazioni nel paramento'!$G$60*(sezione!$AN$29-C511)/C511</f>
        <v>0.11080375463559634</v>
      </c>
      <c r="N511" s="551">
        <f>'Sollecitazioni nel paramento'!$G$60*(sezione!$AO$29-C511)/C511</f>
        <v>0.22510750927119266</v>
      </c>
      <c r="O511" s="551">
        <f>'Sollecitazioni nel paramento'!$G$60*(sezione!$AP$29-C511)/C511</f>
        <v>0.45664812268220156</v>
      </c>
      <c r="P511" s="545">
        <f>-'Sollecitazioni nel paramento'!$G$47*'Sollecitazioni nel paramento'!$G$41*IF(DATI!$G$211="dx",DATI!$E$61,DATI!$E$64*DATI!$E$63)*1000*C511*sezione!$AD$5</f>
        <v>-93322.918691579398</v>
      </c>
      <c r="Q511" s="545">
        <f>'Foglio deposito bis'!$F$48*IF(ABS(K511)&lt;'Sollecitazioni nel paramento'!$G$58,ABS(K511)*'Sollecitazioni nel paramento'!$G$54,'Sollecitazioni nel paramento'!$G$53)*IF(K511&lt;0,-1,1)</f>
        <v>0</v>
      </c>
      <c r="R511" s="545">
        <f>'Foglio deposito bis'!$F$49*IF(ABS(L511)&lt;'Sollecitazioni nel paramento'!$G$58,ABS(L511)*'Sollecitazioni nel paramento'!$G$54,'Sollecitazioni nel paramento'!$G$53)*IF(L511&lt;0,-1,1)</f>
        <v>204886.47740803001</v>
      </c>
      <c r="S511" s="545">
        <f>'Foglio deposito bis'!$F$50*IF(ABS(M511)&lt;'Sollecitazioni nel paramento'!$G$58,ABS(M511)*'Sollecitazioni nel paramento'!$G$54,'Sollecitazioni nel paramento'!$G$53)*IF(M511&lt;0,-1,1)</f>
        <v>0</v>
      </c>
      <c r="T511" s="545">
        <f>'Foglio deposito bis'!$F$51*IF(ABS(N511)&lt;'Sollecitazioni nel paramento'!$G$58,ABS(N511)*'Sollecitazioni nel paramento'!$G$54,'Sollecitazioni nel paramento'!$G$53)*IF(N511&lt;0,-1,1)</f>
        <v>240946.49743184328</v>
      </c>
      <c r="U511" s="545">
        <f>'Foglio deposito bis'!$F$52*IF(ABS(O511)&lt;'Sollecitazioni nel paramento'!$G$58,ABS(O511)*'Sollecitazioni nel paramento'!$G$54,'Sollecitazioni nel paramento'!$G$53)*IF(O511&lt;0,-1,1)</f>
        <v>240946.49743184328</v>
      </c>
      <c r="V511" s="472">
        <f t="shared" si="39"/>
        <v>593456.5535801372</v>
      </c>
      <c r="W511" s="551"/>
      <c r="X511" s="551"/>
    </row>
    <row r="512" spans="1:24" x14ac:dyDescent="0.25">
      <c r="A512" s="545">
        <f t="shared" si="40"/>
        <v>584124.26171097928</v>
      </c>
      <c r="B512" s="3">
        <f t="shared" si="41"/>
        <v>0.54999999999999993</v>
      </c>
      <c r="C512" s="545">
        <f>'Foglio deposito bis'!$E$155/sezione!$B$247*B512</f>
        <v>2.6945746531416477</v>
      </c>
      <c r="D512" s="603">
        <f>-'Sollecitazioni nel paramento'!$G$47*'Sollecitazioni nel paramento'!$G$41*IF(DATI!$G$211="dx",DATI!$E$61,DATI!$E$64*DATI!$E$63)*1000*C512^2*sezione!$AD$5*(1-sezione!$AD$6)</f>
        <v>-161541.48297969089</v>
      </c>
      <c r="E512" s="545">
        <f>-'Foglio deposito bis'!$F$48*(C512-sezione!$AL$29)*IF(ABS(K512)&lt;'Sollecitazioni nel paramento'!$G$58,ABS(K512)*'Sollecitazioni nel paramento'!$G$54,'Sollecitazioni nel paramento'!$G$53)</f>
        <v>0</v>
      </c>
      <c r="F512" s="545">
        <f>-'Foglio deposito bis'!$F$49*(C512-sezione!$AM$29)*IF(ABS(L512)&lt;'Sollecitazioni nel paramento'!$G$58,ABS(L512)*'Sollecitazioni nel paramento'!$G$54,'Sollecitazioni nel paramento'!$G$53)</f>
        <v>11741106.735686643</v>
      </c>
      <c r="G512" s="545">
        <f>-'Foglio deposito bis'!$F$50*(C512-sezione!$AN$29)*IF(ABS(M512)&lt;'Sollecitazioni nel paramento'!$G$58,ABS(M512)*'Sollecitazioni nel paramento'!$G$54,'Sollecitazioni nel paramento'!$G$53)</f>
        <v>0</v>
      </c>
      <c r="H512" s="545">
        <f>-'Foglio deposito bis'!$F$51*(C512-sezione!$AO$29)*IF(ABS(N512)&lt;'Sollecitazioni nel paramento'!$G$58,ABS(N512)*'Sollecitazioni nel paramento'!$G$54,'Sollecitazioni nel paramento'!$G$53)</f>
        <v>37902191.264351815</v>
      </c>
      <c r="I512" s="472">
        <f>-'Foglio deposito bis'!$F$52*(C512-sezione!$AP$29)*IF(ABS(O512)&lt;'Sollecitazioni nel paramento'!$G$58,ABS(O512)*'Sollecitazioni nel paramento'!$G$54,'Sollecitazioni nel paramento'!$G$53)</f>
        <v>76948257.593465626</v>
      </c>
      <c r="J512" s="472">
        <f t="shared" si="38"/>
        <v>126430014.11052439</v>
      </c>
      <c r="K512" s="550">
        <f>'Sollecitazioni nel paramento'!$G$60*(sezione!$AL$29-C512)/C512</f>
        <v>4.8456252107089239E-2</v>
      </c>
      <c r="L512" s="550">
        <f>'Sollecitazioni nel paramento'!$G$60*(sezione!$AM$29-C512)/C512</f>
        <v>7.4434378160633863E-2</v>
      </c>
      <c r="M512" s="551">
        <f>'Sollecitazioni nel paramento'!$G$60*(sezione!$AN$29-C512)/C512</f>
        <v>0.10041250421417849</v>
      </c>
      <c r="N512" s="551">
        <f>'Sollecitazioni nel paramento'!$G$60*(sezione!$AO$29-C512)/C512</f>
        <v>0.20432500842835699</v>
      </c>
      <c r="O512" s="551">
        <f>'Sollecitazioni nel paramento'!$G$60*(sezione!$AP$29-C512)/C512</f>
        <v>0.41481647516563774</v>
      </c>
      <c r="P512" s="545">
        <f>-'Sollecitazioni nel paramento'!$G$47*'Sollecitazioni nel paramento'!$G$41*IF(DATI!$G$211="dx",DATI!$E$61,DATI!$E$64*DATI!$E$63)*1000*C512*sezione!$AD$5</f>
        <v>-102655.21056073734</v>
      </c>
      <c r="Q512" s="545">
        <f>'Foglio deposito bis'!$F$48*IF(ABS(K512)&lt;'Sollecitazioni nel paramento'!$G$58,ABS(K512)*'Sollecitazioni nel paramento'!$G$54,'Sollecitazioni nel paramento'!$G$53)*IF(K512&lt;0,-1,1)</f>
        <v>0</v>
      </c>
      <c r="R512" s="545">
        <f>'Foglio deposito bis'!$F$49*IF(ABS(L512)&lt;'Sollecitazioni nel paramento'!$G$58,ABS(L512)*'Sollecitazioni nel paramento'!$G$54,'Sollecitazioni nel paramento'!$G$53)*IF(L512&lt;0,-1,1)</f>
        <v>204886.47740803001</v>
      </c>
      <c r="S512" s="545">
        <f>'Foglio deposito bis'!$F$50*IF(ABS(M512)&lt;'Sollecitazioni nel paramento'!$G$58,ABS(M512)*'Sollecitazioni nel paramento'!$G$54,'Sollecitazioni nel paramento'!$G$53)*IF(M512&lt;0,-1,1)</f>
        <v>0</v>
      </c>
      <c r="T512" s="545">
        <f>'Foglio deposito bis'!$F$51*IF(ABS(N512)&lt;'Sollecitazioni nel paramento'!$G$58,ABS(N512)*'Sollecitazioni nel paramento'!$G$54,'Sollecitazioni nel paramento'!$G$53)*IF(N512&lt;0,-1,1)</f>
        <v>240946.49743184328</v>
      </c>
      <c r="U512" s="545">
        <f>'Foglio deposito bis'!$F$52*IF(ABS(O512)&lt;'Sollecitazioni nel paramento'!$G$58,ABS(O512)*'Sollecitazioni nel paramento'!$G$54,'Sollecitazioni nel paramento'!$G$53)*IF(O512&lt;0,-1,1)</f>
        <v>240946.49743184328</v>
      </c>
      <c r="V512" s="472">
        <f t="shared" si="39"/>
        <v>584124.26171097928</v>
      </c>
      <c r="W512" s="551"/>
      <c r="X512" s="551"/>
    </row>
    <row r="513" spans="1:24" x14ac:dyDescent="0.25">
      <c r="A513" s="545">
        <f t="shared" si="40"/>
        <v>574791.96984182124</v>
      </c>
      <c r="B513" s="3">
        <f t="shared" si="41"/>
        <v>0.6</v>
      </c>
      <c r="C513" s="545">
        <f>'Foglio deposito bis'!$E$155/sezione!$B$247*B513</f>
        <v>2.9395359852454344</v>
      </c>
      <c r="D513" s="603">
        <f>-'Sollecitazioni nel paramento'!$G$47*'Sollecitazioni nel paramento'!$G$41*IF(DATI!$G$211="dx",DATI!$E$61,DATI!$E$64*DATI!$E$63)*1000*C513^2*sezione!$AD$5*(1-sezione!$AD$6)</f>
        <v>-192247.71528161564</v>
      </c>
      <c r="E513" s="545">
        <f>-'Foglio deposito bis'!$F$48*(C513-sezione!$AL$29)*IF(ABS(K513)&lt;'Sollecitazioni nel paramento'!$G$58,ABS(K513)*'Sollecitazioni nel paramento'!$G$54,'Sollecitazioni nel paramento'!$G$53)</f>
        <v>0</v>
      </c>
      <c r="F513" s="545">
        <f>-'Foglio deposito bis'!$F$49*(C513-sezione!$AM$29)*IF(ABS(L513)&lt;'Sollecitazioni nel paramento'!$G$58,ABS(L513)*'Sollecitazioni nel paramento'!$G$54,'Sollecitazioni nel paramento'!$G$53)</f>
        <v>11690917.47125072</v>
      </c>
      <c r="G513" s="545">
        <f>-'Foglio deposito bis'!$F$50*(C513-sezione!$AN$29)*IF(ABS(M513)&lt;'Sollecitazioni nel paramento'!$G$58,ABS(M513)*'Sollecitazioni nel paramento'!$G$54,'Sollecitazioni nel paramento'!$G$53)</f>
        <v>0</v>
      </c>
      <c r="H513" s="545">
        <f>-'Foglio deposito bis'!$F$51*(C513-sezione!$AO$29)*IF(ABS(N513)&lt;'Sollecitazioni nel paramento'!$G$58,ABS(N513)*'Sollecitazioni nel paramento'!$G$54,'Sollecitazioni nel paramento'!$G$53)</f>
        <v>37843168.68937517</v>
      </c>
      <c r="I513" s="472">
        <f>-'Foglio deposito bis'!$F$52*(C513-sezione!$AP$29)*IF(ABS(O513)&lt;'Sollecitazioni nel paramento'!$G$58,ABS(O513)*'Sollecitazioni nel paramento'!$G$54,'Sollecitazioni nel paramento'!$G$53)</f>
        <v>76889235.018488988</v>
      </c>
      <c r="J513" s="472">
        <f t="shared" si="38"/>
        <v>126231073.46383327</v>
      </c>
      <c r="K513" s="550">
        <f>'Sollecitazioni nel paramento'!$G$60*(sezione!$AL$29-C513)/C513</f>
        <v>4.4126564431498469E-2</v>
      </c>
      <c r="L513" s="550">
        <f>'Sollecitazioni nel paramento'!$G$60*(sezione!$AM$29-C513)/C513</f>
        <v>6.7939846647247698E-2</v>
      </c>
      <c r="M513" s="551">
        <f>'Sollecitazioni nel paramento'!$G$60*(sezione!$AN$29-C513)/C513</f>
        <v>9.1753128862996941E-2</v>
      </c>
      <c r="N513" s="551">
        <f>'Sollecitazioni nel paramento'!$G$60*(sezione!$AO$29-C513)/C513</f>
        <v>0.18700625772599386</v>
      </c>
      <c r="O513" s="551">
        <f>'Sollecitazioni nel paramento'!$G$60*(sezione!$AP$29-C513)/C513</f>
        <v>0.37995676890183461</v>
      </c>
      <c r="P513" s="545">
        <f>-'Sollecitazioni nel paramento'!$G$47*'Sollecitazioni nel paramento'!$G$41*IF(DATI!$G$211="dx",DATI!$E$61,DATI!$E$64*DATI!$E$63)*1000*C513*sezione!$AD$5</f>
        <v>-111987.50242989529</v>
      </c>
      <c r="Q513" s="545">
        <f>'Foglio deposito bis'!$F$48*IF(ABS(K513)&lt;'Sollecitazioni nel paramento'!$G$58,ABS(K513)*'Sollecitazioni nel paramento'!$G$54,'Sollecitazioni nel paramento'!$G$53)*IF(K513&lt;0,-1,1)</f>
        <v>0</v>
      </c>
      <c r="R513" s="545">
        <f>'Foglio deposito bis'!$F$49*IF(ABS(L513)&lt;'Sollecitazioni nel paramento'!$G$58,ABS(L513)*'Sollecitazioni nel paramento'!$G$54,'Sollecitazioni nel paramento'!$G$53)*IF(L513&lt;0,-1,1)</f>
        <v>204886.47740803001</v>
      </c>
      <c r="S513" s="545">
        <f>'Foglio deposito bis'!$F$50*IF(ABS(M513)&lt;'Sollecitazioni nel paramento'!$G$58,ABS(M513)*'Sollecitazioni nel paramento'!$G$54,'Sollecitazioni nel paramento'!$G$53)*IF(M513&lt;0,-1,1)</f>
        <v>0</v>
      </c>
      <c r="T513" s="545">
        <f>'Foglio deposito bis'!$F$51*IF(ABS(N513)&lt;'Sollecitazioni nel paramento'!$G$58,ABS(N513)*'Sollecitazioni nel paramento'!$G$54,'Sollecitazioni nel paramento'!$G$53)*IF(N513&lt;0,-1,1)</f>
        <v>240946.49743184328</v>
      </c>
      <c r="U513" s="545">
        <f>'Foglio deposito bis'!$F$52*IF(ABS(O513)&lt;'Sollecitazioni nel paramento'!$G$58,ABS(O513)*'Sollecitazioni nel paramento'!$G$54,'Sollecitazioni nel paramento'!$G$53)*IF(O513&lt;0,-1,1)</f>
        <v>240946.49743184328</v>
      </c>
      <c r="V513" s="472">
        <f t="shared" si="39"/>
        <v>574791.96984182124</v>
      </c>
      <c r="W513" s="551"/>
      <c r="X513" s="551"/>
    </row>
    <row r="514" spans="1:24" x14ac:dyDescent="0.25">
      <c r="A514" s="545">
        <f t="shared" si="40"/>
        <v>565459.67797266331</v>
      </c>
      <c r="B514" s="3">
        <f t="shared" si="41"/>
        <v>0.65</v>
      </c>
      <c r="C514" s="545">
        <f>'Foglio deposito bis'!$E$155/sezione!$B$247*B514</f>
        <v>3.1844973173492206</v>
      </c>
      <c r="D514" s="603">
        <f>-'Sollecitazioni nel paramento'!$G$47*'Sollecitazioni nel paramento'!$G$41*IF(DATI!$G$211="dx",DATI!$E$61,DATI!$E$64*DATI!$E$63)*1000*C514^2*sezione!$AD$5*(1-sezione!$AD$6)</f>
        <v>-225624.05474022951</v>
      </c>
      <c r="E514" s="545">
        <f>-'Foglio deposito bis'!$F$48*(C514-sezione!$AL$29)*IF(ABS(K514)&lt;'Sollecitazioni nel paramento'!$G$58,ABS(K514)*'Sollecitazioni nel paramento'!$G$54,'Sollecitazioni nel paramento'!$G$53)</f>
        <v>0</v>
      </c>
      <c r="F514" s="545">
        <f>-'Foglio deposito bis'!$F$49*(C514-sezione!$AM$29)*IF(ABS(L514)&lt;'Sollecitazioni nel paramento'!$G$58,ABS(L514)*'Sollecitazioni nel paramento'!$G$54,'Sollecitazioni nel paramento'!$G$53)</f>
        <v>11640728.206814798</v>
      </c>
      <c r="G514" s="545">
        <f>-'Foglio deposito bis'!$F$50*(C514-sezione!$AN$29)*IF(ABS(M514)&lt;'Sollecitazioni nel paramento'!$G$58,ABS(M514)*'Sollecitazioni nel paramento'!$G$54,'Sollecitazioni nel paramento'!$G$53)</f>
        <v>0</v>
      </c>
      <c r="H514" s="545">
        <f>-'Foglio deposito bis'!$F$51*(C514-sezione!$AO$29)*IF(ABS(N514)&lt;'Sollecitazioni nel paramento'!$G$58,ABS(N514)*'Sollecitazioni nel paramento'!$G$54,'Sollecitazioni nel paramento'!$G$53)</f>
        <v>37784146.114398532</v>
      </c>
      <c r="I514" s="472">
        <f>-'Foglio deposito bis'!$F$52*(C514-sezione!$AP$29)*IF(ABS(O514)&lt;'Sollecitazioni nel paramento'!$G$58,ABS(O514)*'Sollecitazioni nel paramento'!$G$54,'Sollecitazioni nel paramento'!$G$53)</f>
        <v>76830212.44351235</v>
      </c>
      <c r="J514" s="472">
        <f t="shared" si="38"/>
        <v>126029462.70998545</v>
      </c>
      <c r="K514" s="550">
        <f>'Sollecitazioni nel paramento'!$G$60*(sezione!$AL$29-C514)/C514</f>
        <v>4.0462982552152436E-2</v>
      </c>
      <c r="L514" s="550">
        <f>'Sollecitazioni nel paramento'!$G$60*(sezione!$AM$29-C514)/C514</f>
        <v>6.2444473828228646E-2</v>
      </c>
      <c r="M514" s="551">
        <f>'Sollecitazioni nel paramento'!$G$60*(sezione!$AN$29-C514)/C514</f>
        <v>8.4425965104304848E-2</v>
      </c>
      <c r="N514" s="551">
        <f>'Sollecitazioni nel paramento'!$G$60*(sezione!$AO$29-C514)/C514</f>
        <v>0.17235193020860973</v>
      </c>
      <c r="O514" s="551">
        <f>'Sollecitazioni nel paramento'!$G$60*(sezione!$AP$29-C514)/C514</f>
        <v>0.35046009437092424</v>
      </c>
      <c r="P514" s="545">
        <f>-'Sollecitazioni nel paramento'!$G$47*'Sollecitazioni nel paramento'!$G$41*IF(DATI!$G$211="dx",DATI!$E$61,DATI!$E$64*DATI!$E$63)*1000*C514*sezione!$AD$5</f>
        <v>-121319.79429905323</v>
      </c>
      <c r="Q514" s="545">
        <f>'Foglio deposito bis'!$F$48*IF(ABS(K514)&lt;'Sollecitazioni nel paramento'!$G$58,ABS(K514)*'Sollecitazioni nel paramento'!$G$54,'Sollecitazioni nel paramento'!$G$53)*IF(K514&lt;0,-1,1)</f>
        <v>0</v>
      </c>
      <c r="R514" s="545">
        <f>'Foglio deposito bis'!$F$49*IF(ABS(L514)&lt;'Sollecitazioni nel paramento'!$G$58,ABS(L514)*'Sollecitazioni nel paramento'!$G$54,'Sollecitazioni nel paramento'!$G$53)*IF(L514&lt;0,-1,1)</f>
        <v>204886.47740803001</v>
      </c>
      <c r="S514" s="545">
        <f>'Foglio deposito bis'!$F$50*IF(ABS(M514)&lt;'Sollecitazioni nel paramento'!$G$58,ABS(M514)*'Sollecitazioni nel paramento'!$G$54,'Sollecitazioni nel paramento'!$G$53)*IF(M514&lt;0,-1,1)</f>
        <v>0</v>
      </c>
      <c r="T514" s="545">
        <f>'Foglio deposito bis'!$F$51*IF(ABS(N514)&lt;'Sollecitazioni nel paramento'!$G$58,ABS(N514)*'Sollecitazioni nel paramento'!$G$54,'Sollecitazioni nel paramento'!$G$53)*IF(N514&lt;0,-1,1)</f>
        <v>240946.49743184328</v>
      </c>
      <c r="U514" s="545">
        <f>'Foglio deposito bis'!$F$52*IF(ABS(O514)&lt;'Sollecitazioni nel paramento'!$G$58,ABS(O514)*'Sollecitazioni nel paramento'!$G$54,'Sollecitazioni nel paramento'!$G$53)*IF(O514&lt;0,-1,1)</f>
        <v>240946.49743184328</v>
      </c>
      <c r="V514" s="472">
        <f t="shared" si="39"/>
        <v>565459.67797266331</v>
      </c>
      <c r="W514" s="551"/>
      <c r="X514" s="551"/>
    </row>
    <row r="515" spans="1:24" x14ac:dyDescent="0.25">
      <c r="A515" s="545">
        <f t="shared" si="40"/>
        <v>556127.38610350539</v>
      </c>
      <c r="B515" s="3">
        <f t="shared" si="41"/>
        <v>0.70000000000000007</v>
      </c>
      <c r="C515" s="545">
        <f>'Foglio deposito bis'!$E$155/sezione!$B$247*B515</f>
        <v>3.4294586494530068</v>
      </c>
      <c r="D515" s="603">
        <f>-'Sollecitazioni nel paramento'!$G$47*'Sollecitazioni nel paramento'!$G$41*IF(DATI!$G$211="dx",DATI!$E$61,DATI!$E$64*DATI!$E$63)*1000*C515^2*sezione!$AD$5*(1-sezione!$AD$6)</f>
        <v>-261670.50135553244</v>
      </c>
      <c r="E515" s="545">
        <f>-'Foglio deposito bis'!$F$48*(C515-sezione!$AL$29)*IF(ABS(K515)&lt;'Sollecitazioni nel paramento'!$G$58,ABS(K515)*'Sollecitazioni nel paramento'!$G$54,'Sollecitazioni nel paramento'!$G$53)</f>
        <v>0</v>
      </c>
      <c r="F515" s="545">
        <f>-'Foglio deposito bis'!$F$49*(C515-sezione!$AM$29)*IF(ABS(L515)&lt;'Sollecitazioni nel paramento'!$G$58,ABS(L515)*'Sollecitazioni nel paramento'!$G$54,'Sollecitazioni nel paramento'!$G$53)</f>
        <v>11590538.942378873</v>
      </c>
      <c r="G515" s="545">
        <f>-'Foglio deposito bis'!$F$50*(C515-sezione!$AN$29)*IF(ABS(M515)&lt;'Sollecitazioni nel paramento'!$G$58,ABS(M515)*'Sollecitazioni nel paramento'!$G$54,'Sollecitazioni nel paramento'!$G$53)</f>
        <v>0</v>
      </c>
      <c r="H515" s="545">
        <f>-'Foglio deposito bis'!$F$51*(C515-sezione!$AO$29)*IF(ABS(N515)&lt;'Sollecitazioni nel paramento'!$G$58,ABS(N515)*'Sollecitazioni nel paramento'!$G$54,'Sollecitazioni nel paramento'!$G$53)</f>
        <v>37725123.539421886</v>
      </c>
      <c r="I515" s="472">
        <f>-'Foglio deposito bis'!$F$52*(C515-sezione!$AP$29)*IF(ABS(O515)&lt;'Sollecitazioni nel paramento'!$G$58,ABS(O515)*'Sollecitazioni nel paramento'!$G$54,'Sollecitazioni nel paramento'!$G$53)</f>
        <v>76771189.868535683</v>
      </c>
      <c r="J515" s="472">
        <f t="shared" si="38"/>
        <v>125825181.8489809</v>
      </c>
      <c r="K515" s="550">
        <f>'Sollecitazioni nel paramento'!$G$60*(sezione!$AL$29-C515)/C515</f>
        <v>3.7322769512712975E-2</v>
      </c>
      <c r="L515" s="550">
        <f>'Sollecitazioni nel paramento'!$G$60*(sezione!$AM$29-C515)/C515</f>
        <v>5.7734154269069457E-2</v>
      </c>
      <c r="M515" s="551">
        <f>'Sollecitazioni nel paramento'!$G$60*(sezione!$AN$29-C515)/C515</f>
        <v>7.8145539025425939E-2</v>
      </c>
      <c r="N515" s="551">
        <f>'Sollecitazioni nel paramento'!$G$60*(sezione!$AO$29-C515)/C515</f>
        <v>0.15979107805085188</v>
      </c>
      <c r="O515" s="551">
        <f>'Sollecitazioni nel paramento'!$G$60*(sezione!$AP$29-C515)/C515</f>
        <v>0.32517723048728675</v>
      </c>
      <c r="P515" s="545">
        <f>-'Sollecitazioni nel paramento'!$G$47*'Sollecitazioni nel paramento'!$G$41*IF(DATI!$G$211="dx",DATI!$E$61,DATI!$E$64*DATI!$E$63)*1000*C515*sezione!$AD$5</f>
        <v>-130652.08616821117</v>
      </c>
      <c r="Q515" s="545">
        <f>'Foglio deposito bis'!$F$48*IF(ABS(K515)&lt;'Sollecitazioni nel paramento'!$G$58,ABS(K515)*'Sollecitazioni nel paramento'!$G$54,'Sollecitazioni nel paramento'!$G$53)*IF(K515&lt;0,-1,1)</f>
        <v>0</v>
      </c>
      <c r="R515" s="545">
        <f>'Foglio deposito bis'!$F$49*IF(ABS(L515)&lt;'Sollecitazioni nel paramento'!$G$58,ABS(L515)*'Sollecitazioni nel paramento'!$G$54,'Sollecitazioni nel paramento'!$G$53)*IF(L515&lt;0,-1,1)</f>
        <v>204886.47740803001</v>
      </c>
      <c r="S515" s="545">
        <f>'Foglio deposito bis'!$F$50*IF(ABS(M515)&lt;'Sollecitazioni nel paramento'!$G$58,ABS(M515)*'Sollecitazioni nel paramento'!$G$54,'Sollecitazioni nel paramento'!$G$53)*IF(M515&lt;0,-1,1)</f>
        <v>0</v>
      </c>
      <c r="T515" s="545">
        <f>'Foglio deposito bis'!$F$51*IF(ABS(N515)&lt;'Sollecitazioni nel paramento'!$G$58,ABS(N515)*'Sollecitazioni nel paramento'!$G$54,'Sollecitazioni nel paramento'!$G$53)*IF(N515&lt;0,-1,1)</f>
        <v>240946.49743184328</v>
      </c>
      <c r="U515" s="545">
        <f>'Foglio deposito bis'!$F$52*IF(ABS(O515)&lt;'Sollecitazioni nel paramento'!$G$58,ABS(O515)*'Sollecitazioni nel paramento'!$G$54,'Sollecitazioni nel paramento'!$G$53)*IF(O515&lt;0,-1,1)</f>
        <v>240946.49743184328</v>
      </c>
      <c r="V515" s="472">
        <f t="shared" si="39"/>
        <v>556127.38610350539</v>
      </c>
      <c r="W515" s="551"/>
      <c r="X515" s="551"/>
    </row>
    <row r="516" spans="1:24" x14ac:dyDescent="0.25">
      <c r="A516" s="545">
        <f t="shared" si="40"/>
        <v>546795.09423434746</v>
      </c>
      <c r="B516" s="3">
        <f t="shared" si="41"/>
        <v>0.75000000000000011</v>
      </c>
      <c r="C516" s="545">
        <f>'Foglio deposito bis'!$E$155/sezione!$B$247*B516</f>
        <v>3.6744199815567935</v>
      </c>
      <c r="D516" s="603">
        <f>-'Sollecitazioni nel paramento'!$G$47*'Sollecitazioni nel paramento'!$G$41*IF(DATI!$G$211="dx",DATI!$E$61,DATI!$E$64*DATI!$E$63)*1000*C516^2*sezione!$AD$5*(1-sezione!$AD$6)</f>
        <v>-300387.05512752454</v>
      </c>
      <c r="E516" s="545">
        <f>-'Foglio deposito bis'!$F$48*(C516-sezione!$AL$29)*IF(ABS(K516)&lt;'Sollecitazioni nel paramento'!$G$58,ABS(K516)*'Sollecitazioni nel paramento'!$G$54,'Sollecitazioni nel paramento'!$G$53)</f>
        <v>0</v>
      </c>
      <c r="F516" s="545">
        <f>-'Foglio deposito bis'!$F$49*(C516-sezione!$AM$29)*IF(ABS(L516)&lt;'Sollecitazioni nel paramento'!$G$58,ABS(L516)*'Sollecitazioni nel paramento'!$G$54,'Sollecitazioni nel paramento'!$G$53)</f>
        <v>11540349.67794295</v>
      </c>
      <c r="G516" s="545">
        <f>-'Foglio deposito bis'!$F$50*(C516-sezione!$AN$29)*IF(ABS(M516)&lt;'Sollecitazioni nel paramento'!$G$58,ABS(M516)*'Sollecitazioni nel paramento'!$G$54,'Sollecitazioni nel paramento'!$G$53)</f>
        <v>0</v>
      </c>
      <c r="H516" s="545">
        <f>-'Foglio deposito bis'!$F$51*(C516-sezione!$AO$29)*IF(ABS(N516)&lt;'Sollecitazioni nel paramento'!$G$58,ABS(N516)*'Sollecitazioni nel paramento'!$G$54,'Sollecitazioni nel paramento'!$G$53)</f>
        <v>37666100.964445241</v>
      </c>
      <c r="I516" s="472">
        <f>-'Foglio deposito bis'!$F$52*(C516-sezione!$AP$29)*IF(ABS(O516)&lt;'Sollecitazioni nel paramento'!$G$58,ABS(O516)*'Sollecitazioni nel paramento'!$G$54,'Sollecitazioni nel paramento'!$G$53)</f>
        <v>76712167.293559045</v>
      </c>
      <c r="J516" s="472">
        <f t="shared" si="38"/>
        <v>125618230.88081971</v>
      </c>
      <c r="K516" s="550">
        <f>'Sollecitazioni nel paramento'!$G$60*(sezione!$AL$29-C516)/C516</f>
        <v>3.4601251545198768E-2</v>
      </c>
      <c r="L516" s="550">
        <f>'Sollecitazioni nel paramento'!$G$60*(sezione!$AM$29-C516)/C516</f>
        <v>5.365187731779815E-2</v>
      </c>
      <c r="M516" s="551">
        <f>'Sollecitazioni nel paramento'!$G$60*(sezione!$AN$29-C516)/C516</f>
        <v>7.2702503090397524E-2</v>
      </c>
      <c r="N516" s="551">
        <f>'Sollecitazioni nel paramento'!$G$60*(sezione!$AO$29-C516)/C516</f>
        <v>0.14890500618079508</v>
      </c>
      <c r="O516" s="551">
        <f>'Sollecitazioni nel paramento'!$G$60*(sezione!$AP$29-C516)/C516</f>
        <v>0.3032654151214676</v>
      </c>
      <c r="P516" s="545">
        <f>-'Sollecitazioni nel paramento'!$G$47*'Sollecitazioni nel paramento'!$G$41*IF(DATI!$G$211="dx",DATI!$E$61,DATI!$E$64*DATI!$E$63)*1000*C516*sezione!$AD$5</f>
        <v>-139984.37803736914</v>
      </c>
      <c r="Q516" s="545">
        <f>'Foglio deposito bis'!$F$48*IF(ABS(K516)&lt;'Sollecitazioni nel paramento'!$G$58,ABS(K516)*'Sollecitazioni nel paramento'!$G$54,'Sollecitazioni nel paramento'!$G$53)*IF(K516&lt;0,-1,1)</f>
        <v>0</v>
      </c>
      <c r="R516" s="545">
        <f>'Foglio deposito bis'!$F$49*IF(ABS(L516)&lt;'Sollecitazioni nel paramento'!$G$58,ABS(L516)*'Sollecitazioni nel paramento'!$G$54,'Sollecitazioni nel paramento'!$G$53)*IF(L516&lt;0,-1,1)</f>
        <v>204886.47740803001</v>
      </c>
      <c r="S516" s="545">
        <f>'Foglio deposito bis'!$F$50*IF(ABS(M516)&lt;'Sollecitazioni nel paramento'!$G$58,ABS(M516)*'Sollecitazioni nel paramento'!$G$54,'Sollecitazioni nel paramento'!$G$53)*IF(M516&lt;0,-1,1)</f>
        <v>0</v>
      </c>
      <c r="T516" s="545">
        <f>'Foglio deposito bis'!$F$51*IF(ABS(N516)&lt;'Sollecitazioni nel paramento'!$G$58,ABS(N516)*'Sollecitazioni nel paramento'!$G$54,'Sollecitazioni nel paramento'!$G$53)*IF(N516&lt;0,-1,1)</f>
        <v>240946.49743184328</v>
      </c>
      <c r="U516" s="545">
        <f>'Foglio deposito bis'!$F$52*IF(ABS(O516)&lt;'Sollecitazioni nel paramento'!$G$58,ABS(O516)*'Sollecitazioni nel paramento'!$G$54,'Sollecitazioni nel paramento'!$G$53)*IF(O516&lt;0,-1,1)</f>
        <v>240946.49743184328</v>
      </c>
      <c r="V516" s="472">
        <f t="shared" si="39"/>
        <v>546795.09423434746</v>
      </c>
      <c r="W516" s="551"/>
      <c r="X516" s="551"/>
    </row>
    <row r="517" spans="1:24" x14ac:dyDescent="0.25">
      <c r="A517" s="545">
        <f t="shared" si="40"/>
        <v>537462.80236518953</v>
      </c>
      <c r="B517" s="3">
        <f t="shared" si="41"/>
        <v>0.80000000000000016</v>
      </c>
      <c r="C517" s="545">
        <f>'Foglio deposito bis'!$E$155/sezione!$B$247*B517</f>
        <v>3.9193813136605797</v>
      </c>
      <c r="D517" s="603">
        <f>-'Sollecitazioni nel paramento'!$G$47*'Sollecitazioni nel paramento'!$G$41*IF(DATI!$G$211="dx",DATI!$E$61,DATI!$E$64*DATI!$E$63)*1000*C517^2*sezione!$AD$5*(1-sezione!$AD$6)</f>
        <v>-341773.71605620568</v>
      </c>
      <c r="E517" s="545">
        <f>-'Foglio deposito bis'!$F$48*(C517-sezione!$AL$29)*IF(ABS(K517)&lt;'Sollecitazioni nel paramento'!$G$58,ABS(K517)*'Sollecitazioni nel paramento'!$G$54,'Sollecitazioni nel paramento'!$G$53)</f>
        <v>0</v>
      </c>
      <c r="F517" s="545">
        <f>-'Foglio deposito bis'!$F$49*(C517-sezione!$AM$29)*IF(ABS(L517)&lt;'Sollecitazioni nel paramento'!$G$58,ABS(L517)*'Sollecitazioni nel paramento'!$G$54,'Sollecitazioni nel paramento'!$G$53)</f>
        <v>11490160.413507028</v>
      </c>
      <c r="G517" s="545">
        <f>-'Foglio deposito bis'!$F$50*(C517-sezione!$AN$29)*IF(ABS(M517)&lt;'Sollecitazioni nel paramento'!$G$58,ABS(M517)*'Sollecitazioni nel paramento'!$G$54,'Sollecitazioni nel paramento'!$G$53)</f>
        <v>0</v>
      </c>
      <c r="H517" s="545">
        <f>-'Foglio deposito bis'!$F$51*(C517-sezione!$AO$29)*IF(ABS(N517)&lt;'Sollecitazioni nel paramento'!$G$58,ABS(N517)*'Sollecitazioni nel paramento'!$G$54,'Sollecitazioni nel paramento'!$G$53)</f>
        <v>37607078.389468588</v>
      </c>
      <c r="I517" s="472">
        <f>-'Foglio deposito bis'!$F$52*(C517-sezione!$AP$29)*IF(ABS(O517)&lt;'Sollecitazioni nel paramento'!$G$58,ABS(O517)*'Sollecitazioni nel paramento'!$G$54,'Sollecitazioni nel paramento'!$G$53)</f>
        <v>76653144.718582392</v>
      </c>
      <c r="J517" s="472">
        <f t="shared" si="38"/>
        <v>125408609.8055018</v>
      </c>
      <c r="K517" s="550">
        <f>'Sollecitazioni nel paramento'!$G$60*(sezione!$AL$29-C517)/C517</f>
        <v>3.2219923323623847E-2</v>
      </c>
      <c r="L517" s="550">
        <f>'Sollecitazioni nel paramento'!$G$60*(sezione!$AM$29-C517)/C517</f>
        <v>5.0079884985435766E-2</v>
      </c>
      <c r="M517" s="551">
        <f>'Sollecitazioni nel paramento'!$G$60*(sezione!$AN$29-C517)/C517</f>
        <v>6.7939846647247684E-2</v>
      </c>
      <c r="N517" s="551">
        <f>'Sollecitazioni nel paramento'!$G$60*(sezione!$AO$29-C517)/C517</f>
        <v>0.13937969329449537</v>
      </c>
      <c r="O517" s="551">
        <f>'Sollecitazioni nel paramento'!$G$60*(sezione!$AP$29-C517)/C517</f>
        <v>0.28409257667637589</v>
      </c>
      <c r="P517" s="545">
        <f>-'Sollecitazioni nel paramento'!$G$47*'Sollecitazioni nel paramento'!$G$41*IF(DATI!$G$211="dx",DATI!$E$61,DATI!$E$64*DATI!$E$63)*1000*C517*sezione!$AD$5</f>
        <v>-149316.66990652707</v>
      </c>
      <c r="Q517" s="545">
        <f>'Foglio deposito bis'!$F$48*IF(ABS(K517)&lt;'Sollecitazioni nel paramento'!$G$58,ABS(K517)*'Sollecitazioni nel paramento'!$G$54,'Sollecitazioni nel paramento'!$G$53)*IF(K517&lt;0,-1,1)</f>
        <v>0</v>
      </c>
      <c r="R517" s="545">
        <f>'Foglio deposito bis'!$F$49*IF(ABS(L517)&lt;'Sollecitazioni nel paramento'!$G$58,ABS(L517)*'Sollecitazioni nel paramento'!$G$54,'Sollecitazioni nel paramento'!$G$53)*IF(L517&lt;0,-1,1)</f>
        <v>204886.47740803001</v>
      </c>
      <c r="S517" s="545">
        <f>'Foglio deposito bis'!$F$50*IF(ABS(M517)&lt;'Sollecitazioni nel paramento'!$G$58,ABS(M517)*'Sollecitazioni nel paramento'!$G$54,'Sollecitazioni nel paramento'!$G$53)*IF(M517&lt;0,-1,1)</f>
        <v>0</v>
      </c>
      <c r="T517" s="545">
        <f>'Foglio deposito bis'!$F$51*IF(ABS(N517)&lt;'Sollecitazioni nel paramento'!$G$58,ABS(N517)*'Sollecitazioni nel paramento'!$G$54,'Sollecitazioni nel paramento'!$G$53)*IF(N517&lt;0,-1,1)</f>
        <v>240946.49743184328</v>
      </c>
      <c r="U517" s="545">
        <f>'Foglio deposito bis'!$F$52*IF(ABS(O517)&lt;'Sollecitazioni nel paramento'!$G$58,ABS(O517)*'Sollecitazioni nel paramento'!$G$54,'Sollecitazioni nel paramento'!$G$53)*IF(O517&lt;0,-1,1)</f>
        <v>240946.49743184328</v>
      </c>
      <c r="V517" s="472">
        <f t="shared" si="39"/>
        <v>537462.80236518953</v>
      </c>
      <c r="W517" s="551"/>
      <c r="X517" s="551"/>
    </row>
    <row r="518" spans="1:24" x14ac:dyDescent="0.25">
      <c r="A518" s="545">
        <f t="shared" si="40"/>
        <v>528130.51049603161</v>
      </c>
      <c r="B518" s="3">
        <f t="shared" si="41"/>
        <v>0.8500000000000002</v>
      </c>
      <c r="C518" s="545">
        <f>'Foglio deposito bis'!$E$155/sezione!$B$247*B518</f>
        <v>4.164342645764366</v>
      </c>
      <c r="D518" s="603">
        <f>-'Sollecitazioni nel paramento'!$G$47*'Sollecitazioni nel paramento'!$G$41*IF(DATI!$G$211="dx",DATI!$E$61,DATI!$E$64*DATI!$E$63)*1000*C518^2*sezione!$AD$5*(1-sezione!$AD$6)</f>
        <v>-385830.48414157593</v>
      </c>
      <c r="E518" s="545">
        <f>-'Foglio deposito bis'!$F$48*(C518-sezione!$AL$29)*IF(ABS(K518)&lt;'Sollecitazioni nel paramento'!$G$58,ABS(K518)*'Sollecitazioni nel paramento'!$G$54,'Sollecitazioni nel paramento'!$G$53)</f>
        <v>0</v>
      </c>
      <c r="F518" s="545">
        <f>-'Foglio deposito bis'!$F$49*(C518-sezione!$AM$29)*IF(ABS(L518)&lt;'Sollecitazioni nel paramento'!$G$58,ABS(L518)*'Sollecitazioni nel paramento'!$G$54,'Sollecitazioni nel paramento'!$G$53)</f>
        <v>11439971.149071105</v>
      </c>
      <c r="G518" s="545">
        <f>-'Foglio deposito bis'!$F$50*(C518-sezione!$AN$29)*IF(ABS(M518)&lt;'Sollecitazioni nel paramento'!$G$58,ABS(M518)*'Sollecitazioni nel paramento'!$G$54,'Sollecitazioni nel paramento'!$G$53)</f>
        <v>0</v>
      </c>
      <c r="H518" s="545">
        <f>-'Foglio deposito bis'!$F$51*(C518-sezione!$AO$29)*IF(ABS(N518)&lt;'Sollecitazioni nel paramento'!$G$58,ABS(N518)*'Sollecitazioni nel paramento'!$G$54,'Sollecitazioni nel paramento'!$G$53)</f>
        <v>37548055.814491943</v>
      </c>
      <c r="I518" s="472">
        <f>-'Foglio deposito bis'!$F$52*(C518-sezione!$AP$29)*IF(ABS(O518)&lt;'Sollecitazioni nel paramento'!$G$58,ABS(O518)*'Sollecitazioni nel paramento'!$G$54,'Sollecitazioni nel paramento'!$G$53)</f>
        <v>76594122.143605754</v>
      </c>
      <c r="J518" s="472">
        <f t="shared" si="38"/>
        <v>125196318.62302724</v>
      </c>
      <c r="K518" s="550">
        <f>'Sollecitazioni nel paramento'!$G$60*(sezione!$AL$29-C518)/C518</f>
        <v>3.0118751363410679E-2</v>
      </c>
      <c r="L518" s="550">
        <f>'Sollecitazioni nel paramento'!$G$60*(sezione!$AM$29-C518)/C518</f>
        <v>4.6928127045116022E-2</v>
      </c>
      <c r="M518" s="551">
        <f>'Sollecitazioni nel paramento'!$G$60*(sezione!$AN$29-C518)/C518</f>
        <v>6.3737502726821355E-2</v>
      </c>
      <c r="N518" s="551">
        <f>'Sollecitazioni nel paramento'!$G$60*(sezione!$AO$29-C518)/C518</f>
        <v>0.13097500545364268</v>
      </c>
      <c r="O518" s="551">
        <f>'Sollecitazioni nel paramento'!$G$60*(sezione!$AP$29-C518)/C518</f>
        <v>0.26717536628364791</v>
      </c>
      <c r="P518" s="545">
        <f>-'Sollecitazioni nel paramento'!$G$47*'Sollecitazioni nel paramento'!$G$41*IF(DATI!$G$211="dx",DATI!$E$61,DATI!$E$64*DATI!$E$63)*1000*C518*sezione!$AD$5</f>
        <v>-158648.96177568502</v>
      </c>
      <c r="Q518" s="545">
        <f>'Foglio deposito bis'!$F$48*IF(ABS(K518)&lt;'Sollecitazioni nel paramento'!$G$58,ABS(K518)*'Sollecitazioni nel paramento'!$G$54,'Sollecitazioni nel paramento'!$G$53)*IF(K518&lt;0,-1,1)</f>
        <v>0</v>
      </c>
      <c r="R518" s="545">
        <f>'Foglio deposito bis'!$F$49*IF(ABS(L518)&lt;'Sollecitazioni nel paramento'!$G$58,ABS(L518)*'Sollecitazioni nel paramento'!$G$54,'Sollecitazioni nel paramento'!$G$53)*IF(L518&lt;0,-1,1)</f>
        <v>204886.47740803001</v>
      </c>
      <c r="S518" s="545">
        <f>'Foglio deposito bis'!$F$50*IF(ABS(M518)&lt;'Sollecitazioni nel paramento'!$G$58,ABS(M518)*'Sollecitazioni nel paramento'!$G$54,'Sollecitazioni nel paramento'!$G$53)*IF(M518&lt;0,-1,1)</f>
        <v>0</v>
      </c>
      <c r="T518" s="545">
        <f>'Foglio deposito bis'!$F$51*IF(ABS(N518)&lt;'Sollecitazioni nel paramento'!$G$58,ABS(N518)*'Sollecitazioni nel paramento'!$G$54,'Sollecitazioni nel paramento'!$G$53)*IF(N518&lt;0,-1,1)</f>
        <v>240946.49743184328</v>
      </c>
      <c r="U518" s="545">
        <f>'Foglio deposito bis'!$F$52*IF(ABS(O518)&lt;'Sollecitazioni nel paramento'!$G$58,ABS(O518)*'Sollecitazioni nel paramento'!$G$54,'Sollecitazioni nel paramento'!$G$53)*IF(O518&lt;0,-1,1)</f>
        <v>240946.49743184328</v>
      </c>
      <c r="V518" s="472">
        <f t="shared" si="39"/>
        <v>528130.51049603161</v>
      </c>
      <c r="W518" s="551"/>
      <c r="X518" s="551"/>
    </row>
    <row r="519" spans="1:24" x14ac:dyDescent="0.25">
      <c r="A519" s="545">
        <f t="shared" si="40"/>
        <v>518798.21862687368</v>
      </c>
      <c r="B519" s="3">
        <f t="shared" si="41"/>
        <v>0.90000000000000024</v>
      </c>
      <c r="C519" s="545">
        <f>'Foglio deposito bis'!$E$155/sezione!$B$247*B519</f>
        <v>4.4093039778681522</v>
      </c>
      <c r="D519" s="603">
        <f>-'Sollecitazioni nel paramento'!$G$47*'Sollecitazioni nel paramento'!$G$41*IF(DATI!$G$211="dx",DATI!$E$61,DATI!$E$64*DATI!$E$63)*1000*C519^2*sezione!$AD$5*(1-sezione!$AD$6)</f>
        <v>-432557.3593836354</v>
      </c>
      <c r="E519" s="545">
        <f>-'Foglio deposito bis'!$F$48*(C519-sezione!$AL$29)*IF(ABS(K519)&lt;'Sollecitazioni nel paramento'!$G$58,ABS(K519)*'Sollecitazioni nel paramento'!$G$54,'Sollecitazioni nel paramento'!$G$53)</f>
        <v>0</v>
      </c>
      <c r="F519" s="545">
        <f>-'Foglio deposito bis'!$F$49*(C519-sezione!$AM$29)*IF(ABS(L519)&lt;'Sollecitazioni nel paramento'!$G$58,ABS(L519)*'Sollecitazioni nel paramento'!$G$54,'Sollecitazioni nel paramento'!$G$53)</f>
        <v>11389781.88463518</v>
      </c>
      <c r="G519" s="545">
        <f>-'Foglio deposito bis'!$F$50*(C519-sezione!$AN$29)*IF(ABS(M519)&lt;'Sollecitazioni nel paramento'!$G$58,ABS(M519)*'Sollecitazioni nel paramento'!$G$54,'Sollecitazioni nel paramento'!$G$53)</f>
        <v>0</v>
      </c>
      <c r="H519" s="545">
        <f>-'Foglio deposito bis'!$F$51*(C519-sezione!$AO$29)*IF(ABS(N519)&lt;'Sollecitazioni nel paramento'!$G$58,ABS(N519)*'Sollecitazioni nel paramento'!$G$54,'Sollecitazioni nel paramento'!$G$53)</f>
        <v>37489033.239515297</v>
      </c>
      <c r="I519" s="472">
        <f>-'Foglio deposito bis'!$F$52*(C519-sezione!$AP$29)*IF(ABS(O519)&lt;'Sollecitazioni nel paramento'!$G$58,ABS(O519)*'Sollecitazioni nel paramento'!$G$54,'Sollecitazioni nel paramento'!$G$53)</f>
        <v>76535099.568629116</v>
      </c>
      <c r="J519" s="472">
        <f t="shared" si="38"/>
        <v>124981357.33339596</v>
      </c>
      <c r="K519" s="550">
        <f>'Sollecitazioni nel paramento'!$G$60*(sezione!$AL$29-C519)/C519</f>
        <v>2.8251042954332308E-2</v>
      </c>
      <c r="L519" s="550">
        <f>'Sollecitazioni nel paramento'!$G$60*(sezione!$AM$29-C519)/C519</f>
        <v>4.4126564431498462E-2</v>
      </c>
      <c r="M519" s="551">
        <f>'Sollecitazioni nel paramento'!$G$60*(sezione!$AN$29-C519)/C519</f>
        <v>6.0002085908664612E-2</v>
      </c>
      <c r="N519" s="551">
        <f>'Sollecitazioni nel paramento'!$G$60*(sezione!$AO$29-C519)/C519</f>
        <v>0.12350417181732923</v>
      </c>
      <c r="O519" s="551">
        <f>'Sollecitazioni nel paramento'!$G$60*(sezione!$AP$29-C519)/C519</f>
        <v>0.25213784593455635</v>
      </c>
      <c r="P519" s="545">
        <f>-'Sollecitazioni nel paramento'!$G$47*'Sollecitazioni nel paramento'!$G$41*IF(DATI!$G$211="dx",DATI!$E$61,DATI!$E$64*DATI!$E$63)*1000*C519*sezione!$AD$5</f>
        <v>-167981.25364484295</v>
      </c>
      <c r="Q519" s="545">
        <f>'Foglio deposito bis'!$F$48*IF(ABS(K519)&lt;'Sollecitazioni nel paramento'!$G$58,ABS(K519)*'Sollecitazioni nel paramento'!$G$54,'Sollecitazioni nel paramento'!$G$53)*IF(K519&lt;0,-1,1)</f>
        <v>0</v>
      </c>
      <c r="R519" s="545">
        <f>'Foglio deposito bis'!$F$49*IF(ABS(L519)&lt;'Sollecitazioni nel paramento'!$G$58,ABS(L519)*'Sollecitazioni nel paramento'!$G$54,'Sollecitazioni nel paramento'!$G$53)*IF(L519&lt;0,-1,1)</f>
        <v>204886.47740803001</v>
      </c>
      <c r="S519" s="545">
        <f>'Foglio deposito bis'!$F$50*IF(ABS(M519)&lt;'Sollecitazioni nel paramento'!$G$58,ABS(M519)*'Sollecitazioni nel paramento'!$G$54,'Sollecitazioni nel paramento'!$G$53)*IF(M519&lt;0,-1,1)</f>
        <v>0</v>
      </c>
      <c r="T519" s="545">
        <f>'Foglio deposito bis'!$F$51*IF(ABS(N519)&lt;'Sollecitazioni nel paramento'!$G$58,ABS(N519)*'Sollecitazioni nel paramento'!$G$54,'Sollecitazioni nel paramento'!$G$53)*IF(N519&lt;0,-1,1)</f>
        <v>240946.49743184328</v>
      </c>
      <c r="U519" s="545">
        <f>'Foglio deposito bis'!$F$52*IF(ABS(O519)&lt;'Sollecitazioni nel paramento'!$G$58,ABS(O519)*'Sollecitazioni nel paramento'!$G$54,'Sollecitazioni nel paramento'!$G$53)*IF(O519&lt;0,-1,1)</f>
        <v>240946.49743184328</v>
      </c>
      <c r="V519" s="472">
        <f t="shared" si="39"/>
        <v>518798.21862687368</v>
      </c>
      <c r="W519" s="551"/>
      <c r="X519" s="551"/>
    </row>
    <row r="520" spans="1:24" x14ac:dyDescent="0.25">
      <c r="A520" s="545">
        <f t="shared" si="40"/>
        <v>509465.92675771564</v>
      </c>
      <c r="B520" s="3">
        <f t="shared" si="41"/>
        <v>0.95000000000000029</v>
      </c>
      <c r="C520" s="545">
        <f>'Foglio deposito bis'!$E$155/sezione!$B$247*B520</f>
        <v>4.6542653099719393</v>
      </c>
      <c r="D520" s="603">
        <f>-'Sollecitazioni nel paramento'!$G$47*'Sollecitazioni nel paramento'!$G$41*IF(DATI!$G$211="dx",DATI!$E$61,DATI!$E$64*DATI!$E$63)*1000*C520^2*sezione!$AD$5*(1-sezione!$AD$6)</f>
        <v>-481954.34178238403</v>
      </c>
      <c r="E520" s="545">
        <f>-'Foglio deposito bis'!$F$48*(C520-sezione!$AL$29)*IF(ABS(K520)&lt;'Sollecitazioni nel paramento'!$G$58,ABS(K520)*'Sollecitazioni nel paramento'!$G$54,'Sollecitazioni nel paramento'!$G$53)</f>
        <v>0</v>
      </c>
      <c r="F520" s="545">
        <f>-'Foglio deposito bis'!$F$49*(C520-sezione!$AM$29)*IF(ABS(L520)&lt;'Sollecitazioni nel paramento'!$G$58,ABS(L520)*'Sollecitazioni nel paramento'!$G$54,'Sollecitazioni nel paramento'!$G$53)</f>
        <v>11339592.620199256</v>
      </c>
      <c r="G520" s="545">
        <f>-'Foglio deposito bis'!$F$50*(C520-sezione!$AN$29)*IF(ABS(M520)&lt;'Sollecitazioni nel paramento'!$G$58,ABS(M520)*'Sollecitazioni nel paramento'!$G$54,'Sollecitazioni nel paramento'!$G$53)</f>
        <v>0</v>
      </c>
      <c r="H520" s="545">
        <f>-'Foglio deposito bis'!$F$51*(C520-sezione!$AO$29)*IF(ABS(N520)&lt;'Sollecitazioni nel paramento'!$G$58,ABS(N520)*'Sollecitazioni nel paramento'!$G$54,'Sollecitazioni nel paramento'!$G$53)</f>
        <v>37430010.664538652</v>
      </c>
      <c r="I520" s="472">
        <f>-'Foglio deposito bis'!$F$52*(C520-sezione!$AP$29)*IF(ABS(O520)&lt;'Sollecitazioni nel paramento'!$G$58,ABS(O520)*'Sollecitazioni nel paramento'!$G$54,'Sollecitazioni nel paramento'!$G$53)</f>
        <v>76476076.993652463</v>
      </c>
      <c r="J520" s="472">
        <f t="shared" si="38"/>
        <v>124763725.93660799</v>
      </c>
      <c r="K520" s="550">
        <f>'Sollecitazioni nel paramento'!$G$60*(sezione!$AL$29-C520)/C520</f>
        <v>2.6579935430420074E-2</v>
      </c>
      <c r="L520" s="550">
        <f>'Sollecitazioni nel paramento'!$G$60*(sezione!$AM$29-C520)/C520</f>
        <v>4.1619903145630112E-2</v>
      </c>
      <c r="M520" s="551">
        <f>'Sollecitazioni nel paramento'!$G$60*(sezione!$AN$29-C520)/C520</f>
        <v>5.665987086084015E-2</v>
      </c>
      <c r="N520" s="551">
        <f>'Sollecitazioni nel paramento'!$G$60*(sezione!$AO$29-C520)/C520</f>
        <v>0.11681974172168029</v>
      </c>
      <c r="O520" s="551">
        <f>'Sollecitazioni nel paramento'!$G$60*(sezione!$AP$29-C520)/C520</f>
        <v>0.23868322246431647</v>
      </c>
      <c r="P520" s="545">
        <f>-'Sollecitazioni nel paramento'!$G$47*'Sollecitazioni nel paramento'!$G$41*IF(DATI!$G$211="dx",DATI!$E$61,DATI!$E$64*DATI!$E$63)*1000*C520*sezione!$AD$5</f>
        <v>-177313.54551400093</v>
      </c>
      <c r="Q520" s="545">
        <f>'Foglio deposito bis'!$F$48*IF(ABS(K520)&lt;'Sollecitazioni nel paramento'!$G$58,ABS(K520)*'Sollecitazioni nel paramento'!$G$54,'Sollecitazioni nel paramento'!$G$53)*IF(K520&lt;0,-1,1)</f>
        <v>0</v>
      </c>
      <c r="R520" s="545">
        <f>'Foglio deposito bis'!$F$49*IF(ABS(L520)&lt;'Sollecitazioni nel paramento'!$G$58,ABS(L520)*'Sollecitazioni nel paramento'!$G$54,'Sollecitazioni nel paramento'!$G$53)*IF(L520&lt;0,-1,1)</f>
        <v>204886.47740803001</v>
      </c>
      <c r="S520" s="545">
        <f>'Foglio deposito bis'!$F$50*IF(ABS(M520)&lt;'Sollecitazioni nel paramento'!$G$58,ABS(M520)*'Sollecitazioni nel paramento'!$G$54,'Sollecitazioni nel paramento'!$G$53)*IF(M520&lt;0,-1,1)</f>
        <v>0</v>
      </c>
      <c r="T520" s="545">
        <f>'Foglio deposito bis'!$F$51*IF(ABS(N520)&lt;'Sollecitazioni nel paramento'!$G$58,ABS(N520)*'Sollecitazioni nel paramento'!$G$54,'Sollecitazioni nel paramento'!$G$53)*IF(N520&lt;0,-1,1)</f>
        <v>240946.49743184328</v>
      </c>
      <c r="U520" s="545">
        <f>'Foglio deposito bis'!$F$52*IF(ABS(O520)&lt;'Sollecitazioni nel paramento'!$G$58,ABS(O520)*'Sollecitazioni nel paramento'!$G$54,'Sollecitazioni nel paramento'!$G$53)*IF(O520&lt;0,-1,1)</f>
        <v>240946.49743184328</v>
      </c>
      <c r="V520" s="472">
        <f t="shared" si="39"/>
        <v>509465.92675771564</v>
      </c>
      <c r="W520" s="551"/>
      <c r="X520" s="551"/>
    </row>
    <row r="521" spans="1:24" x14ac:dyDescent="0.25">
      <c r="A521" s="545">
        <f t="shared" si="40"/>
        <v>500133.63488855772</v>
      </c>
      <c r="B521" s="3">
        <f t="shared" si="41"/>
        <v>1.0000000000000002</v>
      </c>
      <c r="C521" s="545">
        <f>'Foglio deposito bis'!$E$155/sezione!$B$247*B521</f>
        <v>4.8992266420757247</v>
      </c>
      <c r="D521" s="603">
        <f>-'Sollecitazioni nel paramento'!$G$47*'Sollecitazioni nel paramento'!$G$41*IF(DATI!$G$211="dx",DATI!$E$61,DATI!$E$64*DATI!$E$63)*1000*C521^2*sezione!$AD$5*(1-sezione!$AD$6)</f>
        <v>-534021.43133782141</v>
      </c>
      <c r="E521" s="545">
        <f>-'Foglio deposito bis'!$F$48*(C521-sezione!$AL$29)*IF(ABS(K521)&lt;'Sollecitazioni nel paramento'!$G$58,ABS(K521)*'Sollecitazioni nel paramento'!$G$54,'Sollecitazioni nel paramento'!$G$53)</f>
        <v>0</v>
      </c>
      <c r="F521" s="545">
        <f>-'Foglio deposito bis'!$F$49*(C521-sezione!$AM$29)*IF(ABS(L521)&lt;'Sollecitazioni nel paramento'!$G$58,ABS(L521)*'Sollecitazioni nel paramento'!$G$54,'Sollecitazioni nel paramento'!$G$53)</f>
        <v>11289403.355763335</v>
      </c>
      <c r="G521" s="545">
        <f>-'Foglio deposito bis'!$F$50*(C521-sezione!$AN$29)*IF(ABS(M521)&lt;'Sollecitazioni nel paramento'!$G$58,ABS(M521)*'Sollecitazioni nel paramento'!$G$54,'Sollecitazioni nel paramento'!$G$53)</f>
        <v>0</v>
      </c>
      <c r="H521" s="545">
        <f>-'Foglio deposito bis'!$F$51*(C521-sezione!$AO$29)*IF(ABS(N521)&lt;'Sollecitazioni nel paramento'!$G$58,ABS(N521)*'Sollecitazioni nel paramento'!$G$54,'Sollecitazioni nel paramento'!$G$53)</f>
        <v>37370988.089562014</v>
      </c>
      <c r="I521" s="472">
        <f>-'Foglio deposito bis'!$F$52*(C521-sezione!$AP$29)*IF(ABS(O521)&lt;'Sollecitazioni nel paramento'!$G$58,ABS(O521)*'Sollecitazioni nel paramento'!$G$54,'Sollecitazioni nel paramento'!$G$53)</f>
        <v>76417054.418675825</v>
      </c>
      <c r="J521" s="472">
        <f t="shared" si="38"/>
        <v>124543424.43266335</v>
      </c>
      <c r="K521" s="550">
        <f>'Sollecitazioni nel paramento'!$G$60*(sezione!$AL$29-C521)/C521</f>
        <v>2.5075938658899073E-2</v>
      </c>
      <c r="L521" s="550">
        <f>'Sollecitazioni nel paramento'!$G$60*(sezione!$AM$29-C521)/C521</f>
        <v>3.9363907988348615E-2</v>
      </c>
      <c r="M521" s="551">
        <f>'Sollecitazioni nel paramento'!$G$60*(sezione!$AN$29-C521)/C521</f>
        <v>5.365187731779815E-2</v>
      </c>
      <c r="N521" s="551">
        <f>'Sollecitazioni nel paramento'!$G$60*(sezione!$AO$29-C521)/C521</f>
        <v>0.1108037546355963</v>
      </c>
      <c r="O521" s="551">
        <f>'Sollecitazioni nel paramento'!$G$60*(sezione!$AP$29-C521)/C521</f>
        <v>0.2265740613411007</v>
      </c>
      <c r="P521" s="545">
        <f>-'Sollecitazioni nel paramento'!$G$47*'Sollecitazioni nel paramento'!$G$41*IF(DATI!$G$211="dx",DATI!$E$61,DATI!$E$64*DATI!$E$63)*1000*C521*sezione!$AD$5</f>
        <v>-186645.83738315885</v>
      </c>
      <c r="Q521" s="545">
        <f>'Foglio deposito bis'!$F$48*IF(ABS(K521)&lt;'Sollecitazioni nel paramento'!$G$58,ABS(K521)*'Sollecitazioni nel paramento'!$G$54,'Sollecitazioni nel paramento'!$G$53)*IF(K521&lt;0,-1,1)</f>
        <v>0</v>
      </c>
      <c r="R521" s="545">
        <f>'Foglio deposito bis'!$F$49*IF(ABS(L521)&lt;'Sollecitazioni nel paramento'!$G$58,ABS(L521)*'Sollecitazioni nel paramento'!$G$54,'Sollecitazioni nel paramento'!$G$53)*IF(L521&lt;0,-1,1)</f>
        <v>204886.47740803001</v>
      </c>
      <c r="S521" s="545">
        <f>'Foglio deposito bis'!$F$50*IF(ABS(M521)&lt;'Sollecitazioni nel paramento'!$G$58,ABS(M521)*'Sollecitazioni nel paramento'!$G$54,'Sollecitazioni nel paramento'!$G$53)*IF(M521&lt;0,-1,1)</f>
        <v>0</v>
      </c>
      <c r="T521" s="545">
        <f>'Foglio deposito bis'!$F$51*IF(ABS(N521)&lt;'Sollecitazioni nel paramento'!$G$58,ABS(N521)*'Sollecitazioni nel paramento'!$G$54,'Sollecitazioni nel paramento'!$G$53)*IF(N521&lt;0,-1,1)</f>
        <v>240946.49743184328</v>
      </c>
      <c r="U521" s="545">
        <f>'Foglio deposito bis'!$F$52*IF(ABS(O521)&lt;'Sollecitazioni nel paramento'!$G$58,ABS(O521)*'Sollecitazioni nel paramento'!$G$54,'Sollecitazioni nel paramento'!$G$53)*IF(O521&lt;0,-1,1)</f>
        <v>240946.49743184328</v>
      </c>
      <c r="V521" s="472">
        <f t="shared" si="39"/>
        <v>500133.63488855772</v>
      </c>
      <c r="W521" s="551"/>
      <c r="X521" s="551"/>
    </row>
    <row r="522" spans="1:24" x14ac:dyDescent="0.25">
      <c r="A522" s="545">
        <f t="shared" si="40"/>
        <v>490801.34301939979</v>
      </c>
      <c r="B522" s="3">
        <f t="shared" si="41"/>
        <v>1.0500000000000003</v>
      </c>
      <c r="C522" s="545">
        <f>'Foglio deposito bis'!$E$155/sezione!$B$247*B522</f>
        <v>5.1441879741795109</v>
      </c>
      <c r="D522" s="603">
        <f>-'Sollecitazioni nel paramento'!$G$47*'Sollecitazioni nel paramento'!$G$41*IF(DATI!$G$211="dx",DATI!$E$61,DATI!$E$64*DATI!$E$63)*1000*C522^2*sezione!$AD$5*(1-sezione!$AD$6)</f>
        <v>-588758.62804994814</v>
      </c>
      <c r="E522" s="545">
        <f>-'Foglio deposito bis'!$F$48*(C522-sezione!$AL$29)*IF(ABS(K522)&lt;'Sollecitazioni nel paramento'!$G$58,ABS(K522)*'Sollecitazioni nel paramento'!$G$54,'Sollecitazioni nel paramento'!$G$53)</f>
        <v>0</v>
      </c>
      <c r="F522" s="545">
        <f>-'Foglio deposito bis'!$F$49*(C522-sezione!$AM$29)*IF(ABS(L522)&lt;'Sollecitazioni nel paramento'!$G$58,ABS(L522)*'Sollecitazioni nel paramento'!$G$54,'Sollecitazioni nel paramento'!$G$53)</f>
        <v>11239214.091327412</v>
      </c>
      <c r="G522" s="545">
        <f>-'Foglio deposito bis'!$F$50*(C522-sezione!$AN$29)*IF(ABS(M522)&lt;'Sollecitazioni nel paramento'!$G$58,ABS(M522)*'Sollecitazioni nel paramento'!$G$54,'Sollecitazioni nel paramento'!$G$53)</f>
        <v>0</v>
      </c>
      <c r="H522" s="545">
        <f>-'Foglio deposito bis'!$F$51*(C522-sezione!$AO$29)*IF(ABS(N522)&lt;'Sollecitazioni nel paramento'!$G$58,ABS(N522)*'Sollecitazioni nel paramento'!$G$54,'Sollecitazioni nel paramento'!$G$53)</f>
        <v>37311965.514585361</v>
      </c>
      <c r="I522" s="472">
        <f>-'Foglio deposito bis'!$F$52*(C522-sezione!$AP$29)*IF(ABS(O522)&lt;'Sollecitazioni nel paramento'!$G$58,ABS(O522)*'Sollecitazioni nel paramento'!$G$54,'Sollecitazioni nel paramento'!$G$53)</f>
        <v>76358031.843699187</v>
      </c>
      <c r="J522" s="472">
        <f t="shared" si="38"/>
        <v>124320452.82156202</v>
      </c>
      <c r="K522" s="550">
        <f>'Sollecitazioni nel paramento'!$G$60*(sezione!$AL$29-C522)/C522</f>
        <v>2.3715179675141976E-2</v>
      </c>
      <c r="L522" s="550">
        <f>'Sollecitazioni nel paramento'!$G$60*(sezione!$AM$29-C522)/C522</f>
        <v>3.7322769512712968E-2</v>
      </c>
      <c r="M522" s="551">
        <f>'Sollecitazioni nel paramento'!$G$60*(sezione!$AN$29-C522)/C522</f>
        <v>5.0930359350283942E-2</v>
      </c>
      <c r="N522" s="551">
        <f>'Sollecitazioni nel paramento'!$G$60*(sezione!$AO$29-C522)/C522</f>
        <v>0.1053607187005679</v>
      </c>
      <c r="O522" s="551">
        <f>'Sollecitazioni nel paramento'!$G$60*(sezione!$AP$29-C522)/C522</f>
        <v>0.21561815365819118</v>
      </c>
      <c r="P522" s="545">
        <f>-'Sollecitazioni nel paramento'!$G$47*'Sollecitazioni nel paramento'!$G$41*IF(DATI!$G$211="dx",DATI!$E$61,DATI!$E$64*DATI!$E$63)*1000*C522*sezione!$AD$5</f>
        <v>-195978.12925231681</v>
      </c>
      <c r="Q522" s="545">
        <f>'Foglio deposito bis'!$F$48*IF(ABS(K522)&lt;'Sollecitazioni nel paramento'!$G$58,ABS(K522)*'Sollecitazioni nel paramento'!$G$54,'Sollecitazioni nel paramento'!$G$53)*IF(K522&lt;0,-1,1)</f>
        <v>0</v>
      </c>
      <c r="R522" s="545">
        <f>'Foglio deposito bis'!$F$49*IF(ABS(L522)&lt;'Sollecitazioni nel paramento'!$G$58,ABS(L522)*'Sollecitazioni nel paramento'!$G$54,'Sollecitazioni nel paramento'!$G$53)*IF(L522&lt;0,-1,1)</f>
        <v>204886.47740803001</v>
      </c>
      <c r="S522" s="545">
        <f>'Foglio deposito bis'!$F$50*IF(ABS(M522)&lt;'Sollecitazioni nel paramento'!$G$58,ABS(M522)*'Sollecitazioni nel paramento'!$G$54,'Sollecitazioni nel paramento'!$G$53)*IF(M522&lt;0,-1,1)</f>
        <v>0</v>
      </c>
      <c r="T522" s="545">
        <f>'Foglio deposito bis'!$F$51*IF(ABS(N522)&lt;'Sollecitazioni nel paramento'!$G$58,ABS(N522)*'Sollecitazioni nel paramento'!$G$54,'Sollecitazioni nel paramento'!$G$53)*IF(N522&lt;0,-1,1)</f>
        <v>240946.49743184328</v>
      </c>
      <c r="U522" s="545">
        <f>'Foglio deposito bis'!$F$52*IF(ABS(O522)&lt;'Sollecitazioni nel paramento'!$G$58,ABS(O522)*'Sollecitazioni nel paramento'!$G$54,'Sollecitazioni nel paramento'!$G$53)*IF(O522&lt;0,-1,1)</f>
        <v>240946.49743184328</v>
      </c>
      <c r="V522" s="472">
        <f t="shared" si="39"/>
        <v>490801.34301939979</v>
      </c>
      <c r="W522" s="551"/>
      <c r="X522" s="551"/>
    </row>
    <row r="523" spans="1:24" x14ac:dyDescent="0.25">
      <c r="A523" s="545">
        <f t="shared" si="40"/>
        <v>481469.05115024181</v>
      </c>
      <c r="B523" s="3">
        <f t="shared" si="41"/>
        <v>1.1000000000000003</v>
      </c>
      <c r="C523" s="545">
        <f>'Foglio deposito bis'!$E$155/sezione!$B$247*B523</f>
        <v>5.389149306283298</v>
      </c>
      <c r="D523" s="603">
        <f>-'Sollecitazioni nel paramento'!$G$47*'Sollecitazioni nel paramento'!$G$41*IF(DATI!$G$211="dx",DATI!$E$61,DATI!$E$64*DATI!$E$63)*1000*C523^2*sezione!$AD$5*(1-sezione!$AD$6)</f>
        <v>-646165.93191876425</v>
      </c>
      <c r="E523" s="545">
        <f>-'Foglio deposito bis'!$F$48*(C523-sezione!$AL$29)*IF(ABS(K523)&lt;'Sollecitazioni nel paramento'!$G$58,ABS(K523)*'Sollecitazioni nel paramento'!$G$54,'Sollecitazioni nel paramento'!$G$53)</f>
        <v>0</v>
      </c>
      <c r="F523" s="545">
        <f>-'Foglio deposito bis'!$F$49*(C523-sezione!$AM$29)*IF(ABS(L523)&lt;'Sollecitazioni nel paramento'!$G$58,ABS(L523)*'Sollecitazioni nel paramento'!$G$54,'Sollecitazioni nel paramento'!$G$53)</f>
        <v>11189024.826891486</v>
      </c>
      <c r="G523" s="545">
        <f>-'Foglio deposito bis'!$F$50*(C523-sezione!$AN$29)*IF(ABS(M523)&lt;'Sollecitazioni nel paramento'!$G$58,ABS(M523)*'Sollecitazioni nel paramento'!$G$54,'Sollecitazioni nel paramento'!$G$53)</f>
        <v>0</v>
      </c>
      <c r="H523" s="545">
        <f>-'Foglio deposito bis'!$F$51*(C523-sezione!$AO$29)*IF(ABS(N523)&lt;'Sollecitazioni nel paramento'!$G$58,ABS(N523)*'Sollecitazioni nel paramento'!$G$54,'Sollecitazioni nel paramento'!$G$53)</f>
        <v>37252942.939608715</v>
      </c>
      <c r="I523" s="472">
        <f>-'Foglio deposito bis'!$F$52*(C523-sezione!$AP$29)*IF(ABS(O523)&lt;'Sollecitazioni nel paramento'!$G$58,ABS(O523)*'Sollecitazioni nel paramento'!$G$54,'Sollecitazioni nel paramento'!$G$53)</f>
        <v>76299009.268722534</v>
      </c>
      <c r="J523" s="472">
        <f t="shared" si="38"/>
        <v>124094811.10330397</v>
      </c>
      <c r="K523" s="550">
        <f>'Sollecitazioni nel paramento'!$G$60*(sezione!$AL$29-C523)/C523</f>
        <v>2.2478126053544607E-2</v>
      </c>
      <c r="L523" s="550">
        <f>'Sollecitazioni nel paramento'!$G$60*(sezione!$AM$29-C523)/C523</f>
        <v>3.5467189080316909E-2</v>
      </c>
      <c r="M523" s="551">
        <f>'Sollecitazioni nel paramento'!$G$60*(sezione!$AN$29-C523)/C523</f>
        <v>4.8456252107089211E-2</v>
      </c>
      <c r="N523" s="551">
        <f>'Sollecitazioni nel paramento'!$G$60*(sezione!$AO$29-C523)/C523</f>
        <v>0.10041250421417845</v>
      </c>
      <c r="O523" s="551">
        <f>'Sollecitazioni nel paramento'!$G$60*(sezione!$AP$29-C523)/C523</f>
        <v>0.20565823758281879</v>
      </c>
      <c r="P523" s="545">
        <f>-'Sollecitazioni nel paramento'!$G$47*'Sollecitazioni nel paramento'!$G$41*IF(DATI!$G$211="dx",DATI!$E$61,DATI!$E$64*DATI!$E$63)*1000*C523*sezione!$AD$5</f>
        <v>-205310.42112147476</v>
      </c>
      <c r="Q523" s="545">
        <f>'Foglio deposito bis'!$F$48*IF(ABS(K523)&lt;'Sollecitazioni nel paramento'!$G$58,ABS(K523)*'Sollecitazioni nel paramento'!$G$54,'Sollecitazioni nel paramento'!$G$53)*IF(K523&lt;0,-1,1)</f>
        <v>0</v>
      </c>
      <c r="R523" s="545">
        <f>'Foglio deposito bis'!$F$49*IF(ABS(L523)&lt;'Sollecitazioni nel paramento'!$G$58,ABS(L523)*'Sollecitazioni nel paramento'!$G$54,'Sollecitazioni nel paramento'!$G$53)*IF(L523&lt;0,-1,1)</f>
        <v>204886.47740803001</v>
      </c>
      <c r="S523" s="545">
        <f>'Foglio deposito bis'!$F$50*IF(ABS(M523)&lt;'Sollecitazioni nel paramento'!$G$58,ABS(M523)*'Sollecitazioni nel paramento'!$G$54,'Sollecitazioni nel paramento'!$G$53)*IF(M523&lt;0,-1,1)</f>
        <v>0</v>
      </c>
      <c r="T523" s="545">
        <f>'Foglio deposito bis'!$F$51*IF(ABS(N523)&lt;'Sollecitazioni nel paramento'!$G$58,ABS(N523)*'Sollecitazioni nel paramento'!$G$54,'Sollecitazioni nel paramento'!$G$53)*IF(N523&lt;0,-1,1)</f>
        <v>240946.49743184328</v>
      </c>
      <c r="U523" s="545">
        <f>'Foglio deposito bis'!$F$52*IF(ABS(O523)&lt;'Sollecitazioni nel paramento'!$G$58,ABS(O523)*'Sollecitazioni nel paramento'!$G$54,'Sollecitazioni nel paramento'!$G$53)*IF(O523&lt;0,-1,1)</f>
        <v>240946.49743184328</v>
      </c>
      <c r="V523" s="472">
        <f t="shared" si="39"/>
        <v>481469.05115024181</v>
      </c>
      <c r="W523" s="551"/>
      <c r="X523" s="551"/>
    </row>
    <row r="524" spans="1:24" x14ac:dyDescent="0.25">
      <c r="A524" s="545">
        <f t="shared" si="40"/>
        <v>472136.75928108388</v>
      </c>
      <c r="B524" s="3">
        <f t="shared" si="41"/>
        <v>1.1500000000000004</v>
      </c>
      <c r="C524" s="545">
        <f>'Foglio deposito bis'!$E$155/sezione!$B$247*B524</f>
        <v>5.6341106383870843</v>
      </c>
      <c r="D524" s="603">
        <f>-'Sollecitazioni nel paramento'!$G$47*'Sollecitazioni nel paramento'!$G$41*IF(DATI!$G$211="dx",DATI!$E$61,DATI!$E$64*DATI!$E$63)*1000*C524^2*sezione!$AD$5*(1-sezione!$AD$6)</f>
        <v>-706243.34294426918</v>
      </c>
      <c r="E524" s="545">
        <f>-'Foglio deposito bis'!$F$48*(C524-sezione!$AL$29)*IF(ABS(K524)&lt;'Sollecitazioni nel paramento'!$G$58,ABS(K524)*'Sollecitazioni nel paramento'!$G$54,'Sollecitazioni nel paramento'!$G$53)</f>
        <v>0</v>
      </c>
      <c r="F524" s="545">
        <f>-'Foglio deposito bis'!$F$49*(C524-sezione!$AM$29)*IF(ABS(L524)&lt;'Sollecitazioni nel paramento'!$G$58,ABS(L524)*'Sollecitazioni nel paramento'!$G$54,'Sollecitazioni nel paramento'!$G$53)</f>
        <v>11138835.562455563</v>
      </c>
      <c r="G524" s="545">
        <f>-'Foglio deposito bis'!$F$50*(C524-sezione!$AN$29)*IF(ABS(M524)&lt;'Sollecitazioni nel paramento'!$G$58,ABS(M524)*'Sollecitazioni nel paramento'!$G$54,'Sollecitazioni nel paramento'!$G$53)</f>
        <v>0</v>
      </c>
      <c r="H524" s="545">
        <f>-'Foglio deposito bis'!$F$51*(C524-sezione!$AO$29)*IF(ABS(N524)&lt;'Sollecitazioni nel paramento'!$G$58,ABS(N524)*'Sollecitazioni nel paramento'!$G$54,'Sollecitazioni nel paramento'!$G$53)</f>
        <v>37193920.36463207</v>
      </c>
      <c r="I524" s="472">
        <f>-'Foglio deposito bis'!$F$52*(C524-sezione!$AP$29)*IF(ABS(O524)&lt;'Sollecitazioni nel paramento'!$G$58,ABS(O524)*'Sollecitazioni nel paramento'!$G$54,'Sollecitazioni nel paramento'!$G$53)</f>
        <v>76239986.693745881</v>
      </c>
      <c r="J524" s="472">
        <f t="shared" si="38"/>
        <v>123866499.27788925</v>
      </c>
      <c r="K524" s="550">
        <f>'Sollecitazioni nel paramento'!$G$60*(sezione!$AL$29-C524)/C524</f>
        <v>2.134864231208615E-2</v>
      </c>
      <c r="L524" s="550">
        <f>'Sollecitazioni nel paramento'!$G$60*(sezione!$AM$29-C524)/C524</f>
        <v>3.3772963468129219E-2</v>
      </c>
      <c r="M524" s="551">
        <f>'Sollecitazioni nel paramento'!$G$60*(sezione!$AN$29-C524)/C524</f>
        <v>4.6197284624172288E-2</v>
      </c>
      <c r="N524" s="551">
        <f>'Sollecitazioni nel paramento'!$G$60*(sezione!$AO$29-C524)/C524</f>
        <v>9.5894569248344594E-2</v>
      </c>
      <c r="O524" s="551">
        <f>'Sollecitazioni nel paramento'!$G$60*(sezione!$AP$29-C524)/C524</f>
        <v>0.19656440116617449</v>
      </c>
      <c r="P524" s="545">
        <f>-'Sollecitazioni nel paramento'!$G$47*'Sollecitazioni nel paramento'!$G$41*IF(DATI!$G$211="dx",DATI!$E$61,DATI!$E$64*DATI!$E$63)*1000*C524*sezione!$AD$5</f>
        <v>-214642.71299063269</v>
      </c>
      <c r="Q524" s="545">
        <f>'Foglio deposito bis'!$F$48*IF(ABS(K524)&lt;'Sollecitazioni nel paramento'!$G$58,ABS(K524)*'Sollecitazioni nel paramento'!$G$54,'Sollecitazioni nel paramento'!$G$53)*IF(K524&lt;0,-1,1)</f>
        <v>0</v>
      </c>
      <c r="R524" s="545">
        <f>'Foglio deposito bis'!$F$49*IF(ABS(L524)&lt;'Sollecitazioni nel paramento'!$G$58,ABS(L524)*'Sollecitazioni nel paramento'!$G$54,'Sollecitazioni nel paramento'!$G$53)*IF(L524&lt;0,-1,1)</f>
        <v>204886.47740803001</v>
      </c>
      <c r="S524" s="545">
        <f>'Foglio deposito bis'!$F$50*IF(ABS(M524)&lt;'Sollecitazioni nel paramento'!$G$58,ABS(M524)*'Sollecitazioni nel paramento'!$G$54,'Sollecitazioni nel paramento'!$G$53)*IF(M524&lt;0,-1,1)</f>
        <v>0</v>
      </c>
      <c r="T524" s="545">
        <f>'Foglio deposito bis'!$F$51*IF(ABS(N524)&lt;'Sollecitazioni nel paramento'!$G$58,ABS(N524)*'Sollecitazioni nel paramento'!$G$54,'Sollecitazioni nel paramento'!$G$53)*IF(N524&lt;0,-1,1)</f>
        <v>240946.49743184328</v>
      </c>
      <c r="U524" s="545">
        <f>'Foglio deposito bis'!$F$52*IF(ABS(O524)&lt;'Sollecitazioni nel paramento'!$G$58,ABS(O524)*'Sollecitazioni nel paramento'!$G$54,'Sollecitazioni nel paramento'!$G$53)*IF(O524&lt;0,-1,1)</f>
        <v>240946.49743184328</v>
      </c>
      <c r="V524" s="472">
        <f t="shared" si="39"/>
        <v>472136.75928108388</v>
      </c>
      <c r="W524" s="551"/>
      <c r="X524" s="551"/>
    </row>
    <row r="525" spans="1:24" x14ac:dyDescent="0.25">
      <c r="A525" s="545">
        <f t="shared" si="40"/>
        <v>462804.4674119259</v>
      </c>
      <c r="B525" s="3">
        <f t="shared" si="41"/>
        <v>1.2000000000000004</v>
      </c>
      <c r="C525" s="545">
        <f>'Foglio deposito bis'!$E$155/sezione!$B$247*B525</f>
        <v>5.8790719704908705</v>
      </c>
      <c r="D525" s="603">
        <f>-'Sollecitazioni nel paramento'!$G$47*'Sollecitazioni nel paramento'!$G$41*IF(DATI!$G$211="dx",DATI!$E$61,DATI!$E$64*DATI!$E$63)*1000*C525^2*sezione!$AD$5*(1-sezione!$AD$6)</f>
        <v>-768990.86112646316</v>
      </c>
      <c r="E525" s="545">
        <f>-'Foglio deposito bis'!$F$48*(C525-sezione!$AL$29)*IF(ABS(K525)&lt;'Sollecitazioni nel paramento'!$G$58,ABS(K525)*'Sollecitazioni nel paramento'!$G$54,'Sollecitazioni nel paramento'!$G$53)</f>
        <v>0</v>
      </c>
      <c r="F525" s="545">
        <f>-'Foglio deposito bis'!$F$49*(C525-sezione!$AM$29)*IF(ABS(L525)&lt;'Sollecitazioni nel paramento'!$G$58,ABS(L525)*'Sollecitazioni nel paramento'!$G$54,'Sollecitazioni nel paramento'!$G$53)</f>
        <v>11088646.29801964</v>
      </c>
      <c r="G525" s="545">
        <f>-'Foglio deposito bis'!$F$50*(C525-sezione!$AN$29)*IF(ABS(M525)&lt;'Sollecitazioni nel paramento'!$G$58,ABS(M525)*'Sollecitazioni nel paramento'!$G$54,'Sollecitazioni nel paramento'!$G$53)</f>
        <v>0</v>
      </c>
      <c r="H525" s="545">
        <f>-'Foglio deposito bis'!$F$51*(C525-sezione!$AO$29)*IF(ABS(N525)&lt;'Sollecitazioni nel paramento'!$G$58,ABS(N525)*'Sollecitazioni nel paramento'!$G$54,'Sollecitazioni nel paramento'!$G$53)</f>
        <v>37134897.789655425</v>
      </c>
      <c r="I525" s="472">
        <f>-'Foglio deposito bis'!$F$52*(C525-sezione!$AP$29)*IF(ABS(O525)&lt;'Sollecitazioni nel paramento'!$G$58,ABS(O525)*'Sollecitazioni nel paramento'!$G$54,'Sollecitazioni nel paramento'!$G$53)</f>
        <v>76180964.118769228</v>
      </c>
      <c r="J525" s="472">
        <f t="shared" si="38"/>
        <v>123635517.34531783</v>
      </c>
      <c r="K525" s="550">
        <f>'Sollecitazioni nel paramento'!$G$60*(sezione!$AL$29-C525)/C525</f>
        <v>2.0313282215749226E-2</v>
      </c>
      <c r="L525" s="550">
        <f>'Sollecitazioni nel paramento'!$G$60*(sezione!$AM$29-C525)/C525</f>
        <v>3.2219923323623841E-2</v>
      </c>
      <c r="M525" s="551">
        <f>'Sollecitazioni nel paramento'!$G$60*(sezione!$AN$29-C525)/C525</f>
        <v>4.4126564431498455E-2</v>
      </c>
      <c r="N525" s="551">
        <f>'Sollecitazioni nel paramento'!$G$60*(sezione!$AO$29-C525)/C525</f>
        <v>9.1753128862996899E-2</v>
      </c>
      <c r="O525" s="551">
        <f>'Sollecitazioni nel paramento'!$G$60*(sezione!$AP$29-C525)/C525</f>
        <v>0.18822838445091722</v>
      </c>
      <c r="P525" s="545">
        <f>-'Sollecitazioni nel paramento'!$G$47*'Sollecitazioni nel paramento'!$G$41*IF(DATI!$G$211="dx",DATI!$E$61,DATI!$E$64*DATI!$E$63)*1000*C525*sezione!$AD$5</f>
        <v>-223975.00485979064</v>
      </c>
      <c r="Q525" s="545">
        <f>'Foglio deposito bis'!$F$48*IF(ABS(K525)&lt;'Sollecitazioni nel paramento'!$G$58,ABS(K525)*'Sollecitazioni nel paramento'!$G$54,'Sollecitazioni nel paramento'!$G$53)*IF(K525&lt;0,-1,1)</f>
        <v>0</v>
      </c>
      <c r="R525" s="545">
        <f>'Foglio deposito bis'!$F$49*IF(ABS(L525)&lt;'Sollecitazioni nel paramento'!$G$58,ABS(L525)*'Sollecitazioni nel paramento'!$G$54,'Sollecitazioni nel paramento'!$G$53)*IF(L525&lt;0,-1,1)</f>
        <v>204886.47740803001</v>
      </c>
      <c r="S525" s="545">
        <f>'Foglio deposito bis'!$F$50*IF(ABS(M525)&lt;'Sollecitazioni nel paramento'!$G$58,ABS(M525)*'Sollecitazioni nel paramento'!$G$54,'Sollecitazioni nel paramento'!$G$53)*IF(M525&lt;0,-1,1)</f>
        <v>0</v>
      </c>
      <c r="T525" s="545">
        <f>'Foglio deposito bis'!$F$51*IF(ABS(N525)&lt;'Sollecitazioni nel paramento'!$G$58,ABS(N525)*'Sollecitazioni nel paramento'!$G$54,'Sollecitazioni nel paramento'!$G$53)*IF(N525&lt;0,-1,1)</f>
        <v>240946.49743184328</v>
      </c>
      <c r="U525" s="545">
        <f>'Foglio deposito bis'!$F$52*IF(ABS(O525)&lt;'Sollecitazioni nel paramento'!$G$58,ABS(O525)*'Sollecitazioni nel paramento'!$G$54,'Sollecitazioni nel paramento'!$G$53)*IF(O525&lt;0,-1,1)</f>
        <v>240946.49743184328</v>
      </c>
      <c r="V525" s="472">
        <f t="shared" si="39"/>
        <v>462804.4674119259</v>
      </c>
      <c r="W525" s="551"/>
      <c r="X525" s="551"/>
    </row>
    <row r="526" spans="1:24" x14ac:dyDescent="0.25">
      <c r="A526" s="545">
        <f t="shared" si="40"/>
        <v>453472.17554276797</v>
      </c>
      <c r="B526" s="3">
        <f t="shared" si="41"/>
        <v>1.2500000000000004</v>
      </c>
      <c r="C526" s="545">
        <f>'Foglio deposito bis'!$E$155/sezione!$B$247*B526</f>
        <v>6.1240333025946567</v>
      </c>
      <c r="D526" s="603">
        <f>-'Sollecitazioni nel paramento'!$G$47*'Sollecitazioni nel paramento'!$G$41*IF(DATI!$G$211="dx",DATI!$E$61,DATI!$E$64*DATI!$E$63)*1000*C526^2*sezione!$AD$5*(1-sezione!$AD$6)</f>
        <v>-834408.4864653463</v>
      </c>
      <c r="E526" s="545">
        <f>-'Foglio deposito bis'!$F$48*(C526-sezione!$AL$29)*IF(ABS(K526)&lt;'Sollecitazioni nel paramento'!$G$58,ABS(K526)*'Sollecitazioni nel paramento'!$G$54,'Sollecitazioni nel paramento'!$G$53)</f>
        <v>0</v>
      </c>
      <c r="F526" s="545">
        <f>-'Foglio deposito bis'!$F$49*(C526-sezione!$AM$29)*IF(ABS(L526)&lt;'Sollecitazioni nel paramento'!$G$58,ABS(L526)*'Sollecitazioni nel paramento'!$G$54,'Sollecitazioni nel paramento'!$G$53)</f>
        <v>11038457.033583717</v>
      </c>
      <c r="G526" s="545">
        <f>-'Foglio deposito bis'!$F$50*(C526-sezione!$AN$29)*IF(ABS(M526)&lt;'Sollecitazioni nel paramento'!$G$58,ABS(M526)*'Sollecitazioni nel paramento'!$G$54,'Sollecitazioni nel paramento'!$G$53)</f>
        <v>0</v>
      </c>
      <c r="H526" s="545">
        <f>-'Foglio deposito bis'!$F$51*(C526-sezione!$AO$29)*IF(ABS(N526)&lt;'Sollecitazioni nel paramento'!$G$58,ABS(N526)*'Sollecitazioni nel paramento'!$G$54,'Sollecitazioni nel paramento'!$G$53)</f>
        <v>37075875.214678779</v>
      </c>
      <c r="I526" s="472">
        <f>-'Foglio deposito bis'!$F$52*(C526-sezione!$AP$29)*IF(ABS(O526)&lt;'Sollecitazioni nel paramento'!$G$58,ABS(O526)*'Sollecitazioni nel paramento'!$G$54,'Sollecitazioni nel paramento'!$G$53)</f>
        <v>76121941.543792576</v>
      </c>
      <c r="J526" s="472">
        <f t="shared" si="38"/>
        <v>123401865.30558974</v>
      </c>
      <c r="K526" s="550">
        <f>'Sollecitazioni nel paramento'!$G$60*(sezione!$AL$29-C526)/C526</f>
        <v>1.9360750927119259E-2</v>
      </c>
      <c r="L526" s="550">
        <f>'Sollecitazioni nel paramento'!$G$60*(sezione!$AM$29-C526)/C526</f>
        <v>3.0791126390678887E-2</v>
      </c>
      <c r="M526" s="551">
        <f>'Sollecitazioni nel paramento'!$G$60*(sezione!$AN$29-C526)/C526</f>
        <v>4.2221501854238522E-2</v>
      </c>
      <c r="N526" s="551">
        <f>'Sollecitazioni nel paramento'!$G$60*(sezione!$AO$29-C526)/C526</f>
        <v>8.7943003708477033E-2</v>
      </c>
      <c r="O526" s="551">
        <f>'Sollecitazioni nel paramento'!$G$60*(sezione!$AP$29-C526)/C526</f>
        <v>0.18055924907288051</v>
      </c>
      <c r="P526" s="545">
        <f>-'Sollecitazioni nel paramento'!$G$47*'Sollecitazioni nel paramento'!$G$41*IF(DATI!$G$211="dx",DATI!$E$61,DATI!$E$64*DATI!$E$63)*1000*C526*sezione!$AD$5</f>
        <v>-233307.29672894857</v>
      </c>
      <c r="Q526" s="545">
        <f>'Foglio deposito bis'!$F$48*IF(ABS(K526)&lt;'Sollecitazioni nel paramento'!$G$58,ABS(K526)*'Sollecitazioni nel paramento'!$G$54,'Sollecitazioni nel paramento'!$G$53)*IF(K526&lt;0,-1,1)</f>
        <v>0</v>
      </c>
      <c r="R526" s="545">
        <f>'Foglio deposito bis'!$F$49*IF(ABS(L526)&lt;'Sollecitazioni nel paramento'!$G$58,ABS(L526)*'Sollecitazioni nel paramento'!$G$54,'Sollecitazioni nel paramento'!$G$53)*IF(L526&lt;0,-1,1)</f>
        <v>204886.47740803001</v>
      </c>
      <c r="S526" s="545">
        <f>'Foglio deposito bis'!$F$50*IF(ABS(M526)&lt;'Sollecitazioni nel paramento'!$G$58,ABS(M526)*'Sollecitazioni nel paramento'!$G$54,'Sollecitazioni nel paramento'!$G$53)*IF(M526&lt;0,-1,1)</f>
        <v>0</v>
      </c>
      <c r="T526" s="545">
        <f>'Foglio deposito bis'!$F$51*IF(ABS(N526)&lt;'Sollecitazioni nel paramento'!$G$58,ABS(N526)*'Sollecitazioni nel paramento'!$G$54,'Sollecitazioni nel paramento'!$G$53)*IF(N526&lt;0,-1,1)</f>
        <v>240946.49743184328</v>
      </c>
      <c r="U526" s="545">
        <f>'Foglio deposito bis'!$F$52*IF(ABS(O526)&lt;'Sollecitazioni nel paramento'!$G$58,ABS(O526)*'Sollecitazioni nel paramento'!$G$54,'Sollecitazioni nel paramento'!$G$53)*IF(O526&lt;0,-1,1)</f>
        <v>240946.49743184328</v>
      </c>
      <c r="V526" s="472">
        <f t="shared" si="39"/>
        <v>453472.17554276797</v>
      </c>
      <c r="W526" s="551"/>
      <c r="X526" s="551"/>
    </row>
    <row r="527" spans="1:24" x14ac:dyDescent="0.25">
      <c r="A527" s="545">
        <f t="shared" si="40"/>
        <v>444139.88367361005</v>
      </c>
      <c r="B527" s="3">
        <f t="shared" si="41"/>
        <v>1.3000000000000005</v>
      </c>
      <c r="C527" s="545">
        <f>'Foglio deposito bis'!$E$155/sezione!$B$247*B527</f>
        <v>6.368994634698443</v>
      </c>
      <c r="D527" s="603">
        <f>-'Sollecitazioni nel paramento'!$G$47*'Sollecitazioni nel paramento'!$G$41*IF(DATI!$G$211="dx",DATI!$E$61,DATI!$E$64*DATI!$E$63)*1000*C527^2*sezione!$AD$5*(1-sezione!$AD$6)</f>
        <v>-902496.21896091837</v>
      </c>
      <c r="E527" s="545">
        <f>-'Foglio deposito bis'!$F$48*(C527-sezione!$AL$29)*IF(ABS(K527)&lt;'Sollecitazioni nel paramento'!$G$58,ABS(K527)*'Sollecitazioni nel paramento'!$G$54,'Sollecitazioni nel paramento'!$G$53)</f>
        <v>0</v>
      </c>
      <c r="F527" s="545">
        <f>-'Foglio deposito bis'!$F$49*(C527-sezione!$AM$29)*IF(ABS(L527)&lt;'Sollecitazioni nel paramento'!$G$58,ABS(L527)*'Sollecitazioni nel paramento'!$G$54,'Sollecitazioni nel paramento'!$G$53)</f>
        <v>10988267.769147793</v>
      </c>
      <c r="G527" s="545">
        <f>-'Foglio deposito bis'!$F$50*(C527-sezione!$AN$29)*IF(ABS(M527)&lt;'Sollecitazioni nel paramento'!$G$58,ABS(M527)*'Sollecitazioni nel paramento'!$G$54,'Sollecitazioni nel paramento'!$G$53)</f>
        <v>0</v>
      </c>
      <c r="H527" s="545">
        <f>-'Foglio deposito bis'!$F$51*(C527-sezione!$AO$29)*IF(ABS(N527)&lt;'Sollecitazioni nel paramento'!$G$58,ABS(N527)*'Sollecitazioni nel paramento'!$G$54,'Sollecitazioni nel paramento'!$G$53)</f>
        <v>37016852.639702126</v>
      </c>
      <c r="I527" s="472">
        <f>-'Foglio deposito bis'!$F$52*(C527-sezione!$AP$29)*IF(ABS(O527)&lt;'Sollecitazioni nel paramento'!$G$58,ABS(O527)*'Sollecitazioni nel paramento'!$G$54,'Sollecitazioni nel paramento'!$G$53)</f>
        <v>76062918.968815953</v>
      </c>
      <c r="J527" s="472">
        <f t="shared" si="38"/>
        <v>123165543.15870495</v>
      </c>
      <c r="K527" s="550">
        <f>'Sollecitazioni nel paramento'!$G$60*(sezione!$AL$29-C527)/C527</f>
        <v>1.8481491276076206E-2</v>
      </c>
      <c r="L527" s="550">
        <f>'Sollecitazioni nel paramento'!$G$60*(sezione!$AM$29-C527)/C527</f>
        <v>2.9472236914114311E-2</v>
      </c>
      <c r="M527" s="551">
        <f>'Sollecitazioni nel paramento'!$G$60*(sezione!$AN$29-C527)/C527</f>
        <v>4.0462982552152423E-2</v>
      </c>
      <c r="N527" s="551">
        <f>'Sollecitazioni nel paramento'!$G$60*(sezione!$AO$29-C527)/C527</f>
        <v>8.442596510430482E-2</v>
      </c>
      <c r="O527" s="551">
        <f>'Sollecitazioni nel paramento'!$G$60*(sezione!$AP$29-C527)/C527</f>
        <v>0.17348004718546206</v>
      </c>
      <c r="P527" s="545">
        <f>-'Sollecitazioni nel paramento'!$G$47*'Sollecitazioni nel paramento'!$G$41*IF(DATI!$G$211="dx",DATI!$E$61,DATI!$E$64*DATI!$E$63)*1000*C527*sezione!$AD$5</f>
        <v>-242639.58859810652</v>
      </c>
      <c r="Q527" s="545">
        <f>'Foglio deposito bis'!$F$48*IF(ABS(K527)&lt;'Sollecitazioni nel paramento'!$G$58,ABS(K527)*'Sollecitazioni nel paramento'!$G$54,'Sollecitazioni nel paramento'!$G$53)*IF(K527&lt;0,-1,1)</f>
        <v>0</v>
      </c>
      <c r="R527" s="545">
        <f>'Foglio deposito bis'!$F$49*IF(ABS(L527)&lt;'Sollecitazioni nel paramento'!$G$58,ABS(L527)*'Sollecitazioni nel paramento'!$G$54,'Sollecitazioni nel paramento'!$G$53)*IF(L527&lt;0,-1,1)</f>
        <v>204886.47740803001</v>
      </c>
      <c r="S527" s="545">
        <f>'Foglio deposito bis'!$F$50*IF(ABS(M527)&lt;'Sollecitazioni nel paramento'!$G$58,ABS(M527)*'Sollecitazioni nel paramento'!$G$54,'Sollecitazioni nel paramento'!$G$53)*IF(M527&lt;0,-1,1)</f>
        <v>0</v>
      </c>
      <c r="T527" s="545">
        <f>'Foglio deposito bis'!$F$51*IF(ABS(N527)&lt;'Sollecitazioni nel paramento'!$G$58,ABS(N527)*'Sollecitazioni nel paramento'!$G$54,'Sollecitazioni nel paramento'!$G$53)*IF(N527&lt;0,-1,1)</f>
        <v>240946.49743184328</v>
      </c>
      <c r="U527" s="545">
        <f>'Foglio deposito bis'!$F$52*IF(ABS(O527)&lt;'Sollecitazioni nel paramento'!$G$58,ABS(O527)*'Sollecitazioni nel paramento'!$G$54,'Sollecitazioni nel paramento'!$G$53)*IF(O527&lt;0,-1,1)</f>
        <v>240946.49743184328</v>
      </c>
      <c r="V527" s="472">
        <f t="shared" si="39"/>
        <v>444139.88367361005</v>
      </c>
      <c r="W527" s="551"/>
      <c r="X527" s="551"/>
    </row>
    <row r="528" spans="1:24" x14ac:dyDescent="0.25">
      <c r="A528" s="545">
        <f t="shared" si="40"/>
        <v>434807.59180445207</v>
      </c>
      <c r="B528" s="3">
        <f t="shared" si="41"/>
        <v>1.3500000000000005</v>
      </c>
      <c r="C528" s="545">
        <f>'Foglio deposito bis'!$E$155/sezione!$B$247*B528</f>
        <v>6.6139559668022301</v>
      </c>
      <c r="D528" s="603">
        <f>-'Sollecitazioni nel paramento'!$G$47*'Sollecitazioni nel paramento'!$G$41*IF(DATI!$G$211="dx",DATI!$E$61,DATI!$E$64*DATI!$E$63)*1000*C528^2*sezione!$AD$5*(1-sezione!$AD$6)</f>
        <v>-973254.05861318007</v>
      </c>
      <c r="E528" s="545">
        <f>-'Foglio deposito bis'!$F$48*(C528-sezione!$AL$29)*IF(ABS(K528)&lt;'Sollecitazioni nel paramento'!$G$58,ABS(K528)*'Sollecitazioni nel paramento'!$G$54,'Sollecitazioni nel paramento'!$G$53)</f>
        <v>0</v>
      </c>
      <c r="F528" s="545">
        <f>-'Foglio deposito bis'!$F$49*(C528-sezione!$AM$29)*IF(ABS(L528)&lt;'Sollecitazioni nel paramento'!$G$58,ABS(L528)*'Sollecitazioni nel paramento'!$G$54,'Sollecitazioni nel paramento'!$G$53)</f>
        <v>10938078.50471187</v>
      </c>
      <c r="G528" s="545">
        <f>-'Foglio deposito bis'!$F$50*(C528-sezione!$AN$29)*IF(ABS(M528)&lt;'Sollecitazioni nel paramento'!$G$58,ABS(M528)*'Sollecitazioni nel paramento'!$G$54,'Sollecitazioni nel paramento'!$G$53)</f>
        <v>0</v>
      </c>
      <c r="H528" s="545">
        <f>-'Foglio deposito bis'!$F$51*(C528-sezione!$AO$29)*IF(ABS(N528)&lt;'Sollecitazioni nel paramento'!$G$58,ABS(N528)*'Sollecitazioni nel paramento'!$G$54,'Sollecitazioni nel paramento'!$G$53)</f>
        <v>36957830.064725488</v>
      </c>
      <c r="I528" s="472">
        <f>-'Foglio deposito bis'!$F$52*(C528-sezione!$AP$29)*IF(ABS(O528)&lt;'Sollecitazioni nel paramento'!$G$58,ABS(O528)*'Sollecitazioni nel paramento'!$G$54,'Sollecitazioni nel paramento'!$G$53)</f>
        <v>76003896.3938393</v>
      </c>
      <c r="J528" s="472">
        <f t="shared" si="38"/>
        <v>122926550.90466347</v>
      </c>
      <c r="K528" s="550">
        <f>'Sollecitazioni nel paramento'!$G$60*(sezione!$AL$29-C528)/C528</f>
        <v>1.7667361969554863E-2</v>
      </c>
      <c r="L528" s="550">
        <f>'Sollecitazioni nel paramento'!$G$60*(sezione!$AM$29-C528)/C528</f>
        <v>2.8251042954332294E-2</v>
      </c>
      <c r="M528" s="551">
        <f>'Sollecitazioni nel paramento'!$G$60*(sezione!$AN$29-C528)/C528</f>
        <v>3.8834723939109736E-2</v>
      </c>
      <c r="N528" s="551">
        <f>'Sollecitazioni nel paramento'!$G$60*(sezione!$AO$29-C528)/C528</f>
        <v>8.1169447878219461E-2</v>
      </c>
      <c r="O528" s="551">
        <f>'Sollecitazioni nel paramento'!$G$60*(sezione!$AP$29-C528)/C528</f>
        <v>0.16692523062303752</v>
      </c>
      <c r="P528" s="545">
        <f>-'Sollecitazioni nel paramento'!$G$47*'Sollecitazioni nel paramento'!$G$41*IF(DATI!$G$211="dx",DATI!$E$61,DATI!$E$64*DATI!$E$63)*1000*C528*sezione!$AD$5</f>
        <v>-251971.88046726451</v>
      </c>
      <c r="Q528" s="545">
        <f>'Foglio deposito bis'!$F$48*IF(ABS(K528)&lt;'Sollecitazioni nel paramento'!$G$58,ABS(K528)*'Sollecitazioni nel paramento'!$G$54,'Sollecitazioni nel paramento'!$G$53)*IF(K528&lt;0,-1,1)</f>
        <v>0</v>
      </c>
      <c r="R528" s="545">
        <f>'Foglio deposito bis'!$F$49*IF(ABS(L528)&lt;'Sollecitazioni nel paramento'!$G$58,ABS(L528)*'Sollecitazioni nel paramento'!$G$54,'Sollecitazioni nel paramento'!$G$53)*IF(L528&lt;0,-1,1)</f>
        <v>204886.47740803001</v>
      </c>
      <c r="S528" s="545">
        <f>'Foglio deposito bis'!$F$50*IF(ABS(M528)&lt;'Sollecitazioni nel paramento'!$G$58,ABS(M528)*'Sollecitazioni nel paramento'!$G$54,'Sollecitazioni nel paramento'!$G$53)*IF(M528&lt;0,-1,1)</f>
        <v>0</v>
      </c>
      <c r="T528" s="545">
        <f>'Foglio deposito bis'!$F$51*IF(ABS(N528)&lt;'Sollecitazioni nel paramento'!$G$58,ABS(N528)*'Sollecitazioni nel paramento'!$G$54,'Sollecitazioni nel paramento'!$G$53)*IF(N528&lt;0,-1,1)</f>
        <v>240946.49743184328</v>
      </c>
      <c r="U528" s="545">
        <f>'Foglio deposito bis'!$F$52*IF(ABS(O528)&lt;'Sollecitazioni nel paramento'!$G$58,ABS(O528)*'Sollecitazioni nel paramento'!$G$54,'Sollecitazioni nel paramento'!$G$53)*IF(O528&lt;0,-1,1)</f>
        <v>240946.49743184328</v>
      </c>
      <c r="V528" s="472">
        <f t="shared" si="39"/>
        <v>434807.59180445207</v>
      </c>
      <c r="W528" s="551"/>
      <c r="X528" s="551"/>
    </row>
    <row r="529" spans="1:24" x14ac:dyDescent="0.25">
      <c r="A529" s="545">
        <f t="shared" si="40"/>
        <v>425475.29993529414</v>
      </c>
      <c r="B529" s="3">
        <f t="shared" si="41"/>
        <v>1.4000000000000006</v>
      </c>
      <c r="C529" s="545">
        <f>'Foglio deposito bis'!$E$155/sezione!$B$247*B529</f>
        <v>6.8589172989060163</v>
      </c>
      <c r="D529" s="603">
        <f>-'Sollecitazioni nel paramento'!$G$47*'Sollecitazioni nel paramento'!$G$41*IF(DATI!$G$211="dx",DATI!$E$61,DATI!$E$64*DATI!$E$63)*1000*C529^2*sezione!$AD$5*(1-sezione!$AD$6)</f>
        <v>-1046682.0054221307</v>
      </c>
      <c r="E529" s="545">
        <f>-'Foglio deposito bis'!$F$48*(C529-sezione!$AL$29)*IF(ABS(K529)&lt;'Sollecitazioni nel paramento'!$G$58,ABS(K529)*'Sollecitazioni nel paramento'!$G$54,'Sollecitazioni nel paramento'!$G$53)</f>
        <v>0</v>
      </c>
      <c r="F529" s="545">
        <f>-'Foglio deposito bis'!$F$49*(C529-sezione!$AM$29)*IF(ABS(L529)&lt;'Sollecitazioni nel paramento'!$G$58,ABS(L529)*'Sollecitazioni nel paramento'!$G$54,'Sollecitazioni nel paramento'!$G$53)</f>
        <v>10887889.240275947</v>
      </c>
      <c r="G529" s="545">
        <f>-'Foglio deposito bis'!$F$50*(C529-sezione!$AN$29)*IF(ABS(M529)&lt;'Sollecitazioni nel paramento'!$G$58,ABS(M529)*'Sollecitazioni nel paramento'!$G$54,'Sollecitazioni nel paramento'!$G$53)</f>
        <v>0</v>
      </c>
      <c r="H529" s="545">
        <f>-'Foglio deposito bis'!$F$51*(C529-sezione!$AO$29)*IF(ABS(N529)&lt;'Sollecitazioni nel paramento'!$G$58,ABS(N529)*'Sollecitazioni nel paramento'!$G$54,'Sollecitazioni nel paramento'!$G$53)</f>
        <v>36898807.489748836</v>
      </c>
      <c r="I529" s="472">
        <f>-'Foglio deposito bis'!$F$52*(C529-sezione!$AP$29)*IF(ABS(O529)&lt;'Sollecitazioni nel paramento'!$G$58,ABS(O529)*'Sollecitazioni nel paramento'!$G$54,'Sollecitazioni nel paramento'!$G$53)</f>
        <v>75944873.818862647</v>
      </c>
      <c r="J529" s="472">
        <f t="shared" si="38"/>
        <v>122684888.5434653</v>
      </c>
      <c r="K529" s="550">
        <f>'Sollecitazioni nel paramento'!$G$60*(sezione!$AL$29-C529)/C529</f>
        <v>1.6911384756356476E-2</v>
      </c>
      <c r="L529" s="550">
        <f>'Sollecitazioni nel paramento'!$G$60*(sezione!$AM$29-C529)/C529</f>
        <v>2.7117077134534713E-2</v>
      </c>
      <c r="M529" s="551">
        <f>'Sollecitazioni nel paramento'!$G$60*(sezione!$AN$29-C529)/C529</f>
        <v>3.7322769512712954E-2</v>
      </c>
      <c r="N529" s="551">
        <f>'Sollecitazioni nel paramento'!$G$60*(sezione!$AO$29-C529)/C529</f>
        <v>7.8145539025425897E-2</v>
      </c>
      <c r="O529" s="551">
        <f>'Sollecitazioni nel paramento'!$G$60*(sezione!$AP$29-C529)/C529</f>
        <v>0.16083861524364332</v>
      </c>
      <c r="P529" s="545">
        <f>-'Sollecitazioni nel paramento'!$G$47*'Sollecitazioni nel paramento'!$G$41*IF(DATI!$G$211="dx",DATI!$E$61,DATI!$E$64*DATI!$E$63)*1000*C529*sezione!$AD$5</f>
        <v>-261304.17233642243</v>
      </c>
      <c r="Q529" s="545">
        <f>'Foglio deposito bis'!$F$48*IF(ABS(K529)&lt;'Sollecitazioni nel paramento'!$G$58,ABS(K529)*'Sollecitazioni nel paramento'!$G$54,'Sollecitazioni nel paramento'!$G$53)*IF(K529&lt;0,-1,1)</f>
        <v>0</v>
      </c>
      <c r="R529" s="545">
        <f>'Foglio deposito bis'!$F$49*IF(ABS(L529)&lt;'Sollecitazioni nel paramento'!$G$58,ABS(L529)*'Sollecitazioni nel paramento'!$G$54,'Sollecitazioni nel paramento'!$G$53)*IF(L529&lt;0,-1,1)</f>
        <v>204886.47740803001</v>
      </c>
      <c r="S529" s="545">
        <f>'Foglio deposito bis'!$F$50*IF(ABS(M529)&lt;'Sollecitazioni nel paramento'!$G$58,ABS(M529)*'Sollecitazioni nel paramento'!$G$54,'Sollecitazioni nel paramento'!$G$53)*IF(M529&lt;0,-1,1)</f>
        <v>0</v>
      </c>
      <c r="T529" s="545">
        <f>'Foglio deposito bis'!$F$51*IF(ABS(N529)&lt;'Sollecitazioni nel paramento'!$G$58,ABS(N529)*'Sollecitazioni nel paramento'!$G$54,'Sollecitazioni nel paramento'!$G$53)*IF(N529&lt;0,-1,1)</f>
        <v>240946.49743184328</v>
      </c>
      <c r="U529" s="545">
        <f>'Foglio deposito bis'!$F$52*IF(ABS(O529)&lt;'Sollecitazioni nel paramento'!$G$58,ABS(O529)*'Sollecitazioni nel paramento'!$G$54,'Sollecitazioni nel paramento'!$G$53)*IF(O529&lt;0,-1,1)</f>
        <v>240946.49743184328</v>
      </c>
      <c r="V529" s="472">
        <f t="shared" si="39"/>
        <v>425475.29993529414</v>
      </c>
      <c r="W529" s="551"/>
      <c r="X529" s="551"/>
    </row>
    <row r="530" spans="1:24" x14ac:dyDescent="0.25">
      <c r="A530" s="545">
        <f t="shared" si="40"/>
        <v>416143.00806613622</v>
      </c>
      <c r="B530" s="3">
        <f t="shared" si="41"/>
        <v>1.4500000000000006</v>
      </c>
      <c r="C530" s="545">
        <f>'Foglio deposito bis'!$E$155/sezione!$B$247*B530</f>
        <v>7.1038786310098025</v>
      </c>
      <c r="D530" s="603">
        <f>-'Sollecitazioni nel paramento'!$G$47*'Sollecitazioni nel paramento'!$G$41*IF(DATI!$G$211="dx",DATI!$E$61,DATI!$E$64*DATI!$E$63)*1000*C530^2*sezione!$AD$5*(1-sezione!$AD$6)</f>
        <v>-1122780.05938777</v>
      </c>
      <c r="E530" s="545">
        <f>-'Foglio deposito bis'!$F$48*(C530-sezione!$AL$29)*IF(ABS(K530)&lt;'Sollecitazioni nel paramento'!$G$58,ABS(K530)*'Sollecitazioni nel paramento'!$G$54,'Sollecitazioni nel paramento'!$G$53)</f>
        <v>0</v>
      </c>
      <c r="F530" s="545">
        <f>-'Foglio deposito bis'!$F$49*(C530-sezione!$AM$29)*IF(ABS(L530)&lt;'Sollecitazioni nel paramento'!$G$58,ABS(L530)*'Sollecitazioni nel paramento'!$G$54,'Sollecitazioni nel paramento'!$G$53)</f>
        <v>10837699.975840023</v>
      </c>
      <c r="G530" s="545">
        <f>-'Foglio deposito bis'!$F$50*(C530-sezione!$AN$29)*IF(ABS(M530)&lt;'Sollecitazioni nel paramento'!$G$58,ABS(M530)*'Sollecitazioni nel paramento'!$G$54,'Sollecitazioni nel paramento'!$G$53)</f>
        <v>0</v>
      </c>
      <c r="H530" s="545">
        <f>-'Foglio deposito bis'!$F$51*(C530-sezione!$AO$29)*IF(ABS(N530)&lt;'Sollecitazioni nel paramento'!$G$58,ABS(N530)*'Sollecitazioni nel paramento'!$G$54,'Sollecitazioni nel paramento'!$G$53)</f>
        <v>36839784.914772198</v>
      </c>
      <c r="I530" s="472">
        <f>-'Foglio deposito bis'!$F$52*(C530-sezione!$AP$29)*IF(ABS(O530)&lt;'Sollecitazioni nel paramento'!$G$58,ABS(O530)*'Sollecitazioni nel paramento'!$G$54,'Sollecitazioni nel paramento'!$G$53)</f>
        <v>75885851.243886009</v>
      </c>
      <c r="J530" s="472">
        <f t="shared" si="38"/>
        <v>122440556.07511047</v>
      </c>
      <c r="K530" s="550">
        <f>'Sollecitazioni nel paramento'!$G$60*(sezione!$AL$29-C530)/C530</f>
        <v>1.6207543902689012E-2</v>
      </c>
      <c r="L530" s="550">
        <f>'Sollecitazioni nel paramento'!$G$60*(sezione!$AM$29-C530)/C530</f>
        <v>2.6061315854033519E-2</v>
      </c>
      <c r="M530" s="551">
        <f>'Sollecitazioni nel paramento'!$G$60*(sezione!$AN$29-C530)/C530</f>
        <v>3.5915087805378026E-2</v>
      </c>
      <c r="N530" s="551">
        <f>'Sollecitazioni nel paramento'!$G$60*(sezione!$AO$29-C530)/C530</f>
        <v>7.5330175610756056E-2</v>
      </c>
      <c r="O530" s="551">
        <f>'Sollecitazioni nel paramento'!$G$60*(sezione!$AP$29-C530)/C530</f>
        <v>0.15517176644213837</v>
      </c>
      <c r="P530" s="545">
        <f>-'Sollecitazioni nel paramento'!$G$47*'Sollecitazioni nel paramento'!$G$41*IF(DATI!$G$211="dx",DATI!$E$61,DATI!$E$64*DATI!$E$63)*1000*C530*sezione!$AD$5</f>
        <v>-270636.46420558036</v>
      </c>
      <c r="Q530" s="545">
        <f>'Foglio deposito bis'!$F$48*IF(ABS(K530)&lt;'Sollecitazioni nel paramento'!$G$58,ABS(K530)*'Sollecitazioni nel paramento'!$G$54,'Sollecitazioni nel paramento'!$G$53)*IF(K530&lt;0,-1,1)</f>
        <v>0</v>
      </c>
      <c r="R530" s="545">
        <f>'Foglio deposito bis'!$F$49*IF(ABS(L530)&lt;'Sollecitazioni nel paramento'!$G$58,ABS(L530)*'Sollecitazioni nel paramento'!$G$54,'Sollecitazioni nel paramento'!$G$53)*IF(L530&lt;0,-1,1)</f>
        <v>204886.47740803001</v>
      </c>
      <c r="S530" s="545">
        <f>'Foglio deposito bis'!$F$50*IF(ABS(M530)&lt;'Sollecitazioni nel paramento'!$G$58,ABS(M530)*'Sollecitazioni nel paramento'!$G$54,'Sollecitazioni nel paramento'!$G$53)*IF(M530&lt;0,-1,1)</f>
        <v>0</v>
      </c>
      <c r="T530" s="545">
        <f>'Foglio deposito bis'!$F$51*IF(ABS(N530)&lt;'Sollecitazioni nel paramento'!$G$58,ABS(N530)*'Sollecitazioni nel paramento'!$G$54,'Sollecitazioni nel paramento'!$G$53)*IF(N530&lt;0,-1,1)</f>
        <v>240946.49743184328</v>
      </c>
      <c r="U530" s="545">
        <f>'Foglio deposito bis'!$F$52*IF(ABS(O530)&lt;'Sollecitazioni nel paramento'!$G$58,ABS(O530)*'Sollecitazioni nel paramento'!$G$54,'Sollecitazioni nel paramento'!$G$53)*IF(O530&lt;0,-1,1)</f>
        <v>240946.49743184328</v>
      </c>
      <c r="V530" s="472">
        <f t="shared" si="39"/>
        <v>416143.00806613622</v>
      </c>
      <c r="W530" s="551"/>
      <c r="X530" s="551"/>
    </row>
    <row r="531" spans="1:24" x14ac:dyDescent="0.25">
      <c r="A531" s="545">
        <f t="shared" si="40"/>
        <v>406810.71619697823</v>
      </c>
      <c r="B531" s="3">
        <f t="shared" si="41"/>
        <v>1.5000000000000007</v>
      </c>
      <c r="C531" s="545">
        <f>'Foglio deposito bis'!$E$155/sezione!$B$247*B531</f>
        <v>7.3488399631135888</v>
      </c>
      <c r="D531" s="603">
        <f>-'Sollecitazioni nel paramento'!$G$47*'Sollecitazioni nel paramento'!$G$41*IF(DATI!$G$211="dx",DATI!$E$61,DATI!$E$64*DATI!$E$63)*1000*C531^2*sezione!$AD$5*(1-sezione!$AD$6)</f>
        <v>-1201548.2205100989</v>
      </c>
      <c r="E531" s="545">
        <f>-'Foglio deposito bis'!$F$48*(C531-sezione!$AL$29)*IF(ABS(K531)&lt;'Sollecitazioni nel paramento'!$G$58,ABS(K531)*'Sollecitazioni nel paramento'!$G$54,'Sollecitazioni nel paramento'!$G$53)</f>
        <v>0</v>
      </c>
      <c r="F531" s="545">
        <f>-'Foglio deposito bis'!$F$49*(C531-sezione!$AM$29)*IF(ABS(L531)&lt;'Sollecitazioni nel paramento'!$G$58,ABS(L531)*'Sollecitazioni nel paramento'!$G$54,'Sollecitazioni nel paramento'!$G$53)</f>
        <v>10787510.7114041</v>
      </c>
      <c r="G531" s="545">
        <f>-'Foglio deposito bis'!$F$50*(C531-sezione!$AN$29)*IF(ABS(M531)&lt;'Sollecitazioni nel paramento'!$G$58,ABS(M531)*'Sollecitazioni nel paramento'!$G$54,'Sollecitazioni nel paramento'!$G$53)</f>
        <v>0</v>
      </c>
      <c r="H531" s="545">
        <f>-'Foglio deposito bis'!$F$51*(C531-sezione!$AO$29)*IF(ABS(N531)&lt;'Sollecitazioni nel paramento'!$G$58,ABS(N531)*'Sollecitazioni nel paramento'!$G$54,'Sollecitazioni nel paramento'!$G$53)</f>
        <v>36780762.339795545</v>
      </c>
      <c r="I531" s="472">
        <f>-'Foglio deposito bis'!$F$52*(C531-sezione!$AP$29)*IF(ABS(O531)&lt;'Sollecitazioni nel paramento'!$G$58,ABS(O531)*'Sollecitazioni nel paramento'!$G$54,'Sollecitazioni nel paramento'!$G$53)</f>
        <v>75826828.668909371</v>
      </c>
      <c r="J531" s="472">
        <f t="shared" si="38"/>
        <v>122193553.49959892</v>
      </c>
      <c r="K531" s="550">
        <f>'Sollecitazioni nel paramento'!$G$60*(sezione!$AL$29-C531)/C531</f>
        <v>1.5550625772599379E-2</v>
      </c>
      <c r="L531" s="550">
        <f>'Sollecitazioni nel paramento'!$G$60*(sezione!$AM$29-C531)/C531</f>
        <v>2.507593865889907E-2</v>
      </c>
      <c r="M531" s="551">
        <f>'Sollecitazioni nel paramento'!$G$60*(sezione!$AN$29-C531)/C531</f>
        <v>3.4601251545198761E-2</v>
      </c>
      <c r="N531" s="551">
        <f>'Sollecitazioni nel paramento'!$G$60*(sezione!$AO$29-C531)/C531</f>
        <v>7.2702503090397511E-2</v>
      </c>
      <c r="O531" s="551">
        <f>'Sollecitazioni nel paramento'!$G$60*(sezione!$AP$29-C531)/C531</f>
        <v>0.14988270756073377</v>
      </c>
      <c r="P531" s="545">
        <f>-'Sollecitazioni nel paramento'!$G$47*'Sollecitazioni nel paramento'!$G$41*IF(DATI!$G$211="dx",DATI!$E$61,DATI!$E$64*DATI!$E$63)*1000*C531*sezione!$AD$5</f>
        <v>-279968.75607473834</v>
      </c>
      <c r="Q531" s="545">
        <f>'Foglio deposito bis'!$F$48*IF(ABS(K531)&lt;'Sollecitazioni nel paramento'!$G$58,ABS(K531)*'Sollecitazioni nel paramento'!$G$54,'Sollecitazioni nel paramento'!$G$53)*IF(K531&lt;0,-1,1)</f>
        <v>0</v>
      </c>
      <c r="R531" s="545">
        <f>'Foglio deposito bis'!$F$49*IF(ABS(L531)&lt;'Sollecitazioni nel paramento'!$G$58,ABS(L531)*'Sollecitazioni nel paramento'!$G$54,'Sollecitazioni nel paramento'!$G$53)*IF(L531&lt;0,-1,1)</f>
        <v>204886.47740803001</v>
      </c>
      <c r="S531" s="545">
        <f>'Foglio deposito bis'!$F$50*IF(ABS(M531)&lt;'Sollecitazioni nel paramento'!$G$58,ABS(M531)*'Sollecitazioni nel paramento'!$G$54,'Sollecitazioni nel paramento'!$G$53)*IF(M531&lt;0,-1,1)</f>
        <v>0</v>
      </c>
      <c r="T531" s="545">
        <f>'Foglio deposito bis'!$F$51*IF(ABS(N531)&lt;'Sollecitazioni nel paramento'!$G$58,ABS(N531)*'Sollecitazioni nel paramento'!$G$54,'Sollecitazioni nel paramento'!$G$53)*IF(N531&lt;0,-1,1)</f>
        <v>240946.49743184328</v>
      </c>
      <c r="U531" s="545">
        <f>'Foglio deposito bis'!$F$52*IF(ABS(O531)&lt;'Sollecitazioni nel paramento'!$G$58,ABS(O531)*'Sollecitazioni nel paramento'!$G$54,'Sollecitazioni nel paramento'!$G$53)*IF(O531&lt;0,-1,1)</f>
        <v>240946.49743184328</v>
      </c>
      <c r="V531" s="472">
        <f t="shared" si="39"/>
        <v>406810.71619697823</v>
      </c>
      <c r="W531" s="551"/>
      <c r="X531" s="551"/>
    </row>
    <row r="532" spans="1:24" x14ac:dyDescent="0.25">
      <c r="A532" s="545">
        <f t="shared" si="40"/>
        <v>397478.42432782031</v>
      </c>
      <c r="B532" s="3">
        <f t="shared" si="41"/>
        <v>1.5500000000000007</v>
      </c>
      <c r="C532" s="545">
        <f>'Foglio deposito bis'!$E$155/sezione!$B$247*B532</f>
        <v>7.593801295217375</v>
      </c>
      <c r="D532" s="603">
        <f>-'Sollecitazioni nel paramento'!$G$47*'Sollecitazioni nel paramento'!$G$41*IF(DATI!$G$211="dx",DATI!$E$61,DATI!$E$64*DATI!$E$63)*1000*C532^2*sezione!$AD$5*(1-sezione!$AD$6)</f>
        <v>-1282986.4887891165</v>
      </c>
      <c r="E532" s="545">
        <f>-'Foglio deposito bis'!$F$48*(C532-sezione!$AL$29)*IF(ABS(K532)&lt;'Sollecitazioni nel paramento'!$G$58,ABS(K532)*'Sollecitazioni nel paramento'!$G$54,'Sollecitazioni nel paramento'!$G$53)</f>
        <v>0</v>
      </c>
      <c r="F532" s="545">
        <f>-'Foglio deposito bis'!$F$49*(C532-sezione!$AM$29)*IF(ABS(L532)&lt;'Sollecitazioni nel paramento'!$G$58,ABS(L532)*'Sollecitazioni nel paramento'!$G$54,'Sollecitazioni nel paramento'!$G$53)</f>
        <v>10737321.446968175</v>
      </c>
      <c r="G532" s="545">
        <f>-'Foglio deposito bis'!$F$50*(C532-sezione!$AN$29)*IF(ABS(M532)&lt;'Sollecitazioni nel paramento'!$G$58,ABS(M532)*'Sollecitazioni nel paramento'!$G$54,'Sollecitazioni nel paramento'!$G$53)</f>
        <v>0</v>
      </c>
      <c r="H532" s="545">
        <f>-'Foglio deposito bis'!$F$51*(C532-sezione!$AO$29)*IF(ABS(N532)&lt;'Sollecitazioni nel paramento'!$G$58,ABS(N532)*'Sollecitazioni nel paramento'!$G$54,'Sollecitazioni nel paramento'!$G$53)</f>
        <v>36721739.764818907</v>
      </c>
      <c r="I532" s="472">
        <f>-'Foglio deposito bis'!$F$52*(C532-sezione!$AP$29)*IF(ABS(O532)&lt;'Sollecitazioni nel paramento'!$G$58,ABS(O532)*'Sollecitazioni nel paramento'!$G$54,'Sollecitazioni nel paramento'!$G$53)</f>
        <v>75767806.093932718</v>
      </c>
      <c r="J532" s="472">
        <f t="shared" si="38"/>
        <v>121943880.81693068</v>
      </c>
      <c r="K532" s="550">
        <f>'Sollecitazioni nel paramento'!$G$60*(sezione!$AL$29-C532)/C532</f>
        <v>1.4936089457354237E-2</v>
      </c>
      <c r="L532" s="550">
        <f>'Sollecitazioni nel paramento'!$G$60*(sezione!$AM$29-C532)/C532</f>
        <v>2.4154134186031358E-2</v>
      </c>
      <c r="M532" s="551">
        <f>'Sollecitazioni nel paramento'!$G$60*(sezione!$AN$29-C532)/C532</f>
        <v>3.3372178914708478E-2</v>
      </c>
      <c r="N532" s="551">
        <f>'Sollecitazioni nel paramento'!$G$60*(sezione!$AO$29-C532)/C532</f>
        <v>7.0244357829416959E-2</v>
      </c>
      <c r="O532" s="551">
        <f>'Sollecitazioni nel paramento'!$G$60*(sezione!$AP$29-C532)/C532</f>
        <v>0.14493487828458107</v>
      </c>
      <c r="P532" s="545">
        <f>-'Sollecitazioni nel paramento'!$G$47*'Sollecitazioni nel paramento'!$G$41*IF(DATI!$G$211="dx",DATI!$E$61,DATI!$E$64*DATI!$E$63)*1000*C532*sezione!$AD$5</f>
        <v>-289301.04794389626</v>
      </c>
      <c r="Q532" s="545">
        <f>'Foglio deposito bis'!$F$48*IF(ABS(K532)&lt;'Sollecitazioni nel paramento'!$G$58,ABS(K532)*'Sollecitazioni nel paramento'!$G$54,'Sollecitazioni nel paramento'!$G$53)*IF(K532&lt;0,-1,1)</f>
        <v>0</v>
      </c>
      <c r="R532" s="545">
        <f>'Foglio deposito bis'!$F$49*IF(ABS(L532)&lt;'Sollecitazioni nel paramento'!$G$58,ABS(L532)*'Sollecitazioni nel paramento'!$G$54,'Sollecitazioni nel paramento'!$G$53)*IF(L532&lt;0,-1,1)</f>
        <v>204886.47740803001</v>
      </c>
      <c r="S532" s="545">
        <f>'Foglio deposito bis'!$F$50*IF(ABS(M532)&lt;'Sollecitazioni nel paramento'!$G$58,ABS(M532)*'Sollecitazioni nel paramento'!$G$54,'Sollecitazioni nel paramento'!$G$53)*IF(M532&lt;0,-1,1)</f>
        <v>0</v>
      </c>
      <c r="T532" s="545">
        <f>'Foglio deposito bis'!$F$51*IF(ABS(N532)&lt;'Sollecitazioni nel paramento'!$G$58,ABS(N532)*'Sollecitazioni nel paramento'!$G$54,'Sollecitazioni nel paramento'!$G$53)*IF(N532&lt;0,-1,1)</f>
        <v>240946.49743184328</v>
      </c>
      <c r="U532" s="545">
        <f>'Foglio deposito bis'!$F$52*IF(ABS(O532)&lt;'Sollecitazioni nel paramento'!$G$58,ABS(O532)*'Sollecitazioni nel paramento'!$G$54,'Sollecitazioni nel paramento'!$G$53)*IF(O532&lt;0,-1,1)</f>
        <v>240946.49743184328</v>
      </c>
      <c r="V532" s="472">
        <f t="shared" si="39"/>
        <v>397478.42432782031</v>
      </c>
      <c r="W532" s="551"/>
      <c r="X532" s="551"/>
    </row>
    <row r="533" spans="1:24" x14ac:dyDescent="0.25">
      <c r="A533" s="545">
        <f t="shared" si="40"/>
        <v>388146.13245866232</v>
      </c>
      <c r="B533" s="3">
        <f t="shared" si="41"/>
        <v>1.6000000000000008</v>
      </c>
      <c r="C533" s="545">
        <f>'Foglio deposito bis'!$E$155/sezione!$B$247*B533</f>
        <v>7.8387626273211621</v>
      </c>
      <c r="D533" s="603">
        <f>-'Sollecitazioni nel paramento'!$G$47*'Sollecitazioni nel paramento'!$G$41*IF(DATI!$G$211="dx",DATI!$E$61,DATI!$E$64*DATI!$E$63)*1000*C533^2*sezione!$AD$5*(1-sezione!$AD$6)</f>
        <v>-1367094.8642248239</v>
      </c>
      <c r="E533" s="545">
        <f>-'Foglio deposito bis'!$F$48*(C533-sezione!$AL$29)*IF(ABS(K533)&lt;'Sollecitazioni nel paramento'!$G$58,ABS(K533)*'Sollecitazioni nel paramento'!$G$54,'Sollecitazioni nel paramento'!$G$53)</f>
        <v>0</v>
      </c>
      <c r="F533" s="545">
        <f>-'Foglio deposito bis'!$F$49*(C533-sezione!$AM$29)*IF(ABS(L533)&lt;'Sollecitazioni nel paramento'!$G$58,ABS(L533)*'Sollecitazioni nel paramento'!$G$54,'Sollecitazioni nel paramento'!$G$53)</f>
        <v>10687132.182532255</v>
      </c>
      <c r="G533" s="545">
        <f>-'Foglio deposito bis'!$F$50*(C533-sezione!$AN$29)*IF(ABS(M533)&lt;'Sollecitazioni nel paramento'!$G$58,ABS(M533)*'Sollecitazioni nel paramento'!$G$54,'Sollecitazioni nel paramento'!$G$53)</f>
        <v>0</v>
      </c>
      <c r="H533" s="545">
        <f>-'Foglio deposito bis'!$F$51*(C533-sezione!$AO$29)*IF(ABS(N533)&lt;'Sollecitazioni nel paramento'!$G$58,ABS(N533)*'Sollecitazioni nel paramento'!$G$54,'Sollecitazioni nel paramento'!$G$53)</f>
        <v>36662717.189842254</v>
      </c>
      <c r="I533" s="472">
        <f>-'Foglio deposito bis'!$F$52*(C533-sezione!$AP$29)*IF(ABS(O533)&lt;'Sollecitazioni nel paramento'!$G$58,ABS(O533)*'Sollecitazioni nel paramento'!$G$54,'Sollecitazioni nel paramento'!$G$53)</f>
        <v>75708783.51895608</v>
      </c>
      <c r="J533" s="472">
        <f t="shared" si="38"/>
        <v>121691538.02710576</v>
      </c>
      <c r="K533" s="550">
        <f>'Sollecitazioni nel paramento'!$G$60*(sezione!$AL$29-C533)/C533</f>
        <v>1.4359961661811917E-2</v>
      </c>
      <c r="L533" s="550">
        <f>'Sollecitazioni nel paramento'!$G$60*(sezione!$AM$29-C533)/C533</f>
        <v>2.3289942492717874E-2</v>
      </c>
      <c r="M533" s="551">
        <f>'Sollecitazioni nel paramento'!$G$60*(sezione!$AN$29-C533)/C533</f>
        <v>3.2219923323623834E-2</v>
      </c>
      <c r="N533" s="551">
        <f>'Sollecitazioni nel paramento'!$G$60*(sezione!$AO$29-C533)/C533</f>
        <v>6.7939846647247656E-2</v>
      </c>
      <c r="O533" s="551">
        <f>'Sollecitazioni nel paramento'!$G$60*(sezione!$AP$29-C533)/C533</f>
        <v>0.14029628833818789</v>
      </c>
      <c r="P533" s="545">
        <f>-'Sollecitazioni nel paramento'!$G$47*'Sollecitazioni nel paramento'!$G$41*IF(DATI!$G$211="dx",DATI!$E$61,DATI!$E$64*DATI!$E$63)*1000*C533*sezione!$AD$5</f>
        <v>-298633.33981305425</v>
      </c>
      <c r="Q533" s="545">
        <f>'Foglio deposito bis'!$F$48*IF(ABS(K533)&lt;'Sollecitazioni nel paramento'!$G$58,ABS(K533)*'Sollecitazioni nel paramento'!$G$54,'Sollecitazioni nel paramento'!$G$53)*IF(K533&lt;0,-1,1)</f>
        <v>0</v>
      </c>
      <c r="R533" s="545">
        <f>'Foglio deposito bis'!$F$49*IF(ABS(L533)&lt;'Sollecitazioni nel paramento'!$G$58,ABS(L533)*'Sollecitazioni nel paramento'!$G$54,'Sollecitazioni nel paramento'!$G$53)*IF(L533&lt;0,-1,1)</f>
        <v>204886.47740803001</v>
      </c>
      <c r="S533" s="545">
        <f>'Foglio deposito bis'!$F$50*IF(ABS(M533)&lt;'Sollecitazioni nel paramento'!$G$58,ABS(M533)*'Sollecitazioni nel paramento'!$G$54,'Sollecitazioni nel paramento'!$G$53)*IF(M533&lt;0,-1,1)</f>
        <v>0</v>
      </c>
      <c r="T533" s="545">
        <f>'Foglio deposito bis'!$F$51*IF(ABS(N533)&lt;'Sollecitazioni nel paramento'!$G$58,ABS(N533)*'Sollecitazioni nel paramento'!$G$54,'Sollecitazioni nel paramento'!$G$53)*IF(N533&lt;0,-1,1)</f>
        <v>240946.49743184328</v>
      </c>
      <c r="U533" s="545">
        <f>'Foglio deposito bis'!$F$52*IF(ABS(O533)&lt;'Sollecitazioni nel paramento'!$G$58,ABS(O533)*'Sollecitazioni nel paramento'!$G$54,'Sollecitazioni nel paramento'!$G$53)*IF(O533&lt;0,-1,1)</f>
        <v>240946.49743184328</v>
      </c>
      <c r="V533" s="472">
        <f t="shared" si="39"/>
        <v>388146.13245866232</v>
      </c>
      <c r="W533" s="551"/>
      <c r="X533" s="551"/>
    </row>
    <row r="534" spans="1:24" x14ac:dyDescent="0.25">
      <c r="A534" s="545">
        <f t="shared" si="40"/>
        <v>378813.8405895044</v>
      </c>
      <c r="B534" s="3">
        <f t="shared" si="41"/>
        <v>1.6500000000000008</v>
      </c>
      <c r="C534" s="545">
        <f>'Foglio deposito bis'!$E$155/sezione!$B$247*B534</f>
        <v>8.0837239594249475</v>
      </c>
      <c r="D534" s="603">
        <f>-'Sollecitazioni nel paramento'!$G$47*'Sollecitazioni nel paramento'!$G$41*IF(DATI!$G$211="dx",DATI!$E$61,DATI!$E$64*DATI!$E$63)*1000*C534^2*sezione!$AD$5*(1-sezione!$AD$6)</f>
        <v>-1453873.3468172196</v>
      </c>
      <c r="E534" s="545">
        <f>-'Foglio deposito bis'!$F$48*(C534-sezione!$AL$29)*IF(ABS(K534)&lt;'Sollecitazioni nel paramento'!$G$58,ABS(K534)*'Sollecitazioni nel paramento'!$G$54,'Sollecitazioni nel paramento'!$G$53)</f>
        <v>0</v>
      </c>
      <c r="F534" s="545">
        <f>-'Foglio deposito bis'!$F$49*(C534-sezione!$AM$29)*IF(ABS(L534)&lt;'Sollecitazioni nel paramento'!$G$58,ABS(L534)*'Sollecitazioni nel paramento'!$G$54,'Sollecitazioni nel paramento'!$G$53)</f>
        <v>10636942.918096332</v>
      </c>
      <c r="G534" s="545">
        <f>-'Foglio deposito bis'!$F$50*(C534-sezione!$AN$29)*IF(ABS(M534)&lt;'Sollecitazioni nel paramento'!$G$58,ABS(M534)*'Sollecitazioni nel paramento'!$G$54,'Sollecitazioni nel paramento'!$G$53)</f>
        <v>0</v>
      </c>
      <c r="H534" s="545">
        <f>-'Foglio deposito bis'!$F$51*(C534-sezione!$AO$29)*IF(ABS(N534)&lt;'Sollecitazioni nel paramento'!$G$58,ABS(N534)*'Sollecitazioni nel paramento'!$G$54,'Sollecitazioni nel paramento'!$G$53)</f>
        <v>36603694.614865609</v>
      </c>
      <c r="I534" s="472">
        <f>-'Foglio deposito bis'!$F$52*(C534-sezione!$AP$29)*IF(ABS(O534)&lt;'Sollecitazioni nel paramento'!$G$58,ABS(O534)*'Sollecitazioni nel paramento'!$G$54,'Sollecitazioni nel paramento'!$G$53)</f>
        <v>75649760.943979427</v>
      </c>
      <c r="J534" s="472">
        <f t="shared" si="38"/>
        <v>121436525.13012415</v>
      </c>
      <c r="K534" s="550">
        <f>'Sollecitazioni nel paramento'!$G$60*(sezione!$AL$29-C534)/C534</f>
        <v>1.3818750702363072E-2</v>
      </c>
      <c r="L534" s="550">
        <f>'Sollecitazioni nel paramento'!$G$60*(sezione!$AM$29-C534)/C534</f>
        <v>2.2478126053544611E-2</v>
      </c>
      <c r="M534" s="551">
        <f>'Sollecitazioni nel paramento'!$G$60*(sezione!$AN$29-C534)/C534</f>
        <v>3.1137501404726146E-2</v>
      </c>
      <c r="N534" s="551">
        <f>'Sollecitazioni nel paramento'!$G$60*(sezione!$AO$29-C534)/C534</f>
        <v>6.5775002809452282E-2</v>
      </c>
      <c r="O534" s="551">
        <f>'Sollecitazioni nel paramento'!$G$60*(sezione!$AP$29-C534)/C534</f>
        <v>0.13593882505521251</v>
      </c>
      <c r="P534" s="545">
        <f>-'Sollecitazioni nel paramento'!$G$47*'Sollecitazioni nel paramento'!$G$41*IF(DATI!$G$211="dx",DATI!$E$61,DATI!$E$64*DATI!$E$63)*1000*C534*sezione!$AD$5</f>
        <v>-307965.63168221217</v>
      </c>
      <c r="Q534" s="545">
        <f>'Foglio deposito bis'!$F$48*IF(ABS(K534)&lt;'Sollecitazioni nel paramento'!$G$58,ABS(K534)*'Sollecitazioni nel paramento'!$G$54,'Sollecitazioni nel paramento'!$G$53)*IF(K534&lt;0,-1,1)</f>
        <v>0</v>
      </c>
      <c r="R534" s="545">
        <f>'Foglio deposito bis'!$F$49*IF(ABS(L534)&lt;'Sollecitazioni nel paramento'!$G$58,ABS(L534)*'Sollecitazioni nel paramento'!$G$54,'Sollecitazioni nel paramento'!$G$53)*IF(L534&lt;0,-1,1)</f>
        <v>204886.47740803001</v>
      </c>
      <c r="S534" s="545">
        <f>'Foglio deposito bis'!$F$50*IF(ABS(M534)&lt;'Sollecitazioni nel paramento'!$G$58,ABS(M534)*'Sollecitazioni nel paramento'!$G$54,'Sollecitazioni nel paramento'!$G$53)*IF(M534&lt;0,-1,1)</f>
        <v>0</v>
      </c>
      <c r="T534" s="545">
        <f>'Foglio deposito bis'!$F$51*IF(ABS(N534)&lt;'Sollecitazioni nel paramento'!$G$58,ABS(N534)*'Sollecitazioni nel paramento'!$G$54,'Sollecitazioni nel paramento'!$G$53)*IF(N534&lt;0,-1,1)</f>
        <v>240946.49743184328</v>
      </c>
      <c r="U534" s="545">
        <f>'Foglio deposito bis'!$F$52*IF(ABS(O534)&lt;'Sollecitazioni nel paramento'!$G$58,ABS(O534)*'Sollecitazioni nel paramento'!$G$54,'Sollecitazioni nel paramento'!$G$53)*IF(O534&lt;0,-1,1)</f>
        <v>240946.49743184328</v>
      </c>
      <c r="V534" s="472">
        <f t="shared" si="39"/>
        <v>378813.8405895044</v>
      </c>
      <c r="W534" s="551"/>
      <c r="X534" s="551"/>
    </row>
    <row r="535" spans="1:24" x14ac:dyDescent="0.25">
      <c r="A535" s="545">
        <f t="shared" si="40"/>
        <v>369481.54872034647</v>
      </c>
      <c r="B535" s="3">
        <f t="shared" si="41"/>
        <v>1.7000000000000008</v>
      </c>
      <c r="C535" s="545">
        <f>'Foglio deposito bis'!$E$155/sezione!$B$247*B535</f>
        <v>8.3286852915287337</v>
      </c>
      <c r="D535" s="603">
        <f>-'Sollecitazioni nel paramento'!$G$47*'Sollecitazioni nel paramento'!$G$41*IF(DATI!$G$211="dx",DATI!$E$61,DATI!$E$64*DATI!$E$63)*1000*C535^2*sezione!$AD$5*(1-sezione!$AD$6)</f>
        <v>-1543321.9365663046</v>
      </c>
      <c r="E535" s="545">
        <f>-'Foglio deposito bis'!$F$48*(C535-sezione!$AL$29)*IF(ABS(K535)&lt;'Sollecitazioni nel paramento'!$G$58,ABS(K535)*'Sollecitazioni nel paramento'!$G$54,'Sollecitazioni nel paramento'!$G$53)</f>
        <v>0</v>
      </c>
      <c r="F535" s="545">
        <f>-'Foglio deposito bis'!$F$49*(C535-sezione!$AM$29)*IF(ABS(L535)&lt;'Sollecitazioni nel paramento'!$G$58,ABS(L535)*'Sollecitazioni nel paramento'!$G$54,'Sollecitazioni nel paramento'!$G$53)</f>
        <v>10586753.653660407</v>
      </c>
      <c r="G535" s="545">
        <f>-'Foglio deposito bis'!$F$50*(C535-sezione!$AN$29)*IF(ABS(M535)&lt;'Sollecitazioni nel paramento'!$G$58,ABS(M535)*'Sollecitazioni nel paramento'!$G$54,'Sollecitazioni nel paramento'!$G$53)</f>
        <v>0</v>
      </c>
      <c r="H535" s="545">
        <f>-'Foglio deposito bis'!$F$51*(C535-sezione!$AO$29)*IF(ABS(N535)&lt;'Sollecitazioni nel paramento'!$G$58,ABS(N535)*'Sollecitazioni nel paramento'!$G$54,'Sollecitazioni nel paramento'!$G$53)</f>
        <v>36544672.039888971</v>
      </c>
      <c r="I535" s="472">
        <f>-'Foglio deposito bis'!$F$52*(C535-sezione!$AP$29)*IF(ABS(O535)&lt;'Sollecitazioni nel paramento'!$G$58,ABS(O535)*'Sollecitazioni nel paramento'!$G$54,'Sollecitazioni nel paramento'!$G$53)</f>
        <v>75590738.369002774</v>
      </c>
      <c r="J535" s="472">
        <f t="shared" si="38"/>
        <v>121178842.12598585</v>
      </c>
      <c r="K535" s="550">
        <f>'Sollecitazioni nel paramento'!$G$60*(sezione!$AL$29-C535)/C535</f>
        <v>1.3309375681705333E-2</v>
      </c>
      <c r="L535" s="550">
        <f>'Sollecitazioni nel paramento'!$G$60*(sezione!$AM$29-C535)/C535</f>
        <v>2.1714063522558003E-2</v>
      </c>
      <c r="M535" s="551">
        <f>'Sollecitazioni nel paramento'!$G$60*(sezione!$AN$29-C535)/C535</f>
        <v>3.0118751363410672E-2</v>
      </c>
      <c r="N535" s="551">
        <f>'Sollecitazioni nel paramento'!$G$60*(sezione!$AO$29-C535)/C535</f>
        <v>6.3737502726821341E-2</v>
      </c>
      <c r="O535" s="551">
        <f>'Sollecitazioni nel paramento'!$G$60*(sezione!$AP$29-C535)/C535</f>
        <v>0.1318376831418239</v>
      </c>
      <c r="P535" s="545">
        <f>-'Sollecitazioni nel paramento'!$G$47*'Sollecitazioni nel paramento'!$G$41*IF(DATI!$G$211="dx",DATI!$E$61,DATI!$E$64*DATI!$E$63)*1000*C535*sezione!$AD$5</f>
        <v>-317297.9235513701</v>
      </c>
      <c r="Q535" s="545">
        <f>'Foglio deposito bis'!$F$48*IF(ABS(K535)&lt;'Sollecitazioni nel paramento'!$G$58,ABS(K535)*'Sollecitazioni nel paramento'!$G$54,'Sollecitazioni nel paramento'!$G$53)*IF(K535&lt;0,-1,1)</f>
        <v>0</v>
      </c>
      <c r="R535" s="545">
        <f>'Foglio deposito bis'!$F$49*IF(ABS(L535)&lt;'Sollecitazioni nel paramento'!$G$58,ABS(L535)*'Sollecitazioni nel paramento'!$G$54,'Sollecitazioni nel paramento'!$G$53)*IF(L535&lt;0,-1,1)</f>
        <v>204886.47740803001</v>
      </c>
      <c r="S535" s="545">
        <f>'Foglio deposito bis'!$F$50*IF(ABS(M535)&lt;'Sollecitazioni nel paramento'!$G$58,ABS(M535)*'Sollecitazioni nel paramento'!$G$54,'Sollecitazioni nel paramento'!$G$53)*IF(M535&lt;0,-1,1)</f>
        <v>0</v>
      </c>
      <c r="T535" s="545">
        <f>'Foglio deposito bis'!$F$51*IF(ABS(N535)&lt;'Sollecitazioni nel paramento'!$G$58,ABS(N535)*'Sollecitazioni nel paramento'!$G$54,'Sollecitazioni nel paramento'!$G$53)*IF(N535&lt;0,-1,1)</f>
        <v>240946.49743184328</v>
      </c>
      <c r="U535" s="545">
        <f>'Foglio deposito bis'!$F$52*IF(ABS(O535)&lt;'Sollecitazioni nel paramento'!$G$58,ABS(O535)*'Sollecitazioni nel paramento'!$G$54,'Sollecitazioni nel paramento'!$G$53)*IF(O535&lt;0,-1,1)</f>
        <v>240946.49743184328</v>
      </c>
      <c r="V535" s="472">
        <f t="shared" si="39"/>
        <v>369481.54872034647</v>
      </c>
      <c r="W535" s="551"/>
      <c r="X535" s="551"/>
    </row>
    <row r="536" spans="1:24" x14ac:dyDescent="0.25">
      <c r="A536" s="545">
        <f t="shared" si="40"/>
        <v>360149.25685118849</v>
      </c>
      <c r="B536" s="3">
        <f t="shared" si="41"/>
        <v>1.7500000000000009</v>
      </c>
      <c r="C536" s="545">
        <f>'Foglio deposito bis'!$E$155/sezione!$B$247*B536</f>
        <v>8.5736466236325217</v>
      </c>
      <c r="D536" s="603">
        <f>-'Sollecitazioni nel paramento'!$G$47*'Sollecitazioni nel paramento'!$G$41*IF(DATI!$G$211="dx",DATI!$E$61,DATI!$E$64*DATI!$E$63)*1000*C536^2*sezione!$AD$5*(1-sezione!$AD$6)</f>
        <v>-1635440.6334720796</v>
      </c>
      <c r="E536" s="545">
        <f>-'Foglio deposito bis'!$F$48*(C536-sezione!$AL$29)*IF(ABS(K536)&lt;'Sollecitazioni nel paramento'!$G$58,ABS(K536)*'Sollecitazioni nel paramento'!$G$54,'Sollecitazioni nel paramento'!$G$53)</f>
        <v>0</v>
      </c>
      <c r="F536" s="545">
        <f>-'Foglio deposito bis'!$F$49*(C536-sezione!$AM$29)*IF(ABS(L536)&lt;'Sollecitazioni nel paramento'!$G$58,ABS(L536)*'Sollecitazioni nel paramento'!$G$54,'Sollecitazioni nel paramento'!$G$53)</f>
        <v>10536564.389224483</v>
      </c>
      <c r="G536" s="545">
        <f>-'Foglio deposito bis'!$F$50*(C536-sezione!$AN$29)*IF(ABS(M536)&lt;'Sollecitazioni nel paramento'!$G$58,ABS(M536)*'Sollecitazioni nel paramento'!$G$54,'Sollecitazioni nel paramento'!$G$53)</f>
        <v>0</v>
      </c>
      <c r="H536" s="545">
        <f>-'Foglio deposito bis'!$F$51*(C536-sezione!$AO$29)*IF(ABS(N536)&lt;'Sollecitazioni nel paramento'!$G$58,ABS(N536)*'Sollecitazioni nel paramento'!$G$54,'Sollecitazioni nel paramento'!$G$53)</f>
        <v>36485649.464912318</v>
      </c>
      <c r="I536" s="472">
        <f>-'Foglio deposito bis'!$F$52*(C536-sezione!$AP$29)*IF(ABS(O536)&lt;'Sollecitazioni nel paramento'!$G$58,ABS(O536)*'Sollecitazioni nel paramento'!$G$54,'Sollecitazioni nel paramento'!$G$53)</f>
        <v>75531715.794026136</v>
      </c>
      <c r="J536" s="472">
        <f t="shared" si="38"/>
        <v>120918489.01469086</v>
      </c>
      <c r="K536" s="550">
        <f>'Sollecitazioni nel paramento'!$G$60*(sezione!$AL$29-C536)/C536</f>
        <v>1.2829107805085178E-2</v>
      </c>
      <c r="L536" s="550">
        <f>'Sollecitazioni nel paramento'!$G$60*(sezione!$AM$29-C536)/C536</f>
        <v>2.0993661707627769E-2</v>
      </c>
      <c r="M536" s="551">
        <f>'Sollecitazioni nel paramento'!$G$60*(sezione!$AN$29-C536)/C536</f>
        <v>2.9158215610170356E-2</v>
      </c>
      <c r="N536" s="551">
        <f>'Sollecitazioni nel paramento'!$G$60*(sezione!$AO$29-C536)/C536</f>
        <v>6.1816431220340709E-2</v>
      </c>
      <c r="O536" s="551">
        <f>'Sollecitazioni nel paramento'!$G$60*(sezione!$AP$29-C536)/C536</f>
        <v>0.12797089219491464</v>
      </c>
      <c r="P536" s="545">
        <f>-'Sollecitazioni nel paramento'!$G$47*'Sollecitazioni nel paramento'!$G$41*IF(DATI!$G$211="dx",DATI!$E$61,DATI!$E$64*DATI!$E$63)*1000*C536*sezione!$AD$5</f>
        <v>-326630.21542052808</v>
      </c>
      <c r="Q536" s="545">
        <f>'Foglio deposito bis'!$F$48*IF(ABS(K536)&lt;'Sollecitazioni nel paramento'!$G$58,ABS(K536)*'Sollecitazioni nel paramento'!$G$54,'Sollecitazioni nel paramento'!$G$53)*IF(K536&lt;0,-1,1)</f>
        <v>0</v>
      </c>
      <c r="R536" s="545">
        <f>'Foglio deposito bis'!$F$49*IF(ABS(L536)&lt;'Sollecitazioni nel paramento'!$G$58,ABS(L536)*'Sollecitazioni nel paramento'!$G$54,'Sollecitazioni nel paramento'!$G$53)*IF(L536&lt;0,-1,1)</f>
        <v>204886.47740803001</v>
      </c>
      <c r="S536" s="545">
        <f>'Foglio deposito bis'!$F$50*IF(ABS(M536)&lt;'Sollecitazioni nel paramento'!$G$58,ABS(M536)*'Sollecitazioni nel paramento'!$G$54,'Sollecitazioni nel paramento'!$G$53)*IF(M536&lt;0,-1,1)</f>
        <v>0</v>
      </c>
      <c r="T536" s="545">
        <f>'Foglio deposito bis'!$F$51*IF(ABS(N536)&lt;'Sollecitazioni nel paramento'!$G$58,ABS(N536)*'Sollecitazioni nel paramento'!$G$54,'Sollecitazioni nel paramento'!$G$53)*IF(N536&lt;0,-1,1)</f>
        <v>240946.49743184328</v>
      </c>
      <c r="U536" s="545">
        <f>'Foglio deposito bis'!$F$52*IF(ABS(O536)&lt;'Sollecitazioni nel paramento'!$G$58,ABS(O536)*'Sollecitazioni nel paramento'!$G$54,'Sollecitazioni nel paramento'!$G$53)*IF(O536&lt;0,-1,1)</f>
        <v>240946.49743184328</v>
      </c>
      <c r="V536" s="472">
        <f t="shared" si="39"/>
        <v>360149.25685118849</v>
      </c>
      <c r="W536" s="551"/>
      <c r="X536" s="551"/>
    </row>
    <row r="537" spans="1:24" x14ac:dyDescent="0.25">
      <c r="A537" s="545">
        <f t="shared" si="40"/>
        <v>350816.96498203051</v>
      </c>
      <c r="B537" s="3">
        <f t="shared" si="41"/>
        <v>1.8000000000000009</v>
      </c>
      <c r="C537" s="545">
        <f>'Foglio deposito bis'!$E$155/sezione!$B$247*B537</f>
        <v>8.818607955736308</v>
      </c>
      <c r="D537" s="603">
        <f>-'Sollecitazioni nel paramento'!$G$47*'Sollecitazioni nel paramento'!$G$41*IF(DATI!$G$211="dx",DATI!$E$61,DATI!$E$64*DATI!$E$63)*1000*C537^2*sezione!$AD$5*(1-sezione!$AD$6)</f>
        <v>-1730229.4375345428</v>
      </c>
      <c r="E537" s="545">
        <f>-'Foglio deposito bis'!$F$48*(C537-sezione!$AL$29)*IF(ABS(K537)&lt;'Sollecitazioni nel paramento'!$G$58,ABS(K537)*'Sollecitazioni nel paramento'!$G$54,'Sollecitazioni nel paramento'!$G$53)</f>
        <v>0</v>
      </c>
      <c r="F537" s="545">
        <f>-'Foglio deposito bis'!$F$49*(C537-sezione!$AM$29)*IF(ABS(L537)&lt;'Sollecitazioni nel paramento'!$G$58,ABS(L537)*'Sollecitazioni nel paramento'!$G$54,'Sollecitazioni nel paramento'!$G$53)</f>
        <v>10486375.124788558</v>
      </c>
      <c r="G537" s="545">
        <f>-'Foglio deposito bis'!$F$50*(C537-sezione!$AN$29)*IF(ABS(M537)&lt;'Sollecitazioni nel paramento'!$G$58,ABS(M537)*'Sollecitazioni nel paramento'!$G$54,'Sollecitazioni nel paramento'!$G$53)</f>
        <v>0</v>
      </c>
      <c r="H537" s="545">
        <f>-'Foglio deposito bis'!$F$51*(C537-sezione!$AO$29)*IF(ABS(N537)&lt;'Sollecitazioni nel paramento'!$G$58,ABS(N537)*'Sollecitazioni nel paramento'!$G$54,'Sollecitazioni nel paramento'!$G$53)</f>
        <v>36426626.889935672</v>
      </c>
      <c r="I537" s="472">
        <f>-'Foglio deposito bis'!$F$52*(C537-sezione!$AP$29)*IF(ABS(O537)&lt;'Sollecitazioni nel paramento'!$G$58,ABS(O537)*'Sollecitazioni nel paramento'!$G$54,'Sollecitazioni nel paramento'!$G$53)</f>
        <v>75472693.219049484</v>
      </c>
      <c r="J537" s="472">
        <f t="shared" si="38"/>
        <v>120655465.79623917</v>
      </c>
      <c r="K537" s="550">
        <f>'Sollecitazioni nel paramento'!$G$60*(sezione!$AL$29-C537)/C537</f>
        <v>1.2375521477166147E-2</v>
      </c>
      <c r="L537" s="550">
        <f>'Sollecitazioni nel paramento'!$G$60*(sezione!$AM$29-C537)/C537</f>
        <v>2.0313282215749219E-2</v>
      </c>
      <c r="M537" s="551">
        <f>'Sollecitazioni nel paramento'!$G$60*(sezione!$AN$29-C537)/C537</f>
        <v>2.8251042954332291E-2</v>
      </c>
      <c r="N537" s="551">
        <f>'Sollecitazioni nel paramento'!$G$60*(sezione!$AO$29-C537)/C537</f>
        <v>6.0002085908664585E-2</v>
      </c>
      <c r="O537" s="551">
        <f>'Sollecitazioni nel paramento'!$G$60*(sezione!$AP$29-C537)/C537</f>
        <v>0.12431892296727812</v>
      </c>
      <c r="P537" s="545">
        <f>-'Sollecitazioni nel paramento'!$G$47*'Sollecitazioni nel paramento'!$G$41*IF(DATI!$G$211="dx",DATI!$E$61,DATI!$E$64*DATI!$E$63)*1000*C537*sezione!$AD$5</f>
        <v>-335962.50728968607</v>
      </c>
      <c r="Q537" s="545">
        <f>'Foglio deposito bis'!$F$48*IF(ABS(K537)&lt;'Sollecitazioni nel paramento'!$G$58,ABS(K537)*'Sollecitazioni nel paramento'!$G$54,'Sollecitazioni nel paramento'!$G$53)*IF(K537&lt;0,-1,1)</f>
        <v>0</v>
      </c>
      <c r="R537" s="545">
        <f>'Foglio deposito bis'!$F$49*IF(ABS(L537)&lt;'Sollecitazioni nel paramento'!$G$58,ABS(L537)*'Sollecitazioni nel paramento'!$G$54,'Sollecitazioni nel paramento'!$G$53)*IF(L537&lt;0,-1,1)</f>
        <v>204886.47740803001</v>
      </c>
      <c r="S537" s="545">
        <f>'Foglio deposito bis'!$F$50*IF(ABS(M537)&lt;'Sollecitazioni nel paramento'!$G$58,ABS(M537)*'Sollecitazioni nel paramento'!$G$54,'Sollecitazioni nel paramento'!$G$53)*IF(M537&lt;0,-1,1)</f>
        <v>0</v>
      </c>
      <c r="T537" s="545">
        <f>'Foglio deposito bis'!$F$51*IF(ABS(N537)&lt;'Sollecitazioni nel paramento'!$G$58,ABS(N537)*'Sollecitazioni nel paramento'!$G$54,'Sollecitazioni nel paramento'!$G$53)*IF(N537&lt;0,-1,1)</f>
        <v>240946.49743184328</v>
      </c>
      <c r="U537" s="545">
        <f>'Foglio deposito bis'!$F$52*IF(ABS(O537)&lt;'Sollecitazioni nel paramento'!$G$58,ABS(O537)*'Sollecitazioni nel paramento'!$G$54,'Sollecitazioni nel paramento'!$G$53)*IF(O537&lt;0,-1,1)</f>
        <v>240946.49743184328</v>
      </c>
      <c r="V537" s="472">
        <f t="shared" si="39"/>
        <v>350816.96498203051</v>
      </c>
      <c r="W537" s="551"/>
      <c r="X537" s="551"/>
    </row>
    <row r="538" spans="1:24" x14ac:dyDescent="0.25">
      <c r="A538" s="545">
        <f t="shared" si="40"/>
        <v>341484.67311287258</v>
      </c>
      <c r="B538" s="3">
        <f t="shared" si="41"/>
        <v>1.850000000000001</v>
      </c>
      <c r="C538" s="545">
        <f>'Foglio deposito bis'!$E$155/sezione!$B$247*B538</f>
        <v>9.0635692878400942</v>
      </c>
      <c r="D538" s="603">
        <f>-'Sollecitazioni nel paramento'!$G$47*'Sollecitazioni nel paramento'!$G$41*IF(DATI!$G$211="dx",DATI!$E$61,DATI!$E$64*DATI!$E$63)*1000*C538^2*sezione!$AD$5*(1-sezione!$AD$6)</f>
        <v>-1827688.3487536951</v>
      </c>
      <c r="E538" s="545">
        <f>-'Foglio deposito bis'!$F$48*(C538-sezione!$AL$29)*IF(ABS(K538)&lt;'Sollecitazioni nel paramento'!$G$58,ABS(K538)*'Sollecitazioni nel paramento'!$G$54,'Sollecitazioni nel paramento'!$G$53)</f>
        <v>0</v>
      </c>
      <c r="F538" s="545">
        <f>-'Foglio deposito bis'!$F$49*(C538-sezione!$AM$29)*IF(ABS(L538)&lt;'Sollecitazioni nel paramento'!$G$58,ABS(L538)*'Sollecitazioni nel paramento'!$G$54,'Sollecitazioni nel paramento'!$G$53)</f>
        <v>10436185.860352637</v>
      </c>
      <c r="G538" s="545">
        <f>-'Foglio deposito bis'!$F$50*(C538-sezione!$AN$29)*IF(ABS(M538)&lt;'Sollecitazioni nel paramento'!$G$58,ABS(M538)*'Sollecitazioni nel paramento'!$G$54,'Sollecitazioni nel paramento'!$G$53)</f>
        <v>0</v>
      </c>
      <c r="H538" s="545">
        <f>-'Foglio deposito bis'!$F$51*(C538-sezione!$AO$29)*IF(ABS(N538)&lt;'Sollecitazioni nel paramento'!$G$58,ABS(N538)*'Sollecitazioni nel paramento'!$G$54,'Sollecitazioni nel paramento'!$G$53)</f>
        <v>36367604.314959027</v>
      </c>
      <c r="I538" s="472">
        <f>-'Foglio deposito bis'!$F$52*(C538-sezione!$AP$29)*IF(ABS(O538)&lt;'Sollecitazioni nel paramento'!$G$58,ABS(O538)*'Sollecitazioni nel paramento'!$G$54,'Sollecitazioni nel paramento'!$G$53)</f>
        <v>75413670.644072846</v>
      </c>
      <c r="J538" s="472">
        <f t="shared" si="38"/>
        <v>120389772.47063082</v>
      </c>
      <c r="K538" s="550">
        <f>'Sollecitazioni nel paramento'!$G$60*(sezione!$AL$29-C538)/C538</f>
        <v>1.1946453329134629E-2</v>
      </c>
      <c r="L538" s="550">
        <f>'Sollecitazioni nel paramento'!$G$60*(sezione!$AM$29-C538)/C538</f>
        <v>1.9669679993701943E-2</v>
      </c>
      <c r="M538" s="551">
        <f>'Sollecitazioni nel paramento'!$G$60*(sezione!$AN$29-C538)/C538</f>
        <v>2.7392906658269257E-2</v>
      </c>
      <c r="N538" s="551">
        <f>'Sollecitazioni nel paramento'!$G$60*(sezione!$AO$29-C538)/C538</f>
        <v>5.8285813316538509E-2</v>
      </c>
      <c r="O538" s="551">
        <f>'Sollecitazioni nel paramento'!$G$60*(sezione!$AP$29-C538)/C538</f>
        <v>0.12086435748167601</v>
      </c>
      <c r="P538" s="545">
        <f>-'Sollecitazioni nel paramento'!$G$47*'Sollecitazioni nel paramento'!$G$41*IF(DATI!$G$211="dx",DATI!$E$61,DATI!$E$64*DATI!$E$63)*1000*C538*sezione!$AD$5</f>
        <v>-345294.79915884399</v>
      </c>
      <c r="Q538" s="545">
        <f>'Foglio deposito bis'!$F$48*IF(ABS(K538)&lt;'Sollecitazioni nel paramento'!$G$58,ABS(K538)*'Sollecitazioni nel paramento'!$G$54,'Sollecitazioni nel paramento'!$G$53)*IF(K538&lt;0,-1,1)</f>
        <v>0</v>
      </c>
      <c r="R538" s="545">
        <f>'Foglio deposito bis'!$F$49*IF(ABS(L538)&lt;'Sollecitazioni nel paramento'!$G$58,ABS(L538)*'Sollecitazioni nel paramento'!$G$54,'Sollecitazioni nel paramento'!$G$53)*IF(L538&lt;0,-1,1)</f>
        <v>204886.47740803001</v>
      </c>
      <c r="S538" s="545">
        <f>'Foglio deposito bis'!$F$50*IF(ABS(M538)&lt;'Sollecitazioni nel paramento'!$G$58,ABS(M538)*'Sollecitazioni nel paramento'!$G$54,'Sollecitazioni nel paramento'!$G$53)*IF(M538&lt;0,-1,1)</f>
        <v>0</v>
      </c>
      <c r="T538" s="545">
        <f>'Foglio deposito bis'!$F$51*IF(ABS(N538)&lt;'Sollecitazioni nel paramento'!$G$58,ABS(N538)*'Sollecitazioni nel paramento'!$G$54,'Sollecitazioni nel paramento'!$G$53)*IF(N538&lt;0,-1,1)</f>
        <v>240946.49743184328</v>
      </c>
      <c r="U538" s="545">
        <f>'Foglio deposito bis'!$F$52*IF(ABS(O538)&lt;'Sollecitazioni nel paramento'!$G$58,ABS(O538)*'Sollecitazioni nel paramento'!$G$54,'Sollecitazioni nel paramento'!$G$53)*IF(O538&lt;0,-1,1)</f>
        <v>240946.49743184328</v>
      </c>
      <c r="V538" s="472">
        <f t="shared" si="39"/>
        <v>341484.67311287258</v>
      </c>
      <c r="W538" s="551"/>
      <c r="X538" s="551"/>
    </row>
    <row r="539" spans="1:24" x14ac:dyDescent="0.25">
      <c r="A539" s="545">
        <f t="shared" si="40"/>
        <v>332152.38124371466</v>
      </c>
      <c r="B539" s="3">
        <f t="shared" si="41"/>
        <v>1.900000000000001</v>
      </c>
      <c r="C539" s="545">
        <f>'Foglio deposito bis'!$E$155/sezione!$B$247*B539</f>
        <v>9.3085306199438804</v>
      </c>
      <c r="D539" s="603">
        <f>-'Sollecitazioni nel paramento'!$G$47*'Sollecitazioni nel paramento'!$G$41*IF(DATI!$G$211="dx",DATI!$E$61,DATI!$E$64*DATI!$E$63)*1000*C539^2*sezione!$AD$5*(1-sezione!$AD$6)</f>
        <v>-1927817.3671295368</v>
      </c>
      <c r="E539" s="545">
        <f>-'Foglio deposito bis'!$F$48*(C539-sezione!$AL$29)*IF(ABS(K539)&lt;'Sollecitazioni nel paramento'!$G$58,ABS(K539)*'Sollecitazioni nel paramento'!$G$54,'Sollecitazioni nel paramento'!$G$53)</f>
        <v>0</v>
      </c>
      <c r="F539" s="545">
        <f>-'Foglio deposito bis'!$F$49*(C539-sezione!$AM$29)*IF(ABS(L539)&lt;'Sollecitazioni nel paramento'!$G$58,ABS(L539)*'Sollecitazioni nel paramento'!$G$54,'Sollecitazioni nel paramento'!$G$53)</f>
        <v>10385996.595916715</v>
      </c>
      <c r="G539" s="545">
        <f>-'Foglio deposito bis'!$F$50*(C539-sezione!$AN$29)*IF(ABS(M539)&lt;'Sollecitazioni nel paramento'!$G$58,ABS(M539)*'Sollecitazioni nel paramento'!$G$54,'Sollecitazioni nel paramento'!$G$53)</f>
        <v>0</v>
      </c>
      <c r="H539" s="545">
        <f>-'Foglio deposito bis'!$F$51*(C539-sezione!$AO$29)*IF(ABS(N539)&lt;'Sollecitazioni nel paramento'!$G$58,ABS(N539)*'Sollecitazioni nel paramento'!$G$54,'Sollecitazioni nel paramento'!$G$53)</f>
        <v>36308581.739982381</v>
      </c>
      <c r="I539" s="472">
        <f>-'Foglio deposito bis'!$F$52*(C539-sezione!$AP$29)*IF(ABS(O539)&lt;'Sollecitazioni nel paramento'!$G$58,ABS(O539)*'Sollecitazioni nel paramento'!$G$54,'Sollecitazioni nel paramento'!$G$53)</f>
        <v>75354648.069096193</v>
      </c>
      <c r="J539" s="472">
        <f t="shared" si="38"/>
        <v>120121409.03786576</v>
      </c>
      <c r="K539" s="550">
        <f>'Sollecitazioni nel paramento'!$G$60*(sezione!$AL$29-C539)/C539</f>
        <v>1.1539967715210033E-2</v>
      </c>
      <c r="L539" s="550">
        <f>'Sollecitazioni nel paramento'!$G$60*(sezione!$AM$29-C539)/C539</f>
        <v>1.9059951572815051E-2</v>
      </c>
      <c r="M539" s="551">
        <f>'Sollecitazioni nel paramento'!$G$60*(sezione!$AN$29-C539)/C539</f>
        <v>2.6579935430420067E-2</v>
      </c>
      <c r="N539" s="551">
        <f>'Sollecitazioni nel paramento'!$G$60*(sezione!$AO$29-C539)/C539</f>
        <v>5.6659870860840122E-2</v>
      </c>
      <c r="O539" s="551">
        <f>'Sollecitazioni nel paramento'!$G$60*(sezione!$AP$29-C539)/C539</f>
        <v>0.11759161123215821</v>
      </c>
      <c r="P539" s="545">
        <f>-'Sollecitazioni nel paramento'!$G$47*'Sollecitazioni nel paramento'!$G$41*IF(DATI!$G$211="dx",DATI!$E$61,DATI!$E$64*DATI!$E$63)*1000*C539*sezione!$AD$5</f>
        <v>-354627.09102800192</v>
      </c>
      <c r="Q539" s="545">
        <f>'Foglio deposito bis'!$F$48*IF(ABS(K539)&lt;'Sollecitazioni nel paramento'!$G$58,ABS(K539)*'Sollecitazioni nel paramento'!$G$54,'Sollecitazioni nel paramento'!$G$53)*IF(K539&lt;0,-1,1)</f>
        <v>0</v>
      </c>
      <c r="R539" s="545">
        <f>'Foglio deposito bis'!$F$49*IF(ABS(L539)&lt;'Sollecitazioni nel paramento'!$G$58,ABS(L539)*'Sollecitazioni nel paramento'!$G$54,'Sollecitazioni nel paramento'!$G$53)*IF(L539&lt;0,-1,1)</f>
        <v>204886.47740803001</v>
      </c>
      <c r="S539" s="545">
        <f>'Foglio deposito bis'!$F$50*IF(ABS(M539)&lt;'Sollecitazioni nel paramento'!$G$58,ABS(M539)*'Sollecitazioni nel paramento'!$G$54,'Sollecitazioni nel paramento'!$G$53)*IF(M539&lt;0,-1,1)</f>
        <v>0</v>
      </c>
      <c r="T539" s="545">
        <f>'Foglio deposito bis'!$F$51*IF(ABS(N539)&lt;'Sollecitazioni nel paramento'!$G$58,ABS(N539)*'Sollecitazioni nel paramento'!$G$54,'Sollecitazioni nel paramento'!$G$53)*IF(N539&lt;0,-1,1)</f>
        <v>240946.49743184328</v>
      </c>
      <c r="U539" s="545">
        <f>'Foglio deposito bis'!$F$52*IF(ABS(O539)&lt;'Sollecitazioni nel paramento'!$G$58,ABS(O539)*'Sollecitazioni nel paramento'!$G$54,'Sollecitazioni nel paramento'!$G$53)*IF(O539&lt;0,-1,1)</f>
        <v>240946.49743184328</v>
      </c>
      <c r="V539" s="472">
        <f t="shared" si="39"/>
        <v>332152.38124371466</v>
      </c>
      <c r="W539" s="551"/>
      <c r="X539" s="551"/>
    </row>
    <row r="540" spans="1:24" x14ac:dyDescent="0.25">
      <c r="A540" s="545">
        <f t="shared" si="40"/>
        <v>322820.08937455673</v>
      </c>
      <c r="B540" s="3">
        <f t="shared" si="41"/>
        <v>1.9500000000000011</v>
      </c>
      <c r="C540" s="545">
        <f>'Foglio deposito bis'!$E$155/sezione!$B$247*B540</f>
        <v>9.5534919520476667</v>
      </c>
      <c r="D540" s="603">
        <f>-'Sollecitazioni nel paramento'!$G$47*'Sollecitazioni nel paramento'!$G$41*IF(DATI!$G$211="dx",DATI!$E$61,DATI!$E$64*DATI!$E$63)*1000*C540^2*sezione!$AD$5*(1-sezione!$AD$6)</f>
        <v>-2030616.4926620675</v>
      </c>
      <c r="E540" s="545">
        <f>-'Foglio deposito bis'!$F$48*(C540-sezione!$AL$29)*IF(ABS(K540)&lt;'Sollecitazioni nel paramento'!$G$58,ABS(K540)*'Sollecitazioni nel paramento'!$G$54,'Sollecitazioni nel paramento'!$G$53)</f>
        <v>0</v>
      </c>
      <c r="F540" s="545">
        <f>-'Foglio deposito bis'!$F$49*(C540-sezione!$AM$29)*IF(ABS(L540)&lt;'Sollecitazioni nel paramento'!$G$58,ABS(L540)*'Sollecitazioni nel paramento'!$G$54,'Sollecitazioni nel paramento'!$G$53)</f>
        <v>10335807.33148079</v>
      </c>
      <c r="G540" s="545">
        <f>-'Foglio deposito bis'!$F$50*(C540-sezione!$AN$29)*IF(ABS(M540)&lt;'Sollecitazioni nel paramento'!$G$58,ABS(M540)*'Sollecitazioni nel paramento'!$G$54,'Sollecitazioni nel paramento'!$G$53)</f>
        <v>0</v>
      </c>
      <c r="H540" s="545">
        <f>-'Foglio deposito bis'!$F$51*(C540-sezione!$AO$29)*IF(ABS(N540)&lt;'Sollecitazioni nel paramento'!$G$58,ABS(N540)*'Sollecitazioni nel paramento'!$G$54,'Sollecitazioni nel paramento'!$G$53)</f>
        <v>36249559.165005736</v>
      </c>
      <c r="I540" s="472">
        <f>-'Foglio deposito bis'!$F$52*(C540-sezione!$AP$29)*IF(ABS(O540)&lt;'Sollecitazioni nel paramento'!$G$58,ABS(O540)*'Sollecitazioni nel paramento'!$G$54,'Sollecitazioni nel paramento'!$G$53)</f>
        <v>75295625.49411954</v>
      </c>
      <c r="J540" s="472">
        <f t="shared" si="38"/>
        <v>119850375.497944</v>
      </c>
      <c r="K540" s="550">
        <f>'Sollecitazioni nel paramento'!$G$60*(sezione!$AL$29-C540)/C540</f>
        <v>1.1154327517384136E-2</v>
      </c>
      <c r="L540" s="550">
        <f>'Sollecitazioni nel paramento'!$G$60*(sezione!$AM$29-C540)/C540</f>
        <v>1.8481491276076203E-2</v>
      </c>
      <c r="M540" s="551">
        <f>'Sollecitazioni nel paramento'!$G$60*(sezione!$AN$29-C540)/C540</f>
        <v>2.5808655034768271E-2</v>
      </c>
      <c r="N540" s="551">
        <f>'Sollecitazioni nel paramento'!$G$60*(sezione!$AO$29-C540)/C540</f>
        <v>5.5117310069536539E-2</v>
      </c>
      <c r="O540" s="551">
        <f>'Sollecitazioni nel paramento'!$G$60*(sezione!$AP$29-C540)/C540</f>
        <v>0.11448669812364133</v>
      </c>
      <c r="P540" s="545">
        <f>-'Sollecitazioni nel paramento'!$G$47*'Sollecitazioni nel paramento'!$G$41*IF(DATI!$G$211="dx",DATI!$E$61,DATI!$E$64*DATI!$E$63)*1000*C540*sezione!$AD$5</f>
        <v>-363959.38289715984</v>
      </c>
      <c r="Q540" s="545">
        <f>'Foglio deposito bis'!$F$48*IF(ABS(K540)&lt;'Sollecitazioni nel paramento'!$G$58,ABS(K540)*'Sollecitazioni nel paramento'!$G$54,'Sollecitazioni nel paramento'!$G$53)*IF(K540&lt;0,-1,1)</f>
        <v>0</v>
      </c>
      <c r="R540" s="545">
        <f>'Foglio deposito bis'!$F$49*IF(ABS(L540)&lt;'Sollecitazioni nel paramento'!$G$58,ABS(L540)*'Sollecitazioni nel paramento'!$G$54,'Sollecitazioni nel paramento'!$G$53)*IF(L540&lt;0,-1,1)</f>
        <v>204886.47740803001</v>
      </c>
      <c r="S540" s="545">
        <f>'Foglio deposito bis'!$F$50*IF(ABS(M540)&lt;'Sollecitazioni nel paramento'!$G$58,ABS(M540)*'Sollecitazioni nel paramento'!$G$54,'Sollecitazioni nel paramento'!$G$53)*IF(M540&lt;0,-1,1)</f>
        <v>0</v>
      </c>
      <c r="T540" s="545">
        <f>'Foglio deposito bis'!$F$51*IF(ABS(N540)&lt;'Sollecitazioni nel paramento'!$G$58,ABS(N540)*'Sollecitazioni nel paramento'!$G$54,'Sollecitazioni nel paramento'!$G$53)*IF(N540&lt;0,-1,1)</f>
        <v>240946.49743184328</v>
      </c>
      <c r="U540" s="545">
        <f>'Foglio deposito bis'!$F$52*IF(ABS(O540)&lt;'Sollecitazioni nel paramento'!$G$58,ABS(O540)*'Sollecitazioni nel paramento'!$G$54,'Sollecitazioni nel paramento'!$G$53)*IF(O540&lt;0,-1,1)</f>
        <v>240946.49743184328</v>
      </c>
      <c r="V540" s="472">
        <f t="shared" si="39"/>
        <v>322820.08937455673</v>
      </c>
      <c r="W540" s="551"/>
      <c r="X540" s="551"/>
    </row>
    <row r="541" spans="1:24" x14ac:dyDescent="0.25">
      <c r="A541" s="545">
        <f t="shared" si="40"/>
        <v>313487.7975053988</v>
      </c>
      <c r="B541" s="3">
        <f t="shared" si="41"/>
        <v>2.0000000000000009</v>
      </c>
      <c r="C541" s="545">
        <f>'Foglio deposito bis'!$E$155/sezione!$B$247*B541</f>
        <v>9.7984532841514511</v>
      </c>
      <c r="D541" s="603">
        <f>-'Sollecitazioni nel paramento'!$G$47*'Sollecitazioni nel paramento'!$G$41*IF(DATI!$G$211="dx",DATI!$E$61,DATI!$E$64*DATI!$E$63)*1000*C541^2*sezione!$AD$5*(1-sezione!$AD$6)</f>
        <v>-2136085.7253512866</v>
      </c>
      <c r="E541" s="545">
        <f>-'Foglio deposito bis'!$F$48*(C541-sezione!$AL$29)*IF(ABS(K541)&lt;'Sollecitazioni nel paramento'!$G$58,ABS(K541)*'Sollecitazioni nel paramento'!$G$54,'Sollecitazioni nel paramento'!$G$53)</f>
        <v>0</v>
      </c>
      <c r="F541" s="545">
        <f>-'Foglio deposito bis'!$F$49*(C541-sezione!$AM$29)*IF(ABS(L541)&lt;'Sollecitazioni nel paramento'!$G$58,ABS(L541)*'Sollecitazioni nel paramento'!$G$54,'Sollecitazioni nel paramento'!$G$53)</f>
        <v>10285618.067044867</v>
      </c>
      <c r="G541" s="545">
        <f>-'Foglio deposito bis'!$F$50*(C541-sezione!$AN$29)*IF(ABS(M541)&lt;'Sollecitazioni nel paramento'!$G$58,ABS(M541)*'Sollecitazioni nel paramento'!$G$54,'Sollecitazioni nel paramento'!$G$53)</f>
        <v>0</v>
      </c>
      <c r="H541" s="545">
        <f>-'Foglio deposito bis'!$F$51*(C541-sezione!$AO$29)*IF(ABS(N541)&lt;'Sollecitazioni nel paramento'!$G$58,ABS(N541)*'Sollecitazioni nel paramento'!$G$54,'Sollecitazioni nel paramento'!$G$53)</f>
        <v>36190536.590029083</v>
      </c>
      <c r="I541" s="472">
        <f>-'Foglio deposito bis'!$F$52*(C541-sezione!$AP$29)*IF(ABS(O541)&lt;'Sollecitazioni nel paramento'!$G$58,ABS(O541)*'Sollecitazioni nel paramento'!$G$54,'Sollecitazioni nel paramento'!$G$53)</f>
        <v>75236602.919142902</v>
      </c>
      <c r="J541" s="472">
        <f t="shared" si="38"/>
        <v>119576671.85086557</v>
      </c>
      <c r="K541" s="550">
        <f>'Sollecitazioni nel paramento'!$G$60*(sezione!$AL$29-C541)/C541</f>
        <v>1.0787969329449535E-2</v>
      </c>
      <c r="L541" s="550">
        <f>'Sollecitazioni nel paramento'!$G$60*(sezione!$AM$29-C541)/C541</f>
        <v>1.7931953994174302E-2</v>
      </c>
      <c r="M541" s="551">
        <f>'Sollecitazioni nel paramento'!$G$60*(sezione!$AN$29-C541)/C541</f>
        <v>2.507593865889907E-2</v>
      </c>
      <c r="N541" s="551">
        <f>'Sollecitazioni nel paramento'!$G$60*(sezione!$AO$29-C541)/C541</f>
        <v>5.3651877317798129E-2</v>
      </c>
      <c r="O541" s="551">
        <f>'Sollecitazioni nel paramento'!$G$60*(sezione!$AP$29-C541)/C541</f>
        <v>0.11153703067055033</v>
      </c>
      <c r="P541" s="545">
        <f>-'Sollecitazioni nel paramento'!$G$47*'Sollecitazioni nel paramento'!$G$41*IF(DATI!$G$211="dx",DATI!$E$61,DATI!$E$64*DATI!$E$63)*1000*C541*sezione!$AD$5</f>
        <v>-373291.67476631777</v>
      </c>
      <c r="Q541" s="545">
        <f>'Foglio deposito bis'!$F$48*IF(ABS(K541)&lt;'Sollecitazioni nel paramento'!$G$58,ABS(K541)*'Sollecitazioni nel paramento'!$G$54,'Sollecitazioni nel paramento'!$G$53)*IF(K541&lt;0,-1,1)</f>
        <v>0</v>
      </c>
      <c r="R541" s="545">
        <f>'Foglio deposito bis'!$F$49*IF(ABS(L541)&lt;'Sollecitazioni nel paramento'!$G$58,ABS(L541)*'Sollecitazioni nel paramento'!$G$54,'Sollecitazioni nel paramento'!$G$53)*IF(L541&lt;0,-1,1)</f>
        <v>204886.47740803001</v>
      </c>
      <c r="S541" s="545">
        <f>'Foglio deposito bis'!$F$50*IF(ABS(M541)&lt;'Sollecitazioni nel paramento'!$G$58,ABS(M541)*'Sollecitazioni nel paramento'!$G$54,'Sollecitazioni nel paramento'!$G$53)*IF(M541&lt;0,-1,1)</f>
        <v>0</v>
      </c>
      <c r="T541" s="545">
        <f>'Foglio deposito bis'!$F$51*IF(ABS(N541)&lt;'Sollecitazioni nel paramento'!$G$58,ABS(N541)*'Sollecitazioni nel paramento'!$G$54,'Sollecitazioni nel paramento'!$G$53)*IF(N541&lt;0,-1,1)</f>
        <v>240946.49743184328</v>
      </c>
      <c r="U541" s="545">
        <f>'Foglio deposito bis'!$F$52*IF(ABS(O541)&lt;'Sollecitazioni nel paramento'!$G$58,ABS(O541)*'Sollecitazioni nel paramento'!$G$54,'Sollecitazioni nel paramento'!$G$53)*IF(O541&lt;0,-1,1)</f>
        <v>240946.49743184328</v>
      </c>
      <c r="V541" s="472">
        <f t="shared" si="39"/>
        <v>313487.7975053988</v>
      </c>
      <c r="W541" s="551"/>
      <c r="X541" s="551"/>
    </row>
    <row r="542" spans="1:24" x14ac:dyDescent="0.25">
      <c r="A542" s="545">
        <f t="shared" si="40"/>
        <v>304155.50563624088</v>
      </c>
      <c r="B542" s="3">
        <f t="shared" si="41"/>
        <v>2.0500000000000007</v>
      </c>
      <c r="C542" s="545">
        <f>'Foglio deposito bis'!$E$155/sezione!$B$247*B542</f>
        <v>10.043414616255237</v>
      </c>
      <c r="D542" s="603">
        <f>-'Sollecitazioni nel paramento'!$G$47*'Sollecitazioni nel paramento'!$G$41*IF(DATI!$G$211="dx",DATI!$E$61,DATI!$E$64*DATI!$E$63)*1000*C542^2*sezione!$AD$5*(1-sezione!$AD$6)</f>
        <v>-2244225.0651971959</v>
      </c>
      <c r="E542" s="545">
        <f>-'Foglio deposito bis'!$F$48*(C542-sezione!$AL$29)*IF(ABS(K542)&lt;'Sollecitazioni nel paramento'!$G$58,ABS(K542)*'Sollecitazioni nel paramento'!$G$54,'Sollecitazioni nel paramento'!$G$53)</f>
        <v>0</v>
      </c>
      <c r="F542" s="545">
        <f>-'Foglio deposito bis'!$F$49*(C542-sezione!$AM$29)*IF(ABS(L542)&lt;'Sollecitazioni nel paramento'!$G$58,ABS(L542)*'Sollecitazioni nel paramento'!$G$54,'Sollecitazioni nel paramento'!$G$53)</f>
        <v>10235428.802608944</v>
      </c>
      <c r="G542" s="545">
        <f>-'Foglio deposito bis'!$F$50*(C542-sezione!$AN$29)*IF(ABS(M542)&lt;'Sollecitazioni nel paramento'!$G$58,ABS(M542)*'Sollecitazioni nel paramento'!$G$54,'Sollecitazioni nel paramento'!$G$53)</f>
        <v>0</v>
      </c>
      <c r="H542" s="545">
        <f>-'Foglio deposito bis'!$F$51*(C542-sezione!$AO$29)*IF(ABS(N542)&lt;'Sollecitazioni nel paramento'!$G$58,ABS(N542)*'Sollecitazioni nel paramento'!$G$54,'Sollecitazioni nel paramento'!$G$53)</f>
        <v>36131514.015052445</v>
      </c>
      <c r="I542" s="472">
        <f>-'Foglio deposito bis'!$F$52*(C542-sezione!$AP$29)*IF(ABS(O542)&lt;'Sollecitazioni nel paramento'!$G$58,ABS(O542)*'Sollecitazioni nel paramento'!$G$54,'Sollecitazioni nel paramento'!$G$53)</f>
        <v>75177580.344166264</v>
      </c>
      <c r="J542" s="472">
        <f t="shared" si="38"/>
        <v>119300298.09663045</v>
      </c>
      <c r="K542" s="550">
        <f>'Sollecitazioni nel paramento'!$G$60*(sezione!$AL$29-C542)/C542</f>
        <v>1.0439482272633692E-2</v>
      </c>
      <c r="L542" s="550">
        <f>'Sollecitazioni nel paramento'!$G$60*(sezione!$AM$29-C542)/C542</f>
        <v>1.7409223408950538E-2</v>
      </c>
      <c r="M542" s="551">
        <f>'Sollecitazioni nel paramento'!$G$60*(sezione!$AN$29-C542)/C542</f>
        <v>2.4378964545267386E-2</v>
      </c>
      <c r="N542" s="551">
        <f>'Sollecitazioni nel paramento'!$G$60*(sezione!$AO$29-C542)/C542</f>
        <v>5.2257929090534769E-2</v>
      </c>
      <c r="O542" s="551">
        <f>'Sollecitazioni nel paramento'!$G$60*(sezione!$AP$29-C542)/C542</f>
        <v>0.10873124943468325</v>
      </c>
      <c r="P542" s="545">
        <f>-'Sollecitazioni nel paramento'!$G$47*'Sollecitazioni nel paramento'!$G$41*IF(DATI!$G$211="dx",DATI!$E$61,DATI!$E$64*DATI!$E$63)*1000*C542*sezione!$AD$5</f>
        <v>-382623.96663547569</v>
      </c>
      <c r="Q542" s="545">
        <f>'Foglio deposito bis'!$F$48*IF(ABS(K542)&lt;'Sollecitazioni nel paramento'!$G$58,ABS(K542)*'Sollecitazioni nel paramento'!$G$54,'Sollecitazioni nel paramento'!$G$53)*IF(K542&lt;0,-1,1)</f>
        <v>0</v>
      </c>
      <c r="R542" s="545">
        <f>'Foglio deposito bis'!$F$49*IF(ABS(L542)&lt;'Sollecitazioni nel paramento'!$G$58,ABS(L542)*'Sollecitazioni nel paramento'!$G$54,'Sollecitazioni nel paramento'!$G$53)*IF(L542&lt;0,-1,1)</f>
        <v>204886.47740803001</v>
      </c>
      <c r="S542" s="545">
        <f>'Foglio deposito bis'!$F$50*IF(ABS(M542)&lt;'Sollecitazioni nel paramento'!$G$58,ABS(M542)*'Sollecitazioni nel paramento'!$G$54,'Sollecitazioni nel paramento'!$G$53)*IF(M542&lt;0,-1,1)</f>
        <v>0</v>
      </c>
      <c r="T542" s="545">
        <f>'Foglio deposito bis'!$F$51*IF(ABS(N542)&lt;'Sollecitazioni nel paramento'!$G$58,ABS(N542)*'Sollecitazioni nel paramento'!$G$54,'Sollecitazioni nel paramento'!$G$53)*IF(N542&lt;0,-1,1)</f>
        <v>240946.49743184328</v>
      </c>
      <c r="U542" s="545">
        <f>'Foglio deposito bis'!$F$52*IF(ABS(O542)&lt;'Sollecitazioni nel paramento'!$G$58,ABS(O542)*'Sollecitazioni nel paramento'!$G$54,'Sollecitazioni nel paramento'!$G$53)*IF(O542&lt;0,-1,1)</f>
        <v>240946.49743184328</v>
      </c>
      <c r="V542" s="472">
        <f t="shared" si="39"/>
        <v>304155.50563624088</v>
      </c>
      <c r="W542" s="551"/>
      <c r="X542" s="551"/>
    </row>
    <row r="543" spans="1:24" x14ac:dyDescent="0.25">
      <c r="A543" s="545">
        <f t="shared" si="40"/>
        <v>294823.21376708295</v>
      </c>
      <c r="B543" s="3">
        <f t="shared" si="41"/>
        <v>2.1000000000000005</v>
      </c>
      <c r="C543" s="545">
        <f>'Foglio deposito bis'!$E$155/sezione!$B$247*B543</f>
        <v>10.288375948359022</v>
      </c>
      <c r="D543" s="603">
        <f>-'Sollecitazioni nel paramento'!$G$47*'Sollecitazioni nel paramento'!$G$41*IF(DATI!$G$211="dx",DATI!$E$61,DATI!$E$64*DATI!$E$63)*1000*C543^2*sezione!$AD$5*(1-sezione!$AD$6)</f>
        <v>-2355034.5121997925</v>
      </c>
      <c r="E543" s="545">
        <f>-'Foglio deposito bis'!$F$48*(C543-sezione!$AL$29)*IF(ABS(K543)&lt;'Sollecitazioni nel paramento'!$G$58,ABS(K543)*'Sollecitazioni nel paramento'!$G$54,'Sollecitazioni nel paramento'!$G$53)</f>
        <v>0</v>
      </c>
      <c r="F543" s="545">
        <f>-'Foglio deposito bis'!$F$49*(C543-sezione!$AM$29)*IF(ABS(L543)&lt;'Sollecitazioni nel paramento'!$G$58,ABS(L543)*'Sollecitazioni nel paramento'!$G$54,'Sollecitazioni nel paramento'!$G$53)</f>
        <v>10185239.538173022</v>
      </c>
      <c r="G543" s="545">
        <f>-'Foglio deposito bis'!$F$50*(C543-sezione!$AN$29)*IF(ABS(M543)&lt;'Sollecitazioni nel paramento'!$G$58,ABS(M543)*'Sollecitazioni nel paramento'!$G$54,'Sollecitazioni nel paramento'!$G$53)</f>
        <v>0</v>
      </c>
      <c r="H543" s="545">
        <f>-'Foglio deposito bis'!$F$51*(C543-sezione!$AO$29)*IF(ABS(N543)&lt;'Sollecitazioni nel paramento'!$G$58,ABS(N543)*'Sollecitazioni nel paramento'!$G$54,'Sollecitazioni nel paramento'!$G$53)</f>
        <v>36072491.440075792</v>
      </c>
      <c r="I543" s="472">
        <f>-'Foglio deposito bis'!$F$52*(C543-sezione!$AP$29)*IF(ABS(O543)&lt;'Sollecitazioni nel paramento'!$G$58,ABS(O543)*'Sollecitazioni nel paramento'!$G$54,'Sollecitazioni nel paramento'!$G$53)</f>
        <v>75118557.769189611</v>
      </c>
      <c r="J543" s="472">
        <f t="shared" si="38"/>
        <v>119021254.23523864</v>
      </c>
      <c r="K543" s="550">
        <f>'Sollecitazioni nel paramento'!$G$60*(sezione!$AL$29-C543)/C543</f>
        <v>1.0107589837570987E-2</v>
      </c>
      <c r="L543" s="550">
        <f>'Sollecitazioni nel paramento'!$G$60*(sezione!$AM$29-C543)/C543</f>
        <v>1.6911384756356482E-2</v>
      </c>
      <c r="M543" s="551">
        <f>'Sollecitazioni nel paramento'!$G$60*(sezione!$AN$29-C543)/C543</f>
        <v>2.3715179675141976E-2</v>
      </c>
      <c r="N543" s="551">
        <f>'Sollecitazioni nel paramento'!$G$60*(sezione!$AO$29-C543)/C543</f>
        <v>5.0930359350283942E-2</v>
      </c>
      <c r="O543" s="551">
        <f>'Sollecitazioni nel paramento'!$G$60*(sezione!$AP$29-C543)/C543</f>
        <v>0.10605907682909557</v>
      </c>
      <c r="P543" s="545">
        <f>-'Sollecitazioni nel paramento'!$G$47*'Sollecitazioni nel paramento'!$G$41*IF(DATI!$G$211="dx",DATI!$E$61,DATI!$E$64*DATI!$E$63)*1000*C543*sezione!$AD$5</f>
        <v>-391956.25850463362</v>
      </c>
      <c r="Q543" s="545">
        <f>'Foglio deposito bis'!$F$48*IF(ABS(K543)&lt;'Sollecitazioni nel paramento'!$G$58,ABS(K543)*'Sollecitazioni nel paramento'!$G$54,'Sollecitazioni nel paramento'!$G$53)*IF(K543&lt;0,-1,1)</f>
        <v>0</v>
      </c>
      <c r="R543" s="545">
        <f>'Foglio deposito bis'!$F$49*IF(ABS(L543)&lt;'Sollecitazioni nel paramento'!$G$58,ABS(L543)*'Sollecitazioni nel paramento'!$G$54,'Sollecitazioni nel paramento'!$G$53)*IF(L543&lt;0,-1,1)</f>
        <v>204886.47740803001</v>
      </c>
      <c r="S543" s="545">
        <f>'Foglio deposito bis'!$F$50*IF(ABS(M543)&lt;'Sollecitazioni nel paramento'!$G$58,ABS(M543)*'Sollecitazioni nel paramento'!$G$54,'Sollecitazioni nel paramento'!$G$53)*IF(M543&lt;0,-1,1)</f>
        <v>0</v>
      </c>
      <c r="T543" s="545">
        <f>'Foglio deposito bis'!$F$51*IF(ABS(N543)&lt;'Sollecitazioni nel paramento'!$G$58,ABS(N543)*'Sollecitazioni nel paramento'!$G$54,'Sollecitazioni nel paramento'!$G$53)*IF(N543&lt;0,-1,1)</f>
        <v>240946.49743184328</v>
      </c>
      <c r="U543" s="545">
        <f>'Foglio deposito bis'!$F$52*IF(ABS(O543)&lt;'Sollecitazioni nel paramento'!$G$58,ABS(O543)*'Sollecitazioni nel paramento'!$G$54,'Sollecitazioni nel paramento'!$G$53)*IF(O543&lt;0,-1,1)</f>
        <v>240946.49743184328</v>
      </c>
      <c r="V543" s="472">
        <f t="shared" si="39"/>
        <v>294823.21376708295</v>
      </c>
      <c r="W543" s="551"/>
      <c r="X543" s="551"/>
    </row>
    <row r="544" spans="1:24" x14ac:dyDescent="0.25">
      <c r="A544" s="545">
        <f t="shared" si="40"/>
        <v>285490.92189792503</v>
      </c>
      <c r="B544" s="3">
        <f t="shared" si="41"/>
        <v>2.1500000000000004</v>
      </c>
      <c r="C544" s="545">
        <f>'Foglio deposito bis'!$E$155/sezione!$B$247*B544</f>
        <v>10.533337280462808</v>
      </c>
      <c r="D544" s="603">
        <f>-'Sollecitazioni nel paramento'!$G$47*'Sollecitazioni nel paramento'!$G$41*IF(DATI!$G$211="dx",DATI!$E$61,DATI!$E$64*DATI!$E$63)*1000*C544^2*sezione!$AD$5*(1-sezione!$AD$6)</f>
        <v>-2468514.0663590804</v>
      </c>
      <c r="E544" s="545">
        <f>-'Foglio deposito bis'!$F$48*(C544-sezione!$AL$29)*IF(ABS(K544)&lt;'Sollecitazioni nel paramento'!$G$58,ABS(K544)*'Sollecitazioni nel paramento'!$G$54,'Sollecitazioni nel paramento'!$G$53)</f>
        <v>0</v>
      </c>
      <c r="F544" s="545">
        <f>-'Foglio deposito bis'!$F$49*(C544-sezione!$AM$29)*IF(ABS(L544)&lt;'Sollecitazioni nel paramento'!$G$58,ABS(L544)*'Sollecitazioni nel paramento'!$G$54,'Sollecitazioni nel paramento'!$G$53)</f>
        <v>10135050.273737097</v>
      </c>
      <c r="G544" s="545">
        <f>-'Foglio deposito bis'!$F$50*(C544-sezione!$AN$29)*IF(ABS(M544)&lt;'Sollecitazioni nel paramento'!$G$58,ABS(M544)*'Sollecitazioni nel paramento'!$G$54,'Sollecitazioni nel paramento'!$G$53)</f>
        <v>0</v>
      </c>
      <c r="H544" s="545">
        <f>-'Foglio deposito bis'!$F$51*(C544-sezione!$AO$29)*IF(ABS(N544)&lt;'Sollecitazioni nel paramento'!$G$58,ABS(N544)*'Sollecitazioni nel paramento'!$G$54,'Sollecitazioni nel paramento'!$G$53)</f>
        <v>36013468.865099154</v>
      </c>
      <c r="I544" s="472">
        <f>-'Foglio deposito bis'!$F$52*(C544-sezione!$AP$29)*IF(ABS(O544)&lt;'Sollecitazioni nel paramento'!$G$58,ABS(O544)*'Sollecitazioni nel paramento'!$G$54,'Sollecitazioni nel paramento'!$G$53)</f>
        <v>75059535.194212958</v>
      </c>
      <c r="J544" s="472">
        <f t="shared" si="38"/>
        <v>118739540.26669014</v>
      </c>
      <c r="K544" s="550">
        <f>'Sollecitazioni nel paramento'!$G$60*(sezione!$AL$29-C544)/C544</f>
        <v>9.7911342599530573E-3</v>
      </c>
      <c r="L544" s="550">
        <f>'Sollecitazioni nel paramento'!$G$60*(sezione!$AM$29-C544)/C544</f>
        <v>1.6436701389929587E-2</v>
      </c>
      <c r="M544" s="551">
        <f>'Sollecitazioni nel paramento'!$G$60*(sezione!$AN$29-C544)/C544</f>
        <v>2.3082268519906118E-2</v>
      </c>
      <c r="N544" s="551">
        <f>'Sollecitazioni nel paramento'!$G$60*(sezione!$AO$29-C544)/C544</f>
        <v>4.9664537039812232E-2</v>
      </c>
      <c r="O544" s="551">
        <f>'Sollecitazioni nel paramento'!$G$60*(sezione!$AP$29-C544)/C544</f>
        <v>0.10351119132144218</v>
      </c>
      <c r="P544" s="545">
        <f>-'Sollecitazioni nel paramento'!$G$47*'Sollecitazioni nel paramento'!$G$41*IF(DATI!$G$211="dx",DATI!$E$61,DATI!$E$64*DATI!$E$63)*1000*C544*sezione!$AD$5</f>
        <v>-401288.55037379154</v>
      </c>
      <c r="Q544" s="545">
        <f>'Foglio deposito bis'!$F$48*IF(ABS(K544)&lt;'Sollecitazioni nel paramento'!$G$58,ABS(K544)*'Sollecitazioni nel paramento'!$G$54,'Sollecitazioni nel paramento'!$G$53)*IF(K544&lt;0,-1,1)</f>
        <v>0</v>
      </c>
      <c r="R544" s="545">
        <f>'Foglio deposito bis'!$F$49*IF(ABS(L544)&lt;'Sollecitazioni nel paramento'!$G$58,ABS(L544)*'Sollecitazioni nel paramento'!$G$54,'Sollecitazioni nel paramento'!$G$53)*IF(L544&lt;0,-1,1)</f>
        <v>204886.47740803001</v>
      </c>
      <c r="S544" s="545">
        <f>'Foglio deposito bis'!$F$50*IF(ABS(M544)&lt;'Sollecitazioni nel paramento'!$G$58,ABS(M544)*'Sollecitazioni nel paramento'!$G$54,'Sollecitazioni nel paramento'!$G$53)*IF(M544&lt;0,-1,1)</f>
        <v>0</v>
      </c>
      <c r="T544" s="545">
        <f>'Foglio deposito bis'!$F$51*IF(ABS(N544)&lt;'Sollecitazioni nel paramento'!$G$58,ABS(N544)*'Sollecitazioni nel paramento'!$G$54,'Sollecitazioni nel paramento'!$G$53)*IF(N544&lt;0,-1,1)</f>
        <v>240946.49743184328</v>
      </c>
      <c r="U544" s="545">
        <f>'Foglio deposito bis'!$F$52*IF(ABS(O544)&lt;'Sollecitazioni nel paramento'!$G$58,ABS(O544)*'Sollecitazioni nel paramento'!$G$54,'Sollecitazioni nel paramento'!$G$53)*IF(O544&lt;0,-1,1)</f>
        <v>240946.49743184328</v>
      </c>
      <c r="V544" s="472">
        <f t="shared" si="39"/>
        <v>285490.92189792503</v>
      </c>
      <c r="W544" s="551"/>
      <c r="X544" s="551"/>
    </row>
    <row r="545" spans="1:24" x14ac:dyDescent="0.25">
      <c r="A545" s="545">
        <f t="shared" si="40"/>
        <v>276158.63002876722</v>
      </c>
      <c r="B545" s="3">
        <f t="shared" si="41"/>
        <v>2.2000000000000002</v>
      </c>
      <c r="C545" s="545">
        <f>'Foglio deposito bis'!$E$155/sezione!$B$247*B545</f>
        <v>10.778298612566592</v>
      </c>
      <c r="D545" s="603">
        <f>-'Sollecitazioni nel paramento'!$G$47*'Sollecitazioni nel paramento'!$G$41*IF(DATI!$G$211="dx",DATI!$E$61,DATI!$E$64*DATI!$E$63)*1000*C545^2*sezione!$AD$5*(1-sezione!$AD$6)</f>
        <v>-2584663.7276750547</v>
      </c>
      <c r="E545" s="545">
        <f>-'Foglio deposito bis'!$F$48*(C545-sezione!$AL$29)*IF(ABS(K545)&lt;'Sollecitazioni nel paramento'!$G$58,ABS(K545)*'Sollecitazioni nel paramento'!$G$54,'Sollecitazioni nel paramento'!$G$53)</f>
        <v>0</v>
      </c>
      <c r="F545" s="545">
        <f>-'Foglio deposito bis'!$F$49*(C545-sezione!$AM$29)*IF(ABS(L545)&lt;'Sollecitazioni nel paramento'!$G$58,ABS(L545)*'Sollecitazioni nel paramento'!$G$54,'Sollecitazioni nel paramento'!$G$53)</f>
        <v>10084861.009301174</v>
      </c>
      <c r="G545" s="545">
        <f>-'Foglio deposito bis'!$F$50*(C545-sezione!$AN$29)*IF(ABS(M545)&lt;'Sollecitazioni nel paramento'!$G$58,ABS(M545)*'Sollecitazioni nel paramento'!$G$54,'Sollecitazioni nel paramento'!$G$53)</f>
        <v>0</v>
      </c>
      <c r="H545" s="545">
        <f>-'Foglio deposito bis'!$F$51*(C545-sezione!$AO$29)*IF(ABS(N545)&lt;'Sollecitazioni nel paramento'!$G$58,ABS(N545)*'Sollecitazioni nel paramento'!$G$54,'Sollecitazioni nel paramento'!$G$53)</f>
        <v>35954446.290122509</v>
      </c>
      <c r="I545" s="472">
        <f>-'Foglio deposito bis'!$F$52*(C545-sezione!$AP$29)*IF(ABS(O545)&lt;'Sollecitazioni nel paramento'!$G$58,ABS(O545)*'Sollecitazioni nel paramento'!$G$54,'Sollecitazioni nel paramento'!$G$53)</f>
        <v>75000512.619236335</v>
      </c>
      <c r="J545" s="472">
        <f t="shared" si="38"/>
        <v>118455156.19098496</v>
      </c>
      <c r="K545" s="550">
        <f>'Sollecitazioni nel paramento'!$G$60*(sezione!$AL$29-C545)/C545</f>
        <v>9.489063026772309E-3</v>
      </c>
      <c r="L545" s="550">
        <f>'Sollecitazioni nel paramento'!$G$60*(sezione!$AM$29-C545)/C545</f>
        <v>1.5983594540158463E-2</v>
      </c>
      <c r="M545" s="551">
        <f>'Sollecitazioni nel paramento'!$G$60*(sezione!$AN$29-C545)/C545</f>
        <v>2.2478126053544618E-2</v>
      </c>
      <c r="N545" s="551">
        <f>'Sollecitazioni nel paramento'!$G$60*(sezione!$AO$29-C545)/C545</f>
        <v>4.8456252107089232E-2</v>
      </c>
      <c r="O545" s="551">
        <f>'Sollecitazioni nel paramento'!$G$60*(sezione!$AP$29-C545)/C545</f>
        <v>0.10107911879140943</v>
      </c>
      <c r="P545" s="545">
        <f>-'Sollecitazioni nel paramento'!$G$47*'Sollecitazioni nel paramento'!$G$41*IF(DATI!$G$211="dx",DATI!$E$61,DATI!$E$64*DATI!$E$63)*1000*C545*sezione!$AD$5</f>
        <v>-410620.84224294935</v>
      </c>
      <c r="Q545" s="545">
        <f>'Foglio deposito bis'!$F$48*IF(ABS(K545)&lt;'Sollecitazioni nel paramento'!$G$58,ABS(K545)*'Sollecitazioni nel paramento'!$G$54,'Sollecitazioni nel paramento'!$G$53)*IF(K545&lt;0,-1,1)</f>
        <v>0</v>
      </c>
      <c r="R545" s="545">
        <f>'Foglio deposito bis'!$F$49*IF(ABS(L545)&lt;'Sollecitazioni nel paramento'!$G$58,ABS(L545)*'Sollecitazioni nel paramento'!$G$54,'Sollecitazioni nel paramento'!$G$53)*IF(L545&lt;0,-1,1)</f>
        <v>204886.47740803001</v>
      </c>
      <c r="S545" s="545">
        <f>'Foglio deposito bis'!$F$50*IF(ABS(M545)&lt;'Sollecitazioni nel paramento'!$G$58,ABS(M545)*'Sollecitazioni nel paramento'!$G$54,'Sollecitazioni nel paramento'!$G$53)*IF(M545&lt;0,-1,1)</f>
        <v>0</v>
      </c>
      <c r="T545" s="545">
        <f>'Foglio deposito bis'!$F$51*IF(ABS(N545)&lt;'Sollecitazioni nel paramento'!$G$58,ABS(N545)*'Sollecitazioni nel paramento'!$G$54,'Sollecitazioni nel paramento'!$G$53)*IF(N545&lt;0,-1,1)</f>
        <v>240946.49743184328</v>
      </c>
      <c r="U545" s="545">
        <f>'Foglio deposito bis'!$F$52*IF(ABS(O545)&lt;'Sollecitazioni nel paramento'!$G$58,ABS(O545)*'Sollecitazioni nel paramento'!$G$54,'Sollecitazioni nel paramento'!$G$53)*IF(O545&lt;0,-1,1)</f>
        <v>240946.49743184328</v>
      </c>
      <c r="V545" s="472">
        <f t="shared" si="39"/>
        <v>276158.63002876722</v>
      </c>
      <c r="W545" s="551"/>
      <c r="X545" s="551"/>
    </row>
    <row r="546" spans="1:24" x14ac:dyDescent="0.25">
      <c r="A546" s="545">
        <f t="shared" si="40"/>
        <v>266826.33815960924</v>
      </c>
      <c r="B546" s="3">
        <f t="shared" si="41"/>
        <v>2.25</v>
      </c>
      <c r="C546" s="545">
        <f>'Foglio deposito bis'!$E$155/sezione!$B$247*B546</f>
        <v>11.023259944670379</v>
      </c>
      <c r="D546" s="603">
        <f>-'Sollecitazioni nel paramento'!$G$47*'Sollecitazioni nel paramento'!$G$41*IF(DATI!$G$211="dx",DATI!$E$61,DATI!$E$64*DATI!$E$63)*1000*C546^2*sezione!$AD$5*(1-sezione!$AD$6)</f>
        <v>-2703483.4961477201</v>
      </c>
      <c r="E546" s="545">
        <f>-'Foglio deposito bis'!$F$48*(C546-sezione!$AL$29)*IF(ABS(K546)&lt;'Sollecitazioni nel paramento'!$G$58,ABS(K546)*'Sollecitazioni nel paramento'!$G$54,'Sollecitazioni nel paramento'!$G$53)</f>
        <v>0</v>
      </c>
      <c r="F546" s="545">
        <f>-'Foglio deposito bis'!$F$49*(C546-sezione!$AM$29)*IF(ABS(L546)&lt;'Sollecitazioni nel paramento'!$G$58,ABS(L546)*'Sollecitazioni nel paramento'!$G$54,'Sollecitazioni nel paramento'!$G$53)</f>
        <v>10034671.744865252</v>
      </c>
      <c r="G546" s="545">
        <f>-'Foglio deposito bis'!$F$50*(C546-sezione!$AN$29)*IF(ABS(M546)&lt;'Sollecitazioni nel paramento'!$G$58,ABS(M546)*'Sollecitazioni nel paramento'!$G$54,'Sollecitazioni nel paramento'!$G$53)</f>
        <v>0</v>
      </c>
      <c r="H546" s="545">
        <f>-'Foglio deposito bis'!$F$51*(C546-sezione!$AO$29)*IF(ABS(N546)&lt;'Sollecitazioni nel paramento'!$G$58,ABS(N546)*'Sollecitazioni nel paramento'!$G$54,'Sollecitazioni nel paramento'!$G$53)</f>
        <v>35895423.715145864</v>
      </c>
      <c r="I546" s="472">
        <f>-'Foglio deposito bis'!$F$52*(C546-sezione!$AP$29)*IF(ABS(O546)&lt;'Sollecitazioni nel paramento'!$G$58,ABS(O546)*'Sollecitazioni nel paramento'!$G$54,'Sollecitazioni nel paramento'!$G$53)</f>
        <v>74941490.044259667</v>
      </c>
      <c r="J546" s="472">
        <f t="shared" si="38"/>
        <v>118168102.00812307</v>
      </c>
      <c r="K546" s="550">
        <f>'Sollecitazioni nel paramento'!$G$60*(sezione!$AL$29-C546)/C546</f>
        <v>9.2004171817329245E-3</v>
      </c>
      <c r="L546" s="550">
        <f>'Sollecitazioni nel paramento'!$G$60*(sezione!$AM$29-C546)/C546</f>
        <v>1.5550625772599387E-2</v>
      </c>
      <c r="M546" s="551">
        <f>'Sollecitazioni nel paramento'!$G$60*(sezione!$AN$29-C546)/C546</f>
        <v>2.1900834363465849E-2</v>
      </c>
      <c r="N546" s="551">
        <f>'Sollecitazioni nel paramento'!$G$60*(sezione!$AO$29-C546)/C546</f>
        <v>4.7301668726931693E-2</v>
      </c>
      <c r="O546" s="551">
        <f>'Sollecitazioni nel paramento'!$G$60*(sezione!$AP$29-C546)/C546</f>
        <v>9.8755138373822549E-2</v>
      </c>
      <c r="P546" s="545">
        <f>-'Sollecitazioni nel paramento'!$G$47*'Sollecitazioni nel paramento'!$G$41*IF(DATI!$G$211="dx",DATI!$E$61,DATI!$E$64*DATI!$E$63)*1000*C546*sezione!$AD$5</f>
        <v>-419953.13411210733</v>
      </c>
      <c r="Q546" s="545">
        <f>'Foglio deposito bis'!$F$48*IF(ABS(K546)&lt;'Sollecitazioni nel paramento'!$G$58,ABS(K546)*'Sollecitazioni nel paramento'!$G$54,'Sollecitazioni nel paramento'!$G$53)*IF(K546&lt;0,-1,1)</f>
        <v>0</v>
      </c>
      <c r="R546" s="545">
        <f>'Foglio deposito bis'!$F$49*IF(ABS(L546)&lt;'Sollecitazioni nel paramento'!$G$58,ABS(L546)*'Sollecitazioni nel paramento'!$G$54,'Sollecitazioni nel paramento'!$G$53)*IF(L546&lt;0,-1,1)</f>
        <v>204886.47740803001</v>
      </c>
      <c r="S546" s="545">
        <f>'Foglio deposito bis'!$F$50*IF(ABS(M546)&lt;'Sollecitazioni nel paramento'!$G$58,ABS(M546)*'Sollecitazioni nel paramento'!$G$54,'Sollecitazioni nel paramento'!$G$53)*IF(M546&lt;0,-1,1)</f>
        <v>0</v>
      </c>
      <c r="T546" s="545">
        <f>'Foglio deposito bis'!$F$51*IF(ABS(N546)&lt;'Sollecitazioni nel paramento'!$G$58,ABS(N546)*'Sollecitazioni nel paramento'!$G$54,'Sollecitazioni nel paramento'!$G$53)*IF(N546&lt;0,-1,1)</f>
        <v>240946.49743184328</v>
      </c>
      <c r="U546" s="545">
        <f>'Foglio deposito bis'!$F$52*IF(ABS(O546)&lt;'Sollecitazioni nel paramento'!$G$58,ABS(O546)*'Sollecitazioni nel paramento'!$G$54,'Sollecitazioni nel paramento'!$G$53)*IF(O546&lt;0,-1,1)</f>
        <v>240946.49743184328</v>
      </c>
      <c r="V546" s="472">
        <f t="shared" si="39"/>
        <v>266826.33815960924</v>
      </c>
      <c r="W546" s="551"/>
      <c r="X546" s="551"/>
    </row>
    <row r="547" spans="1:24" x14ac:dyDescent="0.25">
      <c r="A547" s="545">
        <f t="shared" si="40"/>
        <v>257494.04629045137</v>
      </c>
      <c r="B547" s="3">
        <f t="shared" si="41"/>
        <v>2.2999999999999998</v>
      </c>
      <c r="C547" s="545">
        <f>'Foglio deposito bis'!$E$155/sezione!$B$247*B547</f>
        <v>11.268221276774163</v>
      </c>
      <c r="D547" s="603">
        <f>-'Sollecitazioni nel paramento'!$G$47*'Sollecitazioni nel paramento'!$G$41*IF(DATI!$G$211="dx",DATI!$E$61,DATI!$E$64*DATI!$E$63)*1000*C547^2*sezione!$AD$5*(1-sezione!$AD$6)</f>
        <v>-2824973.3717770739</v>
      </c>
      <c r="E547" s="545">
        <f>-'Foglio deposito bis'!$F$48*(C547-sezione!$AL$29)*IF(ABS(K547)&lt;'Sollecitazioni nel paramento'!$G$58,ABS(K547)*'Sollecitazioni nel paramento'!$G$54,'Sollecitazioni nel paramento'!$G$53)</f>
        <v>0</v>
      </c>
      <c r="F547" s="545">
        <f>-'Foglio deposito bis'!$F$49*(C547-sezione!$AM$29)*IF(ABS(L547)&lt;'Sollecitazioni nel paramento'!$G$58,ABS(L547)*'Sollecitazioni nel paramento'!$G$54,'Sollecitazioni nel paramento'!$G$53)</f>
        <v>9984482.480429329</v>
      </c>
      <c r="G547" s="545">
        <f>-'Foglio deposito bis'!$F$50*(C547-sezione!$AN$29)*IF(ABS(M547)&lt;'Sollecitazioni nel paramento'!$G$58,ABS(M547)*'Sollecitazioni nel paramento'!$G$54,'Sollecitazioni nel paramento'!$G$53)</f>
        <v>0</v>
      </c>
      <c r="H547" s="545">
        <f>-'Foglio deposito bis'!$F$51*(C547-sezione!$AO$29)*IF(ABS(N547)&lt;'Sollecitazioni nel paramento'!$G$58,ABS(N547)*'Sollecitazioni nel paramento'!$G$54,'Sollecitazioni nel paramento'!$G$53)</f>
        <v>35836401.140169211</v>
      </c>
      <c r="I547" s="472">
        <f>-'Foglio deposito bis'!$F$52*(C547-sezione!$AP$29)*IF(ABS(O547)&lt;'Sollecitazioni nel paramento'!$G$58,ABS(O547)*'Sollecitazioni nel paramento'!$G$54,'Sollecitazioni nel paramento'!$G$53)</f>
        <v>74882467.469283029</v>
      </c>
      <c r="J547" s="472">
        <f t="shared" si="38"/>
        <v>117878377.7181045</v>
      </c>
      <c r="K547" s="550">
        <f>'Sollecitazioni nel paramento'!$G$60*(sezione!$AL$29-C547)/C547</f>
        <v>8.9243211560430802E-3</v>
      </c>
      <c r="L547" s="550">
        <f>'Sollecitazioni nel paramento'!$G$60*(sezione!$AM$29-C547)/C547</f>
        <v>1.513648173406462E-2</v>
      </c>
      <c r="M547" s="551">
        <f>'Sollecitazioni nel paramento'!$G$60*(sezione!$AN$29-C547)/C547</f>
        <v>2.134864231208616E-2</v>
      </c>
      <c r="N547" s="551">
        <f>'Sollecitazioni nel paramento'!$G$60*(sezione!$AO$29-C547)/C547</f>
        <v>4.6197284624172316E-2</v>
      </c>
      <c r="O547" s="551">
        <f>'Sollecitazioni nel paramento'!$G$60*(sezione!$AP$29-C547)/C547</f>
        <v>9.6532200583087285E-2</v>
      </c>
      <c r="P547" s="545">
        <f>-'Sollecitazioni nel paramento'!$G$47*'Sollecitazioni nel paramento'!$G$41*IF(DATI!$G$211="dx",DATI!$E$61,DATI!$E$64*DATI!$E$63)*1000*C547*sezione!$AD$5</f>
        <v>-429285.4259812652</v>
      </c>
      <c r="Q547" s="545">
        <f>'Foglio deposito bis'!$F$48*IF(ABS(K547)&lt;'Sollecitazioni nel paramento'!$G$58,ABS(K547)*'Sollecitazioni nel paramento'!$G$54,'Sollecitazioni nel paramento'!$G$53)*IF(K547&lt;0,-1,1)</f>
        <v>0</v>
      </c>
      <c r="R547" s="545">
        <f>'Foglio deposito bis'!$F$49*IF(ABS(L547)&lt;'Sollecitazioni nel paramento'!$G$58,ABS(L547)*'Sollecitazioni nel paramento'!$G$54,'Sollecitazioni nel paramento'!$G$53)*IF(L547&lt;0,-1,1)</f>
        <v>204886.47740803001</v>
      </c>
      <c r="S547" s="545">
        <f>'Foglio deposito bis'!$F$50*IF(ABS(M547)&lt;'Sollecitazioni nel paramento'!$G$58,ABS(M547)*'Sollecitazioni nel paramento'!$G$54,'Sollecitazioni nel paramento'!$G$53)*IF(M547&lt;0,-1,1)</f>
        <v>0</v>
      </c>
      <c r="T547" s="545">
        <f>'Foglio deposito bis'!$F$51*IF(ABS(N547)&lt;'Sollecitazioni nel paramento'!$G$58,ABS(N547)*'Sollecitazioni nel paramento'!$G$54,'Sollecitazioni nel paramento'!$G$53)*IF(N547&lt;0,-1,1)</f>
        <v>240946.49743184328</v>
      </c>
      <c r="U547" s="545">
        <f>'Foglio deposito bis'!$F$52*IF(ABS(O547)&lt;'Sollecitazioni nel paramento'!$G$58,ABS(O547)*'Sollecitazioni nel paramento'!$G$54,'Sollecitazioni nel paramento'!$G$53)*IF(O547&lt;0,-1,1)</f>
        <v>240946.49743184328</v>
      </c>
      <c r="V547" s="472">
        <f t="shared" si="39"/>
        <v>257494.04629045137</v>
      </c>
      <c r="W547" s="551"/>
      <c r="X547" s="551"/>
    </row>
    <row r="548" spans="1:24" x14ac:dyDescent="0.25">
      <c r="A548" s="545">
        <f t="shared" si="40"/>
        <v>248161.75442129339</v>
      </c>
      <c r="B548" s="3">
        <f t="shared" si="41"/>
        <v>2.3499999999999996</v>
      </c>
      <c r="C548" s="545">
        <f>'Foglio deposito bis'!$E$155/sezione!$B$247*B548</f>
        <v>11.513182608877949</v>
      </c>
      <c r="D548" s="603">
        <f>-'Sollecitazioni nel paramento'!$G$47*'Sollecitazioni nel paramento'!$G$41*IF(DATI!$G$211="dx",DATI!$E$61,DATI!$E$64*DATI!$E$63)*1000*C548^2*sezione!$AD$5*(1-sezione!$AD$6)</f>
        <v>-2949133.354563117</v>
      </c>
      <c r="E548" s="545">
        <f>-'Foglio deposito bis'!$F$48*(C548-sezione!$AL$29)*IF(ABS(K548)&lt;'Sollecitazioni nel paramento'!$G$58,ABS(K548)*'Sollecitazioni nel paramento'!$G$54,'Sollecitazioni nel paramento'!$G$53)</f>
        <v>0</v>
      </c>
      <c r="F548" s="545">
        <f>-'Foglio deposito bis'!$F$49*(C548-sezione!$AM$29)*IF(ABS(L548)&lt;'Sollecitazioni nel paramento'!$G$58,ABS(L548)*'Sollecitazioni nel paramento'!$G$54,'Sollecitazioni nel paramento'!$G$53)</f>
        <v>9934293.2159934044</v>
      </c>
      <c r="G548" s="545">
        <f>-'Foglio deposito bis'!$F$50*(C548-sezione!$AN$29)*IF(ABS(M548)&lt;'Sollecitazioni nel paramento'!$G$58,ABS(M548)*'Sollecitazioni nel paramento'!$G$54,'Sollecitazioni nel paramento'!$G$53)</f>
        <v>0</v>
      </c>
      <c r="H548" s="545">
        <f>-'Foglio deposito bis'!$F$51*(C548-sezione!$AO$29)*IF(ABS(N548)&lt;'Sollecitazioni nel paramento'!$G$58,ABS(N548)*'Sollecitazioni nel paramento'!$G$54,'Sollecitazioni nel paramento'!$G$53)</f>
        <v>35777378.565192573</v>
      </c>
      <c r="I548" s="472">
        <f>-'Foglio deposito bis'!$F$52*(C548-sezione!$AP$29)*IF(ABS(O548)&lt;'Sollecitazioni nel paramento'!$G$58,ABS(O548)*'Sollecitazioni nel paramento'!$G$54,'Sollecitazioni nel paramento'!$G$53)</f>
        <v>74823444.894306377</v>
      </c>
      <c r="J548" s="472">
        <f t="shared" si="38"/>
        <v>117585983.32092923</v>
      </c>
      <c r="K548" s="550">
        <f>'Sollecitazioni nel paramento'!$G$60*(sezione!$AL$29-C548)/C548</f>
        <v>8.6599738974038661E-3</v>
      </c>
      <c r="L548" s="550">
        <f>'Sollecitazioni nel paramento'!$G$60*(sezione!$AM$29-C548)/C548</f>
        <v>1.47399608461058E-2</v>
      </c>
      <c r="M548" s="551">
        <f>'Sollecitazioni nel paramento'!$G$60*(sezione!$AN$29-C548)/C548</f>
        <v>2.0819947794807728E-2</v>
      </c>
      <c r="N548" s="551">
        <f>'Sollecitazioni nel paramento'!$G$60*(sezione!$AO$29-C548)/C548</f>
        <v>4.513989558961546E-2</v>
      </c>
      <c r="O548" s="551">
        <f>'Sollecitazioni nel paramento'!$G$60*(sezione!$AP$29-C548)/C548</f>
        <v>9.4403855889830107E-2</v>
      </c>
      <c r="P548" s="545">
        <f>-'Sollecitazioni nel paramento'!$G$47*'Sollecitazioni nel paramento'!$G$41*IF(DATI!$G$211="dx",DATI!$E$61,DATI!$E$64*DATI!$E$63)*1000*C548*sezione!$AD$5</f>
        <v>-438617.71785042319</v>
      </c>
      <c r="Q548" s="545">
        <f>'Foglio deposito bis'!$F$48*IF(ABS(K548)&lt;'Sollecitazioni nel paramento'!$G$58,ABS(K548)*'Sollecitazioni nel paramento'!$G$54,'Sollecitazioni nel paramento'!$G$53)*IF(K548&lt;0,-1,1)</f>
        <v>0</v>
      </c>
      <c r="R548" s="545">
        <f>'Foglio deposito bis'!$F$49*IF(ABS(L548)&lt;'Sollecitazioni nel paramento'!$G$58,ABS(L548)*'Sollecitazioni nel paramento'!$G$54,'Sollecitazioni nel paramento'!$G$53)*IF(L548&lt;0,-1,1)</f>
        <v>204886.47740803001</v>
      </c>
      <c r="S548" s="545">
        <f>'Foglio deposito bis'!$F$50*IF(ABS(M548)&lt;'Sollecitazioni nel paramento'!$G$58,ABS(M548)*'Sollecitazioni nel paramento'!$G$54,'Sollecitazioni nel paramento'!$G$53)*IF(M548&lt;0,-1,1)</f>
        <v>0</v>
      </c>
      <c r="T548" s="545">
        <f>'Foglio deposito bis'!$F$51*IF(ABS(N548)&lt;'Sollecitazioni nel paramento'!$G$58,ABS(N548)*'Sollecitazioni nel paramento'!$G$54,'Sollecitazioni nel paramento'!$G$53)*IF(N548&lt;0,-1,1)</f>
        <v>240946.49743184328</v>
      </c>
      <c r="U548" s="545">
        <f>'Foglio deposito bis'!$F$52*IF(ABS(O548)&lt;'Sollecitazioni nel paramento'!$G$58,ABS(O548)*'Sollecitazioni nel paramento'!$G$54,'Sollecitazioni nel paramento'!$G$53)*IF(O548&lt;0,-1,1)</f>
        <v>240946.49743184328</v>
      </c>
      <c r="V548" s="472">
        <f t="shared" si="39"/>
        <v>248161.75442129339</v>
      </c>
      <c r="W548" s="551"/>
      <c r="X548" s="551"/>
    </row>
    <row r="549" spans="1:24" x14ac:dyDescent="0.25">
      <c r="A549" s="545">
        <f t="shared" si="40"/>
        <v>238829.46255213558</v>
      </c>
      <c r="B549" s="3">
        <f t="shared" si="41"/>
        <v>2.3999999999999995</v>
      </c>
      <c r="C549" s="545">
        <f>'Foglio deposito bis'!$E$155/sezione!$B$247*B549</f>
        <v>11.758143940981734</v>
      </c>
      <c r="D549" s="603">
        <f>-'Sollecitazioni nel paramento'!$G$47*'Sollecitazioni nel paramento'!$G$41*IF(DATI!$G$211="dx",DATI!$E$61,DATI!$E$64*DATI!$E$63)*1000*C549^2*sezione!$AD$5*(1-sezione!$AD$6)</f>
        <v>-3075963.4445058489</v>
      </c>
      <c r="E549" s="545">
        <f>-'Foglio deposito bis'!$F$48*(C549-sezione!$AL$29)*IF(ABS(K549)&lt;'Sollecitazioni nel paramento'!$G$58,ABS(K549)*'Sollecitazioni nel paramento'!$G$54,'Sollecitazioni nel paramento'!$G$53)</f>
        <v>0</v>
      </c>
      <c r="F549" s="545">
        <f>-'Foglio deposito bis'!$F$49*(C549-sezione!$AM$29)*IF(ABS(L549)&lt;'Sollecitazioni nel paramento'!$G$58,ABS(L549)*'Sollecitazioni nel paramento'!$G$54,'Sollecitazioni nel paramento'!$G$53)</f>
        <v>9884103.9515574817</v>
      </c>
      <c r="G549" s="545">
        <f>-'Foglio deposito bis'!$F$50*(C549-sezione!$AN$29)*IF(ABS(M549)&lt;'Sollecitazioni nel paramento'!$G$58,ABS(M549)*'Sollecitazioni nel paramento'!$G$54,'Sollecitazioni nel paramento'!$G$53)</f>
        <v>0</v>
      </c>
      <c r="H549" s="545">
        <f>-'Foglio deposito bis'!$F$51*(C549-sezione!$AO$29)*IF(ABS(N549)&lt;'Sollecitazioni nel paramento'!$G$58,ABS(N549)*'Sollecitazioni nel paramento'!$G$54,'Sollecitazioni nel paramento'!$G$53)</f>
        <v>35718355.990215927</v>
      </c>
      <c r="I549" s="472">
        <f>-'Foglio deposito bis'!$F$52*(C549-sezione!$AP$29)*IF(ABS(O549)&lt;'Sollecitazioni nel paramento'!$G$58,ABS(O549)*'Sollecitazioni nel paramento'!$G$54,'Sollecitazioni nel paramento'!$G$53)</f>
        <v>74764422.319329739</v>
      </c>
      <c r="J549" s="472">
        <f t="shared" si="38"/>
        <v>117290918.8165973</v>
      </c>
      <c r="K549" s="550">
        <f>'Sollecitazioni nel paramento'!$G$60*(sezione!$AL$29-C549)/C549</f>
        <v>8.4066411078746201E-3</v>
      </c>
      <c r="L549" s="550">
        <f>'Sollecitazioni nel paramento'!$G$60*(sezione!$AM$29-C549)/C549</f>
        <v>1.4359961661811931E-2</v>
      </c>
      <c r="M549" s="551">
        <f>'Sollecitazioni nel paramento'!$G$60*(sezione!$AN$29-C549)/C549</f>
        <v>2.031328221574924E-2</v>
      </c>
      <c r="N549" s="551">
        <f>'Sollecitazioni nel paramento'!$G$60*(sezione!$AO$29-C549)/C549</f>
        <v>4.4126564431498483E-2</v>
      </c>
      <c r="O549" s="551">
        <f>'Sollecitazioni nel paramento'!$G$60*(sezione!$AP$29-C549)/C549</f>
        <v>9.2364192225458677E-2</v>
      </c>
      <c r="P549" s="545">
        <f>-'Sollecitazioni nel paramento'!$G$47*'Sollecitazioni nel paramento'!$G$41*IF(DATI!$G$211="dx",DATI!$E$61,DATI!$E$64*DATI!$E$63)*1000*C549*sezione!$AD$5</f>
        <v>-447950.00971958099</v>
      </c>
      <c r="Q549" s="545">
        <f>'Foglio deposito bis'!$F$48*IF(ABS(K549)&lt;'Sollecitazioni nel paramento'!$G$58,ABS(K549)*'Sollecitazioni nel paramento'!$G$54,'Sollecitazioni nel paramento'!$G$53)*IF(K549&lt;0,-1,1)</f>
        <v>0</v>
      </c>
      <c r="R549" s="545">
        <f>'Foglio deposito bis'!$F$49*IF(ABS(L549)&lt;'Sollecitazioni nel paramento'!$G$58,ABS(L549)*'Sollecitazioni nel paramento'!$G$54,'Sollecitazioni nel paramento'!$G$53)*IF(L549&lt;0,-1,1)</f>
        <v>204886.47740803001</v>
      </c>
      <c r="S549" s="545">
        <f>'Foglio deposito bis'!$F$50*IF(ABS(M549)&lt;'Sollecitazioni nel paramento'!$G$58,ABS(M549)*'Sollecitazioni nel paramento'!$G$54,'Sollecitazioni nel paramento'!$G$53)*IF(M549&lt;0,-1,1)</f>
        <v>0</v>
      </c>
      <c r="T549" s="545">
        <f>'Foglio deposito bis'!$F$51*IF(ABS(N549)&lt;'Sollecitazioni nel paramento'!$G$58,ABS(N549)*'Sollecitazioni nel paramento'!$G$54,'Sollecitazioni nel paramento'!$G$53)*IF(N549&lt;0,-1,1)</f>
        <v>240946.49743184328</v>
      </c>
      <c r="U549" s="545">
        <f>'Foglio deposito bis'!$F$52*IF(ABS(O549)&lt;'Sollecitazioni nel paramento'!$G$58,ABS(O549)*'Sollecitazioni nel paramento'!$G$54,'Sollecitazioni nel paramento'!$G$53)*IF(O549&lt;0,-1,1)</f>
        <v>240946.49743184328</v>
      </c>
      <c r="V549" s="472">
        <f t="shared" si="39"/>
        <v>238829.46255213558</v>
      </c>
      <c r="W549" s="551"/>
      <c r="X549" s="551"/>
    </row>
    <row r="550" spans="1:24" x14ac:dyDescent="0.25">
      <c r="A550" s="545">
        <f t="shared" si="40"/>
        <v>229497.17068297759</v>
      </c>
      <c r="B550" s="3">
        <f t="shared" si="41"/>
        <v>2.4499999999999993</v>
      </c>
      <c r="C550" s="545">
        <f>'Foglio deposito bis'!$E$155/sezione!$B$247*B550</f>
        <v>12.00310527308552</v>
      </c>
      <c r="D550" s="603">
        <f>-'Sollecitazioni nel paramento'!$G$47*'Sollecitazioni nel paramento'!$G$41*IF(DATI!$G$211="dx",DATI!$E$61,DATI!$E$64*DATI!$E$63)*1000*C550^2*sezione!$AD$5*(1-sezione!$AD$6)</f>
        <v>-3205463.6416052701</v>
      </c>
      <c r="E550" s="545">
        <f>-'Foglio deposito bis'!$F$48*(C550-sezione!$AL$29)*IF(ABS(K550)&lt;'Sollecitazioni nel paramento'!$G$58,ABS(K550)*'Sollecitazioni nel paramento'!$G$54,'Sollecitazioni nel paramento'!$G$53)</f>
        <v>0</v>
      </c>
      <c r="F550" s="545">
        <f>-'Foglio deposito bis'!$F$49*(C550-sezione!$AM$29)*IF(ABS(L550)&lt;'Sollecitazioni nel paramento'!$G$58,ABS(L550)*'Sollecitazioni nel paramento'!$G$54,'Sollecitazioni nel paramento'!$G$53)</f>
        <v>9833914.6871215571</v>
      </c>
      <c r="G550" s="545">
        <f>-'Foglio deposito bis'!$F$50*(C550-sezione!$AN$29)*IF(ABS(M550)&lt;'Sollecitazioni nel paramento'!$G$58,ABS(M550)*'Sollecitazioni nel paramento'!$G$54,'Sollecitazioni nel paramento'!$G$53)</f>
        <v>0</v>
      </c>
      <c r="H550" s="545">
        <f>-'Foglio deposito bis'!$F$51*(C550-sezione!$AO$29)*IF(ABS(N550)&lt;'Sollecitazioni nel paramento'!$G$58,ABS(N550)*'Sollecitazioni nel paramento'!$G$54,'Sollecitazioni nel paramento'!$G$53)</f>
        <v>35659333.415239282</v>
      </c>
      <c r="I550" s="472">
        <f>-'Foglio deposito bis'!$F$52*(C550-sezione!$AP$29)*IF(ABS(O550)&lt;'Sollecitazioni nel paramento'!$G$58,ABS(O550)*'Sollecitazioni nel paramento'!$G$54,'Sollecitazioni nel paramento'!$G$53)</f>
        <v>74705399.744353101</v>
      </c>
      <c r="J550" s="472">
        <f t="shared" si="38"/>
        <v>116993184.20510867</v>
      </c>
      <c r="K550" s="550">
        <f>'Sollecitazioni nel paramento'!$G$60*(sezione!$AL$29-C550)/C550</f>
        <v>8.1636484322037094E-3</v>
      </c>
      <c r="L550" s="550">
        <f>'Sollecitazioni nel paramento'!$G$60*(sezione!$AM$29-C550)/C550</f>
        <v>1.3995472648305562E-2</v>
      </c>
      <c r="M550" s="551">
        <f>'Sollecitazioni nel paramento'!$G$60*(sezione!$AN$29-C550)/C550</f>
        <v>1.9827296864407418E-2</v>
      </c>
      <c r="N550" s="551">
        <f>'Sollecitazioni nel paramento'!$G$60*(sezione!$AO$29-C550)/C550</f>
        <v>4.3154593728814833E-2</v>
      </c>
      <c r="O550" s="551">
        <f>'Sollecitazioni nel paramento'!$G$60*(sezione!$AP$29-C550)/C550</f>
        <v>9.0407780139224819E-2</v>
      </c>
      <c r="P550" s="545">
        <f>-'Sollecitazioni nel paramento'!$G$47*'Sollecitazioni nel paramento'!$G$41*IF(DATI!$G$211="dx",DATI!$E$61,DATI!$E$64*DATI!$E$63)*1000*C550*sezione!$AD$5</f>
        <v>-457282.30158873898</v>
      </c>
      <c r="Q550" s="545">
        <f>'Foglio deposito bis'!$F$48*IF(ABS(K550)&lt;'Sollecitazioni nel paramento'!$G$58,ABS(K550)*'Sollecitazioni nel paramento'!$G$54,'Sollecitazioni nel paramento'!$G$53)*IF(K550&lt;0,-1,1)</f>
        <v>0</v>
      </c>
      <c r="R550" s="545">
        <f>'Foglio deposito bis'!$F$49*IF(ABS(L550)&lt;'Sollecitazioni nel paramento'!$G$58,ABS(L550)*'Sollecitazioni nel paramento'!$G$54,'Sollecitazioni nel paramento'!$G$53)*IF(L550&lt;0,-1,1)</f>
        <v>204886.47740803001</v>
      </c>
      <c r="S550" s="545">
        <f>'Foglio deposito bis'!$F$50*IF(ABS(M550)&lt;'Sollecitazioni nel paramento'!$G$58,ABS(M550)*'Sollecitazioni nel paramento'!$G$54,'Sollecitazioni nel paramento'!$G$53)*IF(M550&lt;0,-1,1)</f>
        <v>0</v>
      </c>
      <c r="T550" s="545">
        <f>'Foglio deposito bis'!$F$51*IF(ABS(N550)&lt;'Sollecitazioni nel paramento'!$G$58,ABS(N550)*'Sollecitazioni nel paramento'!$G$54,'Sollecitazioni nel paramento'!$G$53)*IF(N550&lt;0,-1,1)</f>
        <v>240946.49743184328</v>
      </c>
      <c r="U550" s="545">
        <f>'Foglio deposito bis'!$F$52*IF(ABS(O550)&lt;'Sollecitazioni nel paramento'!$G$58,ABS(O550)*'Sollecitazioni nel paramento'!$G$54,'Sollecitazioni nel paramento'!$G$53)*IF(O550&lt;0,-1,1)</f>
        <v>240946.49743184328</v>
      </c>
      <c r="V550" s="472">
        <f t="shared" si="39"/>
        <v>229497.17068297759</v>
      </c>
      <c r="W550" s="551"/>
      <c r="X550" s="551"/>
    </row>
    <row r="551" spans="1:24" x14ac:dyDescent="0.25">
      <c r="A551" s="545">
        <f t="shared" si="40"/>
        <v>220164.87881381973</v>
      </c>
      <c r="B551" s="3">
        <f t="shared" si="41"/>
        <v>2.4999999999999991</v>
      </c>
      <c r="C551" s="545">
        <f>'Foglio deposito bis'!$E$155/sezione!$B$247*B551</f>
        <v>12.248066605189305</v>
      </c>
      <c r="D551" s="603">
        <f>-'Sollecitazioni nel paramento'!$G$47*'Sollecitazioni nel paramento'!$G$41*IF(DATI!$G$211="dx",DATI!$E$61,DATI!$E$64*DATI!$E$63)*1000*C551^2*sezione!$AD$5*(1-sezione!$AD$6)</f>
        <v>-3337633.9458613801</v>
      </c>
      <c r="E551" s="545">
        <f>-'Foglio deposito bis'!$F$48*(C551-sezione!$AL$29)*IF(ABS(K551)&lt;'Sollecitazioni nel paramento'!$G$58,ABS(K551)*'Sollecitazioni nel paramento'!$G$54,'Sollecitazioni nel paramento'!$G$53)</f>
        <v>0</v>
      </c>
      <c r="F551" s="545">
        <f>-'Foglio deposito bis'!$F$49*(C551-sezione!$AM$29)*IF(ABS(L551)&lt;'Sollecitazioni nel paramento'!$G$58,ABS(L551)*'Sollecitazioni nel paramento'!$G$54,'Sollecitazioni nel paramento'!$G$53)</f>
        <v>9783725.4226856343</v>
      </c>
      <c r="G551" s="545">
        <f>-'Foglio deposito bis'!$F$50*(C551-sezione!$AN$29)*IF(ABS(M551)&lt;'Sollecitazioni nel paramento'!$G$58,ABS(M551)*'Sollecitazioni nel paramento'!$G$54,'Sollecitazioni nel paramento'!$G$53)</f>
        <v>0</v>
      </c>
      <c r="H551" s="545">
        <f>-'Foglio deposito bis'!$F$51*(C551-sezione!$AO$29)*IF(ABS(N551)&lt;'Sollecitazioni nel paramento'!$G$58,ABS(N551)*'Sollecitazioni nel paramento'!$G$54,'Sollecitazioni nel paramento'!$G$53)</f>
        <v>35600310.840262637</v>
      </c>
      <c r="I551" s="472">
        <f>-'Foglio deposito bis'!$F$52*(C551-sezione!$AP$29)*IF(ABS(O551)&lt;'Sollecitazioni nel paramento'!$G$58,ABS(O551)*'Sollecitazioni nel paramento'!$G$54,'Sollecitazioni nel paramento'!$G$53)</f>
        <v>74646377.169376448</v>
      </c>
      <c r="J551" s="472">
        <f t="shared" si="38"/>
        <v>116692779.48646334</v>
      </c>
      <c r="K551" s="550">
        <f>'Sollecitazioni nel paramento'!$G$60*(sezione!$AL$29-C551)/C551</f>
        <v>7.9303754635596368E-3</v>
      </c>
      <c r="L551" s="550">
        <f>'Sollecitazioni nel paramento'!$G$60*(sezione!$AM$29-C551)/C551</f>
        <v>1.3645563195339454E-2</v>
      </c>
      <c r="M551" s="551">
        <f>'Sollecitazioni nel paramento'!$G$60*(sezione!$AN$29-C551)/C551</f>
        <v>1.9360750927119273E-2</v>
      </c>
      <c r="N551" s="551">
        <f>'Sollecitazioni nel paramento'!$G$60*(sezione!$AO$29-C551)/C551</f>
        <v>4.222150185423855E-2</v>
      </c>
      <c r="O551" s="551">
        <f>'Sollecitazioni nel paramento'!$G$60*(sezione!$AP$29-C551)/C551</f>
        <v>8.8529624536440338E-2</v>
      </c>
      <c r="P551" s="545">
        <f>-'Sollecitazioni nel paramento'!$G$47*'Sollecitazioni nel paramento'!$G$41*IF(DATI!$G$211="dx",DATI!$E$61,DATI!$E$64*DATI!$E$63)*1000*C551*sezione!$AD$5</f>
        <v>-466614.59345789684</v>
      </c>
      <c r="Q551" s="545">
        <f>'Foglio deposito bis'!$F$48*IF(ABS(K551)&lt;'Sollecitazioni nel paramento'!$G$58,ABS(K551)*'Sollecitazioni nel paramento'!$G$54,'Sollecitazioni nel paramento'!$G$53)*IF(K551&lt;0,-1,1)</f>
        <v>0</v>
      </c>
      <c r="R551" s="545">
        <f>'Foglio deposito bis'!$F$49*IF(ABS(L551)&lt;'Sollecitazioni nel paramento'!$G$58,ABS(L551)*'Sollecitazioni nel paramento'!$G$54,'Sollecitazioni nel paramento'!$G$53)*IF(L551&lt;0,-1,1)</f>
        <v>204886.47740803001</v>
      </c>
      <c r="S551" s="545">
        <f>'Foglio deposito bis'!$F$50*IF(ABS(M551)&lt;'Sollecitazioni nel paramento'!$G$58,ABS(M551)*'Sollecitazioni nel paramento'!$G$54,'Sollecitazioni nel paramento'!$G$53)*IF(M551&lt;0,-1,1)</f>
        <v>0</v>
      </c>
      <c r="T551" s="545">
        <f>'Foglio deposito bis'!$F$51*IF(ABS(N551)&lt;'Sollecitazioni nel paramento'!$G$58,ABS(N551)*'Sollecitazioni nel paramento'!$G$54,'Sollecitazioni nel paramento'!$G$53)*IF(N551&lt;0,-1,1)</f>
        <v>240946.49743184328</v>
      </c>
      <c r="U551" s="545">
        <f>'Foglio deposito bis'!$F$52*IF(ABS(O551)&lt;'Sollecitazioni nel paramento'!$G$58,ABS(O551)*'Sollecitazioni nel paramento'!$G$54,'Sollecitazioni nel paramento'!$G$53)*IF(O551&lt;0,-1,1)</f>
        <v>240946.49743184328</v>
      </c>
      <c r="V551" s="472">
        <f t="shared" si="39"/>
        <v>220164.87881381973</v>
      </c>
      <c r="W551" s="551"/>
      <c r="X551" s="551"/>
    </row>
    <row r="552" spans="1:24" x14ac:dyDescent="0.25">
      <c r="A552" s="545">
        <f t="shared" si="40"/>
        <v>210832.5869446618</v>
      </c>
      <c r="B552" s="3">
        <f t="shared" si="41"/>
        <v>2.5499999999999989</v>
      </c>
      <c r="C552" s="545">
        <f>'Foglio deposito bis'!$E$155/sezione!$B$247*B552</f>
        <v>12.493027937293091</v>
      </c>
      <c r="D552" s="603">
        <f>-'Sollecitazioni nel paramento'!$G$47*'Sollecitazioni nel paramento'!$G$41*IF(DATI!$G$211="dx",DATI!$E$61,DATI!$E$64*DATI!$E$63)*1000*C552^2*sezione!$AD$5*(1-sezione!$AD$6)</f>
        <v>-3472474.3572741798</v>
      </c>
      <c r="E552" s="545">
        <f>-'Foglio deposito bis'!$F$48*(C552-sezione!$AL$29)*IF(ABS(K552)&lt;'Sollecitazioni nel paramento'!$G$58,ABS(K552)*'Sollecitazioni nel paramento'!$G$54,'Sollecitazioni nel paramento'!$G$53)</f>
        <v>0</v>
      </c>
      <c r="F552" s="545">
        <f>-'Foglio deposito bis'!$F$49*(C552-sezione!$AM$29)*IF(ABS(L552)&lt;'Sollecitazioni nel paramento'!$G$58,ABS(L552)*'Sollecitazioni nel paramento'!$G$54,'Sollecitazioni nel paramento'!$G$53)</f>
        <v>9733536.1582497116</v>
      </c>
      <c r="G552" s="545">
        <f>-'Foglio deposito bis'!$F$50*(C552-sezione!$AN$29)*IF(ABS(M552)&lt;'Sollecitazioni nel paramento'!$G$58,ABS(M552)*'Sollecitazioni nel paramento'!$G$54,'Sollecitazioni nel paramento'!$G$53)</f>
        <v>0</v>
      </c>
      <c r="H552" s="545">
        <f>-'Foglio deposito bis'!$F$51*(C552-sezione!$AO$29)*IF(ABS(N552)&lt;'Sollecitazioni nel paramento'!$G$58,ABS(N552)*'Sollecitazioni nel paramento'!$G$54,'Sollecitazioni nel paramento'!$G$53)</f>
        <v>35541288.265285991</v>
      </c>
      <c r="I552" s="472">
        <f>-'Foglio deposito bis'!$F$52*(C552-sezione!$AP$29)*IF(ABS(O552)&lt;'Sollecitazioni nel paramento'!$G$58,ABS(O552)*'Sollecitazioni nel paramento'!$G$54,'Sollecitazioni nel paramento'!$G$53)</f>
        <v>74587354.594399795</v>
      </c>
      <c r="J552" s="472">
        <f t="shared" si="38"/>
        <v>116389704.66066131</v>
      </c>
      <c r="K552" s="550">
        <f>'Sollecitazioni nel paramento'!$G$60*(sezione!$AL$29-C552)/C552</f>
        <v>7.7062504544702318E-3</v>
      </c>
      <c r="L552" s="550">
        <f>'Sollecitazioni nel paramento'!$G$60*(sezione!$AM$29-C552)/C552</f>
        <v>1.3309375681705347E-2</v>
      </c>
      <c r="M552" s="551">
        <f>'Sollecitazioni nel paramento'!$G$60*(sezione!$AN$29-C552)/C552</f>
        <v>1.8912500908940463E-2</v>
      </c>
      <c r="N552" s="551">
        <f>'Sollecitazioni nel paramento'!$G$60*(sezione!$AO$29-C552)/C552</f>
        <v>4.132500181788093E-2</v>
      </c>
      <c r="O552" s="551">
        <f>'Sollecitazioni nel paramento'!$G$60*(sezione!$AP$29-C552)/C552</f>
        <v>8.6725122094549342E-2</v>
      </c>
      <c r="P552" s="545">
        <f>-'Sollecitazioni nel paramento'!$G$47*'Sollecitazioni nel paramento'!$G$41*IF(DATI!$G$211="dx",DATI!$E$61,DATI!$E$64*DATI!$E$63)*1000*C552*sezione!$AD$5</f>
        <v>-475946.88532705477</v>
      </c>
      <c r="Q552" s="545">
        <f>'Foglio deposito bis'!$F$48*IF(ABS(K552)&lt;'Sollecitazioni nel paramento'!$G$58,ABS(K552)*'Sollecitazioni nel paramento'!$G$54,'Sollecitazioni nel paramento'!$G$53)*IF(K552&lt;0,-1,1)</f>
        <v>0</v>
      </c>
      <c r="R552" s="545">
        <f>'Foglio deposito bis'!$F$49*IF(ABS(L552)&lt;'Sollecitazioni nel paramento'!$G$58,ABS(L552)*'Sollecitazioni nel paramento'!$G$54,'Sollecitazioni nel paramento'!$G$53)*IF(L552&lt;0,-1,1)</f>
        <v>204886.47740803001</v>
      </c>
      <c r="S552" s="545">
        <f>'Foglio deposito bis'!$F$50*IF(ABS(M552)&lt;'Sollecitazioni nel paramento'!$G$58,ABS(M552)*'Sollecitazioni nel paramento'!$G$54,'Sollecitazioni nel paramento'!$G$53)*IF(M552&lt;0,-1,1)</f>
        <v>0</v>
      </c>
      <c r="T552" s="545">
        <f>'Foglio deposito bis'!$F$51*IF(ABS(N552)&lt;'Sollecitazioni nel paramento'!$G$58,ABS(N552)*'Sollecitazioni nel paramento'!$G$54,'Sollecitazioni nel paramento'!$G$53)*IF(N552&lt;0,-1,1)</f>
        <v>240946.49743184328</v>
      </c>
      <c r="U552" s="545">
        <f>'Foglio deposito bis'!$F$52*IF(ABS(O552)&lt;'Sollecitazioni nel paramento'!$G$58,ABS(O552)*'Sollecitazioni nel paramento'!$G$54,'Sollecitazioni nel paramento'!$G$53)*IF(O552&lt;0,-1,1)</f>
        <v>240946.49743184328</v>
      </c>
      <c r="V552" s="472">
        <f t="shared" si="39"/>
        <v>210832.5869446618</v>
      </c>
      <c r="W552" s="551"/>
      <c r="X552" s="551"/>
    </row>
    <row r="553" spans="1:24" x14ac:dyDescent="0.25">
      <c r="A553" s="545">
        <f t="shared" si="40"/>
        <v>201500.29507550393</v>
      </c>
      <c r="B553" s="3">
        <f t="shared" si="41"/>
        <v>2.5999999999999988</v>
      </c>
      <c r="C553" s="545">
        <f>'Foglio deposito bis'!$E$155/sezione!$B$247*B553</f>
        <v>12.737989269396875</v>
      </c>
      <c r="D553" s="603">
        <f>-'Sollecitazioni nel paramento'!$G$47*'Sollecitazioni nel paramento'!$G$41*IF(DATI!$G$211="dx",DATI!$E$61,DATI!$E$64*DATI!$E$63)*1000*C553^2*sezione!$AD$5*(1-sezione!$AD$6)</f>
        <v>-3609984.8758436679</v>
      </c>
      <c r="E553" s="545">
        <f>-'Foglio deposito bis'!$F$48*(C553-sezione!$AL$29)*IF(ABS(K553)&lt;'Sollecitazioni nel paramento'!$G$58,ABS(K553)*'Sollecitazioni nel paramento'!$G$54,'Sollecitazioni nel paramento'!$G$53)</f>
        <v>0</v>
      </c>
      <c r="F553" s="545">
        <f>-'Foglio deposito bis'!$F$49*(C553-sezione!$AM$29)*IF(ABS(L553)&lt;'Sollecitazioni nel paramento'!$G$58,ABS(L553)*'Sollecitazioni nel paramento'!$G$54,'Sollecitazioni nel paramento'!$G$53)</f>
        <v>9683346.8938137889</v>
      </c>
      <c r="G553" s="545">
        <f>-'Foglio deposito bis'!$F$50*(C553-sezione!$AN$29)*IF(ABS(M553)&lt;'Sollecitazioni nel paramento'!$G$58,ABS(M553)*'Sollecitazioni nel paramento'!$G$54,'Sollecitazioni nel paramento'!$G$53)</f>
        <v>0</v>
      </c>
      <c r="H553" s="545">
        <f>-'Foglio deposito bis'!$F$51*(C553-sezione!$AO$29)*IF(ABS(N553)&lt;'Sollecitazioni nel paramento'!$G$58,ABS(N553)*'Sollecitazioni nel paramento'!$G$54,'Sollecitazioni nel paramento'!$G$53)</f>
        <v>35482265.690309338</v>
      </c>
      <c r="I553" s="472">
        <f>-'Foglio deposito bis'!$F$52*(C553-sezione!$AP$29)*IF(ABS(O553)&lt;'Sollecitazioni nel paramento'!$G$58,ABS(O553)*'Sollecitazioni nel paramento'!$G$54,'Sollecitazioni nel paramento'!$G$53)</f>
        <v>74528332.019423172</v>
      </c>
      <c r="J553" s="472">
        <f t="shared" si="38"/>
        <v>116083959.72770263</v>
      </c>
      <c r="K553" s="550">
        <f>'Sollecitazioni nel paramento'!$G$60*(sezione!$AL$29-C553)/C553</f>
        <v>7.4907456380381137E-3</v>
      </c>
      <c r="L553" s="550">
        <f>'Sollecitazioni nel paramento'!$G$60*(sezione!$AM$29-C553)/C553</f>
        <v>1.298611845705717E-2</v>
      </c>
      <c r="M553" s="551">
        <f>'Sollecitazioni nel paramento'!$G$60*(sezione!$AN$29-C553)/C553</f>
        <v>1.8481491276076227E-2</v>
      </c>
      <c r="N553" s="551">
        <f>'Sollecitazioni nel paramento'!$G$60*(sezione!$AO$29-C553)/C553</f>
        <v>4.0462982552152457E-2</v>
      </c>
      <c r="O553" s="551">
        <f>'Sollecitazioni nel paramento'!$G$60*(sezione!$AP$29-C553)/C553</f>
        <v>8.4990023592731112E-2</v>
      </c>
      <c r="P553" s="545">
        <f>-'Sollecitazioni nel paramento'!$G$47*'Sollecitazioni nel paramento'!$G$41*IF(DATI!$G$211="dx",DATI!$E$61,DATI!$E$64*DATI!$E$63)*1000*C553*sezione!$AD$5</f>
        <v>-485279.17719621264</v>
      </c>
      <c r="Q553" s="545">
        <f>'Foglio deposito bis'!$F$48*IF(ABS(K553)&lt;'Sollecitazioni nel paramento'!$G$58,ABS(K553)*'Sollecitazioni nel paramento'!$G$54,'Sollecitazioni nel paramento'!$G$53)*IF(K553&lt;0,-1,1)</f>
        <v>0</v>
      </c>
      <c r="R553" s="545">
        <f>'Foglio deposito bis'!$F$49*IF(ABS(L553)&lt;'Sollecitazioni nel paramento'!$G$58,ABS(L553)*'Sollecitazioni nel paramento'!$G$54,'Sollecitazioni nel paramento'!$G$53)*IF(L553&lt;0,-1,1)</f>
        <v>204886.47740803001</v>
      </c>
      <c r="S553" s="545">
        <f>'Foglio deposito bis'!$F$50*IF(ABS(M553)&lt;'Sollecitazioni nel paramento'!$G$58,ABS(M553)*'Sollecitazioni nel paramento'!$G$54,'Sollecitazioni nel paramento'!$G$53)*IF(M553&lt;0,-1,1)</f>
        <v>0</v>
      </c>
      <c r="T553" s="545">
        <f>'Foglio deposito bis'!$F$51*IF(ABS(N553)&lt;'Sollecitazioni nel paramento'!$G$58,ABS(N553)*'Sollecitazioni nel paramento'!$G$54,'Sollecitazioni nel paramento'!$G$53)*IF(N553&lt;0,-1,1)</f>
        <v>240946.49743184328</v>
      </c>
      <c r="U553" s="545">
        <f>'Foglio deposito bis'!$F$52*IF(ABS(O553)&lt;'Sollecitazioni nel paramento'!$G$58,ABS(O553)*'Sollecitazioni nel paramento'!$G$54,'Sollecitazioni nel paramento'!$G$53)*IF(O553&lt;0,-1,1)</f>
        <v>240946.49743184328</v>
      </c>
      <c r="V553" s="472">
        <f t="shared" si="39"/>
        <v>201500.29507550393</v>
      </c>
      <c r="W553" s="551"/>
      <c r="X553" s="551"/>
    </row>
    <row r="554" spans="1:24" x14ac:dyDescent="0.25">
      <c r="A554" s="545">
        <f t="shared" si="40"/>
        <v>192168.00320634595</v>
      </c>
      <c r="B554" s="3">
        <f t="shared" si="41"/>
        <v>2.6499999999999986</v>
      </c>
      <c r="C554" s="545">
        <f>'Foglio deposito bis'!$E$155/sezione!$B$247*B554</f>
        <v>12.982950601500661</v>
      </c>
      <c r="D554" s="603">
        <f>-'Sollecitazioni nel paramento'!$G$47*'Sollecitazioni nel paramento'!$G$41*IF(DATI!$G$211="dx",DATI!$E$61,DATI!$E$64*DATI!$E$63)*1000*C554^2*sezione!$AD$5*(1-sezione!$AD$6)</f>
        <v>-3750165.5015698457</v>
      </c>
      <c r="E554" s="545">
        <f>-'Foglio deposito bis'!$F$48*(C554-sezione!$AL$29)*IF(ABS(K554)&lt;'Sollecitazioni nel paramento'!$G$58,ABS(K554)*'Sollecitazioni nel paramento'!$G$54,'Sollecitazioni nel paramento'!$G$53)</f>
        <v>0</v>
      </c>
      <c r="F554" s="545">
        <f>-'Foglio deposito bis'!$F$49*(C554-sezione!$AM$29)*IF(ABS(L554)&lt;'Sollecitazioni nel paramento'!$G$58,ABS(L554)*'Sollecitazioni nel paramento'!$G$54,'Sollecitazioni nel paramento'!$G$53)</f>
        <v>9633157.6293778662</v>
      </c>
      <c r="G554" s="545">
        <f>-'Foglio deposito bis'!$F$50*(C554-sezione!$AN$29)*IF(ABS(M554)&lt;'Sollecitazioni nel paramento'!$G$58,ABS(M554)*'Sollecitazioni nel paramento'!$G$54,'Sollecitazioni nel paramento'!$G$53)</f>
        <v>0</v>
      </c>
      <c r="H554" s="545">
        <f>-'Foglio deposito bis'!$F$51*(C554-sezione!$AO$29)*IF(ABS(N554)&lt;'Sollecitazioni nel paramento'!$G$58,ABS(N554)*'Sollecitazioni nel paramento'!$G$54,'Sollecitazioni nel paramento'!$G$53)</f>
        <v>35423243.1153327</v>
      </c>
      <c r="I554" s="472">
        <f>-'Foglio deposito bis'!$F$52*(C554-sezione!$AP$29)*IF(ABS(O554)&lt;'Sollecitazioni nel paramento'!$G$58,ABS(O554)*'Sollecitazioni nel paramento'!$G$54,'Sollecitazioni nel paramento'!$G$53)</f>
        <v>74469309.444446519</v>
      </c>
      <c r="J554" s="472">
        <f t="shared" si="38"/>
        <v>115775544.68758723</v>
      </c>
      <c r="K554" s="550">
        <f>'Sollecitazioni nel paramento'!$G$60*(sezione!$AL$29-C554)/C554</f>
        <v>7.2833730788298473E-3</v>
      </c>
      <c r="L554" s="550">
        <f>'Sollecitazioni nel paramento'!$G$60*(sezione!$AM$29-C554)/C554</f>
        <v>1.267505961824477E-2</v>
      </c>
      <c r="M554" s="551">
        <f>'Sollecitazioni nel paramento'!$G$60*(sezione!$AN$29-C554)/C554</f>
        <v>1.8066746157659692E-2</v>
      </c>
      <c r="N554" s="551">
        <f>'Sollecitazioni nel paramento'!$G$60*(sezione!$AO$29-C554)/C554</f>
        <v>3.9633492315319395E-2</v>
      </c>
      <c r="O554" s="551">
        <f>'Sollecitazioni nel paramento'!$G$60*(sezione!$AP$29-C554)/C554</f>
        <v>8.3320400506075795E-2</v>
      </c>
      <c r="P554" s="545">
        <f>-'Sollecitazioni nel paramento'!$G$47*'Sollecitazioni nel paramento'!$G$41*IF(DATI!$G$211="dx",DATI!$E$61,DATI!$E$64*DATI!$E$63)*1000*C554*sezione!$AD$5</f>
        <v>-494611.46906537062</v>
      </c>
      <c r="Q554" s="545">
        <f>'Foglio deposito bis'!$F$48*IF(ABS(K554)&lt;'Sollecitazioni nel paramento'!$G$58,ABS(K554)*'Sollecitazioni nel paramento'!$G$54,'Sollecitazioni nel paramento'!$G$53)*IF(K554&lt;0,-1,1)</f>
        <v>0</v>
      </c>
      <c r="R554" s="545">
        <f>'Foglio deposito bis'!$F$49*IF(ABS(L554)&lt;'Sollecitazioni nel paramento'!$G$58,ABS(L554)*'Sollecitazioni nel paramento'!$G$54,'Sollecitazioni nel paramento'!$G$53)*IF(L554&lt;0,-1,1)</f>
        <v>204886.47740803001</v>
      </c>
      <c r="S554" s="545">
        <f>'Foglio deposito bis'!$F$50*IF(ABS(M554)&lt;'Sollecitazioni nel paramento'!$G$58,ABS(M554)*'Sollecitazioni nel paramento'!$G$54,'Sollecitazioni nel paramento'!$G$53)*IF(M554&lt;0,-1,1)</f>
        <v>0</v>
      </c>
      <c r="T554" s="545">
        <f>'Foglio deposito bis'!$F$51*IF(ABS(N554)&lt;'Sollecitazioni nel paramento'!$G$58,ABS(N554)*'Sollecitazioni nel paramento'!$G$54,'Sollecitazioni nel paramento'!$G$53)*IF(N554&lt;0,-1,1)</f>
        <v>240946.49743184328</v>
      </c>
      <c r="U554" s="545">
        <f>'Foglio deposito bis'!$F$52*IF(ABS(O554)&lt;'Sollecitazioni nel paramento'!$G$58,ABS(O554)*'Sollecitazioni nel paramento'!$G$54,'Sollecitazioni nel paramento'!$G$53)*IF(O554&lt;0,-1,1)</f>
        <v>240946.49743184328</v>
      </c>
      <c r="V554" s="472">
        <f t="shared" si="39"/>
        <v>192168.00320634595</v>
      </c>
      <c r="W554" s="551"/>
      <c r="X554" s="551"/>
    </row>
    <row r="555" spans="1:24" x14ac:dyDescent="0.25">
      <c r="A555" s="545">
        <f t="shared" si="40"/>
        <v>182835.71133718814</v>
      </c>
      <c r="B555" s="3">
        <f t="shared" si="41"/>
        <v>2.6999999999999984</v>
      </c>
      <c r="C555" s="545">
        <f>'Foglio deposito bis'!$E$155/sezione!$B$247*B555</f>
        <v>13.227911933604446</v>
      </c>
      <c r="D555" s="603">
        <f>-'Sollecitazioni nel paramento'!$G$47*'Sollecitazioni nel paramento'!$G$41*IF(DATI!$G$211="dx",DATI!$E$61,DATI!$E$64*DATI!$E$63)*1000*C555^2*sezione!$AD$5*(1-sezione!$AD$6)</f>
        <v>-3893016.2344527123</v>
      </c>
      <c r="E555" s="545">
        <f>-'Foglio deposito bis'!$F$48*(C555-sezione!$AL$29)*IF(ABS(K555)&lt;'Sollecitazioni nel paramento'!$G$58,ABS(K555)*'Sollecitazioni nel paramento'!$G$54,'Sollecitazioni nel paramento'!$G$53)</f>
        <v>0</v>
      </c>
      <c r="F555" s="545">
        <f>-'Foglio deposito bis'!$F$49*(C555-sezione!$AM$29)*IF(ABS(L555)&lt;'Sollecitazioni nel paramento'!$G$58,ABS(L555)*'Sollecitazioni nel paramento'!$G$54,'Sollecitazioni nel paramento'!$G$53)</f>
        <v>9582968.3649419434</v>
      </c>
      <c r="G555" s="545">
        <f>-'Foglio deposito bis'!$F$50*(C555-sezione!$AN$29)*IF(ABS(M555)&lt;'Sollecitazioni nel paramento'!$G$58,ABS(M555)*'Sollecitazioni nel paramento'!$G$54,'Sollecitazioni nel paramento'!$G$53)</f>
        <v>0</v>
      </c>
      <c r="H555" s="545">
        <f>-'Foglio deposito bis'!$F$51*(C555-sezione!$AO$29)*IF(ABS(N555)&lt;'Sollecitazioni nel paramento'!$G$58,ABS(N555)*'Sollecitazioni nel paramento'!$G$54,'Sollecitazioni nel paramento'!$G$53)</f>
        <v>35364220.540356055</v>
      </c>
      <c r="I555" s="472">
        <f>-'Foglio deposito bis'!$F$52*(C555-sezione!$AP$29)*IF(ABS(O555)&lt;'Sollecitazioni nel paramento'!$G$58,ABS(O555)*'Sollecitazioni nel paramento'!$G$54,'Sollecitazioni nel paramento'!$G$53)</f>
        <v>74410286.869469866</v>
      </c>
      <c r="J555" s="472">
        <f t="shared" si="38"/>
        <v>115464459.54031515</v>
      </c>
      <c r="K555" s="550">
        <f>'Sollecitazioni nel paramento'!$G$60*(sezione!$AL$29-C555)/C555</f>
        <v>7.0836809847774438E-3</v>
      </c>
      <c r="L555" s="550">
        <f>'Sollecitazioni nel paramento'!$G$60*(sezione!$AM$29-C555)/C555</f>
        <v>1.2375521477166165E-2</v>
      </c>
      <c r="M555" s="551">
        <f>'Sollecitazioni nel paramento'!$G$60*(sezione!$AN$29-C555)/C555</f>
        <v>1.7667361969554887E-2</v>
      </c>
      <c r="N555" s="551">
        <f>'Sollecitazioni nel paramento'!$G$60*(sezione!$AO$29-C555)/C555</f>
        <v>3.8834723939109778E-2</v>
      </c>
      <c r="O555" s="551">
        <f>'Sollecitazioni nel paramento'!$G$60*(sezione!$AP$29-C555)/C555</f>
        <v>8.1712615311518841E-2</v>
      </c>
      <c r="P555" s="545">
        <f>-'Sollecitazioni nel paramento'!$G$47*'Sollecitazioni nel paramento'!$G$41*IF(DATI!$G$211="dx",DATI!$E$61,DATI!$E$64*DATI!$E$63)*1000*C555*sezione!$AD$5</f>
        <v>-503943.76093452843</v>
      </c>
      <c r="Q555" s="545">
        <f>'Foglio deposito bis'!$F$48*IF(ABS(K555)&lt;'Sollecitazioni nel paramento'!$G$58,ABS(K555)*'Sollecitazioni nel paramento'!$G$54,'Sollecitazioni nel paramento'!$G$53)*IF(K555&lt;0,-1,1)</f>
        <v>0</v>
      </c>
      <c r="R555" s="545">
        <f>'Foglio deposito bis'!$F$49*IF(ABS(L555)&lt;'Sollecitazioni nel paramento'!$G$58,ABS(L555)*'Sollecitazioni nel paramento'!$G$54,'Sollecitazioni nel paramento'!$G$53)*IF(L555&lt;0,-1,1)</f>
        <v>204886.47740803001</v>
      </c>
      <c r="S555" s="545">
        <f>'Foglio deposito bis'!$F$50*IF(ABS(M555)&lt;'Sollecitazioni nel paramento'!$G$58,ABS(M555)*'Sollecitazioni nel paramento'!$G$54,'Sollecitazioni nel paramento'!$G$53)*IF(M555&lt;0,-1,1)</f>
        <v>0</v>
      </c>
      <c r="T555" s="545">
        <f>'Foglio deposito bis'!$F$51*IF(ABS(N555)&lt;'Sollecitazioni nel paramento'!$G$58,ABS(N555)*'Sollecitazioni nel paramento'!$G$54,'Sollecitazioni nel paramento'!$G$53)*IF(N555&lt;0,-1,1)</f>
        <v>240946.49743184328</v>
      </c>
      <c r="U555" s="545">
        <f>'Foglio deposito bis'!$F$52*IF(ABS(O555)&lt;'Sollecitazioni nel paramento'!$G$58,ABS(O555)*'Sollecitazioni nel paramento'!$G$54,'Sollecitazioni nel paramento'!$G$53)*IF(O555&lt;0,-1,1)</f>
        <v>240946.49743184328</v>
      </c>
      <c r="V555" s="472">
        <f t="shared" si="39"/>
        <v>182835.71133718814</v>
      </c>
      <c r="W555" s="551"/>
      <c r="X555" s="551"/>
    </row>
    <row r="556" spans="1:24" x14ac:dyDescent="0.25">
      <c r="A556" s="545">
        <f t="shared" si="40"/>
        <v>173503.41946803016</v>
      </c>
      <c r="B556" s="3">
        <f t="shared" si="41"/>
        <v>2.7499999999999982</v>
      </c>
      <c r="C556" s="545">
        <f>'Foglio deposito bis'!$E$155/sezione!$B$247*B556</f>
        <v>13.472873265708232</v>
      </c>
      <c r="D556" s="603">
        <f>-'Sollecitazioni nel paramento'!$G$47*'Sollecitazioni nel paramento'!$G$41*IF(DATI!$G$211="dx",DATI!$E$61,DATI!$E$64*DATI!$E$63)*1000*C556^2*sezione!$AD$5*(1-sezione!$AD$6)</f>
        <v>-4038537.0744922678</v>
      </c>
      <c r="E556" s="545">
        <f>-'Foglio deposito bis'!$F$48*(C556-sezione!$AL$29)*IF(ABS(K556)&lt;'Sollecitazioni nel paramento'!$G$58,ABS(K556)*'Sollecitazioni nel paramento'!$G$54,'Sollecitazioni nel paramento'!$G$53)</f>
        <v>0</v>
      </c>
      <c r="F556" s="545">
        <f>-'Foglio deposito bis'!$F$49*(C556-sezione!$AM$29)*IF(ABS(L556)&lt;'Sollecitazioni nel paramento'!$G$58,ABS(L556)*'Sollecitazioni nel paramento'!$G$54,'Sollecitazioni nel paramento'!$G$53)</f>
        <v>9532779.1005060188</v>
      </c>
      <c r="G556" s="545">
        <f>-'Foglio deposito bis'!$F$50*(C556-sezione!$AN$29)*IF(ABS(M556)&lt;'Sollecitazioni nel paramento'!$G$58,ABS(M556)*'Sollecitazioni nel paramento'!$G$54,'Sollecitazioni nel paramento'!$G$53)</f>
        <v>0</v>
      </c>
      <c r="H556" s="545">
        <f>-'Foglio deposito bis'!$F$51*(C556-sezione!$AO$29)*IF(ABS(N556)&lt;'Sollecitazioni nel paramento'!$G$58,ABS(N556)*'Sollecitazioni nel paramento'!$G$54,'Sollecitazioni nel paramento'!$G$53)</f>
        <v>35305197.965379402</v>
      </c>
      <c r="I556" s="472">
        <f>-'Foglio deposito bis'!$F$52*(C556-sezione!$AP$29)*IF(ABS(O556)&lt;'Sollecitazioni nel paramento'!$G$58,ABS(O556)*'Sollecitazioni nel paramento'!$G$54,'Sollecitazioni nel paramento'!$G$53)</f>
        <v>74351264.294493213</v>
      </c>
      <c r="J556" s="472">
        <f t="shared" si="38"/>
        <v>115150704.28588636</v>
      </c>
      <c r="K556" s="550">
        <f>'Sollecitazioni nel paramento'!$G$60*(sezione!$AL$29-C556)/C556</f>
        <v>6.8912504214178544E-3</v>
      </c>
      <c r="L556" s="550">
        <f>'Sollecitazioni nel paramento'!$G$60*(sezione!$AM$29-C556)/C556</f>
        <v>1.208687563212678E-2</v>
      </c>
      <c r="M556" s="551">
        <f>'Sollecitazioni nel paramento'!$G$60*(sezione!$AN$29-C556)/C556</f>
        <v>1.7282500842835707E-2</v>
      </c>
      <c r="N556" s="551">
        <f>'Sollecitazioni nel paramento'!$G$60*(sezione!$AO$29-C556)/C556</f>
        <v>3.8065001685671417E-2</v>
      </c>
      <c r="O556" s="551">
        <f>'Sollecitazioni nel paramento'!$G$60*(sezione!$AP$29-C556)/C556</f>
        <v>8.0163295033127593E-2</v>
      </c>
      <c r="P556" s="545">
        <f>-'Sollecitazioni nel paramento'!$G$47*'Sollecitazioni nel paramento'!$G$41*IF(DATI!$G$211="dx",DATI!$E$61,DATI!$E$64*DATI!$E$63)*1000*C556*sezione!$AD$5</f>
        <v>-513276.05280368641</v>
      </c>
      <c r="Q556" s="545">
        <f>'Foglio deposito bis'!$F$48*IF(ABS(K556)&lt;'Sollecitazioni nel paramento'!$G$58,ABS(K556)*'Sollecitazioni nel paramento'!$G$54,'Sollecitazioni nel paramento'!$G$53)*IF(K556&lt;0,-1,1)</f>
        <v>0</v>
      </c>
      <c r="R556" s="545">
        <f>'Foglio deposito bis'!$F$49*IF(ABS(L556)&lt;'Sollecitazioni nel paramento'!$G$58,ABS(L556)*'Sollecitazioni nel paramento'!$G$54,'Sollecitazioni nel paramento'!$G$53)*IF(L556&lt;0,-1,1)</f>
        <v>204886.47740803001</v>
      </c>
      <c r="S556" s="545">
        <f>'Foglio deposito bis'!$F$50*IF(ABS(M556)&lt;'Sollecitazioni nel paramento'!$G$58,ABS(M556)*'Sollecitazioni nel paramento'!$G$54,'Sollecitazioni nel paramento'!$G$53)*IF(M556&lt;0,-1,1)</f>
        <v>0</v>
      </c>
      <c r="T556" s="545">
        <f>'Foglio deposito bis'!$F$51*IF(ABS(N556)&lt;'Sollecitazioni nel paramento'!$G$58,ABS(N556)*'Sollecitazioni nel paramento'!$G$54,'Sollecitazioni nel paramento'!$G$53)*IF(N556&lt;0,-1,1)</f>
        <v>240946.49743184328</v>
      </c>
      <c r="U556" s="545">
        <f>'Foglio deposito bis'!$F$52*IF(ABS(O556)&lt;'Sollecitazioni nel paramento'!$G$58,ABS(O556)*'Sollecitazioni nel paramento'!$G$54,'Sollecitazioni nel paramento'!$G$53)*IF(O556&lt;0,-1,1)</f>
        <v>240946.49743184328</v>
      </c>
      <c r="V556" s="472">
        <f t="shared" si="39"/>
        <v>173503.41946803016</v>
      </c>
      <c r="W556" s="551"/>
      <c r="X556" s="551"/>
    </row>
    <row r="557" spans="1:24" x14ac:dyDescent="0.25">
      <c r="A557" s="545">
        <f t="shared" si="40"/>
        <v>164171.12759887223</v>
      </c>
      <c r="B557" s="3">
        <f t="shared" si="41"/>
        <v>2.799999999999998</v>
      </c>
      <c r="C557" s="545">
        <f>'Foglio deposito bis'!$E$155/sezione!$B$247*B557</f>
        <v>13.717834597812017</v>
      </c>
      <c r="D557" s="603">
        <f>-'Sollecitazioni nel paramento'!$G$47*'Sollecitazioni nel paramento'!$G$41*IF(DATI!$G$211="dx",DATI!$E$61,DATI!$E$64*DATI!$E$63)*1000*C557^2*sezione!$AD$5*(1-sezione!$AD$6)</f>
        <v>-4186728.0216885121</v>
      </c>
      <c r="E557" s="545">
        <f>-'Foglio deposito bis'!$F$48*(C557-sezione!$AL$29)*IF(ABS(K557)&lt;'Sollecitazioni nel paramento'!$G$58,ABS(K557)*'Sollecitazioni nel paramento'!$G$54,'Sollecitazioni nel paramento'!$G$53)</f>
        <v>0</v>
      </c>
      <c r="F557" s="545">
        <f>-'Foglio deposito bis'!$F$49*(C557-sezione!$AM$29)*IF(ABS(L557)&lt;'Sollecitazioni nel paramento'!$G$58,ABS(L557)*'Sollecitazioni nel paramento'!$G$54,'Sollecitazioni nel paramento'!$G$53)</f>
        <v>9482589.8360700961</v>
      </c>
      <c r="G557" s="545">
        <f>-'Foglio deposito bis'!$F$50*(C557-sezione!$AN$29)*IF(ABS(M557)&lt;'Sollecitazioni nel paramento'!$G$58,ABS(M557)*'Sollecitazioni nel paramento'!$G$54,'Sollecitazioni nel paramento'!$G$53)</f>
        <v>0</v>
      </c>
      <c r="H557" s="545">
        <f>-'Foglio deposito bis'!$F$51*(C557-sezione!$AO$29)*IF(ABS(N557)&lt;'Sollecitazioni nel paramento'!$G$58,ABS(N557)*'Sollecitazioni nel paramento'!$G$54,'Sollecitazioni nel paramento'!$G$53)</f>
        <v>35246175.390402757</v>
      </c>
      <c r="I557" s="472">
        <f>-'Foglio deposito bis'!$F$52*(C557-sezione!$AP$29)*IF(ABS(O557)&lt;'Sollecitazioni nel paramento'!$G$58,ABS(O557)*'Sollecitazioni nel paramento'!$G$54,'Sollecitazioni nel paramento'!$G$53)</f>
        <v>74292241.71951656</v>
      </c>
      <c r="J557" s="472">
        <f t="shared" si="38"/>
        <v>114834278.92430091</v>
      </c>
      <c r="K557" s="550">
        <f>'Sollecitazioni nel paramento'!$G$60*(sezione!$AL$29-C557)/C557</f>
        <v>6.7056923781782509E-3</v>
      </c>
      <c r="L557" s="550">
        <f>'Sollecitazioni nel paramento'!$G$60*(sezione!$AM$29-C557)/C557</f>
        <v>1.1808538567267376E-2</v>
      </c>
      <c r="M557" s="551">
        <f>'Sollecitazioni nel paramento'!$G$60*(sezione!$AN$29-C557)/C557</f>
        <v>1.69113847563565E-2</v>
      </c>
      <c r="N557" s="551">
        <f>'Sollecitazioni nel paramento'!$G$60*(sezione!$AO$29-C557)/C557</f>
        <v>3.7322769512713003E-2</v>
      </c>
      <c r="O557" s="551">
        <f>'Sollecitazioni nel paramento'!$G$60*(sezione!$AP$29-C557)/C557</f>
        <v>7.8669307621821741E-2</v>
      </c>
      <c r="P557" s="545">
        <f>-'Sollecitazioni nel paramento'!$G$47*'Sollecitazioni nel paramento'!$G$41*IF(DATI!$G$211="dx",DATI!$E$61,DATI!$E$64*DATI!$E$63)*1000*C557*sezione!$AD$5</f>
        <v>-522608.34467284434</v>
      </c>
      <c r="Q557" s="545">
        <f>'Foglio deposito bis'!$F$48*IF(ABS(K557)&lt;'Sollecitazioni nel paramento'!$G$58,ABS(K557)*'Sollecitazioni nel paramento'!$G$54,'Sollecitazioni nel paramento'!$G$53)*IF(K557&lt;0,-1,1)</f>
        <v>0</v>
      </c>
      <c r="R557" s="545">
        <f>'Foglio deposito bis'!$F$49*IF(ABS(L557)&lt;'Sollecitazioni nel paramento'!$G$58,ABS(L557)*'Sollecitazioni nel paramento'!$G$54,'Sollecitazioni nel paramento'!$G$53)*IF(L557&lt;0,-1,1)</f>
        <v>204886.47740803001</v>
      </c>
      <c r="S557" s="545">
        <f>'Foglio deposito bis'!$F$50*IF(ABS(M557)&lt;'Sollecitazioni nel paramento'!$G$58,ABS(M557)*'Sollecitazioni nel paramento'!$G$54,'Sollecitazioni nel paramento'!$G$53)*IF(M557&lt;0,-1,1)</f>
        <v>0</v>
      </c>
      <c r="T557" s="545">
        <f>'Foglio deposito bis'!$F$51*IF(ABS(N557)&lt;'Sollecitazioni nel paramento'!$G$58,ABS(N557)*'Sollecitazioni nel paramento'!$G$54,'Sollecitazioni nel paramento'!$G$53)*IF(N557&lt;0,-1,1)</f>
        <v>240946.49743184328</v>
      </c>
      <c r="U557" s="545">
        <f>'Foglio deposito bis'!$F$52*IF(ABS(O557)&lt;'Sollecitazioni nel paramento'!$G$58,ABS(O557)*'Sollecitazioni nel paramento'!$G$54,'Sollecitazioni nel paramento'!$G$53)*IF(O557&lt;0,-1,1)</f>
        <v>240946.49743184328</v>
      </c>
      <c r="V557" s="472">
        <f t="shared" si="39"/>
        <v>164171.12759887223</v>
      </c>
      <c r="W557" s="551"/>
      <c r="X557" s="551"/>
    </row>
    <row r="558" spans="1:24" x14ac:dyDescent="0.25">
      <c r="A558" s="545">
        <f t="shared" si="40"/>
        <v>154838.83572971437</v>
      </c>
      <c r="B558" s="3">
        <f t="shared" si="41"/>
        <v>2.8499999999999979</v>
      </c>
      <c r="C558" s="545">
        <f>'Foglio deposito bis'!$E$155/sezione!$B$247*B558</f>
        <v>13.962795929915803</v>
      </c>
      <c r="D558" s="603">
        <f>-'Sollecitazioni nel paramento'!$G$47*'Sollecitazioni nel paramento'!$G$41*IF(DATI!$G$211="dx",DATI!$E$61,DATI!$E$64*DATI!$E$63)*1000*C558^2*sezione!$AD$5*(1-sezione!$AD$6)</f>
        <v>-4337589.076041447</v>
      </c>
      <c r="E558" s="545">
        <f>-'Foglio deposito bis'!$F$48*(C558-sezione!$AL$29)*IF(ABS(K558)&lt;'Sollecitazioni nel paramento'!$G$58,ABS(K558)*'Sollecitazioni nel paramento'!$G$54,'Sollecitazioni nel paramento'!$G$53)</f>
        <v>0</v>
      </c>
      <c r="F558" s="545">
        <f>-'Foglio deposito bis'!$F$49*(C558-sezione!$AM$29)*IF(ABS(L558)&lt;'Sollecitazioni nel paramento'!$G$58,ABS(L558)*'Sollecitazioni nel paramento'!$G$54,'Sollecitazioni nel paramento'!$G$53)</f>
        <v>9432400.5716341734</v>
      </c>
      <c r="G558" s="545">
        <f>-'Foglio deposito bis'!$F$50*(C558-sezione!$AN$29)*IF(ABS(M558)&lt;'Sollecitazioni nel paramento'!$G$58,ABS(M558)*'Sollecitazioni nel paramento'!$G$54,'Sollecitazioni nel paramento'!$G$53)</f>
        <v>0</v>
      </c>
      <c r="H558" s="545">
        <f>-'Foglio deposito bis'!$F$51*(C558-sezione!$AO$29)*IF(ABS(N558)&lt;'Sollecitazioni nel paramento'!$G$58,ABS(N558)*'Sollecitazioni nel paramento'!$G$54,'Sollecitazioni nel paramento'!$G$53)</f>
        <v>35187152.815426111</v>
      </c>
      <c r="I558" s="472">
        <f>-'Foglio deposito bis'!$F$52*(C558-sezione!$AP$29)*IF(ABS(O558)&lt;'Sollecitazioni nel paramento'!$G$58,ABS(O558)*'Sollecitazioni nel paramento'!$G$54,'Sollecitazioni nel paramento'!$G$53)</f>
        <v>74233219.144539922</v>
      </c>
      <c r="J558" s="472">
        <f t="shared" si="38"/>
        <v>114515183.45555876</v>
      </c>
      <c r="K558" s="550">
        <f>'Sollecitazioni nel paramento'!$G$60*(sezione!$AL$29-C558)/C558</f>
        <v>6.5266451434733679E-3</v>
      </c>
      <c r="L558" s="550">
        <f>'Sollecitazioni nel paramento'!$G$60*(sezione!$AM$29-C558)/C558</f>
        <v>1.1539967715210053E-2</v>
      </c>
      <c r="M558" s="551">
        <f>'Sollecitazioni nel paramento'!$G$60*(sezione!$AN$29-C558)/C558</f>
        <v>1.6553290286946739E-2</v>
      </c>
      <c r="N558" s="551">
        <f>'Sollecitazioni nel paramento'!$G$60*(sezione!$AO$29-C558)/C558</f>
        <v>3.6606580573893474E-2</v>
      </c>
      <c r="O558" s="551">
        <f>'Sollecitazioni nel paramento'!$G$60*(sezione!$AP$29-C558)/C558</f>
        <v>7.722774082143892E-2</v>
      </c>
      <c r="P558" s="545">
        <f>-'Sollecitazioni nel paramento'!$G$47*'Sollecitazioni nel paramento'!$G$41*IF(DATI!$G$211="dx",DATI!$E$61,DATI!$E$64*DATI!$E$63)*1000*C558*sezione!$AD$5</f>
        <v>-531940.6365420022</v>
      </c>
      <c r="Q558" s="545">
        <f>'Foglio deposito bis'!$F$48*IF(ABS(K558)&lt;'Sollecitazioni nel paramento'!$G$58,ABS(K558)*'Sollecitazioni nel paramento'!$G$54,'Sollecitazioni nel paramento'!$G$53)*IF(K558&lt;0,-1,1)</f>
        <v>0</v>
      </c>
      <c r="R558" s="545">
        <f>'Foglio deposito bis'!$F$49*IF(ABS(L558)&lt;'Sollecitazioni nel paramento'!$G$58,ABS(L558)*'Sollecitazioni nel paramento'!$G$54,'Sollecitazioni nel paramento'!$G$53)*IF(L558&lt;0,-1,1)</f>
        <v>204886.47740803001</v>
      </c>
      <c r="S558" s="545">
        <f>'Foglio deposito bis'!$F$50*IF(ABS(M558)&lt;'Sollecitazioni nel paramento'!$G$58,ABS(M558)*'Sollecitazioni nel paramento'!$G$54,'Sollecitazioni nel paramento'!$G$53)*IF(M558&lt;0,-1,1)</f>
        <v>0</v>
      </c>
      <c r="T558" s="545">
        <f>'Foglio deposito bis'!$F$51*IF(ABS(N558)&lt;'Sollecitazioni nel paramento'!$G$58,ABS(N558)*'Sollecitazioni nel paramento'!$G$54,'Sollecitazioni nel paramento'!$G$53)*IF(N558&lt;0,-1,1)</f>
        <v>240946.49743184328</v>
      </c>
      <c r="U558" s="545">
        <f>'Foglio deposito bis'!$F$52*IF(ABS(O558)&lt;'Sollecitazioni nel paramento'!$G$58,ABS(O558)*'Sollecitazioni nel paramento'!$G$54,'Sollecitazioni nel paramento'!$G$53)*IF(O558&lt;0,-1,1)</f>
        <v>240946.49743184328</v>
      </c>
      <c r="V558" s="472">
        <f t="shared" si="39"/>
        <v>154838.83572971437</v>
      </c>
      <c r="W558" s="551"/>
      <c r="X558" s="551"/>
    </row>
    <row r="559" spans="1:24" x14ac:dyDescent="0.25">
      <c r="A559" s="545">
        <f t="shared" si="40"/>
        <v>145506.54386055644</v>
      </c>
      <c r="B559" s="3">
        <f t="shared" si="41"/>
        <v>2.8999999999999977</v>
      </c>
      <c r="C559" s="545">
        <f>'Foglio deposito bis'!$E$155/sezione!$B$247*B559</f>
        <v>14.207757262019587</v>
      </c>
      <c r="D559" s="603">
        <f>-'Sollecitazioni nel paramento'!$G$47*'Sollecitazioni nel paramento'!$G$41*IF(DATI!$G$211="dx",DATI!$E$61,DATI!$E$64*DATI!$E$63)*1000*C559^2*sezione!$AD$5*(1-sezione!$AD$6)</f>
        <v>-4491120.2375510689</v>
      </c>
      <c r="E559" s="545">
        <f>-'Foglio deposito bis'!$F$48*(C559-sezione!$AL$29)*IF(ABS(K559)&lt;'Sollecitazioni nel paramento'!$G$58,ABS(K559)*'Sollecitazioni nel paramento'!$G$54,'Sollecitazioni nel paramento'!$G$53)</f>
        <v>0</v>
      </c>
      <c r="F559" s="545">
        <f>-'Foglio deposito bis'!$F$49*(C559-sezione!$AM$29)*IF(ABS(L559)&lt;'Sollecitazioni nel paramento'!$G$58,ABS(L559)*'Sollecitazioni nel paramento'!$G$54,'Sollecitazioni nel paramento'!$G$53)</f>
        <v>9382211.3071982507</v>
      </c>
      <c r="G559" s="545">
        <f>-'Foglio deposito bis'!$F$50*(C559-sezione!$AN$29)*IF(ABS(M559)&lt;'Sollecitazioni nel paramento'!$G$58,ABS(M559)*'Sollecitazioni nel paramento'!$G$54,'Sollecitazioni nel paramento'!$G$53)</f>
        <v>0</v>
      </c>
      <c r="H559" s="545">
        <f>-'Foglio deposito bis'!$F$51*(C559-sezione!$AO$29)*IF(ABS(N559)&lt;'Sollecitazioni nel paramento'!$G$58,ABS(N559)*'Sollecitazioni nel paramento'!$G$54,'Sollecitazioni nel paramento'!$G$53)</f>
        <v>35128130.240449466</v>
      </c>
      <c r="I559" s="472">
        <f>-'Foglio deposito bis'!$F$52*(C559-sezione!$AP$29)*IF(ABS(O559)&lt;'Sollecitazioni nel paramento'!$G$58,ABS(O559)*'Sollecitazioni nel paramento'!$G$54,'Sollecitazioni nel paramento'!$G$53)</f>
        <v>74174196.569563285</v>
      </c>
      <c r="J559" s="472">
        <f t="shared" si="38"/>
        <v>114193417.87965994</v>
      </c>
      <c r="K559" s="550">
        <f>'Sollecitazioni nel paramento'!$G$60*(sezione!$AL$29-C559)/C559</f>
        <v>6.3537719513445182E-3</v>
      </c>
      <c r="L559" s="550">
        <f>'Sollecitazioni nel paramento'!$G$60*(sezione!$AM$29-C559)/C559</f>
        <v>1.1280657927016777E-2</v>
      </c>
      <c r="M559" s="551">
        <f>'Sollecitazioni nel paramento'!$G$60*(sezione!$AN$29-C559)/C559</f>
        <v>1.6207543902689036E-2</v>
      </c>
      <c r="N559" s="551">
        <f>'Sollecitazioni nel paramento'!$G$60*(sezione!$AO$29-C559)/C559</f>
        <v>3.5915087805378075E-2</v>
      </c>
      <c r="O559" s="551">
        <f>'Sollecitazioni nel paramento'!$G$60*(sezione!$AP$29-C559)/C559</f>
        <v>7.5835883221069281E-2</v>
      </c>
      <c r="P559" s="545">
        <f>-'Sollecitazioni nel paramento'!$G$47*'Sollecitazioni nel paramento'!$G$41*IF(DATI!$G$211="dx",DATI!$E$61,DATI!$E$64*DATI!$E$63)*1000*C559*sezione!$AD$5</f>
        <v>-541272.92841116013</v>
      </c>
      <c r="Q559" s="545">
        <f>'Foglio deposito bis'!$F$48*IF(ABS(K559)&lt;'Sollecitazioni nel paramento'!$G$58,ABS(K559)*'Sollecitazioni nel paramento'!$G$54,'Sollecitazioni nel paramento'!$G$53)*IF(K559&lt;0,-1,1)</f>
        <v>0</v>
      </c>
      <c r="R559" s="545">
        <f>'Foglio deposito bis'!$F$49*IF(ABS(L559)&lt;'Sollecitazioni nel paramento'!$G$58,ABS(L559)*'Sollecitazioni nel paramento'!$G$54,'Sollecitazioni nel paramento'!$G$53)*IF(L559&lt;0,-1,1)</f>
        <v>204886.47740803001</v>
      </c>
      <c r="S559" s="545">
        <f>'Foglio deposito bis'!$F$50*IF(ABS(M559)&lt;'Sollecitazioni nel paramento'!$G$58,ABS(M559)*'Sollecitazioni nel paramento'!$G$54,'Sollecitazioni nel paramento'!$G$53)*IF(M559&lt;0,-1,1)</f>
        <v>0</v>
      </c>
      <c r="T559" s="545">
        <f>'Foglio deposito bis'!$F$51*IF(ABS(N559)&lt;'Sollecitazioni nel paramento'!$G$58,ABS(N559)*'Sollecitazioni nel paramento'!$G$54,'Sollecitazioni nel paramento'!$G$53)*IF(N559&lt;0,-1,1)</f>
        <v>240946.49743184328</v>
      </c>
      <c r="U559" s="545">
        <f>'Foglio deposito bis'!$F$52*IF(ABS(O559)&lt;'Sollecitazioni nel paramento'!$G$58,ABS(O559)*'Sollecitazioni nel paramento'!$G$54,'Sollecitazioni nel paramento'!$G$53)*IF(O559&lt;0,-1,1)</f>
        <v>240946.49743184328</v>
      </c>
      <c r="V559" s="472">
        <f t="shared" si="39"/>
        <v>145506.54386055644</v>
      </c>
      <c r="W559" s="551"/>
      <c r="X559" s="551"/>
    </row>
    <row r="560" spans="1:24" x14ac:dyDescent="0.25">
      <c r="A560" s="545">
        <f t="shared" si="40"/>
        <v>136174.25199139852</v>
      </c>
      <c r="B560" s="3">
        <f t="shared" si="41"/>
        <v>2.9499999999999975</v>
      </c>
      <c r="C560" s="545">
        <f>'Foglio deposito bis'!$E$155/sezione!$B$247*B560</f>
        <v>14.452718594123374</v>
      </c>
      <c r="D560" s="603">
        <f>-'Sollecitazioni nel paramento'!$G$47*'Sollecitazioni nel paramento'!$G$41*IF(DATI!$G$211="dx",DATI!$E$61,DATI!$E$64*DATI!$E$63)*1000*C560^2*sezione!$AD$5*(1-sezione!$AD$6)</f>
        <v>-4647321.5062173819</v>
      </c>
      <c r="E560" s="545">
        <f>-'Foglio deposito bis'!$F$48*(C560-sezione!$AL$29)*IF(ABS(K560)&lt;'Sollecitazioni nel paramento'!$G$58,ABS(K560)*'Sollecitazioni nel paramento'!$G$54,'Sollecitazioni nel paramento'!$G$53)</f>
        <v>0</v>
      </c>
      <c r="F560" s="545">
        <f>-'Foglio deposito bis'!$F$49*(C560-sezione!$AM$29)*IF(ABS(L560)&lt;'Sollecitazioni nel paramento'!$G$58,ABS(L560)*'Sollecitazioni nel paramento'!$G$54,'Sollecitazioni nel paramento'!$G$53)</f>
        <v>9332022.0427623261</v>
      </c>
      <c r="G560" s="545">
        <f>-'Foglio deposito bis'!$F$50*(C560-sezione!$AN$29)*IF(ABS(M560)&lt;'Sollecitazioni nel paramento'!$G$58,ABS(M560)*'Sollecitazioni nel paramento'!$G$54,'Sollecitazioni nel paramento'!$G$53)</f>
        <v>0</v>
      </c>
      <c r="H560" s="545">
        <f>-'Foglio deposito bis'!$F$51*(C560-sezione!$AO$29)*IF(ABS(N560)&lt;'Sollecitazioni nel paramento'!$G$58,ABS(N560)*'Sollecitazioni nel paramento'!$G$54,'Sollecitazioni nel paramento'!$G$53)</f>
        <v>35069107.66547282</v>
      </c>
      <c r="I560" s="472">
        <f>-'Foglio deposito bis'!$F$52*(C560-sezione!$AP$29)*IF(ABS(O560)&lt;'Sollecitazioni nel paramento'!$G$58,ABS(O560)*'Sollecitazioni nel paramento'!$G$54,'Sollecitazioni nel paramento'!$G$53)</f>
        <v>74115173.994586632</v>
      </c>
      <c r="J560" s="472">
        <f t="shared" si="38"/>
        <v>113868982.1966044</v>
      </c>
      <c r="K560" s="550">
        <f>'Sollecitazioni nel paramento'!$G$60*(sezione!$AL$29-C560)/C560</f>
        <v>6.1867588674234244E-3</v>
      </c>
      <c r="L560" s="550">
        <f>'Sollecitazioni nel paramento'!$G$60*(sezione!$AM$29-C560)/C560</f>
        <v>1.1030138301135138E-2</v>
      </c>
      <c r="M560" s="551">
        <f>'Sollecitazioni nel paramento'!$G$60*(sezione!$AN$29-C560)/C560</f>
        <v>1.587351773484685E-2</v>
      </c>
      <c r="N560" s="551">
        <f>'Sollecitazioni nel paramento'!$G$60*(sezione!$AO$29-C560)/C560</f>
        <v>3.5247035469693697E-2</v>
      </c>
      <c r="O560" s="551">
        <f>'Sollecitazioni nel paramento'!$G$60*(sezione!$AP$29-C560)/C560</f>
        <v>7.4491207234271495E-2</v>
      </c>
      <c r="P560" s="545">
        <f>-'Sollecitazioni nel paramento'!$G$47*'Sollecitazioni nel paramento'!$G$41*IF(DATI!$G$211="dx",DATI!$E$61,DATI!$E$64*DATI!$E$63)*1000*C560*sezione!$AD$5</f>
        <v>-550605.22028031806</v>
      </c>
      <c r="Q560" s="545">
        <f>'Foglio deposito bis'!$F$48*IF(ABS(K560)&lt;'Sollecitazioni nel paramento'!$G$58,ABS(K560)*'Sollecitazioni nel paramento'!$G$54,'Sollecitazioni nel paramento'!$G$53)*IF(K560&lt;0,-1,1)</f>
        <v>0</v>
      </c>
      <c r="R560" s="545">
        <f>'Foglio deposito bis'!$F$49*IF(ABS(L560)&lt;'Sollecitazioni nel paramento'!$G$58,ABS(L560)*'Sollecitazioni nel paramento'!$G$54,'Sollecitazioni nel paramento'!$G$53)*IF(L560&lt;0,-1,1)</f>
        <v>204886.47740803001</v>
      </c>
      <c r="S560" s="545">
        <f>'Foglio deposito bis'!$F$50*IF(ABS(M560)&lt;'Sollecitazioni nel paramento'!$G$58,ABS(M560)*'Sollecitazioni nel paramento'!$G$54,'Sollecitazioni nel paramento'!$G$53)*IF(M560&lt;0,-1,1)</f>
        <v>0</v>
      </c>
      <c r="T560" s="545">
        <f>'Foglio deposito bis'!$F$51*IF(ABS(N560)&lt;'Sollecitazioni nel paramento'!$G$58,ABS(N560)*'Sollecitazioni nel paramento'!$G$54,'Sollecitazioni nel paramento'!$G$53)*IF(N560&lt;0,-1,1)</f>
        <v>240946.49743184328</v>
      </c>
      <c r="U560" s="545">
        <f>'Foglio deposito bis'!$F$52*IF(ABS(O560)&lt;'Sollecitazioni nel paramento'!$G$58,ABS(O560)*'Sollecitazioni nel paramento'!$G$54,'Sollecitazioni nel paramento'!$G$53)*IF(O560&lt;0,-1,1)</f>
        <v>240946.49743184328</v>
      </c>
      <c r="V560" s="472">
        <f t="shared" si="39"/>
        <v>136174.25199139852</v>
      </c>
      <c r="W560" s="551"/>
      <c r="X560" s="551"/>
    </row>
    <row r="561" spans="1:24" x14ac:dyDescent="0.25">
      <c r="A561" s="545">
        <f t="shared" si="40"/>
        <v>126841.96012224059</v>
      </c>
      <c r="B561" s="3">
        <f t="shared" si="41"/>
        <v>2.9999999999999973</v>
      </c>
      <c r="C561" s="545">
        <f>'Foglio deposito bis'!$E$155/sezione!$B$247*B561</f>
        <v>14.697679926227158</v>
      </c>
      <c r="D561" s="603">
        <f>-'Sollecitazioni nel paramento'!$G$47*'Sollecitazioni nel paramento'!$G$41*IF(DATI!$G$211="dx",DATI!$E$61,DATI!$E$64*DATI!$E$63)*1000*C561^2*sezione!$AD$5*(1-sezione!$AD$6)</f>
        <v>-4806192.8820403824</v>
      </c>
      <c r="E561" s="545">
        <f>-'Foglio deposito bis'!$F$48*(C561-sezione!$AL$29)*IF(ABS(K561)&lt;'Sollecitazioni nel paramento'!$G$58,ABS(K561)*'Sollecitazioni nel paramento'!$G$54,'Sollecitazioni nel paramento'!$G$53)</f>
        <v>0</v>
      </c>
      <c r="F561" s="545">
        <f>-'Foglio deposito bis'!$F$49*(C561-sezione!$AM$29)*IF(ABS(L561)&lt;'Sollecitazioni nel paramento'!$G$58,ABS(L561)*'Sollecitazioni nel paramento'!$G$54,'Sollecitazioni nel paramento'!$G$53)</f>
        <v>9281832.7783264033</v>
      </c>
      <c r="G561" s="545">
        <f>-'Foglio deposito bis'!$F$50*(C561-sezione!$AN$29)*IF(ABS(M561)&lt;'Sollecitazioni nel paramento'!$G$58,ABS(M561)*'Sollecitazioni nel paramento'!$G$54,'Sollecitazioni nel paramento'!$G$53)</f>
        <v>0</v>
      </c>
      <c r="H561" s="545">
        <f>-'Foglio deposito bis'!$F$51*(C561-sezione!$AO$29)*IF(ABS(N561)&lt;'Sollecitazioni nel paramento'!$G$58,ABS(N561)*'Sollecitazioni nel paramento'!$G$54,'Sollecitazioni nel paramento'!$G$53)</f>
        <v>35010085.090496182</v>
      </c>
      <c r="I561" s="472">
        <f>-'Foglio deposito bis'!$F$52*(C561-sezione!$AP$29)*IF(ABS(O561)&lt;'Sollecitazioni nel paramento'!$G$58,ABS(O561)*'Sollecitazioni nel paramento'!$G$54,'Sollecitazioni nel paramento'!$G$53)</f>
        <v>74056151.419609994</v>
      </c>
      <c r="J561" s="472">
        <f t="shared" si="38"/>
        <v>113541876.40639219</v>
      </c>
      <c r="K561" s="550">
        <f>'Sollecitazioni nel paramento'!$G$60*(sezione!$AL$29-C561)/C561</f>
        <v>6.0253128862997017E-3</v>
      </c>
      <c r="L561" s="550">
        <f>'Sollecitazioni nel paramento'!$G$60*(sezione!$AM$29-C561)/C561</f>
        <v>1.0787969329449554E-2</v>
      </c>
      <c r="M561" s="551">
        <f>'Sollecitazioni nel paramento'!$G$60*(sezione!$AN$29-C561)/C561</f>
        <v>1.5550625772599405E-2</v>
      </c>
      <c r="N561" s="551">
        <f>'Sollecitazioni nel paramento'!$G$60*(sezione!$AO$29-C561)/C561</f>
        <v>3.4601251545198809E-2</v>
      </c>
      <c r="O561" s="551">
        <f>'Sollecitazioni nel paramento'!$G$60*(sezione!$AP$29-C561)/C561</f>
        <v>7.319135378036698E-2</v>
      </c>
      <c r="P561" s="545">
        <f>-'Sollecitazioni nel paramento'!$G$47*'Sollecitazioni nel paramento'!$G$41*IF(DATI!$G$211="dx",DATI!$E$61,DATI!$E$64*DATI!$E$63)*1000*C561*sezione!$AD$5</f>
        <v>-559937.51214947598</v>
      </c>
      <c r="Q561" s="545">
        <f>'Foglio deposito bis'!$F$48*IF(ABS(K561)&lt;'Sollecitazioni nel paramento'!$G$58,ABS(K561)*'Sollecitazioni nel paramento'!$G$54,'Sollecitazioni nel paramento'!$G$53)*IF(K561&lt;0,-1,1)</f>
        <v>0</v>
      </c>
      <c r="R561" s="545">
        <f>'Foglio deposito bis'!$F$49*IF(ABS(L561)&lt;'Sollecitazioni nel paramento'!$G$58,ABS(L561)*'Sollecitazioni nel paramento'!$G$54,'Sollecitazioni nel paramento'!$G$53)*IF(L561&lt;0,-1,1)</f>
        <v>204886.47740803001</v>
      </c>
      <c r="S561" s="545">
        <f>'Foglio deposito bis'!$F$50*IF(ABS(M561)&lt;'Sollecitazioni nel paramento'!$G$58,ABS(M561)*'Sollecitazioni nel paramento'!$G$54,'Sollecitazioni nel paramento'!$G$53)*IF(M561&lt;0,-1,1)</f>
        <v>0</v>
      </c>
      <c r="T561" s="545">
        <f>'Foglio deposito bis'!$F$51*IF(ABS(N561)&lt;'Sollecitazioni nel paramento'!$G$58,ABS(N561)*'Sollecitazioni nel paramento'!$G$54,'Sollecitazioni nel paramento'!$G$53)*IF(N561&lt;0,-1,1)</f>
        <v>240946.49743184328</v>
      </c>
      <c r="U561" s="545">
        <f>'Foglio deposito bis'!$F$52*IF(ABS(O561)&lt;'Sollecitazioni nel paramento'!$G$58,ABS(O561)*'Sollecitazioni nel paramento'!$G$54,'Sollecitazioni nel paramento'!$G$53)*IF(O561&lt;0,-1,1)</f>
        <v>240946.49743184328</v>
      </c>
      <c r="V561" s="472">
        <f t="shared" si="39"/>
        <v>126841.96012224059</v>
      </c>
      <c r="W561" s="551"/>
      <c r="X561" s="551"/>
    </row>
    <row r="562" spans="1:24" x14ac:dyDescent="0.25">
      <c r="A562" s="545">
        <f t="shared" si="40"/>
        <v>117509.66825308267</v>
      </c>
      <c r="B562" s="3">
        <f t="shared" si="41"/>
        <v>3.0499999999999972</v>
      </c>
      <c r="C562" s="545">
        <f>'Foglio deposito bis'!$E$155/sezione!$B$247*B562</f>
        <v>14.942641258330944</v>
      </c>
      <c r="D562" s="603">
        <f>-'Sollecitazioni nel paramento'!$G$47*'Sollecitazioni nel paramento'!$G$41*IF(DATI!$G$211="dx",DATI!$E$61,DATI!$E$64*DATI!$E$63)*1000*C562^2*sezione!$AD$5*(1-sezione!$AD$6)</f>
        <v>-4967734.365020073</v>
      </c>
      <c r="E562" s="545">
        <f>-'Foglio deposito bis'!$F$48*(C562-sezione!$AL$29)*IF(ABS(K562)&lt;'Sollecitazioni nel paramento'!$G$58,ABS(K562)*'Sollecitazioni nel paramento'!$G$54,'Sollecitazioni nel paramento'!$G$53)</f>
        <v>0</v>
      </c>
      <c r="F562" s="545">
        <f>-'Foglio deposito bis'!$F$49*(C562-sezione!$AM$29)*IF(ABS(L562)&lt;'Sollecitazioni nel paramento'!$G$58,ABS(L562)*'Sollecitazioni nel paramento'!$G$54,'Sollecitazioni nel paramento'!$G$53)</f>
        <v>9231643.5138904806</v>
      </c>
      <c r="G562" s="545">
        <f>-'Foglio deposito bis'!$F$50*(C562-sezione!$AN$29)*IF(ABS(M562)&lt;'Sollecitazioni nel paramento'!$G$58,ABS(M562)*'Sollecitazioni nel paramento'!$G$54,'Sollecitazioni nel paramento'!$G$53)</f>
        <v>0</v>
      </c>
      <c r="H562" s="545">
        <f>-'Foglio deposito bis'!$F$51*(C562-sezione!$AO$29)*IF(ABS(N562)&lt;'Sollecitazioni nel paramento'!$G$58,ABS(N562)*'Sollecitazioni nel paramento'!$G$54,'Sollecitazioni nel paramento'!$G$53)</f>
        <v>34951062.51551953</v>
      </c>
      <c r="I562" s="472">
        <f>-'Foglio deposito bis'!$F$52*(C562-sezione!$AP$29)*IF(ABS(O562)&lt;'Sollecitazioni nel paramento'!$G$58,ABS(O562)*'Sollecitazioni nel paramento'!$G$54,'Sollecitazioni nel paramento'!$G$53)</f>
        <v>73997128.844633356</v>
      </c>
      <c r="J562" s="472">
        <f t="shared" si="38"/>
        <v>113212100.50902329</v>
      </c>
      <c r="K562" s="550">
        <f>'Sollecitazioni nel paramento'!$G$60*(sezione!$AL$29-C562)/C562</f>
        <v>5.869160216032494E-3</v>
      </c>
      <c r="L562" s="550">
        <f>'Sollecitazioni nel paramento'!$G$60*(sezione!$AM$29-C562)/C562</f>
        <v>1.0553740324048742E-2</v>
      </c>
      <c r="M562" s="551">
        <f>'Sollecitazioni nel paramento'!$G$60*(sezione!$AN$29-C562)/C562</f>
        <v>1.5238320432064986E-2</v>
      </c>
      <c r="N562" s="551">
        <f>'Sollecitazioni nel paramento'!$G$60*(sezione!$AO$29-C562)/C562</f>
        <v>3.3976640864129978E-2</v>
      </c>
      <c r="O562" s="551">
        <f>'Sollecitazioni nel paramento'!$G$60*(sezione!$AP$29-C562)/C562</f>
        <v>7.193411847249212E-2</v>
      </c>
      <c r="P562" s="545">
        <f>-'Sollecitazioni nel paramento'!$G$47*'Sollecitazioni nel paramento'!$G$41*IF(DATI!$G$211="dx",DATI!$E$61,DATI!$E$64*DATI!$E$63)*1000*C562*sezione!$AD$5</f>
        <v>-569269.80401863391</v>
      </c>
      <c r="Q562" s="545">
        <f>'Foglio deposito bis'!$F$48*IF(ABS(K562)&lt;'Sollecitazioni nel paramento'!$G$58,ABS(K562)*'Sollecitazioni nel paramento'!$G$54,'Sollecitazioni nel paramento'!$G$53)*IF(K562&lt;0,-1,1)</f>
        <v>0</v>
      </c>
      <c r="R562" s="545">
        <f>'Foglio deposito bis'!$F$49*IF(ABS(L562)&lt;'Sollecitazioni nel paramento'!$G$58,ABS(L562)*'Sollecitazioni nel paramento'!$G$54,'Sollecitazioni nel paramento'!$G$53)*IF(L562&lt;0,-1,1)</f>
        <v>204886.47740803001</v>
      </c>
      <c r="S562" s="545">
        <f>'Foglio deposito bis'!$F$50*IF(ABS(M562)&lt;'Sollecitazioni nel paramento'!$G$58,ABS(M562)*'Sollecitazioni nel paramento'!$G$54,'Sollecitazioni nel paramento'!$G$53)*IF(M562&lt;0,-1,1)</f>
        <v>0</v>
      </c>
      <c r="T562" s="545">
        <f>'Foglio deposito bis'!$F$51*IF(ABS(N562)&lt;'Sollecitazioni nel paramento'!$G$58,ABS(N562)*'Sollecitazioni nel paramento'!$G$54,'Sollecitazioni nel paramento'!$G$53)*IF(N562&lt;0,-1,1)</f>
        <v>240946.49743184328</v>
      </c>
      <c r="U562" s="545">
        <f>'Foglio deposito bis'!$F$52*IF(ABS(O562)&lt;'Sollecitazioni nel paramento'!$G$58,ABS(O562)*'Sollecitazioni nel paramento'!$G$54,'Sollecitazioni nel paramento'!$G$53)*IF(O562&lt;0,-1,1)</f>
        <v>240946.49743184328</v>
      </c>
      <c r="V562" s="472">
        <f t="shared" si="39"/>
        <v>117509.66825308267</v>
      </c>
      <c r="W562" s="551"/>
      <c r="X562" s="551"/>
    </row>
    <row r="563" spans="1:24" x14ac:dyDescent="0.25">
      <c r="A563" s="545">
        <f t="shared" si="40"/>
        <v>108177.37638392486</v>
      </c>
      <c r="B563" s="3">
        <f t="shared" si="41"/>
        <v>3.099999999999997</v>
      </c>
      <c r="C563" s="545">
        <f>'Foglio deposito bis'!$E$155/sezione!$B$247*B563</f>
        <v>15.187602590434729</v>
      </c>
      <c r="D563" s="603">
        <f>-'Sollecitazioni nel paramento'!$G$47*'Sollecitazioni nel paramento'!$G$41*IF(DATI!$G$211="dx",DATI!$E$61,DATI!$E$64*DATI!$E$63)*1000*C563^2*sezione!$AD$5*(1-sezione!$AD$6)</f>
        <v>-5131945.955156452</v>
      </c>
      <c r="E563" s="545">
        <f>-'Foglio deposito bis'!$F$48*(C563-sezione!$AL$29)*IF(ABS(K563)&lt;'Sollecitazioni nel paramento'!$G$58,ABS(K563)*'Sollecitazioni nel paramento'!$G$54,'Sollecitazioni nel paramento'!$G$53)</f>
        <v>0</v>
      </c>
      <c r="F563" s="545">
        <f>-'Foglio deposito bis'!$F$49*(C563-sezione!$AM$29)*IF(ABS(L563)&lt;'Sollecitazioni nel paramento'!$G$58,ABS(L563)*'Sollecitazioni nel paramento'!$G$54,'Sollecitazioni nel paramento'!$G$53)</f>
        <v>9181454.2494545579</v>
      </c>
      <c r="G563" s="545">
        <f>-'Foglio deposito bis'!$F$50*(C563-sezione!$AN$29)*IF(ABS(M563)&lt;'Sollecitazioni nel paramento'!$G$58,ABS(M563)*'Sollecitazioni nel paramento'!$G$54,'Sollecitazioni nel paramento'!$G$53)</f>
        <v>0</v>
      </c>
      <c r="H563" s="545">
        <f>-'Foglio deposito bis'!$F$51*(C563-sezione!$AO$29)*IF(ABS(N563)&lt;'Sollecitazioni nel paramento'!$G$58,ABS(N563)*'Sollecitazioni nel paramento'!$G$54,'Sollecitazioni nel paramento'!$G$53)</f>
        <v>34892039.940542884</v>
      </c>
      <c r="I563" s="472">
        <f>-'Foglio deposito bis'!$F$52*(C563-sezione!$AP$29)*IF(ABS(O563)&lt;'Sollecitazioni nel paramento'!$G$58,ABS(O563)*'Sollecitazioni nel paramento'!$G$54,'Sollecitazioni nel paramento'!$G$53)</f>
        <v>73938106.269656703</v>
      </c>
      <c r="J563" s="472">
        <f t="shared" si="38"/>
        <v>112879654.50449769</v>
      </c>
      <c r="K563" s="550">
        <f>'Sollecitazioni nel paramento'!$G$60*(sezione!$AL$29-C563)/C563</f>
        <v>5.7180447286771319E-3</v>
      </c>
      <c r="L563" s="550">
        <f>'Sollecitazioni nel paramento'!$G$60*(sezione!$AM$29-C563)/C563</f>
        <v>1.0327067093015698E-2</v>
      </c>
      <c r="M563" s="551">
        <f>'Sollecitazioni nel paramento'!$G$60*(sezione!$AN$29-C563)/C563</f>
        <v>1.4936089457354265E-2</v>
      </c>
      <c r="N563" s="551">
        <f>'Sollecitazioni nel paramento'!$G$60*(sezione!$AO$29-C563)/C563</f>
        <v>3.3372178914708533E-2</v>
      </c>
      <c r="O563" s="551">
        <f>'Sollecitazioni nel paramento'!$G$60*(sezione!$AP$29-C563)/C563</f>
        <v>7.0717439142290631E-2</v>
      </c>
      <c r="P563" s="545">
        <f>-'Sollecitazioni nel paramento'!$G$47*'Sollecitazioni nel paramento'!$G$41*IF(DATI!$G$211="dx",DATI!$E$61,DATI!$E$64*DATI!$E$63)*1000*C563*sezione!$AD$5</f>
        <v>-578602.09588779171</v>
      </c>
      <c r="Q563" s="545">
        <f>'Foglio deposito bis'!$F$48*IF(ABS(K563)&lt;'Sollecitazioni nel paramento'!$G$58,ABS(K563)*'Sollecitazioni nel paramento'!$G$54,'Sollecitazioni nel paramento'!$G$53)*IF(K563&lt;0,-1,1)</f>
        <v>0</v>
      </c>
      <c r="R563" s="545">
        <f>'Foglio deposito bis'!$F$49*IF(ABS(L563)&lt;'Sollecitazioni nel paramento'!$G$58,ABS(L563)*'Sollecitazioni nel paramento'!$G$54,'Sollecitazioni nel paramento'!$G$53)*IF(L563&lt;0,-1,1)</f>
        <v>204886.47740803001</v>
      </c>
      <c r="S563" s="545">
        <f>'Foglio deposito bis'!$F$50*IF(ABS(M563)&lt;'Sollecitazioni nel paramento'!$G$58,ABS(M563)*'Sollecitazioni nel paramento'!$G$54,'Sollecitazioni nel paramento'!$G$53)*IF(M563&lt;0,-1,1)</f>
        <v>0</v>
      </c>
      <c r="T563" s="545">
        <f>'Foglio deposito bis'!$F$51*IF(ABS(N563)&lt;'Sollecitazioni nel paramento'!$G$58,ABS(N563)*'Sollecitazioni nel paramento'!$G$54,'Sollecitazioni nel paramento'!$G$53)*IF(N563&lt;0,-1,1)</f>
        <v>240946.49743184328</v>
      </c>
      <c r="U563" s="545">
        <f>'Foglio deposito bis'!$F$52*IF(ABS(O563)&lt;'Sollecitazioni nel paramento'!$G$58,ABS(O563)*'Sollecitazioni nel paramento'!$G$54,'Sollecitazioni nel paramento'!$G$53)*IF(O563&lt;0,-1,1)</f>
        <v>240946.49743184328</v>
      </c>
      <c r="V563" s="472">
        <f t="shared" si="39"/>
        <v>108177.37638392486</v>
      </c>
      <c r="W563" s="551"/>
      <c r="X563" s="551"/>
    </row>
    <row r="564" spans="1:24" x14ac:dyDescent="0.25">
      <c r="A564" s="545">
        <f t="shared" si="40"/>
        <v>98845.084514766932</v>
      </c>
      <c r="B564" s="3">
        <f t="shared" si="41"/>
        <v>3.1499999999999968</v>
      </c>
      <c r="C564" s="545">
        <f>'Foglio deposito bis'!$E$155/sezione!$B$247*B564</f>
        <v>15.432563922538515</v>
      </c>
      <c r="D564" s="603">
        <f>-'Sollecitazioni nel paramento'!$G$47*'Sollecitazioni nel paramento'!$G$41*IF(DATI!$G$211="dx",DATI!$E$61,DATI!$E$64*DATI!$E$63)*1000*C564^2*sezione!$AD$5*(1-sezione!$AD$6)</f>
        <v>-5298827.6524495203</v>
      </c>
      <c r="E564" s="545">
        <f>-'Foglio deposito bis'!$F$48*(C564-sezione!$AL$29)*IF(ABS(K564)&lt;'Sollecitazioni nel paramento'!$G$58,ABS(K564)*'Sollecitazioni nel paramento'!$G$54,'Sollecitazioni nel paramento'!$G$53)</f>
        <v>0</v>
      </c>
      <c r="F564" s="545">
        <f>-'Foglio deposito bis'!$F$49*(C564-sezione!$AM$29)*IF(ABS(L564)&lt;'Sollecitazioni nel paramento'!$G$58,ABS(L564)*'Sollecitazioni nel paramento'!$G$54,'Sollecitazioni nel paramento'!$G$53)</f>
        <v>9131264.9850186352</v>
      </c>
      <c r="G564" s="545">
        <f>-'Foglio deposito bis'!$F$50*(C564-sezione!$AN$29)*IF(ABS(M564)&lt;'Sollecitazioni nel paramento'!$G$58,ABS(M564)*'Sollecitazioni nel paramento'!$G$54,'Sollecitazioni nel paramento'!$G$53)</f>
        <v>0</v>
      </c>
      <c r="H564" s="545">
        <f>-'Foglio deposito bis'!$F$51*(C564-sezione!$AO$29)*IF(ABS(N564)&lt;'Sollecitazioni nel paramento'!$G$58,ABS(N564)*'Sollecitazioni nel paramento'!$G$54,'Sollecitazioni nel paramento'!$G$53)</f>
        <v>34833017.365566239</v>
      </c>
      <c r="I564" s="472">
        <f>-'Foglio deposito bis'!$F$52*(C564-sezione!$AP$29)*IF(ABS(O564)&lt;'Sollecitazioni nel paramento'!$G$58,ABS(O564)*'Sollecitazioni nel paramento'!$G$54,'Sollecitazioni nel paramento'!$G$53)</f>
        <v>73879083.69468005</v>
      </c>
      <c r="J564" s="472">
        <f t="shared" si="38"/>
        <v>112544538.39281541</v>
      </c>
      <c r="K564" s="550">
        <f>'Sollecitazioni nel paramento'!$G$60*(sezione!$AL$29-C564)/C564</f>
        <v>5.5717265583806698E-3</v>
      </c>
      <c r="L564" s="550">
        <f>'Sollecitazioni nel paramento'!$G$60*(sezione!$AM$29-C564)/C564</f>
        <v>1.0107589837571004E-2</v>
      </c>
      <c r="M564" s="551">
        <f>'Sollecitazioni nel paramento'!$G$60*(sezione!$AN$29-C564)/C564</f>
        <v>1.4643453116761337E-2</v>
      </c>
      <c r="N564" s="551">
        <f>'Sollecitazioni nel paramento'!$G$60*(sezione!$AO$29-C564)/C564</f>
        <v>3.2786906233522678E-2</v>
      </c>
      <c r="O564" s="551">
        <f>'Sollecitazioni nel paramento'!$G$60*(sezione!$AP$29-C564)/C564</f>
        <v>6.9539384552730468E-2</v>
      </c>
      <c r="P564" s="545">
        <f>-'Sollecitazioni nel paramento'!$G$47*'Sollecitazioni nel paramento'!$G$41*IF(DATI!$G$211="dx",DATI!$E$61,DATI!$E$64*DATI!$E$63)*1000*C564*sezione!$AD$5</f>
        <v>-587934.38775694964</v>
      </c>
      <c r="Q564" s="545">
        <f>'Foglio deposito bis'!$F$48*IF(ABS(K564)&lt;'Sollecitazioni nel paramento'!$G$58,ABS(K564)*'Sollecitazioni nel paramento'!$G$54,'Sollecitazioni nel paramento'!$G$53)*IF(K564&lt;0,-1,1)</f>
        <v>0</v>
      </c>
      <c r="R564" s="545">
        <f>'Foglio deposito bis'!$F$49*IF(ABS(L564)&lt;'Sollecitazioni nel paramento'!$G$58,ABS(L564)*'Sollecitazioni nel paramento'!$G$54,'Sollecitazioni nel paramento'!$G$53)*IF(L564&lt;0,-1,1)</f>
        <v>204886.47740803001</v>
      </c>
      <c r="S564" s="545">
        <f>'Foglio deposito bis'!$F$50*IF(ABS(M564)&lt;'Sollecitazioni nel paramento'!$G$58,ABS(M564)*'Sollecitazioni nel paramento'!$G$54,'Sollecitazioni nel paramento'!$G$53)*IF(M564&lt;0,-1,1)</f>
        <v>0</v>
      </c>
      <c r="T564" s="545">
        <f>'Foglio deposito bis'!$F$51*IF(ABS(N564)&lt;'Sollecitazioni nel paramento'!$G$58,ABS(N564)*'Sollecitazioni nel paramento'!$G$54,'Sollecitazioni nel paramento'!$G$53)*IF(N564&lt;0,-1,1)</f>
        <v>240946.49743184328</v>
      </c>
      <c r="U564" s="545">
        <f>'Foglio deposito bis'!$F$52*IF(ABS(O564)&lt;'Sollecitazioni nel paramento'!$G$58,ABS(O564)*'Sollecitazioni nel paramento'!$G$54,'Sollecitazioni nel paramento'!$G$53)*IF(O564&lt;0,-1,1)</f>
        <v>240946.49743184328</v>
      </c>
      <c r="V564" s="472">
        <f t="shared" si="39"/>
        <v>98845.084514766932</v>
      </c>
      <c r="W564" s="551"/>
      <c r="X564" s="551"/>
    </row>
    <row r="565" spans="1:24" x14ac:dyDescent="0.25">
      <c r="A565" s="545">
        <f t="shared" si="40"/>
        <v>89512.792645609006</v>
      </c>
      <c r="B565" s="3">
        <f t="shared" si="41"/>
        <v>3.1999999999999966</v>
      </c>
      <c r="C565" s="545">
        <f>'Foglio deposito bis'!$E$155/sezione!$B$247*B565</f>
        <v>15.677525254642299</v>
      </c>
      <c r="D565" s="603">
        <f>-'Sollecitazioni nel paramento'!$G$47*'Sollecitazioni nel paramento'!$G$41*IF(DATI!$G$211="dx",DATI!$E$61,DATI!$E$64*DATI!$E$63)*1000*C565^2*sezione!$AD$5*(1-sezione!$AD$6)</f>
        <v>-5468379.4568992779</v>
      </c>
      <c r="E565" s="545">
        <f>-'Foglio deposito bis'!$F$48*(C565-sezione!$AL$29)*IF(ABS(K565)&lt;'Sollecitazioni nel paramento'!$G$58,ABS(K565)*'Sollecitazioni nel paramento'!$G$54,'Sollecitazioni nel paramento'!$G$53)</f>
        <v>0</v>
      </c>
      <c r="F565" s="545">
        <f>-'Foglio deposito bis'!$F$49*(C565-sezione!$AM$29)*IF(ABS(L565)&lt;'Sollecitazioni nel paramento'!$G$58,ABS(L565)*'Sollecitazioni nel paramento'!$G$54,'Sollecitazioni nel paramento'!$G$53)</f>
        <v>9081075.7205827106</v>
      </c>
      <c r="G565" s="545">
        <f>-'Foglio deposito bis'!$F$50*(C565-sezione!$AN$29)*IF(ABS(M565)&lt;'Sollecitazioni nel paramento'!$G$58,ABS(M565)*'Sollecitazioni nel paramento'!$G$54,'Sollecitazioni nel paramento'!$G$53)</f>
        <v>0</v>
      </c>
      <c r="H565" s="545">
        <f>-'Foglio deposito bis'!$F$51*(C565-sezione!$AO$29)*IF(ABS(N565)&lt;'Sollecitazioni nel paramento'!$G$58,ABS(N565)*'Sollecitazioni nel paramento'!$G$54,'Sollecitazioni nel paramento'!$G$53)</f>
        <v>34773994.790589601</v>
      </c>
      <c r="I565" s="472">
        <f>-'Foglio deposito bis'!$F$52*(C565-sezione!$AP$29)*IF(ABS(O565)&lt;'Sollecitazioni nel paramento'!$G$58,ABS(O565)*'Sollecitazioni nel paramento'!$G$54,'Sollecitazioni nel paramento'!$G$53)</f>
        <v>73820061.119703397</v>
      </c>
      <c r="J565" s="472">
        <f t="shared" ref="J565:J628" si="42">D565+E565+F565+G565+H565+I565</f>
        <v>112206752.17397642</v>
      </c>
      <c r="K565" s="550">
        <f>'Sollecitazioni nel paramento'!$G$60*(sezione!$AL$29-C565)/C565</f>
        <v>5.4299808309059725E-3</v>
      </c>
      <c r="L565" s="550">
        <f>'Sollecitazioni nel paramento'!$G$60*(sezione!$AM$29-C565)/C565</f>
        <v>9.8949712463589582E-3</v>
      </c>
      <c r="M565" s="551">
        <f>'Sollecitazioni nel paramento'!$G$60*(sezione!$AN$29-C565)/C565</f>
        <v>1.4359961661811943E-2</v>
      </c>
      <c r="N565" s="551">
        <f>'Sollecitazioni nel paramento'!$G$60*(sezione!$AO$29-C565)/C565</f>
        <v>3.2219923323623889E-2</v>
      </c>
      <c r="O565" s="551">
        <f>'Sollecitazioni nel paramento'!$G$60*(sezione!$AP$29-C565)/C565</f>
        <v>6.8398144169094052E-2</v>
      </c>
      <c r="P565" s="545">
        <f>-'Sollecitazioni nel paramento'!$G$47*'Sollecitazioni nel paramento'!$G$41*IF(DATI!$G$211="dx",DATI!$E$61,DATI!$E$64*DATI!$E$63)*1000*C565*sezione!$AD$5</f>
        <v>-597266.67962610757</v>
      </c>
      <c r="Q565" s="545">
        <f>'Foglio deposito bis'!$F$48*IF(ABS(K565)&lt;'Sollecitazioni nel paramento'!$G$58,ABS(K565)*'Sollecitazioni nel paramento'!$G$54,'Sollecitazioni nel paramento'!$G$53)*IF(K565&lt;0,-1,1)</f>
        <v>0</v>
      </c>
      <c r="R565" s="545">
        <f>'Foglio deposito bis'!$F$49*IF(ABS(L565)&lt;'Sollecitazioni nel paramento'!$G$58,ABS(L565)*'Sollecitazioni nel paramento'!$G$54,'Sollecitazioni nel paramento'!$G$53)*IF(L565&lt;0,-1,1)</f>
        <v>204886.47740803001</v>
      </c>
      <c r="S565" s="545">
        <f>'Foglio deposito bis'!$F$50*IF(ABS(M565)&lt;'Sollecitazioni nel paramento'!$G$58,ABS(M565)*'Sollecitazioni nel paramento'!$G$54,'Sollecitazioni nel paramento'!$G$53)*IF(M565&lt;0,-1,1)</f>
        <v>0</v>
      </c>
      <c r="T565" s="545">
        <f>'Foglio deposito bis'!$F$51*IF(ABS(N565)&lt;'Sollecitazioni nel paramento'!$G$58,ABS(N565)*'Sollecitazioni nel paramento'!$G$54,'Sollecitazioni nel paramento'!$G$53)*IF(N565&lt;0,-1,1)</f>
        <v>240946.49743184328</v>
      </c>
      <c r="U565" s="545">
        <f>'Foglio deposito bis'!$F$52*IF(ABS(O565)&lt;'Sollecitazioni nel paramento'!$G$58,ABS(O565)*'Sollecitazioni nel paramento'!$G$54,'Sollecitazioni nel paramento'!$G$53)*IF(O565&lt;0,-1,1)</f>
        <v>240946.49743184328</v>
      </c>
      <c r="V565" s="472">
        <f t="shared" ref="V565:V628" si="43">P565+Q565+R565+S565+T565+U565</f>
        <v>89512.792645609006</v>
      </c>
      <c r="W565" s="551"/>
      <c r="X565" s="551"/>
    </row>
    <row r="566" spans="1:24" x14ac:dyDescent="0.25">
      <c r="A566" s="545">
        <f t="shared" ref="A566:A629" si="44">ABS(V566)</f>
        <v>80180.500776451081</v>
      </c>
      <c r="B566" s="3">
        <f t="shared" si="41"/>
        <v>3.2499999999999964</v>
      </c>
      <c r="C566" s="545">
        <f>'Foglio deposito bis'!$E$155/sezione!$B$247*B566</f>
        <v>15.922486586746086</v>
      </c>
      <c r="D566" s="603">
        <f>-'Sollecitazioni nel paramento'!$G$47*'Sollecitazioni nel paramento'!$G$41*IF(DATI!$G$211="dx",DATI!$E$61,DATI!$E$64*DATI!$E$63)*1000*C566^2*sezione!$AD$5*(1-sezione!$AD$6)</f>
        <v>-5640601.3685057247</v>
      </c>
      <c r="E566" s="545">
        <f>-'Foglio deposito bis'!$F$48*(C566-sezione!$AL$29)*IF(ABS(K566)&lt;'Sollecitazioni nel paramento'!$G$58,ABS(K566)*'Sollecitazioni nel paramento'!$G$54,'Sollecitazioni nel paramento'!$G$53)</f>
        <v>0</v>
      </c>
      <c r="F566" s="545">
        <f>-'Foglio deposito bis'!$F$49*(C566-sezione!$AM$29)*IF(ABS(L566)&lt;'Sollecitazioni nel paramento'!$G$58,ABS(L566)*'Sollecitazioni nel paramento'!$G$54,'Sollecitazioni nel paramento'!$G$53)</f>
        <v>9030886.4561467879</v>
      </c>
      <c r="G566" s="545">
        <f>-'Foglio deposito bis'!$F$50*(C566-sezione!$AN$29)*IF(ABS(M566)&lt;'Sollecitazioni nel paramento'!$G$58,ABS(M566)*'Sollecitazioni nel paramento'!$G$54,'Sollecitazioni nel paramento'!$G$53)</f>
        <v>0</v>
      </c>
      <c r="H566" s="545">
        <f>-'Foglio deposito bis'!$F$51*(C566-sezione!$AO$29)*IF(ABS(N566)&lt;'Sollecitazioni nel paramento'!$G$58,ABS(N566)*'Sollecitazioni nel paramento'!$G$54,'Sollecitazioni nel paramento'!$G$53)</f>
        <v>34714972.215612948</v>
      </c>
      <c r="I566" s="472">
        <f>-'Foglio deposito bis'!$F$52*(C566-sezione!$AP$29)*IF(ABS(O566)&lt;'Sollecitazioni nel paramento'!$G$58,ABS(O566)*'Sollecitazioni nel paramento'!$G$54,'Sollecitazioni nel paramento'!$G$53)</f>
        <v>73761038.544726774</v>
      </c>
      <c r="J566" s="472">
        <f t="shared" si="42"/>
        <v>111866295.84798078</v>
      </c>
      <c r="K566" s="550">
        <f>'Sollecitazioni nel paramento'!$G$60*(sezione!$AL$29-C566)/C566</f>
        <v>5.2925965104304949E-3</v>
      </c>
      <c r="L566" s="550">
        <f>'Sollecitazioni nel paramento'!$G$60*(sezione!$AM$29-C566)/C566</f>
        <v>9.688894765645743E-3</v>
      </c>
      <c r="M566" s="551">
        <f>'Sollecitazioni nel paramento'!$G$60*(sezione!$AN$29-C566)/C566</f>
        <v>1.4085193020860991E-2</v>
      </c>
      <c r="N566" s="551">
        <f>'Sollecitazioni nel paramento'!$G$60*(sezione!$AO$29-C566)/C566</f>
        <v>3.1670386041721982E-2</v>
      </c>
      <c r="O566" s="551">
        <f>'Sollecitazioni nel paramento'!$G$60*(sezione!$AP$29-C566)/C566</f>
        <v>6.7292018874184928E-2</v>
      </c>
      <c r="P566" s="545">
        <f>-'Sollecitazioni nel paramento'!$G$47*'Sollecitazioni nel paramento'!$G$41*IF(DATI!$G$211="dx",DATI!$E$61,DATI!$E$64*DATI!$E$63)*1000*C566*sezione!$AD$5</f>
        <v>-606598.97149526549</v>
      </c>
      <c r="Q566" s="545">
        <f>'Foglio deposito bis'!$F$48*IF(ABS(K566)&lt;'Sollecitazioni nel paramento'!$G$58,ABS(K566)*'Sollecitazioni nel paramento'!$G$54,'Sollecitazioni nel paramento'!$G$53)*IF(K566&lt;0,-1,1)</f>
        <v>0</v>
      </c>
      <c r="R566" s="545">
        <f>'Foglio deposito bis'!$F$49*IF(ABS(L566)&lt;'Sollecitazioni nel paramento'!$G$58,ABS(L566)*'Sollecitazioni nel paramento'!$G$54,'Sollecitazioni nel paramento'!$G$53)*IF(L566&lt;0,-1,1)</f>
        <v>204886.47740803001</v>
      </c>
      <c r="S566" s="545">
        <f>'Foglio deposito bis'!$F$50*IF(ABS(M566)&lt;'Sollecitazioni nel paramento'!$G$58,ABS(M566)*'Sollecitazioni nel paramento'!$G$54,'Sollecitazioni nel paramento'!$G$53)*IF(M566&lt;0,-1,1)</f>
        <v>0</v>
      </c>
      <c r="T566" s="545">
        <f>'Foglio deposito bis'!$F$51*IF(ABS(N566)&lt;'Sollecitazioni nel paramento'!$G$58,ABS(N566)*'Sollecitazioni nel paramento'!$G$54,'Sollecitazioni nel paramento'!$G$53)*IF(N566&lt;0,-1,1)</f>
        <v>240946.49743184328</v>
      </c>
      <c r="U566" s="545">
        <f>'Foglio deposito bis'!$F$52*IF(ABS(O566)&lt;'Sollecitazioni nel paramento'!$G$58,ABS(O566)*'Sollecitazioni nel paramento'!$G$54,'Sollecitazioni nel paramento'!$G$53)*IF(O566&lt;0,-1,1)</f>
        <v>240946.49743184328</v>
      </c>
      <c r="V566" s="472">
        <f t="shared" si="43"/>
        <v>80180.500776451081</v>
      </c>
      <c r="W566" s="551"/>
      <c r="X566" s="551"/>
    </row>
    <row r="567" spans="1:24" x14ac:dyDescent="0.25">
      <c r="A567" s="545">
        <f t="shared" si="44"/>
        <v>70848.208907293156</v>
      </c>
      <c r="B567" s="3">
        <f t="shared" ref="B567:B603" si="45">B566+0.05</f>
        <v>3.2999999999999963</v>
      </c>
      <c r="C567" s="545">
        <f>'Foglio deposito bis'!$E$155/sezione!$B$247*B567</f>
        <v>16.16744791884987</v>
      </c>
      <c r="D567" s="603">
        <f>-'Sollecitazioni nel paramento'!$G$47*'Sollecitazioni nel paramento'!$G$41*IF(DATI!$G$211="dx",DATI!$E$61,DATI!$E$64*DATI!$E$63)*1000*C567^2*sezione!$AD$5*(1-sezione!$AD$6)</f>
        <v>-5815493.3872688608</v>
      </c>
      <c r="E567" s="545">
        <f>-'Foglio deposito bis'!$F$48*(C567-sezione!$AL$29)*IF(ABS(K567)&lt;'Sollecitazioni nel paramento'!$G$58,ABS(K567)*'Sollecitazioni nel paramento'!$G$54,'Sollecitazioni nel paramento'!$G$53)</f>
        <v>0</v>
      </c>
      <c r="F567" s="545">
        <f>-'Foglio deposito bis'!$F$49*(C567-sezione!$AM$29)*IF(ABS(L567)&lt;'Sollecitazioni nel paramento'!$G$58,ABS(L567)*'Sollecitazioni nel paramento'!$G$54,'Sollecitazioni nel paramento'!$G$53)</f>
        <v>8980697.1917108651</v>
      </c>
      <c r="G567" s="545">
        <f>-'Foglio deposito bis'!$F$50*(C567-sezione!$AN$29)*IF(ABS(M567)&lt;'Sollecitazioni nel paramento'!$G$58,ABS(M567)*'Sollecitazioni nel paramento'!$G$54,'Sollecitazioni nel paramento'!$G$53)</f>
        <v>0</v>
      </c>
      <c r="H567" s="545">
        <f>-'Foglio deposito bis'!$F$51*(C567-sezione!$AO$29)*IF(ABS(N567)&lt;'Sollecitazioni nel paramento'!$G$58,ABS(N567)*'Sollecitazioni nel paramento'!$G$54,'Sollecitazioni nel paramento'!$G$53)</f>
        <v>34655949.64063631</v>
      </c>
      <c r="I567" s="472">
        <f>-'Foglio deposito bis'!$F$52*(C567-sezione!$AP$29)*IF(ABS(O567)&lt;'Sollecitazioni nel paramento'!$G$58,ABS(O567)*'Sollecitazioni nel paramento'!$G$54,'Sollecitazioni nel paramento'!$G$53)</f>
        <v>73702015.969750121</v>
      </c>
      <c r="J567" s="472">
        <f t="shared" si="42"/>
        <v>111523169.41482843</v>
      </c>
      <c r="K567" s="550">
        <f>'Sollecitazioni nel paramento'!$G$60*(sezione!$AL$29-C567)/C567</f>
        <v>5.159375351181549E-3</v>
      </c>
      <c r="L567" s="550">
        <f>'Sollecitazioni nel paramento'!$G$60*(sezione!$AM$29-C567)/C567</f>
        <v>9.4890630267723229E-3</v>
      </c>
      <c r="M567" s="551">
        <f>'Sollecitazioni nel paramento'!$G$60*(sezione!$AN$29-C567)/C567</f>
        <v>1.3818750702363098E-2</v>
      </c>
      <c r="N567" s="551">
        <f>'Sollecitazioni nel paramento'!$G$60*(sezione!$AO$29-C567)/C567</f>
        <v>3.1137501404726202E-2</v>
      </c>
      <c r="O567" s="551">
        <f>'Sollecitazioni nel paramento'!$G$60*(sezione!$AP$29-C567)/C567</f>
        <v>6.6219412527606367E-2</v>
      </c>
      <c r="P567" s="545">
        <f>-'Sollecitazioni nel paramento'!$G$47*'Sollecitazioni nel paramento'!$G$41*IF(DATI!$G$211="dx",DATI!$E$61,DATI!$E$64*DATI!$E$63)*1000*C567*sezione!$AD$5</f>
        <v>-615931.26336442342</v>
      </c>
      <c r="Q567" s="545">
        <f>'Foglio deposito bis'!$F$48*IF(ABS(K567)&lt;'Sollecitazioni nel paramento'!$G$58,ABS(K567)*'Sollecitazioni nel paramento'!$G$54,'Sollecitazioni nel paramento'!$G$53)*IF(K567&lt;0,-1,1)</f>
        <v>0</v>
      </c>
      <c r="R567" s="545">
        <f>'Foglio deposito bis'!$F$49*IF(ABS(L567)&lt;'Sollecitazioni nel paramento'!$G$58,ABS(L567)*'Sollecitazioni nel paramento'!$G$54,'Sollecitazioni nel paramento'!$G$53)*IF(L567&lt;0,-1,1)</f>
        <v>204886.47740803001</v>
      </c>
      <c r="S567" s="545">
        <f>'Foglio deposito bis'!$F$50*IF(ABS(M567)&lt;'Sollecitazioni nel paramento'!$G$58,ABS(M567)*'Sollecitazioni nel paramento'!$G$54,'Sollecitazioni nel paramento'!$G$53)*IF(M567&lt;0,-1,1)</f>
        <v>0</v>
      </c>
      <c r="T567" s="545">
        <f>'Foglio deposito bis'!$F$51*IF(ABS(N567)&lt;'Sollecitazioni nel paramento'!$G$58,ABS(N567)*'Sollecitazioni nel paramento'!$G$54,'Sollecitazioni nel paramento'!$G$53)*IF(N567&lt;0,-1,1)</f>
        <v>240946.49743184328</v>
      </c>
      <c r="U567" s="545">
        <f>'Foglio deposito bis'!$F$52*IF(ABS(O567)&lt;'Sollecitazioni nel paramento'!$G$58,ABS(O567)*'Sollecitazioni nel paramento'!$G$54,'Sollecitazioni nel paramento'!$G$53)*IF(O567&lt;0,-1,1)</f>
        <v>240946.49743184328</v>
      </c>
      <c r="V567" s="472">
        <f t="shared" si="43"/>
        <v>70848.208907293156</v>
      </c>
      <c r="W567" s="551"/>
      <c r="X567" s="551"/>
    </row>
    <row r="568" spans="1:24" x14ac:dyDescent="0.25">
      <c r="A568" s="545">
        <f t="shared" si="44"/>
        <v>61515.917038135347</v>
      </c>
      <c r="B568" s="3">
        <f t="shared" si="45"/>
        <v>3.3499999999999961</v>
      </c>
      <c r="C568" s="545">
        <f>'Foglio deposito bis'!$E$155/sezione!$B$247*B568</f>
        <v>16.412409250953655</v>
      </c>
      <c r="D568" s="603">
        <f>-'Sollecitazioni nel paramento'!$G$47*'Sollecitazioni nel paramento'!$G$41*IF(DATI!$G$211="dx",DATI!$E$61,DATI!$E$64*DATI!$E$63)*1000*C568^2*sezione!$AD$5*(1-sezione!$AD$6)</f>
        <v>-5993055.5131886844</v>
      </c>
      <c r="E568" s="545">
        <f>-'Foglio deposito bis'!$F$48*(C568-sezione!$AL$29)*IF(ABS(K568)&lt;'Sollecitazioni nel paramento'!$G$58,ABS(K568)*'Sollecitazioni nel paramento'!$G$54,'Sollecitazioni nel paramento'!$G$53)</f>
        <v>0</v>
      </c>
      <c r="F568" s="545">
        <f>-'Foglio deposito bis'!$F$49*(C568-sezione!$AM$29)*IF(ABS(L568)&lt;'Sollecitazioni nel paramento'!$G$58,ABS(L568)*'Sollecitazioni nel paramento'!$G$54,'Sollecitazioni nel paramento'!$G$53)</f>
        <v>8930507.9272749424</v>
      </c>
      <c r="G568" s="545">
        <f>-'Foglio deposito bis'!$F$50*(C568-sezione!$AN$29)*IF(ABS(M568)&lt;'Sollecitazioni nel paramento'!$G$58,ABS(M568)*'Sollecitazioni nel paramento'!$G$54,'Sollecitazioni nel paramento'!$G$53)</f>
        <v>0</v>
      </c>
      <c r="H568" s="545">
        <f>-'Foglio deposito bis'!$F$51*(C568-sezione!$AO$29)*IF(ABS(N568)&lt;'Sollecitazioni nel paramento'!$G$58,ABS(N568)*'Sollecitazioni nel paramento'!$G$54,'Sollecitazioni nel paramento'!$G$53)</f>
        <v>34596927.065659657</v>
      </c>
      <c r="I568" s="472">
        <f>-'Foglio deposito bis'!$F$52*(C568-sezione!$AP$29)*IF(ABS(O568)&lt;'Sollecitazioni nel paramento'!$G$58,ABS(O568)*'Sollecitazioni nel paramento'!$G$54,'Sollecitazioni nel paramento'!$G$53)</f>
        <v>73642993.394773468</v>
      </c>
      <c r="J568" s="472">
        <f t="shared" si="42"/>
        <v>111177372.87451938</v>
      </c>
      <c r="K568" s="550">
        <f>'Sollecitazioni nel paramento'!$G$60*(sezione!$AL$29-C568)/C568</f>
        <v>5.0301309429549596E-3</v>
      </c>
      <c r="L568" s="550">
        <f>'Sollecitazioni nel paramento'!$G$60*(sezione!$AM$29-C568)/C568</f>
        <v>9.2951964144324384E-3</v>
      </c>
      <c r="M568" s="551">
        <f>'Sollecitazioni nel paramento'!$G$60*(sezione!$AN$29-C568)/C568</f>
        <v>1.3560261885909919E-2</v>
      </c>
      <c r="N568" s="551">
        <f>'Sollecitazioni nel paramento'!$G$60*(sezione!$AO$29-C568)/C568</f>
        <v>3.0620523771819841E-2</v>
      </c>
      <c r="O568" s="551">
        <f>'Sollecitazioni nel paramento'!$G$60*(sezione!$AP$29-C568)/C568</f>
        <v>6.5178824280925682E-2</v>
      </c>
      <c r="P568" s="545">
        <f>-'Sollecitazioni nel paramento'!$G$47*'Sollecitazioni nel paramento'!$G$41*IF(DATI!$G$211="dx",DATI!$E$61,DATI!$E$64*DATI!$E$63)*1000*C568*sezione!$AD$5</f>
        <v>-625263.55523358122</v>
      </c>
      <c r="Q568" s="545">
        <f>'Foglio deposito bis'!$F$48*IF(ABS(K568)&lt;'Sollecitazioni nel paramento'!$G$58,ABS(K568)*'Sollecitazioni nel paramento'!$G$54,'Sollecitazioni nel paramento'!$G$53)*IF(K568&lt;0,-1,1)</f>
        <v>0</v>
      </c>
      <c r="R568" s="545">
        <f>'Foglio deposito bis'!$F$49*IF(ABS(L568)&lt;'Sollecitazioni nel paramento'!$G$58,ABS(L568)*'Sollecitazioni nel paramento'!$G$54,'Sollecitazioni nel paramento'!$G$53)*IF(L568&lt;0,-1,1)</f>
        <v>204886.47740803001</v>
      </c>
      <c r="S568" s="545">
        <f>'Foglio deposito bis'!$F$50*IF(ABS(M568)&lt;'Sollecitazioni nel paramento'!$G$58,ABS(M568)*'Sollecitazioni nel paramento'!$G$54,'Sollecitazioni nel paramento'!$G$53)*IF(M568&lt;0,-1,1)</f>
        <v>0</v>
      </c>
      <c r="T568" s="545">
        <f>'Foglio deposito bis'!$F$51*IF(ABS(N568)&lt;'Sollecitazioni nel paramento'!$G$58,ABS(N568)*'Sollecitazioni nel paramento'!$G$54,'Sollecitazioni nel paramento'!$G$53)*IF(N568&lt;0,-1,1)</f>
        <v>240946.49743184328</v>
      </c>
      <c r="U568" s="545">
        <f>'Foglio deposito bis'!$F$52*IF(ABS(O568)&lt;'Sollecitazioni nel paramento'!$G$58,ABS(O568)*'Sollecitazioni nel paramento'!$G$54,'Sollecitazioni nel paramento'!$G$53)*IF(O568&lt;0,-1,1)</f>
        <v>240946.49743184328</v>
      </c>
      <c r="V568" s="472">
        <f t="shared" si="43"/>
        <v>61515.917038135347</v>
      </c>
      <c r="W568" s="551"/>
      <c r="X568" s="551"/>
    </row>
    <row r="569" spans="1:24" x14ac:dyDescent="0.25">
      <c r="A569" s="545">
        <f t="shared" si="44"/>
        <v>52183.625168977305</v>
      </c>
      <c r="B569" s="3">
        <f t="shared" si="45"/>
        <v>3.3999999999999959</v>
      </c>
      <c r="C569" s="545">
        <f>'Foglio deposito bis'!$E$155/sezione!$B$247*B569</f>
        <v>16.657370583057443</v>
      </c>
      <c r="D569" s="603">
        <f>-'Sollecitazioni nel paramento'!$G$47*'Sollecitazioni nel paramento'!$G$41*IF(DATI!$G$211="dx",DATI!$E$61,DATI!$E$64*DATI!$E$63)*1000*C569^2*sezione!$AD$5*(1-sezione!$AD$6)</f>
        <v>-6173287.7462652</v>
      </c>
      <c r="E569" s="545">
        <f>-'Foglio deposito bis'!$F$48*(C569-sezione!$AL$29)*IF(ABS(K569)&lt;'Sollecitazioni nel paramento'!$G$58,ABS(K569)*'Sollecitazioni nel paramento'!$G$54,'Sollecitazioni nel paramento'!$G$53)</f>
        <v>0</v>
      </c>
      <c r="F569" s="545">
        <f>-'Foglio deposito bis'!$F$49*(C569-sezione!$AM$29)*IF(ABS(L569)&lt;'Sollecitazioni nel paramento'!$G$58,ABS(L569)*'Sollecitazioni nel paramento'!$G$54,'Sollecitazioni nel paramento'!$G$53)</f>
        <v>8880318.6628390178</v>
      </c>
      <c r="G569" s="545">
        <f>-'Foglio deposito bis'!$F$50*(C569-sezione!$AN$29)*IF(ABS(M569)&lt;'Sollecitazioni nel paramento'!$G$58,ABS(M569)*'Sollecitazioni nel paramento'!$G$54,'Sollecitazioni nel paramento'!$G$53)</f>
        <v>0</v>
      </c>
      <c r="H569" s="545">
        <f>-'Foglio deposito bis'!$F$51*(C569-sezione!$AO$29)*IF(ABS(N569)&lt;'Sollecitazioni nel paramento'!$G$58,ABS(N569)*'Sollecitazioni nel paramento'!$G$54,'Sollecitazioni nel paramento'!$G$53)</f>
        <v>34537904.490683012</v>
      </c>
      <c r="I569" s="472">
        <f>-'Foglio deposito bis'!$F$52*(C569-sezione!$AP$29)*IF(ABS(O569)&lt;'Sollecitazioni nel paramento'!$G$58,ABS(O569)*'Sollecitazioni nel paramento'!$G$54,'Sollecitazioni nel paramento'!$G$53)</f>
        <v>73583970.819796816</v>
      </c>
      <c r="J569" s="472">
        <f t="shared" si="42"/>
        <v>110828906.22705364</v>
      </c>
      <c r="K569" s="550">
        <f>'Sollecitazioni nel paramento'!$G$60*(sezione!$AL$29-C569)/C569</f>
        <v>4.9046878408526805E-3</v>
      </c>
      <c r="L569" s="550">
        <f>'Sollecitazioni nel paramento'!$G$60*(sezione!$AM$29-C569)/C569</f>
        <v>9.1070317612790188E-3</v>
      </c>
      <c r="M569" s="551">
        <f>'Sollecitazioni nel paramento'!$G$60*(sezione!$AN$29-C569)/C569</f>
        <v>1.3309375681705361E-2</v>
      </c>
      <c r="N569" s="551">
        <f>'Sollecitazioni nel paramento'!$G$60*(sezione!$AO$29-C569)/C569</f>
        <v>3.0118751363410717E-2</v>
      </c>
      <c r="O569" s="551">
        <f>'Sollecitazioni nel paramento'!$G$60*(sezione!$AP$29-C569)/C569</f>
        <v>6.4168841570912058E-2</v>
      </c>
      <c r="P569" s="545">
        <f>-'Sollecitazioni nel paramento'!$G$47*'Sollecitazioni nel paramento'!$G$41*IF(DATI!$G$211="dx",DATI!$E$61,DATI!$E$64*DATI!$E$63)*1000*C569*sezione!$AD$5</f>
        <v>-634595.84710273927</v>
      </c>
      <c r="Q569" s="545">
        <f>'Foglio deposito bis'!$F$48*IF(ABS(K569)&lt;'Sollecitazioni nel paramento'!$G$58,ABS(K569)*'Sollecitazioni nel paramento'!$G$54,'Sollecitazioni nel paramento'!$G$53)*IF(K569&lt;0,-1,1)</f>
        <v>0</v>
      </c>
      <c r="R569" s="545">
        <f>'Foglio deposito bis'!$F$49*IF(ABS(L569)&lt;'Sollecitazioni nel paramento'!$G$58,ABS(L569)*'Sollecitazioni nel paramento'!$G$54,'Sollecitazioni nel paramento'!$G$53)*IF(L569&lt;0,-1,1)</f>
        <v>204886.47740803001</v>
      </c>
      <c r="S569" s="545">
        <f>'Foglio deposito bis'!$F$50*IF(ABS(M569)&lt;'Sollecitazioni nel paramento'!$G$58,ABS(M569)*'Sollecitazioni nel paramento'!$G$54,'Sollecitazioni nel paramento'!$G$53)*IF(M569&lt;0,-1,1)</f>
        <v>0</v>
      </c>
      <c r="T569" s="545">
        <f>'Foglio deposito bis'!$F$51*IF(ABS(N569)&lt;'Sollecitazioni nel paramento'!$G$58,ABS(N569)*'Sollecitazioni nel paramento'!$G$54,'Sollecitazioni nel paramento'!$G$53)*IF(N569&lt;0,-1,1)</f>
        <v>240946.49743184328</v>
      </c>
      <c r="U569" s="545">
        <f>'Foglio deposito bis'!$F$52*IF(ABS(O569)&lt;'Sollecitazioni nel paramento'!$G$58,ABS(O569)*'Sollecitazioni nel paramento'!$G$54,'Sollecitazioni nel paramento'!$G$53)*IF(O569&lt;0,-1,1)</f>
        <v>240946.49743184328</v>
      </c>
      <c r="V569" s="472">
        <f t="shared" si="43"/>
        <v>52183.625168977305</v>
      </c>
      <c r="W569" s="551"/>
      <c r="X569" s="551"/>
    </row>
    <row r="570" spans="1:24" x14ac:dyDescent="0.25">
      <c r="A570" s="545">
        <f t="shared" si="44"/>
        <v>42851.333299819496</v>
      </c>
      <c r="B570" s="3">
        <f t="shared" si="45"/>
        <v>3.4499999999999957</v>
      </c>
      <c r="C570" s="545">
        <f>'Foglio deposito bis'!$E$155/sezione!$B$247*B570</f>
        <v>16.902331915161227</v>
      </c>
      <c r="D570" s="603">
        <f>-'Sollecitazioni nel paramento'!$G$47*'Sollecitazioni nel paramento'!$G$41*IF(DATI!$G$211="dx",DATI!$E$61,DATI!$E$64*DATI!$E$63)*1000*C570^2*sezione!$AD$5*(1-sezione!$AD$6)</f>
        <v>-6356190.0864984011</v>
      </c>
      <c r="E570" s="545">
        <f>-'Foglio deposito bis'!$F$48*(C570-sezione!$AL$29)*IF(ABS(K570)&lt;'Sollecitazioni nel paramento'!$G$58,ABS(K570)*'Sollecitazioni nel paramento'!$G$54,'Sollecitazioni nel paramento'!$G$53)</f>
        <v>0</v>
      </c>
      <c r="F570" s="545">
        <f>-'Foglio deposito bis'!$F$49*(C570-sezione!$AM$29)*IF(ABS(L570)&lt;'Sollecitazioni nel paramento'!$G$58,ABS(L570)*'Sollecitazioni nel paramento'!$G$54,'Sollecitazioni nel paramento'!$G$53)</f>
        <v>8830129.3984030951</v>
      </c>
      <c r="G570" s="545">
        <f>-'Foglio deposito bis'!$F$50*(C570-sezione!$AN$29)*IF(ABS(M570)&lt;'Sollecitazioni nel paramento'!$G$58,ABS(M570)*'Sollecitazioni nel paramento'!$G$54,'Sollecitazioni nel paramento'!$G$53)</f>
        <v>0</v>
      </c>
      <c r="H570" s="545">
        <f>-'Foglio deposito bis'!$F$51*(C570-sezione!$AO$29)*IF(ABS(N570)&lt;'Sollecitazioni nel paramento'!$G$58,ABS(N570)*'Sollecitazioni nel paramento'!$G$54,'Sollecitazioni nel paramento'!$G$53)</f>
        <v>34478881.915706366</v>
      </c>
      <c r="I570" s="472">
        <f>-'Foglio deposito bis'!$F$52*(C570-sezione!$AP$29)*IF(ABS(O570)&lt;'Sollecitazioni nel paramento'!$G$58,ABS(O570)*'Sollecitazioni nel paramento'!$G$54,'Sollecitazioni nel paramento'!$G$53)</f>
        <v>73524948.244820178</v>
      </c>
      <c r="J570" s="472">
        <f t="shared" si="42"/>
        <v>110477769.47243124</v>
      </c>
      <c r="K570" s="550">
        <f>'Sollecitazioni nel paramento'!$G$60*(sezione!$AL$29-C570)/C570</f>
        <v>4.7828807706953953E-3</v>
      </c>
      <c r="L570" s="550">
        <f>'Sollecitazioni nel paramento'!$G$60*(sezione!$AM$29-C570)/C570</f>
        <v>8.9243211560430923E-3</v>
      </c>
      <c r="M570" s="551">
        <f>'Sollecitazioni nel paramento'!$G$60*(sezione!$AN$29-C570)/C570</f>
        <v>1.306576154139079E-2</v>
      </c>
      <c r="N570" s="551">
        <f>'Sollecitazioni nel paramento'!$G$60*(sezione!$AO$29-C570)/C570</f>
        <v>2.9631523082781584E-2</v>
      </c>
      <c r="O570" s="551">
        <f>'Sollecitazioni nel paramento'!$G$60*(sezione!$AP$29-C570)/C570</f>
        <v>6.3188133722058254E-2</v>
      </c>
      <c r="P570" s="545">
        <f>-'Sollecitazioni nel paramento'!$G$47*'Sollecitazioni nel paramento'!$G$41*IF(DATI!$G$211="dx",DATI!$E$61,DATI!$E$64*DATI!$E$63)*1000*C570*sezione!$AD$5</f>
        <v>-643928.13897189707</v>
      </c>
      <c r="Q570" s="545">
        <f>'Foglio deposito bis'!$F$48*IF(ABS(K570)&lt;'Sollecitazioni nel paramento'!$G$58,ABS(K570)*'Sollecitazioni nel paramento'!$G$54,'Sollecitazioni nel paramento'!$G$53)*IF(K570&lt;0,-1,1)</f>
        <v>0</v>
      </c>
      <c r="R570" s="545">
        <f>'Foglio deposito bis'!$F$49*IF(ABS(L570)&lt;'Sollecitazioni nel paramento'!$G$58,ABS(L570)*'Sollecitazioni nel paramento'!$G$54,'Sollecitazioni nel paramento'!$G$53)*IF(L570&lt;0,-1,1)</f>
        <v>204886.47740803001</v>
      </c>
      <c r="S570" s="545">
        <f>'Foglio deposito bis'!$F$50*IF(ABS(M570)&lt;'Sollecitazioni nel paramento'!$G$58,ABS(M570)*'Sollecitazioni nel paramento'!$G$54,'Sollecitazioni nel paramento'!$G$53)*IF(M570&lt;0,-1,1)</f>
        <v>0</v>
      </c>
      <c r="T570" s="545">
        <f>'Foglio deposito bis'!$F$51*IF(ABS(N570)&lt;'Sollecitazioni nel paramento'!$G$58,ABS(N570)*'Sollecitazioni nel paramento'!$G$54,'Sollecitazioni nel paramento'!$G$53)*IF(N570&lt;0,-1,1)</f>
        <v>240946.49743184328</v>
      </c>
      <c r="U570" s="545">
        <f>'Foglio deposito bis'!$F$52*IF(ABS(O570)&lt;'Sollecitazioni nel paramento'!$G$58,ABS(O570)*'Sollecitazioni nel paramento'!$G$54,'Sollecitazioni nel paramento'!$G$53)*IF(O570&lt;0,-1,1)</f>
        <v>240946.49743184328</v>
      </c>
      <c r="V570" s="472">
        <f t="shared" si="43"/>
        <v>42851.333299819496</v>
      </c>
      <c r="W570" s="551"/>
      <c r="X570" s="551"/>
    </row>
    <row r="571" spans="1:24" x14ac:dyDescent="0.25">
      <c r="A571" s="545">
        <f t="shared" si="44"/>
        <v>33519.041430661571</v>
      </c>
      <c r="B571" s="3">
        <f t="shared" si="45"/>
        <v>3.4999999999999956</v>
      </c>
      <c r="C571" s="545">
        <f>'Foglio deposito bis'!$E$155/sezione!$B$247*B571</f>
        <v>17.147293247265011</v>
      </c>
      <c r="D571" s="603">
        <f>-'Sollecitazioni nel paramento'!$G$47*'Sollecitazioni nel paramento'!$G$41*IF(DATI!$G$211="dx",DATI!$E$61,DATI!$E$64*DATI!$E$63)*1000*C571^2*sezione!$AD$5*(1-sezione!$AD$6)</f>
        <v>-6541762.5338882934</v>
      </c>
      <c r="E571" s="545">
        <f>-'Foglio deposito bis'!$F$48*(C571-sezione!$AL$29)*IF(ABS(K571)&lt;'Sollecitazioni nel paramento'!$G$58,ABS(K571)*'Sollecitazioni nel paramento'!$G$54,'Sollecitazioni nel paramento'!$G$53)</f>
        <v>0</v>
      </c>
      <c r="F571" s="545">
        <f>-'Foglio deposito bis'!$F$49*(C571-sezione!$AM$29)*IF(ABS(L571)&lt;'Sollecitazioni nel paramento'!$G$58,ABS(L571)*'Sollecitazioni nel paramento'!$G$54,'Sollecitazioni nel paramento'!$G$53)</f>
        <v>8779940.1339671724</v>
      </c>
      <c r="G571" s="545">
        <f>-'Foglio deposito bis'!$F$50*(C571-sezione!$AN$29)*IF(ABS(M571)&lt;'Sollecitazioni nel paramento'!$G$58,ABS(M571)*'Sollecitazioni nel paramento'!$G$54,'Sollecitazioni nel paramento'!$G$53)</f>
        <v>0</v>
      </c>
      <c r="H571" s="545">
        <f>-'Foglio deposito bis'!$F$51*(C571-sezione!$AO$29)*IF(ABS(N571)&lt;'Sollecitazioni nel paramento'!$G$58,ABS(N571)*'Sollecitazioni nel paramento'!$G$54,'Sollecitazioni nel paramento'!$G$53)</f>
        <v>34419859.340729728</v>
      </c>
      <c r="I571" s="472">
        <f>-'Foglio deposito bis'!$F$52*(C571-sezione!$AP$29)*IF(ABS(O571)&lt;'Sollecitazioni nel paramento'!$G$58,ABS(O571)*'Sollecitazioni nel paramento'!$G$54,'Sollecitazioni nel paramento'!$G$53)</f>
        <v>73465925.66984354</v>
      </c>
      <c r="J571" s="472">
        <f t="shared" si="42"/>
        <v>110123962.61065215</v>
      </c>
      <c r="K571" s="550">
        <f>'Sollecitazioni nel paramento'!$G$60*(sezione!$AL$29-C571)/C571</f>
        <v>4.664553902542605E-3</v>
      </c>
      <c r="L571" s="550">
        <f>'Sollecitazioni nel paramento'!$G$60*(sezione!$AM$29-C571)/C571</f>
        <v>8.7468308538139073E-3</v>
      </c>
      <c r="M571" s="551">
        <f>'Sollecitazioni nel paramento'!$G$60*(sezione!$AN$29-C571)/C571</f>
        <v>1.282910780508521E-2</v>
      </c>
      <c r="N571" s="551">
        <f>'Sollecitazioni nel paramento'!$G$60*(sezione!$AO$29-C571)/C571</f>
        <v>2.9158215610170422E-2</v>
      </c>
      <c r="O571" s="551">
        <f>'Sollecitazioni nel paramento'!$G$60*(sezione!$AP$29-C571)/C571</f>
        <v>6.2235446097457438E-2</v>
      </c>
      <c r="P571" s="545">
        <f>-'Sollecitazioni nel paramento'!$G$47*'Sollecitazioni nel paramento'!$G$41*IF(DATI!$G$211="dx",DATI!$E$61,DATI!$E$64*DATI!$E$63)*1000*C571*sezione!$AD$5</f>
        <v>-653260.430841055</v>
      </c>
      <c r="Q571" s="545">
        <f>'Foglio deposito bis'!$F$48*IF(ABS(K571)&lt;'Sollecitazioni nel paramento'!$G$58,ABS(K571)*'Sollecitazioni nel paramento'!$G$54,'Sollecitazioni nel paramento'!$G$53)*IF(K571&lt;0,-1,1)</f>
        <v>0</v>
      </c>
      <c r="R571" s="545">
        <f>'Foglio deposito bis'!$F$49*IF(ABS(L571)&lt;'Sollecitazioni nel paramento'!$G$58,ABS(L571)*'Sollecitazioni nel paramento'!$G$54,'Sollecitazioni nel paramento'!$G$53)*IF(L571&lt;0,-1,1)</f>
        <v>204886.47740803001</v>
      </c>
      <c r="S571" s="545">
        <f>'Foglio deposito bis'!$F$50*IF(ABS(M571)&lt;'Sollecitazioni nel paramento'!$G$58,ABS(M571)*'Sollecitazioni nel paramento'!$G$54,'Sollecitazioni nel paramento'!$G$53)*IF(M571&lt;0,-1,1)</f>
        <v>0</v>
      </c>
      <c r="T571" s="545">
        <f>'Foglio deposito bis'!$F$51*IF(ABS(N571)&lt;'Sollecitazioni nel paramento'!$G$58,ABS(N571)*'Sollecitazioni nel paramento'!$G$54,'Sollecitazioni nel paramento'!$G$53)*IF(N571&lt;0,-1,1)</f>
        <v>240946.49743184328</v>
      </c>
      <c r="U571" s="545">
        <f>'Foglio deposito bis'!$F$52*IF(ABS(O571)&lt;'Sollecitazioni nel paramento'!$G$58,ABS(O571)*'Sollecitazioni nel paramento'!$G$54,'Sollecitazioni nel paramento'!$G$53)*IF(O571&lt;0,-1,1)</f>
        <v>240946.49743184328</v>
      </c>
      <c r="V571" s="472">
        <f t="shared" si="43"/>
        <v>33519.041430661571</v>
      </c>
      <c r="W571" s="551"/>
      <c r="X571" s="551"/>
    </row>
    <row r="572" spans="1:24" x14ac:dyDescent="0.25">
      <c r="A572" s="545">
        <f t="shared" si="44"/>
        <v>24186.749561503646</v>
      </c>
      <c r="B572" s="3">
        <f t="shared" si="45"/>
        <v>3.5499999999999954</v>
      </c>
      <c r="C572" s="545">
        <f>'Foglio deposito bis'!$E$155/sezione!$B$247*B572</f>
        <v>17.392254579368796</v>
      </c>
      <c r="D572" s="603">
        <f>-'Sollecitazioni nel paramento'!$G$47*'Sollecitazioni nel paramento'!$G$41*IF(DATI!$G$211="dx",DATI!$E$61,DATI!$E$64*DATI!$E$63)*1000*C572^2*sezione!$AD$5*(1-sezione!$AD$6)</f>
        <v>-6730005.0884348741</v>
      </c>
      <c r="E572" s="545">
        <f>-'Foglio deposito bis'!$F$48*(C572-sezione!$AL$29)*IF(ABS(K572)&lt;'Sollecitazioni nel paramento'!$G$58,ABS(K572)*'Sollecitazioni nel paramento'!$G$54,'Sollecitazioni nel paramento'!$G$53)</f>
        <v>0</v>
      </c>
      <c r="F572" s="545">
        <f>-'Foglio deposito bis'!$F$49*(C572-sezione!$AM$29)*IF(ABS(L572)&lt;'Sollecitazioni nel paramento'!$G$58,ABS(L572)*'Sollecitazioni nel paramento'!$G$54,'Sollecitazioni nel paramento'!$G$53)</f>
        <v>8729750.8695312496</v>
      </c>
      <c r="G572" s="545">
        <f>-'Foglio deposito bis'!$F$50*(C572-sezione!$AN$29)*IF(ABS(M572)&lt;'Sollecitazioni nel paramento'!$G$58,ABS(M572)*'Sollecitazioni nel paramento'!$G$54,'Sollecitazioni nel paramento'!$G$53)</f>
        <v>0</v>
      </c>
      <c r="H572" s="545">
        <f>-'Foglio deposito bis'!$F$51*(C572-sezione!$AO$29)*IF(ABS(N572)&lt;'Sollecitazioni nel paramento'!$G$58,ABS(N572)*'Sollecitazioni nel paramento'!$G$54,'Sollecitazioni nel paramento'!$G$53)</f>
        <v>34360836.765753075</v>
      </c>
      <c r="I572" s="472">
        <f>-'Foglio deposito bis'!$F$52*(C572-sezione!$AP$29)*IF(ABS(O572)&lt;'Sollecitazioni nel paramento'!$G$58,ABS(O572)*'Sollecitazioni nel paramento'!$G$54,'Sollecitazioni nel paramento'!$G$53)</f>
        <v>73406903.094866887</v>
      </c>
      <c r="J572" s="472">
        <f t="shared" si="42"/>
        <v>109767485.64171633</v>
      </c>
      <c r="K572" s="550">
        <f>'Sollecitazioni nel paramento'!$G$60*(sezione!$AL$29-C572)/C572</f>
        <v>4.5495601856053855E-3</v>
      </c>
      <c r="L572" s="550">
        <f>'Sollecitazioni nel paramento'!$G$60*(sezione!$AM$29-C572)/C572</f>
        <v>8.5743402784080776E-3</v>
      </c>
      <c r="M572" s="551">
        <f>'Sollecitazioni nel paramento'!$G$60*(sezione!$AN$29-C572)/C572</f>
        <v>1.2599120371210771E-2</v>
      </c>
      <c r="N572" s="551">
        <f>'Sollecitazioni nel paramento'!$G$60*(sezione!$AO$29-C572)/C572</f>
        <v>2.8698240742421544E-2</v>
      </c>
      <c r="O572" s="551">
        <f>'Sollecitazioni nel paramento'!$G$60*(sezione!$AP$29-C572)/C572</f>
        <v>6.1309594743972122E-2</v>
      </c>
      <c r="P572" s="545">
        <f>-'Sollecitazioni nel paramento'!$G$47*'Sollecitazioni nel paramento'!$G$41*IF(DATI!$G$211="dx",DATI!$E$61,DATI!$E$64*DATI!$E$63)*1000*C572*sezione!$AD$5</f>
        <v>-662592.72271021293</v>
      </c>
      <c r="Q572" s="545">
        <f>'Foglio deposito bis'!$F$48*IF(ABS(K572)&lt;'Sollecitazioni nel paramento'!$G$58,ABS(K572)*'Sollecitazioni nel paramento'!$G$54,'Sollecitazioni nel paramento'!$G$53)*IF(K572&lt;0,-1,1)</f>
        <v>0</v>
      </c>
      <c r="R572" s="545">
        <f>'Foglio deposito bis'!$F$49*IF(ABS(L572)&lt;'Sollecitazioni nel paramento'!$G$58,ABS(L572)*'Sollecitazioni nel paramento'!$G$54,'Sollecitazioni nel paramento'!$G$53)*IF(L572&lt;0,-1,1)</f>
        <v>204886.47740803001</v>
      </c>
      <c r="S572" s="545">
        <f>'Foglio deposito bis'!$F$50*IF(ABS(M572)&lt;'Sollecitazioni nel paramento'!$G$58,ABS(M572)*'Sollecitazioni nel paramento'!$G$54,'Sollecitazioni nel paramento'!$G$53)*IF(M572&lt;0,-1,1)</f>
        <v>0</v>
      </c>
      <c r="T572" s="545">
        <f>'Foglio deposito bis'!$F$51*IF(ABS(N572)&lt;'Sollecitazioni nel paramento'!$G$58,ABS(N572)*'Sollecitazioni nel paramento'!$G$54,'Sollecitazioni nel paramento'!$G$53)*IF(N572&lt;0,-1,1)</f>
        <v>240946.49743184328</v>
      </c>
      <c r="U572" s="545">
        <f>'Foglio deposito bis'!$F$52*IF(ABS(O572)&lt;'Sollecitazioni nel paramento'!$G$58,ABS(O572)*'Sollecitazioni nel paramento'!$G$54,'Sollecitazioni nel paramento'!$G$53)*IF(O572&lt;0,-1,1)</f>
        <v>240946.49743184328</v>
      </c>
      <c r="V572" s="472">
        <f t="shared" si="43"/>
        <v>24186.749561503646</v>
      </c>
      <c r="W572" s="551"/>
      <c r="X572" s="551"/>
    </row>
    <row r="573" spans="1:24" x14ac:dyDescent="0.25">
      <c r="A573" s="545">
        <f t="shared" si="44"/>
        <v>14854.457692345837</v>
      </c>
      <c r="B573" s="3">
        <f t="shared" si="45"/>
        <v>3.5999999999999952</v>
      </c>
      <c r="C573" s="545">
        <f>'Foglio deposito bis'!$E$155/sezione!$B$247*B573</f>
        <v>17.63721591147258</v>
      </c>
      <c r="D573" s="603">
        <f>-'Sollecitazioni nel paramento'!$G$47*'Sollecitazioni nel paramento'!$G$41*IF(DATI!$G$211="dx",DATI!$E$61,DATI!$E$64*DATI!$E$63)*1000*C573^2*sezione!$AD$5*(1-sezione!$AD$6)</f>
        <v>-6920917.750138144</v>
      </c>
      <c r="E573" s="545">
        <f>-'Foglio deposito bis'!$F$48*(C573-sezione!$AL$29)*IF(ABS(K573)&lt;'Sollecitazioni nel paramento'!$G$58,ABS(K573)*'Sollecitazioni nel paramento'!$G$54,'Sollecitazioni nel paramento'!$G$53)</f>
        <v>0</v>
      </c>
      <c r="F573" s="545">
        <f>-'Foglio deposito bis'!$F$49*(C573-sezione!$AM$29)*IF(ABS(L573)&lt;'Sollecitazioni nel paramento'!$G$58,ABS(L573)*'Sollecitazioni nel paramento'!$G$54,'Sollecitazioni nel paramento'!$G$53)</f>
        <v>8679561.605095325</v>
      </c>
      <c r="G573" s="545">
        <f>-'Foglio deposito bis'!$F$50*(C573-sezione!$AN$29)*IF(ABS(M573)&lt;'Sollecitazioni nel paramento'!$G$58,ABS(M573)*'Sollecitazioni nel paramento'!$G$54,'Sollecitazioni nel paramento'!$G$53)</f>
        <v>0</v>
      </c>
      <c r="H573" s="545">
        <f>-'Foglio deposito bis'!$F$51*(C573-sezione!$AO$29)*IF(ABS(N573)&lt;'Sollecitazioni nel paramento'!$G$58,ABS(N573)*'Sollecitazioni nel paramento'!$G$54,'Sollecitazioni nel paramento'!$G$53)</f>
        <v>34301814.190776423</v>
      </c>
      <c r="I573" s="472">
        <f>-'Foglio deposito bis'!$F$52*(C573-sezione!$AP$29)*IF(ABS(O573)&lt;'Sollecitazioni nel paramento'!$G$58,ABS(O573)*'Sollecitazioni nel paramento'!$G$54,'Sollecitazioni nel paramento'!$G$53)</f>
        <v>73347880.519890249</v>
      </c>
      <c r="J573" s="472">
        <f t="shared" si="42"/>
        <v>109408338.56562385</v>
      </c>
      <c r="K573" s="550">
        <f>'Sollecitazioni nel paramento'!$G$60*(sezione!$AL$29-C573)/C573</f>
        <v>4.4377607385830894E-3</v>
      </c>
      <c r="L573" s="550">
        <f>'Sollecitazioni nel paramento'!$G$60*(sezione!$AM$29-C573)/C573</f>
        <v>8.406641107874634E-3</v>
      </c>
      <c r="M573" s="551">
        <f>'Sollecitazioni nel paramento'!$G$60*(sezione!$AN$29-C573)/C573</f>
        <v>1.2375521477166179E-2</v>
      </c>
      <c r="N573" s="551">
        <f>'Sollecitazioni nel paramento'!$G$60*(sezione!$AO$29-C573)/C573</f>
        <v>2.8251042954332353E-2</v>
      </c>
      <c r="O573" s="551">
        <f>'Sollecitazioni nel paramento'!$G$60*(sezione!$AP$29-C573)/C573</f>
        <v>6.0409461483639182E-2</v>
      </c>
      <c r="P573" s="545">
        <f>-'Sollecitazioni nel paramento'!$G$47*'Sollecitazioni nel paramento'!$G$41*IF(DATI!$G$211="dx",DATI!$E$61,DATI!$E$64*DATI!$E$63)*1000*C573*sezione!$AD$5</f>
        <v>-671925.01457937073</v>
      </c>
      <c r="Q573" s="545">
        <f>'Foglio deposito bis'!$F$48*IF(ABS(K573)&lt;'Sollecitazioni nel paramento'!$G$58,ABS(K573)*'Sollecitazioni nel paramento'!$G$54,'Sollecitazioni nel paramento'!$G$53)*IF(K573&lt;0,-1,1)</f>
        <v>0</v>
      </c>
      <c r="R573" s="545">
        <f>'Foglio deposito bis'!$F$49*IF(ABS(L573)&lt;'Sollecitazioni nel paramento'!$G$58,ABS(L573)*'Sollecitazioni nel paramento'!$G$54,'Sollecitazioni nel paramento'!$G$53)*IF(L573&lt;0,-1,1)</f>
        <v>204886.47740803001</v>
      </c>
      <c r="S573" s="545">
        <f>'Foglio deposito bis'!$F$50*IF(ABS(M573)&lt;'Sollecitazioni nel paramento'!$G$58,ABS(M573)*'Sollecitazioni nel paramento'!$G$54,'Sollecitazioni nel paramento'!$G$53)*IF(M573&lt;0,-1,1)</f>
        <v>0</v>
      </c>
      <c r="T573" s="545">
        <f>'Foglio deposito bis'!$F$51*IF(ABS(N573)&lt;'Sollecitazioni nel paramento'!$G$58,ABS(N573)*'Sollecitazioni nel paramento'!$G$54,'Sollecitazioni nel paramento'!$G$53)*IF(N573&lt;0,-1,1)</f>
        <v>240946.49743184328</v>
      </c>
      <c r="U573" s="545">
        <f>'Foglio deposito bis'!$F$52*IF(ABS(O573)&lt;'Sollecitazioni nel paramento'!$G$58,ABS(O573)*'Sollecitazioni nel paramento'!$G$54,'Sollecitazioni nel paramento'!$G$53)*IF(O573&lt;0,-1,1)</f>
        <v>240946.49743184328</v>
      </c>
      <c r="V573" s="472">
        <f t="shared" si="43"/>
        <v>14854.457692345837</v>
      </c>
      <c r="W573" s="551"/>
      <c r="X573" s="551"/>
    </row>
    <row r="574" spans="1:24" x14ac:dyDescent="0.25">
      <c r="A574" s="545">
        <f t="shared" si="44"/>
        <v>5522.1658231877955</v>
      </c>
      <c r="B574" s="3">
        <f t="shared" si="45"/>
        <v>3.649999999999995</v>
      </c>
      <c r="C574" s="545">
        <f>'Foglio deposito bis'!$E$155/sezione!$B$247*B574</f>
        <v>17.882177243576368</v>
      </c>
      <c r="D574" s="603">
        <f>-'Sollecitazioni nel paramento'!$G$47*'Sollecitazioni nel paramento'!$G$41*IF(DATI!$G$211="dx",DATI!$E$61,DATI!$E$64*DATI!$E$63)*1000*C574^2*sezione!$AD$5*(1-sezione!$AD$6)</f>
        <v>-7114500.5189981051</v>
      </c>
      <c r="E574" s="545">
        <f>-'Foglio deposito bis'!$F$48*(C574-sezione!$AL$29)*IF(ABS(K574)&lt;'Sollecitazioni nel paramento'!$G$58,ABS(K574)*'Sollecitazioni nel paramento'!$G$54,'Sollecitazioni nel paramento'!$G$53)</f>
        <v>0</v>
      </c>
      <c r="F574" s="545">
        <f>-'Foglio deposito bis'!$F$49*(C574-sezione!$AM$29)*IF(ABS(L574)&lt;'Sollecitazioni nel paramento'!$G$58,ABS(L574)*'Sollecitazioni nel paramento'!$G$54,'Sollecitazioni nel paramento'!$G$53)</f>
        <v>8629372.3406594023</v>
      </c>
      <c r="G574" s="545">
        <f>-'Foglio deposito bis'!$F$50*(C574-sezione!$AN$29)*IF(ABS(M574)&lt;'Sollecitazioni nel paramento'!$G$58,ABS(M574)*'Sollecitazioni nel paramento'!$G$54,'Sollecitazioni nel paramento'!$G$53)</f>
        <v>0</v>
      </c>
      <c r="H574" s="545">
        <f>-'Foglio deposito bis'!$F$51*(C574-sezione!$AO$29)*IF(ABS(N574)&lt;'Sollecitazioni nel paramento'!$G$58,ABS(N574)*'Sollecitazioni nel paramento'!$G$54,'Sollecitazioni nel paramento'!$G$53)</f>
        <v>34242791.615799785</v>
      </c>
      <c r="I574" s="472">
        <f>-'Foglio deposito bis'!$F$52*(C574-sezione!$AP$29)*IF(ABS(O574)&lt;'Sollecitazioni nel paramento'!$G$58,ABS(O574)*'Sollecitazioni nel paramento'!$G$54,'Sollecitazioni nel paramento'!$G$53)</f>
        <v>73288857.944913596</v>
      </c>
      <c r="J574" s="472">
        <f t="shared" si="42"/>
        <v>109046521.38237467</v>
      </c>
      <c r="K574" s="550">
        <f>'Sollecitazioni nel paramento'!$G$60*(sezione!$AL$29-C574)/C574</f>
        <v>4.329024290109347E-3</v>
      </c>
      <c r="L574" s="550">
        <f>'Sollecitazioni nel paramento'!$G$60*(sezione!$AM$29-C574)/C574</f>
        <v>8.2435364351640204E-3</v>
      </c>
      <c r="M574" s="551">
        <f>'Sollecitazioni nel paramento'!$G$60*(sezione!$AN$29-C574)/C574</f>
        <v>1.2158048580218695E-2</v>
      </c>
      <c r="N574" s="551">
        <f>'Sollecitazioni nel paramento'!$G$60*(sezione!$AO$29-C574)/C574</f>
        <v>2.7816097160437391E-2</v>
      </c>
      <c r="O574" s="551">
        <f>'Sollecitazioni nel paramento'!$G$60*(sezione!$AP$29-C574)/C574</f>
        <v>5.9533989408520824E-2</v>
      </c>
      <c r="P574" s="545">
        <f>-'Sollecitazioni nel paramento'!$G$47*'Sollecitazioni nel paramento'!$G$41*IF(DATI!$G$211="dx",DATI!$E$61,DATI!$E$64*DATI!$E$63)*1000*C574*sezione!$AD$5</f>
        <v>-681257.30644852878</v>
      </c>
      <c r="Q574" s="545">
        <f>'Foglio deposito bis'!$F$48*IF(ABS(K574)&lt;'Sollecitazioni nel paramento'!$G$58,ABS(K574)*'Sollecitazioni nel paramento'!$G$54,'Sollecitazioni nel paramento'!$G$53)*IF(K574&lt;0,-1,1)</f>
        <v>0</v>
      </c>
      <c r="R574" s="545">
        <f>'Foglio deposito bis'!$F$49*IF(ABS(L574)&lt;'Sollecitazioni nel paramento'!$G$58,ABS(L574)*'Sollecitazioni nel paramento'!$G$54,'Sollecitazioni nel paramento'!$G$53)*IF(L574&lt;0,-1,1)</f>
        <v>204886.47740803001</v>
      </c>
      <c r="S574" s="545">
        <f>'Foglio deposito bis'!$F$50*IF(ABS(M574)&lt;'Sollecitazioni nel paramento'!$G$58,ABS(M574)*'Sollecitazioni nel paramento'!$G$54,'Sollecitazioni nel paramento'!$G$53)*IF(M574&lt;0,-1,1)</f>
        <v>0</v>
      </c>
      <c r="T574" s="545">
        <f>'Foglio deposito bis'!$F$51*IF(ABS(N574)&lt;'Sollecitazioni nel paramento'!$G$58,ABS(N574)*'Sollecitazioni nel paramento'!$G$54,'Sollecitazioni nel paramento'!$G$53)*IF(N574&lt;0,-1,1)</f>
        <v>240946.49743184328</v>
      </c>
      <c r="U574" s="545">
        <f>'Foglio deposito bis'!$F$52*IF(ABS(O574)&lt;'Sollecitazioni nel paramento'!$G$58,ABS(O574)*'Sollecitazioni nel paramento'!$G$54,'Sollecitazioni nel paramento'!$G$53)*IF(O574&lt;0,-1,1)</f>
        <v>240946.49743184328</v>
      </c>
      <c r="V574" s="472">
        <f t="shared" si="43"/>
        <v>5522.1658231877955</v>
      </c>
      <c r="W574" s="551"/>
      <c r="X574" s="551"/>
    </row>
    <row r="575" spans="1:24" x14ac:dyDescent="0.25">
      <c r="A575" s="545">
        <f t="shared" si="44"/>
        <v>3810.1260459701298</v>
      </c>
      <c r="B575" s="3">
        <f t="shared" si="45"/>
        <v>3.6999999999999948</v>
      </c>
      <c r="C575" s="545">
        <f>'Foglio deposito bis'!$E$155/sezione!$B$247*B575</f>
        <v>18.127138575680153</v>
      </c>
      <c r="D575" s="603">
        <f>-'Sollecitazioni nel paramento'!$G$47*'Sollecitazioni nel paramento'!$G$41*IF(DATI!$G$211="dx",DATI!$E$61,DATI!$E$64*DATI!$E$63)*1000*C575^2*sezione!$AD$5*(1-sezione!$AD$6)</f>
        <v>-7310753.3950147517</v>
      </c>
      <c r="E575" s="545">
        <f>-'Foglio deposito bis'!$F$48*(C575-sezione!$AL$29)*IF(ABS(K575)&lt;'Sollecitazioni nel paramento'!$G$58,ABS(K575)*'Sollecitazioni nel paramento'!$G$54,'Sollecitazioni nel paramento'!$G$53)</f>
        <v>0</v>
      </c>
      <c r="F575" s="545">
        <f>-'Foglio deposito bis'!$F$49*(C575-sezione!$AM$29)*IF(ABS(L575)&lt;'Sollecitazioni nel paramento'!$G$58,ABS(L575)*'Sollecitazioni nel paramento'!$G$54,'Sollecitazioni nel paramento'!$G$53)</f>
        <v>8579183.0762234814</v>
      </c>
      <c r="G575" s="545">
        <f>-'Foglio deposito bis'!$F$50*(C575-sezione!$AN$29)*IF(ABS(M575)&lt;'Sollecitazioni nel paramento'!$G$58,ABS(M575)*'Sollecitazioni nel paramento'!$G$54,'Sollecitazioni nel paramento'!$G$53)</f>
        <v>0</v>
      </c>
      <c r="H575" s="545">
        <f>-'Foglio deposito bis'!$F$51*(C575-sezione!$AO$29)*IF(ABS(N575)&lt;'Sollecitazioni nel paramento'!$G$58,ABS(N575)*'Sollecitazioni nel paramento'!$G$54,'Sollecitazioni nel paramento'!$G$53)</f>
        <v>34183769.040823139</v>
      </c>
      <c r="I575" s="472">
        <f>-'Foglio deposito bis'!$F$52*(C575-sezione!$AP$29)*IF(ABS(O575)&lt;'Sollecitazioni nel paramento'!$G$58,ABS(O575)*'Sollecitazioni nel paramento'!$G$54,'Sollecitazioni nel paramento'!$G$53)</f>
        <v>73229835.369936958</v>
      </c>
      <c r="J575" s="472">
        <f t="shared" si="42"/>
        <v>108682034.09196883</v>
      </c>
      <c r="K575" s="550">
        <f>'Sollecitazioni nel paramento'!$G$60*(sezione!$AL$29-C575)/C575</f>
        <v>4.2232266645673292E-3</v>
      </c>
      <c r="L575" s="550">
        <f>'Sollecitazioni nel paramento'!$G$60*(sezione!$AM$29-C575)/C575</f>
        <v>8.084839996850994E-3</v>
      </c>
      <c r="M575" s="551">
        <f>'Sollecitazioni nel paramento'!$G$60*(sezione!$AN$29-C575)/C575</f>
        <v>1.194645332913466E-2</v>
      </c>
      <c r="N575" s="551">
        <f>'Sollecitazioni nel paramento'!$G$60*(sezione!$AO$29-C575)/C575</f>
        <v>2.7392906658269316E-2</v>
      </c>
      <c r="O575" s="551">
        <f>'Sollecitazioni nel paramento'!$G$60*(sezione!$AP$29-C575)/C575</f>
        <v>5.8682178740838128E-2</v>
      </c>
      <c r="P575" s="545">
        <f>-'Sollecitazioni nel paramento'!$G$47*'Sollecitazioni nel paramento'!$G$41*IF(DATI!$G$211="dx",DATI!$E$61,DATI!$E$64*DATI!$E$63)*1000*C575*sezione!$AD$5</f>
        <v>-690589.5983176867</v>
      </c>
      <c r="Q575" s="545">
        <f>'Foglio deposito bis'!$F$48*IF(ABS(K575)&lt;'Sollecitazioni nel paramento'!$G$58,ABS(K575)*'Sollecitazioni nel paramento'!$G$54,'Sollecitazioni nel paramento'!$G$53)*IF(K575&lt;0,-1,1)</f>
        <v>0</v>
      </c>
      <c r="R575" s="545">
        <f>'Foglio deposito bis'!$F$49*IF(ABS(L575)&lt;'Sollecitazioni nel paramento'!$G$58,ABS(L575)*'Sollecitazioni nel paramento'!$G$54,'Sollecitazioni nel paramento'!$G$53)*IF(L575&lt;0,-1,1)</f>
        <v>204886.47740803001</v>
      </c>
      <c r="S575" s="545">
        <f>'Foglio deposito bis'!$F$50*IF(ABS(M575)&lt;'Sollecitazioni nel paramento'!$G$58,ABS(M575)*'Sollecitazioni nel paramento'!$G$54,'Sollecitazioni nel paramento'!$G$53)*IF(M575&lt;0,-1,1)</f>
        <v>0</v>
      </c>
      <c r="T575" s="545">
        <f>'Foglio deposito bis'!$F$51*IF(ABS(N575)&lt;'Sollecitazioni nel paramento'!$G$58,ABS(N575)*'Sollecitazioni nel paramento'!$G$54,'Sollecitazioni nel paramento'!$G$53)*IF(N575&lt;0,-1,1)</f>
        <v>240946.49743184328</v>
      </c>
      <c r="U575" s="545">
        <f>'Foglio deposito bis'!$F$52*IF(ABS(O575)&lt;'Sollecitazioni nel paramento'!$G$58,ABS(O575)*'Sollecitazioni nel paramento'!$G$54,'Sollecitazioni nel paramento'!$G$53)*IF(O575&lt;0,-1,1)</f>
        <v>240946.49743184328</v>
      </c>
      <c r="V575" s="472">
        <f t="shared" si="43"/>
        <v>-3810.1260459701298</v>
      </c>
      <c r="W575" s="551"/>
      <c r="X575" s="551"/>
    </row>
    <row r="576" spans="1:24" x14ac:dyDescent="0.25">
      <c r="A576" s="545">
        <f t="shared" si="44"/>
        <v>13142.417915127939</v>
      </c>
      <c r="B576" s="3">
        <f t="shared" si="45"/>
        <v>3.7499999999999947</v>
      </c>
      <c r="C576" s="545">
        <f>'Foglio deposito bis'!$E$155/sezione!$B$247*B576</f>
        <v>18.372099907783937</v>
      </c>
      <c r="D576" s="603">
        <f>-'Sollecitazioni nel paramento'!$G$47*'Sollecitazioni nel paramento'!$G$41*IF(DATI!$G$211="dx",DATI!$E$61,DATI!$E$64*DATI!$E$63)*1000*C576^2*sezione!$AD$5*(1-sezione!$AD$6)</f>
        <v>-7509676.3781880895</v>
      </c>
      <c r="E576" s="545">
        <f>-'Foglio deposito bis'!$F$48*(C576-sezione!$AL$29)*IF(ABS(K576)&lt;'Sollecitazioni nel paramento'!$G$58,ABS(K576)*'Sollecitazioni nel paramento'!$G$54,'Sollecitazioni nel paramento'!$G$53)</f>
        <v>0</v>
      </c>
      <c r="F576" s="545">
        <f>-'Foglio deposito bis'!$F$49*(C576-sezione!$AM$29)*IF(ABS(L576)&lt;'Sollecitazioni nel paramento'!$G$58,ABS(L576)*'Sollecitazioni nel paramento'!$G$54,'Sollecitazioni nel paramento'!$G$53)</f>
        <v>8528993.8117875587</v>
      </c>
      <c r="G576" s="545">
        <f>-'Foglio deposito bis'!$F$50*(C576-sezione!$AN$29)*IF(ABS(M576)&lt;'Sollecitazioni nel paramento'!$G$58,ABS(M576)*'Sollecitazioni nel paramento'!$G$54,'Sollecitazioni nel paramento'!$G$53)</f>
        <v>0</v>
      </c>
      <c r="H576" s="545">
        <f>-'Foglio deposito bis'!$F$51*(C576-sezione!$AO$29)*IF(ABS(N576)&lt;'Sollecitazioni nel paramento'!$G$58,ABS(N576)*'Sollecitazioni nel paramento'!$G$54,'Sollecitazioni nel paramento'!$G$53)</f>
        <v>34124746.465846494</v>
      </c>
      <c r="I576" s="472">
        <f>-'Foglio deposito bis'!$F$52*(C576-sezione!$AP$29)*IF(ABS(O576)&lt;'Sollecitazioni nel paramento'!$G$58,ABS(O576)*'Sollecitazioni nel paramento'!$G$54,'Sollecitazioni nel paramento'!$G$53)</f>
        <v>73170812.794960305</v>
      </c>
      <c r="J576" s="472">
        <f t="shared" si="42"/>
        <v>108314876.69440627</v>
      </c>
      <c r="K576" s="550">
        <f>'Sollecitazioni nel paramento'!$G$60*(sezione!$AL$29-C576)/C576</f>
        <v>4.1202503090397658E-3</v>
      </c>
      <c r="L576" s="550">
        <f>'Sollecitazioni nel paramento'!$G$60*(sezione!$AM$29-C576)/C576</f>
        <v>7.9303754635596489E-3</v>
      </c>
      <c r="M576" s="551">
        <f>'Sollecitazioni nel paramento'!$G$60*(sezione!$AN$29-C576)/C576</f>
        <v>1.1740500618079531E-2</v>
      </c>
      <c r="N576" s="551">
        <f>'Sollecitazioni nel paramento'!$G$60*(sezione!$AO$29-C576)/C576</f>
        <v>2.6981001236159066E-2</v>
      </c>
      <c r="O576" s="551">
        <f>'Sollecitazioni nel paramento'!$G$60*(sezione!$AP$29-C576)/C576</f>
        <v>5.7853083024293615E-2</v>
      </c>
      <c r="P576" s="545">
        <f>-'Sollecitazioni nel paramento'!$G$47*'Sollecitazioni nel paramento'!$G$41*IF(DATI!$G$211="dx",DATI!$E$61,DATI!$E$64*DATI!$E$63)*1000*C576*sezione!$AD$5</f>
        <v>-699921.89018684451</v>
      </c>
      <c r="Q576" s="545">
        <f>'Foglio deposito bis'!$F$48*IF(ABS(K576)&lt;'Sollecitazioni nel paramento'!$G$58,ABS(K576)*'Sollecitazioni nel paramento'!$G$54,'Sollecitazioni nel paramento'!$G$53)*IF(K576&lt;0,-1,1)</f>
        <v>0</v>
      </c>
      <c r="R576" s="545">
        <f>'Foglio deposito bis'!$F$49*IF(ABS(L576)&lt;'Sollecitazioni nel paramento'!$G$58,ABS(L576)*'Sollecitazioni nel paramento'!$G$54,'Sollecitazioni nel paramento'!$G$53)*IF(L576&lt;0,-1,1)</f>
        <v>204886.47740803001</v>
      </c>
      <c r="S576" s="545">
        <f>'Foglio deposito bis'!$F$50*IF(ABS(M576)&lt;'Sollecitazioni nel paramento'!$G$58,ABS(M576)*'Sollecitazioni nel paramento'!$G$54,'Sollecitazioni nel paramento'!$G$53)*IF(M576&lt;0,-1,1)</f>
        <v>0</v>
      </c>
      <c r="T576" s="545">
        <f>'Foglio deposito bis'!$F$51*IF(ABS(N576)&lt;'Sollecitazioni nel paramento'!$G$58,ABS(N576)*'Sollecitazioni nel paramento'!$G$54,'Sollecitazioni nel paramento'!$G$53)*IF(N576&lt;0,-1,1)</f>
        <v>240946.49743184328</v>
      </c>
      <c r="U576" s="545">
        <f>'Foglio deposito bis'!$F$52*IF(ABS(O576)&lt;'Sollecitazioni nel paramento'!$G$58,ABS(O576)*'Sollecitazioni nel paramento'!$G$54,'Sollecitazioni nel paramento'!$G$53)*IF(O576&lt;0,-1,1)</f>
        <v>240946.49743184328</v>
      </c>
      <c r="V576" s="472">
        <f t="shared" si="43"/>
        <v>-13142.417915127939</v>
      </c>
      <c r="W576" s="551"/>
      <c r="X576" s="551"/>
    </row>
    <row r="577" spans="1:24" x14ac:dyDescent="0.25">
      <c r="A577" s="545">
        <f t="shared" si="44"/>
        <v>22474.709784285893</v>
      </c>
      <c r="B577" s="3">
        <f t="shared" si="45"/>
        <v>3.7999999999999945</v>
      </c>
      <c r="C577" s="545">
        <f>'Foglio deposito bis'!$E$155/sezione!$B$247*B577</f>
        <v>18.617061239887722</v>
      </c>
      <c r="D577" s="603">
        <f>-'Sollecitazioni nel paramento'!$G$47*'Sollecitazioni nel paramento'!$G$41*IF(DATI!$G$211="dx",DATI!$E$61,DATI!$E$64*DATI!$E$63)*1000*C577^2*sezione!$AD$5*(1-sezione!$AD$6)</f>
        <v>-7711269.4685181146</v>
      </c>
      <c r="E577" s="545">
        <f>-'Foglio deposito bis'!$F$48*(C577-sezione!$AL$29)*IF(ABS(K577)&lt;'Sollecitazioni nel paramento'!$G$58,ABS(K577)*'Sollecitazioni nel paramento'!$G$54,'Sollecitazioni nel paramento'!$G$53)</f>
        <v>0</v>
      </c>
      <c r="F577" s="545">
        <f>-'Foglio deposito bis'!$F$49*(C577-sezione!$AM$29)*IF(ABS(L577)&lt;'Sollecitazioni nel paramento'!$G$58,ABS(L577)*'Sollecitazioni nel paramento'!$G$54,'Sollecitazioni nel paramento'!$G$53)</f>
        <v>8478804.5473516341</v>
      </c>
      <c r="G577" s="545">
        <f>-'Foglio deposito bis'!$F$50*(C577-sezione!$AN$29)*IF(ABS(M577)&lt;'Sollecitazioni nel paramento'!$G$58,ABS(M577)*'Sollecitazioni nel paramento'!$G$54,'Sollecitazioni nel paramento'!$G$53)</f>
        <v>0</v>
      </c>
      <c r="H577" s="545">
        <f>-'Foglio deposito bis'!$F$51*(C577-sezione!$AO$29)*IF(ABS(N577)&lt;'Sollecitazioni nel paramento'!$G$58,ABS(N577)*'Sollecitazioni nel paramento'!$G$54,'Sollecitazioni nel paramento'!$G$53)</f>
        <v>34065723.890869841</v>
      </c>
      <c r="I577" s="472">
        <f>-'Foglio deposito bis'!$F$52*(C577-sezione!$AP$29)*IF(ABS(O577)&lt;'Sollecitazioni nel paramento'!$G$58,ABS(O577)*'Sollecitazioni nel paramento'!$G$54,'Sollecitazioni nel paramento'!$G$53)</f>
        <v>73111790.219983652</v>
      </c>
      <c r="J577" s="472">
        <f t="shared" si="42"/>
        <v>107945049.18968701</v>
      </c>
      <c r="K577" s="550">
        <f>'Sollecitazioni nel paramento'!$G$60*(sezione!$AL$29-C577)/C577</f>
        <v>4.0199838576050325E-3</v>
      </c>
      <c r="L577" s="550">
        <f>'Sollecitazioni nel paramento'!$G$60*(sezione!$AM$29-C577)/C577</f>
        <v>7.7799757864075491E-3</v>
      </c>
      <c r="M577" s="551">
        <f>'Sollecitazioni nel paramento'!$G$60*(sezione!$AN$29-C577)/C577</f>
        <v>1.1539967715210065E-2</v>
      </c>
      <c r="N577" s="551">
        <f>'Sollecitazioni nel paramento'!$G$60*(sezione!$AO$29-C577)/C577</f>
        <v>2.6579935430420129E-2</v>
      </c>
      <c r="O577" s="551">
        <f>'Sollecitazioni nel paramento'!$G$60*(sezione!$AP$29-C577)/C577</f>
        <v>5.7045805616079227E-2</v>
      </c>
      <c r="P577" s="545">
        <f>-'Sollecitazioni nel paramento'!$G$47*'Sollecitazioni nel paramento'!$G$41*IF(DATI!$G$211="dx",DATI!$E$61,DATI!$E$64*DATI!$E$63)*1000*C577*sezione!$AD$5</f>
        <v>-709254.18205600244</v>
      </c>
      <c r="Q577" s="545">
        <f>'Foglio deposito bis'!$F$48*IF(ABS(K577)&lt;'Sollecitazioni nel paramento'!$G$58,ABS(K577)*'Sollecitazioni nel paramento'!$G$54,'Sollecitazioni nel paramento'!$G$53)*IF(K577&lt;0,-1,1)</f>
        <v>0</v>
      </c>
      <c r="R577" s="545">
        <f>'Foglio deposito bis'!$F$49*IF(ABS(L577)&lt;'Sollecitazioni nel paramento'!$G$58,ABS(L577)*'Sollecitazioni nel paramento'!$G$54,'Sollecitazioni nel paramento'!$G$53)*IF(L577&lt;0,-1,1)</f>
        <v>204886.47740803001</v>
      </c>
      <c r="S577" s="545">
        <f>'Foglio deposito bis'!$F$50*IF(ABS(M577)&lt;'Sollecitazioni nel paramento'!$G$58,ABS(M577)*'Sollecitazioni nel paramento'!$G$54,'Sollecitazioni nel paramento'!$G$53)*IF(M577&lt;0,-1,1)</f>
        <v>0</v>
      </c>
      <c r="T577" s="545">
        <f>'Foglio deposito bis'!$F$51*IF(ABS(N577)&lt;'Sollecitazioni nel paramento'!$G$58,ABS(N577)*'Sollecitazioni nel paramento'!$G$54,'Sollecitazioni nel paramento'!$G$53)*IF(N577&lt;0,-1,1)</f>
        <v>240946.49743184328</v>
      </c>
      <c r="U577" s="545">
        <f>'Foglio deposito bis'!$F$52*IF(ABS(O577)&lt;'Sollecitazioni nel paramento'!$G$58,ABS(O577)*'Sollecitazioni nel paramento'!$G$54,'Sollecitazioni nel paramento'!$G$53)*IF(O577&lt;0,-1,1)</f>
        <v>240946.49743184328</v>
      </c>
      <c r="V577" s="472">
        <f t="shared" si="43"/>
        <v>-22474.709784285893</v>
      </c>
      <c r="W577" s="551"/>
      <c r="X577" s="551"/>
    </row>
    <row r="578" spans="1:24" x14ac:dyDescent="0.25">
      <c r="A578" s="545">
        <f t="shared" si="44"/>
        <v>31807.001653443935</v>
      </c>
      <c r="B578" s="3">
        <f t="shared" si="45"/>
        <v>3.8499999999999943</v>
      </c>
      <c r="C578" s="545">
        <f>'Foglio deposito bis'!$E$155/sezione!$B$247*B578</f>
        <v>18.86202257199151</v>
      </c>
      <c r="D578" s="603">
        <f>-'Sollecitazioni nel paramento'!$G$47*'Sollecitazioni nel paramento'!$G$41*IF(DATI!$G$211="dx",DATI!$E$61,DATI!$E$64*DATI!$E$63)*1000*C578^2*sezione!$AD$5*(1-sezione!$AD$6)</f>
        <v>-7915532.6660048338</v>
      </c>
      <c r="E578" s="545">
        <f>-'Foglio deposito bis'!$F$48*(C578-sezione!$AL$29)*IF(ABS(K578)&lt;'Sollecitazioni nel paramento'!$G$58,ABS(K578)*'Sollecitazioni nel paramento'!$G$54,'Sollecitazioni nel paramento'!$G$53)</f>
        <v>0</v>
      </c>
      <c r="F578" s="545">
        <f>-'Foglio deposito bis'!$F$49*(C578-sezione!$AM$29)*IF(ABS(L578)&lt;'Sollecitazioni nel paramento'!$G$58,ABS(L578)*'Sollecitazioni nel paramento'!$G$54,'Sollecitazioni nel paramento'!$G$53)</f>
        <v>8428615.2829157095</v>
      </c>
      <c r="G578" s="545">
        <f>-'Foglio deposito bis'!$F$50*(C578-sezione!$AN$29)*IF(ABS(M578)&lt;'Sollecitazioni nel paramento'!$G$58,ABS(M578)*'Sollecitazioni nel paramento'!$G$54,'Sollecitazioni nel paramento'!$G$53)</f>
        <v>0</v>
      </c>
      <c r="H578" s="545">
        <f>-'Foglio deposito bis'!$F$51*(C578-sezione!$AO$29)*IF(ABS(N578)&lt;'Sollecitazioni nel paramento'!$G$58,ABS(N578)*'Sollecitazioni nel paramento'!$G$54,'Sollecitazioni nel paramento'!$G$53)</f>
        <v>34006701.315893203</v>
      </c>
      <c r="I578" s="472">
        <f>-'Foglio deposito bis'!$F$52*(C578-sezione!$AP$29)*IF(ABS(O578)&lt;'Sollecitazioni nel paramento'!$G$58,ABS(O578)*'Sollecitazioni nel paramento'!$G$54,'Sollecitazioni nel paramento'!$G$53)</f>
        <v>73052767.645007014</v>
      </c>
      <c r="J578" s="472">
        <f t="shared" si="42"/>
        <v>107572551.57781109</v>
      </c>
      <c r="K578" s="550">
        <f>'Sollecitazioni nel paramento'!$G$60*(sezione!$AL$29-C578)/C578</f>
        <v>3.9223217295841876E-3</v>
      </c>
      <c r="L578" s="550">
        <f>'Sollecitazioni nel paramento'!$G$60*(sezione!$AM$29-C578)/C578</f>
        <v>7.6334825943762813E-3</v>
      </c>
      <c r="M578" s="551">
        <f>'Sollecitazioni nel paramento'!$G$60*(sezione!$AN$29-C578)/C578</f>
        <v>1.1344643459168373E-2</v>
      </c>
      <c r="N578" s="551">
        <f>'Sollecitazioni nel paramento'!$G$60*(sezione!$AO$29-C578)/C578</f>
        <v>2.618928691833675E-2</v>
      </c>
      <c r="O578" s="551">
        <f>'Sollecitazioni nel paramento'!$G$60*(sezione!$AP$29-C578)/C578</f>
        <v>5.6259496452234034E-2</v>
      </c>
      <c r="P578" s="545">
        <f>-'Sollecitazioni nel paramento'!$G$47*'Sollecitazioni nel paramento'!$G$41*IF(DATI!$G$211="dx",DATI!$E$61,DATI!$E$64*DATI!$E$63)*1000*C578*sezione!$AD$5</f>
        <v>-718586.47392516048</v>
      </c>
      <c r="Q578" s="545">
        <f>'Foglio deposito bis'!$F$48*IF(ABS(K578)&lt;'Sollecitazioni nel paramento'!$G$58,ABS(K578)*'Sollecitazioni nel paramento'!$G$54,'Sollecitazioni nel paramento'!$G$53)*IF(K578&lt;0,-1,1)</f>
        <v>0</v>
      </c>
      <c r="R578" s="545">
        <f>'Foglio deposito bis'!$F$49*IF(ABS(L578)&lt;'Sollecitazioni nel paramento'!$G$58,ABS(L578)*'Sollecitazioni nel paramento'!$G$54,'Sollecitazioni nel paramento'!$G$53)*IF(L578&lt;0,-1,1)</f>
        <v>204886.47740803001</v>
      </c>
      <c r="S578" s="545">
        <f>'Foglio deposito bis'!$F$50*IF(ABS(M578)&lt;'Sollecitazioni nel paramento'!$G$58,ABS(M578)*'Sollecitazioni nel paramento'!$G$54,'Sollecitazioni nel paramento'!$G$53)*IF(M578&lt;0,-1,1)</f>
        <v>0</v>
      </c>
      <c r="T578" s="545">
        <f>'Foglio deposito bis'!$F$51*IF(ABS(N578)&lt;'Sollecitazioni nel paramento'!$G$58,ABS(N578)*'Sollecitazioni nel paramento'!$G$54,'Sollecitazioni nel paramento'!$G$53)*IF(N578&lt;0,-1,1)</f>
        <v>240946.49743184328</v>
      </c>
      <c r="U578" s="545">
        <f>'Foglio deposito bis'!$F$52*IF(ABS(O578)&lt;'Sollecitazioni nel paramento'!$G$58,ABS(O578)*'Sollecitazioni nel paramento'!$G$54,'Sollecitazioni nel paramento'!$G$53)*IF(O578&lt;0,-1,1)</f>
        <v>240946.49743184328</v>
      </c>
      <c r="V578" s="472">
        <f t="shared" si="43"/>
        <v>-31807.001653443935</v>
      </c>
      <c r="W578" s="551"/>
      <c r="X578" s="551"/>
    </row>
    <row r="579" spans="1:24" x14ac:dyDescent="0.25">
      <c r="A579" s="545">
        <f t="shared" si="44"/>
        <v>41139.293522601743</v>
      </c>
      <c r="B579" s="3">
        <f t="shared" si="45"/>
        <v>3.8999999999999941</v>
      </c>
      <c r="C579" s="545">
        <f>'Foglio deposito bis'!$E$155/sezione!$B$247*B579</f>
        <v>19.106983904095294</v>
      </c>
      <c r="D579" s="603">
        <f>-'Sollecitazioni nel paramento'!$G$47*'Sollecitazioni nel paramento'!$G$41*IF(DATI!$G$211="dx",DATI!$E$61,DATI!$E$64*DATI!$E$63)*1000*C579^2*sezione!$AD$5*(1-sezione!$AD$6)</f>
        <v>-8122465.9706482366</v>
      </c>
      <c r="E579" s="545">
        <f>-'Foglio deposito bis'!$F$48*(C579-sezione!$AL$29)*IF(ABS(K579)&lt;'Sollecitazioni nel paramento'!$G$58,ABS(K579)*'Sollecitazioni nel paramento'!$G$54,'Sollecitazioni nel paramento'!$G$53)</f>
        <v>0</v>
      </c>
      <c r="F579" s="545">
        <f>-'Foglio deposito bis'!$F$49*(C579-sezione!$AM$29)*IF(ABS(L579)&lt;'Sollecitazioni nel paramento'!$G$58,ABS(L579)*'Sollecitazioni nel paramento'!$G$54,'Sollecitazioni nel paramento'!$G$53)</f>
        <v>8378426.0184797868</v>
      </c>
      <c r="G579" s="545">
        <f>-'Foglio deposito bis'!$F$50*(C579-sezione!$AN$29)*IF(ABS(M579)&lt;'Sollecitazioni nel paramento'!$G$58,ABS(M579)*'Sollecitazioni nel paramento'!$G$54,'Sollecitazioni nel paramento'!$G$53)</f>
        <v>0</v>
      </c>
      <c r="H579" s="545">
        <f>-'Foglio deposito bis'!$F$51*(C579-sezione!$AO$29)*IF(ABS(N579)&lt;'Sollecitazioni nel paramento'!$G$58,ABS(N579)*'Sollecitazioni nel paramento'!$G$54,'Sollecitazioni nel paramento'!$G$53)</f>
        <v>33947678.74091655</v>
      </c>
      <c r="I579" s="472">
        <f>-'Foglio deposito bis'!$F$52*(C579-sezione!$AP$29)*IF(ABS(O579)&lt;'Sollecitazioni nel paramento'!$G$58,ABS(O579)*'Sollecitazioni nel paramento'!$G$54,'Sollecitazioni nel paramento'!$G$53)</f>
        <v>72993745.070030376</v>
      </c>
      <c r="J579" s="472">
        <f t="shared" si="42"/>
        <v>107197383.85877848</v>
      </c>
      <c r="K579" s="550">
        <f>'Sollecitazioni nel paramento'!$G$60*(sezione!$AL$29-C579)/C579</f>
        <v>3.8271637586920829E-3</v>
      </c>
      <c r="L579" s="550">
        <f>'Sollecitazioni nel paramento'!$G$60*(sezione!$AM$29-C579)/C579</f>
        <v>7.490745638038125E-3</v>
      </c>
      <c r="M579" s="551">
        <f>'Sollecitazioni nel paramento'!$G$60*(sezione!$AN$29-C579)/C579</f>
        <v>1.1154327517384167E-2</v>
      </c>
      <c r="N579" s="551">
        <f>'Sollecitazioni nel paramento'!$G$60*(sezione!$AO$29-C579)/C579</f>
        <v>2.580865503476833E-2</v>
      </c>
      <c r="O579" s="551">
        <f>'Sollecitazioni nel paramento'!$G$60*(sezione!$AP$29-C579)/C579</f>
        <v>5.5493349061820789E-2</v>
      </c>
      <c r="P579" s="545">
        <f>-'Sollecitazioni nel paramento'!$G$47*'Sollecitazioni nel paramento'!$G$41*IF(DATI!$G$211="dx",DATI!$E$61,DATI!$E$64*DATI!$E$63)*1000*C579*sezione!$AD$5</f>
        <v>-727918.76579431829</v>
      </c>
      <c r="Q579" s="545">
        <f>'Foglio deposito bis'!$F$48*IF(ABS(K579)&lt;'Sollecitazioni nel paramento'!$G$58,ABS(K579)*'Sollecitazioni nel paramento'!$G$54,'Sollecitazioni nel paramento'!$G$53)*IF(K579&lt;0,-1,1)</f>
        <v>0</v>
      </c>
      <c r="R579" s="545">
        <f>'Foglio deposito bis'!$F$49*IF(ABS(L579)&lt;'Sollecitazioni nel paramento'!$G$58,ABS(L579)*'Sollecitazioni nel paramento'!$G$54,'Sollecitazioni nel paramento'!$G$53)*IF(L579&lt;0,-1,1)</f>
        <v>204886.47740803001</v>
      </c>
      <c r="S579" s="545">
        <f>'Foglio deposito bis'!$F$50*IF(ABS(M579)&lt;'Sollecitazioni nel paramento'!$G$58,ABS(M579)*'Sollecitazioni nel paramento'!$G$54,'Sollecitazioni nel paramento'!$G$53)*IF(M579&lt;0,-1,1)</f>
        <v>0</v>
      </c>
      <c r="T579" s="545">
        <f>'Foglio deposito bis'!$F$51*IF(ABS(N579)&lt;'Sollecitazioni nel paramento'!$G$58,ABS(N579)*'Sollecitazioni nel paramento'!$G$54,'Sollecitazioni nel paramento'!$G$53)*IF(N579&lt;0,-1,1)</f>
        <v>240946.49743184328</v>
      </c>
      <c r="U579" s="545">
        <f>'Foglio deposito bis'!$F$52*IF(ABS(O579)&lt;'Sollecitazioni nel paramento'!$G$58,ABS(O579)*'Sollecitazioni nel paramento'!$G$54,'Sollecitazioni nel paramento'!$G$53)*IF(O579&lt;0,-1,1)</f>
        <v>240946.49743184328</v>
      </c>
      <c r="V579" s="472">
        <f t="shared" si="43"/>
        <v>-41139.293522601743</v>
      </c>
      <c r="W579" s="551"/>
      <c r="X579" s="551"/>
    </row>
    <row r="580" spans="1:24" x14ac:dyDescent="0.25">
      <c r="A580" s="545">
        <f t="shared" si="44"/>
        <v>50471.585391759436</v>
      </c>
      <c r="B580" s="3">
        <f t="shared" si="45"/>
        <v>3.949999999999994</v>
      </c>
      <c r="C580" s="545">
        <f>'Foglio deposito bis'!$E$155/sezione!$B$247*B580</f>
        <v>19.351945236199079</v>
      </c>
      <c r="D580" s="603">
        <f>-'Sollecitazioni nel paramento'!$G$47*'Sollecitazioni nel paramento'!$G$41*IF(DATI!$G$211="dx",DATI!$E$61,DATI!$E$64*DATI!$E$63)*1000*C580^2*sezione!$AD$5*(1-sezione!$AD$6)</f>
        <v>-8332069.3824483305</v>
      </c>
      <c r="E580" s="545">
        <f>-'Foglio deposito bis'!$F$48*(C580-sezione!$AL$29)*IF(ABS(K580)&lt;'Sollecitazioni nel paramento'!$G$58,ABS(K580)*'Sollecitazioni nel paramento'!$G$54,'Sollecitazioni nel paramento'!$G$53)</f>
        <v>0</v>
      </c>
      <c r="F580" s="545">
        <f>-'Foglio deposito bis'!$F$49*(C580-sezione!$AM$29)*IF(ABS(L580)&lt;'Sollecitazioni nel paramento'!$G$58,ABS(L580)*'Sollecitazioni nel paramento'!$G$54,'Sollecitazioni nel paramento'!$G$53)</f>
        <v>8328236.7540438641</v>
      </c>
      <c r="G580" s="545">
        <f>-'Foglio deposito bis'!$F$50*(C580-sezione!$AN$29)*IF(ABS(M580)&lt;'Sollecitazioni nel paramento'!$G$58,ABS(M580)*'Sollecitazioni nel paramento'!$G$54,'Sollecitazioni nel paramento'!$G$53)</f>
        <v>0</v>
      </c>
      <c r="H580" s="545">
        <f>-'Foglio deposito bis'!$F$51*(C580-sezione!$AO$29)*IF(ABS(N580)&lt;'Sollecitazioni nel paramento'!$G$58,ABS(N580)*'Sollecitazioni nel paramento'!$G$54,'Sollecitazioni nel paramento'!$G$53)</f>
        <v>33888656.165939912</v>
      </c>
      <c r="I580" s="472">
        <f>-'Foglio deposito bis'!$F$52*(C580-sezione!$AP$29)*IF(ABS(O580)&lt;'Sollecitazioni nel paramento'!$G$58,ABS(O580)*'Sollecitazioni nel paramento'!$G$54,'Sollecitazioni nel paramento'!$G$53)</f>
        <v>72934722.495053723</v>
      </c>
      <c r="J580" s="472">
        <f t="shared" si="42"/>
        <v>106819546.03258917</v>
      </c>
      <c r="K580" s="550">
        <f>'Sollecitazioni nel paramento'!$G$60*(sezione!$AL$29-C580)/C580</f>
        <v>3.7344148503542091E-3</v>
      </c>
      <c r="L580" s="550">
        <f>'Sollecitazioni nel paramento'!$G$60*(sezione!$AM$29-C580)/C580</f>
        <v>7.3516222755313134E-3</v>
      </c>
      <c r="M580" s="551">
        <f>'Sollecitazioni nel paramento'!$G$60*(sezione!$AN$29-C580)/C580</f>
        <v>1.0968829700708418E-2</v>
      </c>
      <c r="N580" s="551">
        <f>'Sollecitazioni nel paramento'!$G$60*(sezione!$AO$29-C580)/C580</f>
        <v>2.5437659401416839E-2</v>
      </c>
      <c r="O580" s="551">
        <f>'Sollecitazioni nel paramento'!$G$60*(sezione!$AP$29-C580)/C580</f>
        <v>5.4746597807873693E-2</v>
      </c>
      <c r="P580" s="545">
        <f>-'Sollecitazioni nel paramento'!$G$47*'Sollecitazioni nel paramento'!$G$41*IF(DATI!$G$211="dx",DATI!$E$61,DATI!$E$64*DATI!$E$63)*1000*C580*sezione!$AD$5</f>
        <v>-737251.05766347609</v>
      </c>
      <c r="Q580" s="545">
        <f>'Foglio deposito bis'!$F$48*IF(ABS(K580)&lt;'Sollecitazioni nel paramento'!$G$58,ABS(K580)*'Sollecitazioni nel paramento'!$G$54,'Sollecitazioni nel paramento'!$G$53)*IF(K580&lt;0,-1,1)</f>
        <v>0</v>
      </c>
      <c r="R580" s="545">
        <f>'Foglio deposito bis'!$F$49*IF(ABS(L580)&lt;'Sollecitazioni nel paramento'!$G$58,ABS(L580)*'Sollecitazioni nel paramento'!$G$54,'Sollecitazioni nel paramento'!$G$53)*IF(L580&lt;0,-1,1)</f>
        <v>204886.47740803001</v>
      </c>
      <c r="S580" s="545">
        <f>'Foglio deposito bis'!$F$50*IF(ABS(M580)&lt;'Sollecitazioni nel paramento'!$G$58,ABS(M580)*'Sollecitazioni nel paramento'!$G$54,'Sollecitazioni nel paramento'!$G$53)*IF(M580&lt;0,-1,1)</f>
        <v>0</v>
      </c>
      <c r="T580" s="545">
        <f>'Foglio deposito bis'!$F$51*IF(ABS(N580)&lt;'Sollecitazioni nel paramento'!$G$58,ABS(N580)*'Sollecitazioni nel paramento'!$G$54,'Sollecitazioni nel paramento'!$G$53)*IF(N580&lt;0,-1,1)</f>
        <v>240946.49743184328</v>
      </c>
      <c r="U580" s="545">
        <f>'Foglio deposito bis'!$F$52*IF(ABS(O580)&lt;'Sollecitazioni nel paramento'!$G$58,ABS(O580)*'Sollecitazioni nel paramento'!$G$54,'Sollecitazioni nel paramento'!$G$53)*IF(O580&lt;0,-1,1)</f>
        <v>240946.49743184328</v>
      </c>
      <c r="V580" s="472">
        <f t="shared" si="43"/>
        <v>-50471.585391759436</v>
      </c>
      <c r="W580" s="551"/>
      <c r="X580" s="551"/>
    </row>
    <row r="581" spans="1:24" x14ac:dyDescent="0.25">
      <c r="A581" s="545">
        <f t="shared" si="44"/>
        <v>59803.877260917361</v>
      </c>
      <c r="B581" s="3">
        <f t="shared" si="45"/>
        <v>3.9999999999999938</v>
      </c>
      <c r="C581" s="545">
        <f>'Foglio deposito bis'!$E$155/sezione!$B$247*B581</f>
        <v>19.596906568302863</v>
      </c>
      <c r="D581" s="603">
        <f>-'Sollecitazioni nel paramento'!$G$47*'Sollecitazioni nel paramento'!$G$41*IF(DATI!$G$211="dx",DATI!$E$61,DATI!$E$64*DATI!$E$63)*1000*C581^2*sezione!$AD$5*(1-sezione!$AD$6)</f>
        <v>-8544342.9014051128</v>
      </c>
      <c r="E581" s="545">
        <f>-'Foglio deposito bis'!$F$48*(C581-sezione!$AL$29)*IF(ABS(K581)&lt;'Sollecitazioni nel paramento'!$G$58,ABS(K581)*'Sollecitazioni nel paramento'!$G$54,'Sollecitazioni nel paramento'!$G$53)</f>
        <v>0</v>
      </c>
      <c r="F581" s="545">
        <f>-'Foglio deposito bis'!$F$49*(C581-sezione!$AM$29)*IF(ABS(L581)&lt;'Sollecitazioni nel paramento'!$G$58,ABS(L581)*'Sollecitazioni nel paramento'!$G$54,'Sollecitazioni nel paramento'!$G$53)</f>
        <v>8278047.4896079404</v>
      </c>
      <c r="G581" s="545">
        <f>-'Foglio deposito bis'!$F$50*(C581-sezione!$AN$29)*IF(ABS(M581)&lt;'Sollecitazioni nel paramento'!$G$58,ABS(M581)*'Sollecitazioni nel paramento'!$G$54,'Sollecitazioni nel paramento'!$G$53)</f>
        <v>0</v>
      </c>
      <c r="H581" s="545">
        <f>-'Foglio deposito bis'!$F$51*(C581-sezione!$AO$29)*IF(ABS(N581)&lt;'Sollecitazioni nel paramento'!$G$58,ABS(N581)*'Sollecitazioni nel paramento'!$G$54,'Sollecitazioni nel paramento'!$G$53)</f>
        <v>33829633.590963267</v>
      </c>
      <c r="I581" s="472">
        <f>-'Foglio deposito bis'!$F$52*(C581-sezione!$AP$29)*IF(ABS(O581)&lt;'Sollecitazioni nel paramento'!$G$58,ABS(O581)*'Sollecitazioni nel paramento'!$G$54,'Sollecitazioni nel paramento'!$G$53)</f>
        <v>72875699.920077071</v>
      </c>
      <c r="J581" s="472">
        <f t="shared" si="42"/>
        <v>106439038.09924316</v>
      </c>
      <c r="K581" s="550">
        <f>'Sollecitazioni nel paramento'!$G$60*(sezione!$AL$29-C581)/C581</f>
        <v>3.6439846647247816E-3</v>
      </c>
      <c r="L581" s="550">
        <f>'Sollecitazioni nel paramento'!$G$60*(sezione!$AM$29-C581)/C581</f>
        <v>7.2159769970871731E-3</v>
      </c>
      <c r="M581" s="551">
        <f>'Sollecitazioni nel paramento'!$G$60*(sezione!$AN$29-C581)/C581</f>
        <v>1.0787969329449565E-2</v>
      </c>
      <c r="N581" s="551">
        <f>'Sollecitazioni nel paramento'!$G$60*(sezione!$AO$29-C581)/C581</f>
        <v>2.5075938658899125E-2</v>
      </c>
      <c r="O581" s="551">
        <f>'Sollecitazioni nel paramento'!$G$60*(sezione!$AP$29-C581)/C581</f>
        <v>5.4018515335275276E-2</v>
      </c>
      <c r="P581" s="545">
        <f>-'Sollecitazioni nel paramento'!$G$47*'Sollecitazioni nel paramento'!$G$41*IF(DATI!$G$211="dx",DATI!$E$61,DATI!$E$64*DATI!$E$63)*1000*C581*sezione!$AD$5</f>
        <v>-746583.34953263402</v>
      </c>
      <c r="Q581" s="545">
        <f>'Foglio deposito bis'!$F$48*IF(ABS(K581)&lt;'Sollecitazioni nel paramento'!$G$58,ABS(K581)*'Sollecitazioni nel paramento'!$G$54,'Sollecitazioni nel paramento'!$G$53)*IF(K581&lt;0,-1,1)</f>
        <v>0</v>
      </c>
      <c r="R581" s="545">
        <f>'Foglio deposito bis'!$F$49*IF(ABS(L581)&lt;'Sollecitazioni nel paramento'!$G$58,ABS(L581)*'Sollecitazioni nel paramento'!$G$54,'Sollecitazioni nel paramento'!$G$53)*IF(L581&lt;0,-1,1)</f>
        <v>204886.47740803001</v>
      </c>
      <c r="S581" s="545">
        <f>'Foglio deposito bis'!$F$50*IF(ABS(M581)&lt;'Sollecitazioni nel paramento'!$G$58,ABS(M581)*'Sollecitazioni nel paramento'!$G$54,'Sollecitazioni nel paramento'!$G$53)*IF(M581&lt;0,-1,1)</f>
        <v>0</v>
      </c>
      <c r="T581" s="545">
        <f>'Foglio deposito bis'!$F$51*IF(ABS(N581)&lt;'Sollecitazioni nel paramento'!$G$58,ABS(N581)*'Sollecitazioni nel paramento'!$G$54,'Sollecitazioni nel paramento'!$G$53)*IF(N581&lt;0,-1,1)</f>
        <v>240946.49743184328</v>
      </c>
      <c r="U581" s="545">
        <f>'Foglio deposito bis'!$F$52*IF(ABS(O581)&lt;'Sollecitazioni nel paramento'!$G$58,ABS(O581)*'Sollecitazioni nel paramento'!$G$54,'Sollecitazioni nel paramento'!$G$53)*IF(O581&lt;0,-1,1)</f>
        <v>240946.49743184328</v>
      </c>
      <c r="V581" s="472">
        <f t="shared" si="43"/>
        <v>-59803.877260917361</v>
      </c>
      <c r="W581" s="551"/>
      <c r="X581" s="551"/>
    </row>
    <row r="582" spans="1:24" x14ac:dyDescent="0.25">
      <c r="A582" s="545">
        <f t="shared" si="44"/>
        <v>69136.169130075519</v>
      </c>
      <c r="B582" s="3">
        <f t="shared" si="45"/>
        <v>4.0499999999999936</v>
      </c>
      <c r="C582" s="545">
        <f>'Foglio deposito bis'!$E$155/sezione!$B$247*B582</f>
        <v>19.841867900406651</v>
      </c>
      <c r="D582" s="603">
        <f>-'Sollecitazioni nel paramento'!$G$47*'Sollecitazioni nel paramento'!$G$41*IF(DATI!$G$211="dx",DATI!$E$61,DATI!$E$64*DATI!$E$63)*1000*C582^2*sezione!$AD$5*(1-sezione!$AD$6)</f>
        <v>-8759286.5275185853</v>
      </c>
      <c r="E582" s="545">
        <f>-'Foglio deposito bis'!$F$48*(C582-sezione!$AL$29)*IF(ABS(K582)&lt;'Sollecitazioni nel paramento'!$G$58,ABS(K582)*'Sollecitazioni nel paramento'!$G$54,'Sollecitazioni nel paramento'!$G$53)</f>
        <v>0</v>
      </c>
      <c r="F582" s="545">
        <f>-'Foglio deposito bis'!$F$49*(C582-sezione!$AM$29)*IF(ABS(L582)&lt;'Sollecitazioni nel paramento'!$G$58,ABS(L582)*'Sollecitazioni nel paramento'!$G$54,'Sollecitazioni nel paramento'!$G$53)</f>
        <v>8227858.2251720168</v>
      </c>
      <c r="G582" s="545">
        <f>-'Foglio deposito bis'!$F$50*(C582-sezione!$AN$29)*IF(ABS(M582)&lt;'Sollecitazioni nel paramento'!$G$58,ABS(M582)*'Sollecitazioni nel paramento'!$G$54,'Sollecitazioni nel paramento'!$G$53)</f>
        <v>0</v>
      </c>
      <c r="H582" s="545">
        <f>-'Foglio deposito bis'!$F$51*(C582-sezione!$AO$29)*IF(ABS(N582)&lt;'Sollecitazioni nel paramento'!$G$58,ABS(N582)*'Sollecitazioni nel paramento'!$G$54,'Sollecitazioni nel paramento'!$G$53)</f>
        <v>33770611.015986621</v>
      </c>
      <c r="I582" s="472">
        <f>-'Foglio deposito bis'!$F$52*(C582-sezione!$AP$29)*IF(ABS(O582)&lt;'Sollecitazioni nel paramento'!$G$58,ABS(O582)*'Sollecitazioni nel paramento'!$G$54,'Sollecitazioni nel paramento'!$G$53)</f>
        <v>72816677.345100433</v>
      </c>
      <c r="J582" s="472">
        <f t="shared" si="42"/>
        <v>106055860.05874048</v>
      </c>
      <c r="K582" s="550">
        <f>'Sollecitazioni nel paramento'!$G$60*(sezione!$AL$29-C582)/C582</f>
        <v>3.5557873231849687E-3</v>
      </c>
      <c r="L582" s="550">
        <f>'Sollecitazioni nel paramento'!$G$60*(sezione!$AM$29-C582)/C582</f>
        <v>7.0836809847774525E-3</v>
      </c>
      <c r="M582" s="551">
        <f>'Sollecitazioni nel paramento'!$G$60*(sezione!$AN$29-C582)/C582</f>
        <v>1.0611574646369937E-2</v>
      </c>
      <c r="N582" s="551">
        <f>'Sollecitazioni nel paramento'!$G$60*(sezione!$AO$29-C582)/C582</f>
        <v>2.4723149292739877E-2</v>
      </c>
      <c r="O582" s="551">
        <f>'Sollecitazioni nel paramento'!$G$60*(sezione!$AP$29-C582)/C582</f>
        <v>5.3308410207679277E-2</v>
      </c>
      <c r="P582" s="545">
        <f>-'Sollecitazioni nel paramento'!$G$47*'Sollecitazioni nel paramento'!$G$41*IF(DATI!$G$211="dx",DATI!$E$61,DATI!$E$64*DATI!$E$63)*1000*C582*sezione!$AD$5</f>
        <v>-755915.64140179206</v>
      </c>
      <c r="Q582" s="545">
        <f>'Foglio deposito bis'!$F$48*IF(ABS(K582)&lt;'Sollecitazioni nel paramento'!$G$58,ABS(K582)*'Sollecitazioni nel paramento'!$G$54,'Sollecitazioni nel paramento'!$G$53)*IF(K582&lt;0,-1,1)</f>
        <v>0</v>
      </c>
      <c r="R582" s="545">
        <f>'Foglio deposito bis'!$F$49*IF(ABS(L582)&lt;'Sollecitazioni nel paramento'!$G$58,ABS(L582)*'Sollecitazioni nel paramento'!$G$54,'Sollecitazioni nel paramento'!$G$53)*IF(L582&lt;0,-1,1)</f>
        <v>204886.47740803001</v>
      </c>
      <c r="S582" s="545">
        <f>'Foglio deposito bis'!$F$50*IF(ABS(M582)&lt;'Sollecitazioni nel paramento'!$G$58,ABS(M582)*'Sollecitazioni nel paramento'!$G$54,'Sollecitazioni nel paramento'!$G$53)*IF(M582&lt;0,-1,1)</f>
        <v>0</v>
      </c>
      <c r="T582" s="545">
        <f>'Foglio deposito bis'!$F$51*IF(ABS(N582)&lt;'Sollecitazioni nel paramento'!$G$58,ABS(N582)*'Sollecitazioni nel paramento'!$G$54,'Sollecitazioni nel paramento'!$G$53)*IF(N582&lt;0,-1,1)</f>
        <v>240946.49743184328</v>
      </c>
      <c r="U582" s="545">
        <f>'Foglio deposito bis'!$F$52*IF(ABS(O582)&lt;'Sollecitazioni nel paramento'!$G$58,ABS(O582)*'Sollecitazioni nel paramento'!$G$54,'Sollecitazioni nel paramento'!$G$53)*IF(O582&lt;0,-1,1)</f>
        <v>240946.49743184328</v>
      </c>
      <c r="V582" s="472">
        <f t="shared" si="43"/>
        <v>-69136.169130075519</v>
      </c>
      <c r="W582" s="551"/>
      <c r="X582" s="551"/>
    </row>
    <row r="583" spans="1:24" x14ac:dyDescent="0.25">
      <c r="A583" s="545">
        <f t="shared" si="44"/>
        <v>78468.460999233212</v>
      </c>
      <c r="B583" s="3">
        <f t="shared" si="45"/>
        <v>4.0999999999999934</v>
      </c>
      <c r="C583" s="545">
        <f>'Foglio deposito bis'!$E$155/sezione!$B$247*B583</f>
        <v>20.086829232510436</v>
      </c>
      <c r="D583" s="603">
        <f>-'Sollecitazioni nel paramento'!$G$47*'Sollecitazioni nel paramento'!$G$41*IF(DATI!$G$211="dx",DATI!$E$61,DATI!$E$64*DATI!$E$63)*1000*C583^2*sezione!$AD$5*(1-sezione!$AD$6)</f>
        <v>-8976900.2607887462</v>
      </c>
      <c r="E583" s="545">
        <f>-'Foglio deposito bis'!$F$48*(C583-sezione!$AL$29)*IF(ABS(K583)&lt;'Sollecitazioni nel paramento'!$G$58,ABS(K583)*'Sollecitazioni nel paramento'!$G$54,'Sollecitazioni nel paramento'!$G$53)</f>
        <v>0</v>
      </c>
      <c r="F583" s="545">
        <f>-'Foglio deposito bis'!$F$49*(C583-sezione!$AM$29)*IF(ABS(L583)&lt;'Sollecitazioni nel paramento'!$G$58,ABS(L583)*'Sollecitazioni nel paramento'!$G$54,'Sollecitazioni nel paramento'!$G$53)</f>
        <v>8177668.960736094</v>
      </c>
      <c r="G583" s="545">
        <f>-'Foglio deposito bis'!$F$50*(C583-sezione!$AN$29)*IF(ABS(M583)&lt;'Sollecitazioni nel paramento'!$G$58,ABS(M583)*'Sollecitazioni nel paramento'!$G$54,'Sollecitazioni nel paramento'!$G$53)</f>
        <v>0</v>
      </c>
      <c r="H583" s="545">
        <f>-'Foglio deposito bis'!$F$51*(C583-sezione!$AO$29)*IF(ABS(N583)&lt;'Sollecitazioni nel paramento'!$G$58,ABS(N583)*'Sollecitazioni nel paramento'!$G$54,'Sollecitazioni nel paramento'!$G$53)</f>
        <v>33711588.441009969</v>
      </c>
      <c r="I583" s="472">
        <f>-'Foglio deposito bis'!$F$52*(C583-sezione!$AP$29)*IF(ABS(O583)&lt;'Sollecitazioni nel paramento'!$G$58,ABS(O583)*'Sollecitazioni nel paramento'!$G$54,'Sollecitazioni nel paramento'!$G$53)</f>
        <v>72757654.770123795</v>
      </c>
      <c r="J583" s="472">
        <f t="shared" si="42"/>
        <v>105670011.91108111</v>
      </c>
      <c r="K583" s="550">
        <f>'Sollecitazioni nel paramento'!$G$60*(sezione!$AL$29-C583)/C583</f>
        <v>3.4697411363168599E-3</v>
      </c>
      <c r="L583" s="550">
        <f>'Sollecitazioni nel paramento'!$G$60*(sezione!$AM$29-C583)/C583</f>
        <v>6.9546117044752892E-3</v>
      </c>
      <c r="M583" s="551">
        <f>'Sollecitazioni nel paramento'!$G$60*(sezione!$AN$29-C583)/C583</f>
        <v>1.0439482272633719E-2</v>
      </c>
      <c r="N583" s="551">
        <f>'Sollecitazioni nel paramento'!$G$60*(sezione!$AO$29-C583)/C583</f>
        <v>2.4378964545267438E-2</v>
      </c>
      <c r="O583" s="551">
        <f>'Sollecitazioni nel paramento'!$G$60*(sezione!$AP$29-C583)/C583</f>
        <v>5.2615624717341734E-2</v>
      </c>
      <c r="P583" s="545">
        <f>-'Sollecitazioni nel paramento'!$G$47*'Sollecitazioni nel paramento'!$G$41*IF(DATI!$G$211="dx",DATI!$E$61,DATI!$E$64*DATI!$E$63)*1000*C583*sezione!$AD$5</f>
        <v>-765247.93327094987</v>
      </c>
      <c r="Q583" s="545">
        <f>'Foglio deposito bis'!$F$48*IF(ABS(K583)&lt;'Sollecitazioni nel paramento'!$G$58,ABS(K583)*'Sollecitazioni nel paramento'!$G$54,'Sollecitazioni nel paramento'!$G$53)*IF(K583&lt;0,-1,1)</f>
        <v>0</v>
      </c>
      <c r="R583" s="545">
        <f>'Foglio deposito bis'!$F$49*IF(ABS(L583)&lt;'Sollecitazioni nel paramento'!$G$58,ABS(L583)*'Sollecitazioni nel paramento'!$G$54,'Sollecitazioni nel paramento'!$G$53)*IF(L583&lt;0,-1,1)</f>
        <v>204886.47740803001</v>
      </c>
      <c r="S583" s="545">
        <f>'Foglio deposito bis'!$F$50*IF(ABS(M583)&lt;'Sollecitazioni nel paramento'!$G$58,ABS(M583)*'Sollecitazioni nel paramento'!$G$54,'Sollecitazioni nel paramento'!$G$53)*IF(M583&lt;0,-1,1)</f>
        <v>0</v>
      </c>
      <c r="T583" s="545">
        <f>'Foglio deposito bis'!$F$51*IF(ABS(N583)&lt;'Sollecitazioni nel paramento'!$G$58,ABS(N583)*'Sollecitazioni nel paramento'!$G$54,'Sollecitazioni nel paramento'!$G$53)*IF(N583&lt;0,-1,1)</f>
        <v>240946.49743184328</v>
      </c>
      <c r="U583" s="545">
        <f>'Foglio deposito bis'!$F$52*IF(ABS(O583)&lt;'Sollecitazioni nel paramento'!$G$58,ABS(O583)*'Sollecitazioni nel paramento'!$G$54,'Sollecitazioni nel paramento'!$G$53)*IF(O583&lt;0,-1,1)</f>
        <v>240946.49743184328</v>
      </c>
      <c r="V583" s="472">
        <f t="shared" si="43"/>
        <v>-78468.460999233212</v>
      </c>
      <c r="W583" s="551"/>
      <c r="X583" s="551"/>
    </row>
    <row r="584" spans="1:24" x14ac:dyDescent="0.25">
      <c r="A584" s="545">
        <f t="shared" si="44"/>
        <v>87800.752868391137</v>
      </c>
      <c r="B584" s="3">
        <f t="shared" si="45"/>
        <v>4.1499999999999932</v>
      </c>
      <c r="C584" s="545">
        <f>'Foglio deposito bis'!$E$155/sezione!$B$247*B584</f>
        <v>20.33179056461422</v>
      </c>
      <c r="D584" s="603">
        <f>-'Sollecitazioni nel paramento'!$G$47*'Sollecitazioni nel paramento'!$G$41*IF(DATI!$G$211="dx",DATI!$E$61,DATI!$E$64*DATI!$E$63)*1000*C584^2*sezione!$AD$5*(1-sezione!$AD$6)</f>
        <v>-9197184.1012155954</v>
      </c>
      <c r="E584" s="545">
        <f>-'Foglio deposito bis'!$F$48*(C584-sezione!$AL$29)*IF(ABS(K584)&lt;'Sollecitazioni nel paramento'!$G$58,ABS(K584)*'Sollecitazioni nel paramento'!$G$54,'Sollecitazioni nel paramento'!$G$53)</f>
        <v>0</v>
      </c>
      <c r="F584" s="545">
        <f>-'Foglio deposito bis'!$F$49*(C584-sezione!$AM$29)*IF(ABS(L584)&lt;'Sollecitazioni nel paramento'!$G$58,ABS(L584)*'Sollecitazioni nel paramento'!$G$54,'Sollecitazioni nel paramento'!$G$53)</f>
        <v>8127479.6963001713</v>
      </c>
      <c r="G584" s="545">
        <f>-'Foglio deposito bis'!$F$50*(C584-sezione!$AN$29)*IF(ABS(M584)&lt;'Sollecitazioni nel paramento'!$G$58,ABS(M584)*'Sollecitazioni nel paramento'!$G$54,'Sollecitazioni nel paramento'!$G$53)</f>
        <v>0</v>
      </c>
      <c r="H584" s="545">
        <f>-'Foglio deposito bis'!$F$51*(C584-sezione!$AO$29)*IF(ABS(N584)&lt;'Sollecitazioni nel paramento'!$G$58,ABS(N584)*'Sollecitazioni nel paramento'!$G$54,'Sollecitazioni nel paramento'!$G$53)</f>
        <v>33652565.866033331</v>
      </c>
      <c r="I584" s="472">
        <f>-'Foglio deposito bis'!$F$52*(C584-sezione!$AP$29)*IF(ABS(O584)&lt;'Sollecitazioni nel paramento'!$G$58,ABS(O584)*'Sollecitazioni nel paramento'!$G$54,'Sollecitazioni nel paramento'!$G$53)</f>
        <v>72698632.195147142</v>
      </c>
      <c r="J584" s="472">
        <f t="shared" si="42"/>
        <v>105281493.65626505</v>
      </c>
      <c r="K584" s="550">
        <f>'Sollecitazioni nel paramento'!$G$60*(sezione!$AL$29-C584)/C584</f>
        <v>3.3857683515419582E-3</v>
      </c>
      <c r="L584" s="550">
        <f>'Sollecitazioni nel paramento'!$G$60*(sezione!$AM$29-C584)/C584</f>
        <v>6.8286525273129365E-3</v>
      </c>
      <c r="M584" s="551">
        <f>'Sollecitazioni nel paramento'!$G$60*(sezione!$AN$29-C584)/C584</f>
        <v>1.0271536703083917E-2</v>
      </c>
      <c r="N584" s="551">
        <f>'Sollecitazioni nel paramento'!$G$60*(sezione!$AO$29-C584)/C584</f>
        <v>2.4043073406167837E-2</v>
      </c>
      <c r="O584" s="551">
        <f>'Sollecitazioni nel paramento'!$G$60*(sezione!$AP$29-C584)/C584</f>
        <v>5.1939532853277376E-2</v>
      </c>
      <c r="P584" s="545">
        <f>-'Sollecitazioni nel paramento'!$G$47*'Sollecitazioni nel paramento'!$G$41*IF(DATI!$G$211="dx",DATI!$E$61,DATI!$E$64*DATI!$E$63)*1000*C584*sezione!$AD$5</f>
        <v>-774580.2251401078</v>
      </c>
      <c r="Q584" s="545">
        <f>'Foglio deposito bis'!$F$48*IF(ABS(K584)&lt;'Sollecitazioni nel paramento'!$G$58,ABS(K584)*'Sollecitazioni nel paramento'!$G$54,'Sollecitazioni nel paramento'!$G$53)*IF(K584&lt;0,-1,1)</f>
        <v>0</v>
      </c>
      <c r="R584" s="545">
        <f>'Foglio deposito bis'!$F$49*IF(ABS(L584)&lt;'Sollecitazioni nel paramento'!$G$58,ABS(L584)*'Sollecitazioni nel paramento'!$G$54,'Sollecitazioni nel paramento'!$G$53)*IF(L584&lt;0,-1,1)</f>
        <v>204886.47740803001</v>
      </c>
      <c r="S584" s="545">
        <f>'Foglio deposito bis'!$F$50*IF(ABS(M584)&lt;'Sollecitazioni nel paramento'!$G$58,ABS(M584)*'Sollecitazioni nel paramento'!$G$54,'Sollecitazioni nel paramento'!$G$53)*IF(M584&lt;0,-1,1)</f>
        <v>0</v>
      </c>
      <c r="T584" s="545">
        <f>'Foglio deposito bis'!$F$51*IF(ABS(N584)&lt;'Sollecitazioni nel paramento'!$G$58,ABS(N584)*'Sollecitazioni nel paramento'!$G$54,'Sollecitazioni nel paramento'!$G$53)*IF(N584&lt;0,-1,1)</f>
        <v>240946.49743184328</v>
      </c>
      <c r="U584" s="545">
        <f>'Foglio deposito bis'!$F$52*IF(ABS(O584)&lt;'Sollecitazioni nel paramento'!$G$58,ABS(O584)*'Sollecitazioni nel paramento'!$G$54,'Sollecitazioni nel paramento'!$G$53)*IF(O584&lt;0,-1,1)</f>
        <v>240946.49743184328</v>
      </c>
      <c r="V584" s="472">
        <f t="shared" si="43"/>
        <v>-87800.752868391137</v>
      </c>
      <c r="W584" s="551"/>
      <c r="X584" s="551"/>
    </row>
    <row r="585" spans="1:24" x14ac:dyDescent="0.25">
      <c r="A585" s="545">
        <f t="shared" si="44"/>
        <v>97133.044737549062</v>
      </c>
      <c r="B585" s="3">
        <f t="shared" si="45"/>
        <v>4.1999999999999931</v>
      </c>
      <c r="C585" s="545">
        <f>'Foglio deposito bis'!$E$155/sezione!$B$247*B585</f>
        <v>20.576751896718005</v>
      </c>
      <c r="D585" s="603">
        <f>-'Sollecitazioni nel paramento'!$G$47*'Sollecitazioni nel paramento'!$G$41*IF(DATI!$G$211="dx",DATI!$E$61,DATI!$E$64*DATI!$E$63)*1000*C585^2*sezione!$AD$5*(1-sezione!$AD$6)</f>
        <v>-9420138.0487991348</v>
      </c>
      <c r="E585" s="545">
        <f>-'Foglio deposito bis'!$F$48*(C585-sezione!$AL$29)*IF(ABS(K585)&lt;'Sollecitazioni nel paramento'!$G$58,ABS(K585)*'Sollecitazioni nel paramento'!$G$54,'Sollecitazioni nel paramento'!$G$53)</f>
        <v>0</v>
      </c>
      <c r="F585" s="545">
        <f>-'Foglio deposito bis'!$F$49*(C585-sezione!$AM$29)*IF(ABS(L585)&lt;'Sollecitazioni nel paramento'!$G$58,ABS(L585)*'Sollecitazioni nel paramento'!$G$54,'Sollecitazioni nel paramento'!$G$53)</f>
        <v>8077290.4318642467</v>
      </c>
      <c r="G585" s="545">
        <f>-'Foglio deposito bis'!$F$50*(C585-sezione!$AN$29)*IF(ABS(M585)&lt;'Sollecitazioni nel paramento'!$G$58,ABS(M585)*'Sollecitazioni nel paramento'!$G$54,'Sollecitazioni nel paramento'!$G$53)</f>
        <v>0</v>
      </c>
      <c r="H585" s="545">
        <f>-'Foglio deposito bis'!$F$51*(C585-sezione!$AO$29)*IF(ABS(N585)&lt;'Sollecitazioni nel paramento'!$G$58,ABS(N585)*'Sollecitazioni nel paramento'!$G$54,'Sollecitazioni nel paramento'!$G$53)</f>
        <v>33593543.291056685</v>
      </c>
      <c r="I585" s="472">
        <f>-'Foglio deposito bis'!$F$52*(C585-sezione!$AP$29)*IF(ABS(O585)&lt;'Sollecitazioni nel paramento'!$G$58,ABS(O585)*'Sollecitazioni nel paramento'!$G$54,'Sollecitazioni nel paramento'!$G$53)</f>
        <v>72639609.620170504</v>
      </c>
      <c r="J585" s="472">
        <f t="shared" si="42"/>
        <v>104890305.2942923</v>
      </c>
      <c r="K585" s="550">
        <f>'Sollecitazioni nel paramento'!$G$60*(sezione!$AL$29-C585)/C585</f>
        <v>3.3037949187855065E-3</v>
      </c>
      <c r="L585" s="550">
        <f>'Sollecitazioni nel paramento'!$G$60*(sezione!$AM$29-C585)/C585</f>
        <v>6.7056923781782596E-3</v>
      </c>
      <c r="M585" s="551">
        <f>'Sollecitazioni nel paramento'!$G$60*(sezione!$AN$29-C585)/C585</f>
        <v>1.0107589837571013E-2</v>
      </c>
      <c r="N585" s="551">
        <f>'Sollecitazioni nel paramento'!$G$60*(sezione!$AO$29-C585)/C585</f>
        <v>2.3715179675142029E-2</v>
      </c>
      <c r="O585" s="551">
        <f>'Sollecitazioni nel paramento'!$G$60*(sezione!$AP$29-C585)/C585</f>
        <v>5.1279538414547889E-2</v>
      </c>
      <c r="P585" s="545">
        <f>-'Sollecitazioni nel paramento'!$G$47*'Sollecitazioni nel paramento'!$G$41*IF(DATI!$G$211="dx",DATI!$E$61,DATI!$E$64*DATI!$E$63)*1000*C585*sezione!$AD$5</f>
        <v>-783912.51700926572</v>
      </c>
      <c r="Q585" s="545">
        <f>'Foglio deposito bis'!$F$48*IF(ABS(K585)&lt;'Sollecitazioni nel paramento'!$G$58,ABS(K585)*'Sollecitazioni nel paramento'!$G$54,'Sollecitazioni nel paramento'!$G$53)*IF(K585&lt;0,-1,1)</f>
        <v>0</v>
      </c>
      <c r="R585" s="545">
        <f>'Foglio deposito bis'!$F$49*IF(ABS(L585)&lt;'Sollecitazioni nel paramento'!$G$58,ABS(L585)*'Sollecitazioni nel paramento'!$G$54,'Sollecitazioni nel paramento'!$G$53)*IF(L585&lt;0,-1,1)</f>
        <v>204886.47740803001</v>
      </c>
      <c r="S585" s="545">
        <f>'Foglio deposito bis'!$F$50*IF(ABS(M585)&lt;'Sollecitazioni nel paramento'!$G$58,ABS(M585)*'Sollecitazioni nel paramento'!$G$54,'Sollecitazioni nel paramento'!$G$53)*IF(M585&lt;0,-1,1)</f>
        <v>0</v>
      </c>
      <c r="T585" s="545">
        <f>'Foglio deposito bis'!$F$51*IF(ABS(N585)&lt;'Sollecitazioni nel paramento'!$G$58,ABS(N585)*'Sollecitazioni nel paramento'!$G$54,'Sollecitazioni nel paramento'!$G$53)*IF(N585&lt;0,-1,1)</f>
        <v>240946.49743184328</v>
      </c>
      <c r="U585" s="545">
        <f>'Foglio deposito bis'!$F$52*IF(ABS(O585)&lt;'Sollecitazioni nel paramento'!$G$58,ABS(O585)*'Sollecitazioni nel paramento'!$G$54,'Sollecitazioni nel paramento'!$G$53)*IF(O585&lt;0,-1,1)</f>
        <v>240946.49743184328</v>
      </c>
      <c r="V585" s="472">
        <f t="shared" si="43"/>
        <v>-97133.044737549062</v>
      </c>
      <c r="W585" s="551"/>
      <c r="X585" s="551"/>
    </row>
    <row r="586" spans="1:24" x14ac:dyDescent="0.25">
      <c r="A586" s="545">
        <f t="shared" si="44"/>
        <v>106465.33660670699</v>
      </c>
      <c r="B586" s="3">
        <f t="shared" si="45"/>
        <v>4.2499999999999929</v>
      </c>
      <c r="C586" s="545">
        <f>'Foglio deposito bis'!$E$155/sezione!$B$247*B586</f>
        <v>20.821713228821793</v>
      </c>
      <c r="D586" s="603">
        <f>-'Sollecitazioni nel paramento'!$G$47*'Sollecitazioni nel paramento'!$G$41*IF(DATI!$G$211="dx",DATI!$E$61,DATI!$E$64*DATI!$E$63)*1000*C586^2*sezione!$AD$5*(1-sezione!$AD$6)</f>
        <v>-9645762.1035393644</v>
      </c>
      <c r="E586" s="545">
        <f>-'Foglio deposito bis'!$F$48*(C586-sezione!$AL$29)*IF(ABS(K586)&lt;'Sollecitazioni nel paramento'!$G$58,ABS(K586)*'Sollecitazioni nel paramento'!$G$54,'Sollecitazioni nel paramento'!$G$53)</f>
        <v>0</v>
      </c>
      <c r="F586" s="545">
        <f>-'Foglio deposito bis'!$F$49*(C586-sezione!$AM$29)*IF(ABS(L586)&lt;'Sollecitazioni nel paramento'!$G$58,ABS(L586)*'Sollecitazioni nel paramento'!$G$54,'Sollecitazioni nel paramento'!$G$53)</f>
        <v>8027101.1674283249</v>
      </c>
      <c r="G586" s="545">
        <f>-'Foglio deposito bis'!$F$50*(C586-sezione!$AN$29)*IF(ABS(M586)&lt;'Sollecitazioni nel paramento'!$G$58,ABS(M586)*'Sollecitazioni nel paramento'!$G$54,'Sollecitazioni nel paramento'!$G$53)</f>
        <v>0</v>
      </c>
      <c r="H586" s="545">
        <f>-'Foglio deposito bis'!$F$51*(C586-sezione!$AO$29)*IF(ABS(N586)&lt;'Sollecitazioni nel paramento'!$G$58,ABS(N586)*'Sollecitazioni nel paramento'!$G$54,'Sollecitazioni nel paramento'!$G$53)</f>
        <v>33534520.716080036</v>
      </c>
      <c r="I586" s="472">
        <f>-'Foglio deposito bis'!$F$52*(C586-sezione!$AP$29)*IF(ABS(O586)&lt;'Sollecitazioni nel paramento'!$G$58,ABS(O586)*'Sollecitazioni nel paramento'!$G$54,'Sollecitazioni nel paramento'!$G$53)</f>
        <v>72580587.045193836</v>
      </c>
      <c r="J586" s="472">
        <f t="shared" si="42"/>
        <v>104496446.82516283</v>
      </c>
      <c r="K586" s="550">
        <f>'Sollecitazioni nel paramento'!$G$60*(sezione!$AL$29-C586)/C586</f>
        <v>3.2237502726821477E-3</v>
      </c>
      <c r="L586" s="550">
        <f>'Sollecitazioni nel paramento'!$G$60*(sezione!$AM$29-C586)/C586</f>
        <v>6.585625409023221E-3</v>
      </c>
      <c r="M586" s="551">
        <f>'Sollecitazioni nel paramento'!$G$60*(sezione!$AN$29-C586)/C586</f>
        <v>9.9475005453642951E-3</v>
      </c>
      <c r="N586" s="551">
        <f>'Sollecitazioni nel paramento'!$G$60*(sezione!$AO$29-C586)/C586</f>
        <v>2.3395001090728586E-2</v>
      </c>
      <c r="O586" s="551">
        <f>'Sollecitazioni nel paramento'!$G$60*(sezione!$AP$29-C586)/C586</f>
        <v>5.0635073256729668E-2</v>
      </c>
      <c r="P586" s="545">
        <f>-'Sollecitazioni nel paramento'!$G$47*'Sollecitazioni nel paramento'!$G$41*IF(DATI!$G$211="dx",DATI!$E$61,DATI!$E$64*DATI!$E$63)*1000*C586*sezione!$AD$5</f>
        <v>-793244.80887842365</v>
      </c>
      <c r="Q586" s="545">
        <f>'Foglio deposito bis'!$F$48*IF(ABS(K586)&lt;'Sollecitazioni nel paramento'!$G$58,ABS(K586)*'Sollecitazioni nel paramento'!$G$54,'Sollecitazioni nel paramento'!$G$53)*IF(K586&lt;0,-1,1)</f>
        <v>0</v>
      </c>
      <c r="R586" s="545">
        <f>'Foglio deposito bis'!$F$49*IF(ABS(L586)&lt;'Sollecitazioni nel paramento'!$G$58,ABS(L586)*'Sollecitazioni nel paramento'!$G$54,'Sollecitazioni nel paramento'!$G$53)*IF(L586&lt;0,-1,1)</f>
        <v>204886.47740803001</v>
      </c>
      <c r="S586" s="545">
        <f>'Foglio deposito bis'!$F$50*IF(ABS(M586)&lt;'Sollecitazioni nel paramento'!$G$58,ABS(M586)*'Sollecitazioni nel paramento'!$G$54,'Sollecitazioni nel paramento'!$G$53)*IF(M586&lt;0,-1,1)</f>
        <v>0</v>
      </c>
      <c r="T586" s="545">
        <f>'Foglio deposito bis'!$F$51*IF(ABS(N586)&lt;'Sollecitazioni nel paramento'!$G$58,ABS(N586)*'Sollecitazioni nel paramento'!$G$54,'Sollecitazioni nel paramento'!$G$53)*IF(N586&lt;0,-1,1)</f>
        <v>240946.49743184328</v>
      </c>
      <c r="U586" s="545">
        <f>'Foglio deposito bis'!$F$52*IF(ABS(O586)&lt;'Sollecitazioni nel paramento'!$G$58,ABS(O586)*'Sollecitazioni nel paramento'!$G$54,'Sollecitazioni nel paramento'!$G$53)*IF(O586&lt;0,-1,1)</f>
        <v>240946.49743184328</v>
      </c>
      <c r="V586" s="472">
        <f t="shared" si="43"/>
        <v>-106465.33660670699</v>
      </c>
      <c r="W586" s="551"/>
      <c r="X586" s="551"/>
    </row>
    <row r="587" spans="1:24" x14ac:dyDescent="0.25">
      <c r="A587" s="545">
        <f t="shared" si="44"/>
        <v>115797.62847586491</v>
      </c>
      <c r="B587" s="3">
        <f t="shared" si="45"/>
        <v>4.2999999999999927</v>
      </c>
      <c r="C587" s="545">
        <f>'Foglio deposito bis'!$E$155/sezione!$B$247*B587</f>
        <v>21.066674560925577</v>
      </c>
      <c r="D587" s="603">
        <f>-'Sollecitazioni nel paramento'!$G$47*'Sollecitazioni nel paramento'!$G$41*IF(DATI!$G$211="dx",DATI!$E$61,DATI!$E$64*DATI!$E$63)*1000*C587^2*sezione!$AD$5*(1-sezione!$AD$6)</f>
        <v>-9874056.2654362842</v>
      </c>
      <c r="E587" s="545">
        <f>-'Foglio deposito bis'!$F$48*(C587-sezione!$AL$29)*IF(ABS(K587)&lt;'Sollecitazioni nel paramento'!$G$58,ABS(K587)*'Sollecitazioni nel paramento'!$G$54,'Sollecitazioni nel paramento'!$G$53)</f>
        <v>0</v>
      </c>
      <c r="F587" s="545">
        <f>-'Foglio deposito bis'!$F$49*(C587-sezione!$AM$29)*IF(ABS(L587)&lt;'Sollecitazioni nel paramento'!$G$58,ABS(L587)*'Sollecitazioni nel paramento'!$G$54,'Sollecitazioni nel paramento'!$G$53)</f>
        <v>7976911.9029924022</v>
      </c>
      <c r="G587" s="545">
        <f>-'Foglio deposito bis'!$F$50*(C587-sezione!$AN$29)*IF(ABS(M587)&lt;'Sollecitazioni nel paramento'!$G$58,ABS(M587)*'Sollecitazioni nel paramento'!$G$54,'Sollecitazioni nel paramento'!$G$53)</f>
        <v>0</v>
      </c>
      <c r="H587" s="545">
        <f>-'Foglio deposito bis'!$F$51*(C587-sezione!$AO$29)*IF(ABS(N587)&lt;'Sollecitazioni nel paramento'!$G$58,ABS(N587)*'Sollecitazioni nel paramento'!$G$54,'Sollecitazioni nel paramento'!$G$53)</f>
        <v>33475498.141103394</v>
      </c>
      <c r="I587" s="472">
        <f>-'Foglio deposito bis'!$F$52*(C587-sezione!$AP$29)*IF(ABS(O587)&lt;'Sollecitazioni nel paramento'!$G$58,ABS(O587)*'Sollecitazioni nel paramento'!$G$54,'Sollecitazioni nel paramento'!$G$53)</f>
        <v>72521564.470217198</v>
      </c>
      <c r="J587" s="472">
        <f t="shared" si="42"/>
        <v>104099918.24887671</v>
      </c>
      <c r="K587" s="550">
        <f>'Sollecitazioni nel paramento'!$G$60*(sezione!$AL$29-C587)/C587</f>
        <v>3.1455671299765414E-3</v>
      </c>
      <c r="L587" s="550">
        <f>'Sollecitazioni nel paramento'!$G$60*(sezione!$AM$29-C587)/C587</f>
        <v>6.4683506949648117E-3</v>
      </c>
      <c r="M587" s="551">
        <f>'Sollecitazioni nel paramento'!$G$60*(sezione!$AN$29-C587)/C587</f>
        <v>9.7911342599530833E-3</v>
      </c>
      <c r="N587" s="551">
        <f>'Sollecitazioni nel paramento'!$G$60*(sezione!$AO$29-C587)/C587</f>
        <v>2.3082268519906166E-2</v>
      </c>
      <c r="O587" s="551">
        <f>'Sollecitazioni nel paramento'!$G$60*(sezione!$AP$29-C587)/C587</f>
        <v>5.0005595660721186E-2</v>
      </c>
      <c r="P587" s="545">
        <f>-'Sollecitazioni nel paramento'!$G$47*'Sollecitazioni nel paramento'!$G$41*IF(DATI!$G$211="dx",DATI!$E$61,DATI!$E$64*DATI!$E$63)*1000*C587*sezione!$AD$5</f>
        <v>-802577.10074758157</v>
      </c>
      <c r="Q587" s="545">
        <f>'Foglio deposito bis'!$F$48*IF(ABS(K587)&lt;'Sollecitazioni nel paramento'!$G$58,ABS(K587)*'Sollecitazioni nel paramento'!$G$54,'Sollecitazioni nel paramento'!$G$53)*IF(K587&lt;0,-1,1)</f>
        <v>0</v>
      </c>
      <c r="R587" s="545">
        <f>'Foglio deposito bis'!$F$49*IF(ABS(L587)&lt;'Sollecitazioni nel paramento'!$G$58,ABS(L587)*'Sollecitazioni nel paramento'!$G$54,'Sollecitazioni nel paramento'!$G$53)*IF(L587&lt;0,-1,1)</f>
        <v>204886.47740803001</v>
      </c>
      <c r="S587" s="545">
        <f>'Foglio deposito bis'!$F$50*IF(ABS(M587)&lt;'Sollecitazioni nel paramento'!$G$58,ABS(M587)*'Sollecitazioni nel paramento'!$G$54,'Sollecitazioni nel paramento'!$G$53)*IF(M587&lt;0,-1,1)</f>
        <v>0</v>
      </c>
      <c r="T587" s="545">
        <f>'Foglio deposito bis'!$F$51*IF(ABS(N587)&lt;'Sollecitazioni nel paramento'!$G$58,ABS(N587)*'Sollecitazioni nel paramento'!$G$54,'Sollecitazioni nel paramento'!$G$53)*IF(N587&lt;0,-1,1)</f>
        <v>240946.49743184328</v>
      </c>
      <c r="U587" s="545">
        <f>'Foglio deposito bis'!$F$52*IF(ABS(O587)&lt;'Sollecitazioni nel paramento'!$G$58,ABS(O587)*'Sollecitazioni nel paramento'!$G$54,'Sollecitazioni nel paramento'!$G$53)*IF(O587&lt;0,-1,1)</f>
        <v>240946.49743184328</v>
      </c>
      <c r="V587" s="472">
        <f t="shared" si="43"/>
        <v>-115797.62847586491</v>
      </c>
      <c r="W587" s="551"/>
      <c r="X587" s="551"/>
    </row>
    <row r="588" spans="1:24" x14ac:dyDescent="0.25">
      <c r="A588" s="545">
        <f t="shared" si="44"/>
        <v>125129.92034502284</v>
      </c>
      <c r="B588" s="3">
        <f t="shared" si="45"/>
        <v>4.3499999999999925</v>
      </c>
      <c r="C588" s="545">
        <f>'Foglio deposito bis'!$E$155/sezione!$B$247*B588</f>
        <v>21.311635893029361</v>
      </c>
      <c r="D588" s="603">
        <f>-'Sollecitazioni nel paramento'!$G$47*'Sollecitazioni nel paramento'!$G$41*IF(DATI!$G$211="dx",DATI!$E$61,DATI!$E$64*DATI!$E$63)*1000*C588^2*sezione!$AD$5*(1-sezione!$AD$6)</f>
        <v>-10105020.534489887</v>
      </c>
      <c r="E588" s="545">
        <f>-'Foglio deposito bis'!$F$48*(C588-sezione!$AL$29)*IF(ABS(K588)&lt;'Sollecitazioni nel paramento'!$G$58,ABS(K588)*'Sollecitazioni nel paramento'!$G$54,'Sollecitazioni nel paramento'!$G$53)</f>
        <v>0</v>
      </c>
      <c r="F588" s="545">
        <f>-'Foglio deposito bis'!$F$49*(C588-sezione!$AM$29)*IF(ABS(L588)&lt;'Sollecitazioni nel paramento'!$G$58,ABS(L588)*'Sollecitazioni nel paramento'!$G$54,'Sollecitazioni nel paramento'!$G$53)</f>
        <v>7926722.6385564795</v>
      </c>
      <c r="G588" s="545">
        <f>-'Foglio deposito bis'!$F$50*(C588-sezione!$AN$29)*IF(ABS(M588)&lt;'Sollecitazioni nel paramento'!$G$58,ABS(M588)*'Sollecitazioni nel paramento'!$G$54,'Sollecitazioni nel paramento'!$G$53)</f>
        <v>0</v>
      </c>
      <c r="H588" s="545">
        <f>-'Foglio deposito bis'!$F$51*(C588-sezione!$AO$29)*IF(ABS(N588)&lt;'Sollecitazioni nel paramento'!$G$58,ABS(N588)*'Sollecitazioni nel paramento'!$G$54,'Sollecitazioni nel paramento'!$G$53)</f>
        <v>33416475.566126745</v>
      </c>
      <c r="I588" s="472">
        <f>-'Foglio deposito bis'!$F$52*(C588-sezione!$AP$29)*IF(ABS(O588)&lt;'Sollecitazioni nel paramento'!$G$58,ABS(O588)*'Sollecitazioni nel paramento'!$G$54,'Sollecitazioni nel paramento'!$G$53)</f>
        <v>72462541.89524056</v>
      </c>
      <c r="J588" s="472">
        <f t="shared" si="42"/>
        <v>103700719.56543389</v>
      </c>
      <c r="K588" s="550">
        <f>'Sollecitazioni nel paramento'!$G$60*(sezione!$AL$29-C588)/C588</f>
        <v>3.0691813008963519E-3</v>
      </c>
      <c r="L588" s="550">
        <f>'Sollecitazioni nel paramento'!$G$60*(sezione!$AM$29-C588)/C588</f>
        <v>6.3537719513445268E-3</v>
      </c>
      <c r="M588" s="551">
        <f>'Sollecitazioni nel paramento'!$G$60*(sezione!$AN$29-C588)/C588</f>
        <v>9.6383626017927035E-3</v>
      </c>
      <c r="N588" s="551">
        <f>'Sollecitazioni nel paramento'!$G$60*(sezione!$AO$29-C588)/C588</f>
        <v>2.277672520358541E-2</v>
      </c>
      <c r="O588" s="551">
        <f>'Sollecitazioni nel paramento'!$G$60*(sezione!$AP$29-C588)/C588</f>
        <v>4.9390588814046239E-2</v>
      </c>
      <c r="P588" s="545">
        <f>-'Sollecitazioni nel paramento'!$G$47*'Sollecitazioni nel paramento'!$G$41*IF(DATI!$G$211="dx",DATI!$E$61,DATI!$E$64*DATI!$E$63)*1000*C588*sezione!$AD$5</f>
        <v>-811909.3926167395</v>
      </c>
      <c r="Q588" s="545">
        <f>'Foglio deposito bis'!$F$48*IF(ABS(K588)&lt;'Sollecitazioni nel paramento'!$G$58,ABS(K588)*'Sollecitazioni nel paramento'!$G$54,'Sollecitazioni nel paramento'!$G$53)*IF(K588&lt;0,-1,1)</f>
        <v>0</v>
      </c>
      <c r="R588" s="545">
        <f>'Foglio deposito bis'!$F$49*IF(ABS(L588)&lt;'Sollecitazioni nel paramento'!$G$58,ABS(L588)*'Sollecitazioni nel paramento'!$G$54,'Sollecitazioni nel paramento'!$G$53)*IF(L588&lt;0,-1,1)</f>
        <v>204886.47740803001</v>
      </c>
      <c r="S588" s="545">
        <f>'Foglio deposito bis'!$F$50*IF(ABS(M588)&lt;'Sollecitazioni nel paramento'!$G$58,ABS(M588)*'Sollecitazioni nel paramento'!$G$54,'Sollecitazioni nel paramento'!$G$53)*IF(M588&lt;0,-1,1)</f>
        <v>0</v>
      </c>
      <c r="T588" s="545">
        <f>'Foglio deposito bis'!$F$51*IF(ABS(N588)&lt;'Sollecitazioni nel paramento'!$G$58,ABS(N588)*'Sollecitazioni nel paramento'!$G$54,'Sollecitazioni nel paramento'!$G$53)*IF(N588&lt;0,-1,1)</f>
        <v>240946.49743184328</v>
      </c>
      <c r="U588" s="545">
        <f>'Foglio deposito bis'!$F$52*IF(ABS(O588)&lt;'Sollecitazioni nel paramento'!$G$58,ABS(O588)*'Sollecitazioni nel paramento'!$G$54,'Sollecitazioni nel paramento'!$G$53)*IF(O588&lt;0,-1,1)</f>
        <v>240946.49743184328</v>
      </c>
      <c r="V588" s="472">
        <f t="shared" si="43"/>
        <v>-125129.92034502284</v>
      </c>
      <c r="W588" s="551"/>
      <c r="X588" s="551"/>
    </row>
    <row r="589" spans="1:24" x14ac:dyDescent="0.25">
      <c r="A589" s="545">
        <f t="shared" si="44"/>
        <v>134462.21221418076</v>
      </c>
      <c r="B589" s="3">
        <f t="shared" si="45"/>
        <v>4.3999999999999924</v>
      </c>
      <c r="C589" s="545">
        <f>'Foglio deposito bis'!$E$155/sezione!$B$247*B589</f>
        <v>21.556597225133146</v>
      </c>
      <c r="D589" s="603">
        <f>-'Sollecitazioni nel paramento'!$G$47*'Sollecitazioni nel paramento'!$G$41*IF(DATI!$G$211="dx",DATI!$E$61,DATI!$E$64*DATI!$E$63)*1000*C589^2*sezione!$AD$5*(1-sezione!$AD$6)</f>
        <v>-10338654.910700181</v>
      </c>
      <c r="E589" s="545">
        <f>-'Foglio deposito bis'!$F$48*(C589-sezione!$AL$29)*IF(ABS(K589)&lt;'Sollecitazioni nel paramento'!$G$58,ABS(K589)*'Sollecitazioni nel paramento'!$G$54,'Sollecitazioni nel paramento'!$G$53)</f>
        <v>0</v>
      </c>
      <c r="F589" s="545">
        <f>-'Foglio deposito bis'!$F$49*(C589-sezione!$AM$29)*IF(ABS(L589)&lt;'Sollecitazioni nel paramento'!$G$58,ABS(L589)*'Sollecitazioni nel paramento'!$G$54,'Sollecitazioni nel paramento'!$G$53)</f>
        <v>7876533.3741205549</v>
      </c>
      <c r="G589" s="545">
        <f>-'Foglio deposito bis'!$F$50*(C589-sezione!$AN$29)*IF(ABS(M589)&lt;'Sollecitazioni nel paramento'!$G$58,ABS(M589)*'Sollecitazioni nel paramento'!$G$54,'Sollecitazioni nel paramento'!$G$53)</f>
        <v>0</v>
      </c>
      <c r="H589" s="545">
        <f>-'Foglio deposito bis'!$F$51*(C589-sezione!$AO$29)*IF(ABS(N589)&lt;'Sollecitazioni nel paramento'!$G$58,ABS(N589)*'Sollecitazioni nel paramento'!$G$54,'Sollecitazioni nel paramento'!$G$53)</f>
        <v>33357452.9911501</v>
      </c>
      <c r="I589" s="472">
        <f>-'Foglio deposito bis'!$F$52*(C589-sezione!$AP$29)*IF(ABS(O589)&lt;'Sollecitazioni nel paramento'!$G$58,ABS(O589)*'Sollecitazioni nel paramento'!$G$54,'Sollecitazioni nel paramento'!$G$53)</f>
        <v>72403519.320263907</v>
      </c>
      <c r="J589" s="472">
        <f t="shared" si="42"/>
        <v>103298850.77483438</v>
      </c>
      <c r="K589" s="550">
        <f>'Sollecitazioni nel paramento'!$G$60*(sezione!$AL$29-C589)/C589</f>
        <v>2.9945315133861664E-3</v>
      </c>
      <c r="L589" s="550">
        <f>'Sollecitazioni nel paramento'!$G$60*(sezione!$AM$29-C589)/C589</f>
        <v>6.2417972700792492E-3</v>
      </c>
      <c r="M589" s="551">
        <f>'Sollecitazioni nel paramento'!$G$60*(sezione!$AN$29-C589)/C589</f>
        <v>9.4890630267723316E-3</v>
      </c>
      <c r="N589" s="551">
        <f>'Sollecitazioni nel paramento'!$G$60*(sezione!$AO$29-C589)/C589</f>
        <v>2.2478126053544666E-2</v>
      </c>
      <c r="O589" s="551">
        <f>'Sollecitazioni nel paramento'!$G$60*(sezione!$AP$29-C589)/C589</f>
        <v>4.8789559395704805E-2</v>
      </c>
      <c r="P589" s="545">
        <f>-'Sollecitazioni nel paramento'!$G$47*'Sollecitazioni nel paramento'!$G$41*IF(DATI!$G$211="dx",DATI!$E$61,DATI!$E$64*DATI!$E$63)*1000*C589*sezione!$AD$5</f>
        <v>-821241.68448589731</v>
      </c>
      <c r="Q589" s="545">
        <f>'Foglio deposito bis'!$F$48*IF(ABS(K589)&lt;'Sollecitazioni nel paramento'!$G$58,ABS(K589)*'Sollecitazioni nel paramento'!$G$54,'Sollecitazioni nel paramento'!$G$53)*IF(K589&lt;0,-1,1)</f>
        <v>0</v>
      </c>
      <c r="R589" s="545">
        <f>'Foglio deposito bis'!$F$49*IF(ABS(L589)&lt;'Sollecitazioni nel paramento'!$G$58,ABS(L589)*'Sollecitazioni nel paramento'!$G$54,'Sollecitazioni nel paramento'!$G$53)*IF(L589&lt;0,-1,1)</f>
        <v>204886.47740803001</v>
      </c>
      <c r="S589" s="545">
        <f>'Foglio deposito bis'!$F$50*IF(ABS(M589)&lt;'Sollecitazioni nel paramento'!$G$58,ABS(M589)*'Sollecitazioni nel paramento'!$G$54,'Sollecitazioni nel paramento'!$G$53)*IF(M589&lt;0,-1,1)</f>
        <v>0</v>
      </c>
      <c r="T589" s="545">
        <f>'Foglio deposito bis'!$F$51*IF(ABS(N589)&lt;'Sollecitazioni nel paramento'!$G$58,ABS(N589)*'Sollecitazioni nel paramento'!$G$54,'Sollecitazioni nel paramento'!$G$53)*IF(N589&lt;0,-1,1)</f>
        <v>240946.49743184328</v>
      </c>
      <c r="U589" s="545">
        <f>'Foglio deposito bis'!$F$52*IF(ABS(O589)&lt;'Sollecitazioni nel paramento'!$G$58,ABS(O589)*'Sollecitazioni nel paramento'!$G$54,'Sollecitazioni nel paramento'!$G$53)*IF(O589&lt;0,-1,1)</f>
        <v>240946.49743184328</v>
      </c>
      <c r="V589" s="472">
        <f t="shared" si="43"/>
        <v>-134462.21221418076</v>
      </c>
      <c r="W589" s="551"/>
      <c r="X589" s="551"/>
    </row>
    <row r="590" spans="1:24" x14ac:dyDescent="0.25">
      <c r="A590" s="545">
        <f t="shared" si="44"/>
        <v>143794.50408333869</v>
      </c>
      <c r="B590" s="3">
        <f t="shared" si="45"/>
        <v>4.4499999999999922</v>
      </c>
      <c r="C590" s="545">
        <f>'Foglio deposito bis'!$E$155/sezione!$B$247*B590</f>
        <v>21.801558557236934</v>
      </c>
      <c r="D590" s="603">
        <f>-'Sollecitazioni nel paramento'!$G$47*'Sollecitazioni nel paramento'!$G$41*IF(DATI!$G$211="dx",DATI!$E$61,DATI!$E$64*DATI!$E$63)*1000*C590^2*sezione!$AD$5*(1-sezione!$AD$6)</f>
        <v>-10574959.39406717</v>
      </c>
      <c r="E590" s="545">
        <f>-'Foglio deposito bis'!$F$48*(C590-sezione!$AL$29)*IF(ABS(K590)&lt;'Sollecitazioni nel paramento'!$G$58,ABS(K590)*'Sollecitazioni nel paramento'!$G$54,'Sollecitazioni nel paramento'!$G$53)</f>
        <v>0</v>
      </c>
      <c r="F590" s="545">
        <f>-'Foglio deposito bis'!$F$49*(C590-sezione!$AM$29)*IF(ABS(L590)&lt;'Sollecitazioni nel paramento'!$G$58,ABS(L590)*'Sollecitazioni nel paramento'!$G$54,'Sollecitazioni nel paramento'!$G$53)</f>
        <v>7826344.1096846322</v>
      </c>
      <c r="G590" s="545">
        <f>-'Foglio deposito bis'!$F$50*(C590-sezione!$AN$29)*IF(ABS(M590)&lt;'Sollecitazioni nel paramento'!$G$58,ABS(M590)*'Sollecitazioni nel paramento'!$G$54,'Sollecitazioni nel paramento'!$G$53)</f>
        <v>0</v>
      </c>
      <c r="H590" s="545">
        <f>-'Foglio deposito bis'!$F$51*(C590-sezione!$AO$29)*IF(ABS(N590)&lt;'Sollecitazioni nel paramento'!$G$58,ABS(N590)*'Sollecitazioni nel paramento'!$G$54,'Sollecitazioni nel paramento'!$G$53)</f>
        <v>33298430.416173451</v>
      </c>
      <c r="I590" s="472">
        <f>-'Foglio deposito bis'!$F$52*(C590-sezione!$AP$29)*IF(ABS(O590)&lt;'Sollecitazioni nel paramento'!$G$58,ABS(O590)*'Sollecitazioni nel paramento'!$G$54,'Sollecitazioni nel paramento'!$G$53)</f>
        <v>72344496.745287269</v>
      </c>
      <c r="J590" s="472">
        <f t="shared" si="42"/>
        <v>102894311.87707818</v>
      </c>
      <c r="K590" s="550">
        <f>'Sollecitazioni nel paramento'!$G$60*(sezione!$AL$29-C590)/C590</f>
        <v>2.9215592491908153E-3</v>
      </c>
      <c r="L590" s="550">
        <f>'Sollecitazioni nel paramento'!$G$60*(sezione!$AM$29-C590)/C590</f>
        <v>6.1323388737862233E-3</v>
      </c>
      <c r="M590" s="551">
        <f>'Sollecitazioni nel paramento'!$G$60*(sezione!$AN$29-C590)/C590</f>
        <v>9.3431184983816321E-3</v>
      </c>
      <c r="N590" s="551">
        <f>'Sollecitazioni nel paramento'!$G$60*(sezione!$AO$29-C590)/C590</f>
        <v>2.218623699676326E-2</v>
      </c>
      <c r="O590" s="551">
        <f>'Sollecitazioni nel paramento'!$G$60*(sezione!$AP$29-C590)/C590</f>
        <v>4.8202036256427216E-2</v>
      </c>
      <c r="P590" s="545">
        <f>-'Sollecitazioni nel paramento'!$G$47*'Sollecitazioni nel paramento'!$G$41*IF(DATI!$G$211="dx",DATI!$E$61,DATI!$E$64*DATI!$E$63)*1000*C590*sezione!$AD$5</f>
        <v>-830573.97635505535</v>
      </c>
      <c r="Q590" s="545">
        <f>'Foglio deposito bis'!$F$48*IF(ABS(K590)&lt;'Sollecitazioni nel paramento'!$G$58,ABS(K590)*'Sollecitazioni nel paramento'!$G$54,'Sollecitazioni nel paramento'!$G$53)*IF(K590&lt;0,-1,1)</f>
        <v>0</v>
      </c>
      <c r="R590" s="545">
        <f>'Foglio deposito bis'!$F$49*IF(ABS(L590)&lt;'Sollecitazioni nel paramento'!$G$58,ABS(L590)*'Sollecitazioni nel paramento'!$G$54,'Sollecitazioni nel paramento'!$G$53)*IF(L590&lt;0,-1,1)</f>
        <v>204886.47740803001</v>
      </c>
      <c r="S590" s="545">
        <f>'Foglio deposito bis'!$F$50*IF(ABS(M590)&lt;'Sollecitazioni nel paramento'!$G$58,ABS(M590)*'Sollecitazioni nel paramento'!$G$54,'Sollecitazioni nel paramento'!$G$53)*IF(M590&lt;0,-1,1)</f>
        <v>0</v>
      </c>
      <c r="T590" s="545">
        <f>'Foglio deposito bis'!$F$51*IF(ABS(N590)&lt;'Sollecitazioni nel paramento'!$G$58,ABS(N590)*'Sollecitazioni nel paramento'!$G$54,'Sollecitazioni nel paramento'!$G$53)*IF(N590&lt;0,-1,1)</f>
        <v>240946.49743184328</v>
      </c>
      <c r="U590" s="545">
        <f>'Foglio deposito bis'!$F$52*IF(ABS(O590)&lt;'Sollecitazioni nel paramento'!$G$58,ABS(O590)*'Sollecitazioni nel paramento'!$G$54,'Sollecitazioni nel paramento'!$G$53)*IF(O590&lt;0,-1,1)</f>
        <v>240946.49743184328</v>
      </c>
      <c r="V590" s="472">
        <f t="shared" si="43"/>
        <v>-143794.50408333869</v>
      </c>
      <c r="W590" s="551"/>
      <c r="X590" s="551"/>
    </row>
    <row r="591" spans="1:24" x14ac:dyDescent="0.25">
      <c r="A591" s="545">
        <f t="shared" si="44"/>
        <v>153126.79595249661</v>
      </c>
      <c r="B591" s="3">
        <f t="shared" si="45"/>
        <v>4.499999999999992</v>
      </c>
      <c r="C591" s="545">
        <f>'Foglio deposito bis'!$E$155/sezione!$B$247*B591</f>
        <v>22.046519889340718</v>
      </c>
      <c r="D591" s="603">
        <f>-'Sollecitazioni nel paramento'!$G$47*'Sollecitazioni nel paramento'!$G$41*IF(DATI!$G$211="dx",DATI!$E$61,DATI!$E$64*DATI!$E$63)*1000*C591^2*sezione!$AD$5*(1-sezione!$AD$6)</f>
        <v>-10813933.984590843</v>
      </c>
      <c r="E591" s="545">
        <f>-'Foglio deposito bis'!$F$48*(C591-sezione!$AL$29)*IF(ABS(K591)&lt;'Sollecitazioni nel paramento'!$G$58,ABS(K591)*'Sollecitazioni nel paramento'!$G$54,'Sollecitazioni nel paramento'!$G$53)</f>
        <v>0</v>
      </c>
      <c r="F591" s="545">
        <f>-'Foglio deposito bis'!$F$49*(C591-sezione!$AM$29)*IF(ABS(L591)&lt;'Sollecitazioni nel paramento'!$G$58,ABS(L591)*'Sollecitazioni nel paramento'!$G$54,'Sollecitazioni nel paramento'!$G$53)</f>
        <v>7776154.8452487104</v>
      </c>
      <c r="G591" s="545">
        <f>-'Foglio deposito bis'!$F$50*(C591-sezione!$AN$29)*IF(ABS(M591)&lt;'Sollecitazioni nel paramento'!$G$58,ABS(M591)*'Sollecitazioni nel paramento'!$G$54,'Sollecitazioni nel paramento'!$G$53)</f>
        <v>0</v>
      </c>
      <c r="H591" s="545">
        <f>-'Foglio deposito bis'!$F$51*(C591-sezione!$AO$29)*IF(ABS(N591)&lt;'Sollecitazioni nel paramento'!$G$58,ABS(N591)*'Sollecitazioni nel paramento'!$G$54,'Sollecitazioni nel paramento'!$G$53)</f>
        <v>33239407.841196809</v>
      </c>
      <c r="I591" s="472">
        <f>-'Foglio deposito bis'!$F$52*(C591-sezione!$AP$29)*IF(ABS(O591)&lt;'Sollecitazioni nel paramento'!$G$58,ABS(O591)*'Sollecitazioni nel paramento'!$G$54,'Sollecitazioni nel paramento'!$G$53)</f>
        <v>72285474.170310616</v>
      </c>
      <c r="J591" s="472">
        <f t="shared" si="42"/>
        <v>102487102.87216529</v>
      </c>
      <c r="K591" s="550">
        <f>'Sollecitazioni nel paramento'!$G$60*(sezione!$AL$29-C591)/C591</f>
        <v>2.8502085908664733E-3</v>
      </c>
      <c r="L591" s="550">
        <f>'Sollecitazioni nel paramento'!$G$60*(sezione!$AM$29-C591)/C591</f>
        <v>6.0253128862997104E-3</v>
      </c>
      <c r="M591" s="551">
        <f>'Sollecitazioni nel paramento'!$G$60*(sezione!$AN$29-C591)/C591</f>
        <v>9.2004171817329471E-3</v>
      </c>
      <c r="N591" s="551">
        <f>'Sollecitazioni nel paramento'!$G$60*(sezione!$AO$29-C591)/C591</f>
        <v>2.1900834363465894E-2</v>
      </c>
      <c r="O591" s="551">
        <f>'Sollecitazioni nel paramento'!$G$60*(sezione!$AP$29-C591)/C591</f>
        <v>4.7627569186911356E-2</v>
      </c>
      <c r="P591" s="545">
        <f>-'Sollecitazioni nel paramento'!$G$47*'Sollecitazioni nel paramento'!$G$41*IF(DATI!$G$211="dx",DATI!$E$61,DATI!$E$64*DATI!$E$63)*1000*C591*sezione!$AD$5</f>
        <v>-839906.26822421316</v>
      </c>
      <c r="Q591" s="545">
        <f>'Foglio deposito bis'!$F$48*IF(ABS(K591)&lt;'Sollecitazioni nel paramento'!$G$58,ABS(K591)*'Sollecitazioni nel paramento'!$G$54,'Sollecitazioni nel paramento'!$G$53)*IF(K591&lt;0,-1,1)</f>
        <v>0</v>
      </c>
      <c r="R591" s="545">
        <f>'Foglio deposito bis'!$F$49*IF(ABS(L591)&lt;'Sollecitazioni nel paramento'!$G$58,ABS(L591)*'Sollecitazioni nel paramento'!$G$54,'Sollecitazioni nel paramento'!$G$53)*IF(L591&lt;0,-1,1)</f>
        <v>204886.47740803001</v>
      </c>
      <c r="S591" s="545">
        <f>'Foglio deposito bis'!$F$50*IF(ABS(M591)&lt;'Sollecitazioni nel paramento'!$G$58,ABS(M591)*'Sollecitazioni nel paramento'!$G$54,'Sollecitazioni nel paramento'!$G$53)*IF(M591&lt;0,-1,1)</f>
        <v>0</v>
      </c>
      <c r="T591" s="545">
        <f>'Foglio deposito bis'!$F$51*IF(ABS(N591)&lt;'Sollecitazioni nel paramento'!$G$58,ABS(N591)*'Sollecitazioni nel paramento'!$G$54,'Sollecitazioni nel paramento'!$G$53)*IF(N591&lt;0,-1,1)</f>
        <v>240946.49743184328</v>
      </c>
      <c r="U591" s="545">
        <f>'Foglio deposito bis'!$F$52*IF(ABS(O591)&lt;'Sollecitazioni nel paramento'!$G$58,ABS(O591)*'Sollecitazioni nel paramento'!$G$54,'Sollecitazioni nel paramento'!$G$53)*IF(O591&lt;0,-1,1)</f>
        <v>240946.49743184328</v>
      </c>
      <c r="V591" s="472">
        <f t="shared" si="43"/>
        <v>-153126.79595249661</v>
      </c>
      <c r="W591" s="551"/>
      <c r="X591" s="551"/>
    </row>
    <row r="592" spans="1:24" x14ac:dyDescent="0.25">
      <c r="A592" s="545">
        <f t="shared" si="44"/>
        <v>162459.08782165454</v>
      </c>
      <c r="B592" s="3">
        <f t="shared" si="45"/>
        <v>4.5499999999999918</v>
      </c>
      <c r="C592" s="545">
        <f>'Foglio deposito bis'!$E$155/sezione!$B$247*B592</f>
        <v>22.291481221444503</v>
      </c>
      <c r="D592" s="603">
        <f>-'Sollecitazioni nel paramento'!$G$47*'Sollecitazioni nel paramento'!$G$41*IF(DATI!$G$211="dx",DATI!$E$61,DATI!$E$64*DATI!$E$63)*1000*C592^2*sezione!$AD$5*(1-sezione!$AD$6)</f>
        <v>-11055578.682271205</v>
      </c>
      <c r="E592" s="545">
        <f>-'Foglio deposito bis'!$F$48*(C592-sezione!$AL$29)*IF(ABS(K592)&lt;'Sollecitazioni nel paramento'!$G$58,ABS(K592)*'Sollecitazioni nel paramento'!$G$54,'Sollecitazioni nel paramento'!$G$53)</f>
        <v>0</v>
      </c>
      <c r="F592" s="545">
        <f>-'Foglio deposito bis'!$F$49*(C592-sezione!$AM$29)*IF(ABS(L592)&lt;'Sollecitazioni nel paramento'!$G$58,ABS(L592)*'Sollecitazioni nel paramento'!$G$54,'Sollecitazioni nel paramento'!$G$53)</f>
        <v>7725965.5808127876</v>
      </c>
      <c r="G592" s="545">
        <f>-'Foglio deposito bis'!$F$50*(C592-sezione!$AN$29)*IF(ABS(M592)&lt;'Sollecitazioni nel paramento'!$G$58,ABS(M592)*'Sollecitazioni nel paramento'!$G$54,'Sollecitazioni nel paramento'!$G$53)</f>
        <v>0</v>
      </c>
      <c r="H592" s="545">
        <f>-'Foglio deposito bis'!$F$51*(C592-sezione!$AO$29)*IF(ABS(N592)&lt;'Sollecitazioni nel paramento'!$G$58,ABS(N592)*'Sollecitazioni nel paramento'!$G$54,'Sollecitazioni nel paramento'!$G$53)</f>
        <v>33180385.266220164</v>
      </c>
      <c r="I592" s="472">
        <f>-'Foglio deposito bis'!$F$52*(C592-sezione!$AP$29)*IF(ABS(O592)&lt;'Sollecitazioni nel paramento'!$G$58,ABS(O592)*'Sollecitazioni nel paramento'!$G$54,'Sollecitazioni nel paramento'!$G$53)</f>
        <v>72226451.595333979</v>
      </c>
      <c r="J592" s="472">
        <f t="shared" si="42"/>
        <v>102077223.76009572</v>
      </c>
      <c r="K592" s="550">
        <f>'Sollecitazioni nel paramento'!$G$60*(sezione!$AL$29-C592)/C592</f>
        <v>2.7804260788789302E-3</v>
      </c>
      <c r="L592" s="550">
        <f>'Sollecitazioni nel paramento'!$G$60*(sezione!$AM$29-C592)/C592</f>
        <v>5.9206391183183951E-3</v>
      </c>
      <c r="M592" s="551">
        <f>'Sollecitazioni nel paramento'!$G$60*(sezione!$AN$29-C592)/C592</f>
        <v>9.06085215775786E-3</v>
      </c>
      <c r="N592" s="551">
        <f>'Sollecitazioni nel paramento'!$G$60*(sezione!$AO$29-C592)/C592</f>
        <v>2.1621704315515716E-2</v>
      </c>
      <c r="O592" s="551">
        <f>'Sollecitazioni nel paramento'!$G$60*(sezione!$AP$29-C592)/C592</f>
        <v>4.7065727767274981E-2</v>
      </c>
      <c r="P592" s="545">
        <f>-'Sollecitazioni nel paramento'!$G$47*'Sollecitazioni nel paramento'!$G$41*IF(DATI!$G$211="dx",DATI!$E$61,DATI!$E$64*DATI!$E$63)*1000*C592*sezione!$AD$5</f>
        <v>-849238.56009337108</v>
      </c>
      <c r="Q592" s="545">
        <f>'Foglio deposito bis'!$F$48*IF(ABS(K592)&lt;'Sollecitazioni nel paramento'!$G$58,ABS(K592)*'Sollecitazioni nel paramento'!$G$54,'Sollecitazioni nel paramento'!$G$53)*IF(K592&lt;0,-1,1)</f>
        <v>0</v>
      </c>
      <c r="R592" s="545">
        <f>'Foglio deposito bis'!$F$49*IF(ABS(L592)&lt;'Sollecitazioni nel paramento'!$G$58,ABS(L592)*'Sollecitazioni nel paramento'!$G$54,'Sollecitazioni nel paramento'!$G$53)*IF(L592&lt;0,-1,1)</f>
        <v>204886.47740803001</v>
      </c>
      <c r="S592" s="545">
        <f>'Foglio deposito bis'!$F$50*IF(ABS(M592)&lt;'Sollecitazioni nel paramento'!$G$58,ABS(M592)*'Sollecitazioni nel paramento'!$G$54,'Sollecitazioni nel paramento'!$G$53)*IF(M592&lt;0,-1,1)</f>
        <v>0</v>
      </c>
      <c r="T592" s="545">
        <f>'Foglio deposito bis'!$F$51*IF(ABS(N592)&lt;'Sollecitazioni nel paramento'!$G$58,ABS(N592)*'Sollecitazioni nel paramento'!$G$54,'Sollecitazioni nel paramento'!$G$53)*IF(N592&lt;0,-1,1)</f>
        <v>240946.49743184328</v>
      </c>
      <c r="U592" s="545">
        <f>'Foglio deposito bis'!$F$52*IF(ABS(O592)&lt;'Sollecitazioni nel paramento'!$G$58,ABS(O592)*'Sollecitazioni nel paramento'!$G$54,'Sollecitazioni nel paramento'!$G$53)*IF(O592&lt;0,-1,1)</f>
        <v>240946.49743184328</v>
      </c>
      <c r="V592" s="472">
        <f t="shared" si="43"/>
        <v>-162459.08782165454</v>
      </c>
      <c r="W592" s="551"/>
      <c r="X592" s="551"/>
    </row>
    <row r="593" spans="1:24" x14ac:dyDescent="0.25">
      <c r="A593" s="545">
        <f t="shared" si="44"/>
        <v>171791.37969081223</v>
      </c>
      <c r="B593" s="3">
        <f t="shared" si="45"/>
        <v>4.5999999999999917</v>
      </c>
      <c r="C593" s="545">
        <f>'Foglio deposito bis'!$E$155/sezione!$B$247*B593</f>
        <v>22.536442553548287</v>
      </c>
      <c r="D593" s="603">
        <f>-'Sollecitazioni nel paramento'!$G$47*'Sollecitazioni nel paramento'!$G$41*IF(DATI!$G$211="dx",DATI!$E$61,DATI!$E$64*DATI!$E$63)*1000*C593^2*sezione!$AD$5*(1-sezione!$AD$6)</f>
        <v>-11299893.487108257</v>
      </c>
      <c r="E593" s="545">
        <f>-'Foglio deposito bis'!$F$48*(C593-sezione!$AL$29)*IF(ABS(K593)&lt;'Sollecitazioni nel paramento'!$G$58,ABS(K593)*'Sollecitazioni nel paramento'!$G$54,'Sollecitazioni nel paramento'!$G$53)</f>
        <v>0</v>
      </c>
      <c r="F593" s="545">
        <f>-'Foglio deposito bis'!$F$49*(C593-sezione!$AM$29)*IF(ABS(L593)&lt;'Sollecitazioni nel paramento'!$G$58,ABS(L593)*'Sollecitazioni nel paramento'!$G$54,'Sollecitazioni nel paramento'!$G$53)</f>
        <v>7675776.3163768649</v>
      </c>
      <c r="G593" s="545">
        <f>-'Foglio deposito bis'!$F$50*(C593-sezione!$AN$29)*IF(ABS(M593)&lt;'Sollecitazioni nel paramento'!$G$58,ABS(M593)*'Sollecitazioni nel paramento'!$G$54,'Sollecitazioni nel paramento'!$G$53)</f>
        <v>0</v>
      </c>
      <c r="H593" s="545">
        <f>-'Foglio deposito bis'!$F$51*(C593-sezione!$AO$29)*IF(ABS(N593)&lt;'Sollecitazioni nel paramento'!$G$58,ABS(N593)*'Sollecitazioni nel paramento'!$G$54,'Sollecitazioni nel paramento'!$G$53)</f>
        <v>33121362.691243514</v>
      </c>
      <c r="I593" s="472">
        <f>-'Foglio deposito bis'!$F$52*(C593-sezione!$AP$29)*IF(ABS(O593)&lt;'Sollecitazioni nel paramento'!$G$58,ABS(O593)*'Sollecitazioni nel paramento'!$G$54,'Sollecitazioni nel paramento'!$G$53)</f>
        <v>72167429.020357341</v>
      </c>
      <c r="J593" s="472">
        <f t="shared" si="42"/>
        <v>101664674.54086946</v>
      </c>
      <c r="K593" s="550">
        <f>'Sollecitazioni nel paramento'!$G$60*(sezione!$AL$29-C593)/C593</f>
        <v>2.7121605780215507E-3</v>
      </c>
      <c r="L593" s="550">
        <f>'Sollecitazioni nel paramento'!$G$60*(sezione!$AM$29-C593)/C593</f>
        <v>5.8182408670323258E-3</v>
      </c>
      <c r="M593" s="551">
        <f>'Sollecitazioni nel paramento'!$G$60*(sezione!$AN$29-C593)/C593</f>
        <v>8.924321156043101E-3</v>
      </c>
      <c r="N593" s="551">
        <f>'Sollecitazioni nel paramento'!$G$60*(sezione!$AO$29-C593)/C593</f>
        <v>2.1348642312086202E-2</v>
      </c>
      <c r="O593" s="551">
        <f>'Sollecitazioni nel paramento'!$G$60*(sezione!$AP$29-C593)/C593</f>
        <v>4.6516100291543731E-2</v>
      </c>
      <c r="P593" s="545">
        <f>-'Sollecitazioni nel paramento'!$G$47*'Sollecitazioni nel paramento'!$G$41*IF(DATI!$G$211="dx",DATI!$E$61,DATI!$E$64*DATI!$E$63)*1000*C593*sezione!$AD$5</f>
        <v>-858570.85196252889</v>
      </c>
      <c r="Q593" s="545">
        <f>'Foglio deposito bis'!$F$48*IF(ABS(K593)&lt;'Sollecitazioni nel paramento'!$G$58,ABS(K593)*'Sollecitazioni nel paramento'!$G$54,'Sollecitazioni nel paramento'!$G$53)*IF(K593&lt;0,-1,1)</f>
        <v>0</v>
      </c>
      <c r="R593" s="545">
        <f>'Foglio deposito bis'!$F$49*IF(ABS(L593)&lt;'Sollecitazioni nel paramento'!$G$58,ABS(L593)*'Sollecitazioni nel paramento'!$G$54,'Sollecitazioni nel paramento'!$G$53)*IF(L593&lt;0,-1,1)</f>
        <v>204886.47740803001</v>
      </c>
      <c r="S593" s="545">
        <f>'Foglio deposito bis'!$F$50*IF(ABS(M593)&lt;'Sollecitazioni nel paramento'!$G$58,ABS(M593)*'Sollecitazioni nel paramento'!$G$54,'Sollecitazioni nel paramento'!$G$53)*IF(M593&lt;0,-1,1)</f>
        <v>0</v>
      </c>
      <c r="T593" s="545">
        <f>'Foglio deposito bis'!$F$51*IF(ABS(N593)&lt;'Sollecitazioni nel paramento'!$G$58,ABS(N593)*'Sollecitazioni nel paramento'!$G$54,'Sollecitazioni nel paramento'!$G$53)*IF(N593&lt;0,-1,1)</f>
        <v>240946.49743184328</v>
      </c>
      <c r="U593" s="545">
        <f>'Foglio deposito bis'!$F$52*IF(ABS(O593)&lt;'Sollecitazioni nel paramento'!$G$58,ABS(O593)*'Sollecitazioni nel paramento'!$G$54,'Sollecitazioni nel paramento'!$G$53)*IF(O593&lt;0,-1,1)</f>
        <v>240946.49743184328</v>
      </c>
      <c r="V593" s="472">
        <f t="shared" si="43"/>
        <v>-171791.37969081223</v>
      </c>
      <c r="W593" s="551"/>
      <c r="X593" s="551"/>
    </row>
    <row r="594" spans="1:24" x14ac:dyDescent="0.25">
      <c r="A594" s="545">
        <f t="shared" si="44"/>
        <v>181123.67155997039</v>
      </c>
      <c r="B594" s="3">
        <f t="shared" si="45"/>
        <v>4.6499999999999915</v>
      </c>
      <c r="C594" s="545">
        <f>'Foglio deposito bis'!$E$155/sezione!$B$247*B594</f>
        <v>22.781403885652075</v>
      </c>
      <c r="D594" s="603">
        <f>-'Sollecitazioni nel paramento'!$G$47*'Sollecitazioni nel paramento'!$G$41*IF(DATI!$G$211="dx",DATI!$E$61,DATI!$E$64*DATI!$E$63)*1000*C594^2*sezione!$AD$5*(1-sezione!$AD$6)</f>
        <v>-11546878.399101999</v>
      </c>
      <c r="E594" s="545">
        <f>-'Foglio deposito bis'!$F$48*(C594-sezione!$AL$29)*IF(ABS(K594)&lt;'Sollecitazioni nel paramento'!$G$58,ABS(K594)*'Sollecitazioni nel paramento'!$G$54,'Sollecitazioni nel paramento'!$G$53)</f>
        <v>0</v>
      </c>
      <c r="F594" s="545">
        <f>-'Foglio deposito bis'!$F$49*(C594-sezione!$AM$29)*IF(ABS(L594)&lt;'Sollecitazioni nel paramento'!$G$58,ABS(L594)*'Sollecitazioni nel paramento'!$G$54,'Sollecitazioni nel paramento'!$G$53)</f>
        <v>7625587.0519409394</v>
      </c>
      <c r="G594" s="545">
        <f>-'Foglio deposito bis'!$F$50*(C594-sezione!$AN$29)*IF(ABS(M594)&lt;'Sollecitazioni nel paramento'!$G$58,ABS(M594)*'Sollecitazioni nel paramento'!$G$54,'Sollecitazioni nel paramento'!$G$53)</f>
        <v>0</v>
      </c>
      <c r="H594" s="545">
        <f>-'Foglio deposito bis'!$F$51*(C594-sezione!$AO$29)*IF(ABS(N594)&lt;'Sollecitazioni nel paramento'!$G$58,ABS(N594)*'Sollecitazioni nel paramento'!$G$54,'Sollecitazioni nel paramento'!$G$53)</f>
        <v>33062340.116266869</v>
      </c>
      <c r="I594" s="472">
        <f>-'Foglio deposito bis'!$F$52*(C594-sezione!$AP$29)*IF(ABS(O594)&lt;'Sollecitazioni nel paramento'!$G$58,ABS(O594)*'Sollecitazioni nel paramento'!$G$54,'Sollecitazioni nel paramento'!$G$53)</f>
        <v>72108406.445380688</v>
      </c>
      <c r="J594" s="472">
        <f t="shared" si="42"/>
        <v>101249455.21448649</v>
      </c>
      <c r="K594" s="550">
        <f>'Sollecitazioni nel paramento'!$G$60*(sezione!$AL$29-C594)/C594</f>
        <v>2.645363152451426E-3</v>
      </c>
      <c r="L594" s="550">
        <f>'Sollecitazioni nel paramento'!$G$60*(sezione!$AM$29-C594)/C594</f>
        <v>5.7180447286771397E-3</v>
      </c>
      <c r="M594" s="551">
        <f>'Sollecitazioni nel paramento'!$G$60*(sezione!$AN$29-C594)/C594</f>
        <v>8.7907263049028517E-3</v>
      </c>
      <c r="N594" s="551">
        <f>'Sollecitazioni nel paramento'!$G$60*(sezione!$AO$29-C594)/C594</f>
        <v>2.1081452609805703E-2</v>
      </c>
      <c r="O594" s="551">
        <f>'Sollecitazioni nel paramento'!$G$60*(sezione!$AP$29-C594)/C594</f>
        <v>4.5978292761527123E-2</v>
      </c>
      <c r="P594" s="545">
        <f>-'Sollecitazioni nel paramento'!$G$47*'Sollecitazioni nel paramento'!$G$41*IF(DATI!$G$211="dx",DATI!$E$61,DATI!$E$64*DATI!$E$63)*1000*C594*sezione!$AD$5</f>
        <v>-867903.14383168693</v>
      </c>
      <c r="Q594" s="545">
        <f>'Foglio deposito bis'!$F$48*IF(ABS(K594)&lt;'Sollecitazioni nel paramento'!$G$58,ABS(K594)*'Sollecitazioni nel paramento'!$G$54,'Sollecitazioni nel paramento'!$G$53)*IF(K594&lt;0,-1,1)</f>
        <v>0</v>
      </c>
      <c r="R594" s="545">
        <f>'Foglio deposito bis'!$F$49*IF(ABS(L594)&lt;'Sollecitazioni nel paramento'!$G$58,ABS(L594)*'Sollecitazioni nel paramento'!$G$54,'Sollecitazioni nel paramento'!$G$53)*IF(L594&lt;0,-1,1)</f>
        <v>204886.47740803001</v>
      </c>
      <c r="S594" s="545">
        <f>'Foglio deposito bis'!$F$50*IF(ABS(M594)&lt;'Sollecitazioni nel paramento'!$G$58,ABS(M594)*'Sollecitazioni nel paramento'!$G$54,'Sollecitazioni nel paramento'!$G$53)*IF(M594&lt;0,-1,1)</f>
        <v>0</v>
      </c>
      <c r="T594" s="545">
        <f>'Foglio deposito bis'!$F$51*IF(ABS(N594)&lt;'Sollecitazioni nel paramento'!$G$58,ABS(N594)*'Sollecitazioni nel paramento'!$G$54,'Sollecitazioni nel paramento'!$G$53)*IF(N594&lt;0,-1,1)</f>
        <v>240946.49743184328</v>
      </c>
      <c r="U594" s="545">
        <f>'Foglio deposito bis'!$F$52*IF(ABS(O594)&lt;'Sollecitazioni nel paramento'!$G$58,ABS(O594)*'Sollecitazioni nel paramento'!$G$54,'Sollecitazioni nel paramento'!$G$53)*IF(O594&lt;0,-1,1)</f>
        <v>240946.49743184328</v>
      </c>
      <c r="V594" s="472">
        <f t="shared" si="43"/>
        <v>-181123.67155997039</v>
      </c>
      <c r="W594" s="551"/>
      <c r="X594" s="551"/>
    </row>
    <row r="595" spans="1:24" x14ac:dyDescent="0.25">
      <c r="A595" s="545">
        <f t="shared" si="44"/>
        <v>190455.96342912831</v>
      </c>
      <c r="B595" s="3">
        <f t="shared" si="45"/>
        <v>4.6999999999999913</v>
      </c>
      <c r="C595" s="545">
        <f>'Foglio deposito bis'!$E$155/sezione!$B$247*B595</f>
        <v>23.02636521775586</v>
      </c>
      <c r="D595" s="603">
        <f>-'Sollecitazioni nel paramento'!$G$47*'Sollecitazioni nel paramento'!$G$41*IF(DATI!$G$211="dx",DATI!$E$61,DATI!$E$64*DATI!$E$63)*1000*C595^2*sezione!$AD$5*(1-sezione!$AD$6)</f>
        <v>-11796533.418252427</v>
      </c>
      <c r="E595" s="545">
        <f>-'Foglio deposito bis'!$F$48*(C595-sezione!$AL$29)*IF(ABS(K595)&lt;'Sollecitazioni nel paramento'!$G$58,ABS(K595)*'Sollecitazioni nel paramento'!$G$54,'Sollecitazioni nel paramento'!$G$53)</f>
        <v>0</v>
      </c>
      <c r="F595" s="545">
        <f>-'Foglio deposito bis'!$F$49*(C595-sezione!$AM$29)*IF(ABS(L595)&lt;'Sollecitazioni nel paramento'!$G$58,ABS(L595)*'Sollecitazioni nel paramento'!$G$54,'Sollecitazioni nel paramento'!$G$53)</f>
        <v>7575397.7875050167</v>
      </c>
      <c r="G595" s="545">
        <f>-'Foglio deposito bis'!$F$50*(C595-sezione!$AN$29)*IF(ABS(M595)&lt;'Sollecitazioni nel paramento'!$G$58,ABS(M595)*'Sollecitazioni nel paramento'!$G$54,'Sollecitazioni nel paramento'!$G$53)</f>
        <v>0</v>
      </c>
      <c r="H595" s="545">
        <f>-'Foglio deposito bis'!$F$51*(C595-sezione!$AO$29)*IF(ABS(N595)&lt;'Sollecitazioni nel paramento'!$G$58,ABS(N595)*'Sollecitazioni nel paramento'!$G$54,'Sollecitazioni nel paramento'!$G$53)</f>
        <v>33003317.541290227</v>
      </c>
      <c r="I595" s="472">
        <f>-'Foglio deposito bis'!$F$52*(C595-sezione!$AP$29)*IF(ABS(O595)&lt;'Sollecitazioni nel paramento'!$G$58,ABS(O595)*'Sollecitazioni nel paramento'!$G$54,'Sollecitazioni nel paramento'!$G$53)</f>
        <v>72049383.870404035</v>
      </c>
      <c r="J595" s="472">
        <f t="shared" si="42"/>
        <v>100831565.78094685</v>
      </c>
      <c r="K595" s="550">
        <f>'Sollecitazioni nel paramento'!$G$60*(sezione!$AL$29-C595)/C595</f>
        <v>2.5799869487019428E-3</v>
      </c>
      <c r="L595" s="550">
        <f>'Sollecitazioni nel paramento'!$G$60*(sezione!$AM$29-C595)/C595</f>
        <v>5.6199804230529149E-3</v>
      </c>
      <c r="M595" s="551">
        <f>'Sollecitazioni nel paramento'!$G$60*(sezione!$AN$29-C595)/C595</f>
        <v>8.6599738974038852E-3</v>
      </c>
      <c r="N595" s="551">
        <f>'Sollecitazioni nel paramento'!$G$60*(sezione!$AO$29-C595)/C595</f>
        <v>2.0819947794807774E-2</v>
      </c>
      <c r="O595" s="551">
        <f>'Sollecitazioni nel paramento'!$G$60*(sezione!$AP$29-C595)/C595</f>
        <v>4.5451927944915135E-2</v>
      </c>
      <c r="P595" s="545">
        <f>-'Sollecitazioni nel paramento'!$G$47*'Sollecitazioni nel paramento'!$G$41*IF(DATI!$G$211="dx",DATI!$E$61,DATI!$E$64*DATI!$E$63)*1000*C595*sezione!$AD$5</f>
        <v>-877235.43570084486</v>
      </c>
      <c r="Q595" s="545">
        <f>'Foglio deposito bis'!$F$48*IF(ABS(K595)&lt;'Sollecitazioni nel paramento'!$G$58,ABS(K595)*'Sollecitazioni nel paramento'!$G$54,'Sollecitazioni nel paramento'!$G$53)*IF(K595&lt;0,-1,1)</f>
        <v>0</v>
      </c>
      <c r="R595" s="545">
        <f>'Foglio deposito bis'!$F$49*IF(ABS(L595)&lt;'Sollecitazioni nel paramento'!$G$58,ABS(L595)*'Sollecitazioni nel paramento'!$G$54,'Sollecitazioni nel paramento'!$G$53)*IF(L595&lt;0,-1,1)</f>
        <v>204886.47740803001</v>
      </c>
      <c r="S595" s="545">
        <f>'Foglio deposito bis'!$F$50*IF(ABS(M595)&lt;'Sollecitazioni nel paramento'!$G$58,ABS(M595)*'Sollecitazioni nel paramento'!$G$54,'Sollecitazioni nel paramento'!$G$53)*IF(M595&lt;0,-1,1)</f>
        <v>0</v>
      </c>
      <c r="T595" s="545">
        <f>'Foglio deposito bis'!$F$51*IF(ABS(N595)&lt;'Sollecitazioni nel paramento'!$G$58,ABS(N595)*'Sollecitazioni nel paramento'!$G$54,'Sollecitazioni nel paramento'!$G$53)*IF(N595&lt;0,-1,1)</f>
        <v>240946.49743184328</v>
      </c>
      <c r="U595" s="545">
        <f>'Foglio deposito bis'!$F$52*IF(ABS(O595)&lt;'Sollecitazioni nel paramento'!$G$58,ABS(O595)*'Sollecitazioni nel paramento'!$G$54,'Sollecitazioni nel paramento'!$G$53)*IF(O595&lt;0,-1,1)</f>
        <v>240946.49743184328</v>
      </c>
      <c r="V595" s="472">
        <f t="shared" si="43"/>
        <v>-190455.96342912831</v>
      </c>
      <c r="W595" s="551"/>
      <c r="X595" s="551"/>
    </row>
    <row r="596" spans="1:24" x14ac:dyDescent="0.25">
      <c r="A596" s="545">
        <f t="shared" si="44"/>
        <v>199788.25529828601</v>
      </c>
      <c r="B596" s="3">
        <f t="shared" si="45"/>
        <v>4.7499999999999911</v>
      </c>
      <c r="C596" s="545">
        <f>'Foglio deposito bis'!$E$155/sezione!$B$247*B596</f>
        <v>23.271326549859644</v>
      </c>
      <c r="D596" s="603">
        <f>-'Sollecitazioni nel paramento'!$G$47*'Sollecitazioni nel paramento'!$G$41*IF(DATI!$G$211="dx",DATI!$E$61,DATI!$E$64*DATI!$E$63)*1000*C596^2*sezione!$AD$5*(1-sezione!$AD$6)</f>
        <v>-12048858.544559546</v>
      </c>
      <c r="E596" s="545">
        <f>-'Foglio deposito bis'!$F$48*(C596-sezione!$AL$29)*IF(ABS(K596)&lt;'Sollecitazioni nel paramento'!$G$58,ABS(K596)*'Sollecitazioni nel paramento'!$G$54,'Sollecitazioni nel paramento'!$G$53)</f>
        <v>0</v>
      </c>
      <c r="F596" s="545">
        <f>-'Foglio deposito bis'!$F$49*(C596-sezione!$AM$29)*IF(ABS(L596)&lt;'Sollecitazioni nel paramento'!$G$58,ABS(L596)*'Sollecitazioni nel paramento'!$G$54,'Sollecitazioni nel paramento'!$G$53)</f>
        <v>7525208.5230690939</v>
      </c>
      <c r="G596" s="545">
        <f>-'Foglio deposito bis'!$F$50*(C596-sezione!$AN$29)*IF(ABS(M596)&lt;'Sollecitazioni nel paramento'!$G$58,ABS(M596)*'Sollecitazioni nel paramento'!$G$54,'Sollecitazioni nel paramento'!$G$53)</f>
        <v>0</v>
      </c>
      <c r="H596" s="545">
        <f>-'Foglio deposito bis'!$F$51*(C596-sezione!$AO$29)*IF(ABS(N596)&lt;'Sollecitazioni nel paramento'!$G$58,ABS(N596)*'Sollecitazioni nel paramento'!$G$54,'Sollecitazioni nel paramento'!$G$53)</f>
        <v>32944294.966313578</v>
      </c>
      <c r="I596" s="472">
        <f>-'Foglio deposito bis'!$F$52*(C596-sezione!$AP$29)*IF(ABS(O596)&lt;'Sollecitazioni nel paramento'!$G$58,ABS(O596)*'Sollecitazioni nel paramento'!$G$54,'Sollecitazioni nel paramento'!$G$53)</f>
        <v>71990361.295427397</v>
      </c>
      <c r="J596" s="472">
        <f t="shared" si="42"/>
        <v>100411006.24025053</v>
      </c>
      <c r="K596" s="550">
        <f>'Sollecitazioni nel paramento'!$G$60*(sezione!$AL$29-C596)/C596</f>
        <v>2.5159870860840283E-3</v>
      </c>
      <c r="L596" s="550">
        <f>'Sollecitazioni nel paramento'!$G$60*(sezione!$AM$29-C596)/C596</f>
        <v>5.5239806291260424E-3</v>
      </c>
      <c r="M596" s="551">
        <f>'Sollecitazioni nel paramento'!$G$60*(sezione!$AN$29-C596)/C596</f>
        <v>8.531974172168057E-3</v>
      </c>
      <c r="N596" s="551">
        <f>'Sollecitazioni nel paramento'!$G$60*(sezione!$AO$29-C596)/C596</f>
        <v>2.056394834433611E-2</v>
      </c>
      <c r="O596" s="551">
        <f>'Sollecitazioni nel paramento'!$G$60*(sezione!$AP$29-C596)/C596</f>
        <v>4.4936644492863408E-2</v>
      </c>
      <c r="P596" s="545">
        <f>-'Sollecitazioni nel paramento'!$G$47*'Sollecitazioni nel paramento'!$G$41*IF(DATI!$G$211="dx",DATI!$E$61,DATI!$E$64*DATI!$E$63)*1000*C596*sezione!$AD$5</f>
        <v>-886567.72757000267</v>
      </c>
      <c r="Q596" s="545">
        <f>'Foglio deposito bis'!$F$48*IF(ABS(K596)&lt;'Sollecitazioni nel paramento'!$G$58,ABS(K596)*'Sollecitazioni nel paramento'!$G$54,'Sollecitazioni nel paramento'!$G$53)*IF(K596&lt;0,-1,1)</f>
        <v>0</v>
      </c>
      <c r="R596" s="545">
        <f>'Foglio deposito bis'!$F$49*IF(ABS(L596)&lt;'Sollecitazioni nel paramento'!$G$58,ABS(L596)*'Sollecitazioni nel paramento'!$G$54,'Sollecitazioni nel paramento'!$G$53)*IF(L596&lt;0,-1,1)</f>
        <v>204886.47740803001</v>
      </c>
      <c r="S596" s="545">
        <f>'Foglio deposito bis'!$F$50*IF(ABS(M596)&lt;'Sollecitazioni nel paramento'!$G$58,ABS(M596)*'Sollecitazioni nel paramento'!$G$54,'Sollecitazioni nel paramento'!$G$53)*IF(M596&lt;0,-1,1)</f>
        <v>0</v>
      </c>
      <c r="T596" s="545">
        <f>'Foglio deposito bis'!$F$51*IF(ABS(N596)&lt;'Sollecitazioni nel paramento'!$G$58,ABS(N596)*'Sollecitazioni nel paramento'!$G$54,'Sollecitazioni nel paramento'!$G$53)*IF(N596&lt;0,-1,1)</f>
        <v>240946.49743184328</v>
      </c>
      <c r="U596" s="545">
        <f>'Foglio deposito bis'!$F$52*IF(ABS(O596)&lt;'Sollecitazioni nel paramento'!$G$58,ABS(O596)*'Sollecitazioni nel paramento'!$G$54,'Sollecitazioni nel paramento'!$G$53)*IF(O596&lt;0,-1,1)</f>
        <v>240946.49743184328</v>
      </c>
      <c r="V596" s="472">
        <f t="shared" si="43"/>
        <v>-199788.25529828601</v>
      </c>
      <c r="W596" s="551"/>
      <c r="X596" s="551"/>
    </row>
    <row r="597" spans="1:24" x14ac:dyDescent="0.25">
      <c r="A597" s="545">
        <f t="shared" si="44"/>
        <v>209120.54716744417</v>
      </c>
      <c r="B597" s="3">
        <f t="shared" si="45"/>
        <v>4.7999999999999909</v>
      </c>
      <c r="C597" s="545">
        <f>'Foglio deposito bis'!$E$155/sezione!$B$247*B597</f>
        <v>23.516287881963429</v>
      </c>
      <c r="D597" s="603">
        <f>-'Sollecitazioni nel paramento'!$G$47*'Sollecitazioni nel paramento'!$G$41*IF(DATI!$G$211="dx",DATI!$E$61,DATI!$E$64*DATI!$E$63)*1000*C597^2*sezione!$AD$5*(1-sezione!$AD$6)</f>
        <v>-12303853.778023355</v>
      </c>
      <c r="E597" s="545">
        <f>-'Foglio deposito bis'!$F$48*(C597-sezione!$AL$29)*IF(ABS(K597)&lt;'Sollecitazioni nel paramento'!$G$58,ABS(K597)*'Sollecitazioni nel paramento'!$G$54,'Sollecitazioni nel paramento'!$G$53)</f>
        <v>0</v>
      </c>
      <c r="F597" s="545">
        <f>-'Foglio deposito bis'!$F$49*(C597-sezione!$AM$29)*IF(ABS(L597)&lt;'Sollecitazioni nel paramento'!$G$58,ABS(L597)*'Sollecitazioni nel paramento'!$G$54,'Sollecitazioni nel paramento'!$G$53)</f>
        <v>7475019.2586331712</v>
      </c>
      <c r="G597" s="545">
        <f>-'Foglio deposito bis'!$F$50*(C597-sezione!$AN$29)*IF(ABS(M597)&lt;'Sollecitazioni nel paramento'!$G$58,ABS(M597)*'Sollecitazioni nel paramento'!$G$54,'Sollecitazioni nel paramento'!$G$53)</f>
        <v>0</v>
      </c>
      <c r="H597" s="545">
        <f>-'Foglio deposito bis'!$F$51*(C597-sezione!$AO$29)*IF(ABS(N597)&lt;'Sollecitazioni nel paramento'!$G$58,ABS(N597)*'Sollecitazioni nel paramento'!$G$54,'Sollecitazioni nel paramento'!$G$53)</f>
        <v>32885272.39133694</v>
      </c>
      <c r="I597" s="472">
        <f>-'Foglio deposito bis'!$F$52*(C597-sezione!$AP$29)*IF(ABS(O597)&lt;'Sollecitazioni nel paramento'!$G$58,ABS(O597)*'Sollecitazioni nel paramento'!$G$54,'Sollecitazioni nel paramento'!$G$53)</f>
        <v>71931338.720450744</v>
      </c>
      <c r="J597" s="472">
        <f t="shared" si="42"/>
        <v>99987776.592397496</v>
      </c>
      <c r="K597" s="550">
        <f>'Sollecitazioni nel paramento'!$G$60*(sezione!$AL$29-C597)/C597</f>
        <v>2.4533205539373198E-3</v>
      </c>
      <c r="L597" s="550">
        <f>'Sollecitazioni nel paramento'!$G$60*(sezione!$AM$29-C597)/C597</f>
        <v>5.4299808309059804E-3</v>
      </c>
      <c r="M597" s="551">
        <f>'Sollecitazioni nel paramento'!$G$60*(sezione!$AN$29-C597)/C597</f>
        <v>8.4066411078746409E-3</v>
      </c>
      <c r="N597" s="551">
        <f>'Sollecitazioni nel paramento'!$G$60*(sezione!$AO$29-C597)/C597</f>
        <v>2.0313282215749282E-2</v>
      </c>
      <c r="O597" s="551">
        <f>'Sollecitazioni nel paramento'!$G$60*(sezione!$AP$29-C597)/C597</f>
        <v>4.4432096112729413E-2</v>
      </c>
      <c r="P597" s="545">
        <f>-'Sollecitazioni nel paramento'!$G$47*'Sollecitazioni nel paramento'!$G$41*IF(DATI!$G$211="dx",DATI!$E$61,DATI!$E$64*DATI!$E$63)*1000*C597*sezione!$AD$5</f>
        <v>-895900.01943916071</v>
      </c>
      <c r="Q597" s="545">
        <f>'Foglio deposito bis'!$F$48*IF(ABS(K597)&lt;'Sollecitazioni nel paramento'!$G$58,ABS(K597)*'Sollecitazioni nel paramento'!$G$54,'Sollecitazioni nel paramento'!$G$53)*IF(K597&lt;0,-1,1)</f>
        <v>0</v>
      </c>
      <c r="R597" s="545">
        <f>'Foglio deposito bis'!$F$49*IF(ABS(L597)&lt;'Sollecitazioni nel paramento'!$G$58,ABS(L597)*'Sollecitazioni nel paramento'!$G$54,'Sollecitazioni nel paramento'!$G$53)*IF(L597&lt;0,-1,1)</f>
        <v>204886.47740803001</v>
      </c>
      <c r="S597" s="545">
        <f>'Foglio deposito bis'!$F$50*IF(ABS(M597)&lt;'Sollecitazioni nel paramento'!$G$58,ABS(M597)*'Sollecitazioni nel paramento'!$G$54,'Sollecitazioni nel paramento'!$G$53)*IF(M597&lt;0,-1,1)</f>
        <v>0</v>
      </c>
      <c r="T597" s="545">
        <f>'Foglio deposito bis'!$F$51*IF(ABS(N597)&lt;'Sollecitazioni nel paramento'!$G$58,ABS(N597)*'Sollecitazioni nel paramento'!$G$54,'Sollecitazioni nel paramento'!$G$53)*IF(N597&lt;0,-1,1)</f>
        <v>240946.49743184328</v>
      </c>
      <c r="U597" s="545">
        <f>'Foglio deposito bis'!$F$52*IF(ABS(O597)&lt;'Sollecitazioni nel paramento'!$G$58,ABS(O597)*'Sollecitazioni nel paramento'!$G$54,'Sollecitazioni nel paramento'!$G$53)*IF(O597&lt;0,-1,1)</f>
        <v>240946.49743184328</v>
      </c>
      <c r="V597" s="472">
        <f t="shared" si="43"/>
        <v>-209120.54716744417</v>
      </c>
      <c r="W597" s="551"/>
      <c r="X597" s="551"/>
    </row>
    <row r="598" spans="1:24" x14ac:dyDescent="0.25">
      <c r="A598" s="545">
        <f t="shared" si="44"/>
        <v>218452.83903660209</v>
      </c>
      <c r="B598" s="3">
        <f t="shared" si="45"/>
        <v>4.8499999999999908</v>
      </c>
      <c r="C598" s="545">
        <f>'Foglio deposito bis'!$E$155/sezione!$B$247*B598</f>
        <v>23.761249214067217</v>
      </c>
      <c r="D598" s="603">
        <f>-'Sollecitazioni nel paramento'!$G$47*'Sollecitazioni nel paramento'!$G$41*IF(DATI!$G$211="dx",DATI!$E$61,DATI!$E$64*DATI!$E$63)*1000*C598^2*sezione!$AD$5*(1-sezione!$AD$6)</f>
        <v>-12561519.118643852</v>
      </c>
      <c r="E598" s="545">
        <f>-'Foglio deposito bis'!$F$48*(C598-sezione!$AL$29)*IF(ABS(K598)&lt;'Sollecitazioni nel paramento'!$G$58,ABS(K598)*'Sollecitazioni nel paramento'!$G$54,'Sollecitazioni nel paramento'!$G$53)</f>
        <v>0</v>
      </c>
      <c r="F598" s="545">
        <f>-'Foglio deposito bis'!$F$49*(C598-sezione!$AM$29)*IF(ABS(L598)&lt;'Sollecitazioni nel paramento'!$G$58,ABS(L598)*'Sollecitazioni nel paramento'!$G$54,'Sollecitazioni nel paramento'!$G$53)</f>
        <v>7424829.9941972457</v>
      </c>
      <c r="G598" s="545">
        <f>-'Foglio deposito bis'!$F$50*(C598-sezione!$AN$29)*IF(ABS(M598)&lt;'Sollecitazioni nel paramento'!$G$58,ABS(M598)*'Sollecitazioni nel paramento'!$G$54,'Sollecitazioni nel paramento'!$G$53)</f>
        <v>0</v>
      </c>
      <c r="H598" s="545">
        <f>-'Foglio deposito bis'!$F$51*(C598-sezione!$AO$29)*IF(ABS(N598)&lt;'Sollecitazioni nel paramento'!$G$58,ABS(N598)*'Sollecitazioni nel paramento'!$G$54,'Sollecitazioni nel paramento'!$G$53)</f>
        <v>32826249.816360287</v>
      </c>
      <c r="I598" s="472">
        <f>-'Foglio deposito bis'!$F$52*(C598-sezione!$AP$29)*IF(ABS(O598)&lt;'Sollecitazioni nel paramento'!$G$58,ABS(O598)*'Sollecitazioni nel paramento'!$G$54,'Sollecitazioni nel paramento'!$G$53)</f>
        <v>71872316.145474091</v>
      </c>
      <c r="J598" s="472">
        <f t="shared" si="42"/>
        <v>99561876.83738777</v>
      </c>
      <c r="K598" s="550">
        <f>'Sollecitazioni nel paramento'!$G$60*(sezione!$AL$29-C598)/C598</f>
        <v>2.3919461152369344E-3</v>
      </c>
      <c r="L598" s="550">
        <f>'Sollecitazioni nel paramento'!$G$60*(sezione!$AM$29-C598)/C598</f>
        <v>5.337919172855401E-3</v>
      </c>
      <c r="M598" s="551">
        <f>'Sollecitazioni nel paramento'!$G$60*(sezione!$AN$29-C598)/C598</f>
        <v>8.2838922304738685E-3</v>
      </c>
      <c r="N598" s="551">
        <f>'Sollecitazioni nel paramento'!$G$60*(sezione!$AO$29-C598)/C598</f>
        <v>2.0067784460947737E-2</v>
      </c>
      <c r="O598" s="551">
        <f>'Sollecitazioni nel paramento'!$G$60*(sezione!$AP$29-C598)/C598</f>
        <v>4.3937950791979617E-2</v>
      </c>
      <c r="P598" s="545">
        <f>-'Sollecitazioni nel paramento'!$G$47*'Sollecitazioni nel paramento'!$G$41*IF(DATI!$G$211="dx",DATI!$E$61,DATI!$E$64*DATI!$E$63)*1000*C598*sezione!$AD$5</f>
        <v>-905232.31130831863</v>
      </c>
      <c r="Q598" s="545">
        <f>'Foglio deposito bis'!$F$48*IF(ABS(K598)&lt;'Sollecitazioni nel paramento'!$G$58,ABS(K598)*'Sollecitazioni nel paramento'!$G$54,'Sollecitazioni nel paramento'!$G$53)*IF(K598&lt;0,-1,1)</f>
        <v>0</v>
      </c>
      <c r="R598" s="545">
        <f>'Foglio deposito bis'!$F$49*IF(ABS(L598)&lt;'Sollecitazioni nel paramento'!$G$58,ABS(L598)*'Sollecitazioni nel paramento'!$G$54,'Sollecitazioni nel paramento'!$G$53)*IF(L598&lt;0,-1,1)</f>
        <v>204886.47740803001</v>
      </c>
      <c r="S598" s="545">
        <f>'Foglio deposito bis'!$F$50*IF(ABS(M598)&lt;'Sollecitazioni nel paramento'!$G$58,ABS(M598)*'Sollecitazioni nel paramento'!$G$54,'Sollecitazioni nel paramento'!$G$53)*IF(M598&lt;0,-1,1)</f>
        <v>0</v>
      </c>
      <c r="T598" s="545">
        <f>'Foglio deposito bis'!$F$51*IF(ABS(N598)&lt;'Sollecitazioni nel paramento'!$G$58,ABS(N598)*'Sollecitazioni nel paramento'!$G$54,'Sollecitazioni nel paramento'!$G$53)*IF(N598&lt;0,-1,1)</f>
        <v>240946.49743184328</v>
      </c>
      <c r="U598" s="545">
        <f>'Foglio deposito bis'!$F$52*IF(ABS(O598)&lt;'Sollecitazioni nel paramento'!$G$58,ABS(O598)*'Sollecitazioni nel paramento'!$G$54,'Sollecitazioni nel paramento'!$G$53)*IF(O598&lt;0,-1,1)</f>
        <v>240946.49743184328</v>
      </c>
      <c r="V598" s="472">
        <f t="shared" si="43"/>
        <v>-218452.83903660209</v>
      </c>
      <c r="W598" s="551"/>
      <c r="X598" s="551"/>
    </row>
    <row r="599" spans="1:24" x14ac:dyDescent="0.25">
      <c r="A599" s="545">
        <f t="shared" si="44"/>
        <v>227785.13090575978</v>
      </c>
      <c r="B599" s="3">
        <f t="shared" si="45"/>
        <v>4.8999999999999906</v>
      </c>
      <c r="C599" s="545">
        <f>'Foglio deposito bis'!$E$155/sezione!$B$247*B599</f>
        <v>24.006210546171001</v>
      </c>
      <c r="D599" s="603">
        <f>-'Sollecitazioni nel paramento'!$G$47*'Sollecitazioni nel paramento'!$G$41*IF(DATI!$G$211="dx",DATI!$E$61,DATI!$E$64*DATI!$E$63)*1000*C599^2*sezione!$AD$5*(1-sezione!$AD$6)</f>
        <v>-12821854.566421041</v>
      </c>
      <c r="E599" s="545">
        <f>-'Foglio deposito bis'!$F$48*(C599-sezione!$AL$29)*IF(ABS(K599)&lt;'Sollecitazioni nel paramento'!$G$58,ABS(K599)*'Sollecitazioni nel paramento'!$G$54,'Sollecitazioni nel paramento'!$G$53)</f>
        <v>0</v>
      </c>
      <c r="F599" s="545">
        <f>-'Foglio deposito bis'!$F$49*(C599-sezione!$AM$29)*IF(ABS(L599)&lt;'Sollecitazioni nel paramento'!$G$58,ABS(L599)*'Sollecitazioni nel paramento'!$G$54,'Sollecitazioni nel paramento'!$G$53)</f>
        <v>7374640.729761323</v>
      </c>
      <c r="G599" s="545">
        <f>-'Foglio deposito bis'!$F$50*(C599-sezione!$AN$29)*IF(ABS(M599)&lt;'Sollecitazioni nel paramento'!$G$58,ABS(M599)*'Sollecitazioni nel paramento'!$G$54,'Sollecitazioni nel paramento'!$G$53)</f>
        <v>0</v>
      </c>
      <c r="H599" s="545">
        <f>-'Foglio deposito bis'!$F$51*(C599-sezione!$AO$29)*IF(ABS(N599)&lt;'Sollecitazioni nel paramento'!$G$58,ABS(N599)*'Sollecitazioni nel paramento'!$G$54,'Sollecitazioni nel paramento'!$G$53)</f>
        <v>32767227.241383646</v>
      </c>
      <c r="I599" s="472">
        <f>-'Foglio deposito bis'!$F$52*(C599-sezione!$AP$29)*IF(ABS(O599)&lt;'Sollecitazioni nel paramento'!$G$58,ABS(O599)*'Sollecitazioni nel paramento'!$G$54,'Sollecitazioni nel paramento'!$G$53)</f>
        <v>71813293.570497453</v>
      </c>
      <c r="J599" s="472">
        <f t="shared" si="42"/>
        <v>99133306.975221381</v>
      </c>
      <c r="K599" s="550">
        <f>'Sollecitazioni nel paramento'!$G$60*(sezione!$AL$29-C599)/C599</f>
        <v>2.331824216101864E-3</v>
      </c>
      <c r="L599" s="550">
        <f>'Sollecitazioni nel paramento'!$G$60*(sezione!$AM$29-C599)/C599</f>
        <v>5.247736324152796E-3</v>
      </c>
      <c r="M599" s="551">
        <f>'Sollecitazioni nel paramento'!$G$60*(sezione!$AN$29-C599)/C599</f>
        <v>8.1636484322037284E-3</v>
      </c>
      <c r="N599" s="551">
        <f>'Sollecitazioni nel paramento'!$G$60*(sezione!$AO$29-C599)/C599</f>
        <v>1.9827296864407457E-2</v>
      </c>
      <c r="O599" s="551">
        <f>'Sollecitazioni nel paramento'!$G$60*(sezione!$AP$29-C599)/C599</f>
        <v>4.3453890069612477E-2</v>
      </c>
      <c r="P599" s="545">
        <f>-'Sollecitazioni nel paramento'!$G$47*'Sollecitazioni nel paramento'!$G$41*IF(DATI!$G$211="dx",DATI!$E$61,DATI!$E$64*DATI!$E$63)*1000*C599*sezione!$AD$5</f>
        <v>-914564.60317747644</v>
      </c>
      <c r="Q599" s="545">
        <f>'Foglio deposito bis'!$F$48*IF(ABS(K599)&lt;'Sollecitazioni nel paramento'!$G$58,ABS(K599)*'Sollecitazioni nel paramento'!$G$54,'Sollecitazioni nel paramento'!$G$53)*IF(K599&lt;0,-1,1)</f>
        <v>0</v>
      </c>
      <c r="R599" s="545">
        <f>'Foglio deposito bis'!$F$49*IF(ABS(L599)&lt;'Sollecitazioni nel paramento'!$G$58,ABS(L599)*'Sollecitazioni nel paramento'!$G$54,'Sollecitazioni nel paramento'!$G$53)*IF(L599&lt;0,-1,1)</f>
        <v>204886.47740803001</v>
      </c>
      <c r="S599" s="545">
        <f>'Foglio deposito bis'!$F$50*IF(ABS(M599)&lt;'Sollecitazioni nel paramento'!$G$58,ABS(M599)*'Sollecitazioni nel paramento'!$G$54,'Sollecitazioni nel paramento'!$G$53)*IF(M599&lt;0,-1,1)</f>
        <v>0</v>
      </c>
      <c r="T599" s="545">
        <f>'Foglio deposito bis'!$F$51*IF(ABS(N599)&lt;'Sollecitazioni nel paramento'!$G$58,ABS(N599)*'Sollecitazioni nel paramento'!$G$54,'Sollecitazioni nel paramento'!$G$53)*IF(N599&lt;0,-1,1)</f>
        <v>240946.49743184328</v>
      </c>
      <c r="U599" s="545">
        <f>'Foglio deposito bis'!$F$52*IF(ABS(O599)&lt;'Sollecitazioni nel paramento'!$G$58,ABS(O599)*'Sollecitazioni nel paramento'!$G$54,'Sollecitazioni nel paramento'!$G$53)*IF(O599&lt;0,-1,1)</f>
        <v>240946.49743184328</v>
      </c>
      <c r="V599" s="472">
        <f t="shared" si="43"/>
        <v>-227785.13090575978</v>
      </c>
      <c r="W599" s="551"/>
      <c r="X599" s="551"/>
    </row>
    <row r="600" spans="1:24" x14ac:dyDescent="0.25">
      <c r="A600" s="545">
        <f t="shared" si="44"/>
        <v>237117.42277491771</v>
      </c>
      <c r="B600" s="3">
        <f t="shared" si="45"/>
        <v>4.9499999999999904</v>
      </c>
      <c r="C600" s="545">
        <f>'Foglio deposito bis'!$E$155/sezione!$B$247*B600</f>
        <v>24.251171878274786</v>
      </c>
      <c r="D600" s="603">
        <f>-'Sollecitazioni nel paramento'!$G$47*'Sollecitazioni nel paramento'!$G$41*IF(DATI!$G$211="dx",DATI!$E$61,DATI!$E$64*DATI!$E$63)*1000*C600^2*sezione!$AD$5*(1-sezione!$AD$6)</f>
        <v>-13084860.121354913</v>
      </c>
      <c r="E600" s="545">
        <f>-'Foglio deposito bis'!$F$48*(C600-sezione!$AL$29)*IF(ABS(K600)&lt;'Sollecitazioni nel paramento'!$G$58,ABS(K600)*'Sollecitazioni nel paramento'!$G$54,'Sollecitazioni nel paramento'!$G$53)</f>
        <v>0</v>
      </c>
      <c r="F600" s="545">
        <f>-'Foglio deposito bis'!$F$49*(C600-sezione!$AM$29)*IF(ABS(L600)&lt;'Sollecitazioni nel paramento'!$G$58,ABS(L600)*'Sollecitazioni nel paramento'!$G$54,'Sollecitazioni nel paramento'!$G$53)</f>
        <v>7324451.4653254002</v>
      </c>
      <c r="G600" s="545">
        <f>-'Foglio deposito bis'!$F$50*(C600-sezione!$AN$29)*IF(ABS(M600)&lt;'Sollecitazioni nel paramento'!$G$58,ABS(M600)*'Sollecitazioni nel paramento'!$G$54,'Sollecitazioni nel paramento'!$G$53)</f>
        <v>0</v>
      </c>
      <c r="H600" s="545">
        <f>-'Foglio deposito bis'!$F$51*(C600-sezione!$AO$29)*IF(ABS(N600)&lt;'Sollecitazioni nel paramento'!$G$58,ABS(N600)*'Sollecitazioni nel paramento'!$G$54,'Sollecitazioni nel paramento'!$G$53)</f>
        <v>32708204.666406997</v>
      </c>
      <c r="I600" s="472">
        <f>-'Foglio deposito bis'!$F$52*(C600-sezione!$AP$29)*IF(ABS(O600)&lt;'Sollecitazioni nel paramento'!$G$58,ABS(O600)*'Sollecitazioni nel paramento'!$G$54,'Sollecitazioni nel paramento'!$G$53)</f>
        <v>71754270.995520815</v>
      </c>
      <c r="J600" s="472">
        <f t="shared" si="42"/>
        <v>98702067.005898297</v>
      </c>
      <c r="K600" s="550">
        <f>'Sollecitazioni nel paramento'!$G$60*(sezione!$AL$29-C600)/C600</f>
        <v>2.2729169007877042E-3</v>
      </c>
      <c r="L600" s="550">
        <f>'Sollecitazioni nel paramento'!$G$60*(sezione!$AM$29-C600)/C600</f>
        <v>5.159375351181556E-3</v>
      </c>
      <c r="M600" s="551">
        <f>'Sollecitazioni nel paramento'!$G$60*(sezione!$AN$29-C600)/C600</f>
        <v>8.0458338015754072E-3</v>
      </c>
      <c r="N600" s="551">
        <f>'Sollecitazioni nel paramento'!$G$60*(sezione!$AO$29-C600)/C600</f>
        <v>1.9591667603150818E-2</v>
      </c>
      <c r="O600" s="551">
        <f>'Sollecitazioni nel paramento'!$G$60*(sezione!$AP$29-C600)/C600</f>
        <v>4.2979608351737614E-2</v>
      </c>
      <c r="P600" s="545">
        <f>-'Sollecitazioni nel paramento'!$G$47*'Sollecitazioni nel paramento'!$G$41*IF(DATI!$G$211="dx",DATI!$E$61,DATI!$E$64*DATI!$E$63)*1000*C600*sezione!$AD$5</f>
        <v>-923896.89504663425</v>
      </c>
      <c r="Q600" s="545">
        <f>'Foglio deposito bis'!$F$48*IF(ABS(K600)&lt;'Sollecitazioni nel paramento'!$G$58,ABS(K600)*'Sollecitazioni nel paramento'!$G$54,'Sollecitazioni nel paramento'!$G$53)*IF(K600&lt;0,-1,1)</f>
        <v>0</v>
      </c>
      <c r="R600" s="545">
        <f>'Foglio deposito bis'!$F$49*IF(ABS(L600)&lt;'Sollecitazioni nel paramento'!$G$58,ABS(L600)*'Sollecitazioni nel paramento'!$G$54,'Sollecitazioni nel paramento'!$G$53)*IF(L600&lt;0,-1,1)</f>
        <v>204886.47740803001</v>
      </c>
      <c r="S600" s="545">
        <f>'Foglio deposito bis'!$F$50*IF(ABS(M600)&lt;'Sollecitazioni nel paramento'!$G$58,ABS(M600)*'Sollecitazioni nel paramento'!$G$54,'Sollecitazioni nel paramento'!$G$53)*IF(M600&lt;0,-1,1)</f>
        <v>0</v>
      </c>
      <c r="T600" s="545">
        <f>'Foglio deposito bis'!$F$51*IF(ABS(N600)&lt;'Sollecitazioni nel paramento'!$G$58,ABS(N600)*'Sollecitazioni nel paramento'!$G$54,'Sollecitazioni nel paramento'!$G$53)*IF(N600&lt;0,-1,1)</f>
        <v>240946.49743184328</v>
      </c>
      <c r="U600" s="545">
        <f>'Foglio deposito bis'!$F$52*IF(ABS(O600)&lt;'Sollecitazioni nel paramento'!$G$58,ABS(O600)*'Sollecitazioni nel paramento'!$G$54,'Sollecitazioni nel paramento'!$G$53)*IF(O600&lt;0,-1,1)</f>
        <v>240946.49743184328</v>
      </c>
      <c r="V600" s="472">
        <f t="shared" si="43"/>
        <v>-237117.42277491771</v>
      </c>
      <c r="W600" s="551"/>
      <c r="X600" s="551"/>
    </row>
    <row r="601" spans="1:24" x14ac:dyDescent="0.25">
      <c r="A601" s="545">
        <f t="shared" si="44"/>
        <v>246449.71464407563</v>
      </c>
      <c r="B601" s="3">
        <f t="shared" si="45"/>
        <v>4.9999999999999902</v>
      </c>
      <c r="C601" s="545">
        <f>'Foglio deposito bis'!$E$155/sezione!$B$247*B601</f>
        <v>24.49613321037857</v>
      </c>
      <c r="D601" s="603">
        <f>-'Sollecitazioni nel paramento'!$G$47*'Sollecitazioni nel paramento'!$G$41*IF(DATI!$G$211="dx",DATI!$E$61,DATI!$E$64*DATI!$E$63)*1000*C601^2*sezione!$AD$5*(1-sezione!$AD$6)</f>
        <v>-13350535.783445477</v>
      </c>
      <c r="E601" s="545">
        <f>-'Foglio deposito bis'!$F$48*(C601-sezione!$AL$29)*IF(ABS(K601)&lt;'Sollecitazioni nel paramento'!$G$58,ABS(K601)*'Sollecitazioni nel paramento'!$G$54,'Sollecitazioni nel paramento'!$G$53)</f>
        <v>0</v>
      </c>
      <c r="F601" s="545">
        <f>-'Foglio deposito bis'!$F$49*(C601-sezione!$AM$29)*IF(ABS(L601)&lt;'Sollecitazioni nel paramento'!$G$58,ABS(L601)*'Sollecitazioni nel paramento'!$G$54,'Sollecitazioni nel paramento'!$G$53)</f>
        <v>7274262.2008894775</v>
      </c>
      <c r="G601" s="545">
        <f>-'Foglio deposito bis'!$F$50*(C601-sezione!$AN$29)*IF(ABS(M601)&lt;'Sollecitazioni nel paramento'!$G$58,ABS(M601)*'Sollecitazioni nel paramento'!$G$54,'Sollecitazioni nel paramento'!$G$53)</f>
        <v>0</v>
      </c>
      <c r="H601" s="545">
        <f>-'Foglio deposito bis'!$F$51*(C601-sezione!$AO$29)*IF(ABS(N601)&lt;'Sollecitazioni nel paramento'!$G$58,ABS(N601)*'Sollecitazioni nel paramento'!$G$54,'Sollecitazioni nel paramento'!$G$53)</f>
        <v>32649182.091430355</v>
      </c>
      <c r="I601" s="472">
        <f>-'Foglio deposito bis'!$F$52*(C601-sezione!$AP$29)*IF(ABS(O601)&lt;'Sollecitazioni nel paramento'!$G$58,ABS(O601)*'Sollecitazioni nel paramento'!$G$54,'Sollecitazioni nel paramento'!$G$53)</f>
        <v>71695248.420544162</v>
      </c>
      <c r="J601" s="472">
        <f t="shared" si="42"/>
        <v>98268156.929418519</v>
      </c>
      <c r="K601" s="550">
        <f>'Sollecitazioni nel paramento'!$G$60*(sezione!$AL$29-C601)/C601</f>
        <v>2.2151877317798277E-3</v>
      </c>
      <c r="L601" s="550">
        <f>'Sollecitazioni nel paramento'!$G$60*(sezione!$AM$29-C601)/C601</f>
        <v>5.0727815976697403E-3</v>
      </c>
      <c r="M601" s="551">
        <f>'Sollecitazioni nel paramento'!$G$60*(sezione!$AN$29-C601)/C601</f>
        <v>7.9303754635596541E-3</v>
      </c>
      <c r="N601" s="551">
        <f>'Sollecitazioni nel paramento'!$G$60*(sezione!$AO$29-C601)/C601</f>
        <v>1.9360750927119311E-2</v>
      </c>
      <c r="O601" s="551">
        <f>'Sollecitazioni nel paramento'!$G$60*(sezione!$AP$29-C601)/C601</f>
        <v>4.2514812268220237E-2</v>
      </c>
      <c r="P601" s="545">
        <f>-'Sollecitazioni nel paramento'!$G$47*'Sollecitazioni nel paramento'!$G$41*IF(DATI!$G$211="dx",DATI!$E$61,DATI!$E$64*DATI!$E$63)*1000*C601*sezione!$AD$5</f>
        <v>-933229.18691579218</v>
      </c>
      <c r="Q601" s="545">
        <f>'Foglio deposito bis'!$F$48*IF(ABS(K601)&lt;'Sollecitazioni nel paramento'!$G$58,ABS(K601)*'Sollecitazioni nel paramento'!$G$54,'Sollecitazioni nel paramento'!$G$53)*IF(K601&lt;0,-1,1)</f>
        <v>0</v>
      </c>
      <c r="R601" s="545">
        <f>'Foglio deposito bis'!$F$49*IF(ABS(L601)&lt;'Sollecitazioni nel paramento'!$G$58,ABS(L601)*'Sollecitazioni nel paramento'!$G$54,'Sollecitazioni nel paramento'!$G$53)*IF(L601&lt;0,-1,1)</f>
        <v>204886.47740803001</v>
      </c>
      <c r="S601" s="545">
        <f>'Foglio deposito bis'!$F$50*IF(ABS(M601)&lt;'Sollecitazioni nel paramento'!$G$58,ABS(M601)*'Sollecitazioni nel paramento'!$G$54,'Sollecitazioni nel paramento'!$G$53)*IF(M601&lt;0,-1,1)</f>
        <v>0</v>
      </c>
      <c r="T601" s="545">
        <f>'Foglio deposito bis'!$F$51*IF(ABS(N601)&lt;'Sollecitazioni nel paramento'!$G$58,ABS(N601)*'Sollecitazioni nel paramento'!$G$54,'Sollecitazioni nel paramento'!$G$53)*IF(N601&lt;0,-1,1)</f>
        <v>240946.49743184328</v>
      </c>
      <c r="U601" s="545">
        <f>'Foglio deposito bis'!$F$52*IF(ABS(O601)&lt;'Sollecitazioni nel paramento'!$G$58,ABS(O601)*'Sollecitazioni nel paramento'!$G$54,'Sollecitazioni nel paramento'!$G$53)*IF(O601&lt;0,-1,1)</f>
        <v>240946.49743184328</v>
      </c>
      <c r="V601" s="472">
        <f t="shared" si="43"/>
        <v>-246449.71464407563</v>
      </c>
      <c r="W601" s="551"/>
      <c r="X601" s="551"/>
    </row>
    <row r="602" spans="1:24" x14ac:dyDescent="0.25">
      <c r="A602" s="545">
        <f t="shared" si="44"/>
        <v>255782.00651323356</v>
      </c>
      <c r="B602" s="3">
        <f t="shared" si="45"/>
        <v>5.0499999999999901</v>
      </c>
      <c r="C602" s="545">
        <f>'Foglio deposito bis'!$E$155/sezione!$B$247*B602</f>
        <v>24.741094542482358</v>
      </c>
      <c r="D602" s="603">
        <f>-'Sollecitazioni nel paramento'!$G$47*'Sollecitazioni nel paramento'!$G$41*IF(DATI!$G$211="dx",DATI!$E$61,DATI!$E$64*DATI!$E$63)*1000*C602^2*sezione!$AD$5*(1-sezione!$AD$6)</f>
        <v>-13618881.552692736</v>
      </c>
      <c r="E602" s="545">
        <f>-'Foglio deposito bis'!$F$48*(C602-sezione!$AL$29)*IF(ABS(K602)&lt;'Sollecitazioni nel paramento'!$G$58,ABS(K602)*'Sollecitazioni nel paramento'!$G$54,'Sollecitazioni nel paramento'!$G$53)</f>
        <v>0</v>
      </c>
      <c r="F602" s="545">
        <f>-'Foglio deposito bis'!$F$49*(C602-sezione!$AM$29)*IF(ABS(L602)&lt;'Sollecitazioni nel paramento'!$G$58,ABS(L602)*'Sollecitazioni nel paramento'!$G$54,'Sollecitazioni nel paramento'!$G$53)</f>
        <v>7224072.9364535538</v>
      </c>
      <c r="G602" s="545">
        <f>-'Foglio deposito bis'!$F$50*(C602-sezione!$AN$29)*IF(ABS(M602)&lt;'Sollecitazioni nel paramento'!$G$58,ABS(M602)*'Sollecitazioni nel paramento'!$G$54,'Sollecitazioni nel paramento'!$G$53)</f>
        <v>0</v>
      </c>
      <c r="H602" s="545">
        <f>-'Foglio deposito bis'!$F$51*(C602-sezione!$AO$29)*IF(ABS(N602)&lt;'Sollecitazioni nel paramento'!$G$58,ABS(N602)*'Sollecitazioni nel paramento'!$G$54,'Sollecitazioni nel paramento'!$G$53)</f>
        <v>32590159.516453709</v>
      </c>
      <c r="I602" s="472">
        <f>-'Foglio deposito bis'!$F$52*(C602-sezione!$AP$29)*IF(ABS(O602)&lt;'Sollecitazioni nel paramento'!$G$58,ABS(O602)*'Sollecitazioni nel paramento'!$G$54,'Sollecitazioni nel paramento'!$G$53)</f>
        <v>71636225.845567524</v>
      </c>
      <c r="J602" s="472">
        <f t="shared" si="42"/>
        <v>97831576.745782048</v>
      </c>
      <c r="K602" s="550">
        <f>'Sollecitazioni nel paramento'!$G$60*(sezione!$AL$29-C602)/C602</f>
        <v>2.1586017146334917E-3</v>
      </c>
      <c r="L602" s="550">
        <f>'Sollecitazioni nel paramento'!$G$60*(sezione!$AM$29-C602)/C602</f>
        <v>4.9879025719502378E-3</v>
      </c>
      <c r="M602" s="551">
        <f>'Sollecitazioni nel paramento'!$G$60*(sezione!$AN$29-C602)/C602</f>
        <v>7.8172034292669848E-3</v>
      </c>
      <c r="N602" s="551">
        <f>'Sollecitazioni nel paramento'!$G$60*(sezione!$AO$29-C602)/C602</f>
        <v>1.9134406858533969E-2</v>
      </c>
      <c r="O602" s="551">
        <f>'Sollecitazioni nel paramento'!$G$60*(sezione!$AP$29-C602)/C602</f>
        <v>4.2059220067544784E-2</v>
      </c>
      <c r="P602" s="545">
        <f>-'Sollecitazioni nel paramento'!$G$47*'Sollecitazioni nel paramento'!$G$41*IF(DATI!$G$211="dx",DATI!$E$61,DATI!$E$64*DATI!$E$63)*1000*C602*sezione!$AD$5</f>
        <v>-942561.47878495022</v>
      </c>
      <c r="Q602" s="545">
        <f>'Foglio deposito bis'!$F$48*IF(ABS(K602)&lt;'Sollecitazioni nel paramento'!$G$58,ABS(K602)*'Sollecitazioni nel paramento'!$G$54,'Sollecitazioni nel paramento'!$G$53)*IF(K602&lt;0,-1,1)</f>
        <v>0</v>
      </c>
      <c r="R602" s="545">
        <f>'Foglio deposito bis'!$F$49*IF(ABS(L602)&lt;'Sollecitazioni nel paramento'!$G$58,ABS(L602)*'Sollecitazioni nel paramento'!$G$54,'Sollecitazioni nel paramento'!$G$53)*IF(L602&lt;0,-1,1)</f>
        <v>204886.47740803001</v>
      </c>
      <c r="S602" s="545">
        <f>'Foglio deposito bis'!$F$50*IF(ABS(M602)&lt;'Sollecitazioni nel paramento'!$G$58,ABS(M602)*'Sollecitazioni nel paramento'!$G$54,'Sollecitazioni nel paramento'!$G$53)*IF(M602&lt;0,-1,1)</f>
        <v>0</v>
      </c>
      <c r="T602" s="545">
        <f>'Foglio deposito bis'!$F$51*IF(ABS(N602)&lt;'Sollecitazioni nel paramento'!$G$58,ABS(N602)*'Sollecitazioni nel paramento'!$G$54,'Sollecitazioni nel paramento'!$G$53)*IF(N602&lt;0,-1,1)</f>
        <v>240946.49743184328</v>
      </c>
      <c r="U602" s="545">
        <f>'Foglio deposito bis'!$F$52*IF(ABS(O602)&lt;'Sollecitazioni nel paramento'!$G$58,ABS(O602)*'Sollecitazioni nel paramento'!$G$54,'Sollecitazioni nel paramento'!$G$53)*IF(O602&lt;0,-1,1)</f>
        <v>240946.49743184328</v>
      </c>
      <c r="V602" s="472">
        <f t="shared" si="43"/>
        <v>-255782.00651323356</v>
      </c>
      <c r="W602" s="551"/>
      <c r="X602" s="551"/>
    </row>
    <row r="603" spans="1:24" x14ac:dyDescent="0.25">
      <c r="A603" s="545">
        <f t="shared" si="44"/>
        <v>265114.29838239145</v>
      </c>
      <c r="B603" s="3">
        <f t="shared" si="45"/>
        <v>5.0999999999999899</v>
      </c>
      <c r="C603" s="545">
        <f>'Foglio deposito bis'!$E$155/sezione!$B$247*B603</f>
        <v>24.986055874586143</v>
      </c>
      <c r="D603" s="603">
        <f>-'Sollecitazioni nel paramento'!$G$47*'Sollecitazioni nel paramento'!$G$41*IF(DATI!$G$211="dx",DATI!$E$61,DATI!$E$64*DATI!$E$63)*1000*C603^2*sezione!$AD$5*(1-sezione!$AD$6)</f>
        <v>-13889897.429096676</v>
      </c>
      <c r="E603" s="545">
        <f>-'Foglio deposito bis'!$F$48*(C603-sezione!$AL$29)*IF(ABS(K603)&lt;'Sollecitazioni nel paramento'!$G$58,ABS(K603)*'Sollecitazioni nel paramento'!$G$54,'Sollecitazioni nel paramento'!$G$53)</f>
        <v>0</v>
      </c>
      <c r="F603" s="545">
        <f>-'Foglio deposito bis'!$F$49*(C603-sezione!$AM$29)*IF(ABS(L603)&lt;'Sollecitazioni nel paramento'!$G$58,ABS(L603)*'Sollecitazioni nel paramento'!$G$54,'Sollecitazioni nel paramento'!$G$53)</f>
        <v>7173883.6720176311</v>
      </c>
      <c r="G603" s="545">
        <f>-'Foglio deposito bis'!$F$50*(C603-sezione!$AN$29)*IF(ABS(M603)&lt;'Sollecitazioni nel paramento'!$G$58,ABS(M603)*'Sollecitazioni nel paramento'!$G$54,'Sollecitazioni nel paramento'!$G$53)</f>
        <v>0</v>
      </c>
      <c r="H603" s="545">
        <f>-'Foglio deposito bis'!$F$51*(C603-sezione!$AO$29)*IF(ABS(N603)&lt;'Sollecitazioni nel paramento'!$G$58,ABS(N603)*'Sollecitazioni nel paramento'!$G$54,'Sollecitazioni nel paramento'!$G$53)</f>
        <v>32531136.941477057</v>
      </c>
      <c r="I603" s="472">
        <f>-'Foglio deposito bis'!$F$52*(C603-sezione!$AP$29)*IF(ABS(O603)&lt;'Sollecitazioni nel paramento'!$G$58,ABS(O603)*'Sollecitazioni nel paramento'!$G$54,'Sollecitazioni nel paramento'!$G$53)</f>
        <v>71577203.270590872</v>
      </c>
      <c r="J603" s="472">
        <f t="shared" si="42"/>
        <v>97392326.454988882</v>
      </c>
      <c r="K603" s="550">
        <f>'Sollecitazioni nel paramento'!$G$60*(sezione!$AL$29-C603)/C603</f>
        <v>2.1031252272351248E-3</v>
      </c>
      <c r="L603" s="550">
        <f>'Sollecitazioni nel paramento'!$G$60*(sezione!$AM$29-C603)/C603</f>
        <v>4.9046878408526865E-3</v>
      </c>
      <c r="M603" s="551">
        <f>'Sollecitazioni nel paramento'!$G$60*(sezione!$AN$29-C603)/C603</f>
        <v>7.7062504544702492E-3</v>
      </c>
      <c r="N603" s="551">
        <f>'Sollecitazioni nel paramento'!$G$60*(sezione!$AO$29-C603)/C603</f>
        <v>1.8912500908940498E-2</v>
      </c>
      <c r="O603" s="551">
        <f>'Sollecitazioni nel paramento'!$G$60*(sezione!$AP$29-C603)/C603</f>
        <v>4.1612561047274739E-2</v>
      </c>
      <c r="P603" s="545">
        <f>-'Sollecitazioni nel paramento'!$G$47*'Sollecitazioni nel paramento'!$G$41*IF(DATI!$G$211="dx",DATI!$E$61,DATI!$E$64*DATI!$E$63)*1000*C603*sezione!$AD$5</f>
        <v>-951893.77065410803</v>
      </c>
      <c r="Q603" s="545">
        <f>'Foglio deposito bis'!$F$48*IF(ABS(K603)&lt;'Sollecitazioni nel paramento'!$G$58,ABS(K603)*'Sollecitazioni nel paramento'!$G$54,'Sollecitazioni nel paramento'!$G$53)*IF(K603&lt;0,-1,1)</f>
        <v>0</v>
      </c>
      <c r="R603" s="545">
        <f>'Foglio deposito bis'!$F$49*IF(ABS(L603)&lt;'Sollecitazioni nel paramento'!$G$58,ABS(L603)*'Sollecitazioni nel paramento'!$G$54,'Sollecitazioni nel paramento'!$G$53)*IF(L603&lt;0,-1,1)</f>
        <v>204886.47740803001</v>
      </c>
      <c r="S603" s="545">
        <f>'Foglio deposito bis'!$F$50*IF(ABS(M603)&lt;'Sollecitazioni nel paramento'!$G$58,ABS(M603)*'Sollecitazioni nel paramento'!$G$54,'Sollecitazioni nel paramento'!$G$53)*IF(M603&lt;0,-1,1)</f>
        <v>0</v>
      </c>
      <c r="T603" s="545">
        <f>'Foglio deposito bis'!$F$51*IF(ABS(N603)&lt;'Sollecitazioni nel paramento'!$G$58,ABS(N603)*'Sollecitazioni nel paramento'!$G$54,'Sollecitazioni nel paramento'!$G$53)*IF(N603&lt;0,-1,1)</f>
        <v>240946.49743184328</v>
      </c>
      <c r="U603" s="545">
        <f>'Foglio deposito bis'!$F$52*IF(ABS(O603)&lt;'Sollecitazioni nel paramento'!$G$58,ABS(O603)*'Sollecitazioni nel paramento'!$G$54,'Sollecitazioni nel paramento'!$G$53)*IF(O603&lt;0,-1,1)</f>
        <v>240946.49743184328</v>
      </c>
      <c r="V603" s="472">
        <f t="shared" si="43"/>
        <v>-265114.29838239145</v>
      </c>
      <c r="W603" s="551"/>
      <c r="X603" s="551"/>
    </row>
    <row r="604" spans="1:24" x14ac:dyDescent="0.25">
      <c r="A604" s="545">
        <f t="shared" si="44"/>
        <v>302443.46585902316</v>
      </c>
      <c r="B604" s="3">
        <f>B603+0.2</f>
        <v>5.2999999999999901</v>
      </c>
      <c r="C604" s="545">
        <f>'Foglio deposito bis'!$E$155/sezione!$B$247*B604</f>
        <v>25.965901203001287</v>
      </c>
      <c r="D604" s="603">
        <f>-'Sollecitazioni nel paramento'!$G$47*'Sollecitazioni nel paramento'!$G$41*IF(DATI!$G$211="dx",DATI!$E$61,DATI!$E$64*DATI!$E$63)*1000*C604^2*sezione!$AD$5*(1-sezione!$AD$6)</f>
        <v>-15000662.006279342</v>
      </c>
      <c r="E604" s="545">
        <f>-'Foglio deposito bis'!$F$48*(C604-sezione!$AL$29)*IF(ABS(K604)&lt;'Sollecitazioni nel paramento'!$G$58,ABS(K604)*'Sollecitazioni nel paramento'!$G$54,'Sollecitazioni nel paramento'!$G$53)</f>
        <v>0</v>
      </c>
      <c r="F604" s="545">
        <f>-'Foglio deposito bis'!$F$49*(C604-sezione!$AM$29)*IF(ABS(L604)&lt;'Sollecitazioni nel paramento'!$G$58,ABS(L604)*'Sollecitazioni nel paramento'!$G$54,'Sollecitazioni nel paramento'!$G$53)</f>
        <v>6973126.6142739384</v>
      </c>
      <c r="G604" s="545">
        <f>-'Foglio deposito bis'!$F$50*(C604-sezione!$AN$29)*IF(ABS(M604)&lt;'Sollecitazioni nel paramento'!$G$58,ABS(M604)*'Sollecitazioni nel paramento'!$G$54,'Sollecitazioni nel paramento'!$G$53)</f>
        <v>0</v>
      </c>
      <c r="H604" s="545">
        <f>-'Foglio deposito bis'!$F$51*(C604-sezione!$AO$29)*IF(ABS(N604)&lt;'Sollecitazioni nel paramento'!$G$58,ABS(N604)*'Sollecitazioni nel paramento'!$G$54,'Sollecitazioni nel paramento'!$G$53)</f>
        <v>32295046.641570479</v>
      </c>
      <c r="I604" s="472">
        <f>-'Foglio deposito bis'!$F$52*(C604-sezione!$AP$29)*IF(ABS(O604)&lt;'Sollecitazioni nel paramento'!$G$58,ABS(O604)*'Sollecitazioni nel paramento'!$G$54,'Sollecitazioni nel paramento'!$G$53)</f>
        <v>71341112.97068429</v>
      </c>
      <c r="J604" s="472">
        <f t="shared" si="42"/>
        <v>95608624.22024937</v>
      </c>
      <c r="K604" s="550">
        <f>'Sollecitazioni nel paramento'!$G$60*(sezione!$AL$29-C604)/C604</f>
        <v>1.8916865394149308E-3</v>
      </c>
      <c r="L604" s="550">
        <f>'Sollecitazioni nel paramento'!$G$60*(sezione!$AM$29-C604)/C604</f>
        <v>4.5875298091223966E-3</v>
      </c>
      <c r="M604" s="551">
        <f>'Sollecitazioni nel paramento'!$G$60*(sezione!$AN$29-C604)/C604</f>
        <v>7.2833730788298611E-3</v>
      </c>
      <c r="N604" s="551">
        <f>'Sollecitazioni nel paramento'!$G$60*(sezione!$AO$29-C604)/C604</f>
        <v>1.8066746157659724E-2</v>
      </c>
      <c r="O604" s="551">
        <f>'Sollecitazioni nel paramento'!$G$60*(sezione!$AP$29-C604)/C604</f>
        <v>3.9910200253037952E-2</v>
      </c>
      <c r="P604" s="545">
        <f>-'Sollecitazioni nel paramento'!$G$47*'Sollecitazioni nel paramento'!$G$41*IF(DATI!$G$211="dx",DATI!$E$61,DATI!$E$64*DATI!$E$63)*1000*C604*sezione!$AD$5</f>
        <v>-989222.93813073973</v>
      </c>
      <c r="Q604" s="545">
        <f>'Foglio deposito bis'!$F$48*IF(ABS(K604)&lt;'Sollecitazioni nel paramento'!$G$58,ABS(K604)*'Sollecitazioni nel paramento'!$G$54,'Sollecitazioni nel paramento'!$G$53)*IF(K604&lt;0,-1,1)</f>
        <v>0</v>
      </c>
      <c r="R604" s="545">
        <f>'Foglio deposito bis'!$F$49*IF(ABS(L604)&lt;'Sollecitazioni nel paramento'!$G$58,ABS(L604)*'Sollecitazioni nel paramento'!$G$54,'Sollecitazioni nel paramento'!$G$53)*IF(L604&lt;0,-1,1)</f>
        <v>204886.47740803001</v>
      </c>
      <c r="S604" s="545">
        <f>'Foglio deposito bis'!$F$50*IF(ABS(M604)&lt;'Sollecitazioni nel paramento'!$G$58,ABS(M604)*'Sollecitazioni nel paramento'!$G$54,'Sollecitazioni nel paramento'!$G$53)*IF(M604&lt;0,-1,1)</f>
        <v>0</v>
      </c>
      <c r="T604" s="545">
        <f>'Foglio deposito bis'!$F$51*IF(ABS(N604)&lt;'Sollecitazioni nel paramento'!$G$58,ABS(N604)*'Sollecitazioni nel paramento'!$G$54,'Sollecitazioni nel paramento'!$G$53)*IF(N604&lt;0,-1,1)</f>
        <v>240946.49743184328</v>
      </c>
      <c r="U604" s="545">
        <f>'Foglio deposito bis'!$F$52*IF(ABS(O604)&lt;'Sollecitazioni nel paramento'!$G$58,ABS(O604)*'Sollecitazioni nel paramento'!$G$54,'Sollecitazioni nel paramento'!$G$53)*IF(O604&lt;0,-1,1)</f>
        <v>240946.49743184328</v>
      </c>
      <c r="V604" s="472">
        <f t="shared" si="43"/>
        <v>-302443.46585902316</v>
      </c>
      <c r="W604" s="551"/>
      <c r="X604" s="551"/>
    </row>
    <row r="605" spans="1:24" x14ac:dyDescent="0.25">
      <c r="A605" s="545">
        <f t="shared" si="44"/>
        <v>339772.63333565509</v>
      </c>
      <c r="B605" s="3">
        <f t="shared" ref="B605:B668" si="46">B604+0.2</f>
        <v>5.4999999999999902</v>
      </c>
      <c r="C605" s="545">
        <f>'Foglio deposito bis'!$E$155/sezione!$B$247*B605</f>
        <v>26.945746531416432</v>
      </c>
      <c r="D605" s="603">
        <f>-'Sollecitazioni nel paramento'!$G$47*'Sollecitazioni nel paramento'!$G$41*IF(DATI!$G$211="dx",DATI!$E$61,DATI!$E$64*DATI!$E$63)*1000*C605^2*sezione!$AD$5*(1-sezione!$AD$6)</f>
        <v>-16154148.297969032</v>
      </c>
      <c r="E605" s="545">
        <f>-'Foglio deposito bis'!$F$48*(C605-sezione!$AL$29)*IF(ABS(K605)&lt;'Sollecitazioni nel paramento'!$G$58,ABS(K605)*'Sollecitazioni nel paramento'!$G$54,'Sollecitazioni nel paramento'!$G$53)</f>
        <v>0</v>
      </c>
      <c r="F605" s="545">
        <f>-'Foglio deposito bis'!$F$49*(C605-sezione!$AM$29)*IF(ABS(L605)&lt;'Sollecitazioni nel paramento'!$G$58,ABS(L605)*'Sollecitazioni nel paramento'!$G$54,'Sollecitazioni nel paramento'!$G$53)</f>
        <v>6772369.5565302446</v>
      </c>
      <c r="G605" s="545">
        <f>-'Foglio deposito bis'!$F$50*(C605-sezione!$AN$29)*IF(ABS(M605)&lt;'Sollecitazioni nel paramento'!$G$58,ABS(M605)*'Sollecitazioni nel paramento'!$G$54,'Sollecitazioni nel paramento'!$G$53)</f>
        <v>0</v>
      </c>
      <c r="H605" s="545">
        <f>-'Foglio deposito bis'!$F$51*(C605-sezione!$AO$29)*IF(ABS(N605)&lt;'Sollecitazioni nel paramento'!$G$58,ABS(N605)*'Sollecitazioni nel paramento'!$G$54,'Sollecitazioni nel paramento'!$G$53)</f>
        <v>32058956.341663893</v>
      </c>
      <c r="I605" s="472">
        <f>-'Foglio deposito bis'!$F$52*(C605-sezione!$AP$29)*IF(ABS(O605)&lt;'Sollecitazioni nel paramento'!$G$58,ABS(O605)*'Sollecitazioni nel paramento'!$G$54,'Sollecitazioni nel paramento'!$G$53)</f>
        <v>71105022.670777708</v>
      </c>
      <c r="J605" s="472">
        <f t="shared" si="42"/>
        <v>93782200.271002814</v>
      </c>
      <c r="K605" s="550">
        <f>'Sollecitazioni nel paramento'!$G$60*(sezione!$AL$29-C605)/C605</f>
        <v>1.695625210708933E-3</v>
      </c>
      <c r="L605" s="550">
        <f>'Sollecitazioni nel paramento'!$G$60*(sezione!$AM$29-C605)/C605</f>
        <v>4.2934378160633989E-3</v>
      </c>
      <c r="M605" s="551">
        <f>'Sollecitazioni nel paramento'!$G$60*(sezione!$AN$29-C605)/C605</f>
        <v>6.8912504214178666E-3</v>
      </c>
      <c r="N605" s="551">
        <f>'Sollecitazioni nel paramento'!$G$60*(sezione!$AO$29-C605)/C605</f>
        <v>1.7282500842835731E-2</v>
      </c>
      <c r="O605" s="551">
        <f>'Sollecitazioni nel paramento'!$G$60*(sezione!$AP$29-C605)/C605</f>
        <v>3.8331647516563844E-2</v>
      </c>
      <c r="P605" s="545">
        <f>-'Sollecitazioni nel paramento'!$G$47*'Sollecitazioni nel paramento'!$G$41*IF(DATI!$G$211="dx",DATI!$E$61,DATI!$E$64*DATI!$E$63)*1000*C605*sezione!$AD$5</f>
        <v>-1026552.1056073717</v>
      </c>
      <c r="Q605" s="545">
        <f>'Foglio deposito bis'!$F$48*IF(ABS(K605)&lt;'Sollecitazioni nel paramento'!$G$58,ABS(K605)*'Sollecitazioni nel paramento'!$G$54,'Sollecitazioni nel paramento'!$G$53)*IF(K605&lt;0,-1,1)</f>
        <v>0</v>
      </c>
      <c r="R605" s="545">
        <f>'Foglio deposito bis'!$F$49*IF(ABS(L605)&lt;'Sollecitazioni nel paramento'!$G$58,ABS(L605)*'Sollecitazioni nel paramento'!$G$54,'Sollecitazioni nel paramento'!$G$53)*IF(L605&lt;0,-1,1)</f>
        <v>204886.47740803001</v>
      </c>
      <c r="S605" s="545">
        <f>'Foglio deposito bis'!$F$50*IF(ABS(M605)&lt;'Sollecitazioni nel paramento'!$G$58,ABS(M605)*'Sollecitazioni nel paramento'!$G$54,'Sollecitazioni nel paramento'!$G$53)*IF(M605&lt;0,-1,1)</f>
        <v>0</v>
      </c>
      <c r="T605" s="545">
        <f>'Foglio deposito bis'!$F$51*IF(ABS(N605)&lt;'Sollecitazioni nel paramento'!$G$58,ABS(N605)*'Sollecitazioni nel paramento'!$G$54,'Sollecitazioni nel paramento'!$G$53)*IF(N605&lt;0,-1,1)</f>
        <v>240946.49743184328</v>
      </c>
      <c r="U605" s="545">
        <f>'Foglio deposito bis'!$F$52*IF(ABS(O605)&lt;'Sollecitazioni nel paramento'!$G$58,ABS(O605)*'Sollecitazioni nel paramento'!$G$54,'Sollecitazioni nel paramento'!$G$53)*IF(O605&lt;0,-1,1)</f>
        <v>240946.49743184328</v>
      </c>
      <c r="V605" s="472">
        <f t="shared" si="43"/>
        <v>-339772.63333565509</v>
      </c>
      <c r="W605" s="551"/>
      <c r="X605" s="551"/>
    </row>
    <row r="606" spans="1:24" x14ac:dyDescent="0.25">
      <c r="A606" s="545">
        <f t="shared" si="44"/>
        <v>377101.80081228679</v>
      </c>
      <c r="B606" s="3">
        <f t="shared" si="46"/>
        <v>5.6999999999999904</v>
      </c>
      <c r="C606" s="545">
        <f>'Foglio deposito bis'!$E$155/sezione!$B$247*B606</f>
        <v>27.925591859831577</v>
      </c>
      <c r="D606" s="603">
        <f>-'Sollecitazioni nel paramento'!$G$47*'Sollecitazioni nel paramento'!$G$41*IF(DATI!$G$211="dx",DATI!$E$61,DATI!$E$64*DATI!$E$63)*1000*C606^2*sezione!$AD$5*(1-sezione!$AD$6)</f>
        <v>-17350356.304165754</v>
      </c>
      <c r="E606" s="545">
        <f>-'Foglio deposito bis'!$F$48*(C606-sezione!$AL$29)*IF(ABS(K606)&lt;'Sollecitazioni nel paramento'!$G$58,ABS(K606)*'Sollecitazioni nel paramento'!$G$54,'Sollecitazioni nel paramento'!$G$53)</f>
        <v>0</v>
      </c>
      <c r="F606" s="545">
        <f>-'Foglio deposito bis'!$F$49*(C606-sezione!$AM$29)*IF(ABS(L606)&lt;'Sollecitazioni nel paramento'!$G$58,ABS(L606)*'Sollecitazioni nel paramento'!$G$54,'Sollecitazioni nel paramento'!$G$53)</f>
        <v>6571612.4987865509</v>
      </c>
      <c r="G606" s="545">
        <f>-'Foglio deposito bis'!$F$50*(C606-sezione!$AN$29)*IF(ABS(M606)&lt;'Sollecitazioni nel paramento'!$G$58,ABS(M606)*'Sollecitazioni nel paramento'!$G$54,'Sollecitazioni nel paramento'!$G$53)</f>
        <v>0</v>
      </c>
      <c r="H606" s="545">
        <f>-'Foglio deposito bis'!$F$51*(C606-sezione!$AO$29)*IF(ABS(N606)&lt;'Sollecitazioni nel paramento'!$G$58,ABS(N606)*'Sollecitazioni nel paramento'!$G$54,'Sollecitazioni nel paramento'!$G$53)</f>
        <v>31822866.041757312</v>
      </c>
      <c r="I606" s="472">
        <f>-'Foglio deposito bis'!$F$52*(C606-sezione!$AP$29)*IF(ABS(O606)&lt;'Sollecitazioni nel paramento'!$G$58,ABS(O606)*'Sollecitazioni nel paramento'!$G$54,'Sollecitazioni nel paramento'!$G$53)</f>
        <v>70868932.370871127</v>
      </c>
      <c r="J606" s="472">
        <f t="shared" si="42"/>
        <v>91913054.60724923</v>
      </c>
      <c r="K606" s="550">
        <f>'Sollecitazioni nel paramento'!$G$60*(sezione!$AL$29-C606)/C606</f>
        <v>1.5133225717366893E-3</v>
      </c>
      <c r="L606" s="550">
        <f>'Sollecitazioni nel paramento'!$G$60*(sezione!$AM$29-C606)/C606</f>
        <v>4.0199838576050343E-3</v>
      </c>
      <c r="M606" s="551">
        <f>'Sollecitazioni nel paramento'!$G$60*(sezione!$AN$29-C606)/C606</f>
        <v>6.5266451434733792E-3</v>
      </c>
      <c r="N606" s="551">
        <f>'Sollecitazioni nel paramento'!$G$60*(sezione!$AO$29-C606)/C606</f>
        <v>1.655329028694676E-2</v>
      </c>
      <c r="O606" s="551">
        <f>'Sollecitazioni nel paramento'!$G$60*(sezione!$AP$29-C606)/C606</f>
        <v>3.68638704107195E-2</v>
      </c>
      <c r="P606" s="545">
        <f>-'Sollecitazioni nel paramento'!$G$47*'Sollecitazioni nel paramento'!$G$41*IF(DATI!$G$211="dx",DATI!$E$61,DATI!$E$64*DATI!$E$63)*1000*C606*sezione!$AD$5</f>
        <v>-1063881.2730840035</v>
      </c>
      <c r="Q606" s="545">
        <f>'Foglio deposito bis'!$F$48*IF(ABS(K606)&lt;'Sollecitazioni nel paramento'!$G$58,ABS(K606)*'Sollecitazioni nel paramento'!$G$54,'Sollecitazioni nel paramento'!$G$53)*IF(K606&lt;0,-1,1)</f>
        <v>0</v>
      </c>
      <c r="R606" s="545">
        <f>'Foglio deposito bis'!$F$49*IF(ABS(L606)&lt;'Sollecitazioni nel paramento'!$G$58,ABS(L606)*'Sollecitazioni nel paramento'!$G$54,'Sollecitazioni nel paramento'!$G$53)*IF(L606&lt;0,-1,1)</f>
        <v>204886.47740803001</v>
      </c>
      <c r="S606" s="545">
        <f>'Foglio deposito bis'!$F$50*IF(ABS(M606)&lt;'Sollecitazioni nel paramento'!$G$58,ABS(M606)*'Sollecitazioni nel paramento'!$G$54,'Sollecitazioni nel paramento'!$G$53)*IF(M606&lt;0,-1,1)</f>
        <v>0</v>
      </c>
      <c r="T606" s="545">
        <f>'Foglio deposito bis'!$F$51*IF(ABS(N606)&lt;'Sollecitazioni nel paramento'!$G$58,ABS(N606)*'Sollecitazioni nel paramento'!$G$54,'Sollecitazioni nel paramento'!$G$53)*IF(N606&lt;0,-1,1)</f>
        <v>240946.49743184328</v>
      </c>
      <c r="U606" s="545">
        <f>'Foglio deposito bis'!$F$52*IF(ABS(O606)&lt;'Sollecitazioni nel paramento'!$G$58,ABS(O606)*'Sollecitazioni nel paramento'!$G$54,'Sollecitazioni nel paramento'!$G$53)*IF(O606&lt;0,-1,1)</f>
        <v>240946.49743184328</v>
      </c>
      <c r="V606" s="472">
        <f t="shared" si="43"/>
        <v>-377101.80081228679</v>
      </c>
      <c r="W606" s="551"/>
      <c r="X606" s="551"/>
    </row>
    <row r="607" spans="1:24" x14ac:dyDescent="0.25">
      <c r="A607" s="545">
        <f t="shared" si="44"/>
        <v>414430.96828891849</v>
      </c>
      <c r="B607" s="3">
        <f t="shared" si="46"/>
        <v>5.8999999999999906</v>
      </c>
      <c r="C607" s="545">
        <f>'Foglio deposito bis'!$E$155/sezione!$B$247*B607</f>
        <v>28.905437188246726</v>
      </c>
      <c r="D607" s="603">
        <f>-'Sollecitazioni nel paramento'!$G$47*'Sollecitazioni nel paramento'!$G$41*IF(DATI!$G$211="dx",DATI!$E$61,DATI!$E$64*DATI!$E$63)*1000*C607^2*sezione!$AD$5*(1-sezione!$AD$6)</f>
        <v>-18589286.024869502</v>
      </c>
      <c r="E607" s="545">
        <f>-'Foglio deposito bis'!$F$48*(C607-sezione!$AL$29)*IF(ABS(K607)&lt;'Sollecitazioni nel paramento'!$G$58,ABS(K607)*'Sollecitazioni nel paramento'!$G$54,'Sollecitazioni nel paramento'!$G$53)</f>
        <v>0</v>
      </c>
      <c r="F607" s="545">
        <f>-'Foglio deposito bis'!$F$49*(C607-sezione!$AM$29)*IF(ABS(L607)&lt;'Sollecitazioni nel paramento'!$G$58,ABS(L607)*'Sollecitazioni nel paramento'!$G$54,'Sollecitazioni nel paramento'!$G$53)</f>
        <v>6370855.4410428572</v>
      </c>
      <c r="G607" s="545">
        <f>-'Foglio deposito bis'!$F$50*(C607-sezione!$AN$29)*IF(ABS(M607)&lt;'Sollecitazioni nel paramento'!$G$58,ABS(M607)*'Sollecitazioni nel paramento'!$G$54,'Sollecitazioni nel paramento'!$G$53)</f>
        <v>0</v>
      </c>
      <c r="H607" s="545">
        <f>-'Foglio deposito bis'!$F$51*(C607-sezione!$AO$29)*IF(ABS(N607)&lt;'Sollecitazioni nel paramento'!$G$58,ABS(N607)*'Sollecitazioni nel paramento'!$G$54,'Sollecitazioni nel paramento'!$G$53)</f>
        <v>31586775.741850723</v>
      </c>
      <c r="I607" s="472">
        <f>-'Foglio deposito bis'!$F$52*(C607-sezione!$AP$29)*IF(ABS(O607)&lt;'Sollecitazioni nel paramento'!$G$58,ABS(O607)*'Sollecitazioni nel paramento'!$G$54,'Sollecitazioni nel paramento'!$G$53)</f>
        <v>70632842.070964545</v>
      </c>
      <c r="J607" s="472">
        <f t="shared" si="42"/>
        <v>90001187.228988618</v>
      </c>
      <c r="K607" s="550">
        <f>'Sollecitazioni nel paramento'!$G$60*(sezione!$AL$29-C607)/C607</f>
        <v>1.3433794337117159E-3</v>
      </c>
      <c r="L607" s="550">
        <f>'Sollecitazioni nel paramento'!$G$60*(sezione!$AM$29-C607)/C607</f>
        <v>3.7650691505675738E-3</v>
      </c>
      <c r="M607" s="551">
        <f>'Sollecitazioni nel paramento'!$G$60*(sezione!$AN$29-C607)/C607</f>
        <v>6.1867588674234322E-3</v>
      </c>
      <c r="N607" s="551">
        <f>'Sollecitazioni nel paramento'!$G$60*(sezione!$AO$29-C607)/C607</f>
        <v>1.5873517734846861E-2</v>
      </c>
      <c r="O607" s="551">
        <f>'Sollecitazioni nel paramento'!$G$60*(sezione!$AP$29-C607)/C607</f>
        <v>3.5495603617135787E-2</v>
      </c>
      <c r="P607" s="545">
        <f>-'Sollecitazioni nel paramento'!$G$47*'Sollecitazioni nel paramento'!$G$41*IF(DATI!$G$211="dx",DATI!$E$61,DATI!$E$64*DATI!$E$63)*1000*C607*sezione!$AD$5</f>
        <v>-1101210.4405606352</v>
      </c>
      <c r="Q607" s="545">
        <f>'Foglio deposito bis'!$F$48*IF(ABS(K607)&lt;'Sollecitazioni nel paramento'!$G$58,ABS(K607)*'Sollecitazioni nel paramento'!$G$54,'Sollecitazioni nel paramento'!$G$53)*IF(K607&lt;0,-1,1)</f>
        <v>0</v>
      </c>
      <c r="R607" s="545">
        <f>'Foglio deposito bis'!$F$49*IF(ABS(L607)&lt;'Sollecitazioni nel paramento'!$G$58,ABS(L607)*'Sollecitazioni nel paramento'!$G$54,'Sollecitazioni nel paramento'!$G$53)*IF(L607&lt;0,-1,1)</f>
        <v>204886.47740803001</v>
      </c>
      <c r="S607" s="545">
        <f>'Foglio deposito bis'!$F$50*IF(ABS(M607)&lt;'Sollecitazioni nel paramento'!$G$58,ABS(M607)*'Sollecitazioni nel paramento'!$G$54,'Sollecitazioni nel paramento'!$G$53)*IF(M607&lt;0,-1,1)</f>
        <v>0</v>
      </c>
      <c r="T607" s="545">
        <f>'Foglio deposito bis'!$F$51*IF(ABS(N607)&lt;'Sollecitazioni nel paramento'!$G$58,ABS(N607)*'Sollecitazioni nel paramento'!$G$54,'Sollecitazioni nel paramento'!$G$53)*IF(N607&lt;0,-1,1)</f>
        <v>240946.49743184328</v>
      </c>
      <c r="U607" s="545">
        <f>'Foglio deposito bis'!$F$52*IF(ABS(O607)&lt;'Sollecitazioni nel paramento'!$G$58,ABS(O607)*'Sollecitazioni nel paramento'!$G$54,'Sollecitazioni nel paramento'!$G$53)*IF(O607&lt;0,-1,1)</f>
        <v>240946.49743184328</v>
      </c>
      <c r="V607" s="472">
        <f t="shared" si="43"/>
        <v>-414430.96828891849</v>
      </c>
      <c r="W607" s="551"/>
      <c r="X607" s="551"/>
    </row>
    <row r="608" spans="1:24" x14ac:dyDescent="0.25">
      <c r="A608" s="545">
        <f t="shared" si="44"/>
        <v>451760.13576555019</v>
      </c>
      <c r="B608" s="3">
        <f t="shared" si="46"/>
        <v>6.0999999999999908</v>
      </c>
      <c r="C608" s="545">
        <f>'Foglio deposito bis'!$E$155/sezione!$B$247*B608</f>
        <v>29.885282516661871</v>
      </c>
      <c r="D608" s="603">
        <f>-'Sollecitazioni nel paramento'!$G$47*'Sollecitazioni nel paramento'!$G$41*IF(DATI!$G$211="dx",DATI!$E$61,DATI!$E$64*DATI!$E$63)*1000*C608^2*sezione!$AD$5*(1-sezione!$AD$6)</f>
        <v>-19870937.460080266</v>
      </c>
      <c r="E608" s="545">
        <f>-'Foglio deposito bis'!$F$48*(C608-sezione!$AL$29)*IF(ABS(K608)&lt;'Sollecitazioni nel paramento'!$G$58,ABS(K608)*'Sollecitazioni nel paramento'!$G$54,'Sollecitazioni nel paramento'!$G$53)</f>
        <v>0</v>
      </c>
      <c r="F608" s="545">
        <f>-'Foglio deposito bis'!$F$49*(C608-sezione!$AM$29)*IF(ABS(L608)&lt;'Sollecitazioni nel paramento'!$G$58,ABS(L608)*'Sollecitazioni nel paramento'!$G$54,'Sollecitazioni nel paramento'!$G$53)</f>
        <v>6170098.3832991635</v>
      </c>
      <c r="G608" s="545">
        <f>-'Foglio deposito bis'!$F$50*(C608-sezione!$AN$29)*IF(ABS(M608)&lt;'Sollecitazioni nel paramento'!$G$58,ABS(M608)*'Sollecitazioni nel paramento'!$G$54,'Sollecitazioni nel paramento'!$G$53)</f>
        <v>0</v>
      </c>
      <c r="H608" s="545">
        <f>-'Foglio deposito bis'!$F$51*(C608-sezione!$AO$29)*IF(ABS(N608)&lt;'Sollecitazioni nel paramento'!$G$58,ABS(N608)*'Sollecitazioni nel paramento'!$G$54,'Sollecitazioni nel paramento'!$G$53)</f>
        <v>31350685.441944141</v>
      </c>
      <c r="I608" s="472">
        <f>-'Foglio deposito bis'!$F$52*(C608-sezione!$AP$29)*IF(ABS(O608)&lt;'Sollecitazioni nel paramento'!$G$58,ABS(O608)*'Sollecitazioni nel paramento'!$G$54,'Sollecitazioni nel paramento'!$G$53)</f>
        <v>70396751.771057963</v>
      </c>
      <c r="J608" s="472">
        <f t="shared" si="42"/>
        <v>88046598.136221007</v>
      </c>
      <c r="K608" s="550">
        <f>'Sollecitazioni nel paramento'!$G$60*(sezione!$AL$29-C608)/C608</f>
        <v>1.1845801080162496E-3</v>
      </c>
      <c r="L608" s="550">
        <f>'Sollecitazioni nel paramento'!$G$60*(sezione!$AM$29-C608)/C608</f>
        <v>3.526870162024374E-3</v>
      </c>
      <c r="M608" s="551">
        <f>'Sollecitazioni nel paramento'!$G$60*(sezione!$AN$29-C608)/C608</f>
        <v>5.8691602160324992E-3</v>
      </c>
      <c r="N608" s="551">
        <f>'Sollecitazioni nel paramento'!$G$60*(sezione!$AO$29-C608)/C608</f>
        <v>1.5238320432064998E-2</v>
      </c>
      <c r="O608" s="551">
        <f>'Sollecitazioni nel paramento'!$G$60*(sezione!$AP$29-C608)/C608</f>
        <v>3.4217059236246086E-2</v>
      </c>
      <c r="P608" s="545">
        <f>-'Sollecitazioni nel paramento'!$G$47*'Sollecitazioni nel paramento'!$G$41*IF(DATI!$G$211="dx",DATI!$E$61,DATI!$E$64*DATI!$E$63)*1000*C608*sezione!$AD$5</f>
        <v>-1138539.6080372669</v>
      </c>
      <c r="Q608" s="545">
        <f>'Foglio deposito bis'!$F$48*IF(ABS(K608)&lt;'Sollecitazioni nel paramento'!$G$58,ABS(K608)*'Sollecitazioni nel paramento'!$G$54,'Sollecitazioni nel paramento'!$G$53)*IF(K608&lt;0,-1,1)</f>
        <v>0</v>
      </c>
      <c r="R608" s="545">
        <f>'Foglio deposito bis'!$F$49*IF(ABS(L608)&lt;'Sollecitazioni nel paramento'!$G$58,ABS(L608)*'Sollecitazioni nel paramento'!$G$54,'Sollecitazioni nel paramento'!$G$53)*IF(L608&lt;0,-1,1)</f>
        <v>204886.47740803001</v>
      </c>
      <c r="S608" s="545">
        <f>'Foglio deposito bis'!$F$50*IF(ABS(M608)&lt;'Sollecitazioni nel paramento'!$G$58,ABS(M608)*'Sollecitazioni nel paramento'!$G$54,'Sollecitazioni nel paramento'!$G$53)*IF(M608&lt;0,-1,1)</f>
        <v>0</v>
      </c>
      <c r="T608" s="545">
        <f>'Foglio deposito bis'!$F$51*IF(ABS(N608)&lt;'Sollecitazioni nel paramento'!$G$58,ABS(N608)*'Sollecitazioni nel paramento'!$G$54,'Sollecitazioni nel paramento'!$G$53)*IF(N608&lt;0,-1,1)</f>
        <v>240946.49743184328</v>
      </c>
      <c r="U608" s="545">
        <f>'Foglio deposito bis'!$F$52*IF(ABS(O608)&lt;'Sollecitazioni nel paramento'!$G$58,ABS(O608)*'Sollecitazioni nel paramento'!$G$54,'Sollecitazioni nel paramento'!$G$53)*IF(O608&lt;0,-1,1)</f>
        <v>240946.49743184328</v>
      </c>
      <c r="V608" s="472">
        <f t="shared" si="43"/>
        <v>-451760.13576555019</v>
      </c>
      <c r="W608" s="551"/>
      <c r="X608" s="551"/>
    </row>
    <row r="609" spans="1:24" x14ac:dyDescent="0.25">
      <c r="A609" s="545">
        <f t="shared" si="44"/>
        <v>489089.30324218236</v>
      </c>
      <c r="B609" s="3">
        <f t="shared" si="46"/>
        <v>6.2999999999999909</v>
      </c>
      <c r="C609" s="545">
        <f>'Foglio deposito bis'!$E$155/sezione!$B$247*B609</f>
        <v>30.865127845077016</v>
      </c>
      <c r="D609" s="603">
        <f>-'Sollecitazioni nel paramento'!$G$47*'Sollecitazioni nel paramento'!$G$41*IF(DATI!$G$211="dx",DATI!$E$61,DATI!$E$64*DATI!$E$63)*1000*C609^2*sezione!$AD$5*(1-sezione!$AD$6)</f>
        <v>-21195310.609798063</v>
      </c>
      <c r="E609" s="545">
        <f>-'Foglio deposito bis'!$F$48*(C609-sezione!$AL$29)*IF(ABS(K609)&lt;'Sollecitazioni nel paramento'!$G$58,ABS(K609)*'Sollecitazioni nel paramento'!$G$54,'Sollecitazioni nel paramento'!$G$53)</f>
        <v>0</v>
      </c>
      <c r="F609" s="545">
        <f>-'Foglio deposito bis'!$F$49*(C609-sezione!$AM$29)*IF(ABS(L609)&lt;'Sollecitazioni nel paramento'!$G$58,ABS(L609)*'Sollecitazioni nel paramento'!$G$54,'Sollecitazioni nel paramento'!$G$53)</f>
        <v>5969341.3255554708</v>
      </c>
      <c r="G609" s="545">
        <f>-'Foglio deposito bis'!$F$50*(C609-sezione!$AN$29)*IF(ABS(M609)&lt;'Sollecitazioni nel paramento'!$G$58,ABS(M609)*'Sollecitazioni nel paramento'!$G$54,'Sollecitazioni nel paramento'!$G$53)</f>
        <v>0</v>
      </c>
      <c r="H609" s="545">
        <f>-'Foglio deposito bis'!$F$51*(C609-sezione!$AO$29)*IF(ABS(N609)&lt;'Sollecitazioni nel paramento'!$G$58,ABS(N609)*'Sollecitazioni nel paramento'!$G$54,'Sollecitazioni nel paramento'!$G$53)</f>
        <v>31114595.142037563</v>
      </c>
      <c r="I609" s="472">
        <f>-'Foglio deposito bis'!$F$52*(C609-sezione!$AP$29)*IF(ABS(O609)&lt;'Sollecitazioni nel paramento'!$G$58,ABS(O609)*'Sollecitazioni nel paramento'!$G$54,'Sollecitazioni nel paramento'!$G$53)</f>
        <v>70160661.471151367</v>
      </c>
      <c r="J609" s="472">
        <f t="shared" si="42"/>
        <v>86049287.328946337</v>
      </c>
      <c r="K609" s="550">
        <f>'Sollecitazioni nel paramento'!$G$60*(sezione!$AL$29-C609)/C609</f>
        <v>1.0358632791903368E-3</v>
      </c>
      <c r="L609" s="550">
        <f>'Sollecitazioni nel paramento'!$G$60*(sezione!$AM$29-C609)/C609</f>
        <v>3.3037949187855052E-3</v>
      </c>
      <c r="M609" s="551">
        <f>'Sollecitazioni nel paramento'!$G$60*(sezione!$AN$29-C609)/C609</f>
        <v>5.5717265583806741E-3</v>
      </c>
      <c r="N609" s="551">
        <f>'Sollecitazioni nel paramento'!$G$60*(sezione!$AO$29-C609)/C609</f>
        <v>1.4643453116761346E-2</v>
      </c>
      <c r="O609" s="551">
        <f>'Sollecitazioni nel paramento'!$G$60*(sezione!$AP$29-C609)/C609</f>
        <v>3.3019692276365246E-2</v>
      </c>
      <c r="P609" s="545">
        <f>-'Sollecitazioni nel paramento'!$G$47*'Sollecitazioni nel paramento'!$G$41*IF(DATI!$G$211="dx",DATI!$E$61,DATI!$E$64*DATI!$E$63)*1000*C609*sezione!$AD$5</f>
        <v>-1175868.775513899</v>
      </c>
      <c r="Q609" s="545">
        <f>'Foglio deposito bis'!$F$48*IF(ABS(K609)&lt;'Sollecitazioni nel paramento'!$G$58,ABS(K609)*'Sollecitazioni nel paramento'!$G$54,'Sollecitazioni nel paramento'!$G$53)*IF(K609&lt;0,-1,1)</f>
        <v>0</v>
      </c>
      <c r="R609" s="545">
        <f>'Foglio deposito bis'!$F$49*IF(ABS(L609)&lt;'Sollecitazioni nel paramento'!$G$58,ABS(L609)*'Sollecitazioni nel paramento'!$G$54,'Sollecitazioni nel paramento'!$G$53)*IF(L609&lt;0,-1,1)</f>
        <v>204886.47740803001</v>
      </c>
      <c r="S609" s="545">
        <f>'Foglio deposito bis'!$F$50*IF(ABS(M609)&lt;'Sollecitazioni nel paramento'!$G$58,ABS(M609)*'Sollecitazioni nel paramento'!$G$54,'Sollecitazioni nel paramento'!$G$53)*IF(M609&lt;0,-1,1)</f>
        <v>0</v>
      </c>
      <c r="T609" s="545">
        <f>'Foglio deposito bis'!$F$51*IF(ABS(N609)&lt;'Sollecitazioni nel paramento'!$G$58,ABS(N609)*'Sollecitazioni nel paramento'!$G$54,'Sollecitazioni nel paramento'!$G$53)*IF(N609&lt;0,-1,1)</f>
        <v>240946.49743184328</v>
      </c>
      <c r="U609" s="545">
        <f>'Foglio deposito bis'!$F$52*IF(ABS(O609)&lt;'Sollecitazioni nel paramento'!$G$58,ABS(O609)*'Sollecitazioni nel paramento'!$G$54,'Sollecitazioni nel paramento'!$G$53)*IF(O609&lt;0,-1,1)</f>
        <v>240946.49743184328</v>
      </c>
      <c r="V609" s="472">
        <f t="shared" si="43"/>
        <v>-489089.30324218236</v>
      </c>
      <c r="W609" s="551"/>
      <c r="X609" s="551"/>
    </row>
    <row r="610" spans="1:24" x14ac:dyDescent="0.25">
      <c r="A610" s="545">
        <f t="shared" si="44"/>
        <v>526418.47071881406</v>
      </c>
      <c r="B610" s="3">
        <f t="shared" si="46"/>
        <v>6.4999999999999911</v>
      </c>
      <c r="C610" s="545">
        <f>'Foglio deposito bis'!$E$155/sezione!$B$247*B610</f>
        <v>31.844973173492161</v>
      </c>
      <c r="D610" s="603">
        <f>-'Sollecitazioni nel paramento'!$G$47*'Sollecitazioni nel paramento'!$G$41*IF(DATI!$G$211="dx",DATI!$E$61,DATI!$E$64*DATI!$E$63)*1000*C610^2*sezione!$AD$5*(1-sezione!$AD$6)</f>
        <v>-22562405.474022884</v>
      </c>
      <c r="E610" s="545">
        <f>-'Foglio deposito bis'!$F$48*(C610-sezione!$AL$29)*IF(ABS(K610)&lt;'Sollecitazioni nel paramento'!$G$58,ABS(K610)*'Sollecitazioni nel paramento'!$G$54,'Sollecitazioni nel paramento'!$G$53)</f>
        <v>0</v>
      </c>
      <c r="F610" s="545">
        <f>-'Foglio deposito bis'!$F$49*(C610-sezione!$AM$29)*IF(ABS(L610)&lt;'Sollecitazioni nel paramento'!$G$58,ABS(L610)*'Sollecitazioni nel paramento'!$G$54,'Sollecitazioni nel paramento'!$G$53)</f>
        <v>5768584.2678117771</v>
      </c>
      <c r="G610" s="545">
        <f>-'Foglio deposito bis'!$F$50*(C610-sezione!$AN$29)*IF(ABS(M610)&lt;'Sollecitazioni nel paramento'!$G$58,ABS(M610)*'Sollecitazioni nel paramento'!$G$54,'Sollecitazioni nel paramento'!$G$53)</f>
        <v>0</v>
      </c>
      <c r="H610" s="545">
        <f>-'Foglio deposito bis'!$F$51*(C610-sezione!$AO$29)*IF(ABS(N610)&lt;'Sollecitazioni nel paramento'!$G$58,ABS(N610)*'Sollecitazioni nel paramento'!$G$54,'Sollecitazioni nel paramento'!$G$53)</f>
        <v>30878504.842130981</v>
      </c>
      <c r="I610" s="472">
        <f>-'Foglio deposito bis'!$F$52*(C610-sezione!$AP$29)*IF(ABS(O610)&lt;'Sollecitazioni nel paramento'!$G$58,ABS(O610)*'Sollecitazioni nel paramento'!$G$54,'Sollecitazioni nel paramento'!$G$53)</f>
        <v>69924571.171244785</v>
      </c>
      <c r="J610" s="472">
        <f t="shared" si="42"/>
        <v>84009254.807164669</v>
      </c>
      <c r="K610" s="550">
        <f>'Sollecitazioni nel paramento'!$G$60*(sezione!$AL$29-C610)/C610</f>
        <v>8.9629825521524912E-4</v>
      </c>
      <c r="L610" s="550">
        <f>'Sollecitazioni nel paramento'!$G$60*(sezione!$AM$29-C610)/C610</f>
        <v>3.0944473828228734E-3</v>
      </c>
      <c r="M610" s="551">
        <f>'Sollecitazioni nel paramento'!$G$60*(sezione!$AN$29-C610)/C610</f>
        <v>5.2925965104304975E-3</v>
      </c>
      <c r="N610" s="551">
        <f>'Sollecitazioni nel paramento'!$G$60*(sezione!$AO$29-C610)/C610</f>
        <v>1.4085193020860998E-2</v>
      </c>
      <c r="O610" s="551">
        <f>'Sollecitazioni nel paramento'!$G$60*(sezione!$AP$29-C610)/C610</f>
        <v>3.1896009437092469E-2</v>
      </c>
      <c r="P610" s="545">
        <f>-'Sollecitazioni nel paramento'!$G$47*'Sollecitazioni nel paramento'!$G$41*IF(DATI!$G$211="dx",DATI!$E$61,DATI!$E$64*DATI!$E$63)*1000*C610*sezione!$AD$5</f>
        <v>-1213197.9429905307</v>
      </c>
      <c r="Q610" s="545">
        <f>'Foglio deposito bis'!$F$48*IF(ABS(K610)&lt;'Sollecitazioni nel paramento'!$G$58,ABS(K610)*'Sollecitazioni nel paramento'!$G$54,'Sollecitazioni nel paramento'!$G$53)*IF(K610&lt;0,-1,1)</f>
        <v>0</v>
      </c>
      <c r="R610" s="545">
        <f>'Foglio deposito bis'!$F$49*IF(ABS(L610)&lt;'Sollecitazioni nel paramento'!$G$58,ABS(L610)*'Sollecitazioni nel paramento'!$G$54,'Sollecitazioni nel paramento'!$G$53)*IF(L610&lt;0,-1,1)</f>
        <v>204886.47740803001</v>
      </c>
      <c r="S610" s="545">
        <f>'Foglio deposito bis'!$F$50*IF(ABS(M610)&lt;'Sollecitazioni nel paramento'!$G$58,ABS(M610)*'Sollecitazioni nel paramento'!$G$54,'Sollecitazioni nel paramento'!$G$53)*IF(M610&lt;0,-1,1)</f>
        <v>0</v>
      </c>
      <c r="T610" s="545">
        <f>'Foglio deposito bis'!$F$51*IF(ABS(N610)&lt;'Sollecitazioni nel paramento'!$G$58,ABS(N610)*'Sollecitazioni nel paramento'!$G$54,'Sollecitazioni nel paramento'!$G$53)*IF(N610&lt;0,-1,1)</f>
        <v>240946.49743184328</v>
      </c>
      <c r="U610" s="545">
        <f>'Foglio deposito bis'!$F$52*IF(ABS(O610)&lt;'Sollecitazioni nel paramento'!$G$58,ABS(O610)*'Sollecitazioni nel paramento'!$G$54,'Sollecitazioni nel paramento'!$G$53)*IF(O610&lt;0,-1,1)</f>
        <v>240946.49743184328</v>
      </c>
      <c r="V610" s="472">
        <f t="shared" si="43"/>
        <v>-526418.47071881406</v>
      </c>
      <c r="W610" s="551"/>
      <c r="X610" s="551"/>
    </row>
    <row r="611" spans="1:24" x14ac:dyDescent="0.25">
      <c r="A611" s="545">
        <f t="shared" si="44"/>
        <v>563747.63819544576</v>
      </c>
      <c r="B611" s="3">
        <f t="shared" si="46"/>
        <v>6.6999999999999913</v>
      </c>
      <c r="C611" s="545">
        <f>'Foglio deposito bis'!$E$155/sezione!$B$247*B611</f>
        <v>32.824818501907309</v>
      </c>
      <c r="D611" s="603">
        <f>-'Sollecitazioni nel paramento'!$G$47*'Sollecitazioni nel paramento'!$G$41*IF(DATI!$G$211="dx",DATI!$E$61,DATI!$E$64*DATI!$E$63)*1000*C611^2*sezione!$AD$5*(1-sezione!$AD$6)</f>
        <v>-23972222.052754737</v>
      </c>
      <c r="E611" s="545">
        <f>-'Foglio deposito bis'!$F$48*(C611-sezione!$AL$29)*IF(ABS(K611)&lt;'Sollecitazioni nel paramento'!$G$58,ABS(K611)*'Sollecitazioni nel paramento'!$G$54,'Sollecitazioni nel paramento'!$G$53)</f>
        <v>0</v>
      </c>
      <c r="F611" s="545">
        <f>-'Foglio deposito bis'!$F$49*(C611-sezione!$AM$29)*IF(ABS(L611)&lt;'Sollecitazioni nel paramento'!$G$58,ABS(L611)*'Sollecitazioni nel paramento'!$G$54,'Sollecitazioni nel paramento'!$G$53)</f>
        <v>5567827.2100680834</v>
      </c>
      <c r="G611" s="545">
        <f>-'Foglio deposito bis'!$F$50*(C611-sezione!$AN$29)*IF(ABS(M611)&lt;'Sollecitazioni nel paramento'!$G$58,ABS(M611)*'Sollecitazioni nel paramento'!$G$54,'Sollecitazioni nel paramento'!$G$53)</f>
        <v>0</v>
      </c>
      <c r="H611" s="545">
        <f>-'Foglio deposito bis'!$F$51*(C611-sezione!$AO$29)*IF(ABS(N611)&lt;'Sollecitazioni nel paramento'!$G$58,ABS(N611)*'Sollecitazioni nel paramento'!$G$54,'Sollecitazioni nel paramento'!$G$53)</f>
        <v>30642414.542224392</v>
      </c>
      <c r="I611" s="472">
        <f>-'Foglio deposito bis'!$F$52*(C611-sezione!$AP$29)*IF(ABS(O611)&lt;'Sollecitazioni nel paramento'!$G$58,ABS(O611)*'Sollecitazioni nel paramento'!$G$54,'Sollecitazioni nel paramento'!$G$53)</f>
        <v>69688480.871338204</v>
      </c>
      <c r="J611" s="472">
        <f t="shared" si="42"/>
        <v>81926500.570875943</v>
      </c>
      <c r="K611" s="550">
        <f>'Sollecitazioni nel paramento'!$G$60*(sezione!$AL$29-C611)/C611</f>
        <v>7.6506547147747977E-4</v>
      </c>
      <c r="L611" s="550">
        <f>'Sollecitazioni nel paramento'!$G$60*(sezione!$AM$29-C611)/C611</f>
        <v>2.8975982072162198E-3</v>
      </c>
      <c r="M611" s="551">
        <f>'Sollecitazioni nel paramento'!$G$60*(sezione!$AN$29-C611)/C611</f>
        <v>5.0301309429549596E-3</v>
      </c>
      <c r="N611" s="551">
        <f>'Sollecitazioni nel paramento'!$G$60*(sezione!$AO$29-C611)/C611</f>
        <v>1.3560261885909919E-2</v>
      </c>
      <c r="O611" s="551">
        <f>'Sollecitazioni nel paramento'!$G$60*(sezione!$AP$29-C611)/C611</f>
        <v>3.0839412140462839E-2</v>
      </c>
      <c r="P611" s="545">
        <f>-'Sollecitazioni nel paramento'!$G$47*'Sollecitazioni nel paramento'!$G$41*IF(DATI!$G$211="dx",DATI!$E$61,DATI!$E$64*DATI!$E$63)*1000*C611*sezione!$AD$5</f>
        <v>-1250527.1104671624</v>
      </c>
      <c r="Q611" s="545">
        <f>'Foglio deposito bis'!$F$48*IF(ABS(K611)&lt;'Sollecitazioni nel paramento'!$G$58,ABS(K611)*'Sollecitazioni nel paramento'!$G$54,'Sollecitazioni nel paramento'!$G$53)*IF(K611&lt;0,-1,1)</f>
        <v>0</v>
      </c>
      <c r="R611" s="545">
        <f>'Foglio deposito bis'!$F$49*IF(ABS(L611)&lt;'Sollecitazioni nel paramento'!$G$58,ABS(L611)*'Sollecitazioni nel paramento'!$G$54,'Sollecitazioni nel paramento'!$G$53)*IF(L611&lt;0,-1,1)</f>
        <v>204886.47740803001</v>
      </c>
      <c r="S611" s="545">
        <f>'Foglio deposito bis'!$F$50*IF(ABS(M611)&lt;'Sollecitazioni nel paramento'!$G$58,ABS(M611)*'Sollecitazioni nel paramento'!$G$54,'Sollecitazioni nel paramento'!$G$53)*IF(M611&lt;0,-1,1)</f>
        <v>0</v>
      </c>
      <c r="T611" s="545">
        <f>'Foglio deposito bis'!$F$51*IF(ABS(N611)&lt;'Sollecitazioni nel paramento'!$G$58,ABS(N611)*'Sollecitazioni nel paramento'!$G$54,'Sollecitazioni nel paramento'!$G$53)*IF(N611&lt;0,-1,1)</f>
        <v>240946.49743184328</v>
      </c>
      <c r="U611" s="545">
        <f>'Foglio deposito bis'!$F$52*IF(ABS(O611)&lt;'Sollecitazioni nel paramento'!$G$58,ABS(O611)*'Sollecitazioni nel paramento'!$G$54,'Sollecitazioni nel paramento'!$G$53)*IF(O611&lt;0,-1,1)</f>
        <v>240946.49743184328</v>
      </c>
      <c r="V611" s="472">
        <f t="shared" si="43"/>
        <v>-563747.63819544576</v>
      </c>
      <c r="W611" s="551"/>
      <c r="X611" s="551"/>
    </row>
    <row r="612" spans="1:24" x14ac:dyDescent="0.25">
      <c r="A612" s="545">
        <f t="shared" si="44"/>
        <v>601076.80567207746</v>
      </c>
      <c r="B612" s="3">
        <f t="shared" si="46"/>
        <v>6.8999999999999915</v>
      </c>
      <c r="C612" s="545">
        <f>'Foglio deposito bis'!$E$155/sezione!$B$247*B612</f>
        <v>33.804663830322454</v>
      </c>
      <c r="D612" s="603">
        <f>-'Sollecitazioni nel paramento'!$G$47*'Sollecitazioni nel paramento'!$G$41*IF(DATI!$G$211="dx",DATI!$E$61,DATI!$E$64*DATI!$E$63)*1000*C612^2*sezione!$AD$5*(1-sezione!$AD$6)</f>
        <v>-25424760.345993605</v>
      </c>
      <c r="E612" s="545">
        <f>-'Foglio deposito bis'!$F$48*(C612-sezione!$AL$29)*IF(ABS(K612)&lt;'Sollecitazioni nel paramento'!$G$58,ABS(K612)*'Sollecitazioni nel paramento'!$G$54,'Sollecitazioni nel paramento'!$G$53)</f>
        <v>0</v>
      </c>
      <c r="F612" s="545">
        <f>-'Foglio deposito bis'!$F$49*(C612-sezione!$AM$29)*IF(ABS(L612)&lt;'Sollecitazioni nel paramento'!$G$58,ABS(L612)*'Sollecitazioni nel paramento'!$G$54,'Sollecitazioni nel paramento'!$G$53)</f>
        <v>5367070.1523243897</v>
      </c>
      <c r="G612" s="545">
        <f>-'Foglio deposito bis'!$F$50*(C612-sezione!$AN$29)*IF(ABS(M612)&lt;'Sollecitazioni nel paramento'!$G$58,ABS(M612)*'Sollecitazioni nel paramento'!$G$54,'Sollecitazioni nel paramento'!$G$53)</f>
        <v>0</v>
      </c>
      <c r="H612" s="545">
        <f>-'Foglio deposito bis'!$F$51*(C612-sezione!$AO$29)*IF(ABS(N612)&lt;'Sollecitazioni nel paramento'!$G$58,ABS(N612)*'Sollecitazioni nel paramento'!$G$54,'Sollecitazioni nel paramento'!$G$53)</f>
        <v>30406324.242317807</v>
      </c>
      <c r="I612" s="472">
        <f>-'Foglio deposito bis'!$F$52*(C612-sezione!$AP$29)*IF(ABS(O612)&lt;'Sollecitazioni nel paramento'!$G$58,ABS(O612)*'Sollecitazioni nel paramento'!$G$54,'Sollecitazioni nel paramento'!$G$53)</f>
        <v>69452390.571431622</v>
      </c>
      <c r="J612" s="472">
        <f t="shared" si="42"/>
        <v>79801024.620080218</v>
      </c>
      <c r="K612" s="550">
        <f>'Sollecitazioni nel paramento'!$G$60*(sezione!$AL$29-C612)/C612</f>
        <v>6.4144038534769772E-4</v>
      </c>
      <c r="L612" s="550">
        <f>'Sollecitazioni nel paramento'!$G$60*(sezione!$AM$29-C612)/C612</f>
        <v>2.7121605780215468E-3</v>
      </c>
      <c r="M612" s="551">
        <f>'Sollecitazioni nel paramento'!$G$60*(sezione!$AN$29-C612)/C612</f>
        <v>4.7828807706953953E-3</v>
      </c>
      <c r="N612" s="551">
        <f>'Sollecitazioni nel paramento'!$G$60*(sezione!$AO$29-C612)/C612</f>
        <v>1.306576154139079E-2</v>
      </c>
      <c r="O612" s="551">
        <f>'Sollecitazioni nel paramento'!$G$60*(sezione!$AP$29-C612)/C612</f>
        <v>2.9844066861029132E-2</v>
      </c>
      <c r="P612" s="545">
        <f>-'Sollecitazioni nel paramento'!$G$47*'Sollecitazioni nel paramento'!$G$41*IF(DATI!$G$211="dx",DATI!$E$61,DATI!$E$64*DATI!$E$63)*1000*C612*sezione!$AD$5</f>
        <v>-1287856.2779437941</v>
      </c>
      <c r="Q612" s="545">
        <f>'Foglio deposito bis'!$F$48*IF(ABS(K612)&lt;'Sollecitazioni nel paramento'!$G$58,ABS(K612)*'Sollecitazioni nel paramento'!$G$54,'Sollecitazioni nel paramento'!$G$53)*IF(K612&lt;0,-1,1)</f>
        <v>0</v>
      </c>
      <c r="R612" s="545">
        <f>'Foglio deposito bis'!$F$49*IF(ABS(L612)&lt;'Sollecitazioni nel paramento'!$G$58,ABS(L612)*'Sollecitazioni nel paramento'!$G$54,'Sollecitazioni nel paramento'!$G$53)*IF(L612&lt;0,-1,1)</f>
        <v>204886.47740803001</v>
      </c>
      <c r="S612" s="545">
        <f>'Foglio deposito bis'!$F$50*IF(ABS(M612)&lt;'Sollecitazioni nel paramento'!$G$58,ABS(M612)*'Sollecitazioni nel paramento'!$G$54,'Sollecitazioni nel paramento'!$G$53)*IF(M612&lt;0,-1,1)</f>
        <v>0</v>
      </c>
      <c r="T612" s="545">
        <f>'Foglio deposito bis'!$F$51*IF(ABS(N612)&lt;'Sollecitazioni nel paramento'!$G$58,ABS(N612)*'Sollecitazioni nel paramento'!$G$54,'Sollecitazioni nel paramento'!$G$53)*IF(N612&lt;0,-1,1)</f>
        <v>240946.49743184328</v>
      </c>
      <c r="U612" s="545">
        <f>'Foglio deposito bis'!$F$52*IF(ABS(O612)&lt;'Sollecitazioni nel paramento'!$G$58,ABS(O612)*'Sollecitazioni nel paramento'!$G$54,'Sollecitazioni nel paramento'!$G$53)*IF(O612&lt;0,-1,1)</f>
        <v>240946.49743184328</v>
      </c>
      <c r="V612" s="472">
        <f t="shared" si="43"/>
        <v>-601076.80567207746</v>
      </c>
      <c r="W612" s="551"/>
      <c r="X612" s="551"/>
    </row>
    <row r="613" spans="1:24" x14ac:dyDescent="0.25">
      <c r="A613" s="545">
        <f t="shared" si="44"/>
        <v>638405.9731487094</v>
      </c>
      <c r="B613" s="3">
        <f t="shared" si="46"/>
        <v>7.0999999999999917</v>
      </c>
      <c r="C613" s="545">
        <f>'Foglio deposito bis'!$E$155/sezione!$B$247*B613</f>
        <v>34.784509158737599</v>
      </c>
      <c r="D613" s="603">
        <f>-'Sollecitazioni nel paramento'!$G$47*'Sollecitazioni nel paramento'!$G$41*IF(DATI!$G$211="dx",DATI!$E$61,DATI!$E$64*DATI!$E$63)*1000*C613^2*sezione!$AD$5*(1-sezione!$AD$6)</f>
        <v>-26920020.353739511</v>
      </c>
      <c r="E613" s="545">
        <f>-'Foglio deposito bis'!$F$48*(C613-sezione!$AL$29)*IF(ABS(K613)&lt;'Sollecitazioni nel paramento'!$G$58,ABS(K613)*'Sollecitazioni nel paramento'!$G$54,'Sollecitazioni nel paramento'!$G$53)</f>
        <v>0</v>
      </c>
      <c r="F613" s="545">
        <f>-'Foglio deposito bis'!$F$49*(C613-sezione!$AM$29)*IF(ABS(L613)&lt;'Sollecitazioni nel paramento'!$G$58,ABS(L613)*'Sollecitazioni nel paramento'!$G$54,'Sollecitazioni nel paramento'!$G$53)</f>
        <v>5166313.094580696</v>
      </c>
      <c r="G613" s="545">
        <f>-'Foglio deposito bis'!$F$50*(C613-sezione!$AN$29)*IF(ABS(M613)&lt;'Sollecitazioni nel paramento'!$G$58,ABS(M613)*'Sollecitazioni nel paramento'!$G$54,'Sollecitazioni nel paramento'!$G$53)</f>
        <v>0</v>
      </c>
      <c r="H613" s="545">
        <f>-'Foglio deposito bis'!$F$51*(C613-sezione!$AO$29)*IF(ABS(N613)&lt;'Sollecitazioni nel paramento'!$G$58,ABS(N613)*'Sollecitazioni nel paramento'!$G$54,'Sollecitazioni nel paramento'!$G$53)</f>
        <v>30170233.942411225</v>
      </c>
      <c r="I613" s="472">
        <f>-'Foglio deposito bis'!$F$52*(C613-sezione!$AP$29)*IF(ABS(O613)&lt;'Sollecitazioni nel paramento'!$G$58,ABS(O613)*'Sollecitazioni nel paramento'!$G$54,'Sollecitazioni nel paramento'!$G$53)</f>
        <v>69216300.27152504</v>
      </c>
      <c r="J613" s="472">
        <f t="shared" si="42"/>
        <v>77632826.954777449</v>
      </c>
      <c r="K613" s="550">
        <f>'Sollecitazioni nel paramento'!$G$60*(sezione!$AL$29-C613)/C613</f>
        <v>5.2478009280269194E-4</v>
      </c>
      <c r="L613" s="550">
        <f>'Sollecitazioni nel paramento'!$G$60*(sezione!$AM$29-C613)/C613</f>
        <v>2.5371701392040377E-3</v>
      </c>
      <c r="M613" s="551">
        <f>'Sollecitazioni nel paramento'!$G$60*(sezione!$AN$29-C613)/C613</f>
        <v>4.5495601856053837E-3</v>
      </c>
      <c r="N613" s="551">
        <f>'Sollecitazioni nel paramento'!$G$60*(sezione!$AO$29-C613)/C613</f>
        <v>1.2599120371210769E-2</v>
      </c>
      <c r="O613" s="551">
        <f>'Sollecitazioni nel paramento'!$G$60*(sezione!$AP$29-C613)/C613</f>
        <v>2.8904797371986059E-2</v>
      </c>
      <c r="P613" s="545">
        <f>-'Sollecitazioni nel paramento'!$G$47*'Sollecitazioni nel paramento'!$G$41*IF(DATI!$G$211="dx",DATI!$E$61,DATI!$E$64*DATI!$E$63)*1000*C613*sezione!$AD$5</f>
        <v>-1325185.4454204261</v>
      </c>
      <c r="Q613" s="545">
        <f>'Foglio deposito bis'!$F$48*IF(ABS(K613)&lt;'Sollecitazioni nel paramento'!$G$58,ABS(K613)*'Sollecitazioni nel paramento'!$G$54,'Sollecitazioni nel paramento'!$G$53)*IF(K613&lt;0,-1,1)</f>
        <v>0</v>
      </c>
      <c r="R613" s="545">
        <f>'Foglio deposito bis'!$F$49*IF(ABS(L613)&lt;'Sollecitazioni nel paramento'!$G$58,ABS(L613)*'Sollecitazioni nel paramento'!$G$54,'Sollecitazioni nel paramento'!$G$53)*IF(L613&lt;0,-1,1)</f>
        <v>204886.47740803001</v>
      </c>
      <c r="S613" s="545">
        <f>'Foglio deposito bis'!$F$50*IF(ABS(M613)&lt;'Sollecitazioni nel paramento'!$G$58,ABS(M613)*'Sollecitazioni nel paramento'!$G$54,'Sollecitazioni nel paramento'!$G$53)*IF(M613&lt;0,-1,1)</f>
        <v>0</v>
      </c>
      <c r="T613" s="545">
        <f>'Foglio deposito bis'!$F$51*IF(ABS(N613)&lt;'Sollecitazioni nel paramento'!$G$58,ABS(N613)*'Sollecitazioni nel paramento'!$G$54,'Sollecitazioni nel paramento'!$G$53)*IF(N613&lt;0,-1,1)</f>
        <v>240946.49743184328</v>
      </c>
      <c r="U613" s="545">
        <f>'Foglio deposito bis'!$F$52*IF(ABS(O613)&lt;'Sollecitazioni nel paramento'!$G$58,ABS(O613)*'Sollecitazioni nel paramento'!$G$54,'Sollecitazioni nel paramento'!$G$53)*IF(O613&lt;0,-1,1)</f>
        <v>240946.49743184328</v>
      </c>
      <c r="V613" s="472">
        <f t="shared" si="43"/>
        <v>-638405.9731487094</v>
      </c>
      <c r="W613" s="551"/>
      <c r="X613" s="551"/>
    </row>
    <row r="614" spans="1:24" x14ac:dyDescent="0.25">
      <c r="A614" s="545">
        <f t="shared" si="44"/>
        <v>675735.14062534133</v>
      </c>
      <c r="B614" s="3">
        <f t="shared" si="46"/>
        <v>7.2999999999999918</v>
      </c>
      <c r="C614" s="545">
        <f>'Foglio deposito bis'!$E$155/sezione!$B$247*B614</f>
        <v>35.764354487152744</v>
      </c>
      <c r="D614" s="603">
        <f>-'Sollecitazioni nel paramento'!$G$47*'Sollecitazioni nel paramento'!$G$41*IF(DATI!$G$211="dx",DATI!$E$61,DATI!$E$64*DATI!$E$63)*1000*C614^2*sezione!$AD$5*(1-sezione!$AD$6)</f>
        <v>-28458002.075992428</v>
      </c>
      <c r="E614" s="545">
        <f>-'Foglio deposito bis'!$F$48*(C614-sezione!$AL$29)*IF(ABS(K614)&lt;'Sollecitazioni nel paramento'!$G$58,ABS(K614)*'Sollecitazioni nel paramento'!$G$54,'Sollecitazioni nel paramento'!$G$53)</f>
        <v>0</v>
      </c>
      <c r="F614" s="545">
        <f>-'Foglio deposito bis'!$F$49*(C614-sezione!$AM$29)*IF(ABS(L614)&lt;'Sollecitazioni nel paramento'!$G$58,ABS(L614)*'Sollecitazioni nel paramento'!$G$54,'Sollecitazioni nel paramento'!$G$53)</f>
        <v>4965556.0368370032</v>
      </c>
      <c r="G614" s="545">
        <f>-'Foglio deposito bis'!$F$50*(C614-sezione!$AN$29)*IF(ABS(M614)&lt;'Sollecitazioni nel paramento'!$G$58,ABS(M614)*'Sollecitazioni nel paramento'!$G$54,'Sollecitazioni nel paramento'!$G$53)</f>
        <v>0</v>
      </c>
      <c r="H614" s="545">
        <f>-'Foglio deposito bis'!$F$51*(C614-sezione!$AO$29)*IF(ABS(N614)&lt;'Sollecitazioni nel paramento'!$G$58,ABS(N614)*'Sollecitazioni nel paramento'!$G$54,'Sollecitazioni nel paramento'!$G$53)</f>
        <v>29934143.642504644</v>
      </c>
      <c r="I614" s="472">
        <f>-'Foglio deposito bis'!$F$52*(C614-sezione!$AP$29)*IF(ABS(O614)&lt;'Sollecitazioni nel paramento'!$G$58,ABS(O614)*'Sollecitazioni nel paramento'!$G$54,'Sollecitazioni nel paramento'!$G$53)</f>
        <v>68980209.971618459</v>
      </c>
      <c r="J614" s="472">
        <f t="shared" si="42"/>
        <v>75421907.574967682</v>
      </c>
      <c r="K614" s="550">
        <f>'Sollecitazioni nel paramento'!$G$60*(sezione!$AL$29-C614)/C614</f>
        <v>4.1451214505467283E-4</v>
      </c>
      <c r="L614" s="550">
        <f>'Sollecitazioni nel paramento'!$G$60*(sezione!$AM$29-C614)/C614</f>
        <v>2.3717682175820091E-3</v>
      </c>
      <c r="M614" s="551">
        <f>'Sollecitazioni nel paramento'!$G$60*(sezione!$AN$29-C614)/C614</f>
        <v>4.3290242901093453E-3</v>
      </c>
      <c r="N614" s="551">
        <f>'Sollecitazioni nel paramento'!$G$60*(sezione!$AO$29-C614)/C614</f>
        <v>1.215804858021869E-2</v>
      </c>
      <c r="O614" s="551">
        <f>'Sollecitazioni nel paramento'!$G$60*(sezione!$AP$29-C614)/C614</f>
        <v>2.8016994704260414E-2</v>
      </c>
      <c r="P614" s="545">
        <f>-'Sollecitazioni nel paramento'!$G$47*'Sollecitazioni nel paramento'!$G$41*IF(DATI!$G$211="dx",DATI!$E$61,DATI!$E$64*DATI!$E$63)*1000*C614*sezione!$AD$5</f>
        <v>-1362514.612897058</v>
      </c>
      <c r="Q614" s="545">
        <f>'Foglio deposito bis'!$F$48*IF(ABS(K614)&lt;'Sollecitazioni nel paramento'!$G$58,ABS(K614)*'Sollecitazioni nel paramento'!$G$54,'Sollecitazioni nel paramento'!$G$53)*IF(K614&lt;0,-1,1)</f>
        <v>0</v>
      </c>
      <c r="R614" s="545">
        <f>'Foglio deposito bis'!$F$49*IF(ABS(L614)&lt;'Sollecitazioni nel paramento'!$G$58,ABS(L614)*'Sollecitazioni nel paramento'!$G$54,'Sollecitazioni nel paramento'!$G$53)*IF(L614&lt;0,-1,1)</f>
        <v>204886.47740803001</v>
      </c>
      <c r="S614" s="545">
        <f>'Foglio deposito bis'!$F$50*IF(ABS(M614)&lt;'Sollecitazioni nel paramento'!$G$58,ABS(M614)*'Sollecitazioni nel paramento'!$G$54,'Sollecitazioni nel paramento'!$G$53)*IF(M614&lt;0,-1,1)</f>
        <v>0</v>
      </c>
      <c r="T614" s="545">
        <f>'Foglio deposito bis'!$F$51*IF(ABS(N614)&lt;'Sollecitazioni nel paramento'!$G$58,ABS(N614)*'Sollecitazioni nel paramento'!$G$54,'Sollecitazioni nel paramento'!$G$53)*IF(N614&lt;0,-1,1)</f>
        <v>240946.49743184328</v>
      </c>
      <c r="U614" s="545">
        <f>'Foglio deposito bis'!$F$52*IF(ABS(O614)&lt;'Sollecitazioni nel paramento'!$G$58,ABS(O614)*'Sollecitazioni nel paramento'!$G$54,'Sollecitazioni nel paramento'!$G$53)*IF(O614&lt;0,-1,1)</f>
        <v>240946.49743184328</v>
      </c>
      <c r="V614" s="472">
        <f t="shared" si="43"/>
        <v>-675735.14062534133</v>
      </c>
      <c r="W614" s="551"/>
      <c r="X614" s="551"/>
    </row>
    <row r="615" spans="1:24" x14ac:dyDescent="0.25">
      <c r="A615" s="545">
        <f t="shared" si="44"/>
        <v>713064.30810197303</v>
      </c>
      <c r="B615" s="3">
        <f t="shared" si="46"/>
        <v>7.499999999999992</v>
      </c>
      <c r="C615" s="545">
        <f>'Foglio deposito bis'!$E$155/sezione!$B$247*B615</f>
        <v>36.744199815567889</v>
      </c>
      <c r="D615" s="603">
        <f>-'Sollecitazioni nel paramento'!$G$47*'Sollecitazioni nel paramento'!$G$41*IF(DATI!$G$211="dx",DATI!$E$61,DATI!$E$64*DATI!$E$63)*1000*C615^2*sezione!$AD$5*(1-sezione!$AD$6)</f>
        <v>-30038705.51275238</v>
      </c>
      <c r="E615" s="545">
        <f>-'Foglio deposito bis'!$F$48*(C615-sezione!$AL$29)*IF(ABS(K615)&lt;'Sollecitazioni nel paramento'!$G$58,ABS(K615)*'Sollecitazioni nel paramento'!$G$54,'Sollecitazioni nel paramento'!$G$53)</f>
        <v>0</v>
      </c>
      <c r="F615" s="545">
        <f>-'Foglio deposito bis'!$F$49*(C615-sezione!$AM$29)*IF(ABS(L615)&lt;'Sollecitazioni nel paramento'!$G$58,ABS(L615)*'Sollecitazioni nel paramento'!$G$54,'Sollecitazioni nel paramento'!$G$53)</f>
        <v>4764798.9790933104</v>
      </c>
      <c r="G615" s="545">
        <f>-'Foglio deposito bis'!$F$50*(C615-sezione!$AN$29)*IF(ABS(M615)&lt;'Sollecitazioni nel paramento'!$G$58,ABS(M615)*'Sollecitazioni nel paramento'!$G$54,'Sollecitazioni nel paramento'!$G$53)</f>
        <v>0</v>
      </c>
      <c r="H615" s="545">
        <f>-'Foglio deposito bis'!$F$51*(C615-sezione!$AO$29)*IF(ABS(N615)&lt;'Sollecitazioni nel paramento'!$G$58,ABS(N615)*'Sollecitazioni nel paramento'!$G$54,'Sollecitazioni nel paramento'!$G$53)</f>
        <v>29698053.342598058</v>
      </c>
      <c r="I615" s="472">
        <f>-'Foglio deposito bis'!$F$52*(C615-sezione!$AP$29)*IF(ABS(O615)&lt;'Sollecitazioni nel paramento'!$G$58,ABS(O615)*'Sollecitazioni nel paramento'!$G$54,'Sollecitazioni nel paramento'!$G$53)</f>
        <v>68744119.671711877</v>
      </c>
      <c r="J615" s="472">
        <f t="shared" si="42"/>
        <v>73168266.480650872</v>
      </c>
      <c r="K615" s="550">
        <f>'Sollecitazioni nel paramento'!$G$60*(sezione!$AL$29-C615)/C615</f>
        <v>3.1012515451988139E-4</v>
      </c>
      <c r="L615" s="550">
        <f>'Sollecitazioni nel paramento'!$G$60*(sezione!$AM$29-C615)/C615</f>
        <v>2.2151877317798225E-3</v>
      </c>
      <c r="M615" s="551">
        <f>'Sollecitazioni nel paramento'!$G$60*(sezione!$AN$29-C615)/C615</f>
        <v>4.1202503090397632E-3</v>
      </c>
      <c r="N615" s="551">
        <f>'Sollecitazioni nel paramento'!$G$60*(sezione!$AO$29-C615)/C615</f>
        <v>1.1740500618079524E-2</v>
      </c>
      <c r="O615" s="551">
        <f>'Sollecitazioni nel paramento'!$G$60*(sezione!$AP$29-C615)/C615</f>
        <v>2.7176541512146803E-2</v>
      </c>
      <c r="P615" s="545">
        <f>-'Sollecitazioni nel paramento'!$G$47*'Sollecitazioni nel paramento'!$G$41*IF(DATI!$G$211="dx",DATI!$E$61,DATI!$E$64*DATI!$E$63)*1000*C615*sezione!$AD$5</f>
        <v>-1399843.7803736897</v>
      </c>
      <c r="Q615" s="545">
        <f>'Foglio deposito bis'!$F$48*IF(ABS(K615)&lt;'Sollecitazioni nel paramento'!$G$58,ABS(K615)*'Sollecitazioni nel paramento'!$G$54,'Sollecitazioni nel paramento'!$G$53)*IF(K615&lt;0,-1,1)</f>
        <v>0</v>
      </c>
      <c r="R615" s="545">
        <f>'Foglio deposito bis'!$F$49*IF(ABS(L615)&lt;'Sollecitazioni nel paramento'!$G$58,ABS(L615)*'Sollecitazioni nel paramento'!$G$54,'Sollecitazioni nel paramento'!$G$53)*IF(L615&lt;0,-1,1)</f>
        <v>204886.47740803001</v>
      </c>
      <c r="S615" s="545">
        <f>'Foglio deposito bis'!$F$50*IF(ABS(M615)&lt;'Sollecitazioni nel paramento'!$G$58,ABS(M615)*'Sollecitazioni nel paramento'!$G$54,'Sollecitazioni nel paramento'!$G$53)*IF(M615&lt;0,-1,1)</f>
        <v>0</v>
      </c>
      <c r="T615" s="545">
        <f>'Foglio deposito bis'!$F$51*IF(ABS(N615)&lt;'Sollecitazioni nel paramento'!$G$58,ABS(N615)*'Sollecitazioni nel paramento'!$G$54,'Sollecitazioni nel paramento'!$G$53)*IF(N615&lt;0,-1,1)</f>
        <v>240946.49743184328</v>
      </c>
      <c r="U615" s="545">
        <f>'Foglio deposito bis'!$F$52*IF(ABS(O615)&lt;'Sollecitazioni nel paramento'!$G$58,ABS(O615)*'Sollecitazioni nel paramento'!$G$54,'Sollecitazioni nel paramento'!$G$53)*IF(O615&lt;0,-1,1)</f>
        <v>240946.49743184328</v>
      </c>
      <c r="V615" s="472">
        <f t="shared" si="43"/>
        <v>-713064.30810197303</v>
      </c>
      <c r="W615" s="551"/>
      <c r="X615" s="551"/>
    </row>
    <row r="616" spans="1:24" x14ac:dyDescent="0.25">
      <c r="A616" s="545">
        <f t="shared" si="44"/>
        <v>750393.47557860473</v>
      </c>
      <c r="B616" s="3">
        <f t="shared" si="46"/>
        <v>7.6999999999999922</v>
      </c>
      <c r="C616" s="545">
        <f>'Foglio deposito bis'!$E$155/sezione!$B$247*B616</f>
        <v>37.724045143983034</v>
      </c>
      <c r="D616" s="603">
        <f>-'Sollecitazioni nel paramento'!$G$47*'Sollecitazioni nel paramento'!$G$41*IF(DATI!$G$211="dx",DATI!$E$61,DATI!$E$64*DATI!$E$63)*1000*C616^2*sezione!$AD$5*(1-sezione!$AD$6)</f>
        <v>-31662130.664019354</v>
      </c>
      <c r="E616" s="545">
        <f>-'Foglio deposito bis'!$F$48*(C616-sezione!$AL$29)*IF(ABS(K616)&lt;'Sollecitazioni nel paramento'!$G$58,ABS(K616)*'Sollecitazioni nel paramento'!$G$54,'Sollecitazioni nel paramento'!$G$53)</f>
        <v>0</v>
      </c>
      <c r="F616" s="545">
        <f>-'Foglio deposito bis'!$F$49*(C616-sezione!$AM$29)*IF(ABS(L616)&lt;'Sollecitazioni nel paramento'!$G$58,ABS(L616)*'Sollecitazioni nel paramento'!$G$54,'Sollecitazioni nel paramento'!$G$53)</f>
        <v>4564041.9213496167</v>
      </c>
      <c r="G616" s="545">
        <f>-'Foglio deposito bis'!$F$50*(C616-sezione!$AN$29)*IF(ABS(M616)&lt;'Sollecitazioni nel paramento'!$G$58,ABS(M616)*'Sollecitazioni nel paramento'!$G$54,'Sollecitazioni nel paramento'!$G$53)</f>
        <v>0</v>
      </c>
      <c r="H616" s="545">
        <f>-'Foglio deposito bis'!$F$51*(C616-sezione!$AO$29)*IF(ABS(N616)&lt;'Sollecitazioni nel paramento'!$G$58,ABS(N616)*'Sollecitazioni nel paramento'!$G$54,'Sollecitazioni nel paramento'!$G$53)</f>
        <v>29461963.042691477</v>
      </c>
      <c r="I616" s="472">
        <f>-'Foglio deposito bis'!$F$52*(C616-sezione!$AP$29)*IF(ABS(O616)&lt;'Sollecitazioni nel paramento'!$G$58,ABS(O616)*'Sollecitazioni nel paramento'!$G$54,'Sollecitazioni nel paramento'!$G$53)</f>
        <v>68508029.371805295</v>
      </c>
      <c r="J616" s="472">
        <f t="shared" si="42"/>
        <v>70871903.671827033</v>
      </c>
      <c r="K616" s="550">
        <f>'Sollecitazioni nel paramento'!$G$60*(sezione!$AL$29-C616)/C616</f>
        <v>2.1116086479209216E-4</v>
      </c>
      <c r="L616" s="550">
        <f>'Sollecitazioni nel paramento'!$G$60*(sezione!$AM$29-C616)/C616</f>
        <v>2.0667412971881382E-3</v>
      </c>
      <c r="M616" s="551">
        <f>'Sollecitazioni nel paramento'!$G$60*(sezione!$AN$29-C616)/C616</f>
        <v>3.9223217295841842E-3</v>
      </c>
      <c r="N616" s="551">
        <f>'Sollecitazioni nel paramento'!$G$60*(sezione!$AO$29-C616)/C616</f>
        <v>1.134464345916837E-2</v>
      </c>
      <c r="O616" s="551">
        <f>'Sollecitazioni nel paramento'!$G$60*(sezione!$AP$29-C616)/C616</f>
        <v>2.6379748226117015E-2</v>
      </c>
      <c r="P616" s="545">
        <f>-'Sollecitazioni nel paramento'!$G$47*'Sollecitazioni nel paramento'!$G$41*IF(DATI!$G$211="dx",DATI!$E$61,DATI!$E$64*DATI!$E$63)*1000*C616*sezione!$AD$5</f>
        <v>-1437172.9478503214</v>
      </c>
      <c r="Q616" s="545">
        <f>'Foglio deposito bis'!$F$48*IF(ABS(K616)&lt;'Sollecitazioni nel paramento'!$G$58,ABS(K616)*'Sollecitazioni nel paramento'!$G$54,'Sollecitazioni nel paramento'!$G$53)*IF(K616&lt;0,-1,1)</f>
        <v>0</v>
      </c>
      <c r="R616" s="545">
        <f>'Foglio deposito bis'!$F$49*IF(ABS(L616)&lt;'Sollecitazioni nel paramento'!$G$58,ABS(L616)*'Sollecitazioni nel paramento'!$G$54,'Sollecitazioni nel paramento'!$G$53)*IF(L616&lt;0,-1,1)</f>
        <v>204886.47740803001</v>
      </c>
      <c r="S616" s="545">
        <f>'Foglio deposito bis'!$F$50*IF(ABS(M616)&lt;'Sollecitazioni nel paramento'!$G$58,ABS(M616)*'Sollecitazioni nel paramento'!$G$54,'Sollecitazioni nel paramento'!$G$53)*IF(M616&lt;0,-1,1)</f>
        <v>0</v>
      </c>
      <c r="T616" s="545">
        <f>'Foglio deposito bis'!$F$51*IF(ABS(N616)&lt;'Sollecitazioni nel paramento'!$G$58,ABS(N616)*'Sollecitazioni nel paramento'!$G$54,'Sollecitazioni nel paramento'!$G$53)*IF(N616&lt;0,-1,1)</f>
        <v>240946.49743184328</v>
      </c>
      <c r="U616" s="545">
        <f>'Foglio deposito bis'!$F$52*IF(ABS(O616)&lt;'Sollecitazioni nel paramento'!$G$58,ABS(O616)*'Sollecitazioni nel paramento'!$G$54,'Sollecitazioni nel paramento'!$G$53)*IF(O616&lt;0,-1,1)</f>
        <v>240946.49743184328</v>
      </c>
      <c r="V616" s="472">
        <f t="shared" si="43"/>
        <v>-750393.47557860473</v>
      </c>
      <c r="W616" s="551"/>
      <c r="X616" s="551"/>
    </row>
    <row r="617" spans="1:24" x14ac:dyDescent="0.25">
      <c r="A617" s="545">
        <f t="shared" si="44"/>
        <v>787722.64305523643</v>
      </c>
      <c r="B617" s="3">
        <f t="shared" si="46"/>
        <v>7.8999999999999924</v>
      </c>
      <c r="C617" s="545">
        <f>'Foglio deposito bis'!$E$155/sezione!$B$247*B617</f>
        <v>38.703890472398179</v>
      </c>
      <c r="D617" s="603">
        <f>-'Sollecitazioni nel paramento'!$G$47*'Sollecitazioni nel paramento'!$G$41*IF(DATI!$G$211="dx",DATI!$E$61,DATI!$E$64*DATI!$E$63)*1000*C617^2*sezione!$AD$5*(1-sezione!$AD$6)</f>
        <v>-33328277.529793359</v>
      </c>
      <c r="E617" s="545">
        <f>-'Foglio deposito bis'!$F$48*(C617-sezione!$AL$29)*IF(ABS(K617)&lt;'Sollecitazioni nel paramento'!$G$58,ABS(K617)*'Sollecitazioni nel paramento'!$G$54,'Sollecitazioni nel paramento'!$G$53)</f>
        <v>0</v>
      </c>
      <c r="F617" s="545">
        <f>-'Foglio deposito bis'!$F$49*(C617-sezione!$AM$29)*IF(ABS(L617)&lt;'Sollecitazioni nel paramento'!$G$58,ABS(L617)*'Sollecitazioni nel paramento'!$G$54,'Sollecitazioni nel paramento'!$G$53)</f>
        <v>4363284.863605923</v>
      </c>
      <c r="G617" s="545">
        <f>-'Foglio deposito bis'!$F$50*(C617-sezione!$AN$29)*IF(ABS(M617)&lt;'Sollecitazioni nel paramento'!$G$58,ABS(M617)*'Sollecitazioni nel paramento'!$G$54,'Sollecitazioni nel paramento'!$G$53)</f>
        <v>0</v>
      </c>
      <c r="H617" s="545">
        <f>-'Foglio deposito bis'!$F$51*(C617-sezione!$AO$29)*IF(ABS(N617)&lt;'Sollecitazioni nel paramento'!$G$58,ABS(N617)*'Sollecitazioni nel paramento'!$G$54,'Sollecitazioni nel paramento'!$G$53)</f>
        <v>29225872.742784891</v>
      </c>
      <c r="I617" s="472">
        <f>-'Foglio deposito bis'!$F$52*(C617-sezione!$AP$29)*IF(ABS(O617)&lt;'Sollecitazioni nel paramento'!$G$58,ABS(O617)*'Sollecitazioni nel paramento'!$G$54,'Sollecitazioni nel paramento'!$G$53)</f>
        <v>68271939.071898699</v>
      </c>
      <c r="J617" s="472">
        <f t="shared" si="42"/>
        <v>68532819.148496151</v>
      </c>
      <c r="K617" s="550">
        <f>'Sollecitazioni nel paramento'!$G$60*(sezione!$AL$29-C617)/C617</f>
        <v>1.1720742517710237E-4</v>
      </c>
      <c r="L617" s="550">
        <f>'Sollecitazioni nel paramento'!$G$60*(sezione!$AM$29-C617)/C617</f>
        <v>1.9258111377656536E-3</v>
      </c>
      <c r="M617" s="551">
        <f>'Sollecitazioni nel paramento'!$G$60*(sezione!$AN$29-C617)/C617</f>
        <v>3.7344148503542047E-3</v>
      </c>
      <c r="N617" s="551">
        <f>'Sollecitazioni nel paramento'!$G$60*(sezione!$AO$29-C617)/C617</f>
        <v>1.0968829700708411E-2</v>
      </c>
      <c r="O617" s="551">
        <f>'Sollecitazioni nel paramento'!$G$60*(sezione!$AP$29-C617)/C617</f>
        <v>2.5623298903936831E-2</v>
      </c>
      <c r="P617" s="545">
        <f>-'Sollecitazioni nel paramento'!$G$47*'Sollecitazioni nel paramento'!$G$41*IF(DATI!$G$211="dx",DATI!$E$61,DATI!$E$64*DATI!$E$63)*1000*C617*sezione!$AD$5</f>
        <v>-1474502.1153269531</v>
      </c>
      <c r="Q617" s="545">
        <f>'Foglio deposito bis'!$F$48*IF(ABS(K617)&lt;'Sollecitazioni nel paramento'!$G$58,ABS(K617)*'Sollecitazioni nel paramento'!$G$54,'Sollecitazioni nel paramento'!$G$53)*IF(K617&lt;0,-1,1)</f>
        <v>0</v>
      </c>
      <c r="R617" s="545">
        <f>'Foglio deposito bis'!$F$49*IF(ABS(L617)&lt;'Sollecitazioni nel paramento'!$G$58,ABS(L617)*'Sollecitazioni nel paramento'!$G$54,'Sollecitazioni nel paramento'!$G$53)*IF(L617&lt;0,-1,1)</f>
        <v>204886.47740803001</v>
      </c>
      <c r="S617" s="545">
        <f>'Foglio deposito bis'!$F$50*IF(ABS(M617)&lt;'Sollecitazioni nel paramento'!$G$58,ABS(M617)*'Sollecitazioni nel paramento'!$G$54,'Sollecitazioni nel paramento'!$G$53)*IF(M617&lt;0,-1,1)</f>
        <v>0</v>
      </c>
      <c r="T617" s="545">
        <f>'Foglio deposito bis'!$F$51*IF(ABS(N617)&lt;'Sollecitazioni nel paramento'!$G$58,ABS(N617)*'Sollecitazioni nel paramento'!$G$54,'Sollecitazioni nel paramento'!$G$53)*IF(N617&lt;0,-1,1)</f>
        <v>240946.49743184328</v>
      </c>
      <c r="U617" s="545">
        <f>'Foglio deposito bis'!$F$52*IF(ABS(O617)&lt;'Sollecitazioni nel paramento'!$G$58,ABS(O617)*'Sollecitazioni nel paramento'!$G$54,'Sollecitazioni nel paramento'!$G$53)*IF(O617&lt;0,-1,1)</f>
        <v>240946.49743184328</v>
      </c>
      <c r="V617" s="472">
        <f t="shared" si="43"/>
        <v>-787722.64305523643</v>
      </c>
      <c r="W617" s="551"/>
      <c r="X617" s="551"/>
    </row>
    <row r="618" spans="1:24" x14ac:dyDescent="0.25">
      <c r="A618" s="545">
        <f t="shared" si="44"/>
        <v>836667.9574361674</v>
      </c>
      <c r="B618" s="3">
        <f t="shared" si="46"/>
        <v>8.0999999999999925</v>
      </c>
      <c r="C618" s="545">
        <f>'Foglio deposito bis'!$E$155/sezione!$B$247*B618</f>
        <v>39.683735800813324</v>
      </c>
      <c r="D618" s="603">
        <f>-'Sollecitazioni nel paramento'!$G$47*'Sollecitazioni nel paramento'!$G$41*IF(DATI!$G$211="dx",DATI!$E$61,DATI!$E$64*DATI!$E$63)*1000*C618^2*sezione!$AD$5*(1-sezione!$AD$6)</f>
        <v>-35037146.110074379</v>
      </c>
      <c r="E618" s="545">
        <f>-'Foglio deposito bis'!$F$48*(C618-sezione!$AL$29)*IF(ABS(K618)&lt;'Sollecitazioni nel paramento'!$G$58,ABS(K618)*'Sollecitazioni nel paramento'!$G$54,'Sollecitazioni nel paramento'!$G$53)</f>
        <v>0</v>
      </c>
      <c r="F618" s="545">
        <f>-'Foglio deposito bis'!$F$49*(C618-sezione!$AM$29)*IF(ABS(L618)&lt;'Sollecitazioni nel paramento'!$G$58,ABS(L618)*'Sollecitazioni nel paramento'!$G$54,'Sollecitazioni nel paramento'!$G$53)</f>
        <v>3926531.0963779241</v>
      </c>
      <c r="G618" s="545">
        <f>-'Foglio deposito bis'!$F$50*(C618-sezione!$AN$29)*IF(ABS(M618)&lt;'Sollecitazioni nel paramento'!$G$58,ABS(M618)*'Sollecitazioni nel paramento'!$G$54,'Sollecitazioni nel paramento'!$G$53)</f>
        <v>0</v>
      </c>
      <c r="H618" s="545">
        <f>-'Foglio deposito bis'!$F$51*(C618-sezione!$AO$29)*IF(ABS(N618)&lt;'Sollecitazioni nel paramento'!$G$58,ABS(N618)*'Sollecitazioni nel paramento'!$G$54,'Sollecitazioni nel paramento'!$G$53)</f>
        <v>28989782.44287831</v>
      </c>
      <c r="I618" s="472">
        <f>-'Foglio deposito bis'!$F$52*(C618-sezione!$AP$29)*IF(ABS(O618)&lt;'Sollecitazioni nel paramento'!$G$58,ABS(O618)*'Sollecitazioni nel paramento'!$G$54,'Sollecitazioni nel paramento'!$G$53)</f>
        <v>68035848.771992117</v>
      </c>
      <c r="J618" s="472">
        <f t="shared" si="42"/>
        <v>65915016.201173976</v>
      </c>
      <c r="K618" s="550">
        <f>'Sollecitazioni nel paramento'!$G$60*(sezione!$AL$29-C618)/C618</f>
        <v>2.789366159248245E-5</v>
      </c>
      <c r="L618" s="550">
        <f>'Sollecitazioni nel paramento'!$G$60*(sezione!$AM$29-C618)/C618</f>
        <v>1.7918404923887236E-3</v>
      </c>
      <c r="M618" s="551">
        <f>'Sollecitazioni nel paramento'!$G$60*(sezione!$AN$29-C618)/C618</f>
        <v>3.5557873231849648E-3</v>
      </c>
      <c r="N618" s="551">
        <f>'Sollecitazioni nel paramento'!$G$60*(sezione!$AO$29-C618)/C618</f>
        <v>1.061157464636993E-2</v>
      </c>
      <c r="O618" s="551">
        <f>'Sollecitazioni nel paramento'!$G$60*(sezione!$AP$29-C618)/C618</f>
        <v>2.4904205103839623E-2</v>
      </c>
      <c r="P618" s="545">
        <f>-'Sollecitazioni nel paramento'!$G$47*'Sollecitazioni nel paramento'!$G$41*IF(DATI!$G$211="dx",DATI!$E$61,DATI!$E$64*DATI!$E$63)*1000*C618*sezione!$AD$5</f>
        <v>-1511831.2828035848</v>
      </c>
      <c r="Q618" s="545">
        <f>'Foglio deposito bis'!$F$48*IF(ABS(K618)&lt;'Sollecitazioni nel paramento'!$G$58,ABS(K618)*'Sollecitazioni nel paramento'!$G$54,'Sollecitazioni nel paramento'!$G$53)*IF(K618&lt;0,-1,1)</f>
        <v>0</v>
      </c>
      <c r="R618" s="545">
        <f>'Foglio deposito bis'!$F$49*IF(ABS(L618)&lt;'Sollecitazioni nel paramento'!$G$58,ABS(L618)*'Sollecitazioni nel paramento'!$G$54,'Sollecitazioni nel paramento'!$G$53)*IF(L618&lt;0,-1,1)</f>
        <v>193270.33050373086</v>
      </c>
      <c r="S618" s="545">
        <f>'Foglio deposito bis'!$F$50*IF(ABS(M618)&lt;'Sollecitazioni nel paramento'!$G$58,ABS(M618)*'Sollecitazioni nel paramento'!$G$54,'Sollecitazioni nel paramento'!$G$53)*IF(M618&lt;0,-1,1)</f>
        <v>0</v>
      </c>
      <c r="T618" s="545">
        <f>'Foglio deposito bis'!$F$51*IF(ABS(N618)&lt;'Sollecitazioni nel paramento'!$G$58,ABS(N618)*'Sollecitazioni nel paramento'!$G$54,'Sollecitazioni nel paramento'!$G$53)*IF(N618&lt;0,-1,1)</f>
        <v>240946.49743184328</v>
      </c>
      <c r="U618" s="545">
        <f>'Foglio deposito bis'!$F$52*IF(ABS(O618)&lt;'Sollecitazioni nel paramento'!$G$58,ABS(O618)*'Sollecitazioni nel paramento'!$G$54,'Sollecitazioni nel paramento'!$G$53)*IF(O618&lt;0,-1,1)</f>
        <v>240946.49743184328</v>
      </c>
      <c r="V618" s="472">
        <f t="shared" si="43"/>
        <v>-836667.9574361674</v>
      </c>
      <c r="W618" s="551"/>
      <c r="X618" s="551"/>
    </row>
    <row r="619" spans="1:24" x14ac:dyDescent="0.25">
      <c r="A619" s="545">
        <f t="shared" si="44"/>
        <v>887750.981484127</v>
      </c>
      <c r="B619" s="3">
        <f t="shared" si="46"/>
        <v>8.2999999999999918</v>
      </c>
      <c r="C619" s="545">
        <f>'Foglio deposito bis'!$E$155/sezione!$B$247*B619</f>
        <v>40.663581129228469</v>
      </c>
      <c r="D619" s="603">
        <f>-'Sollecitazioni nel paramento'!$G$47*'Sollecitazioni nel paramento'!$G$41*IF(DATI!$G$211="dx",DATI!$E$61,DATI!$E$64*DATI!$E$63)*1000*C619^2*sezione!$AD$5*(1-sezione!$AD$6)</f>
        <v>-36788736.404862441</v>
      </c>
      <c r="E619" s="545">
        <f>-'Foglio deposito bis'!$F$48*(C619-sezione!$AL$29)*IF(ABS(K619)&lt;'Sollecitazioni nel paramento'!$G$58,ABS(K619)*'Sollecitazioni nel paramento'!$G$54,'Sollecitazioni nel paramento'!$G$53)</f>
        <v>0</v>
      </c>
      <c r="F619" s="545">
        <f>-'Foglio deposito bis'!$F$49*(C619-sezione!$AM$29)*IF(ABS(L619)&lt;'Sollecitazioni nel paramento'!$G$58,ABS(L619)*'Sollecitazioni nel paramento'!$G$54,'Sollecitazioni nel paramento'!$G$53)</f>
        <v>3471205.7341608838</v>
      </c>
      <c r="G619" s="545">
        <f>-'Foglio deposito bis'!$F$50*(C619-sezione!$AN$29)*IF(ABS(M619)&lt;'Sollecitazioni nel paramento'!$G$58,ABS(M619)*'Sollecitazioni nel paramento'!$G$54,'Sollecitazioni nel paramento'!$G$53)</f>
        <v>0</v>
      </c>
      <c r="H619" s="545">
        <f>-'Foglio deposito bis'!$F$51*(C619-sezione!$AO$29)*IF(ABS(N619)&lt;'Sollecitazioni nel paramento'!$G$58,ABS(N619)*'Sollecitazioni nel paramento'!$G$54,'Sollecitazioni nel paramento'!$G$53)</f>
        <v>28753692.142971728</v>
      </c>
      <c r="I619" s="472">
        <f>-'Foglio deposito bis'!$F$52*(C619-sezione!$AP$29)*IF(ABS(O619)&lt;'Sollecitazioni nel paramento'!$G$58,ABS(O619)*'Sollecitazioni nel paramento'!$G$54,'Sollecitazioni nel paramento'!$G$53)</f>
        <v>67799758.472085536</v>
      </c>
      <c r="J619" s="472">
        <f t="shared" si="42"/>
        <v>63235919.944355711</v>
      </c>
      <c r="K619" s="550">
        <f>'Sollecitazioni nel paramento'!$G$60*(sezione!$AL$29-C619)/C619</f>
        <v>-5.7115824229023254E-5</v>
      </c>
      <c r="L619" s="550">
        <f>'Sollecitazioni nel paramento'!$G$60*(sezione!$AM$29-C619)/C619</f>
        <v>1.6643262636564652E-3</v>
      </c>
      <c r="M619" s="551">
        <f>'Sollecitazioni nel paramento'!$G$60*(sezione!$AN$29-C619)/C619</f>
        <v>3.3857683515419539E-3</v>
      </c>
      <c r="N619" s="551">
        <f>'Sollecitazioni nel paramento'!$G$60*(sezione!$AO$29-C619)/C619</f>
        <v>1.0271536703083907E-2</v>
      </c>
      <c r="O619" s="551">
        <f>'Sollecitazioni nel paramento'!$G$60*(sezione!$AP$29-C619)/C619</f>
        <v>2.4219766426638669E-2</v>
      </c>
      <c r="P619" s="545">
        <f>-'Sollecitazioni nel paramento'!$G$47*'Sollecitazioni nel paramento'!$G$41*IF(DATI!$G$211="dx",DATI!$E$61,DATI!$E$64*DATI!$E$63)*1000*C619*sezione!$AD$5</f>
        <v>-1549160.4502802168</v>
      </c>
      <c r="Q619" s="545">
        <f>'Foglio deposito bis'!$F$48*IF(ABS(K619)&lt;'Sollecitazioni nel paramento'!$G$58,ABS(K619)*'Sollecitazioni nel paramento'!$G$54,'Sollecitazioni nel paramento'!$G$53)*IF(K619&lt;0,-1,1)</f>
        <v>0</v>
      </c>
      <c r="R619" s="545">
        <f>'Foglio deposito bis'!$F$49*IF(ABS(L619)&lt;'Sollecitazioni nel paramento'!$G$58,ABS(L619)*'Sollecitazioni nel paramento'!$G$54,'Sollecitazioni nel paramento'!$G$53)*IF(L619&lt;0,-1,1)</f>
        <v>179516.47393240305</v>
      </c>
      <c r="S619" s="545">
        <f>'Foglio deposito bis'!$F$50*IF(ABS(M619)&lt;'Sollecitazioni nel paramento'!$G$58,ABS(M619)*'Sollecitazioni nel paramento'!$G$54,'Sollecitazioni nel paramento'!$G$53)*IF(M619&lt;0,-1,1)</f>
        <v>0</v>
      </c>
      <c r="T619" s="545">
        <f>'Foglio deposito bis'!$F$51*IF(ABS(N619)&lt;'Sollecitazioni nel paramento'!$G$58,ABS(N619)*'Sollecitazioni nel paramento'!$G$54,'Sollecitazioni nel paramento'!$G$53)*IF(N619&lt;0,-1,1)</f>
        <v>240946.49743184328</v>
      </c>
      <c r="U619" s="545">
        <f>'Foglio deposito bis'!$F$52*IF(ABS(O619)&lt;'Sollecitazioni nel paramento'!$G$58,ABS(O619)*'Sollecitazioni nel paramento'!$G$54,'Sollecitazioni nel paramento'!$G$53)*IF(O619&lt;0,-1,1)</f>
        <v>240946.49743184328</v>
      </c>
      <c r="V619" s="472">
        <f t="shared" si="43"/>
        <v>-887750.981484127</v>
      </c>
      <c r="W619" s="551"/>
      <c r="X619" s="551"/>
    </row>
    <row r="620" spans="1:24" x14ac:dyDescent="0.25">
      <c r="A620" s="545">
        <f t="shared" si="44"/>
        <v>938186.76522284746</v>
      </c>
      <c r="B620" s="3">
        <f t="shared" si="46"/>
        <v>8.4999999999999911</v>
      </c>
      <c r="C620" s="545">
        <f>'Foglio deposito bis'!$E$155/sezione!$B$247*B620</f>
        <v>41.643426457643606</v>
      </c>
      <c r="D620" s="603">
        <f>-'Sollecitazioni nel paramento'!$G$47*'Sollecitazioni nel paramento'!$G$41*IF(DATI!$G$211="dx",DATI!$E$61,DATI!$E$64*DATI!$E$63)*1000*C620^2*sezione!$AD$5*(1-sezione!$AD$6)</f>
        <v>-38583048.414157502</v>
      </c>
      <c r="E620" s="545">
        <f>-'Foglio deposito bis'!$F$48*(C620-sezione!$AL$29)*IF(ABS(K620)&lt;'Sollecitazioni nel paramento'!$G$58,ABS(K620)*'Sollecitazioni nel paramento'!$G$54,'Sollecitazioni nel paramento'!$G$53)</f>
        <v>0</v>
      </c>
      <c r="F620" s="545">
        <f>-'Foglio deposito bis'!$F$49*(C620-sezione!$AM$29)*IF(ABS(L620)&lt;'Sollecitazioni nel paramento'!$G$58,ABS(L620)*'Sollecitazioni nel paramento'!$G$54,'Sollecitazioni nel paramento'!$G$53)</f>
        <v>3054714.790498184</v>
      </c>
      <c r="G620" s="545">
        <f>-'Foglio deposito bis'!$F$50*(C620-sezione!$AN$29)*IF(ABS(M620)&lt;'Sollecitazioni nel paramento'!$G$58,ABS(M620)*'Sollecitazioni nel paramento'!$G$54,'Sollecitazioni nel paramento'!$G$53)</f>
        <v>0</v>
      </c>
      <c r="H620" s="545">
        <f>-'Foglio deposito bis'!$F$51*(C620-sezione!$AO$29)*IF(ABS(N620)&lt;'Sollecitazioni nel paramento'!$G$58,ABS(N620)*'Sollecitazioni nel paramento'!$G$54,'Sollecitazioni nel paramento'!$G$53)</f>
        <v>28517601.843065143</v>
      </c>
      <c r="I620" s="472">
        <f>-'Foglio deposito bis'!$F$52*(C620-sezione!$AP$29)*IF(ABS(O620)&lt;'Sollecitazioni nel paramento'!$G$58,ABS(O620)*'Sollecitazioni nel paramento'!$G$54,'Sollecitazioni nel paramento'!$G$53)</f>
        <v>67563668.172178954</v>
      </c>
      <c r="J620" s="472">
        <f t="shared" si="42"/>
        <v>60552936.391584776</v>
      </c>
      <c r="K620" s="550">
        <f>'Sollecitazioni nel paramento'!$G$60*(sezione!$AL$29-C620)/C620</f>
        <v>-1.3812486365892811E-4</v>
      </c>
      <c r="L620" s="550">
        <f>'Sollecitazioni nel paramento'!$G$60*(sezione!$AM$29-C620)/C620</f>
        <v>1.5428127045116079E-3</v>
      </c>
      <c r="M620" s="551">
        <f>'Sollecitazioni nel paramento'!$G$60*(sezione!$AN$29-C620)/C620</f>
        <v>3.2237502726821438E-3</v>
      </c>
      <c r="N620" s="551">
        <f>'Sollecitazioni nel paramento'!$G$60*(sezione!$AO$29-C620)/C620</f>
        <v>9.9475005453642865E-3</v>
      </c>
      <c r="O620" s="551">
        <f>'Sollecitazioni nel paramento'!$G$60*(sezione!$AP$29-C620)/C620</f>
        <v>2.3567536628364822E-2</v>
      </c>
      <c r="P620" s="545">
        <f>-'Sollecitazioni nel paramento'!$G$47*'Sollecitazioni nel paramento'!$G$41*IF(DATI!$G$211="dx",DATI!$E$61,DATI!$E$64*DATI!$E$63)*1000*C620*sezione!$AD$5</f>
        <v>-1586489.6177568482</v>
      </c>
      <c r="Q620" s="545">
        <f>'Foglio deposito bis'!$F$48*IF(ABS(K620)&lt;'Sollecitazioni nel paramento'!$G$58,ABS(K620)*'Sollecitazioni nel paramento'!$G$54,'Sollecitazioni nel paramento'!$G$53)*IF(K620&lt;0,-1,1)</f>
        <v>0</v>
      </c>
      <c r="R620" s="545">
        <f>'Foglio deposito bis'!$F$49*IF(ABS(L620)&lt;'Sollecitazioni nel paramento'!$G$58,ABS(L620)*'Sollecitazioni nel paramento'!$G$54,'Sollecitazioni nel paramento'!$G$53)*IF(L620&lt;0,-1,1)</f>
        <v>166409.85767031426</v>
      </c>
      <c r="S620" s="545">
        <f>'Foglio deposito bis'!$F$50*IF(ABS(M620)&lt;'Sollecitazioni nel paramento'!$G$58,ABS(M620)*'Sollecitazioni nel paramento'!$G$54,'Sollecitazioni nel paramento'!$G$53)*IF(M620&lt;0,-1,1)</f>
        <v>0</v>
      </c>
      <c r="T620" s="545">
        <f>'Foglio deposito bis'!$F$51*IF(ABS(N620)&lt;'Sollecitazioni nel paramento'!$G$58,ABS(N620)*'Sollecitazioni nel paramento'!$G$54,'Sollecitazioni nel paramento'!$G$53)*IF(N620&lt;0,-1,1)</f>
        <v>240946.49743184328</v>
      </c>
      <c r="U620" s="545">
        <f>'Foglio deposito bis'!$F$52*IF(ABS(O620)&lt;'Sollecitazioni nel paramento'!$G$58,ABS(O620)*'Sollecitazioni nel paramento'!$G$54,'Sollecitazioni nel paramento'!$G$53)*IF(O620&lt;0,-1,1)</f>
        <v>240946.49743184328</v>
      </c>
      <c r="V620" s="472">
        <f t="shared" si="43"/>
        <v>-938186.76522284746</v>
      </c>
      <c r="W620" s="551"/>
      <c r="X620" s="551"/>
    </row>
    <row r="621" spans="1:24" x14ac:dyDescent="0.25">
      <c r="A621" s="545">
        <f t="shared" si="44"/>
        <v>988019.94591503497</v>
      </c>
      <c r="B621" s="3">
        <f t="shared" si="46"/>
        <v>8.6999999999999904</v>
      </c>
      <c r="C621" s="545">
        <f>'Foglio deposito bis'!$E$155/sezione!$B$247*B621</f>
        <v>42.623271786058751</v>
      </c>
      <c r="D621" s="603">
        <f>-'Sollecitazioni nel paramento'!$G$47*'Sollecitazioni nel paramento'!$G$41*IF(DATI!$G$211="dx",DATI!$E$61,DATI!$E$64*DATI!$E$63)*1000*C621^2*sezione!$AD$5*(1-sezione!$AD$6)</f>
        <v>-40420082.137959599</v>
      </c>
      <c r="E621" s="545">
        <f>-'Foglio deposito bis'!$F$48*(C621-sezione!$AL$29)*IF(ABS(K621)&lt;'Sollecitazioni nel paramento'!$G$58,ABS(K621)*'Sollecitazioni nel paramento'!$G$54,'Sollecitazioni nel paramento'!$G$53)</f>
        <v>0</v>
      </c>
      <c r="F621" s="545">
        <f>-'Foglio deposito bis'!$F$49*(C621-sezione!$AM$29)*IF(ABS(L621)&lt;'Sollecitazioni nel paramento'!$G$58,ABS(L621)*'Sollecitazioni nel paramento'!$G$54,'Sollecitazioni nel paramento'!$G$53)</f>
        <v>2674380.0296274507</v>
      </c>
      <c r="G621" s="545">
        <f>-'Foglio deposito bis'!$F$50*(C621-sezione!$AN$29)*IF(ABS(M621)&lt;'Sollecitazioni nel paramento'!$G$58,ABS(M621)*'Sollecitazioni nel paramento'!$G$54,'Sollecitazioni nel paramento'!$G$53)</f>
        <v>0</v>
      </c>
      <c r="H621" s="545">
        <f>-'Foglio deposito bis'!$F$51*(C621-sezione!$AO$29)*IF(ABS(N621)&lt;'Sollecitazioni nel paramento'!$G$58,ABS(N621)*'Sollecitazioni nel paramento'!$G$54,'Sollecitazioni nel paramento'!$G$53)</f>
        <v>28281511.543158561</v>
      </c>
      <c r="I621" s="472">
        <f>-'Foglio deposito bis'!$F$52*(C621-sezione!$AP$29)*IF(ABS(O621)&lt;'Sollecitazioni nel paramento'!$G$58,ABS(O621)*'Sollecitazioni nel paramento'!$G$54,'Sollecitazioni nel paramento'!$G$53)</f>
        <v>67327577.872272372</v>
      </c>
      <c r="J621" s="472">
        <f t="shared" si="42"/>
        <v>57863387.307098784</v>
      </c>
      <c r="K621" s="550">
        <f>'Sollecitazioni nel paramento'!$G$60*(sezione!$AL$29-C621)/C621</f>
        <v>-2.1540934955182641E-4</v>
      </c>
      <c r="L621" s="550">
        <f>'Sollecitazioni nel paramento'!$G$60*(sezione!$AM$29-C621)/C621</f>
        <v>1.4268859756722606E-3</v>
      </c>
      <c r="M621" s="551">
        <f>'Sollecitazioni nel paramento'!$G$60*(sezione!$AN$29-C621)/C621</f>
        <v>3.0691813008963472E-3</v>
      </c>
      <c r="N621" s="551">
        <f>'Sollecitazioni nel paramento'!$G$60*(sezione!$AO$29-C621)/C621</f>
        <v>9.6383626017926948E-3</v>
      </c>
      <c r="O621" s="551">
        <f>'Sollecitazioni nel paramento'!$G$60*(sezione!$AP$29-C621)/C621</f>
        <v>2.2945294407023101E-2</v>
      </c>
      <c r="P621" s="545">
        <f>-'Sollecitazioni nel paramento'!$G$47*'Sollecitazioni nel paramento'!$G$41*IF(DATI!$G$211="dx",DATI!$E$61,DATI!$E$64*DATI!$E$63)*1000*C621*sezione!$AD$5</f>
        <v>-1623818.7852334799</v>
      </c>
      <c r="Q621" s="545">
        <f>'Foglio deposito bis'!$F$48*IF(ABS(K621)&lt;'Sollecitazioni nel paramento'!$G$58,ABS(K621)*'Sollecitazioni nel paramento'!$G$54,'Sollecitazioni nel paramento'!$G$53)*IF(K621&lt;0,-1,1)</f>
        <v>0</v>
      </c>
      <c r="R621" s="545">
        <f>'Foglio deposito bis'!$F$49*IF(ABS(L621)&lt;'Sollecitazioni nel paramento'!$G$58,ABS(L621)*'Sollecitazioni nel paramento'!$G$54,'Sollecitazioni nel paramento'!$G$53)*IF(L621&lt;0,-1,1)</f>
        <v>153905.84445475822</v>
      </c>
      <c r="S621" s="545">
        <f>'Foglio deposito bis'!$F$50*IF(ABS(M621)&lt;'Sollecitazioni nel paramento'!$G$58,ABS(M621)*'Sollecitazioni nel paramento'!$G$54,'Sollecitazioni nel paramento'!$G$53)*IF(M621&lt;0,-1,1)</f>
        <v>0</v>
      </c>
      <c r="T621" s="545">
        <f>'Foglio deposito bis'!$F$51*IF(ABS(N621)&lt;'Sollecitazioni nel paramento'!$G$58,ABS(N621)*'Sollecitazioni nel paramento'!$G$54,'Sollecitazioni nel paramento'!$G$53)*IF(N621&lt;0,-1,1)</f>
        <v>240946.49743184328</v>
      </c>
      <c r="U621" s="545">
        <f>'Foglio deposito bis'!$F$52*IF(ABS(O621)&lt;'Sollecitazioni nel paramento'!$G$58,ABS(O621)*'Sollecitazioni nel paramento'!$G$54,'Sollecitazioni nel paramento'!$G$53)*IF(O621&lt;0,-1,1)</f>
        <v>240946.49743184328</v>
      </c>
      <c r="V621" s="472">
        <f t="shared" si="43"/>
        <v>-988019.94591503497</v>
      </c>
      <c r="W621" s="551"/>
      <c r="X621" s="551"/>
    </row>
    <row r="622" spans="1:24" x14ac:dyDescent="0.25">
      <c r="A622" s="545">
        <f t="shared" si="44"/>
        <v>1037291.1484851751</v>
      </c>
      <c r="B622" s="3">
        <f t="shared" si="46"/>
        <v>8.8999999999999897</v>
      </c>
      <c r="C622" s="545">
        <f>'Foglio deposito bis'!$E$155/sezione!$B$247*B622</f>
        <v>43.603117114473889</v>
      </c>
      <c r="D622" s="603">
        <f>-'Sollecitazioni nel paramento'!$G$47*'Sollecitazioni nel paramento'!$G$41*IF(DATI!$G$211="dx",DATI!$E$61,DATI!$E$64*DATI!$E$63)*1000*C622^2*sezione!$AD$5*(1-sezione!$AD$6)</f>
        <v>-42299837.576268725</v>
      </c>
      <c r="E622" s="545">
        <f>-'Foglio deposito bis'!$F$48*(C622-sezione!$AL$29)*IF(ABS(K622)&lt;'Sollecitazioni nel paramento'!$G$58,ABS(K622)*'Sollecitazioni nel paramento'!$G$54,'Sollecitazioni nel paramento'!$G$53)</f>
        <v>0</v>
      </c>
      <c r="F622" s="545">
        <f>-'Foglio deposito bis'!$F$49*(C622-sezione!$AM$29)*IF(ABS(L622)&lt;'Sollecitazioni nel paramento'!$G$58,ABS(L622)*'Sollecitazioni nel paramento'!$G$54,'Sollecitazioni nel paramento'!$G$53)</f>
        <v>2327763.9560795659</v>
      </c>
      <c r="G622" s="545">
        <f>-'Foglio deposito bis'!$F$50*(C622-sezione!$AN$29)*IF(ABS(M622)&lt;'Sollecitazioni nel paramento'!$G$58,ABS(M622)*'Sollecitazioni nel paramento'!$G$54,'Sollecitazioni nel paramento'!$G$53)</f>
        <v>0</v>
      </c>
      <c r="H622" s="545">
        <f>-'Foglio deposito bis'!$F$51*(C622-sezione!$AO$29)*IF(ABS(N622)&lt;'Sollecitazioni nel paramento'!$G$58,ABS(N622)*'Sollecitazioni nel paramento'!$G$54,'Sollecitazioni nel paramento'!$G$53)</f>
        <v>28045421.243251976</v>
      </c>
      <c r="I622" s="472">
        <f>-'Foglio deposito bis'!$F$52*(C622-sezione!$AP$29)*IF(ABS(O622)&lt;'Sollecitazioni nel paramento'!$G$58,ABS(O622)*'Sollecitazioni nel paramento'!$G$54,'Sollecitazioni nel paramento'!$G$53)</f>
        <v>67091487.572365791</v>
      </c>
      <c r="J622" s="472">
        <f t="shared" si="42"/>
        <v>55164835.19542861</v>
      </c>
      <c r="K622" s="550">
        <f>'Sollecitazioni nel paramento'!$G$60*(sezione!$AL$29-C622)/C622</f>
        <v>-2.8922037540459394E-4</v>
      </c>
      <c r="L622" s="550">
        <f>'Sollecitazioni nel paramento'!$G$60*(sezione!$AM$29-C622)/C622</f>
        <v>1.316169436893109E-3</v>
      </c>
      <c r="M622" s="551">
        <f>'Sollecitazioni nel paramento'!$G$60*(sezione!$AN$29-C622)/C622</f>
        <v>2.9215592491908119E-3</v>
      </c>
      <c r="N622" s="551">
        <f>'Sollecitazioni nel paramento'!$G$60*(sezione!$AO$29-C622)/C622</f>
        <v>9.3431184983816234E-3</v>
      </c>
      <c r="O622" s="551">
        <f>'Sollecitazioni nel paramento'!$G$60*(sezione!$AP$29-C622)/C622</f>
        <v>2.2351018128213596E-2</v>
      </c>
      <c r="P622" s="545">
        <f>-'Sollecitazioni nel paramento'!$G$47*'Sollecitazioni nel paramento'!$G$41*IF(DATI!$G$211="dx",DATI!$E$61,DATI!$E$64*DATI!$E$63)*1000*C622*sezione!$AD$5</f>
        <v>-1661147.9527101114</v>
      </c>
      <c r="Q622" s="545">
        <f>'Foglio deposito bis'!$F$48*IF(ABS(K622)&lt;'Sollecitazioni nel paramento'!$G$58,ABS(K622)*'Sollecitazioni nel paramento'!$G$54,'Sollecitazioni nel paramento'!$G$53)*IF(K622&lt;0,-1,1)</f>
        <v>0</v>
      </c>
      <c r="R622" s="545">
        <f>'Foglio deposito bis'!$F$49*IF(ABS(L622)&lt;'Sollecitazioni nel paramento'!$G$58,ABS(L622)*'Sollecitazioni nel paramento'!$G$54,'Sollecitazioni nel paramento'!$G$53)*IF(L622&lt;0,-1,1)</f>
        <v>141963.80936124967</v>
      </c>
      <c r="S622" s="545">
        <f>'Foglio deposito bis'!$F$50*IF(ABS(M622)&lt;'Sollecitazioni nel paramento'!$G$58,ABS(M622)*'Sollecitazioni nel paramento'!$G$54,'Sollecitazioni nel paramento'!$G$53)*IF(M622&lt;0,-1,1)</f>
        <v>0</v>
      </c>
      <c r="T622" s="545">
        <f>'Foglio deposito bis'!$F$51*IF(ABS(N622)&lt;'Sollecitazioni nel paramento'!$G$58,ABS(N622)*'Sollecitazioni nel paramento'!$G$54,'Sollecitazioni nel paramento'!$G$53)*IF(N622&lt;0,-1,1)</f>
        <v>240946.49743184328</v>
      </c>
      <c r="U622" s="545">
        <f>'Foglio deposito bis'!$F$52*IF(ABS(O622)&lt;'Sollecitazioni nel paramento'!$G$58,ABS(O622)*'Sollecitazioni nel paramento'!$G$54,'Sollecitazioni nel paramento'!$G$53)*IF(O622&lt;0,-1,1)</f>
        <v>240946.49743184328</v>
      </c>
      <c r="V622" s="472">
        <f t="shared" si="43"/>
        <v>-1037291.1484851751</v>
      </c>
      <c r="W622" s="551"/>
      <c r="X622" s="551"/>
    </row>
    <row r="623" spans="1:24" x14ac:dyDescent="0.25">
      <c r="A623" s="545">
        <f t="shared" si="44"/>
        <v>1086037.4264358205</v>
      </c>
      <c r="B623" s="3">
        <f t="shared" si="46"/>
        <v>9.099999999999989</v>
      </c>
      <c r="C623" s="545">
        <f>'Foglio deposito bis'!$E$155/sezione!$B$247*B623</f>
        <v>44.582962442889034</v>
      </c>
      <c r="D623" s="603">
        <f>-'Sollecitazioni nel paramento'!$G$47*'Sollecitazioni nel paramento'!$G$41*IF(DATI!$G$211="dx",DATI!$E$61,DATI!$E$64*DATI!$E$63)*1000*C623^2*sezione!$AD$5*(1-sezione!$AD$6)</f>
        <v>-44222314.729084872</v>
      </c>
      <c r="E623" s="545">
        <f>-'Foglio deposito bis'!$F$48*(C623-sezione!$AL$29)*IF(ABS(K623)&lt;'Sollecitazioni nel paramento'!$G$58,ABS(K623)*'Sollecitazioni nel paramento'!$G$54,'Sollecitazioni nel paramento'!$G$53)</f>
        <v>0</v>
      </c>
      <c r="F623" s="545">
        <f>-'Foglio deposito bis'!$F$49*(C623-sezione!$AM$29)*IF(ABS(L623)&lt;'Sollecitazioni nel paramento'!$G$58,ABS(L623)*'Sollecitazioni nel paramento'!$G$54,'Sollecitazioni nel paramento'!$G$53)</f>
        <v>2012643.3597013734</v>
      </c>
      <c r="G623" s="545">
        <f>-'Foglio deposito bis'!$F$50*(C623-sezione!$AN$29)*IF(ABS(M623)&lt;'Sollecitazioni nel paramento'!$G$58,ABS(M623)*'Sollecitazioni nel paramento'!$G$54,'Sollecitazioni nel paramento'!$G$53)</f>
        <v>0</v>
      </c>
      <c r="H623" s="545">
        <f>-'Foglio deposito bis'!$F$51*(C623-sezione!$AO$29)*IF(ABS(N623)&lt;'Sollecitazioni nel paramento'!$G$58,ABS(N623)*'Sollecitazioni nel paramento'!$G$54,'Sollecitazioni nel paramento'!$G$53)</f>
        <v>27809330.943345401</v>
      </c>
      <c r="I623" s="472">
        <f>-'Foglio deposito bis'!$F$52*(C623-sezione!$AP$29)*IF(ABS(O623)&lt;'Sollecitazioni nel paramento'!$G$58,ABS(O623)*'Sollecitazioni nel paramento'!$G$54,'Sollecitazioni nel paramento'!$G$53)</f>
        <v>66855397.272459216</v>
      </c>
      <c r="J623" s="472">
        <f t="shared" si="42"/>
        <v>52455056.846421123</v>
      </c>
      <c r="K623" s="550">
        <f>'Sollecitazioni nel paramento'!$G$60*(sezione!$AL$29-C623)/C623</f>
        <v>-3.59786960560537E-4</v>
      </c>
      <c r="L623" s="550">
        <f>'Sollecitazioni nel paramento'!$G$60*(sezione!$AM$29-C623)/C623</f>
        <v>1.2103195591591945E-3</v>
      </c>
      <c r="M623" s="551">
        <f>'Sollecitazioni nel paramento'!$G$60*(sezione!$AN$29-C623)/C623</f>
        <v>2.7804260788789259E-3</v>
      </c>
      <c r="N623" s="551">
        <f>'Sollecitazioni nel paramento'!$G$60*(sezione!$AO$29-C623)/C623</f>
        <v>9.0608521577578514E-3</v>
      </c>
      <c r="O623" s="551">
        <f>'Sollecitazioni nel paramento'!$G$60*(sezione!$AP$29-C623)/C623</f>
        <v>2.1782863883637475E-2</v>
      </c>
      <c r="P623" s="545">
        <f>-'Sollecitazioni nel paramento'!$G$47*'Sollecitazioni nel paramento'!$G$41*IF(DATI!$G$211="dx",DATI!$E$61,DATI!$E$64*DATI!$E$63)*1000*C623*sezione!$AD$5</f>
        <v>-1698477.1201867431</v>
      </c>
      <c r="Q623" s="545">
        <f>'Foglio deposito bis'!$F$48*IF(ABS(K623)&lt;'Sollecitazioni nel paramento'!$G$58,ABS(K623)*'Sollecitazioni nel paramento'!$G$54,'Sollecitazioni nel paramento'!$G$53)*IF(K623&lt;0,-1,1)</f>
        <v>0</v>
      </c>
      <c r="R623" s="545">
        <f>'Foglio deposito bis'!$F$49*IF(ABS(L623)&lt;'Sollecitazioni nel paramento'!$G$58,ABS(L623)*'Sollecitazioni nel paramento'!$G$54,'Sollecitazioni nel paramento'!$G$53)*IF(L623&lt;0,-1,1)</f>
        <v>130546.69888723598</v>
      </c>
      <c r="S623" s="545">
        <f>'Foglio deposito bis'!$F$50*IF(ABS(M623)&lt;'Sollecitazioni nel paramento'!$G$58,ABS(M623)*'Sollecitazioni nel paramento'!$G$54,'Sollecitazioni nel paramento'!$G$53)*IF(M623&lt;0,-1,1)</f>
        <v>0</v>
      </c>
      <c r="T623" s="545">
        <f>'Foglio deposito bis'!$F$51*IF(ABS(N623)&lt;'Sollecitazioni nel paramento'!$G$58,ABS(N623)*'Sollecitazioni nel paramento'!$G$54,'Sollecitazioni nel paramento'!$G$53)*IF(N623&lt;0,-1,1)</f>
        <v>240946.49743184328</v>
      </c>
      <c r="U623" s="545">
        <f>'Foglio deposito bis'!$F$52*IF(ABS(O623)&lt;'Sollecitazioni nel paramento'!$G$58,ABS(O623)*'Sollecitazioni nel paramento'!$G$54,'Sollecitazioni nel paramento'!$G$53)*IF(O623&lt;0,-1,1)</f>
        <v>240946.49743184328</v>
      </c>
      <c r="V623" s="472">
        <f t="shared" si="43"/>
        <v>-1086037.4264358205</v>
      </c>
      <c r="W623" s="551"/>
      <c r="X623" s="551"/>
    </row>
    <row r="624" spans="1:24" x14ac:dyDescent="0.25">
      <c r="A624" s="545">
        <f t="shared" si="44"/>
        <v>1134292.6458714542</v>
      </c>
      <c r="B624" s="3">
        <f t="shared" si="46"/>
        <v>9.2999999999999883</v>
      </c>
      <c r="C624" s="545">
        <f>'Foglio deposito bis'!$E$155/sezione!$B$247*B624</f>
        <v>45.562807771304172</v>
      </c>
      <c r="D624" s="603">
        <f>-'Sollecitazioni nel paramento'!$G$47*'Sollecitazioni nel paramento'!$G$41*IF(DATI!$G$211="dx",DATI!$E$61,DATI!$E$64*DATI!$E$63)*1000*C624^2*sezione!$AD$5*(1-sezione!$AD$6)</f>
        <v>-46187513.596408047</v>
      </c>
      <c r="E624" s="545">
        <f>-'Foglio deposito bis'!$F$48*(C624-sezione!$AL$29)*IF(ABS(K624)&lt;'Sollecitazioni nel paramento'!$G$58,ABS(K624)*'Sollecitazioni nel paramento'!$G$54,'Sollecitazioni nel paramento'!$G$53)</f>
        <v>0</v>
      </c>
      <c r="F624" s="545">
        <f>-'Foglio deposito bis'!$F$49*(C624-sezione!$AM$29)*IF(ABS(L624)&lt;'Sollecitazioni nel paramento'!$G$58,ABS(L624)*'Sollecitazioni nel paramento'!$G$54,'Sollecitazioni nel paramento'!$G$53)</f>
        <v>1726986.2742238629</v>
      </c>
      <c r="G624" s="545">
        <f>-'Foglio deposito bis'!$F$50*(C624-sezione!$AN$29)*IF(ABS(M624)&lt;'Sollecitazioni nel paramento'!$G$58,ABS(M624)*'Sollecitazioni nel paramento'!$G$54,'Sollecitazioni nel paramento'!$G$53)</f>
        <v>0</v>
      </c>
      <c r="H624" s="545">
        <f>-'Foglio deposito bis'!$F$51*(C624-sezione!$AO$29)*IF(ABS(N624)&lt;'Sollecitazioni nel paramento'!$G$58,ABS(N624)*'Sollecitazioni nel paramento'!$G$54,'Sollecitazioni nel paramento'!$G$53)</f>
        <v>27573240.643438816</v>
      </c>
      <c r="I624" s="472">
        <f>-'Foglio deposito bis'!$F$52*(C624-sezione!$AP$29)*IF(ABS(O624)&lt;'Sollecitazioni nel paramento'!$G$58,ABS(O624)*'Sollecitazioni nel paramento'!$G$54,'Sollecitazioni nel paramento'!$G$53)</f>
        <v>66619306.972552635</v>
      </c>
      <c r="J624" s="472">
        <f t="shared" si="42"/>
        <v>49732020.293807268</v>
      </c>
      <c r="K624" s="550">
        <f>'Sollecitazioni nel paramento'!$G$60*(sezione!$AL$29-C624)/C624</f>
        <v>-4.2731842377428855E-4</v>
      </c>
      <c r="L624" s="550">
        <f>'Sollecitazioni nel paramento'!$G$60*(sezione!$AM$29-C624)/C624</f>
        <v>1.1090223643385672E-3</v>
      </c>
      <c r="M624" s="551">
        <f>'Sollecitazioni nel paramento'!$G$60*(sezione!$AN$29-C624)/C624</f>
        <v>2.645363152451423E-3</v>
      </c>
      <c r="N624" s="551">
        <f>'Sollecitazioni nel paramento'!$G$60*(sezione!$AO$29-C624)/C624</f>
        <v>8.7907263049028465E-3</v>
      </c>
      <c r="O624" s="551">
        <f>'Sollecitazioni nel paramento'!$G$60*(sezione!$AP$29-C624)/C624</f>
        <v>2.1239146380763553E-2</v>
      </c>
      <c r="P624" s="545">
        <f>-'Sollecitazioni nel paramento'!$G$47*'Sollecitazioni nel paramento'!$G$41*IF(DATI!$G$211="dx",DATI!$E$61,DATI!$E$64*DATI!$E$63)*1000*C624*sezione!$AD$5</f>
        <v>-1735806.2876633746</v>
      </c>
      <c r="Q624" s="545">
        <f>'Foglio deposito bis'!$F$48*IF(ABS(K624)&lt;'Sollecitazioni nel paramento'!$G$58,ABS(K624)*'Sollecitazioni nel paramento'!$G$54,'Sollecitazioni nel paramento'!$G$53)*IF(K624&lt;0,-1,1)</f>
        <v>0</v>
      </c>
      <c r="R624" s="545">
        <f>'Foglio deposito bis'!$F$49*IF(ABS(L624)&lt;'Sollecitazioni nel paramento'!$G$58,ABS(L624)*'Sollecitazioni nel paramento'!$G$54,'Sollecitazioni nel paramento'!$G$53)*IF(L624&lt;0,-1,1)</f>
        <v>119620.64692823369</v>
      </c>
      <c r="S624" s="545">
        <f>'Foglio deposito bis'!$F$50*IF(ABS(M624)&lt;'Sollecitazioni nel paramento'!$G$58,ABS(M624)*'Sollecitazioni nel paramento'!$G$54,'Sollecitazioni nel paramento'!$G$53)*IF(M624&lt;0,-1,1)</f>
        <v>0</v>
      </c>
      <c r="T624" s="545">
        <f>'Foglio deposito bis'!$F$51*IF(ABS(N624)&lt;'Sollecitazioni nel paramento'!$G$58,ABS(N624)*'Sollecitazioni nel paramento'!$G$54,'Sollecitazioni nel paramento'!$G$53)*IF(N624&lt;0,-1,1)</f>
        <v>240946.49743184328</v>
      </c>
      <c r="U624" s="545">
        <f>'Foglio deposito bis'!$F$52*IF(ABS(O624)&lt;'Sollecitazioni nel paramento'!$G$58,ABS(O624)*'Sollecitazioni nel paramento'!$G$54,'Sollecitazioni nel paramento'!$G$53)*IF(O624&lt;0,-1,1)</f>
        <v>240946.49743184328</v>
      </c>
      <c r="V624" s="472">
        <f t="shared" si="43"/>
        <v>-1134292.6458714542</v>
      </c>
      <c r="W624" s="551"/>
      <c r="X624" s="551"/>
    </row>
    <row r="625" spans="1:24" x14ac:dyDescent="0.25">
      <c r="A625" s="545">
        <f t="shared" si="44"/>
        <v>1182087.8210140779</v>
      </c>
      <c r="B625" s="3">
        <f t="shared" si="46"/>
        <v>9.4999999999999876</v>
      </c>
      <c r="C625" s="545">
        <f>'Foglio deposito bis'!$E$155/sezione!$B$247*B625</f>
        <v>46.542653099719317</v>
      </c>
      <c r="D625" s="603">
        <f>-'Sollecitazioni nel paramento'!$G$47*'Sollecitazioni nel paramento'!$G$41*IF(DATI!$G$211="dx",DATI!$E$61,DATI!$E$64*DATI!$E$63)*1000*C625^2*sezione!$AD$5*(1-sezione!$AD$6)</f>
        <v>-48195434.17823825</v>
      </c>
      <c r="E625" s="545">
        <f>-'Foglio deposito bis'!$F$48*(C625-sezione!$AL$29)*IF(ABS(K625)&lt;'Sollecitazioni nel paramento'!$G$58,ABS(K625)*'Sollecitazioni nel paramento'!$G$54,'Sollecitazioni nel paramento'!$G$53)</f>
        <v>0</v>
      </c>
      <c r="F625" s="545">
        <f>-'Foglio deposito bis'!$F$49*(C625-sezione!$AM$29)*IF(ABS(L625)&lt;'Sollecitazioni nel paramento'!$G$58,ABS(L625)*'Sollecitazioni nel paramento'!$G$54,'Sollecitazioni nel paramento'!$G$53)</f>
        <v>1468931.8463269877</v>
      </c>
      <c r="G625" s="545">
        <f>-'Foglio deposito bis'!$F$50*(C625-sezione!$AN$29)*IF(ABS(M625)&lt;'Sollecitazioni nel paramento'!$G$58,ABS(M625)*'Sollecitazioni nel paramento'!$G$54,'Sollecitazioni nel paramento'!$G$53)</f>
        <v>0</v>
      </c>
      <c r="H625" s="545">
        <f>-'Foglio deposito bis'!$F$51*(C625-sezione!$AO$29)*IF(ABS(N625)&lt;'Sollecitazioni nel paramento'!$G$58,ABS(N625)*'Sollecitazioni nel paramento'!$G$54,'Sollecitazioni nel paramento'!$G$53)</f>
        <v>27337150.343532227</v>
      </c>
      <c r="I625" s="472">
        <f>-'Foglio deposito bis'!$F$52*(C625-sezione!$AP$29)*IF(ABS(O625)&lt;'Sollecitazioni nel paramento'!$G$58,ABS(O625)*'Sollecitazioni nel paramento'!$G$54,'Sollecitazioni nel paramento'!$G$53)</f>
        <v>66383216.672646046</v>
      </c>
      <c r="J625" s="472">
        <f t="shared" si="42"/>
        <v>46993864.684267007</v>
      </c>
      <c r="K625" s="550">
        <f>'Sollecitazioni nel paramento'!$G$60*(sezione!$AL$29-C625)/C625</f>
        <v>-4.9200645695798774E-4</v>
      </c>
      <c r="L625" s="550">
        <f>'Sollecitazioni nel paramento'!$G$60*(sezione!$AM$29-C625)/C625</f>
        <v>1.0119903145630184E-3</v>
      </c>
      <c r="M625" s="551">
        <f>'Sollecitazioni nel paramento'!$G$60*(sezione!$AN$29-C625)/C625</f>
        <v>2.5159870860840244E-3</v>
      </c>
      <c r="N625" s="551">
        <f>'Sollecitazioni nel paramento'!$G$60*(sezione!$AO$29-C625)/C625</f>
        <v>8.5319741721680501E-3</v>
      </c>
      <c r="O625" s="551">
        <f>'Sollecitazioni nel paramento'!$G$60*(sezione!$AP$29-C625)/C625</f>
        <v>2.0718322246431688E-2</v>
      </c>
      <c r="P625" s="545">
        <f>-'Sollecitazioni nel paramento'!$G$47*'Sollecitazioni nel paramento'!$G$41*IF(DATI!$G$211="dx",DATI!$E$61,DATI!$E$64*DATI!$E$63)*1000*C625*sezione!$AD$5</f>
        <v>-1773135.4551400065</v>
      </c>
      <c r="Q625" s="545">
        <f>'Foglio deposito bis'!$F$48*IF(ABS(K625)&lt;'Sollecitazioni nel paramento'!$G$58,ABS(K625)*'Sollecitazioni nel paramento'!$G$54,'Sollecitazioni nel paramento'!$G$53)*IF(K625&lt;0,-1,1)</f>
        <v>0</v>
      </c>
      <c r="R625" s="545">
        <f>'Foglio deposito bis'!$F$49*IF(ABS(L625)&lt;'Sollecitazioni nel paramento'!$G$58,ABS(L625)*'Sollecitazioni nel paramento'!$G$54,'Sollecitazioni nel paramento'!$G$53)*IF(L625&lt;0,-1,1)</f>
        <v>109154.63926224195</v>
      </c>
      <c r="S625" s="545">
        <f>'Foglio deposito bis'!$F$50*IF(ABS(M625)&lt;'Sollecitazioni nel paramento'!$G$58,ABS(M625)*'Sollecitazioni nel paramento'!$G$54,'Sollecitazioni nel paramento'!$G$53)*IF(M625&lt;0,-1,1)</f>
        <v>0</v>
      </c>
      <c r="T625" s="545">
        <f>'Foglio deposito bis'!$F$51*IF(ABS(N625)&lt;'Sollecitazioni nel paramento'!$G$58,ABS(N625)*'Sollecitazioni nel paramento'!$G$54,'Sollecitazioni nel paramento'!$G$53)*IF(N625&lt;0,-1,1)</f>
        <v>240946.49743184328</v>
      </c>
      <c r="U625" s="545">
        <f>'Foglio deposito bis'!$F$52*IF(ABS(O625)&lt;'Sollecitazioni nel paramento'!$G$58,ABS(O625)*'Sollecitazioni nel paramento'!$G$54,'Sollecitazioni nel paramento'!$G$53)*IF(O625&lt;0,-1,1)</f>
        <v>240946.49743184328</v>
      </c>
      <c r="V625" s="472">
        <f t="shared" si="43"/>
        <v>-1182087.8210140779</v>
      </c>
      <c r="W625" s="551"/>
      <c r="X625" s="551"/>
    </row>
    <row r="626" spans="1:24" x14ac:dyDescent="0.25">
      <c r="A626" s="545">
        <f t="shared" si="44"/>
        <v>1229451.4082117118</v>
      </c>
      <c r="B626" s="3">
        <f t="shared" si="46"/>
        <v>9.6999999999999869</v>
      </c>
      <c r="C626" s="545">
        <f>'Foglio deposito bis'!$E$155/sezione!$B$247*B626</f>
        <v>47.522498428134455</v>
      </c>
      <c r="D626" s="603">
        <f>-'Sollecitazioni nel paramento'!$G$47*'Sollecitazioni nel paramento'!$G$41*IF(DATI!$G$211="dx",DATI!$E$61,DATI!$E$64*DATI!$E$63)*1000*C626^2*sezione!$AD$5*(1-sezione!$AD$6)</f>
        <v>-50246076.47457546</v>
      </c>
      <c r="E626" s="545">
        <f>-'Foglio deposito bis'!$F$48*(C626-sezione!$AL$29)*IF(ABS(K626)&lt;'Sollecitazioni nel paramento'!$G$58,ABS(K626)*'Sollecitazioni nel paramento'!$G$54,'Sollecitazioni nel paramento'!$G$53)</f>
        <v>0</v>
      </c>
      <c r="F626" s="545">
        <f>-'Foglio deposito bis'!$F$49*(C626-sezione!$AM$29)*IF(ABS(L626)&lt;'Sollecitazioni nel paramento'!$G$58,ABS(L626)*'Sollecitazioni nel paramento'!$G$54,'Sollecitazioni nel paramento'!$G$53)</f>
        <v>1236772.6951294751</v>
      </c>
      <c r="G626" s="545">
        <f>-'Foglio deposito bis'!$F$50*(C626-sezione!$AN$29)*IF(ABS(M626)&lt;'Sollecitazioni nel paramento'!$G$58,ABS(M626)*'Sollecitazioni nel paramento'!$G$54,'Sollecitazioni nel paramento'!$G$53)</f>
        <v>0</v>
      </c>
      <c r="H626" s="545">
        <f>-'Foglio deposito bis'!$F$51*(C626-sezione!$AO$29)*IF(ABS(N626)&lt;'Sollecitazioni nel paramento'!$G$58,ABS(N626)*'Sollecitazioni nel paramento'!$G$54,'Sollecitazioni nel paramento'!$G$53)</f>
        <v>27101060.043625649</v>
      </c>
      <c r="I626" s="472">
        <f>-'Foglio deposito bis'!$F$52*(C626-sezione!$AP$29)*IF(ABS(O626)&lt;'Sollecitazioni nel paramento'!$G$58,ABS(O626)*'Sollecitazioni nel paramento'!$G$54,'Sollecitazioni nel paramento'!$G$53)</f>
        <v>66147126.372739471</v>
      </c>
      <c r="J626" s="472">
        <f t="shared" si="42"/>
        <v>44238882.636919141</v>
      </c>
      <c r="K626" s="550">
        <f>'Sollecitazioni nel paramento'!$G$60*(sezione!$AL$29-C626)/C626</f>
        <v>-5.5402694238153413E-4</v>
      </c>
      <c r="L626" s="550">
        <f>'Sollecitazioni nel paramento'!$G$60*(sezione!$AM$29-C626)/C626</f>
        <v>9.1895958642769884E-4</v>
      </c>
      <c r="M626" s="551">
        <f>'Sollecitazioni nel paramento'!$G$60*(sezione!$AN$29-C626)/C626</f>
        <v>2.3919461152369318E-3</v>
      </c>
      <c r="N626" s="551">
        <f>'Sollecitazioni nel paramento'!$G$60*(sezione!$AO$29-C626)/C626</f>
        <v>8.2838922304738632E-3</v>
      </c>
      <c r="O626" s="551">
        <f>'Sollecitazioni nel paramento'!$G$60*(sezione!$AP$29-C626)/C626</f>
        <v>2.02189753959898E-2</v>
      </c>
      <c r="P626" s="545">
        <f>-'Sollecitazioni nel paramento'!$G$47*'Sollecitazioni nel paramento'!$G$41*IF(DATI!$G$211="dx",DATI!$E$61,DATI!$E$64*DATI!$E$63)*1000*C626*sezione!$AD$5</f>
        <v>-1810464.622616638</v>
      </c>
      <c r="Q626" s="545">
        <f>'Foglio deposito bis'!$F$48*IF(ABS(K626)&lt;'Sollecitazioni nel paramento'!$G$58,ABS(K626)*'Sollecitazioni nel paramento'!$G$54,'Sollecitazioni nel paramento'!$G$53)*IF(K626&lt;0,-1,1)</f>
        <v>0</v>
      </c>
      <c r="R626" s="545">
        <f>'Foglio deposito bis'!$F$49*IF(ABS(L626)&lt;'Sollecitazioni nel paramento'!$G$58,ABS(L626)*'Sollecitazioni nel paramento'!$G$54,'Sollecitazioni nel paramento'!$G$53)*IF(L626&lt;0,-1,1)</f>
        <v>99120.21954123961</v>
      </c>
      <c r="S626" s="545">
        <f>'Foglio deposito bis'!$F$50*IF(ABS(M626)&lt;'Sollecitazioni nel paramento'!$G$58,ABS(M626)*'Sollecitazioni nel paramento'!$G$54,'Sollecitazioni nel paramento'!$G$53)*IF(M626&lt;0,-1,1)</f>
        <v>0</v>
      </c>
      <c r="T626" s="545">
        <f>'Foglio deposito bis'!$F$51*IF(ABS(N626)&lt;'Sollecitazioni nel paramento'!$G$58,ABS(N626)*'Sollecitazioni nel paramento'!$G$54,'Sollecitazioni nel paramento'!$G$53)*IF(N626&lt;0,-1,1)</f>
        <v>240946.49743184328</v>
      </c>
      <c r="U626" s="545">
        <f>'Foglio deposito bis'!$F$52*IF(ABS(O626)&lt;'Sollecitazioni nel paramento'!$G$58,ABS(O626)*'Sollecitazioni nel paramento'!$G$54,'Sollecitazioni nel paramento'!$G$53)*IF(O626&lt;0,-1,1)</f>
        <v>240946.49743184328</v>
      </c>
      <c r="V626" s="472">
        <f t="shared" si="43"/>
        <v>-1229451.4082117118</v>
      </c>
      <c r="W626" s="551"/>
      <c r="X626" s="551"/>
    </row>
    <row r="627" spans="1:24" x14ac:dyDescent="0.25">
      <c r="A627" s="545">
        <f t="shared" si="44"/>
        <v>1276409.5643095074</v>
      </c>
      <c r="B627" s="3">
        <f t="shared" si="46"/>
        <v>9.8999999999999861</v>
      </c>
      <c r="C627" s="545">
        <f>'Foglio deposito bis'!$E$155/sezione!$B$247*B627</f>
        <v>48.5023437565496</v>
      </c>
      <c r="D627" s="603">
        <f>-'Sollecitazioni nel paramento'!$G$47*'Sollecitazioni nel paramento'!$G$41*IF(DATI!$G$211="dx",DATI!$E$61,DATI!$E$64*DATI!$E$63)*1000*C627^2*sezione!$AD$5*(1-sezione!$AD$6)</f>
        <v>-52339440.485419706</v>
      </c>
      <c r="E627" s="545">
        <f>-'Foglio deposito bis'!$F$48*(C627-sezione!$AL$29)*IF(ABS(K627)&lt;'Sollecitazioni nel paramento'!$G$58,ABS(K627)*'Sollecitazioni nel paramento'!$G$54,'Sollecitazioni nel paramento'!$G$53)</f>
        <v>0</v>
      </c>
      <c r="F627" s="545">
        <f>-'Foglio deposito bis'!$F$49*(C627-sezione!$AM$29)*IF(ABS(L627)&lt;'Sollecitazioni nel paramento'!$G$58,ABS(L627)*'Sollecitazioni nel paramento'!$G$54,'Sollecitazioni nel paramento'!$G$53)</f>
        <v>1028939.4099222699</v>
      </c>
      <c r="G627" s="545">
        <f>-'Foglio deposito bis'!$F$50*(C627-sezione!$AN$29)*IF(ABS(M627)&lt;'Sollecitazioni nel paramento'!$G$58,ABS(M627)*'Sollecitazioni nel paramento'!$G$54,'Sollecitazioni nel paramento'!$G$53)</f>
        <v>0</v>
      </c>
      <c r="H627" s="545">
        <f>-'Foglio deposito bis'!$F$51*(C627-sezione!$AO$29)*IF(ABS(N627)&lt;'Sollecitazioni nel paramento'!$G$58,ABS(N627)*'Sollecitazioni nel paramento'!$G$54,'Sollecitazioni nel paramento'!$G$53)</f>
        <v>26864969.743719064</v>
      </c>
      <c r="I627" s="472">
        <f>-'Foglio deposito bis'!$F$52*(C627-sezione!$AP$29)*IF(ABS(O627)&lt;'Sollecitazioni nel paramento'!$G$58,ABS(O627)*'Sollecitazioni nel paramento'!$G$54,'Sollecitazioni nel paramento'!$G$53)</f>
        <v>65911036.072832882</v>
      </c>
      <c r="J627" s="472">
        <f t="shared" si="42"/>
        <v>41465504.741054513</v>
      </c>
      <c r="K627" s="550">
        <f>'Sollecitazioni nel paramento'!$G$60*(sezione!$AL$29-C627)/C627</f>
        <v>-6.1354154960614965E-4</v>
      </c>
      <c r="L627" s="550">
        <f>'Sollecitazioni nel paramento'!$G$60*(sezione!$AM$29-C627)/C627</f>
        <v>8.2968767559077545E-4</v>
      </c>
      <c r="M627" s="551">
        <f>'Sollecitazioni nel paramento'!$G$60*(sezione!$AN$29-C627)/C627</f>
        <v>2.2729169007877008E-3</v>
      </c>
      <c r="N627" s="551">
        <f>'Sollecitazioni nel paramento'!$G$60*(sezione!$AO$29-C627)/C627</f>
        <v>8.0458338015754003E-3</v>
      </c>
      <c r="O627" s="551">
        <f>'Sollecitazioni nel paramento'!$G$60*(sezione!$AP$29-C627)/C627</f>
        <v>1.9739804175868795E-2</v>
      </c>
      <c r="P627" s="545">
        <f>-'Sollecitazioni nel paramento'!$G$47*'Sollecitazioni nel paramento'!$G$41*IF(DATI!$G$211="dx",DATI!$E$61,DATI!$E$64*DATI!$E$63)*1000*C627*sezione!$AD$5</f>
        <v>-1847793.7900932697</v>
      </c>
      <c r="Q627" s="545">
        <f>'Foglio deposito bis'!$F$48*IF(ABS(K627)&lt;'Sollecitazioni nel paramento'!$G$58,ABS(K627)*'Sollecitazioni nel paramento'!$G$54,'Sollecitazioni nel paramento'!$G$53)*IF(K627&lt;0,-1,1)</f>
        <v>0</v>
      </c>
      <c r="R627" s="545">
        <f>'Foglio deposito bis'!$F$49*IF(ABS(L627)&lt;'Sollecitazioni nel paramento'!$G$58,ABS(L627)*'Sollecitazioni nel paramento'!$G$54,'Sollecitazioni nel paramento'!$G$53)*IF(L627&lt;0,-1,1)</f>
        <v>89491.230920075701</v>
      </c>
      <c r="S627" s="545">
        <f>'Foglio deposito bis'!$F$50*IF(ABS(M627)&lt;'Sollecitazioni nel paramento'!$G$58,ABS(M627)*'Sollecitazioni nel paramento'!$G$54,'Sollecitazioni nel paramento'!$G$53)*IF(M627&lt;0,-1,1)</f>
        <v>0</v>
      </c>
      <c r="T627" s="545">
        <f>'Foglio deposito bis'!$F$51*IF(ABS(N627)&lt;'Sollecitazioni nel paramento'!$G$58,ABS(N627)*'Sollecitazioni nel paramento'!$G$54,'Sollecitazioni nel paramento'!$G$53)*IF(N627&lt;0,-1,1)</f>
        <v>240946.49743184328</v>
      </c>
      <c r="U627" s="545">
        <f>'Foglio deposito bis'!$F$52*IF(ABS(O627)&lt;'Sollecitazioni nel paramento'!$G$58,ABS(O627)*'Sollecitazioni nel paramento'!$G$54,'Sollecitazioni nel paramento'!$G$53)*IF(O627&lt;0,-1,1)</f>
        <v>240946.49743184328</v>
      </c>
      <c r="V627" s="472">
        <f t="shared" si="43"/>
        <v>-1276409.5643095074</v>
      </c>
      <c r="W627" s="551"/>
      <c r="X627" s="551"/>
    </row>
    <row r="628" spans="1:24" x14ac:dyDescent="0.25">
      <c r="A628" s="545">
        <f t="shared" si="44"/>
        <v>1322986.3743232961</v>
      </c>
      <c r="B628" s="3">
        <f t="shared" si="46"/>
        <v>10.099999999999985</v>
      </c>
      <c r="C628" s="545">
        <f>'Foglio deposito bis'!$E$155/sezione!$B$247*B628</f>
        <v>49.482189084964737</v>
      </c>
      <c r="D628" s="603">
        <f>-'Sollecitazioni nel paramento'!$G$47*'Sollecitazioni nel paramento'!$G$41*IF(DATI!$G$211="dx",DATI!$E$61,DATI!$E$64*DATI!$E$63)*1000*C628^2*sezione!$AD$5*(1-sezione!$AD$6)</f>
        <v>-54475526.210770987</v>
      </c>
      <c r="E628" s="545">
        <f>-'Foglio deposito bis'!$F$48*(C628-sezione!$AL$29)*IF(ABS(K628)&lt;'Sollecitazioni nel paramento'!$G$58,ABS(K628)*'Sollecitazioni nel paramento'!$G$54,'Sollecitazioni nel paramento'!$G$53)</f>
        <v>0</v>
      </c>
      <c r="F628" s="545">
        <f>-'Foglio deposito bis'!$F$49*(C628-sezione!$AM$29)*IF(ABS(L628)&lt;'Sollecitazioni nel paramento'!$G$58,ABS(L628)*'Sollecitazioni nel paramento'!$G$54,'Sollecitazioni nel paramento'!$G$53)</f>
        <v>843986.88975545543</v>
      </c>
      <c r="G628" s="545">
        <f>-'Foglio deposito bis'!$F$50*(C628-sezione!$AN$29)*IF(ABS(M628)&lt;'Sollecitazioni nel paramento'!$G$58,ABS(M628)*'Sollecitazioni nel paramento'!$G$54,'Sollecitazioni nel paramento'!$G$53)</f>
        <v>0</v>
      </c>
      <c r="H628" s="545">
        <f>-'Foglio deposito bis'!$F$51*(C628-sezione!$AO$29)*IF(ABS(N628)&lt;'Sollecitazioni nel paramento'!$G$58,ABS(N628)*'Sollecitazioni nel paramento'!$G$54,'Sollecitazioni nel paramento'!$G$53)</f>
        <v>26628879.443812486</v>
      </c>
      <c r="I628" s="472">
        <f>-'Foglio deposito bis'!$F$52*(C628-sezione!$AP$29)*IF(ABS(O628)&lt;'Sollecitazioni nel paramento'!$G$58,ABS(O628)*'Sollecitazioni nel paramento'!$G$54,'Sollecitazioni nel paramento'!$G$53)</f>
        <v>65674945.772926301</v>
      </c>
      <c r="J628" s="472">
        <f t="shared" si="42"/>
        <v>38672285.895723253</v>
      </c>
      <c r="K628" s="550">
        <f>'Sollecitazioni nel paramento'!$G$60*(sezione!$AL$29-C628)/C628</f>
        <v>-6.7069914268325526E-4</v>
      </c>
      <c r="L628" s="550">
        <f>'Sollecitazioni nel paramento'!$G$60*(sezione!$AM$29-C628)/C628</f>
        <v>7.4395128597511703E-4</v>
      </c>
      <c r="M628" s="551">
        <f>'Sollecitazioni nel paramento'!$G$60*(sezione!$AN$29-C628)/C628</f>
        <v>2.1586017146334895E-3</v>
      </c>
      <c r="N628" s="551">
        <f>'Sollecitazioni nel paramento'!$G$60*(sezione!$AO$29-C628)/C628</f>
        <v>7.8172034292669779E-3</v>
      </c>
      <c r="O628" s="551">
        <f>'Sollecitazioni nel paramento'!$G$60*(sezione!$AP$29-C628)/C628</f>
        <v>1.9279610033772383E-2</v>
      </c>
      <c r="P628" s="545">
        <f>-'Sollecitazioni nel paramento'!$G$47*'Sollecitazioni nel paramento'!$G$41*IF(DATI!$G$211="dx",DATI!$E$61,DATI!$E$64*DATI!$E$63)*1000*C628*sezione!$AD$5</f>
        <v>-1885122.9575699011</v>
      </c>
      <c r="Q628" s="545">
        <f>'Foglio deposito bis'!$F$48*IF(ABS(K628)&lt;'Sollecitazioni nel paramento'!$G$58,ABS(K628)*'Sollecitazioni nel paramento'!$G$54,'Sollecitazioni nel paramento'!$G$53)*IF(K628&lt;0,-1,1)</f>
        <v>0</v>
      </c>
      <c r="R628" s="545">
        <f>'Foglio deposito bis'!$F$49*IF(ABS(L628)&lt;'Sollecitazioni nel paramento'!$G$58,ABS(L628)*'Sollecitazioni nel paramento'!$G$54,'Sollecitazioni nel paramento'!$G$53)*IF(L628&lt;0,-1,1)</f>
        <v>80243.588382918344</v>
      </c>
      <c r="S628" s="545">
        <f>'Foglio deposito bis'!$F$50*IF(ABS(M628)&lt;'Sollecitazioni nel paramento'!$G$58,ABS(M628)*'Sollecitazioni nel paramento'!$G$54,'Sollecitazioni nel paramento'!$G$53)*IF(M628&lt;0,-1,1)</f>
        <v>0</v>
      </c>
      <c r="T628" s="545">
        <f>'Foglio deposito bis'!$F$51*IF(ABS(N628)&lt;'Sollecitazioni nel paramento'!$G$58,ABS(N628)*'Sollecitazioni nel paramento'!$G$54,'Sollecitazioni nel paramento'!$G$53)*IF(N628&lt;0,-1,1)</f>
        <v>240946.49743184328</v>
      </c>
      <c r="U628" s="545">
        <f>'Foglio deposito bis'!$F$52*IF(ABS(O628)&lt;'Sollecitazioni nel paramento'!$G$58,ABS(O628)*'Sollecitazioni nel paramento'!$G$54,'Sollecitazioni nel paramento'!$G$53)*IF(O628&lt;0,-1,1)</f>
        <v>240946.49743184328</v>
      </c>
      <c r="V628" s="472">
        <f t="shared" si="43"/>
        <v>-1322986.3743232961</v>
      </c>
      <c r="W628" s="551"/>
      <c r="X628" s="551"/>
    </row>
    <row r="629" spans="1:24" x14ac:dyDescent="0.25">
      <c r="A629" s="545">
        <f t="shared" si="44"/>
        <v>1369204.0525880698</v>
      </c>
      <c r="B629" s="3">
        <f t="shared" si="46"/>
        <v>10.299999999999985</v>
      </c>
      <c r="C629" s="545">
        <f>'Foglio deposito bis'!$E$155/sezione!$B$247*B629</f>
        <v>50.462034413379882</v>
      </c>
      <c r="D629" s="603">
        <f>-'Sollecitazioni nel paramento'!$G$47*'Sollecitazioni nel paramento'!$G$41*IF(DATI!$G$211="dx",DATI!$E$61,DATI!$E$64*DATI!$E$63)*1000*C629^2*sezione!$AD$5*(1-sezione!$AD$6)</f>
        <v>-56654333.650629289</v>
      </c>
      <c r="E629" s="545">
        <f>-'Foglio deposito bis'!$F$48*(C629-sezione!$AL$29)*IF(ABS(K629)&lt;'Sollecitazioni nel paramento'!$G$58,ABS(K629)*'Sollecitazioni nel paramento'!$G$54,'Sollecitazioni nel paramento'!$G$53)</f>
        <v>0</v>
      </c>
      <c r="F629" s="545">
        <f>-'Foglio deposito bis'!$F$49*(C629-sezione!$AM$29)*IF(ABS(L629)&lt;'Sollecitazioni nel paramento'!$G$58,ABS(L629)*'Sollecitazioni nel paramento'!$G$54,'Sollecitazioni nel paramento'!$G$53)</f>
        <v>680582.27452958887</v>
      </c>
      <c r="G629" s="545">
        <f>-'Foglio deposito bis'!$F$50*(C629-sezione!$AN$29)*IF(ABS(M629)&lt;'Sollecitazioni nel paramento'!$G$58,ABS(M629)*'Sollecitazioni nel paramento'!$G$54,'Sollecitazioni nel paramento'!$G$53)</f>
        <v>0</v>
      </c>
      <c r="H629" s="545">
        <f>-'Foglio deposito bis'!$F$51*(C629-sezione!$AO$29)*IF(ABS(N629)&lt;'Sollecitazioni nel paramento'!$G$58,ABS(N629)*'Sollecitazioni nel paramento'!$G$54,'Sollecitazioni nel paramento'!$G$53)</f>
        <v>26392789.1439059</v>
      </c>
      <c r="I629" s="472">
        <f>-'Foglio deposito bis'!$F$52*(C629-sezione!$AP$29)*IF(ABS(O629)&lt;'Sollecitazioni nel paramento'!$G$58,ABS(O629)*'Sollecitazioni nel paramento'!$G$54,'Sollecitazioni nel paramento'!$G$53)</f>
        <v>65438855.473019727</v>
      </c>
      <c r="J629" s="472">
        <f t="shared" ref="J629:J692" si="47">D629+E629+F629+G629+H629+I629</f>
        <v>35857893.240825929</v>
      </c>
      <c r="K629" s="550">
        <f>'Sollecitazioni nel paramento'!$G$60*(sezione!$AL$29-C629)/C629</f>
        <v>-7.2563702340785238E-4</v>
      </c>
      <c r="L629" s="550">
        <f>'Sollecitazioni nel paramento'!$G$60*(sezione!$AM$29-C629)/C629</f>
        <v>6.6154446488822147E-4</v>
      </c>
      <c r="M629" s="551">
        <f>'Sollecitazioni nel paramento'!$G$60*(sezione!$AN$29-C629)/C629</f>
        <v>2.0487259531842953E-3</v>
      </c>
      <c r="N629" s="551">
        <f>'Sollecitazioni nel paramento'!$G$60*(sezione!$AO$29-C629)/C629</f>
        <v>7.5974519063685903E-3</v>
      </c>
      <c r="O629" s="551">
        <f>'Sollecitazioni nel paramento'!$G$60*(sezione!$AP$29-C629)/C629</f>
        <v>1.8837287508844766E-2</v>
      </c>
      <c r="P629" s="545">
        <f>-'Sollecitazioni nel paramento'!$G$47*'Sollecitazioni nel paramento'!$G$41*IF(DATI!$G$211="dx",DATI!$E$61,DATI!$E$64*DATI!$E$63)*1000*C629*sezione!$AD$5</f>
        <v>-1922452.1250465331</v>
      </c>
      <c r="Q629" s="545">
        <f>'Foglio deposito bis'!$F$48*IF(ABS(K629)&lt;'Sollecitazioni nel paramento'!$G$58,ABS(K629)*'Sollecitazioni nel paramento'!$G$54,'Sollecitazioni nel paramento'!$G$53)*IF(K629&lt;0,-1,1)</f>
        <v>0</v>
      </c>
      <c r="R629" s="545">
        <f>'Foglio deposito bis'!$F$49*IF(ABS(L629)&lt;'Sollecitazioni nel paramento'!$G$58,ABS(L629)*'Sollecitazioni nel paramento'!$G$54,'Sollecitazioni nel paramento'!$G$53)*IF(L629&lt;0,-1,1)</f>
        <v>71355.07759477674</v>
      </c>
      <c r="S629" s="545">
        <f>'Foglio deposito bis'!$F$50*IF(ABS(M629)&lt;'Sollecitazioni nel paramento'!$G$58,ABS(M629)*'Sollecitazioni nel paramento'!$G$54,'Sollecitazioni nel paramento'!$G$53)*IF(M629&lt;0,-1,1)</f>
        <v>0</v>
      </c>
      <c r="T629" s="545">
        <f>'Foglio deposito bis'!$F$51*IF(ABS(N629)&lt;'Sollecitazioni nel paramento'!$G$58,ABS(N629)*'Sollecitazioni nel paramento'!$G$54,'Sollecitazioni nel paramento'!$G$53)*IF(N629&lt;0,-1,1)</f>
        <v>240946.49743184328</v>
      </c>
      <c r="U629" s="545">
        <f>'Foglio deposito bis'!$F$52*IF(ABS(O629)&lt;'Sollecitazioni nel paramento'!$G$58,ABS(O629)*'Sollecitazioni nel paramento'!$G$54,'Sollecitazioni nel paramento'!$G$53)*IF(O629&lt;0,-1,1)</f>
        <v>240946.49743184328</v>
      </c>
      <c r="V629" s="472">
        <f t="shared" ref="V629:V692" si="48">P629+Q629+R629+S629+T629+U629</f>
        <v>-1369204.0525880698</v>
      </c>
      <c r="W629" s="551"/>
      <c r="X629" s="551"/>
    </row>
    <row r="630" spans="1:24" x14ac:dyDescent="0.25">
      <c r="A630" s="545">
        <f t="shared" ref="A630:A693" si="49">ABS(V630)</f>
        <v>1415083.1209180567</v>
      </c>
      <c r="B630" s="3">
        <f t="shared" si="46"/>
        <v>10.499999999999984</v>
      </c>
      <c r="C630" s="545">
        <f>'Foglio deposito bis'!$E$155/sezione!$B$247*B630</f>
        <v>51.44187974179502</v>
      </c>
      <c r="D630" s="603">
        <f>-'Sollecitazioni nel paramento'!$G$47*'Sollecitazioni nel paramento'!$G$41*IF(DATI!$G$211="dx",DATI!$E$61,DATI!$E$64*DATI!$E$63)*1000*C630^2*sezione!$AD$5*(1-sezione!$AD$6)</f>
        <v>-58875862.804994605</v>
      </c>
      <c r="E630" s="545">
        <f>-'Foglio deposito bis'!$F$48*(C630-sezione!$AL$29)*IF(ABS(K630)&lt;'Sollecitazioni nel paramento'!$G$58,ABS(K630)*'Sollecitazioni nel paramento'!$G$54,'Sollecitazioni nel paramento'!$G$53)</f>
        <v>0</v>
      </c>
      <c r="F630" s="545">
        <f>-'Foglio deposito bis'!$F$49*(C630-sezione!$AM$29)*IF(ABS(L630)&lt;'Sollecitazioni nel paramento'!$G$58,ABS(L630)*'Sollecitazioni nel paramento'!$G$54,'Sollecitazioni nel paramento'!$G$53)</f>
        <v>537494.25539090403</v>
      </c>
      <c r="G630" s="545">
        <f>-'Foglio deposito bis'!$F$50*(C630-sezione!$AN$29)*IF(ABS(M630)&lt;'Sollecitazioni nel paramento'!$G$58,ABS(M630)*'Sollecitazioni nel paramento'!$G$54,'Sollecitazioni nel paramento'!$G$53)</f>
        <v>0</v>
      </c>
      <c r="H630" s="545">
        <f>-'Foglio deposito bis'!$F$51*(C630-sezione!$AO$29)*IF(ABS(N630)&lt;'Sollecitazioni nel paramento'!$G$58,ABS(N630)*'Sollecitazioni nel paramento'!$G$54,'Sollecitazioni nel paramento'!$G$53)</f>
        <v>26156698.843999319</v>
      </c>
      <c r="I630" s="472">
        <f>-'Foglio deposito bis'!$F$52*(C630-sezione!$AP$29)*IF(ABS(O630)&lt;'Sollecitazioni nel paramento'!$G$58,ABS(O630)*'Sollecitazioni nel paramento'!$G$54,'Sollecitazioni nel paramento'!$G$53)</f>
        <v>65202765.173113123</v>
      </c>
      <c r="J630" s="472">
        <f t="shared" si="47"/>
        <v>33021095.467508741</v>
      </c>
      <c r="K630" s="550">
        <f>'Sollecitazioni nel paramento'!$G$60*(sezione!$AL$29-C630)/C630</f>
        <v>-7.7848203248579773E-4</v>
      </c>
      <c r="L630" s="550">
        <f>'Sollecitazioni nel paramento'!$G$60*(sezione!$AM$29-C630)/C630</f>
        <v>5.8227695127130343E-4</v>
      </c>
      <c r="M630" s="551">
        <f>'Sollecitazioni nel paramento'!$G$60*(sezione!$AN$29-C630)/C630</f>
        <v>1.9430359350284046E-3</v>
      </c>
      <c r="N630" s="551">
        <f>'Sollecitazioni nel paramento'!$G$60*(sezione!$AO$29-C630)/C630</f>
        <v>7.3860718700568088E-3</v>
      </c>
      <c r="O630" s="551">
        <f>'Sollecitazioni nel paramento'!$G$60*(sezione!$AP$29-C630)/C630</f>
        <v>1.8411815365819151E-2</v>
      </c>
      <c r="P630" s="545">
        <f>-'Sollecitazioni nel paramento'!$G$47*'Sollecitazioni nel paramento'!$G$41*IF(DATI!$G$211="dx",DATI!$E$61,DATI!$E$64*DATI!$E$63)*1000*C630*sezione!$AD$5</f>
        <v>-1959781.2925231648</v>
      </c>
      <c r="Q630" s="545">
        <f>'Foglio deposito bis'!$F$48*IF(ABS(K630)&lt;'Sollecitazioni nel paramento'!$G$58,ABS(K630)*'Sollecitazioni nel paramento'!$G$54,'Sollecitazioni nel paramento'!$G$53)*IF(K630&lt;0,-1,1)</f>
        <v>0</v>
      </c>
      <c r="R630" s="545">
        <f>'Foglio deposito bis'!$F$49*IF(ABS(L630)&lt;'Sollecitazioni nel paramento'!$G$58,ABS(L630)*'Sollecitazioni nel paramento'!$G$54,'Sollecitazioni nel paramento'!$G$53)*IF(L630&lt;0,-1,1)</f>
        <v>62805.17674142155</v>
      </c>
      <c r="S630" s="545">
        <f>'Foglio deposito bis'!$F$50*IF(ABS(M630)&lt;'Sollecitazioni nel paramento'!$G$58,ABS(M630)*'Sollecitazioni nel paramento'!$G$54,'Sollecitazioni nel paramento'!$G$53)*IF(M630&lt;0,-1,1)</f>
        <v>0</v>
      </c>
      <c r="T630" s="545">
        <f>'Foglio deposito bis'!$F$51*IF(ABS(N630)&lt;'Sollecitazioni nel paramento'!$G$58,ABS(N630)*'Sollecitazioni nel paramento'!$G$54,'Sollecitazioni nel paramento'!$G$53)*IF(N630&lt;0,-1,1)</f>
        <v>240946.49743184328</v>
      </c>
      <c r="U630" s="545">
        <f>'Foglio deposito bis'!$F$52*IF(ABS(O630)&lt;'Sollecitazioni nel paramento'!$G$58,ABS(O630)*'Sollecitazioni nel paramento'!$G$54,'Sollecitazioni nel paramento'!$G$53)*IF(O630&lt;0,-1,1)</f>
        <v>240946.49743184328</v>
      </c>
      <c r="V630" s="472">
        <f t="shared" si="48"/>
        <v>-1415083.1209180567</v>
      </c>
      <c r="W630" s="551"/>
      <c r="X630" s="551"/>
    </row>
    <row r="631" spans="1:24" x14ac:dyDescent="0.25">
      <c r="A631" s="545">
        <f t="shared" si="49"/>
        <v>1460642.5667862357</v>
      </c>
      <c r="B631" s="3">
        <f t="shared" si="46"/>
        <v>10.699999999999983</v>
      </c>
      <c r="C631" s="545">
        <f>'Foglio deposito bis'!$E$155/sezione!$B$247*B631</f>
        <v>52.421725070210165</v>
      </c>
      <c r="D631" s="603">
        <f>-'Sollecitazioni nel paramento'!$G$47*'Sollecitazioni nel paramento'!$G$41*IF(DATI!$G$211="dx",DATI!$E$61,DATI!$E$64*DATI!$E$63)*1000*C631^2*sezione!$AD$5*(1-sezione!$AD$6)</f>
        <v>-61140113.673866972</v>
      </c>
      <c r="E631" s="545">
        <f>-'Foglio deposito bis'!$F$48*(C631-sezione!$AL$29)*IF(ABS(K631)&lt;'Sollecitazioni nel paramento'!$G$58,ABS(K631)*'Sollecitazioni nel paramento'!$G$54,'Sollecitazioni nel paramento'!$G$53)</f>
        <v>0</v>
      </c>
      <c r="F631" s="545">
        <f>-'Foglio deposito bis'!$F$49*(C631-sezione!$AM$29)*IF(ABS(L631)&lt;'Sollecitazioni nel paramento'!$G$58,ABS(L631)*'Sollecitazioni nel paramento'!$G$54,'Sollecitazioni nel paramento'!$G$53)</f>
        <v>413583.58396067854</v>
      </c>
      <c r="G631" s="545">
        <f>-'Foglio deposito bis'!$F$50*(C631-sezione!$AN$29)*IF(ABS(M631)&lt;'Sollecitazioni nel paramento'!$G$58,ABS(M631)*'Sollecitazioni nel paramento'!$G$54,'Sollecitazioni nel paramento'!$G$53)</f>
        <v>0</v>
      </c>
      <c r="H631" s="545">
        <f>-'Foglio deposito bis'!$F$51*(C631-sezione!$AO$29)*IF(ABS(N631)&lt;'Sollecitazioni nel paramento'!$G$58,ABS(N631)*'Sollecitazioni nel paramento'!$G$54,'Sollecitazioni nel paramento'!$G$53)</f>
        <v>25920608.544092737</v>
      </c>
      <c r="I631" s="472">
        <f>-'Foglio deposito bis'!$F$52*(C631-sezione!$AP$29)*IF(ABS(O631)&lt;'Sollecitazioni nel paramento'!$G$58,ABS(O631)*'Sollecitazioni nel paramento'!$G$54,'Sollecitazioni nel paramento'!$G$53)</f>
        <v>64966674.873206548</v>
      </c>
      <c r="J631" s="472">
        <f t="shared" si="47"/>
        <v>30160753.327392995</v>
      </c>
      <c r="K631" s="550">
        <f>'Sollecitazioni nel paramento'!$G$60*(sezione!$AL$29-C631)/C631</f>
        <v>-8.2935152720568946E-4</v>
      </c>
      <c r="L631" s="550">
        <f>'Sollecitazioni nel paramento'!$G$60*(sezione!$AM$29-C631)/C631</f>
        <v>5.059727091914659E-4</v>
      </c>
      <c r="M631" s="551">
        <f>'Sollecitazioni nel paramento'!$G$60*(sezione!$AN$29-C631)/C631</f>
        <v>1.8412969455886212E-3</v>
      </c>
      <c r="N631" s="551">
        <f>'Sollecitazioni nel paramento'!$G$60*(sezione!$AO$29-C631)/C631</f>
        <v>7.1825938911772424E-3</v>
      </c>
      <c r="O631" s="551">
        <f>'Sollecitazioni nel paramento'!$G$60*(sezione!$AP$29-C631)/C631</f>
        <v>1.8002248723467389E-2</v>
      </c>
      <c r="P631" s="545">
        <f>-'Sollecitazioni nel paramento'!$G$47*'Sollecitazioni nel paramento'!$G$41*IF(DATI!$G$211="dx",DATI!$E$61,DATI!$E$64*DATI!$E$63)*1000*C631*sezione!$AD$5</f>
        <v>-1997110.4599997962</v>
      </c>
      <c r="Q631" s="545">
        <f>'Foglio deposito bis'!$F$48*IF(ABS(K631)&lt;'Sollecitazioni nel paramento'!$G$58,ABS(K631)*'Sollecitazioni nel paramento'!$G$54,'Sollecitazioni nel paramento'!$G$53)*IF(K631&lt;0,-1,1)</f>
        <v>0</v>
      </c>
      <c r="R631" s="545">
        <f>'Foglio deposito bis'!$F$49*IF(ABS(L631)&lt;'Sollecitazioni nel paramento'!$G$58,ABS(L631)*'Sollecitazioni nel paramento'!$G$54,'Sollecitazioni nel paramento'!$G$53)*IF(L631&lt;0,-1,1)</f>
        <v>54574.898349873969</v>
      </c>
      <c r="S631" s="545">
        <f>'Foglio deposito bis'!$F$50*IF(ABS(M631)&lt;'Sollecitazioni nel paramento'!$G$58,ABS(M631)*'Sollecitazioni nel paramento'!$G$54,'Sollecitazioni nel paramento'!$G$53)*IF(M631&lt;0,-1,1)</f>
        <v>0</v>
      </c>
      <c r="T631" s="545">
        <f>'Foglio deposito bis'!$F$51*IF(ABS(N631)&lt;'Sollecitazioni nel paramento'!$G$58,ABS(N631)*'Sollecitazioni nel paramento'!$G$54,'Sollecitazioni nel paramento'!$G$53)*IF(N631&lt;0,-1,1)</f>
        <v>240946.49743184328</v>
      </c>
      <c r="U631" s="545">
        <f>'Foglio deposito bis'!$F$52*IF(ABS(O631)&lt;'Sollecitazioni nel paramento'!$G$58,ABS(O631)*'Sollecitazioni nel paramento'!$G$54,'Sollecitazioni nel paramento'!$G$53)*IF(O631&lt;0,-1,1)</f>
        <v>240946.49743184328</v>
      </c>
      <c r="V631" s="472">
        <f t="shared" si="48"/>
        <v>-1460642.5667862357</v>
      </c>
      <c r="W631" s="551"/>
      <c r="X631" s="551"/>
    </row>
    <row r="632" spans="1:24" x14ac:dyDescent="0.25">
      <c r="A632" s="545">
        <f t="shared" si="49"/>
        <v>1505899.9840895873</v>
      </c>
      <c r="B632" s="3">
        <f t="shared" si="46"/>
        <v>10.899999999999983</v>
      </c>
      <c r="C632" s="545">
        <f>'Foglio deposito bis'!$E$155/sezione!$B$247*B632</f>
        <v>53.401570398625303</v>
      </c>
      <c r="D632" s="603">
        <f>-'Sollecitazioni nel paramento'!$G$47*'Sollecitazioni nel paramento'!$G$41*IF(DATI!$G$211="dx",DATI!$E$61,DATI!$E$64*DATI!$E$63)*1000*C632^2*sezione!$AD$5*(1-sezione!$AD$6)</f>
        <v>-63447086.257246338</v>
      </c>
      <c r="E632" s="545">
        <f>-'Foglio deposito bis'!$F$48*(C632-sezione!$AL$29)*IF(ABS(K632)&lt;'Sollecitazioni nel paramento'!$G$58,ABS(K632)*'Sollecitazioni nel paramento'!$G$54,'Sollecitazioni nel paramento'!$G$53)</f>
        <v>0</v>
      </c>
      <c r="F632" s="545">
        <f>-'Foglio deposito bis'!$F$49*(C632-sezione!$AM$29)*IF(ABS(L632)&lt;'Sollecitazioni nel paramento'!$G$58,ABS(L632)*'Sollecitazioni nel paramento'!$G$54,'Sollecitazioni nel paramento'!$G$53)</f>
        <v>307794.62642009975</v>
      </c>
      <c r="G632" s="545">
        <f>-'Foglio deposito bis'!$F$50*(C632-sezione!$AN$29)*IF(ABS(M632)&lt;'Sollecitazioni nel paramento'!$G$58,ABS(M632)*'Sollecitazioni nel paramento'!$G$54,'Sollecitazioni nel paramento'!$G$53)</f>
        <v>0</v>
      </c>
      <c r="H632" s="545">
        <f>-'Foglio deposito bis'!$F$51*(C632-sezione!$AO$29)*IF(ABS(N632)&lt;'Sollecitazioni nel paramento'!$G$58,ABS(N632)*'Sollecitazioni nel paramento'!$G$54,'Sollecitazioni nel paramento'!$G$53)</f>
        <v>25684518.244186159</v>
      </c>
      <c r="I632" s="472">
        <f>-'Foglio deposito bis'!$F$52*(C632-sezione!$AP$29)*IF(ABS(O632)&lt;'Sollecitazioni nel paramento'!$G$58,ABS(O632)*'Sollecitazioni nel paramento'!$G$54,'Sollecitazioni nel paramento'!$G$53)</f>
        <v>64730584.573299959</v>
      </c>
      <c r="J632" s="472">
        <f t="shared" si="47"/>
        <v>27275811.186659887</v>
      </c>
      <c r="K632" s="550">
        <f>'Sollecitazioni nel paramento'!$G$60*(sezione!$AL$29-C632)/C632</f>
        <v>-8.7835425147714437E-4</v>
      </c>
      <c r="L632" s="550">
        <f>'Sollecitazioni nel paramento'!$G$60*(sezione!$AM$29-C632)/C632</f>
        <v>4.3246862278428338E-4</v>
      </c>
      <c r="M632" s="551">
        <f>'Sollecitazioni nel paramento'!$G$60*(sezione!$AN$29-C632)/C632</f>
        <v>1.7432914970457113E-3</v>
      </c>
      <c r="N632" s="551">
        <f>'Sollecitazioni nel paramento'!$G$60*(sezione!$AO$29-C632)/C632</f>
        <v>6.9865829940914228E-3</v>
      </c>
      <c r="O632" s="551">
        <f>'Sollecitazioni nel paramento'!$G$60*(sezione!$AP$29-C632)/C632</f>
        <v>1.7607712049642302E-2</v>
      </c>
      <c r="P632" s="545">
        <f>-'Sollecitazioni nel paramento'!$G$47*'Sollecitazioni nel paramento'!$G$41*IF(DATI!$G$211="dx",DATI!$E$61,DATI!$E$64*DATI!$E$63)*1000*C632*sezione!$AD$5</f>
        <v>-2034439.6274764279</v>
      </c>
      <c r="Q632" s="545">
        <f>'Foglio deposito bis'!$F$48*IF(ABS(K632)&lt;'Sollecitazioni nel paramento'!$G$58,ABS(K632)*'Sollecitazioni nel paramento'!$G$54,'Sollecitazioni nel paramento'!$G$53)*IF(K632&lt;0,-1,1)</f>
        <v>0</v>
      </c>
      <c r="R632" s="545">
        <f>'Foglio deposito bis'!$F$49*IF(ABS(L632)&lt;'Sollecitazioni nel paramento'!$G$58,ABS(L632)*'Sollecitazioni nel paramento'!$G$54,'Sollecitazioni nel paramento'!$G$53)*IF(L632&lt;0,-1,1)</f>
        <v>46646.648523153868</v>
      </c>
      <c r="S632" s="545">
        <f>'Foglio deposito bis'!$F$50*IF(ABS(M632)&lt;'Sollecitazioni nel paramento'!$G$58,ABS(M632)*'Sollecitazioni nel paramento'!$G$54,'Sollecitazioni nel paramento'!$G$53)*IF(M632&lt;0,-1,1)</f>
        <v>0</v>
      </c>
      <c r="T632" s="545">
        <f>'Foglio deposito bis'!$F$51*IF(ABS(N632)&lt;'Sollecitazioni nel paramento'!$G$58,ABS(N632)*'Sollecitazioni nel paramento'!$G$54,'Sollecitazioni nel paramento'!$G$53)*IF(N632&lt;0,-1,1)</f>
        <v>240946.49743184328</v>
      </c>
      <c r="U632" s="545">
        <f>'Foglio deposito bis'!$F$52*IF(ABS(O632)&lt;'Sollecitazioni nel paramento'!$G$58,ABS(O632)*'Sollecitazioni nel paramento'!$G$54,'Sollecitazioni nel paramento'!$G$53)*IF(O632&lt;0,-1,1)</f>
        <v>240946.49743184328</v>
      </c>
      <c r="V632" s="472">
        <f t="shared" si="48"/>
        <v>-1505899.9840895873</v>
      </c>
      <c r="W632" s="551"/>
      <c r="X632" s="551"/>
    </row>
    <row r="633" spans="1:24" x14ac:dyDescent="0.25">
      <c r="A633" s="545">
        <f t="shared" si="49"/>
        <v>1550871.6986964806</v>
      </c>
      <c r="B633" s="3">
        <f t="shared" si="46"/>
        <v>11.099999999999982</v>
      </c>
      <c r="C633" s="545">
        <f>'Foglio deposito bis'!$E$155/sezione!$B$247*B633</f>
        <v>54.381415727040448</v>
      </c>
      <c r="D633" s="603">
        <f>-'Sollecitazioni nel paramento'!$G$47*'Sollecitazioni nel paramento'!$G$41*IF(DATI!$G$211="dx",DATI!$E$61,DATI!$E$64*DATI!$E$63)*1000*C633^2*sezione!$AD$5*(1-sezione!$AD$6)</f>
        <v>-65796780.555132747</v>
      </c>
      <c r="E633" s="545">
        <f>-'Foglio deposito bis'!$F$48*(C633-sezione!$AL$29)*IF(ABS(K633)&lt;'Sollecitazioni nel paramento'!$G$58,ABS(K633)*'Sollecitazioni nel paramento'!$G$54,'Sollecitazioni nel paramento'!$G$53)</f>
        <v>0</v>
      </c>
      <c r="F633" s="545">
        <f>-'Foglio deposito bis'!$F$49*(C633-sezione!$AM$29)*IF(ABS(L633)&lt;'Sollecitazioni nel paramento'!$G$58,ABS(L633)*'Sollecitazioni nel paramento'!$G$54,'Sollecitazioni nel paramento'!$G$53)</f>
        <v>219147.83066702334</v>
      </c>
      <c r="G633" s="545">
        <f>-'Foglio deposito bis'!$F$50*(C633-sezione!$AN$29)*IF(ABS(M633)&lt;'Sollecitazioni nel paramento'!$G$58,ABS(M633)*'Sollecitazioni nel paramento'!$G$54,'Sollecitazioni nel paramento'!$G$53)</f>
        <v>0</v>
      </c>
      <c r="H633" s="545">
        <f>-'Foglio deposito bis'!$F$51*(C633-sezione!$AO$29)*IF(ABS(N633)&lt;'Sollecitazioni nel paramento'!$G$58,ABS(N633)*'Sollecitazioni nel paramento'!$G$54,'Sollecitazioni nel paramento'!$G$53)</f>
        <v>25448427.94427957</v>
      </c>
      <c r="I633" s="472">
        <f>-'Foglio deposito bis'!$F$52*(C633-sezione!$AP$29)*IF(ABS(O633)&lt;'Sollecitazioni nel paramento'!$G$58,ABS(O633)*'Sollecitazioni nel paramento'!$G$54,'Sollecitazioni nel paramento'!$G$53)</f>
        <v>64494494.273393385</v>
      </c>
      <c r="J633" s="472">
        <f t="shared" si="47"/>
        <v>24365289.493207239</v>
      </c>
      <c r="K633" s="550">
        <f>'Sollecitazioni nel paramento'!$G$60*(sezione!$AL$29-C633)/C633</f>
        <v>-9.2559111181088967E-4</v>
      </c>
      <c r="L633" s="550">
        <f>'Sollecitazioni nel paramento'!$G$60*(sezione!$AM$29-C633)/C633</f>
        <v>3.6161333228366558E-4</v>
      </c>
      <c r="M633" s="551">
        <f>'Sollecitazioni nel paramento'!$G$60*(sezione!$AN$29-C633)/C633</f>
        <v>1.6488177763782207E-3</v>
      </c>
      <c r="N633" s="551">
        <f>'Sollecitazioni nel paramento'!$G$60*(sezione!$AO$29-C633)/C633</f>
        <v>6.797635552756442E-3</v>
      </c>
      <c r="O633" s="551">
        <f>'Sollecitazioni nel paramento'!$G$60*(sezione!$AP$29-C633)/C633</f>
        <v>1.7227392913612711E-2</v>
      </c>
      <c r="P633" s="545">
        <f>-'Sollecitazioni nel paramento'!$G$47*'Sollecitazioni nel paramento'!$G$41*IF(DATI!$G$211="dx",DATI!$E$61,DATI!$E$64*DATI!$E$63)*1000*C633*sezione!$AD$5</f>
        <v>-2071768.7949530594</v>
      </c>
      <c r="Q633" s="545">
        <f>'Foglio deposito bis'!$F$48*IF(ABS(K633)&lt;'Sollecitazioni nel paramento'!$G$58,ABS(K633)*'Sollecitazioni nel paramento'!$G$54,'Sollecitazioni nel paramento'!$G$53)*IF(K633&lt;0,-1,1)</f>
        <v>0</v>
      </c>
      <c r="R633" s="545">
        <f>'Foglio deposito bis'!$F$49*IF(ABS(L633)&lt;'Sollecitazioni nel paramento'!$G$58,ABS(L633)*'Sollecitazioni nel paramento'!$G$54,'Sollecitazioni nel paramento'!$G$53)*IF(L633&lt;0,-1,1)</f>
        <v>39004.101392892109</v>
      </c>
      <c r="S633" s="545">
        <f>'Foglio deposito bis'!$F$50*IF(ABS(M633)&lt;'Sollecitazioni nel paramento'!$G$58,ABS(M633)*'Sollecitazioni nel paramento'!$G$54,'Sollecitazioni nel paramento'!$G$53)*IF(M633&lt;0,-1,1)</f>
        <v>0</v>
      </c>
      <c r="T633" s="545">
        <f>'Foglio deposito bis'!$F$51*IF(ABS(N633)&lt;'Sollecitazioni nel paramento'!$G$58,ABS(N633)*'Sollecitazioni nel paramento'!$G$54,'Sollecitazioni nel paramento'!$G$53)*IF(N633&lt;0,-1,1)</f>
        <v>240946.49743184328</v>
      </c>
      <c r="U633" s="545">
        <f>'Foglio deposito bis'!$F$52*IF(ABS(O633)&lt;'Sollecitazioni nel paramento'!$G$58,ABS(O633)*'Sollecitazioni nel paramento'!$G$54,'Sollecitazioni nel paramento'!$G$53)*IF(O633&lt;0,-1,1)</f>
        <v>240946.49743184328</v>
      </c>
      <c r="V633" s="472">
        <f t="shared" si="48"/>
        <v>-1550871.6986964806</v>
      </c>
      <c r="W633" s="551"/>
      <c r="X633" s="551"/>
    </row>
    <row r="634" spans="1:24" x14ac:dyDescent="0.25">
      <c r="A634" s="545">
        <f t="shared" si="49"/>
        <v>1595572.8806615949</v>
      </c>
      <c r="B634" s="3">
        <f t="shared" si="46"/>
        <v>11.299999999999981</v>
      </c>
      <c r="C634" s="545">
        <f>'Foglio deposito bis'!$E$155/sezione!$B$247*B634</f>
        <v>55.361261055455586</v>
      </c>
      <c r="D634" s="603">
        <f>-'Sollecitazioni nel paramento'!$G$47*'Sollecitazioni nel paramento'!$G$41*IF(DATI!$G$211="dx",DATI!$E$61,DATI!$E$64*DATI!$E$63)*1000*C634^2*sezione!$AD$5*(1-sezione!$AD$6)</f>
        <v>-68189196.567526147</v>
      </c>
      <c r="E634" s="545">
        <f>-'Foglio deposito bis'!$F$48*(C634-sezione!$AL$29)*IF(ABS(K634)&lt;'Sollecitazioni nel paramento'!$G$58,ABS(K634)*'Sollecitazioni nel paramento'!$G$54,'Sollecitazioni nel paramento'!$G$53)</f>
        <v>0</v>
      </c>
      <c r="F634" s="545">
        <f>-'Foglio deposito bis'!$F$49*(C634-sezione!$AM$29)*IF(ABS(L634)&lt;'Sollecitazioni nel paramento'!$G$58,ABS(L634)*'Sollecitazioni nel paramento'!$G$54,'Sollecitazioni nel paramento'!$G$53)</f>
        <v>146732.99342069804</v>
      </c>
      <c r="G634" s="545">
        <f>-'Foglio deposito bis'!$F$50*(C634-sezione!$AN$29)*IF(ABS(M634)&lt;'Sollecitazioni nel paramento'!$G$58,ABS(M634)*'Sollecitazioni nel paramento'!$G$54,'Sollecitazioni nel paramento'!$G$53)</f>
        <v>0</v>
      </c>
      <c r="H634" s="545">
        <f>-'Foglio deposito bis'!$F$51*(C634-sezione!$AO$29)*IF(ABS(N634)&lt;'Sollecitazioni nel paramento'!$G$58,ABS(N634)*'Sollecitazioni nel paramento'!$G$54,'Sollecitazioni nel paramento'!$G$53)</f>
        <v>25212337.644372988</v>
      </c>
      <c r="I634" s="472">
        <f>-'Foglio deposito bis'!$F$52*(C634-sezione!$AP$29)*IF(ABS(O634)&lt;'Sollecitazioni nel paramento'!$G$58,ABS(O634)*'Sollecitazioni nel paramento'!$G$54,'Sollecitazioni nel paramento'!$G$53)</f>
        <v>64258403.973486803</v>
      </c>
      <c r="J634" s="472">
        <f t="shared" si="47"/>
        <v>21428278.043754347</v>
      </c>
      <c r="K634" s="550">
        <f>'Sollecitazioni nel paramento'!$G$60*(sezione!$AL$29-C634)/C634</f>
        <v>-9.7115587089388253E-4</v>
      </c>
      <c r="L634" s="550">
        <f>'Sollecitazioni nel paramento'!$G$60*(sezione!$AM$29-C634)/C634</f>
        <v>2.9326619365917624E-4</v>
      </c>
      <c r="M634" s="551">
        <f>'Sollecitazioni nel paramento'!$G$60*(sezione!$AN$29-C634)/C634</f>
        <v>1.5576882582122352E-3</v>
      </c>
      <c r="N634" s="551">
        <f>'Sollecitazioni nel paramento'!$G$60*(sezione!$AO$29-C634)/C634</f>
        <v>6.6153765164244701E-3</v>
      </c>
      <c r="O634" s="551">
        <f>'Sollecitazioni nel paramento'!$G$60*(sezione!$AP$29-C634)/C634</f>
        <v>1.6860536401867354E-2</v>
      </c>
      <c r="P634" s="545">
        <f>-'Sollecitazioni nel paramento'!$G$47*'Sollecitazioni nel paramento'!$G$41*IF(DATI!$G$211="dx",DATI!$E$61,DATI!$E$64*DATI!$E$63)*1000*C634*sezione!$AD$5</f>
        <v>-2109097.9624296911</v>
      </c>
      <c r="Q634" s="545">
        <f>'Foglio deposito bis'!$F$48*IF(ABS(K634)&lt;'Sollecitazioni nel paramento'!$G$58,ABS(K634)*'Sollecitazioni nel paramento'!$G$54,'Sollecitazioni nel paramento'!$G$53)*IF(K634&lt;0,-1,1)</f>
        <v>0</v>
      </c>
      <c r="R634" s="545">
        <f>'Foglio deposito bis'!$F$49*IF(ABS(L634)&lt;'Sollecitazioni nel paramento'!$G$58,ABS(L634)*'Sollecitazioni nel paramento'!$G$54,'Sollecitazioni nel paramento'!$G$53)*IF(L634&lt;0,-1,1)</f>
        <v>31632.086904409567</v>
      </c>
      <c r="S634" s="545">
        <f>'Foglio deposito bis'!$F$50*IF(ABS(M634)&lt;'Sollecitazioni nel paramento'!$G$58,ABS(M634)*'Sollecitazioni nel paramento'!$G$54,'Sollecitazioni nel paramento'!$G$53)*IF(M634&lt;0,-1,1)</f>
        <v>0</v>
      </c>
      <c r="T634" s="545">
        <f>'Foglio deposito bis'!$F$51*IF(ABS(N634)&lt;'Sollecitazioni nel paramento'!$G$58,ABS(N634)*'Sollecitazioni nel paramento'!$G$54,'Sollecitazioni nel paramento'!$G$53)*IF(N634&lt;0,-1,1)</f>
        <v>240946.49743184328</v>
      </c>
      <c r="U634" s="545">
        <f>'Foglio deposito bis'!$F$52*IF(ABS(O634)&lt;'Sollecitazioni nel paramento'!$G$58,ABS(O634)*'Sollecitazioni nel paramento'!$G$54,'Sollecitazioni nel paramento'!$G$53)*IF(O634&lt;0,-1,1)</f>
        <v>240946.49743184328</v>
      </c>
      <c r="V634" s="472">
        <f t="shared" si="48"/>
        <v>-1595572.8806615949</v>
      </c>
      <c r="W634" s="551"/>
      <c r="X634" s="551"/>
    </row>
    <row r="635" spans="1:24" x14ac:dyDescent="0.25">
      <c r="A635" s="545">
        <f t="shared" si="49"/>
        <v>1640017.6447314578</v>
      </c>
      <c r="B635" s="3">
        <f t="shared" si="46"/>
        <v>11.49999999999998</v>
      </c>
      <c r="C635" s="545">
        <f>'Foglio deposito bis'!$E$155/sezione!$B$247*B635</f>
        <v>56.341106383870731</v>
      </c>
      <c r="D635" s="603">
        <f>-'Sollecitazioni nel paramento'!$G$47*'Sollecitazioni nel paramento'!$G$41*IF(DATI!$G$211="dx",DATI!$E$61,DATI!$E$64*DATI!$E$63)*1000*C635^2*sezione!$AD$5*(1-sezione!$AD$6)</f>
        <v>-70624334.29442662</v>
      </c>
      <c r="E635" s="545">
        <f>-'Foglio deposito bis'!$F$48*(C635-sezione!$AL$29)*IF(ABS(K635)&lt;'Sollecitazioni nel paramento'!$G$58,ABS(K635)*'Sollecitazioni nel paramento'!$G$54,'Sollecitazioni nel paramento'!$G$53)</f>
        <v>0</v>
      </c>
      <c r="F635" s="545">
        <f>-'Foglio deposito bis'!$F$49*(C635-sezione!$AM$29)*IF(ABS(L635)&lt;'Sollecitazioni nel paramento'!$G$58,ABS(L635)*'Sollecitazioni nel paramento'!$G$54,'Sollecitazioni nel paramento'!$G$53)</f>
        <v>89703.229889466253</v>
      </c>
      <c r="G635" s="545">
        <f>-'Foglio deposito bis'!$F$50*(C635-sezione!$AN$29)*IF(ABS(M635)&lt;'Sollecitazioni nel paramento'!$G$58,ABS(M635)*'Sollecitazioni nel paramento'!$G$54,'Sollecitazioni nel paramento'!$G$53)</f>
        <v>0</v>
      </c>
      <c r="H635" s="545">
        <f>-'Foglio deposito bis'!$F$51*(C635-sezione!$AO$29)*IF(ABS(N635)&lt;'Sollecitazioni nel paramento'!$G$58,ABS(N635)*'Sollecitazioni nel paramento'!$G$54,'Sollecitazioni nel paramento'!$G$53)</f>
        <v>24976247.344466403</v>
      </c>
      <c r="I635" s="472">
        <f>-'Foglio deposito bis'!$F$52*(C635-sezione!$AP$29)*IF(ABS(O635)&lt;'Sollecitazioni nel paramento'!$G$58,ABS(O635)*'Sollecitazioni nel paramento'!$G$54,'Sollecitazioni nel paramento'!$G$53)</f>
        <v>64022313.673580214</v>
      </c>
      <c r="J635" s="472">
        <f t="shared" si="47"/>
        <v>18463929.953509465</v>
      </c>
      <c r="K635" s="550">
        <f>'Sollecitazioni nel paramento'!$G$60*(sezione!$AL$29-C635)/C635</f>
        <v>-1.0151357687913803E-3</v>
      </c>
      <c r="L635" s="550">
        <f>'Sollecitazioni nel paramento'!$G$60*(sezione!$AM$29-C635)/C635</f>
        <v>2.272963468129296E-4</v>
      </c>
      <c r="M635" s="551">
        <f>'Sollecitazioni nel paramento'!$G$60*(sezione!$AN$29-C635)/C635</f>
        <v>1.4697284624172395E-3</v>
      </c>
      <c r="N635" s="551">
        <f>'Sollecitazioni nel paramento'!$G$60*(sezione!$AO$29-C635)/C635</f>
        <v>6.4394569248344786E-3</v>
      </c>
      <c r="O635" s="551">
        <f>'Sollecitazioni nel paramento'!$G$60*(sezione!$AP$29-C635)/C635</f>
        <v>1.6506440116617487E-2</v>
      </c>
      <c r="P635" s="545">
        <f>-'Sollecitazioni nel paramento'!$G$47*'Sollecitazioni nel paramento'!$G$41*IF(DATI!$G$211="dx",DATI!$E$61,DATI!$E$64*DATI!$E$63)*1000*C635*sezione!$AD$5</f>
        <v>-2146427.1299063228</v>
      </c>
      <c r="Q635" s="545">
        <f>'Foglio deposito bis'!$F$48*IF(ABS(K635)&lt;'Sollecitazioni nel paramento'!$G$58,ABS(K635)*'Sollecitazioni nel paramento'!$G$54,'Sollecitazioni nel paramento'!$G$53)*IF(K635&lt;0,-1,1)</f>
        <v>0</v>
      </c>
      <c r="R635" s="545">
        <f>'Foglio deposito bis'!$F$49*IF(ABS(L635)&lt;'Sollecitazioni nel paramento'!$G$58,ABS(L635)*'Sollecitazioni nel paramento'!$G$54,'Sollecitazioni nel paramento'!$G$53)*IF(L635&lt;0,-1,1)</f>
        <v>24516.490311178542</v>
      </c>
      <c r="S635" s="545">
        <f>'Foglio deposito bis'!$F$50*IF(ABS(M635)&lt;'Sollecitazioni nel paramento'!$G$58,ABS(M635)*'Sollecitazioni nel paramento'!$G$54,'Sollecitazioni nel paramento'!$G$53)*IF(M635&lt;0,-1,1)</f>
        <v>0</v>
      </c>
      <c r="T635" s="545">
        <f>'Foglio deposito bis'!$F$51*IF(ABS(N635)&lt;'Sollecitazioni nel paramento'!$G$58,ABS(N635)*'Sollecitazioni nel paramento'!$G$54,'Sollecitazioni nel paramento'!$G$53)*IF(N635&lt;0,-1,1)</f>
        <v>240946.49743184328</v>
      </c>
      <c r="U635" s="545">
        <f>'Foglio deposito bis'!$F$52*IF(ABS(O635)&lt;'Sollecitazioni nel paramento'!$G$58,ABS(O635)*'Sollecitazioni nel paramento'!$G$54,'Sollecitazioni nel paramento'!$G$53)*IF(O635&lt;0,-1,1)</f>
        <v>240946.49743184328</v>
      </c>
      <c r="V635" s="472">
        <f t="shared" si="48"/>
        <v>-1640017.6447314578</v>
      </c>
      <c r="W635" s="551"/>
      <c r="X635" s="551"/>
    </row>
    <row r="636" spans="1:24" x14ac:dyDescent="0.25">
      <c r="A636" s="545">
        <f t="shared" si="49"/>
        <v>1684219.1405417225</v>
      </c>
      <c r="B636" s="3">
        <f t="shared" si="46"/>
        <v>11.69999999999998</v>
      </c>
      <c r="C636" s="545">
        <f>'Foglio deposito bis'!$E$155/sezione!$B$247*B636</f>
        <v>57.320951712285868</v>
      </c>
      <c r="D636" s="603">
        <f>-'Sollecitazioni nel paramento'!$G$47*'Sollecitazioni nel paramento'!$G$41*IF(DATI!$G$211="dx",DATI!$E$61,DATI!$E$64*DATI!$E$63)*1000*C636^2*sezione!$AD$5*(1-sezione!$AD$6)</f>
        <v>-73102193.735834092</v>
      </c>
      <c r="E636" s="545">
        <f>-'Foglio deposito bis'!$F$48*(C636-sezione!$AL$29)*IF(ABS(K636)&lt;'Sollecitazioni nel paramento'!$G$58,ABS(K636)*'Sollecitazioni nel paramento'!$G$54,'Sollecitazioni nel paramento'!$G$53)</f>
        <v>0</v>
      </c>
      <c r="F636" s="545">
        <f>-'Foglio deposito bis'!$F$49*(C636-sezione!$AM$29)*IF(ABS(L636)&lt;'Sollecitazioni nel paramento'!$G$58,ABS(L636)*'Sollecitazioni nel paramento'!$G$54,'Sollecitazioni nel paramento'!$G$53)</f>
        <v>47269.56193409329</v>
      </c>
      <c r="G636" s="545">
        <f>-'Foglio deposito bis'!$F$50*(C636-sezione!$AN$29)*IF(ABS(M636)&lt;'Sollecitazioni nel paramento'!$G$58,ABS(M636)*'Sollecitazioni nel paramento'!$G$54,'Sollecitazioni nel paramento'!$G$53)</f>
        <v>0</v>
      </c>
      <c r="H636" s="545">
        <f>-'Foglio deposito bis'!$F$51*(C636-sezione!$AO$29)*IF(ABS(N636)&lt;'Sollecitazioni nel paramento'!$G$58,ABS(N636)*'Sollecitazioni nel paramento'!$G$54,'Sollecitazioni nel paramento'!$G$53)</f>
        <v>24740157.044559821</v>
      </c>
      <c r="I636" s="472">
        <f>-'Foglio deposito bis'!$F$52*(C636-sezione!$AP$29)*IF(ABS(O636)&lt;'Sollecitazioni nel paramento'!$G$58,ABS(O636)*'Sollecitazioni nel paramento'!$G$54,'Sollecitazioni nel paramento'!$G$53)</f>
        <v>63786223.37367364</v>
      </c>
      <c r="J636" s="472">
        <f t="shared" si="47"/>
        <v>15471456.244333468</v>
      </c>
      <c r="K636" s="550">
        <f>'Sollecitazioni nel paramento'!$G$60*(sezione!$AL$29-C636)/C636</f>
        <v>-1.0576120804359718E-3</v>
      </c>
      <c r="L636" s="550">
        <f>'Sollecitazioni nel paramento'!$G$60*(sezione!$AM$29-C636)/C636</f>
        <v>1.6358187934604223E-4</v>
      </c>
      <c r="M636" s="551">
        <f>'Sollecitazioni nel paramento'!$G$60*(sezione!$AN$29-C636)/C636</f>
        <v>1.3847758391280565E-3</v>
      </c>
      <c r="N636" s="551">
        <f>'Sollecitazioni nel paramento'!$G$60*(sezione!$AO$29-C636)/C636</f>
        <v>6.2695516782561127E-3</v>
      </c>
      <c r="O636" s="551">
        <f>'Sollecitazioni nel paramento'!$G$60*(sezione!$AP$29-C636)/C636</f>
        <v>1.61644496872736E-2</v>
      </c>
      <c r="P636" s="545">
        <f>-'Sollecitazioni nel paramento'!$G$47*'Sollecitazioni nel paramento'!$G$41*IF(DATI!$G$211="dx",DATI!$E$61,DATI!$E$64*DATI!$E$63)*1000*C636*sezione!$AD$5</f>
        <v>-2183756.2973829545</v>
      </c>
      <c r="Q636" s="545">
        <f>'Foglio deposito bis'!$F$48*IF(ABS(K636)&lt;'Sollecitazioni nel paramento'!$G$58,ABS(K636)*'Sollecitazioni nel paramento'!$G$54,'Sollecitazioni nel paramento'!$G$53)*IF(K636&lt;0,-1,1)</f>
        <v>0</v>
      </c>
      <c r="R636" s="545">
        <f>'Foglio deposito bis'!$F$49*IF(ABS(L636)&lt;'Sollecitazioni nel paramento'!$G$58,ABS(L636)*'Sollecitazioni nel paramento'!$G$54,'Sollecitazioni nel paramento'!$G$53)*IF(L636&lt;0,-1,1)</f>
        <v>17644.161977545213</v>
      </c>
      <c r="S636" s="545">
        <f>'Foglio deposito bis'!$F$50*IF(ABS(M636)&lt;'Sollecitazioni nel paramento'!$G$58,ABS(M636)*'Sollecitazioni nel paramento'!$G$54,'Sollecitazioni nel paramento'!$G$53)*IF(M636&lt;0,-1,1)</f>
        <v>0</v>
      </c>
      <c r="T636" s="545">
        <f>'Foglio deposito bis'!$F$51*IF(ABS(N636)&lt;'Sollecitazioni nel paramento'!$G$58,ABS(N636)*'Sollecitazioni nel paramento'!$G$54,'Sollecitazioni nel paramento'!$G$53)*IF(N636&lt;0,-1,1)</f>
        <v>240946.49743184328</v>
      </c>
      <c r="U636" s="545">
        <f>'Foglio deposito bis'!$F$52*IF(ABS(O636)&lt;'Sollecitazioni nel paramento'!$G$58,ABS(O636)*'Sollecitazioni nel paramento'!$G$54,'Sollecitazioni nel paramento'!$G$53)*IF(O636&lt;0,-1,1)</f>
        <v>240946.49743184328</v>
      </c>
      <c r="V636" s="472">
        <f t="shared" si="48"/>
        <v>-1684219.1405417225</v>
      </c>
      <c r="W636" s="551"/>
      <c r="X636" s="551"/>
    </row>
    <row r="637" spans="1:24" x14ac:dyDescent="0.25">
      <c r="A637" s="545">
        <f t="shared" si="49"/>
        <v>1728189.6337189246</v>
      </c>
      <c r="B637" s="3">
        <f t="shared" si="46"/>
        <v>11.899999999999979</v>
      </c>
      <c r="C637" s="545">
        <f>'Foglio deposito bis'!$E$155/sezione!$B$247*B637</f>
        <v>58.300797040701013</v>
      </c>
      <c r="D637" s="603">
        <f>-'Sollecitazioni nel paramento'!$G$47*'Sollecitazioni nel paramento'!$G$41*IF(DATI!$G$211="dx",DATI!$E$61,DATI!$E$64*DATI!$E$63)*1000*C637^2*sezione!$AD$5*(1-sezione!$AD$6)</f>
        <v>-75622774.891748607</v>
      </c>
      <c r="E637" s="545">
        <f>-'Foglio deposito bis'!$F$48*(C637-sezione!$AL$29)*IF(ABS(K637)&lt;'Sollecitazioni nel paramento'!$G$58,ABS(K637)*'Sollecitazioni nel paramento'!$G$54,'Sollecitazioni nel paramento'!$G$53)</f>
        <v>0</v>
      </c>
      <c r="F637" s="545">
        <f>-'Foglio deposito bis'!$F$49*(C637-sezione!$AM$29)*IF(ABS(L637)&lt;'Sollecitazioni nel paramento'!$G$58,ABS(L637)*'Sollecitazioni nel paramento'!$G$54,'Sollecitazioni nel paramento'!$G$53)</f>
        <v>18696.051962518399</v>
      </c>
      <c r="G637" s="545">
        <f>-'Foglio deposito bis'!$F$50*(C637-sezione!$AN$29)*IF(ABS(M637)&lt;'Sollecitazioni nel paramento'!$G$58,ABS(M637)*'Sollecitazioni nel paramento'!$G$54,'Sollecitazioni nel paramento'!$G$53)</f>
        <v>0</v>
      </c>
      <c r="H637" s="545">
        <f>-'Foglio deposito bis'!$F$51*(C637-sezione!$AO$29)*IF(ABS(N637)&lt;'Sollecitazioni nel paramento'!$G$58,ABS(N637)*'Sollecitazioni nel paramento'!$G$54,'Sollecitazioni nel paramento'!$G$53)</f>
        <v>24504066.74465324</v>
      </c>
      <c r="I637" s="472">
        <f>-'Foglio deposito bis'!$F$52*(C637-sezione!$AP$29)*IF(ABS(O637)&lt;'Sollecitazioni nel paramento'!$G$58,ABS(O637)*'Sollecitazioni nel paramento'!$G$54,'Sollecitazioni nel paramento'!$G$53)</f>
        <v>63550133.073767051</v>
      </c>
      <c r="J637" s="472">
        <f t="shared" si="47"/>
        <v>12450120.978634208</v>
      </c>
      <c r="K637" s="550">
        <f>'Sollecitazioni nel paramento'!$G$60*(sezione!$AL$29-C637)/C637</f>
        <v>-1.0986606168992329E-3</v>
      </c>
      <c r="L637" s="550">
        <f>'Sollecitazioni nel paramento'!$G$60*(sezione!$AM$29-C637)/C637</f>
        <v>1.0200907465115066E-4</v>
      </c>
      <c r="M637" s="551">
        <f>'Sollecitazioni nel paramento'!$G$60*(sezione!$AN$29-C637)/C637</f>
        <v>1.3026787662015341E-3</v>
      </c>
      <c r="N637" s="551">
        <f>'Sollecitazioni nel paramento'!$G$60*(sezione!$AO$29-C637)/C637</f>
        <v>6.1053575324030683E-3</v>
      </c>
      <c r="O637" s="551">
        <f>'Sollecitazioni nel paramento'!$G$60*(sezione!$AP$29-C637)/C637</f>
        <v>1.5833954734546313E-2</v>
      </c>
      <c r="P637" s="545">
        <f>-'Sollecitazioni nel paramento'!$G$47*'Sollecitazioni nel paramento'!$G$41*IF(DATI!$G$211="dx",DATI!$E$61,DATI!$E$64*DATI!$E$63)*1000*C637*sezione!$AD$5</f>
        <v>-2221085.4648595862</v>
      </c>
      <c r="Q637" s="545">
        <f>'Foglio deposito bis'!$F$48*IF(ABS(K637)&lt;'Sollecitazioni nel paramento'!$G$58,ABS(K637)*'Sollecitazioni nel paramento'!$G$54,'Sollecitazioni nel paramento'!$G$53)*IF(K637&lt;0,-1,1)</f>
        <v>0</v>
      </c>
      <c r="R637" s="545">
        <f>'Foglio deposito bis'!$F$49*IF(ABS(L637)&lt;'Sollecitazioni nel paramento'!$G$58,ABS(L637)*'Sollecitazioni nel paramento'!$G$54,'Sollecitazioni nel paramento'!$G$53)*IF(L637&lt;0,-1,1)</f>
        <v>11002.836276975138</v>
      </c>
      <c r="S637" s="545">
        <f>'Foglio deposito bis'!$F$50*IF(ABS(M637)&lt;'Sollecitazioni nel paramento'!$G$58,ABS(M637)*'Sollecitazioni nel paramento'!$G$54,'Sollecitazioni nel paramento'!$G$53)*IF(M637&lt;0,-1,1)</f>
        <v>0</v>
      </c>
      <c r="T637" s="545">
        <f>'Foglio deposito bis'!$F$51*IF(ABS(N637)&lt;'Sollecitazioni nel paramento'!$G$58,ABS(N637)*'Sollecitazioni nel paramento'!$G$54,'Sollecitazioni nel paramento'!$G$53)*IF(N637&lt;0,-1,1)</f>
        <v>240946.49743184328</v>
      </c>
      <c r="U637" s="545">
        <f>'Foglio deposito bis'!$F$52*IF(ABS(O637)&lt;'Sollecitazioni nel paramento'!$G$58,ABS(O637)*'Sollecitazioni nel paramento'!$G$54,'Sollecitazioni nel paramento'!$G$53)*IF(O637&lt;0,-1,1)</f>
        <v>240946.49743184328</v>
      </c>
      <c r="V637" s="472">
        <f t="shared" si="48"/>
        <v>-1728189.6337189246</v>
      </c>
      <c r="W637" s="551"/>
      <c r="X637" s="551"/>
    </row>
    <row r="638" spans="1:24" x14ac:dyDescent="0.25">
      <c r="A638" s="545">
        <f t="shared" si="49"/>
        <v>1771940.5789390821</v>
      </c>
      <c r="B638" s="3">
        <f t="shared" si="46"/>
        <v>12.099999999999978</v>
      </c>
      <c r="C638" s="545">
        <f>'Foglio deposito bis'!$E$155/sezione!$B$247*B638</f>
        <v>59.280642369116151</v>
      </c>
      <c r="D638" s="603">
        <f>-'Sollecitazioni nel paramento'!$G$47*'Sollecitazioni nel paramento'!$G$41*IF(DATI!$G$211="dx",DATI!$E$61,DATI!$E$64*DATI!$E$63)*1000*C638^2*sezione!$AD$5*(1-sezione!$AD$6)</f>
        <v>-78186077.762170121</v>
      </c>
      <c r="E638" s="545">
        <f>-'Foglio deposito bis'!$F$48*(C638-sezione!$AL$29)*IF(ABS(K638)&lt;'Sollecitazioni nel paramento'!$G$58,ABS(K638)*'Sollecitazioni nel paramento'!$G$54,'Sollecitazioni nel paramento'!$G$53)</f>
        <v>0</v>
      </c>
      <c r="F638" s="545">
        <f>-'Foglio deposito bis'!$F$49*(C638-sezione!$AM$29)*IF(ABS(L638)&lt;'Sollecitazioni nel paramento'!$G$58,ABS(L638)*'Sollecitazioni nel paramento'!$G$54,'Sollecitazioni nel paramento'!$G$53)</f>
        <v>3295.4194135619296</v>
      </c>
      <c r="G638" s="545">
        <f>-'Foglio deposito bis'!$F$50*(C638-sezione!$AN$29)*IF(ABS(M638)&lt;'Sollecitazioni nel paramento'!$G$58,ABS(M638)*'Sollecitazioni nel paramento'!$G$54,'Sollecitazioni nel paramento'!$G$53)</f>
        <v>0</v>
      </c>
      <c r="H638" s="545">
        <f>-'Foglio deposito bis'!$F$51*(C638-sezione!$AO$29)*IF(ABS(N638)&lt;'Sollecitazioni nel paramento'!$G$58,ABS(N638)*'Sollecitazioni nel paramento'!$G$54,'Sollecitazioni nel paramento'!$G$53)</f>
        <v>24267976.444746658</v>
      </c>
      <c r="I638" s="472">
        <f>-'Foglio deposito bis'!$F$52*(C638-sezione!$AP$29)*IF(ABS(O638)&lt;'Sollecitazioni nel paramento'!$G$58,ABS(O638)*'Sollecitazioni nel paramento'!$G$54,'Sollecitazioni nel paramento'!$G$53)</f>
        <v>63314042.773860469</v>
      </c>
      <c r="J638" s="472">
        <f t="shared" si="47"/>
        <v>9399236.8758505732</v>
      </c>
      <c r="K638" s="550">
        <f>'Sollecitazioni nel paramento'!$G$60*(sezione!$AL$29-C638)/C638</f>
        <v>-1.1383521769504851E-3</v>
      </c>
      <c r="L638" s="550">
        <f>'Sollecitazioni nel paramento'!$G$60*(sezione!$AM$29-C638)/C638</f>
        <v>4.247173457427245E-5</v>
      </c>
      <c r="M638" s="551">
        <f>'Sollecitazioni nel paramento'!$G$60*(sezione!$AN$29-C638)/C638</f>
        <v>1.2232956460990301E-3</v>
      </c>
      <c r="N638" s="551">
        <f>'Sollecitazioni nel paramento'!$G$60*(sezione!$AO$29-C638)/C638</f>
        <v>5.9465912921980594E-3</v>
      </c>
      <c r="O638" s="551">
        <f>'Sollecitazioni nel paramento'!$G$60*(sezione!$AP$29-C638)/C638</f>
        <v>1.5514385234801748E-2</v>
      </c>
      <c r="P638" s="545">
        <f>-'Sollecitazioni nel paramento'!$G$47*'Sollecitazioni nel paramento'!$G$41*IF(DATI!$G$211="dx",DATI!$E$61,DATI!$E$64*DATI!$E$63)*1000*C638*sezione!$AD$5</f>
        <v>-2258414.6323362174</v>
      </c>
      <c r="Q638" s="545">
        <f>'Foglio deposito bis'!$F$48*IF(ABS(K638)&lt;'Sollecitazioni nel paramento'!$G$58,ABS(K638)*'Sollecitazioni nel paramento'!$G$54,'Sollecitazioni nel paramento'!$G$53)*IF(K638&lt;0,-1,1)</f>
        <v>0</v>
      </c>
      <c r="R638" s="545">
        <f>'Foglio deposito bis'!$F$49*IF(ABS(L638)&lt;'Sollecitazioni nel paramento'!$G$58,ABS(L638)*'Sollecitazioni nel paramento'!$G$54,'Sollecitazioni nel paramento'!$G$53)*IF(L638&lt;0,-1,1)</f>
        <v>4581.0585334487478</v>
      </c>
      <c r="S638" s="545">
        <f>'Foglio deposito bis'!$F$50*IF(ABS(M638)&lt;'Sollecitazioni nel paramento'!$G$58,ABS(M638)*'Sollecitazioni nel paramento'!$G$54,'Sollecitazioni nel paramento'!$G$53)*IF(M638&lt;0,-1,1)</f>
        <v>0</v>
      </c>
      <c r="T638" s="545">
        <f>'Foglio deposito bis'!$F$51*IF(ABS(N638)&lt;'Sollecitazioni nel paramento'!$G$58,ABS(N638)*'Sollecitazioni nel paramento'!$G$54,'Sollecitazioni nel paramento'!$G$53)*IF(N638&lt;0,-1,1)</f>
        <v>240946.49743184328</v>
      </c>
      <c r="U638" s="545">
        <f>'Foglio deposito bis'!$F$52*IF(ABS(O638)&lt;'Sollecitazioni nel paramento'!$G$58,ABS(O638)*'Sollecitazioni nel paramento'!$G$54,'Sollecitazioni nel paramento'!$G$53)*IF(O638&lt;0,-1,1)</f>
        <v>240946.49743184328</v>
      </c>
      <c r="V638" s="472">
        <f t="shared" si="48"/>
        <v>-1771940.5789390821</v>
      </c>
      <c r="W638" s="551"/>
      <c r="X638" s="551"/>
    </row>
    <row r="639" spans="1:24" x14ac:dyDescent="0.25">
      <c r="A639" s="545">
        <f t="shared" si="49"/>
        <v>1815482.6858586376</v>
      </c>
      <c r="B639" s="3">
        <f t="shared" si="46"/>
        <v>12.299999999999978</v>
      </c>
      <c r="C639" s="545">
        <f>'Foglio deposito bis'!$E$155/sezione!$B$247*B639</f>
        <v>60.260487697531296</v>
      </c>
      <c r="D639" s="603">
        <f>-'Sollecitazioni nel paramento'!$G$47*'Sollecitazioni nel paramento'!$G$41*IF(DATI!$G$211="dx",DATI!$E$61,DATI!$E$64*DATI!$E$63)*1000*C639^2*sezione!$AD$5*(1-sezione!$AD$6)</f>
        <v>-80792102.347098678</v>
      </c>
      <c r="E639" s="545">
        <f>-'Foglio deposito bis'!$F$48*(C639-sezione!$AL$29)*IF(ABS(K639)&lt;'Sollecitazioni nel paramento'!$G$58,ABS(K639)*'Sollecitazioni nel paramento'!$G$54,'Sollecitazioni nel paramento'!$G$53)</f>
        <v>0</v>
      </c>
      <c r="F639" s="545">
        <f>-'Foglio deposito bis'!$F$49*(C639-sezione!$AM$29)*IF(ABS(L639)&lt;'Sollecitazioni nel paramento'!$G$58,ABS(L639)*'Sollecitazioni nel paramento'!$G$54,'Sollecitazioni nel paramento'!$G$53)</f>
        <v>-425.08490075447321</v>
      </c>
      <c r="G639" s="545">
        <f>-'Foglio deposito bis'!$F$50*(C639-sezione!$AN$29)*IF(ABS(M639)&lt;'Sollecitazioni nel paramento'!$G$58,ABS(M639)*'Sollecitazioni nel paramento'!$G$54,'Sollecitazioni nel paramento'!$G$53)</f>
        <v>0</v>
      </c>
      <c r="H639" s="545">
        <f>-'Foglio deposito bis'!$F$51*(C639-sezione!$AO$29)*IF(ABS(N639)&lt;'Sollecitazioni nel paramento'!$G$58,ABS(N639)*'Sollecitazioni nel paramento'!$G$54,'Sollecitazioni nel paramento'!$G$53)</f>
        <v>24031886.144840077</v>
      </c>
      <c r="I639" s="472">
        <f>-'Foglio deposito bis'!$F$52*(C639-sezione!$AP$29)*IF(ABS(O639)&lt;'Sollecitazioni nel paramento'!$G$58,ABS(O639)*'Sollecitazioni nel paramento'!$G$54,'Sollecitazioni nel paramento'!$G$53)</f>
        <v>63077952.473953895</v>
      </c>
      <c r="J639" s="472">
        <f t="shared" si="47"/>
        <v>6317311.1867945418</v>
      </c>
      <c r="K639" s="550">
        <f>'Sollecitazioni nel paramento'!$G$60*(sezione!$AL$29-C639)/C639</f>
        <v>-1.1767529545610464E-3</v>
      </c>
      <c r="L639" s="550">
        <f>'Sollecitazioni nel paramento'!$G$60*(sezione!$AM$29-C639)/C639</f>
        <v>-1.5129431841569494E-5</v>
      </c>
      <c r="M639" s="551">
        <f>'Sollecitazioni nel paramento'!$G$60*(sezione!$AN$29-C639)/C639</f>
        <v>1.1464940908779073E-3</v>
      </c>
      <c r="N639" s="551">
        <f>'Sollecitazioni nel paramento'!$G$60*(sezione!$AO$29-C639)/C639</f>
        <v>5.792988181755815E-3</v>
      </c>
      <c r="O639" s="551">
        <f>'Sollecitazioni nel paramento'!$G$60*(sezione!$AP$29-C639)/C639</f>
        <v>1.5205208239113914E-2</v>
      </c>
      <c r="P639" s="545">
        <f>-'Sollecitazioni nel paramento'!$G$47*'Sollecitazioni nel paramento'!$G$41*IF(DATI!$G$211="dx",DATI!$E$61,DATI!$E$64*DATI!$E$63)*1000*C639*sezione!$AD$5</f>
        <v>-2295743.7998128491</v>
      </c>
      <c r="Q639" s="545">
        <f>'Foglio deposito bis'!$F$48*IF(ABS(K639)&lt;'Sollecitazioni nel paramento'!$G$58,ABS(K639)*'Sollecitazioni nel paramento'!$G$54,'Sollecitazioni nel paramento'!$G$53)*IF(K639&lt;0,-1,1)</f>
        <v>0</v>
      </c>
      <c r="R639" s="545">
        <f>'Foglio deposito bis'!$F$49*IF(ABS(L639)&lt;'Sollecitazioni nel paramento'!$G$58,ABS(L639)*'Sollecitazioni nel paramento'!$G$54,'Sollecitazioni nel paramento'!$G$53)*IF(L639&lt;0,-1,1)</f>
        <v>-1631.8809094752028</v>
      </c>
      <c r="S639" s="545">
        <f>'Foglio deposito bis'!$F$50*IF(ABS(M639)&lt;'Sollecitazioni nel paramento'!$G$58,ABS(M639)*'Sollecitazioni nel paramento'!$G$54,'Sollecitazioni nel paramento'!$G$53)*IF(M639&lt;0,-1,1)</f>
        <v>0</v>
      </c>
      <c r="T639" s="545">
        <f>'Foglio deposito bis'!$F$51*IF(ABS(N639)&lt;'Sollecitazioni nel paramento'!$G$58,ABS(N639)*'Sollecitazioni nel paramento'!$G$54,'Sollecitazioni nel paramento'!$G$53)*IF(N639&lt;0,-1,1)</f>
        <v>240946.49743184328</v>
      </c>
      <c r="U639" s="545">
        <f>'Foglio deposito bis'!$F$52*IF(ABS(O639)&lt;'Sollecitazioni nel paramento'!$G$58,ABS(O639)*'Sollecitazioni nel paramento'!$G$54,'Sollecitazioni nel paramento'!$G$53)*IF(O639&lt;0,-1,1)</f>
        <v>240946.49743184328</v>
      </c>
      <c r="V639" s="472">
        <f t="shared" si="48"/>
        <v>-1815482.6858586376</v>
      </c>
      <c r="W639" s="551"/>
      <c r="X639" s="551"/>
    </row>
    <row r="640" spans="1:24" x14ac:dyDescent="0.25">
      <c r="A640" s="545">
        <f t="shared" si="49"/>
        <v>1858825.9787160198</v>
      </c>
      <c r="B640" s="3">
        <f t="shared" si="46"/>
        <v>12.499999999999977</v>
      </c>
      <c r="C640" s="545">
        <f>'Foglio deposito bis'!$E$155/sezione!$B$247*B640</f>
        <v>61.240333025946434</v>
      </c>
      <c r="D640" s="603">
        <f>-'Sollecitazioni nel paramento'!$G$47*'Sollecitazioni nel paramento'!$G$41*IF(DATI!$G$211="dx",DATI!$E$61,DATI!$E$64*DATI!$E$63)*1000*C640^2*sezione!$AD$5*(1-sezione!$AD$6)</f>
        <v>-83440848.646534249</v>
      </c>
      <c r="E640" s="545">
        <f>-'Foglio deposito bis'!$F$48*(C640-sezione!$AL$29)*IF(ABS(K640)&lt;'Sollecitazioni nel paramento'!$G$58,ABS(K640)*'Sollecitazioni nel paramento'!$G$54,'Sollecitazioni nel paramento'!$G$53)</f>
        <v>0</v>
      </c>
      <c r="F640" s="545">
        <f>-'Foglio deposito bis'!$F$49*(C640-sezione!$AM$29)*IF(ABS(L640)&lt;'Sollecitazioni nel paramento'!$G$58,ABS(L640)*'Sollecitazioni nel paramento'!$G$54,'Sollecitazioni nel paramento'!$G$53)</f>
        <v>-9483.5941183609175</v>
      </c>
      <c r="G640" s="545">
        <f>-'Foglio deposito bis'!$F$50*(C640-sezione!$AN$29)*IF(ABS(M640)&lt;'Sollecitazioni nel paramento'!$G$58,ABS(M640)*'Sollecitazioni nel paramento'!$G$54,'Sollecitazioni nel paramento'!$G$53)</f>
        <v>0</v>
      </c>
      <c r="H640" s="545">
        <f>-'Foglio deposito bis'!$F$51*(C640-sezione!$AO$29)*IF(ABS(N640)&lt;'Sollecitazioni nel paramento'!$G$58,ABS(N640)*'Sollecitazioni nel paramento'!$G$54,'Sollecitazioni nel paramento'!$G$53)</f>
        <v>23795795.844933495</v>
      </c>
      <c r="I640" s="472">
        <f>-'Foglio deposito bis'!$F$52*(C640-sezione!$AP$29)*IF(ABS(O640)&lt;'Sollecitazioni nel paramento'!$G$58,ABS(O640)*'Sollecitazioni nel paramento'!$G$54,'Sollecitazioni nel paramento'!$G$53)</f>
        <v>62841862.174047306</v>
      </c>
      <c r="J640" s="472">
        <f t="shared" si="47"/>
        <v>3187325.7783281952</v>
      </c>
      <c r="K640" s="550">
        <f>'Sollecitazioni nel paramento'!$G$60*(sezione!$AL$29-C640)/C640</f>
        <v>-1.2139249072880694E-3</v>
      </c>
      <c r="L640" s="550">
        <f>'Sollecitazioni nel paramento'!$G$60*(sezione!$AM$29-C640)/C640</f>
        <v>-7.0887360932104084E-5</v>
      </c>
      <c r="M640" s="551">
        <f>'Sollecitazioni nel paramento'!$G$60*(sezione!$AN$29-C640)/C640</f>
        <v>1.0721501854238614E-3</v>
      </c>
      <c r="N640" s="551">
        <f>'Sollecitazioni nel paramento'!$G$60*(sezione!$AO$29-C640)/C640</f>
        <v>5.6443003708477229E-3</v>
      </c>
      <c r="O640" s="551">
        <f>'Sollecitazioni nel paramento'!$G$60*(sezione!$AP$29-C640)/C640</f>
        <v>1.4905924907288093E-2</v>
      </c>
      <c r="P640" s="545">
        <f>-'Sollecitazioni nel paramento'!$G$47*'Sollecitazioni nel paramento'!$G$41*IF(DATI!$G$211="dx",DATI!$E$61,DATI!$E$64*DATI!$E$63)*1000*C640*sezione!$AD$5</f>
        <v>-2333072.9672894808</v>
      </c>
      <c r="Q640" s="545">
        <f>'Foglio deposito bis'!$F$48*IF(ABS(K640)&lt;'Sollecitazioni nel paramento'!$G$58,ABS(K640)*'Sollecitazioni nel paramento'!$G$54,'Sollecitazioni nel paramento'!$G$53)*IF(K640&lt;0,-1,1)</f>
        <v>0</v>
      </c>
      <c r="R640" s="545">
        <f>'Foglio deposito bis'!$F$49*IF(ABS(L640)&lt;'Sollecitazioni nel paramento'!$G$58,ABS(L640)*'Sollecitazioni nel paramento'!$G$54,'Sollecitazioni nel paramento'!$G$53)*IF(L640&lt;0,-1,1)</f>
        <v>-7646.0062902255431</v>
      </c>
      <c r="S640" s="545">
        <f>'Foglio deposito bis'!$F$50*IF(ABS(M640)&lt;'Sollecitazioni nel paramento'!$G$58,ABS(M640)*'Sollecitazioni nel paramento'!$G$54,'Sollecitazioni nel paramento'!$G$53)*IF(M640&lt;0,-1,1)</f>
        <v>0</v>
      </c>
      <c r="T640" s="545">
        <f>'Foglio deposito bis'!$F$51*IF(ABS(N640)&lt;'Sollecitazioni nel paramento'!$G$58,ABS(N640)*'Sollecitazioni nel paramento'!$G$54,'Sollecitazioni nel paramento'!$G$53)*IF(N640&lt;0,-1,1)</f>
        <v>240946.49743184328</v>
      </c>
      <c r="U640" s="545">
        <f>'Foglio deposito bis'!$F$52*IF(ABS(O640)&lt;'Sollecitazioni nel paramento'!$G$58,ABS(O640)*'Sollecitazioni nel paramento'!$G$54,'Sollecitazioni nel paramento'!$G$53)*IF(O640&lt;0,-1,1)</f>
        <v>240946.49743184328</v>
      </c>
      <c r="V640" s="472">
        <f t="shared" si="48"/>
        <v>-1858825.9787160198</v>
      </c>
      <c r="W640" s="551"/>
      <c r="X640" s="551"/>
    </row>
    <row r="641" spans="1:24" x14ac:dyDescent="0.25">
      <c r="A641" s="545">
        <f t="shared" si="49"/>
        <v>1901979.8503015672</v>
      </c>
      <c r="B641" s="3">
        <f t="shared" si="46"/>
        <v>12.699999999999976</v>
      </c>
      <c r="C641" s="545">
        <f>'Foglio deposito bis'!$E$155/sezione!$B$247*B641</f>
        <v>62.220178354361579</v>
      </c>
      <c r="D641" s="603">
        <f>-'Sollecitazioni nel paramento'!$G$47*'Sollecitazioni nel paramento'!$G$41*IF(DATI!$G$211="dx",DATI!$E$61,DATI!$E$64*DATI!$E$63)*1000*C641^2*sezione!$AD$5*(1-sezione!$AD$6)</f>
        <v>-86132316.660476878</v>
      </c>
      <c r="E641" s="545">
        <f>-'Foglio deposito bis'!$F$48*(C641-sezione!$AL$29)*IF(ABS(K641)&lt;'Sollecitazioni nel paramento'!$G$58,ABS(K641)*'Sollecitazioni nel paramento'!$G$54,'Sollecitazioni nel paramento'!$G$53)</f>
        <v>0</v>
      </c>
      <c r="F641" s="545">
        <f>-'Foglio deposito bis'!$F$49*(C641-sezione!$AM$29)*IF(ABS(L641)&lt;'Sollecitazioni nel paramento'!$G$58,ABS(L641)*'Sollecitazioni nel paramento'!$G$54,'Sollecitazioni nel paramento'!$G$53)</f>
        <v>-29907.379646046877</v>
      </c>
      <c r="G641" s="545">
        <f>-'Foglio deposito bis'!$F$50*(C641-sezione!$AN$29)*IF(ABS(M641)&lt;'Sollecitazioni nel paramento'!$G$58,ABS(M641)*'Sollecitazioni nel paramento'!$G$54,'Sollecitazioni nel paramento'!$G$53)</f>
        <v>0</v>
      </c>
      <c r="H641" s="545">
        <f>-'Foglio deposito bis'!$F$51*(C641-sezione!$AO$29)*IF(ABS(N641)&lt;'Sollecitazioni nel paramento'!$G$58,ABS(N641)*'Sollecitazioni nel paramento'!$G$54,'Sollecitazioni nel paramento'!$G$53)</f>
        <v>23559705.54502691</v>
      </c>
      <c r="I641" s="472">
        <f>-'Foglio deposito bis'!$F$52*(C641-sezione!$AP$29)*IF(ABS(O641)&lt;'Sollecitazioni nel paramento'!$G$58,ABS(O641)*'Sollecitazioni nel paramento'!$G$54,'Sollecitazioni nel paramento'!$G$53)</f>
        <v>62605771.874140732</v>
      </c>
      <c r="J641" s="472">
        <f t="shared" si="47"/>
        <v>3253.3790447190404</v>
      </c>
      <c r="K641" s="550">
        <f>'Sollecitazioni nel paramento'!$G$60*(sezione!$AL$29-C641)/C641</f>
        <v>-1.2499260898504621E-3</v>
      </c>
      <c r="L641" s="550">
        <f>'Sollecitazioni nel paramento'!$G$60*(sezione!$AM$29-C641)/C641</f>
        <v>-1.2488913477569312E-4</v>
      </c>
      <c r="M641" s="551">
        <f>'Sollecitazioni nel paramento'!$G$60*(sezione!$AN$29-C641)/C641</f>
        <v>1.0001478202990759E-3</v>
      </c>
      <c r="N641" s="551">
        <f>'Sollecitazioni nel paramento'!$G$60*(sezione!$AO$29-C641)/C641</f>
        <v>5.5002956405981523E-3</v>
      </c>
      <c r="O641" s="551">
        <f>'Sollecitazioni nel paramento'!$G$60*(sezione!$AP$29-C641)/C641</f>
        <v>1.4616067822133949E-2</v>
      </c>
      <c r="P641" s="545">
        <f>-'Sollecitazioni nel paramento'!$G$47*'Sollecitazioni nel paramento'!$G$41*IF(DATI!$G$211="dx",DATI!$E$61,DATI!$E$64*DATI!$E$63)*1000*C641*sezione!$AD$5</f>
        <v>-2370402.1347661125</v>
      </c>
      <c r="Q641" s="545">
        <f>'Foglio deposito bis'!$F$48*IF(ABS(K641)&lt;'Sollecitazioni nel paramento'!$G$58,ABS(K641)*'Sollecitazioni nel paramento'!$G$54,'Sollecitazioni nel paramento'!$G$53)*IF(K641&lt;0,-1,1)</f>
        <v>0</v>
      </c>
      <c r="R641" s="545">
        <f>'Foglio deposito bis'!$F$49*IF(ABS(L641)&lt;'Sollecitazioni nel paramento'!$G$58,ABS(L641)*'Sollecitazioni nel paramento'!$G$54,'Sollecitazioni nel paramento'!$G$53)*IF(L641&lt;0,-1,1)</f>
        <v>-13470.710399141271</v>
      </c>
      <c r="S641" s="545">
        <f>'Foglio deposito bis'!$F$50*IF(ABS(M641)&lt;'Sollecitazioni nel paramento'!$G$58,ABS(M641)*'Sollecitazioni nel paramento'!$G$54,'Sollecitazioni nel paramento'!$G$53)*IF(M641&lt;0,-1,1)</f>
        <v>0</v>
      </c>
      <c r="T641" s="545">
        <f>'Foglio deposito bis'!$F$51*IF(ABS(N641)&lt;'Sollecitazioni nel paramento'!$G$58,ABS(N641)*'Sollecitazioni nel paramento'!$G$54,'Sollecitazioni nel paramento'!$G$53)*IF(N641&lt;0,-1,1)</f>
        <v>240946.49743184328</v>
      </c>
      <c r="U641" s="545">
        <f>'Foglio deposito bis'!$F$52*IF(ABS(O641)&lt;'Sollecitazioni nel paramento'!$G$58,ABS(O641)*'Sollecitazioni nel paramento'!$G$54,'Sollecitazioni nel paramento'!$G$53)*IF(O641&lt;0,-1,1)</f>
        <v>240946.49743184328</v>
      </c>
      <c r="V641" s="472">
        <f t="shared" si="48"/>
        <v>-1901979.8503015672</v>
      </c>
      <c r="W641" s="551"/>
      <c r="X641" s="551"/>
    </row>
    <row r="642" spans="1:24" x14ac:dyDescent="0.25">
      <c r="A642" s="545">
        <f t="shared" si="49"/>
        <v>1944953.1109069933</v>
      </c>
      <c r="B642" s="3">
        <f t="shared" si="46"/>
        <v>12.899999999999975</v>
      </c>
      <c r="C642" s="545">
        <f>'Foglio deposito bis'!$E$155/sezione!$B$247*B642</f>
        <v>63.200023682776717</v>
      </c>
      <c r="D642" s="603">
        <f>-'Sollecitazioni nel paramento'!$G$47*'Sollecitazioni nel paramento'!$G$41*IF(DATI!$G$211="dx",DATI!$E$61,DATI!$E$64*DATI!$E$63)*1000*C642^2*sezione!$AD$5*(1-sezione!$AD$6)</f>
        <v>-88866506.388926506</v>
      </c>
      <c r="E642" s="545">
        <f>-'Foglio deposito bis'!$F$48*(C642-sezione!$AL$29)*IF(ABS(K642)&lt;'Sollecitazioni nel paramento'!$G$58,ABS(K642)*'Sollecitazioni nel paramento'!$G$54,'Sollecitazioni nel paramento'!$G$53)</f>
        <v>0</v>
      </c>
      <c r="F642" s="545">
        <f>-'Foglio deposito bis'!$F$49*(C642-sezione!$AM$29)*IF(ABS(L642)&lt;'Sollecitazioni nel paramento'!$G$58,ABS(L642)*'Sollecitazioni nel paramento'!$G$54,'Sollecitazioni nel paramento'!$G$53)</f>
        <v>-61167.823981017653</v>
      </c>
      <c r="G642" s="545">
        <f>-'Foglio deposito bis'!$F$50*(C642-sezione!$AN$29)*IF(ABS(M642)&lt;'Sollecitazioni nel paramento'!$G$58,ABS(M642)*'Sollecitazioni nel paramento'!$G$54,'Sollecitazioni nel paramento'!$G$53)</f>
        <v>0</v>
      </c>
      <c r="H642" s="545">
        <f>-'Foglio deposito bis'!$F$51*(C642-sezione!$AO$29)*IF(ABS(N642)&lt;'Sollecitazioni nel paramento'!$G$58,ABS(N642)*'Sollecitazioni nel paramento'!$G$54,'Sollecitazioni nel paramento'!$G$53)</f>
        <v>23323615.245120332</v>
      </c>
      <c r="I642" s="472">
        <f>-'Foglio deposito bis'!$F$52*(C642-sezione!$AP$29)*IF(ABS(O642)&lt;'Sollecitazioni nel paramento'!$G$58,ABS(O642)*'Sollecitazioni nel paramento'!$G$54,'Sollecitazioni nel paramento'!$G$53)</f>
        <v>62369681.57423415</v>
      </c>
      <c r="J642" s="472">
        <f t="shared" si="47"/>
        <v>-3234377.3935530409</v>
      </c>
      <c r="K642" s="550">
        <f>'Sollecitazioni nel paramento'!$G$60*(sezione!$AL$29-C642)/C642</f>
        <v>-1.2848109566744859E-3</v>
      </c>
      <c r="L642" s="550">
        <f>'Sollecitazioni nel paramento'!$G$60*(sezione!$AM$29-C642)/C642</f>
        <v>-1.772164350117286E-4</v>
      </c>
      <c r="M642" s="551">
        <f>'Sollecitazioni nel paramento'!$G$60*(sezione!$AN$29-C642)/C642</f>
        <v>9.3037808665102852E-4</v>
      </c>
      <c r="N642" s="551">
        <f>'Sollecitazioni nel paramento'!$G$60*(sezione!$AO$29-C642)/C642</f>
        <v>5.3607561733020571E-3</v>
      </c>
      <c r="O642" s="551">
        <f>'Sollecitazioni nel paramento'!$G$60*(sezione!$AP$29-C642)/C642</f>
        <v>1.4335198553573734E-2</v>
      </c>
      <c r="P642" s="545">
        <f>-'Sollecitazioni nel paramento'!$G$47*'Sollecitazioni nel paramento'!$G$41*IF(DATI!$G$211="dx",DATI!$E$61,DATI!$E$64*DATI!$E$63)*1000*C642*sezione!$AD$5</f>
        <v>-2407731.3022427442</v>
      </c>
      <c r="Q642" s="545">
        <f>'Foglio deposito bis'!$F$48*IF(ABS(K642)&lt;'Sollecitazioni nel paramento'!$G$58,ABS(K642)*'Sollecitazioni nel paramento'!$G$54,'Sollecitazioni nel paramento'!$G$53)*IF(K642&lt;0,-1,1)</f>
        <v>0</v>
      </c>
      <c r="R642" s="545">
        <f>'Foglio deposito bis'!$F$49*IF(ABS(L642)&lt;'Sollecitazioni nel paramento'!$G$58,ABS(L642)*'Sollecitazioni nel paramento'!$G$54,'Sollecitazioni nel paramento'!$G$53)*IF(L642&lt;0,-1,1)</f>
        <v>-19114.803527935539</v>
      </c>
      <c r="S642" s="545">
        <f>'Foglio deposito bis'!$F$50*IF(ABS(M642)&lt;'Sollecitazioni nel paramento'!$G$58,ABS(M642)*'Sollecitazioni nel paramento'!$G$54,'Sollecitazioni nel paramento'!$G$53)*IF(M642&lt;0,-1,1)</f>
        <v>0</v>
      </c>
      <c r="T642" s="545">
        <f>'Foglio deposito bis'!$F$51*IF(ABS(N642)&lt;'Sollecitazioni nel paramento'!$G$58,ABS(N642)*'Sollecitazioni nel paramento'!$G$54,'Sollecitazioni nel paramento'!$G$53)*IF(N642&lt;0,-1,1)</f>
        <v>240946.49743184328</v>
      </c>
      <c r="U642" s="545">
        <f>'Foglio deposito bis'!$F$52*IF(ABS(O642)&lt;'Sollecitazioni nel paramento'!$G$58,ABS(O642)*'Sollecitazioni nel paramento'!$G$54,'Sollecitazioni nel paramento'!$G$53)*IF(O642&lt;0,-1,1)</f>
        <v>240946.49743184328</v>
      </c>
      <c r="V642" s="472">
        <f t="shared" si="48"/>
        <v>-1944953.1109069933</v>
      </c>
      <c r="W642" s="551"/>
      <c r="X642" s="551"/>
    </row>
    <row r="643" spans="1:24" x14ac:dyDescent="0.25">
      <c r="A643" s="545">
        <f t="shared" si="49"/>
        <v>1987754.0327909288</v>
      </c>
      <c r="B643" s="3">
        <f t="shared" si="46"/>
        <v>13.099999999999975</v>
      </c>
      <c r="C643" s="545">
        <f>'Foglio deposito bis'!$E$155/sezione!$B$247*B643</f>
        <v>64.179869011191855</v>
      </c>
      <c r="D643" s="603">
        <f>-'Sollecitazioni nel paramento'!$G$47*'Sollecitazioni nel paramento'!$G$41*IF(DATI!$G$211="dx",DATI!$E$61,DATI!$E$64*DATI!$E$63)*1000*C643^2*sezione!$AD$5*(1-sezione!$AD$6)</f>
        <v>-91643417.831883147</v>
      </c>
      <c r="E643" s="545">
        <f>-'Foglio deposito bis'!$F$48*(C643-sezione!$AL$29)*IF(ABS(K643)&lt;'Sollecitazioni nel paramento'!$G$58,ABS(K643)*'Sollecitazioni nel paramento'!$G$54,'Sollecitazioni nel paramento'!$G$53)</f>
        <v>0</v>
      </c>
      <c r="F643" s="545">
        <f>-'Foglio deposito bis'!$F$49*(C643-sezione!$AM$29)*IF(ABS(L643)&lt;'Sollecitazioni nel paramento'!$G$58,ABS(L643)*'Sollecitazioni nel paramento'!$G$54,'Sollecitazioni nel paramento'!$G$53)</f>
        <v>-102768.59160538249</v>
      </c>
      <c r="G643" s="545">
        <f>-'Foglio deposito bis'!$F$50*(C643-sezione!$AN$29)*IF(ABS(M643)&lt;'Sollecitazioni nel paramento'!$G$58,ABS(M643)*'Sollecitazioni nel paramento'!$G$54,'Sollecitazioni nel paramento'!$G$53)</f>
        <v>0</v>
      </c>
      <c r="H643" s="545">
        <f>-'Foglio deposito bis'!$F$51*(C643-sezione!$AO$29)*IF(ABS(N643)&lt;'Sollecitazioni nel paramento'!$G$58,ABS(N643)*'Sollecitazioni nel paramento'!$G$54,'Sollecitazioni nel paramento'!$G$53)</f>
        <v>23087524.945213746</v>
      </c>
      <c r="I643" s="472">
        <f>-'Foglio deposito bis'!$F$52*(C643-sezione!$AP$29)*IF(ABS(O643)&lt;'Sollecitazioni nel paramento'!$G$58,ABS(O643)*'Sollecitazioni nel paramento'!$G$54,'Sollecitazioni nel paramento'!$G$53)</f>
        <v>62133591.274327561</v>
      </c>
      <c r="J643" s="472">
        <f t="shared" si="47"/>
        <v>-6525070.2039472163</v>
      </c>
      <c r="K643" s="550">
        <f>'Sollecitazioni nel paramento'!$G$60*(sezione!$AL$29-C643)/C643</f>
        <v>-1.3186306367252568E-3</v>
      </c>
      <c r="L643" s="550">
        <f>'Sollecitazioni nel paramento'!$G$60*(sezione!$AM$29-C643)/C643</f>
        <v>-2.2794595508788518E-4</v>
      </c>
      <c r="M643" s="551">
        <f>'Sollecitazioni nel paramento'!$G$60*(sezione!$AN$29-C643)/C643</f>
        <v>8.6273872654948653E-4</v>
      </c>
      <c r="N643" s="551">
        <f>'Sollecitazioni nel paramento'!$G$60*(sezione!$AO$29-C643)/C643</f>
        <v>5.2254774530989733E-3</v>
      </c>
      <c r="O643" s="551">
        <f>'Sollecitazioni nel paramento'!$G$60*(sezione!$AP$29-C643)/C643</f>
        <v>1.4062905445885588E-2</v>
      </c>
      <c r="P643" s="545">
        <f>-'Sollecitazioni nel paramento'!$G$47*'Sollecitazioni nel paramento'!$G$41*IF(DATI!$G$211="dx",DATI!$E$61,DATI!$E$64*DATI!$E$63)*1000*C643*sezione!$AD$5</f>
        <v>-2445060.4697193755</v>
      </c>
      <c r="Q643" s="545">
        <f>'Foglio deposito bis'!$F$48*IF(ABS(K643)&lt;'Sollecitazioni nel paramento'!$G$58,ABS(K643)*'Sollecitazioni nel paramento'!$G$54,'Sollecitazioni nel paramento'!$G$53)*IF(K643&lt;0,-1,1)</f>
        <v>0</v>
      </c>
      <c r="R643" s="545">
        <f>'Foglio deposito bis'!$F$49*IF(ABS(L643)&lt;'Sollecitazioni nel paramento'!$G$58,ABS(L643)*'Sollecitazioni nel paramento'!$G$54,'Sollecitazioni nel paramento'!$G$53)*IF(L643&lt;0,-1,1)</f>
        <v>-24586.557935239907</v>
      </c>
      <c r="S643" s="545">
        <f>'Foglio deposito bis'!$F$50*IF(ABS(M643)&lt;'Sollecitazioni nel paramento'!$G$58,ABS(M643)*'Sollecitazioni nel paramento'!$G$54,'Sollecitazioni nel paramento'!$G$53)*IF(M643&lt;0,-1,1)</f>
        <v>0</v>
      </c>
      <c r="T643" s="545">
        <f>'Foglio deposito bis'!$F$51*IF(ABS(N643)&lt;'Sollecitazioni nel paramento'!$G$58,ABS(N643)*'Sollecitazioni nel paramento'!$G$54,'Sollecitazioni nel paramento'!$G$53)*IF(N643&lt;0,-1,1)</f>
        <v>240946.49743184328</v>
      </c>
      <c r="U643" s="545">
        <f>'Foglio deposito bis'!$F$52*IF(ABS(O643)&lt;'Sollecitazioni nel paramento'!$G$58,ABS(O643)*'Sollecitazioni nel paramento'!$G$54,'Sollecitazioni nel paramento'!$G$53)*IF(O643&lt;0,-1,1)</f>
        <v>240946.49743184328</v>
      </c>
      <c r="V643" s="472">
        <f t="shared" si="48"/>
        <v>-1987754.0327909288</v>
      </c>
      <c r="W643" s="551"/>
      <c r="X643" s="551"/>
    </row>
    <row r="644" spans="1:24" x14ac:dyDescent="0.25">
      <c r="A644" s="545">
        <f t="shared" si="49"/>
        <v>2030390.3906325402</v>
      </c>
      <c r="B644" s="3">
        <f t="shared" si="46"/>
        <v>13.299999999999974</v>
      </c>
      <c r="C644" s="545">
        <f>'Foglio deposito bis'!$E$155/sezione!$B$247*B644</f>
        <v>65.159714339606992</v>
      </c>
      <c r="D644" s="603">
        <f>-'Sollecitazioni nel paramento'!$G$47*'Sollecitazioni nel paramento'!$G$41*IF(DATI!$G$211="dx",DATI!$E$61,DATI!$E$64*DATI!$E$63)*1000*C644^2*sezione!$AD$5*(1-sezione!$AD$6)</f>
        <v>-94463050.989346817</v>
      </c>
      <c r="E644" s="545">
        <f>-'Foglio deposito bis'!$F$48*(C644-sezione!$AL$29)*IF(ABS(K644)&lt;'Sollecitazioni nel paramento'!$G$58,ABS(K644)*'Sollecitazioni nel paramento'!$G$54,'Sollecitazioni nel paramento'!$G$53)</f>
        <v>0</v>
      </c>
      <c r="F644" s="545">
        <f>-'Foglio deposito bis'!$F$49*(C644-sezione!$AM$29)*IF(ABS(L644)&lt;'Sollecitazioni nel paramento'!$G$58,ABS(L644)*'Sollecitazioni nel paramento'!$G$54,'Sollecitazioni nel paramento'!$G$53)</f>
        <v>-154243.20176924384</v>
      </c>
      <c r="G644" s="545">
        <f>-'Foglio deposito bis'!$F$50*(C644-sezione!$AN$29)*IF(ABS(M644)&lt;'Sollecitazioni nel paramento'!$G$58,ABS(M644)*'Sollecitazioni nel paramento'!$G$54,'Sollecitazioni nel paramento'!$G$53)</f>
        <v>0</v>
      </c>
      <c r="H644" s="545">
        <f>-'Foglio deposito bis'!$F$51*(C644-sezione!$AO$29)*IF(ABS(N644)&lt;'Sollecitazioni nel paramento'!$G$58,ABS(N644)*'Sollecitazioni nel paramento'!$G$54,'Sollecitazioni nel paramento'!$G$53)</f>
        <v>22851434.645307168</v>
      </c>
      <c r="I644" s="472">
        <f>-'Foglio deposito bis'!$F$52*(C644-sezione!$AP$29)*IF(ABS(O644)&lt;'Sollecitazioni nel paramento'!$G$58,ABS(O644)*'Sollecitazioni nel paramento'!$G$54,'Sollecitazioni nel paramento'!$G$53)</f>
        <v>61897500.974420987</v>
      </c>
      <c r="J644" s="472">
        <f t="shared" si="47"/>
        <v>-9868358.5713879094</v>
      </c>
      <c r="K644" s="550">
        <f>'Sollecitazioni nel paramento'!$G$60*(sezione!$AL$29-C644)/C644</f>
        <v>-1.3514331835414181E-3</v>
      </c>
      <c r="L644" s="550">
        <f>'Sollecitazioni nel paramento'!$G$60*(sezione!$AM$29-C644)/C644</f>
        <v>-2.7714977531212724E-4</v>
      </c>
      <c r="M644" s="551">
        <f>'Sollecitazioni nel paramento'!$G$60*(sezione!$AN$29-C644)/C644</f>
        <v>7.9713363291716377E-4</v>
      </c>
      <c r="N644" s="551">
        <f>'Sollecitazioni nel paramento'!$G$60*(sezione!$AO$29-C644)/C644</f>
        <v>5.0942672658343272E-3</v>
      </c>
      <c r="O644" s="551">
        <f>'Sollecitazioni nel paramento'!$G$60*(sezione!$AP$29-C644)/C644</f>
        <v>1.3798801604594076E-2</v>
      </c>
      <c r="P644" s="545">
        <f>-'Sollecitazioni nel paramento'!$G$47*'Sollecitazioni nel paramento'!$G$41*IF(DATI!$G$211="dx",DATI!$E$61,DATI!$E$64*DATI!$E$63)*1000*C644*sezione!$AD$5</f>
        <v>-2482389.6371960072</v>
      </c>
      <c r="Q644" s="545">
        <f>'Foglio deposito bis'!$F$48*IF(ABS(K644)&lt;'Sollecitazioni nel paramento'!$G$58,ABS(K644)*'Sollecitazioni nel paramento'!$G$54,'Sollecitazioni nel paramento'!$G$53)*IF(K644&lt;0,-1,1)</f>
        <v>0</v>
      </c>
      <c r="R644" s="545">
        <f>'Foglio deposito bis'!$F$49*IF(ABS(L644)&lt;'Sollecitazioni nel paramento'!$G$58,ABS(L644)*'Sollecitazioni nel paramento'!$G$54,'Sollecitazioni nel paramento'!$G$53)*IF(L644&lt;0,-1,1)</f>
        <v>-29893.748300219333</v>
      </c>
      <c r="S644" s="545">
        <f>'Foglio deposito bis'!$F$50*IF(ABS(M644)&lt;'Sollecitazioni nel paramento'!$G$58,ABS(M644)*'Sollecitazioni nel paramento'!$G$54,'Sollecitazioni nel paramento'!$G$53)*IF(M644&lt;0,-1,1)</f>
        <v>0</v>
      </c>
      <c r="T644" s="545">
        <f>'Foglio deposito bis'!$F$51*IF(ABS(N644)&lt;'Sollecitazioni nel paramento'!$G$58,ABS(N644)*'Sollecitazioni nel paramento'!$G$54,'Sollecitazioni nel paramento'!$G$53)*IF(N644&lt;0,-1,1)</f>
        <v>240946.49743184328</v>
      </c>
      <c r="U644" s="545">
        <f>'Foglio deposito bis'!$F$52*IF(ABS(O644)&lt;'Sollecitazioni nel paramento'!$G$58,ABS(O644)*'Sollecitazioni nel paramento'!$G$54,'Sollecitazioni nel paramento'!$G$53)*IF(O644&lt;0,-1,1)</f>
        <v>240946.49743184328</v>
      </c>
      <c r="V644" s="472">
        <f t="shared" si="48"/>
        <v>-2030390.3906325402</v>
      </c>
      <c r="W644" s="551"/>
      <c r="X644" s="551"/>
    </row>
    <row r="645" spans="1:24" x14ac:dyDescent="0.25">
      <c r="A645" s="545">
        <f t="shared" si="49"/>
        <v>2072869.4983892629</v>
      </c>
      <c r="B645" s="3">
        <f t="shared" si="46"/>
        <v>13.499999999999973</v>
      </c>
      <c r="C645" s="545">
        <f>'Foglio deposito bis'!$E$155/sezione!$B$247*B645</f>
        <v>66.139559668022144</v>
      </c>
      <c r="D645" s="603">
        <f>-'Sollecitazioni nel paramento'!$G$47*'Sollecitazioni nel paramento'!$G$41*IF(DATI!$G$211="dx",DATI!$E$61,DATI!$E$64*DATI!$E$63)*1000*C645^2*sezione!$AD$5*(1-sezione!$AD$6)</f>
        <v>-97325405.861317545</v>
      </c>
      <c r="E645" s="545">
        <f>-'Foglio deposito bis'!$F$48*(C645-sezione!$AL$29)*IF(ABS(K645)&lt;'Sollecitazioni nel paramento'!$G$58,ABS(K645)*'Sollecitazioni nel paramento'!$G$54,'Sollecitazioni nel paramento'!$G$53)</f>
        <v>0</v>
      </c>
      <c r="F645" s="545">
        <f>-'Foglio deposito bis'!$F$49*(C645-sezione!$AM$29)*IF(ABS(L645)&lt;'Sollecitazioni nel paramento'!$G$58,ABS(L645)*'Sollecitazioni nel paramento'!$G$54,'Sollecitazioni nel paramento'!$G$53)</f>
        <v>-215152.81702640292</v>
      </c>
      <c r="G645" s="545">
        <f>-'Foglio deposito bis'!$F$50*(C645-sezione!$AN$29)*IF(ABS(M645)&lt;'Sollecitazioni nel paramento'!$G$58,ABS(M645)*'Sollecitazioni nel paramento'!$G$54,'Sollecitazioni nel paramento'!$G$53)</f>
        <v>0</v>
      </c>
      <c r="H645" s="545">
        <f>-'Foglio deposito bis'!$F$51*(C645-sezione!$AO$29)*IF(ABS(N645)&lt;'Sollecitazioni nel paramento'!$G$58,ABS(N645)*'Sollecitazioni nel paramento'!$G$54,'Sollecitazioni nel paramento'!$G$53)</f>
        <v>22615344.345400583</v>
      </c>
      <c r="I645" s="472">
        <f>-'Foglio deposito bis'!$F$52*(C645-sezione!$AP$29)*IF(ABS(O645)&lt;'Sollecitazioni nel paramento'!$G$58,ABS(O645)*'Sollecitazioni nel paramento'!$G$54,'Sollecitazioni nel paramento'!$G$53)</f>
        <v>61661410.674514398</v>
      </c>
      <c r="J645" s="472">
        <f t="shared" si="47"/>
        <v>-13263803.658428967</v>
      </c>
      <c r="K645" s="550">
        <f>'Sollecitazioni nel paramento'!$G$60*(sezione!$AL$29-C645)/C645</f>
        <v>-1.3832638030445085E-3</v>
      </c>
      <c r="L645" s="550">
        <f>'Sollecitazioni nel paramento'!$G$60*(sezione!$AM$29-C645)/C645</f>
        <v>-3.2489570456676285E-4</v>
      </c>
      <c r="M645" s="551">
        <f>'Sollecitazioni nel paramento'!$G$60*(sezione!$AN$29-C645)/C645</f>
        <v>7.3347239391098292E-4</v>
      </c>
      <c r="N645" s="551">
        <f>'Sollecitazioni nel paramento'!$G$60*(sezione!$AO$29-C645)/C645</f>
        <v>4.9669447878219657E-3</v>
      </c>
      <c r="O645" s="551">
        <f>'Sollecitazioni nel paramento'!$G$60*(sezione!$AP$29-C645)/C645</f>
        <v>1.3542523062303791E-2</v>
      </c>
      <c r="P645" s="545">
        <f>-'Sollecitazioni nel paramento'!$G$47*'Sollecitazioni nel paramento'!$G$41*IF(DATI!$G$211="dx",DATI!$E$61,DATI!$E$64*DATI!$E$63)*1000*C645*sezione!$AD$5</f>
        <v>-2519718.8046726389</v>
      </c>
      <c r="Q645" s="545">
        <f>'Foglio deposito bis'!$F$48*IF(ABS(K645)&lt;'Sollecitazioni nel paramento'!$G$58,ABS(K645)*'Sollecitazioni nel paramento'!$G$54,'Sollecitazioni nel paramento'!$G$53)*IF(K645&lt;0,-1,1)</f>
        <v>0</v>
      </c>
      <c r="R645" s="545">
        <f>'Foglio deposito bis'!$F$49*IF(ABS(L645)&lt;'Sollecitazioni nel paramento'!$G$58,ABS(L645)*'Sollecitazioni nel paramento'!$G$54,'Sollecitazioni nel paramento'!$G$53)*IF(L645&lt;0,-1,1)</f>
        <v>-35043.688580310554</v>
      </c>
      <c r="S645" s="545">
        <f>'Foglio deposito bis'!$F$50*IF(ABS(M645)&lt;'Sollecitazioni nel paramento'!$G$58,ABS(M645)*'Sollecitazioni nel paramento'!$G$54,'Sollecitazioni nel paramento'!$G$53)*IF(M645&lt;0,-1,1)</f>
        <v>0</v>
      </c>
      <c r="T645" s="545">
        <f>'Foglio deposito bis'!$F$51*IF(ABS(N645)&lt;'Sollecitazioni nel paramento'!$G$58,ABS(N645)*'Sollecitazioni nel paramento'!$G$54,'Sollecitazioni nel paramento'!$G$53)*IF(N645&lt;0,-1,1)</f>
        <v>240946.49743184328</v>
      </c>
      <c r="U645" s="545">
        <f>'Foglio deposito bis'!$F$52*IF(ABS(O645)&lt;'Sollecitazioni nel paramento'!$G$58,ABS(O645)*'Sollecitazioni nel paramento'!$G$54,'Sollecitazioni nel paramento'!$G$53)*IF(O645&lt;0,-1,1)</f>
        <v>240946.49743184328</v>
      </c>
      <c r="V645" s="472">
        <f t="shared" si="48"/>
        <v>-2072869.4983892629</v>
      </c>
      <c r="W645" s="551"/>
      <c r="X645" s="551"/>
    </row>
    <row r="646" spans="1:24" x14ac:dyDescent="0.25">
      <c r="A646" s="545">
        <f t="shared" si="49"/>
        <v>2115198.2429261296</v>
      </c>
      <c r="B646" s="3">
        <f t="shared" si="46"/>
        <v>13.699999999999973</v>
      </c>
      <c r="C646" s="545">
        <f>'Foglio deposito bis'!$E$155/sezione!$B$247*B646</f>
        <v>67.119404996437282</v>
      </c>
      <c r="D646" s="603">
        <f>-'Sollecitazioni nel paramento'!$G$47*'Sollecitazioni nel paramento'!$G$41*IF(DATI!$G$211="dx",DATI!$E$61,DATI!$E$64*DATI!$E$63)*1000*C646^2*sezione!$AD$5*(1-sezione!$AD$6)</f>
        <v>-100230482.44779529</v>
      </c>
      <c r="E646" s="545">
        <f>-'Foglio deposito bis'!$F$48*(C646-sezione!$AL$29)*IF(ABS(K646)&lt;'Sollecitazioni nel paramento'!$G$58,ABS(K646)*'Sollecitazioni nel paramento'!$G$54,'Sollecitazioni nel paramento'!$G$53)</f>
        <v>0</v>
      </c>
      <c r="F646" s="545">
        <f>-'Foglio deposito bis'!$F$49*(C646-sezione!$AM$29)*IF(ABS(L646)&lt;'Sollecitazioni nel paramento'!$G$58,ABS(L646)*'Sollecitazioni nel paramento'!$G$54,'Sollecitazioni nel paramento'!$G$53)</f>
        <v>-285084.22547496163</v>
      </c>
      <c r="G646" s="545">
        <f>-'Foglio deposito bis'!$F$50*(C646-sezione!$AN$29)*IF(ABS(M646)&lt;'Sollecitazioni nel paramento'!$G$58,ABS(M646)*'Sollecitazioni nel paramento'!$G$54,'Sollecitazioni nel paramento'!$G$53)</f>
        <v>0</v>
      </c>
      <c r="H646" s="545">
        <f>-'Foglio deposito bis'!$F$51*(C646-sezione!$AO$29)*IF(ABS(N646)&lt;'Sollecitazioni nel paramento'!$G$58,ABS(N646)*'Sollecitazioni nel paramento'!$G$54,'Sollecitazioni nel paramento'!$G$53)</f>
        <v>22379254.045493998</v>
      </c>
      <c r="I646" s="472">
        <f>-'Foglio deposito bis'!$F$52*(C646-sezione!$AP$29)*IF(ABS(O646)&lt;'Sollecitazioni nel paramento'!$G$58,ABS(O646)*'Sollecitazioni nel paramento'!$G$54,'Sollecitazioni nel paramento'!$G$53)</f>
        <v>61425320.374607809</v>
      </c>
      <c r="J646" s="472">
        <f t="shared" si="47"/>
        <v>-16710992.253168456</v>
      </c>
      <c r="K646" s="550">
        <f>'Sollecitazioni nel paramento'!$G$60*(sezione!$AL$29-C646)/C646</f>
        <v>-1.4141650613942237E-3</v>
      </c>
      <c r="L646" s="550">
        <f>'Sollecitazioni nel paramento'!$G$60*(sezione!$AM$29-C646)/C646</f>
        <v>-3.7124759209133544E-4</v>
      </c>
      <c r="M646" s="551">
        <f>'Sollecitazioni nel paramento'!$G$60*(sezione!$AN$29-C646)/C646</f>
        <v>6.7166987721155281E-4</v>
      </c>
      <c r="N646" s="551">
        <f>'Sollecitazioni nel paramento'!$G$60*(sezione!$AO$29-C646)/C646</f>
        <v>4.8433397544231059E-3</v>
      </c>
      <c r="O646" s="551">
        <f>'Sollecitazioni nel paramento'!$G$60*(sezione!$AP$29-C646)/C646</f>
        <v>1.3293727105189869E-2</v>
      </c>
      <c r="P646" s="545">
        <f>-'Sollecitazioni nel paramento'!$G$47*'Sollecitazioni nel paramento'!$G$41*IF(DATI!$G$211="dx",DATI!$E$61,DATI!$E$64*DATI!$E$63)*1000*C646*sezione!$AD$5</f>
        <v>-2557047.9721492706</v>
      </c>
      <c r="Q646" s="545">
        <f>'Foglio deposito bis'!$F$48*IF(ABS(K646)&lt;'Sollecitazioni nel paramento'!$G$58,ABS(K646)*'Sollecitazioni nel paramento'!$G$54,'Sollecitazioni nel paramento'!$G$53)*IF(K646&lt;0,-1,1)</f>
        <v>0</v>
      </c>
      <c r="R646" s="545">
        <f>'Foglio deposito bis'!$F$49*IF(ABS(L646)&lt;'Sollecitazioni nel paramento'!$G$58,ABS(L646)*'Sollecitazioni nel paramento'!$G$54,'Sollecitazioni nel paramento'!$G$53)*IF(L646&lt;0,-1,1)</f>
        <v>-40043.265640545025</v>
      </c>
      <c r="S646" s="545">
        <f>'Foglio deposito bis'!$F$50*IF(ABS(M646)&lt;'Sollecitazioni nel paramento'!$G$58,ABS(M646)*'Sollecitazioni nel paramento'!$G$54,'Sollecitazioni nel paramento'!$G$53)*IF(M646&lt;0,-1,1)</f>
        <v>0</v>
      </c>
      <c r="T646" s="545">
        <f>'Foglio deposito bis'!$F$51*IF(ABS(N646)&lt;'Sollecitazioni nel paramento'!$G$58,ABS(N646)*'Sollecitazioni nel paramento'!$G$54,'Sollecitazioni nel paramento'!$G$53)*IF(N646&lt;0,-1,1)</f>
        <v>240946.49743184328</v>
      </c>
      <c r="U646" s="545">
        <f>'Foglio deposito bis'!$F$52*IF(ABS(O646)&lt;'Sollecitazioni nel paramento'!$G$58,ABS(O646)*'Sollecitazioni nel paramento'!$G$54,'Sollecitazioni nel paramento'!$G$53)*IF(O646&lt;0,-1,1)</f>
        <v>240946.49743184328</v>
      </c>
      <c r="V646" s="472">
        <f t="shared" si="48"/>
        <v>-2115198.2429261296</v>
      </c>
      <c r="W646" s="551"/>
      <c r="X646" s="551"/>
    </row>
    <row r="647" spans="1:24" x14ac:dyDescent="0.25">
      <c r="A647" s="545">
        <f t="shared" si="49"/>
        <v>2157383.1147418376</v>
      </c>
      <c r="B647" s="3">
        <f t="shared" si="46"/>
        <v>13.899999999999972</v>
      </c>
      <c r="C647" s="545">
        <f>'Foglio deposito bis'!$E$155/sezione!$B$247*B647</f>
        <v>68.09925032485242</v>
      </c>
      <c r="D647" s="603">
        <f>-'Sollecitazioni nel paramento'!$G$47*'Sollecitazioni nel paramento'!$G$41*IF(DATI!$G$211="dx",DATI!$E$61,DATI!$E$64*DATI!$E$63)*1000*C647^2*sezione!$AD$5*(1-sezione!$AD$6)</f>
        <v>-103178280.74878001</v>
      </c>
      <c r="E647" s="545">
        <f>-'Foglio deposito bis'!$F$48*(C647-sezione!$AL$29)*IF(ABS(K647)&lt;'Sollecitazioni nel paramento'!$G$58,ABS(K647)*'Sollecitazioni nel paramento'!$G$54,'Sollecitazioni nel paramento'!$G$53)</f>
        <v>0</v>
      </c>
      <c r="F647" s="545">
        <f>-'Foglio deposito bis'!$F$49*(C647-sezione!$AM$29)*IF(ABS(L647)&lt;'Sollecitazioni nel paramento'!$G$58,ABS(L647)*'Sollecitazioni nel paramento'!$G$54,'Sollecitazioni nel paramento'!$G$53)</f>
        <v>-363647.9971929898</v>
      </c>
      <c r="G647" s="545">
        <f>-'Foglio deposito bis'!$F$50*(C647-sezione!$AN$29)*IF(ABS(M647)&lt;'Sollecitazioni nel paramento'!$G$58,ABS(M647)*'Sollecitazioni nel paramento'!$G$54,'Sollecitazioni nel paramento'!$G$53)</f>
        <v>0</v>
      </c>
      <c r="H647" s="545">
        <f>-'Foglio deposito bis'!$F$51*(C647-sezione!$AO$29)*IF(ABS(N647)&lt;'Sollecitazioni nel paramento'!$G$58,ABS(N647)*'Sollecitazioni nel paramento'!$G$54,'Sollecitazioni nel paramento'!$G$53)</f>
        <v>22143163.74558742</v>
      </c>
      <c r="I647" s="472">
        <f>-'Foglio deposito bis'!$F$52*(C647-sezione!$AP$29)*IF(ABS(O647)&lt;'Sollecitazioni nel paramento'!$G$58,ABS(O647)*'Sollecitazioni nel paramento'!$G$54,'Sollecitazioni nel paramento'!$G$53)</f>
        <v>61189230.074701227</v>
      </c>
      <c r="J647" s="472">
        <f t="shared" si="47"/>
        <v>-20209534.925684355</v>
      </c>
      <c r="K647" s="550">
        <f>'Sollecitazioni nel paramento'!$G$60*(sezione!$AL$29-C647)/C647</f>
        <v>-1.4441770748993424E-3</v>
      </c>
      <c r="L647" s="550">
        <f>'Sollecitazioni nel paramento'!$G$60*(sezione!$AM$29-C647)/C647</f>
        <v>-4.1626561234901381E-4</v>
      </c>
      <c r="M647" s="551">
        <f>'Sollecitazioni nel paramento'!$G$60*(sezione!$AN$29-C647)/C647</f>
        <v>6.1164585020131502E-4</v>
      </c>
      <c r="N647" s="551">
        <f>'Sollecitazioni nel paramento'!$G$60*(sezione!$AO$29-C647)/C647</f>
        <v>4.7232917004026292E-3</v>
      </c>
      <c r="O647" s="551">
        <f>'Sollecitazioni nel paramento'!$G$60*(sezione!$AP$29-C647)/C647</f>
        <v>1.3052090743964117E-2</v>
      </c>
      <c r="P647" s="545">
        <f>-'Sollecitazioni nel paramento'!$G$47*'Sollecitazioni nel paramento'!$G$41*IF(DATI!$G$211="dx",DATI!$E$61,DATI!$E$64*DATI!$E$63)*1000*C647*sezione!$AD$5</f>
        <v>-2594377.1396259023</v>
      </c>
      <c r="Q647" s="545">
        <f>'Foglio deposito bis'!$F$48*IF(ABS(K647)&lt;'Sollecitazioni nel paramento'!$G$58,ABS(K647)*'Sollecitazioni nel paramento'!$G$54,'Sollecitazioni nel paramento'!$G$53)*IF(K647&lt;0,-1,1)</f>
        <v>0</v>
      </c>
      <c r="R647" s="545">
        <f>'Foglio deposito bis'!$F$49*IF(ABS(L647)&lt;'Sollecitazioni nel paramento'!$G$58,ABS(L647)*'Sollecitazioni nel paramento'!$G$54,'Sollecitazioni nel paramento'!$G$53)*IF(L647&lt;0,-1,1)</f>
        <v>-44898.969979621666</v>
      </c>
      <c r="S647" s="545">
        <f>'Foglio deposito bis'!$F$50*IF(ABS(M647)&lt;'Sollecitazioni nel paramento'!$G$58,ABS(M647)*'Sollecitazioni nel paramento'!$G$54,'Sollecitazioni nel paramento'!$G$53)*IF(M647&lt;0,-1,1)</f>
        <v>0</v>
      </c>
      <c r="T647" s="545">
        <f>'Foglio deposito bis'!$F$51*IF(ABS(N647)&lt;'Sollecitazioni nel paramento'!$G$58,ABS(N647)*'Sollecitazioni nel paramento'!$G$54,'Sollecitazioni nel paramento'!$G$53)*IF(N647&lt;0,-1,1)</f>
        <v>240946.49743184328</v>
      </c>
      <c r="U647" s="545">
        <f>'Foglio deposito bis'!$F$52*IF(ABS(O647)&lt;'Sollecitazioni nel paramento'!$G$58,ABS(O647)*'Sollecitazioni nel paramento'!$G$54,'Sollecitazioni nel paramento'!$G$53)*IF(O647&lt;0,-1,1)</f>
        <v>240946.49743184328</v>
      </c>
      <c r="V647" s="472">
        <f t="shared" si="48"/>
        <v>-2157383.1147418376</v>
      </c>
      <c r="W647" s="551"/>
      <c r="X647" s="551"/>
    </row>
    <row r="648" spans="1:24" x14ac:dyDescent="0.25">
      <c r="A648" s="545">
        <f t="shared" si="49"/>
        <v>2199430.2360798414</v>
      </c>
      <c r="B648" s="3">
        <f t="shared" si="46"/>
        <v>14.099999999999971</v>
      </c>
      <c r="C648" s="545">
        <f>'Foglio deposito bis'!$E$155/sezione!$B$247*B648</f>
        <v>69.079095653267558</v>
      </c>
      <c r="D648" s="603">
        <f>-'Sollecitazioni nel paramento'!$G$47*'Sollecitazioni nel paramento'!$G$41*IF(DATI!$G$211="dx",DATI!$E$61,DATI!$E$64*DATI!$E$63)*1000*C648^2*sezione!$AD$5*(1-sezione!$AD$6)</f>
        <v>-106168800.76427178</v>
      </c>
      <c r="E648" s="545">
        <f>-'Foglio deposito bis'!$F$48*(C648-sezione!$AL$29)*IF(ABS(K648)&lt;'Sollecitazioni nel paramento'!$G$58,ABS(K648)*'Sollecitazioni nel paramento'!$G$54,'Sollecitazioni nel paramento'!$G$53)</f>
        <v>0</v>
      </c>
      <c r="F648" s="545">
        <f>-'Foglio deposito bis'!$F$49*(C648-sezione!$AM$29)*IF(ABS(L648)&lt;'Sollecitazioni nel paramento'!$G$58,ABS(L648)*'Sollecitazioni nel paramento'!$G$54,'Sollecitazioni nel paramento'!$G$53)</f>
        <v>-450476.79757327621</v>
      </c>
      <c r="G648" s="545">
        <f>-'Foglio deposito bis'!$F$50*(C648-sezione!$AN$29)*IF(ABS(M648)&lt;'Sollecitazioni nel paramento'!$G$58,ABS(M648)*'Sollecitazioni nel paramento'!$G$54,'Sollecitazioni nel paramento'!$G$53)</f>
        <v>0</v>
      </c>
      <c r="H648" s="545">
        <f>-'Foglio deposito bis'!$F$51*(C648-sezione!$AO$29)*IF(ABS(N648)&lt;'Sollecitazioni nel paramento'!$G$58,ABS(N648)*'Sollecitazioni nel paramento'!$G$54,'Sollecitazioni nel paramento'!$G$53)</f>
        <v>21907073.445680834</v>
      </c>
      <c r="I648" s="472">
        <f>-'Foglio deposito bis'!$F$52*(C648-sezione!$AP$29)*IF(ABS(O648)&lt;'Sollecitazioni nel paramento'!$G$58,ABS(O648)*'Sollecitazioni nel paramento'!$G$54,'Sollecitazioni nel paramento'!$G$53)</f>
        <v>60953139.774794653</v>
      </c>
      <c r="J648" s="472">
        <f t="shared" si="47"/>
        <v>-23759064.341369584</v>
      </c>
      <c r="K648" s="550">
        <f>'Sollecitazioni nel paramento'!$G$60*(sezione!$AL$29-C648)/C648</f>
        <v>-1.4733376837660183E-3</v>
      </c>
      <c r="L648" s="550">
        <f>'Sollecitazioni nel paramento'!$G$60*(sezione!$AM$29-C648)/C648</f>
        <v>-4.6000652564902761E-4</v>
      </c>
      <c r="M648" s="551">
        <f>'Sollecitazioni nel paramento'!$G$60*(sezione!$AN$29-C648)/C648</f>
        <v>5.533246324679632E-4</v>
      </c>
      <c r="N648" s="551">
        <f>'Sollecitazioni nel paramento'!$G$60*(sezione!$AO$29-C648)/C648</f>
        <v>4.6066492649359265E-3</v>
      </c>
      <c r="O648" s="551">
        <f>'Sollecitazioni nel paramento'!$G$60*(sezione!$AP$29-C648)/C648</f>
        <v>1.281730931497172E-2</v>
      </c>
      <c r="P648" s="545">
        <f>-'Sollecitazioni nel paramento'!$G$47*'Sollecitazioni nel paramento'!$G$41*IF(DATI!$G$211="dx",DATI!$E$61,DATI!$E$64*DATI!$E$63)*1000*C648*sezione!$AD$5</f>
        <v>-2631706.3071025335</v>
      </c>
      <c r="Q648" s="545">
        <f>'Foglio deposito bis'!$F$48*IF(ABS(K648)&lt;'Sollecitazioni nel paramento'!$G$58,ABS(K648)*'Sollecitazioni nel paramento'!$G$54,'Sollecitazioni nel paramento'!$G$53)*IF(K648&lt;0,-1,1)</f>
        <v>0</v>
      </c>
      <c r="R648" s="545">
        <f>'Foglio deposito bis'!$F$49*IF(ABS(L648)&lt;'Sollecitazioni nel paramento'!$G$58,ABS(L648)*'Sollecitazioni nel paramento'!$G$54,'Sollecitazioni nel paramento'!$G$53)*IF(L648&lt;0,-1,1)</f>
        <v>-49616.923840994015</v>
      </c>
      <c r="S648" s="545">
        <f>'Foglio deposito bis'!$F$50*IF(ABS(M648)&lt;'Sollecitazioni nel paramento'!$G$58,ABS(M648)*'Sollecitazioni nel paramento'!$G$54,'Sollecitazioni nel paramento'!$G$53)*IF(M648&lt;0,-1,1)</f>
        <v>0</v>
      </c>
      <c r="T648" s="545">
        <f>'Foglio deposito bis'!$F$51*IF(ABS(N648)&lt;'Sollecitazioni nel paramento'!$G$58,ABS(N648)*'Sollecitazioni nel paramento'!$G$54,'Sollecitazioni nel paramento'!$G$53)*IF(N648&lt;0,-1,1)</f>
        <v>240946.49743184328</v>
      </c>
      <c r="U648" s="545">
        <f>'Foglio deposito bis'!$F$52*IF(ABS(O648)&lt;'Sollecitazioni nel paramento'!$G$58,ABS(O648)*'Sollecitazioni nel paramento'!$G$54,'Sollecitazioni nel paramento'!$G$53)*IF(O648&lt;0,-1,1)</f>
        <v>240946.49743184328</v>
      </c>
      <c r="V648" s="472">
        <f t="shared" si="48"/>
        <v>-2199430.2360798414</v>
      </c>
      <c r="W648" s="551"/>
      <c r="X648" s="551"/>
    </row>
    <row r="649" spans="1:24" x14ac:dyDescent="0.25">
      <c r="A649" s="545">
        <f t="shared" si="49"/>
        <v>2241345.3866804647</v>
      </c>
      <c r="B649" s="3">
        <f t="shared" si="46"/>
        <v>14.299999999999971</v>
      </c>
      <c r="C649" s="545">
        <f>'Foglio deposito bis'!$E$155/sezione!$B$247*B649</f>
        <v>70.05894098168271</v>
      </c>
      <c r="D649" s="603">
        <f>-'Sollecitazioni nel paramento'!$G$47*'Sollecitazioni nel paramento'!$G$41*IF(DATI!$G$211="dx",DATI!$E$61,DATI!$E$64*DATI!$E$63)*1000*C649^2*sezione!$AD$5*(1-sezione!$AD$6)</f>
        <v>-109202042.49427064</v>
      </c>
      <c r="E649" s="545">
        <f>-'Foglio deposito bis'!$F$48*(C649-sezione!$AL$29)*IF(ABS(K649)&lt;'Sollecitazioni nel paramento'!$G$58,ABS(K649)*'Sollecitazioni nel paramento'!$G$54,'Sollecitazioni nel paramento'!$G$53)</f>
        <v>0</v>
      </c>
      <c r="F649" s="545">
        <f>-'Foglio deposito bis'!$F$49*(C649-sezione!$AM$29)*IF(ABS(L649)&lt;'Sollecitazioni nel paramento'!$G$58,ABS(L649)*'Sollecitazioni nel paramento'!$G$54,'Sollecitazioni nel paramento'!$G$53)</f>
        <v>-545223.84219642659</v>
      </c>
      <c r="G649" s="545">
        <f>-'Foglio deposito bis'!$F$50*(C649-sezione!$AN$29)*IF(ABS(M649)&lt;'Sollecitazioni nel paramento'!$G$58,ABS(M649)*'Sollecitazioni nel paramento'!$G$54,'Sollecitazioni nel paramento'!$G$53)</f>
        <v>0</v>
      </c>
      <c r="H649" s="545">
        <f>-'Foglio deposito bis'!$F$51*(C649-sezione!$AO$29)*IF(ABS(N649)&lt;'Sollecitazioni nel paramento'!$G$58,ABS(N649)*'Sollecitazioni nel paramento'!$G$54,'Sollecitazioni nel paramento'!$G$53)</f>
        <v>21670983.145774253</v>
      </c>
      <c r="I649" s="472">
        <f>-'Foglio deposito bis'!$F$52*(C649-sezione!$AP$29)*IF(ABS(O649)&lt;'Sollecitazioni nel paramento'!$G$58,ABS(O649)*'Sollecitazioni nel paramento'!$G$54,'Sollecitazioni nel paramento'!$G$53)</f>
        <v>60717049.474888064</v>
      </c>
      <c r="J649" s="472">
        <f t="shared" si="47"/>
        <v>-27359233.715804748</v>
      </c>
      <c r="K649" s="550">
        <f>'Sollecitazioni nel paramento'!$G$60*(sezione!$AL$29-C649)/C649</f>
        <v>-1.5016826112657946E-3</v>
      </c>
      <c r="L649" s="550">
        <f>'Sollecitazioni nel paramento'!$G$60*(sezione!$AM$29-C649)/C649</f>
        <v>-5.025239168986919E-4</v>
      </c>
      <c r="M649" s="551">
        <f>'Sollecitazioni nel paramento'!$G$60*(sezione!$AN$29-C649)/C649</f>
        <v>4.9663477746841075E-4</v>
      </c>
      <c r="N649" s="551">
        <f>'Sollecitazioni nel paramento'!$G$60*(sezione!$AO$29-C649)/C649</f>
        <v>4.4932695549368216E-3</v>
      </c>
      <c r="O649" s="551">
        <f>'Sollecitazioni nel paramento'!$G$60*(sezione!$AP$29-C649)/C649</f>
        <v>1.2589095198678405E-2</v>
      </c>
      <c r="P649" s="545">
        <f>-'Sollecitazioni nel paramento'!$G$47*'Sollecitazioni nel paramento'!$G$41*IF(DATI!$G$211="dx",DATI!$E$61,DATI!$E$64*DATI!$E$63)*1000*C649*sezione!$AD$5</f>
        <v>-2669035.4745791657</v>
      </c>
      <c r="Q649" s="545">
        <f>'Foglio deposito bis'!$F$48*IF(ABS(K649)&lt;'Sollecitazioni nel paramento'!$G$58,ABS(K649)*'Sollecitazioni nel paramento'!$G$54,'Sollecitazioni nel paramento'!$G$53)*IF(K649&lt;0,-1,1)</f>
        <v>0</v>
      </c>
      <c r="R649" s="545">
        <f>'Foglio deposito bis'!$F$49*IF(ABS(L649)&lt;'Sollecitazioni nel paramento'!$G$58,ABS(L649)*'Sollecitazioni nel paramento'!$G$54,'Sollecitazioni nel paramento'!$G$53)*IF(L649&lt;0,-1,1)</f>
        <v>-54202.90696498537</v>
      </c>
      <c r="S649" s="545">
        <f>'Foglio deposito bis'!$F$50*IF(ABS(M649)&lt;'Sollecitazioni nel paramento'!$G$58,ABS(M649)*'Sollecitazioni nel paramento'!$G$54,'Sollecitazioni nel paramento'!$G$53)*IF(M649&lt;0,-1,1)</f>
        <v>0</v>
      </c>
      <c r="T649" s="545">
        <f>'Foglio deposito bis'!$F$51*IF(ABS(N649)&lt;'Sollecitazioni nel paramento'!$G$58,ABS(N649)*'Sollecitazioni nel paramento'!$G$54,'Sollecitazioni nel paramento'!$G$53)*IF(N649&lt;0,-1,1)</f>
        <v>240946.49743184328</v>
      </c>
      <c r="U649" s="545">
        <f>'Foglio deposito bis'!$F$52*IF(ABS(O649)&lt;'Sollecitazioni nel paramento'!$G$58,ABS(O649)*'Sollecitazioni nel paramento'!$G$54,'Sollecitazioni nel paramento'!$G$53)*IF(O649&lt;0,-1,1)</f>
        <v>240946.49743184328</v>
      </c>
      <c r="V649" s="472">
        <f t="shared" si="48"/>
        <v>-2241345.3866804647</v>
      </c>
      <c r="W649" s="551"/>
      <c r="X649" s="551"/>
    </row>
    <row r="650" spans="1:24" x14ac:dyDescent="0.25">
      <c r="A650" s="545">
        <f t="shared" si="49"/>
        <v>2283134.0274018054</v>
      </c>
      <c r="B650" s="3">
        <f t="shared" si="46"/>
        <v>14.49999999999997</v>
      </c>
      <c r="C650" s="545">
        <f>'Foglio deposito bis'!$E$155/sezione!$B$247*B650</f>
        <v>71.038786310097848</v>
      </c>
      <c r="D650" s="603">
        <f>-'Sollecitazioni nel paramento'!$G$47*'Sollecitazioni nel paramento'!$G$41*IF(DATI!$G$211="dx",DATI!$E$61,DATI!$E$64*DATI!$E$63)*1000*C650^2*sezione!$AD$5*(1-sezione!$AD$6)</f>
        <v>-112278005.93877645</v>
      </c>
      <c r="E650" s="545">
        <f>-'Foglio deposito bis'!$F$48*(C650-sezione!$AL$29)*IF(ABS(K650)&lt;'Sollecitazioni nel paramento'!$G$58,ABS(K650)*'Sollecitazioni nel paramento'!$G$54,'Sollecitazioni nel paramento'!$G$53)</f>
        <v>0</v>
      </c>
      <c r="F650" s="545">
        <f>-'Foglio deposito bis'!$F$49*(C650-sezione!$AM$29)*IF(ABS(L650)&lt;'Sollecitazioni nel paramento'!$G$58,ABS(L650)*'Sollecitazioni nel paramento'!$G$54,'Sollecitazioni nel paramento'!$G$53)</f>
        <v>-647561.47957652691</v>
      </c>
      <c r="G650" s="545">
        <f>-'Foglio deposito bis'!$F$50*(C650-sezione!$AN$29)*IF(ABS(M650)&lt;'Sollecitazioni nel paramento'!$G$58,ABS(M650)*'Sollecitazioni nel paramento'!$G$54,'Sollecitazioni nel paramento'!$G$53)</f>
        <v>0</v>
      </c>
      <c r="H650" s="545">
        <f>-'Foglio deposito bis'!$F$51*(C650-sezione!$AO$29)*IF(ABS(N650)&lt;'Sollecitazioni nel paramento'!$G$58,ABS(N650)*'Sollecitazioni nel paramento'!$G$54,'Sollecitazioni nel paramento'!$G$53)</f>
        <v>21434892.845867667</v>
      </c>
      <c r="I650" s="472">
        <f>-'Foglio deposito bis'!$F$52*(C650-sezione!$AP$29)*IF(ABS(O650)&lt;'Sollecitazioni nel paramento'!$G$58,ABS(O650)*'Sollecitazioni nel paramento'!$G$54,'Sollecitazioni nel paramento'!$G$53)</f>
        <v>60480959.174981475</v>
      </c>
      <c r="J650" s="472">
        <f t="shared" si="47"/>
        <v>-31009715.397503838</v>
      </c>
      <c r="K650" s="550">
        <f>'Sollecitazioni nel paramento'!$G$60*(sezione!$AL$29-C650)/C650</f>
        <v>-1.529245609731094E-3</v>
      </c>
      <c r="L650" s="550">
        <f>'Sollecitazioni nel paramento'!$G$60*(sezione!$AM$29-C650)/C650</f>
        <v>-5.4386841459664085E-4</v>
      </c>
      <c r="M650" s="551">
        <f>'Sollecitazioni nel paramento'!$G$60*(sezione!$AN$29-C650)/C650</f>
        <v>4.415087805378123E-4</v>
      </c>
      <c r="N650" s="551">
        <f>'Sollecitazioni nel paramento'!$G$60*(sezione!$AO$29-C650)/C650</f>
        <v>4.3830175610756247E-3</v>
      </c>
      <c r="O650" s="551">
        <f>'Sollecitazioni nel paramento'!$G$60*(sezione!$AP$29-C650)/C650</f>
        <v>1.2367176644213876E-2</v>
      </c>
      <c r="P650" s="545">
        <f>-'Sollecitazioni nel paramento'!$G$47*'Sollecitazioni nel paramento'!$G$41*IF(DATI!$G$211="dx",DATI!$E$61,DATI!$E$64*DATI!$E$63)*1000*C650*sezione!$AD$5</f>
        <v>-2706364.6420557974</v>
      </c>
      <c r="Q650" s="545">
        <f>'Foglio deposito bis'!$F$48*IF(ABS(K650)&lt;'Sollecitazioni nel paramento'!$G$58,ABS(K650)*'Sollecitazioni nel paramento'!$G$54,'Sollecitazioni nel paramento'!$G$53)*IF(K650&lt;0,-1,1)</f>
        <v>0</v>
      </c>
      <c r="R650" s="545">
        <f>'Foglio deposito bis'!$F$49*IF(ABS(L650)&lt;'Sollecitazioni nel paramento'!$G$58,ABS(L650)*'Sollecitazioni nel paramento'!$G$54,'Sollecitazioni nel paramento'!$G$53)*IF(L650&lt;0,-1,1)</f>
        <v>-58662.380209694158</v>
      </c>
      <c r="S650" s="545">
        <f>'Foglio deposito bis'!$F$50*IF(ABS(M650)&lt;'Sollecitazioni nel paramento'!$G$58,ABS(M650)*'Sollecitazioni nel paramento'!$G$54,'Sollecitazioni nel paramento'!$G$53)*IF(M650&lt;0,-1,1)</f>
        <v>0</v>
      </c>
      <c r="T650" s="545">
        <f>'Foglio deposito bis'!$F$51*IF(ABS(N650)&lt;'Sollecitazioni nel paramento'!$G$58,ABS(N650)*'Sollecitazioni nel paramento'!$G$54,'Sollecitazioni nel paramento'!$G$53)*IF(N650&lt;0,-1,1)</f>
        <v>240946.49743184328</v>
      </c>
      <c r="U650" s="545">
        <f>'Foglio deposito bis'!$F$52*IF(ABS(O650)&lt;'Sollecitazioni nel paramento'!$G$58,ABS(O650)*'Sollecitazioni nel paramento'!$G$54,'Sollecitazioni nel paramento'!$G$53)*IF(O650&lt;0,-1,1)</f>
        <v>240946.49743184328</v>
      </c>
      <c r="V650" s="472">
        <f t="shared" si="48"/>
        <v>-2283134.0274018054</v>
      </c>
      <c r="W650" s="551"/>
      <c r="X650" s="551"/>
    </row>
    <row r="651" spans="1:24" x14ac:dyDescent="0.25">
      <c r="A651" s="545">
        <f t="shared" si="49"/>
        <v>2324801.3219124051</v>
      </c>
      <c r="B651" s="3">
        <f t="shared" si="46"/>
        <v>14.699999999999969</v>
      </c>
      <c r="C651" s="545">
        <f>'Foglio deposito bis'!$E$155/sezione!$B$247*B651</f>
        <v>72.018631638512986</v>
      </c>
      <c r="D651" s="603">
        <f>-'Sollecitazioni nel paramento'!$G$47*'Sollecitazioni nel paramento'!$G$41*IF(DATI!$G$211="dx",DATI!$E$61,DATI!$E$64*DATI!$E$63)*1000*C651^2*sezione!$AD$5*(1-sezione!$AD$6)</f>
        <v>-115396691.0977893</v>
      </c>
      <c r="E651" s="545">
        <f>-'Foglio deposito bis'!$F$48*(C651-sezione!$AL$29)*IF(ABS(K651)&lt;'Sollecitazioni nel paramento'!$G$58,ABS(K651)*'Sollecitazioni nel paramento'!$G$54,'Sollecitazioni nel paramento'!$G$53)</f>
        <v>0</v>
      </c>
      <c r="F651" s="545">
        <f>-'Foglio deposito bis'!$F$49*(C651-sezione!$AM$29)*IF(ABS(L651)&lt;'Sollecitazioni nel paramento'!$G$58,ABS(L651)*'Sollecitazioni nel paramento'!$G$54,'Sollecitazioni nel paramento'!$G$53)</f>
        <v>-757179.88960104936</v>
      </c>
      <c r="G651" s="545">
        <f>-'Foglio deposito bis'!$F$50*(C651-sezione!$AN$29)*IF(ABS(M651)&lt;'Sollecitazioni nel paramento'!$G$58,ABS(M651)*'Sollecitazioni nel paramento'!$G$54,'Sollecitazioni nel paramento'!$G$53)</f>
        <v>0</v>
      </c>
      <c r="H651" s="545">
        <f>-'Foglio deposito bis'!$F$51*(C651-sezione!$AO$29)*IF(ABS(N651)&lt;'Sollecitazioni nel paramento'!$G$58,ABS(N651)*'Sollecitazioni nel paramento'!$G$54,'Sollecitazioni nel paramento'!$G$53)</f>
        <v>21198802.545961089</v>
      </c>
      <c r="I651" s="472">
        <f>-'Foglio deposito bis'!$F$52*(C651-sezione!$AP$29)*IF(ABS(O651)&lt;'Sollecitazioni nel paramento'!$G$58,ABS(O651)*'Sollecitazioni nel paramento'!$G$54,'Sollecitazioni nel paramento'!$G$53)</f>
        <v>60244868.875074901</v>
      </c>
      <c r="J651" s="472">
        <f t="shared" si="47"/>
        <v>-34710199.566354357</v>
      </c>
      <c r="K651" s="550">
        <f>'Sollecitazioni nel paramento'!$G$60*(sezione!$AL$29-C651)/C651</f>
        <v>-1.5560585946327117E-3</v>
      </c>
      <c r="L651" s="550">
        <f>'Sollecitazioni nel paramento'!$G$60*(sezione!$AM$29-C651)/C651</f>
        <v>-5.8408789194906729E-4</v>
      </c>
      <c r="M651" s="551">
        <f>'Sollecitazioni nel paramento'!$G$60*(sezione!$AN$29-C651)/C651</f>
        <v>3.87882810734577E-4</v>
      </c>
      <c r="N651" s="551">
        <f>'Sollecitazioni nel paramento'!$G$60*(sezione!$AO$29-C651)/C651</f>
        <v>4.2757656214691539E-3</v>
      </c>
      <c r="O651" s="551">
        <f>'Sollecitazioni nel paramento'!$G$60*(sezione!$AP$29-C651)/C651</f>
        <v>1.2151296689870831E-2</v>
      </c>
      <c r="P651" s="545">
        <f>-'Sollecitazioni nel paramento'!$G$47*'Sollecitazioni nel paramento'!$G$41*IF(DATI!$G$211="dx",DATI!$E$61,DATI!$E$64*DATI!$E$63)*1000*C651*sezione!$AD$5</f>
        <v>-2743693.8095324286</v>
      </c>
      <c r="Q651" s="545">
        <f>'Foglio deposito bis'!$F$48*IF(ABS(K651)&lt;'Sollecitazioni nel paramento'!$G$58,ABS(K651)*'Sollecitazioni nel paramento'!$G$54,'Sollecitazioni nel paramento'!$G$53)*IF(K651&lt;0,-1,1)</f>
        <v>0</v>
      </c>
      <c r="R651" s="545">
        <f>'Foglio deposito bis'!$F$49*IF(ABS(L651)&lt;'Sollecitazioni nel paramento'!$G$58,ABS(L651)*'Sollecitazioni nel paramento'!$G$54,'Sollecitazioni nel paramento'!$G$53)*IF(L651&lt;0,-1,1)</f>
        <v>-63000.507243662563</v>
      </c>
      <c r="S651" s="545">
        <f>'Foglio deposito bis'!$F$50*IF(ABS(M651)&lt;'Sollecitazioni nel paramento'!$G$58,ABS(M651)*'Sollecitazioni nel paramento'!$G$54,'Sollecitazioni nel paramento'!$G$53)*IF(M651&lt;0,-1,1)</f>
        <v>0</v>
      </c>
      <c r="T651" s="545">
        <f>'Foglio deposito bis'!$F$51*IF(ABS(N651)&lt;'Sollecitazioni nel paramento'!$G$58,ABS(N651)*'Sollecitazioni nel paramento'!$G$54,'Sollecitazioni nel paramento'!$G$53)*IF(N651&lt;0,-1,1)</f>
        <v>240946.49743184328</v>
      </c>
      <c r="U651" s="545">
        <f>'Foglio deposito bis'!$F$52*IF(ABS(O651)&lt;'Sollecitazioni nel paramento'!$G$58,ABS(O651)*'Sollecitazioni nel paramento'!$G$54,'Sollecitazioni nel paramento'!$G$53)*IF(O651&lt;0,-1,1)</f>
        <v>240946.49743184328</v>
      </c>
      <c r="V651" s="472">
        <f t="shared" si="48"/>
        <v>-2324801.3219124051</v>
      </c>
      <c r="W651" s="551"/>
      <c r="X651" s="551"/>
    </row>
    <row r="652" spans="1:24" x14ac:dyDescent="0.25">
      <c r="A652" s="545">
        <f t="shared" si="49"/>
        <v>2366352.1566368584</v>
      </c>
      <c r="B652" s="3">
        <f t="shared" si="46"/>
        <v>14.899999999999968</v>
      </c>
      <c r="C652" s="545">
        <f>'Foglio deposito bis'!$E$155/sezione!$B$247*B652</f>
        <v>72.998476966928123</v>
      </c>
      <c r="D652" s="603">
        <f>-'Sollecitazioni nel paramento'!$G$47*'Sollecitazioni nel paramento'!$G$41*IF(DATI!$G$211="dx",DATI!$E$61,DATI!$E$64*DATI!$E$63)*1000*C652^2*sezione!$AD$5*(1-sezione!$AD$6)</f>
        <v>-118558097.97130919</v>
      </c>
      <c r="E652" s="545">
        <f>-'Foglio deposito bis'!$F$48*(C652-sezione!$AL$29)*IF(ABS(K652)&lt;'Sollecitazioni nel paramento'!$G$58,ABS(K652)*'Sollecitazioni nel paramento'!$G$54,'Sollecitazioni nel paramento'!$G$53)</f>
        <v>0</v>
      </c>
      <c r="F652" s="545">
        <f>-'Foglio deposito bis'!$F$49*(C652-sezione!$AM$29)*IF(ABS(L652)&lt;'Sollecitazioni nel paramento'!$G$58,ABS(L652)*'Sollecitazioni nel paramento'!$G$54,'Sollecitazioni nel paramento'!$G$53)</f>
        <v>-873785.88679438015</v>
      </c>
      <c r="G652" s="545">
        <f>-'Foglio deposito bis'!$F$50*(C652-sezione!$AN$29)*IF(ABS(M652)&lt;'Sollecitazioni nel paramento'!$G$58,ABS(M652)*'Sollecitazioni nel paramento'!$G$54,'Sollecitazioni nel paramento'!$G$53)</f>
        <v>0</v>
      </c>
      <c r="H652" s="545">
        <f>-'Foglio deposito bis'!$F$51*(C652-sezione!$AO$29)*IF(ABS(N652)&lt;'Sollecitazioni nel paramento'!$G$58,ABS(N652)*'Sollecitazioni nel paramento'!$G$54,'Sollecitazioni nel paramento'!$G$53)</f>
        <v>20962712.246054504</v>
      </c>
      <c r="I652" s="472">
        <f>-'Foglio deposito bis'!$F$52*(C652-sezione!$AP$29)*IF(ABS(O652)&lt;'Sollecitazioni nel paramento'!$G$58,ABS(O652)*'Sollecitazioni nel paramento'!$G$54,'Sollecitazioni nel paramento'!$G$53)</f>
        <v>60008778.575168319</v>
      </c>
      <c r="J652" s="472">
        <f t="shared" si="47"/>
        <v>-38460393.036880739</v>
      </c>
      <c r="K652" s="550">
        <f>'Sollecitazioni nel paramento'!$G$60*(sezione!$AL$29-C652)/C652</f>
        <v>-1.582151767859118E-3</v>
      </c>
      <c r="L652" s="550">
        <f>'Sollecitazioni nel paramento'!$G$60*(sezione!$AM$29-C652)/C652</f>
        <v>-6.2322765178867692E-4</v>
      </c>
      <c r="M652" s="551">
        <f>'Sollecitazioni nel paramento'!$G$60*(sezione!$AN$29-C652)/C652</f>
        <v>3.356964642817641E-4</v>
      </c>
      <c r="N652" s="551">
        <f>'Sollecitazioni nel paramento'!$G$60*(sezione!$AO$29-C652)/C652</f>
        <v>4.1713929285635285E-3</v>
      </c>
      <c r="O652" s="551">
        <f>'Sollecitazioni nel paramento'!$G$60*(sezione!$AP$29-C652)/C652</f>
        <v>1.1941212170543707E-2</v>
      </c>
      <c r="P652" s="545">
        <f>-'Sollecitazioni nel paramento'!$G$47*'Sollecitazioni nel paramento'!$G$41*IF(DATI!$G$211="dx",DATI!$E$61,DATI!$E$64*DATI!$E$63)*1000*C652*sezione!$AD$5</f>
        <v>-2781022.9770090603</v>
      </c>
      <c r="Q652" s="545">
        <f>'Foglio deposito bis'!$F$48*IF(ABS(K652)&lt;'Sollecitazioni nel paramento'!$G$58,ABS(K652)*'Sollecitazioni nel paramento'!$G$54,'Sollecitazioni nel paramento'!$G$53)*IF(K652&lt;0,-1,1)</f>
        <v>0</v>
      </c>
      <c r="R652" s="545">
        <f>'Foglio deposito bis'!$F$49*IF(ABS(L652)&lt;'Sollecitazioni nel paramento'!$G$58,ABS(L652)*'Sollecitazioni nel paramento'!$G$54,'Sollecitazioni nel paramento'!$G$53)*IF(L652&lt;0,-1,1)</f>
        <v>-67222.174491484169</v>
      </c>
      <c r="S652" s="545">
        <f>'Foglio deposito bis'!$F$50*IF(ABS(M652)&lt;'Sollecitazioni nel paramento'!$G$58,ABS(M652)*'Sollecitazioni nel paramento'!$G$54,'Sollecitazioni nel paramento'!$G$53)*IF(M652&lt;0,-1,1)</f>
        <v>0</v>
      </c>
      <c r="T652" s="545">
        <f>'Foglio deposito bis'!$F$51*IF(ABS(N652)&lt;'Sollecitazioni nel paramento'!$G$58,ABS(N652)*'Sollecitazioni nel paramento'!$G$54,'Sollecitazioni nel paramento'!$G$53)*IF(N652&lt;0,-1,1)</f>
        <v>240946.49743184328</v>
      </c>
      <c r="U652" s="545">
        <f>'Foglio deposito bis'!$F$52*IF(ABS(O652)&lt;'Sollecitazioni nel paramento'!$G$58,ABS(O652)*'Sollecitazioni nel paramento'!$G$54,'Sollecitazioni nel paramento'!$G$53)*IF(O652&lt;0,-1,1)</f>
        <v>240946.49743184328</v>
      </c>
      <c r="V652" s="472">
        <f t="shared" si="48"/>
        <v>-2366352.1566368584</v>
      </c>
      <c r="W652" s="551"/>
      <c r="X652" s="551"/>
    </row>
    <row r="653" spans="1:24" x14ac:dyDescent="0.25">
      <c r="A653" s="545">
        <f t="shared" si="49"/>
        <v>2407791.1591163366</v>
      </c>
      <c r="B653" s="3">
        <f t="shared" si="46"/>
        <v>15.099999999999968</v>
      </c>
      <c r="C653" s="545">
        <f>'Foglio deposito bis'!$E$155/sezione!$B$247*B653</f>
        <v>73.978322295343276</v>
      </c>
      <c r="D653" s="603">
        <f>-'Sollecitazioni nel paramento'!$G$47*'Sollecitazioni nel paramento'!$G$41*IF(DATI!$G$211="dx",DATI!$E$61,DATI!$E$64*DATI!$E$63)*1000*C653^2*sezione!$AD$5*(1-sezione!$AD$6)</f>
        <v>-121762226.55933613</v>
      </c>
      <c r="E653" s="545">
        <f>-'Foglio deposito bis'!$F$48*(C653-sezione!$AL$29)*IF(ABS(K653)&lt;'Sollecitazioni nel paramento'!$G$58,ABS(K653)*'Sollecitazioni nel paramento'!$G$54,'Sollecitazioni nel paramento'!$G$53)</f>
        <v>0</v>
      </c>
      <c r="F653" s="545">
        <f>-'Foglio deposito bis'!$F$49*(C653-sezione!$AM$29)*IF(ABS(L653)&lt;'Sollecitazioni nel paramento'!$G$58,ABS(L653)*'Sollecitazioni nel paramento'!$G$54,'Sollecitazioni nel paramento'!$G$53)</f>
        <v>-997101.81868623686</v>
      </c>
      <c r="G653" s="545">
        <f>-'Foglio deposito bis'!$F$50*(C653-sezione!$AN$29)*IF(ABS(M653)&lt;'Sollecitazioni nel paramento'!$G$58,ABS(M653)*'Sollecitazioni nel paramento'!$G$54,'Sollecitazioni nel paramento'!$G$53)</f>
        <v>0</v>
      </c>
      <c r="H653" s="545">
        <f>-'Foglio deposito bis'!$F$51*(C653-sezione!$AO$29)*IF(ABS(N653)&lt;'Sollecitazioni nel paramento'!$G$58,ABS(N653)*'Sollecitazioni nel paramento'!$G$54,'Sollecitazioni nel paramento'!$G$53)</f>
        <v>20726621.946147919</v>
      </c>
      <c r="I653" s="472">
        <f>-'Foglio deposito bis'!$F$52*(C653-sezione!$AP$29)*IF(ABS(O653)&lt;'Sollecitazioni nel paramento'!$G$58,ABS(O653)*'Sollecitazioni nel paramento'!$G$54,'Sollecitazioni nel paramento'!$G$53)</f>
        <v>59772688.27526173</v>
      </c>
      <c r="J653" s="472">
        <f t="shared" si="47"/>
        <v>-42260018.156612709</v>
      </c>
      <c r="K653" s="550">
        <f>'Sollecitazioni nel paramento'!$G$60*(sezione!$AL$29-C653)/C653</f>
        <v>-1.6075537311987325E-3</v>
      </c>
      <c r="L653" s="550">
        <f>'Sollecitazioni nel paramento'!$G$60*(sezione!$AM$29-C653)/C653</f>
        <v>-6.6133059679809869E-4</v>
      </c>
      <c r="M653" s="551">
        <f>'Sollecitazioni nel paramento'!$G$60*(sezione!$AN$29-C653)/C653</f>
        <v>2.8489253760253499E-4</v>
      </c>
      <c r="N653" s="551">
        <f>'Sollecitazioni nel paramento'!$G$60*(sezione!$AO$29-C653)/C653</f>
        <v>4.0697850752050698E-3</v>
      </c>
      <c r="O653" s="551">
        <f>'Sollecitazioni nel paramento'!$G$60*(sezione!$AP$29-C653)/C653</f>
        <v>1.1736692804046439E-2</v>
      </c>
      <c r="P653" s="545">
        <f>-'Sollecitazioni nel paramento'!$G$47*'Sollecitazioni nel paramento'!$G$41*IF(DATI!$G$211="dx",DATI!$E$61,DATI!$E$64*DATI!$E$63)*1000*C653*sezione!$AD$5</f>
        <v>-2818352.1444856925</v>
      </c>
      <c r="Q653" s="545">
        <f>'Foglio deposito bis'!$F$48*IF(ABS(K653)&lt;'Sollecitazioni nel paramento'!$G$58,ABS(K653)*'Sollecitazioni nel paramento'!$G$54,'Sollecitazioni nel paramento'!$G$53)*IF(K653&lt;0,-1,1)</f>
        <v>0</v>
      </c>
      <c r="R653" s="545">
        <f>'Foglio deposito bis'!$F$49*IF(ABS(L653)&lt;'Sollecitazioni nel paramento'!$G$58,ABS(L653)*'Sollecitazioni nel paramento'!$G$54,'Sollecitazioni nel paramento'!$G$53)*IF(L653&lt;0,-1,1)</f>
        <v>-71332.009494330399</v>
      </c>
      <c r="S653" s="545">
        <f>'Foglio deposito bis'!$F$50*IF(ABS(M653)&lt;'Sollecitazioni nel paramento'!$G$58,ABS(M653)*'Sollecitazioni nel paramento'!$G$54,'Sollecitazioni nel paramento'!$G$53)*IF(M653&lt;0,-1,1)</f>
        <v>0</v>
      </c>
      <c r="T653" s="545">
        <f>'Foglio deposito bis'!$F$51*IF(ABS(N653)&lt;'Sollecitazioni nel paramento'!$G$58,ABS(N653)*'Sollecitazioni nel paramento'!$G$54,'Sollecitazioni nel paramento'!$G$53)*IF(N653&lt;0,-1,1)</f>
        <v>240946.49743184328</v>
      </c>
      <c r="U653" s="545">
        <f>'Foglio deposito bis'!$F$52*IF(ABS(O653)&lt;'Sollecitazioni nel paramento'!$G$58,ABS(O653)*'Sollecitazioni nel paramento'!$G$54,'Sollecitazioni nel paramento'!$G$53)*IF(O653&lt;0,-1,1)</f>
        <v>240946.49743184328</v>
      </c>
      <c r="V653" s="472">
        <f t="shared" si="48"/>
        <v>-2407791.1591163366</v>
      </c>
      <c r="W653" s="551"/>
      <c r="X653" s="551"/>
    </row>
    <row r="654" spans="1:24" x14ac:dyDescent="0.25">
      <c r="A654" s="545">
        <f t="shared" si="49"/>
        <v>2449122.7149290731</v>
      </c>
      <c r="B654" s="3">
        <f t="shared" si="46"/>
        <v>15.299999999999967</v>
      </c>
      <c r="C654" s="545">
        <f>'Foglio deposito bis'!$E$155/sezione!$B$247*B654</f>
        <v>74.958167623758413</v>
      </c>
      <c r="D654" s="603">
        <f>-'Sollecitazioni nel paramento'!$G$47*'Sollecitazioni nel paramento'!$G$41*IF(DATI!$G$211="dx",DATI!$E$61,DATI!$E$64*DATI!$E$63)*1000*C654^2*sezione!$AD$5*(1-sezione!$AD$6)</f>
        <v>-125009076.86187005</v>
      </c>
      <c r="E654" s="545">
        <f>-'Foglio deposito bis'!$F$48*(C654-sezione!$AL$29)*IF(ABS(K654)&lt;'Sollecitazioni nel paramento'!$G$58,ABS(K654)*'Sollecitazioni nel paramento'!$G$54,'Sollecitazioni nel paramento'!$G$53)</f>
        <v>0</v>
      </c>
      <c r="F654" s="545">
        <f>-'Foglio deposito bis'!$F$49*(C654-sezione!$AM$29)*IF(ABS(L654)&lt;'Sollecitazioni nel paramento'!$G$58,ABS(L654)*'Sollecitazioni nel paramento'!$G$54,'Sollecitazioni nel paramento'!$G$53)</f>
        <v>-1126864.550582557</v>
      </c>
      <c r="G654" s="545">
        <f>-'Foglio deposito bis'!$F$50*(C654-sezione!$AN$29)*IF(ABS(M654)&lt;'Sollecitazioni nel paramento'!$G$58,ABS(M654)*'Sollecitazioni nel paramento'!$G$54,'Sollecitazioni nel paramento'!$G$53)</f>
        <v>0</v>
      </c>
      <c r="H654" s="545">
        <f>-'Foglio deposito bis'!$F$51*(C654-sezione!$AO$29)*IF(ABS(N654)&lt;'Sollecitazioni nel paramento'!$G$58,ABS(N654)*'Sollecitazioni nel paramento'!$G$54,'Sollecitazioni nel paramento'!$G$53)</f>
        <v>20490531.646241341</v>
      </c>
      <c r="I654" s="472">
        <f>-'Foglio deposito bis'!$F$52*(C654-sezione!$AP$29)*IF(ABS(O654)&lt;'Sollecitazioni nel paramento'!$G$58,ABS(O654)*'Sollecitazioni nel paramento'!$G$54,'Sollecitazioni nel paramento'!$G$53)</f>
        <v>59536597.975355156</v>
      </c>
      <c r="J654" s="472">
        <f t="shared" si="47"/>
        <v>-46108811.790856116</v>
      </c>
      <c r="K654" s="550">
        <f>'Sollecitazioni nel paramento'!$G$60*(sezione!$AL$29-C654)/C654</f>
        <v>-1.6322915909216249E-3</v>
      </c>
      <c r="L654" s="550">
        <f>'Sollecitazioni nel paramento'!$G$60*(sezione!$AM$29-C654)/C654</f>
        <v>-6.9843738638243722E-4</v>
      </c>
      <c r="M654" s="551">
        <f>'Sollecitazioni nel paramento'!$G$60*(sezione!$AN$29-C654)/C654</f>
        <v>2.3541681815675045E-4</v>
      </c>
      <c r="N654" s="551">
        <f>'Sollecitazioni nel paramento'!$G$60*(sezione!$AO$29-C654)/C654</f>
        <v>3.970833636313501E-3</v>
      </c>
      <c r="O654" s="551">
        <f>'Sollecitazioni nel paramento'!$G$60*(sezione!$AP$29-C654)/C654</f>
        <v>1.1537520349091583E-2</v>
      </c>
      <c r="P654" s="545">
        <f>-'Sollecitazioni nel paramento'!$G$47*'Sollecitazioni nel paramento'!$G$41*IF(DATI!$G$211="dx",DATI!$E$61,DATI!$E$64*DATI!$E$63)*1000*C654*sezione!$AD$5</f>
        <v>-2855681.3119623237</v>
      </c>
      <c r="Q654" s="545">
        <f>'Foglio deposito bis'!$F$48*IF(ABS(K654)&lt;'Sollecitazioni nel paramento'!$G$58,ABS(K654)*'Sollecitazioni nel paramento'!$G$54,'Sollecitazioni nel paramento'!$G$53)*IF(K654&lt;0,-1,1)</f>
        <v>0</v>
      </c>
      <c r="R654" s="545">
        <f>'Foglio deposito bis'!$F$49*IF(ABS(L654)&lt;'Sollecitazioni nel paramento'!$G$58,ABS(L654)*'Sollecitazioni nel paramento'!$G$54,'Sollecitazioni nel paramento'!$G$53)*IF(L654&lt;0,-1,1)</f>
        <v>-75334.397830435541</v>
      </c>
      <c r="S654" s="545">
        <f>'Foglio deposito bis'!$F$50*IF(ABS(M654)&lt;'Sollecitazioni nel paramento'!$G$58,ABS(M654)*'Sollecitazioni nel paramento'!$G$54,'Sollecitazioni nel paramento'!$G$53)*IF(M654&lt;0,-1,1)</f>
        <v>0</v>
      </c>
      <c r="T654" s="545">
        <f>'Foglio deposito bis'!$F$51*IF(ABS(N654)&lt;'Sollecitazioni nel paramento'!$G$58,ABS(N654)*'Sollecitazioni nel paramento'!$G$54,'Sollecitazioni nel paramento'!$G$53)*IF(N654&lt;0,-1,1)</f>
        <v>240946.49743184328</v>
      </c>
      <c r="U654" s="545">
        <f>'Foglio deposito bis'!$F$52*IF(ABS(O654)&lt;'Sollecitazioni nel paramento'!$G$58,ABS(O654)*'Sollecitazioni nel paramento'!$G$54,'Sollecitazioni nel paramento'!$G$53)*IF(O654&lt;0,-1,1)</f>
        <v>240946.49743184328</v>
      </c>
      <c r="V654" s="472">
        <f t="shared" si="48"/>
        <v>-2449122.7149290731</v>
      </c>
      <c r="W654" s="551"/>
      <c r="X654" s="551"/>
    </row>
    <row r="655" spans="1:24" x14ac:dyDescent="0.25">
      <c r="A655" s="545">
        <f t="shared" si="49"/>
        <v>2490350.9833008777</v>
      </c>
      <c r="B655" s="3">
        <f t="shared" si="46"/>
        <v>15.499999999999966</v>
      </c>
      <c r="C655" s="545">
        <f>'Foglio deposito bis'!$E$155/sezione!$B$247*B655</f>
        <v>75.938012952173551</v>
      </c>
      <c r="D655" s="603">
        <f>-'Sollecitazioni nel paramento'!$G$47*'Sollecitazioni nel paramento'!$G$41*IF(DATI!$G$211="dx",DATI!$E$61,DATI!$E$64*DATI!$E$63)*1000*C655^2*sezione!$AD$5*(1-sezione!$AD$6)</f>
        <v>-128298648.87891099</v>
      </c>
      <c r="E655" s="545">
        <f>-'Foglio deposito bis'!$F$48*(C655-sezione!$AL$29)*IF(ABS(K655)&lt;'Sollecitazioni nel paramento'!$G$58,ABS(K655)*'Sollecitazioni nel paramento'!$G$54,'Sollecitazioni nel paramento'!$G$53)</f>
        <v>0</v>
      </c>
      <c r="F655" s="545">
        <f>-'Foglio deposito bis'!$F$49*(C655-sezione!$AM$29)*IF(ABS(L655)&lt;'Sollecitazioni nel paramento'!$G$58,ABS(L655)*'Sollecitazioni nel paramento'!$G$54,'Sollecitazioni nel paramento'!$G$53)</f>
        <v>-1262824.5289347814</v>
      </c>
      <c r="G655" s="545">
        <f>-'Foglio deposito bis'!$F$50*(C655-sezione!$AN$29)*IF(ABS(M655)&lt;'Sollecitazioni nel paramento'!$G$58,ABS(M655)*'Sollecitazioni nel paramento'!$G$54,'Sollecitazioni nel paramento'!$G$53)</f>
        <v>0</v>
      </c>
      <c r="H655" s="545">
        <f>-'Foglio deposito bis'!$F$51*(C655-sezione!$AO$29)*IF(ABS(N655)&lt;'Sollecitazioni nel paramento'!$G$58,ABS(N655)*'Sollecitazioni nel paramento'!$G$54,'Sollecitazioni nel paramento'!$G$53)</f>
        <v>20254441.346334755</v>
      </c>
      <c r="I655" s="472">
        <f>-'Foglio deposito bis'!$F$52*(C655-sezione!$AP$29)*IF(ABS(O655)&lt;'Sollecitazioni nel paramento'!$G$58,ABS(O655)*'Sollecitazioni nel paramento'!$G$54,'Sollecitazioni nel paramento'!$G$53)</f>
        <v>59300507.675448567</v>
      </c>
      <c r="J655" s="472">
        <f t="shared" si="47"/>
        <v>-50006524.386062443</v>
      </c>
      <c r="K655" s="550">
        <f>'Sollecitazioni nel paramento'!$G$60*(sezione!$AL$29-C655)/C655</f>
        <v>-1.6563910542645715E-3</v>
      </c>
      <c r="L655" s="550">
        <f>'Sollecitazioni nel paramento'!$G$60*(sezione!$AM$29-C655)/C655</f>
        <v>-7.3458658139685716E-4</v>
      </c>
      <c r="M655" s="551">
        <f>'Sollecitazioni nel paramento'!$G$60*(sezione!$AN$29-C655)/C655</f>
        <v>1.8721789147085712E-4</v>
      </c>
      <c r="N655" s="551">
        <f>'Sollecitazioni nel paramento'!$G$60*(sezione!$AO$29-C655)/C655</f>
        <v>3.8744357829417139E-3</v>
      </c>
      <c r="O655" s="551">
        <f>'Sollecitazioni nel paramento'!$G$60*(sezione!$AP$29-C655)/C655</f>
        <v>1.1343487828458145E-2</v>
      </c>
      <c r="P655" s="545">
        <f>-'Sollecitazioni nel paramento'!$G$47*'Sollecitazioni nel paramento'!$G$41*IF(DATI!$G$211="dx",DATI!$E$61,DATI!$E$64*DATI!$E$63)*1000*C655*sezione!$AD$5</f>
        <v>-2893010.479438955</v>
      </c>
      <c r="Q655" s="545">
        <f>'Foglio deposito bis'!$F$48*IF(ABS(K655)&lt;'Sollecitazioni nel paramento'!$G$58,ABS(K655)*'Sollecitazioni nel paramento'!$G$54,'Sollecitazioni nel paramento'!$G$53)*IF(K655&lt;0,-1,1)</f>
        <v>0</v>
      </c>
      <c r="R655" s="545">
        <f>'Foglio deposito bis'!$F$49*IF(ABS(L655)&lt;'Sollecitazioni nel paramento'!$G$58,ABS(L655)*'Sollecitazioni nel paramento'!$G$54,'Sollecitazioni nel paramento'!$G$53)*IF(L655&lt;0,-1,1)</f>
        <v>-79233.498725608908</v>
      </c>
      <c r="S655" s="545">
        <f>'Foglio deposito bis'!$F$50*IF(ABS(M655)&lt;'Sollecitazioni nel paramento'!$G$58,ABS(M655)*'Sollecitazioni nel paramento'!$G$54,'Sollecitazioni nel paramento'!$G$53)*IF(M655&lt;0,-1,1)</f>
        <v>0</v>
      </c>
      <c r="T655" s="545">
        <f>'Foglio deposito bis'!$F$51*IF(ABS(N655)&lt;'Sollecitazioni nel paramento'!$G$58,ABS(N655)*'Sollecitazioni nel paramento'!$G$54,'Sollecitazioni nel paramento'!$G$53)*IF(N655&lt;0,-1,1)</f>
        <v>240946.49743184328</v>
      </c>
      <c r="U655" s="545">
        <f>'Foglio deposito bis'!$F$52*IF(ABS(O655)&lt;'Sollecitazioni nel paramento'!$G$58,ABS(O655)*'Sollecitazioni nel paramento'!$G$54,'Sollecitazioni nel paramento'!$G$53)*IF(O655&lt;0,-1,1)</f>
        <v>240946.49743184328</v>
      </c>
      <c r="V655" s="472">
        <f t="shared" si="48"/>
        <v>-2490350.9833008777</v>
      </c>
      <c r="W655" s="551"/>
      <c r="X655" s="551"/>
    </row>
    <row r="656" spans="1:24" x14ac:dyDescent="0.25">
      <c r="A656" s="545">
        <f t="shared" si="49"/>
        <v>2531479.9115224872</v>
      </c>
      <c r="B656" s="3">
        <f t="shared" si="46"/>
        <v>15.699999999999966</v>
      </c>
      <c r="C656" s="545">
        <f>'Foglio deposito bis'!$E$155/sezione!$B$247*B656</f>
        <v>76.917858280588689</v>
      </c>
      <c r="D656" s="603">
        <f>-'Sollecitazioni nel paramento'!$G$47*'Sollecitazioni nel paramento'!$G$41*IF(DATI!$G$211="dx",DATI!$E$61,DATI!$E$64*DATI!$E$63)*1000*C656^2*sezione!$AD$5*(1-sezione!$AD$6)</f>
        <v>-131630942.61045896</v>
      </c>
      <c r="E656" s="545">
        <f>-'Foglio deposito bis'!$F$48*(C656-sezione!$AL$29)*IF(ABS(K656)&lt;'Sollecitazioni nel paramento'!$G$58,ABS(K656)*'Sollecitazioni nel paramento'!$G$54,'Sollecitazioni nel paramento'!$G$53)</f>
        <v>0</v>
      </c>
      <c r="F656" s="545">
        <f>-'Foglio deposito bis'!$F$49*(C656-sezione!$AM$29)*IF(ABS(L656)&lt;'Sollecitazioni nel paramento'!$G$58,ABS(L656)*'Sollecitazioni nel paramento'!$G$54,'Sollecitazioni nel paramento'!$G$53)</f>
        <v>-1404744.9162987359</v>
      </c>
      <c r="G656" s="545">
        <f>-'Foglio deposito bis'!$F$50*(C656-sezione!$AN$29)*IF(ABS(M656)&lt;'Sollecitazioni nel paramento'!$G$58,ABS(M656)*'Sollecitazioni nel paramento'!$G$54,'Sollecitazioni nel paramento'!$G$53)</f>
        <v>0</v>
      </c>
      <c r="H656" s="545">
        <f>-'Foglio deposito bis'!$F$51*(C656-sezione!$AO$29)*IF(ABS(N656)&lt;'Sollecitazioni nel paramento'!$G$58,ABS(N656)*'Sollecitazioni nel paramento'!$G$54,'Sollecitazioni nel paramento'!$G$53)</f>
        <v>20018351.046428178</v>
      </c>
      <c r="I656" s="472">
        <f>-'Foglio deposito bis'!$F$52*(C656-sezione!$AP$29)*IF(ABS(O656)&lt;'Sollecitazioni nel paramento'!$G$58,ABS(O656)*'Sollecitazioni nel paramento'!$G$54,'Sollecitazioni nel paramento'!$G$53)</f>
        <v>59064417.375541992</v>
      </c>
      <c r="J656" s="472">
        <f t="shared" si="47"/>
        <v>-53952919.104787521</v>
      </c>
      <c r="K656" s="550">
        <f>'Sollecitazioni nel paramento'!$G$60*(sezione!$AL$29-C656)/C656</f>
        <v>-1.6798765185414557E-3</v>
      </c>
      <c r="L656" s="550">
        <f>'Sollecitazioni nel paramento'!$G$60*(sezione!$AM$29-C656)/C656</f>
        <v>-7.6981477781218365E-4</v>
      </c>
      <c r="M656" s="551">
        <f>'Sollecitazioni nel paramento'!$G$60*(sezione!$AN$29-C656)/C656</f>
        <v>1.4024696291708847E-4</v>
      </c>
      <c r="N656" s="551">
        <f>'Sollecitazioni nel paramento'!$G$60*(sezione!$AO$29-C656)/C656</f>
        <v>3.7804939258341769E-3</v>
      </c>
      <c r="O656" s="551">
        <f>'Sollecitazioni nel paramento'!$G$60*(sezione!$AP$29-C656)/C656</f>
        <v>1.1154398811535111E-2</v>
      </c>
      <c r="P656" s="545">
        <f>-'Sollecitazioni nel paramento'!$G$47*'Sollecitazioni nel paramento'!$G$41*IF(DATI!$G$211="dx",DATI!$E$61,DATI!$E$64*DATI!$E$63)*1000*C656*sezione!$AD$5</f>
        <v>-2930339.6469155867</v>
      </c>
      <c r="Q656" s="545">
        <f>'Foglio deposito bis'!$F$48*IF(ABS(K656)&lt;'Sollecitazioni nel paramento'!$G$58,ABS(K656)*'Sollecitazioni nel paramento'!$G$54,'Sollecitazioni nel paramento'!$G$53)*IF(K656&lt;0,-1,1)</f>
        <v>0</v>
      </c>
      <c r="R656" s="545">
        <f>'Foglio deposito bis'!$F$49*IF(ABS(L656)&lt;'Sollecitazioni nel paramento'!$G$58,ABS(L656)*'Sollecitazioni nel paramento'!$G$54,'Sollecitazioni nel paramento'!$G$53)*IF(L656&lt;0,-1,1)</f>
        <v>-83033.259470586781</v>
      </c>
      <c r="S656" s="545">
        <f>'Foglio deposito bis'!$F$50*IF(ABS(M656)&lt;'Sollecitazioni nel paramento'!$G$58,ABS(M656)*'Sollecitazioni nel paramento'!$G$54,'Sollecitazioni nel paramento'!$G$53)*IF(M656&lt;0,-1,1)</f>
        <v>0</v>
      </c>
      <c r="T656" s="545">
        <f>'Foglio deposito bis'!$F$51*IF(ABS(N656)&lt;'Sollecitazioni nel paramento'!$G$58,ABS(N656)*'Sollecitazioni nel paramento'!$G$54,'Sollecitazioni nel paramento'!$G$53)*IF(N656&lt;0,-1,1)</f>
        <v>240946.49743184328</v>
      </c>
      <c r="U656" s="545">
        <f>'Foglio deposito bis'!$F$52*IF(ABS(O656)&lt;'Sollecitazioni nel paramento'!$G$58,ABS(O656)*'Sollecitazioni nel paramento'!$G$54,'Sollecitazioni nel paramento'!$G$53)*IF(O656&lt;0,-1,1)</f>
        <v>240946.49743184328</v>
      </c>
      <c r="V656" s="472">
        <f t="shared" si="48"/>
        <v>-2531479.9115224872</v>
      </c>
      <c r="W656" s="551"/>
      <c r="X656" s="551"/>
    </row>
    <row r="657" spans="1:24" x14ac:dyDescent="0.25">
      <c r="A657" s="545">
        <f t="shared" si="49"/>
        <v>2572513.2482788148</v>
      </c>
      <c r="B657" s="3">
        <f t="shared" si="46"/>
        <v>15.899999999999965</v>
      </c>
      <c r="C657" s="545">
        <f>'Foglio deposito bis'!$E$155/sezione!$B$247*B657</f>
        <v>77.897703609003841</v>
      </c>
      <c r="D657" s="603">
        <f>-'Sollecitazioni nel paramento'!$G$47*'Sollecitazioni nel paramento'!$G$41*IF(DATI!$G$211="dx",DATI!$E$61,DATI!$E$64*DATI!$E$63)*1000*C657^2*sezione!$AD$5*(1-sezione!$AD$6)</f>
        <v>-135005958.05651399</v>
      </c>
      <c r="E657" s="545">
        <f>-'Foglio deposito bis'!$F$48*(C657-sezione!$AL$29)*IF(ABS(K657)&lt;'Sollecitazioni nel paramento'!$G$58,ABS(K657)*'Sollecitazioni nel paramento'!$G$54,'Sollecitazioni nel paramento'!$G$53)</f>
        <v>0</v>
      </c>
      <c r="F657" s="545">
        <f>-'Foglio deposito bis'!$F$49*(C657-sezione!$AM$29)*IF(ABS(L657)&lt;'Sollecitazioni nel paramento'!$G$58,ABS(L657)*'Sollecitazioni nel paramento'!$G$54,'Sollecitazioni nel paramento'!$G$53)</f>
        <v>-1552400.7915796402</v>
      </c>
      <c r="G657" s="545">
        <f>-'Foglio deposito bis'!$F$50*(C657-sezione!$AN$29)*IF(ABS(M657)&lt;'Sollecitazioni nel paramento'!$G$58,ABS(M657)*'Sollecitazioni nel paramento'!$G$54,'Sollecitazioni nel paramento'!$G$53)</f>
        <v>0</v>
      </c>
      <c r="H657" s="545">
        <f>-'Foglio deposito bis'!$F$51*(C657-sezione!$AO$29)*IF(ABS(N657)&lt;'Sollecitazioni nel paramento'!$G$58,ABS(N657)*'Sollecitazioni nel paramento'!$G$54,'Sollecitazioni nel paramento'!$G$53)</f>
        <v>19782260.746521592</v>
      </c>
      <c r="I657" s="472">
        <f>-'Foglio deposito bis'!$F$52*(C657-sezione!$AP$29)*IF(ABS(O657)&lt;'Sollecitazioni nel paramento'!$G$58,ABS(O657)*'Sollecitazioni nel paramento'!$G$54,'Sollecitazioni nel paramento'!$G$53)</f>
        <v>58828327.075635411</v>
      </c>
      <c r="J657" s="472">
        <f t="shared" si="47"/>
        <v>-57947771.025936626</v>
      </c>
      <c r="K657" s="550">
        <f>'Sollecitazioni nel paramento'!$G$60*(sezione!$AL$29-C657)/C657</f>
        <v>-1.7027711535283561E-3</v>
      </c>
      <c r="L657" s="550">
        <f>'Sollecitazioni nel paramento'!$G$60*(sezione!$AM$29-C657)/C657</f>
        <v>-8.041567302925339E-4</v>
      </c>
      <c r="M657" s="551">
        <f>'Sollecitazioni nel paramento'!$G$60*(sezione!$AN$29-C657)/C657</f>
        <v>9.4457692943288193E-5</v>
      </c>
      <c r="N657" s="551">
        <f>'Sollecitazioni nel paramento'!$G$60*(sezione!$AO$29-C657)/C657</f>
        <v>3.6889153858865767E-3</v>
      </c>
      <c r="O657" s="551">
        <f>'Sollecitazioni nel paramento'!$G$60*(sezione!$AP$29-C657)/C657</f>
        <v>1.0970066751012657E-2</v>
      </c>
      <c r="P657" s="545">
        <f>-'Sollecitazioni nel paramento'!$G$47*'Sollecitazioni nel paramento'!$G$41*IF(DATI!$G$211="dx",DATI!$E$61,DATI!$E$64*DATI!$E$63)*1000*C657*sezione!$AD$5</f>
        <v>-2967668.8143922188</v>
      </c>
      <c r="Q657" s="545">
        <f>'Foglio deposito bis'!$F$48*IF(ABS(K657)&lt;'Sollecitazioni nel paramento'!$G$58,ABS(K657)*'Sollecitazioni nel paramento'!$G$54,'Sollecitazioni nel paramento'!$G$53)*IF(K657&lt;0,-1,1)</f>
        <v>0</v>
      </c>
      <c r="R657" s="545">
        <f>'Foglio deposito bis'!$F$49*IF(ABS(L657)&lt;'Sollecitazioni nel paramento'!$G$58,ABS(L657)*'Sollecitazioni nel paramento'!$G$54,'Sollecitazioni nel paramento'!$G$53)*IF(L657&lt;0,-1,1)</f>
        <v>-86737.428750282255</v>
      </c>
      <c r="S657" s="545">
        <f>'Foglio deposito bis'!$F$50*IF(ABS(M657)&lt;'Sollecitazioni nel paramento'!$G$58,ABS(M657)*'Sollecitazioni nel paramento'!$G$54,'Sollecitazioni nel paramento'!$G$53)*IF(M657&lt;0,-1,1)</f>
        <v>0</v>
      </c>
      <c r="T657" s="545">
        <f>'Foglio deposito bis'!$F$51*IF(ABS(N657)&lt;'Sollecitazioni nel paramento'!$G$58,ABS(N657)*'Sollecitazioni nel paramento'!$G$54,'Sollecitazioni nel paramento'!$G$53)*IF(N657&lt;0,-1,1)</f>
        <v>240946.49743184328</v>
      </c>
      <c r="U657" s="545">
        <f>'Foglio deposito bis'!$F$52*IF(ABS(O657)&lt;'Sollecitazioni nel paramento'!$G$58,ABS(O657)*'Sollecitazioni nel paramento'!$G$54,'Sollecitazioni nel paramento'!$G$53)*IF(O657&lt;0,-1,1)</f>
        <v>240946.49743184328</v>
      </c>
      <c r="V657" s="472">
        <f t="shared" si="48"/>
        <v>-2572513.2482788148</v>
      </c>
      <c r="W657" s="551"/>
      <c r="X657" s="551"/>
    </row>
    <row r="658" spans="1:24" x14ac:dyDescent="0.25">
      <c r="A658" s="545">
        <f t="shared" si="49"/>
        <v>2613454.5559847145</v>
      </c>
      <c r="B658" s="3">
        <f t="shared" si="46"/>
        <v>16.099999999999966</v>
      </c>
      <c r="C658" s="545">
        <f>'Foglio deposito bis'!$E$155/sezione!$B$247*B658</f>
        <v>78.877548937418979</v>
      </c>
      <c r="D658" s="603">
        <f>-'Sollecitazioni nel paramento'!$G$47*'Sollecitazioni nel paramento'!$G$41*IF(DATI!$G$211="dx",DATI!$E$61,DATI!$E$64*DATI!$E$63)*1000*C658^2*sezione!$AD$5*(1-sezione!$AD$6)</f>
        <v>-138423695.21707603</v>
      </c>
      <c r="E658" s="545">
        <f>-'Foglio deposito bis'!$F$48*(C658-sezione!$AL$29)*IF(ABS(K658)&lt;'Sollecitazioni nel paramento'!$G$58,ABS(K658)*'Sollecitazioni nel paramento'!$G$54,'Sollecitazioni nel paramento'!$G$53)</f>
        <v>0</v>
      </c>
      <c r="F658" s="545">
        <f>-'Foglio deposito bis'!$F$49*(C658-sezione!$AM$29)*IF(ABS(L658)&lt;'Sollecitazioni nel paramento'!$G$58,ABS(L658)*'Sollecitazioni nel paramento'!$G$54,'Sollecitazioni nel paramento'!$G$53)</f>
        <v>-1705578.4098861751</v>
      </c>
      <c r="G658" s="545">
        <f>-'Foglio deposito bis'!$F$50*(C658-sezione!$AN$29)*IF(ABS(M658)&lt;'Sollecitazioni nel paramento'!$G$58,ABS(M658)*'Sollecitazioni nel paramento'!$G$54,'Sollecitazioni nel paramento'!$G$53)</f>
        <v>0</v>
      </c>
      <c r="H658" s="545">
        <f>-'Foglio deposito bis'!$F$51*(C658-sezione!$AO$29)*IF(ABS(N658)&lt;'Sollecitazioni nel paramento'!$G$58,ABS(N658)*'Sollecitazioni nel paramento'!$G$54,'Sollecitazioni nel paramento'!$G$53)</f>
        <v>19546170.44661501</v>
      </c>
      <c r="I658" s="472">
        <f>-'Foglio deposito bis'!$F$52*(C658-sezione!$AP$29)*IF(ABS(O658)&lt;'Sollecitazioni nel paramento'!$G$58,ABS(O658)*'Sollecitazioni nel paramento'!$G$54,'Sollecitazioni nel paramento'!$G$53)</f>
        <v>58592236.775728822</v>
      </c>
      <c r="J658" s="472">
        <f t="shared" si="47"/>
        <v>-61990866.404618382</v>
      </c>
      <c r="K658" s="550">
        <f>'Sollecitazioni nel paramento'!$G$60*(sezione!$AL$29-C658)/C658</f>
        <v>-1.725096977708128E-3</v>
      </c>
      <c r="L658" s="550">
        <f>'Sollecitazioni nel paramento'!$G$60*(sezione!$AM$29-C658)/C658</f>
        <v>-8.3764546656219158E-4</v>
      </c>
      <c r="M658" s="551">
        <f>'Sollecitazioni nel paramento'!$G$60*(sezione!$AN$29-C658)/C658</f>
        <v>4.9806044583744449E-5</v>
      </c>
      <c r="N658" s="551">
        <f>'Sollecitazioni nel paramento'!$G$60*(sezione!$AO$29-C658)/C658</f>
        <v>3.5996120891674892E-3</v>
      </c>
      <c r="O658" s="551">
        <f>'Sollecitazioni nel paramento'!$G$60*(sezione!$AP$29-C658)/C658</f>
        <v>1.07903143690125E-2</v>
      </c>
      <c r="P658" s="545">
        <f>-'Sollecitazioni nel paramento'!$G$47*'Sollecitazioni nel paramento'!$G$41*IF(DATI!$G$211="dx",DATI!$E$61,DATI!$E$64*DATI!$E$63)*1000*C658*sezione!$AD$5</f>
        <v>-3004997.9818688501</v>
      </c>
      <c r="Q658" s="545">
        <f>'Foglio deposito bis'!$F$48*IF(ABS(K658)&lt;'Sollecitazioni nel paramento'!$G$58,ABS(K658)*'Sollecitazioni nel paramento'!$G$54,'Sollecitazioni nel paramento'!$G$53)*IF(K658&lt;0,-1,1)</f>
        <v>0</v>
      </c>
      <c r="R658" s="545">
        <f>'Foglio deposito bis'!$F$49*IF(ABS(L658)&lt;'Sollecitazioni nel paramento'!$G$58,ABS(L658)*'Sollecitazioni nel paramento'!$G$54,'Sollecitazioni nel paramento'!$G$53)*IF(L658&lt;0,-1,1)</f>
        <v>-90349.56897955043</v>
      </c>
      <c r="S658" s="545">
        <f>'Foglio deposito bis'!$F$50*IF(ABS(M658)&lt;'Sollecitazioni nel paramento'!$G$58,ABS(M658)*'Sollecitazioni nel paramento'!$G$54,'Sollecitazioni nel paramento'!$G$53)*IF(M658&lt;0,-1,1)</f>
        <v>0</v>
      </c>
      <c r="T658" s="545">
        <f>'Foglio deposito bis'!$F$51*IF(ABS(N658)&lt;'Sollecitazioni nel paramento'!$G$58,ABS(N658)*'Sollecitazioni nel paramento'!$G$54,'Sollecitazioni nel paramento'!$G$53)*IF(N658&lt;0,-1,1)</f>
        <v>240946.49743184328</v>
      </c>
      <c r="U658" s="545">
        <f>'Foglio deposito bis'!$F$52*IF(ABS(O658)&lt;'Sollecitazioni nel paramento'!$G$58,ABS(O658)*'Sollecitazioni nel paramento'!$G$54,'Sollecitazioni nel paramento'!$G$53)*IF(O658&lt;0,-1,1)</f>
        <v>240946.49743184328</v>
      </c>
      <c r="V658" s="472">
        <f t="shared" si="48"/>
        <v>-2613454.5559847145</v>
      </c>
      <c r="W658" s="551"/>
      <c r="X658" s="551"/>
    </row>
    <row r="659" spans="1:24" x14ac:dyDescent="0.25">
      <c r="A659" s="545">
        <f t="shared" si="49"/>
        <v>2654307.2222125959</v>
      </c>
      <c r="B659" s="3">
        <f t="shared" si="46"/>
        <v>16.299999999999965</v>
      </c>
      <c r="C659" s="545">
        <f>'Foglio deposito bis'!$E$155/sezione!$B$247*B659</f>
        <v>79.857394265834131</v>
      </c>
      <c r="D659" s="603">
        <f>-'Sollecitazioni nel paramento'!$G$47*'Sollecitazioni nel paramento'!$G$41*IF(DATI!$G$211="dx",DATI!$E$61,DATI!$E$64*DATI!$E$63)*1000*C659^2*sezione!$AD$5*(1-sezione!$AD$6)</f>
        <v>-141884154.09214512</v>
      </c>
      <c r="E659" s="545">
        <f>-'Foglio deposito bis'!$F$48*(C659-sezione!$AL$29)*IF(ABS(K659)&lt;'Sollecitazioni nel paramento'!$G$58,ABS(K659)*'Sollecitazioni nel paramento'!$G$54,'Sollecitazioni nel paramento'!$G$53)</f>
        <v>0</v>
      </c>
      <c r="F659" s="545">
        <f>-'Foglio deposito bis'!$F$49*(C659-sezione!$AM$29)*IF(ABS(L659)&lt;'Sollecitazioni nel paramento'!$G$58,ABS(L659)*'Sollecitazioni nel paramento'!$G$54,'Sollecitazioni nel paramento'!$G$53)</f>
        <v>-1864074.5168738442</v>
      </c>
      <c r="G659" s="545">
        <f>-'Foglio deposito bis'!$F$50*(C659-sezione!$AN$29)*IF(ABS(M659)&lt;'Sollecitazioni nel paramento'!$G$58,ABS(M659)*'Sollecitazioni nel paramento'!$G$54,'Sollecitazioni nel paramento'!$G$53)</f>
        <v>0</v>
      </c>
      <c r="H659" s="545">
        <f>-'Foglio deposito bis'!$F$51*(C659-sezione!$AO$29)*IF(ABS(N659)&lt;'Sollecitazioni nel paramento'!$G$58,ABS(N659)*'Sollecitazioni nel paramento'!$G$54,'Sollecitazioni nel paramento'!$G$53)</f>
        <v>19310080.146708425</v>
      </c>
      <c r="I659" s="472">
        <f>-'Foglio deposito bis'!$F$52*(C659-sezione!$AP$29)*IF(ABS(O659)&lt;'Sollecitazioni nel paramento'!$G$58,ABS(O659)*'Sollecitazioni nel paramento'!$G$54,'Sollecitazioni nel paramento'!$G$53)</f>
        <v>58356146.475822233</v>
      </c>
      <c r="J659" s="472">
        <f t="shared" si="47"/>
        <v>-66082001.98648829</v>
      </c>
      <c r="K659" s="550">
        <f>'Sollecitazioni nel paramento'!$G$60*(sezione!$AL$29-C659)/C659</f>
        <v>-1.7468749289018934E-3</v>
      </c>
      <c r="L659" s="550">
        <f>'Sollecitazioni nel paramento'!$G$60*(sezione!$AM$29-C659)/C659</f>
        <v>-8.7031239335284003E-4</v>
      </c>
      <c r="M659" s="551">
        <f>'Sollecitazioni nel paramento'!$G$60*(sezione!$AN$29-C659)/C659</f>
        <v>6.2501421962134234E-6</v>
      </c>
      <c r="N659" s="551">
        <f>'Sollecitazioni nel paramento'!$G$60*(sezione!$AO$29-C659)/C659</f>
        <v>3.5125002843924271E-3</v>
      </c>
      <c r="O659" s="551">
        <f>'Sollecitazioni nel paramento'!$G$60*(sezione!$AP$29-C659)/C659</f>
        <v>1.0614973088411117E-2</v>
      </c>
      <c r="P659" s="545">
        <f>-'Sollecitazioni nel paramento'!$G$47*'Sollecitazioni nel paramento'!$G$41*IF(DATI!$G$211="dx",DATI!$E$61,DATI!$E$64*DATI!$E$63)*1000*C659*sezione!$AD$5</f>
        <v>-3042327.1493454822</v>
      </c>
      <c r="Q659" s="545">
        <f>'Foglio deposito bis'!$F$48*IF(ABS(K659)&lt;'Sollecitazioni nel paramento'!$G$58,ABS(K659)*'Sollecitazioni nel paramento'!$G$54,'Sollecitazioni nel paramento'!$G$53)*IF(K659&lt;0,-1,1)</f>
        <v>0</v>
      </c>
      <c r="R659" s="545">
        <f>'Foglio deposito bis'!$F$49*IF(ABS(L659)&lt;'Sollecitazioni nel paramento'!$G$58,ABS(L659)*'Sollecitazioni nel paramento'!$G$54,'Sollecitazioni nel paramento'!$G$53)*IF(L659&lt;0,-1,1)</f>
        <v>-93873.067730799856</v>
      </c>
      <c r="S659" s="545">
        <f>'Foglio deposito bis'!$F$50*IF(ABS(M659)&lt;'Sollecitazioni nel paramento'!$G$58,ABS(M659)*'Sollecitazioni nel paramento'!$G$54,'Sollecitazioni nel paramento'!$G$53)*IF(M659&lt;0,-1,1)</f>
        <v>0</v>
      </c>
      <c r="T659" s="545">
        <f>'Foglio deposito bis'!$F$51*IF(ABS(N659)&lt;'Sollecitazioni nel paramento'!$G$58,ABS(N659)*'Sollecitazioni nel paramento'!$G$54,'Sollecitazioni nel paramento'!$G$53)*IF(N659&lt;0,-1,1)</f>
        <v>240946.49743184328</v>
      </c>
      <c r="U659" s="545">
        <f>'Foglio deposito bis'!$F$52*IF(ABS(O659)&lt;'Sollecitazioni nel paramento'!$G$58,ABS(O659)*'Sollecitazioni nel paramento'!$G$54,'Sollecitazioni nel paramento'!$G$53)*IF(O659&lt;0,-1,1)</f>
        <v>240946.49743184328</v>
      </c>
      <c r="V659" s="472">
        <f t="shared" si="48"/>
        <v>-2654307.2222125959</v>
      </c>
      <c r="W659" s="551"/>
      <c r="X659" s="551"/>
    </row>
    <row r="660" spans="1:24" x14ac:dyDescent="0.25">
      <c r="A660" s="545">
        <f t="shared" si="49"/>
        <v>2695074.4702889309</v>
      </c>
      <c r="B660" s="3">
        <f t="shared" si="46"/>
        <v>16.499999999999964</v>
      </c>
      <c r="C660" s="545">
        <f>'Foglio deposito bis'!$E$155/sezione!$B$247*B660</f>
        <v>80.837239594249269</v>
      </c>
      <c r="D660" s="603">
        <f>-'Sollecitazioni nel paramento'!$G$47*'Sollecitazioni nel paramento'!$G$41*IF(DATI!$G$211="dx",DATI!$E$61,DATI!$E$64*DATI!$E$63)*1000*C660^2*sezione!$AD$5*(1-sezione!$AD$6)</f>
        <v>-145387334.68172121</v>
      </c>
      <c r="E660" s="545">
        <f>-'Foglio deposito bis'!$F$48*(C660-sezione!$AL$29)*IF(ABS(K660)&lt;'Sollecitazioni nel paramento'!$G$58,ABS(K660)*'Sollecitazioni nel paramento'!$G$54,'Sollecitazioni nel paramento'!$G$53)</f>
        <v>0</v>
      </c>
      <c r="F660" s="545">
        <f>-'Foglio deposito bis'!$F$49*(C660-sezione!$AM$29)*IF(ABS(L660)&lt;'Sollecitazioni nel paramento'!$G$58,ABS(L660)*'Sollecitazioni nel paramento'!$G$54,'Sollecitazioni nel paramento'!$G$53)</f>
        <v>-2027695.7129542364</v>
      </c>
      <c r="G660" s="545">
        <f>-'Foglio deposito bis'!$F$50*(C660-sezione!$AN$29)*IF(ABS(M660)&lt;'Sollecitazioni nel paramento'!$G$58,ABS(M660)*'Sollecitazioni nel paramento'!$G$54,'Sollecitazioni nel paramento'!$G$53)</f>
        <v>0</v>
      </c>
      <c r="H660" s="545">
        <f>-'Foglio deposito bis'!$F$51*(C660-sezione!$AO$29)*IF(ABS(N660)&lt;'Sollecitazioni nel paramento'!$G$58,ABS(N660)*'Sollecitazioni nel paramento'!$G$54,'Sollecitazioni nel paramento'!$G$53)</f>
        <v>19073989.846801843</v>
      </c>
      <c r="I660" s="472">
        <f>-'Foglio deposito bis'!$F$52*(C660-sezione!$AP$29)*IF(ABS(O660)&lt;'Sollecitazioni nel paramento'!$G$58,ABS(O660)*'Sollecitazioni nel paramento'!$G$54,'Sollecitazioni nel paramento'!$G$53)</f>
        <v>58120056.175915658</v>
      </c>
      <c r="J660" s="472">
        <f t="shared" si="47"/>
        <v>-70220984.371957928</v>
      </c>
      <c r="K660" s="550">
        <f>'Sollecitazioni nel paramento'!$G$60*(sezione!$AL$29-C660)/C660</f>
        <v>-1.7681249297636884E-3</v>
      </c>
      <c r="L660" s="550">
        <f>'Sollecitazioni nel paramento'!$G$60*(sezione!$AM$29-C660)/C660</f>
        <v>-9.0218739464553266E-4</v>
      </c>
      <c r="M660" s="551">
        <f>'Sollecitazioni nel paramento'!$G$60*(sezione!$AN$29-C660)/C660</f>
        <v>-3.6249859527376836E-5</v>
      </c>
      <c r="N660" s="551">
        <f>'Sollecitazioni nel paramento'!$G$60*(sezione!$AO$29-C660)/C660</f>
        <v>3.4275002809452462E-3</v>
      </c>
      <c r="O660" s="551">
        <f>'Sollecitazioni nel paramento'!$G$60*(sezione!$AP$29-C660)/C660</f>
        <v>1.0443882505521288E-2</v>
      </c>
      <c r="P660" s="545">
        <f>-'Sollecitazioni nel paramento'!$G$47*'Sollecitazioni nel paramento'!$G$41*IF(DATI!$G$211="dx",DATI!$E$61,DATI!$E$64*DATI!$E$63)*1000*C660*sezione!$AD$5</f>
        <v>-3079656.3168221135</v>
      </c>
      <c r="Q660" s="545">
        <f>'Foglio deposito bis'!$F$48*IF(ABS(K660)&lt;'Sollecitazioni nel paramento'!$G$58,ABS(K660)*'Sollecitazioni nel paramento'!$G$54,'Sollecitazioni nel paramento'!$G$53)*IF(K660&lt;0,-1,1)</f>
        <v>0</v>
      </c>
      <c r="R660" s="545">
        <f>'Foglio deposito bis'!$F$49*IF(ABS(L660)&lt;'Sollecitazioni nel paramento'!$G$58,ABS(L660)*'Sollecitazioni nel paramento'!$G$54,'Sollecitazioni nel paramento'!$G$53)*IF(L660&lt;0,-1,1)</f>
        <v>-97311.148330503755</v>
      </c>
      <c r="S660" s="545">
        <f>'Foglio deposito bis'!$F$50*IF(ABS(M660)&lt;'Sollecitazioni nel paramento'!$G$58,ABS(M660)*'Sollecitazioni nel paramento'!$G$54,'Sollecitazioni nel paramento'!$G$53)*IF(M660&lt;0,-1,1)</f>
        <v>0</v>
      </c>
      <c r="T660" s="545">
        <f>'Foglio deposito bis'!$F$51*IF(ABS(N660)&lt;'Sollecitazioni nel paramento'!$G$58,ABS(N660)*'Sollecitazioni nel paramento'!$G$54,'Sollecitazioni nel paramento'!$G$53)*IF(N660&lt;0,-1,1)</f>
        <v>240946.49743184328</v>
      </c>
      <c r="U660" s="545">
        <f>'Foglio deposito bis'!$F$52*IF(ABS(O660)&lt;'Sollecitazioni nel paramento'!$G$58,ABS(O660)*'Sollecitazioni nel paramento'!$G$54,'Sollecitazioni nel paramento'!$G$53)*IF(O660&lt;0,-1,1)</f>
        <v>240946.49743184328</v>
      </c>
      <c r="V660" s="472">
        <f t="shared" si="48"/>
        <v>-2695074.4702889309</v>
      </c>
      <c r="W660" s="551"/>
      <c r="X660" s="551"/>
    </row>
    <row r="661" spans="1:24" x14ac:dyDescent="0.25">
      <c r="A661" s="545">
        <f t="shared" si="49"/>
        <v>2735759.3691293458</v>
      </c>
      <c r="B661" s="3">
        <f t="shared" si="46"/>
        <v>16.699999999999964</v>
      </c>
      <c r="C661" s="545">
        <f>'Foglio deposito bis'!$E$155/sezione!$B$247*B661</f>
        <v>81.817084922664407</v>
      </c>
      <c r="D661" s="603">
        <f>-'Sollecitazioni nel paramento'!$G$47*'Sollecitazioni nel paramento'!$G$41*IF(DATI!$G$211="dx",DATI!$E$61,DATI!$E$64*DATI!$E$63)*1000*C661^2*sezione!$AD$5*(1-sezione!$AD$6)</f>
        <v>-148933236.98580432</v>
      </c>
      <c r="E661" s="545">
        <f>-'Foglio deposito bis'!$F$48*(C661-sezione!$AL$29)*IF(ABS(K661)&lt;'Sollecitazioni nel paramento'!$G$58,ABS(K661)*'Sollecitazioni nel paramento'!$G$54,'Sollecitazioni nel paramento'!$G$53)</f>
        <v>0</v>
      </c>
      <c r="F661" s="545">
        <f>-'Foglio deposito bis'!$F$49*(C661-sezione!$AM$29)*IF(ABS(L661)&lt;'Sollecitazioni nel paramento'!$G$58,ABS(L661)*'Sollecitazioni nel paramento'!$G$54,'Sollecitazioni nel paramento'!$G$53)</f>
        <v>-2196257.8631898919</v>
      </c>
      <c r="G661" s="545">
        <f>-'Foglio deposito bis'!$F$50*(C661-sezione!$AN$29)*IF(ABS(M661)&lt;'Sollecitazioni nel paramento'!$G$58,ABS(M661)*'Sollecitazioni nel paramento'!$G$54,'Sollecitazioni nel paramento'!$G$53)</f>
        <v>0</v>
      </c>
      <c r="H661" s="545">
        <f>-'Foglio deposito bis'!$F$51*(C661-sezione!$AO$29)*IF(ABS(N661)&lt;'Sollecitazioni nel paramento'!$G$58,ABS(N661)*'Sollecitazioni nel paramento'!$G$54,'Sollecitazioni nel paramento'!$G$53)</f>
        <v>18837899.546895262</v>
      </c>
      <c r="I661" s="472">
        <f>-'Foglio deposito bis'!$F$52*(C661-sezione!$AP$29)*IF(ABS(O661)&lt;'Sollecitazioni nel paramento'!$G$58,ABS(O661)*'Sollecitazioni nel paramento'!$G$54,'Sollecitazioni nel paramento'!$G$53)</f>
        <v>57883965.876009077</v>
      </c>
      <c r="J661" s="472">
        <f t="shared" si="47"/>
        <v>-74407629.426089883</v>
      </c>
      <c r="K661" s="550">
        <f>'Sollecitazioni nel paramento'!$G$60*(sezione!$AL$29-C661)/C661</f>
        <v>-1.7888659485689137E-3</v>
      </c>
      <c r="L661" s="550">
        <f>'Sollecitazioni nel paramento'!$G$60*(sezione!$AM$29-C661)/C661</f>
        <v>-9.3329892285337048E-4</v>
      </c>
      <c r="M661" s="551">
        <f>'Sollecitazioni nel paramento'!$G$60*(sezione!$AN$29-C661)/C661</f>
        <v>-7.7731897137827208E-5</v>
      </c>
      <c r="N661" s="551">
        <f>'Sollecitazioni nel paramento'!$G$60*(sezione!$AO$29-C661)/C661</f>
        <v>3.3445362057243455E-3</v>
      </c>
      <c r="O661" s="551">
        <f>'Sollecitazioni nel paramento'!$G$60*(sezione!$AP$29-C661)/C661</f>
        <v>1.0276889900664747E-2</v>
      </c>
      <c r="P661" s="545">
        <f>-'Sollecitazioni nel paramento'!$G$47*'Sollecitazioni nel paramento'!$G$41*IF(DATI!$G$211="dx",DATI!$E$61,DATI!$E$64*DATI!$E$63)*1000*C661*sezione!$AD$5</f>
        <v>-3116985.4842987452</v>
      </c>
      <c r="Q661" s="545">
        <f>'Foglio deposito bis'!$F$48*IF(ABS(K661)&lt;'Sollecitazioni nel paramento'!$G$58,ABS(K661)*'Sollecitazioni nel paramento'!$G$54,'Sollecitazioni nel paramento'!$G$53)*IF(K661&lt;0,-1,1)</f>
        <v>0</v>
      </c>
      <c r="R661" s="545">
        <f>'Foglio deposito bis'!$F$49*IF(ABS(L661)&lt;'Sollecitazioni nel paramento'!$G$58,ABS(L661)*'Sollecitazioni nel paramento'!$G$54,'Sollecitazioni nel paramento'!$G$53)*IF(L661&lt;0,-1,1)</f>
        <v>-100666.8796942866</v>
      </c>
      <c r="S661" s="545">
        <f>'Foglio deposito bis'!$F$50*IF(ABS(M661)&lt;'Sollecitazioni nel paramento'!$G$58,ABS(M661)*'Sollecitazioni nel paramento'!$G$54,'Sollecitazioni nel paramento'!$G$53)*IF(M661&lt;0,-1,1)</f>
        <v>0</v>
      </c>
      <c r="T661" s="545">
        <f>'Foglio deposito bis'!$F$51*IF(ABS(N661)&lt;'Sollecitazioni nel paramento'!$G$58,ABS(N661)*'Sollecitazioni nel paramento'!$G$54,'Sollecitazioni nel paramento'!$G$53)*IF(N661&lt;0,-1,1)</f>
        <v>240946.49743184328</v>
      </c>
      <c r="U661" s="545">
        <f>'Foglio deposito bis'!$F$52*IF(ABS(O661)&lt;'Sollecitazioni nel paramento'!$G$58,ABS(O661)*'Sollecitazioni nel paramento'!$G$54,'Sollecitazioni nel paramento'!$G$53)*IF(O661&lt;0,-1,1)</f>
        <v>240946.49743184328</v>
      </c>
      <c r="V661" s="472">
        <f t="shared" si="48"/>
        <v>-2735759.3691293458</v>
      </c>
      <c r="W661" s="551"/>
      <c r="X661" s="551"/>
    </row>
    <row r="662" spans="1:24" x14ac:dyDescent="0.25">
      <c r="A662" s="545">
        <f t="shared" si="49"/>
        <v>2776364.8423753511</v>
      </c>
      <c r="B662" s="3">
        <f t="shared" si="46"/>
        <v>16.899999999999963</v>
      </c>
      <c r="C662" s="545">
        <f>'Foglio deposito bis'!$E$155/sezione!$B$247*B662</f>
        <v>82.796930251079544</v>
      </c>
      <c r="D662" s="603">
        <f>-'Sollecitazioni nel paramento'!$G$47*'Sollecitazioni nel paramento'!$G$41*IF(DATI!$G$211="dx",DATI!$E$61,DATI!$E$64*DATI!$E$63)*1000*C662^2*sezione!$AD$5*(1-sezione!$AD$6)</f>
        <v>-152521861.00439444</v>
      </c>
      <c r="E662" s="545">
        <f>-'Foglio deposito bis'!$F$48*(C662-sezione!$AL$29)*IF(ABS(K662)&lt;'Sollecitazioni nel paramento'!$G$58,ABS(K662)*'Sollecitazioni nel paramento'!$G$54,'Sollecitazioni nel paramento'!$G$53)</f>
        <v>0</v>
      </c>
      <c r="F662" s="545">
        <f>-'Foglio deposito bis'!$F$49*(C662-sezione!$AM$29)*IF(ABS(L662)&lt;'Sollecitazioni nel paramento'!$G$58,ABS(L662)*'Sollecitazioni nel paramento'!$G$54,'Sollecitazioni nel paramento'!$G$53)</f>
        <v>-2369585.5490900911</v>
      </c>
      <c r="G662" s="545">
        <f>-'Foglio deposito bis'!$F$50*(C662-sezione!$AN$29)*IF(ABS(M662)&lt;'Sollecitazioni nel paramento'!$G$58,ABS(M662)*'Sollecitazioni nel paramento'!$G$54,'Sollecitazioni nel paramento'!$G$53)</f>
        <v>0</v>
      </c>
      <c r="H662" s="545">
        <f>-'Foglio deposito bis'!$F$51*(C662-sezione!$AO$29)*IF(ABS(N662)&lt;'Sollecitazioni nel paramento'!$G$58,ABS(N662)*'Sollecitazioni nel paramento'!$G$54,'Sollecitazioni nel paramento'!$G$53)</f>
        <v>18601809.24698868</v>
      </c>
      <c r="I662" s="472">
        <f>-'Foglio deposito bis'!$F$52*(C662-sezione!$AP$29)*IF(ABS(O662)&lt;'Sollecitazioni nel paramento'!$G$58,ABS(O662)*'Sollecitazioni nel paramento'!$G$54,'Sollecitazioni nel paramento'!$G$53)</f>
        <v>57647875.576102488</v>
      </c>
      <c r="J662" s="472">
        <f t="shared" si="47"/>
        <v>-78641761.73039335</v>
      </c>
      <c r="K662" s="550">
        <f>'Sollecitazioni nel paramento'!$G$60*(sezione!$AL$29-C662)/C662</f>
        <v>-1.8091160556864413E-3</v>
      </c>
      <c r="L662" s="550">
        <f>'Sollecitazioni nel paramento'!$G$60*(sezione!$AM$29-C662)/C662</f>
        <v>-9.6367408352966168E-4</v>
      </c>
      <c r="M662" s="551">
        <f>'Sollecitazioni nel paramento'!$G$60*(sezione!$AN$29-C662)/C662</f>
        <v>-1.1823211137288233E-4</v>
      </c>
      <c r="N662" s="551">
        <f>'Sollecitazioni nel paramento'!$G$60*(sezione!$AO$29-C662)/C662</f>
        <v>3.2635357772542355E-3</v>
      </c>
      <c r="O662" s="551">
        <f>'Sollecitazioni nel paramento'!$G$60*(sezione!$AP$29-C662)/C662</f>
        <v>1.0113849783497117E-2</v>
      </c>
      <c r="P662" s="545">
        <f>-'Sollecitazioni nel paramento'!$G$47*'Sollecitazioni nel paramento'!$G$41*IF(DATI!$G$211="dx",DATI!$E$61,DATI!$E$64*DATI!$E$63)*1000*C662*sezione!$AD$5</f>
        <v>-3154314.6517753769</v>
      </c>
      <c r="Q662" s="545">
        <f>'Foglio deposito bis'!$F$48*IF(ABS(K662)&lt;'Sollecitazioni nel paramento'!$G$58,ABS(K662)*'Sollecitazioni nel paramento'!$G$54,'Sollecitazioni nel paramento'!$G$53)*IF(K662&lt;0,-1,1)</f>
        <v>0</v>
      </c>
      <c r="R662" s="545">
        <f>'Foglio deposito bis'!$F$49*IF(ABS(L662)&lt;'Sollecitazioni nel paramento'!$G$58,ABS(L662)*'Sollecitazioni nel paramento'!$G$54,'Sollecitazioni nel paramento'!$G$53)*IF(L662&lt;0,-1,1)</f>
        <v>-103943.1854636604</v>
      </c>
      <c r="S662" s="545">
        <f>'Foglio deposito bis'!$F$50*IF(ABS(M662)&lt;'Sollecitazioni nel paramento'!$G$58,ABS(M662)*'Sollecitazioni nel paramento'!$G$54,'Sollecitazioni nel paramento'!$G$53)*IF(M662&lt;0,-1,1)</f>
        <v>0</v>
      </c>
      <c r="T662" s="545">
        <f>'Foglio deposito bis'!$F$51*IF(ABS(N662)&lt;'Sollecitazioni nel paramento'!$G$58,ABS(N662)*'Sollecitazioni nel paramento'!$G$54,'Sollecitazioni nel paramento'!$G$53)*IF(N662&lt;0,-1,1)</f>
        <v>240946.49743184328</v>
      </c>
      <c r="U662" s="545">
        <f>'Foglio deposito bis'!$F$52*IF(ABS(O662)&lt;'Sollecitazioni nel paramento'!$G$58,ABS(O662)*'Sollecitazioni nel paramento'!$G$54,'Sollecitazioni nel paramento'!$G$53)*IF(O662&lt;0,-1,1)</f>
        <v>240946.49743184328</v>
      </c>
      <c r="V662" s="472">
        <f t="shared" si="48"/>
        <v>-2776364.8423753511</v>
      </c>
      <c r="W662" s="551"/>
      <c r="X662" s="551"/>
    </row>
    <row r="663" spans="1:24" x14ac:dyDescent="0.25">
      <c r="A663" s="545">
        <f t="shared" si="49"/>
        <v>2816893.6768899094</v>
      </c>
      <c r="B663" s="3">
        <f t="shared" si="46"/>
        <v>17.099999999999962</v>
      </c>
      <c r="C663" s="545">
        <f>'Foglio deposito bis'!$E$155/sezione!$B$247*B663</f>
        <v>83.776775579494696</v>
      </c>
      <c r="D663" s="603">
        <f>-'Sollecitazioni nel paramento'!$G$47*'Sollecitazioni nel paramento'!$G$41*IF(DATI!$G$211="dx",DATI!$E$61,DATI!$E$64*DATI!$E$63)*1000*C663^2*sezione!$AD$5*(1-sezione!$AD$6)</f>
        <v>-156153206.73749161</v>
      </c>
      <c r="E663" s="545">
        <f>-'Foglio deposito bis'!$F$48*(C663-sezione!$AL$29)*IF(ABS(K663)&lt;'Sollecitazioni nel paramento'!$G$58,ABS(K663)*'Sollecitazioni nel paramento'!$G$54,'Sollecitazioni nel paramento'!$G$53)</f>
        <v>0</v>
      </c>
      <c r="F663" s="545">
        <f>-'Foglio deposito bis'!$F$49*(C663-sezione!$AM$29)*IF(ABS(L663)&lt;'Sollecitazioni nel paramento'!$G$58,ABS(L663)*'Sollecitazioni nel paramento'!$G$54,'Sollecitazioni nel paramento'!$G$53)</f>
        <v>-2547511.5588771333</v>
      </c>
      <c r="G663" s="545">
        <f>-'Foglio deposito bis'!$F$50*(C663-sezione!$AN$29)*IF(ABS(M663)&lt;'Sollecitazioni nel paramento'!$G$58,ABS(M663)*'Sollecitazioni nel paramento'!$G$54,'Sollecitazioni nel paramento'!$G$53)</f>
        <v>0</v>
      </c>
      <c r="H663" s="545">
        <f>-'Foglio deposito bis'!$F$51*(C663-sezione!$AO$29)*IF(ABS(N663)&lt;'Sollecitazioni nel paramento'!$G$58,ABS(N663)*'Sollecitazioni nel paramento'!$G$54,'Sollecitazioni nel paramento'!$G$53)</f>
        <v>18365718.947082095</v>
      </c>
      <c r="I663" s="472">
        <f>-'Foglio deposito bis'!$F$52*(C663-sezione!$AP$29)*IF(ABS(O663)&lt;'Sollecitazioni nel paramento'!$G$58,ABS(O663)*'Sollecitazioni nel paramento'!$G$54,'Sollecitazioni nel paramento'!$G$53)</f>
        <v>57411785.276195899</v>
      </c>
      <c r="J663" s="472">
        <f t="shared" si="47"/>
        <v>-82923214.073090747</v>
      </c>
      <c r="K663" s="550">
        <f>'Sollecitazioni nel paramento'!$G$60*(sezione!$AL$29-C663)/C663</f>
        <v>-1.8288924760877696E-3</v>
      </c>
      <c r="L663" s="550">
        <f>'Sollecitazioni nel paramento'!$G$60*(sezione!$AM$29-C663)/C663</f>
        <v>-9.9333871413165428E-4</v>
      </c>
      <c r="M663" s="551">
        <f>'Sollecitazioni nel paramento'!$G$60*(sezione!$AN$29-C663)/C663</f>
        <v>-1.5778495217553902E-4</v>
      </c>
      <c r="N663" s="551">
        <f>'Sollecitazioni nel paramento'!$G$60*(sezione!$AO$29-C663)/C663</f>
        <v>3.1844300956489218E-3</v>
      </c>
      <c r="O663" s="551">
        <f>'Sollecitazioni nel paramento'!$G$60*(sezione!$AP$29-C663)/C663</f>
        <v>9.9546234702398376E-3</v>
      </c>
      <c r="P663" s="545">
        <f>-'Sollecitazioni nel paramento'!$G$47*'Sollecitazioni nel paramento'!$G$41*IF(DATI!$G$211="dx",DATI!$E$61,DATI!$E$64*DATI!$E$63)*1000*C663*sezione!$AD$5</f>
        <v>-3191643.8192520086</v>
      </c>
      <c r="Q663" s="545">
        <f>'Foglio deposito bis'!$F$48*IF(ABS(K663)&lt;'Sollecitazioni nel paramento'!$G$58,ABS(K663)*'Sollecitazioni nel paramento'!$G$54,'Sollecitazioni nel paramento'!$G$53)*IF(K663&lt;0,-1,1)</f>
        <v>0</v>
      </c>
      <c r="R663" s="545">
        <f>'Foglio deposito bis'!$F$49*IF(ABS(L663)&lt;'Sollecitazioni nel paramento'!$G$58,ABS(L663)*'Sollecitazioni nel paramento'!$G$54,'Sollecitazioni nel paramento'!$G$53)*IF(L663&lt;0,-1,1)</f>
        <v>-107142.85250158689</v>
      </c>
      <c r="S663" s="545">
        <f>'Foglio deposito bis'!$F$50*IF(ABS(M663)&lt;'Sollecitazioni nel paramento'!$G$58,ABS(M663)*'Sollecitazioni nel paramento'!$G$54,'Sollecitazioni nel paramento'!$G$53)*IF(M663&lt;0,-1,1)</f>
        <v>0</v>
      </c>
      <c r="T663" s="545">
        <f>'Foglio deposito bis'!$F$51*IF(ABS(N663)&lt;'Sollecitazioni nel paramento'!$G$58,ABS(N663)*'Sollecitazioni nel paramento'!$G$54,'Sollecitazioni nel paramento'!$G$53)*IF(N663&lt;0,-1,1)</f>
        <v>240946.49743184328</v>
      </c>
      <c r="U663" s="545">
        <f>'Foglio deposito bis'!$F$52*IF(ABS(O663)&lt;'Sollecitazioni nel paramento'!$G$58,ABS(O663)*'Sollecitazioni nel paramento'!$G$54,'Sollecitazioni nel paramento'!$G$53)*IF(O663&lt;0,-1,1)</f>
        <v>240946.49743184328</v>
      </c>
      <c r="V663" s="472">
        <f t="shared" si="48"/>
        <v>-2816893.6768899094</v>
      </c>
      <c r="W663" s="551"/>
      <c r="X663" s="551"/>
    </row>
    <row r="664" spans="1:24" x14ac:dyDescent="0.25">
      <c r="A664" s="545">
        <f t="shared" si="49"/>
        <v>2857348.5306637064</v>
      </c>
      <c r="B664" s="3">
        <f t="shared" si="46"/>
        <v>17.299999999999962</v>
      </c>
      <c r="C664" s="545">
        <f>'Foglio deposito bis'!$E$155/sezione!$B$247*B664</f>
        <v>84.756620907909834</v>
      </c>
      <c r="D664" s="603">
        <f>-'Sollecitazioni nel paramento'!$G$47*'Sollecitazioni nel paramento'!$G$41*IF(DATI!$G$211="dx",DATI!$E$61,DATI!$E$64*DATI!$E$63)*1000*C664^2*sezione!$AD$5*(1-sezione!$AD$6)</f>
        <v>-159827274.18509582</v>
      </c>
      <c r="E664" s="545">
        <f>-'Foglio deposito bis'!$F$48*(C664-sezione!$AL$29)*IF(ABS(K664)&lt;'Sollecitazioni nel paramento'!$G$58,ABS(K664)*'Sollecitazioni nel paramento'!$G$54,'Sollecitazioni nel paramento'!$G$53)</f>
        <v>0</v>
      </c>
      <c r="F664" s="545">
        <f>-'Foglio deposito bis'!$F$49*(C664-sezione!$AM$29)*IF(ABS(L664)&lt;'Sollecitazioni nel paramento'!$G$58,ABS(L664)*'Sollecitazioni nel paramento'!$G$54,'Sollecitazioni nel paramento'!$G$53)</f>
        <v>-2729876.4131098511</v>
      </c>
      <c r="G664" s="545">
        <f>-'Foglio deposito bis'!$F$50*(C664-sezione!$AN$29)*IF(ABS(M664)&lt;'Sollecitazioni nel paramento'!$G$58,ABS(M664)*'Sollecitazioni nel paramento'!$G$54,'Sollecitazioni nel paramento'!$G$53)</f>
        <v>0</v>
      </c>
      <c r="H664" s="545">
        <f>-'Foglio deposito bis'!$F$51*(C664-sezione!$AO$29)*IF(ABS(N664)&lt;'Sollecitazioni nel paramento'!$G$58,ABS(N664)*'Sollecitazioni nel paramento'!$G$54,'Sollecitazioni nel paramento'!$G$53)</f>
        <v>18129628.647175513</v>
      </c>
      <c r="I664" s="472">
        <f>-'Foglio deposito bis'!$F$52*(C664-sezione!$AP$29)*IF(ABS(O664)&lt;'Sollecitazioni nel paramento'!$G$58,ABS(O664)*'Sollecitazioni nel paramento'!$G$54,'Sollecitazioni nel paramento'!$G$53)</f>
        <v>57175694.976289324</v>
      </c>
      <c r="J664" s="472">
        <f t="shared" si="47"/>
        <v>-87251826.974740803</v>
      </c>
      <c r="K664" s="550">
        <f>'Sollecitazioni nel paramento'!$G$60*(sezione!$AL$29-C664)/C664</f>
        <v>-1.8482116382139225E-3</v>
      </c>
      <c r="L664" s="550">
        <f>'Sollecitazioni nel paramento'!$G$60*(sezione!$AM$29-C664)/C664</f>
        <v>-1.0223174573208834E-3</v>
      </c>
      <c r="M664" s="551">
        <f>'Sollecitazioni nel paramento'!$G$60*(sezione!$AN$29-C664)/C664</f>
        <v>-1.9642327642784477E-4</v>
      </c>
      <c r="N664" s="551">
        <f>'Sollecitazioni nel paramento'!$G$60*(sezione!$AO$29-C664)/C664</f>
        <v>3.1071534471443104E-3</v>
      </c>
      <c r="O664" s="551">
        <f>'Sollecitazioni nel paramento'!$G$60*(sezione!$AP$29-C664)/C664</f>
        <v>9.7990786902370664E-3</v>
      </c>
      <c r="P664" s="545">
        <f>-'Sollecitazioni nel paramento'!$G$47*'Sollecitazioni nel paramento'!$G$41*IF(DATI!$G$211="dx",DATI!$E$61,DATI!$E$64*DATI!$E$63)*1000*C664*sezione!$AD$5</f>
        <v>-3228972.9867286403</v>
      </c>
      <c r="Q664" s="545">
        <f>'Foglio deposito bis'!$F$48*IF(ABS(K664)&lt;'Sollecitazioni nel paramento'!$G$58,ABS(K664)*'Sollecitazioni nel paramento'!$G$54,'Sollecitazioni nel paramento'!$G$53)*IF(K664&lt;0,-1,1)</f>
        <v>0</v>
      </c>
      <c r="R664" s="545">
        <f>'Foglio deposito bis'!$F$49*IF(ABS(L664)&lt;'Sollecitazioni nel paramento'!$G$58,ABS(L664)*'Sollecitazioni nel paramento'!$G$54,'Sollecitazioni nel paramento'!$G$53)*IF(L664&lt;0,-1,1)</f>
        <v>-110268.53879875204</v>
      </c>
      <c r="S664" s="545">
        <f>'Foglio deposito bis'!$F$50*IF(ABS(M664)&lt;'Sollecitazioni nel paramento'!$G$58,ABS(M664)*'Sollecitazioni nel paramento'!$G$54,'Sollecitazioni nel paramento'!$G$53)*IF(M664&lt;0,-1,1)</f>
        <v>0</v>
      </c>
      <c r="T664" s="545">
        <f>'Foglio deposito bis'!$F$51*IF(ABS(N664)&lt;'Sollecitazioni nel paramento'!$G$58,ABS(N664)*'Sollecitazioni nel paramento'!$G$54,'Sollecitazioni nel paramento'!$G$53)*IF(N664&lt;0,-1,1)</f>
        <v>240946.49743184328</v>
      </c>
      <c r="U664" s="545">
        <f>'Foglio deposito bis'!$F$52*IF(ABS(O664)&lt;'Sollecitazioni nel paramento'!$G$58,ABS(O664)*'Sollecitazioni nel paramento'!$G$54,'Sollecitazioni nel paramento'!$G$53)*IF(O664&lt;0,-1,1)</f>
        <v>240946.49743184328</v>
      </c>
      <c r="V664" s="472">
        <f t="shared" si="48"/>
        <v>-2857348.5306637064</v>
      </c>
      <c r="W664" s="551"/>
      <c r="X664" s="551"/>
    </row>
    <row r="665" spans="1:24" x14ac:dyDescent="0.25">
      <c r="A665" s="545">
        <f t="shared" si="49"/>
        <v>2897731.9401792819</v>
      </c>
      <c r="B665" s="3">
        <f t="shared" si="46"/>
        <v>17.499999999999961</v>
      </c>
      <c r="C665" s="545">
        <f>'Foglio deposito bis'!$E$155/sezione!$B$247*B665</f>
        <v>85.736466236324972</v>
      </c>
      <c r="D665" s="603">
        <f>-'Sollecitazioni nel paramento'!$G$47*'Sollecitazioni nel paramento'!$G$41*IF(DATI!$G$211="dx",DATI!$E$61,DATI!$E$64*DATI!$E$63)*1000*C665^2*sezione!$AD$5*(1-sezione!$AD$6)</f>
        <v>-163544063.34720704</v>
      </c>
      <c r="E665" s="545">
        <f>-'Foglio deposito bis'!$F$48*(C665-sezione!$AL$29)*IF(ABS(K665)&lt;'Sollecitazioni nel paramento'!$G$58,ABS(K665)*'Sollecitazioni nel paramento'!$G$54,'Sollecitazioni nel paramento'!$G$53)</f>
        <v>0</v>
      </c>
      <c r="F665" s="545">
        <f>-'Foglio deposito bis'!$F$49*(C665-sezione!$AM$29)*IF(ABS(L665)&lt;'Sollecitazioni nel paramento'!$G$58,ABS(L665)*'Sollecitazioni nel paramento'!$G$54,'Sollecitazioni nel paramento'!$G$53)</f>
        <v>-2916527.9228358245</v>
      </c>
      <c r="G665" s="545">
        <f>-'Foglio deposito bis'!$F$50*(C665-sezione!$AN$29)*IF(ABS(M665)&lt;'Sollecitazioni nel paramento'!$G$58,ABS(M665)*'Sollecitazioni nel paramento'!$G$54,'Sollecitazioni nel paramento'!$G$53)</f>
        <v>0</v>
      </c>
      <c r="H665" s="545">
        <f>-'Foglio deposito bis'!$F$51*(C665-sezione!$AO$29)*IF(ABS(N665)&lt;'Sollecitazioni nel paramento'!$G$58,ABS(N665)*'Sollecitazioni nel paramento'!$G$54,'Sollecitazioni nel paramento'!$G$53)</f>
        <v>17893538.347268932</v>
      </c>
      <c r="I665" s="472">
        <f>-'Foglio deposito bis'!$F$52*(C665-sezione!$AP$29)*IF(ABS(O665)&lt;'Sollecitazioni nel paramento'!$G$58,ABS(O665)*'Sollecitazioni nel paramento'!$G$54,'Sollecitazioni nel paramento'!$G$53)</f>
        <v>56939604.67638275</v>
      </c>
      <c r="J665" s="472">
        <f t="shared" si="47"/>
        <v>-91627448.246391177</v>
      </c>
      <c r="K665" s="550">
        <f>'Sollecitazioni nel paramento'!$G$60*(sezione!$AL$29-C665)/C665</f>
        <v>-1.8670892194914777E-3</v>
      </c>
      <c r="L665" s="550">
        <f>'Sollecitazioni nel paramento'!$G$60*(sezione!$AM$29-C665)/C665</f>
        <v>-1.0506338292372163E-3</v>
      </c>
      <c r="M665" s="551">
        <f>'Sollecitazioni nel paramento'!$G$60*(sezione!$AN$29-C665)/C665</f>
        <v>-2.3417843898295492E-4</v>
      </c>
      <c r="N665" s="551">
        <f>'Sollecitazioni nel paramento'!$G$60*(sezione!$AO$29-C665)/C665</f>
        <v>3.0316431220340904E-3</v>
      </c>
      <c r="O665" s="551">
        <f>'Sollecitazioni nel paramento'!$G$60*(sezione!$AP$29-C665)/C665</f>
        <v>9.6470892194915007E-3</v>
      </c>
      <c r="P665" s="545">
        <f>-'Sollecitazioni nel paramento'!$G$47*'Sollecitazioni nel paramento'!$G$41*IF(DATI!$G$211="dx",DATI!$E$61,DATI!$E$64*DATI!$E$63)*1000*C665*sezione!$AD$5</f>
        <v>-3266302.154205272</v>
      </c>
      <c r="Q665" s="545">
        <f>'Foglio deposito bis'!$F$48*IF(ABS(K665)&lt;'Sollecitazioni nel paramento'!$G$58,ABS(K665)*'Sollecitazioni nel paramento'!$G$54,'Sollecitazioni nel paramento'!$G$53)*IF(K665&lt;0,-1,1)</f>
        <v>0</v>
      </c>
      <c r="R665" s="545">
        <f>'Foglio deposito bis'!$F$49*IF(ABS(L665)&lt;'Sollecitazioni nel paramento'!$G$58,ABS(L665)*'Sollecitazioni nel paramento'!$G$54,'Sollecitazioni nel paramento'!$G$53)*IF(L665&lt;0,-1,1)</f>
        <v>-113322.78083769628</v>
      </c>
      <c r="S665" s="545">
        <f>'Foglio deposito bis'!$F$50*IF(ABS(M665)&lt;'Sollecitazioni nel paramento'!$G$58,ABS(M665)*'Sollecitazioni nel paramento'!$G$54,'Sollecitazioni nel paramento'!$G$53)*IF(M665&lt;0,-1,1)</f>
        <v>0</v>
      </c>
      <c r="T665" s="545">
        <f>'Foglio deposito bis'!$F$51*IF(ABS(N665)&lt;'Sollecitazioni nel paramento'!$G$58,ABS(N665)*'Sollecitazioni nel paramento'!$G$54,'Sollecitazioni nel paramento'!$G$53)*IF(N665&lt;0,-1,1)</f>
        <v>240946.49743184328</v>
      </c>
      <c r="U665" s="545">
        <f>'Foglio deposito bis'!$F$52*IF(ABS(O665)&lt;'Sollecitazioni nel paramento'!$G$58,ABS(O665)*'Sollecitazioni nel paramento'!$G$54,'Sollecitazioni nel paramento'!$G$53)*IF(O665&lt;0,-1,1)</f>
        <v>240946.49743184328</v>
      </c>
      <c r="V665" s="472">
        <f t="shared" si="48"/>
        <v>-2897731.9401792819</v>
      </c>
      <c r="W665" s="551"/>
      <c r="X665" s="551"/>
    </row>
    <row r="666" spans="1:24" x14ac:dyDescent="0.25">
      <c r="A666" s="545">
        <f t="shared" si="49"/>
        <v>2938046.3272758983</v>
      </c>
      <c r="B666" s="3">
        <f t="shared" si="46"/>
        <v>17.69999999999996</v>
      </c>
      <c r="C666" s="545">
        <f>'Foglio deposito bis'!$E$155/sezione!$B$247*B666</f>
        <v>86.71631156474011</v>
      </c>
      <c r="D666" s="603">
        <f>-'Sollecitazioni nel paramento'!$G$47*'Sollecitazioni nel paramento'!$G$41*IF(DATI!$G$211="dx",DATI!$E$61,DATI!$E$64*DATI!$E$63)*1000*C666^2*sezione!$AD$5*(1-sezione!$AD$6)</f>
        <v>-167303574.22382525</v>
      </c>
      <c r="E666" s="545">
        <f>-'Foglio deposito bis'!$F$48*(C666-sezione!$AL$29)*IF(ABS(K666)&lt;'Sollecitazioni nel paramento'!$G$58,ABS(K666)*'Sollecitazioni nel paramento'!$G$54,'Sollecitazioni nel paramento'!$G$53)</f>
        <v>0</v>
      </c>
      <c r="F666" s="545">
        <f>-'Foglio deposito bis'!$F$49*(C666-sezione!$AM$29)*IF(ABS(L666)&lt;'Sollecitazioni nel paramento'!$G$58,ABS(L666)*'Sollecitazioni nel paramento'!$G$54,'Sollecitazioni nel paramento'!$G$53)</f>
        <v>-3107320.7776993494</v>
      </c>
      <c r="G666" s="545">
        <f>-'Foglio deposito bis'!$F$50*(C666-sezione!$AN$29)*IF(ABS(M666)&lt;'Sollecitazioni nel paramento'!$G$58,ABS(M666)*'Sollecitazioni nel paramento'!$G$54,'Sollecitazioni nel paramento'!$G$53)</f>
        <v>0</v>
      </c>
      <c r="H666" s="545">
        <f>-'Foglio deposito bis'!$F$51*(C666-sezione!$AO$29)*IF(ABS(N666)&lt;'Sollecitazioni nel paramento'!$G$58,ABS(N666)*'Sollecitazioni nel paramento'!$G$54,'Sollecitazioni nel paramento'!$G$53)</f>
        <v>17657448.04736235</v>
      </c>
      <c r="I666" s="472">
        <f>-'Foglio deposito bis'!$F$52*(C666-sezione!$AP$29)*IF(ABS(O666)&lt;'Sollecitazioni nel paramento'!$G$58,ABS(O666)*'Sollecitazioni nel paramento'!$G$54,'Sollecitazioni nel paramento'!$G$53)</f>
        <v>56703514.376476161</v>
      </c>
      <c r="J666" s="472">
        <f t="shared" si="47"/>
        <v>-96049932.577686071</v>
      </c>
      <c r="K666" s="550">
        <f>'Sollecitazioni nel paramento'!$G$60*(sezione!$AL$29-C666)/C666</f>
        <v>-1.8855401887627602E-3</v>
      </c>
      <c r="L666" s="550">
        <f>'Sollecitazioni nel paramento'!$G$60*(sezione!$AM$29-C666)/C666</f>
        <v>-1.0783102831441404E-3</v>
      </c>
      <c r="M666" s="551">
        <f>'Sollecitazioni nel paramento'!$G$60*(sezione!$AN$29-C666)/C666</f>
        <v>-2.7108037752552027E-4</v>
      </c>
      <c r="N666" s="551">
        <f>'Sollecitazioni nel paramento'!$G$60*(sezione!$AO$29-C666)/C666</f>
        <v>2.9578392449489599E-3</v>
      </c>
      <c r="O666" s="551">
        <f>'Sollecitazioni nel paramento'!$G$60*(sezione!$AP$29-C666)/C666</f>
        <v>9.4985345390452697E-3</v>
      </c>
      <c r="P666" s="545">
        <f>-'Sollecitazioni nel paramento'!$G$47*'Sollecitazioni nel paramento'!$G$41*IF(DATI!$G$211="dx",DATI!$E$61,DATI!$E$64*DATI!$E$63)*1000*C666*sezione!$AD$5</f>
        <v>-3303631.3216819032</v>
      </c>
      <c r="Q666" s="545">
        <f>'Foglio deposito bis'!$F$48*IF(ABS(K666)&lt;'Sollecitazioni nel paramento'!$G$58,ABS(K666)*'Sollecitazioni nel paramento'!$G$54,'Sollecitazioni nel paramento'!$G$53)*IF(K666&lt;0,-1,1)</f>
        <v>0</v>
      </c>
      <c r="R666" s="545">
        <f>'Foglio deposito bis'!$F$49*IF(ABS(L666)&lt;'Sollecitazioni nel paramento'!$G$58,ABS(L666)*'Sollecitazioni nel paramento'!$G$54,'Sollecitazioni nel paramento'!$G$53)*IF(L666&lt;0,-1,1)</f>
        <v>-116308.00045768134</v>
      </c>
      <c r="S666" s="545">
        <f>'Foglio deposito bis'!$F$50*IF(ABS(M666)&lt;'Sollecitazioni nel paramento'!$G$58,ABS(M666)*'Sollecitazioni nel paramento'!$G$54,'Sollecitazioni nel paramento'!$G$53)*IF(M666&lt;0,-1,1)</f>
        <v>0</v>
      </c>
      <c r="T666" s="545">
        <f>'Foglio deposito bis'!$F$51*IF(ABS(N666)&lt;'Sollecitazioni nel paramento'!$G$58,ABS(N666)*'Sollecitazioni nel paramento'!$G$54,'Sollecitazioni nel paramento'!$G$53)*IF(N666&lt;0,-1,1)</f>
        <v>240946.49743184328</v>
      </c>
      <c r="U666" s="545">
        <f>'Foglio deposito bis'!$F$52*IF(ABS(O666)&lt;'Sollecitazioni nel paramento'!$G$58,ABS(O666)*'Sollecitazioni nel paramento'!$G$54,'Sollecitazioni nel paramento'!$G$53)*IF(O666&lt;0,-1,1)</f>
        <v>240946.49743184328</v>
      </c>
      <c r="V666" s="472">
        <f t="shared" si="48"/>
        <v>-2938046.3272758983</v>
      </c>
      <c r="W666" s="551"/>
      <c r="X666" s="551"/>
    </row>
    <row r="667" spans="1:24" x14ac:dyDescent="0.25">
      <c r="A667" s="545">
        <f t="shared" si="49"/>
        <v>2978294.0055541918</v>
      </c>
      <c r="B667" s="3">
        <f t="shared" si="46"/>
        <v>17.899999999999959</v>
      </c>
      <c r="C667" s="545">
        <f>'Foglio deposito bis'!$E$155/sezione!$B$247*B667</f>
        <v>87.696156893155262</v>
      </c>
      <c r="D667" s="603">
        <f>-'Sollecitazioni nel paramento'!$G$47*'Sollecitazioni nel paramento'!$G$41*IF(DATI!$G$211="dx",DATI!$E$61,DATI!$E$64*DATI!$E$63)*1000*C667^2*sezione!$AD$5*(1-sezione!$AD$6)</f>
        <v>-171105806.81495056</v>
      </c>
      <c r="E667" s="545">
        <f>-'Foglio deposito bis'!$F$48*(C667-sezione!$AL$29)*IF(ABS(K667)&lt;'Sollecitazioni nel paramento'!$G$58,ABS(K667)*'Sollecitazioni nel paramento'!$G$54,'Sollecitazioni nel paramento'!$G$53)</f>
        <v>0</v>
      </c>
      <c r="F667" s="545">
        <f>-'Foglio deposito bis'!$F$49*(C667-sezione!$AM$29)*IF(ABS(L667)&lt;'Sollecitazioni nel paramento'!$G$58,ABS(L667)*'Sollecitazioni nel paramento'!$G$54,'Sollecitazioni nel paramento'!$G$53)</f>
        <v>-3302116.1616622978</v>
      </c>
      <c r="G667" s="545">
        <f>-'Foglio deposito bis'!$F$50*(C667-sezione!$AN$29)*IF(ABS(M667)&lt;'Sollecitazioni nel paramento'!$G$58,ABS(M667)*'Sollecitazioni nel paramento'!$G$54,'Sollecitazioni nel paramento'!$G$53)</f>
        <v>0</v>
      </c>
      <c r="H667" s="545">
        <f>-'Foglio deposito bis'!$F$51*(C667-sezione!$AO$29)*IF(ABS(N667)&lt;'Sollecitazioni nel paramento'!$G$58,ABS(N667)*'Sollecitazioni nel paramento'!$G$54,'Sollecitazioni nel paramento'!$G$53)</f>
        <v>17421357.747455765</v>
      </c>
      <c r="I667" s="472">
        <f>-'Foglio deposito bis'!$F$52*(C667-sezione!$AP$29)*IF(ABS(O667)&lt;'Sollecitazioni nel paramento'!$G$58,ABS(O667)*'Sollecitazioni nel paramento'!$G$54,'Sollecitazioni nel paramento'!$G$53)</f>
        <v>56467424.07656958</v>
      </c>
      <c r="J667" s="472">
        <f t="shared" si="47"/>
        <v>-100519141.1525875</v>
      </c>
      <c r="K667" s="550">
        <f>'Sollecitazioni nel paramento'!$G$60*(sezione!$AL$29-C667)/C667</f>
        <v>-1.9035788458715563E-3</v>
      </c>
      <c r="L667" s="550">
        <f>'Sollecitazioni nel paramento'!$G$60*(sezione!$AM$29-C667)/C667</f>
        <v>-1.1053682688073345E-3</v>
      </c>
      <c r="M667" s="551">
        <f>'Sollecitazioni nel paramento'!$G$60*(sezione!$AN$29-C667)/C667</f>
        <v>-3.0715769174311251E-4</v>
      </c>
      <c r="N667" s="551">
        <f>'Sollecitazioni nel paramento'!$G$60*(sezione!$AO$29-C667)/C667</f>
        <v>2.8856846165137753E-3</v>
      </c>
      <c r="O667" s="551">
        <f>'Sollecitazioni nel paramento'!$G$60*(sezione!$AP$29-C667)/C667</f>
        <v>9.3532995162626392E-3</v>
      </c>
      <c r="P667" s="545">
        <f>-'Sollecitazioni nel paramento'!$G$47*'Sollecitazioni nel paramento'!$G$41*IF(DATI!$G$211="dx",DATI!$E$61,DATI!$E$64*DATI!$E$63)*1000*C667*sezione!$AD$5</f>
        <v>-3340960.4891585354</v>
      </c>
      <c r="Q667" s="545">
        <f>'Foglio deposito bis'!$F$48*IF(ABS(K667)&lt;'Sollecitazioni nel paramento'!$G$58,ABS(K667)*'Sollecitazioni nel paramento'!$G$54,'Sollecitazioni nel paramento'!$G$53)*IF(K667&lt;0,-1,1)</f>
        <v>0</v>
      </c>
      <c r="R667" s="545">
        <f>'Foglio deposito bis'!$F$49*IF(ABS(L667)&lt;'Sollecitazioni nel paramento'!$G$58,ABS(L667)*'Sollecitazioni nel paramento'!$G$54,'Sollecitazioni nel paramento'!$G$53)*IF(L667&lt;0,-1,1)</f>
        <v>-119226.5112593427</v>
      </c>
      <c r="S667" s="545">
        <f>'Foglio deposito bis'!$F$50*IF(ABS(M667)&lt;'Sollecitazioni nel paramento'!$G$58,ABS(M667)*'Sollecitazioni nel paramento'!$G$54,'Sollecitazioni nel paramento'!$G$53)*IF(M667&lt;0,-1,1)</f>
        <v>0</v>
      </c>
      <c r="T667" s="545">
        <f>'Foglio deposito bis'!$F$51*IF(ABS(N667)&lt;'Sollecitazioni nel paramento'!$G$58,ABS(N667)*'Sollecitazioni nel paramento'!$G$54,'Sollecitazioni nel paramento'!$G$53)*IF(N667&lt;0,-1,1)</f>
        <v>240946.49743184328</v>
      </c>
      <c r="U667" s="545">
        <f>'Foglio deposito bis'!$F$52*IF(ABS(O667)&lt;'Sollecitazioni nel paramento'!$G$58,ABS(O667)*'Sollecitazioni nel paramento'!$G$54,'Sollecitazioni nel paramento'!$G$53)*IF(O667&lt;0,-1,1)</f>
        <v>240946.49743184328</v>
      </c>
      <c r="V667" s="472">
        <f t="shared" si="48"/>
        <v>-2978294.0055541918</v>
      </c>
      <c r="W667" s="551"/>
      <c r="X667" s="551"/>
    </row>
    <row r="668" spans="1:24" x14ac:dyDescent="0.25">
      <c r="A668" s="545">
        <f t="shared" si="49"/>
        <v>3018477.186356205</v>
      </c>
      <c r="B668" s="3">
        <f t="shared" si="46"/>
        <v>18.099999999999959</v>
      </c>
      <c r="C668" s="545">
        <f>'Foglio deposito bis'!$E$155/sezione!$B$247*B668</f>
        <v>88.6760022215704</v>
      </c>
      <c r="D668" s="603">
        <f>-'Sollecitazioni nel paramento'!$G$47*'Sollecitazioni nel paramento'!$G$41*IF(DATI!$G$211="dx",DATI!$E$61,DATI!$E$64*DATI!$E$63)*1000*C668^2*sezione!$AD$5*(1-sezione!$AD$6)</f>
        <v>-174950761.12058282</v>
      </c>
      <c r="E668" s="545">
        <f>-'Foglio deposito bis'!$F$48*(C668-sezione!$AL$29)*IF(ABS(K668)&lt;'Sollecitazioni nel paramento'!$G$58,ABS(K668)*'Sollecitazioni nel paramento'!$G$54,'Sollecitazioni nel paramento'!$G$53)</f>
        <v>0</v>
      </c>
      <c r="F668" s="545">
        <f>-'Foglio deposito bis'!$F$49*(C668-sezione!$AM$29)*IF(ABS(L668)&lt;'Sollecitazioni nel paramento'!$G$58,ABS(L668)*'Sollecitazioni nel paramento'!$G$54,'Sollecitazioni nel paramento'!$G$53)</f>
        <v>-3500781.3942020321</v>
      </c>
      <c r="G668" s="545">
        <f>-'Foglio deposito bis'!$F$50*(C668-sezione!$AN$29)*IF(ABS(M668)&lt;'Sollecitazioni nel paramento'!$G$58,ABS(M668)*'Sollecitazioni nel paramento'!$G$54,'Sollecitazioni nel paramento'!$G$53)</f>
        <v>0</v>
      </c>
      <c r="H668" s="545">
        <f>-'Foglio deposito bis'!$F$51*(C668-sezione!$AO$29)*IF(ABS(N668)&lt;'Sollecitazioni nel paramento'!$G$58,ABS(N668)*'Sollecitazioni nel paramento'!$G$54,'Sollecitazioni nel paramento'!$G$53)</f>
        <v>17185267.447549183</v>
      </c>
      <c r="I668" s="472">
        <f>-'Foglio deposito bis'!$F$52*(C668-sezione!$AP$29)*IF(ABS(O668)&lt;'Sollecitazioni nel paramento'!$G$58,ABS(O668)*'Sollecitazioni nel paramento'!$G$54,'Sollecitazioni nel paramento'!$G$53)</f>
        <v>56231333.77666299</v>
      </c>
      <c r="J668" s="472">
        <f t="shared" si="47"/>
        <v>-105034941.29057266</v>
      </c>
      <c r="K668" s="550">
        <f>'Sollecitazioni nel paramento'!$G$60*(sezione!$AL$29-C668)/C668</f>
        <v>-1.9212188586243567E-3</v>
      </c>
      <c r="L668" s="550">
        <f>'Sollecitazioni nel paramento'!$G$60*(sezione!$AM$29-C668)/C668</f>
        <v>-1.1318282879365349E-3</v>
      </c>
      <c r="M668" s="551">
        <f>'Sollecitazioni nel paramento'!$G$60*(sezione!$AN$29-C668)/C668</f>
        <v>-3.4243771724871335E-4</v>
      </c>
      <c r="N668" s="551">
        <f>'Sollecitazioni nel paramento'!$G$60*(sezione!$AO$29-C668)/C668</f>
        <v>2.8151245655025736E-3</v>
      </c>
      <c r="O668" s="551">
        <f>'Sollecitazioni nel paramento'!$G$60*(sezione!$AP$29-C668)/C668</f>
        <v>9.2112741072431642E-3</v>
      </c>
      <c r="P668" s="545">
        <f>-'Sollecitazioni nel paramento'!$G$47*'Sollecitazioni nel paramento'!$G$41*IF(DATI!$G$211="dx",DATI!$E$61,DATI!$E$64*DATI!$E$63)*1000*C668*sezione!$AD$5</f>
        <v>-3378289.6566351671</v>
      </c>
      <c r="Q668" s="545">
        <f>'Foglio deposito bis'!$F$48*IF(ABS(K668)&lt;'Sollecitazioni nel paramento'!$G$58,ABS(K668)*'Sollecitazioni nel paramento'!$G$54,'Sollecitazioni nel paramento'!$G$53)*IF(K668&lt;0,-1,1)</f>
        <v>0</v>
      </c>
      <c r="R668" s="545">
        <f>'Foglio deposito bis'!$F$49*IF(ABS(L668)&lt;'Sollecitazioni nel paramento'!$G$58,ABS(L668)*'Sollecitazioni nel paramento'!$G$54,'Sollecitazioni nel paramento'!$G$53)*IF(L668&lt;0,-1,1)</f>
        <v>-122080.52458472423</v>
      </c>
      <c r="S668" s="545">
        <f>'Foglio deposito bis'!$F$50*IF(ABS(M668)&lt;'Sollecitazioni nel paramento'!$G$58,ABS(M668)*'Sollecitazioni nel paramento'!$G$54,'Sollecitazioni nel paramento'!$G$53)*IF(M668&lt;0,-1,1)</f>
        <v>0</v>
      </c>
      <c r="T668" s="545">
        <f>'Foglio deposito bis'!$F$51*IF(ABS(N668)&lt;'Sollecitazioni nel paramento'!$G$58,ABS(N668)*'Sollecitazioni nel paramento'!$G$54,'Sollecitazioni nel paramento'!$G$53)*IF(N668&lt;0,-1,1)</f>
        <v>240946.49743184328</v>
      </c>
      <c r="U668" s="545">
        <f>'Foglio deposito bis'!$F$52*IF(ABS(O668)&lt;'Sollecitazioni nel paramento'!$G$58,ABS(O668)*'Sollecitazioni nel paramento'!$G$54,'Sollecitazioni nel paramento'!$G$53)*IF(O668&lt;0,-1,1)</f>
        <v>240946.49743184328</v>
      </c>
      <c r="V668" s="472">
        <f t="shared" si="48"/>
        <v>-3018477.186356205</v>
      </c>
      <c r="W668" s="551"/>
      <c r="X668" s="551"/>
    </row>
    <row r="669" spans="1:24" x14ac:dyDescent="0.25">
      <c r="A669" s="545">
        <f t="shared" si="49"/>
        <v>3058597.9843532918</v>
      </c>
      <c r="B669" s="3">
        <f t="shared" ref="B669:B692" si="50">B668+0.2</f>
        <v>18.299999999999958</v>
      </c>
      <c r="C669" s="545">
        <f>'Foglio deposito bis'!$E$155/sezione!$B$247*B669</f>
        <v>89.655847549985538</v>
      </c>
      <c r="D669" s="603">
        <f>-'Sollecitazioni nel paramento'!$G$47*'Sollecitazioni nel paramento'!$G$41*IF(DATI!$G$211="dx",DATI!$E$61,DATI!$E$64*DATI!$E$63)*1000*C669^2*sezione!$AD$5*(1-sezione!$AD$6)</f>
        <v>-178838437.14072213</v>
      </c>
      <c r="E669" s="545">
        <f>-'Foglio deposito bis'!$F$48*(C669-sezione!$AL$29)*IF(ABS(K669)&lt;'Sollecitazioni nel paramento'!$G$58,ABS(K669)*'Sollecitazioni nel paramento'!$G$54,'Sollecitazioni nel paramento'!$G$53)</f>
        <v>0</v>
      </c>
      <c r="F669" s="545">
        <f>-'Foglio deposito bis'!$F$49*(C669-sezione!$AM$29)*IF(ABS(L669)&lt;'Sollecitazioni nel paramento'!$G$58,ABS(L669)*'Sollecitazioni nel paramento'!$G$54,'Sollecitazioni nel paramento'!$G$53)</f>
        <v>-3703189.5950373495</v>
      </c>
      <c r="G669" s="545">
        <f>-'Foglio deposito bis'!$F$50*(C669-sezione!$AN$29)*IF(ABS(M669)&lt;'Sollecitazioni nel paramento'!$G$58,ABS(M669)*'Sollecitazioni nel paramento'!$G$54,'Sollecitazioni nel paramento'!$G$53)</f>
        <v>0</v>
      </c>
      <c r="H669" s="545">
        <f>-'Foglio deposito bis'!$F$51*(C669-sezione!$AO$29)*IF(ABS(N669)&lt;'Sollecitazioni nel paramento'!$G$58,ABS(N669)*'Sollecitazioni nel paramento'!$G$54,'Sollecitazioni nel paramento'!$G$53)</f>
        <v>16949177.147642601</v>
      </c>
      <c r="I669" s="472">
        <f>-'Foglio deposito bis'!$F$52*(C669-sezione!$AP$29)*IF(ABS(O669)&lt;'Sollecitazioni nel paramento'!$G$58,ABS(O669)*'Sollecitazioni nel paramento'!$G$54,'Sollecitazioni nel paramento'!$G$53)</f>
        <v>55995243.476756416</v>
      </c>
      <c r="J669" s="472">
        <f t="shared" si="47"/>
        <v>-109597206.11136043</v>
      </c>
      <c r="K669" s="550">
        <f>'Sollecitazioni nel paramento'!$G$60*(sezione!$AL$29-C669)/C669</f>
        <v>-1.9384732973279156E-3</v>
      </c>
      <c r="L669" s="550">
        <f>'Sollecitazioni nel paramento'!$G$60*(sezione!$AM$29-C669)/C669</f>
        <v>-1.1577099459918734E-3</v>
      </c>
      <c r="M669" s="551">
        <f>'Sollecitazioni nel paramento'!$G$60*(sezione!$AN$29-C669)/C669</f>
        <v>-3.7694659465583105E-4</v>
      </c>
      <c r="N669" s="551">
        <f>'Sollecitazioni nel paramento'!$G$60*(sezione!$AO$29-C669)/C669</f>
        <v>2.746106810688338E-3</v>
      </c>
      <c r="O669" s="551">
        <f>'Sollecitazioni nel paramento'!$G$60*(sezione!$AP$29-C669)/C669</f>
        <v>9.0723530787487038E-3</v>
      </c>
      <c r="P669" s="545">
        <f>-'Sollecitazioni nel paramento'!$G$47*'Sollecitazioni nel paramento'!$G$41*IF(DATI!$G$211="dx",DATI!$E$61,DATI!$E$64*DATI!$E$63)*1000*C669*sezione!$AD$5</f>
        <v>-3415618.8241117983</v>
      </c>
      <c r="Q669" s="545">
        <f>'Foglio deposito bis'!$F$48*IF(ABS(K669)&lt;'Sollecitazioni nel paramento'!$G$58,ABS(K669)*'Sollecitazioni nel paramento'!$G$54,'Sollecitazioni nel paramento'!$G$53)*IF(K669&lt;0,-1,1)</f>
        <v>0</v>
      </c>
      <c r="R669" s="545">
        <f>'Foglio deposito bis'!$F$49*IF(ABS(L669)&lt;'Sollecitazioni nel paramento'!$G$58,ABS(L669)*'Sollecitazioni nel paramento'!$G$54,'Sollecitazioni nel paramento'!$G$53)*IF(L669&lt;0,-1,1)</f>
        <v>-124872.15510517944</v>
      </c>
      <c r="S669" s="545">
        <f>'Foglio deposito bis'!$F$50*IF(ABS(M669)&lt;'Sollecitazioni nel paramento'!$G$58,ABS(M669)*'Sollecitazioni nel paramento'!$G$54,'Sollecitazioni nel paramento'!$G$53)*IF(M669&lt;0,-1,1)</f>
        <v>0</v>
      </c>
      <c r="T669" s="545">
        <f>'Foglio deposito bis'!$F$51*IF(ABS(N669)&lt;'Sollecitazioni nel paramento'!$G$58,ABS(N669)*'Sollecitazioni nel paramento'!$G$54,'Sollecitazioni nel paramento'!$G$53)*IF(N669&lt;0,-1,1)</f>
        <v>240946.49743184328</v>
      </c>
      <c r="U669" s="545">
        <f>'Foglio deposito bis'!$F$52*IF(ABS(O669)&lt;'Sollecitazioni nel paramento'!$G$58,ABS(O669)*'Sollecitazioni nel paramento'!$G$54,'Sollecitazioni nel paramento'!$G$53)*IF(O669&lt;0,-1,1)</f>
        <v>240946.49743184328</v>
      </c>
      <c r="V669" s="472">
        <f t="shared" si="48"/>
        <v>-3058597.9843532918</v>
      </c>
      <c r="W669" s="551"/>
      <c r="X669" s="551"/>
    </row>
    <row r="670" spans="1:24" x14ac:dyDescent="0.25">
      <c r="A670" s="545">
        <f t="shared" si="49"/>
        <v>3098658.4227715577</v>
      </c>
      <c r="B670" s="3">
        <f t="shared" si="50"/>
        <v>18.499999999999957</v>
      </c>
      <c r="C670" s="545">
        <f>'Foglio deposito bis'!$E$155/sezione!$B$247*B670</f>
        <v>90.635692878400675</v>
      </c>
      <c r="D670" s="603">
        <f>-'Sollecitazioni nel paramento'!$G$47*'Sollecitazioni nel paramento'!$G$41*IF(DATI!$G$211="dx",DATI!$E$61,DATI!$E$64*DATI!$E$63)*1000*C670^2*sezione!$AD$5*(1-sezione!$AD$6)</f>
        <v>-182768834.87536845</v>
      </c>
      <c r="E670" s="545">
        <f>-'Foglio deposito bis'!$F$48*(C670-sezione!$AL$29)*IF(ABS(K670)&lt;'Sollecitazioni nel paramento'!$G$58,ABS(K670)*'Sollecitazioni nel paramento'!$G$54,'Sollecitazioni nel paramento'!$G$53)</f>
        <v>0</v>
      </c>
      <c r="F670" s="545">
        <f>-'Foglio deposito bis'!$F$49*(C670-sezione!$AM$29)*IF(ABS(L670)&lt;'Sollecitazioni nel paramento'!$G$58,ABS(L670)*'Sollecitazioni nel paramento'!$G$54,'Sollecitazioni nel paramento'!$G$53)</f>
        <v>-3909219.3706019055</v>
      </c>
      <c r="G670" s="545">
        <f>-'Foglio deposito bis'!$F$50*(C670-sezione!$AN$29)*IF(ABS(M670)&lt;'Sollecitazioni nel paramento'!$G$58,ABS(M670)*'Sollecitazioni nel paramento'!$G$54,'Sollecitazioni nel paramento'!$G$53)</f>
        <v>0</v>
      </c>
      <c r="H670" s="545">
        <f>-'Foglio deposito bis'!$F$51*(C670-sezione!$AO$29)*IF(ABS(N670)&lt;'Sollecitazioni nel paramento'!$G$58,ABS(N670)*'Sollecitazioni nel paramento'!$G$54,'Sollecitazioni nel paramento'!$G$53)</f>
        <v>16713086.84773602</v>
      </c>
      <c r="I670" s="472">
        <f>-'Foglio deposito bis'!$F$52*(C670-sezione!$AP$29)*IF(ABS(O670)&lt;'Sollecitazioni nel paramento'!$G$58,ABS(O670)*'Sollecitazioni nel paramento'!$G$54,'Sollecitazioni nel paramento'!$G$53)</f>
        <v>55759153.176849835</v>
      </c>
      <c r="J670" s="472">
        <f t="shared" si="47"/>
        <v>-114205814.22138447</v>
      </c>
      <c r="K670" s="550">
        <f>'Sollecitazioni nel paramento'!$G$60*(sezione!$AL$29-C670)/C670</f>
        <v>-1.9553546670865326E-3</v>
      </c>
      <c r="L670" s="550">
        <f>'Sollecitazioni nel paramento'!$G$60*(sezione!$AM$29-C670)/C670</f>
        <v>-1.183032000629799E-3</v>
      </c>
      <c r="M670" s="551">
        <f>'Sollecitazioni nel paramento'!$G$60*(sezione!$AN$29-C670)/C670</f>
        <v>-4.1070933417306518E-4</v>
      </c>
      <c r="N670" s="551">
        <f>'Sollecitazioni nel paramento'!$G$60*(sezione!$AO$29-C670)/C670</f>
        <v>2.6785813316538695E-3</v>
      </c>
      <c r="O670" s="551">
        <f>'Sollecitazioni nel paramento'!$G$60*(sezione!$AP$29-C670)/C670</f>
        <v>8.9364357481676367E-3</v>
      </c>
      <c r="P670" s="545">
        <f>-'Sollecitazioni nel paramento'!$G$47*'Sollecitazioni nel paramento'!$G$41*IF(DATI!$G$211="dx",DATI!$E$61,DATI!$E$64*DATI!$E$63)*1000*C670*sezione!$AD$5</f>
        <v>-3452947.99158843</v>
      </c>
      <c r="Q670" s="545">
        <f>'Foglio deposito bis'!$F$48*IF(ABS(K670)&lt;'Sollecitazioni nel paramento'!$G$58,ABS(K670)*'Sollecitazioni nel paramento'!$G$54,'Sollecitazioni nel paramento'!$G$53)*IF(K670&lt;0,-1,1)</f>
        <v>0</v>
      </c>
      <c r="R670" s="545">
        <f>'Foglio deposito bis'!$F$49*IF(ABS(L670)&lt;'Sollecitazioni nel paramento'!$G$58,ABS(L670)*'Sollecitazioni nel paramento'!$G$54,'Sollecitazioni nel paramento'!$G$53)*IF(L670&lt;0,-1,1)</f>
        <v>-127603.42604681395</v>
      </c>
      <c r="S670" s="545">
        <f>'Foglio deposito bis'!$F$50*IF(ABS(M670)&lt;'Sollecitazioni nel paramento'!$G$58,ABS(M670)*'Sollecitazioni nel paramento'!$G$54,'Sollecitazioni nel paramento'!$G$53)*IF(M670&lt;0,-1,1)</f>
        <v>0</v>
      </c>
      <c r="T670" s="545">
        <f>'Foglio deposito bis'!$F$51*IF(ABS(N670)&lt;'Sollecitazioni nel paramento'!$G$58,ABS(N670)*'Sollecitazioni nel paramento'!$G$54,'Sollecitazioni nel paramento'!$G$53)*IF(N670&lt;0,-1,1)</f>
        <v>240946.49743184328</v>
      </c>
      <c r="U670" s="545">
        <f>'Foglio deposito bis'!$F$52*IF(ABS(O670)&lt;'Sollecitazioni nel paramento'!$G$58,ABS(O670)*'Sollecitazioni nel paramento'!$G$54,'Sollecitazioni nel paramento'!$G$53)*IF(O670&lt;0,-1,1)</f>
        <v>240946.49743184328</v>
      </c>
      <c r="V670" s="472">
        <f t="shared" si="48"/>
        <v>-3098658.4227715577</v>
      </c>
      <c r="W670" s="551"/>
      <c r="X670" s="551"/>
    </row>
    <row r="671" spans="1:24" x14ac:dyDescent="0.25">
      <c r="A671" s="545">
        <f t="shared" si="49"/>
        <v>3138660.4382819822</v>
      </c>
      <c r="B671" s="3">
        <f t="shared" si="50"/>
        <v>18.699999999999957</v>
      </c>
      <c r="C671" s="545">
        <f>'Foglio deposito bis'!$E$155/sezione!$B$247*B671</f>
        <v>91.615538206815827</v>
      </c>
      <c r="D671" s="603">
        <f>-'Sollecitazioni nel paramento'!$G$47*'Sollecitazioni nel paramento'!$G$41*IF(DATI!$G$211="dx",DATI!$E$61,DATI!$E$64*DATI!$E$63)*1000*C671^2*sezione!$AD$5*(1-sezione!$AD$6)</f>
        <v>-186741954.32452187</v>
      </c>
      <c r="E671" s="545">
        <f>-'Foglio deposito bis'!$F$48*(C671-sezione!$AL$29)*IF(ABS(K671)&lt;'Sollecitazioni nel paramento'!$G$58,ABS(K671)*'Sollecitazioni nel paramento'!$G$54,'Sollecitazioni nel paramento'!$G$53)</f>
        <v>0</v>
      </c>
      <c r="F671" s="545">
        <f>-'Foglio deposito bis'!$F$49*(C671-sezione!$AM$29)*IF(ABS(L671)&lt;'Sollecitazioni nel paramento'!$G$58,ABS(L671)*'Sollecitazioni nel paramento'!$G$54,'Sollecitazioni nel paramento'!$G$53)</f>
        <v>-4118754.5206370107</v>
      </c>
      <c r="G671" s="545">
        <f>-'Foglio deposito bis'!$F$50*(C671-sezione!$AN$29)*IF(ABS(M671)&lt;'Sollecitazioni nel paramento'!$G$58,ABS(M671)*'Sollecitazioni nel paramento'!$G$54,'Sollecitazioni nel paramento'!$G$53)</f>
        <v>0</v>
      </c>
      <c r="H671" s="545">
        <f>-'Foglio deposito bis'!$F$51*(C671-sezione!$AO$29)*IF(ABS(N671)&lt;'Sollecitazioni nel paramento'!$G$58,ABS(N671)*'Sollecitazioni nel paramento'!$G$54,'Sollecitazioni nel paramento'!$G$53)</f>
        <v>16476996.547829432</v>
      </c>
      <c r="I671" s="472">
        <f>-'Foglio deposito bis'!$F$52*(C671-sezione!$AP$29)*IF(ABS(O671)&lt;'Sollecitazioni nel paramento'!$G$58,ABS(O671)*'Sollecitazioni nel paramento'!$G$54,'Sollecitazioni nel paramento'!$G$53)</f>
        <v>55523062.876943246</v>
      </c>
      <c r="J671" s="472">
        <f t="shared" si="47"/>
        <v>-118860649.42038621</v>
      </c>
      <c r="K671" s="550">
        <f>'Sollecitazioni nel paramento'!$G$60*(sezione!$AL$29-C671)/C671</f>
        <v>-1.9718749380267836E-3</v>
      </c>
      <c r="L671" s="550">
        <f>'Sollecitazioni nel paramento'!$G$60*(sezione!$AM$29-C671)/C671</f>
        <v>-1.2078124070401756E-3</v>
      </c>
      <c r="M671" s="551">
        <f>'Sollecitazioni nel paramento'!$G$60*(sezione!$AN$29-C671)/C671</f>
        <v>-4.4374987605356743E-4</v>
      </c>
      <c r="N671" s="551">
        <f>'Sollecitazioni nel paramento'!$G$60*(sezione!$AO$29-C671)/C671</f>
        <v>2.6125002478928653E-3</v>
      </c>
      <c r="O671" s="551">
        <f>'Sollecitazioni nel paramento'!$G$60*(sezione!$AP$29-C671)/C671</f>
        <v>8.8034257401658437E-3</v>
      </c>
      <c r="P671" s="545">
        <f>-'Sollecitazioni nel paramento'!$G$47*'Sollecitazioni nel paramento'!$G$41*IF(DATI!$G$211="dx",DATI!$E$61,DATI!$E$64*DATI!$E$63)*1000*C671*sezione!$AD$5</f>
        <v>-3490277.1590650622</v>
      </c>
      <c r="Q671" s="545">
        <f>'Foglio deposito bis'!$F$48*IF(ABS(K671)&lt;'Sollecitazioni nel paramento'!$G$58,ABS(K671)*'Sollecitazioni nel paramento'!$G$54,'Sollecitazioni nel paramento'!$G$53)*IF(K671&lt;0,-1,1)</f>
        <v>0</v>
      </c>
      <c r="R671" s="545">
        <f>'Foglio deposito bis'!$F$49*IF(ABS(L671)&lt;'Sollecitazioni nel paramento'!$G$58,ABS(L671)*'Sollecitazioni nel paramento'!$G$54,'Sollecitazioni nel paramento'!$G$53)*IF(L671&lt;0,-1,1)</f>
        <v>-130276.27408060605</v>
      </c>
      <c r="S671" s="545">
        <f>'Foglio deposito bis'!$F$50*IF(ABS(M671)&lt;'Sollecitazioni nel paramento'!$G$58,ABS(M671)*'Sollecitazioni nel paramento'!$G$54,'Sollecitazioni nel paramento'!$G$53)*IF(M671&lt;0,-1,1)</f>
        <v>0</v>
      </c>
      <c r="T671" s="545">
        <f>'Foglio deposito bis'!$F$51*IF(ABS(N671)&lt;'Sollecitazioni nel paramento'!$G$58,ABS(N671)*'Sollecitazioni nel paramento'!$G$54,'Sollecitazioni nel paramento'!$G$53)*IF(N671&lt;0,-1,1)</f>
        <v>240946.49743184328</v>
      </c>
      <c r="U671" s="545">
        <f>'Foglio deposito bis'!$F$52*IF(ABS(O671)&lt;'Sollecitazioni nel paramento'!$G$58,ABS(O671)*'Sollecitazioni nel paramento'!$G$54,'Sollecitazioni nel paramento'!$G$53)*IF(O671&lt;0,-1,1)</f>
        <v>240946.49743184328</v>
      </c>
      <c r="V671" s="472">
        <f t="shared" si="48"/>
        <v>-3138660.4382819822</v>
      </c>
      <c r="W671" s="551"/>
      <c r="X671" s="551"/>
    </row>
    <row r="672" spans="1:24" x14ac:dyDescent="0.25">
      <c r="A672" s="545">
        <f t="shared" si="49"/>
        <v>3178605.8855800498</v>
      </c>
      <c r="B672" s="3">
        <f t="shared" si="50"/>
        <v>18.899999999999956</v>
      </c>
      <c r="C672" s="545">
        <f>'Foglio deposito bis'!$E$155/sezione!$B$247*B672</f>
        <v>92.595383535230965</v>
      </c>
      <c r="D672" s="603">
        <f>-'Sollecitazioni nel paramento'!$G$47*'Sollecitazioni nel paramento'!$G$41*IF(DATI!$G$211="dx",DATI!$E$61,DATI!$E$64*DATI!$E$63)*1000*C672^2*sezione!$AD$5*(1-sezione!$AD$6)</f>
        <v>-190757795.48818225</v>
      </c>
      <c r="E672" s="545">
        <f>-'Foglio deposito bis'!$F$48*(C672-sezione!$AL$29)*IF(ABS(K672)&lt;'Sollecitazioni nel paramento'!$G$58,ABS(K672)*'Sollecitazioni nel paramento'!$G$54,'Sollecitazioni nel paramento'!$G$53)</f>
        <v>0</v>
      </c>
      <c r="F672" s="545">
        <f>-'Foglio deposito bis'!$F$49*(C672-sezione!$AM$29)*IF(ABS(L672)&lt;'Sollecitazioni nel paramento'!$G$58,ABS(L672)*'Sollecitazioni nel paramento'!$G$54,'Sollecitazioni nel paramento'!$G$53)</f>
        <v>-4331683.7634134367</v>
      </c>
      <c r="G672" s="545">
        <f>-'Foglio deposito bis'!$F$50*(C672-sezione!$AN$29)*IF(ABS(M672)&lt;'Sollecitazioni nel paramento'!$G$58,ABS(M672)*'Sollecitazioni nel paramento'!$G$54,'Sollecitazioni nel paramento'!$G$53)</f>
        <v>0</v>
      </c>
      <c r="H672" s="545">
        <f>-'Foglio deposito bis'!$F$51*(C672-sezione!$AO$29)*IF(ABS(N672)&lt;'Sollecitazioni nel paramento'!$G$58,ABS(N672)*'Sollecitazioni nel paramento'!$G$54,'Sollecitazioni nel paramento'!$G$53)</f>
        <v>16240906.247922853</v>
      </c>
      <c r="I672" s="472">
        <f>-'Foglio deposito bis'!$F$52*(C672-sezione!$AP$29)*IF(ABS(O672)&lt;'Sollecitazioni nel paramento'!$G$58,ABS(O672)*'Sollecitazioni nel paramento'!$G$54,'Sollecitazioni nel paramento'!$G$53)</f>
        <v>55286972.577036671</v>
      </c>
      <c r="J672" s="472">
        <f t="shared" si="47"/>
        <v>-123561600.42663616</v>
      </c>
      <c r="K672" s="550">
        <f>'Sollecitazioni nel paramento'!$G$60*(sezione!$AL$29-C672)/C672</f>
        <v>-1.98804557360322E-3</v>
      </c>
      <c r="L672" s="550">
        <f>'Sollecitazioni nel paramento'!$G$60*(sezione!$AM$29-C672)/C672</f>
        <v>-1.2320683604048297E-3</v>
      </c>
      <c r="M672" s="551">
        <f>'Sollecitazioni nel paramento'!$G$60*(sezione!$AN$29-C672)/C672</f>
        <v>-4.7609114720643963E-4</v>
      </c>
      <c r="N672" s="551">
        <f>'Sollecitazioni nel paramento'!$G$60*(sezione!$AO$29-C672)/C672</f>
        <v>2.5478177055871208E-3</v>
      </c>
      <c r="O672" s="551">
        <f>'Sollecitazioni nel paramento'!$G$60*(sezione!$AP$29-C672)/C672</f>
        <v>8.6732307587884267E-3</v>
      </c>
      <c r="P672" s="545">
        <f>-'Sollecitazioni nel paramento'!$G$47*'Sollecitazioni nel paramento'!$G$41*IF(DATI!$G$211="dx",DATI!$E$61,DATI!$E$64*DATI!$E$63)*1000*C672*sezione!$AD$5</f>
        <v>-3527606.3265416934</v>
      </c>
      <c r="Q672" s="545">
        <f>'Foglio deposito bis'!$F$48*IF(ABS(K672)&lt;'Sollecitazioni nel paramento'!$G$58,ABS(K672)*'Sollecitazioni nel paramento'!$G$54,'Sollecitazioni nel paramento'!$G$53)*IF(K672&lt;0,-1,1)</f>
        <v>0</v>
      </c>
      <c r="R672" s="545">
        <f>'Foglio deposito bis'!$F$49*IF(ABS(L672)&lt;'Sollecitazioni nel paramento'!$G$58,ABS(L672)*'Sollecitazioni nel paramento'!$G$54,'Sollecitazioni nel paramento'!$G$53)*IF(L672&lt;0,-1,1)</f>
        <v>-132892.55390204271</v>
      </c>
      <c r="S672" s="545">
        <f>'Foglio deposito bis'!$F$50*IF(ABS(M672)&lt;'Sollecitazioni nel paramento'!$G$58,ABS(M672)*'Sollecitazioni nel paramento'!$G$54,'Sollecitazioni nel paramento'!$G$53)*IF(M672&lt;0,-1,1)</f>
        <v>0</v>
      </c>
      <c r="T672" s="545">
        <f>'Foglio deposito bis'!$F$51*IF(ABS(N672)&lt;'Sollecitazioni nel paramento'!$G$58,ABS(N672)*'Sollecitazioni nel paramento'!$G$54,'Sollecitazioni nel paramento'!$G$53)*IF(N672&lt;0,-1,1)</f>
        <v>240946.49743184328</v>
      </c>
      <c r="U672" s="545">
        <f>'Foglio deposito bis'!$F$52*IF(ABS(O672)&lt;'Sollecitazioni nel paramento'!$G$58,ABS(O672)*'Sollecitazioni nel paramento'!$G$54,'Sollecitazioni nel paramento'!$G$53)*IF(O672&lt;0,-1,1)</f>
        <v>240946.49743184328</v>
      </c>
      <c r="V672" s="472">
        <f t="shared" si="48"/>
        <v>-3178605.8855800498</v>
      </c>
      <c r="W672" s="551"/>
      <c r="X672" s="551"/>
    </row>
    <row r="673" spans="1:24" x14ac:dyDescent="0.25">
      <c r="A673" s="545">
        <f t="shared" si="49"/>
        <v>3218496.5416776696</v>
      </c>
      <c r="B673" s="3">
        <f t="shared" si="50"/>
        <v>19.099999999999955</v>
      </c>
      <c r="C673" s="545">
        <f>'Foglio deposito bis'!$E$155/sezione!$B$247*B673</f>
        <v>93.575228863646103</v>
      </c>
      <c r="D673" s="603">
        <f>-'Sollecitazioni nel paramento'!$G$47*'Sollecitazioni nel paramento'!$G$41*IF(DATI!$G$211="dx",DATI!$E$61,DATI!$E$64*DATI!$E$63)*1000*C673^2*sezione!$AD$5*(1-sezione!$AD$6)</f>
        <v>-194816358.36634967</v>
      </c>
      <c r="E673" s="545">
        <f>-'Foglio deposito bis'!$F$48*(C673-sezione!$AL$29)*IF(ABS(K673)&lt;'Sollecitazioni nel paramento'!$G$58,ABS(K673)*'Sollecitazioni nel paramento'!$G$54,'Sollecitazioni nel paramento'!$G$53)</f>
        <v>0</v>
      </c>
      <c r="F673" s="545">
        <f>-'Foglio deposito bis'!$F$49*(C673-sezione!$AM$29)*IF(ABS(L673)&lt;'Sollecitazioni nel paramento'!$G$58,ABS(L673)*'Sollecitazioni nel paramento'!$G$54,'Sollecitazioni nel paramento'!$G$53)</f>
        <v>-4547900.478216799</v>
      </c>
      <c r="G673" s="545">
        <f>-'Foglio deposito bis'!$F$50*(C673-sezione!$AN$29)*IF(ABS(M673)&lt;'Sollecitazioni nel paramento'!$G$58,ABS(M673)*'Sollecitazioni nel paramento'!$G$54,'Sollecitazioni nel paramento'!$G$53)</f>
        <v>0</v>
      </c>
      <c r="H673" s="545">
        <f>-'Foglio deposito bis'!$F$51*(C673-sezione!$AO$29)*IF(ABS(N673)&lt;'Sollecitazioni nel paramento'!$G$58,ABS(N673)*'Sollecitazioni nel paramento'!$G$54,'Sollecitazioni nel paramento'!$G$53)</f>
        <v>16004815.948016269</v>
      </c>
      <c r="I673" s="472">
        <f>-'Foglio deposito bis'!$F$52*(C673-sezione!$AP$29)*IF(ABS(O673)&lt;'Sollecitazioni nel paramento'!$G$58,ABS(O673)*'Sollecitazioni nel paramento'!$G$54,'Sollecitazioni nel paramento'!$G$53)</f>
        <v>55050882.277130097</v>
      </c>
      <c r="J673" s="472">
        <f t="shared" si="47"/>
        <v>-128308560.61942011</v>
      </c>
      <c r="K673" s="550">
        <f>'Sollecitazioni nel paramento'!$G$60*(sezione!$AL$29-C673)/C673</f>
        <v>-2.0038775571256991E-3</v>
      </c>
      <c r="L673" s="550">
        <f>'Sollecitazioni nel paramento'!$G$60*(sezione!$AM$29-C673)/C673</f>
        <v>-1.2558163356885487E-3</v>
      </c>
      <c r="M673" s="551">
        <f>'Sollecitazioni nel paramento'!$G$60*(sezione!$AN$29-C673)/C673</f>
        <v>-5.077551142513982E-4</v>
      </c>
      <c r="N673" s="551">
        <f>'Sollecitazioni nel paramento'!$G$60*(sezione!$AO$29-C673)/C673</f>
        <v>2.4844897714972037E-3</v>
      </c>
      <c r="O673" s="551">
        <f>'Sollecitazioni nel paramento'!$G$60*(sezione!$AP$29-C673)/C673</f>
        <v>8.5457623738796479E-3</v>
      </c>
      <c r="P673" s="545">
        <f>-'Sollecitazioni nel paramento'!$G$47*'Sollecitazioni nel paramento'!$G$41*IF(DATI!$G$211="dx",DATI!$E$61,DATI!$E$64*DATI!$E$63)*1000*C673*sezione!$AD$5</f>
        <v>-3564935.4940183251</v>
      </c>
      <c r="Q673" s="545">
        <f>'Foglio deposito bis'!$F$48*IF(ABS(K673)&lt;'Sollecitazioni nel paramento'!$G$58,ABS(K673)*'Sollecitazioni nel paramento'!$G$54,'Sollecitazioni nel paramento'!$G$53)*IF(K673&lt;0,-1,1)</f>
        <v>0</v>
      </c>
      <c r="R673" s="545">
        <f>'Foglio deposito bis'!$F$49*IF(ABS(L673)&lt;'Sollecitazioni nel paramento'!$G$58,ABS(L673)*'Sollecitazioni nel paramento'!$G$54,'Sollecitazioni nel paramento'!$G$53)*IF(L673&lt;0,-1,1)</f>
        <v>-135454.04252303045</v>
      </c>
      <c r="S673" s="545">
        <f>'Foglio deposito bis'!$F$50*IF(ABS(M673)&lt;'Sollecitazioni nel paramento'!$G$58,ABS(M673)*'Sollecitazioni nel paramento'!$G$54,'Sollecitazioni nel paramento'!$G$53)*IF(M673&lt;0,-1,1)</f>
        <v>0</v>
      </c>
      <c r="T673" s="545">
        <f>'Foglio deposito bis'!$F$51*IF(ABS(N673)&lt;'Sollecitazioni nel paramento'!$G$58,ABS(N673)*'Sollecitazioni nel paramento'!$G$54,'Sollecitazioni nel paramento'!$G$53)*IF(N673&lt;0,-1,1)</f>
        <v>240946.49743184328</v>
      </c>
      <c r="U673" s="545">
        <f>'Foglio deposito bis'!$F$52*IF(ABS(O673)&lt;'Sollecitazioni nel paramento'!$G$58,ABS(O673)*'Sollecitazioni nel paramento'!$G$54,'Sollecitazioni nel paramento'!$G$53)*IF(O673&lt;0,-1,1)</f>
        <v>240946.49743184328</v>
      </c>
      <c r="V673" s="472">
        <f t="shared" si="48"/>
        <v>-3218496.5416776696</v>
      </c>
      <c r="W673" s="551"/>
      <c r="X673" s="551"/>
    </row>
    <row r="674" spans="1:24" x14ac:dyDescent="0.25">
      <c r="A674" s="545">
        <f t="shared" si="49"/>
        <v>3258334.1099282214</v>
      </c>
      <c r="B674" s="3">
        <f t="shared" si="50"/>
        <v>19.299999999999955</v>
      </c>
      <c r="C674" s="545">
        <f>'Foglio deposito bis'!$E$155/sezione!$B$247*B674</f>
        <v>94.555074192061241</v>
      </c>
      <c r="D674" s="603">
        <f>-'Sollecitazioni nel paramento'!$G$47*'Sollecitazioni nel paramento'!$G$41*IF(DATI!$G$211="dx",DATI!$E$61,DATI!$E$64*DATI!$E$63)*1000*C674^2*sezione!$AD$5*(1-sezione!$AD$6)</f>
        <v>-198917642.95902407</v>
      </c>
      <c r="E674" s="545">
        <f>-'Foglio deposito bis'!$F$48*(C674-sezione!$AL$29)*IF(ABS(K674)&lt;'Sollecitazioni nel paramento'!$G$58,ABS(K674)*'Sollecitazioni nel paramento'!$G$54,'Sollecitazioni nel paramento'!$G$53)</f>
        <v>0</v>
      </c>
      <c r="F674" s="545">
        <f>-'Foglio deposito bis'!$F$49*(C674-sezione!$AM$29)*IF(ABS(L674)&lt;'Sollecitazioni nel paramento'!$G$58,ABS(L674)*'Sollecitazioni nel paramento'!$G$54,'Sollecitazioni nel paramento'!$G$53)</f>
        <v>-4767302.4638441876</v>
      </c>
      <c r="G674" s="545">
        <f>-'Foglio deposito bis'!$F$50*(C674-sezione!$AN$29)*IF(ABS(M674)&lt;'Sollecitazioni nel paramento'!$G$58,ABS(M674)*'Sollecitazioni nel paramento'!$G$54,'Sollecitazioni nel paramento'!$G$53)</f>
        <v>0</v>
      </c>
      <c r="H674" s="545">
        <f>-'Foglio deposito bis'!$F$51*(C674-sezione!$AO$29)*IF(ABS(N674)&lt;'Sollecitazioni nel paramento'!$G$58,ABS(N674)*'Sollecitazioni nel paramento'!$G$54,'Sollecitazioni nel paramento'!$G$53)</f>
        <v>15768725.648109689</v>
      </c>
      <c r="I674" s="472">
        <f>-'Foglio deposito bis'!$F$52*(C674-sezione!$AP$29)*IF(ABS(O674)&lt;'Sollecitazioni nel paramento'!$G$58,ABS(O674)*'Sollecitazioni nel paramento'!$G$54,'Sollecitazioni nel paramento'!$G$53)</f>
        <v>54814791.977223508</v>
      </c>
      <c r="J674" s="472">
        <f t="shared" si="47"/>
        <v>-133101427.79753506</v>
      </c>
      <c r="K674" s="550">
        <f>'Sollecitazioni nel paramento'!$G$60*(sezione!$AL$29-C674)/C674</f>
        <v>-2.0193814166373498E-3</v>
      </c>
      <c r="L674" s="550">
        <f>'Sollecitazioni nel paramento'!$G$60*(sezione!$AM$29-C674)/C674</f>
        <v>-1.2790721249560247E-3</v>
      </c>
      <c r="M674" s="551">
        <f>'Sollecitazioni nel paramento'!$G$60*(sezione!$AN$29-C674)/C674</f>
        <v>-5.387628332746996E-4</v>
      </c>
      <c r="N674" s="551">
        <f>'Sollecitazioni nel paramento'!$G$60*(sezione!$AO$29-C674)/C674</f>
        <v>2.4224743334506009E-3</v>
      </c>
      <c r="O674" s="551">
        <f>'Sollecitazioni nel paramento'!$G$60*(sezione!$AP$29-C674)/C674</f>
        <v>8.4209358207824499E-3</v>
      </c>
      <c r="P674" s="545">
        <f>-'Sollecitazioni nel paramento'!$G$47*'Sollecitazioni nel paramento'!$G$41*IF(DATI!$G$211="dx",DATI!$E$61,DATI!$E$64*DATI!$E$63)*1000*C674*sezione!$AD$5</f>
        <v>-3602264.6614949564</v>
      </c>
      <c r="Q674" s="545">
        <f>'Foglio deposito bis'!$F$48*IF(ABS(K674)&lt;'Sollecitazioni nel paramento'!$G$58,ABS(K674)*'Sollecitazioni nel paramento'!$G$54,'Sollecitazioni nel paramento'!$G$53)*IF(K674&lt;0,-1,1)</f>
        <v>0</v>
      </c>
      <c r="R674" s="545">
        <f>'Foglio deposito bis'!$F$49*IF(ABS(L674)&lt;'Sollecitazioni nel paramento'!$G$58,ABS(L674)*'Sollecitazioni nel paramento'!$G$54,'Sollecitazioni nel paramento'!$G$53)*IF(L674&lt;0,-1,1)</f>
        <v>-137962.44329695113</v>
      </c>
      <c r="S674" s="545">
        <f>'Foglio deposito bis'!$F$50*IF(ABS(M674)&lt;'Sollecitazioni nel paramento'!$G$58,ABS(M674)*'Sollecitazioni nel paramento'!$G$54,'Sollecitazioni nel paramento'!$G$53)*IF(M674&lt;0,-1,1)</f>
        <v>0</v>
      </c>
      <c r="T674" s="545">
        <f>'Foglio deposito bis'!$F$51*IF(ABS(N674)&lt;'Sollecitazioni nel paramento'!$G$58,ABS(N674)*'Sollecitazioni nel paramento'!$G$54,'Sollecitazioni nel paramento'!$G$53)*IF(N674&lt;0,-1,1)</f>
        <v>240946.49743184328</v>
      </c>
      <c r="U674" s="545">
        <f>'Foglio deposito bis'!$F$52*IF(ABS(O674)&lt;'Sollecitazioni nel paramento'!$G$58,ABS(O674)*'Sollecitazioni nel paramento'!$G$54,'Sollecitazioni nel paramento'!$G$53)*IF(O674&lt;0,-1,1)</f>
        <v>240946.49743184328</v>
      </c>
      <c r="V674" s="472">
        <f t="shared" si="48"/>
        <v>-3258334.1099282214</v>
      </c>
      <c r="W674" s="551"/>
      <c r="X674" s="551"/>
    </row>
    <row r="675" spans="1:24" x14ac:dyDescent="0.25">
      <c r="A675" s="545">
        <f t="shared" si="49"/>
        <v>3298120.2238039244</v>
      </c>
      <c r="B675" s="3">
        <f t="shared" si="50"/>
        <v>19.499999999999954</v>
      </c>
      <c r="C675" s="545">
        <f>'Foglio deposito bis'!$E$155/sezione!$B$247*B675</f>
        <v>95.534919520476393</v>
      </c>
      <c r="D675" s="603">
        <f>-'Sollecitazioni nel paramento'!$G$47*'Sollecitazioni nel paramento'!$G$41*IF(DATI!$G$211="dx",DATI!$E$61,DATI!$E$64*DATI!$E$63)*1000*C675^2*sezione!$AD$5*(1-sezione!$AD$6)</f>
        <v>-203061649.26620561</v>
      </c>
      <c r="E675" s="545">
        <f>-'Foglio deposito bis'!$F$48*(C675-sezione!$AL$29)*IF(ABS(K675)&lt;'Sollecitazioni nel paramento'!$G$58,ABS(K675)*'Sollecitazioni nel paramento'!$G$54,'Sollecitazioni nel paramento'!$G$53)</f>
        <v>0</v>
      </c>
      <c r="F675" s="545">
        <f>-'Foglio deposito bis'!$F$49*(C675-sezione!$AM$29)*IF(ABS(L675)&lt;'Sollecitazioni nel paramento'!$G$58,ABS(L675)*'Sollecitazioni nel paramento'!$G$54,'Sollecitazioni nel paramento'!$G$53)</f>
        <v>-4989791.7119625593</v>
      </c>
      <c r="G675" s="545">
        <f>-'Foglio deposito bis'!$F$50*(C675-sezione!$AN$29)*IF(ABS(M675)&lt;'Sollecitazioni nel paramento'!$G$58,ABS(M675)*'Sollecitazioni nel paramento'!$G$54,'Sollecitazioni nel paramento'!$G$53)</f>
        <v>0</v>
      </c>
      <c r="H675" s="545">
        <f>-'Foglio deposito bis'!$F$51*(C675-sezione!$AO$29)*IF(ABS(N675)&lt;'Sollecitazioni nel paramento'!$G$58,ABS(N675)*'Sollecitazioni nel paramento'!$G$54,'Sollecitazioni nel paramento'!$G$53)</f>
        <v>15532635.348203104</v>
      </c>
      <c r="I675" s="472">
        <f>-'Foglio deposito bis'!$F$52*(C675-sezione!$AP$29)*IF(ABS(O675)&lt;'Sollecitazioni nel paramento'!$G$58,ABS(O675)*'Sollecitazioni nel paramento'!$G$54,'Sollecitazioni nel paramento'!$G$53)</f>
        <v>54578701.677316919</v>
      </c>
      <c r="J675" s="472">
        <f t="shared" si="47"/>
        <v>-137940103.95264816</v>
      </c>
      <c r="K675" s="550">
        <f>'Sollecitazioni nel paramento'!$G$60*(sezione!$AL$29-C675)/C675</f>
        <v>-2.0345672482615824E-3</v>
      </c>
      <c r="L675" s="550">
        <f>'Sollecitazioni nel paramento'!$G$60*(sezione!$AM$29-C675)/C675</f>
        <v>-1.3018508723923734E-3</v>
      </c>
      <c r="M675" s="551">
        <f>'Sollecitazioni nel paramento'!$G$60*(sezione!$AN$29-C675)/C675</f>
        <v>-5.6913449652316449E-4</v>
      </c>
      <c r="N675" s="551">
        <f>'Sollecitazioni nel paramento'!$G$60*(sezione!$AO$29-C675)/C675</f>
        <v>2.3617310069536709E-3</v>
      </c>
      <c r="O675" s="551">
        <f>'Sollecitazioni nel paramento'!$G$60*(sezione!$AP$29-C675)/C675</f>
        <v>8.2986698123641671E-3</v>
      </c>
      <c r="P675" s="545">
        <f>-'Sollecitazioni nel paramento'!$G$47*'Sollecitazioni nel paramento'!$G$41*IF(DATI!$G$211="dx",DATI!$E$61,DATI!$E$64*DATI!$E$63)*1000*C675*sezione!$AD$5</f>
        <v>-3639593.8289715885</v>
      </c>
      <c r="Q675" s="545">
        <f>'Foglio deposito bis'!$F$48*IF(ABS(K675)&lt;'Sollecitazioni nel paramento'!$G$58,ABS(K675)*'Sollecitazioni nel paramento'!$G$54,'Sollecitazioni nel paramento'!$G$53)*IF(K675&lt;0,-1,1)</f>
        <v>0</v>
      </c>
      <c r="R675" s="545">
        <f>'Foglio deposito bis'!$F$49*IF(ABS(L675)&lt;'Sollecitazioni nel paramento'!$G$58,ABS(L675)*'Sollecitazioni nel paramento'!$G$54,'Sollecitazioni nel paramento'!$G$53)*IF(L675&lt;0,-1,1)</f>
        <v>-140419.38969602215</v>
      </c>
      <c r="S675" s="545">
        <f>'Foglio deposito bis'!$F$50*IF(ABS(M675)&lt;'Sollecitazioni nel paramento'!$G$58,ABS(M675)*'Sollecitazioni nel paramento'!$G$54,'Sollecitazioni nel paramento'!$G$53)*IF(M675&lt;0,-1,1)</f>
        <v>0</v>
      </c>
      <c r="T675" s="545">
        <f>'Foglio deposito bis'!$F$51*IF(ABS(N675)&lt;'Sollecitazioni nel paramento'!$G$58,ABS(N675)*'Sollecitazioni nel paramento'!$G$54,'Sollecitazioni nel paramento'!$G$53)*IF(N675&lt;0,-1,1)</f>
        <v>240946.49743184328</v>
      </c>
      <c r="U675" s="545">
        <f>'Foglio deposito bis'!$F$52*IF(ABS(O675)&lt;'Sollecitazioni nel paramento'!$G$58,ABS(O675)*'Sollecitazioni nel paramento'!$G$54,'Sollecitazioni nel paramento'!$G$53)*IF(O675&lt;0,-1,1)</f>
        <v>240946.49743184328</v>
      </c>
      <c r="V675" s="472">
        <f t="shared" si="48"/>
        <v>-3298120.2238039244</v>
      </c>
      <c r="W675" s="551"/>
      <c r="X675" s="551"/>
    </row>
    <row r="676" spans="1:24" x14ac:dyDescent="0.25">
      <c r="A676" s="545">
        <f t="shared" si="49"/>
        <v>3337856.4504430979</v>
      </c>
      <c r="B676" s="3">
        <f t="shared" si="50"/>
        <v>19.699999999999953</v>
      </c>
      <c r="C676" s="545">
        <f>'Foglio deposito bis'!$E$155/sezione!$B$247*B676</f>
        <v>96.514764848891531</v>
      </c>
      <c r="D676" s="603">
        <f>-'Sollecitazioni nel paramento'!$G$47*'Sollecitazioni nel paramento'!$G$41*IF(DATI!$G$211="dx",DATI!$E$61,DATI!$E$64*DATI!$E$63)*1000*C676^2*sezione!$AD$5*(1-sezione!$AD$6)</f>
        <v>-207248377.28789404</v>
      </c>
      <c r="E676" s="545">
        <f>-'Foglio deposito bis'!$F$48*(C676-sezione!$AL$29)*IF(ABS(K676)&lt;'Sollecitazioni nel paramento'!$G$58,ABS(K676)*'Sollecitazioni nel paramento'!$G$54,'Sollecitazioni nel paramento'!$G$53)</f>
        <v>0</v>
      </c>
      <c r="F676" s="545">
        <f>-'Foglio deposito bis'!$F$49*(C676-sezione!$AM$29)*IF(ABS(L676)&lt;'Sollecitazioni nel paramento'!$G$58,ABS(L676)*'Sollecitazioni nel paramento'!$G$54,'Sollecitazioni nel paramento'!$G$53)</f>
        <v>-5215274.1942726877</v>
      </c>
      <c r="G676" s="545">
        <f>-'Foglio deposito bis'!$F$50*(C676-sezione!$AN$29)*IF(ABS(M676)&lt;'Sollecitazioni nel paramento'!$G$58,ABS(M676)*'Sollecitazioni nel paramento'!$G$54,'Sollecitazioni nel paramento'!$G$53)</f>
        <v>0</v>
      </c>
      <c r="H676" s="545">
        <f>-'Foglio deposito bis'!$F$51*(C676-sezione!$AO$29)*IF(ABS(N676)&lt;'Sollecitazioni nel paramento'!$G$58,ABS(N676)*'Sollecitazioni nel paramento'!$G$54,'Sollecitazioni nel paramento'!$G$53)</f>
        <v>15296545.048296524</v>
      </c>
      <c r="I676" s="472">
        <f>-'Foglio deposito bis'!$F$52*(C676-sezione!$AP$29)*IF(ABS(O676)&lt;'Sollecitazioni nel paramento'!$G$58,ABS(O676)*'Sollecitazioni nel paramento'!$G$54,'Sollecitazioni nel paramento'!$G$53)</f>
        <v>54342611.377410337</v>
      </c>
      <c r="J676" s="472">
        <f t="shared" si="47"/>
        <v>-142824495.0564599</v>
      </c>
      <c r="K676" s="550">
        <f>'Sollecitazioni nel paramento'!$G$60*(sezione!$AL$29-C676)/C676</f>
        <v>-2.0494447381269468E-3</v>
      </c>
      <c r="L676" s="550">
        <f>'Sollecitazioni nel paramento'!$G$60*(sezione!$AM$29-C676)/C676</f>
        <v>-1.3241671071904202E-3</v>
      </c>
      <c r="M676" s="551">
        <f>'Sollecitazioni nel paramento'!$G$60*(sezione!$AN$29-C676)/C676</f>
        <v>-5.9888947625389376E-4</v>
      </c>
      <c r="N676" s="551">
        <f>'Sollecitazioni nel paramento'!$G$60*(sezione!$AO$29-C676)/C676</f>
        <v>2.3022210474922125E-3</v>
      </c>
      <c r="O676" s="551">
        <f>'Sollecitazioni nel paramento'!$G$60*(sezione!$AP$29-C676)/C676</f>
        <v>8.1788863624924508E-3</v>
      </c>
      <c r="P676" s="545">
        <f>-'Sollecitazioni nel paramento'!$G$47*'Sollecitazioni nel paramento'!$G$41*IF(DATI!$G$211="dx",DATI!$E$61,DATI!$E$64*DATI!$E$63)*1000*C676*sezione!$AD$5</f>
        <v>-3676922.9964482202</v>
      </c>
      <c r="Q676" s="545">
        <f>'Foglio deposito bis'!$F$48*IF(ABS(K676)&lt;'Sollecitazioni nel paramento'!$G$58,ABS(K676)*'Sollecitazioni nel paramento'!$G$54,'Sollecitazioni nel paramento'!$G$53)*IF(K676&lt;0,-1,1)</f>
        <v>0</v>
      </c>
      <c r="R676" s="545">
        <f>'Foglio deposito bis'!$F$49*IF(ABS(L676)&lt;'Sollecitazioni nel paramento'!$G$58,ABS(L676)*'Sollecitazioni nel paramento'!$G$54,'Sollecitazioni nel paramento'!$G$53)*IF(L676&lt;0,-1,1)</f>
        <v>-142826.44885856373</v>
      </c>
      <c r="S676" s="545">
        <f>'Foglio deposito bis'!$F$50*IF(ABS(M676)&lt;'Sollecitazioni nel paramento'!$G$58,ABS(M676)*'Sollecitazioni nel paramento'!$G$54,'Sollecitazioni nel paramento'!$G$53)*IF(M676&lt;0,-1,1)</f>
        <v>0</v>
      </c>
      <c r="T676" s="545">
        <f>'Foglio deposito bis'!$F$51*IF(ABS(N676)&lt;'Sollecitazioni nel paramento'!$G$58,ABS(N676)*'Sollecitazioni nel paramento'!$G$54,'Sollecitazioni nel paramento'!$G$53)*IF(N676&lt;0,-1,1)</f>
        <v>240946.49743184328</v>
      </c>
      <c r="U676" s="545">
        <f>'Foglio deposito bis'!$F$52*IF(ABS(O676)&lt;'Sollecitazioni nel paramento'!$G$58,ABS(O676)*'Sollecitazioni nel paramento'!$G$54,'Sollecitazioni nel paramento'!$G$53)*IF(O676&lt;0,-1,1)</f>
        <v>240946.49743184328</v>
      </c>
      <c r="V676" s="472">
        <f t="shared" si="48"/>
        <v>-3337856.4504430979</v>
      </c>
      <c r="W676" s="551"/>
      <c r="X676" s="551"/>
    </row>
    <row r="677" spans="1:24" x14ac:dyDescent="0.25">
      <c r="A677" s="545">
        <f t="shared" si="49"/>
        <v>3377544.2939835261</v>
      </c>
      <c r="B677" s="3">
        <f t="shared" si="50"/>
        <v>19.899999999999952</v>
      </c>
      <c r="C677" s="545">
        <f>'Foglio deposito bis'!$E$155/sezione!$B$247*B677</f>
        <v>97.494610177306669</v>
      </c>
      <c r="D677" s="603">
        <f>-'Sollecitazioni nel paramento'!$G$47*'Sollecitazioni nel paramento'!$G$41*IF(DATI!$G$211="dx",DATI!$E$61,DATI!$E$64*DATI!$E$63)*1000*C677^2*sezione!$AD$5*(1-sezione!$AD$6)</f>
        <v>-211477827.0240896</v>
      </c>
      <c r="E677" s="545">
        <f>-'Foglio deposito bis'!$F$48*(C677-sezione!$AL$29)*IF(ABS(K677)&lt;'Sollecitazioni nel paramento'!$G$58,ABS(K677)*'Sollecitazioni nel paramento'!$G$54,'Sollecitazioni nel paramento'!$G$53)</f>
        <v>0</v>
      </c>
      <c r="F677" s="545">
        <f>-'Foglio deposito bis'!$F$49*(C677-sezione!$AM$29)*IF(ABS(L677)&lt;'Sollecitazioni nel paramento'!$G$58,ABS(L677)*'Sollecitazioni nel paramento'!$G$54,'Sollecitazioni nel paramento'!$G$53)</f>
        <v>-5443659.6625074903</v>
      </c>
      <c r="G677" s="545">
        <f>-'Foglio deposito bis'!$F$50*(C677-sezione!$AN$29)*IF(ABS(M677)&lt;'Sollecitazioni nel paramento'!$G$58,ABS(M677)*'Sollecitazioni nel paramento'!$G$54,'Sollecitazioni nel paramento'!$G$53)</f>
        <v>0</v>
      </c>
      <c r="H677" s="545">
        <f>-'Foglio deposito bis'!$F$51*(C677-sezione!$AO$29)*IF(ABS(N677)&lt;'Sollecitazioni nel paramento'!$G$58,ABS(N677)*'Sollecitazioni nel paramento'!$G$54,'Sollecitazioni nel paramento'!$G$53)</f>
        <v>15060454.748389941</v>
      </c>
      <c r="I677" s="472">
        <f>-'Foglio deposito bis'!$F$52*(C677-sezione!$AP$29)*IF(ABS(O677)&lt;'Sollecitazioni nel paramento'!$G$58,ABS(O677)*'Sollecitazioni nel paramento'!$G$54,'Sollecitazioni nel paramento'!$G$53)</f>
        <v>54106521.077503748</v>
      </c>
      <c r="J677" s="472">
        <f t="shared" si="47"/>
        <v>-147754510.86070344</v>
      </c>
      <c r="K677" s="550">
        <f>'Sollecitazioni nel paramento'!$G$60*(sezione!$AL$29-C677)/C677</f>
        <v>-2.0640231829698922E-3</v>
      </c>
      <c r="L677" s="550">
        <f>'Sollecitazioni nel paramento'!$G$60*(sezione!$AM$29-C677)/C677</f>
        <v>-1.346034774454838E-3</v>
      </c>
      <c r="M677" s="551">
        <f>'Sollecitazioni nel paramento'!$G$60*(sezione!$AN$29-C677)/C677</f>
        <v>-6.2804636593978406E-4</v>
      </c>
      <c r="N677" s="551">
        <f>'Sollecitazioni nel paramento'!$G$60*(sezione!$AO$29-C677)/C677</f>
        <v>2.243907268120432E-3</v>
      </c>
      <c r="O677" s="551">
        <f>'Sollecitazioni nel paramento'!$G$60*(sezione!$AP$29-C677)/C677</f>
        <v>8.0615106201558442E-3</v>
      </c>
      <c r="P677" s="545">
        <f>-'Sollecitazioni nel paramento'!$G$47*'Sollecitazioni nel paramento'!$G$41*IF(DATI!$G$211="dx",DATI!$E$61,DATI!$E$64*DATI!$E$63)*1000*C677*sezione!$AD$5</f>
        <v>-3714252.1639248515</v>
      </c>
      <c r="Q677" s="545">
        <f>'Foglio deposito bis'!$F$48*IF(ABS(K677)&lt;'Sollecitazioni nel paramento'!$G$58,ABS(K677)*'Sollecitazioni nel paramento'!$G$54,'Sollecitazioni nel paramento'!$G$53)*IF(K677&lt;0,-1,1)</f>
        <v>0</v>
      </c>
      <c r="R677" s="545">
        <f>'Foglio deposito bis'!$F$49*IF(ABS(L677)&lt;'Sollecitazioni nel paramento'!$G$58,ABS(L677)*'Sollecitazioni nel paramento'!$G$54,'Sollecitazioni nel paramento'!$G$53)*IF(L677&lt;0,-1,1)</f>
        <v>-145185.12492236082</v>
      </c>
      <c r="S677" s="545">
        <f>'Foglio deposito bis'!$F$50*IF(ABS(M677)&lt;'Sollecitazioni nel paramento'!$G$58,ABS(M677)*'Sollecitazioni nel paramento'!$G$54,'Sollecitazioni nel paramento'!$G$53)*IF(M677&lt;0,-1,1)</f>
        <v>0</v>
      </c>
      <c r="T677" s="545">
        <f>'Foglio deposito bis'!$F$51*IF(ABS(N677)&lt;'Sollecitazioni nel paramento'!$G$58,ABS(N677)*'Sollecitazioni nel paramento'!$G$54,'Sollecitazioni nel paramento'!$G$53)*IF(N677&lt;0,-1,1)</f>
        <v>240946.49743184328</v>
      </c>
      <c r="U677" s="545">
        <f>'Foglio deposito bis'!$F$52*IF(ABS(O677)&lt;'Sollecitazioni nel paramento'!$G$58,ABS(O677)*'Sollecitazioni nel paramento'!$G$54,'Sollecitazioni nel paramento'!$G$53)*IF(O677&lt;0,-1,1)</f>
        <v>240946.49743184328</v>
      </c>
      <c r="V677" s="472">
        <f t="shared" si="48"/>
        <v>-3377544.2939835261</v>
      </c>
      <c r="W677" s="551"/>
      <c r="X677" s="551"/>
    </row>
    <row r="678" spans="1:24" x14ac:dyDescent="0.25">
      <c r="A678" s="545">
        <f t="shared" si="49"/>
        <v>3417185.198696814</v>
      </c>
      <c r="B678" s="3">
        <f t="shared" si="50"/>
        <v>20.099999999999952</v>
      </c>
      <c r="C678" s="545">
        <f>'Foglio deposito bis'!$E$155/sezione!$B$247*B678</f>
        <v>98.474455505721807</v>
      </c>
      <c r="D678" s="603">
        <f>-'Sollecitazioni nel paramento'!$G$47*'Sollecitazioni nel paramento'!$G$41*IF(DATI!$G$211="dx",DATI!$E$61,DATI!$E$64*DATI!$E$63)*1000*C678^2*sezione!$AD$5*(1-sezione!$AD$6)</f>
        <v>-215749998.47479209</v>
      </c>
      <c r="E678" s="545">
        <f>-'Foglio deposito bis'!$F$48*(C678-sezione!$AL$29)*IF(ABS(K678)&lt;'Sollecitazioni nel paramento'!$G$58,ABS(K678)*'Sollecitazioni nel paramento'!$G$54,'Sollecitazioni nel paramento'!$G$53)</f>
        <v>0</v>
      </c>
      <c r="F678" s="545">
        <f>-'Foglio deposito bis'!$F$49*(C678-sezione!$AM$29)*IF(ABS(L678)&lt;'Sollecitazioni nel paramento'!$G$58,ABS(L678)*'Sollecitazioni nel paramento'!$G$54,'Sollecitazioni nel paramento'!$G$53)</f>
        <v>-5674861.4603707083</v>
      </c>
      <c r="G678" s="545">
        <f>-'Foglio deposito bis'!$F$50*(C678-sezione!$AN$29)*IF(ABS(M678)&lt;'Sollecitazioni nel paramento'!$G$58,ABS(M678)*'Sollecitazioni nel paramento'!$G$54,'Sollecitazioni nel paramento'!$G$53)</f>
        <v>0</v>
      </c>
      <c r="H678" s="545">
        <f>-'Foglio deposito bis'!$F$51*(C678-sezione!$AO$29)*IF(ABS(N678)&lt;'Sollecitazioni nel paramento'!$G$58,ABS(N678)*'Sollecitazioni nel paramento'!$G$54,'Sollecitazioni nel paramento'!$G$53)</f>
        <v>14824364.448483361</v>
      </c>
      <c r="I678" s="472">
        <f>-'Foglio deposito bis'!$F$52*(C678-sezione!$AP$29)*IF(ABS(O678)&lt;'Sollecitazioni nel paramento'!$G$58,ABS(O678)*'Sollecitazioni nel paramento'!$G$54,'Sollecitazioni nel paramento'!$G$53)</f>
        <v>53870430.777597174</v>
      </c>
      <c r="J678" s="472">
        <f t="shared" si="47"/>
        <v>-152730064.70908231</v>
      </c>
      <c r="K678" s="550">
        <f>'Sollecitazioni nel paramento'!$G$60*(sezione!$AL$29-C678)/C678</f>
        <v>-2.078311509507505E-3</v>
      </c>
      <c r="L678" s="550">
        <f>'Sollecitazioni nel paramento'!$G$60*(sezione!$AM$29-C678)/C678</f>
        <v>-1.3674672642612574E-3</v>
      </c>
      <c r="M678" s="551">
        <f>'Sollecitazioni nel paramento'!$G$60*(sezione!$AN$29-C678)/C678</f>
        <v>-6.5662301901501E-4</v>
      </c>
      <c r="N678" s="551">
        <f>'Sollecitazioni nel paramento'!$G$60*(sezione!$AO$29-C678)/C678</f>
        <v>2.1867539619699798E-3</v>
      </c>
      <c r="O678" s="551">
        <f>'Sollecitazioni nel paramento'!$G$60*(sezione!$AP$29-C678)/C678</f>
        <v>7.9464707134876272E-3</v>
      </c>
      <c r="P678" s="545">
        <f>-'Sollecitazioni nel paramento'!$G$47*'Sollecitazioni nel paramento'!$G$41*IF(DATI!$G$211="dx",DATI!$E$61,DATI!$E$64*DATI!$E$63)*1000*C678*sezione!$AD$5</f>
        <v>-3751581.3314014827</v>
      </c>
      <c r="Q678" s="545">
        <f>'Foglio deposito bis'!$F$48*IF(ABS(K678)&lt;'Sollecitazioni nel paramento'!$G$58,ABS(K678)*'Sollecitazioni nel paramento'!$G$54,'Sollecitazioni nel paramento'!$G$53)*IF(K678&lt;0,-1,1)</f>
        <v>0</v>
      </c>
      <c r="R678" s="545">
        <f>'Foglio deposito bis'!$F$49*IF(ABS(L678)&lt;'Sollecitazioni nel paramento'!$G$58,ABS(L678)*'Sollecitazioni nel paramento'!$G$54,'Sollecitazioni nel paramento'!$G$53)*IF(L678&lt;0,-1,1)</f>
        <v>-147496.86215901768</v>
      </c>
      <c r="S678" s="545">
        <f>'Foglio deposito bis'!$F$50*IF(ABS(M678)&lt;'Sollecitazioni nel paramento'!$G$58,ABS(M678)*'Sollecitazioni nel paramento'!$G$54,'Sollecitazioni nel paramento'!$G$53)*IF(M678&lt;0,-1,1)</f>
        <v>0</v>
      </c>
      <c r="T678" s="545">
        <f>'Foglio deposito bis'!$F$51*IF(ABS(N678)&lt;'Sollecitazioni nel paramento'!$G$58,ABS(N678)*'Sollecitazioni nel paramento'!$G$54,'Sollecitazioni nel paramento'!$G$53)*IF(N678&lt;0,-1,1)</f>
        <v>240946.49743184328</v>
      </c>
      <c r="U678" s="545">
        <f>'Foglio deposito bis'!$F$52*IF(ABS(O678)&lt;'Sollecitazioni nel paramento'!$G$58,ABS(O678)*'Sollecitazioni nel paramento'!$G$54,'Sollecitazioni nel paramento'!$G$53)*IF(O678&lt;0,-1,1)</f>
        <v>240946.49743184328</v>
      </c>
      <c r="V678" s="472">
        <f t="shared" si="48"/>
        <v>-3417185.198696814</v>
      </c>
      <c r="W678" s="551"/>
      <c r="X678" s="551"/>
    </row>
    <row r="679" spans="1:24" x14ac:dyDescent="0.25">
      <c r="A679" s="545">
        <f t="shared" si="49"/>
        <v>3456780.55193746</v>
      </c>
      <c r="B679" s="3">
        <f t="shared" si="50"/>
        <v>20.299999999999951</v>
      </c>
      <c r="C679" s="545">
        <f>'Foglio deposito bis'!$E$155/sezione!$B$247*B679</f>
        <v>99.454300834136959</v>
      </c>
      <c r="D679" s="603">
        <f>-'Sollecitazioni nel paramento'!$G$47*'Sollecitazioni nel paramento'!$G$41*IF(DATI!$G$211="dx",DATI!$E$61,DATI!$E$64*DATI!$E$63)*1000*C679^2*sezione!$AD$5*(1-sezione!$AD$6)</f>
        <v>-220064891.64000171</v>
      </c>
      <c r="E679" s="545">
        <f>-'Foglio deposito bis'!$F$48*(C679-sezione!$AL$29)*IF(ABS(K679)&lt;'Sollecitazioni nel paramento'!$G$58,ABS(K679)*'Sollecitazioni nel paramento'!$G$54,'Sollecitazioni nel paramento'!$G$53)</f>
        <v>0</v>
      </c>
      <c r="F679" s="545">
        <f>-'Foglio deposito bis'!$F$49*(C679-sezione!$AM$29)*IF(ABS(L679)&lt;'Sollecitazioni nel paramento'!$G$58,ABS(L679)*'Sollecitazioni nel paramento'!$G$54,'Sollecitazioni nel paramento'!$G$53)</f>
        <v>-5908796.3465925362</v>
      </c>
      <c r="G679" s="545">
        <f>-'Foglio deposito bis'!$F$50*(C679-sezione!$AN$29)*IF(ABS(M679)&lt;'Sollecitazioni nel paramento'!$G$58,ABS(M679)*'Sollecitazioni nel paramento'!$G$54,'Sollecitazioni nel paramento'!$G$53)</f>
        <v>0</v>
      </c>
      <c r="H679" s="545">
        <f>-'Foglio deposito bis'!$F$51*(C679-sezione!$AO$29)*IF(ABS(N679)&lt;'Sollecitazioni nel paramento'!$G$58,ABS(N679)*'Sollecitazioni nel paramento'!$G$54,'Sollecitazioni nel paramento'!$G$53)</f>
        <v>14588274.148576774</v>
      </c>
      <c r="I679" s="472">
        <f>-'Foglio deposito bis'!$F$52*(C679-sezione!$AP$29)*IF(ABS(O679)&lt;'Sollecitazioni nel paramento'!$G$58,ABS(O679)*'Sollecitazioni nel paramento'!$G$54,'Sollecitazioni nel paramento'!$G$53)</f>
        <v>53634340.477690585</v>
      </c>
      <c r="J679" s="472">
        <f t="shared" si="47"/>
        <v>-157751073.36032692</v>
      </c>
      <c r="K679" s="550">
        <f>'Sollecitazioni nel paramento'!$G$60*(sezione!$AL$29-C679)/C679</f>
        <v>-2.0923182926650668E-3</v>
      </c>
      <c r="L679" s="550">
        <f>'Sollecitazioni nel paramento'!$G$60*(sezione!$AM$29-C679)/C679</f>
        <v>-1.3884774389975999E-3</v>
      </c>
      <c r="M679" s="551">
        <f>'Sollecitazioni nel paramento'!$G$60*(sezione!$AN$29-C679)/C679</f>
        <v>-6.8463658533013329E-4</v>
      </c>
      <c r="N679" s="551">
        <f>'Sollecitazioni nel paramento'!$G$60*(sezione!$AO$29-C679)/C679</f>
        <v>2.1307268293397335E-3</v>
      </c>
      <c r="O679" s="551">
        <f>'Sollecitazioni nel paramento'!$G$60*(sezione!$AP$29-C679)/C679</f>
        <v>7.8336976030099151E-3</v>
      </c>
      <c r="P679" s="545">
        <f>-'Sollecitazioni nel paramento'!$G$47*'Sollecitazioni nel paramento'!$G$41*IF(DATI!$G$211="dx",DATI!$E$61,DATI!$E$64*DATI!$E$63)*1000*C679*sezione!$AD$5</f>
        <v>-3788910.4988781153</v>
      </c>
      <c r="Q679" s="545">
        <f>'Foglio deposito bis'!$F$48*IF(ABS(K679)&lt;'Sollecitazioni nel paramento'!$G$58,ABS(K679)*'Sollecitazioni nel paramento'!$G$54,'Sollecitazioni nel paramento'!$G$53)*IF(K679&lt;0,-1,1)</f>
        <v>0</v>
      </c>
      <c r="R679" s="545">
        <f>'Foglio deposito bis'!$F$49*IF(ABS(L679)&lt;'Sollecitazioni nel paramento'!$G$58,ABS(L679)*'Sollecitazioni nel paramento'!$G$54,'Sollecitazioni nel paramento'!$G$53)*IF(L679&lt;0,-1,1)</f>
        <v>-149763.04792303103</v>
      </c>
      <c r="S679" s="545">
        <f>'Foglio deposito bis'!$F$50*IF(ABS(M679)&lt;'Sollecitazioni nel paramento'!$G$58,ABS(M679)*'Sollecitazioni nel paramento'!$G$54,'Sollecitazioni nel paramento'!$G$53)*IF(M679&lt;0,-1,1)</f>
        <v>0</v>
      </c>
      <c r="T679" s="545">
        <f>'Foglio deposito bis'!$F$51*IF(ABS(N679)&lt;'Sollecitazioni nel paramento'!$G$58,ABS(N679)*'Sollecitazioni nel paramento'!$G$54,'Sollecitazioni nel paramento'!$G$53)*IF(N679&lt;0,-1,1)</f>
        <v>240946.49743184328</v>
      </c>
      <c r="U679" s="545">
        <f>'Foglio deposito bis'!$F$52*IF(ABS(O679)&lt;'Sollecitazioni nel paramento'!$G$58,ABS(O679)*'Sollecitazioni nel paramento'!$G$54,'Sollecitazioni nel paramento'!$G$53)*IF(O679&lt;0,-1,1)</f>
        <v>240946.49743184328</v>
      </c>
      <c r="V679" s="472">
        <f t="shared" si="48"/>
        <v>-3456780.55193746</v>
      </c>
      <c r="W679" s="551"/>
      <c r="X679" s="551"/>
    </row>
    <row r="680" spans="1:24" x14ac:dyDescent="0.25">
      <c r="A680" s="545">
        <f t="shared" si="49"/>
        <v>3496331.6869192948</v>
      </c>
      <c r="B680" s="3">
        <f t="shared" si="50"/>
        <v>20.49999999999995</v>
      </c>
      <c r="C680" s="545">
        <f>'Foglio deposito bis'!$E$155/sezione!$B$247*B680</f>
        <v>100.4341461625521</v>
      </c>
      <c r="D680" s="603">
        <f>-'Sollecitazioni nel paramento'!$G$47*'Sollecitazioni nel paramento'!$G$41*IF(DATI!$G$211="dx",DATI!$E$61,DATI!$E$64*DATI!$E$63)*1000*C680^2*sezione!$AD$5*(1-sezione!$AD$6)</f>
        <v>-224422506.51971829</v>
      </c>
      <c r="E680" s="545">
        <f>-'Foglio deposito bis'!$F$48*(C680-sezione!$AL$29)*IF(ABS(K680)&lt;'Sollecitazioni nel paramento'!$G$58,ABS(K680)*'Sollecitazioni nel paramento'!$G$54,'Sollecitazioni nel paramento'!$G$53)</f>
        <v>0</v>
      </c>
      <c r="F680" s="545">
        <f>-'Foglio deposito bis'!$F$49*(C680-sezione!$AM$29)*IF(ABS(L680)&lt;'Sollecitazioni nel paramento'!$G$58,ABS(L680)*'Sollecitazioni nel paramento'!$G$54,'Sollecitazioni nel paramento'!$G$53)</f>
        <v>-6145384.3283429639</v>
      </c>
      <c r="G680" s="545">
        <f>-'Foglio deposito bis'!$F$50*(C680-sezione!$AN$29)*IF(ABS(M680)&lt;'Sollecitazioni nel paramento'!$G$58,ABS(M680)*'Sollecitazioni nel paramento'!$G$54,'Sollecitazioni nel paramento'!$G$53)</f>
        <v>0</v>
      </c>
      <c r="H680" s="545">
        <f>-'Foglio deposito bis'!$F$51*(C680-sezione!$AO$29)*IF(ABS(N680)&lt;'Sollecitazioni nel paramento'!$G$58,ABS(N680)*'Sollecitazioni nel paramento'!$G$54,'Sollecitazioni nel paramento'!$G$53)</f>
        <v>14352183.848670194</v>
      </c>
      <c r="I680" s="472">
        <f>-'Foglio deposito bis'!$F$52*(C680-sezione!$AP$29)*IF(ABS(O680)&lt;'Sollecitazioni nel paramento'!$G$58,ABS(O680)*'Sollecitazioni nel paramento'!$G$54,'Sollecitazioni nel paramento'!$G$53)</f>
        <v>53398250.177784011</v>
      </c>
      <c r="J680" s="472">
        <f t="shared" si="47"/>
        <v>-162817456.82160705</v>
      </c>
      <c r="K680" s="550">
        <f>'Sollecitazioni nel paramento'!$G$60*(sezione!$AL$29-C680)/C680</f>
        <v>-2.1060517727366271E-3</v>
      </c>
      <c r="L680" s="550">
        <f>'Sollecitazioni nel paramento'!$G$60*(sezione!$AM$29-C680)/C680</f>
        <v>-1.4090776591049402E-3</v>
      </c>
      <c r="M680" s="551">
        <f>'Sollecitazioni nel paramento'!$G$60*(sezione!$AN$29-C680)/C680</f>
        <v>-7.1210354547325387E-4</v>
      </c>
      <c r="N680" s="551">
        <f>'Sollecitazioni nel paramento'!$G$60*(sezione!$AO$29-C680)/C680</f>
        <v>2.0757929090534926E-3</v>
      </c>
      <c r="O680" s="551">
        <f>'Sollecitazioni nel paramento'!$G$60*(sezione!$AP$29-C680)/C680</f>
        <v>7.7231249434683551E-3</v>
      </c>
      <c r="P680" s="545">
        <f>-'Sollecitazioni nel paramento'!$G$47*'Sollecitazioni nel paramento'!$G$41*IF(DATI!$G$211="dx",DATI!$E$61,DATI!$E$64*DATI!$E$63)*1000*C680*sezione!$AD$5</f>
        <v>-3826239.6663547466</v>
      </c>
      <c r="Q680" s="545">
        <f>'Foglio deposito bis'!$F$48*IF(ABS(K680)&lt;'Sollecitazioni nel paramento'!$G$58,ABS(K680)*'Sollecitazioni nel paramento'!$G$54,'Sollecitazioni nel paramento'!$G$53)*IF(K680&lt;0,-1,1)</f>
        <v>0</v>
      </c>
      <c r="R680" s="545">
        <f>'Foglio deposito bis'!$F$49*IF(ABS(L680)&lt;'Sollecitazioni nel paramento'!$G$58,ABS(L680)*'Sollecitazioni nel paramento'!$G$54,'Sollecitazioni nel paramento'!$G$53)*IF(L680&lt;0,-1,1)</f>
        <v>-151985.01542823436</v>
      </c>
      <c r="S680" s="545">
        <f>'Foglio deposito bis'!$F$50*IF(ABS(M680)&lt;'Sollecitazioni nel paramento'!$G$58,ABS(M680)*'Sollecitazioni nel paramento'!$G$54,'Sollecitazioni nel paramento'!$G$53)*IF(M680&lt;0,-1,1)</f>
        <v>0</v>
      </c>
      <c r="T680" s="545">
        <f>'Foglio deposito bis'!$F$51*IF(ABS(N680)&lt;'Sollecitazioni nel paramento'!$G$58,ABS(N680)*'Sollecitazioni nel paramento'!$G$54,'Sollecitazioni nel paramento'!$G$53)*IF(N680&lt;0,-1,1)</f>
        <v>240946.49743184328</v>
      </c>
      <c r="U680" s="545">
        <f>'Foglio deposito bis'!$F$52*IF(ABS(O680)&lt;'Sollecitazioni nel paramento'!$G$58,ABS(O680)*'Sollecitazioni nel paramento'!$G$54,'Sollecitazioni nel paramento'!$G$53)*IF(O680&lt;0,-1,1)</f>
        <v>240946.49743184328</v>
      </c>
      <c r="V680" s="472">
        <f t="shared" si="48"/>
        <v>-3496331.6869192948</v>
      </c>
      <c r="W680" s="551"/>
      <c r="X680" s="551"/>
    </row>
    <row r="681" spans="1:24" x14ac:dyDescent="0.25">
      <c r="A681" s="545">
        <f t="shared" si="49"/>
        <v>3535839.8853309806</v>
      </c>
      <c r="B681" s="3">
        <f t="shared" si="50"/>
        <v>20.69999999999995</v>
      </c>
      <c r="C681" s="545">
        <f>'Foglio deposito bis'!$E$155/sezione!$B$247*B681</f>
        <v>101.41399149096723</v>
      </c>
      <c r="D681" s="603">
        <f>-'Sollecitazioni nel paramento'!$G$47*'Sollecitazioni nel paramento'!$G$41*IF(DATI!$G$211="dx",DATI!$E$61,DATI!$E$64*DATI!$E$63)*1000*C681^2*sezione!$AD$5*(1-sezione!$AD$6)</f>
        <v>-228822843.11394191</v>
      </c>
      <c r="E681" s="545">
        <f>-'Foglio deposito bis'!$F$48*(C681-sezione!$AL$29)*IF(ABS(K681)&lt;'Sollecitazioni nel paramento'!$G$58,ABS(K681)*'Sollecitazioni nel paramento'!$G$54,'Sollecitazioni nel paramento'!$G$53)</f>
        <v>0</v>
      </c>
      <c r="F681" s="545">
        <f>-'Foglio deposito bis'!$F$49*(C681-sezione!$AM$29)*IF(ABS(L681)&lt;'Sollecitazioni nel paramento'!$G$58,ABS(L681)*'Sollecitazioni nel paramento'!$G$54,'Sollecitazioni nel paramento'!$G$53)</f>
        <v>-6384548.5043023229</v>
      </c>
      <c r="G681" s="545">
        <f>-'Foglio deposito bis'!$F$50*(C681-sezione!$AN$29)*IF(ABS(M681)&lt;'Sollecitazioni nel paramento'!$G$58,ABS(M681)*'Sollecitazioni nel paramento'!$G$54,'Sollecitazioni nel paramento'!$G$53)</f>
        <v>0</v>
      </c>
      <c r="H681" s="545">
        <f>-'Foglio deposito bis'!$F$51*(C681-sezione!$AO$29)*IF(ABS(N681)&lt;'Sollecitazioni nel paramento'!$G$58,ABS(N681)*'Sollecitazioni nel paramento'!$G$54,'Sollecitazioni nel paramento'!$G$53)</f>
        <v>14116093.54876361</v>
      </c>
      <c r="I681" s="472">
        <f>-'Foglio deposito bis'!$F$52*(C681-sezione!$AP$29)*IF(ABS(O681)&lt;'Sollecitazioni nel paramento'!$G$58,ABS(O681)*'Sollecitazioni nel paramento'!$G$54,'Sollecitazioni nel paramento'!$G$53)</f>
        <v>53162159.877877422</v>
      </c>
      <c r="J681" s="472">
        <f t="shared" si="47"/>
        <v>-167929138.19160321</v>
      </c>
      <c r="K681" s="550">
        <f>'Sollecitazioni nel paramento'!$G$60*(sezione!$AL$29-C681)/C681</f>
        <v>-2.1195198715507658E-3</v>
      </c>
      <c r="L681" s="550">
        <f>'Sollecitazioni nel paramento'!$G$60*(sezione!$AM$29-C681)/C681</f>
        <v>-1.4292798073261485E-3</v>
      </c>
      <c r="M681" s="551">
        <f>'Sollecitazioni nel paramento'!$G$60*(sezione!$AN$29-C681)/C681</f>
        <v>-7.3903974310153152E-4</v>
      </c>
      <c r="N681" s="551">
        <f>'Sollecitazioni nel paramento'!$G$60*(sezione!$AO$29-C681)/C681</f>
        <v>2.0219205137969373E-3</v>
      </c>
      <c r="O681" s="551">
        <f>'Sollecitazioni nel paramento'!$G$60*(sezione!$AP$29-C681)/C681</f>
        <v>7.614688953676391E-3</v>
      </c>
      <c r="P681" s="545">
        <f>-'Sollecitazioni nel paramento'!$G$47*'Sollecitazioni nel paramento'!$G$41*IF(DATI!$G$211="dx",DATI!$E$61,DATI!$E$64*DATI!$E$63)*1000*C681*sezione!$AD$5</f>
        <v>-3863568.8338313778</v>
      </c>
      <c r="Q681" s="545">
        <f>'Foglio deposito bis'!$F$48*IF(ABS(K681)&lt;'Sollecitazioni nel paramento'!$G$58,ABS(K681)*'Sollecitazioni nel paramento'!$G$54,'Sollecitazioni nel paramento'!$G$53)*IF(K681&lt;0,-1,1)</f>
        <v>0</v>
      </c>
      <c r="R681" s="545">
        <f>'Foglio deposito bis'!$F$49*IF(ABS(L681)&lt;'Sollecitazioni nel paramento'!$G$58,ABS(L681)*'Sollecitazioni nel paramento'!$G$54,'Sollecitazioni nel paramento'!$G$53)*IF(L681&lt;0,-1,1)</f>
        <v>-154164.04636328883</v>
      </c>
      <c r="S681" s="545">
        <f>'Foglio deposito bis'!$F$50*IF(ABS(M681)&lt;'Sollecitazioni nel paramento'!$G$58,ABS(M681)*'Sollecitazioni nel paramento'!$G$54,'Sollecitazioni nel paramento'!$G$53)*IF(M681&lt;0,-1,1)</f>
        <v>0</v>
      </c>
      <c r="T681" s="545">
        <f>'Foglio deposito bis'!$F$51*IF(ABS(N681)&lt;'Sollecitazioni nel paramento'!$G$58,ABS(N681)*'Sollecitazioni nel paramento'!$G$54,'Sollecitazioni nel paramento'!$G$53)*IF(N681&lt;0,-1,1)</f>
        <v>240946.49743184328</v>
      </c>
      <c r="U681" s="545">
        <f>'Foglio deposito bis'!$F$52*IF(ABS(O681)&lt;'Sollecitazioni nel paramento'!$G$58,ABS(O681)*'Sollecitazioni nel paramento'!$G$54,'Sollecitazioni nel paramento'!$G$53)*IF(O681&lt;0,-1,1)</f>
        <v>240946.49743184328</v>
      </c>
      <c r="V681" s="472">
        <f t="shared" si="48"/>
        <v>-3535839.8853309806</v>
      </c>
      <c r="W681" s="551"/>
      <c r="X681" s="551"/>
    </row>
    <row r="682" spans="1:24" x14ac:dyDescent="0.25">
      <c r="A682" s="545">
        <f t="shared" si="49"/>
        <v>3575306.379801326</v>
      </c>
      <c r="B682" s="3">
        <f t="shared" si="50"/>
        <v>20.899999999999949</v>
      </c>
      <c r="C682" s="545">
        <f>'Foglio deposito bis'!$E$155/sezione!$B$247*B682</f>
        <v>102.39383681938237</v>
      </c>
      <c r="D682" s="603">
        <f>-'Sollecitazioni nel paramento'!$G$47*'Sollecitazioni nel paramento'!$G$41*IF(DATI!$G$211="dx",DATI!$E$61,DATI!$E$64*DATI!$E$63)*1000*C682^2*sezione!$AD$5*(1-sezione!$AD$6)</f>
        <v>-233265901.42267254</v>
      </c>
      <c r="E682" s="545">
        <f>-'Foglio deposito bis'!$F$48*(C682-sezione!$AL$29)*IF(ABS(K682)&lt;'Sollecitazioni nel paramento'!$G$58,ABS(K682)*'Sollecitazioni nel paramento'!$G$54,'Sollecitazioni nel paramento'!$G$53)</f>
        <v>0</v>
      </c>
      <c r="F682" s="545">
        <f>-'Foglio deposito bis'!$F$49*(C682-sezione!$AM$29)*IF(ABS(L682)&lt;'Sollecitazioni nel paramento'!$G$58,ABS(L682)*'Sollecitazioni nel paramento'!$G$54,'Sollecitazioni nel paramento'!$G$53)</f>
        <v>-6626214.9167421274</v>
      </c>
      <c r="G682" s="545">
        <f>-'Foglio deposito bis'!$F$50*(C682-sezione!$AN$29)*IF(ABS(M682)&lt;'Sollecitazioni nel paramento'!$G$58,ABS(M682)*'Sollecitazioni nel paramento'!$G$54,'Sollecitazioni nel paramento'!$G$53)</f>
        <v>0</v>
      </c>
      <c r="H682" s="545">
        <f>-'Foglio deposito bis'!$F$51*(C682-sezione!$AO$29)*IF(ABS(N682)&lt;'Sollecitazioni nel paramento'!$G$58,ABS(N682)*'Sollecitazioni nel paramento'!$G$54,'Sollecitazioni nel paramento'!$G$53)</f>
        <v>13880003.248857031</v>
      </c>
      <c r="I682" s="472">
        <f>-'Foglio deposito bis'!$F$52*(C682-sezione!$AP$29)*IF(ABS(O682)&lt;'Sollecitazioni nel paramento'!$G$58,ABS(O682)*'Sollecitazioni nel paramento'!$G$54,'Sollecitazioni nel paramento'!$G$53)</f>
        <v>52926069.57797084</v>
      </c>
      <c r="J682" s="472">
        <f t="shared" si="47"/>
        <v>-173086043.5125868</v>
      </c>
      <c r="K682" s="550">
        <f>'Sollecitazioni nel paramento'!$G$60*(sezione!$AL$29-C682)/C682</f>
        <v>-2.1327302077081747E-3</v>
      </c>
      <c r="L682" s="550">
        <f>'Sollecitazioni nel paramento'!$G$60*(sezione!$AM$29-C682)/C682</f>
        <v>-1.449095311562262E-3</v>
      </c>
      <c r="M682" s="551">
        <f>'Sollecitazioni nel paramento'!$G$60*(sezione!$AN$29-C682)/C682</f>
        <v>-7.6546041541634914E-4</v>
      </c>
      <c r="N682" s="551">
        <f>'Sollecitazioni nel paramento'!$G$60*(sezione!$AO$29-C682)/C682</f>
        <v>1.9690791691673016E-3</v>
      </c>
      <c r="O682" s="551">
        <f>'Sollecitazioni nel paramento'!$G$60*(sezione!$AP$29-C682)/C682</f>
        <v>7.5083282938325979E-3</v>
      </c>
      <c r="P682" s="545">
        <f>-'Sollecitazioni nel paramento'!$G$47*'Sollecitazioni nel paramento'!$G$41*IF(DATI!$G$211="dx",DATI!$E$61,DATI!$E$64*DATI!$E$63)*1000*C682*sezione!$AD$5</f>
        <v>-3900898.0013080095</v>
      </c>
      <c r="Q682" s="545">
        <f>'Foglio deposito bis'!$F$48*IF(ABS(K682)&lt;'Sollecitazioni nel paramento'!$G$58,ABS(K682)*'Sollecitazioni nel paramento'!$G$54,'Sollecitazioni nel paramento'!$G$53)*IF(K682&lt;0,-1,1)</f>
        <v>0</v>
      </c>
      <c r="R682" s="545">
        <f>'Foglio deposito bis'!$F$49*IF(ABS(L682)&lt;'Sollecitazioni nel paramento'!$G$58,ABS(L682)*'Sollecitazioni nel paramento'!$G$54,'Sollecitazioni nel paramento'!$G$53)*IF(L682&lt;0,-1,1)</f>
        <v>-156301.37335700257</v>
      </c>
      <c r="S682" s="545">
        <f>'Foglio deposito bis'!$F$50*IF(ABS(M682)&lt;'Sollecitazioni nel paramento'!$G$58,ABS(M682)*'Sollecitazioni nel paramento'!$G$54,'Sollecitazioni nel paramento'!$G$53)*IF(M682&lt;0,-1,1)</f>
        <v>0</v>
      </c>
      <c r="T682" s="545">
        <f>'Foglio deposito bis'!$F$51*IF(ABS(N682)&lt;'Sollecitazioni nel paramento'!$G$58,ABS(N682)*'Sollecitazioni nel paramento'!$G$54,'Sollecitazioni nel paramento'!$G$53)*IF(N682&lt;0,-1,1)</f>
        <v>240946.49743184328</v>
      </c>
      <c r="U682" s="545">
        <f>'Foglio deposito bis'!$F$52*IF(ABS(O682)&lt;'Sollecitazioni nel paramento'!$G$58,ABS(O682)*'Sollecitazioni nel paramento'!$G$54,'Sollecitazioni nel paramento'!$G$53)*IF(O682&lt;0,-1,1)</f>
        <v>240946.49743184328</v>
      </c>
      <c r="V682" s="472">
        <f t="shared" si="48"/>
        <v>-3575306.379801326</v>
      </c>
      <c r="W682" s="551"/>
      <c r="X682" s="551"/>
    </row>
    <row r="683" spans="1:24" x14ac:dyDescent="0.25">
      <c r="A683" s="545">
        <f t="shared" si="49"/>
        <v>3614732.3562243977</v>
      </c>
      <c r="B683" s="3">
        <f t="shared" si="50"/>
        <v>21.099999999999948</v>
      </c>
      <c r="C683" s="545">
        <f>'Foglio deposito bis'!$E$155/sezione!$B$247*B683</f>
        <v>103.37368214779752</v>
      </c>
      <c r="D683" s="603">
        <f>-'Sollecitazioni nel paramento'!$G$47*'Sollecitazioni nel paramento'!$G$41*IF(DATI!$G$211="dx",DATI!$E$61,DATI!$E$64*DATI!$E$63)*1000*C683^2*sezione!$AD$5*(1-sezione!$AD$6)</f>
        <v>-237751681.44591025</v>
      </c>
      <c r="E683" s="545">
        <f>-'Foglio deposito bis'!$F$48*(C683-sezione!$AL$29)*IF(ABS(K683)&lt;'Sollecitazioni nel paramento'!$G$58,ABS(K683)*'Sollecitazioni nel paramento'!$G$54,'Sollecitazioni nel paramento'!$G$53)</f>
        <v>0</v>
      </c>
      <c r="F683" s="545">
        <f>-'Foglio deposito bis'!$F$49*(C683-sezione!$AM$29)*IF(ABS(L683)&lt;'Sollecitazioni nel paramento'!$G$58,ABS(L683)*'Sollecitazioni nel paramento'!$G$54,'Sollecitazioni nel paramento'!$G$53)</f>
        <v>-6870312.4120183857</v>
      </c>
      <c r="G683" s="545">
        <f>-'Foglio deposito bis'!$F$50*(C683-sezione!$AN$29)*IF(ABS(M683)&lt;'Sollecitazioni nel paramento'!$G$58,ABS(M683)*'Sollecitazioni nel paramento'!$G$54,'Sollecitazioni nel paramento'!$G$53)</f>
        <v>0</v>
      </c>
      <c r="H683" s="545">
        <f>-'Foglio deposito bis'!$F$51*(C683-sezione!$AO$29)*IF(ABS(N683)&lt;'Sollecitazioni nel paramento'!$G$58,ABS(N683)*'Sollecitazioni nel paramento'!$G$54,'Sollecitazioni nel paramento'!$G$53)</f>
        <v>13643912.948950445</v>
      </c>
      <c r="I683" s="472">
        <f>-'Foglio deposito bis'!$F$52*(C683-sezione!$AP$29)*IF(ABS(O683)&lt;'Sollecitazioni nel paramento'!$G$58,ABS(O683)*'Sollecitazioni nel paramento'!$G$54,'Sollecitazioni nel paramento'!$G$53)</f>
        <v>52689979.278064266</v>
      </c>
      <c r="J683" s="472">
        <f t="shared" si="47"/>
        <v>-178288101.63091391</v>
      </c>
      <c r="K683" s="550">
        <f>'Sollecitazioni nel paramento'!$G$60*(sezione!$AL$29-C683)/C683</f>
        <v>-2.1456901109526468E-3</v>
      </c>
      <c r="L683" s="550">
        <f>'Sollecitazioni nel paramento'!$G$60*(sezione!$AM$29-C683)/C683</f>
        <v>-1.4685351664289706E-3</v>
      </c>
      <c r="M683" s="551">
        <f>'Sollecitazioni nel paramento'!$G$60*(sezione!$AN$29-C683)/C683</f>
        <v>-7.91380221905294E-4</v>
      </c>
      <c r="N683" s="551">
        <f>'Sollecitazioni nel paramento'!$G$60*(sezione!$AO$29-C683)/C683</f>
        <v>1.9172395561894121E-3</v>
      </c>
      <c r="O683" s="551">
        <f>'Sollecitazioni nel paramento'!$G$60*(sezione!$AP$29-C683)/C683</f>
        <v>7.4039839498152267E-3</v>
      </c>
      <c r="P683" s="545">
        <f>-'Sollecitazioni nel paramento'!$G$47*'Sollecitazioni nel paramento'!$G$41*IF(DATI!$G$211="dx",DATI!$E$61,DATI!$E$64*DATI!$E$63)*1000*C683*sezione!$AD$5</f>
        <v>-3938227.1687846417</v>
      </c>
      <c r="Q683" s="545">
        <f>'Foglio deposito bis'!$F$48*IF(ABS(K683)&lt;'Sollecitazioni nel paramento'!$G$58,ABS(K683)*'Sollecitazioni nel paramento'!$G$54,'Sollecitazioni nel paramento'!$G$53)*IF(K683&lt;0,-1,1)</f>
        <v>0</v>
      </c>
      <c r="R683" s="545">
        <f>'Foglio deposito bis'!$F$49*IF(ABS(L683)&lt;'Sollecitazioni nel paramento'!$G$58,ABS(L683)*'Sollecitazioni nel paramento'!$G$54,'Sollecitazioni nel paramento'!$G$53)*IF(L683&lt;0,-1,1)</f>
        <v>-158398.18230344212</v>
      </c>
      <c r="S683" s="545">
        <f>'Foglio deposito bis'!$F$50*IF(ABS(M683)&lt;'Sollecitazioni nel paramento'!$G$58,ABS(M683)*'Sollecitazioni nel paramento'!$G$54,'Sollecitazioni nel paramento'!$G$53)*IF(M683&lt;0,-1,1)</f>
        <v>0</v>
      </c>
      <c r="T683" s="545">
        <f>'Foglio deposito bis'!$F$51*IF(ABS(N683)&lt;'Sollecitazioni nel paramento'!$G$58,ABS(N683)*'Sollecitazioni nel paramento'!$G$54,'Sollecitazioni nel paramento'!$G$53)*IF(N683&lt;0,-1,1)</f>
        <v>240946.49743184328</v>
      </c>
      <c r="U683" s="545">
        <f>'Foglio deposito bis'!$F$52*IF(ABS(O683)&lt;'Sollecitazioni nel paramento'!$G$58,ABS(O683)*'Sollecitazioni nel paramento'!$G$54,'Sollecitazioni nel paramento'!$G$53)*IF(O683&lt;0,-1,1)</f>
        <v>240946.49743184328</v>
      </c>
      <c r="V683" s="472">
        <f t="shared" si="48"/>
        <v>-3614732.3562243977</v>
      </c>
      <c r="W683" s="551"/>
      <c r="X683" s="551"/>
    </row>
    <row r="684" spans="1:24" x14ac:dyDescent="0.25">
      <c r="A684" s="545">
        <f t="shared" si="49"/>
        <v>3658325.4149087681</v>
      </c>
      <c r="B684" s="3">
        <f t="shared" si="50"/>
        <v>21.299999999999947</v>
      </c>
      <c r="C684" s="545">
        <f>'Foglio deposito bis'!$E$155/sezione!$B$247*B684</f>
        <v>104.35352747621266</v>
      </c>
      <c r="D684" s="603">
        <f>-'Sollecitazioni nel paramento'!$G$47*'Sollecitazioni nel paramento'!$G$41*IF(DATI!$G$211="dx",DATI!$E$61,DATI!$E$64*DATI!$E$63)*1000*C684^2*sezione!$AD$5*(1-sezione!$AD$6)</f>
        <v>-242280183.18365493</v>
      </c>
      <c r="E684" s="545">
        <f>-'Foglio deposito bis'!$F$48*(C684-sezione!$AL$29)*IF(ABS(K684)&lt;'Sollecitazioni nel paramento'!$G$58,ABS(K684)*'Sollecitazioni nel paramento'!$G$54,'Sollecitazioni nel paramento'!$G$53)</f>
        <v>0</v>
      </c>
      <c r="F684" s="545">
        <f>-'Foglio deposito bis'!$F$49*(C684-sezione!$AM$29)*IF(ABS(L684)&lt;'Sollecitazioni nel paramento'!$G$58,ABS(L684)*'Sollecitazioni nel paramento'!$G$54,'Sollecitazioni nel paramento'!$G$53)</f>
        <v>-7116772.5089244321</v>
      </c>
      <c r="G684" s="545">
        <f>-'Foglio deposito bis'!$F$50*(C684-sezione!$AN$29)*IF(ABS(M684)&lt;'Sollecitazioni nel paramento'!$G$58,ABS(M684)*'Sollecitazioni nel paramento'!$G$54,'Sollecitazioni nel paramento'!$G$53)</f>
        <v>0</v>
      </c>
      <c r="H684" s="545">
        <f>-'Foglio deposito bis'!$F$51*(C684-sezione!$AO$29)*IF(ABS(N684)&lt;'Sollecitazioni nel paramento'!$G$58,ABS(N684)*'Sollecitazioni nel paramento'!$G$54,'Sollecitazioni nel paramento'!$G$53)</f>
        <v>13173748.046374798</v>
      </c>
      <c r="I684" s="472">
        <f>-'Foglio deposito bis'!$F$52*(C684-sezione!$AP$29)*IF(ABS(O684)&lt;'Sollecitazioni nel paramento'!$G$58,ABS(O684)*'Sollecitazioni nel paramento'!$G$54,'Sollecitazioni nel paramento'!$G$53)</f>
        <v>52453888.978157677</v>
      </c>
      <c r="J684" s="472">
        <f t="shared" si="47"/>
        <v>-183769318.66804689</v>
      </c>
      <c r="K684" s="550">
        <f>'Sollecitazioni nel paramento'!$G$60*(sezione!$AL$29-C684)/C684</f>
        <v>-2.1584066357324344E-3</v>
      </c>
      <c r="L684" s="550">
        <f>'Sollecitazioni nel paramento'!$G$60*(sezione!$AM$29-C684)/C684</f>
        <v>-1.4876099535986514E-3</v>
      </c>
      <c r="M684" s="551">
        <f>'Sollecitazioni nel paramento'!$G$60*(sezione!$AN$29-C684)/C684</f>
        <v>-8.168132714648686E-4</v>
      </c>
      <c r="N684" s="551">
        <f>'Sollecitazioni nel paramento'!$G$60*(sezione!$AO$29-C684)/C684</f>
        <v>1.8663734570702629E-3</v>
      </c>
      <c r="O684" s="551">
        <f>'Sollecitazioni nel paramento'!$G$60*(sezione!$AP$29-C684)/C684</f>
        <v>7.3015991239953667E-3</v>
      </c>
      <c r="P684" s="545">
        <f>-'Sollecitazioni nel paramento'!$G$47*'Sollecitazioni nel paramento'!$G$41*IF(DATI!$G$211="dx",DATI!$E$61,DATI!$E$64*DATI!$E$63)*1000*C684*sezione!$AD$5</f>
        <v>-3975556.3362612729</v>
      </c>
      <c r="Q684" s="545">
        <f>'Foglio deposito bis'!$F$48*IF(ABS(K684)&lt;'Sollecitazioni nel paramento'!$G$58,ABS(K684)*'Sollecitazioni nel paramento'!$G$54,'Sollecitazioni nel paramento'!$G$53)*IF(K684&lt;0,-1,1)</f>
        <v>0</v>
      </c>
      <c r="R684" s="545">
        <f>'Foglio deposito bis'!$F$49*IF(ABS(L684)&lt;'Sollecitazioni nel paramento'!$G$58,ABS(L684)*'Sollecitazioni nel paramento'!$G$54,'Sollecitazioni nel paramento'!$G$53)*IF(L684&lt;0,-1,1)</f>
        <v>-160455.61455605179</v>
      </c>
      <c r="S684" s="545">
        <f>'Foglio deposito bis'!$F$50*IF(ABS(M684)&lt;'Sollecitazioni nel paramento'!$G$58,ABS(M684)*'Sollecitazioni nel paramento'!$G$54,'Sollecitazioni nel paramento'!$G$53)*IF(M684&lt;0,-1,1)</f>
        <v>0</v>
      </c>
      <c r="T684" s="545">
        <f>'Foglio deposito bis'!$F$51*IF(ABS(N684)&lt;'Sollecitazioni nel paramento'!$G$58,ABS(N684)*'Sollecitazioni nel paramento'!$G$54,'Sollecitazioni nel paramento'!$G$53)*IF(N684&lt;0,-1,1)</f>
        <v>236740.03847671358</v>
      </c>
      <c r="U684" s="545">
        <f>'Foglio deposito bis'!$F$52*IF(ABS(O684)&lt;'Sollecitazioni nel paramento'!$G$58,ABS(O684)*'Sollecitazioni nel paramento'!$G$54,'Sollecitazioni nel paramento'!$G$53)*IF(O684&lt;0,-1,1)</f>
        <v>240946.49743184328</v>
      </c>
      <c r="V684" s="472">
        <f t="shared" si="48"/>
        <v>-3658325.4149087681</v>
      </c>
      <c r="W684" s="551"/>
      <c r="X684" s="551"/>
    </row>
    <row r="685" spans="1:24" x14ac:dyDescent="0.25">
      <c r="A685" s="545">
        <f t="shared" si="49"/>
        <v>3704005.8051627181</v>
      </c>
      <c r="B685" s="3">
        <f t="shared" si="50"/>
        <v>21.499999999999947</v>
      </c>
      <c r="C685" s="545">
        <f>'Foglio deposito bis'!$E$155/sezione!$B$247*B685</f>
        <v>105.3333728046278</v>
      </c>
      <c r="D685" s="603">
        <f>-'Sollecitazioni nel paramento'!$G$47*'Sollecitazioni nel paramento'!$G$41*IF(DATI!$G$211="dx",DATI!$E$61,DATI!$E$64*DATI!$E$63)*1000*C685^2*sezione!$AD$5*(1-sezione!$AD$6)</f>
        <v>-246851406.63590667</v>
      </c>
      <c r="E685" s="545">
        <f>-'Foglio deposito bis'!$F$48*(C685-sezione!$AL$29)*IF(ABS(K685)&lt;'Sollecitazioni nel paramento'!$G$58,ABS(K685)*'Sollecitazioni nel paramento'!$G$54,'Sollecitazioni nel paramento'!$G$53)</f>
        <v>0</v>
      </c>
      <c r="F685" s="545">
        <f>-'Foglio deposito bis'!$F$49*(C685-sezione!$AM$29)*IF(ABS(L685)&lt;'Sollecitazioni nel paramento'!$G$58,ABS(L685)*'Sollecitazioni nel paramento'!$G$54,'Sollecitazioni nel paramento'!$G$53)</f>
        <v>-7365529.2743915301</v>
      </c>
      <c r="G685" s="545">
        <f>-'Foglio deposito bis'!$F$50*(C685-sezione!$AN$29)*IF(ABS(M685)&lt;'Sollecitazioni nel paramento'!$G$58,ABS(M685)*'Sollecitazioni nel paramento'!$G$54,'Sollecitazioni nel paramento'!$G$53)</f>
        <v>0</v>
      </c>
      <c r="H685" s="545">
        <f>-'Foglio deposito bis'!$F$51*(C685-sezione!$AO$29)*IF(ABS(N685)&lt;'Sollecitazioni nel paramento'!$G$58,ABS(N685)*'Sollecitazioni nel paramento'!$G$54,'Sollecitazioni nel paramento'!$G$53)</f>
        <v>12595626.606630916</v>
      </c>
      <c r="I685" s="472">
        <f>-'Foglio deposito bis'!$F$52*(C685-sezione!$AP$29)*IF(ABS(O685)&lt;'Sollecitazioni nel paramento'!$G$58,ABS(O685)*'Sollecitazioni nel paramento'!$G$54,'Sollecitazioni nel paramento'!$G$53)</f>
        <v>52217798.678251095</v>
      </c>
      <c r="J685" s="472">
        <f t="shared" si="47"/>
        <v>-189403510.62541619</v>
      </c>
      <c r="K685" s="550">
        <f>'Sollecitazioni nel paramento'!$G$60*(sezione!$AL$29-C685)/C685</f>
        <v>-2.1708865740046909E-3</v>
      </c>
      <c r="L685" s="550">
        <f>'Sollecitazioni nel paramento'!$G$60*(sezione!$AM$29-C685)/C685</f>
        <v>-1.5063298610070359E-3</v>
      </c>
      <c r="M685" s="551">
        <f>'Sollecitazioni nel paramento'!$G$60*(sezione!$AN$29-C685)/C685</f>
        <v>-8.4177314800938142E-4</v>
      </c>
      <c r="N685" s="551">
        <f>'Sollecitazioni nel paramento'!$G$60*(sezione!$AO$29-C685)/C685</f>
        <v>1.8164537039812374E-3</v>
      </c>
      <c r="O685" s="551">
        <f>'Sollecitazioni nel paramento'!$G$60*(sezione!$AP$29-C685)/C685</f>
        <v>7.2011191321442467E-3</v>
      </c>
      <c r="P685" s="545">
        <f>-'Sollecitazioni nel paramento'!$G$47*'Sollecitazioni nel paramento'!$G$41*IF(DATI!$G$211="dx",DATI!$E$61,DATI!$E$64*DATI!$E$63)*1000*C685*sezione!$AD$5</f>
        <v>-4012885.5037379046</v>
      </c>
      <c r="Q685" s="545">
        <f>'Foglio deposito bis'!$F$48*IF(ABS(K685)&lt;'Sollecitazioni nel paramento'!$G$58,ABS(K685)*'Sollecitazioni nel paramento'!$G$54,'Sollecitazioni nel paramento'!$G$53)*IF(K685&lt;0,-1,1)</f>
        <v>0</v>
      </c>
      <c r="R685" s="545">
        <f>'Foglio deposito bis'!$F$49*IF(ABS(L685)&lt;'Sollecitazioni nel paramento'!$G$58,ABS(L685)*'Sollecitazioni nel paramento'!$G$54,'Sollecitazioni nel paramento'!$G$53)*IF(L685&lt;0,-1,1)</f>
        <v>-162474.76899931056</v>
      </c>
      <c r="S685" s="545">
        <f>'Foglio deposito bis'!$F$50*IF(ABS(M685)&lt;'Sollecitazioni nel paramento'!$G$58,ABS(M685)*'Sollecitazioni nel paramento'!$G$54,'Sollecitazioni nel paramento'!$G$53)*IF(M685&lt;0,-1,1)</f>
        <v>0</v>
      </c>
      <c r="T685" s="545">
        <f>'Foglio deposito bis'!$F$51*IF(ABS(N685)&lt;'Sollecitazioni nel paramento'!$G$58,ABS(N685)*'Sollecitazioni nel paramento'!$G$54,'Sollecitazioni nel paramento'!$G$53)*IF(N685&lt;0,-1,1)</f>
        <v>230407.970142654</v>
      </c>
      <c r="U685" s="545">
        <f>'Foglio deposito bis'!$F$52*IF(ABS(O685)&lt;'Sollecitazioni nel paramento'!$G$58,ABS(O685)*'Sollecitazioni nel paramento'!$G$54,'Sollecitazioni nel paramento'!$G$53)*IF(O685&lt;0,-1,1)</f>
        <v>240946.49743184328</v>
      </c>
      <c r="V685" s="472">
        <f t="shared" si="48"/>
        <v>-3704005.8051627181</v>
      </c>
      <c r="W685" s="551"/>
      <c r="X685" s="551"/>
    </row>
    <row r="686" spans="1:24" x14ac:dyDescent="0.25">
      <c r="A686" s="545">
        <f t="shared" si="49"/>
        <v>3749532.2558263023</v>
      </c>
      <c r="B686" s="3">
        <f t="shared" si="50"/>
        <v>21.699999999999946</v>
      </c>
      <c r="C686" s="545">
        <f>'Foglio deposito bis'!$E$155/sezione!$B$247*B686</f>
        <v>106.31321813304294</v>
      </c>
      <c r="D686" s="603">
        <f>-'Sollecitazioni nel paramento'!$G$47*'Sollecitazioni nel paramento'!$G$41*IF(DATI!$G$211="dx",DATI!$E$61,DATI!$E$64*DATI!$E$63)*1000*C686^2*sezione!$AD$5*(1-sezione!$AD$6)</f>
        <v>-251465351.80266538</v>
      </c>
      <c r="E686" s="545">
        <f>-'Foglio deposito bis'!$F$48*(C686-sezione!$AL$29)*IF(ABS(K686)&lt;'Sollecitazioni nel paramento'!$G$58,ABS(K686)*'Sollecitazioni nel paramento'!$G$54,'Sollecitazioni nel paramento'!$G$53)</f>
        <v>0</v>
      </c>
      <c r="F686" s="545">
        <f>-'Foglio deposito bis'!$F$49*(C686-sezione!$AM$29)*IF(ABS(L686)&lt;'Sollecitazioni nel paramento'!$G$58,ABS(L686)*'Sollecitazioni nel paramento'!$G$54,'Sollecitazioni nel paramento'!$G$53)</f>
        <v>-7616519.2060631569</v>
      </c>
      <c r="G686" s="545">
        <f>-'Foglio deposito bis'!$F$50*(C686-sezione!$AN$29)*IF(ABS(M686)&lt;'Sollecitazioni nel paramento'!$G$58,ABS(M686)*'Sollecitazioni nel paramento'!$G$54,'Sollecitazioni nel paramento'!$G$53)</f>
        <v>0</v>
      </c>
      <c r="H686" s="545">
        <f>-'Foglio deposito bis'!$F$51*(C686-sezione!$AO$29)*IF(ABS(N686)&lt;'Sollecitazioni nel paramento'!$G$58,ABS(N686)*'Sollecitazioni nel paramento'!$G$54,'Sollecitazioni nel paramento'!$G$53)</f>
        <v>12036180.391466742</v>
      </c>
      <c r="I686" s="472">
        <f>-'Foglio deposito bis'!$F$52*(C686-sezione!$AP$29)*IF(ABS(O686)&lt;'Sollecitazioni nel paramento'!$G$58,ABS(O686)*'Sollecitazioni nel paramento'!$G$54,'Sollecitazioni nel paramento'!$G$53)</f>
        <v>51981708.378344506</v>
      </c>
      <c r="J686" s="472">
        <f t="shared" si="47"/>
        <v>-195063982.23891729</v>
      </c>
      <c r="K686" s="550">
        <f>'Sollecitazioni nel paramento'!$G$60*(sezione!$AL$29-C686)/C686</f>
        <v>-2.1831364673318364E-3</v>
      </c>
      <c r="L686" s="550">
        <f>'Sollecitazioni nel paramento'!$G$60*(sezione!$AM$29-C686)/C686</f>
        <v>-1.5247047009977546E-3</v>
      </c>
      <c r="M686" s="551">
        <f>'Sollecitazioni nel paramento'!$G$60*(sezione!$AN$29-C686)/C686</f>
        <v>-8.6627293466367259E-4</v>
      </c>
      <c r="N686" s="551">
        <f>'Sollecitazioni nel paramento'!$G$60*(sezione!$AO$29-C686)/C686</f>
        <v>1.7674541306726547E-3</v>
      </c>
      <c r="O686" s="551">
        <f>'Sollecitazioni nel paramento'!$G$60*(sezione!$AP$29-C686)/C686</f>
        <v>7.1024913060415357E-3</v>
      </c>
      <c r="P686" s="545">
        <f>-'Sollecitazioni nel paramento'!$G$47*'Sollecitazioni nel paramento'!$G$41*IF(DATI!$G$211="dx",DATI!$E$61,DATI!$E$64*DATI!$E$63)*1000*C686*sezione!$AD$5</f>
        <v>-4050214.6712145358</v>
      </c>
      <c r="Q686" s="545">
        <f>'Foglio deposito bis'!$F$48*IF(ABS(K686)&lt;'Sollecitazioni nel paramento'!$G$58,ABS(K686)*'Sollecitazioni nel paramento'!$G$54,'Sollecitazioni nel paramento'!$G$53)*IF(K686&lt;0,-1,1)</f>
        <v>0</v>
      </c>
      <c r="R686" s="545">
        <f>'Foglio deposito bis'!$F$49*IF(ABS(L686)&lt;'Sollecitazioni nel paramento'!$G$58,ABS(L686)*'Sollecitazioni nel paramento'!$G$54,'Sollecitazioni nel paramento'!$G$53)*IF(L686&lt;0,-1,1)</f>
        <v>-164456.70400582731</v>
      </c>
      <c r="S686" s="545">
        <f>'Foglio deposito bis'!$F$50*IF(ABS(M686)&lt;'Sollecitazioni nel paramento'!$G$58,ABS(M686)*'Sollecitazioni nel paramento'!$G$54,'Sollecitazioni nel paramento'!$G$53)*IF(M686&lt;0,-1,1)</f>
        <v>0</v>
      </c>
      <c r="T686" s="545">
        <f>'Foglio deposito bis'!$F$51*IF(ABS(N686)&lt;'Sollecitazioni nel paramento'!$G$58,ABS(N686)*'Sollecitazioni nel paramento'!$G$54,'Sollecitazioni nel paramento'!$G$53)*IF(N686&lt;0,-1,1)</f>
        <v>224192.62196221761</v>
      </c>
      <c r="U686" s="545">
        <f>'Foglio deposito bis'!$F$52*IF(ABS(O686)&lt;'Sollecitazioni nel paramento'!$G$58,ABS(O686)*'Sollecitazioni nel paramento'!$G$54,'Sollecitazioni nel paramento'!$G$53)*IF(O686&lt;0,-1,1)</f>
        <v>240946.49743184328</v>
      </c>
      <c r="V686" s="472">
        <f t="shared" si="48"/>
        <v>-3749532.2558263023</v>
      </c>
      <c r="W686" s="551"/>
      <c r="X686" s="551"/>
    </row>
    <row r="687" spans="1:24" x14ac:dyDescent="0.25">
      <c r="A687" s="545">
        <f t="shared" si="49"/>
        <v>3794908.9844225463</v>
      </c>
      <c r="B687" s="3">
        <f t="shared" si="50"/>
        <v>21.899999999999945</v>
      </c>
      <c r="C687" s="545">
        <f>'Foglio deposito bis'!$E$155/sezione!$B$247*B687</f>
        <v>107.29306346145809</v>
      </c>
      <c r="D687" s="603">
        <f>-'Sollecitazioni nel paramento'!$G$47*'Sollecitazioni nel paramento'!$G$41*IF(DATI!$G$211="dx",DATI!$E$61,DATI!$E$64*DATI!$E$63)*1000*C687^2*sezione!$AD$5*(1-sezione!$AD$6)</f>
        <v>-256122018.68393117</v>
      </c>
      <c r="E687" s="545">
        <f>-'Foglio deposito bis'!$F$48*(C687-sezione!$AL$29)*IF(ABS(K687)&lt;'Sollecitazioni nel paramento'!$G$58,ABS(K687)*'Sollecitazioni nel paramento'!$G$54,'Sollecitazioni nel paramento'!$G$53)</f>
        <v>0</v>
      </c>
      <c r="F687" s="545">
        <f>-'Foglio deposito bis'!$F$49*(C687-sezione!$AM$29)*IF(ABS(L687)&lt;'Sollecitazioni nel paramento'!$G$58,ABS(L687)*'Sollecitazioni nel paramento'!$G$54,'Sollecitazioni nel paramento'!$G$53)</f>
        <v>-7869681.1213035714</v>
      </c>
      <c r="G687" s="545">
        <f>-'Foglio deposito bis'!$F$50*(C687-sezione!$AN$29)*IF(ABS(M687)&lt;'Sollecitazioni nel paramento'!$G$58,ABS(M687)*'Sollecitazioni nel paramento'!$G$54,'Sollecitazioni nel paramento'!$G$53)</f>
        <v>0</v>
      </c>
      <c r="H687" s="545">
        <f>-'Foglio deposito bis'!$F$51*(C687-sezione!$AO$29)*IF(ABS(N687)&lt;'Sollecitazioni nel paramento'!$G$58,ABS(N687)*'Sollecitazioni nel paramento'!$G$54,'Sollecitazioni nel paramento'!$G$53)</f>
        <v>11494897.750893798</v>
      </c>
      <c r="I687" s="472">
        <f>-'Foglio deposito bis'!$F$52*(C687-sezione!$AP$29)*IF(ABS(O687)&lt;'Sollecitazioni nel paramento'!$G$58,ABS(O687)*'Sollecitazioni nel paramento'!$G$54,'Sollecitazioni nel paramento'!$G$53)</f>
        <v>51745618.078437932</v>
      </c>
      <c r="J687" s="472">
        <f t="shared" si="47"/>
        <v>-200751183.975903</v>
      </c>
      <c r="K687" s="550">
        <f>'Sollecitazioni nel paramento'!$G$60*(sezione!$AL$29-C687)/C687</f>
        <v>-2.1951626183151071E-3</v>
      </c>
      <c r="L687" s="550">
        <f>'Sollecitazioni nel paramento'!$G$60*(sezione!$AM$29-C687)/C687</f>
        <v>-1.5427439274726612E-3</v>
      </c>
      <c r="M687" s="551">
        <f>'Sollecitazioni nel paramento'!$G$60*(sezione!$AN$29-C687)/C687</f>
        <v>-8.9032523663021463E-4</v>
      </c>
      <c r="N687" s="551">
        <f>'Sollecitazioni nel paramento'!$G$60*(sezione!$AO$29-C687)/C687</f>
        <v>1.7193495267395708E-3</v>
      </c>
      <c r="O687" s="551">
        <f>'Sollecitazioni nel paramento'!$G$60*(sezione!$AP$29-C687)/C687</f>
        <v>7.0056649014201512E-3</v>
      </c>
      <c r="P687" s="545">
        <f>-'Sollecitazioni nel paramento'!$G$47*'Sollecitazioni nel paramento'!$G$41*IF(DATI!$G$211="dx",DATI!$E$61,DATI!$E$64*DATI!$E$63)*1000*C687*sezione!$AD$5</f>
        <v>-4087543.838691168</v>
      </c>
      <c r="Q687" s="545">
        <f>'Foglio deposito bis'!$F$48*IF(ABS(K687)&lt;'Sollecitazioni nel paramento'!$G$58,ABS(K687)*'Sollecitazioni nel paramento'!$G$54,'Sollecitazioni nel paramento'!$G$53)*IF(K687&lt;0,-1,1)</f>
        <v>0</v>
      </c>
      <c r="R687" s="545">
        <f>'Foglio deposito bis'!$F$49*IF(ABS(L687)&lt;'Sollecitazioni nel paramento'!$G$58,ABS(L687)*'Sollecitazioni nel paramento'!$G$54,'Sollecitazioni nel paramento'!$G$53)*IF(L687&lt;0,-1,1)</f>
        <v>-166402.43928619762</v>
      </c>
      <c r="S687" s="545">
        <f>'Foglio deposito bis'!$F$50*IF(ABS(M687)&lt;'Sollecitazioni nel paramento'!$G$58,ABS(M687)*'Sollecitazioni nel paramento'!$G$54,'Sollecitazioni nel paramento'!$G$53)*IF(M687&lt;0,-1,1)</f>
        <v>0</v>
      </c>
      <c r="T687" s="545">
        <f>'Foglio deposito bis'!$F$51*IF(ABS(N687)&lt;'Sollecitazioni nel paramento'!$G$58,ABS(N687)*'Sollecitazioni nel paramento'!$G$54,'Sollecitazioni nel paramento'!$G$53)*IF(N687&lt;0,-1,1)</f>
        <v>218090.79612297638</v>
      </c>
      <c r="U687" s="545">
        <f>'Foglio deposito bis'!$F$52*IF(ABS(O687)&lt;'Sollecitazioni nel paramento'!$G$58,ABS(O687)*'Sollecitazioni nel paramento'!$G$54,'Sollecitazioni nel paramento'!$G$53)*IF(O687&lt;0,-1,1)</f>
        <v>240946.49743184328</v>
      </c>
      <c r="V687" s="472">
        <f t="shared" si="48"/>
        <v>-3794908.9844225463</v>
      </c>
      <c r="W687" s="551"/>
      <c r="X687" s="551"/>
    </row>
    <row r="688" spans="1:24" x14ac:dyDescent="0.25">
      <c r="A688" s="545">
        <f t="shared" si="49"/>
        <v>3840140.0558039541</v>
      </c>
      <c r="B688" s="3">
        <f t="shared" si="50"/>
        <v>22.099999999999945</v>
      </c>
      <c r="C688" s="545">
        <f>'Foglio deposito bis'!$E$155/sezione!$B$247*B688</f>
        <v>108.27290878987323</v>
      </c>
      <c r="D688" s="603">
        <f>-'Sollecitazioni nel paramento'!$G$47*'Sollecitazioni nel paramento'!$G$41*IF(DATI!$G$211="dx",DATI!$E$61,DATI!$E$64*DATI!$E$63)*1000*C688^2*sezione!$AD$5*(1-sezione!$AD$6)</f>
        <v>-260821407.279704</v>
      </c>
      <c r="E688" s="545">
        <f>-'Foglio deposito bis'!$F$48*(C688-sezione!$AL$29)*IF(ABS(K688)&lt;'Sollecitazioni nel paramento'!$G$58,ABS(K688)*'Sollecitazioni nel paramento'!$G$54,'Sollecitazioni nel paramento'!$G$53)</f>
        <v>0</v>
      </c>
      <c r="F688" s="545">
        <f>-'Foglio deposito bis'!$F$49*(C688-sezione!$AM$29)*IF(ABS(L688)&lt;'Sollecitazioni nel paramento'!$G$58,ABS(L688)*'Sollecitazioni nel paramento'!$G$54,'Sollecitazioni nel paramento'!$G$53)</f>
        <v>-8124956.0522330683</v>
      </c>
      <c r="G688" s="545">
        <f>-'Foglio deposito bis'!$F$50*(C688-sezione!$AN$29)*IF(ABS(M688)&lt;'Sollecitazioni nel paramento'!$G$58,ABS(M688)*'Sollecitazioni nel paramento'!$G$54,'Sollecitazioni nel paramento'!$G$53)</f>
        <v>0</v>
      </c>
      <c r="H688" s="545">
        <f>-'Foglio deposito bis'!$F$51*(C688-sezione!$AO$29)*IF(ABS(N688)&lt;'Sollecitazioni nel paramento'!$G$58,ABS(N688)*'Sollecitazioni nel paramento'!$G$54,'Sollecitazioni nel paramento'!$G$53)</f>
        <v>10971285.556190152</v>
      </c>
      <c r="I688" s="472">
        <f>-'Foglio deposito bis'!$F$52*(C688-sezione!$AP$29)*IF(ABS(O688)&lt;'Sollecitazioni nel paramento'!$G$58,ABS(O688)*'Sollecitazioni nel paramento'!$G$54,'Sollecitazioni nel paramento'!$G$53)</f>
        <v>51509527.778531358</v>
      </c>
      <c r="J688" s="472">
        <f t="shared" si="47"/>
        <v>-206465549.99721557</v>
      </c>
      <c r="K688" s="550">
        <f>'Sollecitazioni nel paramento'!$G$60*(sezione!$AL$29-C688)/C688</f>
        <v>-2.2069711014072783E-3</v>
      </c>
      <c r="L688" s="550">
        <f>'Sollecitazioni nel paramento'!$G$60*(sezione!$AM$29-C688)/C688</f>
        <v>-1.5604566521109173E-3</v>
      </c>
      <c r="M688" s="551">
        <f>'Sollecitazioni nel paramento'!$G$60*(sezione!$AN$29-C688)/C688</f>
        <v>-9.1394220281455654E-4</v>
      </c>
      <c r="N688" s="551">
        <f>'Sollecitazioni nel paramento'!$G$60*(sezione!$AO$29-C688)/C688</f>
        <v>1.672115594370887E-3</v>
      </c>
      <c r="O688" s="551">
        <f>'Sollecitazioni nel paramento'!$G$60*(sezione!$AP$29-C688)/C688</f>
        <v>6.9105910109095621E-3</v>
      </c>
      <c r="P688" s="545">
        <f>-'Sollecitazioni nel paramento'!$G$47*'Sollecitazioni nel paramento'!$G$41*IF(DATI!$G$211="dx",DATI!$E$61,DATI!$E$64*DATI!$E$63)*1000*C688*sezione!$AD$5</f>
        <v>-4124873.0061677997</v>
      </c>
      <c r="Q688" s="545">
        <f>'Foglio deposito bis'!$F$48*IF(ABS(K688)&lt;'Sollecitazioni nel paramento'!$G$58,ABS(K688)*'Sollecitazioni nel paramento'!$G$54,'Sollecitazioni nel paramento'!$G$53)*IF(K688&lt;0,-1,1)</f>
        <v>0</v>
      </c>
      <c r="R688" s="545">
        <f>'Foglio deposito bis'!$F$49*IF(ABS(L688)&lt;'Sollecitazioni nel paramento'!$G$58,ABS(L688)*'Sollecitazioni nel paramento'!$G$54,'Sollecitazioni nel paramento'!$G$53)*IF(L688&lt;0,-1,1)</f>
        <v>-168312.95763841635</v>
      </c>
      <c r="S688" s="545">
        <f>'Foglio deposito bis'!$F$50*IF(ABS(M688)&lt;'Sollecitazioni nel paramento'!$G$58,ABS(M688)*'Sollecitazioni nel paramento'!$G$54,'Sollecitazioni nel paramento'!$G$53)*IF(M688&lt;0,-1,1)</f>
        <v>0</v>
      </c>
      <c r="T688" s="545">
        <f>'Foglio deposito bis'!$F$51*IF(ABS(N688)&lt;'Sollecitazioni nel paramento'!$G$58,ABS(N688)*'Sollecitazioni nel paramento'!$G$54,'Sollecitazioni nel paramento'!$G$53)*IF(N688&lt;0,-1,1)</f>
        <v>212099.41057041826</v>
      </c>
      <c r="U688" s="545">
        <f>'Foglio deposito bis'!$F$52*IF(ABS(O688)&lt;'Sollecitazioni nel paramento'!$G$58,ABS(O688)*'Sollecitazioni nel paramento'!$G$54,'Sollecitazioni nel paramento'!$G$53)*IF(O688&lt;0,-1,1)</f>
        <v>240946.49743184328</v>
      </c>
      <c r="V688" s="472">
        <f t="shared" si="48"/>
        <v>-3840140.0558039541</v>
      </c>
      <c r="W688" s="551"/>
      <c r="X688" s="551"/>
    </row>
    <row r="689" spans="1:24" x14ac:dyDescent="0.25">
      <c r="A689" s="545">
        <f t="shared" si="49"/>
        <v>3885229.3889987306</v>
      </c>
      <c r="B689" s="3">
        <f t="shared" si="50"/>
        <v>22.299999999999944</v>
      </c>
      <c r="C689" s="545">
        <f>'Foglio deposito bis'!$E$155/sezione!$B$247*B689</f>
        <v>109.25275411828837</v>
      </c>
      <c r="D689" s="603">
        <f>-'Sollecitazioni nel paramento'!$G$47*'Sollecitazioni nel paramento'!$G$41*IF(DATI!$G$211="dx",DATI!$E$61,DATI!$E$64*DATI!$E$63)*1000*C689^2*sezione!$AD$5*(1-sezione!$AD$6)</f>
        <v>-265563517.58998379</v>
      </c>
      <c r="E689" s="545">
        <f>-'Foglio deposito bis'!$F$48*(C689-sezione!$AL$29)*IF(ABS(K689)&lt;'Sollecitazioni nel paramento'!$G$58,ABS(K689)*'Sollecitazioni nel paramento'!$G$54,'Sollecitazioni nel paramento'!$G$53)</f>
        <v>0</v>
      </c>
      <c r="F689" s="545">
        <f>-'Foglio deposito bis'!$F$49*(C689-sezione!$AM$29)*IF(ABS(L689)&lt;'Sollecitazioni nel paramento'!$G$58,ABS(L689)*'Sollecitazioni nel paramento'!$G$54,'Sollecitazioni nel paramento'!$G$53)</f>
        <v>-8382287.146411594</v>
      </c>
      <c r="G689" s="545">
        <f>-'Foglio deposito bis'!$F$50*(C689-sezione!$AN$29)*IF(ABS(M689)&lt;'Sollecitazioni nel paramento'!$G$58,ABS(M689)*'Sollecitazioni nel paramento'!$G$54,'Sollecitazioni nel paramento'!$G$53)</f>
        <v>0</v>
      </c>
      <c r="H689" s="545">
        <f>-'Foglio deposito bis'!$F$51*(C689-sezione!$AO$29)*IF(ABS(N689)&lt;'Sollecitazioni nel paramento'!$G$58,ABS(N689)*'Sollecitazioni nel paramento'!$G$54,'Sollecitazioni nel paramento'!$G$53)</f>
        <v>10464868.369350351</v>
      </c>
      <c r="I689" s="472">
        <f>-'Foglio deposito bis'!$F$52*(C689-sezione!$AP$29)*IF(ABS(O689)&lt;'Sollecitazioni nel paramento'!$G$58,ABS(O689)*'Sollecitazioni nel paramento'!$G$54,'Sollecitazioni nel paramento'!$G$53)</f>
        <v>51273437.478624769</v>
      </c>
      <c r="J689" s="472">
        <f t="shared" si="47"/>
        <v>-212207498.88842025</v>
      </c>
      <c r="K689" s="550">
        <f>'Sollecitazioni nel paramento'!$G$60*(sezione!$AL$29-C689)/C689</f>
        <v>-2.218567773143536E-3</v>
      </c>
      <c r="L689" s="550">
        <f>'Sollecitazioni nel paramento'!$G$60*(sezione!$AM$29-C689)/C689</f>
        <v>-1.5778516597153038E-3</v>
      </c>
      <c r="M689" s="551">
        <f>'Sollecitazioni nel paramento'!$G$60*(sezione!$AN$29-C689)/C689</f>
        <v>-9.3713554628707164E-4</v>
      </c>
      <c r="N689" s="551">
        <f>'Sollecitazioni nel paramento'!$G$60*(sezione!$AO$29-C689)/C689</f>
        <v>1.6257289074258568E-3</v>
      </c>
      <c r="O689" s="551">
        <f>'Sollecitazioni nel paramento'!$G$60*(sezione!$AP$29-C689)/C689</f>
        <v>6.8172224816637362E-3</v>
      </c>
      <c r="P689" s="545">
        <f>-'Sollecitazioni nel paramento'!$G$47*'Sollecitazioni nel paramento'!$G$41*IF(DATI!$G$211="dx",DATI!$E$61,DATI!$E$64*DATI!$E$63)*1000*C689*sezione!$AD$5</f>
        <v>-4162202.1736444309</v>
      </c>
      <c r="Q689" s="545">
        <f>'Foglio deposito bis'!$F$48*IF(ABS(K689)&lt;'Sollecitazioni nel paramento'!$G$58,ABS(K689)*'Sollecitazioni nel paramento'!$G$54,'Sollecitazioni nel paramento'!$G$53)*IF(K689&lt;0,-1,1)</f>
        <v>0</v>
      </c>
      <c r="R689" s="545">
        <f>'Foglio deposito bis'!$F$49*IF(ABS(L689)&lt;'Sollecitazioni nel paramento'!$G$58,ABS(L689)*'Sollecitazioni nel paramento'!$G$54,'Sollecitazioni nel paramento'!$G$53)*IF(L689&lt;0,-1,1)</f>
        <v>-170189.2066031514</v>
      </c>
      <c r="S689" s="545">
        <f>'Foglio deposito bis'!$F$50*IF(ABS(M689)&lt;'Sollecitazioni nel paramento'!$G$58,ABS(M689)*'Sollecitazioni nel paramento'!$G$54,'Sollecitazioni nel paramento'!$G$53)*IF(M689&lt;0,-1,1)</f>
        <v>0</v>
      </c>
      <c r="T689" s="545">
        <f>'Foglio deposito bis'!$F$51*IF(ABS(N689)&lt;'Sollecitazioni nel paramento'!$G$58,ABS(N689)*'Sollecitazioni nel paramento'!$G$54,'Sollecitazioni nel paramento'!$G$53)*IF(N689&lt;0,-1,1)</f>
        <v>206215.49381700921</v>
      </c>
      <c r="U689" s="545">
        <f>'Foglio deposito bis'!$F$52*IF(ABS(O689)&lt;'Sollecitazioni nel paramento'!$G$58,ABS(O689)*'Sollecitazioni nel paramento'!$G$54,'Sollecitazioni nel paramento'!$G$53)*IF(O689&lt;0,-1,1)</f>
        <v>240946.49743184328</v>
      </c>
      <c r="V689" s="472">
        <f t="shared" si="48"/>
        <v>-3885229.3889987306</v>
      </c>
      <c r="W689" s="551"/>
      <c r="X689" s="551"/>
    </row>
    <row r="690" spans="1:24" x14ac:dyDescent="0.25">
      <c r="A690" s="545">
        <f t="shared" si="49"/>
        <v>3930180.7636918495</v>
      </c>
      <c r="B690" s="3">
        <f t="shared" si="50"/>
        <v>22.499999999999943</v>
      </c>
      <c r="C690" s="545">
        <f>'Foglio deposito bis'!$E$155/sezione!$B$247*B690</f>
        <v>110.2325994467035</v>
      </c>
      <c r="D690" s="603">
        <f>-'Sollecitazioni nel paramento'!$G$47*'Sollecitazioni nel paramento'!$G$41*IF(DATI!$G$211="dx",DATI!$E$61,DATI!$E$64*DATI!$E$63)*1000*C690^2*sezione!$AD$5*(1-sezione!$AD$6)</f>
        <v>-270348349.61477059</v>
      </c>
      <c r="E690" s="545">
        <f>-'Foglio deposito bis'!$F$48*(C690-sezione!$AL$29)*IF(ABS(K690)&lt;'Sollecitazioni nel paramento'!$G$58,ABS(K690)*'Sollecitazioni nel paramento'!$G$54,'Sollecitazioni nel paramento'!$G$53)</f>
        <v>0</v>
      </c>
      <c r="F690" s="545">
        <f>-'Foglio deposito bis'!$F$49*(C690-sezione!$AM$29)*IF(ABS(L690)&lt;'Sollecitazioni nel paramento'!$G$58,ABS(L690)*'Sollecitazioni nel paramento'!$G$54,'Sollecitazioni nel paramento'!$G$53)</f>
        <v>-8641619.5728191715</v>
      </c>
      <c r="G690" s="545">
        <f>-'Foglio deposito bis'!$F$50*(C690-sezione!$AN$29)*IF(ABS(M690)&lt;'Sollecitazioni nel paramento'!$G$58,ABS(M690)*'Sollecitazioni nel paramento'!$G$54,'Sollecitazioni nel paramento'!$G$53)</f>
        <v>0</v>
      </c>
      <c r="H690" s="545">
        <f>-'Foglio deposito bis'!$F$51*(C690-sezione!$AO$29)*IF(ABS(N690)&lt;'Sollecitazioni nel paramento'!$G$58,ABS(N690)*'Sollecitazioni nel paramento'!$G$54,'Sollecitazioni nel paramento'!$G$53)</f>
        <v>9975187.6568313595</v>
      </c>
      <c r="I690" s="472">
        <f>-'Foglio deposito bis'!$F$52*(C690-sezione!$AP$29)*IF(ABS(O690)&lt;'Sollecitazioni nel paramento'!$G$58,ABS(O690)*'Sollecitazioni nel paramento'!$G$54,'Sollecitazioni nel paramento'!$G$53)</f>
        <v>51037347.178718187</v>
      </c>
      <c r="J690" s="472">
        <f t="shared" si="47"/>
        <v>-217977434.3520402</v>
      </c>
      <c r="K690" s="550">
        <f>'Sollecitazioni nel paramento'!$G$60*(sezione!$AL$29-C690)/C690</f>
        <v>-2.2299582818267045E-3</v>
      </c>
      <c r="L690" s="550">
        <f>'Sollecitazioni nel paramento'!$G$60*(sezione!$AM$29-C690)/C690</f>
        <v>-1.5949374227400565E-3</v>
      </c>
      <c r="M690" s="551">
        <f>'Sollecitazioni nel paramento'!$G$60*(sezione!$AN$29-C690)/C690</f>
        <v>-9.5991656365340856E-4</v>
      </c>
      <c r="N690" s="551">
        <f>'Sollecitazioni nel paramento'!$G$60*(sezione!$AO$29-C690)/C690</f>
        <v>1.5801668726931827E-3</v>
      </c>
      <c r="O690" s="551">
        <f>'Sollecitazioni nel paramento'!$G$60*(sezione!$AP$29-C690)/C690</f>
        <v>6.7255138373822814E-3</v>
      </c>
      <c r="P690" s="545">
        <f>-'Sollecitazioni nel paramento'!$G$47*'Sollecitazioni nel paramento'!$G$41*IF(DATI!$G$211="dx",DATI!$E$61,DATI!$E$64*DATI!$E$63)*1000*C690*sezione!$AD$5</f>
        <v>-4199531.3411210626</v>
      </c>
      <c r="Q690" s="545">
        <f>'Foglio deposito bis'!$F$48*IF(ABS(K690)&lt;'Sollecitazioni nel paramento'!$G$58,ABS(K690)*'Sollecitazioni nel paramento'!$G$54,'Sollecitazioni nel paramento'!$G$53)*IF(K690&lt;0,-1,1)</f>
        <v>0</v>
      </c>
      <c r="R690" s="545">
        <f>'Foglio deposito bis'!$F$49*IF(ABS(L690)&lt;'Sollecitazioni nel paramento'!$G$58,ABS(L690)*'Sollecitazioni nel paramento'!$G$54,'Sollecitazioni nel paramento'!$G$53)*IF(L690&lt;0,-1,1)</f>
        <v>-172032.1000307356</v>
      </c>
      <c r="S690" s="545">
        <f>'Foglio deposito bis'!$F$50*IF(ABS(M690)&lt;'Sollecitazioni nel paramento'!$G$58,ABS(M690)*'Sollecitazioni nel paramento'!$G$54,'Sollecitazioni nel paramento'!$G$53)*IF(M690&lt;0,-1,1)</f>
        <v>0</v>
      </c>
      <c r="T690" s="545">
        <f>'Foglio deposito bis'!$F$51*IF(ABS(N690)&lt;'Sollecitazioni nel paramento'!$G$58,ABS(N690)*'Sollecitazioni nel paramento'!$G$54,'Sollecitazioni nel paramento'!$G$53)*IF(N690&lt;0,-1,1)</f>
        <v>200436.18002810521</v>
      </c>
      <c r="U690" s="545">
        <f>'Foglio deposito bis'!$F$52*IF(ABS(O690)&lt;'Sollecitazioni nel paramento'!$G$58,ABS(O690)*'Sollecitazioni nel paramento'!$G$54,'Sollecitazioni nel paramento'!$G$53)*IF(O690&lt;0,-1,1)</f>
        <v>240946.49743184328</v>
      </c>
      <c r="V690" s="472">
        <f t="shared" si="48"/>
        <v>-3930180.7636918495</v>
      </c>
      <c r="W690" s="551"/>
      <c r="X690" s="551"/>
    </row>
    <row r="691" spans="1:24" x14ac:dyDescent="0.25">
      <c r="A691" s="545">
        <f t="shared" si="49"/>
        <v>3974997.8263635333</v>
      </c>
      <c r="B691" s="3">
        <f t="shared" si="50"/>
        <v>22.699999999999942</v>
      </c>
      <c r="C691" s="545">
        <f>'Foglio deposito bis'!$E$155/sezione!$B$247*B691</f>
        <v>111.21244477511864</v>
      </c>
      <c r="D691" s="603">
        <f>-'Sollecitazioni nel paramento'!$G$47*'Sollecitazioni nel paramento'!$G$41*IF(DATI!$G$211="dx",DATI!$E$61,DATI!$E$64*DATI!$E$63)*1000*C691^2*sezione!$AD$5*(1-sezione!$AD$6)</f>
        <v>-275175903.35406446</v>
      </c>
      <c r="E691" s="545">
        <f>-'Foglio deposito bis'!$F$48*(C691-sezione!$AL$29)*IF(ABS(K691)&lt;'Sollecitazioni nel paramento'!$G$58,ABS(K691)*'Sollecitazioni nel paramento'!$G$54,'Sollecitazioni nel paramento'!$G$53)</f>
        <v>0</v>
      </c>
      <c r="F691" s="545">
        <f>-'Foglio deposito bis'!$F$49*(C691-sezione!$AM$29)*IF(ABS(L691)&lt;'Sollecitazioni nel paramento'!$G$58,ABS(L691)*'Sollecitazioni nel paramento'!$G$54,'Sollecitazioni nel paramento'!$G$53)</f>
        <v>-8902900.4328065701</v>
      </c>
      <c r="G691" s="545">
        <f>-'Foglio deposito bis'!$F$50*(C691-sezione!$AN$29)*IF(ABS(M691)&lt;'Sollecitazioni nel paramento'!$G$58,ABS(M691)*'Sollecitazioni nel paramento'!$G$54,'Sollecitazioni nel paramento'!$G$53)</f>
        <v>0</v>
      </c>
      <c r="H691" s="545">
        <f>-'Foglio deposito bis'!$F$51*(C691-sezione!$AO$29)*IF(ABS(N691)&lt;'Sollecitazioni nel paramento'!$G$58,ABS(N691)*'Sollecitazioni nel paramento'!$G$54,'Sollecitazioni nel paramento'!$G$53)</f>
        <v>9501801.0448625777</v>
      </c>
      <c r="I691" s="472">
        <f>-'Foglio deposito bis'!$F$52*(C691-sezione!$AP$29)*IF(ABS(O691)&lt;'Sollecitazioni nel paramento'!$G$58,ABS(O691)*'Sollecitazioni nel paramento'!$G$54,'Sollecitazioni nel paramento'!$G$53)</f>
        <v>50801256.878811605</v>
      </c>
      <c r="J691" s="472">
        <f t="shared" si="47"/>
        <v>-223775745.86319685</v>
      </c>
      <c r="K691" s="550">
        <f>'Sollecitazioni nel paramento'!$G$60*(sezione!$AL$29-C691)/C691</f>
        <v>-2.2411480767004781E-3</v>
      </c>
      <c r="L691" s="550">
        <f>'Sollecitazioni nel paramento'!$G$60*(sezione!$AM$29-C691)/C691</f>
        <v>-1.6117221150507167E-3</v>
      </c>
      <c r="M691" s="551">
        <f>'Sollecitazioni nel paramento'!$G$60*(sezione!$AN$29-C691)/C691</f>
        <v>-9.8229615340095569E-4</v>
      </c>
      <c r="N691" s="551">
        <f>'Sollecitazioni nel paramento'!$G$60*(sezione!$AO$29-C691)/C691</f>
        <v>1.5354076931980887E-3</v>
      </c>
      <c r="O691" s="551">
        <f>'Sollecitazioni nel paramento'!$G$60*(sezione!$AP$29-C691)/C691</f>
        <v>6.6354212044538036E-3</v>
      </c>
      <c r="P691" s="545">
        <f>-'Sollecitazioni nel paramento'!$G$47*'Sollecitazioni nel paramento'!$G$41*IF(DATI!$G$211="dx",DATI!$E$61,DATI!$E$64*DATI!$E$63)*1000*C691*sezione!$AD$5</f>
        <v>-4236860.5085976943</v>
      </c>
      <c r="Q691" s="545">
        <f>'Foglio deposito bis'!$F$48*IF(ABS(K691)&lt;'Sollecitazioni nel paramento'!$G$58,ABS(K691)*'Sollecitazioni nel paramento'!$G$54,'Sollecitazioni nel paramento'!$G$53)*IF(K691&lt;0,-1,1)</f>
        <v>0</v>
      </c>
      <c r="R691" s="545">
        <f>'Foglio deposito bis'!$F$49*IF(ABS(L691)&lt;'Sollecitazioni nel paramento'!$G$58,ABS(L691)*'Sollecitazioni nel paramento'!$G$54,'Sollecitazioni nel paramento'!$G$53)*IF(L691&lt;0,-1,1)</f>
        <v>-173842.51956532267</v>
      </c>
      <c r="S691" s="545">
        <f>'Foglio deposito bis'!$F$50*IF(ABS(M691)&lt;'Sollecitazioni nel paramento'!$G$58,ABS(M691)*'Sollecitazioni nel paramento'!$G$54,'Sollecitazioni nel paramento'!$G$53)*IF(M691&lt;0,-1,1)</f>
        <v>0</v>
      </c>
      <c r="T691" s="545">
        <f>'Foglio deposito bis'!$F$51*IF(ABS(N691)&lt;'Sollecitazioni nel paramento'!$G$58,ABS(N691)*'Sollecitazioni nel paramento'!$G$54,'Sollecitazioni nel paramento'!$G$53)*IF(N691&lt;0,-1,1)</f>
        <v>194758.70436763999</v>
      </c>
      <c r="U691" s="545">
        <f>'Foglio deposito bis'!$F$52*IF(ABS(O691)&lt;'Sollecitazioni nel paramento'!$G$58,ABS(O691)*'Sollecitazioni nel paramento'!$G$54,'Sollecitazioni nel paramento'!$G$53)*IF(O691&lt;0,-1,1)</f>
        <v>240946.49743184328</v>
      </c>
      <c r="V691" s="472">
        <f t="shared" si="48"/>
        <v>-3974997.8263635333</v>
      </c>
      <c r="W691" s="551"/>
      <c r="X691" s="551"/>
    </row>
    <row r="692" spans="1:24" x14ac:dyDescent="0.25">
      <c r="A692" s="545">
        <f t="shared" si="49"/>
        <v>4019684.0961060473</v>
      </c>
      <c r="B692" s="3">
        <f t="shared" si="50"/>
        <v>22.899999999999942</v>
      </c>
      <c r="C692" s="545">
        <f>'Foglio deposito bis'!$E$155/sezione!$B$247*B692</f>
        <v>112.19229010353379</v>
      </c>
      <c r="D692" s="603">
        <f>-'Sollecitazioni nel paramento'!$G$47*'Sollecitazioni nel paramento'!$G$41*IF(DATI!$G$211="dx",DATI!$E$61,DATI!$E$64*DATI!$E$63)*1000*C692^2*sezione!$AD$5*(1-sezione!$AD$6)</f>
        <v>-280046178.80786538</v>
      </c>
      <c r="E692" s="545">
        <f>-'Foglio deposito bis'!$F$48*(C692-sezione!$AL$29)*IF(ABS(K692)&lt;'Sollecitazioni nel paramento'!$G$58,ABS(K692)*'Sollecitazioni nel paramento'!$G$54,'Sollecitazioni nel paramento'!$G$53)</f>
        <v>0</v>
      </c>
      <c r="F692" s="545">
        <f>-'Foglio deposito bis'!$F$49*(C692-sezione!$AM$29)*IF(ABS(L692)&lt;'Sollecitazioni nel paramento'!$G$58,ABS(L692)*'Sollecitazioni nel paramento'!$G$54,'Sollecitazioni nel paramento'!$G$53)</f>
        <v>-9166078.6757123172</v>
      </c>
      <c r="G692" s="545">
        <f>-'Foglio deposito bis'!$F$50*(C692-sezione!$AN$29)*IF(ABS(M692)&lt;'Sollecitazioni nel paramento'!$G$58,ABS(M692)*'Sollecitazioni nel paramento'!$G$54,'Sollecitazioni nel paramento'!$G$53)</f>
        <v>0</v>
      </c>
      <c r="H692" s="545">
        <f>-'Foglio deposito bis'!$F$51*(C692-sezione!$AO$29)*IF(ABS(N692)&lt;'Sollecitazioni nel paramento'!$G$58,ABS(N692)*'Sollecitazioni nel paramento'!$G$54,'Sollecitazioni nel paramento'!$G$53)</f>
        <v>9044281.6137789376</v>
      </c>
      <c r="I692" s="472">
        <f>-'Foglio deposito bis'!$F$52*(C692-sezione!$AP$29)*IF(ABS(O692)&lt;'Sollecitazioni nel paramento'!$G$58,ABS(O692)*'Sollecitazioni nel paramento'!$G$54,'Sollecitazioni nel paramento'!$G$53)</f>
        <v>50565166.578905016</v>
      </c>
      <c r="J692" s="472">
        <f t="shared" si="47"/>
        <v>-229602809.29089376</v>
      </c>
      <c r="K692" s="550">
        <f>'Sollecitazioni nel paramento'!$G$60*(sezione!$AL$29-C692)/C692</f>
        <v>-2.2521424166419587E-3</v>
      </c>
      <c r="L692" s="550">
        <f>'Sollecitazioni nel paramento'!$G$60*(sezione!$AM$29-C692)/C692</f>
        <v>-1.6282136249629376E-3</v>
      </c>
      <c r="M692" s="551">
        <f>'Sollecitazioni nel paramento'!$G$60*(sezione!$AN$29-C692)/C692</f>
        <v>-1.0042848332839169E-3</v>
      </c>
      <c r="N692" s="551">
        <f>'Sollecitazioni nel paramento'!$G$60*(sezione!$AO$29-C692)/C692</f>
        <v>1.4914303334321664E-3</v>
      </c>
      <c r="O692" s="551">
        <f>'Sollecitazioni nel paramento'!$G$60*(sezione!$AP$29-C692)/C692</f>
        <v>6.546902241969489E-3</v>
      </c>
      <c r="P692" s="545">
        <f>-'Sollecitazioni nel paramento'!$G$47*'Sollecitazioni nel paramento'!$G$41*IF(DATI!$G$211="dx",DATI!$E$61,DATI!$E$64*DATI!$E$63)*1000*C692*sezione!$AD$5</f>
        <v>-4274189.676074326</v>
      </c>
      <c r="Q692" s="545">
        <f>'Foglio deposito bis'!$F$48*IF(ABS(K692)&lt;'Sollecitazioni nel paramento'!$G$58,ABS(K692)*'Sollecitazioni nel paramento'!$G$54,'Sollecitazioni nel paramento'!$G$53)*IF(K692&lt;0,-1,1)</f>
        <v>0</v>
      </c>
      <c r="R692" s="545">
        <f>'Foglio deposito bis'!$F$49*IF(ABS(L692)&lt;'Sollecitazioni nel paramento'!$G$58,ABS(L692)*'Sollecitazioni nel paramento'!$G$54,'Sollecitazioni nel paramento'!$G$53)*IF(L692&lt;0,-1,1)</f>
        <v>-175621.31605127073</v>
      </c>
      <c r="S692" s="545">
        <f>'Foglio deposito bis'!$F$50*IF(ABS(M692)&lt;'Sollecitazioni nel paramento'!$G$58,ABS(M692)*'Sollecitazioni nel paramento'!$G$54,'Sollecitazioni nel paramento'!$G$53)*IF(M692&lt;0,-1,1)</f>
        <v>0</v>
      </c>
      <c r="T692" s="545">
        <f>'Foglio deposito bis'!$F$51*IF(ABS(N692)&lt;'Sollecitazioni nel paramento'!$G$58,ABS(N692)*'Sollecitazioni nel paramento'!$G$54,'Sollecitazioni nel paramento'!$G$53)*IF(N692&lt;0,-1,1)</f>
        <v>189180.39858770691</v>
      </c>
      <c r="U692" s="545">
        <f>'Foglio deposito bis'!$F$52*IF(ABS(O692)&lt;'Sollecitazioni nel paramento'!$G$58,ABS(O692)*'Sollecitazioni nel paramento'!$G$54,'Sollecitazioni nel paramento'!$G$53)*IF(O692&lt;0,-1,1)</f>
        <v>240946.49743184328</v>
      </c>
      <c r="V692" s="472">
        <f t="shared" si="48"/>
        <v>-4019684.0961060473</v>
      </c>
      <c r="W692" s="551"/>
      <c r="X692" s="551"/>
    </row>
    <row r="693" spans="1:24" x14ac:dyDescent="0.25">
      <c r="A693" s="545">
        <f t="shared" si="49"/>
        <v>4241268.4735384732</v>
      </c>
      <c r="B693" s="3">
        <f t="shared" ref="B693:B743" si="51">B692+1</f>
        <v>23.899999999999942</v>
      </c>
      <c r="C693" s="545">
        <f>'Foglio deposito bis'!$E$155/sezione!$B$247*B693</f>
        <v>117.09151674560951</v>
      </c>
      <c r="D693" s="603">
        <f>-'Sollecitazioni nel paramento'!$G$47*'Sollecitazioni nel paramento'!$G$41*IF(DATI!$G$211="dx",DATI!$E$61,DATI!$E$64*DATI!$E$63)*1000*C693^2*sezione!$AD$5*(1-sezione!$AD$6)</f>
        <v>-305038381.79447538</v>
      </c>
      <c r="E693" s="545">
        <f>-'Foglio deposito bis'!$F$48*(C693-sezione!$AL$29)*IF(ABS(K693)&lt;'Sollecitazioni nel paramento'!$G$58,ABS(K693)*'Sollecitazioni nel paramento'!$G$54,'Sollecitazioni nel paramento'!$G$53)</f>
        <v>0</v>
      </c>
      <c r="F693" s="545">
        <f>-'Foglio deposito bis'!$F$49*(C693-sezione!$AM$29)*IF(ABS(L693)&lt;'Sollecitazioni nel paramento'!$G$58,ABS(L693)*'Sollecitazioni nel paramento'!$G$54,'Sollecitazioni nel paramento'!$G$53)</f>
        <v>-10508763.477477089</v>
      </c>
      <c r="G693" s="545">
        <f>-'Foglio deposito bis'!$F$50*(C693-sezione!$AN$29)*IF(ABS(M693)&lt;'Sollecitazioni nel paramento'!$G$58,ABS(M693)*'Sollecitazioni nel paramento'!$G$54,'Sollecitazioni nel paramento'!$G$53)</f>
        <v>0</v>
      </c>
      <c r="H693" s="545">
        <f>-'Foglio deposito bis'!$F$51*(C693-sezione!$AO$29)*IF(ABS(N693)&lt;'Sollecitazioni nel paramento'!$G$58,ABS(N693)*'Sollecitazioni nel paramento'!$G$54,'Sollecitazioni nel paramento'!$G$53)</f>
        <v>6980750.2972199805</v>
      </c>
      <c r="I693" s="472">
        <f>-'Foglio deposito bis'!$F$52*(C693-sezione!$AP$29)*IF(ABS(O693)&lt;'Sollecitazioni nel paramento'!$G$58,ABS(O693)*'Sollecitazioni nel paramento'!$G$54,'Sollecitazioni nel paramento'!$G$53)</f>
        <v>49384715.079372101</v>
      </c>
      <c r="J693" s="472">
        <f t="shared" ref="J693:J743" si="52">D693+E693+F693+G693+H693+I693</f>
        <v>-259181679.89536035</v>
      </c>
      <c r="K693" s="550">
        <f>'Sollecitazioni nel paramento'!$G$60*(sezione!$AL$29-C693)/C693</f>
        <v>-2.304354031008404E-3</v>
      </c>
      <c r="L693" s="550">
        <f>'Sollecitazioni nel paramento'!$G$60*(sezione!$AM$29-C693)/C693</f>
        <v>-1.7065310465126057E-3</v>
      </c>
      <c r="M693" s="551">
        <f>'Sollecitazioni nel paramento'!$G$60*(sezione!$AN$29-C693)/C693</f>
        <v>-1.1087080620168074E-3</v>
      </c>
      <c r="N693" s="551">
        <f>'Sollecitazioni nel paramento'!$G$60*(sezione!$AO$29-C693)/C693</f>
        <v>1.282583875966385E-3</v>
      </c>
      <c r="O693" s="551">
        <f>'Sollecitazioni nel paramento'!$G$60*(sezione!$AP$29-C693)/C693</f>
        <v>6.1265297632259958E-3</v>
      </c>
      <c r="P693" s="545">
        <f>-'Sollecitazioni nel paramento'!$G$47*'Sollecitazioni nel paramento'!$G$41*IF(DATI!$G$211="dx",DATI!$E$61,DATI!$E$64*DATI!$E$63)*1000*C693*sezione!$AD$5</f>
        <v>-4460835.5134574845</v>
      </c>
      <c r="Q693" s="545">
        <f>'Foglio deposito bis'!$F$48*IF(ABS(K693)&lt;'Sollecitazioni nel paramento'!$G$58,ABS(K693)*'Sollecitazioni nel paramento'!$G$54,'Sollecitazioni nel paramento'!$G$53)*IF(K693&lt;0,-1,1)</f>
        <v>0</v>
      </c>
      <c r="R693" s="545">
        <f>'Foglio deposito bis'!$F$49*IF(ABS(L693)&lt;'Sollecitazioni nel paramento'!$G$58,ABS(L693)*'Sollecitazioni nel paramento'!$G$54,'Sollecitazioni nel paramento'!$G$53)*IF(L693&lt;0,-1,1)</f>
        <v>-184068.73869374368</v>
      </c>
      <c r="S693" s="545">
        <f>'Foglio deposito bis'!$F$50*IF(ABS(M693)&lt;'Sollecitazioni nel paramento'!$G$58,ABS(M693)*'Sollecitazioni nel paramento'!$G$54,'Sollecitazioni nel paramento'!$G$53)*IF(M693&lt;0,-1,1)</f>
        <v>0</v>
      </c>
      <c r="T693" s="545">
        <f>'Foglio deposito bis'!$F$51*IF(ABS(N693)&lt;'Sollecitazioni nel paramento'!$G$58,ABS(N693)*'Sollecitazioni nel paramento'!$G$54,'Sollecitazioni nel paramento'!$G$53)*IF(N693&lt;0,-1,1)</f>
        <v>162689.28118091181</v>
      </c>
      <c r="U693" s="545">
        <f>'Foglio deposito bis'!$F$52*IF(ABS(O693)&lt;'Sollecitazioni nel paramento'!$G$58,ABS(O693)*'Sollecitazioni nel paramento'!$G$54,'Sollecitazioni nel paramento'!$G$53)*IF(O693&lt;0,-1,1)</f>
        <v>240946.49743184328</v>
      </c>
      <c r="V693" s="472">
        <f t="shared" ref="V693:V743" si="53">P693+Q693+R693+S693+T693+U693</f>
        <v>-4241268.4735384732</v>
      </c>
      <c r="W693" s="551"/>
      <c r="X693" s="551"/>
    </row>
    <row r="694" spans="1:24" x14ac:dyDescent="0.25">
      <c r="A694" s="545">
        <f t="shared" ref="A694:A743" si="54">ABS(V694)</f>
        <v>4460046.5425332086</v>
      </c>
      <c r="B694" s="3">
        <f t="shared" si="51"/>
        <v>24.899999999999942</v>
      </c>
      <c r="C694" s="545">
        <f>'Foglio deposito bis'!$E$155/sezione!$B$247*B694</f>
        <v>121.99074338768524</v>
      </c>
      <c r="D694" s="603">
        <f>-'Sollecitazioni nel paramento'!$G$47*'Sollecitazioni nel paramento'!$G$41*IF(DATI!$G$211="dx",DATI!$E$61,DATI!$E$64*DATI!$E$63)*1000*C694^2*sezione!$AD$5*(1-sezione!$AD$6)</f>
        <v>-331098627.64376104</v>
      </c>
      <c r="E694" s="545">
        <f>-'Foglio deposito bis'!$F$48*(C694-sezione!$AL$29)*IF(ABS(K694)&lt;'Sollecitazioni nel paramento'!$G$58,ABS(K694)*'Sollecitazioni nel paramento'!$G$54,'Sollecitazioni nel paramento'!$G$53)</f>
        <v>0</v>
      </c>
      <c r="F694" s="545">
        <f>-'Foglio deposito bis'!$F$49*(C694-sezione!$AM$29)*IF(ABS(L694)&lt;'Sollecitazioni nel paramento'!$G$58,ABS(L694)*'Sollecitazioni nel paramento'!$G$54,'Sollecitazioni nel paramento'!$G$53)</f>
        <v>-11892158.749807997</v>
      </c>
      <c r="G694" s="545">
        <f>-'Foglio deposito bis'!$F$50*(C694-sezione!$AN$29)*IF(ABS(M694)&lt;'Sollecitazioni nel paramento'!$G$58,ABS(M694)*'Sollecitazioni nel paramento'!$G$54,'Sollecitazioni nel paramento'!$G$53)</f>
        <v>0</v>
      </c>
      <c r="H694" s="545">
        <f>-'Foglio deposito bis'!$F$51*(C694-sezione!$AO$29)*IF(ABS(N694)&lt;'Sollecitazioni nel paramento'!$G$58,ABS(N694)*'Sollecitazioni nel paramento'!$G$54,'Sollecitazioni nel paramento'!$G$53)</f>
        <v>5257667.075848748</v>
      </c>
      <c r="I694" s="472">
        <f>-'Foglio deposito bis'!$F$52*(C694-sezione!$AP$29)*IF(ABS(O694)&lt;'Sollecitazioni nel paramento'!$G$58,ABS(O694)*'Sollecitazioni nel paramento'!$G$54,'Sollecitazioni nel paramento'!$G$53)</f>
        <v>48204263.579839177</v>
      </c>
      <c r="J694" s="472">
        <f t="shared" si="52"/>
        <v>-289528855.73788112</v>
      </c>
      <c r="K694" s="550">
        <f>'Sollecitazioni nel paramento'!$G$60*(sezione!$AL$29-C694)/C694</f>
        <v>-2.3523719414096727E-3</v>
      </c>
      <c r="L694" s="550">
        <f>'Sollecitazioni nel paramento'!$G$60*(sezione!$AM$29-C694)/C694</f>
        <v>-1.7785579121145092E-3</v>
      </c>
      <c r="M694" s="551">
        <f>'Sollecitazioni nel paramento'!$G$60*(sezione!$AN$29-C694)/C694</f>
        <v>-1.2047438828193459E-3</v>
      </c>
      <c r="N694" s="551">
        <f>'Sollecitazioni nel paramento'!$G$60*(sezione!$AO$29-C694)/C694</f>
        <v>1.0905122343613087E-3</v>
      </c>
      <c r="O694" s="551">
        <f>'Sollecitazioni nel paramento'!$G$60*(sezione!$AP$29-C694)/C694</f>
        <v>5.7399221422129018E-3</v>
      </c>
      <c r="P694" s="545">
        <f>-'Sollecitazioni nel paramento'!$G$47*'Sollecitazioni nel paramento'!$G$41*IF(DATI!$G$211="dx",DATI!$E$61,DATI!$E$64*DATI!$E$63)*1000*C694*sezione!$AD$5</f>
        <v>-4647481.350840644</v>
      </c>
      <c r="Q694" s="545">
        <f>'Foglio deposito bis'!$F$48*IF(ABS(K694)&lt;'Sollecitazioni nel paramento'!$G$58,ABS(K694)*'Sollecitazioni nel paramento'!$G$54,'Sollecitazioni nel paramento'!$G$53)*IF(K694&lt;0,-1,1)</f>
        <v>0</v>
      </c>
      <c r="R694" s="545">
        <f>'Foglio deposito bis'!$F$49*IF(ABS(L694)&lt;'Sollecitazioni nel paramento'!$G$58,ABS(L694)*'Sollecitazioni nel paramento'!$G$54,'Sollecitazioni nel paramento'!$G$53)*IF(L694&lt;0,-1,1)</f>
        <v>-191837.65349344772</v>
      </c>
      <c r="S694" s="545">
        <f>'Foglio deposito bis'!$F$50*IF(ABS(M694)&lt;'Sollecitazioni nel paramento'!$G$58,ABS(M694)*'Sollecitazioni nel paramento'!$G$54,'Sollecitazioni nel paramento'!$G$53)*IF(M694&lt;0,-1,1)</f>
        <v>0</v>
      </c>
      <c r="T694" s="545">
        <f>'Foglio deposito bis'!$F$51*IF(ABS(N694)&lt;'Sollecitazioni nel paramento'!$G$58,ABS(N694)*'Sollecitazioni nel paramento'!$G$54,'Sollecitazioni nel paramento'!$G$53)*IF(N694&lt;0,-1,1)</f>
        <v>138325.96436903995</v>
      </c>
      <c r="U694" s="545">
        <f>'Foglio deposito bis'!$F$52*IF(ABS(O694)&lt;'Sollecitazioni nel paramento'!$G$58,ABS(O694)*'Sollecitazioni nel paramento'!$G$54,'Sollecitazioni nel paramento'!$G$53)*IF(O694&lt;0,-1,1)</f>
        <v>240946.49743184328</v>
      </c>
      <c r="V694" s="472">
        <f t="shared" si="53"/>
        <v>-4460046.5425332086</v>
      </c>
      <c r="W694" s="551"/>
      <c r="X694" s="551"/>
    </row>
    <row r="695" spans="1:24" x14ac:dyDescent="0.25">
      <c r="A695" s="545">
        <f t="shared" si="54"/>
        <v>4676343.3581216438</v>
      </c>
      <c r="B695" s="3">
        <f t="shared" si="51"/>
        <v>25.899999999999942</v>
      </c>
      <c r="C695" s="545">
        <f>'Foglio deposito bis'!$E$155/sezione!$B$247*B695</f>
        <v>126.88997002976096</v>
      </c>
      <c r="D695" s="603">
        <f>-'Sollecitazioni nel paramento'!$G$47*'Sollecitazioni nel paramento'!$G$41*IF(DATI!$G$211="dx",DATI!$E$61,DATI!$E$64*DATI!$E$63)*1000*C695^2*sezione!$AD$5*(1-sezione!$AD$6)</f>
        <v>-358226916.35572225</v>
      </c>
      <c r="E695" s="545">
        <f>-'Foglio deposito bis'!$F$48*(C695-sezione!$AL$29)*IF(ABS(K695)&lt;'Sollecitazioni nel paramento'!$G$58,ABS(K695)*'Sollecitazioni nel paramento'!$G$54,'Sollecitazioni nel paramento'!$G$53)</f>
        <v>0</v>
      </c>
      <c r="F695" s="545">
        <f>-'Foglio deposito bis'!$F$49*(C695-sezione!$AM$29)*IF(ABS(L695)&lt;'Sollecitazioni nel paramento'!$G$58,ABS(L695)*'Sollecitazioni nel paramento'!$G$54,'Sollecitazioni nel paramento'!$G$53)</f>
        <v>-13311548.994183861</v>
      </c>
      <c r="G695" s="545">
        <f>-'Foglio deposito bis'!$F$50*(C695-sezione!$AN$29)*IF(ABS(M695)&lt;'Sollecitazioni nel paramento'!$G$58,ABS(M695)*'Sollecitazioni nel paramento'!$G$54,'Sollecitazioni nel paramento'!$G$53)</f>
        <v>0</v>
      </c>
      <c r="H695" s="545">
        <f>-'Foglio deposito bis'!$F$51*(C695-sezione!$AO$29)*IF(ABS(N695)&lt;'Sollecitazioni nel paramento'!$G$58,ABS(N695)*'Sollecitazioni nel paramento'!$G$54,'Sollecitazioni nel paramento'!$G$53)</f>
        <v>3835597.8073655111</v>
      </c>
      <c r="I695" s="472">
        <f>-'Foglio deposito bis'!$F$52*(C695-sezione!$AP$29)*IF(ABS(O695)&lt;'Sollecitazioni nel paramento'!$G$58,ABS(O695)*'Sollecitazioni nel paramento'!$G$54,'Sollecitazioni nel paramento'!$G$53)</f>
        <v>47023812.080306269</v>
      </c>
      <c r="J695" s="472">
        <f t="shared" si="52"/>
        <v>-320679055.46223426</v>
      </c>
      <c r="K695" s="550">
        <f>'Sollecitazioni nel paramento'!$G$60*(sezione!$AL$29-C695)/C695</f>
        <v>-2.3966819050618088E-3</v>
      </c>
      <c r="L695" s="550">
        <f>'Sollecitazioni nel paramento'!$G$60*(sezione!$AM$29-C695)/C695</f>
        <v>-1.8450228575927136E-3</v>
      </c>
      <c r="M695" s="551">
        <f>'Sollecitazioni nel paramento'!$G$60*(sezione!$AN$29-C695)/C695</f>
        <v>-1.2933638101236182E-3</v>
      </c>
      <c r="N695" s="551">
        <f>'Sollecitazioni nel paramento'!$G$60*(sezione!$AO$29-C695)/C695</f>
        <v>9.1327237975276365E-4</v>
      </c>
      <c r="O695" s="551">
        <f>'Sollecitazioni nel paramento'!$G$60*(sezione!$AP$29-C695)/C695</f>
        <v>5.3831683915483109E-3</v>
      </c>
      <c r="P695" s="545">
        <f>-'Sollecitazioni nel paramento'!$G$47*'Sollecitazioni nel paramento'!$G$41*IF(DATI!$G$211="dx",DATI!$E$61,DATI!$E$64*DATI!$E$63)*1000*C695*sezione!$AD$5</f>
        <v>-4834127.1882238025</v>
      </c>
      <c r="Q695" s="545">
        <f>'Foglio deposito bis'!$F$48*IF(ABS(K695)&lt;'Sollecitazioni nel paramento'!$G$58,ABS(K695)*'Sollecitazioni nel paramento'!$G$54,'Sollecitazioni nel paramento'!$G$53)*IF(K695&lt;0,-1,1)</f>
        <v>0</v>
      </c>
      <c r="R695" s="545">
        <f>'Foglio deposito bis'!$F$49*IF(ABS(L695)&lt;'Sollecitazioni nel paramento'!$G$58,ABS(L695)*'Sollecitazioni nel paramento'!$G$54,'Sollecitazioni nel paramento'!$G$53)*IF(L695&lt;0,-1,1)</f>
        <v>-199006.65209240236</v>
      </c>
      <c r="S695" s="545">
        <f>'Foglio deposito bis'!$F$50*IF(ABS(M695)&lt;'Sollecitazioni nel paramento'!$G$58,ABS(M695)*'Sollecitazioni nel paramento'!$G$54,'Sollecitazioni nel paramento'!$G$53)*IF(M695&lt;0,-1,1)</f>
        <v>0</v>
      </c>
      <c r="T695" s="545">
        <f>'Foglio deposito bis'!$F$51*IF(ABS(N695)&lt;'Sollecitazioni nel paramento'!$G$58,ABS(N695)*'Sollecitazioni nel paramento'!$G$54,'Sollecitazioni nel paramento'!$G$53)*IF(N695&lt;0,-1,1)</f>
        <v>115843.9847627181</v>
      </c>
      <c r="U695" s="545">
        <f>'Foglio deposito bis'!$F$52*IF(ABS(O695)&lt;'Sollecitazioni nel paramento'!$G$58,ABS(O695)*'Sollecitazioni nel paramento'!$G$54,'Sollecitazioni nel paramento'!$G$53)*IF(O695&lt;0,-1,1)</f>
        <v>240946.49743184328</v>
      </c>
      <c r="V695" s="472">
        <f t="shared" si="53"/>
        <v>-4676343.3581216438</v>
      </c>
      <c r="W695" s="551"/>
      <c r="X695" s="551"/>
    </row>
    <row r="696" spans="1:24" x14ac:dyDescent="0.25">
      <c r="A696" s="545">
        <f t="shared" si="54"/>
        <v>4889679.4777794415</v>
      </c>
      <c r="B696" s="3">
        <f t="shared" si="51"/>
        <v>26.899999999999942</v>
      </c>
      <c r="C696" s="545">
        <f>'Foglio deposito bis'!$E$155/sezione!$B$247*B696</f>
        <v>131.78919667183669</v>
      </c>
      <c r="D696" s="603">
        <f>-'Sollecitazioni nel paramento'!$G$47*'Sollecitazioni nel paramento'!$G$41*IF(DATI!$G$211="dx",DATI!$E$61,DATI!$E$64*DATI!$E$63)*1000*C696^2*sezione!$AD$5*(1-sezione!$AD$6)</f>
        <v>-386423247.93035924</v>
      </c>
      <c r="E696" s="545">
        <f>-'Foglio deposito bis'!$F$48*(C696-sezione!$AL$29)*IF(ABS(K696)&lt;'Sollecitazioni nel paramento'!$G$58,ABS(K696)*'Sollecitazioni nel paramento'!$G$54,'Sollecitazioni nel paramento'!$G$53)</f>
        <v>0</v>
      </c>
      <c r="F696" s="545">
        <f>-'Foglio deposito bis'!$F$49*(C696-sezione!$AM$29)*IF(ABS(L696)&lt;'Sollecitazioni nel paramento'!$G$58,ABS(L696)*'Sollecitazioni nel paramento'!$G$54,'Sollecitazioni nel paramento'!$G$53)</f>
        <v>-14708635.622044889</v>
      </c>
      <c r="G696" s="545">
        <f>-'Foglio deposito bis'!$F$50*(C696-sezione!$AN$29)*IF(ABS(M696)&lt;'Sollecitazioni nel paramento'!$G$58,ABS(M696)*'Sollecitazioni nel paramento'!$G$54,'Sollecitazioni nel paramento'!$G$53)</f>
        <v>0</v>
      </c>
      <c r="H696" s="545">
        <f>-'Foglio deposito bis'!$F$51*(C696-sezione!$AO$29)*IF(ABS(N696)&lt;'Sollecitazioni nel paramento'!$G$58,ABS(N696)*'Sollecitazioni nel paramento'!$G$54,'Sollecitazioni nel paramento'!$G$53)</f>
        <v>2680972.1624519001</v>
      </c>
      <c r="I696" s="472">
        <f>-'Foglio deposito bis'!$F$52*(C696-sezione!$AP$29)*IF(ABS(O696)&lt;'Sollecitazioni nel paramento'!$G$58,ABS(O696)*'Sollecitazioni nel paramento'!$G$54,'Sollecitazioni nel paramento'!$G$53)</f>
        <v>45843360.580773346</v>
      </c>
      <c r="J696" s="472">
        <f t="shared" si="52"/>
        <v>-352607550.80917883</v>
      </c>
      <c r="K696" s="550">
        <f>'Sollecitazioni nel paramento'!$G$60*(sezione!$AL$29-C696)/C696</f>
        <v>-2.4376974476245676E-3</v>
      </c>
      <c r="L696" s="550">
        <f>'Sollecitazioni nel paramento'!$G$60*(sezione!$AM$29-C696)/C696</f>
        <v>-1.9065461714368511E-3</v>
      </c>
      <c r="M696" s="551">
        <f>'Sollecitazioni nel paramento'!$G$60*(sezione!$AN$29-C696)/C696</f>
        <v>-1.3753948952491346E-3</v>
      </c>
      <c r="N696" s="551">
        <f>'Sollecitazioni nel paramento'!$G$60*(sezione!$AO$29-C696)/C696</f>
        <v>7.492102095017309E-4</v>
      </c>
      <c r="O696" s="551">
        <f>'Sollecitazioni nel paramento'!$G$60*(sezione!$AP$29-C696)/C696</f>
        <v>5.052939083312313E-3</v>
      </c>
      <c r="P696" s="545">
        <f>-'Sollecitazioni nel paramento'!$G$47*'Sollecitazioni nel paramento'!$G$41*IF(DATI!$G$211="dx",DATI!$E$61,DATI!$E$64*DATI!$E$63)*1000*C696*sezione!$AD$5</f>
        <v>-5020773.025606961</v>
      </c>
      <c r="Q696" s="545">
        <f>'Foglio deposito bis'!$F$48*IF(ABS(K696)&lt;'Sollecitazioni nel paramento'!$G$58,ABS(K696)*'Sollecitazioni nel paramento'!$G$54,'Sollecitazioni nel paramento'!$G$53)*IF(K696&lt;0,-1,1)</f>
        <v>0</v>
      </c>
      <c r="R696" s="545">
        <f>'Foglio deposito bis'!$F$49*IF(ABS(L696)&lt;'Sollecitazioni nel paramento'!$G$58,ABS(L696)*'Sollecitazioni nel paramento'!$G$54,'Sollecitazioni nel paramento'!$G$53)*IF(L696&lt;0,-1,1)</f>
        <v>-204886.47740803001</v>
      </c>
      <c r="S696" s="545">
        <f>'Foglio deposito bis'!$F$50*IF(ABS(M696)&lt;'Sollecitazioni nel paramento'!$G$58,ABS(M696)*'Sollecitazioni nel paramento'!$G$54,'Sollecitazioni nel paramento'!$G$53)*IF(M696&lt;0,-1,1)</f>
        <v>0</v>
      </c>
      <c r="T696" s="545">
        <f>'Foglio deposito bis'!$F$51*IF(ABS(N696)&lt;'Sollecitazioni nel paramento'!$G$58,ABS(N696)*'Sollecitazioni nel paramento'!$G$54,'Sollecitazioni nel paramento'!$G$53)*IF(N696&lt;0,-1,1)</f>
        <v>95033.527803706369</v>
      </c>
      <c r="U696" s="545">
        <f>'Foglio deposito bis'!$F$52*IF(ABS(O696)&lt;'Sollecitazioni nel paramento'!$G$58,ABS(O696)*'Sollecitazioni nel paramento'!$G$54,'Sollecitazioni nel paramento'!$G$53)*IF(O696&lt;0,-1,1)</f>
        <v>240946.49743184328</v>
      </c>
      <c r="V696" s="472">
        <f t="shared" si="53"/>
        <v>-4889679.4777794415</v>
      </c>
      <c r="W696" s="551"/>
      <c r="X696" s="551"/>
    </row>
    <row r="697" spans="1:24" x14ac:dyDescent="0.25">
      <c r="A697" s="545">
        <f t="shared" si="54"/>
        <v>5095643.9830922922</v>
      </c>
      <c r="B697" s="3">
        <f t="shared" si="51"/>
        <v>27.899999999999942</v>
      </c>
      <c r="C697" s="545">
        <f>'Foglio deposito bis'!$E$155/sezione!$B$247*B697</f>
        <v>136.68842331391241</v>
      </c>
      <c r="D697" s="603">
        <f>-'Sollecitazioni nel paramento'!$G$47*'Sollecitazioni nel paramento'!$G$41*IF(DATI!$G$211="dx",DATI!$E$61,DATI!$E$64*DATI!$E$63)*1000*C697^2*sezione!$AD$5*(1-sezione!$AD$6)</f>
        <v>-415687622.36767173</v>
      </c>
      <c r="E697" s="545">
        <f>-'Foglio deposito bis'!$F$48*(C697-sezione!$AL$29)*IF(ABS(K697)&lt;'Sollecitazioni nel paramento'!$G$58,ABS(K697)*'Sollecitazioni nel paramento'!$G$54,'Sollecitazioni nel paramento'!$G$53)</f>
        <v>0</v>
      </c>
      <c r="F697" s="545">
        <f>-'Foglio deposito bis'!$F$49*(C697-sezione!$AM$29)*IF(ABS(L697)&lt;'Sollecitazioni nel paramento'!$G$58,ABS(L697)*'Sollecitazioni nel paramento'!$G$54,'Sollecitazioni nel paramento'!$G$53)</f>
        <v>-15712420.910763357</v>
      </c>
      <c r="G697" s="545">
        <f>-'Foglio deposito bis'!$F$50*(C697-sezione!$AN$29)*IF(ABS(M697)&lt;'Sollecitazioni nel paramento'!$G$58,ABS(M697)*'Sollecitazioni nel paramento'!$G$54,'Sollecitazioni nel paramento'!$G$53)</f>
        <v>0</v>
      </c>
      <c r="H697" s="545">
        <f>-'Foglio deposito bis'!$F$51*(C697-sezione!$AO$29)*IF(ABS(N697)&lt;'Sollecitazioni nel paramento'!$G$58,ABS(N697)*'Sollecitazioni nel paramento'!$G$54,'Sollecitazioni nel paramento'!$G$53)</f>
        <v>1765032.7622294666</v>
      </c>
      <c r="I697" s="472">
        <f>-'Foglio deposito bis'!$F$52*(C697-sezione!$AP$29)*IF(ABS(O697)&lt;'Sollecitazioni nel paramento'!$G$58,ABS(O697)*'Sollecitazioni nel paramento'!$G$54,'Sollecitazioni nel paramento'!$G$53)</f>
        <v>44662909.08124043</v>
      </c>
      <c r="J697" s="472">
        <f t="shared" si="52"/>
        <v>-384972101.43496525</v>
      </c>
      <c r="K697" s="550">
        <f>'Sollecitazioni nel paramento'!$G$60*(sezione!$AL$29-C697)/C697</f>
        <v>-2.475772807924762E-3</v>
      </c>
      <c r="L697" s="550">
        <f>'Sollecitazioni nel paramento'!$G$60*(sezione!$AM$29-C697)/C697</f>
        <v>-1.9636592118871432E-3</v>
      </c>
      <c r="M697" s="551">
        <f>'Sollecitazioni nel paramento'!$G$60*(sezione!$AN$29-C697)/C697</f>
        <v>-1.451545615849524E-3</v>
      </c>
      <c r="N697" s="551">
        <f>'Sollecitazioni nel paramento'!$G$60*(sezione!$AO$29-C697)/C697</f>
        <v>5.9690876830095188E-4</v>
      </c>
      <c r="O697" s="551">
        <f>'Sollecitazioni nel paramento'!$G$60*(sezione!$AP$29-C697)/C697</f>
        <v>4.7463821269211901E-3</v>
      </c>
      <c r="P697" s="545">
        <f>-'Sollecitazioni nel paramento'!$G$47*'Sollecitazioni nel paramento'!$G$41*IF(DATI!$G$211="dx",DATI!$E$61,DATI!$E$64*DATI!$E$63)*1000*C697*sezione!$AD$5</f>
        <v>-5207418.8629901204</v>
      </c>
      <c r="Q697" s="545">
        <f>'Foglio deposito bis'!$F$48*IF(ABS(K697)&lt;'Sollecitazioni nel paramento'!$G$58,ABS(K697)*'Sollecitazioni nel paramento'!$G$54,'Sollecitazioni nel paramento'!$G$53)*IF(K697&lt;0,-1,1)</f>
        <v>0</v>
      </c>
      <c r="R697" s="545">
        <f>'Foglio deposito bis'!$F$49*IF(ABS(L697)&lt;'Sollecitazioni nel paramento'!$G$58,ABS(L697)*'Sollecitazioni nel paramento'!$G$54,'Sollecitazioni nel paramento'!$G$53)*IF(L697&lt;0,-1,1)</f>
        <v>-204886.47740803001</v>
      </c>
      <c r="S697" s="545">
        <f>'Foglio deposito bis'!$F$50*IF(ABS(M697)&lt;'Sollecitazioni nel paramento'!$G$58,ABS(M697)*'Sollecitazioni nel paramento'!$G$54,'Sollecitazioni nel paramento'!$G$53)*IF(M697&lt;0,-1,1)</f>
        <v>0</v>
      </c>
      <c r="T697" s="545">
        <f>'Foglio deposito bis'!$F$51*IF(ABS(N697)&lt;'Sollecitazioni nel paramento'!$G$58,ABS(N697)*'Sollecitazioni nel paramento'!$G$54,'Sollecitazioni nel paramento'!$G$53)*IF(N697&lt;0,-1,1)</f>
        <v>75714.859874014553</v>
      </c>
      <c r="U697" s="545">
        <f>'Foglio deposito bis'!$F$52*IF(ABS(O697)&lt;'Sollecitazioni nel paramento'!$G$58,ABS(O697)*'Sollecitazioni nel paramento'!$G$54,'Sollecitazioni nel paramento'!$G$53)*IF(O697&lt;0,-1,1)</f>
        <v>240946.49743184328</v>
      </c>
      <c r="V697" s="472">
        <f t="shared" si="53"/>
        <v>-5095643.9830922922</v>
      </c>
      <c r="W697" s="551"/>
      <c r="X697" s="551"/>
    </row>
    <row r="698" spans="1:24" x14ac:dyDescent="0.25">
      <c r="A698" s="545">
        <f t="shared" si="54"/>
        <v>5300271.5563684851</v>
      </c>
      <c r="B698" s="3">
        <f t="shared" si="51"/>
        <v>28.899999999999942</v>
      </c>
      <c r="C698" s="545">
        <f>'Foglio deposito bis'!$E$155/sezione!$B$247*B698</f>
        <v>141.58764995598813</v>
      </c>
      <c r="D698" s="603">
        <f>-'Sollecitazioni nel paramento'!$G$47*'Sollecitazioni nel paramento'!$G$41*IF(DATI!$G$211="dx",DATI!$E$61,DATI!$E$64*DATI!$E$63)*1000*C698^2*sezione!$AD$5*(1-sezione!$AD$6)</f>
        <v>-446020039.66765982</v>
      </c>
      <c r="E698" s="545">
        <f>-'Foglio deposito bis'!$F$48*(C698-sezione!$AL$29)*IF(ABS(K698)&lt;'Sollecitazioni nel paramento'!$G$58,ABS(K698)*'Sollecitazioni nel paramento'!$G$54,'Sollecitazioni nel paramento'!$G$53)</f>
        <v>0</v>
      </c>
      <c r="F698" s="545">
        <f>-'Foglio deposito bis'!$F$49*(C698-sezione!$AM$29)*IF(ABS(L698)&lt;'Sollecitazioni nel paramento'!$G$58,ABS(L698)*'Sollecitazioni nel paramento'!$G$54,'Sollecitazioni nel paramento'!$G$53)</f>
        <v>-16716206.199481821</v>
      </c>
      <c r="G698" s="545">
        <f>-'Foglio deposito bis'!$F$50*(C698-sezione!$AN$29)*IF(ABS(M698)&lt;'Sollecitazioni nel paramento'!$G$58,ABS(M698)*'Sollecitazioni nel paramento'!$G$54,'Sollecitazioni nel paramento'!$G$53)</f>
        <v>0</v>
      </c>
      <c r="H698" s="545">
        <f>-'Foglio deposito bis'!$F$51*(C698-sezione!$AO$29)*IF(ABS(N698)&lt;'Sollecitazioni nel paramento'!$G$58,ABS(N698)*'Sollecitazioni nel paramento'!$G$54,'Sollecitazioni nel paramento'!$G$53)</f>
        <v>1063002.4878721326</v>
      </c>
      <c r="I698" s="472">
        <f>-'Foglio deposito bis'!$F$52*(C698-sezione!$AP$29)*IF(ABS(O698)&lt;'Sollecitazioni nel paramento'!$G$58,ABS(O698)*'Sollecitazioni nel paramento'!$G$54,'Sollecitazioni nel paramento'!$G$53)</f>
        <v>43482457.581707522</v>
      </c>
      <c r="J698" s="472">
        <f t="shared" si="52"/>
        <v>-418190785.797562</v>
      </c>
      <c r="K698" s="550">
        <f>'Sollecitazioni nel paramento'!$G$60*(sezione!$AL$29-C698)/C698</f>
        <v>-2.5112131951938012E-3</v>
      </c>
      <c r="L698" s="550">
        <f>'Sollecitazioni nel paramento'!$G$60*(sezione!$AM$29-C698)/C698</f>
        <v>-2.016819792790702E-3</v>
      </c>
      <c r="M698" s="551">
        <f>'Sollecitazioni nel paramento'!$G$60*(sezione!$AN$29-C698)/C698</f>
        <v>-1.522426390387603E-3</v>
      </c>
      <c r="N698" s="551">
        <f>'Sollecitazioni nel paramento'!$G$60*(sezione!$AO$29-C698)/C698</f>
        <v>4.5514721922479428E-4</v>
      </c>
      <c r="O698" s="551">
        <f>'Sollecitazioni nel paramento'!$G$60*(sezione!$AP$29-C698)/C698</f>
        <v>4.4610401848131911E-3</v>
      </c>
      <c r="P698" s="545">
        <f>-'Sollecitazioni nel paramento'!$G$47*'Sollecitazioni nel paramento'!$G$41*IF(DATI!$G$211="dx",DATI!$E$61,DATI!$E$64*DATI!$E$63)*1000*C698*sezione!$AD$5</f>
        <v>-5394064.700373278</v>
      </c>
      <c r="Q698" s="545">
        <f>'Foglio deposito bis'!$F$48*IF(ABS(K698)&lt;'Sollecitazioni nel paramento'!$G$58,ABS(K698)*'Sollecitazioni nel paramento'!$G$54,'Sollecitazioni nel paramento'!$G$53)*IF(K698&lt;0,-1,1)</f>
        <v>0</v>
      </c>
      <c r="R698" s="545">
        <f>'Foglio deposito bis'!$F$49*IF(ABS(L698)&lt;'Sollecitazioni nel paramento'!$G$58,ABS(L698)*'Sollecitazioni nel paramento'!$G$54,'Sollecitazioni nel paramento'!$G$53)*IF(L698&lt;0,-1,1)</f>
        <v>-204886.47740803001</v>
      </c>
      <c r="S698" s="545">
        <f>'Foglio deposito bis'!$F$50*IF(ABS(M698)&lt;'Sollecitazioni nel paramento'!$G$58,ABS(M698)*'Sollecitazioni nel paramento'!$G$54,'Sollecitazioni nel paramento'!$G$53)*IF(M698&lt;0,-1,1)</f>
        <v>0</v>
      </c>
      <c r="T698" s="545">
        <f>'Foglio deposito bis'!$F$51*IF(ABS(N698)&lt;'Sollecitazioni nel paramento'!$G$58,ABS(N698)*'Sollecitazioni nel paramento'!$G$54,'Sollecitazioni nel paramento'!$G$53)*IF(N698&lt;0,-1,1)</f>
        <v>57733.123980979602</v>
      </c>
      <c r="U698" s="545">
        <f>'Foglio deposito bis'!$F$52*IF(ABS(O698)&lt;'Sollecitazioni nel paramento'!$G$58,ABS(O698)*'Sollecitazioni nel paramento'!$G$54,'Sollecitazioni nel paramento'!$G$53)*IF(O698&lt;0,-1,1)</f>
        <v>240946.49743184328</v>
      </c>
      <c r="V698" s="472">
        <f t="shared" si="53"/>
        <v>-5300271.5563684851</v>
      </c>
      <c r="W698" s="551"/>
      <c r="X698" s="551"/>
    </row>
    <row r="699" spans="1:24" x14ac:dyDescent="0.25">
      <c r="A699" s="545">
        <f t="shared" si="54"/>
        <v>5503696.3379461486</v>
      </c>
      <c r="B699" s="3">
        <f t="shared" si="51"/>
        <v>29.899999999999942</v>
      </c>
      <c r="C699" s="545">
        <f>'Foglio deposito bis'!$E$155/sezione!$B$247*B699</f>
        <v>146.48687659806384</v>
      </c>
      <c r="D699" s="603">
        <f>-'Sollecitazioni nel paramento'!$G$47*'Sollecitazioni nel paramento'!$G$41*IF(DATI!$G$211="dx",DATI!$E$61,DATI!$E$64*DATI!$E$63)*1000*C699^2*sezione!$AD$5*(1-sezione!$AD$6)</f>
        <v>-477420499.83032364</v>
      </c>
      <c r="E699" s="545">
        <f>-'Foglio deposito bis'!$F$48*(C699-sezione!$AL$29)*IF(ABS(K699)&lt;'Sollecitazioni nel paramento'!$G$58,ABS(K699)*'Sollecitazioni nel paramento'!$G$54,'Sollecitazioni nel paramento'!$G$53)</f>
        <v>0</v>
      </c>
      <c r="F699" s="545">
        <f>-'Foglio deposito bis'!$F$49*(C699-sezione!$AM$29)*IF(ABS(L699)&lt;'Sollecitazioni nel paramento'!$G$58,ABS(L699)*'Sollecitazioni nel paramento'!$G$54,'Sollecitazioni nel paramento'!$G$53)</f>
        <v>-17719991.488200288</v>
      </c>
      <c r="G699" s="545">
        <f>-'Foglio deposito bis'!$F$50*(C699-sezione!$AN$29)*IF(ABS(M699)&lt;'Sollecitazioni nel paramento'!$G$58,ABS(M699)*'Sollecitazioni nel paramento'!$G$54,'Sollecitazioni nel paramento'!$G$53)</f>
        <v>0</v>
      </c>
      <c r="H699" s="545">
        <f>-'Foglio deposito bis'!$F$51*(C699-sezione!$AO$29)*IF(ABS(N699)&lt;'Sollecitazioni nel paramento'!$G$58,ABS(N699)*'Sollecitazioni nel paramento'!$G$54,'Sollecitazioni nel paramento'!$G$53)</f>
        <v>553418.8852797217</v>
      </c>
      <c r="I699" s="472">
        <f>-'Foglio deposito bis'!$F$52*(C699-sezione!$AP$29)*IF(ABS(O699)&lt;'Sollecitazioni nel paramento'!$G$58,ABS(O699)*'Sollecitazioni nel paramento'!$G$54,'Sollecitazioni nel paramento'!$G$53)</f>
        <v>42302006.082174607</v>
      </c>
      <c r="J699" s="472">
        <f t="shared" si="52"/>
        <v>-452285066.35106963</v>
      </c>
      <c r="K699" s="550">
        <f>'Sollecitazioni nel paramento'!$G$60*(sezione!$AL$29-C699)/C699</f>
        <v>-2.5442829879966846E-3</v>
      </c>
      <c r="L699" s="550">
        <f>'Sollecitazioni nel paramento'!$G$60*(sezione!$AM$29-C699)/C699</f>
        <v>-2.0664244819950267E-3</v>
      </c>
      <c r="M699" s="551">
        <f>'Sollecitazioni nel paramento'!$G$60*(sezione!$AN$29-C699)/C699</f>
        <v>-1.5885659759933689E-3</v>
      </c>
      <c r="N699" s="551">
        <f>'Sollecitazioni nel paramento'!$G$60*(sezione!$AO$29-C699)/C699</f>
        <v>3.2286804801326261E-4</v>
      </c>
      <c r="O699" s="551">
        <f>'Sollecitazioni nel paramento'!$G$60*(sezione!$AP$29-C699)/C699</f>
        <v>4.1947846602374984E-3</v>
      </c>
      <c r="P699" s="545">
        <f>-'Sollecitazioni nel paramento'!$G$47*'Sollecitazioni nel paramento'!$G$41*IF(DATI!$G$211="dx",DATI!$E$61,DATI!$E$64*DATI!$E$63)*1000*C699*sezione!$AD$5</f>
        <v>-5580710.5377564374</v>
      </c>
      <c r="Q699" s="545">
        <f>'Foglio deposito bis'!$F$48*IF(ABS(K699)&lt;'Sollecitazioni nel paramento'!$G$58,ABS(K699)*'Sollecitazioni nel paramento'!$G$54,'Sollecitazioni nel paramento'!$G$53)*IF(K699&lt;0,-1,1)</f>
        <v>0</v>
      </c>
      <c r="R699" s="545">
        <f>'Foglio deposito bis'!$F$49*IF(ABS(L699)&lt;'Sollecitazioni nel paramento'!$G$58,ABS(L699)*'Sollecitazioni nel paramento'!$G$54,'Sollecitazioni nel paramento'!$G$53)*IF(L699&lt;0,-1,1)</f>
        <v>-204886.47740803001</v>
      </c>
      <c r="S699" s="545">
        <f>'Foglio deposito bis'!$F$50*IF(ABS(M699)&lt;'Sollecitazioni nel paramento'!$G$58,ABS(M699)*'Sollecitazioni nel paramento'!$G$54,'Sollecitazioni nel paramento'!$G$53)*IF(M699&lt;0,-1,1)</f>
        <v>0</v>
      </c>
      <c r="T699" s="545">
        <f>'Foglio deposito bis'!$F$51*IF(ABS(N699)&lt;'Sollecitazioni nel paramento'!$G$58,ABS(N699)*'Sollecitazioni nel paramento'!$G$54,'Sollecitazioni nel paramento'!$G$53)*IF(N699&lt;0,-1,1)</f>
        <v>40954.179786475419</v>
      </c>
      <c r="U699" s="545">
        <f>'Foglio deposito bis'!$F$52*IF(ABS(O699)&lt;'Sollecitazioni nel paramento'!$G$58,ABS(O699)*'Sollecitazioni nel paramento'!$G$54,'Sollecitazioni nel paramento'!$G$53)*IF(O699&lt;0,-1,1)</f>
        <v>240946.49743184328</v>
      </c>
      <c r="V699" s="472">
        <f t="shared" si="53"/>
        <v>-5503696.3379461486</v>
      </c>
      <c r="W699" s="551"/>
      <c r="X699" s="551"/>
    </row>
    <row r="700" spans="1:24" x14ac:dyDescent="0.25">
      <c r="A700" s="545">
        <f t="shared" si="54"/>
        <v>5706035.1037183432</v>
      </c>
      <c r="B700" s="3">
        <f t="shared" si="51"/>
        <v>30.899999999999942</v>
      </c>
      <c r="C700" s="545">
        <f>'Foglio deposito bis'!$E$155/sezione!$B$247*B700</f>
        <v>151.38610324013959</v>
      </c>
      <c r="D700" s="603">
        <f>-'Sollecitazioni nel paramento'!$G$47*'Sollecitazioni nel paramento'!$G$41*IF(DATI!$G$211="dx",DATI!$E$61,DATI!$E$64*DATI!$E$63)*1000*C700^2*sezione!$AD$5*(1-sezione!$AD$6)</f>
        <v>-509889002.85566318</v>
      </c>
      <c r="E700" s="545">
        <f>-'Foglio deposito bis'!$F$48*(C700-sezione!$AL$29)*IF(ABS(K700)&lt;'Sollecitazioni nel paramento'!$G$58,ABS(K700)*'Sollecitazioni nel paramento'!$G$54,'Sollecitazioni nel paramento'!$G$53)</f>
        <v>0</v>
      </c>
      <c r="F700" s="545">
        <f>-'Foglio deposito bis'!$F$49*(C700-sezione!$AM$29)*IF(ABS(L700)&lt;'Sollecitazioni nel paramento'!$G$58,ABS(L700)*'Sollecitazioni nel paramento'!$G$54,'Sollecitazioni nel paramento'!$G$53)</f>
        <v>-18723776.776918758</v>
      </c>
      <c r="G700" s="545">
        <f>-'Foglio deposito bis'!$F$50*(C700-sezione!$AN$29)*IF(ABS(M700)&lt;'Sollecitazioni nel paramento'!$G$58,ABS(M700)*'Sollecitazioni nel paramento'!$G$54,'Sollecitazioni nel paramento'!$G$53)</f>
        <v>0</v>
      </c>
      <c r="H700" s="545">
        <f>-'Foglio deposito bis'!$F$51*(C700-sezione!$AO$29)*IF(ABS(N700)&lt;'Sollecitazioni nel paramento'!$G$58,ABS(N700)*'Sollecitazioni nel paramento'!$G$54,'Sollecitazioni nel paramento'!$G$53)</f>
        <v>217597.81156243337</v>
      </c>
      <c r="I700" s="472">
        <f>-'Foglio deposito bis'!$F$52*(C700-sezione!$AP$29)*IF(ABS(O700)&lt;'Sollecitazioni nel paramento'!$G$58,ABS(O700)*'Sollecitazioni nel paramento'!$G$54,'Sollecitazioni nel paramento'!$G$53)</f>
        <v>41121554.582641684</v>
      </c>
      <c r="J700" s="472">
        <f t="shared" si="52"/>
        <v>-487273627.23837787</v>
      </c>
      <c r="K700" s="550">
        <f>'Sollecitazioni nel paramento'!$G$60*(sezione!$AL$29-C700)/C700</f>
        <v>-2.5752123411359506E-3</v>
      </c>
      <c r="L700" s="550">
        <f>'Sollecitazioni nel paramento'!$G$60*(sezione!$AM$29-C700)/C700</f>
        <v>-2.1128185117039256E-3</v>
      </c>
      <c r="M700" s="551">
        <f>'Sollecitazioni nel paramento'!$G$60*(sezione!$AN$29-C700)/C700</f>
        <v>-1.650424682271901E-3</v>
      </c>
      <c r="N700" s="551">
        <f>'Sollecitazioni nel paramento'!$G$60*(sezione!$AO$29-C700)/C700</f>
        <v>1.9915063545619826E-4</v>
      </c>
      <c r="O700" s="551">
        <f>'Sollecitazioni nel paramento'!$G$60*(sezione!$AP$29-C700)/C700</f>
        <v>3.9457625029482571E-3</v>
      </c>
      <c r="P700" s="545">
        <f>-'Sollecitazioni nel paramento'!$G$47*'Sollecitazioni nel paramento'!$G$41*IF(DATI!$G$211="dx",DATI!$E$61,DATI!$E$64*DATI!$E$63)*1000*C700*sezione!$AD$5</f>
        <v>-5767356.3751395969</v>
      </c>
      <c r="Q700" s="545">
        <f>'Foglio deposito bis'!$F$48*IF(ABS(K700)&lt;'Sollecitazioni nel paramento'!$G$58,ABS(K700)*'Sollecitazioni nel paramento'!$G$54,'Sollecitazioni nel paramento'!$G$53)*IF(K700&lt;0,-1,1)</f>
        <v>0</v>
      </c>
      <c r="R700" s="545">
        <f>'Foglio deposito bis'!$F$49*IF(ABS(L700)&lt;'Sollecitazioni nel paramento'!$G$58,ABS(L700)*'Sollecitazioni nel paramento'!$G$54,'Sollecitazioni nel paramento'!$G$53)*IF(L700&lt;0,-1,1)</f>
        <v>-204886.47740803001</v>
      </c>
      <c r="S700" s="545">
        <f>'Foglio deposito bis'!$F$50*IF(ABS(M700)&lt;'Sollecitazioni nel paramento'!$G$58,ABS(M700)*'Sollecitazioni nel paramento'!$G$54,'Sollecitazioni nel paramento'!$G$53)*IF(M700&lt;0,-1,1)</f>
        <v>0</v>
      </c>
      <c r="T700" s="545">
        <f>'Foglio deposito bis'!$F$51*IF(ABS(N700)&lt;'Sollecitazioni nel paramento'!$G$58,ABS(N700)*'Sollecitazioni nel paramento'!$G$54,'Sollecitazioni nel paramento'!$G$53)*IF(N700&lt;0,-1,1)</f>
        <v>25261.251397440661</v>
      </c>
      <c r="U700" s="545">
        <f>'Foglio deposito bis'!$F$52*IF(ABS(O700)&lt;'Sollecitazioni nel paramento'!$G$58,ABS(O700)*'Sollecitazioni nel paramento'!$G$54,'Sollecitazioni nel paramento'!$G$53)*IF(O700&lt;0,-1,1)</f>
        <v>240946.49743184328</v>
      </c>
      <c r="V700" s="472">
        <f t="shared" si="53"/>
        <v>-5706035.1037183432</v>
      </c>
      <c r="W700" s="551"/>
      <c r="X700" s="551"/>
    </row>
    <row r="701" spans="1:24" x14ac:dyDescent="0.25">
      <c r="A701" s="545">
        <f t="shared" si="54"/>
        <v>5907389.9868329158</v>
      </c>
      <c r="B701" s="3">
        <f t="shared" si="51"/>
        <v>31.899999999999942</v>
      </c>
      <c r="C701" s="545">
        <f>'Foglio deposito bis'!$E$155/sezione!$B$247*B701</f>
        <v>156.28532988221531</v>
      </c>
      <c r="D701" s="603">
        <f>-'Sollecitazioni nel paramento'!$G$47*'Sollecitazioni nel paramento'!$G$41*IF(DATI!$G$211="dx",DATI!$E$61,DATI!$E$64*DATI!$E$63)*1000*C701^2*sezione!$AD$5*(1-sezione!$AD$6)</f>
        <v>-543425548.74367833</v>
      </c>
      <c r="E701" s="545">
        <f>-'Foglio deposito bis'!$F$48*(C701-sezione!$AL$29)*IF(ABS(K701)&lt;'Sollecitazioni nel paramento'!$G$58,ABS(K701)*'Sollecitazioni nel paramento'!$G$54,'Sollecitazioni nel paramento'!$G$53)</f>
        <v>0</v>
      </c>
      <c r="F701" s="545">
        <f>-'Foglio deposito bis'!$F$49*(C701-sezione!$AM$29)*IF(ABS(L701)&lt;'Sollecitazioni nel paramento'!$G$58,ABS(L701)*'Sollecitazioni nel paramento'!$G$54,'Sollecitazioni nel paramento'!$G$53)</f>
        <v>-19727562.065637223</v>
      </c>
      <c r="G701" s="545">
        <f>-'Foglio deposito bis'!$F$50*(C701-sezione!$AN$29)*IF(ABS(M701)&lt;'Sollecitazioni nel paramento'!$G$58,ABS(M701)*'Sollecitazioni nel paramento'!$G$54,'Sollecitazioni nel paramento'!$G$53)</f>
        <v>0</v>
      </c>
      <c r="H701" s="545">
        <f>-'Foglio deposito bis'!$F$51*(C701-sezione!$AO$29)*IF(ABS(N701)&lt;'Sollecitazioni nel paramento'!$G$58,ABS(N701)*'Sollecitazioni nel paramento'!$G$54,'Sollecitazioni nel paramento'!$G$53)</f>
        <v>39197.963064304116</v>
      </c>
      <c r="I701" s="472">
        <f>-'Foglio deposito bis'!$F$52*(C701-sezione!$AP$29)*IF(ABS(O701)&lt;'Sollecitazioni nel paramento'!$G$58,ABS(O701)*'Sollecitazioni nel paramento'!$G$54,'Sollecitazioni nel paramento'!$G$53)</f>
        <v>39941103.083108768</v>
      </c>
      <c r="J701" s="472">
        <f t="shared" si="52"/>
        <v>-523172809.76314247</v>
      </c>
      <c r="K701" s="550">
        <f>'Sollecitazioni nel paramento'!$G$60*(sezione!$AL$29-C701)/C701</f>
        <v>-2.6042025498777704E-3</v>
      </c>
      <c r="L701" s="550">
        <f>'Sollecitazioni nel paramento'!$G$60*(sezione!$AM$29-C701)/C701</f>
        <v>-2.1563038248166551E-3</v>
      </c>
      <c r="M701" s="551">
        <f>'Sollecitazioni nel paramento'!$G$60*(sezione!$AN$29-C701)/C701</f>
        <v>-1.7084050997555403E-3</v>
      </c>
      <c r="N701" s="551">
        <f>'Sollecitazioni nel paramento'!$G$60*(sezione!$AO$29-C701)/C701</f>
        <v>8.3189800488919256E-5</v>
      </c>
      <c r="O701" s="551">
        <f>'Sollecitazioni nel paramento'!$G$60*(sezione!$AP$29-C701)/C701</f>
        <v>3.712353020097215E-3</v>
      </c>
      <c r="P701" s="545">
        <f>-'Sollecitazioni nel paramento'!$G$47*'Sollecitazioni nel paramento'!$G$41*IF(DATI!$G$211="dx",DATI!$E$61,DATI!$E$64*DATI!$E$63)*1000*C701*sezione!$AD$5</f>
        <v>-5954002.2125227554</v>
      </c>
      <c r="Q701" s="545">
        <f>'Foglio deposito bis'!$F$48*IF(ABS(K701)&lt;'Sollecitazioni nel paramento'!$G$58,ABS(K701)*'Sollecitazioni nel paramento'!$G$54,'Sollecitazioni nel paramento'!$G$53)*IF(K701&lt;0,-1,1)</f>
        <v>0</v>
      </c>
      <c r="R701" s="545">
        <f>'Foglio deposito bis'!$F$49*IF(ABS(L701)&lt;'Sollecitazioni nel paramento'!$G$58,ABS(L701)*'Sollecitazioni nel paramento'!$G$54,'Sollecitazioni nel paramento'!$G$53)*IF(L701&lt;0,-1,1)</f>
        <v>-204886.47740803001</v>
      </c>
      <c r="S701" s="545">
        <f>'Foglio deposito bis'!$F$50*IF(ABS(M701)&lt;'Sollecitazioni nel paramento'!$G$58,ABS(M701)*'Sollecitazioni nel paramento'!$G$54,'Sollecitazioni nel paramento'!$G$53)*IF(M701&lt;0,-1,1)</f>
        <v>0</v>
      </c>
      <c r="T701" s="545">
        <f>'Foglio deposito bis'!$F$51*IF(ABS(N701)&lt;'Sollecitazioni nel paramento'!$G$58,ABS(N701)*'Sollecitazioni nel paramento'!$G$54,'Sollecitazioni nel paramento'!$G$53)*IF(N701&lt;0,-1,1)</f>
        <v>10552.205666025737</v>
      </c>
      <c r="U701" s="545">
        <f>'Foglio deposito bis'!$F$52*IF(ABS(O701)&lt;'Sollecitazioni nel paramento'!$G$58,ABS(O701)*'Sollecitazioni nel paramento'!$G$54,'Sollecitazioni nel paramento'!$G$53)*IF(O701&lt;0,-1,1)</f>
        <v>240946.49743184328</v>
      </c>
      <c r="V701" s="472">
        <f t="shared" si="53"/>
        <v>-5907389.9868329158</v>
      </c>
      <c r="W701" s="551"/>
      <c r="X701" s="551"/>
    </row>
    <row r="702" spans="1:24" x14ac:dyDescent="0.25">
      <c r="A702" s="545">
        <f t="shared" si="54"/>
        <v>6107850.7030337257</v>
      </c>
      <c r="B702" s="3">
        <f t="shared" si="51"/>
        <v>32.899999999999942</v>
      </c>
      <c r="C702" s="545">
        <f>'Foglio deposito bis'!$E$155/sezione!$B$247*B702</f>
        <v>161.18455652429103</v>
      </c>
      <c r="D702" s="603">
        <f>-'Sollecitazioni nel paramento'!$G$47*'Sollecitazioni nel paramento'!$G$41*IF(DATI!$G$211="dx",DATI!$E$61,DATI!$E$64*DATI!$E$63)*1000*C702^2*sezione!$AD$5*(1-sezione!$AD$6)</f>
        <v>-578030137.49436903</v>
      </c>
      <c r="E702" s="545">
        <f>-'Foglio deposito bis'!$F$48*(C702-sezione!$AL$29)*IF(ABS(K702)&lt;'Sollecitazioni nel paramento'!$G$58,ABS(K702)*'Sollecitazioni nel paramento'!$G$54,'Sollecitazioni nel paramento'!$G$53)</f>
        <v>0</v>
      </c>
      <c r="F702" s="545">
        <f>-'Foglio deposito bis'!$F$49*(C702-sezione!$AM$29)*IF(ABS(L702)&lt;'Sollecitazioni nel paramento'!$G$58,ABS(L702)*'Sollecitazioni nel paramento'!$G$54,'Sollecitazioni nel paramento'!$G$53)</f>
        <v>-20731347.354355689</v>
      </c>
      <c r="G702" s="545">
        <f>-'Foglio deposito bis'!$F$50*(C702-sezione!$AN$29)*IF(ABS(M702)&lt;'Sollecitazioni nel paramento'!$G$58,ABS(M702)*'Sollecitazioni nel paramento'!$G$54,'Sollecitazioni nel paramento'!$G$53)</f>
        <v>0</v>
      </c>
      <c r="H702" s="545">
        <f>-'Foglio deposito bis'!$F$51*(C702-sezione!$AO$29)*IF(ABS(N702)&lt;'Sollecitazioni nel paramento'!$G$58,ABS(N702)*'Sollecitazioni nel paramento'!$G$54,'Sollecitazioni nel paramento'!$G$53)</f>
        <v>-3864.8207683869832</v>
      </c>
      <c r="I702" s="472">
        <f>-'Foglio deposito bis'!$F$52*(C702-sezione!$AP$29)*IF(ABS(O702)&lt;'Sollecitazioni nel paramento'!$G$58,ABS(O702)*'Sollecitazioni nel paramento'!$G$54,'Sollecitazioni nel paramento'!$G$53)</f>
        <v>38760651.583575852</v>
      </c>
      <c r="J702" s="472">
        <f t="shared" si="52"/>
        <v>-560004698.08591723</v>
      </c>
      <c r="K702" s="550">
        <f>'Sollecitazioni nel paramento'!$G$60*(sezione!$AL$29-C702)/C702</f>
        <v>-2.6314304358997223E-3</v>
      </c>
      <c r="L702" s="550">
        <f>'Sollecitazioni nel paramento'!$G$60*(sezione!$AM$29-C702)/C702</f>
        <v>-2.1971456538495836E-3</v>
      </c>
      <c r="M702" s="551">
        <f>'Sollecitazioni nel paramento'!$G$60*(sezione!$AN$29-C702)/C702</f>
        <v>-1.7628608717994451E-3</v>
      </c>
      <c r="N702" s="551">
        <f>'Sollecitazioni nel paramento'!$G$60*(sezione!$AO$29-C702)/C702</f>
        <v>-2.5721743598889891E-5</v>
      </c>
      <c r="O702" s="551">
        <f>'Sollecitazioni nel paramento'!$G$60*(sezione!$AP$29-C702)/C702</f>
        <v>3.4931325635593055E-3</v>
      </c>
      <c r="P702" s="545">
        <f>-'Sollecitazioni nel paramento'!$G$47*'Sollecitazioni nel paramento'!$G$41*IF(DATI!$G$211="dx",DATI!$E$61,DATI!$E$64*DATI!$E$63)*1000*C702*sezione!$AD$5</f>
        <v>-6140648.0499059139</v>
      </c>
      <c r="Q702" s="545">
        <f>'Foglio deposito bis'!$F$48*IF(ABS(K702)&lt;'Sollecitazioni nel paramento'!$G$58,ABS(K702)*'Sollecitazioni nel paramento'!$G$54,'Sollecitazioni nel paramento'!$G$53)*IF(K702&lt;0,-1,1)</f>
        <v>0</v>
      </c>
      <c r="R702" s="545">
        <f>'Foglio deposito bis'!$F$49*IF(ABS(L702)&lt;'Sollecitazioni nel paramento'!$G$58,ABS(L702)*'Sollecitazioni nel paramento'!$G$54,'Sollecitazioni nel paramento'!$G$53)*IF(L702&lt;0,-1,1)</f>
        <v>-204886.47740803001</v>
      </c>
      <c r="S702" s="545">
        <f>'Foglio deposito bis'!$F$50*IF(ABS(M702)&lt;'Sollecitazioni nel paramento'!$G$58,ABS(M702)*'Sollecitazioni nel paramento'!$G$54,'Sollecitazioni nel paramento'!$G$53)*IF(M702&lt;0,-1,1)</f>
        <v>0</v>
      </c>
      <c r="T702" s="545">
        <f>'Foglio deposito bis'!$F$51*IF(ABS(N702)&lt;'Sollecitazioni nel paramento'!$G$58,ABS(N702)*'Sollecitazioni nel paramento'!$G$54,'Sollecitazioni nel paramento'!$G$53)*IF(N702&lt;0,-1,1)</f>
        <v>-3262.6731516253608</v>
      </c>
      <c r="U702" s="545">
        <f>'Foglio deposito bis'!$F$52*IF(ABS(O702)&lt;'Sollecitazioni nel paramento'!$G$58,ABS(O702)*'Sollecitazioni nel paramento'!$G$54,'Sollecitazioni nel paramento'!$G$53)*IF(O702&lt;0,-1,1)</f>
        <v>240946.49743184328</v>
      </c>
      <c r="V702" s="472">
        <f t="shared" si="53"/>
        <v>-6107850.7030337257</v>
      </c>
      <c r="W702" s="551"/>
      <c r="X702" s="551"/>
    </row>
    <row r="703" spans="1:24" x14ac:dyDescent="0.25">
      <c r="A703" s="545">
        <f t="shared" si="54"/>
        <v>6307496.3821361493</v>
      </c>
      <c r="B703" s="3">
        <f t="shared" si="51"/>
        <v>33.899999999999942</v>
      </c>
      <c r="C703" s="545">
        <f>'Foglio deposito bis'!$E$155/sezione!$B$247*B703</f>
        <v>166.08378316636674</v>
      </c>
      <c r="D703" s="603">
        <f>-'Sollecitazioni nel paramento'!$G$47*'Sollecitazioni nel paramento'!$G$41*IF(DATI!$G$211="dx",DATI!$E$61,DATI!$E$64*DATI!$E$63)*1000*C703^2*sezione!$AD$5*(1-sezione!$AD$6)</f>
        <v>-613702769.10773528</v>
      </c>
      <c r="E703" s="545">
        <f>-'Foglio deposito bis'!$F$48*(C703-sezione!$AL$29)*IF(ABS(K703)&lt;'Sollecitazioni nel paramento'!$G$58,ABS(K703)*'Sollecitazioni nel paramento'!$G$54,'Sollecitazioni nel paramento'!$G$53)</f>
        <v>0</v>
      </c>
      <c r="F703" s="545">
        <f>-'Foglio deposito bis'!$F$49*(C703-sezione!$AM$29)*IF(ABS(L703)&lt;'Sollecitazioni nel paramento'!$G$58,ABS(L703)*'Sollecitazioni nel paramento'!$G$54,'Sollecitazioni nel paramento'!$G$53)</f>
        <v>-21735132.643074155</v>
      </c>
      <c r="G703" s="545">
        <f>-'Foglio deposito bis'!$F$50*(C703-sezione!$AN$29)*IF(ABS(M703)&lt;'Sollecitazioni nel paramento'!$G$58,ABS(M703)*'Sollecitazioni nel paramento'!$G$54,'Sollecitazioni nel paramento'!$G$53)</f>
        <v>0</v>
      </c>
      <c r="H703" s="545">
        <f>-'Foglio deposito bis'!$F$51*(C703-sezione!$AO$29)*IF(ABS(N703)&lt;'Sollecitazioni nel paramento'!$G$58,ABS(N703)*'Sollecitazioni nel paramento'!$G$54,'Sollecitazioni nel paramento'!$G$53)</f>
        <v>-98937.6142143092</v>
      </c>
      <c r="I703" s="472">
        <f>-'Foglio deposito bis'!$F$52*(C703-sezione!$AP$29)*IF(ABS(O703)&lt;'Sollecitazioni nel paramento'!$G$58,ABS(O703)*'Sollecitazioni nel paramento'!$G$54,'Sollecitazioni nel paramento'!$G$53)</f>
        <v>37580200.084042937</v>
      </c>
      <c r="J703" s="472">
        <f t="shared" si="52"/>
        <v>-597956639.28098083</v>
      </c>
      <c r="K703" s="550">
        <f>'Sollecitazioni nel paramento'!$G$60*(sezione!$AL$29-C703)/C703</f>
        <v>-2.6570519569646275E-3</v>
      </c>
      <c r="L703" s="550">
        <f>'Sollecitazioni nel paramento'!$G$60*(sezione!$AM$29-C703)/C703</f>
        <v>-2.2355779354469411E-3</v>
      </c>
      <c r="M703" s="551">
        <f>'Sollecitazioni nel paramento'!$G$60*(sezione!$AN$29-C703)/C703</f>
        <v>-1.8141039139292548E-3</v>
      </c>
      <c r="N703" s="551">
        <f>'Sollecitazioni nel paramento'!$G$60*(sezione!$AO$29-C703)/C703</f>
        <v>-1.2820782785850972E-4</v>
      </c>
      <c r="O703" s="551">
        <f>'Sollecitazioni nel paramento'!$G$60*(sezione!$AP$29-C703)/C703</f>
        <v>3.2868454672891189E-3</v>
      </c>
      <c r="P703" s="545">
        <f>-'Sollecitazioni nel paramento'!$G$47*'Sollecitazioni nel paramento'!$G$41*IF(DATI!$G$211="dx",DATI!$E$61,DATI!$E$64*DATI!$E$63)*1000*C703*sezione!$AD$5</f>
        <v>-6327293.8872890724</v>
      </c>
      <c r="Q703" s="545">
        <f>'Foglio deposito bis'!$F$48*IF(ABS(K703)&lt;'Sollecitazioni nel paramento'!$G$58,ABS(K703)*'Sollecitazioni nel paramento'!$G$54,'Sollecitazioni nel paramento'!$G$53)*IF(K703&lt;0,-1,1)</f>
        <v>0</v>
      </c>
      <c r="R703" s="545">
        <f>'Foglio deposito bis'!$F$49*IF(ABS(L703)&lt;'Sollecitazioni nel paramento'!$G$58,ABS(L703)*'Sollecitazioni nel paramento'!$G$54,'Sollecitazioni nel paramento'!$G$53)*IF(L703&lt;0,-1,1)</f>
        <v>-204886.47740803001</v>
      </c>
      <c r="S703" s="545">
        <f>'Foglio deposito bis'!$F$50*IF(ABS(M703)&lt;'Sollecitazioni nel paramento'!$G$58,ABS(M703)*'Sollecitazioni nel paramento'!$G$54,'Sollecitazioni nel paramento'!$G$53)*IF(M703&lt;0,-1,1)</f>
        <v>0</v>
      </c>
      <c r="T703" s="545">
        <f>'Foglio deposito bis'!$F$51*IF(ABS(N703)&lt;'Sollecitazioni nel paramento'!$G$58,ABS(N703)*'Sollecitazioni nel paramento'!$G$54,'Sollecitazioni nel paramento'!$G$53)*IF(N703&lt;0,-1,1)</f>
        <v>-16262.514870889963</v>
      </c>
      <c r="U703" s="545">
        <f>'Foglio deposito bis'!$F$52*IF(ABS(O703)&lt;'Sollecitazioni nel paramento'!$G$58,ABS(O703)*'Sollecitazioni nel paramento'!$G$54,'Sollecitazioni nel paramento'!$G$53)*IF(O703&lt;0,-1,1)</f>
        <v>240946.49743184328</v>
      </c>
      <c r="V703" s="472">
        <f t="shared" si="53"/>
        <v>-6307496.3821361493</v>
      </c>
      <c r="W703" s="551"/>
      <c r="X703" s="551"/>
    </row>
    <row r="704" spans="1:24" x14ac:dyDescent="0.25">
      <c r="A704" s="545">
        <f t="shared" si="54"/>
        <v>6506397.0846357495</v>
      </c>
      <c r="B704" s="3">
        <f t="shared" si="51"/>
        <v>34.899999999999942</v>
      </c>
      <c r="C704" s="545">
        <f>'Foglio deposito bis'!$E$155/sezione!$B$247*B704</f>
        <v>170.98300980844246</v>
      </c>
      <c r="D704" s="603">
        <f>-'Sollecitazioni nel paramento'!$G$47*'Sollecitazioni nel paramento'!$G$41*IF(DATI!$G$211="dx",DATI!$E$61,DATI!$E$64*DATI!$E$63)*1000*C704^2*sezione!$AD$5*(1-sezione!$AD$6)</f>
        <v>-650443443.58377743</v>
      </c>
      <c r="E704" s="545">
        <f>-'Foglio deposito bis'!$F$48*(C704-sezione!$AL$29)*IF(ABS(K704)&lt;'Sollecitazioni nel paramento'!$G$58,ABS(K704)*'Sollecitazioni nel paramento'!$G$54,'Sollecitazioni nel paramento'!$G$53)</f>
        <v>0</v>
      </c>
      <c r="F704" s="545">
        <f>-'Foglio deposito bis'!$F$49*(C704-sezione!$AM$29)*IF(ABS(L704)&lt;'Sollecitazioni nel paramento'!$G$58,ABS(L704)*'Sollecitazioni nel paramento'!$G$54,'Sollecitazioni nel paramento'!$G$53)</f>
        <v>-22738917.931792621</v>
      </c>
      <c r="G704" s="545">
        <f>-'Foglio deposito bis'!$F$50*(C704-sezione!$AN$29)*IF(ABS(M704)&lt;'Sollecitazioni nel paramento'!$G$58,ABS(M704)*'Sollecitazioni nel paramento'!$G$54,'Sollecitazioni nel paramento'!$G$53)</f>
        <v>0</v>
      </c>
      <c r="H704" s="545">
        <f>-'Foglio deposito bis'!$F$51*(C704-sezione!$AO$29)*IF(ABS(N704)&lt;'Sollecitazioni nel paramento'!$G$58,ABS(N704)*'Sollecitazioni nel paramento'!$G$54,'Sollecitazioni nel paramento'!$G$53)</f>
        <v>-313206.6641119413</v>
      </c>
      <c r="I704" s="472">
        <f>-'Foglio deposito bis'!$F$52*(C704-sezione!$AP$29)*IF(ABS(O704)&lt;'Sollecitazioni nel paramento'!$G$58,ABS(O704)*'Sollecitazioni nel paramento'!$G$54,'Sollecitazioni nel paramento'!$G$53)</f>
        <v>36399748.584510021</v>
      </c>
      <c r="J704" s="472">
        <f t="shared" si="52"/>
        <v>-637095819.59517205</v>
      </c>
      <c r="K704" s="550">
        <f>'Sollecitazioni nel paramento'!$G$60*(sezione!$AL$29-C704)/C704</f>
        <v>-2.6812051960200824E-3</v>
      </c>
      <c r="L704" s="550">
        <f>'Sollecitazioni nel paramento'!$G$60*(sezione!$AM$29-C704)/C704</f>
        <v>-2.2718077940301236E-3</v>
      </c>
      <c r="M704" s="551">
        <f>'Sollecitazioni nel paramento'!$G$60*(sezione!$AN$29-C704)/C704</f>
        <v>-1.8624103920401645E-3</v>
      </c>
      <c r="N704" s="551">
        <f>'Sollecitazioni nel paramento'!$G$60*(sezione!$AO$29-C704)/C704</f>
        <v>-2.2482078408032899E-4</v>
      </c>
      <c r="O704" s="551">
        <f>'Sollecitazioni nel paramento'!$G$60*(sezione!$AP$29-C704)/C704</f>
        <v>3.0923799811203765E-3</v>
      </c>
      <c r="P704" s="545">
        <f>-'Sollecitazioni nel paramento'!$G$47*'Sollecitazioni nel paramento'!$G$41*IF(DATI!$G$211="dx",DATI!$E$61,DATI!$E$64*DATI!$E$63)*1000*C704*sezione!$AD$5</f>
        <v>-6513939.7246722318</v>
      </c>
      <c r="Q704" s="545">
        <f>'Foglio deposito bis'!$F$48*IF(ABS(K704)&lt;'Sollecitazioni nel paramento'!$G$58,ABS(K704)*'Sollecitazioni nel paramento'!$G$54,'Sollecitazioni nel paramento'!$G$53)*IF(K704&lt;0,-1,1)</f>
        <v>0</v>
      </c>
      <c r="R704" s="545">
        <f>'Foglio deposito bis'!$F$49*IF(ABS(L704)&lt;'Sollecitazioni nel paramento'!$G$58,ABS(L704)*'Sollecitazioni nel paramento'!$G$54,'Sollecitazioni nel paramento'!$G$53)*IF(L704&lt;0,-1,1)</f>
        <v>-204886.47740803001</v>
      </c>
      <c r="S704" s="545">
        <f>'Foglio deposito bis'!$F$50*IF(ABS(M704)&lt;'Sollecitazioni nel paramento'!$G$58,ABS(M704)*'Sollecitazioni nel paramento'!$G$54,'Sollecitazioni nel paramento'!$G$53)*IF(M704&lt;0,-1,1)</f>
        <v>0</v>
      </c>
      <c r="T704" s="545">
        <f>'Foglio deposito bis'!$F$51*IF(ABS(N704)&lt;'Sollecitazioni nel paramento'!$G$58,ABS(N704)*'Sollecitazioni nel paramento'!$G$54,'Sollecitazioni nel paramento'!$G$53)*IF(N704&lt;0,-1,1)</f>
        <v>-28517.37998733138</v>
      </c>
      <c r="U704" s="545">
        <f>'Foglio deposito bis'!$F$52*IF(ABS(O704)&lt;'Sollecitazioni nel paramento'!$G$58,ABS(O704)*'Sollecitazioni nel paramento'!$G$54,'Sollecitazioni nel paramento'!$G$53)*IF(O704&lt;0,-1,1)</f>
        <v>240946.49743184328</v>
      </c>
      <c r="V704" s="472">
        <f t="shared" si="53"/>
        <v>-6506397.0846357495</v>
      </c>
      <c r="W704" s="551"/>
      <c r="X704" s="551"/>
    </row>
    <row r="705" spans="1:24" x14ac:dyDescent="0.25">
      <c r="A705" s="545">
        <f t="shared" si="54"/>
        <v>6704615.0648447406</v>
      </c>
      <c r="B705" s="3">
        <f t="shared" si="51"/>
        <v>35.899999999999942</v>
      </c>
      <c r="C705" s="545">
        <f>'Foglio deposito bis'!$E$155/sezione!$B$247*B705</f>
        <v>175.88223645051821</v>
      </c>
      <c r="D705" s="603">
        <f>-'Sollecitazioni nel paramento'!$G$47*'Sollecitazioni nel paramento'!$G$41*IF(DATI!$G$211="dx",DATI!$E$61,DATI!$E$64*DATI!$E$63)*1000*C705^2*sezione!$AD$5*(1-sezione!$AD$6)</f>
        <v>-688252160.92249525</v>
      </c>
      <c r="E705" s="545">
        <f>-'Foglio deposito bis'!$F$48*(C705-sezione!$AL$29)*IF(ABS(K705)&lt;'Sollecitazioni nel paramento'!$G$58,ABS(K705)*'Sollecitazioni nel paramento'!$G$54,'Sollecitazioni nel paramento'!$G$53)</f>
        <v>0</v>
      </c>
      <c r="F705" s="545">
        <f>-'Foglio deposito bis'!$F$49*(C705-sezione!$AM$29)*IF(ABS(L705)&lt;'Sollecitazioni nel paramento'!$G$58,ABS(L705)*'Sollecitazioni nel paramento'!$G$54,'Sollecitazioni nel paramento'!$G$53)</f>
        <v>-23742703.22051109</v>
      </c>
      <c r="G705" s="545">
        <f>-'Foglio deposito bis'!$F$50*(C705-sezione!$AN$29)*IF(ABS(M705)&lt;'Sollecitazioni nel paramento'!$G$58,ABS(M705)*'Sollecitazioni nel paramento'!$G$54,'Sollecitazioni nel paramento'!$G$53)</f>
        <v>0</v>
      </c>
      <c r="H705" s="545">
        <f>-'Foglio deposito bis'!$F$51*(C705-sezione!$AO$29)*IF(ABS(N705)&lt;'Sollecitazioni nel paramento'!$G$58,ABS(N705)*'Sollecitazioni nel paramento'!$G$54,'Sollecitazioni nel paramento'!$G$53)</f>
        <v>-636711.28050710342</v>
      </c>
      <c r="I705" s="472">
        <f>-'Foglio deposito bis'!$F$52*(C705-sezione!$AP$29)*IF(ABS(O705)&lt;'Sollecitazioni nel paramento'!$G$58,ABS(O705)*'Sollecitazioni nel paramento'!$G$54,'Sollecitazioni nel paramento'!$G$53)</f>
        <v>35219297.084977098</v>
      </c>
      <c r="J705" s="472">
        <f t="shared" si="52"/>
        <v>-677412278.33853626</v>
      </c>
      <c r="K705" s="550">
        <f>'Sollecitazioni nel paramento'!$G$60*(sezione!$AL$29-C705)/C705</f>
        <v>-2.7040128507270439E-3</v>
      </c>
      <c r="L705" s="550">
        <f>'Sollecitazioni nel paramento'!$G$60*(sezione!$AM$29-C705)/C705</f>
        <v>-2.3060192760905656E-3</v>
      </c>
      <c r="M705" s="551">
        <f>'Sollecitazioni nel paramento'!$G$60*(sezione!$AN$29-C705)/C705</f>
        <v>-1.9080257014540878E-3</v>
      </c>
      <c r="N705" s="551">
        <f>'Sollecitazioni nel paramento'!$G$60*(sezione!$AO$29-C705)/C705</f>
        <v>-3.1605140290817549E-4</v>
      </c>
      <c r="O705" s="551">
        <f>'Sollecitazioni nel paramento'!$G$60*(sezione!$AP$29-C705)/C705</f>
        <v>2.9087482267716185E-3</v>
      </c>
      <c r="P705" s="545">
        <f>-'Sollecitazioni nel paramento'!$G$47*'Sollecitazioni nel paramento'!$G$41*IF(DATI!$G$211="dx",DATI!$E$61,DATI!$E$64*DATI!$E$63)*1000*C705*sezione!$AD$5</f>
        <v>-6700585.5620553903</v>
      </c>
      <c r="Q705" s="545">
        <f>'Foglio deposito bis'!$F$48*IF(ABS(K705)&lt;'Sollecitazioni nel paramento'!$G$58,ABS(K705)*'Sollecitazioni nel paramento'!$G$54,'Sollecitazioni nel paramento'!$G$53)*IF(K705&lt;0,-1,1)</f>
        <v>0</v>
      </c>
      <c r="R705" s="545">
        <f>'Foglio deposito bis'!$F$49*IF(ABS(L705)&lt;'Sollecitazioni nel paramento'!$G$58,ABS(L705)*'Sollecitazioni nel paramento'!$G$54,'Sollecitazioni nel paramento'!$G$53)*IF(L705&lt;0,-1,1)</f>
        <v>-204886.47740803001</v>
      </c>
      <c r="S705" s="545">
        <f>'Foglio deposito bis'!$F$50*IF(ABS(M705)&lt;'Sollecitazioni nel paramento'!$G$58,ABS(M705)*'Sollecitazioni nel paramento'!$G$54,'Sollecitazioni nel paramento'!$G$53)*IF(M705&lt;0,-1,1)</f>
        <v>0</v>
      </c>
      <c r="T705" s="545">
        <f>'Foglio deposito bis'!$F$51*IF(ABS(N705)&lt;'Sollecitazioni nel paramento'!$G$58,ABS(N705)*'Sollecitazioni nel paramento'!$G$54,'Sollecitazioni nel paramento'!$G$53)*IF(N705&lt;0,-1,1)</f>
        <v>-40089.522813163312</v>
      </c>
      <c r="U705" s="545">
        <f>'Foglio deposito bis'!$F$52*IF(ABS(O705)&lt;'Sollecitazioni nel paramento'!$G$58,ABS(O705)*'Sollecitazioni nel paramento'!$G$54,'Sollecitazioni nel paramento'!$G$53)*IF(O705&lt;0,-1,1)</f>
        <v>240946.49743184328</v>
      </c>
      <c r="V705" s="472">
        <f t="shared" si="53"/>
        <v>-6704615.0648447406</v>
      </c>
      <c r="W705" s="551"/>
      <c r="X705" s="551"/>
    </row>
    <row r="706" spans="1:24" x14ac:dyDescent="0.25">
      <c r="A706" s="545">
        <f t="shared" si="54"/>
        <v>6902205.828640407</v>
      </c>
      <c r="B706" s="3">
        <f t="shared" si="51"/>
        <v>36.899999999999942</v>
      </c>
      <c r="C706" s="545">
        <f>'Foglio deposito bis'!$E$155/sezione!$B$247*B706</f>
        <v>180.78146309259392</v>
      </c>
      <c r="D706" s="603">
        <f>-'Sollecitazioni nel paramento'!$G$47*'Sollecitazioni nel paramento'!$G$41*IF(DATI!$G$211="dx",DATI!$E$61,DATI!$E$64*DATI!$E$63)*1000*C706^2*sezione!$AD$5*(1-sezione!$AD$6)</f>
        <v>-727128921.12388861</v>
      </c>
      <c r="E706" s="545">
        <f>-'Foglio deposito bis'!$F$48*(C706-sezione!$AL$29)*IF(ABS(K706)&lt;'Sollecitazioni nel paramento'!$G$58,ABS(K706)*'Sollecitazioni nel paramento'!$G$54,'Sollecitazioni nel paramento'!$G$53)</f>
        <v>0</v>
      </c>
      <c r="F706" s="545">
        <f>-'Foglio deposito bis'!$F$49*(C706-sezione!$AM$29)*IF(ABS(L706)&lt;'Sollecitazioni nel paramento'!$G$58,ABS(L706)*'Sollecitazioni nel paramento'!$G$54,'Sollecitazioni nel paramento'!$G$53)</f>
        <v>-24746488.509229556</v>
      </c>
      <c r="G706" s="545">
        <f>-'Foglio deposito bis'!$F$50*(C706-sezione!$AN$29)*IF(ABS(M706)&lt;'Sollecitazioni nel paramento'!$G$58,ABS(M706)*'Sollecitazioni nel paramento'!$G$54,'Sollecitazioni nel paramento'!$G$53)</f>
        <v>0</v>
      </c>
      <c r="H706" s="545">
        <f>-'Foglio deposito bis'!$F$51*(C706-sezione!$AO$29)*IF(ABS(N706)&lt;'Sollecitazioni nel paramento'!$G$58,ABS(N706)*'Sollecitazioni nel paramento'!$G$54,'Sollecitazioni nel paramento'!$G$53)</f>
        <v>-1060570.5230341395</v>
      </c>
      <c r="I706" s="472">
        <f>-'Foglio deposito bis'!$F$52*(C706-sezione!$AP$29)*IF(ABS(O706)&lt;'Sollecitazioni nel paramento'!$G$58,ABS(O706)*'Sollecitazioni nel paramento'!$G$54,'Sollecitazioni nel paramento'!$G$53)</f>
        <v>34038845.585444182</v>
      </c>
      <c r="J706" s="472">
        <f t="shared" si="52"/>
        <v>-718897134.57070804</v>
      </c>
      <c r="K706" s="550">
        <f>'Sollecitazioni nel paramento'!$G$60*(sezione!$AL$29-C706)/C706</f>
        <v>-2.7255843181870154E-3</v>
      </c>
      <c r="L706" s="550">
        <f>'Sollecitazioni nel paramento'!$G$60*(sezione!$AM$29-C706)/C706</f>
        <v>-2.3383764772805238E-3</v>
      </c>
      <c r="M706" s="551">
        <f>'Sollecitazioni nel paramento'!$G$60*(sezione!$AN$29-C706)/C706</f>
        <v>-1.9511686363740312E-3</v>
      </c>
      <c r="N706" s="551">
        <f>'Sollecitazioni nel paramento'!$G$60*(sezione!$AO$29-C706)/C706</f>
        <v>-4.0233727274806237E-4</v>
      </c>
      <c r="O706" s="551">
        <f>'Sollecitazioni nel paramento'!$G$60*(sezione!$AP$29-C706)/C706</f>
        <v>2.7350694130379703E-3</v>
      </c>
      <c r="P706" s="545">
        <f>-'Sollecitazioni nel paramento'!$G$47*'Sollecitazioni nel paramento'!$G$41*IF(DATI!$G$211="dx",DATI!$E$61,DATI!$E$64*DATI!$E$63)*1000*C706*sezione!$AD$5</f>
        <v>-6887231.3994385498</v>
      </c>
      <c r="Q706" s="545">
        <f>'Foglio deposito bis'!$F$48*IF(ABS(K706)&lt;'Sollecitazioni nel paramento'!$G$58,ABS(K706)*'Sollecitazioni nel paramento'!$G$54,'Sollecitazioni nel paramento'!$G$53)*IF(K706&lt;0,-1,1)</f>
        <v>0</v>
      </c>
      <c r="R706" s="545">
        <f>'Foglio deposito bis'!$F$49*IF(ABS(L706)&lt;'Sollecitazioni nel paramento'!$G$58,ABS(L706)*'Sollecitazioni nel paramento'!$G$54,'Sollecitazioni nel paramento'!$G$53)*IF(L706&lt;0,-1,1)</f>
        <v>-204886.47740803001</v>
      </c>
      <c r="S706" s="545">
        <f>'Foglio deposito bis'!$F$50*IF(ABS(M706)&lt;'Sollecitazioni nel paramento'!$G$58,ABS(M706)*'Sollecitazioni nel paramento'!$G$54,'Sollecitazioni nel paramento'!$G$53)*IF(M706&lt;0,-1,1)</f>
        <v>0</v>
      </c>
      <c r="T706" s="545">
        <f>'Foglio deposito bis'!$F$51*IF(ABS(N706)&lt;'Sollecitazioni nel paramento'!$G$58,ABS(N706)*'Sollecitazioni nel paramento'!$G$54,'Sollecitazioni nel paramento'!$G$53)*IF(N706&lt;0,-1,1)</f>
        <v>-51034.449225670949</v>
      </c>
      <c r="U706" s="545">
        <f>'Foglio deposito bis'!$F$52*IF(ABS(O706)&lt;'Sollecitazioni nel paramento'!$G$58,ABS(O706)*'Sollecitazioni nel paramento'!$G$54,'Sollecitazioni nel paramento'!$G$53)*IF(O706&lt;0,-1,1)</f>
        <v>240946.49743184328</v>
      </c>
      <c r="V706" s="472">
        <f t="shared" si="53"/>
        <v>-6902205.828640407</v>
      </c>
      <c r="W706" s="551"/>
      <c r="X706" s="551"/>
    </row>
    <row r="707" spans="1:24" x14ac:dyDescent="0.25">
      <c r="A707" s="545">
        <f t="shared" si="54"/>
        <v>7099219.0237599509</v>
      </c>
      <c r="B707" s="3">
        <f t="shared" si="51"/>
        <v>37.899999999999942</v>
      </c>
      <c r="C707" s="545">
        <f>'Foglio deposito bis'!$E$155/sezione!$B$247*B707</f>
        <v>185.68068973466964</v>
      </c>
      <c r="D707" s="603">
        <f>-'Sollecitazioni nel paramento'!$G$47*'Sollecitazioni nel paramento'!$G$41*IF(DATI!$G$211="dx",DATI!$E$61,DATI!$E$64*DATI!$E$63)*1000*C707^2*sezione!$AD$5*(1-sezione!$AD$6)</f>
        <v>-767073724.18795753</v>
      </c>
      <c r="E707" s="545">
        <f>-'Foglio deposito bis'!$F$48*(C707-sezione!$AL$29)*IF(ABS(K707)&lt;'Sollecitazioni nel paramento'!$G$58,ABS(K707)*'Sollecitazioni nel paramento'!$G$54,'Sollecitazioni nel paramento'!$G$53)</f>
        <v>0</v>
      </c>
      <c r="F707" s="545">
        <f>-'Foglio deposito bis'!$F$49*(C707-sezione!$AM$29)*IF(ABS(L707)&lt;'Sollecitazioni nel paramento'!$G$58,ABS(L707)*'Sollecitazioni nel paramento'!$G$54,'Sollecitazioni nel paramento'!$G$53)</f>
        <v>-25750273.797948021</v>
      </c>
      <c r="G707" s="545">
        <f>-'Foglio deposito bis'!$F$50*(C707-sezione!$AN$29)*IF(ABS(M707)&lt;'Sollecitazioni nel paramento'!$G$58,ABS(M707)*'Sollecitazioni nel paramento'!$G$54,'Sollecitazioni nel paramento'!$G$53)</f>
        <v>0</v>
      </c>
      <c r="H707" s="545">
        <f>-'Foglio deposito bis'!$F$51*(C707-sezione!$AO$29)*IF(ABS(N707)&lt;'Sollecitazioni nel paramento'!$G$58,ABS(N707)*'Sollecitazioni nel paramento'!$G$54,'Sollecitazioni nel paramento'!$G$53)</f>
        <v>-1576840.7537406594</v>
      </c>
      <c r="I707" s="472">
        <f>-'Foglio deposito bis'!$F$52*(C707-sezione!$AP$29)*IF(ABS(O707)&lt;'Sollecitazioni nel paramento'!$G$58,ABS(O707)*'Sollecitazioni nel paramento'!$G$54,'Sollecitazioni nel paramento'!$G$53)</f>
        <v>32858394.08591127</v>
      </c>
      <c r="J707" s="472">
        <f t="shared" si="52"/>
        <v>-761542444.65373492</v>
      </c>
      <c r="K707" s="550">
        <f>'Sollecitazioni nel paramento'!$G$60*(sezione!$AL$29-C707)/C707</f>
        <v>-2.7460174496332685E-3</v>
      </c>
      <c r="L707" s="550">
        <f>'Sollecitazioni nel paramento'!$G$60*(sezione!$AM$29-C707)/C707</f>
        <v>-2.3690261744499026E-3</v>
      </c>
      <c r="M707" s="551">
        <f>'Sollecitazioni nel paramento'!$G$60*(sezione!$AN$29-C707)/C707</f>
        <v>-1.9920348992665368E-3</v>
      </c>
      <c r="N707" s="551">
        <f>'Sollecitazioni nel paramento'!$G$60*(sezione!$AO$29-C707)/C707</f>
        <v>-4.8406979853307392E-4</v>
      </c>
      <c r="O707" s="551">
        <f>'Sollecitazioni nel paramento'!$G$60*(sezione!$AP$29-C707)/C707</f>
        <v>2.5705557082084723E-3</v>
      </c>
      <c r="P707" s="545">
        <f>-'Sollecitazioni nel paramento'!$G$47*'Sollecitazioni nel paramento'!$G$41*IF(DATI!$G$211="dx",DATI!$E$61,DATI!$E$64*DATI!$E$63)*1000*C707*sezione!$AD$5</f>
        <v>-7073877.2368217073</v>
      </c>
      <c r="Q707" s="545">
        <f>'Foglio deposito bis'!$F$48*IF(ABS(K707)&lt;'Sollecitazioni nel paramento'!$G$58,ABS(K707)*'Sollecitazioni nel paramento'!$G$54,'Sollecitazioni nel paramento'!$G$53)*IF(K707&lt;0,-1,1)</f>
        <v>0</v>
      </c>
      <c r="R707" s="545">
        <f>'Foglio deposito bis'!$F$49*IF(ABS(L707)&lt;'Sollecitazioni nel paramento'!$G$58,ABS(L707)*'Sollecitazioni nel paramento'!$G$54,'Sollecitazioni nel paramento'!$G$53)*IF(L707&lt;0,-1,1)</f>
        <v>-204886.47740803001</v>
      </c>
      <c r="S707" s="545">
        <f>'Foglio deposito bis'!$F$50*IF(ABS(M707)&lt;'Sollecitazioni nel paramento'!$G$58,ABS(M707)*'Sollecitazioni nel paramento'!$G$54,'Sollecitazioni nel paramento'!$G$53)*IF(M707&lt;0,-1,1)</f>
        <v>0</v>
      </c>
      <c r="T707" s="545">
        <f>'Foglio deposito bis'!$F$51*IF(ABS(N707)&lt;'Sollecitazioni nel paramento'!$G$58,ABS(N707)*'Sollecitazioni nel paramento'!$G$54,'Sollecitazioni nel paramento'!$G$53)*IF(N707&lt;0,-1,1)</f>
        <v>-61401.80696205682</v>
      </c>
      <c r="U707" s="545">
        <f>'Foglio deposito bis'!$F$52*IF(ABS(O707)&lt;'Sollecitazioni nel paramento'!$G$58,ABS(O707)*'Sollecitazioni nel paramento'!$G$54,'Sollecitazioni nel paramento'!$G$53)*IF(O707&lt;0,-1,1)</f>
        <v>240946.49743184328</v>
      </c>
      <c r="V707" s="472">
        <f t="shared" si="53"/>
        <v>-7099219.0237599509</v>
      </c>
      <c r="W707" s="551"/>
      <c r="X707" s="551"/>
    </row>
    <row r="708" spans="1:24" x14ac:dyDescent="0.25">
      <c r="A708" s="545">
        <f t="shared" si="54"/>
        <v>7295699.1927747969</v>
      </c>
      <c r="B708" s="3">
        <f t="shared" si="51"/>
        <v>38.899999999999942</v>
      </c>
      <c r="C708" s="545">
        <f>'Foglio deposito bis'!$E$155/sezione!$B$247*B708</f>
        <v>190.57991637674536</v>
      </c>
      <c r="D708" s="603">
        <f>-'Sollecitazioni nel paramento'!$G$47*'Sollecitazioni nel paramento'!$G$41*IF(DATI!$G$211="dx",DATI!$E$61,DATI!$E$64*DATI!$E$63)*1000*C708^2*sezione!$AD$5*(1-sezione!$AD$6)</f>
        <v>-808086570.11470199</v>
      </c>
      <c r="E708" s="545">
        <f>-'Foglio deposito bis'!$F$48*(C708-sezione!$AL$29)*IF(ABS(K708)&lt;'Sollecitazioni nel paramento'!$G$58,ABS(K708)*'Sollecitazioni nel paramento'!$G$54,'Sollecitazioni nel paramento'!$G$53)</f>
        <v>0</v>
      </c>
      <c r="F708" s="545">
        <f>-'Foglio deposito bis'!$F$49*(C708-sezione!$AM$29)*IF(ABS(L708)&lt;'Sollecitazioni nel paramento'!$G$58,ABS(L708)*'Sollecitazioni nel paramento'!$G$54,'Sollecitazioni nel paramento'!$G$53)</f>
        <v>-26754059.086666487</v>
      </c>
      <c r="G708" s="545">
        <f>-'Foglio deposito bis'!$F$50*(C708-sezione!$AN$29)*IF(ABS(M708)&lt;'Sollecitazioni nel paramento'!$G$58,ABS(M708)*'Sollecitazioni nel paramento'!$G$54,'Sollecitazioni nel paramento'!$G$53)</f>
        <v>0</v>
      </c>
      <c r="H708" s="545">
        <f>-'Foglio deposito bis'!$F$51*(C708-sezione!$AO$29)*IF(ABS(N708)&lt;'Sollecitazioni nel paramento'!$G$58,ABS(N708)*'Sollecitazioni nel paramento'!$G$54,'Sollecitazioni nel paramento'!$G$53)</f>
        <v>-2178395.1611989406</v>
      </c>
      <c r="I708" s="472">
        <f>-'Foglio deposito bis'!$F$52*(C708-sezione!$AP$29)*IF(ABS(O708)&lt;'Sollecitazioni nel paramento'!$G$58,ABS(O708)*'Sollecitazioni nel paramento'!$G$54,'Sollecitazioni nel paramento'!$G$53)</f>
        <v>31677942.586378355</v>
      </c>
      <c r="J708" s="472">
        <f t="shared" si="52"/>
        <v>-805341081.77618909</v>
      </c>
      <c r="K708" s="550">
        <f>'Sollecitazioni nel paramento'!$G$60*(sezione!$AL$29-C708)/C708</f>
        <v>-2.7654000344756011E-3</v>
      </c>
      <c r="L708" s="550">
        <f>'Sollecitazioni nel paramento'!$G$60*(sezione!$AM$29-C708)/C708</f>
        <v>-2.3981000517134016E-3</v>
      </c>
      <c r="M708" s="551">
        <f>'Sollecitazioni nel paramento'!$G$60*(sezione!$AN$29-C708)/C708</f>
        <v>-2.0308000689512017E-3</v>
      </c>
      <c r="N708" s="551">
        <f>'Sollecitazioni nel paramento'!$G$60*(sezione!$AO$29-C708)/C708</f>
        <v>-5.6160013790240379E-4</v>
      </c>
      <c r="O708" s="551">
        <f>'Sollecitazioni nel paramento'!$G$60*(sezione!$AP$29-C708)/C708</f>
        <v>2.4145002915450151E-3</v>
      </c>
      <c r="P708" s="545">
        <f>-'Sollecitazioni nel paramento'!$G$47*'Sollecitazioni nel paramento'!$G$41*IF(DATI!$G$211="dx",DATI!$E$61,DATI!$E$64*DATI!$E$63)*1000*C708*sezione!$AD$5</f>
        <v>-7260523.0742048658</v>
      </c>
      <c r="Q708" s="545">
        <f>'Foglio deposito bis'!$F$48*IF(ABS(K708)&lt;'Sollecitazioni nel paramento'!$G$58,ABS(K708)*'Sollecitazioni nel paramento'!$G$54,'Sollecitazioni nel paramento'!$G$53)*IF(K708&lt;0,-1,1)</f>
        <v>0</v>
      </c>
      <c r="R708" s="545">
        <f>'Foglio deposito bis'!$F$49*IF(ABS(L708)&lt;'Sollecitazioni nel paramento'!$G$58,ABS(L708)*'Sollecitazioni nel paramento'!$G$54,'Sollecitazioni nel paramento'!$G$53)*IF(L708&lt;0,-1,1)</f>
        <v>-204886.47740803001</v>
      </c>
      <c r="S708" s="545">
        <f>'Foglio deposito bis'!$F$50*IF(ABS(M708)&lt;'Sollecitazioni nel paramento'!$G$58,ABS(M708)*'Sollecitazioni nel paramento'!$G$54,'Sollecitazioni nel paramento'!$G$53)*IF(M708&lt;0,-1,1)</f>
        <v>0</v>
      </c>
      <c r="T708" s="545">
        <f>'Foglio deposito bis'!$F$51*IF(ABS(N708)&lt;'Sollecitazioni nel paramento'!$G$58,ABS(N708)*'Sollecitazioni nel paramento'!$G$54,'Sollecitazioni nel paramento'!$G$53)*IF(N708&lt;0,-1,1)</f>
        <v>-71236.138593744196</v>
      </c>
      <c r="U708" s="545">
        <f>'Foglio deposito bis'!$F$52*IF(ABS(O708)&lt;'Sollecitazioni nel paramento'!$G$58,ABS(O708)*'Sollecitazioni nel paramento'!$G$54,'Sollecitazioni nel paramento'!$G$53)*IF(O708&lt;0,-1,1)</f>
        <v>240946.49743184328</v>
      </c>
      <c r="V708" s="472">
        <f t="shared" si="53"/>
        <v>-7295699.1927747969</v>
      </c>
      <c r="W708" s="551"/>
      <c r="X708" s="551"/>
    </row>
    <row r="709" spans="1:24" x14ac:dyDescent="0.25">
      <c r="A709" s="545">
        <f t="shared" si="54"/>
        <v>7491686.4128356744</v>
      </c>
      <c r="B709" s="3">
        <f t="shared" si="51"/>
        <v>39.899999999999942</v>
      </c>
      <c r="C709" s="545">
        <f>'Foglio deposito bis'!$E$155/sezione!$B$247*B709</f>
        <v>195.47914301882111</v>
      </c>
      <c r="D709" s="603">
        <f>-'Sollecitazioni nel paramento'!$G$47*'Sollecitazioni nel paramento'!$G$41*IF(DATI!$G$211="dx",DATI!$E$61,DATI!$E$64*DATI!$E$63)*1000*C709^2*sezione!$AD$5*(1-sezione!$AD$6)</f>
        <v>-850167458.90412235</v>
      </c>
      <c r="E709" s="545">
        <f>-'Foglio deposito bis'!$F$48*(C709-sezione!$AL$29)*IF(ABS(K709)&lt;'Sollecitazioni nel paramento'!$G$58,ABS(K709)*'Sollecitazioni nel paramento'!$G$54,'Sollecitazioni nel paramento'!$G$53)</f>
        <v>0</v>
      </c>
      <c r="F709" s="545">
        <f>-'Foglio deposito bis'!$F$49*(C709-sezione!$AM$29)*IF(ABS(L709)&lt;'Sollecitazioni nel paramento'!$G$58,ABS(L709)*'Sollecitazioni nel paramento'!$G$54,'Sollecitazioni nel paramento'!$G$53)</f>
        <v>-27757844.375384957</v>
      </c>
      <c r="G709" s="545">
        <f>-'Foglio deposito bis'!$F$50*(C709-sezione!$AN$29)*IF(ABS(M709)&lt;'Sollecitazioni nel paramento'!$G$58,ABS(M709)*'Sollecitazioni nel paramento'!$G$54,'Sollecitazioni nel paramento'!$G$53)</f>
        <v>0</v>
      </c>
      <c r="H709" s="545">
        <f>-'Foglio deposito bis'!$F$51*(C709-sezione!$AO$29)*IF(ABS(N709)&lt;'Sollecitazioni nel paramento'!$G$58,ABS(N709)*'Sollecitazioni nel paramento'!$G$54,'Sollecitazioni nel paramento'!$G$53)</f>
        <v>-2858821.4012923115</v>
      </c>
      <c r="I709" s="472">
        <f>-'Foglio deposito bis'!$F$52*(C709-sezione!$AP$29)*IF(ABS(O709)&lt;'Sollecitazioni nel paramento'!$G$58,ABS(O709)*'Sollecitazioni nel paramento'!$G$54,'Sollecitazioni nel paramento'!$G$53)</f>
        <v>30497491.086845435</v>
      </c>
      <c r="J709" s="472">
        <f t="shared" si="52"/>
        <v>-850286633.59395421</v>
      </c>
      <c r="K709" s="550">
        <f>'Sollecitazioni nel paramento'!$G$60*(sezione!$AL$29-C709)/C709</f>
        <v>-2.7838110611804736E-3</v>
      </c>
      <c r="L709" s="550">
        <f>'Sollecitazioni nel paramento'!$G$60*(sezione!$AM$29-C709)/C709</f>
        <v>-2.4257165917707098E-3</v>
      </c>
      <c r="M709" s="551">
        <f>'Sollecitazioni nel paramento'!$G$60*(sezione!$AN$29-C709)/C709</f>
        <v>-2.0676221223609463E-3</v>
      </c>
      <c r="N709" s="551">
        <f>'Sollecitazioni nel paramento'!$G$60*(sezione!$AO$29-C709)/C709</f>
        <v>-6.3524424472189279E-4</v>
      </c>
      <c r="O709" s="551">
        <f>'Sollecitazioni nel paramento'!$G$60*(sezione!$AP$29-C709)/C709</f>
        <v>2.2662672015313547E-3</v>
      </c>
      <c r="P709" s="545">
        <f>-'Sollecitazioni nel paramento'!$G$47*'Sollecitazioni nel paramento'!$G$41*IF(DATI!$G$211="dx",DATI!$E$61,DATI!$E$64*DATI!$E$63)*1000*C709*sezione!$AD$5</f>
        <v>-7447168.9115880253</v>
      </c>
      <c r="Q709" s="545">
        <f>'Foglio deposito bis'!$F$48*IF(ABS(K709)&lt;'Sollecitazioni nel paramento'!$G$58,ABS(K709)*'Sollecitazioni nel paramento'!$G$54,'Sollecitazioni nel paramento'!$G$53)*IF(K709&lt;0,-1,1)</f>
        <v>0</v>
      </c>
      <c r="R709" s="545">
        <f>'Foglio deposito bis'!$F$49*IF(ABS(L709)&lt;'Sollecitazioni nel paramento'!$G$58,ABS(L709)*'Sollecitazioni nel paramento'!$G$54,'Sollecitazioni nel paramento'!$G$53)*IF(L709&lt;0,-1,1)</f>
        <v>-204886.47740803001</v>
      </c>
      <c r="S709" s="545">
        <f>'Foglio deposito bis'!$F$50*IF(ABS(M709)&lt;'Sollecitazioni nel paramento'!$G$58,ABS(M709)*'Sollecitazioni nel paramento'!$G$54,'Sollecitazioni nel paramento'!$G$53)*IF(M709&lt;0,-1,1)</f>
        <v>0</v>
      </c>
      <c r="T709" s="545">
        <f>'Foglio deposito bis'!$F$51*IF(ABS(N709)&lt;'Sollecitazioni nel paramento'!$G$58,ABS(N709)*'Sollecitazioni nel paramento'!$G$54,'Sollecitazioni nel paramento'!$G$53)*IF(N709&lt;0,-1,1)</f>
        <v>-80577.521271462319</v>
      </c>
      <c r="U709" s="545">
        <f>'Foglio deposito bis'!$F$52*IF(ABS(O709)&lt;'Sollecitazioni nel paramento'!$G$58,ABS(O709)*'Sollecitazioni nel paramento'!$G$54,'Sollecitazioni nel paramento'!$G$53)*IF(O709&lt;0,-1,1)</f>
        <v>240946.49743184328</v>
      </c>
      <c r="V709" s="472">
        <f t="shared" si="53"/>
        <v>-7491686.4128356744</v>
      </c>
      <c r="W709" s="551"/>
      <c r="X709" s="551"/>
    </row>
    <row r="710" spans="1:24" x14ac:dyDescent="0.25">
      <c r="A710" s="545">
        <f t="shared" si="54"/>
        <v>7687216.8415675685</v>
      </c>
      <c r="B710" s="3">
        <f t="shared" si="51"/>
        <v>40.899999999999942</v>
      </c>
      <c r="C710" s="545">
        <f>'Foglio deposito bis'!$E$155/sezione!$B$247*B710</f>
        <v>200.37836966089682</v>
      </c>
      <c r="D710" s="603">
        <f>-'Sollecitazioni nel paramento'!$G$47*'Sollecitazioni nel paramento'!$G$41*IF(DATI!$G$211="dx",DATI!$E$61,DATI!$E$64*DATI!$E$63)*1000*C710^2*sezione!$AD$5*(1-sezione!$AD$6)</f>
        <v>-893316390.55621827</v>
      </c>
      <c r="E710" s="545">
        <f>-'Foglio deposito bis'!$F$48*(C710-sezione!$AL$29)*IF(ABS(K710)&lt;'Sollecitazioni nel paramento'!$G$58,ABS(K710)*'Sollecitazioni nel paramento'!$G$54,'Sollecitazioni nel paramento'!$G$53)</f>
        <v>0</v>
      </c>
      <c r="F710" s="545">
        <f>-'Foglio deposito bis'!$F$49*(C710-sezione!$AM$29)*IF(ABS(L710)&lt;'Sollecitazioni nel paramento'!$G$58,ABS(L710)*'Sollecitazioni nel paramento'!$G$54,'Sollecitazioni nel paramento'!$G$53)</f>
        <v>-28761629.664103419</v>
      </c>
      <c r="G710" s="545">
        <f>-'Foglio deposito bis'!$F$50*(C710-sezione!$AN$29)*IF(ABS(M710)&lt;'Sollecitazioni nel paramento'!$G$58,ABS(M710)*'Sollecitazioni nel paramento'!$G$54,'Sollecitazioni nel paramento'!$G$53)</f>
        <v>0</v>
      </c>
      <c r="H710" s="545">
        <f>-'Foglio deposito bis'!$F$51*(C710-sezione!$AO$29)*IF(ABS(N710)&lt;'Sollecitazioni nel paramento'!$G$58,ABS(N710)*'Sollecitazioni nel paramento'!$G$54,'Sollecitazioni nel paramento'!$G$53)</f>
        <v>-3612334.2540230812</v>
      </c>
      <c r="I710" s="472">
        <f>-'Foglio deposito bis'!$F$52*(C710-sezione!$AP$29)*IF(ABS(O710)&lt;'Sollecitazioni nel paramento'!$G$58,ABS(O710)*'Sollecitazioni nel paramento'!$G$54,'Sollecitazioni nel paramento'!$G$53)</f>
        <v>29317039.58731252</v>
      </c>
      <c r="J710" s="472">
        <f t="shared" si="52"/>
        <v>-896373314.88703227</v>
      </c>
      <c r="K710" s="550">
        <f>'Sollecitazioni nel paramento'!$G$60*(sezione!$AL$29-C710)/C710</f>
        <v>-2.8013217931809505E-3</v>
      </c>
      <c r="L710" s="550">
        <f>'Sollecitazioni nel paramento'!$G$60*(sezione!$AM$29-C710)/C710</f>
        <v>-2.4519826897714263E-3</v>
      </c>
      <c r="M710" s="551">
        <f>'Sollecitazioni nel paramento'!$G$60*(sezione!$AN$29-C710)/C710</f>
        <v>-2.1026435863619013E-3</v>
      </c>
      <c r="N710" s="551">
        <f>'Sollecitazioni nel paramento'!$G$60*(sezione!$AO$29-C710)/C710</f>
        <v>-7.0528717272380246E-4</v>
      </c>
      <c r="O710" s="551">
        <f>'Sollecitazioni nel paramento'!$G$60*(sezione!$AP$29-C710)/C710</f>
        <v>2.1252826733765542E-3</v>
      </c>
      <c r="P710" s="545">
        <f>-'Sollecitazioni nel paramento'!$G$47*'Sollecitazioni nel paramento'!$G$41*IF(DATI!$G$211="dx",DATI!$E$61,DATI!$E$64*DATI!$E$63)*1000*C710*sezione!$AD$5</f>
        <v>-7633814.7489711856</v>
      </c>
      <c r="Q710" s="545">
        <f>'Foglio deposito bis'!$F$48*IF(ABS(K710)&lt;'Sollecitazioni nel paramento'!$G$58,ABS(K710)*'Sollecitazioni nel paramento'!$G$54,'Sollecitazioni nel paramento'!$G$53)*IF(K710&lt;0,-1,1)</f>
        <v>0</v>
      </c>
      <c r="R710" s="545">
        <f>'Foglio deposito bis'!$F$49*IF(ABS(L710)&lt;'Sollecitazioni nel paramento'!$G$58,ABS(L710)*'Sollecitazioni nel paramento'!$G$54,'Sollecitazioni nel paramento'!$G$53)*IF(L710&lt;0,-1,1)</f>
        <v>-204886.47740803001</v>
      </c>
      <c r="S710" s="545">
        <f>'Foglio deposito bis'!$F$50*IF(ABS(M710)&lt;'Sollecitazioni nel paramento'!$G$58,ABS(M710)*'Sollecitazioni nel paramento'!$G$54,'Sollecitazioni nel paramento'!$G$53)*IF(M710&lt;0,-1,1)</f>
        <v>0</v>
      </c>
      <c r="T710" s="545">
        <f>'Foglio deposito bis'!$F$51*IF(ABS(N710)&lt;'Sollecitazioni nel paramento'!$G$58,ABS(N710)*'Sollecitazioni nel paramento'!$G$54,'Sollecitazioni nel paramento'!$G$53)*IF(N710&lt;0,-1,1)</f>
        <v>-89462.112620196596</v>
      </c>
      <c r="U710" s="545">
        <f>'Foglio deposito bis'!$F$52*IF(ABS(O710)&lt;'Sollecitazioni nel paramento'!$G$58,ABS(O710)*'Sollecitazioni nel paramento'!$G$54,'Sollecitazioni nel paramento'!$G$53)*IF(O710&lt;0,-1,1)</f>
        <v>240946.49743184328</v>
      </c>
      <c r="V710" s="472">
        <f t="shared" si="53"/>
        <v>-7687216.8415675685</v>
      </c>
      <c r="W710" s="551"/>
      <c r="X710" s="551"/>
    </row>
    <row r="711" spans="1:24" x14ac:dyDescent="0.25">
      <c r="A711" s="545">
        <f t="shared" si="54"/>
        <v>7882323.1847935542</v>
      </c>
      <c r="B711" s="3">
        <f t="shared" si="51"/>
        <v>41.899999999999942</v>
      </c>
      <c r="C711" s="545">
        <f>'Foglio deposito bis'!$E$155/sezione!$B$247*B711</f>
        <v>205.27759630297254</v>
      </c>
      <c r="D711" s="603">
        <f>-'Sollecitazioni nel paramento'!$G$47*'Sollecitazioni nel paramento'!$G$41*IF(DATI!$G$211="dx",DATI!$E$61,DATI!$E$64*DATI!$E$63)*1000*C711^2*sezione!$AD$5*(1-sezione!$AD$6)</f>
        <v>-937533365.07098973</v>
      </c>
      <c r="E711" s="545">
        <f>-'Foglio deposito bis'!$F$48*(C711-sezione!$AL$29)*IF(ABS(K711)&lt;'Sollecitazioni nel paramento'!$G$58,ABS(K711)*'Sollecitazioni nel paramento'!$G$54,'Sollecitazioni nel paramento'!$G$53)</f>
        <v>0</v>
      </c>
      <c r="F711" s="545">
        <f>-'Foglio deposito bis'!$F$49*(C711-sezione!$AM$29)*IF(ABS(L711)&lt;'Sollecitazioni nel paramento'!$G$58,ABS(L711)*'Sollecitazioni nel paramento'!$G$54,'Sollecitazioni nel paramento'!$G$53)</f>
        <v>-29765414.952821888</v>
      </c>
      <c r="G711" s="545">
        <f>-'Foglio deposito bis'!$F$50*(C711-sezione!$AN$29)*IF(ABS(M711)&lt;'Sollecitazioni nel paramento'!$G$58,ABS(M711)*'Sollecitazioni nel paramento'!$G$54,'Sollecitazioni nel paramento'!$G$53)</f>
        <v>0</v>
      </c>
      <c r="H711" s="545">
        <f>-'Foglio deposito bis'!$F$51*(C711-sezione!$AO$29)*IF(ABS(N711)&lt;'Sollecitazioni nel paramento'!$G$58,ABS(N711)*'Sollecitazioni nel paramento'!$G$54,'Sollecitazioni nel paramento'!$G$53)</f>
        <v>-4433700.7876988398</v>
      </c>
      <c r="I711" s="472">
        <f>-'Foglio deposito bis'!$F$52*(C711-sezione!$AP$29)*IF(ABS(O711)&lt;'Sollecitazioni nel paramento'!$G$58,ABS(O711)*'Sollecitazioni nel paramento'!$G$54,'Sollecitazioni nel paramento'!$G$53)</f>
        <v>28136588.087779604</v>
      </c>
      <c r="J711" s="472">
        <f t="shared" si="52"/>
        <v>-943595892.7237308</v>
      </c>
      <c r="K711" s="550">
        <f>'Sollecitazioni nel paramento'!$G$60*(sezione!$AL$29-C711)/C711</f>
        <v>-2.8179966907183984E-3</v>
      </c>
      <c r="L711" s="550">
        <f>'Sollecitazioni nel paramento'!$G$60*(sezione!$AM$29-C711)/C711</f>
        <v>-2.4769950360775971E-3</v>
      </c>
      <c r="M711" s="551">
        <f>'Sollecitazioni nel paramento'!$G$60*(sezione!$AN$29-C711)/C711</f>
        <v>-2.1359933814367963E-3</v>
      </c>
      <c r="N711" s="551">
        <f>'Sollecitazioni nel paramento'!$G$60*(sezione!$AO$29-C711)/C711</f>
        <v>-7.7198676287359243E-4</v>
      </c>
      <c r="O711" s="551">
        <f>'Sollecitazioni nel paramento'!$G$60*(sezione!$AP$29-C711)/C711</f>
        <v>1.9910277169713857E-3</v>
      </c>
      <c r="P711" s="545">
        <f>-'Sollecitazioni nel paramento'!$G$47*'Sollecitazioni nel paramento'!$G$41*IF(DATI!$G$211="dx",DATI!$E$61,DATI!$E$64*DATI!$E$63)*1000*C711*sezione!$AD$5</f>
        <v>-7820460.5863543432</v>
      </c>
      <c r="Q711" s="545">
        <f>'Foglio deposito bis'!$F$48*IF(ABS(K711)&lt;'Sollecitazioni nel paramento'!$G$58,ABS(K711)*'Sollecitazioni nel paramento'!$G$54,'Sollecitazioni nel paramento'!$G$53)*IF(K711&lt;0,-1,1)</f>
        <v>0</v>
      </c>
      <c r="R711" s="545">
        <f>'Foglio deposito bis'!$F$49*IF(ABS(L711)&lt;'Sollecitazioni nel paramento'!$G$58,ABS(L711)*'Sollecitazioni nel paramento'!$G$54,'Sollecitazioni nel paramento'!$G$53)*IF(L711&lt;0,-1,1)</f>
        <v>-204886.47740803001</v>
      </c>
      <c r="S711" s="545">
        <f>'Foglio deposito bis'!$F$50*IF(ABS(M711)&lt;'Sollecitazioni nel paramento'!$G$58,ABS(M711)*'Sollecitazioni nel paramento'!$G$54,'Sollecitazioni nel paramento'!$G$53)*IF(M711&lt;0,-1,1)</f>
        <v>0</v>
      </c>
      <c r="T711" s="545">
        <f>'Foglio deposito bis'!$F$51*IF(ABS(N711)&lt;'Sollecitazioni nel paramento'!$G$58,ABS(N711)*'Sollecitazioni nel paramento'!$G$54,'Sollecitazioni nel paramento'!$G$53)*IF(N711&lt;0,-1,1)</f>
        <v>-97922.618463024744</v>
      </c>
      <c r="U711" s="545">
        <f>'Foglio deposito bis'!$F$52*IF(ABS(O711)&lt;'Sollecitazioni nel paramento'!$G$58,ABS(O711)*'Sollecitazioni nel paramento'!$G$54,'Sollecitazioni nel paramento'!$G$53)*IF(O711&lt;0,-1,1)</f>
        <v>240946.49743184328</v>
      </c>
      <c r="V711" s="472">
        <f t="shared" si="53"/>
        <v>-7882323.1847935542</v>
      </c>
      <c r="W711" s="551"/>
      <c r="X711" s="551"/>
    </row>
    <row r="712" spans="1:24" x14ac:dyDescent="0.25">
      <c r="A712" s="545">
        <f t="shared" si="54"/>
        <v>8081665.4386172825</v>
      </c>
      <c r="B712" s="3">
        <f t="shared" si="51"/>
        <v>42.899999999999942</v>
      </c>
      <c r="C712" s="545">
        <f>'Foglio deposito bis'!$E$155/sezione!$B$247*B712</f>
        <v>210.17682294504826</v>
      </c>
      <c r="D712" s="603">
        <f>-'Sollecitazioni nel paramento'!$G$47*'Sollecitazioni nel paramento'!$G$41*IF(DATI!$G$211="dx",DATI!$E$61,DATI!$E$64*DATI!$E$63)*1000*C712^2*sezione!$AD$5*(1-sezione!$AD$6)</f>
        <v>-982818382.44843674</v>
      </c>
      <c r="E712" s="545">
        <f>-'Foglio deposito bis'!$F$48*(C712-sezione!$AL$29)*IF(ABS(K712)&lt;'Sollecitazioni nel paramento'!$G$58,ABS(K712)*'Sollecitazioni nel paramento'!$G$54,'Sollecitazioni nel paramento'!$G$53)</f>
        <v>0</v>
      </c>
      <c r="F712" s="545">
        <f>-'Foglio deposito bis'!$F$49*(C712-sezione!$AM$29)*IF(ABS(L712)&lt;'Sollecitazioni nel paramento'!$G$58,ABS(L712)*'Sollecitazioni nel paramento'!$G$54,'Sollecitazioni nel paramento'!$G$53)</f>
        <v>-30769200.241540354</v>
      </c>
      <c r="G712" s="545">
        <f>-'Foglio deposito bis'!$F$50*(C712-sezione!$AN$29)*IF(ABS(M712)&lt;'Sollecitazioni nel paramento'!$G$58,ABS(M712)*'Sollecitazioni nel paramento'!$G$54,'Sollecitazioni nel paramento'!$G$53)</f>
        <v>0</v>
      </c>
      <c r="H712" s="545">
        <f>-'Foglio deposito bis'!$F$51*(C712-sezione!$AO$29)*IF(ABS(N712)&lt;'Sollecitazioni nel paramento'!$G$58,ABS(N712)*'Sollecitazioni nel paramento'!$G$54,'Sollecitazioni nel paramento'!$G$53)</f>
        <v>-5318175.9896660894</v>
      </c>
      <c r="I712" s="472">
        <f>-'Foglio deposito bis'!$F$52*(C712-sezione!$AP$29)*IF(ABS(O712)&lt;'Sollecitazioni nel paramento'!$G$58,ABS(O712)*'Sollecitazioni nel paramento'!$G$54,'Sollecitazioni nel paramento'!$G$53)</f>
        <v>26438112.575681753</v>
      </c>
      <c r="J712" s="472">
        <f t="shared" si="52"/>
        <v>-992467646.10396135</v>
      </c>
      <c r="K712" s="550">
        <f>'Sollecitazioni nel paramento'!$G$60*(sezione!$AL$29-C712)/C712</f>
        <v>-2.8338942037552657E-3</v>
      </c>
      <c r="L712" s="550">
        <f>'Sollecitazioni nel paramento'!$G$60*(sezione!$AM$29-C712)/C712</f>
        <v>-2.5008413056328981E-3</v>
      </c>
      <c r="M712" s="551">
        <f>'Sollecitazioni nel paramento'!$G$60*(sezione!$AN$29-C712)/C712</f>
        <v>-2.1677884075105304E-3</v>
      </c>
      <c r="N712" s="551">
        <f>'Sollecitazioni nel paramento'!$G$60*(sezione!$AO$29-C712)/C712</f>
        <v>-8.3557681502106104E-4</v>
      </c>
      <c r="O712" s="551">
        <f>'Sollecitazioni nel paramento'!$G$60*(sezione!$AP$29-C712)/C712</f>
        <v>1.8630317328927986E-3</v>
      </c>
      <c r="P712" s="545">
        <f>-'Sollecitazioni nel paramento'!$G$47*'Sollecitazioni nel paramento'!$G$41*IF(DATI!$G$211="dx",DATI!$E$61,DATI!$E$64*DATI!$E$63)*1000*C712*sezione!$AD$5</f>
        <v>-8007106.4237375017</v>
      </c>
      <c r="Q712" s="545">
        <f>'Foglio deposito bis'!$F$48*IF(ABS(K712)&lt;'Sollecitazioni nel paramento'!$G$58,ABS(K712)*'Sollecitazioni nel paramento'!$G$54,'Sollecitazioni nel paramento'!$G$53)*IF(K712&lt;0,-1,1)</f>
        <v>0</v>
      </c>
      <c r="R712" s="545">
        <f>'Foglio deposito bis'!$F$49*IF(ABS(L712)&lt;'Sollecitazioni nel paramento'!$G$58,ABS(L712)*'Sollecitazioni nel paramento'!$G$54,'Sollecitazioni nel paramento'!$G$53)*IF(L712&lt;0,-1,1)</f>
        <v>-204886.47740803001</v>
      </c>
      <c r="S712" s="545">
        <f>'Foglio deposito bis'!$F$50*IF(ABS(M712)&lt;'Sollecitazioni nel paramento'!$G$58,ABS(M712)*'Sollecitazioni nel paramento'!$G$54,'Sollecitazioni nel paramento'!$G$53)*IF(M712&lt;0,-1,1)</f>
        <v>0</v>
      </c>
      <c r="T712" s="545">
        <f>'Foglio deposito bis'!$F$51*IF(ABS(N712)&lt;'Sollecitazioni nel paramento'!$G$58,ABS(N712)*'Sollecitazioni nel paramento'!$G$54,'Sollecitazioni nel paramento'!$G$53)*IF(N712&lt;0,-1,1)</f>
        <v>-105988.69512903104</v>
      </c>
      <c r="U712" s="545">
        <f>'Foglio deposito bis'!$F$52*IF(ABS(O712)&lt;'Sollecitazioni nel paramento'!$G$58,ABS(O712)*'Sollecitazioni nel paramento'!$G$54,'Sollecitazioni nel paramento'!$G$53)*IF(O712&lt;0,-1,1)</f>
        <v>236316.15765728033</v>
      </c>
      <c r="V712" s="472">
        <f t="shared" si="53"/>
        <v>-8081665.4386172825</v>
      </c>
      <c r="W712" s="551"/>
      <c r="X712" s="551"/>
    </row>
    <row r="713" spans="1:24" x14ac:dyDescent="0.25">
      <c r="A713" s="545">
        <f t="shared" si="54"/>
        <v>8291505.8563511828</v>
      </c>
      <c r="B713" s="3">
        <f t="shared" si="51"/>
        <v>43.899999999999942</v>
      </c>
      <c r="C713" s="545">
        <f>'Foglio deposito bis'!$E$155/sezione!$B$247*B713</f>
        <v>215.07604958712398</v>
      </c>
      <c r="D713" s="603">
        <f>-'Sollecitazioni nel paramento'!$G$47*'Sollecitazioni nel paramento'!$G$41*IF(DATI!$G$211="dx",DATI!$E$61,DATI!$E$64*DATI!$E$63)*1000*C713^2*sezione!$AD$5*(1-sezione!$AD$6)</f>
        <v>-1029171442.6885597</v>
      </c>
      <c r="E713" s="545">
        <f>-'Foglio deposito bis'!$F$48*(C713-sezione!$AL$29)*IF(ABS(K713)&lt;'Sollecitazioni nel paramento'!$G$58,ABS(K713)*'Sollecitazioni nel paramento'!$G$54,'Sollecitazioni nel paramento'!$G$53)</f>
        <v>0</v>
      </c>
      <c r="F713" s="545">
        <f>-'Foglio deposito bis'!$F$49*(C713-sezione!$AM$29)*IF(ABS(L713)&lt;'Sollecitazioni nel paramento'!$G$58,ABS(L713)*'Sollecitazioni nel paramento'!$G$54,'Sollecitazioni nel paramento'!$G$53)</f>
        <v>-31772985.530258816</v>
      </c>
      <c r="G713" s="545">
        <f>-'Foglio deposito bis'!$F$50*(C713-sezione!$AN$29)*IF(ABS(M713)&lt;'Sollecitazioni nel paramento'!$G$58,ABS(M713)*'Sollecitazioni nel paramento'!$G$54,'Sollecitazioni nel paramento'!$G$53)</f>
        <v>0</v>
      </c>
      <c r="H713" s="545">
        <f>-'Foglio deposito bis'!$F$51*(C713-sezione!$AO$29)*IF(ABS(N713)&lt;'Sollecitazioni nel paramento'!$G$58,ABS(N713)*'Sollecitazioni nel paramento'!$G$54,'Sollecitazioni nel paramento'!$G$53)</f>
        <v>-6261447.1946657309</v>
      </c>
      <c r="I713" s="472">
        <f>-'Foglio deposito bis'!$F$52*(C713-sezione!$AP$29)*IF(ABS(O713)&lt;'Sollecitazioni nel paramento'!$G$58,ABS(O713)*'Sollecitazioni nel paramento'!$G$54,'Sollecitazioni nel paramento'!$G$53)</f>
        <v>23622635.956977189</v>
      </c>
      <c r="J713" s="472">
        <f t="shared" si="52"/>
        <v>-1043583239.456507</v>
      </c>
      <c r="K713" s="550">
        <f>'Sollecitazioni nel paramento'!$G$60*(sezione!$AL$29-C713)/C713</f>
        <v>-2.8490674565171043E-3</v>
      </c>
      <c r="L713" s="550">
        <f>'Sollecitazioni nel paramento'!$G$60*(sezione!$AM$29-C713)/C713</f>
        <v>-2.5236011847756569E-3</v>
      </c>
      <c r="M713" s="551">
        <f>'Sollecitazioni nel paramento'!$G$60*(sezione!$AN$29-C713)/C713</f>
        <v>-2.198134913034209E-3</v>
      </c>
      <c r="N713" s="551">
        <f>'Sollecitazioni nel paramento'!$G$60*(sezione!$AO$29-C713)/C713</f>
        <v>-8.9626982606841733E-4</v>
      </c>
      <c r="O713" s="551">
        <f>'Sollecitazioni nel paramento'!$G$60*(sezione!$AP$29-C713)/C713</f>
        <v>1.7408670009362427E-3</v>
      </c>
      <c r="P713" s="545">
        <f>-'Sollecitazioni nel paramento'!$G$47*'Sollecitazioni nel paramento'!$G$41*IF(DATI!$G$211="dx",DATI!$E$61,DATI!$E$64*DATI!$E$63)*1000*C713*sezione!$AD$5</f>
        <v>-8193752.2611206602</v>
      </c>
      <c r="Q713" s="545">
        <f>'Foglio deposito bis'!$F$48*IF(ABS(K713)&lt;'Sollecitazioni nel paramento'!$G$58,ABS(K713)*'Sollecitazioni nel paramento'!$G$54,'Sollecitazioni nel paramento'!$G$53)*IF(K713&lt;0,-1,1)</f>
        <v>0</v>
      </c>
      <c r="R713" s="545">
        <f>'Foglio deposito bis'!$F$49*IF(ABS(L713)&lt;'Sollecitazioni nel paramento'!$G$58,ABS(L713)*'Sollecitazioni nel paramento'!$G$54,'Sollecitazioni nel paramento'!$G$53)*IF(L713&lt;0,-1,1)</f>
        <v>-204886.47740803001</v>
      </c>
      <c r="S713" s="545">
        <f>'Foglio deposito bis'!$F$50*IF(ABS(M713)&lt;'Sollecitazioni nel paramento'!$G$58,ABS(M713)*'Sollecitazioni nel paramento'!$G$54,'Sollecitazioni nel paramento'!$G$53)*IF(M713&lt;0,-1,1)</f>
        <v>0</v>
      </c>
      <c r="T713" s="545">
        <f>'Foglio deposito bis'!$F$51*IF(ABS(N713)&lt;'Sollecitazioni nel paramento'!$G$58,ABS(N713)*'Sollecitazioni nel paramento'!$G$54,'Sollecitazioni nel paramento'!$G$53)*IF(N713&lt;0,-1,1)</f>
        <v>-113687.29677608488</v>
      </c>
      <c r="U713" s="545">
        <f>'Foglio deposito bis'!$F$52*IF(ABS(O713)&lt;'Sollecitazioni nel paramento'!$G$58,ABS(O713)*'Sollecitazioni nel paramento'!$G$54,'Sollecitazioni nel paramento'!$G$53)*IF(O713&lt;0,-1,1)</f>
        <v>220820.17895359063</v>
      </c>
      <c r="V713" s="472">
        <f t="shared" si="53"/>
        <v>-8291505.8563511828</v>
      </c>
      <c r="W713" s="551"/>
      <c r="X713" s="551"/>
    </row>
    <row r="714" spans="1:24" x14ac:dyDescent="0.25">
      <c r="A714" s="545">
        <f t="shared" si="54"/>
        <v>8500313.1079224721</v>
      </c>
      <c r="B714" s="3">
        <f t="shared" si="51"/>
        <v>44.899999999999942</v>
      </c>
      <c r="C714" s="545">
        <f>'Foglio deposito bis'!$E$155/sezione!$B$247*B714</f>
        <v>219.97527622919972</v>
      </c>
      <c r="D714" s="603">
        <f>-'Sollecitazioni nel paramento'!$G$47*'Sollecitazioni nel paramento'!$G$41*IF(DATI!$G$211="dx",DATI!$E$61,DATI!$E$64*DATI!$E$63)*1000*C714^2*sezione!$AD$5*(1-sezione!$AD$6)</f>
        <v>-1076592545.7913582</v>
      </c>
      <c r="E714" s="545">
        <f>-'Foglio deposito bis'!$F$48*(C714-sezione!$AL$29)*IF(ABS(K714)&lt;'Sollecitazioni nel paramento'!$G$58,ABS(K714)*'Sollecitazioni nel paramento'!$G$54,'Sollecitazioni nel paramento'!$G$53)</f>
        <v>0</v>
      </c>
      <c r="F714" s="545">
        <f>-'Foglio deposito bis'!$F$49*(C714-sezione!$AM$29)*IF(ABS(L714)&lt;'Sollecitazioni nel paramento'!$G$58,ABS(L714)*'Sollecitazioni nel paramento'!$G$54,'Sollecitazioni nel paramento'!$G$53)</f>
        <v>-32776770.818977289</v>
      </c>
      <c r="G714" s="545">
        <f>-'Foglio deposito bis'!$F$50*(C714-sezione!$AN$29)*IF(ABS(M714)&lt;'Sollecitazioni nel paramento'!$G$58,ABS(M714)*'Sollecitazioni nel paramento'!$G$54,'Sollecitazioni nel paramento'!$G$53)</f>
        <v>0</v>
      </c>
      <c r="H714" s="545">
        <f>-'Foglio deposito bis'!$F$51*(C714-sezione!$AO$29)*IF(ABS(N714)&lt;'Sollecitazioni nel paramento'!$G$58,ABS(N714)*'Sollecitazioni nel paramento'!$G$54,'Sollecitazioni nel paramento'!$G$53)</f>
        <v>-7259585.9392434917</v>
      </c>
      <c r="I714" s="472">
        <f>-'Foglio deposito bis'!$F$52*(C714-sezione!$AP$29)*IF(ABS(O714)&lt;'Sollecitazioni nel paramento'!$G$58,ABS(O714)*'Sollecitazioni nel paramento'!$G$54,'Sollecitazioni nel paramento'!$G$53)</f>
        <v>21029454.397837553</v>
      </c>
      <c r="J714" s="472">
        <f t="shared" si="52"/>
        <v>-1095599448.1517415</v>
      </c>
      <c r="K714" s="550">
        <f>'Sollecitazioni nel paramento'!$G$60*(sezione!$AL$29-C714)/C714</f>
        <v>-2.8635648405590398E-3</v>
      </c>
      <c r="L714" s="550">
        <f>'Sollecitazioni nel paramento'!$G$60*(sezione!$AM$29-C714)/C714</f>
        <v>-2.5453472608385594E-3</v>
      </c>
      <c r="M714" s="551">
        <f>'Sollecitazioni nel paramento'!$G$60*(sezione!$AN$29-C714)/C714</f>
        <v>-2.2271296811180795E-3</v>
      </c>
      <c r="N714" s="551">
        <f>'Sollecitazioni nel paramento'!$G$60*(sezione!$AO$29-C714)/C714</f>
        <v>-9.5425936223615898E-4</v>
      </c>
      <c r="O714" s="551">
        <f>'Sollecitazioni nel paramento'!$G$60*(sezione!$AP$29-C714)/C714</f>
        <v>1.6241439051470161E-3</v>
      </c>
      <c r="P714" s="545">
        <f>-'Sollecitazioni nel paramento'!$G$47*'Sollecitazioni nel paramento'!$G$41*IF(DATI!$G$211="dx",DATI!$E$61,DATI!$E$64*DATI!$E$63)*1000*C714*sezione!$AD$5</f>
        <v>-8380398.0985038197</v>
      </c>
      <c r="Q714" s="545">
        <f>'Foglio deposito bis'!$F$48*IF(ABS(K714)&lt;'Sollecitazioni nel paramento'!$G$58,ABS(K714)*'Sollecitazioni nel paramento'!$G$54,'Sollecitazioni nel paramento'!$G$53)*IF(K714&lt;0,-1,1)</f>
        <v>0</v>
      </c>
      <c r="R714" s="545">
        <f>'Foglio deposito bis'!$F$49*IF(ABS(L714)&lt;'Sollecitazioni nel paramento'!$G$58,ABS(L714)*'Sollecitazioni nel paramento'!$G$54,'Sollecitazioni nel paramento'!$G$53)*IF(L714&lt;0,-1,1)</f>
        <v>-204886.47740803001</v>
      </c>
      <c r="S714" s="545">
        <f>'Foglio deposito bis'!$F$50*IF(ABS(M714)&lt;'Sollecitazioni nel paramento'!$G$58,ABS(M714)*'Sollecitazioni nel paramento'!$G$54,'Sollecitazioni nel paramento'!$G$53)*IF(M714&lt;0,-1,1)</f>
        <v>0</v>
      </c>
      <c r="T714" s="545">
        <f>'Foglio deposito bis'!$F$51*IF(ABS(N714)&lt;'Sollecitazioni nel paramento'!$G$58,ABS(N714)*'Sollecitazioni nel paramento'!$G$54,'Sollecitazioni nel paramento'!$G$53)*IF(N714&lt;0,-1,1)</f>
        <v>-121042.9763007756</v>
      </c>
      <c r="U714" s="545">
        <f>'Foglio deposito bis'!$F$52*IF(ABS(O714)&lt;'Sollecitazioni nel paramento'!$G$58,ABS(O714)*'Sollecitazioni nel paramento'!$G$54,'Sollecitazioni nel paramento'!$G$53)*IF(O714&lt;0,-1,1)</f>
        <v>206014.44429015435</v>
      </c>
      <c r="V714" s="472">
        <f t="shared" si="53"/>
        <v>-8500313.1079224721</v>
      </c>
      <c r="W714" s="551"/>
      <c r="X714" s="551"/>
    </row>
    <row r="715" spans="1:24" x14ac:dyDescent="0.25">
      <c r="A715" s="545">
        <f t="shared" si="54"/>
        <v>8708154.7205313109</v>
      </c>
      <c r="B715" s="3">
        <f t="shared" si="51"/>
        <v>45.899999999999942</v>
      </c>
      <c r="C715" s="545">
        <f>'Foglio deposito bis'!$E$155/sezione!$B$247*B715</f>
        <v>224.87450287127544</v>
      </c>
      <c r="D715" s="603">
        <f>-'Sollecitazioni nel paramento'!$G$47*'Sollecitazioni nel paramento'!$G$41*IF(DATI!$G$211="dx",DATI!$E$61,DATI!$E$64*DATI!$E$63)*1000*C715^2*sezione!$AD$5*(1-sezione!$AD$6)</f>
        <v>-1125081691.7568324</v>
      </c>
      <c r="E715" s="545">
        <f>-'Foglio deposito bis'!$F$48*(C715-sezione!$AL$29)*IF(ABS(K715)&lt;'Sollecitazioni nel paramento'!$G$58,ABS(K715)*'Sollecitazioni nel paramento'!$G$54,'Sollecitazioni nel paramento'!$G$53)</f>
        <v>0</v>
      </c>
      <c r="F715" s="545">
        <f>-'Foglio deposito bis'!$F$49*(C715-sezione!$AM$29)*IF(ABS(L715)&lt;'Sollecitazioni nel paramento'!$G$58,ABS(L715)*'Sollecitazioni nel paramento'!$G$54,'Sollecitazioni nel paramento'!$G$53)</f>
        <v>-33780556.107695751</v>
      </c>
      <c r="G715" s="545">
        <f>-'Foglio deposito bis'!$F$50*(C715-sezione!$AN$29)*IF(ABS(M715)&lt;'Sollecitazioni nel paramento'!$G$58,ABS(M715)*'Sollecitazioni nel paramento'!$G$54,'Sollecitazioni nel paramento'!$G$53)</f>
        <v>0</v>
      </c>
      <c r="H715" s="545">
        <f>-'Foglio deposito bis'!$F$51*(C715-sezione!$AO$29)*IF(ABS(N715)&lt;'Sollecitazioni nel paramento'!$G$58,ABS(N715)*'Sollecitazioni nel paramento'!$G$54,'Sollecitazioni nel paramento'!$G$53)</f>
        <v>-8309006.1097014435</v>
      </c>
      <c r="I715" s="472">
        <f>-'Foglio deposito bis'!$F$52*(C715-sezione!$AP$29)*IF(ABS(O715)&lt;'Sollecitazioni nel paramento'!$G$58,ABS(O715)*'Sollecitazioni nel paramento'!$G$54,'Sollecitazioni nel paramento'!$G$53)</f>
        <v>18644038.809402417</v>
      </c>
      <c r="J715" s="472">
        <f t="shared" si="52"/>
        <v>-1148527215.1648271</v>
      </c>
      <c r="K715" s="550">
        <f>'Sollecitazioni nel paramento'!$G$60*(sezione!$AL$29-C715)/C715</f>
        <v>-2.8774305303072086E-3</v>
      </c>
      <c r="L715" s="550">
        <f>'Sollecitazioni nel paramento'!$G$60*(sezione!$AM$29-C715)/C715</f>
        <v>-2.5661457954608132E-3</v>
      </c>
      <c r="M715" s="551">
        <f>'Sollecitazioni nel paramento'!$G$60*(sezione!$AN$29-C715)/C715</f>
        <v>-2.2548610606144179E-3</v>
      </c>
      <c r="N715" s="551">
        <f>'Sollecitazioni nel paramento'!$G$60*(sezione!$AO$29-C715)/C715</f>
        <v>-1.0097221212288354E-3</v>
      </c>
      <c r="O715" s="551">
        <f>'Sollecitazioni nel paramento'!$G$60*(sezione!$AP$29-C715)/C715</f>
        <v>1.5125067830305235E-3</v>
      </c>
      <c r="P715" s="545">
        <f>-'Sollecitazioni nel paramento'!$G$47*'Sollecitazioni nel paramento'!$G$41*IF(DATI!$G$211="dx",DATI!$E$61,DATI!$E$64*DATI!$E$63)*1000*C715*sezione!$AD$5</f>
        <v>-8567043.9358869791</v>
      </c>
      <c r="Q715" s="545">
        <f>'Foglio deposito bis'!$F$48*IF(ABS(K715)&lt;'Sollecitazioni nel paramento'!$G$58,ABS(K715)*'Sollecitazioni nel paramento'!$G$54,'Sollecitazioni nel paramento'!$G$53)*IF(K715&lt;0,-1,1)</f>
        <v>0</v>
      </c>
      <c r="R715" s="545">
        <f>'Foglio deposito bis'!$F$49*IF(ABS(L715)&lt;'Sollecitazioni nel paramento'!$G$58,ABS(L715)*'Sollecitazioni nel paramento'!$G$54,'Sollecitazioni nel paramento'!$G$53)*IF(L715&lt;0,-1,1)</f>
        <v>-204886.47740803001</v>
      </c>
      <c r="S715" s="545">
        <f>'Foglio deposito bis'!$F$50*IF(ABS(M715)&lt;'Sollecitazioni nel paramento'!$G$58,ABS(M715)*'Sollecitazioni nel paramento'!$G$54,'Sollecitazioni nel paramento'!$G$53)*IF(M715&lt;0,-1,1)</f>
        <v>0</v>
      </c>
      <c r="T715" s="545">
        <f>'Foglio deposito bis'!$F$51*IF(ABS(N715)&lt;'Sollecitazioni nel paramento'!$G$58,ABS(N715)*'Sollecitazioni nel paramento'!$G$54,'Sollecitazioni nel paramento'!$G$53)*IF(N715&lt;0,-1,1)</f>
        <v>-128078.14691371504</v>
      </c>
      <c r="U715" s="545">
        <f>'Foglio deposito bis'!$F$52*IF(ABS(O715)&lt;'Sollecitazioni nel paramento'!$G$58,ABS(O715)*'Sollecitazioni nel paramento'!$G$54,'Sollecitazioni nel paramento'!$G$53)*IF(O715&lt;0,-1,1)</f>
        <v>191853.83967741256</v>
      </c>
      <c r="V715" s="472">
        <f t="shared" si="53"/>
        <v>-8708154.7205313109</v>
      </c>
      <c r="W715" s="551"/>
      <c r="X715" s="551"/>
    </row>
    <row r="716" spans="1:24" x14ac:dyDescent="0.25">
      <c r="A716" s="545">
        <f t="shared" si="54"/>
        <v>8915092.4621283952</v>
      </c>
      <c r="B716" s="3">
        <f t="shared" si="51"/>
        <v>46.899999999999942</v>
      </c>
      <c r="C716" s="545">
        <f>'Foglio deposito bis'!$E$155/sezione!$B$247*B716</f>
        <v>229.77372951335116</v>
      </c>
      <c r="D716" s="603">
        <f>-'Sollecitazioni nel paramento'!$G$47*'Sollecitazioni nel paramento'!$G$41*IF(DATI!$G$211="dx",DATI!$E$61,DATI!$E$64*DATI!$E$63)*1000*C716^2*sezione!$AD$5*(1-sezione!$AD$6)</f>
        <v>-1174638880.5849819</v>
      </c>
      <c r="E716" s="545">
        <f>-'Foglio deposito bis'!$F$48*(C716-sezione!$AL$29)*IF(ABS(K716)&lt;'Sollecitazioni nel paramento'!$G$58,ABS(K716)*'Sollecitazioni nel paramento'!$G$54,'Sollecitazioni nel paramento'!$G$53)</f>
        <v>0</v>
      </c>
      <c r="F716" s="545">
        <f>-'Foglio deposito bis'!$F$49*(C716-sezione!$AM$29)*IF(ABS(L716)&lt;'Sollecitazioni nel paramento'!$G$58,ABS(L716)*'Sollecitazioni nel paramento'!$G$54,'Sollecitazioni nel paramento'!$G$53)</f>
        <v>-34784341.39641422</v>
      </c>
      <c r="G716" s="545">
        <f>-'Foglio deposito bis'!$F$50*(C716-sezione!$AN$29)*IF(ABS(M716)&lt;'Sollecitazioni nel paramento'!$G$58,ABS(M716)*'Sollecitazioni nel paramento'!$G$54,'Sollecitazioni nel paramento'!$G$53)</f>
        <v>0</v>
      </c>
      <c r="H716" s="545">
        <f>-'Foglio deposito bis'!$F$51*(C716-sezione!$AO$29)*IF(ABS(N716)&lt;'Sollecitazioni nel paramento'!$G$58,ABS(N716)*'Sollecitazioni nel paramento'!$G$54,'Sollecitazioni nel paramento'!$G$53)</f>
        <v>-9406427.4442562088</v>
      </c>
      <c r="I716" s="472">
        <f>-'Foglio deposito bis'!$F$52*(C716-sezione!$AP$29)*IF(ABS(O716)&lt;'Sollecitazioni nel paramento'!$G$58,ABS(O716)*'Sollecitazioni nel paramento'!$G$54,'Sollecitazioni nel paramento'!$G$53)</f>
        <v>16453099.257511562</v>
      </c>
      <c r="J716" s="472">
        <f t="shared" si="52"/>
        <v>-1202376550.1681409</v>
      </c>
      <c r="K716" s="550">
        <f>'Sollecitazioni nel paramento'!$G$60*(sezione!$AL$29-C716)/C716</f>
        <v>-2.8907049326460741E-3</v>
      </c>
      <c r="L716" s="550">
        <f>'Sollecitazioni nel paramento'!$G$60*(sezione!$AM$29-C716)/C716</f>
        <v>-2.5860573989691118E-3</v>
      </c>
      <c r="M716" s="551">
        <f>'Sollecitazioni nel paramento'!$G$60*(sezione!$AN$29-C716)/C716</f>
        <v>-2.2814098652921486E-3</v>
      </c>
      <c r="N716" s="551">
        <f>'Sollecitazioni nel paramento'!$G$60*(sezione!$AO$29-C716)/C716</f>
        <v>-1.0628197305842973E-3</v>
      </c>
      <c r="O716" s="551">
        <f>'Sollecitazioni nel paramento'!$G$60*(sezione!$AP$29-C716)/C716</f>
        <v>1.4056303057804057E-3</v>
      </c>
      <c r="P716" s="545">
        <f>-'Sollecitazioni nel paramento'!$G$47*'Sollecitazioni nel paramento'!$G$41*IF(DATI!$G$211="dx",DATI!$E$61,DATI!$E$64*DATI!$E$63)*1000*C716*sezione!$AD$5</f>
        <v>-8753689.7732701376</v>
      </c>
      <c r="Q716" s="545">
        <f>'Foglio deposito bis'!$F$48*IF(ABS(K716)&lt;'Sollecitazioni nel paramento'!$G$58,ABS(K716)*'Sollecitazioni nel paramento'!$G$54,'Sollecitazioni nel paramento'!$G$53)*IF(K716&lt;0,-1,1)</f>
        <v>0</v>
      </c>
      <c r="R716" s="545">
        <f>'Foglio deposito bis'!$F$49*IF(ABS(L716)&lt;'Sollecitazioni nel paramento'!$G$58,ABS(L716)*'Sollecitazioni nel paramento'!$G$54,'Sollecitazioni nel paramento'!$G$53)*IF(L716&lt;0,-1,1)</f>
        <v>-204886.47740803001</v>
      </c>
      <c r="S716" s="545">
        <f>'Foglio deposito bis'!$F$50*IF(ABS(M716)&lt;'Sollecitazioni nel paramento'!$G$58,ABS(M716)*'Sollecitazioni nel paramento'!$G$54,'Sollecitazioni nel paramento'!$G$53)*IF(M716&lt;0,-1,1)</f>
        <v>0</v>
      </c>
      <c r="T716" s="545">
        <f>'Foglio deposito bis'!$F$51*IF(ABS(N716)&lt;'Sollecitazioni nel paramento'!$G$58,ABS(N716)*'Sollecitazioni nel paramento'!$G$54,'Sollecitazioni nel paramento'!$G$53)*IF(N716&lt;0,-1,1)</f>
        <v>-134813.31025104938</v>
      </c>
      <c r="U716" s="545">
        <f>'Foglio deposito bis'!$F$52*IF(ABS(O716)&lt;'Sollecitazioni nel paramento'!$G$58,ABS(O716)*'Sollecitazioni nel paramento'!$G$54,'Sollecitazioni nel paramento'!$G$53)*IF(O716&lt;0,-1,1)</f>
        <v>178297.09880082175</v>
      </c>
      <c r="V716" s="472">
        <f t="shared" si="53"/>
        <v>-8915092.4621283952</v>
      </c>
      <c r="W716" s="551"/>
      <c r="X716" s="551"/>
    </row>
    <row r="717" spans="1:24" x14ac:dyDescent="0.25">
      <c r="A717" s="545">
        <f t="shared" si="54"/>
        <v>9121182.9425891973</v>
      </c>
      <c r="B717" s="3">
        <f t="shared" si="51"/>
        <v>47.899999999999942</v>
      </c>
      <c r="C717" s="545">
        <f>'Foglio deposito bis'!$E$155/sezione!$B$247*B717</f>
        <v>234.67295615542687</v>
      </c>
      <c r="D717" s="603">
        <f>-'Sollecitazioni nel paramento'!$G$47*'Sollecitazioni nel paramento'!$G$41*IF(DATI!$G$211="dx",DATI!$E$61,DATI!$E$64*DATI!$E$63)*1000*C717^2*sezione!$AD$5*(1-sezione!$AD$6)</f>
        <v>-1225264112.2758071</v>
      </c>
      <c r="E717" s="545">
        <f>-'Foglio deposito bis'!$F$48*(C717-sezione!$AL$29)*IF(ABS(K717)&lt;'Sollecitazioni nel paramento'!$G$58,ABS(K717)*'Sollecitazioni nel paramento'!$G$54,'Sollecitazioni nel paramento'!$G$53)</f>
        <v>0</v>
      </c>
      <c r="F717" s="545">
        <f>-'Foglio deposito bis'!$F$49*(C717-sezione!$AM$29)*IF(ABS(L717)&lt;'Sollecitazioni nel paramento'!$G$58,ABS(L717)*'Sollecitazioni nel paramento'!$G$54,'Sollecitazioni nel paramento'!$G$53)</f>
        <v>-35788126.685132682</v>
      </c>
      <c r="G717" s="545">
        <f>-'Foglio deposito bis'!$F$50*(C717-sezione!$AN$29)*IF(ABS(M717)&lt;'Sollecitazioni nel paramento'!$G$58,ABS(M717)*'Sollecitazioni nel paramento'!$G$54,'Sollecitazioni nel paramento'!$G$53)</f>
        <v>0</v>
      </c>
      <c r="H717" s="545">
        <f>-'Foglio deposito bis'!$F$51*(C717-sezione!$AO$29)*IF(ABS(N717)&lt;'Sollecitazioni nel paramento'!$G$58,ABS(N717)*'Sollecitazioni nel paramento'!$G$54,'Sollecitazioni nel paramento'!$G$53)</f>
        <v>-10548843.606951831</v>
      </c>
      <c r="I717" s="472">
        <f>-'Foglio deposito bis'!$F$52*(C717-sezione!$AP$29)*IF(ABS(O717)&lt;'Sollecitazioni nel paramento'!$G$58,ABS(O717)*'Sollecitazioni nel paramento'!$G$54,'Sollecitazioni nel paramento'!$G$53)</f>
        <v>14444455.614615239</v>
      </c>
      <c r="J717" s="472">
        <f t="shared" si="52"/>
        <v>-1257156626.9532764</v>
      </c>
      <c r="K717" s="550">
        <f>'Sollecitazioni nel paramento'!$G$60*(sezione!$AL$29-C717)/C717</f>
        <v>-2.9034250801899977E-3</v>
      </c>
      <c r="L717" s="550">
        <f>'Sollecitazioni nel paramento'!$G$60*(sezione!$AM$29-C717)/C717</f>
        <v>-2.6051376202849961E-3</v>
      </c>
      <c r="M717" s="551">
        <f>'Sollecitazioni nel paramento'!$G$60*(sezione!$AN$29-C717)/C717</f>
        <v>-2.3068501603799954E-3</v>
      </c>
      <c r="N717" s="551">
        <f>'Sollecitazioni nel paramento'!$G$60*(sezione!$AO$29-C717)/C717</f>
        <v>-1.1137003207599904E-3</v>
      </c>
      <c r="O717" s="551">
        <f>'Sollecitazioni nel paramento'!$G$60*(sezione!$AP$29-C717)/C717</f>
        <v>1.3032163119227772E-3</v>
      </c>
      <c r="P717" s="545">
        <f>-'Sollecitazioni nel paramento'!$G$47*'Sollecitazioni nel paramento'!$G$41*IF(DATI!$G$211="dx",DATI!$E$61,DATI!$E$64*DATI!$E$63)*1000*C717*sezione!$AD$5</f>
        <v>-8940335.6106532961</v>
      </c>
      <c r="Q717" s="545">
        <f>'Foglio deposito bis'!$F$48*IF(ABS(K717)&lt;'Sollecitazioni nel paramento'!$G$58,ABS(K717)*'Sollecitazioni nel paramento'!$G$54,'Sollecitazioni nel paramento'!$G$53)*IF(K717&lt;0,-1,1)</f>
        <v>0</v>
      </c>
      <c r="R717" s="545">
        <f>'Foglio deposito bis'!$F$49*IF(ABS(L717)&lt;'Sollecitazioni nel paramento'!$G$58,ABS(L717)*'Sollecitazioni nel paramento'!$G$54,'Sollecitazioni nel paramento'!$G$53)*IF(L717&lt;0,-1,1)</f>
        <v>-204886.47740803001</v>
      </c>
      <c r="S717" s="545">
        <f>'Foglio deposito bis'!$F$50*IF(ABS(M717)&lt;'Sollecitazioni nel paramento'!$G$58,ABS(M717)*'Sollecitazioni nel paramento'!$G$54,'Sollecitazioni nel paramento'!$G$53)*IF(M717&lt;0,-1,1)</f>
        <v>0</v>
      </c>
      <c r="T717" s="545">
        <f>'Foglio deposito bis'!$F$51*IF(ABS(N717)&lt;'Sollecitazioni nel paramento'!$G$58,ABS(N717)*'Sollecitazioni nel paramento'!$G$54,'Sollecitazioni nel paramento'!$G$53)*IF(N717&lt;0,-1,1)</f>
        <v>-141267.25591250334</v>
      </c>
      <c r="U717" s="545">
        <f>'Foglio deposito bis'!$F$52*IF(ABS(O717)&lt;'Sollecitazioni nel paramento'!$G$58,ABS(O717)*'Sollecitazioni nel paramento'!$G$54,'Sollecitazioni nel paramento'!$G$53)*IF(O717&lt;0,-1,1)</f>
        <v>165306.40138463143</v>
      </c>
      <c r="V717" s="472">
        <f t="shared" si="53"/>
        <v>-9121182.9425891973</v>
      </c>
      <c r="W717" s="551"/>
      <c r="X717" s="551"/>
    </row>
    <row r="718" spans="1:24" x14ac:dyDescent="0.25">
      <c r="A718" s="545">
        <f t="shared" si="54"/>
        <v>9326478.1411245372</v>
      </c>
      <c r="B718" s="3">
        <f t="shared" si="51"/>
        <v>48.899999999999942</v>
      </c>
      <c r="C718" s="545">
        <f>'Foglio deposito bis'!$E$155/sezione!$B$247*B718</f>
        <v>239.57218279750262</v>
      </c>
      <c r="D718" s="603">
        <f>-'Sollecitazioni nel paramento'!$G$47*'Sollecitazioni nel paramento'!$G$41*IF(DATI!$G$211="dx",DATI!$E$61,DATI!$E$64*DATI!$E$63)*1000*C718^2*sezione!$AD$5*(1-sezione!$AD$6)</f>
        <v>-1276957386.8293085</v>
      </c>
      <c r="E718" s="545">
        <f>-'Foglio deposito bis'!$F$48*(C718-sezione!$AL$29)*IF(ABS(K718)&lt;'Sollecitazioni nel paramento'!$G$58,ABS(K718)*'Sollecitazioni nel paramento'!$G$54,'Sollecitazioni nel paramento'!$G$53)</f>
        <v>0</v>
      </c>
      <c r="F718" s="545">
        <f>-'Foglio deposito bis'!$F$49*(C718-sezione!$AM$29)*IF(ABS(L718)&lt;'Sollecitazioni nel paramento'!$G$58,ABS(L718)*'Sollecitazioni nel paramento'!$G$54,'Sollecitazioni nel paramento'!$G$53)</f>
        <v>-36791911.973851152</v>
      </c>
      <c r="G718" s="545">
        <f>-'Foglio deposito bis'!$F$50*(C718-sezione!$AN$29)*IF(ABS(M718)&lt;'Sollecitazioni nel paramento'!$G$58,ABS(M718)*'Sollecitazioni nel paramento'!$G$54,'Sollecitazioni nel paramento'!$G$53)</f>
        <v>0</v>
      </c>
      <c r="H718" s="545">
        <f>-'Foglio deposito bis'!$F$51*(C718-sezione!$AO$29)*IF(ABS(N718)&lt;'Sollecitazioni nel paramento'!$G$58,ABS(N718)*'Sollecitazioni nel paramento'!$G$54,'Sollecitazioni nel paramento'!$G$53)</f>
        <v>-11733494.178883966</v>
      </c>
      <c r="I718" s="472">
        <f>-'Foglio deposito bis'!$F$52*(C718-sezione!$AP$29)*IF(ABS(O718)&lt;'Sollecitazioni nel paramento'!$G$58,ABS(O718)*'Sollecitazioni nel paramento'!$G$54,'Sollecitazioni nel paramento'!$G$53)</f>
        <v>12606924.082615616</v>
      </c>
      <c r="J718" s="472">
        <f t="shared" si="52"/>
        <v>-1312875868.8994281</v>
      </c>
      <c r="K718" s="550">
        <f>'Sollecitazioni nel paramento'!$G$60*(sezione!$AL$29-C718)/C718</f>
        <v>-2.9156249763006314E-3</v>
      </c>
      <c r="L718" s="550">
        <f>'Sollecitazioni nel paramento'!$G$60*(sezione!$AM$29-C718)/C718</f>
        <v>-2.6234374644509475E-3</v>
      </c>
      <c r="M718" s="551">
        <f>'Sollecitazioni nel paramento'!$G$60*(sezione!$AN$29-C718)/C718</f>
        <v>-2.3312499526012631E-3</v>
      </c>
      <c r="N718" s="551">
        <f>'Sollecitazioni nel paramento'!$G$60*(sezione!$AO$29-C718)/C718</f>
        <v>-1.1624999052025266E-3</v>
      </c>
      <c r="O718" s="551">
        <f>'Sollecitazioni nel paramento'!$G$60*(sezione!$AP$29-C718)/C718</f>
        <v>1.2049910294703681E-3</v>
      </c>
      <c r="P718" s="545">
        <f>-'Sollecitazioni nel paramento'!$G$47*'Sollecitazioni nel paramento'!$G$41*IF(DATI!$G$211="dx",DATI!$E$61,DATI!$E$64*DATI!$E$63)*1000*C718*sezione!$AD$5</f>
        <v>-9126981.4480364565</v>
      </c>
      <c r="Q718" s="545">
        <f>'Foglio deposito bis'!$F$48*IF(ABS(K718)&lt;'Sollecitazioni nel paramento'!$G$58,ABS(K718)*'Sollecitazioni nel paramento'!$G$54,'Sollecitazioni nel paramento'!$G$53)*IF(K718&lt;0,-1,1)</f>
        <v>0</v>
      </c>
      <c r="R718" s="545">
        <f>'Foglio deposito bis'!$F$49*IF(ABS(L718)&lt;'Sollecitazioni nel paramento'!$G$58,ABS(L718)*'Sollecitazioni nel paramento'!$G$54,'Sollecitazioni nel paramento'!$G$53)*IF(L718&lt;0,-1,1)</f>
        <v>-204886.47740803001</v>
      </c>
      <c r="S718" s="545">
        <f>'Foglio deposito bis'!$F$50*IF(ABS(M718)&lt;'Sollecitazioni nel paramento'!$G$58,ABS(M718)*'Sollecitazioni nel paramento'!$G$54,'Sollecitazioni nel paramento'!$G$53)*IF(M718&lt;0,-1,1)</f>
        <v>0</v>
      </c>
      <c r="T718" s="545">
        <f>'Foglio deposito bis'!$F$51*IF(ABS(N718)&lt;'Sollecitazioni nel paramento'!$G$58,ABS(N718)*'Sollecitazioni nel paramento'!$G$54,'Sollecitazioni nel paramento'!$G$53)*IF(N718&lt;0,-1,1)</f>
        <v>-147457.2365162292</v>
      </c>
      <c r="U718" s="545">
        <f>'Foglio deposito bis'!$F$52*IF(ABS(O718)&lt;'Sollecitazioni nel paramento'!$G$58,ABS(O718)*'Sollecitazioni nel paramento'!$G$54,'Sollecitazioni nel paramento'!$G$53)*IF(O718&lt;0,-1,1)</f>
        <v>152847.02083617885</v>
      </c>
      <c r="V718" s="472">
        <f t="shared" si="53"/>
        <v>-9326478.1411245372</v>
      </c>
      <c r="W718" s="551"/>
      <c r="X718" s="551"/>
    </row>
    <row r="719" spans="1:24" x14ac:dyDescent="0.25">
      <c r="A719" s="545">
        <f t="shared" si="54"/>
        <v>9531025.8702750131</v>
      </c>
      <c r="B719" s="3">
        <f t="shared" si="51"/>
        <v>49.899999999999942</v>
      </c>
      <c r="C719" s="545">
        <f>'Foglio deposito bis'!$E$155/sezione!$B$247*B719</f>
        <v>244.47140943957834</v>
      </c>
      <c r="D719" s="603">
        <f>-'Sollecitazioni nel paramento'!$G$47*'Sollecitazioni nel paramento'!$G$41*IF(DATI!$G$211="dx",DATI!$E$61,DATI!$E$64*DATI!$E$63)*1000*C719^2*sezione!$AD$5*(1-sezione!$AD$6)</f>
        <v>-1329718704.2454853</v>
      </c>
      <c r="E719" s="545">
        <f>-'Foglio deposito bis'!$F$48*(C719-sezione!$AL$29)*IF(ABS(K719)&lt;'Sollecitazioni nel paramento'!$G$58,ABS(K719)*'Sollecitazioni nel paramento'!$G$54,'Sollecitazioni nel paramento'!$G$53)</f>
        <v>0</v>
      </c>
      <c r="F719" s="545">
        <f>-'Foglio deposito bis'!$F$49*(C719-sezione!$AM$29)*IF(ABS(L719)&lt;'Sollecitazioni nel paramento'!$G$58,ABS(L719)*'Sollecitazioni nel paramento'!$G$54,'Sollecitazioni nel paramento'!$G$53)</f>
        <v>-37795697.262569621</v>
      </c>
      <c r="G719" s="545">
        <f>-'Foglio deposito bis'!$F$50*(C719-sezione!$AN$29)*IF(ABS(M719)&lt;'Sollecitazioni nel paramento'!$G$58,ABS(M719)*'Sollecitazioni nel paramento'!$G$54,'Sollecitazioni nel paramento'!$G$53)</f>
        <v>0</v>
      </c>
      <c r="H719" s="545">
        <f>-'Foglio deposito bis'!$F$51*(C719-sezione!$AO$29)*IF(ABS(N719)&lt;'Sollecitazioni nel paramento'!$G$58,ABS(N719)*'Sollecitazioni nel paramento'!$G$54,'Sollecitazioni nel paramento'!$G$53)</f>
        <v>-12957840.017212735</v>
      </c>
      <c r="I719" s="472">
        <f>-'Foglio deposito bis'!$F$52*(C719-sezione!$AP$29)*IF(ABS(O719)&lt;'Sollecitazioni nel paramento'!$G$58,ABS(O719)*'Sollecitazioni nel paramento'!$G$54,'Sollecitazioni nel paramento'!$G$53)</f>
        <v>10930217.360256404</v>
      </c>
      <c r="J719" s="472">
        <f t="shared" si="52"/>
        <v>-1369542024.1650112</v>
      </c>
      <c r="K719" s="550">
        <f>'Sollecitazioni nel paramento'!$G$60*(sezione!$AL$29-C719)/C719</f>
        <v>-2.9273358986192564E-3</v>
      </c>
      <c r="L719" s="550">
        <f>'Sollecitazioni nel paramento'!$G$60*(sezione!$AM$29-C719)/C719</f>
        <v>-2.6410038479288845E-3</v>
      </c>
      <c r="M719" s="551">
        <f>'Sollecitazioni nel paramento'!$G$60*(sezione!$AN$29-C719)/C719</f>
        <v>-2.3546717972385126E-3</v>
      </c>
      <c r="N719" s="551">
        <f>'Sollecitazioni nel paramento'!$G$60*(sezione!$AO$29-C719)/C719</f>
        <v>-1.2093435944770252E-3</v>
      </c>
      <c r="O719" s="551">
        <f>'Sollecitazioni nel paramento'!$G$60*(sezione!$AP$29-C719)/C719</f>
        <v>1.1107026320861925E-3</v>
      </c>
      <c r="P719" s="545">
        <f>-'Sollecitazioni nel paramento'!$G$47*'Sollecitazioni nel paramento'!$G$41*IF(DATI!$G$211="dx",DATI!$E$61,DATI!$E$64*DATI!$E$63)*1000*C719*sezione!$AD$5</f>
        <v>-9313627.2854196131</v>
      </c>
      <c r="Q719" s="545">
        <f>'Foglio deposito bis'!$F$48*IF(ABS(K719)&lt;'Sollecitazioni nel paramento'!$G$58,ABS(K719)*'Sollecitazioni nel paramento'!$G$54,'Sollecitazioni nel paramento'!$G$53)*IF(K719&lt;0,-1,1)</f>
        <v>0</v>
      </c>
      <c r="R719" s="545">
        <f>'Foglio deposito bis'!$F$49*IF(ABS(L719)&lt;'Sollecitazioni nel paramento'!$G$58,ABS(L719)*'Sollecitazioni nel paramento'!$G$54,'Sollecitazioni nel paramento'!$G$53)*IF(L719&lt;0,-1,1)</f>
        <v>-204886.47740803001</v>
      </c>
      <c r="S719" s="545">
        <f>'Foglio deposito bis'!$F$50*IF(ABS(M719)&lt;'Sollecitazioni nel paramento'!$G$58,ABS(M719)*'Sollecitazioni nel paramento'!$G$54,'Sollecitazioni nel paramento'!$G$53)*IF(M719&lt;0,-1,1)</f>
        <v>0</v>
      </c>
      <c r="T719" s="545">
        <f>'Foglio deposito bis'!$F$51*IF(ABS(N719)&lt;'Sollecitazioni nel paramento'!$G$58,ABS(N719)*'Sollecitazioni nel paramento'!$G$54,'Sollecitazioni nel paramento'!$G$53)*IF(N719&lt;0,-1,1)</f>
        <v>-153399.12170497599</v>
      </c>
      <c r="U719" s="545">
        <f>'Foglio deposito bis'!$F$52*IF(ABS(O719)&lt;'Sollecitazioni nel paramento'!$G$58,ABS(O719)*'Sollecitazioni nel paramento'!$G$54,'Sollecitazioni nel paramento'!$G$53)*IF(O719&lt;0,-1,1)</f>
        <v>140887.01425760426</v>
      </c>
      <c r="V719" s="472">
        <f t="shared" si="53"/>
        <v>-9531025.8702750131</v>
      </c>
      <c r="W719" s="551"/>
      <c r="X719" s="551"/>
    </row>
    <row r="720" spans="1:24" x14ac:dyDescent="0.25">
      <c r="A720" s="545">
        <f t="shared" si="54"/>
        <v>9734870.1852106676</v>
      </c>
      <c r="B720" s="3">
        <f t="shared" si="51"/>
        <v>50.899999999999942</v>
      </c>
      <c r="C720" s="545">
        <f>'Foglio deposito bis'!$E$155/sezione!$B$247*B720</f>
        <v>249.37063608165406</v>
      </c>
      <c r="D720" s="603">
        <f>-'Sollecitazioni nel paramento'!$G$47*'Sollecitazioni nel paramento'!$G$41*IF(DATI!$G$211="dx",DATI!$E$61,DATI!$E$64*DATI!$E$63)*1000*C720^2*sezione!$AD$5*(1-sezione!$AD$6)</f>
        <v>-1383548064.5243375</v>
      </c>
      <c r="E720" s="545">
        <f>-'Foglio deposito bis'!$F$48*(C720-sezione!$AL$29)*IF(ABS(K720)&lt;'Sollecitazioni nel paramento'!$G$58,ABS(K720)*'Sollecitazioni nel paramento'!$G$54,'Sollecitazioni nel paramento'!$G$53)</f>
        <v>0</v>
      </c>
      <c r="F720" s="545">
        <f>-'Foglio deposito bis'!$F$49*(C720-sezione!$AM$29)*IF(ABS(L720)&lt;'Sollecitazioni nel paramento'!$G$58,ABS(L720)*'Sollecitazioni nel paramento'!$G$54,'Sollecitazioni nel paramento'!$G$53)</f>
        <v>-38799482.551288091</v>
      </c>
      <c r="G720" s="545">
        <f>-'Foglio deposito bis'!$F$50*(C720-sezione!$AN$29)*IF(ABS(M720)&lt;'Sollecitazioni nel paramento'!$G$58,ABS(M720)*'Sollecitazioni nel paramento'!$G$54,'Sollecitazioni nel paramento'!$G$53)</f>
        <v>0</v>
      </c>
      <c r="H720" s="545">
        <f>-'Foglio deposito bis'!$F$51*(C720-sezione!$AO$29)*IF(ABS(N720)&lt;'Sollecitazioni nel paramento'!$G$58,ABS(N720)*'Sollecitazioni nel paramento'!$G$54,'Sollecitazioni nel paramento'!$G$53)</f>
        <v>-14219541.518810641</v>
      </c>
      <c r="I720" s="472">
        <f>-'Foglio deposito bis'!$F$52*(C720-sezione!$AP$29)*IF(ABS(O720)&lt;'Sollecitazioni nel paramento'!$G$58,ABS(O720)*'Sollecitazioni nel paramento'!$G$54,'Sollecitazioni nel paramento'!$G$53)</f>
        <v>9404856.5786000341</v>
      </c>
      <c r="J720" s="472">
        <f t="shared" si="52"/>
        <v>-1427162232.0158365</v>
      </c>
      <c r="K720" s="550">
        <f>'Sollecitazioni nel paramento'!$G$60*(sezione!$AL$29-C720)/C720</f>
        <v>-2.9385866668192712E-3</v>
      </c>
      <c r="L720" s="550">
        <f>'Sollecitazioni nel paramento'!$G$60*(sezione!$AM$29-C720)/C720</f>
        <v>-2.6578800002289064E-3</v>
      </c>
      <c r="M720" s="551">
        <f>'Sollecitazioni nel paramento'!$G$60*(sezione!$AN$29-C720)/C720</f>
        <v>-2.3771733336385419E-3</v>
      </c>
      <c r="N720" s="551">
        <f>'Sollecitazioni nel paramento'!$G$60*(sezione!$AO$29-C720)/C720</f>
        <v>-1.2543466672770836E-3</v>
      </c>
      <c r="O720" s="551">
        <f>'Sollecitazioni nel paramento'!$G$60*(sezione!$AP$29-C720)/C720</f>
        <v>1.0201190833222199E-3</v>
      </c>
      <c r="P720" s="545">
        <f>-'Sollecitazioni nel paramento'!$G$47*'Sollecitazioni nel paramento'!$G$41*IF(DATI!$G$211="dx",DATI!$E$61,DATI!$E$64*DATI!$E$63)*1000*C720*sezione!$AD$5</f>
        <v>-9500273.1228027716</v>
      </c>
      <c r="Q720" s="545">
        <f>'Foglio deposito bis'!$F$48*IF(ABS(K720)&lt;'Sollecitazioni nel paramento'!$G$58,ABS(K720)*'Sollecitazioni nel paramento'!$G$54,'Sollecitazioni nel paramento'!$G$53)*IF(K720&lt;0,-1,1)</f>
        <v>0</v>
      </c>
      <c r="R720" s="545">
        <f>'Foglio deposito bis'!$F$49*IF(ABS(L720)&lt;'Sollecitazioni nel paramento'!$G$58,ABS(L720)*'Sollecitazioni nel paramento'!$G$54,'Sollecitazioni nel paramento'!$G$53)*IF(L720&lt;0,-1,1)</f>
        <v>-204886.47740803001</v>
      </c>
      <c r="S720" s="545">
        <f>'Foglio deposito bis'!$F$50*IF(ABS(M720)&lt;'Sollecitazioni nel paramento'!$G$58,ABS(M720)*'Sollecitazioni nel paramento'!$G$54,'Sollecitazioni nel paramento'!$G$53)*IF(M720&lt;0,-1,1)</f>
        <v>0</v>
      </c>
      <c r="T720" s="545">
        <f>'Foglio deposito bis'!$F$51*IF(ABS(N720)&lt;'Sollecitazioni nel paramento'!$G$58,ABS(N720)*'Sollecitazioni nel paramento'!$G$54,'Sollecitazioni nel paramento'!$G$53)*IF(N720&lt;0,-1,1)</f>
        <v>-159107.53399829072</v>
      </c>
      <c r="U720" s="545">
        <f>'Foglio deposito bis'!$F$52*IF(ABS(O720)&lt;'Sollecitazioni nel paramento'!$G$58,ABS(O720)*'Sollecitazioni nel paramento'!$G$54,'Sollecitazioni nel paramento'!$G$53)*IF(O720&lt;0,-1,1)</f>
        <v>129396.94899842348</v>
      </c>
      <c r="V720" s="472">
        <f t="shared" si="53"/>
        <v>-9734870.1852106676</v>
      </c>
      <c r="W720" s="551"/>
      <c r="X720" s="551"/>
    </row>
    <row r="721" spans="1:24" x14ac:dyDescent="0.25">
      <c r="A721" s="545">
        <f t="shared" si="54"/>
        <v>9938051.7457127012</v>
      </c>
      <c r="B721" s="3">
        <f t="shared" si="51"/>
        <v>51.899999999999942</v>
      </c>
      <c r="C721" s="545">
        <f>'Foglio deposito bis'!$E$155/sezione!$B$247*B721</f>
        <v>254.26986272372977</v>
      </c>
      <c r="D721" s="603">
        <f>-'Sollecitazioni nel paramento'!$G$47*'Sollecitazioni nel paramento'!$G$41*IF(DATI!$G$211="dx",DATI!$E$61,DATI!$E$64*DATI!$E$63)*1000*C721^2*sezione!$AD$5*(1-sezione!$AD$6)</f>
        <v>-1438445467.6658652</v>
      </c>
      <c r="E721" s="545">
        <f>-'Foglio deposito bis'!$F$48*(C721-sezione!$AL$29)*IF(ABS(K721)&lt;'Sollecitazioni nel paramento'!$G$58,ABS(K721)*'Sollecitazioni nel paramento'!$G$54,'Sollecitazioni nel paramento'!$G$53)</f>
        <v>0</v>
      </c>
      <c r="F721" s="545">
        <f>-'Foglio deposito bis'!$F$49*(C721-sezione!$AM$29)*IF(ABS(L721)&lt;'Sollecitazioni nel paramento'!$G$58,ABS(L721)*'Sollecitazioni nel paramento'!$G$54,'Sollecitazioni nel paramento'!$G$53)</f>
        <v>-39803267.840006553</v>
      </c>
      <c r="G721" s="545">
        <f>-'Foglio deposito bis'!$F$50*(C721-sezione!$AN$29)*IF(ABS(M721)&lt;'Sollecitazioni nel paramento'!$G$58,ABS(M721)*'Sollecitazioni nel paramento'!$G$54,'Sollecitazioni nel paramento'!$G$53)</f>
        <v>0</v>
      </c>
      <c r="H721" s="545">
        <f>-'Foglio deposito bis'!$F$51*(C721-sezione!$AO$29)*IF(ABS(N721)&lt;'Sollecitazioni nel paramento'!$G$58,ABS(N721)*'Sollecitazioni nel paramento'!$G$54,'Sollecitazioni nel paramento'!$G$53)</f>
        <v>-15516439.396783506</v>
      </c>
      <c r="I721" s="472">
        <f>-'Foglio deposito bis'!$F$52*(C721-sezione!$AP$29)*IF(ABS(O721)&lt;'Sollecitazioni nel paramento'!$G$58,ABS(O721)*'Sollecitazioni nel paramento'!$G$54,'Sollecitazioni nel paramento'!$G$53)</f>
        <v>8022093.4173746752</v>
      </c>
      <c r="J721" s="472">
        <f t="shared" si="52"/>
        <v>-1485743081.4852808</v>
      </c>
      <c r="K721" s="550">
        <f>'Sollecitazioni nel paramento'!$G$60*(sezione!$AL$29-C721)/C721</f>
        <v>-2.9494038794046413E-3</v>
      </c>
      <c r="L721" s="550">
        <f>'Sollecitazioni nel paramento'!$G$60*(sezione!$AM$29-C721)/C721</f>
        <v>-2.6741058191069624E-3</v>
      </c>
      <c r="M721" s="551">
        <f>'Sollecitazioni nel paramento'!$G$60*(sezione!$AN$29-C721)/C721</f>
        <v>-2.3988077588092825E-3</v>
      </c>
      <c r="N721" s="551">
        <f>'Sollecitazioni nel paramento'!$G$60*(sezione!$AO$29-C721)/C721</f>
        <v>-1.2976155176185654E-3</v>
      </c>
      <c r="O721" s="551">
        <f>'Sollecitazioni nel paramento'!$G$60*(sezione!$AP$29-C721)/C721</f>
        <v>9.3302623007901736E-4</v>
      </c>
      <c r="P721" s="545">
        <f>-'Sollecitazioni nel paramento'!$G$47*'Sollecitazioni nel paramento'!$G$41*IF(DATI!$G$211="dx",DATI!$E$61,DATI!$E$64*DATI!$E$63)*1000*C721*sezione!$AD$5</f>
        <v>-9686918.960185932</v>
      </c>
      <c r="Q721" s="545">
        <f>'Foglio deposito bis'!$F$48*IF(ABS(K721)&lt;'Sollecitazioni nel paramento'!$G$58,ABS(K721)*'Sollecitazioni nel paramento'!$G$54,'Sollecitazioni nel paramento'!$G$53)*IF(K721&lt;0,-1,1)</f>
        <v>0</v>
      </c>
      <c r="R721" s="545">
        <f>'Foglio deposito bis'!$F$49*IF(ABS(L721)&lt;'Sollecitazioni nel paramento'!$G$58,ABS(L721)*'Sollecitazioni nel paramento'!$G$54,'Sollecitazioni nel paramento'!$G$53)*IF(L721&lt;0,-1,1)</f>
        <v>-204886.47740803001</v>
      </c>
      <c r="S721" s="545">
        <f>'Foglio deposito bis'!$F$50*IF(ABS(M721)&lt;'Sollecitazioni nel paramento'!$G$58,ABS(M721)*'Sollecitazioni nel paramento'!$G$54,'Sollecitazioni nel paramento'!$G$53)*IF(M721&lt;0,-1,1)</f>
        <v>0</v>
      </c>
      <c r="T721" s="545">
        <f>'Foglio deposito bis'!$F$51*IF(ABS(N721)&lt;'Sollecitazioni nel paramento'!$G$58,ABS(N721)*'Sollecitazioni nel paramento'!$G$54,'Sollecitazioni nel paramento'!$G$53)*IF(N721&lt;0,-1,1)</f>
        <v>-164595.96893926189</v>
      </c>
      <c r="U721" s="545">
        <f>'Foglio deposito bis'!$F$52*IF(ABS(O721)&lt;'Sollecitazioni nel paramento'!$G$58,ABS(O721)*'Sollecitazioni nel paramento'!$G$54,'Sollecitazioni nel paramento'!$G$53)*IF(O721&lt;0,-1,1)</f>
        <v>118349.6608205214</v>
      </c>
      <c r="V721" s="472">
        <f t="shared" si="53"/>
        <v>-9938051.7457127012</v>
      </c>
      <c r="W721" s="551"/>
      <c r="X721" s="551"/>
    </row>
    <row r="722" spans="1:24" x14ac:dyDescent="0.25">
      <c r="A722" s="545">
        <f t="shared" si="54"/>
        <v>10140608.137098711</v>
      </c>
      <c r="B722" s="3">
        <f t="shared" si="51"/>
        <v>52.899999999999942</v>
      </c>
      <c r="C722" s="545">
        <f>'Foglio deposito bis'!$E$155/sezione!$B$247*B722</f>
        <v>259.16908936580552</v>
      </c>
      <c r="D722" s="603">
        <f>-'Sollecitazioni nel paramento'!$G$47*'Sollecitazioni nel paramento'!$G$41*IF(DATI!$G$211="dx",DATI!$E$61,DATI!$E$64*DATI!$E$63)*1000*C722^2*sezione!$AD$5*(1-sezione!$AD$6)</f>
        <v>-1494410913.670069</v>
      </c>
      <c r="E722" s="545">
        <f>-'Foglio deposito bis'!$F$48*(C722-sezione!$AL$29)*IF(ABS(K722)&lt;'Sollecitazioni nel paramento'!$G$58,ABS(K722)*'Sollecitazioni nel paramento'!$G$54,'Sollecitazioni nel paramento'!$G$53)</f>
        <v>0</v>
      </c>
      <c r="F722" s="545">
        <f>-'Foglio deposito bis'!$F$49*(C722-sezione!$AM$29)*IF(ABS(L722)&lt;'Sollecitazioni nel paramento'!$G$58,ABS(L722)*'Sollecitazioni nel paramento'!$G$54,'Sollecitazioni nel paramento'!$G$53)</f>
        <v>-40807053.128725022</v>
      </c>
      <c r="G722" s="545">
        <f>-'Foglio deposito bis'!$F$50*(C722-sezione!$AN$29)*IF(ABS(M722)&lt;'Sollecitazioni nel paramento'!$G$58,ABS(M722)*'Sollecitazioni nel paramento'!$G$54,'Sollecitazioni nel paramento'!$G$53)</f>
        <v>0</v>
      </c>
      <c r="H722" s="545">
        <f>-'Foglio deposito bis'!$F$51*(C722-sezione!$AO$29)*IF(ABS(N722)&lt;'Sollecitazioni nel paramento'!$G$58,ABS(N722)*'Sollecitazioni nel paramento'!$G$54,'Sollecitazioni nel paramento'!$G$53)</f>
        <v>-16846537.637348268</v>
      </c>
      <c r="I722" s="472">
        <f>-'Foglio deposito bis'!$F$52*(C722-sezione!$AP$29)*IF(ABS(O722)&lt;'Sollecitazioni nel paramento'!$G$58,ABS(O722)*'Sollecitazioni nel paramento'!$G$54,'Sollecitazioni nel paramento'!$G$53)</f>
        <v>6773841.0550057767</v>
      </c>
      <c r="J722" s="472">
        <f t="shared" si="52"/>
        <v>-1545290663.3811364</v>
      </c>
      <c r="K722" s="550">
        <f>'Sollecitazioni nel paramento'!$G$60*(sezione!$AL$29-C722)/C722</f>
        <v>-2.9598121236503005E-3</v>
      </c>
      <c r="L722" s="550">
        <f>'Sollecitazioni nel paramento'!$G$60*(sezione!$AM$29-C722)/C722</f>
        <v>-2.6897181854754503E-3</v>
      </c>
      <c r="M722" s="551">
        <f>'Sollecitazioni nel paramento'!$G$60*(sezione!$AN$29-C722)/C722</f>
        <v>-2.419624247300601E-3</v>
      </c>
      <c r="N722" s="551">
        <f>'Sollecitazioni nel paramento'!$G$60*(sezione!$AO$29-C722)/C722</f>
        <v>-1.3392484946012015E-3</v>
      </c>
      <c r="O722" s="551">
        <f>'Sollecitazioni nel paramento'!$G$60*(sezione!$AP$29-C722)/C722</f>
        <v>8.4922611230814707E-4</v>
      </c>
      <c r="P722" s="545">
        <f>-'Sollecitazioni nel paramento'!$G$47*'Sollecitazioni nel paramento'!$G$41*IF(DATI!$G$211="dx",DATI!$E$61,DATI!$E$64*DATI!$E$63)*1000*C722*sezione!$AD$5</f>
        <v>-9873564.7975690924</v>
      </c>
      <c r="Q722" s="545">
        <f>'Foglio deposito bis'!$F$48*IF(ABS(K722)&lt;'Sollecitazioni nel paramento'!$G$58,ABS(K722)*'Sollecitazioni nel paramento'!$G$54,'Sollecitazioni nel paramento'!$G$53)*IF(K722&lt;0,-1,1)</f>
        <v>0</v>
      </c>
      <c r="R722" s="545">
        <f>'Foglio deposito bis'!$F$49*IF(ABS(L722)&lt;'Sollecitazioni nel paramento'!$G$58,ABS(L722)*'Sollecitazioni nel paramento'!$G$54,'Sollecitazioni nel paramento'!$G$53)*IF(L722&lt;0,-1,1)</f>
        <v>-204886.47740803001</v>
      </c>
      <c r="S722" s="545">
        <f>'Foglio deposito bis'!$F$50*IF(ABS(M722)&lt;'Sollecitazioni nel paramento'!$G$58,ABS(M722)*'Sollecitazioni nel paramento'!$G$54,'Sollecitazioni nel paramento'!$G$53)*IF(M722&lt;0,-1,1)</f>
        <v>0</v>
      </c>
      <c r="T722" s="545">
        <f>'Foglio deposito bis'!$F$51*IF(ABS(N722)&lt;'Sollecitazioni nel paramento'!$G$58,ABS(N722)*'Sollecitazioni nel paramento'!$G$54,'Sollecitazioni nel paramento'!$G$53)*IF(N722&lt;0,-1,1)</f>
        <v>-169876.90161403379</v>
      </c>
      <c r="U722" s="545">
        <f>'Foglio deposito bis'!$F$52*IF(ABS(O722)&lt;'Sollecitazioni nel paramento'!$G$58,ABS(O722)*'Sollecitazioni nel paramento'!$G$54,'Sollecitazioni nel paramento'!$G$53)*IF(O722&lt;0,-1,1)</f>
        <v>107720.03949244543</v>
      </c>
      <c r="V722" s="472">
        <f t="shared" si="53"/>
        <v>-10140608.137098711</v>
      </c>
      <c r="W722" s="551"/>
      <c r="X722" s="551"/>
    </row>
    <row r="723" spans="1:24" x14ac:dyDescent="0.25">
      <c r="A723" s="545">
        <f t="shared" si="54"/>
        <v>10342574.155423384</v>
      </c>
      <c r="B723" s="3">
        <f t="shared" si="51"/>
        <v>53.899999999999942</v>
      </c>
      <c r="C723" s="545">
        <f>'Foglio deposito bis'!$E$155/sezione!$B$247*B723</f>
        <v>264.06831600788121</v>
      </c>
      <c r="D723" s="603">
        <f>-'Sollecitazioni nel paramento'!$G$47*'Sollecitazioni nel paramento'!$G$41*IF(DATI!$G$211="dx",DATI!$E$61,DATI!$E$64*DATI!$E$63)*1000*C723^2*sezione!$AD$5*(1-sezione!$AD$6)</f>
        <v>-1551444402.536948</v>
      </c>
      <c r="E723" s="545">
        <f>-'Foglio deposito bis'!$F$48*(C723-sezione!$AL$29)*IF(ABS(K723)&lt;'Sollecitazioni nel paramento'!$G$58,ABS(K723)*'Sollecitazioni nel paramento'!$G$54,'Sollecitazioni nel paramento'!$G$53)</f>
        <v>0</v>
      </c>
      <c r="F723" s="545">
        <f>-'Foglio deposito bis'!$F$49*(C723-sezione!$AM$29)*IF(ABS(L723)&lt;'Sollecitazioni nel paramento'!$G$58,ABS(L723)*'Sollecitazioni nel paramento'!$G$54,'Sollecitazioni nel paramento'!$G$53)</f>
        <v>-41810838.417443477</v>
      </c>
      <c r="G723" s="545">
        <f>-'Foglio deposito bis'!$F$50*(C723-sezione!$AN$29)*IF(ABS(M723)&lt;'Sollecitazioni nel paramento'!$G$58,ABS(M723)*'Sollecitazioni nel paramento'!$G$54,'Sollecitazioni nel paramento'!$G$53)</f>
        <v>0</v>
      </c>
      <c r="H723" s="545">
        <f>-'Foglio deposito bis'!$F$51*(C723-sezione!$AO$29)*IF(ABS(N723)&lt;'Sollecitazioni nel paramento'!$G$58,ABS(N723)*'Sollecitazioni nel paramento'!$G$54,'Sollecitazioni nel paramento'!$G$53)</f>
        <v>-18207988.353904244</v>
      </c>
      <c r="I723" s="472">
        <f>-'Foglio deposito bis'!$F$52*(C723-sezione!$AP$29)*IF(ABS(O723)&lt;'Sollecitazioni nel paramento'!$G$58,ABS(O723)*'Sollecitazioni nel paramento'!$G$54,'Sollecitazioni nel paramento'!$G$53)</f>
        <v>5652612.8051006095</v>
      </c>
      <c r="J723" s="472">
        <f t="shared" si="52"/>
        <v>-1605810616.503195</v>
      </c>
      <c r="K723" s="550">
        <f>'Sollecitazioni nel paramento'!$G$60*(sezione!$AL$29-C723)/C723</f>
        <v>-2.9698341621725586E-3</v>
      </c>
      <c r="L723" s="550">
        <f>'Sollecitazioni nel paramento'!$G$60*(sezione!$AM$29-C723)/C723</f>
        <v>-2.7047512432588371E-3</v>
      </c>
      <c r="M723" s="551">
        <f>'Sollecitazioni nel paramento'!$G$60*(sezione!$AN$29-C723)/C723</f>
        <v>-2.4396683243451166E-3</v>
      </c>
      <c r="N723" s="551">
        <f>'Sollecitazioni nel paramento'!$G$60*(sezione!$AO$29-C723)/C723</f>
        <v>-1.3793366486902329E-3</v>
      </c>
      <c r="O723" s="551">
        <f>'Sollecitazioni nel paramento'!$G$60*(sezione!$AP$29-C723)/C723</f>
        <v>7.6853546087385903E-4</v>
      </c>
      <c r="P723" s="545">
        <f>-'Sollecitazioni nel paramento'!$G$47*'Sollecitazioni nel paramento'!$G$41*IF(DATI!$G$211="dx",DATI!$E$61,DATI!$E$64*DATI!$E$63)*1000*C723*sezione!$AD$5</f>
        <v>-10060210.634952249</v>
      </c>
      <c r="Q723" s="545">
        <f>'Foglio deposito bis'!$F$48*IF(ABS(K723)&lt;'Sollecitazioni nel paramento'!$G$58,ABS(K723)*'Sollecitazioni nel paramento'!$G$54,'Sollecitazioni nel paramento'!$G$53)*IF(K723&lt;0,-1,1)</f>
        <v>0</v>
      </c>
      <c r="R723" s="545">
        <f>'Foglio deposito bis'!$F$49*IF(ABS(L723)&lt;'Sollecitazioni nel paramento'!$G$58,ABS(L723)*'Sollecitazioni nel paramento'!$G$54,'Sollecitazioni nel paramento'!$G$53)*IF(L723&lt;0,-1,1)</f>
        <v>-204886.47740803001</v>
      </c>
      <c r="S723" s="545">
        <f>'Foglio deposito bis'!$F$50*IF(ABS(M723)&lt;'Sollecitazioni nel paramento'!$G$58,ABS(M723)*'Sollecitazioni nel paramento'!$G$54,'Sollecitazioni nel paramento'!$G$53)*IF(M723&lt;0,-1,1)</f>
        <v>0</v>
      </c>
      <c r="T723" s="545">
        <f>'Foglio deposito bis'!$F$51*IF(ABS(N723)&lt;'Sollecitazioni nel paramento'!$G$58,ABS(N723)*'Sollecitazioni nel paramento'!$G$54,'Sollecitazioni nel paramento'!$G$53)*IF(N723&lt;0,-1,1)</f>
        <v>-174961.88131386053</v>
      </c>
      <c r="U723" s="545">
        <f>'Foglio deposito bis'!$F$52*IF(ABS(O723)&lt;'Sollecitazioni nel paramento'!$G$58,ABS(O723)*'Sollecitazioni nel paramento'!$G$54,'Sollecitazioni nel paramento'!$G$53)*IF(O723&lt;0,-1,1)</f>
        <v>97484.838250754576</v>
      </c>
      <c r="V723" s="472">
        <f t="shared" si="53"/>
        <v>-10342574.155423384</v>
      </c>
      <c r="W723" s="551"/>
      <c r="X723" s="551"/>
    </row>
    <row r="724" spans="1:24" x14ac:dyDescent="0.25">
      <c r="A724" s="545">
        <f t="shared" si="54"/>
        <v>10543982.061509755</v>
      </c>
      <c r="B724" s="3">
        <f t="shared" si="51"/>
        <v>54.899999999999942</v>
      </c>
      <c r="C724" s="545">
        <f>'Foglio deposito bis'!$E$155/sezione!$B$247*B724</f>
        <v>268.96754264995695</v>
      </c>
      <c r="D724" s="603">
        <f>-'Sollecitazioni nel paramento'!$G$47*'Sollecitazioni nel paramento'!$G$41*IF(DATI!$G$211="dx",DATI!$E$61,DATI!$E$64*DATI!$E$63)*1000*C724^2*sezione!$AD$5*(1-sezione!$AD$6)</f>
        <v>-1609545934.2665033</v>
      </c>
      <c r="E724" s="545">
        <f>-'Foglio deposito bis'!$F$48*(C724-sezione!$AL$29)*IF(ABS(K724)&lt;'Sollecitazioni nel paramento'!$G$58,ABS(K724)*'Sollecitazioni nel paramento'!$G$54,'Sollecitazioni nel paramento'!$G$53)</f>
        <v>0</v>
      </c>
      <c r="F724" s="545">
        <f>-'Foglio deposito bis'!$F$49*(C724-sezione!$AM$29)*IF(ABS(L724)&lt;'Sollecitazioni nel paramento'!$G$58,ABS(L724)*'Sollecitazioni nel paramento'!$G$54,'Sollecitazioni nel paramento'!$G$53)</f>
        <v>-42814623.706161954</v>
      </c>
      <c r="G724" s="545">
        <f>-'Foglio deposito bis'!$F$50*(C724-sezione!$AN$29)*IF(ABS(M724)&lt;'Sollecitazioni nel paramento'!$G$58,ABS(M724)*'Sollecitazioni nel paramento'!$G$54,'Sollecitazioni nel paramento'!$G$53)</f>
        <v>0</v>
      </c>
      <c r="H724" s="545">
        <f>-'Foglio deposito bis'!$F$51*(C724-sezione!$AO$29)*IF(ABS(N724)&lt;'Sollecitazioni nel paramento'!$G$58,ABS(N724)*'Sollecitazioni nel paramento'!$G$54,'Sollecitazioni nel paramento'!$G$53)</f>
        <v>-19599078.296397291</v>
      </c>
      <c r="I724" s="472">
        <f>-'Foglio deposito bis'!$F$52*(C724-sezione!$AP$29)*IF(ABS(O724)&lt;'Sollecitazioni nel paramento'!$G$58,ABS(O724)*'Sollecitazioni nel paramento'!$G$54,'Sollecitazioni nel paramento'!$G$53)</f>
        <v>4651467.4593277946</v>
      </c>
      <c r="J724" s="472">
        <f t="shared" si="52"/>
        <v>-1667308168.8097348</v>
      </c>
      <c r="K724" s="550">
        <f>'Sollecitazioni nel paramento'!$G$60*(sezione!$AL$29-C724)/C724</f>
        <v>-2.9794910991093057E-3</v>
      </c>
      <c r="L724" s="550">
        <f>'Sollecitazioni nel paramento'!$G$60*(sezione!$AM$29-C724)/C724</f>
        <v>-2.7192366486639588E-3</v>
      </c>
      <c r="M724" s="551">
        <f>'Sollecitazioni nel paramento'!$G$60*(sezione!$AN$29-C724)/C724</f>
        <v>-2.4589821982186114E-3</v>
      </c>
      <c r="N724" s="551">
        <f>'Sollecitazioni nel paramento'!$G$60*(sezione!$AO$29-C724)/C724</f>
        <v>-1.4179643964372234E-3</v>
      </c>
      <c r="O724" s="551">
        <f>'Sollecitazioni nel paramento'!$G$60*(sezione!$AP$29-C724)/C724</f>
        <v>6.9078435958289575E-4</v>
      </c>
      <c r="P724" s="545">
        <f>-'Sollecitazioni nel paramento'!$G$47*'Sollecitazioni nel paramento'!$G$41*IF(DATI!$G$211="dx",DATI!$E$61,DATI!$E$64*DATI!$E$63)*1000*C724*sezione!$AD$5</f>
        <v>-10246856.472335408</v>
      </c>
      <c r="Q724" s="545">
        <f>'Foglio deposito bis'!$F$48*IF(ABS(K724)&lt;'Sollecitazioni nel paramento'!$G$58,ABS(K724)*'Sollecitazioni nel paramento'!$G$54,'Sollecitazioni nel paramento'!$G$53)*IF(K724&lt;0,-1,1)</f>
        <v>0</v>
      </c>
      <c r="R724" s="545">
        <f>'Foglio deposito bis'!$F$49*IF(ABS(L724)&lt;'Sollecitazioni nel paramento'!$G$58,ABS(L724)*'Sollecitazioni nel paramento'!$G$54,'Sollecitazioni nel paramento'!$G$53)*IF(L724&lt;0,-1,1)</f>
        <v>-204886.47740803001</v>
      </c>
      <c r="S724" s="545">
        <f>'Foglio deposito bis'!$F$50*IF(ABS(M724)&lt;'Sollecitazioni nel paramento'!$G$58,ABS(M724)*'Sollecitazioni nel paramento'!$G$54,'Sollecitazioni nel paramento'!$G$53)*IF(M724&lt;0,-1,1)</f>
        <v>0</v>
      </c>
      <c r="T724" s="545">
        <f>'Foglio deposito bis'!$F$51*IF(ABS(N724)&lt;'Sollecitazioni nel paramento'!$G$58,ABS(N724)*'Sollecitazioni nel paramento'!$G$54,'Sollecitazioni nel paramento'!$G$53)*IF(N724&lt;0,-1,1)</f>
        <v>-179861.61585158069</v>
      </c>
      <c r="U724" s="545">
        <f>'Foglio deposito bis'!$F$52*IF(ABS(O724)&lt;'Sollecitazioni nel paramento'!$G$58,ABS(O724)*'Sollecitazioni nel paramento'!$G$54,'Sollecitazioni nel paramento'!$G$53)*IF(O724&lt;0,-1,1)</f>
        <v>87622.50408526363</v>
      </c>
      <c r="V724" s="472">
        <f t="shared" si="53"/>
        <v>-10543982.061509755</v>
      </c>
      <c r="W724" s="551"/>
      <c r="X724" s="551"/>
    </row>
    <row r="725" spans="1:24" x14ac:dyDescent="0.25">
      <c r="A725" s="545">
        <f t="shared" si="54"/>
        <v>10744861.807714079</v>
      </c>
      <c r="B725" s="3">
        <f t="shared" si="51"/>
        <v>55.899999999999942</v>
      </c>
      <c r="C725" s="545">
        <f>'Foglio deposito bis'!$E$155/sezione!$B$247*B725</f>
        <v>273.8667692920327</v>
      </c>
      <c r="D725" s="603">
        <f>-'Sollecitazioni nel paramento'!$G$47*'Sollecitazioni nel paramento'!$G$41*IF(DATI!$G$211="dx",DATI!$E$61,DATI!$E$64*DATI!$E$63)*1000*C725^2*sezione!$AD$5*(1-sezione!$AD$6)</f>
        <v>-1668715508.8587341</v>
      </c>
      <c r="E725" s="545">
        <f>-'Foglio deposito bis'!$F$48*(C725-sezione!$AL$29)*IF(ABS(K725)&lt;'Sollecitazioni nel paramento'!$G$58,ABS(K725)*'Sollecitazioni nel paramento'!$G$54,'Sollecitazioni nel paramento'!$G$53)</f>
        <v>0</v>
      </c>
      <c r="F725" s="545">
        <f>-'Foglio deposito bis'!$F$49*(C725-sezione!$AM$29)*IF(ABS(L725)&lt;'Sollecitazioni nel paramento'!$G$58,ABS(L725)*'Sollecitazioni nel paramento'!$G$54,'Sollecitazioni nel paramento'!$G$53)</f>
        <v>-43818408.994880423</v>
      </c>
      <c r="G725" s="545">
        <f>-'Foglio deposito bis'!$F$50*(C725-sezione!$AN$29)*IF(ABS(M725)&lt;'Sollecitazioni nel paramento'!$G$58,ABS(M725)*'Sollecitazioni nel paramento'!$G$54,'Sollecitazioni nel paramento'!$G$53)</f>
        <v>0</v>
      </c>
      <c r="H725" s="545">
        <f>-'Foglio deposito bis'!$F$51*(C725-sezione!$AO$29)*IF(ABS(N725)&lt;'Sollecitazioni nel paramento'!$G$58,ABS(N725)*'Sollecitazioni nel paramento'!$G$54,'Sollecitazioni nel paramento'!$G$53)</f>
        <v>-21018216.808694817</v>
      </c>
      <c r="I725" s="472">
        <f>-'Foglio deposito bis'!$F$52*(C725-sezione!$AP$29)*IF(ABS(O725)&lt;'Sollecitazioni nel paramento'!$G$58,ABS(O725)*'Sollecitazioni nel paramento'!$G$54,'Sollecitazioni nel paramento'!$G$53)</f>
        <v>3763960.4968931223</v>
      </c>
      <c r="J725" s="472">
        <f t="shared" si="52"/>
        <v>-1729788174.1654162</v>
      </c>
      <c r="K725" s="550">
        <f>'Sollecitazioni nel paramento'!$G$60*(sezione!$AL$29-C725)/C725</f>
        <v>-2.9888025284633434E-3</v>
      </c>
      <c r="L725" s="550">
        <f>'Sollecitazioni nel paramento'!$G$60*(sezione!$AM$29-C725)/C725</f>
        <v>-2.7332037926950151E-3</v>
      </c>
      <c r="M725" s="551">
        <f>'Sollecitazioni nel paramento'!$G$60*(sezione!$AN$29-C725)/C725</f>
        <v>-2.4776050569266868E-3</v>
      </c>
      <c r="N725" s="551">
        <f>'Sollecitazioni nel paramento'!$G$60*(sezione!$AO$29-C725)/C725</f>
        <v>-1.4552101138533735E-3</v>
      </c>
      <c r="O725" s="551">
        <f>'Sollecitazioni nel paramento'!$G$60*(sezione!$AP$29-C725)/C725</f>
        <v>6.1581505082470395E-4</v>
      </c>
      <c r="P725" s="545">
        <f>-'Sollecitazioni nel paramento'!$G$47*'Sollecitazioni nel paramento'!$G$41*IF(DATI!$G$211="dx",DATI!$E$61,DATI!$E$64*DATI!$E$63)*1000*C725*sezione!$AD$5</f>
        <v>-10433502.309718568</v>
      </c>
      <c r="Q725" s="545">
        <f>'Foglio deposito bis'!$F$48*IF(ABS(K725)&lt;'Sollecitazioni nel paramento'!$G$58,ABS(K725)*'Sollecitazioni nel paramento'!$G$54,'Sollecitazioni nel paramento'!$G$53)*IF(K725&lt;0,-1,1)</f>
        <v>0</v>
      </c>
      <c r="R725" s="545">
        <f>'Foglio deposito bis'!$F$49*IF(ABS(L725)&lt;'Sollecitazioni nel paramento'!$G$58,ABS(L725)*'Sollecitazioni nel paramento'!$G$54,'Sollecitazioni nel paramento'!$G$53)*IF(L725&lt;0,-1,1)</f>
        <v>-204886.47740803001</v>
      </c>
      <c r="S725" s="545">
        <f>'Foglio deposito bis'!$F$50*IF(ABS(M725)&lt;'Sollecitazioni nel paramento'!$G$58,ABS(M725)*'Sollecitazioni nel paramento'!$G$54,'Sollecitazioni nel paramento'!$G$53)*IF(M725&lt;0,-1,1)</f>
        <v>0</v>
      </c>
      <c r="T725" s="545">
        <f>'Foglio deposito bis'!$F$51*IF(ABS(N725)&lt;'Sollecitazioni nel paramento'!$G$58,ABS(N725)*'Sollecitazioni nel paramento'!$G$54,'Sollecitazioni nel paramento'!$G$53)*IF(N725&lt;0,-1,1)</f>
        <v>-184586.04682802284</v>
      </c>
      <c r="U725" s="545">
        <f>'Foglio deposito bis'!$F$52*IF(ABS(O725)&lt;'Sollecitazioni nel paramento'!$G$58,ABS(O725)*'Sollecitazioni nel paramento'!$G$54,'Sollecitazioni nel paramento'!$G$53)*IF(O725&lt;0,-1,1)</f>
        <v>78113.026240541585</v>
      </c>
      <c r="V725" s="472">
        <f t="shared" si="53"/>
        <v>-10744861.807714079</v>
      </c>
      <c r="W725" s="551"/>
      <c r="X725" s="551"/>
    </row>
    <row r="726" spans="1:24" x14ac:dyDescent="0.25">
      <c r="A726" s="545">
        <f t="shared" si="54"/>
        <v>10945241.240778817</v>
      </c>
      <c r="B726" s="3">
        <f t="shared" si="51"/>
        <v>56.899999999999942</v>
      </c>
      <c r="C726" s="545">
        <f>'Foglio deposito bis'!$E$155/sezione!$B$247*B726</f>
        <v>278.76599593410839</v>
      </c>
      <c r="D726" s="603">
        <f>-'Sollecitazioni nel paramento'!$G$47*'Sollecitazioni nel paramento'!$G$41*IF(DATI!$G$211="dx",DATI!$E$61,DATI!$E$64*DATI!$E$63)*1000*C726^2*sezione!$AD$5*(1-sezione!$AD$6)</f>
        <v>-1728953126.3136401</v>
      </c>
      <c r="E726" s="545">
        <f>-'Foglio deposito bis'!$F$48*(C726-sezione!$AL$29)*IF(ABS(K726)&lt;'Sollecitazioni nel paramento'!$G$58,ABS(K726)*'Sollecitazioni nel paramento'!$G$54,'Sollecitazioni nel paramento'!$G$53)</f>
        <v>0</v>
      </c>
      <c r="F726" s="545">
        <f>-'Foglio deposito bis'!$F$49*(C726-sezione!$AM$29)*IF(ABS(L726)&lt;'Sollecitazioni nel paramento'!$G$58,ABS(L726)*'Sollecitazioni nel paramento'!$G$54,'Sollecitazioni nel paramento'!$G$53)</f>
        <v>-44822194.283598885</v>
      </c>
      <c r="G726" s="545">
        <f>-'Foglio deposito bis'!$F$50*(C726-sezione!$AN$29)*IF(ABS(M726)&lt;'Sollecitazioni nel paramento'!$G$58,ABS(M726)*'Sollecitazioni nel paramento'!$G$54,'Sollecitazioni nel paramento'!$G$53)</f>
        <v>0</v>
      </c>
      <c r="H726" s="545">
        <f>-'Foglio deposito bis'!$F$51*(C726-sezione!$AO$29)*IF(ABS(N726)&lt;'Sollecitazioni nel paramento'!$G$58,ABS(N726)*'Sollecitazioni nel paramento'!$G$54,'Sollecitazioni nel paramento'!$G$53)</f>
        <v>-22463925.055833485</v>
      </c>
      <c r="I726" s="472">
        <f>-'Foglio deposito bis'!$F$52*(C726-sezione!$AP$29)*IF(ABS(O726)&lt;'Sollecitazioni nel paramento'!$G$58,ABS(O726)*'Sollecitazioni nel paramento'!$G$54,'Sollecitazioni nel paramento'!$G$53)</f>
        <v>2984100.4388859803</v>
      </c>
      <c r="J726" s="472">
        <f t="shared" si="52"/>
        <v>-1793255145.2141867</v>
      </c>
      <c r="K726" s="550">
        <f>'Sollecitazioni nel paramento'!$G$60*(sezione!$AL$29-C726)/C726</f>
        <v>-2.9977866668031788E-3</v>
      </c>
      <c r="L726" s="550">
        <f>'Sollecitazioni nel paramento'!$G$60*(sezione!$AM$29-C726)/C726</f>
        <v>-2.7466800002047685E-3</v>
      </c>
      <c r="M726" s="551">
        <f>'Sollecitazioni nel paramento'!$G$60*(sezione!$AN$29-C726)/C726</f>
        <v>-2.4955733336063583E-3</v>
      </c>
      <c r="N726" s="551">
        <f>'Sollecitazioni nel paramento'!$G$60*(sezione!$AO$29-C726)/C726</f>
        <v>-1.4911466672127166E-3</v>
      </c>
      <c r="O726" s="551">
        <f>'Sollecitazioni nel paramento'!$G$60*(sezione!$AP$29-C726)/C726</f>
        <v>5.434808671546745E-4</v>
      </c>
      <c r="P726" s="545">
        <f>-'Sollecitazioni nel paramento'!$G$47*'Sollecitazioni nel paramento'!$G$41*IF(DATI!$G$211="dx",DATI!$E$61,DATI!$E$64*DATI!$E$63)*1000*C726*sezione!$AD$5</f>
        <v>-10620148.147101726</v>
      </c>
      <c r="Q726" s="545">
        <f>'Foglio deposito bis'!$F$48*IF(ABS(K726)&lt;'Sollecitazioni nel paramento'!$G$58,ABS(K726)*'Sollecitazioni nel paramento'!$G$54,'Sollecitazioni nel paramento'!$G$53)*IF(K726&lt;0,-1,1)</f>
        <v>0</v>
      </c>
      <c r="R726" s="545">
        <f>'Foglio deposito bis'!$F$49*IF(ABS(L726)&lt;'Sollecitazioni nel paramento'!$G$58,ABS(L726)*'Sollecitazioni nel paramento'!$G$54,'Sollecitazioni nel paramento'!$G$53)*IF(L726&lt;0,-1,1)</f>
        <v>-204886.47740803001</v>
      </c>
      <c r="S726" s="545">
        <f>'Foglio deposito bis'!$F$50*IF(ABS(M726)&lt;'Sollecitazioni nel paramento'!$G$58,ABS(M726)*'Sollecitazioni nel paramento'!$G$54,'Sollecitazioni nel paramento'!$G$53)*IF(M726&lt;0,-1,1)</f>
        <v>0</v>
      </c>
      <c r="T726" s="545">
        <f>'Foglio deposito bis'!$F$51*IF(ABS(N726)&lt;'Sollecitazioni nel paramento'!$G$58,ABS(N726)*'Sollecitazioni nel paramento'!$G$54,'Sollecitazioni nel paramento'!$G$53)*IF(N726&lt;0,-1,1)</f>
        <v>-189144.41696170773</v>
      </c>
      <c r="U726" s="545">
        <f>'Foglio deposito bis'!$F$52*IF(ABS(O726)&lt;'Sollecitazioni nel paramento'!$G$58,ABS(O726)*'Sollecitazioni nel paramento'!$G$54,'Sollecitazioni nel paramento'!$G$53)*IF(O726&lt;0,-1,1)</f>
        <v>68937.800692646444</v>
      </c>
      <c r="V726" s="472">
        <f t="shared" si="53"/>
        <v>-10945241.240778817</v>
      </c>
      <c r="W726" s="551"/>
      <c r="X726" s="551"/>
    </row>
    <row r="727" spans="1:24" x14ac:dyDescent="0.25">
      <c r="A727" s="545">
        <f t="shared" si="54"/>
        <v>11145146.283664573</v>
      </c>
      <c r="B727" s="3">
        <f t="shared" si="51"/>
        <v>57.899999999999942</v>
      </c>
      <c r="C727" s="545">
        <f>'Foglio deposito bis'!$E$155/sezione!$B$247*B727</f>
        <v>283.66522257618414</v>
      </c>
      <c r="D727" s="603">
        <f>-'Sollecitazioni nel paramento'!$G$47*'Sollecitazioni nel paramento'!$G$41*IF(DATI!$G$211="dx",DATI!$E$61,DATI!$E$64*DATI!$E$63)*1000*C727^2*sezione!$AD$5*(1-sezione!$AD$6)</f>
        <v>-1790258786.631222</v>
      </c>
      <c r="E727" s="545">
        <f>-'Foglio deposito bis'!$F$48*(C727-sezione!$AL$29)*IF(ABS(K727)&lt;'Sollecitazioni nel paramento'!$G$58,ABS(K727)*'Sollecitazioni nel paramento'!$G$54,'Sollecitazioni nel paramento'!$G$53)</f>
        <v>0</v>
      </c>
      <c r="F727" s="545">
        <f>-'Foglio deposito bis'!$F$49*(C727-sezione!$AM$29)*IF(ABS(L727)&lt;'Sollecitazioni nel paramento'!$G$58,ABS(L727)*'Sollecitazioni nel paramento'!$G$54,'Sollecitazioni nel paramento'!$G$53)</f>
        <v>-45825979.572317354</v>
      </c>
      <c r="G727" s="545">
        <f>-'Foglio deposito bis'!$F$50*(C727-sezione!$AN$29)*IF(ABS(M727)&lt;'Sollecitazioni nel paramento'!$G$58,ABS(M727)*'Sollecitazioni nel paramento'!$G$54,'Sollecitazioni nel paramento'!$G$53)</f>
        <v>0</v>
      </c>
      <c r="H727" s="545">
        <f>-'Foglio deposito bis'!$F$51*(C727-sezione!$AO$29)*IF(ABS(N727)&lt;'Sollecitazioni nel paramento'!$G$58,ABS(N727)*'Sollecitazioni nel paramento'!$G$54,'Sollecitazioni nel paramento'!$G$53)</f>
        <v>-23934826.367614288</v>
      </c>
      <c r="I727" s="472">
        <f>-'Foglio deposito bis'!$F$52*(C727-sezione!$AP$29)*IF(ABS(O727)&lt;'Sollecitazioni nel paramento'!$G$58,ABS(O727)*'Sollecitazioni nel paramento'!$G$54,'Sollecitazioni nel paramento'!$G$53)</f>
        <v>2306309.7254914511</v>
      </c>
      <c r="J727" s="472">
        <f t="shared" si="52"/>
        <v>-1857713282.8456621</v>
      </c>
      <c r="K727" s="550">
        <f>'Sollecitazioni nel paramento'!$G$60*(sezione!$AL$29-C727)/C727</f>
        <v>-3.0064604722124509E-3</v>
      </c>
      <c r="L727" s="550">
        <f>'Sollecitazioni nel paramento'!$G$60*(sezione!$AM$29-C727)/C727</f>
        <v>-2.7596907083186763E-3</v>
      </c>
      <c r="M727" s="551">
        <f>'Sollecitazioni nel paramento'!$G$60*(sezione!$AN$29-C727)/C727</f>
        <v>-2.5129209444249012E-3</v>
      </c>
      <c r="N727" s="551">
        <f>'Sollecitazioni nel paramento'!$G$60*(sezione!$AO$29-C727)/C727</f>
        <v>-1.5258418888498028E-3</v>
      </c>
      <c r="O727" s="551">
        <f>'Sollecitazioni nel paramento'!$G$60*(sezione!$AP$29-C727)/C727</f>
        <v>4.7364527359414432E-4</v>
      </c>
      <c r="P727" s="545">
        <f>-'Sollecitazioni nel paramento'!$G$47*'Sollecitazioni nel paramento'!$G$41*IF(DATI!$G$211="dx",DATI!$E$61,DATI!$E$64*DATI!$E$63)*1000*C727*sezione!$AD$5</f>
        <v>-10806793.984484885</v>
      </c>
      <c r="Q727" s="545">
        <f>'Foglio deposito bis'!$F$48*IF(ABS(K727)&lt;'Sollecitazioni nel paramento'!$G$58,ABS(K727)*'Sollecitazioni nel paramento'!$G$54,'Sollecitazioni nel paramento'!$G$53)*IF(K727&lt;0,-1,1)</f>
        <v>0</v>
      </c>
      <c r="R727" s="545">
        <f>'Foglio deposito bis'!$F$49*IF(ABS(L727)&lt;'Sollecitazioni nel paramento'!$G$58,ABS(L727)*'Sollecitazioni nel paramento'!$G$54,'Sollecitazioni nel paramento'!$G$53)*IF(L727&lt;0,-1,1)</f>
        <v>-204886.47740803001</v>
      </c>
      <c r="S727" s="545">
        <f>'Foglio deposito bis'!$F$50*IF(ABS(M727)&lt;'Sollecitazioni nel paramento'!$G$58,ABS(M727)*'Sollecitazioni nel paramento'!$G$54,'Sollecitazioni nel paramento'!$G$53)*IF(M727&lt;0,-1,1)</f>
        <v>0</v>
      </c>
      <c r="T727" s="545">
        <f>'Foglio deposito bis'!$F$51*IF(ABS(N727)&lt;'Sollecitazioni nel paramento'!$G$58,ABS(N727)*'Sollecitazioni nel paramento'!$G$54,'Sollecitazioni nel paramento'!$G$53)*IF(N727&lt;0,-1,1)</f>
        <v>-193545.3304413794</v>
      </c>
      <c r="U727" s="545">
        <f>'Foglio deposito bis'!$F$52*IF(ABS(O727)&lt;'Sollecitazioni nel paramento'!$G$58,ABS(O727)*'Sollecitazioni nel paramento'!$G$54,'Sollecitazioni nel paramento'!$G$53)*IF(O727&lt;0,-1,1)</f>
        <v>60079.508669721668</v>
      </c>
      <c r="V727" s="472">
        <f t="shared" si="53"/>
        <v>-11145146.283664573</v>
      </c>
      <c r="W727" s="551"/>
      <c r="X727" s="551"/>
    </row>
    <row r="728" spans="1:24" x14ac:dyDescent="0.25">
      <c r="A728" s="545">
        <f t="shared" si="54"/>
        <v>11344601.098859234</v>
      </c>
      <c r="B728" s="3">
        <f t="shared" si="51"/>
        <v>58.899999999999942</v>
      </c>
      <c r="C728" s="545">
        <f>'Foglio deposito bis'!$E$155/sezione!$B$247*B728</f>
        <v>288.56444921825982</v>
      </c>
      <c r="D728" s="603">
        <f>-'Sollecitazioni nel paramento'!$G$47*'Sollecitazioni nel paramento'!$G$41*IF(DATI!$G$211="dx",DATI!$E$61,DATI!$E$64*DATI!$E$63)*1000*C728^2*sezione!$AD$5*(1-sezione!$AD$6)</f>
        <v>-1852632489.8114791</v>
      </c>
      <c r="E728" s="545">
        <f>-'Foglio deposito bis'!$F$48*(C728-sezione!$AL$29)*IF(ABS(K728)&lt;'Sollecitazioni nel paramento'!$G$58,ABS(K728)*'Sollecitazioni nel paramento'!$G$54,'Sollecitazioni nel paramento'!$G$53)</f>
        <v>0</v>
      </c>
      <c r="F728" s="545">
        <f>-'Foglio deposito bis'!$F$49*(C728-sezione!$AM$29)*IF(ABS(L728)&lt;'Sollecitazioni nel paramento'!$G$58,ABS(L728)*'Sollecitazioni nel paramento'!$G$54,'Sollecitazioni nel paramento'!$G$53)</f>
        <v>-46829764.861035809</v>
      </c>
      <c r="G728" s="545">
        <f>-'Foglio deposito bis'!$F$50*(C728-sezione!$AN$29)*IF(ABS(M728)&lt;'Sollecitazioni nel paramento'!$G$58,ABS(M728)*'Sollecitazioni nel paramento'!$G$54,'Sollecitazioni nel paramento'!$G$53)</f>
        <v>0</v>
      </c>
      <c r="H728" s="545">
        <f>-'Foglio deposito bis'!$F$51*(C728-sezione!$AO$29)*IF(ABS(N728)&lt;'Sollecitazioni nel paramento'!$G$58,ABS(N728)*'Sollecitazioni nel paramento'!$G$54,'Sollecitazioni nel paramento'!$G$53)</f>
        <v>-25429637.565872069</v>
      </c>
      <c r="I728" s="472">
        <f>-'Foglio deposito bis'!$F$52*(C728-sezione!$AP$29)*IF(ABS(O728)&lt;'Sollecitazioni nel paramento'!$G$58,ABS(O728)*'Sollecitazioni nel paramento'!$G$54,'Sollecitazioni nel paramento'!$G$53)</f>
        <v>1725389.5785459208</v>
      </c>
      <c r="J728" s="472">
        <f t="shared" si="52"/>
        <v>-1923166502.6598411</v>
      </c>
      <c r="K728" s="550">
        <f>'Sollecitazioni nel paramento'!$G$60*(sezione!$AL$29-C728)/C728</f>
        <v>-3.0148397511222565E-3</v>
      </c>
      <c r="L728" s="550">
        <f>'Sollecitazioni nel paramento'!$G$60*(sezione!$AM$29-C728)/C728</f>
        <v>-2.772259626683384E-3</v>
      </c>
      <c r="M728" s="551">
        <f>'Sollecitazioni nel paramento'!$G$60*(sezione!$AN$29-C728)/C728</f>
        <v>-2.5296795022445124E-3</v>
      </c>
      <c r="N728" s="551">
        <f>'Sollecitazioni nel paramento'!$G$60*(sezione!$AO$29-C728)/C728</f>
        <v>-1.5593590044890248E-3</v>
      </c>
      <c r="O728" s="551">
        <f>'Sollecitazioni nel paramento'!$G$60*(sezione!$AP$29-C728)/C728</f>
        <v>4.0618100748898104E-4</v>
      </c>
      <c r="P728" s="545">
        <f>-'Sollecitazioni nel paramento'!$G$47*'Sollecitazioni nel paramento'!$G$41*IF(DATI!$G$211="dx",DATI!$E$61,DATI!$E$64*DATI!$E$63)*1000*C728*sezione!$AD$5</f>
        <v>-10993439.821868042</v>
      </c>
      <c r="Q728" s="545">
        <f>'Foglio deposito bis'!$F$48*IF(ABS(K728)&lt;'Sollecitazioni nel paramento'!$G$58,ABS(K728)*'Sollecitazioni nel paramento'!$G$54,'Sollecitazioni nel paramento'!$G$53)*IF(K728&lt;0,-1,1)</f>
        <v>0</v>
      </c>
      <c r="R728" s="545">
        <f>'Foglio deposito bis'!$F$49*IF(ABS(L728)&lt;'Sollecitazioni nel paramento'!$G$58,ABS(L728)*'Sollecitazioni nel paramento'!$G$54,'Sollecitazioni nel paramento'!$G$53)*IF(L728&lt;0,-1,1)</f>
        <v>-204886.47740803001</v>
      </c>
      <c r="S728" s="545">
        <f>'Foglio deposito bis'!$F$50*IF(ABS(M728)&lt;'Sollecitazioni nel paramento'!$G$58,ABS(M728)*'Sollecitazioni nel paramento'!$G$54,'Sollecitazioni nel paramento'!$G$53)*IF(M728&lt;0,-1,1)</f>
        <v>0</v>
      </c>
      <c r="T728" s="545">
        <f>'Foglio deposito bis'!$F$51*IF(ABS(N728)&lt;'Sollecitazioni nel paramento'!$G$58,ABS(N728)*'Sollecitazioni nel paramento'!$G$54,'Sollecitazioni nel paramento'!$G$53)*IF(N728&lt;0,-1,1)</f>
        <v>-197796.80713056977</v>
      </c>
      <c r="U728" s="545">
        <f>'Foglio deposito bis'!$F$52*IF(ABS(O728)&lt;'Sollecitazioni nel paramento'!$G$58,ABS(O728)*'Sollecitazioni nel paramento'!$G$54,'Sollecitazioni nel paramento'!$G$53)*IF(O728&lt;0,-1,1)</f>
        <v>51522.00754740565</v>
      </c>
      <c r="V728" s="472">
        <f t="shared" si="53"/>
        <v>-11344601.098859234</v>
      </c>
      <c r="W728" s="551"/>
      <c r="X728" s="551"/>
    </row>
    <row r="729" spans="1:24" x14ac:dyDescent="0.25">
      <c r="A729" s="545">
        <f t="shared" si="54"/>
        <v>11543628.235328976</v>
      </c>
      <c r="B729" s="3">
        <f t="shared" si="51"/>
        <v>59.899999999999942</v>
      </c>
      <c r="C729" s="545">
        <f>'Foglio deposito bis'!$E$155/sezione!$B$247*B729</f>
        <v>293.46367586033557</v>
      </c>
      <c r="D729" s="603">
        <f>-'Sollecitazioni nel paramento'!$G$47*'Sollecitazioni nel paramento'!$G$41*IF(DATI!$G$211="dx",DATI!$E$61,DATI!$E$64*DATI!$E$63)*1000*C729^2*sezione!$AD$5*(1-sezione!$AD$6)</f>
        <v>-1916074235.8544121</v>
      </c>
      <c r="E729" s="545">
        <f>-'Foglio deposito bis'!$F$48*(C729-sezione!$AL$29)*IF(ABS(K729)&lt;'Sollecitazioni nel paramento'!$G$58,ABS(K729)*'Sollecitazioni nel paramento'!$G$54,'Sollecitazioni nel paramento'!$G$53)</f>
        <v>0</v>
      </c>
      <c r="F729" s="545">
        <f>-'Foglio deposito bis'!$F$49*(C729-sezione!$AM$29)*IF(ABS(L729)&lt;'Sollecitazioni nel paramento'!$G$58,ABS(L729)*'Sollecitazioni nel paramento'!$G$54,'Sollecitazioni nel paramento'!$G$53)</f>
        <v>-47833550.149754286</v>
      </c>
      <c r="G729" s="545">
        <f>-'Foglio deposito bis'!$F$50*(C729-sezione!$AN$29)*IF(ABS(M729)&lt;'Sollecitazioni nel paramento'!$G$58,ABS(M729)*'Sollecitazioni nel paramento'!$G$54,'Sollecitazioni nel paramento'!$G$53)</f>
        <v>0</v>
      </c>
      <c r="H729" s="545">
        <f>-'Foglio deposito bis'!$F$51*(C729-sezione!$AO$29)*IF(ABS(N729)&lt;'Sollecitazioni nel paramento'!$G$58,ABS(N729)*'Sollecitazioni nel paramento'!$G$54,'Sollecitazioni nel paramento'!$G$53)</f>
        <v>-26947161.160466112</v>
      </c>
      <c r="I729" s="472">
        <f>-'Foglio deposito bis'!$F$52*(C729-sezione!$AP$29)*IF(ABS(O729)&lt;'Sollecitazioni nel paramento'!$G$58,ABS(O729)*'Sollecitazioni nel paramento'!$G$54,'Sollecitazioni nel paramento'!$G$53)</f>
        <v>1236488.3837030143</v>
      </c>
      <c r="J729" s="472">
        <f t="shared" si="52"/>
        <v>-1989618458.7809296</v>
      </c>
      <c r="K729" s="550">
        <f>'Sollecitazioni nel paramento'!$G$60*(sezione!$AL$29-C729)/C729</f>
        <v>-3.0229392544424191E-3</v>
      </c>
      <c r="L729" s="550">
        <f>'Sollecitazioni nel paramento'!$G$60*(sezione!$AM$29-C729)/C729</f>
        <v>-2.7844088816636283E-3</v>
      </c>
      <c r="M729" s="551">
        <f>'Sollecitazioni nel paramento'!$G$60*(sezione!$AN$29-C729)/C729</f>
        <v>-2.5458785088848376E-3</v>
      </c>
      <c r="N729" s="551">
        <f>'Sollecitazioni nel paramento'!$G$60*(sezione!$AO$29-C729)/C729</f>
        <v>-1.5917570177696756E-3</v>
      </c>
      <c r="O729" s="551">
        <f>'Sollecitazioni nel paramento'!$G$60*(sezione!$AP$29-C729)/C729</f>
        <v>3.4096930452589245E-4</v>
      </c>
      <c r="P729" s="545">
        <f>-'Sollecitazioni nel paramento'!$G$47*'Sollecitazioni nel paramento'!$G$41*IF(DATI!$G$211="dx",DATI!$E$61,DATI!$E$64*DATI!$E$63)*1000*C729*sezione!$AD$5</f>
        <v>-11180085.659251202</v>
      </c>
      <c r="Q729" s="545">
        <f>'Foglio deposito bis'!$F$48*IF(ABS(K729)&lt;'Sollecitazioni nel paramento'!$G$58,ABS(K729)*'Sollecitazioni nel paramento'!$G$54,'Sollecitazioni nel paramento'!$G$53)*IF(K729&lt;0,-1,1)</f>
        <v>0</v>
      </c>
      <c r="R729" s="545">
        <f>'Foglio deposito bis'!$F$49*IF(ABS(L729)&lt;'Sollecitazioni nel paramento'!$G$58,ABS(L729)*'Sollecitazioni nel paramento'!$G$54,'Sollecitazioni nel paramento'!$G$53)*IF(L729&lt;0,-1,1)</f>
        <v>-204886.47740803001</v>
      </c>
      <c r="S729" s="545">
        <f>'Foglio deposito bis'!$F$50*IF(ABS(M729)&lt;'Sollecitazioni nel paramento'!$G$58,ABS(M729)*'Sollecitazioni nel paramento'!$G$54,'Sollecitazioni nel paramento'!$G$53)*IF(M729&lt;0,-1,1)</f>
        <v>0</v>
      </c>
      <c r="T729" s="545">
        <f>'Foglio deposito bis'!$F$51*IF(ABS(N729)&lt;'Sollecitazioni nel paramento'!$G$58,ABS(N729)*'Sollecitazioni nel paramento'!$G$54,'Sollecitazioni nel paramento'!$G$53)*IF(N729&lt;0,-1,1)</f>
        <v>-201906.3313426587</v>
      </c>
      <c r="U729" s="545">
        <f>'Foglio deposito bis'!$F$52*IF(ABS(O729)&lt;'Sollecitazioni nel paramento'!$G$58,ABS(O729)*'Sollecitazioni nel paramento'!$G$54,'Sollecitazioni nel paramento'!$G$53)*IF(O729&lt;0,-1,1)</f>
        <v>43250.232672913095</v>
      </c>
      <c r="V729" s="472">
        <f t="shared" si="53"/>
        <v>-11543628.235328976</v>
      </c>
      <c r="W729" s="551"/>
      <c r="X729" s="551"/>
    </row>
    <row r="730" spans="1:24" x14ac:dyDescent="0.25">
      <c r="A730" s="545">
        <f t="shared" si="54"/>
        <v>11742248.760991279</v>
      </c>
      <c r="B730" s="3">
        <f t="shared" si="51"/>
        <v>60.899999999999942</v>
      </c>
      <c r="C730" s="545">
        <f>'Foglio deposito bis'!$E$155/sezione!$B$247*B730</f>
        <v>298.36290250241132</v>
      </c>
      <c r="D730" s="603">
        <f>-'Sollecitazioni nel paramento'!$G$47*'Sollecitazioni nel paramento'!$G$41*IF(DATI!$G$211="dx",DATI!$E$61,DATI!$E$64*DATI!$E$63)*1000*C730^2*sezione!$AD$5*(1-sezione!$AD$6)</f>
        <v>-1980584024.7600212</v>
      </c>
      <c r="E730" s="545">
        <f>-'Foglio deposito bis'!$F$48*(C730-sezione!$AL$29)*IF(ABS(K730)&lt;'Sollecitazioni nel paramento'!$G$58,ABS(K730)*'Sollecitazioni nel paramento'!$G$54,'Sollecitazioni nel paramento'!$G$53)</f>
        <v>0</v>
      </c>
      <c r="F730" s="545">
        <f>-'Foglio deposito bis'!$F$49*(C730-sezione!$AM$29)*IF(ABS(L730)&lt;'Sollecitazioni nel paramento'!$G$58,ABS(L730)*'Sollecitazioni nel paramento'!$G$54,'Sollecitazioni nel paramento'!$G$53)</f>
        <v>-48837335.438472755</v>
      </c>
      <c r="G730" s="545">
        <f>-'Foglio deposito bis'!$F$50*(C730-sezione!$AN$29)*IF(ABS(M730)&lt;'Sollecitazioni nel paramento'!$G$58,ABS(M730)*'Sollecitazioni nel paramento'!$G$54,'Sollecitazioni nel paramento'!$G$53)</f>
        <v>0</v>
      </c>
      <c r="H730" s="545">
        <f>-'Foglio deposito bis'!$F$51*(C730-sezione!$AO$29)*IF(ABS(N730)&lt;'Sollecitazioni nel paramento'!$G$58,ABS(N730)*'Sollecitazioni nel paramento'!$G$54,'Sollecitazioni nel paramento'!$G$53)</f>
        <v>-28486278.314138453</v>
      </c>
      <c r="I730" s="472">
        <f>-'Foglio deposito bis'!$F$52*(C730-sezione!$AP$29)*IF(ABS(O730)&lt;'Sollecitazioni nel paramento'!$G$58,ABS(O730)*'Sollecitazioni nel paramento'!$G$54,'Sollecitazioni nel paramento'!$G$53)</f>
        <v>835073.18765719165</v>
      </c>
      <c r="J730" s="472">
        <f t="shared" si="52"/>
        <v>-2057072565.3249753</v>
      </c>
      <c r="K730" s="550">
        <f>'Sollecitazioni nel paramento'!$G$60*(sezione!$AL$29-C730)/C730</f>
        <v>-3.0307727642216896E-3</v>
      </c>
      <c r="L730" s="550">
        <f>'Sollecitazioni nel paramento'!$G$60*(sezione!$AM$29-C730)/C730</f>
        <v>-2.7961591463325341E-3</v>
      </c>
      <c r="M730" s="551">
        <f>'Sollecitazioni nel paramento'!$G$60*(sezione!$AN$29-C730)/C730</f>
        <v>-2.561545528443379E-3</v>
      </c>
      <c r="N730" s="551">
        <f>'Sollecitazioni nel paramento'!$G$60*(sezione!$AO$29-C730)/C730</f>
        <v>-1.6230910568867582E-3</v>
      </c>
      <c r="O730" s="551">
        <f>'Sollecitazioni nel paramento'!$G$60*(sezione!$AP$29-C730)/C730</f>
        <v>2.7789920100329947E-4</v>
      </c>
      <c r="P730" s="545">
        <f>-'Sollecitazioni nel paramento'!$G$47*'Sollecitazioni nel paramento'!$G$41*IF(DATI!$G$211="dx",DATI!$E$61,DATI!$E$64*DATI!$E$63)*1000*C730*sezione!$AD$5</f>
        <v>-11366731.496634362</v>
      </c>
      <c r="Q730" s="545">
        <f>'Foglio deposito bis'!$F$48*IF(ABS(K730)&lt;'Sollecitazioni nel paramento'!$G$58,ABS(K730)*'Sollecitazioni nel paramento'!$G$54,'Sollecitazioni nel paramento'!$G$53)*IF(K730&lt;0,-1,1)</f>
        <v>0</v>
      </c>
      <c r="R730" s="545">
        <f>'Foglio deposito bis'!$F$49*IF(ABS(L730)&lt;'Sollecitazioni nel paramento'!$G$58,ABS(L730)*'Sollecitazioni nel paramento'!$G$54,'Sollecitazioni nel paramento'!$G$53)*IF(L730&lt;0,-1,1)</f>
        <v>-204886.47740803001</v>
      </c>
      <c r="S730" s="545">
        <f>'Foglio deposito bis'!$F$50*IF(ABS(M730)&lt;'Sollecitazioni nel paramento'!$G$58,ABS(M730)*'Sollecitazioni nel paramento'!$G$54,'Sollecitazioni nel paramento'!$G$53)*IF(M730&lt;0,-1,1)</f>
        <v>0</v>
      </c>
      <c r="T730" s="545">
        <f>'Foglio deposito bis'!$F$51*IF(ABS(N730)&lt;'Sollecitazioni nel paramento'!$G$58,ABS(N730)*'Sollecitazioni nel paramento'!$G$54,'Sollecitazioni nel paramento'!$G$53)*IF(N730&lt;0,-1,1)</f>
        <v>-205880.89581050826</v>
      </c>
      <c r="U730" s="545">
        <f>'Foglio deposito bis'!$F$52*IF(ABS(O730)&lt;'Sollecitazioni nel paramento'!$G$58,ABS(O730)*'Sollecitazioni nel paramento'!$G$54,'Sollecitazioni nel paramento'!$G$53)*IF(O730&lt;0,-1,1)</f>
        <v>35250.108861622277</v>
      </c>
      <c r="V730" s="472">
        <f t="shared" si="53"/>
        <v>-11742248.760991279</v>
      </c>
      <c r="W730" s="551"/>
      <c r="X730" s="551"/>
    </row>
    <row r="731" spans="1:24" x14ac:dyDescent="0.25">
      <c r="A731" s="545">
        <f t="shared" si="54"/>
        <v>11940482.382347303</v>
      </c>
      <c r="B731" s="3">
        <f t="shared" si="51"/>
        <v>61.899999999999942</v>
      </c>
      <c r="C731" s="545">
        <f>'Foglio deposito bis'!$E$155/sezione!$B$247*B731</f>
        <v>303.26212914448701</v>
      </c>
      <c r="D731" s="603">
        <f>-'Sollecitazioni nel paramento'!$G$47*'Sollecitazioni nel paramento'!$G$41*IF(DATI!$G$211="dx",DATI!$E$61,DATI!$E$64*DATI!$E$63)*1000*C731^2*sezione!$AD$5*(1-sezione!$AD$6)</f>
        <v>-2046161856.5283053</v>
      </c>
      <c r="E731" s="545">
        <f>-'Foglio deposito bis'!$F$48*(C731-sezione!$AL$29)*IF(ABS(K731)&lt;'Sollecitazioni nel paramento'!$G$58,ABS(K731)*'Sollecitazioni nel paramento'!$G$54,'Sollecitazioni nel paramento'!$G$53)</f>
        <v>0</v>
      </c>
      <c r="F731" s="545">
        <f>-'Foglio deposito bis'!$F$49*(C731-sezione!$AM$29)*IF(ABS(L731)&lt;'Sollecitazioni nel paramento'!$G$58,ABS(L731)*'Sollecitazioni nel paramento'!$G$54,'Sollecitazioni nel paramento'!$G$53)</f>
        <v>-49841120.727191217</v>
      </c>
      <c r="G731" s="545">
        <f>-'Foglio deposito bis'!$F$50*(C731-sezione!$AN$29)*IF(ABS(M731)&lt;'Sollecitazioni nel paramento'!$G$58,ABS(M731)*'Sollecitazioni nel paramento'!$G$54,'Sollecitazioni nel paramento'!$G$53)</f>
        <v>0</v>
      </c>
      <c r="H731" s="545">
        <f>-'Foglio deposito bis'!$F$51*(C731-sezione!$AO$29)*IF(ABS(N731)&lt;'Sollecitazioni nel paramento'!$G$58,ABS(N731)*'Sollecitazioni nel paramento'!$G$54,'Sollecitazioni nel paramento'!$G$53)</f>
        <v>-30045942.489292394</v>
      </c>
      <c r="I731" s="472">
        <f>-'Foglio deposito bis'!$F$52*(C731-sezione!$AP$29)*IF(ABS(O731)&lt;'Sollecitazioni nel paramento'!$G$58,ABS(O731)*'Sollecitazioni nel paramento'!$G$54,'Sollecitazioni nel paramento'!$G$53)</f>
        <v>516903.95815657754</v>
      </c>
      <c r="J731" s="472">
        <f t="shared" si="52"/>
        <v>-2125532015.7866323</v>
      </c>
      <c r="K731" s="550">
        <f>'Sollecitazioni nel paramento'!$G$60*(sezione!$AL$29-C731)/C731</f>
        <v>-3.0383531719079307E-3</v>
      </c>
      <c r="L731" s="550">
        <f>'Sollecitazioni nel paramento'!$G$60*(sezione!$AM$29-C731)/C731</f>
        <v>-2.8075297578618956E-3</v>
      </c>
      <c r="M731" s="551">
        <f>'Sollecitazioni nel paramento'!$G$60*(sezione!$AN$29-C731)/C731</f>
        <v>-2.576706343815861E-3</v>
      </c>
      <c r="N731" s="551">
        <f>'Sollecitazioni nel paramento'!$G$60*(sezione!$AO$29-C731)/C731</f>
        <v>-1.6534126876317217E-3</v>
      </c>
      <c r="O731" s="551">
        <f>'Sollecitazioni nel paramento'!$G$60*(sezione!$AP$29-C731)/C731</f>
        <v>2.1686690373345658E-4</v>
      </c>
      <c r="P731" s="545">
        <f>-'Sollecitazioni nel paramento'!$G$47*'Sollecitazioni nel paramento'!$G$41*IF(DATI!$G$211="dx",DATI!$E$61,DATI!$E$64*DATI!$E$63)*1000*C731*sezione!$AD$5</f>
        <v>-11553377.334017519</v>
      </c>
      <c r="Q731" s="545">
        <f>'Foglio deposito bis'!$F$48*IF(ABS(K731)&lt;'Sollecitazioni nel paramento'!$G$58,ABS(K731)*'Sollecitazioni nel paramento'!$G$54,'Sollecitazioni nel paramento'!$G$53)*IF(K731&lt;0,-1,1)</f>
        <v>0</v>
      </c>
      <c r="R731" s="545">
        <f>'Foglio deposito bis'!$F$49*IF(ABS(L731)&lt;'Sollecitazioni nel paramento'!$G$58,ABS(L731)*'Sollecitazioni nel paramento'!$G$54,'Sollecitazioni nel paramento'!$G$53)*IF(L731&lt;0,-1,1)</f>
        <v>-204886.47740803001</v>
      </c>
      <c r="S731" s="545">
        <f>'Foglio deposito bis'!$F$50*IF(ABS(M731)&lt;'Sollecitazioni nel paramento'!$G$58,ABS(M731)*'Sollecitazioni nel paramento'!$G$54,'Sollecitazioni nel paramento'!$G$53)*IF(M731&lt;0,-1,1)</f>
        <v>0</v>
      </c>
      <c r="T731" s="545">
        <f>'Foglio deposito bis'!$F$51*IF(ABS(N731)&lt;'Sollecitazioni nel paramento'!$G$58,ABS(N731)*'Sollecitazioni nel paramento'!$G$54,'Sollecitazioni nel paramento'!$G$53)*IF(N731&lt;0,-1,1)</f>
        <v>-209727.0413940977</v>
      </c>
      <c r="U731" s="545">
        <f>'Foglio deposito bis'!$F$52*IF(ABS(O731)&lt;'Sollecitazioni nel paramento'!$G$58,ABS(O731)*'Sollecitazioni nel paramento'!$G$54,'Sollecitazioni nel paramento'!$G$53)*IF(O731&lt;0,-1,1)</f>
        <v>27508.470472344179</v>
      </c>
      <c r="V731" s="472">
        <f t="shared" si="53"/>
        <v>-11940482.382347303</v>
      </c>
      <c r="W731" s="551"/>
      <c r="X731" s="551"/>
    </row>
    <row r="732" spans="1:24" x14ac:dyDescent="0.25">
      <c r="A732" s="545">
        <f t="shared" si="54"/>
        <v>12138347.5527026</v>
      </c>
      <c r="B732" s="3">
        <f t="shared" si="51"/>
        <v>62.899999999999942</v>
      </c>
      <c r="C732" s="545">
        <f>'Foglio deposito bis'!$E$155/sezione!$B$247*B732</f>
        <v>308.16135578656275</v>
      </c>
      <c r="D732" s="603">
        <f>-'Sollecitazioni nel paramento'!$G$47*'Sollecitazioni nel paramento'!$G$41*IF(DATI!$G$211="dx",DATI!$E$61,DATI!$E$64*DATI!$E$63)*1000*C732^2*sezione!$AD$5*(1-sezione!$AD$6)</f>
        <v>-2112807731.1592655</v>
      </c>
      <c r="E732" s="545">
        <f>-'Foglio deposito bis'!$F$48*(C732-sezione!$AL$29)*IF(ABS(K732)&lt;'Sollecitazioni nel paramento'!$G$58,ABS(K732)*'Sollecitazioni nel paramento'!$G$54,'Sollecitazioni nel paramento'!$G$53)</f>
        <v>0</v>
      </c>
      <c r="F732" s="545">
        <f>-'Foglio deposito bis'!$F$49*(C732-sezione!$AM$29)*IF(ABS(L732)&lt;'Sollecitazioni nel paramento'!$G$58,ABS(L732)*'Sollecitazioni nel paramento'!$G$54,'Sollecitazioni nel paramento'!$G$53)</f>
        <v>-50844906.015909687</v>
      </c>
      <c r="G732" s="545">
        <f>-'Foglio deposito bis'!$F$50*(C732-sezione!$AN$29)*IF(ABS(M732)&lt;'Sollecitazioni nel paramento'!$G$58,ABS(M732)*'Sollecitazioni nel paramento'!$G$54,'Sollecitazioni nel paramento'!$G$53)</f>
        <v>0</v>
      </c>
      <c r="H732" s="545">
        <f>-'Foglio deposito bis'!$F$51*(C732-sezione!$AO$29)*IF(ABS(N732)&lt;'Sollecitazioni nel paramento'!$G$58,ABS(N732)*'Sollecitazioni nel paramento'!$G$54,'Sollecitazioni nel paramento'!$G$53)</f>
        <v>-31625173.700801656</v>
      </c>
      <c r="I732" s="472">
        <f>-'Foglio deposito bis'!$F$52*(C732-sezione!$AP$29)*IF(ABS(O732)&lt;'Sollecitazioni nel paramento'!$G$58,ABS(O732)*'Sollecitazioni nel paramento'!$G$54,'Sollecitazioni nel paramento'!$G$53)</f>
        <v>278010.29934050312</v>
      </c>
      <c r="J732" s="472">
        <f t="shared" si="52"/>
        <v>-2194999800.5766363</v>
      </c>
      <c r="K732" s="550">
        <f>'Sollecitazioni nel paramento'!$G$60*(sezione!$AL$29-C732)/C732</f>
        <v>-3.0456925491430986E-3</v>
      </c>
      <c r="L732" s="550">
        <f>'Sollecitazioni nel paramento'!$G$60*(sezione!$AM$29-C732)/C732</f>
        <v>-2.8185388237146479E-3</v>
      </c>
      <c r="M732" s="551">
        <f>'Sollecitazioni nel paramento'!$G$60*(sezione!$AN$29-C732)/C732</f>
        <v>-2.5913850982861968E-3</v>
      </c>
      <c r="N732" s="551">
        <f>'Sollecitazioni nel paramento'!$G$60*(sezione!$AO$29-C732)/C732</f>
        <v>-1.6827701965723941E-3</v>
      </c>
      <c r="O732" s="551">
        <f>'Sollecitazioni nel paramento'!$G$60*(sezione!$AP$29-C732)/C732</f>
        <v>1.5777522004929956E-4</v>
      </c>
      <c r="P732" s="545">
        <f>-'Sollecitazioni nel paramento'!$G$47*'Sollecitazioni nel paramento'!$G$41*IF(DATI!$G$211="dx",DATI!$E$61,DATI!$E$64*DATI!$E$63)*1000*C732*sezione!$AD$5</f>
        <v>-11740023.171400677</v>
      </c>
      <c r="Q732" s="545">
        <f>'Foglio deposito bis'!$F$48*IF(ABS(K732)&lt;'Sollecitazioni nel paramento'!$G$58,ABS(K732)*'Sollecitazioni nel paramento'!$G$54,'Sollecitazioni nel paramento'!$G$53)*IF(K732&lt;0,-1,1)</f>
        <v>0</v>
      </c>
      <c r="R732" s="545">
        <f>'Foglio deposito bis'!$F$49*IF(ABS(L732)&lt;'Sollecitazioni nel paramento'!$G$58,ABS(L732)*'Sollecitazioni nel paramento'!$G$54,'Sollecitazioni nel paramento'!$G$53)*IF(L732&lt;0,-1,1)</f>
        <v>-204886.47740803001</v>
      </c>
      <c r="S732" s="545">
        <f>'Foglio deposito bis'!$F$50*IF(ABS(M732)&lt;'Sollecitazioni nel paramento'!$G$58,ABS(M732)*'Sollecitazioni nel paramento'!$G$54,'Sollecitazioni nel paramento'!$G$53)*IF(M732&lt;0,-1,1)</f>
        <v>0</v>
      </c>
      <c r="T732" s="545">
        <f>'Foglio deposito bis'!$F$51*IF(ABS(N732)&lt;'Sollecitazioni nel paramento'!$G$58,ABS(N732)*'Sollecitazioni nel paramento'!$G$54,'Sollecitazioni nel paramento'!$G$53)*IF(N732&lt;0,-1,1)</f>
        <v>-213450.89300046649</v>
      </c>
      <c r="U732" s="545">
        <f>'Foglio deposito bis'!$F$52*IF(ABS(O732)&lt;'Sollecitazioni nel paramento'!$G$58,ABS(O732)*'Sollecitazioni nel paramento'!$G$54,'Sollecitazioni nel paramento'!$G$53)*IF(O732&lt;0,-1,1)</f>
        <v>20012.989106572444</v>
      </c>
      <c r="V732" s="472">
        <f t="shared" si="53"/>
        <v>-12138347.5527026</v>
      </c>
      <c r="W732" s="551"/>
      <c r="X732" s="551"/>
    </row>
    <row r="733" spans="1:24" x14ac:dyDescent="0.25">
      <c r="A733" s="545">
        <f t="shared" si="54"/>
        <v>12335861.570226222</v>
      </c>
      <c r="B733" s="3">
        <f t="shared" si="51"/>
        <v>63.899999999999942</v>
      </c>
      <c r="C733" s="545">
        <f>'Foglio deposito bis'!$E$155/sezione!$B$247*B733</f>
        <v>313.06058242863844</v>
      </c>
      <c r="D733" s="603">
        <f>-'Sollecitazioni nel paramento'!$G$47*'Sollecitazioni nel paramento'!$G$41*IF(DATI!$G$211="dx",DATI!$E$61,DATI!$E$64*DATI!$E$63)*1000*C733^2*sezione!$AD$5*(1-sezione!$AD$6)</f>
        <v>-2180521648.6529007</v>
      </c>
      <c r="E733" s="545">
        <f>-'Foglio deposito bis'!$F$48*(C733-sezione!$AL$29)*IF(ABS(K733)&lt;'Sollecitazioni nel paramento'!$G$58,ABS(K733)*'Sollecitazioni nel paramento'!$G$54,'Sollecitazioni nel paramento'!$G$53)</f>
        <v>0</v>
      </c>
      <c r="F733" s="545">
        <f>-'Foglio deposito bis'!$F$49*(C733-sezione!$AM$29)*IF(ABS(L733)&lt;'Sollecitazioni nel paramento'!$G$58,ABS(L733)*'Sollecitazioni nel paramento'!$G$54,'Sollecitazioni nel paramento'!$G$53)</f>
        <v>-51848691.304628141</v>
      </c>
      <c r="G733" s="545">
        <f>-'Foglio deposito bis'!$F$50*(C733-sezione!$AN$29)*IF(ABS(M733)&lt;'Sollecitazioni nel paramento'!$G$58,ABS(M733)*'Sollecitazioni nel paramento'!$G$54,'Sollecitazioni nel paramento'!$G$53)</f>
        <v>0</v>
      </c>
      <c r="H733" s="545">
        <f>-'Foglio deposito bis'!$F$51*(C733-sezione!$AO$29)*IF(ABS(N733)&lt;'Sollecitazioni nel paramento'!$G$58,ABS(N733)*'Sollecitazioni nel paramento'!$G$54,'Sollecitazioni nel paramento'!$G$53)</f>
        <v>-33223053.308461726</v>
      </c>
      <c r="I733" s="472">
        <f>-'Foglio deposito bis'!$F$52*(C733-sezione!$AP$29)*IF(ABS(O733)&lt;'Sollecitazioni nel paramento'!$G$58,ABS(O733)*'Sollecitazioni nel paramento'!$G$54,'Sollecitazioni nel paramento'!$G$53)</f>
        <v>114670.35343035682</v>
      </c>
      <c r="J733" s="472">
        <f t="shared" si="52"/>
        <v>-2265478722.9125605</v>
      </c>
      <c r="K733" s="550">
        <f>'Sollecitazioni nel paramento'!$G$60*(sezione!$AL$29-C733)/C733</f>
        <v>-3.0528022119108121E-3</v>
      </c>
      <c r="L733" s="550">
        <f>'Sollecitazioni nel paramento'!$G$60*(sezione!$AM$29-C733)/C733</f>
        <v>-2.8292033178662183E-3</v>
      </c>
      <c r="M733" s="551">
        <f>'Sollecitazioni nel paramento'!$G$60*(sezione!$AN$29-C733)/C733</f>
        <v>-2.6056044238216241E-3</v>
      </c>
      <c r="N733" s="551">
        <f>'Sollecitazioni nel paramento'!$G$60*(sezione!$AO$29-C733)/C733</f>
        <v>-1.7112088476432482E-3</v>
      </c>
      <c r="O733" s="551">
        <f>'Sollecitazioni nel paramento'!$G$60*(sezione!$AP$29-C733)/C733</f>
        <v>1.0053304133178346E-4</v>
      </c>
      <c r="P733" s="545">
        <f>-'Sollecitazioni nel paramento'!$G$47*'Sollecitazioni nel paramento'!$G$41*IF(DATI!$G$211="dx",DATI!$E$61,DATI!$E$64*DATI!$E$63)*1000*C733*sezione!$AD$5</f>
        <v>-11926669.008783836</v>
      </c>
      <c r="Q733" s="545">
        <f>'Foglio deposito bis'!$F$48*IF(ABS(K733)&lt;'Sollecitazioni nel paramento'!$G$58,ABS(K733)*'Sollecitazioni nel paramento'!$G$54,'Sollecitazioni nel paramento'!$G$53)*IF(K733&lt;0,-1,1)</f>
        <v>0</v>
      </c>
      <c r="R733" s="545">
        <f>'Foglio deposito bis'!$F$49*IF(ABS(L733)&lt;'Sollecitazioni nel paramento'!$G$58,ABS(L733)*'Sollecitazioni nel paramento'!$G$54,'Sollecitazioni nel paramento'!$G$53)*IF(L733&lt;0,-1,1)</f>
        <v>-204886.47740803001</v>
      </c>
      <c r="S733" s="545">
        <f>'Foglio deposito bis'!$F$50*IF(ABS(M733)&lt;'Sollecitazioni nel paramento'!$G$58,ABS(M733)*'Sollecitazioni nel paramento'!$G$54,'Sollecitazioni nel paramento'!$G$53)*IF(M733&lt;0,-1,1)</f>
        <v>0</v>
      </c>
      <c r="T733" s="545">
        <f>'Foglio deposito bis'!$F$51*IF(ABS(N733)&lt;'Sollecitazioni nel paramento'!$G$58,ABS(N733)*'Sollecitazioni nel paramento'!$G$54,'Sollecitazioni nel paramento'!$G$53)*IF(N733&lt;0,-1,1)</f>
        <v>-217058.1921308926</v>
      </c>
      <c r="U733" s="545">
        <f>'Foglio deposito bis'!$F$52*IF(ABS(O733)&lt;'Sollecitazioni nel paramento'!$G$58,ABS(O733)*'Sollecitazioni nel paramento'!$G$54,'Sollecitazioni nel paramento'!$G$53)*IF(O733&lt;0,-1,1)</f>
        <v>12752.108096537002</v>
      </c>
      <c r="V733" s="472">
        <f t="shared" si="53"/>
        <v>-12335861.570226222</v>
      </c>
      <c r="W733" s="551"/>
      <c r="X733" s="551"/>
    </row>
    <row r="734" spans="1:24" x14ac:dyDescent="0.25">
      <c r="A734" s="545">
        <f t="shared" si="54"/>
        <v>12533040.666944284</v>
      </c>
      <c r="B734" s="3">
        <f t="shared" si="51"/>
        <v>64.899999999999949</v>
      </c>
      <c r="C734" s="545">
        <f>'Foglio deposito bis'!$E$155/sezione!$B$247*B734</f>
        <v>317.95980907071424</v>
      </c>
      <c r="D734" s="603">
        <f>-'Sollecitazioni nel paramento'!$G$47*'Sollecitazioni nel paramento'!$G$41*IF(DATI!$G$211="dx",DATI!$E$61,DATI!$E$64*DATI!$E$63)*1000*C734^2*sezione!$AD$5*(1-sezione!$AD$6)</f>
        <v>-2249303609.009213</v>
      </c>
      <c r="E734" s="545">
        <f>-'Foglio deposito bis'!$F$48*(C734-sezione!$AL$29)*IF(ABS(K734)&lt;'Sollecitazioni nel paramento'!$G$58,ABS(K734)*'Sollecitazioni nel paramento'!$G$54,'Sollecitazioni nel paramento'!$G$53)</f>
        <v>0</v>
      </c>
      <c r="F734" s="545">
        <f>-'Foglio deposito bis'!$F$49*(C734-sezione!$AM$29)*IF(ABS(L734)&lt;'Sollecitazioni nel paramento'!$G$58,ABS(L734)*'Sollecitazioni nel paramento'!$G$54,'Sollecitazioni nel paramento'!$G$53)</f>
        <v>-52852476.593346626</v>
      </c>
      <c r="G734" s="545">
        <f>-'Foglio deposito bis'!$F$50*(C734-sezione!$AN$29)*IF(ABS(M734)&lt;'Sollecitazioni nel paramento'!$G$58,ABS(M734)*'Sollecitazioni nel paramento'!$G$54,'Sollecitazioni nel paramento'!$G$53)</f>
        <v>0</v>
      </c>
      <c r="H734" s="545">
        <f>-'Foglio deposito bis'!$F$51*(C734-sezione!$AO$29)*IF(ABS(N734)&lt;'Sollecitazioni nel paramento'!$G$58,ABS(N734)*'Sollecitazioni nel paramento'!$G$54,'Sollecitazioni nel paramento'!$G$53)</f>
        <v>-34838719.290878944</v>
      </c>
      <c r="I734" s="472">
        <f>-'Foglio deposito bis'!$F$52*(C734-sezione!$AP$29)*IF(ABS(O734)&lt;'Sollecitazioni nel paramento'!$G$58,ABS(O734)*'Sollecitazioni nel paramento'!$G$54,'Sollecitazioni nel paramento'!$G$53)</f>
        <v>23391.652957447441</v>
      </c>
      <c r="J734" s="472">
        <f t="shared" si="52"/>
        <v>-2336971413.2404809</v>
      </c>
      <c r="K734" s="550">
        <f>'Sollecitazioni nel paramento'!$G$60*(sezione!$AL$29-C734)/C734</f>
        <v>-3.0596927787534807E-3</v>
      </c>
      <c r="L734" s="550">
        <f>'Sollecitazioni nel paramento'!$G$60*(sezione!$AM$29-C734)/C734</f>
        <v>-2.839539168130221E-3</v>
      </c>
      <c r="M734" s="551">
        <f>'Sollecitazioni nel paramento'!$G$60*(sezione!$AN$29-C734)/C734</f>
        <v>-2.6193855575069613E-3</v>
      </c>
      <c r="N734" s="551">
        <f>'Sollecitazioni nel paramento'!$G$60*(sezione!$AO$29-C734)/C734</f>
        <v>-1.7387711150139231E-3</v>
      </c>
      <c r="O734" s="551">
        <f>'Sollecitazioni nel paramento'!$G$60*(sezione!$AP$29-C734)/C734</f>
        <v>4.5054874285067837E-5</v>
      </c>
      <c r="P734" s="545">
        <f>-'Sollecitazioni nel paramento'!$G$47*'Sollecitazioni nel paramento'!$G$41*IF(DATI!$G$211="dx",DATI!$E$61,DATI!$E$64*DATI!$E$63)*1000*C734*sezione!$AD$5</f>
        <v>-12113314.846166998</v>
      </c>
      <c r="Q734" s="545">
        <f>'Foglio deposito bis'!$F$48*IF(ABS(K734)&lt;'Sollecitazioni nel paramento'!$G$58,ABS(K734)*'Sollecitazioni nel paramento'!$G$54,'Sollecitazioni nel paramento'!$G$53)*IF(K734&lt;0,-1,1)</f>
        <v>0</v>
      </c>
      <c r="R734" s="545">
        <f>'Foglio deposito bis'!$F$49*IF(ABS(L734)&lt;'Sollecitazioni nel paramento'!$G$58,ABS(L734)*'Sollecitazioni nel paramento'!$G$54,'Sollecitazioni nel paramento'!$G$53)*IF(L734&lt;0,-1,1)</f>
        <v>-204886.47740803001</v>
      </c>
      <c r="S734" s="545">
        <f>'Foglio deposito bis'!$F$50*IF(ABS(M734)&lt;'Sollecitazioni nel paramento'!$G$58,ABS(M734)*'Sollecitazioni nel paramento'!$G$54,'Sollecitazioni nel paramento'!$G$53)*IF(M734&lt;0,-1,1)</f>
        <v>0</v>
      </c>
      <c r="T734" s="545">
        <f>'Foglio deposito bis'!$F$51*IF(ABS(N734)&lt;'Sollecitazioni nel paramento'!$G$58,ABS(N734)*'Sollecitazioni nel paramento'!$G$54,'Sollecitazioni nel paramento'!$G$53)*IF(N734&lt;0,-1,1)</f>
        <v>-220554.32641908686</v>
      </c>
      <c r="U734" s="545">
        <f>'Foglio deposito bis'!$F$52*IF(ABS(O734)&lt;'Sollecitazioni nel paramento'!$G$58,ABS(O734)*'Sollecitazioni nel paramento'!$G$54,'Sollecitazioni nel paramento'!$G$53)*IF(O734&lt;0,-1,1)</f>
        <v>5714.9830498306865</v>
      </c>
      <c r="V734" s="472">
        <f t="shared" si="53"/>
        <v>-12533040.666944284</v>
      </c>
      <c r="W734" s="551"/>
      <c r="X734" s="551"/>
    </row>
    <row r="735" spans="1:24" x14ac:dyDescent="0.25">
      <c r="A735" s="545">
        <f t="shared" si="54"/>
        <v>12729900.089630933</v>
      </c>
      <c r="B735" s="3">
        <f t="shared" si="51"/>
        <v>65.899999999999949</v>
      </c>
      <c r="C735" s="545">
        <f>'Foglio deposito bis'!$E$155/sezione!$B$247*B735</f>
        <v>322.85903571278993</v>
      </c>
      <c r="D735" s="603">
        <f>-'Sollecitazioni nel paramento'!$G$47*'Sollecitazioni nel paramento'!$G$41*IF(DATI!$G$211="dx",DATI!$E$61,DATI!$E$64*DATI!$E$63)*1000*C735^2*sezione!$AD$5*(1-sezione!$AD$6)</f>
        <v>-2319153612.2282</v>
      </c>
      <c r="E735" s="545">
        <f>-'Foglio deposito bis'!$F$48*(C735-sezione!$AL$29)*IF(ABS(K735)&lt;'Sollecitazioni nel paramento'!$G$58,ABS(K735)*'Sollecitazioni nel paramento'!$G$54,'Sollecitazioni nel paramento'!$G$53)</f>
        <v>0</v>
      </c>
      <c r="F735" s="545">
        <f>-'Foglio deposito bis'!$F$49*(C735-sezione!$AM$29)*IF(ABS(L735)&lt;'Sollecitazioni nel paramento'!$G$58,ABS(L735)*'Sollecitazioni nel paramento'!$G$54,'Sollecitazioni nel paramento'!$G$53)</f>
        <v>-53856261.88206508</v>
      </c>
      <c r="G735" s="545">
        <f>-'Foglio deposito bis'!$F$50*(C735-sezione!$AN$29)*IF(ABS(M735)&lt;'Sollecitazioni nel paramento'!$G$58,ABS(M735)*'Sollecitazioni nel paramento'!$G$54,'Sollecitazioni nel paramento'!$G$53)</f>
        <v>0</v>
      </c>
      <c r="H735" s="545">
        <f>-'Foglio deposito bis'!$F$51*(C735-sezione!$AO$29)*IF(ABS(N735)&lt;'Sollecitazioni nel paramento'!$G$58,ABS(N735)*'Sollecitazioni nel paramento'!$G$54,'Sollecitazioni nel paramento'!$G$53)</f>
        <v>-36471361.949657612</v>
      </c>
      <c r="I735" s="472">
        <f>-'Foglio deposito bis'!$F$52*(C735-sezione!$AP$29)*IF(ABS(O735)&lt;'Sollecitazioni nel paramento'!$G$58,ABS(O735)*'Sollecitazioni nel paramento'!$G$54,'Sollecitazioni nel paramento'!$G$53)</f>
        <v>-893.71633890026476</v>
      </c>
      <c r="J735" s="472">
        <f t="shared" si="52"/>
        <v>-2409482129.7762618</v>
      </c>
      <c r="K735" s="550">
        <f>'Sollecitazioni nel paramento'!$G$60*(sezione!$AL$29-C735)/C735</f>
        <v>-3.066374223688936E-3</v>
      </c>
      <c r="L735" s="550">
        <f>'Sollecitazioni nel paramento'!$G$60*(sezione!$AM$29-C735)/C735</f>
        <v>-2.8495613355334045E-3</v>
      </c>
      <c r="M735" s="551">
        <f>'Sollecitazioni nel paramento'!$G$60*(sezione!$AN$29-C735)/C735</f>
        <v>-2.6327484473778725E-3</v>
      </c>
      <c r="N735" s="551">
        <f>'Sollecitazioni nel paramento'!$G$60*(sezione!$AO$29-C735)/C735</f>
        <v>-1.7654968947557448E-3</v>
      </c>
      <c r="O735" s="551">
        <f>'Sollecitazioni nel paramento'!$G$60*(sezione!$AP$29-C735)/C735</f>
        <v>-8.7395851122773164E-6</v>
      </c>
      <c r="P735" s="545">
        <f>-'Sollecitazioni nel paramento'!$G$47*'Sollecitazioni nel paramento'!$G$41*IF(DATI!$G$211="dx",DATI!$E$61,DATI!$E$64*DATI!$E$63)*1000*C735*sezione!$AD$5</f>
        <v>-12299960.683550157</v>
      </c>
      <c r="Q735" s="545">
        <f>'Foglio deposito bis'!$F$48*IF(ABS(K735)&lt;'Sollecitazioni nel paramento'!$G$58,ABS(K735)*'Sollecitazioni nel paramento'!$G$54,'Sollecitazioni nel paramento'!$G$53)*IF(K735&lt;0,-1,1)</f>
        <v>0</v>
      </c>
      <c r="R735" s="545">
        <f>'Foglio deposito bis'!$F$49*IF(ABS(L735)&lt;'Sollecitazioni nel paramento'!$G$58,ABS(L735)*'Sollecitazioni nel paramento'!$G$54,'Sollecitazioni nel paramento'!$G$53)*IF(L735&lt;0,-1,1)</f>
        <v>-204886.47740803001</v>
      </c>
      <c r="S735" s="545">
        <f>'Foglio deposito bis'!$F$50*IF(ABS(M735)&lt;'Sollecitazioni nel paramento'!$G$58,ABS(M735)*'Sollecitazioni nel paramento'!$G$54,'Sollecitazioni nel paramento'!$G$53)*IF(M735&lt;0,-1,1)</f>
        <v>0</v>
      </c>
      <c r="T735" s="545">
        <f>'Foglio deposito bis'!$F$51*IF(ABS(N735)&lt;'Sollecitazioni nel paramento'!$G$58,ABS(N735)*'Sollecitazioni nel paramento'!$G$54,'Sollecitazioni nel paramento'!$G$53)*IF(N735&lt;0,-1,1)</f>
        <v>-223944.35648002167</v>
      </c>
      <c r="U735" s="545">
        <f>'Foglio deposito bis'!$F$52*IF(ABS(O735)&lt;'Sollecitazioni nel paramento'!$G$58,ABS(O735)*'Sollecitazioni nel paramento'!$G$54,'Sollecitazioni nel paramento'!$G$53)*IF(O735&lt;0,-1,1)</f>
        <v>-1108.5721927265672</v>
      </c>
      <c r="V735" s="472">
        <f t="shared" si="53"/>
        <v>-12729900.089630933</v>
      </c>
      <c r="W735" s="551"/>
      <c r="X735" s="551"/>
    </row>
    <row r="736" spans="1:24" x14ac:dyDescent="0.25">
      <c r="A736" s="545">
        <f t="shared" si="54"/>
        <v>12926454.173444536</v>
      </c>
      <c r="B736" s="3">
        <f t="shared" si="51"/>
        <v>66.899999999999949</v>
      </c>
      <c r="C736" s="545">
        <f>'Foglio deposito bis'!$E$155/sezione!$B$247*B736</f>
        <v>327.75826235486568</v>
      </c>
      <c r="D736" s="603">
        <f>-'Sollecitazioni nel paramento'!$G$47*'Sollecitazioni nel paramento'!$G$41*IF(DATI!$G$211="dx",DATI!$E$61,DATI!$E$64*DATI!$E$63)*1000*C736^2*sezione!$AD$5*(1-sezione!$AD$6)</f>
        <v>-2390071658.3098631</v>
      </c>
      <c r="E736" s="545">
        <f>-'Foglio deposito bis'!$F$48*(C736-sezione!$AL$29)*IF(ABS(K736)&lt;'Sollecitazioni nel paramento'!$G$58,ABS(K736)*'Sollecitazioni nel paramento'!$G$54,'Sollecitazioni nel paramento'!$G$53)</f>
        <v>0</v>
      </c>
      <c r="F736" s="545">
        <f>-'Foglio deposito bis'!$F$49*(C736-sezione!$AM$29)*IF(ABS(L736)&lt;'Sollecitazioni nel paramento'!$G$58,ABS(L736)*'Sollecitazioni nel paramento'!$G$54,'Sollecitazioni nel paramento'!$G$53)</f>
        <v>-54860047.170783564</v>
      </c>
      <c r="G736" s="545">
        <f>-'Foglio deposito bis'!$F$50*(C736-sezione!$AN$29)*IF(ABS(M736)&lt;'Sollecitazioni nel paramento'!$G$58,ABS(M736)*'Sollecitazioni nel paramento'!$G$54,'Sollecitazioni nel paramento'!$G$53)</f>
        <v>0</v>
      </c>
      <c r="H736" s="545">
        <f>-'Foglio deposito bis'!$F$51*(C736-sezione!$AO$29)*IF(ABS(N736)&lt;'Sollecitazioni nel paramento'!$G$58,ABS(N736)*'Sollecitazioni nel paramento'!$G$54,'Sollecitazioni nel paramento'!$G$53)</f>
        <v>-38120219.998862296</v>
      </c>
      <c r="I736" s="472">
        <f>-'Foglio deposito bis'!$F$52*(C736-sezione!$AP$29)*IF(ABS(O736)&lt;'Sollecitazioni nel paramento'!$G$58,ABS(O736)*'Sollecitazioni nel paramento'!$G$54,'Sollecitazioni nel paramento'!$G$53)</f>
        <v>-44092.204388419123</v>
      </c>
      <c r="J736" s="472">
        <f t="shared" si="52"/>
        <v>-2483096017.6838975</v>
      </c>
      <c r="K736" s="550">
        <f>'Sollecitazioni nel paramento'!$G$60*(sezione!$AL$29-C736)/C736</f>
        <v>-3.0728559243811794E-3</v>
      </c>
      <c r="L736" s="550">
        <f>'Sollecitazioni nel paramento'!$G$60*(sezione!$AM$29-C736)/C736</f>
        <v>-2.8592838865717689E-3</v>
      </c>
      <c r="M736" s="551">
        <f>'Sollecitazioni nel paramento'!$G$60*(sezione!$AN$29-C736)/C736</f>
        <v>-2.6457118487623588E-3</v>
      </c>
      <c r="N736" s="551">
        <f>'Sollecitazioni nel paramento'!$G$60*(sezione!$AO$29-C736)/C736</f>
        <v>-1.7914236975247176E-3</v>
      </c>
      <c r="O736" s="551">
        <f>'Sollecitazioni nel paramento'!$G$60*(sezione!$AP$29-C736)/C736</f>
        <v>-6.0925839445427412E-5</v>
      </c>
      <c r="P736" s="545">
        <f>-'Sollecitazioni nel paramento'!$G$47*'Sollecitazioni nel paramento'!$G$41*IF(DATI!$G$211="dx",DATI!$E$61,DATI!$E$64*DATI!$E$63)*1000*C736*sezione!$AD$5</f>
        <v>-12486606.520933315</v>
      </c>
      <c r="Q736" s="545">
        <f>'Foglio deposito bis'!$F$48*IF(ABS(K736)&lt;'Sollecitazioni nel paramento'!$G$58,ABS(K736)*'Sollecitazioni nel paramento'!$G$54,'Sollecitazioni nel paramento'!$G$53)*IF(K736&lt;0,-1,1)</f>
        <v>0</v>
      </c>
      <c r="R736" s="545">
        <f>'Foglio deposito bis'!$F$49*IF(ABS(L736)&lt;'Sollecitazioni nel paramento'!$G$58,ABS(L736)*'Sollecitazioni nel paramento'!$G$54,'Sollecitazioni nel paramento'!$G$53)*IF(L736&lt;0,-1,1)</f>
        <v>-204886.47740803001</v>
      </c>
      <c r="S736" s="545">
        <f>'Foglio deposito bis'!$F$50*IF(ABS(M736)&lt;'Sollecitazioni nel paramento'!$G$58,ABS(M736)*'Sollecitazioni nel paramento'!$G$54,'Sollecitazioni nel paramento'!$G$53)*IF(M736&lt;0,-1,1)</f>
        <v>0</v>
      </c>
      <c r="T736" s="545">
        <f>'Foglio deposito bis'!$F$51*IF(ABS(N736)&lt;'Sollecitazioni nel paramento'!$G$58,ABS(N736)*'Sollecitazioni nel paramento'!$G$54,'Sollecitazioni nel paramento'!$G$53)*IF(N736&lt;0,-1,1)</f>
        <v>-227233.04035079412</v>
      </c>
      <c r="U736" s="545">
        <f>'Foglio deposito bis'!$F$52*IF(ABS(O736)&lt;'Sollecitazioni nel paramento'!$G$58,ABS(O736)*'Sollecitazioni nel paramento'!$G$54,'Sollecitazioni nel paramento'!$G$53)*IF(O736&lt;0,-1,1)</f>
        <v>-7728.1347523972845</v>
      </c>
      <c r="V736" s="472">
        <f t="shared" si="53"/>
        <v>-12926454.173444536</v>
      </c>
      <c r="W736" s="551"/>
      <c r="X736" s="551"/>
    </row>
    <row r="737" spans="1:24" x14ac:dyDescent="0.25">
      <c r="A737" s="545">
        <f t="shared" si="54"/>
        <v>13122716.409056945</v>
      </c>
      <c r="B737" s="3">
        <f t="shared" si="51"/>
        <v>67.899999999999949</v>
      </c>
      <c r="C737" s="545">
        <f>'Foglio deposito bis'!$E$155/sezione!$B$247*B737</f>
        <v>332.65748899694137</v>
      </c>
      <c r="D737" s="603">
        <f>-'Sollecitazioni nel paramento'!$G$47*'Sollecitazioni nel paramento'!$G$41*IF(DATI!$G$211="dx",DATI!$E$61,DATI!$E$64*DATI!$E$63)*1000*C737^2*sezione!$AD$5*(1-sezione!$AD$6)</f>
        <v>-2462057747.2542005</v>
      </c>
      <c r="E737" s="545">
        <f>-'Foglio deposito bis'!$F$48*(C737-sezione!$AL$29)*IF(ABS(K737)&lt;'Sollecitazioni nel paramento'!$G$58,ABS(K737)*'Sollecitazioni nel paramento'!$G$54,'Sollecitazioni nel paramento'!$G$53)</f>
        <v>0</v>
      </c>
      <c r="F737" s="545">
        <f>-'Foglio deposito bis'!$F$49*(C737-sezione!$AM$29)*IF(ABS(L737)&lt;'Sollecitazioni nel paramento'!$G$58,ABS(L737)*'Sollecitazioni nel paramento'!$G$54,'Sollecitazioni nel paramento'!$G$53)</f>
        <v>-55863832.459502019</v>
      </c>
      <c r="G737" s="545">
        <f>-'Foglio deposito bis'!$F$50*(C737-sezione!$AN$29)*IF(ABS(M737)&lt;'Sollecitazioni nel paramento'!$G$58,ABS(M737)*'Sollecitazioni nel paramento'!$G$54,'Sollecitazioni nel paramento'!$G$53)</f>
        <v>0</v>
      </c>
      <c r="H737" s="545">
        <f>-'Foglio deposito bis'!$F$51*(C737-sezione!$AO$29)*IF(ABS(N737)&lt;'Sollecitazioni nel paramento'!$G$58,ABS(N737)*'Sollecitazioni nel paramento'!$G$54,'Sollecitazioni nel paramento'!$G$53)</f>
        <v>-39784577.000035256</v>
      </c>
      <c r="I737" s="472">
        <f>-'Foglio deposito bis'!$F$52*(C737-sezione!$AP$29)*IF(ABS(O737)&lt;'Sollecitazioni nel paramento'!$G$58,ABS(O737)*'Sollecitazioni nel paramento'!$G$54,'Sollecitazioni nel paramento'!$G$53)</f>
        <v>-150084.47684084551</v>
      </c>
      <c r="J737" s="472">
        <f t="shared" si="52"/>
        <v>-2557856241.1905789</v>
      </c>
      <c r="K737" s="550">
        <f>'Sollecitazioni nel paramento'!$G$60*(sezione!$AL$29-C737)/C737</f>
        <v>-3.0791467060545053E-3</v>
      </c>
      <c r="L737" s="550">
        <f>'Sollecitazioni nel paramento'!$G$60*(sezione!$AM$29-C737)/C737</f>
        <v>-2.8687200590817577E-3</v>
      </c>
      <c r="M737" s="551">
        <f>'Sollecitazioni nel paramento'!$G$60*(sezione!$AN$29-C737)/C737</f>
        <v>-2.6582934121090105E-3</v>
      </c>
      <c r="N737" s="551">
        <f>'Sollecitazioni nel paramento'!$G$60*(sezione!$AO$29-C737)/C737</f>
        <v>-1.8165868242180205E-3</v>
      </c>
      <c r="O737" s="551">
        <f>'Sollecitazioni nel paramento'!$G$60*(sezione!$AP$29-C737)/C737</f>
        <v>-1.1157494343003054E-4</v>
      </c>
      <c r="P737" s="545">
        <f>-'Sollecitazioni nel paramento'!$G$47*'Sollecitazioni nel paramento'!$G$41*IF(DATI!$G$211="dx",DATI!$E$61,DATI!$E$64*DATI!$E$63)*1000*C737*sezione!$AD$5</f>
        <v>-12673252.358316472</v>
      </c>
      <c r="Q737" s="545">
        <f>'Foglio deposito bis'!$F$48*IF(ABS(K737)&lt;'Sollecitazioni nel paramento'!$G$58,ABS(K737)*'Sollecitazioni nel paramento'!$G$54,'Sollecitazioni nel paramento'!$G$53)*IF(K737&lt;0,-1,1)</f>
        <v>0</v>
      </c>
      <c r="R737" s="545">
        <f>'Foglio deposito bis'!$F$49*IF(ABS(L737)&lt;'Sollecitazioni nel paramento'!$G$58,ABS(L737)*'Sollecitazioni nel paramento'!$G$54,'Sollecitazioni nel paramento'!$G$53)*IF(L737&lt;0,-1,1)</f>
        <v>-204886.47740803001</v>
      </c>
      <c r="S737" s="545">
        <f>'Foglio deposito bis'!$F$50*IF(ABS(M737)&lt;'Sollecitazioni nel paramento'!$G$58,ABS(M737)*'Sollecitazioni nel paramento'!$G$54,'Sollecitazioni nel paramento'!$G$53)*IF(M737&lt;0,-1,1)</f>
        <v>0</v>
      </c>
      <c r="T737" s="545">
        <f>'Foglio deposito bis'!$F$51*IF(ABS(N737)&lt;'Sollecitazioni nel paramento'!$G$58,ABS(N737)*'Sollecitazioni nel paramento'!$G$54,'Sollecitazioni nel paramento'!$G$53)*IF(N737&lt;0,-1,1)</f>
        <v>-230424.85577176465</v>
      </c>
      <c r="U737" s="545">
        <f>'Foglio deposito bis'!$F$52*IF(ABS(O737)&lt;'Sollecitazioni nel paramento'!$G$58,ABS(O737)*'Sollecitazioni nel paramento'!$G$54,'Sollecitazioni nel paramento'!$G$53)*IF(O737&lt;0,-1,1)</f>
        <v>-14152.717560678511</v>
      </c>
      <c r="V737" s="472">
        <f t="shared" si="53"/>
        <v>-13122716.409056945</v>
      </c>
      <c r="W737" s="551"/>
      <c r="X737" s="551"/>
    </row>
    <row r="738" spans="1:24" x14ac:dyDescent="0.25">
      <c r="A738" s="545">
        <f t="shared" si="54"/>
        <v>13318699.503937012</v>
      </c>
      <c r="B738" s="3">
        <f t="shared" si="51"/>
        <v>68.899999999999949</v>
      </c>
      <c r="C738" s="545">
        <f>'Foglio deposito bis'!$E$155/sezione!$B$247*B738</f>
        <v>337.55671563901711</v>
      </c>
      <c r="D738" s="603">
        <f>-'Sollecitazioni nel paramento'!$G$47*'Sollecitazioni nel paramento'!$G$41*IF(DATI!$G$211="dx",DATI!$E$61,DATI!$E$64*DATI!$E$63)*1000*C738^2*sezione!$AD$5*(1-sezione!$AD$6)</f>
        <v>-2535111879.0612149</v>
      </c>
      <c r="E738" s="545">
        <f>-'Foglio deposito bis'!$F$48*(C738-sezione!$AL$29)*IF(ABS(K738)&lt;'Sollecitazioni nel paramento'!$G$58,ABS(K738)*'Sollecitazioni nel paramento'!$G$54,'Sollecitazioni nel paramento'!$G$53)</f>
        <v>0</v>
      </c>
      <c r="F738" s="545">
        <f>-'Foglio deposito bis'!$F$49*(C738-sezione!$AM$29)*IF(ABS(L738)&lt;'Sollecitazioni nel paramento'!$G$58,ABS(L738)*'Sollecitazioni nel paramento'!$G$54,'Sollecitazioni nel paramento'!$G$53)</f>
        <v>-56867617.748220488</v>
      </c>
      <c r="G738" s="545">
        <f>-'Foglio deposito bis'!$F$50*(C738-sezione!$AN$29)*IF(ABS(M738)&lt;'Sollecitazioni nel paramento'!$G$58,ABS(M738)*'Sollecitazioni nel paramento'!$G$54,'Sollecitazioni nel paramento'!$G$53)</f>
        <v>0</v>
      </c>
      <c r="H738" s="545">
        <f>-'Foglio deposito bis'!$F$51*(C738-sezione!$AO$29)*IF(ABS(N738)&lt;'Sollecitazioni nel paramento'!$G$58,ABS(N738)*'Sollecitazioni nel paramento'!$G$54,'Sollecitazioni nel paramento'!$G$53)</f>
        <v>-41463758.107662663</v>
      </c>
      <c r="I738" s="472">
        <f>-'Foglio deposito bis'!$F$52*(C738-sezione!$AP$29)*IF(ABS(O738)&lt;'Sollecitazioni nel paramento'!$G$58,ABS(O738)*'Sollecitazioni nel paramento'!$G$54,'Sollecitazioni nel paramento'!$G$53)</f>
        <v>-316136.40665396518</v>
      </c>
      <c r="J738" s="472">
        <f t="shared" si="52"/>
        <v>-2633759391.3237519</v>
      </c>
      <c r="K738" s="550">
        <f>'Sollecitazioni nel paramento'!$G$60*(sezione!$AL$29-C738)/C738</f>
        <v>-3.0852548815834672E-3</v>
      </c>
      <c r="L738" s="550">
        <f>'Sollecitazioni nel paramento'!$G$60*(sezione!$AM$29-C738)/C738</f>
        <v>-2.8778823223752012E-3</v>
      </c>
      <c r="M738" s="551">
        <f>'Sollecitazioni nel paramento'!$G$60*(sezione!$AN$29-C738)/C738</f>
        <v>-2.6705097631669348E-3</v>
      </c>
      <c r="N738" s="551">
        <f>'Sollecitazioni nel paramento'!$G$60*(sezione!$AO$29-C738)/C738</f>
        <v>-1.8410195263338692E-3</v>
      </c>
      <c r="O738" s="551">
        <f>'Sollecitazioni nel paramento'!$G$60*(sezione!$AP$29-C738)/C738</f>
        <v>-1.6075382668939172E-4</v>
      </c>
      <c r="P738" s="545">
        <f>-'Sollecitazioni nel paramento'!$G$47*'Sollecitazioni nel paramento'!$G$41*IF(DATI!$G$211="dx",DATI!$E$61,DATI!$E$64*DATI!$E$63)*1000*C738*sezione!$AD$5</f>
        <v>-12859898.195699632</v>
      </c>
      <c r="Q738" s="545">
        <f>'Foglio deposito bis'!$F$48*IF(ABS(K738)&lt;'Sollecitazioni nel paramento'!$G$58,ABS(K738)*'Sollecitazioni nel paramento'!$G$54,'Sollecitazioni nel paramento'!$G$53)*IF(K738&lt;0,-1,1)</f>
        <v>0</v>
      </c>
      <c r="R738" s="545">
        <f>'Foglio deposito bis'!$F$49*IF(ABS(L738)&lt;'Sollecitazioni nel paramento'!$G$58,ABS(L738)*'Sollecitazioni nel paramento'!$G$54,'Sollecitazioni nel paramento'!$G$53)*IF(L738&lt;0,-1,1)</f>
        <v>-204886.47740803001</v>
      </c>
      <c r="S738" s="545">
        <f>'Foglio deposito bis'!$F$50*IF(ABS(M738)&lt;'Sollecitazioni nel paramento'!$G$58,ABS(M738)*'Sollecitazioni nel paramento'!$G$54,'Sollecitazioni nel paramento'!$G$53)*IF(M738&lt;0,-1,1)</f>
        <v>0</v>
      </c>
      <c r="T738" s="545">
        <f>'Foglio deposito bis'!$F$51*IF(ABS(N738)&lt;'Sollecitazioni nel paramento'!$G$58,ABS(N738)*'Sollecitazioni nel paramento'!$G$54,'Sollecitazioni nel paramento'!$G$53)*IF(N738&lt;0,-1,1)</f>
        <v>-233524.02052739498</v>
      </c>
      <c r="U738" s="545">
        <f>'Foglio deposito bis'!$F$52*IF(ABS(O738)&lt;'Sollecitazioni nel paramento'!$G$58,ABS(O738)*'Sollecitazioni nel paramento'!$G$54,'Sollecitazioni nel paramento'!$G$53)*IF(O738&lt;0,-1,1)</f>
        <v>-20390.810301955997</v>
      </c>
      <c r="V738" s="472">
        <f t="shared" si="53"/>
        <v>-13318699.503937012</v>
      </c>
      <c r="W738" s="551"/>
      <c r="X738" s="551"/>
    </row>
    <row r="739" spans="1:24" x14ac:dyDescent="0.25">
      <c r="A739" s="545">
        <f t="shared" si="54"/>
        <v>13514415.438373677</v>
      </c>
      <c r="B739" s="3">
        <f t="shared" si="51"/>
        <v>69.899999999999949</v>
      </c>
      <c r="C739" s="545">
        <f>'Foglio deposito bis'!$E$155/sezione!$B$247*B739</f>
        <v>342.45594228109286</v>
      </c>
      <c r="D739" s="603">
        <f>-'Sollecitazioni nel paramento'!$G$47*'Sollecitazioni nel paramento'!$G$41*IF(DATI!$G$211="dx",DATI!$E$61,DATI!$E$64*DATI!$E$63)*1000*C739^2*sezione!$AD$5*(1-sezione!$AD$6)</f>
        <v>-2609234053.7309041</v>
      </c>
      <c r="E739" s="545">
        <f>-'Foglio deposito bis'!$F$48*(C739-sezione!$AL$29)*IF(ABS(K739)&lt;'Sollecitazioni nel paramento'!$G$58,ABS(K739)*'Sollecitazioni nel paramento'!$G$54,'Sollecitazioni nel paramento'!$G$53)</f>
        <v>0</v>
      </c>
      <c r="F739" s="545">
        <f>-'Foglio deposito bis'!$F$49*(C739-sezione!$AM$29)*IF(ABS(L739)&lt;'Sollecitazioni nel paramento'!$G$58,ABS(L739)*'Sollecitazioni nel paramento'!$G$54,'Sollecitazioni nel paramento'!$G$53)</f>
        <v>-57871403.036938958</v>
      </c>
      <c r="G739" s="545">
        <f>-'Foglio deposito bis'!$F$50*(C739-sezione!$AN$29)*IF(ABS(M739)&lt;'Sollecitazioni nel paramento'!$G$58,ABS(M739)*'Sollecitazioni nel paramento'!$G$54,'Sollecitazioni nel paramento'!$G$53)</f>
        <v>0</v>
      </c>
      <c r="H739" s="545">
        <f>-'Foglio deposito bis'!$F$51*(C739-sezione!$AO$29)*IF(ABS(N739)&lt;'Sollecitazioni nel paramento'!$G$58,ABS(N739)*'Sollecitazioni nel paramento'!$G$54,'Sollecitazioni nel paramento'!$G$53)</f>
        <v>-43157127.093999699</v>
      </c>
      <c r="I739" s="472">
        <f>-'Foglio deposito bis'!$F$52*(C739-sezione!$AP$29)*IF(ABS(O739)&lt;'Sollecitazioni nel paramento'!$G$58,ABS(O739)*'Sollecitazioni nel paramento'!$G$54,'Sollecitazioni nel paramento'!$G$53)</f>
        <v>-539670.32612989342</v>
      </c>
      <c r="J739" s="472">
        <f t="shared" si="52"/>
        <v>-2710802254.187973</v>
      </c>
      <c r="K739" s="550">
        <f>'Sollecitazioni nel paramento'!$G$60*(sezione!$AL$29-C739)/C739</f>
        <v>-3.0911882881416437E-3</v>
      </c>
      <c r="L739" s="550">
        <f>'Sollecitazioni nel paramento'!$G$60*(sezione!$AM$29-C739)/C739</f>
        <v>-2.8867824322124655E-3</v>
      </c>
      <c r="M739" s="551">
        <f>'Sollecitazioni nel paramento'!$G$60*(sezione!$AN$29-C739)/C739</f>
        <v>-2.6823765762832878E-3</v>
      </c>
      <c r="N739" s="551">
        <f>'Sollecitazioni nel paramento'!$G$60*(sezione!$AO$29-C739)/C739</f>
        <v>-1.8647531525665753E-3</v>
      </c>
      <c r="O739" s="551">
        <f>'Sollecitazioni nel paramento'!$G$60*(sezione!$AP$29-C739)/C739</f>
        <v>-2.0852558882545217E-4</v>
      </c>
      <c r="P739" s="545">
        <f>-'Sollecitazioni nel paramento'!$G$47*'Sollecitazioni nel paramento'!$G$41*IF(DATI!$G$211="dx",DATI!$E$61,DATI!$E$64*DATI!$E$63)*1000*C739*sezione!$AD$5</f>
        <v>-13046544.033082793</v>
      </c>
      <c r="Q739" s="545">
        <f>'Foglio deposito bis'!$F$48*IF(ABS(K739)&lt;'Sollecitazioni nel paramento'!$G$58,ABS(K739)*'Sollecitazioni nel paramento'!$G$54,'Sollecitazioni nel paramento'!$G$53)*IF(K739&lt;0,-1,1)</f>
        <v>0</v>
      </c>
      <c r="R739" s="545">
        <f>'Foglio deposito bis'!$F$49*IF(ABS(L739)&lt;'Sollecitazioni nel paramento'!$G$58,ABS(L739)*'Sollecitazioni nel paramento'!$G$54,'Sollecitazioni nel paramento'!$G$53)*IF(L739&lt;0,-1,1)</f>
        <v>-204886.47740803001</v>
      </c>
      <c r="S739" s="545">
        <f>'Foglio deposito bis'!$F$50*IF(ABS(M739)&lt;'Sollecitazioni nel paramento'!$G$58,ABS(M739)*'Sollecitazioni nel paramento'!$G$54,'Sollecitazioni nel paramento'!$G$53)*IF(M739&lt;0,-1,1)</f>
        <v>0</v>
      </c>
      <c r="T739" s="545">
        <f>'Foglio deposito bis'!$F$51*IF(ABS(N739)&lt;'Sollecitazioni nel paramento'!$G$58,ABS(N739)*'Sollecitazioni nel paramento'!$G$54,'Sollecitazioni nel paramento'!$G$53)*IF(N739&lt;0,-1,1)</f>
        <v>-236534.51104109033</v>
      </c>
      <c r="U739" s="545">
        <f>'Foglio deposito bis'!$F$52*IF(ABS(O739)&lt;'Sollecitazioni nel paramento'!$G$58,ABS(O739)*'Sollecitazioni nel paramento'!$G$54,'Sollecitazioni nel paramento'!$G$53)*IF(O739&lt;0,-1,1)</f>
        <v>-26450.416841766317</v>
      </c>
      <c r="V739" s="472">
        <f t="shared" si="53"/>
        <v>-13514415.438373677</v>
      </c>
      <c r="W739" s="551"/>
      <c r="X739" s="551"/>
    </row>
    <row r="740" spans="1:24" x14ac:dyDescent="0.25">
      <c r="A740" s="545">
        <f t="shared" si="54"/>
        <v>13711361.934793469</v>
      </c>
      <c r="B740" s="3">
        <f t="shared" si="51"/>
        <v>70.899999999999949</v>
      </c>
      <c r="C740" s="545">
        <f>'Foglio deposito bis'!$E$155/sezione!$B$247*B740</f>
        <v>347.35516892316855</v>
      </c>
      <c r="D740" s="603">
        <f>-'Sollecitazioni nel paramento'!$G$47*'Sollecitazioni nel paramento'!$G$41*IF(DATI!$G$211="dx",DATI!$E$61,DATI!$E$64*DATI!$E$63)*1000*C740^2*sezione!$AD$5*(1-sezione!$AD$6)</f>
        <v>-2684424271.2632694</v>
      </c>
      <c r="E740" s="545">
        <f>-'Foglio deposito bis'!$F$48*(C740-sezione!$AL$29)*IF(ABS(K740)&lt;'Sollecitazioni nel paramento'!$G$58,ABS(K740)*'Sollecitazioni nel paramento'!$G$54,'Sollecitazioni nel paramento'!$G$53)</f>
        <v>0</v>
      </c>
      <c r="F740" s="545">
        <f>-'Foglio deposito bis'!$F$49*(C740-sezione!$AM$29)*IF(ABS(L740)&lt;'Sollecitazioni nel paramento'!$G$58,ABS(L740)*'Sollecitazioni nel paramento'!$G$54,'Sollecitazioni nel paramento'!$G$53)</f>
        <v>-58875188.32565742</v>
      </c>
      <c r="G740" s="545">
        <f>-'Foglio deposito bis'!$F$50*(C740-sezione!$AN$29)*IF(ABS(M740)&lt;'Sollecitazioni nel paramento'!$G$58,ABS(M740)*'Sollecitazioni nel paramento'!$G$54,'Sollecitazioni nel paramento'!$G$53)</f>
        <v>0</v>
      </c>
      <c r="H740" s="545">
        <f>-'Foglio deposito bis'!$F$51*(C740-sezione!$AO$29)*IF(ABS(N740)&lt;'Sollecitazioni nel paramento'!$G$58,ABS(N740)*'Sollecitazioni nel paramento'!$G$54,'Sollecitazioni nel paramento'!$G$53)</f>
        <v>-45142571.727788791</v>
      </c>
      <c r="I740" s="472">
        <f>-'Foglio deposito bis'!$F$52*(C740-sezione!$AP$29)*IF(ABS(O740)&lt;'Sollecitazioni nel paramento'!$G$58,ABS(O740)*'Sollecitazioni nel paramento'!$G$54,'Sollecitazioni nel paramento'!$G$53)</f>
        <v>-818253.99311082112</v>
      </c>
      <c r="J740" s="472">
        <f t="shared" si="52"/>
        <v>-2789260285.3098264</v>
      </c>
      <c r="K740" s="550">
        <f>'Sollecitazioni nel paramento'!$G$60*(sezione!$AL$29-C740)/C740</f>
        <v>-3.096954320748955E-3</v>
      </c>
      <c r="L740" s="550">
        <f>'Sollecitazioni nel paramento'!$G$60*(sezione!$AM$29-C740)/C740</f>
        <v>-2.8954314811234319E-3</v>
      </c>
      <c r="M740" s="551">
        <f>'Sollecitazioni nel paramento'!$G$60*(sezione!$AN$29-C740)/C740</f>
        <v>-2.6939086414979095E-3</v>
      </c>
      <c r="N740" s="551">
        <f>'Sollecitazioni nel paramento'!$G$60*(sezione!$AO$29-C740)/C740</f>
        <v>-1.8878172829958195E-3</v>
      </c>
      <c r="O740" s="551">
        <f>'Sollecitazioni nel paramento'!$G$60*(sezione!$AP$29-C740)/C740</f>
        <v>-2.5494976951902801E-4</v>
      </c>
      <c r="P740" s="545">
        <f>-'Sollecitazioni nel paramento'!$G$47*'Sollecitazioni nel paramento'!$G$41*IF(DATI!$G$211="dx",DATI!$E$61,DATI!$E$64*DATI!$E$63)*1000*C740*sezione!$AD$5</f>
        <v>-13233189.870465949</v>
      </c>
      <c r="Q740" s="545">
        <f>'Foglio deposito bis'!$F$48*IF(ABS(K740)&lt;'Sollecitazioni nel paramento'!$G$58,ABS(K740)*'Sollecitazioni nel paramento'!$G$54,'Sollecitazioni nel paramento'!$G$53)*IF(K740&lt;0,-1,1)</f>
        <v>0</v>
      </c>
      <c r="R740" s="545">
        <f>'Foglio deposito bis'!$F$49*IF(ABS(L740)&lt;'Sollecitazioni nel paramento'!$G$58,ABS(L740)*'Sollecitazioni nel paramento'!$G$54,'Sollecitazioni nel paramento'!$G$53)*IF(L740&lt;0,-1,1)</f>
        <v>-204886.47740803001</v>
      </c>
      <c r="S740" s="545">
        <f>'Foglio deposito bis'!$F$50*IF(ABS(M740)&lt;'Sollecitazioni nel paramento'!$G$58,ABS(M740)*'Sollecitazioni nel paramento'!$G$54,'Sollecitazioni nel paramento'!$G$53)*IF(M740&lt;0,-1,1)</f>
        <v>0</v>
      </c>
      <c r="T740" s="545">
        <f>'Foglio deposito bis'!$F$51*IF(ABS(N740)&lt;'Sollecitazioni nel paramento'!$G$58,ABS(N740)*'Sollecitazioni nel paramento'!$G$54,'Sollecitazioni nel paramento'!$G$53)*IF(N740&lt;0,-1,1)</f>
        <v>-240946.49743184328</v>
      </c>
      <c r="U740" s="545">
        <f>'Foglio deposito bis'!$F$52*IF(ABS(O740)&lt;'Sollecitazioni nel paramento'!$G$58,ABS(O740)*'Sollecitazioni nel paramento'!$G$54,'Sollecitazioni nel paramento'!$G$53)*IF(O740&lt;0,-1,1)</f>
        <v>-32339.089487646797</v>
      </c>
      <c r="V740" s="472">
        <f t="shared" si="53"/>
        <v>-13711361.934793469</v>
      </c>
      <c r="W740" s="551"/>
      <c r="X740" s="551"/>
    </row>
    <row r="741" spans="1:24" x14ac:dyDescent="0.25">
      <c r="A741" s="545">
        <f t="shared" si="54"/>
        <v>13903732.643079925</v>
      </c>
      <c r="B741" s="3">
        <f t="shared" si="51"/>
        <v>71.899999999999949</v>
      </c>
      <c r="C741" s="545">
        <f>'Foglio deposito bis'!$E$155/sezione!$B$247*B741</f>
        <v>352.25439556524429</v>
      </c>
      <c r="D741" s="603">
        <f>-'Sollecitazioni nel paramento'!$G$47*'Sollecitazioni nel paramento'!$G$41*IF(DATI!$G$211="dx",DATI!$E$61,DATI!$E$64*DATI!$E$63)*1000*C741^2*sezione!$AD$5*(1-sezione!$AD$6)</f>
        <v>-2760682531.6583099</v>
      </c>
      <c r="E741" s="545">
        <f>-'Foglio deposito bis'!$F$48*(C741-sezione!$AL$29)*IF(ABS(K741)&lt;'Sollecitazioni nel paramento'!$G$58,ABS(K741)*'Sollecitazioni nel paramento'!$G$54,'Sollecitazioni nel paramento'!$G$53)</f>
        <v>0</v>
      </c>
      <c r="F741" s="545">
        <f>-'Foglio deposito bis'!$F$49*(C741-sezione!$AM$29)*IF(ABS(L741)&lt;'Sollecitazioni nel paramento'!$G$58,ABS(L741)*'Sollecitazioni nel paramento'!$G$54,'Sollecitazioni nel paramento'!$G$53)</f>
        <v>-59878973.614375889</v>
      </c>
      <c r="G741" s="545">
        <f>-'Foglio deposito bis'!$F$50*(C741-sezione!$AN$29)*IF(ABS(M741)&lt;'Sollecitazioni nel paramento'!$G$58,ABS(M741)*'Sollecitazioni nel paramento'!$G$54,'Sollecitazioni nel paramento'!$G$53)</f>
        <v>0</v>
      </c>
      <c r="H741" s="545">
        <f>-'Foglio deposito bis'!$F$51*(C741-sezione!$AO$29)*IF(ABS(N741)&lt;'Sollecitazioni nel paramento'!$G$58,ABS(N741)*'Sollecitazioni nel paramento'!$G$54,'Sollecitazioni nel paramento'!$G$53)</f>
        <v>-46323023.227321714</v>
      </c>
      <c r="I741" s="472">
        <f>-'Foglio deposito bis'!$F$52*(C741-sezione!$AP$29)*IF(ABS(O741)&lt;'Sollecitazioni nel paramento'!$G$58,ABS(O741)*'Sollecitazioni nel paramento'!$G$54,'Sollecitazioni nel paramento'!$G$53)</f>
        <v>-1149590.477937297</v>
      </c>
      <c r="J741" s="472">
        <f t="shared" si="52"/>
        <v>-2868034118.9779449</v>
      </c>
      <c r="K741" s="550">
        <f>'Sollecitazioni nel paramento'!$G$60*(sezione!$AL$29-C741)/C741</f>
        <v>-3.102559963019484E-3</v>
      </c>
      <c r="L741" s="550">
        <f>'Sollecitazioni nel paramento'!$G$60*(sezione!$AM$29-C741)/C741</f>
        <v>-2.9038399445292257E-3</v>
      </c>
      <c r="M741" s="551">
        <f>'Sollecitazioni nel paramento'!$G$60*(sezione!$AN$29-C741)/C741</f>
        <v>-2.7051199260389679E-3</v>
      </c>
      <c r="N741" s="551">
        <f>'Sollecitazioni nel paramento'!$G$60*(sezione!$AO$29-C741)/C741</f>
        <v>-1.910239852077936E-3</v>
      </c>
      <c r="O741" s="551">
        <f>'Sollecitazioni nel paramento'!$G$60*(sezione!$AP$29-C741)/C741</f>
        <v>-3.0008259609039088E-4</v>
      </c>
      <c r="P741" s="545">
        <f>-'Sollecitazioni nel paramento'!$G$47*'Sollecitazioni nel paramento'!$G$41*IF(DATI!$G$211="dx",DATI!$E$61,DATI!$E$64*DATI!$E$63)*1000*C741*sezione!$AD$5</f>
        <v>-13419835.70784911</v>
      </c>
      <c r="Q741" s="545">
        <f>'Foglio deposito bis'!$F$48*IF(ABS(K741)&lt;'Sollecitazioni nel paramento'!$G$58,ABS(K741)*'Sollecitazioni nel paramento'!$G$54,'Sollecitazioni nel paramento'!$G$53)*IF(K741&lt;0,-1,1)</f>
        <v>0</v>
      </c>
      <c r="R741" s="545">
        <f>'Foglio deposito bis'!$F$49*IF(ABS(L741)&lt;'Sollecitazioni nel paramento'!$G$58,ABS(L741)*'Sollecitazioni nel paramento'!$G$54,'Sollecitazioni nel paramento'!$G$53)*IF(L741&lt;0,-1,1)</f>
        <v>-204886.47740803001</v>
      </c>
      <c r="S741" s="545">
        <f>'Foglio deposito bis'!$F$50*IF(ABS(M741)&lt;'Sollecitazioni nel paramento'!$G$58,ABS(M741)*'Sollecitazioni nel paramento'!$G$54,'Sollecitazioni nel paramento'!$G$53)*IF(M741&lt;0,-1,1)</f>
        <v>0</v>
      </c>
      <c r="T741" s="545">
        <f>'Foglio deposito bis'!$F$51*IF(ABS(N741)&lt;'Sollecitazioni nel paramento'!$G$58,ABS(N741)*'Sollecitazioni nel paramento'!$G$54,'Sollecitazioni nel paramento'!$G$53)*IF(N741&lt;0,-1,1)</f>
        <v>-240946.49743184328</v>
      </c>
      <c r="U741" s="545">
        <f>'Foglio deposito bis'!$F$52*IF(ABS(O741)&lt;'Sollecitazioni nel paramento'!$G$58,ABS(O741)*'Sollecitazioni nel paramento'!$G$54,'Sollecitazioni nel paramento'!$G$53)*IF(O741&lt;0,-1,1)</f>
        <v>-38063.96039094375</v>
      </c>
      <c r="V741" s="472">
        <f t="shared" si="53"/>
        <v>-13903732.643079925</v>
      </c>
      <c r="W741" s="551"/>
      <c r="X741" s="551"/>
    </row>
    <row r="742" spans="1:24" x14ac:dyDescent="0.25">
      <c r="A742" s="545">
        <f t="shared" si="54"/>
        <v>14095946.290436249</v>
      </c>
      <c r="B742" s="3">
        <f t="shared" si="51"/>
        <v>72.899999999999949</v>
      </c>
      <c r="C742" s="545">
        <f>'Foglio deposito bis'!$E$155/sezione!$B$247*B742</f>
        <v>357.15362220732004</v>
      </c>
      <c r="D742" s="603">
        <f>-'Sollecitazioni nel paramento'!$G$47*'Sollecitazioni nel paramento'!$G$41*IF(DATI!$G$211="dx",DATI!$E$61,DATI!$E$64*DATI!$E$63)*1000*C742^2*sezione!$AD$5*(1-sezione!$AD$6)</f>
        <v>-2838008834.9160275</v>
      </c>
      <c r="E742" s="545">
        <f>-'Foglio deposito bis'!$F$48*(C742-sezione!$AL$29)*IF(ABS(K742)&lt;'Sollecitazioni nel paramento'!$G$58,ABS(K742)*'Sollecitazioni nel paramento'!$G$54,'Sollecitazioni nel paramento'!$G$53)</f>
        <v>0</v>
      </c>
      <c r="F742" s="545">
        <f>-'Foglio deposito bis'!$F$49*(C742-sezione!$AM$29)*IF(ABS(L742)&lt;'Sollecitazioni nel paramento'!$G$58,ABS(L742)*'Sollecitazioni nel paramento'!$G$54,'Sollecitazioni nel paramento'!$G$53)</f>
        <v>-60882758.903094359</v>
      </c>
      <c r="G742" s="545">
        <f>-'Foglio deposito bis'!$F$50*(C742-sezione!$AN$29)*IF(ABS(M742)&lt;'Sollecitazioni nel paramento'!$G$58,ABS(M742)*'Sollecitazioni nel paramento'!$G$54,'Sollecitazioni nel paramento'!$G$53)</f>
        <v>0</v>
      </c>
      <c r="H742" s="545">
        <f>-'Foglio deposito bis'!$F$51*(C742-sezione!$AO$29)*IF(ABS(N742)&lt;'Sollecitazioni nel paramento'!$G$58,ABS(N742)*'Sollecitazioni nel paramento'!$G$54,'Sollecitazioni nel paramento'!$G$53)</f>
        <v>-47503474.726854637</v>
      </c>
      <c r="I742" s="472">
        <f>-'Foglio deposito bis'!$F$52*(C742-sezione!$AP$29)*IF(ABS(O742)&lt;'Sollecitazioni nel paramento'!$G$58,ABS(O742)*'Sollecitazioni nel paramento'!$G$54,'Sollecitazioni nel paramento'!$G$53)</f>
        <v>-1531508.8827555918</v>
      </c>
      <c r="J742" s="472">
        <f t="shared" si="52"/>
        <v>-2947926577.4287324</v>
      </c>
      <c r="K742" s="550">
        <f>'Sollecitazioni nel paramento'!$G$60*(sezione!$AL$29-C742)/C742</f>
        <v>-3.1080118153786135E-3</v>
      </c>
      <c r="L742" s="550">
        <f>'Sollecitazioni nel paramento'!$G$60*(sezione!$AM$29-C742)/C742</f>
        <v>-2.91201772306792E-3</v>
      </c>
      <c r="M742" s="551">
        <f>'Sollecitazioni nel paramento'!$G$60*(sezione!$AN$29-C742)/C742</f>
        <v>-2.7160236307572265E-3</v>
      </c>
      <c r="N742" s="551">
        <f>'Sollecitazioni nel paramento'!$G$60*(sezione!$AO$29-C742)/C742</f>
        <v>-1.932047261514453E-3</v>
      </c>
      <c r="O742" s="551">
        <f>'Sollecitazioni nel paramento'!$G$60*(sezione!$AP$29-C742)/C742</f>
        <v>-3.4397721068448725E-4</v>
      </c>
      <c r="P742" s="545">
        <f>-'Sollecitazioni nel paramento'!$G$47*'Sollecitazioni nel paramento'!$G$41*IF(DATI!$G$211="dx",DATI!$E$61,DATI!$E$64*DATI!$E$63)*1000*C742*sezione!$AD$5</f>
        <v>-13606481.545232268</v>
      </c>
      <c r="Q742" s="545">
        <f>'Foglio deposito bis'!$F$48*IF(ABS(K742)&lt;'Sollecitazioni nel paramento'!$G$58,ABS(K742)*'Sollecitazioni nel paramento'!$G$54,'Sollecitazioni nel paramento'!$G$53)*IF(K742&lt;0,-1,1)</f>
        <v>0</v>
      </c>
      <c r="R742" s="545">
        <f>'Foglio deposito bis'!$F$49*IF(ABS(L742)&lt;'Sollecitazioni nel paramento'!$G$58,ABS(L742)*'Sollecitazioni nel paramento'!$G$54,'Sollecitazioni nel paramento'!$G$53)*IF(L742&lt;0,-1,1)</f>
        <v>-204886.47740803001</v>
      </c>
      <c r="S742" s="545">
        <f>'Foglio deposito bis'!$F$50*IF(ABS(M742)&lt;'Sollecitazioni nel paramento'!$G$58,ABS(M742)*'Sollecitazioni nel paramento'!$G$54,'Sollecitazioni nel paramento'!$G$53)*IF(M742&lt;0,-1,1)</f>
        <v>0</v>
      </c>
      <c r="T742" s="545">
        <f>'Foglio deposito bis'!$F$51*IF(ABS(N742)&lt;'Sollecitazioni nel paramento'!$G$58,ABS(N742)*'Sollecitazioni nel paramento'!$G$54,'Sollecitazioni nel paramento'!$G$53)*IF(N742&lt;0,-1,1)</f>
        <v>-240946.49743184328</v>
      </c>
      <c r="U742" s="545">
        <f>'Foglio deposito bis'!$F$52*IF(ABS(O742)&lt;'Sollecitazioni nel paramento'!$G$58,ABS(O742)*'Sollecitazioni nel paramento'!$G$54,'Sollecitazioni nel paramento'!$G$53)*IF(O742&lt;0,-1,1)</f>
        <v>-43631.770364109092</v>
      </c>
      <c r="V742" s="472">
        <f t="shared" si="53"/>
        <v>-14095946.290436249</v>
      </c>
      <c r="W742" s="551"/>
      <c r="X742" s="551"/>
    </row>
    <row r="743" spans="1:24" x14ac:dyDescent="0.25">
      <c r="A743" s="545">
        <f t="shared" si="54"/>
        <v>14288009.252813596</v>
      </c>
      <c r="B743" s="3">
        <f t="shared" si="51"/>
        <v>73.899999999999949</v>
      </c>
      <c r="C743" s="545">
        <f>'Foglio deposito bis'!$E$155/sezione!$B$247*B743</f>
        <v>362.05284884939573</v>
      </c>
      <c r="D743" s="31">
        <f>-'Sollecitazioni nel paramento'!$G$47*'Sollecitazioni nel paramento'!$G$41*IF(DATI!$G$211="dx",DATI!$E$61,DATI!$E$64*DATI!$E$63)*1000*C743^2*sezione!$AD$5*(1-sezione!$AD$6)</f>
        <v>-2916403181.0364184</v>
      </c>
      <c r="E743" s="545">
        <f>-'Foglio deposito bis'!$F$48*(C743-sezione!$AL$29)*IF(ABS(K743)&lt;'Sollecitazioni nel paramento'!$G$58,ABS(K743)*'Sollecitazioni nel paramento'!$G$54,'Sollecitazioni nel paramento'!$G$53)</f>
        <v>0</v>
      </c>
      <c r="F743" s="545">
        <f>-'Foglio deposito bis'!$F$49*(C743-sezione!$AM$29)*IF(ABS(L743)&lt;'Sollecitazioni nel paramento'!$G$58,ABS(L743)*'Sollecitazioni nel paramento'!$G$54,'Sollecitazioni nel paramento'!$G$53)</f>
        <v>-61886544.191812813</v>
      </c>
      <c r="G743" s="545">
        <f>-'Foglio deposito bis'!$F$50*(C743-sezione!$AN$29)*IF(ABS(M743)&lt;'Sollecitazioni nel paramento'!$G$58,ABS(M743)*'Sollecitazioni nel paramento'!$G$54,'Sollecitazioni nel paramento'!$G$53)</f>
        <v>0</v>
      </c>
      <c r="H743" s="545">
        <f>-'Foglio deposito bis'!$F$51*(C743-sezione!$AO$29)*IF(ABS(N743)&lt;'Sollecitazioni nel paramento'!$G$58,ABS(N743)*'Sollecitazioni nel paramento'!$G$54,'Sollecitazioni nel paramento'!$G$53)</f>
        <v>-48683926.226387545</v>
      </c>
      <c r="I743" s="472">
        <f>-'Foglio deposito bis'!$F$52*(C743-sezione!$AP$29)*IF(ABS(O743)&lt;'Sollecitazioni nel paramento'!$G$58,ABS(O743)*'Sollecitazioni nel paramento'!$G$54,'Sollecitazioni nel paramento'!$G$53)</f>
        <v>-1961955.8143319329</v>
      </c>
      <c r="J743" s="472">
        <f t="shared" si="52"/>
        <v>-3028935607.2689509</v>
      </c>
      <c r="K743" s="550">
        <f>'Sollecitazioni nel paramento'!$G$60*(sezione!$AL$29-C743)/C743</f>
        <v>-3.1133161209891871E-3</v>
      </c>
      <c r="L743" s="550">
        <f>'Sollecitazioni nel paramento'!$G$60*(sezione!$AM$29-C743)/C743</f>
        <v>-2.9199741814837804E-3</v>
      </c>
      <c r="M743" s="551">
        <f>'Sollecitazioni nel paramento'!$G$60*(sezione!$AN$29-C743)/C743</f>
        <v>-2.7266322419783736E-3</v>
      </c>
      <c r="N743" s="551">
        <f>'Sollecitazioni nel paramento'!$G$60*(sezione!$AO$29-C743)/C743</f>
        <v>-1.9532644839567468E-3</v>
      </c>
      <c r="O743" s="551">
        <f>'Sollecitazioni nel paramento'!$G$60*(sezione!$AP$29-C743)/C743</f>
        <v>-3.8668387901081327E-4</v>
      </c>
      <c r="P743" s="545">
        <f>-'Sollecitazioni nel paramento'!$G$47*'Sollecitazioni nel paramento'!$G$41*IF(DATI!$G$211="dx",DATI!$E$61,DATI!$E$64*DATI!$E$63)*1000*C743*sezione!$AD$5</f>
        <v>-13793127.382615427</v>
      </c>
      <c r="Q743" s="545">
        <f>'Foglio deposito bis'!$F$48*IF(ABS(K743)&lt;'Sollecitazioni nel paramento'!$G$58,ABS(K743)*'Sollecitazioni nel paramento'!$G$54,'Sollecitazioni nel paramento'!$G$53)*IF(K743&lt;0,-1,1)</f>
        <v>0</v>
      </c>
      <c r="R743" s="545">
        <f>'Foglio deposito bis'!$F$49*IF(ABS(L743)&lt;'Sollecitazioni nel paramento'!$G$58,ABS(L743)*'Sollecitazioni nel paramento'!$G$54,'Sollecitazioni nel paramento'!$G$53)*IF(L743&lt;0,-1,1)</f>
        <v>-204886.47740803001</v>
      </c>
      <c r="S743" s="545">
        <f>'Foglio deposito bis'!$F$50*IF(ABS(M743)&lt;'Sollecitazioni nel paramento'!$G$58,ABS(M743)*'Sollecitazioni nel paramento'!$G$54,'Sollecitazioni nel paramento'!$G$53)*IF(M743&lt;0,-1,1)</f>
        <v>0</v>
      </c>
      <c r="T743" s="545">
        <f>'Foglio deposito bis'!$F$51*IF(ABS(N743)&lt;'Sollecitazioni nel paramento'!$G$58,ABS(N743)*'Sollecitazioni nel paramento'!$G$54,'Sollecitazioni nel paramento'!$G$53)*IF(N743&lt;0,-1,1)</f>
        <v>-240946.49743184328</v>
      </c>
      <c r="U743" s="545">
        <f>'Foglio deposito bis'!$F$52*IF(ABS(O743)&lt;'Sollecitazioni nel paramento'!$G$58,ABS(O743)*'Sollecitazioni nel paramento'!$G$54,'Sollecitazioni nel paramento'!$G$53)*IF(O743&lt;0,-1,1)</f>
        <v>-49048.895358298316</v>
      </c>
      <c r="V743" s="472">
        <f t="shared" si="53"/>
        <v>-14288009.252813596</v>
      </c>
      <c r="W743" s="551"/>
      <c r="X743" s="551"/>
    </row>
    <row r="744" spans="1:24" x14ac:dyDescent="0.25">
      <c r="P744" s="545"/>
      <c r="Q744" s="545"/>
      <c r="R744" s="545"/>
      <c r="S744" s="545"/>
      <c r="T744" s="545"/>
      <c r="U744" s="545"/>
      <c r="V744" s="472"/>
    </row>
    <row r="745" spans="1:24" x14ac:dyDescent="0.25">
      <c r="P745" s="545"/>
      <c r="Q745" s="545"/>
      <c r="R745" s="545"/>
      <c r="S745" s="545"/>
      <c r="T745" s="545"/>
      <c r="U745" s="545"/>
      <c r="V745" s="472"/>
    </row>
    <row r="746" spans="1:24" ht="15.75" x14ac:dyDescent="0.25">
      <c r="A746" s="1035" t="s">
        <v>951</v>
      </c>
      <c r="B746" s="1036"/>
      <c r="C746" s="1036"/>
      <c r="D746" s="1036"/>
      <c r="E746" s="1036"/>
      <c r="F746" s="1036"/>
      <c r="G746" s="1036"/>
      <c r="H746" s="1036"/>
      <c r="I746" s="1036"/>
      <c r="J746" s="1036"/>
      <c r="K746" s="1036"/>
      <c r="L746" s="1036"/>
      <c r="M746" s="1036"/>
      <c r="N746" s="1036"/>
      <c r="O746" s="1037"/>
      <c r="P746" s="545"/>
      <c r="Q746" s="545"/>
      <c r="R746" s="545"/>
      <c r="S746" s="545"/>
      <c r="T746" s="545"/>
      <c r="U746" s="545"/>
      <c r="V746" s="472"/>
      <c r="W746" s="605"/>
      <c r="X746" s="605"/>
    </row>
    <row r="747" spans="1:24" x14ac:dyDescent="0.25">
      <c r="A747" s="533">
        <v>1</v>
      </c>
      <c r="B747" s="533">
        <v>2</v>
      </c>
      <c r="C747" s="533">
        <v>3</v>
      </c>
      <c r="D747" s="533">
        <v>4</v>
      </c>
      <c r="E747" s="533">
        <v>5</v>
      </c>
      <c r="F747" s="533">
        <v>6</v>
      </c>
      <c r="G747" s="533">
        <v>7</v>
      </c>
      <c r="H747" s="533">
        <v>8</v>
      </c>
      <c r="I747" s="533">
        <v>9</v>
      </c>
      <c r="J747" s="533">
        <v>10</v>
      </c>
      <c r="K747" s="533">
        <v>11</v>
      </c>
      <c r="L747" s="533">
        <v>12</v>
      </c>
      <c r="M747" s="533">
        <v>13</v>
      </c>
      <c r="N747" s="533">
        <v>14</v>
      </c>
      <c r="O747" s="533">
        <v>15</v>
      </c>
      <c r="P747" s="598">
        <v>4</v>
      </c>
      <c r="Q747" s="598">
        <v>5</v>
      </c>
      <c r="R747" s="598">
        <v>6</v>
      </c>
      <c r="S747" s="598">
        <v>7</v>
      </c>
      <c r="T747" s="598">
        <v>8</v>
      </c>
      <c r="U747" s="598">
        <v>9</v>
      </c>
      <c r="V747" s="598">
        <v>10</v>
      </c>
      <c r="W747" s="46"/>
      <c r="X747" s="46"/>
    </row>
    <row r="748" spans="1:24" x14ac:dyDescent="0.25">
      <c r="A748" s="553" t="s">
        <v>930</v>
      </c>
      <c r="B748" s="80" t="s">
        <v>918</v>
      </c>
      <c r="C748" s="533" t="s">
        <v>137</v>
      </c>
      <c r="D748" s="533" t="s">
        <v>912</v>
      </c>
      <c r="E748" s="533" t="s">
        <v>913</v>
      </c>
      <c r="F748" s="533" t="s">
        <v>914</v>
      </c>
      <c r="G748" s="533" t="s">
        <v>915</v>
      </c>
      <c r="H748" s="533" t="s">
        <v>916</v>
      </c>
      <c r="I748" s="533" t="s">
        <v>917</v>
      </c>
      <c r="J748" s="554" t="s">
        <v>911</v>
      </c>
      <c r="K748" s="553" t="s">
        <v>924</v>
      </c>
      <c r="L748" s="553" t="s">
        <v>925</v>
      </c>
      <c r="M748" s="553" t="s">
        <v>926</v>
      </c>
      <c r="N748" s="553" t="s">
        <v>927</v>
      </c>
      <c r="O748" s="553" t="s">
        <v>928</v>
      </c>
      <c r="P748" s="598" t="s">
        <v>296</v>
      </c>
      <c r="Q748" s="598" t="s">
        <v>969</v>
      </c>
      <c r="R748" s="598" t="s">
        <v>970</v>
      </c>
      <c r="S748" s="598" t="s">
        <v>971</v>
      </c>
      <c r="T748" s="598" t="s">
        <v>972</v>
      </c>
      <c r="U748" s="598" t="s">
        <v>973</v>
      </c>
      <c r="V748" s="599" t="s">
        <v>1022</v>
      </c>
      <c r="W748" s="57"/>
      <c r="X748" s="57"/>
    </row>
    <row r="749" spans="1:24" x14ac:dyDescent="0.25">
      <c r="A749" s="545">
        <f>ABS(V749)</f>
        <v>708936.0147865999</v>
      </c>
      <c r="B749" s="3">
        <v>0</v>
      </c>
      <c r="C749" s="41">
        <v>0.01</v>
      </c>
      <c r="D749" s="603">
        <f>-'Sollecitazioni nel paramento'!$G$47*'Sollecitazioni nel paramento'!$G$41*IF(DATI!$G$211="dx",DATI!$E$61,DATI!$E$64*DATI!$E$63)*1000*C749^2*sezione!$AD$5*(1-sezione!$AD$6)</f>
        <v>-2.2248647999999998</v>
      </c>
      <c r="E749" s="545">
        <f>-'Foglio deposito bis'!$F$58*(C749-sezione!$AL$30)*IF(ABS(K749)&lt;'Sollecitazioni nel paramento'!$G$58,ABS(K749)*'Sollecitazioni nel paramento'!$G$54,'Sollecitazioni nel paramento'!$G$53)</f>
        <v>0</v>
      </c>
      <c r="F749" s="545">
        <f>-'Foglio deposito bis'!$F$59*(C749-sezione!$AM$30)*IF(ABS(L749)&lt;'Sollecitazioni nel paramento'!$G$58,ABS(L749)*'Sollecitazioni nel paramento'!$G$54,'Sollecitazioni nel paramento'!$G$53)</f>
        <v>9218354.8347807899</v>
      </c>
      <c r="G749" s="545">
        <f>-'Foglio deposito bis'!$F$60*(C749-sezione!$AN$30)*IF(ABS(M749)&lt;'Sollecitazioni nel paramento'!$G$58,ABS(M749)*'Sollecitazioni nel paramento'!$G$54,'Sollecitazioni nel paramento'!$G$53)</f>
        <v>0</v>
      </c>
      <c r="H749" s="545">
        <f>-'Foglio deposito bis'!$F$61*(C749-sezione!$AO$30)*IF(ABS(N749)&lt;'Sollecitazioni nel paramento'!$G$58,ABS(N749)*'Sollecitazioni nel paramento'!$G$54,'Sollecitazioni nel paramento'!$G$53)</f>
        <v>38549030.124120608</v>
      </c>
      <c r="I749" s="472">
        <f>-'Foglio deposito bis'!$F$62*(C749-sezione!$AP$30)*IF(ABS(O749)&lt;'Sollecitazioni nel paramento'!$G$58,ABS(O749)*'Sollecitazioni nel paramento'!$G$54,'Sollecitazioni nel paramento'!$G$53)</f>
        <v>121122819.63122804</v>
      </c>
      <c r="J749" s="472">
        <f t="shared" ref="J749:J812" si="55">D749+E749+F749+G749+H749+I749</f>
        <v>168890202.36526465</v>
      </c>
      <c r="K749" s="550">
        <f>'Sollecitazioni nel paramento'!$G$60*(sezione!$AL$30-C749)/C749</f>
        <v>13.996500000000001</v>
      </c>
      <c r="L749" s="550">
        <f>'Sollecitazioni nel paramento'!$G$60*(sezione!$AM$30-C749)/C749</f>
        <v>20.996500000000001</v>
      </c>
      <c r="M749" s="551">
        <f>'Sollecitazioni nel paramento'!$G$60*(sezione!$AN$30-C749)/C749</f>
        <v>27.996499999999997</v>
      </c>
      <c r="N749" s="551">
        <f>'Sollecitazioni nel paramento'!$G$60*(sezione!$AO$30-C749)/C749</f>
        <v>55.996500000000005</v>
      </c>
      <c r="O749" s="551">
        <f>'Sollecitazioni nel paramento'!$G$60*(sezione!$AP$30-C749)/C749</f>
        <v>134.70679557081675</v>
      </c>
      <c r="P749" s="545">
        <f>-'Sollecitazioni nel paramento'!$G$47*'Sollecitazioni nel paramento'!$G$41*IF(DATI!$G$211="dx",DATI!$E$61,DATI!$E$64*DATI!$E$63)*1000*C749*sezione!$AD$5</f>
        <v>-380.96999999999991</v>
      </c>
      <c r="Q749" s="545">
        <f>'Foglio deposito bis'!$F$58*IF(ABS(K749)&lt;'Sollecitazioni nel paramento'!$G$58,ABS(K749)*'Sollecitazioni nel paramento'!$G$54,'Sollecitazioni nel paramento'!$G$53)*IF(K749&lt;0,-1,1)</f>
        <v>0</v>
      </c>
      <c r="R749" s="545">
        <f>'Foglio deposito bis'!$F$59*IF(ABS(L749)&lt;'Sollecitazioni nel paramento'!$G$58,ABS(L749)*'Sollecitazioni nel paramento'!$G$54,'Sollecitazioni nel paramento'!$G$53)*IF(L749&lt;0,-1,1)</f>
        <v>153664.85805602249</v>
      </c>
      <c r="S749" s="545">
        <f>'Foglio deposito bis'!$F$60*IF(ABS(M749)&lt;'Sollecitazioni nel paramento'!$G$58,ABS(M749)*'Sollecitazioni nel paramento'!$G$54,'Sollecitazioni nel paramento'!$G$53)*IF(M749&lt;0,-1,1)</f>
        <v>0</v>
      </c>
      <c r="T749" s="545">
        <f>'Foglio deposito bis'!$F$61*IF(ABS(N749)&lt;'Sollecitazioni nel paramento'!$G$58,ABS(N749)*'Sollecitazioni nel paramento'!$G$54,'Sollecitazioni nel paramento'!$G$53)*IF(N749&lt;0,-1,1)</f>
        <v>240946.49743184328</v>
      </c>
      <c r="U749" s="545">
        <f>'Foglio deposito bis'!$F$62*IF(ABS(O749)&lt;'Sollecitazioni nel paramento'!$G$58,ABS(O749)*'Sollecitazioni nel paramento'!$G$54,'Sollecitazioni nel paramento'!$G$53)*IF(O749&lt;0,-1,1)</f>
        <v>314705.62929873407</v>
      </c>
      <c r="V749" s="472">
        <f>P749+Q749+R749+S749+T749+U749</f>
        <v>708936.0147865999</v>
      </c>
      <c r="W749" s="551"/>
      <c r="X749" s="551"/>
    </row>
    <row r="750" spans="1:24" x14ac:dyDescent="0.25">
      <c r="A750" s="545">
        <f t="shared" ref="A750:A813" si="56">ABS(V750)</f>
        <v>698365.08814951999</v>
      </c>
      <c r="B750" s="3">
        <f>B749+0.05</f>
        <v>0.05</v>
      </c>
      <c r="C750" s="545">
        <f>'Foglio deposito bis'!$E$156/sezione!$B$247*B750</f>
        <v>0.28747399105126015</v>
      </c>
      <c r="D750" s="603">
        <f>-'Sollecitazioni nel paramento'!$G$47*'Sollecitazioni nel paramento'!$G$41*IF(DATI!$G$211="dx",DATI!$E$61,DATI!$E$64*DATI!$E$63)*1000*C750^2*sezione!$AD$5*(1-sezione!$AD$6)</f>
        <v>-1838.6570945318572</v>
      </c>
      <c r="E750" s="545">
        <f>-'Foglio deposito bis'!$F$58*(C750-sezione!$AL$30)*IF(ABS(K750)&lt;'Sollecitazioni nel paramento'!$G$58,ABS(K750)*'Sollecitazioni nel paramento'!$G$54,'Sollecitazioni nel paramento'!$G$53)</f>
        <v>0</v>
      </c>
      <c r="F750" s="545">
        <f>-'Foglio deposito bis'!$F$59*(C750-sezione!$AM$30)*IF(ABS(L750)&lt;'Sollecitazioni nel paramento'!$G$58,ABS(L750)*'Sollecitazioni nel paramento'!$G$54,'Sollecitazioni nel paramento'!$G$53)</f>
        <v>9175716.8333316594</v>
      </c>
      <c r="G750" s="545">
        <f>-'Foglio deposito bis'!$F$60*(C750-sezione!$AN$30)*IF(ABS(M750)&lt;'Sollecitazioni nel paramento'!$G$58,ABS(M750)*'Sollecitazioni nel paramento'!$G$54,'Sollecitazioni nel paramento'!$G$53)</f>
        <v>0</v>
      </c>
      <c r="H750" s="545">
        <f>-'Foglio deposito bis'!$F$61*(C750-sezione!$AO$30)*IF(ABS(N750)&lt;'Sollecitazioni nel paramento'!$G$58,ABS(N750)*'Sollecitazioni nel paramento'!$G$54,'Sollecitazioni nel paramento'!$G$53)</f>
        <v>38482173.737848371</v>
      </c>
      <c r="I750" s="472">
        <f>-'Foglio deposito bis'!$F$62*(C750-sezione!$AP$30)*IF(ABS(O750)&lt;'Sollecitazioni nel paramento'!$G$58,ABS(O750)*'Sollecitazioni nel paramento'!$G$54,'Sollecitazioni nel paramento'!$G$53)</f>
        <v>121035497.00426021</v>
      </c>
      <c r="J750" s="472">
        <f t="shared" si="55"/>
        <v>168691548.91834572</v>
      </c>
      <c r="K750" s="550">
        <f>'Sollecitazioni nel paramento'!$G$60*(sezione!$AL$30-C750)/C750</f>
        <v>0.48350057868899965</v>
      </c>
      <c r="L750" s="550">
        <f>'Sollecitazioni nel paramento'!$G$60*(sezione!$AM$30-C750)/C750</f>
        <v>0.7270008680334995</v>
      </c>
      <c r="M750" s="551">
        <f>'Sollecitazioni nel paramento'!$G$60*(sezione!$AN$30-C750)/C750</f>
        <v>0.97050115737799925</v>
      </c>
      <c r="N750" s="551">
        <f>'Sollecitazioni nel paramento'!$G$60*(sezione!$AO$30-C750)/C750</f>
        <v>1.9445023147559988</v>
      </c>
      <c r="O750" s="551">
        <f>'Sollecitazioni nel paramento'!$G$60*(sezione!$AP$30-C750)/C750</f>
        <v>4.6824994213109958</v>
      </c>
      <c r="P750" s="545">
        <f>-'Sollecitazioni nel paramento'!$G$47*'Sollecitazioni nel paramento'!$G$41*IF(DATI!$G$211="dx",DATI!$E$61,DATI!$E$64*DATI!$E$63)*1000*C750*sezione!$AD$5</f>
        <v>-10951.896637079855</v>
      </c>
      <c r="Q750" s="545">
        <f>'Foglio deposito bis'!$F$58*IF(ABS(K750)&lt;'Sollecitazioni nel paramento'!$G$58,ABS(K750)*'Sollecitazioni nel paramento'!$G$54,'Sollecitazioni nel paramento'!$G$53)*IF(K750&lt;0,-1,1)</f>
        <v>0</v>
      </c>
      <c r="R750" s="545">
        <f>'Foglio deposito bis'!$F$59*IF(ABS(L750)&lt;'Sollecitazioni nel paramento'!$G$58,ABS(L750)*'Sollecitazioni nel paramento'!$G$54,'Sollecitazioni nel paramento'!$G$53)*IF(L750&lt;0,-1,1)</f>
        <v>153664.85805602249</v>
      </c>
      <c r="S750" s="545">
        <f>'Foglio deposito bis'!$F$60*IF(ABS(M750)&lt;'Sollecitazioni nel paramento'!$G$58,ABS(M750)*'Sollecitazioni nel paramento'!$G$54,'Sollecitazioni nel paramento'!$G$53)*IF(M750&lt;0,-1,1)</f>
        <v>0</v>
      </c>
      <c r="T750" s="545">
        <f>'Foglio deposito bis'!$F$61*IF(ABS(N750)&lt;'Sollecitazioni nel paramento'!$G$58,ABS(N750)*'Sollecitazioni nel paramento'!$G$54,'Sollecitazioni nel paramento'!$G$53)*IF(N750&lt;0,-1,1)</f>
        <v>240946.49743184328</v>
      </c>
      <c r="U750" s="545">
        <f>'Foglio deposito bis'!$F$62*IF(ABS(O750)&lt;'Sollecitazioni nel paramento'!$G$58,ABS(O750)*'Sollecitazioni nel paramento'!$G$54,'Sollecitazioni nel paramento'!$G$53)*IF(O750&lt;0,-1,1)</f>
        <v>314705.62929873407</v>
      </c>
      <c r="V750" s="472">
        <f t="shared" ref="V750:V813" si="57">P750+Q750+R750+S750+T750+U750</f>
        <v>698365.08814951999</v>
      </c>
      <c r="W750" s="551"/>
      <c r="X750" s="551"/>
    </row>
    <row r="751" spans="1:24" x14ac:dyDescent="0.25">
      <c r="A751" s="545">
        <f t="shared" si="56"/>
        <v>687413.1915124401</v>
      </c>
      <c r="B751" s="3">
        <f t="shared" ref="B751:B814" si="58">B750+0.05</f>
        <v>0.1</v>
      </c>
      <c r="C751" s="545">
        <f>'Foglio deposito bis'!$E$156/sezione!$B$247*B751</f>
        <v>0.57494798210252029</v>
      </c>
      <c r="D751" s="603">
        <f>-'Sollecitazioni nel paramento'!$G$47*'Sollecitazioni nel paramento'!$G$41*IF(DATI!$G$211="dx",DATI!$E$61,DATI!$E$64*DATI!$E$63)*1000*C751^2*sezione!$AD$5*(1-sezione!$AD$6)</f>
        <v>-7354.6283781274287</v>
      </c>
      <c r="E751" s="545">
        <f>-'Foglio deposito bis'!$F$58*(C751-sezione!$AL$30)*IF(ABS(K751)&lt;'Sollecitazioni nel paramento'!$G$58,ABS(K751)*'Sollecitazioni nel paramento'!$G$54,'Sollecitazioni nel paramento'!$G$53)</f>
        <v>0</v>
      </c>
      <c r="F751" s="545">
        <f>-'Foglio deposito bis'!$F$59*(C751-sezione!$AM$30)*IF(ABS(L751)&lt;'Sollecitazioni nel paramento'!$G$58,ABS(L751)*'Sollecitazioni nel paramento'!$G$54,'Sollecitazioni nel paramento'!$G$53)</f>
        <v>9131542.1833019685</v>
      </c>
      <c r="G751" s="545">
        <f>-'Foglio deposito bis'!$F$60*(C751-sezione!$AN$30)*IF(ABS(M751)&lt;'Sollecitazioni nel paramento'!$G$58,ABS(M751)*'Sollecitazioni nel paramento'!$G$54,'Sollecitazioni nel paramento'!$G$53)</f>
        <v>0</v>
      </c>
      <c r="H751" s="545">
        <f>-'Foglio deposito bis'!$F$61*(C751-sezione!$AO$30)*IF(ABS(N751)&lt;'Sollecitazioni nel paramento'!$G$58,ABS(N751)*'Sollecitazioni nel paramento'!$G$54,'Sollecitazioni nel paramento'!$G$53)</f>
        <v>38412907.886601813</v>
      </c>
      <c r="I751" s="472">
        <f>-'Foglio deposito bis'!$F$62*(C751-sezione!$AP$30)*IF(ABS(O751)&lt;'Sollecitazioni nel paramento'!$G$58,ABS(O751)*'Sollecitazioni nel paramento'!$G$54,'Sollecitazioni nel paramento'!$G$53)</f>
        <v>120945027.3209994</v>
      </c>
      <c r="J751" s="472">
        <f t="shared" si="55"/>
        <v>168482122.76252505</v>
      </c>
      <c r="K751" s="550">
        <f>'Sollecitazioni nel paramento'!$G$60*(sezione!$AL$30-C751)/C751</f>
        <v>0.24000028934449982</v>
      </c>
      <c r="L751" s="550">
        <f>'Sollecitazioni nel paramento'!$G$60*(sezione!$AM$30-C751)/C751</f>
        <v>0.36175043401674972</v>
      </c>
      <c r="M751" s="551">
        <f>'Sollecitazioni nel paramento'!$G$60*(sezione!$AN$30-C751)/C751</f>
        <v>0.48350057868899965</v>
      </c>
      <c r="N751" s="551">
        <f>'Sollecitazioni nel paramento'!$G$60*(sezione!$AO$30-C751)/C751</f>
        <v>0.97050115737799925</v>
      </c>
      <c r="O751" s="551">
        <f>'Sollecitazioni nel paramento'!$G$60*(sezione!$AP$30-C751)/C751</f>
        <v>2.339499710655498</v>
      </c>
      <c r="P751" s="545">
        <f>-'Sollecitazioni nel paramento'!$G$47*'Sollecitazioni nel paramento'!$G$41*IF(DATI!$G$211="dx",DATI!$E$61,DATI!$E$64*DATI!$E$63)*1000*C751*sezione!$AD$5</f>
        <v>-21903.793274159711</v>
      </c>
      <c r="Q751" s="545">
        <f>'Foglio deposito bis'!$F$58*IF(ABS(K751)&lt;'Sollecitazioni nel paramento'!$G$58,ABS(K751)*'Sollecitazioni nel paramento'!$G$54,'Sollecitazioni nel paramento'!$G$53)*IF(K751&lt;0,-1,1)</f>
        <v>0</v>
      </c>
      <c r="R751" s="545">
        <f>'Foglio deposito bis'!$F$59*IF(ABS(L751)&lt;'Sollecitazioni nel paramento'!$G$58,ABS(L751)*'Sollecitazioni nel paramento'!$G$54,'Sollecitazioni nel paramento'!$G$53)*IF(L751&lt;0,-1,1)</f>
        <v>153664.85805602249</v>
      </c>
      <c r="S751" s="545">
        <f>'Foglio deposito bis'!$F$60*IF(ABS(M751)&lt;'Sollecitazioni nel paramento'!$G$58,ABS(M751)*'Sollecitazioni nel paramento'!$G$54,'Sollecitazioni nel paramento'!$G$53)*IF(M751&lt;0,-1,1)</f>
        <v>0</v>
      </c>
      <c r="T751" s="545">
        <f>'Foglio deposito bis'!$F$61*IF(ABS(N751)&lt;'Sollecitazioni nel paramento'!$G$58,ABS(N751)*'Sollecitazioni nel paramento'!$G$54,'Sollecitazioni nel paramento'!$G$53)*IF(N751&lt;0,-1,1)</f>
        <v>240946.49743184328</v>
      </c>
      <c r="U751" s="545">
        <f>'Foglio deposito bis'!$F$62*IF(ABS(O751)&lt;'Sollecitazioni nel paramento'!$G$58,ABS(O751)*'Sollecitazioni nel paramento'!$G$54,'Sollecitazioni nel paramento'!$G$53)*IF(O751&lt;0,-1,1)</f>
        <v>314705.62929873407</v>
      </c>
      <c r="V751" s="472">
        <f t="shared" si="57"/>
        <v>687413.1915124401</v>
      </c>
      <c r="W751" s="551"/>
      <c r="X751" s="551"/>
    </row>
    <row r="752" spans="1:24" x14ac:dyDescent="0.25">
      <c r="A752" s="545">
        <f t="shared" si="56"/>
        <v>676461.29487536033</v>
      </c>
      <c r="B752" s="3">
        <f t="shared" si="58"/>
        <v>0.15000000000000002</v>
      </c>
      <c r="C752" s="545">
        <f>'Foglio deposito bis'!$E$156/sezione!$B$247*B752</f>
        <v>0.86242197315378055</v>
      </c>
      <c r="D752" s="603">
        <f>-'Sollecitazioni nel paramento'!$G$47*'Sollecitazioni nel paramento'!$G$41*IF(DATI!$G$211="dx",DATI!$E$61,DATI!$E$64*DATI!$E$63)*1000*C752^2*sezione!$AD$5*(1-sezione!$AD$6)</f>
        <v>-16547.913850786721</v>
      </c>
      <c r="E752" s="545">
        <f>-'Foglio deposito bis'!$F$58*(C752-sezione!$AL$30)*IF(ABS(K752)&lt;'Sollecitazioni nel paramento'!$G$58,ABS(K752)*'Sollecitazioni nel paramento'!$G$54,'Sollecitazioni nel paramento'!$G$53)</f>
        <v>0</v>
      </c>
      <c r="F752" s="545">
        <f>-'Foglio deposito bis'!$F$59*(C752-sezione!$AM$30)*IF(ABS(L752)&lt;'Sollecitazioni nel paramento'!$G$58,ABS(L752)*'Sollecitazioni nel paramento'!$G$54,'Sollecitazioni nel paramento'!$G$53)</f>
        <v>9087367.5332722794</v>
      </c>
      <c r="G752" s="545">
        <f>-'Foglio deposito bis'!$F$60*(C752-sezione!$AN$30)*IF(ABS(M752)&lt;'Sollecitazioni nel paramento'!$G$58,ABS(M752)*'Sollecitazioni nel paramento'!$G$54,'Sollecitazioni nel paramento'!$G$53)</f>
        <v>0</v>
      </c>
      <c r="H752" s="545">
        <f>-'Foglio deposito bis'!$F$61*(C752-sezione!$AO$30)*IF(ABS(N752)&lt;'Sollecitazioni nel paramento'!$G$58,ABS(N752)*'Sollecitazioni nel paramento'!$G$54,'Sollecitazioni nel paramento'!$G$53)</f>
        <v>38343642.035355262</v>
      </c>
      <c r="I752" s="472">
        <f>-'Foglio deposito bis'!$F$62*(C752-sezione!$AP$30)*IF(ABS(O752)&lt;'Sollecitazioni nel paramento'!$G$58,ABS(O752)*'Sollecitazioni nel paramento'!$G$54,'Sollecitazioni nel paramento'!$G$53)</f>
        <v>120854557.6377386</v>
      </c>
      <c r="J752" s="472">
        <f t="shared" si="55"/>
        <v>168269019.29251534</v>
      </c>
      <c r="K752" s="550">
        <f>'Sollecitazioni nel paramento'!$G$60*(sezione!$AL$30-C752)/C752</f>
        <v>0.15883352622966654</v>
      </c>
      <c r="L752" s="550">
        <f>'Sollecitazioni nel paramento'!$G$60*(sezione!$AM$30-C752)/C752</f>
        <v>0.24000028934449982</v>
      </c>
      <c r="M752" s="551">
        <f>'Sollecitazioni nel paramento'!$G$60*(sezione!$AN$30-C752)/C752</f>
        <v>0.32116705245933302</v>
      </c>
      <c r="N752" s="551">
        <f>'Sollecitazioni nel paramento'!$G$60*(sezione!$AO$30-C752)/C752</f>
        <v>0.64583410491866611</v>
      </c>
      <c r="O752" s="551">
        <f>'Sollecitazioni nel paramento'!$G$60*(sezione!$AP$30-C752)/C752</f>
        <v>1.5584998071036653</v>
      </c>
      <c r="P752" s="545">
        <f>-'Sollecitazioni nel paramento'!$G$47*'Sollecitazioni nel paramento'!$G$41*IF(DATI!$G$211="dx",DATI!$E$61,DATI!$E$64*DATI!$E$63)*1000*C752*sezione!$AD$5</f>
        <v>-32855.689911239569</v>
      </c>
      <c r="Q752" s="545">
        <f>'Foglio deposito bis'!$F$58*IF(ABS(K752)&lt;'Sollecitazioni nel paramento'!$G$58,ABS(K752)*'Sollecitazioni nel paramento'!$G$54,'Sollecitazioni nel paramento'!$G$53)*IF(K752&lt;0,-1,1)</f>
        <v>0</v>
      </c>
      <c r="R752" s="545">
        <f>'Foglio deposito bis'!$F$59*IF(ABS(L752)&lt;'Sollecitazioni nel paramento'!$G$58,ABS(L752)*'Sollecitazioni nel paramento'!$G$54,'Sollecitazioni nel paramento'!$G$53)*IF(L752&lt;0,-1,1)</f>
        <v>153664.85805602249</v>
      </c>
      <c r="S752" s="545">
        <f>'Foglio deposito bis'!$F$60*IF(ABS(M752)&lt;'Sollecitazioni nel paramento'!$G$58,ABS(M752)*'Sollecitazioni nel paramento'!$G$54,'Sollecitazioni nel paramento'!$G$53)*IF(M752&lt;0,-1,1)</f>
        <v>0</v>
      </c>
      <c r="T752" s="545">
        <f>'Foglio deposito bis'!$F$61*IF(ABS(N752)&lt;'Sollecitazioni nel paramento'!$G$58,ABS(N752)*'Sollecitazioni nel paramento'!$G$54,'Sollecitazioni nel paramento'!$G$53)*IF(N752&lt;0,-1,1)</f>
        <v>240946.49743184328</v>
      </c>
      <c r="U752" s="545">
        <f>'Foglio deposito bis'!$F$62*IF(ABS(O752)&lt;'Sollecitazioni nel paramento'!$G$58,ABS(O752)*'Sollecitazioni nel paramento'!$G$54,'Sollecitazioni nel paramento'!$G$53)*IF(O752&lt;0,-1,1)</f>
        <v>314705.62929873407</v>
      </c>
      <c r="V752" s="472">
        <f t="shared" si="57"/>
        <v>676461.29487536033</v>
      </c>
      <c r="W752" s="551"/>
      <c r="X752" s="551"/>
    </row>
    <row r="753" spans="1:24" x14ac:dyDescent="0.25">
      <c r="A753" s="545">
        <f t="shared" si="56"/>
        <v>665509.39823828044</v>
      </c>
      <c r="B753" s="3">
        <f t="shared" si="58"/>
        <v>0.2</v>
      </c>
      <c r="C753" s="545">
        <f>'Foglio deposito bis'!$E$156/sezione!$B$247*B753</f>
        <v>1.1498959642050406</v>
      </c>
      <c r="D753" s="603">
        <f>-'Sollecitazioni nel paramento'!$G$47*'Sollecitazioni nel paramento'!$G$41*IF(DATI!$G$211="dx",DATI!$E$61,DATI!$E$64*DATI!$E$63)*1000*C753^2*sezione!$AD$5*(1-sezione!$AD$6)</f>
        <v>-29418.513512509715</v>
      </c>
      <c r="E753" s="545">
        <f>-'Foglio deposito bis'!$F$58*(C753-sezione!$AL$30)*IF(ABS(K753)&lt;'Sollecitazioni nel paramento'!$G$58,ABS(K753)*'Sollecitazioni nel paramento'!$G$54,'Sollecitazioni nel paramento'!$G$53)</f>
        <v>0</v>
      </c>
      <c r="F753" s="545">
        <f>-'Foglio deposito bis'!$F$59*(C753-sezione!$AM$30)*IF(ABS(L753)&lt;'Sollecitazioni nel paramento'!$G$58,ABS(L753)*'Sollecitazioni nel paramento'!$G$54,'Sollecitazioni nel paramento'!$G$53)</f>
        <v>9043192.8832425885</v>
      </c>
      <c r="G753" s="545">
        <f>-'Foglio deposito bis'!$F$60*(C753-sezione!$AN$30)*IF(ABS(M753)&lt;'Sollecitazioni nel paramento'!$G$58,ABS(M753)*'Sollecitazioni nel paramento'!$G$54,'Sollecitazioni nel paramento'!$G$53)</f>
        <v>0</v>
      </c>
      <c r="H753" s="545">
        <f>-'Foglio deposito bis'!$F$61*(C753-sezione!$AO$30)*IF(ABS(N753)&lt;'Sollecitazioni nel paramento'!$G$58,ABS(N753)*'Sollecitazioni nel paramento'!$G$54,'Sollecitazioni nel paramento'!$G$53)</f>
        <v>38274376.184108712</v>
      </c>
      <c r="I753" s="472">
        <f>-'Foglio deposito bis'!$F$62*(C753-sezione!$AP$30)*IF(ABS(O753)&lt;'Sollecitazioni nel paramento'!$G$58,ABS(O753)*'Sollecitazioni nel paramento'!$G$54,'Sollecitazioni nel paramento'!$G$53)</f>
        <v>120764087.9544778</v>
      </c>
      <c r="J753" s="472">
        <f t="shared" si="55"/>
        <v>168052238.50831658</v>
      </c>
      <c r="K753" s="550">
        <f>'Sollecitazioni nel paramento'!$G$60*(sezione!$AL$30-C753)/C753</f>
        <v>0.11825014467224991</v>
      </c>
      <c r="L753" s="550">
        <f>'Sollecitazioni nel paramento'!$G$60*(sezione!$AM$30-C753)/C753</f>
        <v>0.17912521700837489</v>
      </c>
      <c r="M753" s="551">
        <f>'Sollecitazioni nel paramento'!$G$60*(sezione!$AN$30-C753)/C753</f>
        <v>0.24000028934449982</v>
      </c>
      <c r="N753" s="551">
        <f>'Sollecitazioni nel paramento'!$G$60*(sezione!$AO$30-C753)/C753</f>
        <v>0.48350057868899965</v>
      </c>
      <c r="O753" s="551">
        <f>'Sollecitazioni nel paramento'!$G$60*(sezione!$AP$30-C753)/C753</f>
        <v>1.1679998553277491</v>
      </c>
      <c r="P753" s="545">
        <f>-'Sollecitazioni nel paramento'!$G$47*'Sollecitazioni nel paramento'!$G$41*IF(DATI!$G$211="dx",DATI!$E$61,DATI!$E$64*DATI!$E$63)*1000*C753*sezione!$AD$5</f>
        <v>-43807.586548319421</v>
      </c>
      <c r="Q753" s="545">
        <f>'Foglio deposito bis'!$F$58*IF(ABS(K753)&lt;'Sollecitazioni nel paramento'!$G$58,ABS(K753)*'Sollecitazioni nel paramento'!$G$54,'Sollecitazioni nel paramento'!$G$53)*IF(K753&lt;0,-1,1)</f>
        <v>0</v>
      </c>
      <c r="R753" s="545">
        <f>'Foglio deposito bis'!$F$59*IF(ABS(L753)&lt;'Sollecitazioni nel paramento'!$G$58,ABS(L753)*'Sollecitazioni nel paramento'!$G$54,'Sollecitazioni nel paramento'!$G$53)*IF(L753&lt;0,-1,1)</f>
        <v>153664.85805602249</v>
      </c>
      <c r="S753" s="545">
        <f>'Foglio deposito bis'!$F$60*IF(ABS(M753)&lt;'Sollecitazioni nel paramento'!$G$58,ABS(M753)*'Sollecitazioni nel paramento'!$G$54,'Sollecitazioni nel paramento'!$G$53)*IF(M753&lt;0,-1,1)</f>
        <v>0</v>
      </c>
      <c r="T753" s="545">
        <f>'Foglio deposito bis'!$F$61*IF(ABS(N753)&lt;'Sollecitazioni nel paramento'!$G$58,ABS(N753)*'Sollecitazioni nel paramento'!$G$54,'Sollecitazioni nel paramento'!$G$53)*IF(N753&lt;0,-1,1)</f>
        <v>240946.49743184328</v>
      </c>
      <c r="U753" s="545">
        <f>'Foglio deposito bis'!$F$62*IF(ABS(O753)&lt;'Sollecitazioni nel paramento'!$G$58,ABS(O753)*'Sollecitazioni nel paramento'!$G$54,'Sollecitazioni nel paramento'!$G$53)*IF(O753&lt;0,-1,1)</f>
        <v>314705.62929873407</v>
      </c>
      <c r="V753" s="472">
        <f t="shared" si="57"/>
        <v>665509.39823828044</v>
      </c>
      <c r="W753" s="551"/>
      <c r="X753" s="551"/>
    </row>
    <row r="754" spans="1:24" x14ac:dyDescent="0.25">
      <c r="A754" s="545">
        <f t="shared" si="56"/>
        <v>654557.50160120055</v>
      </c>
      <c r="B754" s="3">
        <f t="shared" si="58"/>
        <v>0.25</v>
      </c>
      <c r="C754" s="545">
        <f>'Foglio deposito bis'!$E$156/sezione!$B$247*B754</f>
        <v>1.4373699552563006</v>
      </c>
      <c r="D754" s="603">
        <f>-'Sollecitazioni nel paramento'!$G$47*'Sollecitazioni nel paramento'!$G$41*IF(DATI!$G$211="dx",DATI!$E$61,DATI!$E$64*DATI!$E$63)*1000*C754^2*sezione!$AD$5*(1-sezione!$AD$6)</f>
        <v>-45966.42736329641</v>
      </c>
      <c r="E754" s="545">
        <f>-'Foglio deposito bis'!$F$58*(C754-sezione!$AL$30)*IF(ABS(K754)&lt;'Sollecitazioni nel paramento'!$G$58,ABS(K754)*'Sollecitazioni nel paramento'!$G$54,'Sollecitazioni nel paramento'!$G$53)</f>
        <v>0</v>
      </c>
      <c r="F754" s="545">
        <f>-'Foglio deposito bis'!$F$59*(C754-sezione!$AM$30)*IF(ABS(L754)&lt;'Sollecitazioni nel paramento'!$G$58,ABS(L754)*'Sollecitazioni nel paramento'!$G$54,'Sollecitazioni nel paramento'!$G$53)</f>
        <v>8999018.2332128976</v>
      </c>
      <c r="G754" s="545">
        <f>-'Foglio deposito bis'!$F$60*(C754-sezione!$AN$30)*IF(ABS(M754)&lt;'Sollecitazioni nel paramento'!$G$58,ABS(M754)*'Sollecitazioni nel paramento'!$G$54,'Sollecitazioni nel paramento'!$G$53)</f>
        <v>0</v>
      </c>
      <c r="H754" s="545">
        <f>-'Foglio deposito bis'!$F$61*(C754-sezione!$AO$30)*IF(ABS(N754)&lt;'Sollecitazioni nel paramento'!$G$58,ABS(N754)*'Sollecitazioni nel paramento'!$G$54,'Sollecitazioni nel paramento'!$G$53)</f>
        <v>38205110.332862161</v>
      </c>
      <c r="I754" s="472">
        <f>-'Foglio deposito bis'!$F$62*(C754-sezione!$AP$30)*IF(ABS(O754)&lt;'Sollecitazioni nel paramento'!$G$58,ABS(O754)*'Sollecitazioni nel paramento'!$G$54,'Sollecitazioni nel paramento'!$G$53)</f>
        <v>120673618.271217</v>
      </c>
      <c r="J754" s="472">
        <f t="shared" si="55"/>
        <v>167831780.40992877</v>
      </c>
      <c r="K754" s="550">
        <f>'Sollecitazioni nel paramento'!$G$60*(sezione!$AL$30-C754)/C754</f>
        <v>9.3900115737799952E-2</v>
      </c>
      <c r="L754" s="550">
        <f>'Sollecitazioni nel paramento'!$G$60*(sezione!$AM$30-C754)/C754</f>
        <v>0.14260017360669991</v>
      </c>
      <c r="M754" s="551">
        <f>'Sollecitazioni nel paramento'!$G$60*(sezione!$AN$30-C754)/C754</f>
        <v>0.19130023147559988</v>
      </c>
      <c r="N754" s="551">
        <f>'Sollecitazioni nel paramento'!$G$60*(sezione!$AO$30-C754)/C754</f>
        <v>0.38610046295119976</v>
      </c>
      <c r="O754" s="551">
        <f>'Sollecitazioni nel paramento'!$G$60*(sezione!$AP$30-C754)/C754</f>
        <v>0.9336998842621993</v>
      </c>
      <c r="P754" s="545">
        <f>-'Sollecitazioni nel paramento'!$G$47*'Sollecitazioni nel paramento'!$G$41*IF(DATI!$G$211="dx",DATI!$E$61,DATI!$E$64*DATI!$E$63)*1000*C754*sezione!$AD$5</f>
        <v>-54759.48318539928</v>
      </c>
      <c r="Q754" s="545">
        <f>'Foglio deposito bis'!$F$58*IF(ABS(K754)&lt;'Sollecitazioni nel paramento'!$G$58,ABS(K754)*'Sollecitazioni nel paramento'!$G$54,'Sollecitazioni nel paramento'!$G$53)*IF(K754&lt;0,-1,1)</f>
        <v>0</v>
      </c>
      <c r="R754" s="545">
        <f>'Foglio deposito bis'!$F$59*IF(ABS(L754)&lt;'Sollecitazioni nel paramento'!$G$58,ABS(L754)*'Sollecitazioni nel paramento'!$G$54,'Sollecitazioni nel paramento'!$G$53)*IF(L754&lt;0,-1,1)</f>
        <v>153664.85805602249</v>
      </c>
      <c r="S754" s="545">
        <f>'Foglio deposito bis'!$F$60*IF(ABS(M754)&lt;'Sollecitazioni nel paramento'!$G$58,ABS(M754)*'Sollecitazioni nel paramento'!$G$54,'Sollecitazioni nel paramento'!$G$53)*IF(M754&lt;0,-1,1)</f>
        <v>0</v>
      </c>
      <c r="T754" s="545">
        <f>'Foglio deposito bis'!$F$61*IF(ABS(N754)&lt;'Sollecitazioni nel paramento'!$G$58,ABS(N754)*'Sollecitazioni nel paramento'!$G$54,'Sollecitazioni nel paramento'!$G$53)*IF(N754&lt;0,-1,1)</f>
        <v>240946.49743184328</v>
      </c>
      <c r="U754" s="545">
        <f>'Foglio deposito bis'!$F$62*IF(ABS(O754)&lt;'Sollecitazioni nel paramento'!$G$58,ABS(O754)*'Sollecitazioni nel paramento'!$G$54,'Sollecitazioni nel paramento'!$G$53)*IF(O754&lt;0,-1,1)</f>
        <v>314705.62929873407</v>
      </c>
      <c r="V754" s="472">
        <f t="shared" si="57"/>
        <v>654557.50160120055</v>
      </c>
      <c r="W754" s="551"/>
      <c r="X754" s="551"/>
    </row>
    <row r="755" spans="1:24" x14ac:dyDescent="0.25">
      <c r="A755" s="545">
        <f t="shared" si="56"/>
        <v>643605.60496412078</v>
      </c>
      <c r="B755" s="3">
        <f t="shared" si="58"/>
        <v>0.3</v>
      </c>
      <c r="C755" s="545">
        <f>'Foglio deposito bis'!$E$156/sezione!$B$247*B755</f>
        <v>1.7248439463075607</v>
      </c>
      <c r="D755" s="603">
        <f>-'Sollecitazioni nel paramento'!$G$47*'Sollecitazioni nel paramento'!$G$41*IF(DATI!$G$211="dx",DATI!$E$61,DATI!$E$64*DATI!$E$63)*1000*C755^2*sezione!$AD$5*(1-sezione!$AD$6)</f>
        <v>-66191.65540314684</v>
      </c>
      <c r="E755" s="545">
        <f>-'Foglio deposito bis'!$F$58*(C755-sezione!$AL$30)*IF(ABS(K755)&lt;'Sollecitazioni nel paramento'!$G$58,ABS(K755)*'Sollecitazioni nel paramento'!$G$54,'Sollecitazioni nel paramento'!$G$53)</f>
        <v>0</v>
      </c>
      <c r="F755" s="545">
        <f>-'Foglio deposito bis'!$F$59*(C755-sezione!$AM$30)*IF(ABS(L755)&lt;'Sollecitazioni nel paramento'!$G$58,ABS(L755)*'Sollecitazioni nel paramento'!$G$54,'Sollecitazioni nel paramento'!$G$53)</f>
        <v>8954843.5831832085</v>
      </c>
      <c r="G755" s="545">
        <f>-'Foglio deposito bis'!$F$60*(C755-sezione!$AN$30)*IF(ABS(M755)&lt;'Sollecitazioni nel paramento'!$G$58,ABS(M755)*'Sollecitazioni nel paramento'!$G$54,'Sollecitazioni nel paramento'!$G$53)</f>
        <v>0</v>
      </c>
      <c r="H755" s="545">
        <f>-'Foglio deposito bis'!$F$61*(C755-sezione!$AO$30)*IF(ABS(N755)&lt;'Sollecitazioni nel paramento'!$G$58,ABS(N755)*'Sollecitazioni nel paramento'!$G$54,'Sollecitazioni nel paramento'!$G$53)</f>
        <v>38135844.481615596</v>
      </c>
      <c r="I755" s="472">
        <f>-'Foglio deposito bis'!$F$62*(C755-sezione!$AP$30)*IF(ABS(O755)&lt;'Sollecitazioni nel paramento'!$G$58,ABS(O755)*'Sollecitazioni nel paramento'!$G$54,'Sollecitazioni nel paramento'!$G$53)</f>
        <v>120583148.58795619</v>
      </c>
      <c r="J755" s="472">
        <f t="shared" si="55"/>
        <v>167607644.99735186</v>
      </c>
      <c r="K755" s="550">
        <f>'Sollecitazioni nel paramento'!$G$60*(sezione!$AL$30-C755)/C755</f>
        <v>7.7666763114833282E-2</v>
      </c>
      <c r="L755" s="550">
        <f>'Sollecitazioni nel paramento'!$G$60*(sezione!$AM$30-C755)/C755</f>
        <v>0.11825014467224994</v>
      </c>
      <c r="M755" s="551">
        <f>'Sollecitazioni nel paramento'!$G$60*(sezione!$AN$30-C755)/C755</f>
        <v>0.15883352622966659</v>
      </c>
      <c r="N755" s="551">
        <f>'Sollecitazioni nel paramento'!$G$60*(sezione!$AO$30-C755)/C755</f>
        <v>0.32116705245933308</v>
      </c>
      <c r="O755" s="551">
        <f>'Sollecitazioni nel paramento'!$G$60*(sezione!$AP$30-C755)/C755</f>
        <v>0.77749990355183285</v>
      </c>
      <c r="P755" s="545">
        <f>-'Sollecitazioni nel paramento'!$G$47*'Sollecitazioni nel paramento'!$G$41*IF(DATI!$G$211="dx",DATI!$E$61,DATI!$E$64*DATI!$E$63)*1000*C755*sezione!$AD$5</f>
        <v>-65711.379822479124</v>
      </c>
      <c r="Q755" s="545">
        <f>'Foglio deposito bis'!$F$58*IF(ABS(K755)&lt;'Sollecitazioni nel paramento'!$G$58,ABS(K755)*'Sollecitazioni nel paramento'!$G$54,'Sollecitazioni nel paramento'!$G$53)*IF(K755&lt;0,-1,1)</f>
        <v>0</v>
      </c>
      <c r="R755" s="545">
        <f>'Foglio deposito bis'!$F$59*IF(ABS(L755)&lt;'Sollecitazioni nel paramento'!$G$58,ABS(L755)*'Sollecitazioni nel paramento'!$G$54,'Sollecitazioni nel paramento'!$G$53)*IF(L755&lt;0,-1,1)</f>
        <v>153664.85805602249</v>
      </c>
      <c r="S755" s="545">
        <f>'Foglio deposito bis'!$F$60*IF(ABS(M755)&lt;'Sollecitazioni nel paramento'!$G$58,ABS(M755)*'Sollecitazioni nel paramento'!$G$54,'Sollecitazioni nel paramento'!$G$53)*IF(M755&lt;0,-1,1)</f>
        <v>0</v>
      </c>
      <c r="T755" s="545">
        <f>'Foglio deposito bis'!$F$61*IF(ABS(N755)&lt;'Sollecitazioni nel paramento'!$G$58,ABS(N755)*'Sollecitazioni nel paramento'!$G$54,'Sollecitazioni nel paramento'!$G$53)*IF(N755&lt;0,-1,1)</f>
        <v>240946.49743184328</v>
      </c>
      <c r="U755" s="545">
        <f>'Foglio deposito bis'!$F$62*IF(ABS(O755)&lt;'Sollecitazioni nel paramento'!$G$58,ABS(O755)*'Sollecitazioni nel paramento'!$G$54,'Sollecitazioni nel paramento'!$G$53)*IF(O755&lt;0,-1,1)</f>
        <v>314705.62929873407</v>
      </c>
      <c r="V755" s="472">
        <f t="shared" si="57"/>
        <v>643605.60496412078</v>
      </c>
      <c r="W755" s="551"/>
      <c r="X755" s="551"/>
    </row>
    <row r="756" spans="1:24" x14ac:dyDescent="0.25">
      <c r="A756" s="545">
        <f t="shared" si="56"/>
        <v>632653.70832704077</v>
      </c>
      <c r="B756" s="3">
        <f t="shared" si="58"/>
        <v>0.35</v>
      </c>
      <c r="C756" s="545">
        <f>'Foglio deposito bis'!$E$156/sezione!$B$247*B756</f>
        <v>2.0123179373588207</v>
      </c>
      <c r="D756" s="603">
        <f>-'Sollecitazioni nel paramento'!$G$47*'Sollecitazioni nel paramento'!$G$41*IF(DATI!$G$211="dx",DATI!$E$61,DATI!$E$64*DATI!$E$63)*1000*C756^2*sezione!$AD$5*(1-sezione!$AD$6)</f>
        <v>-90094.197632060983</v>
      </c>
      <c r="E756" s="545">
        <f>-'Foglio deposito bis'!$F$58*(C756-sezione!$AL$30)*IF(ABS(K756)&lt;'Sollecitazioni nel paramento'!$G$58,ABS(K756)*'Sollecitazioni nel paramento'!$G$54,'Sollecitazioni nel paramento'!$G$53)</f>
        <v>0</v>
      </c>
      <c r="F756" s="545">
        <f>-'Foglio deposito bis'!$F$59*(C756-sezione!$AM$30)*IF(ABS(L756)&lt;'Sollecitazioni nel paramento'!$G$58,ABS(L756)*'Sollecitazioni nel paramento'!$G$54,'Sollecitazioni nel paramento'!$G$53)</f>
        <v>8910668.9331535175</v>
      </c>
      <c r="G756" s="545">
        <f>-'Foglio deposito bis'!$F$60*(C756-sezione!$AN$30)*IF(ABS(M756)&lt;'Sollecitazioni nel paramento'!$G$58,ABS(M756)*'Sollecitazioni nel paramento'!$G$54,'Sollecitazioni nel paramento'!$G$53)</f>
        <v>0</v>
      </c>
      <c r="H756" s="545">
        <f>-'Foglio deposito bis'!$F$61*(C756-sezione!$AO$30)*IF(ABS(N756)&lt;'Sollecitazioni nel paramento'!$G$58,ABS(N756)*'Sollecitazioni nel paramento'!$G$54,'Sollecitazioni nel paramento'!$G$53)</f>
        <v>38066578.630369045</v>
      </c>
      <c r="I756" s="472">
        <f>-'Foglio deposito bis'!$F$62*(C756-sezione!$AP$30)*IF(ABS(O756)&lt;'Sollecitazioni nel paramento'!$G$58,ABS(O756)*'Sollecitazioni nel paramento'!$G$54,'Sollecitazioni nel paramento'!$G$53)</f>
        <v>120492678.90469538</v>
      </c>
      <c r="J756" s="472">
        <f t="shared" si="55"/>
        <v>167379832.27058589</v>
      </c>
      <c r="K756" s="550">
        <f>'Sollecitazioni nel paramento'!$G$60*(sezione!$AL$30-C756)/C756</f>
        <v>6.6071511241285671E-2</v>
      </c>
      <c r="L756" s="550">
        <f>'Sollecitazioni nel paramento'!$G$60*(sezione!$AM$30-C756)/C756</f>
        <v>0.10085726686192852</v>
      </c>
      <c r="M756" s="551">
        <f>'Sollecitazioni nel paramento'!$G$60*(sezione!$AN$30-C756)/C756</f>
        <v>0.13564302248257137</v>
      </c>
      <c r="N756" s="551">
        <f>'Sollecitazioni nel paramento'!$G$60*(sezione!$AO$30-C756)/C756</f>
        <v>0.2747860449651427</v>
      </c>
      <c r="O756" s="551">
        <f>'Sollecitazioni nel paramento'!$G$60*(sezione!$AP$30-C756)/C756</f>
        <v>0.6659284887587138</v>
      </c>
      <c r="P756" s="545">
        <f>-'Sollecitazioni nel paramento'!$G$47*'Sollecitazioni nel paramento'!$G$41*IF(DATI!$G$211="dx",DATI!$E$61,DATI!$E$64*DATI!$E$63)*1000*C756*sezione!$AD$5</f>
        <v>-76663.276459558983</v>
      </c>
      <c r="Q756" s="545">
        <f>'Foglio deposito bis'!$F$58*IF(ABS(K756)&lt;'Sollecitazioni nel paramento'!$G$58,ABS(K756)*'Sollecitazioni nel paramento'!$G$54,'Sollecitazioni nel paramento'!$G$53)*IF(K756&lt;0,-1,1)</f>
        <v>0</v>
      </c>
      <c r="R756" s="545">
        <f>'Foglio deposito bis'!$F$59*IF(ABS(L756)&lt;'Sollecitazioni nel paramento'!$G$58,ABS(L756)*'Sollecitazioni nel paramento'!$G$54,'Sollecitazioni nel paramento'!$G$53)*IF(L756&lt;0,-1,1)</f>
        <v>153664.85805602249</v>
      </c>
      <c r="S756" s="545">
        <f>'Foglio deposito bis'!$F$60*IF(ABS(M756)&lt;'Sollecitazioni nel paramento'!$G$58,ABS(M756)*'Sollecitazioni nel paramento'!$G$54,'Sollecitazioni nel paramento'!$G$53)*IF(M756&lt;0,-1,1)</f>
        <v>0</v>
      </c>
      <c r="T756" s="545">
        <f>'Foglio deposito bis'!$F$61*IF(ABS(N756)&lt;'Sollecitazioni nel paramento'!$G$58,ABS(N756)*'Sollecitazioni nel paramento'!$G$54,'Sollecitazioni nel paramento'!$G$53)*IF(N756&lt;0,-1,1)</f>
        <v>240946.49743184328</v>
      </c>
      <c r="U756" s="545">
        <f>'Foglio deposito bis'!$F$62*IF(ABS(O756)&lt;'Sollecitazioni nel paramento'!$G$58,ABS(O756)*'Sollecitazioni nel paramento'!$G$54,'Sollecitazioni nel paramento'!$G$53)*IF(O756&lt;0,-1,1)</f>
        <v>314705.62929873407</v>
      </c>
      <c r="V756" s="472">
        <f t="shared" si="57"/>
        <v>632653.70832704077</v>
      </c>
      <c r="W756" s="551"/>
      <c r="X756" s="551"/>
    </row>
    <row r="757" spans="1:24" x14ac:dyDescent="0.25">
      <c r="A757" s="545">
        <f t="shared" si="56"/>
        <v>621701.811689961</v>
      </c>
      <c r="B757" s="3">
        <f t="shared" si="58"/>
        <v>0.39999999999999997</v>
      </c>
      <c r="C757" s="545">
        <f>'Foglio deposito bis'!$E$156/sezione!$B$247*B757</f>
        <v>2.2997919284100807</v>
      </c>
      <c r="D757" s="603">
        <f>-'Sollecitazioni nel paramento'!$G$47*'Sollecitazioni nel paramento'!$G$41*IF(DATI!$G$211="dx",DATI!$E$61,DATI!$E$64*DATI!$E$63)*1000*C757^2*sezione!$AD$5*(1-sezione!$AD$6)</f>
        <v>-117674.0540500388</v>
      </c>
      <c r="E757" s="545">
        <f>-'Foglio deposito bis'!$F$58*(C757-sezione!$AL$30)*IF(ABS(K757)&lt;'Sollecitazioni nel paramento'!$G$58,ABS(K757)*'Sollecitazioni nel paramento'!$G$54,'Sollecitazioni nel paramento'!$G$53)</f>
        <v>0</v>
      </c>
      <c r="F757" s="545">
        <f>-'Foglio deposito bis'!$F$59*(C757-sezione!$AM$30)*IF(ABS(L757)&lt;'Sollecitazioni nel paramento'!$G$58,ABS(L757)*'Sollecitazioni nel paramento'!$G$54,'Sollecitazioni nel paramento'!$G$53)</f>
        <v>8866494.2831238285</v>
      </c>
      <c r="G757" s="545">
        <f>-'Foglio deposito bis'!$F$60*(C757-sezione!$AN$30)*IF(ABS(M757)&lt;'Sollecitazioni nel paramento'!$G$58,ABS(M757)*'Sollecitazioni nel paramento'!$G$54,'Sollecitazioni nel paramento'!$G$53)</f>
        <v>0</v>
      </c>
      <c r="H757" s="545">
        <f>-'Foglio deposito bis'!$F$61*(C757-sezione!$AO$30)*IF(ABS(N757)&lt;'Sollecitazioni nel paramento'!$G$58,ABS(N757)*'Sollecitazioni nel paramento'!$G$54,'Sollecitazioni nel paramento'!$G$53)</f>
        <v>37997312.779122487</v>
      </c>
      <c r="I757" s="472">
        <f>-'Foglio deposito bis'!$F$62*(C757-sezione!$AP$30)*IF(ABS(O757)&lt;'Sollecitazioni nel paramento'!$G$58,ABS(O757)*'Sollecitazioni nel paramento'!$G$54,'Sollecitazioni nel paramento'!$G$53)</f>
        <v>120402209.22143458</v>
      </c>
      <c r="J757" s="472">
        <f t="shared" si="55"/>
        <v>167148342.22963086</v>
      </c>
      <c r="K757" s="550">
        <f>'Sollecitazioni nel paramento'!$G$60*(sezione!$AL$30-C757)/C757</f>
        <v>5.7375072336124974E-2</v>
      </c>
      <c r="L757" s="550">
        <f>'Sollecitazioni nel paramento'!$G$60*(sezione!$AM$30-C757)/C757</f>
        <v>8.7812608504187456E-2</v>
      </c>
      <c r="M757" s="551">
        <f>'Sollecitazioni nel paramento'!$G$60*(sezione!$AN$30-C757)/C757</f>
        <v>0.11825014467224994</v>
      </c>
      <c r="N757" s="551">
        <f>'Sollecitazioni nel paramento'!$G$60*(sezione!$AO$30-C757)/C757</f>
        <v>0.24000028934449985</v>
      </c>
      <c r="O757" s="551">
        <f>'Sollecitazioni nel paramento'!$G$60*(sezione!$AP$30-C757)/C757</f>
        <v>0.58224992766387473</v>
      </c>
      <c r="P757" s="545">
        <f>-'Sollecitazioni nel paramento'!$G$47*'Sollecitazioni nel paramento'!$G$41*IF(DATI!$G$211="dx",DATI!$E$61,DATI!$E$64*DATI!$E$63)*1000*C757*sezione!$AD$5</f>
        <v>-87615.173096638828</v>
      </c>
      <c r="Q757" s="545">
        <f>'Foglio deposito bis'!$F$58*IF(ABS(K757)&lt;'Sollecitazioni nel paramento'!$G$58,ABS(K757)*'Sollecitazioni nel paramento'!$G$54,'Sollecitazioni nel paramento'!$G$53)*IF(K757&lt;0,-1,1)</f>
        <v>0</v>
      </c>
      <c r="R757" s="545">
        <f>'Foglio deposito bis'!$F$59*IF(ABS(L757)&lt;'Sollecitazioni nel paramento'!$G$58,ABS(L757)*'Sollecitazioni nel paramento'!$G$54,'Sollecitazioni nel paramento'!$G$53)*IF(L757&lt;0,-1,1)</f>
        <v>153664.85805602249</v>
      </c>
      <c r="S757" s="545">
        <f>'Foglio deposito bis'!$F$60*IF(ABS(M757)&lt;'Sollecitazioni nel paramento'!$G$58,ABS(M757)*'Sollecitazioni nel paramento'!$G$54,'Sollecitazioni nel paramento'!$G$53)*IF(M757&lt;0,-1,1)</f>
        <v>0</v>
      </c>
      <c r="T757" s="545">
        <f>'Foglio deposito bis'!$F$61*IF(ABS(N757)&lt;'Sollecitazioni nel paramento'!$G$58,ABS(N757)*'Sollecitazioni nel paramento'!$G$54,'Sollecitazioni nel paramento'!$G$53)*IF(N757&lt;0,-1,1)</f>
        <v>240946.49743184328</v>
      </c>
      <c r="U757" s="545">
        <f>'Foglio deposito bis'!$F$62*IF(ABS(O757)&lt;'Sollecitazioni nel paramento'!$G$58,ABS(O757)*'Sollecitazioni nel paramento'!$G$54,'Sollecitazioni nel paramento'!$G$53)*IF(O757&lt;0,-1,1)</f>
        <v>314705.62929873407</v>
      </c>
      <c r="V757" s="472">
        <f t="shared" si="57"/>
        <v>621701.811689961</v>
      </c>
      <c r="W757" s="551"/>
      <c r="X757" s="551"/>
    </row>
    <row r="758" spans="1:24" x14ac:dyDescent="0.25">
      <c r="A758" s="545">
        <f t="shared" si="56"/>
        <v>610749.91505288123</v>
      </c>
      <c r="B758" s="3">
        <f t="shared" si="58"/>
        <v>0.44999999999999996</v>
      </c>
      <c r="C758" s="545">
        <f>'Foglio deposito bis'!$E$156/sezione!$B$247*B758</f>
        <v>2.5872659194613408</v>
      </c>
      <c r="D758" s="603">
        <f>-'Sollecitazioni nel paramento'!$G$47*'Sollecitazioni nel paramento'!$G$41*IF(DATI!$G$211="dx",DATI!$E$61,DATI!$E$64*DATI!$E$63)*1000*C758^2*sezione!$AD$5*(1-sezione!$AD$6)</f>
        <v>-148931.22465708037</v>
      </c>
      <c r="E758" s="545">
        <f>-'Foglio deposito bis'!$F$58*(C758-sezione!$AL$30)*IF(ABS(K758)&lt;'Sollecitazioni nel paramento'!$G$58,ABS(K758)*'Sollecitazioni nel paramento'!$G$54,'Sollecitazioni nel paramento'!$G$53)</f>
        <v>0</v>
      </c>
      <c r="F758" s="545">
        <f>-'Foglio deposito bis'!$F$59*(C758-sezione!$AM$30)*IF(ABS(L758)&lt;'Sollecitazioni nel paramento'!$G$58,ABS(L758)*'Sollecitazioni nel paramento'!$G$54,'Sollecitazioni nel paramento'!$G$53)</f>
        <v>8822319.6330941375</v>
      </c>
      <c r="G758" s="545">
        <f>-'Foglio deposito bis'!$F$60*(C758-sezione!$AN$30)*IF(ABS(M758)&lt;'Sollecitazioni nel paramento'!$G$58,ABS(M758)*'Sollecitazioni nel paramento'!$G$54,'Sollecitazioni nel paramento'!$G$53)</f>
        <v>0</v>
      </c>
      <c r="H758" s="545">
        <f>-'Foglio deposito bis'!$F$61*(C758-sezione!$AO$30)*IF(ABS(N758)&lt;'Sollecitazioni nel paramento'!$G$58,ABS(N758)*'Sollecitazioni nel paramento'!$G$54,'Sollecitazioni nel paramento'!$G$53)</f>
        <v>37928046.927875936</v>
      </c>
      <c r="I758" s="472">
        <f>-'Foglio deposito bis'!$F$62*(C758-sezione!$AP$30)*IF(ABS(O758)&lt;'Sollecitazioni nel paramento'!$G$58,ABS(O758)*'Sollecitazioni nel paramento'!$G$54,'Sollecitazioni nel paramento'!$G$53)</f>
        <v>120311739.53817376</v>
      </c>
      <c r="J758" s="472">
        <f t="shared" si="55"/>
        <v>166913174.87448674</v>
      </c>
      <c r="K758" s="550">
        <f>'Sollecitazioni nel paramento'!$G$60*(sezione!$AL$30-C758)/C758</f>
        <v>5.0611175409888874E-2</v>
      </c>
      <c r="L758" s="550">
        <f>'Sollecitazioni nel paramento'!$G$60*(sezione!$AM$30-C758)/C758</f>
        <v>7.7666763114833295E-2</v>
      </c>
      <c r="M758" s="551">
        <f>'Sollecitazioni nel paramento'!$G$60*(sezione!$AN$30-C758)/C758</f>
        <v>0.10472235081977772</v>
      </c>
      <c r="N758" s="551">
        <f>'Sollecitazioni nel paramento'!$G$60*(sezione!$AO$30-C758)/C758</f>
        <v>0.21294470163955545</v>
      </c>
      <c r="O758" s="551">
        <f>'Sollecitazioni nel paramento'!$G$60*(sezione!$AP$30-C758)/C758</f>
        <v>0.51716660236788858</v>
      </c>
      <c r="P758" s="545">
        <f>-'Sollecitazioni nel paramento'!$G$47*'Sollecitazioni nel paramento'!$G$41*IF(DATI!$G$211="dx",DATI!$E$61,DATI!$E$64*DATI!$E$63)*1000*C758*sezione!$AD$5</f>
        <v>-98567.069733718687</v>
      </c>
      <c r="Q758" s="545">
        <f>'Foglio deposito bis'!$F$58*IF(ABS(K758)&lt;'Sollecitazioni nel paramento'!$G$58,ABS(K758)*'Sollecitazioni nel paramento'!$G$54,'Sollecitazioni nel paramento'!$G$53)*IF(K758&lt;0,-1,1)</f>
        <v>0</v>
      </c>
      <c r="R758" s="545">
        <f>'Foglio deposito bis'!$F$59*IF(ABS(L758)&lt;'Sollecitazioni nel paramento'!$G$58,ABS(L758)*'Sollecitazioni nel paramento'!$G$54,'Sollecitazioni nel paramento'!$G$53)*IF(L758&lt;0,-1,1)</f>
        <v>153664.85805602249</v>
      </c>
      <c r="S758" s="545">
        <f>'Foglio deposito bis'!$F$60*IF(ABS(M758)&lt;'Sollecitazioni nel paramento'!$G$58,ABS(M758)*'Sollecitazioni nel paramento'!$G$54,'Sollecitazioni nel paramento'!$G$53)*IF(M758&lt;0,-1,1)</f>
        <v>0</v>
      </c>
      <c r="T758" s="545">
        <f>'Foglio deposito bis'!$F$61*IF(ABS(N758)&lt;'Sollecitazioni nel paramento'!$G$58,ABS(N758)*'Sollecitazioni nel paramento'!$G$54,'Sollecitazioni nel paramento'!$G$53)*IF(N758&lt;0,-1,1)</f>
        <v>240946.49743184328</v>
      </c>
      <c r="U758" s="545">
        <f>'Foglio deposito bis'!$F$62*IF(ABS(O758)&lt;'Sollecitazioni nel paramento'!$G$58,ABS(O758)*'Sollecitazioni nel paramento'!$G$54,'Sollecitazioni nel paramento'!$G$53)*IF(O758&lt;0,-1,1)</f>
        <v>314705.62929873407</v>
      </c>
      <c r="V758" s="472">
        <f t="shared" si="57"/>
        <v>610749.91505288123</v>
      </c>
      <c r="W758" s="551"/>
      <c r="X758" s="551"/>
    </row>
    <row r="759" spans="1:24" x14ac:dyDescent="0.25">
      <c r="A759" s="545">
        <f t="shared" si="56"/>
        <v>599798.01841580123</v>
      </c>
      <c r="B759" s="3">
        <f t="shared" si="58"/>
        <v>0.49999999999999994</v>
      </c>
      <c r="C759" s="545">
        <f>'Foglio deposito bis'!$E$156/sezione!$B$247*B759</f>
        <v>2.8747399105126008</v>
      </c>
      <c r="D759" s="603">
        <f>-'Sollecitazioni nel paramento'!$G$47*'Sollecitazioni nel paramento'!$G$41*IF(DATI!$G$211="dx",DATI!$E$61,DATI!$E$64*DATI!$E$63)*1000*C759^2*sezione!$AD$5*(1-sezione!$AD$6)</f>
        <v>-183865.70945318561</v>
      </c>
      <c r="E759" s="545">
        <f>-'Foglio deposito bis'!$F$58*(C759-sezione!$AL$30)*IF(ABS(K759)&lt;'Sollecitazioni nel paramento'!$G$58,ABS(K759)*'Sollecitazioni nel paramento'!$G$54,'Sollecitazioni nel paramento'!$G$53)</f>
        <v>0</v>
      </c>
      <c r="F759" s="545">
        <f>-'Foglio deposito bis'!$F$59*(C759-sezione!$AM$30)*IF(ABS(L759)&lt;'Sollecitazioni nel paramento'!$G$58,ABS(L759)*'Sollecitazioni nel paramento'!$G$54,'Sollecitazioni nel paramento'!$G$53)</f>
        <v>8778144.9830644485</v>
      </c>
      <c r="G759" s="545">
        <f>-'Foglio deposito bis'!$F$60*(C759-sezione!$AN$30)*IF(ABS(M759)&lt;'Sollecitazioni nel paramento'!$G$58,ABS(M759)*'Sollecitazioni nel paramento'!$G$54,'Sollecitazioni nel paramento'!$G$53)</f>
        <v>0</v>
      </c>
      <c r="H759" s="545">
        <f>-'Foglio deposito bis'!$F$61*(C759-sezione!$AO$30)*IF(ABS(N759)&lt;'Sollecitazioni nel paramento'!$G$58,ABS(N759)*'Sollecitazioni nel paramento'!$G$54,'Sollecitazioni nel paramento'!$G$53)</f>
        <v>37858781.076629378</v>
      </c>
      <c r="I759" s="472">
        <f>-'Foglio deposito bis'!$F$62*(C759-sezione!$AP$30)*IF(ABS(O759)&lt;'Sollecitazioni nel paramento'!$G$58,ABS(O759)*'Sollecitazioni nel paramento'!$G$54,'Sollecitazioni nel paramento'!$G$53)</f>
        <v>120221269.85491298</v>
      </c>
      <c r="J759" s="472">
        <f t="shared" si="55"/>
        <v>166674330.20515361</v>
      </c>
      <c r="K759" s="550">
        <f>'Sollecitazioni nel paramento'!$G$60*(sezione!$AL$30-C759)/C759</f>
        <v>4.5200057868899975E-2</v>
      </c>
      <c r="L759" s="550">
        <f>'Sollecitazioni nel paramento'!$G$60*(sezione!$AM$30-C759)/C759</f>
        <v>6.9550086803349967E-2</v>
      </c>
      <c r="M759" s="551">
        <f>'Sollecitazioni nel paramento'!$G$60*(sezione!$AN$30-C759)/C759</f>
        <v>9.3900115737799966E-2</v>
      </c>
      <c r="N759" s="551">
        <f>'Sollecitazioni nel paramento'!$G$60*(sezione!$AO$30-C759)/C759</f>
        <v>0.19130023147559991</v>
      </c>
      <c r="O759" s="551">
        <f>'Sollecitazioni nel paramento'!$G$60*(sezione!$AP$30-C759)/C759</f>
        <v>0.46509994213109979</v>
      </c>
      <c r="P759" s="545">
        <f>-'Sollecitazioni nel paramento'!$G$47*'Sollecitazioni nel paramento'!$G$41*IF(DATI!$G$211="dx",DATI!$E$61,DATI!$E$64*DATI!$E$63)*1000*C759*sezione!$AD$5</f>
        <v>-109518.96637079853</v>
      </c>
      <c r="Q759" s="545">
        <f>'Foglio deposito bis'!$F$58*IF(ABS(K759)&lt;'Sollecitazioni nel paramento'!$G$58,ABS(K759)*'Sollecitazioni nel paramento'!$G$54,'Sollecitazioni nel paramento'!$G$53)*IF(K759&lt;0,-1,1)</f>
        <v>0</v>
      </c>
      <c r="R759" s="545">
        <f>'Foglio deposito bis'!$F$59*IF(ABS(L759)&lt;'Sollecitazioni nel paramento'!$G$58,ABS(L759)*'Sollecitazioni nel paramento'!$G$54,'Sollecitazioni nel paramento'!$G$53)*IF(L759&lt;0,-1,1)</f>
        <v>153664.85805602249</v>
      </c>
      <c r="S759" s="545">
        <f>'Foglio deposito bis'!$F$60*IF(ABS(M759)&lt;'Sollecitazioni nel paramento'!$G$58,ABS(M759)*'Sollecitazioni nel paramento'!$G$54,'Sollecitazioni nel paramento'!$G$53)*IF(M759&lt;0,-1,1)</f>
        <v>0</v>
      </c>
      <c r="T759" s="545">
        <f>'Foglio deposito bis'!$F$61*IF(ABS(N759)&lt;'Sollecitazioni nel paramento'!$G$58,ABS(N759)*'Sollecitazioni nel paramento'!$G$54,'Sollecitazioni nel paramento'!$G$53)*IF(N759&lt;0,-1,1)</f>
        <v>240946.49743184328</v>
      </c>
      <c r="U759" s="545">
        <f>'Foglio deposito bis'!$F$62*IF(ABS(O759)&lt;'Sollecitazioni nel paramento'!$G$58,ABS(O759)*'Sollecitazioni nel paramento'!$G$54,'Sollecitazioni nel paramento'!$G$53)*IF(O759&lt;0,-1,1)</f>
        <v>314705.62929873407</v>
      </c>
      <c r="V759" s="472">
        <f t="shared" si="57"/>
        <v>599798.01841580123</v>
      </c>
      <c r="W759" s="551"/>
      <c r="X759" s="551"/>
    </row>
    <row r="760" spans="1:24" x14ac:dyDescent="0.25">
      <c r="A760" s="545">
        <f t="shared" si="56"/>
        <v>588846.12177872146</v>
      </c>
      <c r="B760" s="3">
        <f t="shared" si="58"/>
        <v>0.54999999999999993</v>
      </c>
      <c r="C760" s="545">
        <f>'Foglio deposito bis'!$E$156/sezione!$B$247*B760</f>
        <v>3.1622139015638608</v>
      </c>
      <c r="D760" s="603">
        <f>-'Sollecitazioni nel paramento'!$G$47*'Sollecitazioni nel paramento'!$G$41*IF(DATI!$G$211="dx",DATI!$E$61,DATI!$E$64*DATI!$E$63)*1000*C760^2*sezione!$AD$5*(1-sezione!$AD$6)</f>
        <v>-222477.50843835459</v>
      </c>
      <c r="E760" s="545">
        <f>-'Foglio deposito bis'!$F$58*(C760-sezione!$AL$30)*IF(ABS(K760)&lt;'Sollecitazioni nel paramento'!$G$58,ABS(K760)*'Sollecitazioni nel paramento'!$G$54,'Sollecitazioni nel paramento'!$G$53)</f>
        <v>0</v>
      </c>
      <c r="F760" s="545">
        <f>-'Foglio deposito bis'!$F$59*(C760-sezione!$AM$30)*IF(ABS(L760)&lt;'Sollecitazioni nel paramento'!$G$58,ABS(L760)*'Sollecitazioni nel paramento'!$G$54,'Sollecitazioni nel paramento'!$G$53)</f>
        <v>8733970.3330347594</v>
      </c>
      <c r="G760" s="545">
        <f>-'Foglio deposito bis'!$F$60*(C760-sezione!$AN$30)*IF(ABS(M760)&lt;'Sollecitazioni nel paramento'!$G$58,ABS(M760)*'Sollecitazioni nel paramento'!$G$54,'Sollecitazioni nel paramento'!$G$53)</f>
        <v>0</v>
      </c>
      <c r="H760" s="545">
        <f>-'Foglio deposito bis'!$F$61*(C760-sezione!$AO$30)*IF(ABS(N760)&lt;'Sollecitazioni nel paramento'!$G$58,ABS(N760)*'Sollecitazioni nel paramento'!$G$54,'Sollecitazioni nel paramento'!$G$53)</f>
        <v>37789515.225382827</v>
      </c>
      <c r="I760" s="472">
        <f>-'Foglio deposito bis'!$F$62*(C760-sezione!$AP$30)*IF(ABS(O760)&lt;'Sollecitazioni nel paramento'!$G$58,ABS(O760)*'Sollecitazioni nel paramento'!$G$54,'Sollecitazioni nel paramento'!$G$53)</f>
        <v>120130800.17165217</v>
      </c>
      <c r="J760" s="472">
        <f t="shared" si="55"/>
        <v>166431808.22163141</v>
      </c>
      <c r="K760" s="550">
        <f>'Sollecitazioni nel paramento'!$G$60*(sezione!$AL$30-C760)/C760</f>
        <v>4.0772779880818164E-2</v>
      </c>
      <c r="L760" s="550">
        <f>'Sollecitazioni nel paramento'!$G$60*(sezione!$AM$30-C760)/C760</f>
        <v>6.290916982122724E-2</v>
      </c>
      <c r="M760" s="551">
        <f>'Sollecitazioni nel paramento'!$G$60*(sezione!$AN$30-C760)/C760</f>
        <v>8.5045559761636316E-2</v>
      </c>
      <c r="N760" s="551">
        <f>'Sollecitazioni nel paramento'!$G$60*(sezione!$AO$30-C760)/C760</f>
        <v>0.17359111952327266</v>
      </c>
      <c r="O760" s="551">
        <f>'Sollecitazioni nel paramento'!$G$60*(sezione!$AP$30-C760)/C760</f>
        <v>0.42249994739190883</v>
      </c>
      <c r="P760" s="545">
        <f>-'Sollecitazioni nel paramento'!$G$47*'Sollecitazioni nel paramento'!$G$41*IF(DATI!$G$211="dx",DATI!$E$61,DATI!$E$64*DATI!$E$63)*1000*C760*sezione!$AD$5</f>
        <v>-120470.86300787839</v>
      </c>
      <c r="Q760" s="545">
        <f>'Foglio deposito bis'!$F$58*IF(ABS(K760)&lt;'Sollecitazioni nel paramento'!$G$58,ABS(K760)*'Sollecitazioni nel paramento'!$G$54,'Sollecitazioni nel paramento'!$G$53)*IF(K760&lt;0,-1,1)</f>
        <v>0</v>
      </c>
      <c r="R760" s="545">
        <f>'Foglio deposito bis'!$F$59*IF(ABS(L760)&lt;'Sollecitazioni nel paramento'!$G$58,ABS(L760)*'Sollecitazioni nel paramento'!$G$54,'Sollecitazioni nel paramento'!$G$53)*IF(L760&lt;0,-1,1)</f>
        <v>153664.85805602249</v>
      </c>
      <c r="S760" s="545">
        <f>'Foglio deposito bis'!$F$60*IF(ABS(M760)&lt;'Sollecitazioni nel paramento'!$G$58,ABS(M760)*'Sollecitazioni nel paramento'!$G$54,'Sollecitazioni nel paramento'!$G$53)*IF(M760&lt;0,-1,1)</f>
        <v>0</v>
      </c>
      <c r="T760" s="545">
        <f>'Foglio deposito bis'!$F$61*IF(ABS(N760)&lt;'Sollecitazioni nel paramento'!$G$58,ABS(N760)*'Sollecitazioni nel paramento'!$G$54,'Sollecitazioni nel paramento'!$G$53)*IF(N760&lt;0,-1,1)</f>
        <v>240946.49743184328</v>
      </c>
      <c r="U760" s="545">
        <f>'Foglio deposito bis'!$F$62*IF(ABS(O760)&lt;'Sollecitazioni nel paramento'!$G$58,ABS(O760)*'Sollecitazioni nel paramento'!$G$54,'Sollecitazioni nel paramento'!$G$53)*IF(O760&lt;0,-1,1)</f>
        <v>314705.62929873407</v>
      </c>
      <c r="V760" s="472">
        <f t="shared" si="57"/>
        <v>588846.12177872146</v>
      </c>
      <c r="W760" s="551"/>
      <c r="X760" s="551"/>
    </row>
    <row r="761" spans="1:24" x14ac:dyDescent="0.25">
      <c r="A761" s="545">
        <f t="shared" si="56"/>
        <v>577894.22514164168</v>
      </c>
      <c r="B761" s="3">
        <f t="shared" si="58"/>
        <v>0.6</v>
      </c>
      <c r="C761" s="545">
        <f>'Foglio deposito bis'!$E$156/sezione!$B$247*B761</f>
        <v>3.4496878926151213</v>
      </c>
      <c r="D761" s="603">
        <f>-'Sollecitazioni nel paramento'!$G$47*'Sollecitazioni nel paramento'!$G$41*IF(DATI!$G$211="dx",DATI!$E$61,DATI!$E$64*DATI!$E$63)*1000*C761^2*sezione!$AD$5*(1-sezione!$AD$6)</f>
        <v>-264766.62161258736</v>
      </c>
      <c r="E761" s="545">
        <f>-'Foglio deposito bis'!$F$58*(C761-sezione!$AL$30)*IF(ABS(K761)&lt;'Sollecitazioni nel paramento'!$G$58,ABS(K761)*'Sollecitazioni nel paramento'!$G$54,'Sollecitazioni nel paramento'!$G$53)</f>
        <v>0</v>
      </c>
      <c r="F761" s="545">
        <f>-'Foglio deposito bis'!$F$59*(C761-sezione!$AM$30)*IF(ABS(L761)&lt;'Sollecitazioni nel paramento'!$G$58,ABS(L761)*'Sollecitazioni nel paramento'!$G$54,'Sollecitazioni nel paramento'!$G$53)</f>
        <v>8689795.6830050685</v>
      </c>
      <c r="G761" s="545">
        <f>-'Foglio deposito bis'!$F$60*(C761-sezione!$AN$30)*IF(ABS(M761)&lt;'Sollecitazioni nel paramento'!$G$58,ABS(M761)*'Sollecitazioni nel paramento'!$G$54,'Sollecitazioni nel paramento'!$G$53)</f>
        <v>0</v>
      </c>
      <c r="H761" s="545">
        <f>-'Foglio deposito bis'!$F$61*(C761-sezione!$AO$30)*IF(ABS(N761)&lt;'Sollecitazioni nel paramento'!$G$58,ABS(N761)*'Sollecitazioni nel paramento'!$G$54,'Sollecitazioni nel paramento'!$G$53)</f>
        <v>37720249.374136277</v>
      </c>
      <c r="I761" s="472">
        <f>-'Foglio deposito bis'!$F$62*(C761-sezione!$AP$30)*IF(ABS(O761)&lt;'Sollecitazioni nel paramento'!$G$58,ABS(O761)*'Sollecitazioni nel paramento'!$G$54,'Sollecitazioni nel paramento'!$G$53)</f>
        <v>120040330.48839134</v>
      </c>
      <c r="J761" s="472">
        <f t="shared" si="55"/>
        <v>166185608.92392009</v>
      </c>
      <c r="K761" s="550">
        <f>'Sollecitazioni nel paramento'!$G$60*(sezione!$AL$30-C761)/C761</f>
        <v>3.7083381557416639E-2</v>
      </c>
      <c r="L761" s="550">
        <f>'Sollecitazioni nel paramento'!$G$60*(sezione!$AM$30-C761)/C761</f>
        <v>5.7375072336124967E-2</v>
      </c>
      <c r="M761" s="551">
        <f>'Sollecitazioni nel paramento'!$G$60*(sezione!$AN$30-C761)/C761</f>
        <v>7.7666763114833282E-2</v>
      </c>
      <c r="N761" s="551">
        <f>'Sollecitazioni nel paramento'!$G$60*(sezione!$AO$30-C761)/C761</f>
        <v>0.15883352622966659</v>
      </c>
      <c r="O761" s="551">
        <f>'Sollecitazioni nel paramento'!$G$60*(sezione!$AP$30-C761)/C761</f>
        <v>0.3869999517759164</v>
      </c>
      <c r="P761" s="545">
        <f>-'Sollecitazioni nel paramento'!$G$47*'Sollecitazioni nel paramento'!$G$41*IF(DATI!$G$211="dx",DATI!$E$61,DATI!$E$64*DATI!$E$63)*1000*C761*sezione!$AD$5</f>
        <v>-131422.75964495825</v>
      </c>
      <c r="Q761" s="545">
        <f>'Foglio deposito bis'!$F$58*IF(ABS(K761)&lt;'Sollecitazioni nel paramento'!$G$58,ABS(K761)*'Sollecitazioni nel paramento'!$G$54,'Sollecitazioni nel paramento'!$G$53)*IF(K761&lt;0,-1,1)</f>
        <v>0</v>
      </c>
      <c r="R761" s="545">
        <f>'Foglio deposito bis'!$F$59*IF(ABS(L761)&lt;'Sollecitazioni nel paramento'!$G$58,ABS(L761)*'Sollecitazioni nel paramento'!$G$54,'Sollecitazioni nel paramento'!$G$53)*IF(L761&lt;0,-1,1)</f>
        <v>153664.85805602249</v>
      </c>
      <c r="S761" s="545">
        <f>'Foglio deposito bis'!$F$60*IF(ABS(M761)&lt;'Sollecitazioni nel paramento'!$G$58,ABS(M761)*'Sollecitazioni nel paramento'!$G$54,'Sollecitazioni nel paramento'!$G$53)*IF(M761&lt;0,-1,1)</f>
        <v>0</v>
      </c>
      <c r="T761" s="545">
        <f>'Foglio deposito bis'!$F$61*IF(ABS(N761)&lt;'Sollecitazioni nel paramento'!$G$58,ABS(N761)*'Sollecitazioni nel paramento'!$G$54,'Sollecitazioni nel paramento'!$G$53)*IF(N761&lt;0,-1,1)</f>
        <v>240946.49743184328</v>
      </c>
      <c r="U761" s="545">
        <f>'Foglio deposito bis'!$F$62*IF(ABS(O761)&lt;'Sollecitazioni nel paramento'!$G$58,ABS(O761)*'Sollecitazioni nel paramento'!$G$54,'Sollecitazioni nel paramento'!$G$53)*IF(O761&lt;0,-1,1)</f>
        <v>314705.62929873407</v>
      </c>
      <c r="V761" s="472">
        <f t="shared" si="57"/>
        <v>577894.22514164168</v>
      </c>
      <c r="W761" s="551"/>
      <c r="X761" s="551"/>
    </row>
    <row r="762" spans="1:24" x14ac:dyDescent="0.25">
      <c r="A762" s="545">
        <f t="shared" si="56"/>
        <v>566942.32850456168</v>
      </c>
      <c r="B762" s="3">
        <f t="shared" si="58"/>
        <v>0.65</v>
      </c>
      <c r="C762" s="545">
        <f>'Foglio deposito bis'!$E$156/sezione!$B$247*B762</f>
        <v>3.7371618836663818</v>
      </c>
      <c r="D762" s="603">
        <f>-'Sollecitazioni nel paramento'!$G$47*'Sollecitazioni nel paramento'!$G$41*IF(DATI!$G$211="dx",DATI!$E$61,DATI!$E$64*DATI!$E$63)*1000*C762^2*sezione!$AD$5*(1-sezione!$AD$6)</f>
        <v>-310733.04897588381</v>
      </c>
      <c r="E762" s="545">
        <f>-'Foglio deposito bis'!$F$58*(C762-sezione!$AL$30)*IF(ABS(K762)&lt;'Sollecitazioni nel paramento'!$G$58,ABS(K762)*'Sollecitazioni nel paramento'!$G$54,'Sollecitazioni nel paramento'!$G$53)</f>
        <v>0</v>
      </c>
      <c r="F762" s="545">
        <f>-'Foglio deposito bis'!$F$59*(C762-sezione!$AM$30)*IF(ABS(L762)&lt;'Sollecitazioni nel paramento'!$G$58,ABS(L762)*'Sollecitazioni nel paramento'!$G$54,'Sollecitazioni nel paramento'!$G$53)</f>
        <v>8645621.0329753775</v>
      </c>
      <c r="G762" s="545">
        <f>-'Foglio deposito bis'!$F$60*(C762-sezione!$AN$30)*IF(ABS(M762)&lt;'Sollecitazioni nel paramento'!$G$58,ABS(M762)*'Sollecitazioni nel paramento'!$G$54,'Sollecitazioni nel paramento'!$G$53)</f>
        <v>0</v>
      </c>
      <c r="H762" s="545">
        <f>-'Foglio deposito bis'!$F$61*(C762-sezione!$AO$30)*IF(ABS(N762)&lt;'Sollecitazioni nel paramento'!$G$58,ABS(N762)*'Sollecitazioni nel paramento'!$G$54,'Sollecitazioni nel paramento'!$G$53)</f>
        <v>37650983.522889718</v>
      </c>
      <c r="I762" s="472">
        <f>-'Foglio deposito bis'!$F$62*(C762-sezione!$AP$30)*IF(ABS(O762)&lt;'Sollecitazioni nel paramento'!$G$58,ABS(O762)*'Sollecitazioni nel paramento'!$G$54,'Sollecitazioni nel paramento'!$G$53)</f>
        <v>119949860.80513056</v>
      </c>
      <c r="J762" s="472">
        <f t="shared" si="55"/>
        <v>165935732.31201977</v>
      </c>
      <c r="K762" s="550">
        <f>'Sollecitazioni nel paramento'!$G$60*(sezione!$AL$30-C762)/C762</f>
        <v>3.3961582976076897E-2</v>
      </c>
      <c r="L762" s="550">
        <f>'Sollecitazioni nel paramento'!$G$60*(sezione!$AM$30-C762)/C762</f>
        <v>5.269237446411535E-2</v>
      </c>
      <c r="M762" s="551">
        <f>'Sollecitazioni nel paramento'!$G$60*(sezione!$AN$30-C762)/C762</f>
        <v>7.1423165952153783E-2</v>
      </c>
      <c r="N762" s="551">
        <f>'Sollecitazioni nel paramento'!$G$60*(sezione!$AO$30-C762)/C762</f>
        <v>0.1463463319043076</v>
      </c>
      <c r="O762" s="551">
        <f>'Sollecitazioni nel paramento'!$G$60*(sezione!$AP$30-C762)/C762</f>
        <v>0.35696149394699972</v>
      </c>
      <c r="P762" s="545">
        <f>-'Sollecitazioni nel paramento'!$G$47*'Sollecitazioni nel paramento'!$G$41*IF(DATI!$G$211="dx",DATI!$E$61,DATI!$E$64*DATI!$E$63)*1000*C762*sezione!$AD$5</f>
        <v>-142374.65628203811</v>
      </c>
      <c r="Q762" s="545">
        <f>'Foglio deposito bis'!$F$58*IF(ABS(K762)&lt;'Sollecitazioni nel paramento'!$G$58,ABS(K762)*'Sollecitazioni nel paramento'!$G$54,'Sollecitazioni nel paramento'!$G$53)*IF(K762&lt;0,-1,1)</f>
        <v>0</v>
      </c>
      <c r="R762" s="545">
        <f>'Foglio deposito bis'!$F$59*IF(ABS(L762)&lt;'Sollecitazioni nel paramento'!$G$58,ABS(L762)*'Sollecitazioni nel paramento'!$G$54,'Sollecitazioni nel paramento'!$G$53)*IF(L762&lt;0,-1,1)</f>
        <v>153664.85805602249</v>
      </c>
      <c r="S762" s="545">
        <f>'Foglio deposito bis'!$F$60*IF(ABS(M762)&lt;'Sollecitazioni nel paramento'!$G$58,ABS(M762)*'Sollecitazioni nel paramento'!$G$54,'Sollecitazioni nel paramento'!$G$53)*IF(M762&lt;0,-1,1)</f>
        <v>0</v>
      </c>
      <c r="T762" s="545">
        <f>'Foglio deposito bis'!$F$61*IF(ABS(N762)&lt;'Sollecitazioni nel paramento'!$G$58,ABS(N762)*'Sollecitazioni nel paramento'!$G$54,'Sollecitazioni nel paramento'!$G$53)*IF(N762&lt;0,-1,1)</f>
        <v>240946.49743184328</v>
      </c>
      <c r="U762" s="545">
        <f>'Foglio deposito bis'!$F$62*IF(ABS(O762)&lt;'Sollecitazioni nel paramento'!$G$58,ABS(O762)*'Sollecitazioni nel paramento'!$G$54,'Sollecitazioni nel paramento'!$G$53)*IF(O762&lt;0,-1,1)</f>
        <v>314705.62929873407</v>
      </c>
      <c r="V762" s="472">
        <f t="shared" si="57"/>
        <v>566942.32850456168</v>
      </c>
      <c r="W762" s="551"/>
      <c r="X762" s="551"/>
    </row>
    <row r="763" spans="1:24" x14ac:dyDescent="0.25">
      <c r="A763" s="545">
        <f t="shared" si="56"/>
        <v>555990.43186748191</v>
      </c>
      <c r="B763" s="3">
        <f t="shared" si="58"/>
        <v>0.70000000000000007</v>
      </c>
      <c r="C763" s="545">
        <f>'Foglio deposito bis'!$E$156/sezione!$B$247*B763</f>
        <v>4.0246358747176423</v>
      </c>
      <c r="D763" s="603">
        <f>-'Sollecitazioni nel paramento'!$G$47*'Sollecitazioni nel paramento'!$G$41*IF(DATI!$G$211="dx",DATI!$E$61,DATI!$E$64*DATI!$E$63)*1000*C763^2*sezione!$AD$5*(1-sezione!$AD$6)</f>
        <v>-360376.79052824405</v>
      </c>
      <c r="E763" s="545">
        <f>-'Foglio deposito bis'!$F$58*(C763-sezione!$AL$30)*IF(ABS(K763)&lt;'Sollecitazioni nel paramento'!$G$58,ABS(K763)*'Sollecitazioni nel paramento'!$G$54,'Sollecitazioni nel paramento'!$G$53)</f>
        <v>0</v>
      </c>
      <c r="F763" s="545">
        <f>-'Foglio deposito bis'!$F$59*(C763-sezione!$AM$30)*IF(ABS(L763)&lt;'Sollecitazioni nel paramento'!$G$58,ABS(L763)*'Sollecitazioni nel paramento'!$G$54,'Sollecitazioni nel paramento'!$G$53)</f>
        <v>8601446.3829456866</v>
      </c>
      <c r="G763" s="545">
        <f>-'Foglio deposito bis'!$F$60*(C763-sezione!$AN$30)*IF(ABS(M763)&lt;'Sollecitazioni nel paramento'!$G$58,ABS(M763)*'Sollecitazioni nel paramento'!$G$54,'Sollecitazioni nel paramento'!$G$53)</f>
        <v>0</v>
      </c>
      <c r="H763" s="545">
        <f>-'Foglio deposito bis'!$F$61*(C763-sezione!$AO$30)*IF(ABS(N763)&lt;'Sollecitazioni nel paramento'!$G$58,ABS(N763)*'Sollecitazioni nel paramento'!$G$54,'Sollecitazioni nel paramento'!$G$53)</f>
        <v>37581717.671643168</v>
      </c>
      <c r="I763" s="472">
        <f>-'Foglio deposito bis'!$F$62*(C763-sezione!$AP$30)*IF(ABS(O763)&lt;'Sollecitazioni nel paramento'!$G$58,ABS(O763)*'Sollecitazioni nel paramento'!$G$54,'Sollecitazioni nel paramento'!$G$53)</f>
        <v>119859391.12186974</v>
      </c>
      <c r="J763" s="472">
        <f t="shared" si="55"/>
        <v>165682178.38593036</v>
      </c>
      <c r="K763" s="550">
        <f>'Sollecitazioni nel paramento'!$G$60*(sezione!$AL$30-C763)/C763</f>
        <v>3.1285755620642827E-2</v>
      </c>
      <c r="L763" s="550">
        <f>'Sollecitazioni nel paramento'!$G$60*(sezione!$AM$30-C763)/C763</f>
        <v>4.8678633430964242E-2</v>
      </c>
      <c r="M763" s="551">
        <f>'Sollecitazioni nel paramento'!$G$60*(sezione!$AN$30-C763)/C763</f>
        <v>6.6071511241285658E-2</v>
      </c>
      <c r="N763" s="551">
        <f>'Sollecitazioni nel paramento'!$G$60*(sezione!$AO$30-C763)/C763</f>
        <v>0.13564302248257135</v>
      </c>
      <c r="O763" s="551">
        <f>'Sollecitazioni nel paramento'!$G$60*(sezione!$AP$30-C763)/C763</f>
        <v>0.33121424437935687</v>
      </c>
      <c r="P763" s="545">
        <f>-'Sollecitazioni nel paramento'!$G$47*'Sollecitazioni nel paramento'!$G$41*IF(DATI!$G$211="dx",DATI!$E$61,DATI!$E$64*DATI!$E$63)*1000*C763*sezione!$AD$5</f>
        <v>-153326.552919118</v>
      </c>
      <c r="Q763" s="545">
        <f>'Foglio deposito bis'!$F$58*IF(ABS(K763)&lt;'Sollecitazioni nel paramento'!$G$58,ABS(K763)*'Sollecitazioni nel paramento'!$G$54,'Sollecitazioni nel paramento'!$G$53)*IF(K763&lt;0,-1,1)</f>
        <v>0</v>
      </c>
      <c r="R763" s="545">
        <f>'Foglio deposito bis'!$F$59*IF(ABS(L763)&lt;'Sollecitazioni nel paramento'!$G$58,ABS(L763)*'Sollecitazioni nel paramento'!$G$54,'Sollecitazioni nel paramento'!$G$53)*IF(L763&lt;0,-1,1)</f>
        <v>153664.85805602249</v>
      </c>
      <c r="S763" s="545">
        <f>'Foglio deposito bis'!$F$60*IF(ABS(M763)&lt;'Sollecitazioni nel paramento'!$G$58,ABS(M763)*'Sollecitazioni nel paramento'!$G$54,'Sollecitazioni nel paramento'!$G$53)*IF(M763&lt;0,-1,1)</f>
        <v>0</v>
      </c>
      <c r="T763" s="545">
        <f>'Foglio deposito bis'!$F$61*IF(ABS(N763)&lt;'Sollecitazioni nel paramento'!$G$58,ABS(N763)*'Sollecitazioni nel paramento'!$G$54,'Sollecitazioni nel paramento'!$G$53)*IF(N763&lt;0,-1,1)</f>
        <v>240946.49743184328</v>
      </c>
      <c r="U763" s="545">
        <f>'Foglio deposito bis'!$F$62*IF(ABS(O763)&lt;'Sollecitazioni nel paramento'!$G$58,ABS(O763)*'Sollecitazioni nel paramento'!$G$54,'Sollecitazioni nel paramento'!$G$53)*IF(O763&lt;0,-1,1)</f>
        <v>314705.62929873407</v>
      </c>
      <c r="V763" s="472">
        <f t="shared" si="57"/>
        <v>555990.43186748191</v>
      </c>
      <c r="W763" s="551"/>
      <c r="X763" s="551"/>
    </row>
    <row r="764" spans="1:24" x14ac:dyDescent="0.25">
      <c r="A764" s="545">
        <f t="shared" si="56"/>
        <v>545038.53523040202</v>
      </c>
      <c r="B764" s="3">
        <f t="shared" si="58"/>
        <v>0.75000000000000011</v>
      </c>
      <c r="C764" s="545">
        <f>'Foglio deposito bis'!$E$156/sezione!$B$247*B764</f>
        <v>4.3121098657689023</v>
      </c>
      <c r="D764" s="603">
        <f>-'Sollecitazioni nel paramento'!$G$47*'Sollecitazioni nel paramento'!$G$41*IF(DATI!$G$211="dx",DATI!$E$61,DATI!$E$64*DATI!$E$63)*1000*C764^2*sezione!$AD$5*(1-sezione!$AD$6)</f>
        <v>-413697.84626966785</v>
      </c>
      <c r="E764" s="545">
        <f>-'Foglio deposito bis'!$F$58*(C764-sezione!$AL$30)*IF(ABS(K764)&lt;'Sollecitazioni nel paramento'!$G$58,ABS(K764)*'Sollecitazioni nel paramento'!$G$54,'Sollecitazioni nel paramento'!$G$53)</f>
        <v>0</v>
      </c>
      <c r="F764" s="545">
        <f>-'Foglio deposito bis'!$F$59*(C764-sezione!$AM$30)*IF(ABS(L764)&lt;'Sollecitazioni nel paramento'!$G$58,ABS(L764)*'Sollecitazioni nel paramento'!$G$54,'Sollecitazioni nel paramento'!$G$53)</f>
        <v>8557271.7329159975</v>
      </c>
      <c r="G764" s="545">
        <f>-'Foglio deposito bis'!$F$60*(C764-sezione!$AN$30)*IF(ABS(M764)&lt;'Sollecitazioni nel paramento'!$G$58,ABS(M764)*'Sollecitazioni nel paramento'!$G$54,'Sollecitazioni nel paramento'!$G$53)</f>
        <v>0</v>
      </c>
      <c r="H764" s="545">
        <f>-'Foglio deposito bis'!$F$61*(C764-sezione!$AO$30)*IF(ABS(N764)&lt;'Sollecitazioni nel paramento'!$G$58,ABS(N764)*'Sollecitazioni nel paramento'!$G$54,'Sollecitazioni nel paramento'!$G$53)</f>
        <v>37512451.82039661</v>
      </c>
      <c r="I764" s="472">
        <f>-'Foglio deposito bis'!$F$62*(C764-sezione!$AP$30)*IF(ABS(O764)&lt;'Sollecitazioni nel paramento'!$G$58,ABS(O764)*'Sollecitazioni nel paramento'!$G$54,'Sollecitazioni nel paramento'!$G$53)</f>
        <v>119768921.43860893</v>
      </c>
      <c r="J764" s="472">
        <f t="shared" si="55"/>
        <v>165424947.14565188</v>
      </c>
      <c r="K764" s="550">
        <f>'Sollecitazioni nel paramento'!$G$60*(sezione!$AL$30-C764)/C764</f>
        <v>2.8966705245933311E-2</v>
      </c>
      <c r="L764" s="550">
        <f>'Sollecitazioni nel paramento'!$G$60*(sezione!$AM$30-C764)/C764</f>
        <v>4.5200057868899961E-2</v>
      </c>
      <c r="M764" s="551">
        <f>'Sollecitazioni nel paramento'!$G$60*(sezione!$AN$30-C764)/C764</f>
        <v>6.1433410491866618E-2</v>
      </c>
      <c r="N764" s="551">
        <f>'Sollecitazioni nel paramento'!$G$60*(sezione!$AO$30-C764)/C764</f>
        <v>0.12636682098373325</v>
      </c>
      <c r="O764" s="551">
        <f>'Sollecitazioni nel paramento'!$G$60*(sezione!$AP$30-C764)/C764</f>
        <v>0.30889996142073306</v>
      </c>
      <c r="P764" s="545">
        <f>-'Sollecitazioni nel paramento'!$G$47*'Sollecitazioni nel paramento'!$G$41*IF(DATI!$G$211="dx",DATI!$E$61,DATI!$E$64*DATI!$E$63)*1000*C764*sezione!$AD$5</f>
        <v>-164278.44955619783</v>
      </c>
      <c r="Q764" s="545">
        <f>'Foglio deposito bis'!$F$58*IF(ABS(K764)&lt;'Sollecitazioni nel paramento'!$G$58,ABS(K764)*'Sollecitazioni nel paramento'!$G$54,'Sollecitazioni nel paramento'!$G$53)*IF(K764&lt;0,-1,1)</f>
        <v>0</v>
      </c>
      <c r="R764" s="545">
        <f>'Foglio deposito bis'!$F$59*IF(ABS(L764)&lt;'Sollecitazioni nel paramento'!$G$58,ABS(L764)*'Sollecitazioni nel paramento'!$G$54,'Sollecitazioni nel paramento'!$G$53)*IF(L764&lt;0,-1,1)</f>
        <v>153664.85805602249</v>
      </c>
      <c r="S764" s="545">
        <f>'Foglio deposito bis'!$F$60*IF(ABS(M764)&lt;'Sollecitazioni nel paramento'!$G$58,ABS(M764)*'Sollecitazioni nel paramento'!$G$54,'Sollecitazioni nel paramento'!$G$53)*IF(M764&lt;0,-1,1)</f>
        <v>0</v>
      </c>
      <c r="T764" s="545">
        <f>'Foglio deposito bis'!$F$61*IF(ABS(N764)&lt;'Sollecitazioni nel paramento'!$G$58,ABS(N764)*'Sollecitazioni nel paramento'!$G$54,'Sollecitazioni nel paramento'!$G$53)*IF(N764&lt;0,-1,1)</f>
        <v>240946.49743184328</v>
      </c>
      <c r="U764" s="545">
        <f>'Foglio deposito bis'!$F$62*IF(ABS(O764)&lt;'Sollecitazioni nel paramento'!$G$58,ABS(O764)*'Sollecitazioni nel paramento'!$G$54,'Sollecitazioni nel paramento'!$G$53)*IF(O764&lt;0,-1,1)</f>
        <v>314705.62929873407</v>
      </c>
      <c r="V764" s="472">
        <f t="shared" si="57"/>
        <v>545038.53523040202</v>
      </c>
      <c r="W764" s="551"/>
      <c r="X764" s="551"/>
    </row>
    <row r="765" spans="1:24" x14ac:dyDescent="0.25">
      <c r="A765" s="545">
        <f t="shared" si="56"/>
        <v>534086.63859332213</v>
      </c>
      <c r="B765" s="3">
        <f t="shared" si="58"/>
        <v>0.80000000000000016</v>
      </c>
      <c r="C765" s="545">
        <f>'Foglio deposito bis'!$E$156/sezione!$B$247*B765</f>
        <v>4.5995838568201632</v>
      </c>
      <c r="D765" s="603">
        <f>-'Sollecitazioni nel paramento'!$G$47*'Sollecitazioni nel paramento'!$G$41*IF(DATI!$G$211="dx",DATI!$E$61,DATI!$E$64*DATI!$E$63)*1000*C765^2*sezione!$AD$5*(1-sezione!$AD$6)</f>
        <v>-470696.21620015561</v>
      </c>
      <c r="E765" s="545">
        <f>-'Foglio deposito bis'!$F$58*(C765-sezione!$AL$30)*IF(ABS(K765)&lt;'Sollecitazioni nel paramento'!$G$58,ABS(K765)*'Sollecitazioni nel paramento'!$G$54,'Sollecitazioni nel paramento'!$G$53)</f>
        <v>0</v>
      </c>
      <c r="F765" s="545">
        <f>-'Foglio deposito bis'!$F$59*(C765-sezione!$AM$30)*IF(ABS(L765)&lt;'Sollecitazioni nel paramento'!$G$58,ABS(L765)*'Sollecitazioni nel paramento'!$G$54,'Sollecitazioni nel paramento'!$G$53)</f>
        <v>8513097.0828863084</v>
      </c>
      <c r="G765" s="545">
        <f>-'Foglio deposito bis'!$F$60*(C765-sezione!$AN$30)*IF(ABS(M765)&lt;'Sollecitazioni nel paramento'!$G$58,ABS(M765)*'Sollecitazioni nel paramento'!$G$54,'Sollecitazioni nel paramento'!$G$53)</f>
        <v>0</v>
      </c>
      <c r="H765" s="545">
        <f>-'Foglio deposito bis'!$F$61*(C765-sezione!$AO$30)*IF(ABS(N765)&lt;'Sollecitazioni nel paramento'!$G$58,ABS(N765)*'Sollecitazioni nel paramento'!$G$54,'Sollecitazioni nel paramento'!$G$53)</f>
        <v>37443185.969150051</v>
      </c>
      <c r="I765" s="472">
        <f>-'Foglio deposito bis'!$F$62*(C765-sezione!$AP$30)*IF(ABS(O765)&lt;'Sollecitazioni nel paramento'!$G$58,ABS(O765)*'Sollecitazioni nel paramento'!$G$54,'Sollecitazioni nel paramento'!$G$53)</f>
        <v>119678451.75534813</v>
      </c>
      <c r="J765" s="472">
        <f t="shared" si="55"/>
        <v>165164038.59118432</v>
      </c>
      <c r="K765" s="550">
        <f>'Sollecitazioni nel paramento'!$G$60*(sezione!$AL$30-C765)/C765</f>
        <v>2.6937536168062475E-2</v>
      </c>
      <c r="L765" s="550">
        <f>'Sollecitazioni nel paramento'!$G$60*(sezione!$AM$30-C765)/C765</f>
        <v>4.2156304252093713E-2</v>
      </c>
      <c r="M765" s="551">
        <f>'Sollecitazioni nel paramento'!$G$60*(sezione!$AN$30-C765)/C765</f>
        <v>5.7375072336124947E-2</v>
      </c>
      <c r="N765" s="551">
        <f>'Sollecitazioni nel paramento'!$G$60*(sezione!$AO$30-C765)/C765</f>
        <v>0.11825014467224988</v>
      </c>
      <c r="O765" s="551">
        <f>'Sollecitazioni nel paramento'!$G$60*(sezione!$AP$30-C765)/C765</f>
        <v>0.28937496383193723</v>
      </c>
      <c r="P765" s="545">
        <f>-'Sollecitazioni nel paramento'!$G$47*'Sollecitazioni nel paramento'!$G$41*IF(DATI!$G$211="dx",DATI!$E$61,DATI!$E$64*DATI!$E$63)*1000*C765*sezione!$AD$5</f>
        <v>-175230.34619327771</v>
      </c>
      <c r="Q765" s="545">
        <f>'Foglio deposito bis'!$F$58*IF(ABS(K765)&lt;'Sollecitazioni nel paramento'!$G$58,ABS(K765)*'Sollecitazioni nel paramento'!$G$54,'Sollecitazioni nel paramento'!$G$53)*IF(K765&lt;0,-1,1)</f>
        <v>0</v>
      </c>
      <c r="R765" s="545">
        <f>'Foglio deposito bis'!$F$59*IF(ABS(L765)&lt;'Sollecitazioni nel paramento'!$G$58,ABS(L765)*'Sollecitazioni nel paramento'!$G$54,'Sollecitazioni nel paramento'!$G$53)*IF(L765&lt;0,-1,1)</f>
        <v>153664.85805602249</v>
      </c>
      <c r="S765" s="545">
        <f>'Foglio deposito bis'!$F$60*IF(ABS(M765)&lt;'Sollecitazioni nel paramento'!$G$58,ABS(M765)*'Sollecitazioni nel paramento'!$G$54,'Sollecitazioni nel paramento'!$G$53)*IF(M765&lt;0,-1,1)</f>
        <v>0</v>
      </c>
      <c r="T765" s="545">
        <f>'Foglio deposito bis'!$F$61*IF(ABS(N765)&lt;'Sollecitazioni nel paramento'!$G$58,ABS(N765)*'Sollecitazioni nel paramento'!$G$54,'Sollecitazioni nel paramento'!$G$53)*IF(N765&lt;0,-1,1)</f>
        <v>240946.49743184328</v>
      </c>
      <c r="U765" s="545">
        <f>'Foglio deposito bis'!$F$62*IF(ABS(O765)&lt;'Sollecitazioni nel paramento'!$G$58,ABS(O765)*'Sollecitazioni nel paramento'!$G$54,'Sollecitazioni nel paramento'!$G$53)*IF(O765&lt;0,-1,1)</f>
        <v>314705.62929873407</v>
      </c>
      <c r="V765" s="472">
        <f t="shared" si="57"/>
        <v>534086.63859332213</v>
      </c>
      <c r="W765" s="551"/>
      <c r="X765" s="551"/>
    </row>
    <row r="766" spans="1:24" x14ac:dyDescent="0.25">
      <c r="A766" s="545">
        <f t="shared" si="56"/>
        <v>523134.74195624224</v>
      </c>
      <c r="B766" s="3">
        <f t="shared" si="58"/>
        <v>0.8500000000000002</v>
      </c>
      <c r="C766" s="545">
        <f>'Foglio deposito bis'!$E$156/sezione!$B$247*B766</f>
        <v>4.8870578478714233</v>
      </c>
      <c r="D766" s="603">
        <f>-'Sollecitazioni nel paramento'!$G$47*'Sollecitazioni nel paramento'!$G$41*IF(DATI!$G$211="dx",DATI!$E$61,DATI!$E$64*DATI!$E$63)*1000*C766^2*sezione!$AD$5*(1-sezione!$AD$6)</f>
        <v>-531371.90031970677</v>
      </c>
      <c r="E766" s="545">
        <f>-'Foglio deposito bis'!$F$58*(C766-sezione!$AL$30)*IF(ABS(K766)&lt;'Sollecitazioni nel paramento'!$G$58,ABS(K766)*'Sollecitazioni nel paramento'!$G$54,'Sollecitazioni nel paramento'!$G$53)</f>
        <v>0</v>
      </c>
      <c r="F766" s="545">
        <f>-'Foglio deposito bis'!$F$59*(C766-sezione!$AM$30)*IF(ABS(L766)&lt;'Sollecitazioni nel paramento'!$G$58,ABS(L766)*'Sollecitazioni nel paramento'!$G$54,'Sollecitazioni nel paramento'!$G$53)</f>
        <v>8468922.4328566175</v>
      </c>
      <c r="G766" s="545">
        <f>-'Foglio deposito bis'!$F$60*(C766-sezione!$AN$30)*IF(ABS(M766)&lt;'Sollecitazioni nel paramento'!$G$58,ABS(M766)*'Sollecitazioni nel paramento'!$G$54,'Sollecitazioni nel paramento'!$G$53)</f>
        <v>0</v>
      </c>
      <c r="H766" s="545">
        <f>-'Foglio deposito bis'!$F$61*(C766-sezione!$AO$30)*IF(ABS(N766)&lt;'Sollecitazioni nel paramento'!$G$58,ABS(N766)*'Sollecitazioni nel paramento'!$G$54,'Sollecitazioni nel paramento'!$G$53)</f>
        <v>37373920.117903501</v>
      </c>
      <c r="I766" s="472">
        <f>-'Foglio deposito bis'!$F$62*(C766-sezione!$AP$30)*IF(ABS(O766)&lt;'Sollecitazioni nel paramento'!$G$58,ABS(O766)*'Sollecitazioni nel paramento'!$G$54,'Sollecitazioni nel paramento'!$G$53)</f>
        <v>119587982.07208735</v>
      </c>
      <c r="J766" s="472">
        <f t="shared" si="55"/>
        <v>164899452.72252774</v>
      </c>
      <c r="K766" s="550">
        <f>'Sollecitazioni nel paramento'!$G$60*(sezione!$AL$30-C766)/C766</f>
        <v>2.51470928640588E-2</v>
      </c>
      <c r="L766" s="550">
        <f>'Sollecitazioni nel paramento'!$G$60*(sezione!$AM$30-C766)/C766</f>
        <v>3.9470639296088197E-2</v>
      </c>
      <c r="M766" s="551">
        <f>'Sollecitazioni nel paramento'!$G$60*(sezione!$AN$30-C766)/C766</f>
        <v>5.3794185728117602E-2</v>
      </c>
      <c r="N766" s="551">
        <f>'Sollecitazioni nel paramento'!$G$60*(sezione!$AO$30-C766)/C766</f>
        <v>0.11108837145623519</v>
      </c>
      <c r="O766" s="551">
        <f>'Sollecitazioni nel paramento'!$G$60*(sezione!$AP$30-C766)/C766</f>
        <v>0.27214702478299974</v>
      </c>
      <c r="P766" s="545">
        <f>-'Sollecitazioni nel paramento'!$G$47*'Sollecitazioni nel paramento'!$G$41*IF(DATI!$G$211="dx",DATI!$E$61,DATI!$E$64*DATI!$E$63)*1000*C766*sezione!$AD$5</f>
        <v>-186182.24283035757</v>
      </c>
      <c r="Q766" s="545">
        <f>'Foglio deposito bis'!$F$58*IF(ABS(K766)&lt;'Sollecitazioni nel paramento'!$G$58,ABS(K766)*'Sollecitazioni nel paramento'!$G$54,'Sollecitazioni nel paramento'!$G$53)*IF(K766&lt;0,-1,1)</f>
        <v>0</v>
      </c>
      <c r="R766" s="545">
        <f>'Foglio deposito bis'!$F$59*IF(ABS(L766)&lt;'Sollecitazioni nel paramento'!$G$58,ABS(L766)*'Sollecitazioni nel paramento'!$G$54,'Sollecitazioni nel paramento'!$G$53)*IF(L766&lt;0,-1,1)</f>
        <v>153664.85805602249</v>
      </c>
      <c r="S766" s="545">
        <f>'Foglio deposito bis'!$F$60*IF(ABS(M766)&lt;'Sollecitazioni nel paramento'!$G$58,ABS(M766)*'Sollecitazioni nel paramento'!$G$54,'Sollecitazioni nel paramento'!$G$53)*IF(M766&lt;0,-1,1)</f>
        <v>0</v>
      </c>
      <c r="T766" s="545">
        <f>'Foglio deposito bis'!$F$61*IF(ABS(N766)&lt;'Sollecitazioni nel paramento'!$G$58,ABS(N766)*'Sollecitazioni nel paramento'!$G$54,'Sollecitazioni nel paramento'!$G$53)*IF(N766&lt;0,-1,1)</f>
        <v>240946.49743184328</v>
      </c>
      <c r="U766" s="545">
        <f>'Foglio deposito bis'!$F$62*IF(ABS(O766)&lt;'Sollecitazioni nel paramento'!$G$58,ABS(O766)*'Sollecitazioni nel paramento'!$G$54,'Sollecitazioni nel paramento'!$G$53)*IF(O766&lt;0,-1,1)</f>
        <v>314705.62929873407</v>
      </c>
      <c r="V766" s="472">
        <f t="shared" si="57"/>
        <v>523134.74195624224</v>
      </c>
      <c r="W766" s="551"/>
      <c r="X766" s="551"/>
    </row>
    <row r="767" spans="1:24" x14ac:dyDescent="0.25">
      <c r="A767" s="545">
        <f t="shared" si="56"/>
        <v>512182.84531916241</v>
      </c>
      <c r="B767" s="3">
        <f t="shared" si="58"/>
        <v>0.90000000000000024</v>
      </c>
      <c r="C767" s="545">
        <f>'Foglio deposito bis'!$E$156/sezione!$B$247*B767</f>
        <v>5.1745318389226833</v>
      </c>
      <c r="D767" s="603">
        <f>-'Sollecitazioni nel paramento'!$G$47*'Sollecitazioni nel paramento'!$G$41*IF(DATI!$G$211="dx",DATI!$E$61,DATI!$E$64*DATI!$E$63)*1000*C767^2*sezione!$AD$5*(1-sezione!$AD$6)</f>
        <v>-595724.89862832183</v>
      </c>
      <c r="E767" s="545">
        <f>-'Foglio deposito bis'!$F$58*(C767-sezione!$AL$30)*IF(ABS(K767)&lt;'Sollecitazioni nel paramento'!$G$58,ABS(K767)*'Sollecitazioni nel paramento'!$G$54,'Sollecitazioni nel paramento'!$G$53)</f>
        <v>0</v>
      </c>
      <c r="F767" s="545">
        <f>-'Foglio deposito bis'!$F$59*(C767-sezione!$AM$30)*IF(ABS(L767)&lt;'Sollecitazioni nel paramento'!$G$58,ABS(L767)*'Sollecitazioni nel paramento'!$G$54,'Sollecitazioni nel paramento'!$G$53)</f>
        <v>8424747.7828269266</v>
      </c>
      <c r="G767" s="545">
        <f>-'Foglio deposito bis'!$F$60*(C767-sezione!$AN$30)*IF(ABS(M767)&lt;'Sollecitazioni nel paramento'!$G$58,ABS(M767)*'Sollecitazioni nel paramento'!$G$54,'Sollecitazioni nel paramento'!$G$53)</f>
        <v>0</v>
      </c>
      <c r="H767" s="545">
        <f>-'Foglio deposito bis'!$F$61*(C767-sezione!$AO$30)*IF(ABS(N767)&lt;'Sollecitazioni nel paramento'!$G$58,ABS(N767)*'Sollecitazioni nel paramento'!$G$54,'Sollecitazioni nel paramento'!$G$53)</f>
        <v>37304654.26665695</v>
      </c>
      <c r="I767" s="472">
        <f>-'Foglio deposito bis'!$F$62*(C767-sezione!$AP$30)*IF(ABS(O767)&lt;'Sollecitazioni nel paramento'!$G$58,ABS(O767)*'Sollecitazioni nel paramento'!$G$54,'Sollecitazioni nel paramento'!$G$53)</f>
        <v>119497512.3888265</v>
      </c>
      <c r="J767" s="472">
        <f t="shared" si="55"/>
        <v>164631189.53968206</v>
      </c>
      <c r="K767" s="550">
        <f>'Sollecitazioni nel paramento'!$G$60*(sezione!$AL$30-C767)/C767</f>
        <v>2.3555587704944422E-2</v>
      </c>
      <c r="L767" s="550">
        <f>'Sollecitazioni nel paramento'!$G$60*(sezione!$AM$30-C767)/C767</f>
        <v>3.7083381557416639E-2</v>
      </c>
      <c r="M767" s="551">
        <f>'Sollecitazioni nel paramento'!$G$60*(sezione!$AN$30-C767)/C767</f>
        <v>5.0611175409888846E-2</v>
      </c>
      <c r="N767" s="551">
        <f>'Sollecitazioni nel paramento'!$G$60*(sezione!$AO$30-C767)/C767</f>
        <v>0.1047223508197777</v>
      </c>
      <c r="O767" s="551">
        <f>'Sollecitazioni nel paramento'!$G$60*(sezione!$AP$30-C767)/C767</f>
        <v>0.25683330118394421</v>
      </c>
      <c r="P767" s="545">
        <f>-'Sollecitazioni nel paramento'!$G$47*'Sollecitazioni nel paramento'!$G$41*IF(DATI!$G$211="dx",DATI!$E$61,DATI!$E$64*DATI!$E$63)*1000*C767*sezione!$AD$5</f>
        <v>-197134.13946743743</v>
      </c>
      <c r="Q767" s="545">
        <f>'Foglio deposito bis'!$F$58*IF(ABS(K767)&lt;'Sollecitazioni nel paramento'!$G$58,ABS(K767)*'Sollecitazioni nel paramento'!$G$54,'Sollecitazioni nel paramento'!$G$53)*IF(K767&lt;0,-1,1)</f>
        <v>0</v>
      </c>
      <c r="R767" s="545">
        <f>'Foglio deposito bis'!$F$59*IF(ABS(L767)&lt;'Sollecitazioni nel paramento'!$G$58,ABS(L767)*'Sollecitazioni nel paramento'!$G$54,'Sollecitazioni nel paramento'!$G$53)*IF(L767&lt;0,-1,1)</f>
        <v>153664.85805602249</v>
      </c>
      <c r="S767" s="545">
        <f>'Foglio deposito bis'!$F$60*IF(ABS(M767)&lt;'Sollecitazioni nel paramento'!$G$58,ABS(M767)*'Sollecitazioni nel paramento'!$G$54,'Sollecitazioni nel paramento'!$G$53)*IF(M767&lt;0,-1,1)</f>
        <v>0</v>
      </c>
      <c r="T767" s="545">
        <f>'Foglio deposito bis'!$F$61*IF(ABS(N767)&lt;'Sollecitazioni nel paramento'!$G$58,ABS(N767)*'Sollecitazioni nel paramento'!$G$54,'Sollecitazioni nel paramento'!$G$53)*IF(N767&lt;0,-1,1)</f>
        <v>240946.49743184328</v>
      </c>
      <c r="U767" s="545">
        <f>'Foglio deposito bis'!$F$62*IF(ABS(O767)&lt;'Sollecitazioni nel paramento'!$G$58,ABS(O767)*'Sollecitazioni nel paramento'!$G$54,'Sollecitazioni nel paramento'!$G$53)*IF(O767&lt;0,-1,1)</f>
        <v>314705.62929873407</v>
      </c>
      <c r="V767" s="472">
        <f t="shared" si="57"/>
        <v>512182.84531916241</v>
      </c>
      <c r="W767" s="551"/>
      <c r="X767" s="551"/>
    </row>
    <row r="768" spans="1:24" x14ac:dyDescent="0.25">
      <c r="A768" s="545">
        <f t="shared" si="56"/>
        <v>501230.94868208258</v>
      </c>
      <c r="B768" s="3">
        <f t="shared" si="58"/>
        <v>0.95000000000000029</v>
      </c>
      <c r="C768" s="545">
        <f>'Foglio deposito bis'!$E$156/sezione!$B$247*B768</f>
        <v>5.4620058299739442</v>
      </c>
      <c r="D768" s="603">
        <f>-'Sollecitazioni nel paramento'!$G$47*'Sollecitazioni nel paramento'!$G$41*IF(DATI!$G$211="dx",DATI!$E$61,DATI!$E$64*DATI!$E$63)*1000*C768^2*sezione!$AD$5*(1-sezione!$AD$6)</f>
        <v>-663755.21112600085</v>
      </c>
      <c r="E768" s="545">
        <f>-'Foglio deposito bis'!$F$58*(C768-sezione!$AL$30)*IF(ABS(K768)&lt;'Sollecitazioni nel paramento'!$G$58,ABS(K768)*'Sollecitazioni nel paramento'!$G$54,'Sollecitazioni nel paramento'!$G$53)</f>
        <v>0</v>
      </c>
      <c r="F768" s="545">
        <f>-'Foglio deposito bis'!$F$59*(C768-sezione!$AM$30)*IF(ABS(L768)&lt;'Sollecitazioni nel paramento'!$G$58,ABS(L768)*'Sollecitazioni nel paramento'!$G$54,'Sollecitazioni nel paramento'!$G$53)</f>
        <v>8380573.1327972356</v>
      </c>
      <c r="G768" s="545">
        <f>-'Foglio deposito bis'!$F$60*(C768-sezione!$AN$30)*IF(ABS(M768)&lt;'Sollecitazioni nel paramento'!$G$58,ABS(M768)*'Sollecitazioni nel paramento'!$G$54,'Sollecitazioni nel paramento'!$G$53)</f>
        <v>0</v>
      </c>
      <c r="H768" s="545">
        <f>-'Foglio deposito bis'!$F$61*(C768-sezione!$AO$30)*IF(ABS(N768)&lt;'Sollecitazioni nel paramento'!$G$58,ABS(N768)*'Sollecitazioni nel paramento'!$G$54,'Sollecitazioni nel paramento'!$G$53)</f>
        <v>37235388.415410392</v>
      </c>
      <c r="I768" s="472">
        <f>-'Foglio deposito bis'!$F$62*(C768-sezione!$AP$30)*IF(ABS(O768)&lt;'Sollecitazioni nel paramento'!$G$58,ABS(O768)*'Sollecitazioni nel paramento'!$G$54,'Sollecitazioni nel paramento'!$G$53)</f>
        <v>119407042.70556572</v>
      </c>
      <c r="J768" s="472">
        <f t="shared" si="55"/>
        <v>164359249.04264736</v>
      </c>
      <c r="K768" s="550">
        <f>'Sollecitazioni nel paramento'!$G$60*(sezione!$AL$30-C768)/C768</f>
        <v>2.2131609404684185E-2</v>
      </c>
      <c r="L768" s="550">
        <f>'Sollecitazioni nel paramento'!$G$60*(sezione!$AM$30-C768)/C768</f>
        <v>3.4947414107026273E-2</v>
      </c>
      <c r="M768" s="551">
        <f>'Sollecitazioni nel paramento'!$G$60*(sezione!$AN$30-C768)/C768</f>
        <v>4.7763218809368374E-2</v>
      </c>
      <c r="N768" s="551">
        <f>'Sollecitazioni nel paramento'!$G$60*(sezione!$AO$30-C768)/C768</f>
        <v>9.9026437618736751E-2</v>
      </c>
      <c r="O768" s="551">
        <f>'Sollecitazioni nel paramento'!$G$60*(sezione!$AP$30-C768)/C768</f>
        <v>0.24313154849005239</v>
      </c>
      <c r="P768" s="545">
        <f>-'Sollecitazioni nel paramento'!$G$47*'Sollecitazioni nel paramento'!$G$41*IF(DATI!$G$211="dx",DATI!$E$61,DATI!$E$64*DATI!$E$63)*1000*C768*sezione!$AD$5</f>
        <v>-208086.03610451729</v>
      </c>
      <c r="Q768" s="545">
        <f>'Foglio deposito bis'!$F$58*IF(ABS(K768)&lt;'Sollecitazioni nel paramento'!$G$58,ABS(K768)*'Sollecitazioni nel paramento'!$G$54,'Sollecitazioni nel paramento'!$G$53)*IF(K768&lt;0,-1,1)</f>
        <v>0</v>
      </c>
      <c r="R768" s="545">
        <f>'Foglio deposito bis'!$F$59*IF(ABS(L768)&lt;'Sollecitazioni nel paramento'!$G$58,ABS(L768)*'Sollecitazioni nel paramento'!$G$54,'Sollecitazioni nel paramento'!$G$53)*IF(L768&lt;0,-1,1)</f>
        <v>153664.85805602249</v>
      </c>
      <c r="S768" s="545">
        <f>'Foglio deposito bis'!$F$60*IF(ABS(M768)&lt;'Sollecitazioni nel paramento'!$G$58,ABS(M768)*'Sollecitazioni nel paramento'!$G$54,'Sollecitazioni nel paramento'!$G$53)*IF(M768&lt;0,-1,1)</f>
        <v>0</v>
      </c>
      <c r="T768" s="545">
        <f>'Foglio deposito bis'!$F$61*IF(ABS(N768)&lt;'Sollecitazioni nel paramento'!$G$58,ABS(N768)*'Sollecitazioni nel paramento'!$G$54,'Sollecitazioni nel paramento'!$G$53)*IF(N768&lt;0,-1,1)</f>
        <v>240946.49743184328</v>
      </c>
      <c r="U768" s="545">
        <f>'Foglio deposito bis'!$F$62*IF(ABS(O768)&lt;'Sollecitazioni nel paramento'!$G$58,ABS(O768)*'Sollecitazioni nel paramento'!$G$54,'Sollecitazioni nel paramento'!$G$53)*IF(O768&lt;0,-1,1)</f>
        <v>314705.62929873407</v>
      </c>
      <c r="V768" s="472">
        <f t="shared" si="57"/>
        <v>501230.94868208258</v>
      </c>
      <c r="W768" s="551"/>
      <c r="X768" s="551"/>
    </row>
    <row r="769" spans="1:24" x14ac:dyDescent="0.25">
      <c r="A769" s="545">
        <f t="shared" si="56"/>
        <v>490279.0520450027</v>
      </c>
      <c r="B769" s="3">
        <f t="shared" si="58"/>
        <v>1.0000000000000002</v>
      </c>
      <c r="C769" s="545">
        <f>'Foglio deposito bis'!$E$156/sezione!$B$247*B769</f>
        <v>5.7494798210252034</v>
      </c>
      <c r="D769" s="603">
        <f>-'Sollecitazioni nel paramento'!$G$47*'Sollecitazioni nel paramento'!$G$41*IF(DATI!$G$211="dx",DATI!$E$61,DATI!$E$64*DATI!$E$63)*1000*C769^2*sezione!$AD$5*(1-sezione!$AD$6)</f>
        <v>-735462.83781274292</v>
      </c>
      <c r="E769" s="545">
        <f>-'Foglio deposito bis'!$F$58*(C769-sezione!$AL$30)*IF(ABS(K769)&lt;'Sollecitazioni nel paramento'!$G$58,ABS(K769)*'Sollecitazioni nel paramento'!$G$54,'Sollecitazioni nel paramento'!$G$53)</f>
        <v>0</v>
      </c>
      <c r="F769" s="545">
        <f>-'Foglio deposito bis'!$F$59*(C769-sezione!$AM$30)*IF(ABS(L769)&lt;'Sollecitazioni nel paramento'!$G$58,ABS(L769)*'Sollecitazioni nel paramento'!$G$54,'Sollecitazioni nel paramento'!$G$53)</f>
        <v>8336398.4827675465</v>
      </c>
      <c r="G769" s="545">
        <f>-'Foglio deposito bis'!$F$60*(C769-sezione!$AN$30)*IF(ABS(M769)&lt;'Sollecitazioni nel paramento'!$G$58,ABS(M769)*'Sollecitazioni nel paramento'!$G$54,'Sollecitazioni nel paramento'!$G$53)</f>
        <v>0</v>
      </c>
      <c r="H769" s="545">
        <f>-'Foglio deposito bis'!$F$61*(C769-sezione!$AO$30)*IF(ABS(N769)&lt;'Sollecitazioni nel paramento'!$G$58,ABS(N769)*'Sollecitazioni nel paramento'!$G$54,'Sollecitazioni nel paramento'!$G$53)</f>
        <v>37166122.564163841</v>
      </c>
      <c r="I769" s="472">
        <f>-'Foglio deposito bis'!$F$62*(C769-sezione!$AP$30)*IF(ABS(O769)&lt;'Sollecitazioni nel paramento'!$G$58,ABS(O769)*'Sollecitazioni nel paramento'!$G$54,'Sollecitazioni nel paramento'!$G$53)</f>
        <v>119316573.02230491</v>
      </c>
      <c r="J769" s="472">
        <f t="shared" si="55"/>
        <v>164083631.23142356</v>
      </c>
      <c r="K769" s="550">
        <f>'Sollecitazioni nel paramento'!$G$60*(sezione!$AL$30-C769)/C769</f>
        <v>2.0850028934449982E-2</v>
      </c>
      <c r="L769" s="550">
        <f>'Sollecitazioni nel paramento'!$G$60*(sezione!$AM$30-C769)/C769</f>
        <v>3.3025043401674968E-2</v>
      </c>
      <c r="M769" s="551">
        <f>'Sollecitazioni nel paramento'!$G$60*(sezione!$AN$30-C769)/C769</f>
        <v>4.5200057868899961E-2</v>
      </c>
      <c r="N769" s="551">
        <f>'Sollecitazioni nel paramento'!$G$60*(sezione!$AO$30-C769)/C769</f>
        <v>9.3900115737799938E-2</v>
      </c>
      <c r="O769" s="551">
        <f>'Sollecitazioni nel paramento'!$G$60*(sezione!$AP$30-C769)/C769</f>
        <v>0.23079997106554981</v>
      </c>
      <c r="P769" s="545">
        <f>-'Sollecitazioni nel paramento'!$G$47*'Sollecitazioni nel paramento'!$G$41*IF(DATI!$G$211="dx",DATI!$E$61,DATI!$E$64*DATI!$E$63)*1000*C769*sezione!$AD$5</f>
        <v>-219037.93274159712</v>
      </c>
      <c r="Q769" s="545">
        <f>'Foglio deposito bis'!$F$58*IF(ABS(K769)&lt;'Sollecitazioni nel paramento'!$G$58,ABS(K769)*'Sollecitazioni nel paramento'!$G$54,'Sollecitazioni nel paramento'!$G$53)*IF(K769&lt;0,-1,1)</f>
        <v>0</v>
      </c>
      <c r="R769" s="545">
        <f>'Foglio deposito bis'!$F$59*IF(ABS(L769)&lt;'Sollecitazioni nel paramento'!$G$58,ABS(L769)*'Sollecitazioni nel paramento'!$G$54,'Sollecitazioni nel paramento'!$G$53)*IF(L769&lt;0,-1,1)</f>
        <v>153664.85805602249</v>
      </c>
      <c r="S769" s="545">
        <f>'Foglio deposito bis'!$F$60*IF(ABS(M769)&lt;'Sollecitazioni nel paramento'!$G$58,ABS(M769)*'Sollecitazioni nel paramento'!$G$54,'Sollecitazioni nel paramento'!$G$53)*IF(M769&lt;0,-1,1)</f>
        <v>0</v>
      </c>
      <c r="T769" s="545">
        <f>'Foglio deposito bis'!$F$61*IF(ABS(N769)&lt;'Sollecitazioni nel paramento'!$G$58,ABS(N769)*'Sollecitazioni nel paramento'!$G$54,'Sollecitazioni nel paramento'!$G$53)*IF(N769&lt;0,-1,1)</f>
        <v>240946.49743184328</v>
      </c>
      <c r="U769" s="545">
        <f>'Foglio deposito bis'!$F$62*IF(ABS(O769)&lt;'Sollecitazioni nel paramento'!$G$58,ABS(O769)*'Sollecitazioni nel paramento'!$G$54,'Sollecitazioni nel paramento'!$G$53)*IF(O769&lt;0,-1,1)</f>
        <v>314705.62929873407</v>
      </c>
      <c r="V769" s="472">
        <f t="shared" si="57"/>
        <v>490279.0520450027</v>
      </c>
      <c r="W769" s="551"/>
      <c r="X769" s="551"/>
    </row>
    <row r="770" spans="1:24" x14ac:dyDescent="0.25">
      <c r="A770" s="545">
        <f t="shared" si="56"/>
        <v>479327.15540792281</v>
      </c>
      <c r="B770" s="3">
        <f t="shared" si="58"/>
        <v>1.0500000000000003</v>
      </c>
      <c r="C770" s="545">
        <f>'Foglio deposito bis'!$E$156/sezione!$B$247*B770</f>
        <v>6.0369538120764643</v>
      </c>
      <c r="D770" s="603">
        <f>-'Sollecitazioni nel paramento'!$G$47*'Sollecitazioni nel paramento'!$G$41*IF(DATI!$G$211="dx",DATI!$E$61,DATI!$E$64*DATI!$E$63)*1000*C770^2*sezione!$AD$5*(1-sezione!$AD$6)</f>
        <v>-810847.7786885493</v>
      </c>
      <c r="E770" s="545">
        <f>-'Foglio deposito bis'!$F$58*(C770-sezione!$AL$30)*IF(ABS(K770)&lt;'Sollecitazioni nel paramento'!$G$58,ABS(K770)*'Sollecitazioni nel paramento'!$G$54,'Sollecitazioni nel paramento'!$G$53)</f>
        <v>0</v>
      </c>
      <c r="F770" s="545">
        <f>-'Foglio deposito bis'!$F$59*(C770-sezione!$AM$30)*IF(ABS(L770)&lt;'Sollecitazioni nel paramento'!$G$58,ABS(L770)*'Sollecitazioni nel paramento'!$G$54,'Sollecitazioni nel paramento'!$G$53)</f>
        <v>8292223.8327378556</v>
      </c>
      <c r="G770" s="545">
        <f>-'Foglio deposito bis'!$F$60*(C770-sezione!$AN$30)*IF(ABS(M770)&lt;'Sollecitazioni nel paramento'!$G$58,ABS(M770)*'Sollecitazioni nel paramento'!$G$54,'Sollecitazioni nel paramento'!$G$53)</f>
        <v>0</v>
      </c>
      <c r="H770" s="545">
        <f>-'Foglio deposito bis'!$F$61*(C770-sezione!$AO$30)*IF(ABS(N770)&lt;'Sollecitazioni nel paramento'!$G$58,ABS(N770)*'Sollecitazioni nel paramento'!$G$54,'Sollecitazioni nel paramento'!$G$53)</f>
        <v>37096856.712917283</v>
      </c>
      <c r="I770" s="472">
        <f>-'Foglio deposito bis'!$F$62*(C770-sezione!$AP$30)*IF(ABS(O770)&lt;'Sollecitazioni nel paramento'!$G$58,ABS(O770)*'Sollecitazioni nel paramento'!$G$54,'Sollecitazioni nel paramento'!$G$53)</f>
        <v>119226103.33904411</v>
      </c>
      <c r="J770" s="472">
        <f t="shared" si="55"/>
        <v>163804336.10601071</v>
      </c>
      <c r="K770" s="550">
        <f>'Sollecitazioni nel paramento'!$G$60*(sezione!$AL$30-C770)/C770</f>
        <v>1.9690503747095217E-2</v>
      </c>
      <c r="L770" s="550">
        <f>'Sollecitazioni nel paramento'!$G$60*(sezione!$AM$30-C770)/C770</f>
        <v>3.1285755620642827E-2</v>
      </c>
      <c r="M770" s="551">
        <f>'Sollecitazioni nel paramento'!$G$60*(sezione!$AN$30-C770)/C770</f>
        <v>4.288100749419043E-2</v>
      </c>
      <c r="N770" s="551">
        <f>'Sollecitazioni nel paramento'!$G$60*(sezione!$AO$30-C770)/C770</f>
        <v>8.9262014988380864E-2</v>
      </c>
      <c r="O770" s="551">
        <f>'Sollecitazioni nel paramento'!$G$60*(sezione!$AP$30-C770)/C770</f>
        <v>0.21964282958623785</v>
      </c>
      <c r="P770" s="545">
        <f>-'Sollecitazioni nel paramento'!$G$47*'Sollecitazioni nel paramento'!$G$41*IF(DATI!$G$211="dx",DATI!$E$61,DATI!$E$64*DATI!$E$63)*1000*C770*sezione!$AD$5</f>
        <v>-229989.82937867701</v>
      </c>
      <c r="Q770" s="545">
        <f>'Foglio deposito bis'!$F$58*IF(ABS(K770)&lt;'Sollecitazioni nel paramento'!$G$58,ABS(K770)*'Sollecitazioni nel paramento'!$G$54,'Sollecitazioni nel paramento'!$G$53)*IF(K770&lt;0,-1,1)</f>
        <v>0</v>
      </c>
      <c r="R770" s="545">
        <f>'Foglio deposito bis'!$F$59*IF(ABS(L770)&lt;'Sollecitazioni nel paramento'!$G$58,ABS(L770)*'Sollecitazioni nel paramento'!$G$54,'Sollecitazioni nel paramento'!$G$53)*IF(L770&lt;0,-1,1)</f>
        <v>153664.85805602249</v>
      </c>
      <c r="S770" s="545">
        <f>'Foglio deposito bis'!$F$60*IF(ABS(M770)&lt;'Sollecitazioni nel paramento'!$G$58,ABS(M770)*'Sollecitazioni nel paramento'!$G$54,'Sollecitazioni nel paramento'!$G$53)*IF(M770&lt;0,-1,1)</f>
        <v>0</v>
      </c>
      <c r="T770" s="545">
        <f>'Foglio deposito bis'!$F$61*IF(ABS(N770)&lt;'Sollecitazioni nel paramento'!$G$58,ABS(N770)*'Sollecitazioni nel paramento'!$G$54,'Sollecitazioni nel paramento'!$G$53)*IF(N770&lt;0,-1,1)</f>
        <v>240946.49743184328</v>
      </c>
      <c r="U770" s="545">
        <f>'Foglio deposito bis'!$F$62*IF(ABS(O770)&lt;'Sollecitazioni nel paramento'!$G$58,ABS(O770)*'Sollecitazioni nel paramento'!$G$54,'Sollecitazioni nel paramento'!$G$53)*IF(O770&lt;0,-1,1)</f>
        <v>314705.62929873407</v>
      </c>
      <c r="V770" s="472">
        <f t="shared" si="57"/>
        <v>479327.15540792281</v>
      </c>
      <c r="W770" s="551"/>
      <c r="X770" s="551"/>
    </row>
    <row r="771" spans="1:24" x14ac:dyDescent="0.25">
      <c r="A771" s="545">
        <f t="shared" si="56"/>
        <v>468375.25877084292</v>
      </c>
      <c r="B771" s="3">
        <f t="shared" si="58"/>
        <v>1.1000000000000003</v>
      </c>
      <c r="C771" s="545">
        <f>'Foglio deposito bis'!$E$156/sezione!$B$247*B771</f>
        <v>6.3244278031277243</v>
      </c>
      <c r="D771" s="603">
        <f>-'Sollecitazioni nel paramento'!$G$47*'Sollecitazioni nel paramento'!$G$41*IF(DATI!$G$211="dx",DATI!$E$61,DATI!$E$64*DATI!$E$63)*1000*C771^2*sezione!$AD$5*(1-sezione!$AD$6)</f>
        <v>-889910.03375341906</v>
      </c>
      <c r="E771" s="545">
        <f>-'Foglio deposito bis'!$F$58*(C771-sezione!$AL$30)*IF(ABS(K771)&lt;'Sollecitazioni nel paramento'!$G$58,ABS(K771)*'Sollecitazioni nel paramento'!$G$54,'Sollecitazioni nel paramento'!$G$53)</f>
        <v>0</v>
      </c>
      <c r="F771" s="545">
        <f>-'Foglio deposito bis'!$F$59*(C771-sezione!$AM$30)*IF(ABS(L771)&lt;'Sollecitazioni nel paramento'!$G$58,ABS(L771)*'Sollecitazioni nel paramento'!$G$54,'Sollecitazioni nel paramento'!$G$53)</f>
        <v>8248049.1827081647</v>
      </c>
      <c r="G771" s="545">
        <f>-'Foglio deposito bis'!$F$60*(C771-sezione!$AN$30)*IF(ABS(M771)&lt;'Sollecitazioni nel paramento'!$G$58,ABS(M771)*'Sollecitazioni nel paramento'!$G$54,'Sollecitazioni nel paramento'!$G$53)</f>
        <v>0</v>
      </c>
      <c r="H771" s="545">
        <f>-'Foglio deposito bis'!$F$61*(C771-sezione!$AO$30)*IF(ABS(N771)&lt;'Sollecitazioni nel paramento'!$G$58,ABS(N771)*'Sollecitazioni nel paramento'!$G$54,'Sollecitazioni nel paramento'!$G$53)</f>
        <v>37027590.861670732</v>
      </c>
      <c r="I771" s="472">
        <f>-'Foglio deposito bis'!$F$62*(C771-sezione!$AP$30)*IF(ABS(O771)&lt;'Sollecitazioni nel paramento'!$G$58,ABS(O771)*'Sollecitazioni nel paramento'!$G$54,'Sollecitazioni nel paramento'!$G$53)</f>
        <v>119135633.6557833</v>
      </c>
      <c r="J771" s="472">
        <f t="shared" si="55"/>
        <v>163521363.66640878</v>
      </c>
      <c r="K771" s="550">
        <f>'Sollecitazioni nel paramento'!$G$60*(sezione!$AL$30-C771)/C771</f>
        <v>1.863638994040907E-2</v>
      </c>
      <c r="L771" s="550">
        <f>'Sollecitazioni nel paramento'!$G$60*(sezione!$AM$30-C771)/C771</f>
        <v>2.9704584910613608E-2</v>
      </c>
      <c r="M771" s="551">
        <f>'Sollecitazioni nel paramento'!$G$60*(sezione!$AN$30-C771)/C771</f>
        <v>4.0772779880818143E-2</v>
      </c>
      <c r="N771" s="551">
        <f>'Sollecitazioni nel paramento'!$G$60*(sezione!$AO$30-C771)/C771</f>
        <v>8.5045559761636288E-2</v>
      </c>
      <c r="O771" s="551">
        <f>'Sollecitazioni nel paramento'!$G$60*(sezione!$AP$30-C771)/C771</f>
        <v>0.20949997369595436</v>
      </c>
      <c r="P771" s="545">
        <f>-'Sollecitazioni nel paramento'!$G$47*'Sollecitazioni nel paramento'!$G$41*IF(DATI!$G$211="dx",DATI!$E$61,DATI!$E$64*DATI!$E$63)*1000*C771*sezione!$AD$5</f>
        <v>-240941.7260157569</v>
      </c>
      <c r="Q771" s="545">
        <f>'Foglio deposito bis'!$F$58*IF(ABS(K771)&lt;'Sollecitazioni nel paramento'!$G$58,ABS(K771)*'Sollecitazioni nel paramento'!$G$54,'Sollecitazioni nel paramento'!$G$53)*IF(K771&lt;0,-1,1)</f>
        <v>0</v>
      </c>
      <c r="R771" s="545">
        <f>'Foglio deposito bis'!$F$59*IF(ABS(L771)&lt;'Sollecitazioni nel paramento'!$G$58,ABS(L771)*'Sollecitazioni nel paramento'!$G$54,'Sollecitazioni nel paramento'!$G$53)*IF(L771&lt;0,-1,1)</f>
        <v>153664.85805602249</v>
      </c>
      <c r="S771" s="545">
        <f>'Foglio deposito bis'!$F$60*IF(ABS(M771)&lt;'Sollecitazioni nel paramento'!$G$58,ABS(M771)*'Sollecitazioni nel paramento'!$G$54,'Sollecitazioni nel paramento'!$G$53)*IF(M771&lt;0,-1,1)</f>
        <v>0</v>
      </c>
      <c r="T771" s="545">
        <f>'Foglio deposito bis'!$F$61*IF(ABS(N771)&lt;'Sollecitazioni nel paramento'!$G$58,ABS(N771)*'Sollecitazioni nel paramento'!$G$54,'Sollecitazioni nel paramento'!$G$53)*IF(N771&lt;0,-1,1)</f>
        <v>240946.49743184328</v>
      </c>
      <c r="U771" s="545">
        <f>'Foglio deposito bis'!$F$62*IF(ABS(O771)&lt;'Sollecitazioni nel paramento'!$G$58,ABS(O771)*'Sollecitazioni nel paramento'!$G$54,'Sollecitazioni nel paramento'!$G$53)*IF(O771&lt;0,-1,1)</f>
        <v>314705.62929873407</v>
      </c>
      <c r="V771" s="472">
        <f t="shared" si="57"/>
        <v>468375.25877084292</v>
      </c>
      <c r="W771" s="551"/>
      <c r="X771" s="551"/>
    </row>
    <row r="772" spans="1:24" x14ac:dyDescent="0.25">
      <c r="A772" s="545">
        <f t="shared" si="56"/>
        <v>457423.36213376309</v>
      </c>
      <c r="B772" s="3">
        <f t="shared" si="58"/>
        <v>1.1500000000000004</v>
      </c>
      <c r="C772" s="545">
        <f>'Foglio deposito bis'!$E$156/sezione!$B$247*B772</f>
        <v>6.6119017941789853</v>
      </c>
      <c r="D772" s="603">
        <f>-'Sollecitazioni nel paramento'!$G$47*'Sollecitazioni nel paramento'!$G$41*IF(DATI!$G$211="dx",DATI!$E$61,DATI!$E$64*DATI!$E$63)*1000*C772^2*sezione!$AD$5*(1-sezione!$AD$6)</f>
        <v>-972649.60300735291</v>
      </c>
      <c r="E772" s="545">
        <f>-'Foglio deposito bis'!$F$58*(C772-sezione!$AL$30)*IF(ABS(K772)&lt;'Sollecitazioni nel paramento'!$G$58,ABS(K772)*'Sollecitazioni nel paramento'!$G$54,'Sollecitazioni nel paramento'!$G$53)</f>
        <v>0</v>
      </c>
      <c r="F772" s="545">
        <f>-'Foglio deposito bis'!$F$59*(C772-sezione!$AM$30)*IF(ABS(L772)&lt;'Sollecitazioni nel paramento'!$G$58,ABS(L772)*'Sollecitazioni nel paramento'!$G$54,'Sollecitazioni nel paramento'!$G$53)</f>
        <v>8203874.5326784756</v>
      </c>
      <c r="G772" s="545">
        <f>-'Foglio deposito bis'!$F$60*(C772-sezione!$AN$30)*IF(ABS(M772)&lt;'Sollecitazioni nel paramento'!$G$58,ABS(M772)*'Sollecitazioni nel paramento'!$G$54,'Sollecitazioni nel paramento'!$G$53)</f>
        <v>0</v>
      </c>
      <c r="H772" s="545">
        <f>-'Foglio deposito bis'!$F$61*(C772-sezione!$AO$30)*IF(ABS(N772)&lt;'Sollecitazioni nel paramento'!$G$58,ABS(N772)*'Sollecitazioni nel paramento'!$G$54,'Sollecitazioni nel paramento'!$G$53)</f>
        <v>36958325.010424182</v>
      </c>
      <c r="I772" s="472">
        <f>-'Foglio deposito bis'!$F$62*(C772-sezione!$AP$30)*IF(ABS(O772)&lt;'Sollecitazioni nel paramento'!$G$58,ABS(O772)*'Sollecitazioni nel paramento'!$G$54,'Sollecitazioni nel paramento'!$G$53)</f>
        <v>119045163.97252248</v>
      </c>
      <c r="J772" s="472">
        <f t="shared" si="55"/>
        <v>163234713.9126178</v>
      </c>
      <c r="K772" s="550">
        <f>'Sollecitazioni nel paramento'!$G$60*(sezione!$AL$30-C772)/C772</f>
        <v>1.7673938203869546E-2</v>
      </c>
      <c r="L772" s="550">
        <f>'Sollecitazioni nel paramento'!$G$60*(sezione!$AM$30-C772)/C772</f>
        <v>2.8260907305804314E-2</v>
      </c>
      <c r="M772" s="551">
        <f>'Sollecitazioni nel paramento'!$G$60*(sezione!$AN$30-C772)/C772</f>
        <v>3.8847876407739082E-2</v>
      </c>
      <c r="N772" s="551">
        <f>'Sollecitazioni nel paramento'!$G$60*(sezione!$AO$30-C772)/C772</f>
        <v>8.1195752815478181E-2</v>
      </c>
      <c r="O772" s="551">
        <f>'Sollecitazioni nel paramento'!$G$60*(sezione!$AP$30-C772)/C772</f>
        <v>0.20023910527439107</v>
      </c>
      <c r="P772" s="545">
        <f>-'Sollecitazioni nel paramento'!$G$47*'Sollecitazioni nel paramento'!$G$41*IF(DATI!$G$211="dx",DATI!$E$61,DATI!$E$64*DATI!$E$63)*1000*C772*sezione!$AD$5</f>
        <v>-251893.62265283676</v>
      </c>
      <c r="Q772" s="545">
        <f>'Foglio deposito bis'!$F$58*IF(ABS(K772)&lt;'Sollecitazioni nel paramento'!$G$58,ABS(K772)*'Sollecitazioni nel paramento'!$G$54,'Sollecitazioni nel paramento'!$G$53)*IF(K772&lt;0,-1,1)</f>
        <v>0</v>
      </c>
      <c r="R772" s="545">
        <f>'Foglio deposito bis'!$F$59*IF(ABS(L772)&lt;'Sollecitazioni nel paramento'!$G$58,ABS(L772)*'Sollecitazioni nel paramento'!$G$54,'Sollecitazioni nel paramento'!$G$53)*IF(L772&lt;0,-1,1)</f>
        <v>153664.85805602249</v>
      </c>
      <c r="S772" s="545">
        <f>'Foglio deposito bis'!$F$60*IF(ABS(M772)&lt;'Sollecitazioni nel paramento'!$G$58,ABS(M772)*'Sollecitazioni nel paramento'!$G$54,'Sollecitazioni nel paramento'!$G$53)*IF(M772&lt;0,-1,1)</f>
        <v>0</v>
      </c>
      <c r="T772" s="545">
        <f>'Foglio deposito bis'!$F$61*IF(ABS(N772)&lt;'Sollecitazioni nel paramento'!$G$58,ABS(N772)*'Sollecitazioni nel paramento'!$G$54,'Sollecitazioni nel paramento'!$G$53)*IF(N772&lt;0,-1,1)</f>
        <v>240946.49743184328</v>
      </c>
      <c r="U772" s="545">
        <f>'Foglio deposito bis'!$F$62*IF(ABS(O772)&lt;'Sollecitazioni nel paramento'!$G$58,ABS(O772)*'Sollecitazioni nel paramento'!$G$54,'Sollecitazioni nel paramento'!$G$53)*IF(O772&lt;0,-1,1)</f>
        <v>314705.62929873407</v>
      </c>
      <c r="V772" s="472">
        <f t="shared" si="57"/>
        <v>457423.36213376309</v>
      </c>
      <c r="W772" s="551"/>
      <c r="X772" s="551"/>
    </row>
    <row r="773" spans="1:24" x14ac:dyDescent="0.25">
      <c r="A773" s="545">
        <f t="shared" si="56"/>
        <v>446471.46549668326</v>
      </c>
      <c r="B773" s="3">
        <f t="shared" si="58"/>
        <v>1.2000000000000004</v>
      </c>
      <c r="C773" s="545">
        <f>'Foglio deposito bis'!$E$156/sezione!$B$247*B773</f>
        <v>6.8993757852302453</v>
      </c>
      <c r="D773" s="603">
        <f>-'Sollecitazioni nel paramento'!$G$47*'Sollecitazioni nel paramento'!$G$41*IF(DATI!$G$211="dx",DATI!$E$61,DATI!$E$64*DATI!$E$63)*1000*C773^2*sezione!$AD$5*(1-sezione!$AD$6)</f>
        <v>-1059066.4864503501</v>
      </c>
      <c r="E773" s="545">
        <f>-'Foglio deposito bis'!$F$58*(C773-sezione!$AL$30)*IF(ABS(K773)&lt;'Sollecitazioni nel paramento'!$G$58,ABS(K773)*'Sollecitazioni nel paramento'!$G$54,'Sollecitazioni nel paramento'!$G$53)</f>
        <v>0</v>
      </c>
      <c r="F773" s="545">
        <f>-'Foglio deposito bis'!$F$59*(C773-sezione!$AM$30)*IF(ABS(L773)&lt;'Sollecitazioni nel paramento'!$G$58,ABS(L773)*'Sollecitazioni nel paramento'!$G$54,'Sollecitazioni nel paramento'!$G$53)</f>
        <v>8159699.8826487847</v>
      </c>
      <c r="G773" s="545">
        <f>-'Foglio deposito bis'!$F$60*(C773-sezione!$AN$30)*IF(ABS(M773)&lt;'Sollecitazioni nel paramento'!$G$58,ABS(M773)*'Sollecitazioni nel paramento'!$G$54,'Sollecitazioni nel paramento'!$G$53)</f>
        <v>0</v>
      </c>
      <c r="H773" s="545">
        <f>-'Foglio deposito bis'!$F$61*(C773-sezione!$AO$30)*IF(ABS(N773)&lt;'Sollecitazioni nel paramento'!$G$58,ABS(N773)*'Sollecitazioni nel paramento'!$G$54,'Sollecitazioni nel paramento'!$G$53)</f>
        <v>36889059.159177624</v>
      </c>
      <c r="I773" s="472">
        <f>-'Foglio deposito bis'!$F$62*(C773-sezione!$AP$30)*IF(ABS(O773)&lt;'Sollecitazioni nel paramento'!$G$58,ABS(O773)*'Sollecitazioni nel paramento'!$G$54,'Sollecitazioni nel paramento'!$G$53)</f>
        <v>118954694.2892617</v>
      </c>
      <c r="J773" s="472">
        <f t="shared" si="55"/>
        <v>162944386.84463775</v>
      </c>
      <c r="K773" s="550">
        <f>'Sollecitazioni nel paramento'!$G$60*(sezione!$AL$30-C773)/C773</f>
        <v>1.6791690778708311E-2</v>
      </c>
      <c r="L773" s="550">
        <f>'Sollecitazioni nel paramento'!$G$60*(sezione!$AM$30-C773)/C773</f>
        <v>2.6937536168062468E-2</v>
      </c>
      <c r="M773" s="551">
        <f>'Sollecitazioni nel paramento'!$G$60*(sezione!$AN$30-C773)/C773</f>
        <v>3.7083381557416625E-2</v>
      </c>
      <c r="N773" s="551">
        <f>'Sollecitazioni nel paramento'!$G$60*(sezione!$AO$30-C773)/C773</f>
        <v>7.7666763114833254E-2</v>
      </c>
      <c r="O773" s="551">
        <f>'Sollecitazioni nel paramento'!$G$60*(sezione!$AP$30-C773)/C773</f>
        <v>0.19174997588795811</v>
      </c>
      <c r="P773" s="545">
        <f>-'Sollecitazioni nel paramento'!$G$47*'Sollecitazioni nel paramento'!$G$41*IF(DATI!$G$211="dx",DATI!$E$61,DATI!$E$64*DATI!$E$63)*1000*C773*sezione!$AD$5</f>
        <v>-262845.51928991661</v>
      </c>
      <c r="Q773" s="545">
        <f>'Foglio deposito bis'!$F$58*IF(ABS(K773)&lt;'Sollecitazioni nel paramento'!$G$58,ABS(K773)*'Sollecitazioni nel paramento'!$G$54,'Sollecitazioni nel paramento'!$G$53)*IF(K773&lt;0,-1,1)</f>
        <v>0</v>
      </c>
      <c r="R773" s="545">
        <f>'Foglio deposito bis'!$F$59*IF(ABS(L773)&lt;'Sollecitazioni nel paramento'!$G$58,ABS(L773)*'Sollecitazioni nel paramento'!$G$54,'Sollecitazioni nel paramento'!$G$53)*IF(L773&lt;0,-1,1)</f>
        <v>153664.85805602249</v>
      </c>
      <c r="S773" s="545">
        <f>'Foglio deposito bis'!$F$60*IF(ABS(M773)&lt;'Sollecitazioni nel paramento'!$G$58,ABS(M773)*'Sollecitazioni nel paramento'!$G$54,'Sollecitazioni nel paramento'!$G$53)*IF(M773&lt;0,-1,1)</f>
        <v>0</v>
      </c>
      <c r="T773" s="545">
        <f>'Foglio deposito bis'!$F$61*IF(ABS(N773)&lt;'Sollecitazioni nel paramento'!$G$58,ABS(N773)*'Sollecitazioni nel paramento'!$G$54,'Sollecitazioni nel paramento'!$G$53)*IF(N773&lt;0,-1,1)</f>
        <v>240946.49743184328</v>
      </c>
      <c r="U773" s="545">
        <f>'Foglio deposito bis'!$F$62*IF(ABS(O773)&lt;'Sollecitazioni nel paramento'!$G$58,ABS(O773)*'Sollecitazioni nel paramento'!$G$54,'Sollecitazioni nel paramento'!$G$53)*IF(O773&lt;0,-1,1)</f>
        <v>314705.62929873407</v>
      </c>
      <c r="V773" s="472">
        <f t="shared" si="57"/>
        <v>446471.46549668326</v>
      </c>
      <c r="W773" s="551"/>
      <c r="X773" s="551"/>
    </row>
    <row r="774" spans="1:24" x14ac:dyDescent="0.25">
      <c r="A774" s="545">
        <f t="shared" si="56"/>
        <v>435519.56885960337</v>
      </c>
      <c r="B774" s="3">
        <f t="shared" si="58"/>
        <v>1.2500000000000004</v>
      </c>
      <c r="C774" s="545">
        <f>'Foglio deposito bis'!$E$156/sezione!$B$247*B774</f>
        <v>7.1868497762815053</v>
      </c>
      <c r="D774" s="603">
        <f>-'Sollecitazioni nel paramento'!$G$47*'Sollecitazioni nel paramento'!$G$41*IF(DATI!$G$211="dx",DATI!$E$61,DATI!$E$64*DATI!$E$63)*1000*C774^2*sezione!$AD$5*(1-sezione!$AD$6)</f>
        <v>-1149160.6840824112</v>
      </c>
      <c r="E774" s="545">
        <f>-'Foglio deposito bis'!$F$58*(C774-sezione!$AL$30)*IF(ABS(K774)&lt;'Sollecitazioni nel paramento'!$G$58,ABS(K774)*'Sollecitazioni nel paramento'!$G$54,'Sollecitazioni nel paramento'!$G$53)</f>
        <v>0</v>
      </c>
      <c r="F774" s="545">
        <f>-'Foglio deposito bis'!$F$59*(C774-sezione!$AM$30)*IF(ABS(L774)&lt;'Sollecitazioni nel paramento'!$G$58,ABS(L774)*'Sollecitazioni nel paramento'!$G$54,'Sollecitazioni nel paramento'!$G$53)</f>
        <v>8115525.2326190956</v>
      </c>
      <c r="G774" s="545">
        <f>-'Foglio deposito bis'!$F$60*(C774-sezione!$AN$30)*IF(ABS(M774)&lt;'Sollecitazioni nel paramento'!$G$58,ABS(M774)*'Sollecitazioni nel paramento'!$G$54,'Sollecitazioni nel paramento'!$G$53)</f>
        <v>0</v>
      </c>
      <c r="H774" s="545">
        <f>-'Foglio deposito bis'!$F$61*(C774-sezione!$AO$30)*IF(ABS(N774)&lt;'Sollecitazioni nel paramento'!$G$58,ABS(N774)*'Sollecitazioni nel paramento'!$G$54,'Sollecitazioni nel paramento'!$G$53)</f>
        <v>36819793.307931066</v>
      </c>
      <c r="I774" s="472">
        <f>-'Foglio deposito bis'!$F$62*(C774-sezione!$AP$30)*IF(ABS(O774)&lt;'Sollecitazioni nel paramento'!$G$58,ABS(O774)*'Sollecitazioni nel paramento'!$G$54,'Sollecitazioni nel paramento'!$G$53)</f>
        <v>118864224.60600087</v>
      </c>
      <c r="J774" s="472">
        <f t="shared" si="55"/>
        <v>162650382.46246862</v>
      </c>
      <c r="K774" s="550">
        <f>'Sollecitazioni nel paramento'!$G$60*(sezione!$AL$30-C774)/C774</f>
        <v>1.5980023147559981E-2</v>
      </c>
      <c r="L774" s="550">
        <f>'Sollecitazioni nel paramento'!$G$60*(sezione!$AM$30-C774)/C774</f>
        <v>2.5720034721339973E-2</v>
      </c>
      <c r="M774" s="551">
        <f>'Sollecitazioni nel paramento'!$G$60*(sezione!$AN$30-C774)/C774</f>
        <v>3.5460046295119965E-2</v>
      </c>
      <c r="N774" s="551">
        <f>'Sollecitazioni nel paramento'!$G$60*(sezione!$AO$30-C774)/C774</f>
        <v>7.442009259023992E-2</v>
      </c>
      <c r="O774" s="551">
        <f>'Sollecitazioni nel paramento'!$G$60*(sezione!$AP$30-C774)/C774</f>
        <v>0.18393997685243979</v>
      </c>
      <c r="P774" s="545">
        <f>-'Sollecitazioni nel paramento'!$G$47*'Sollecitazioni nel paramento'!$G$41*IF(DATI!$G$211="dx",DATI!$E$61,DATI!$E$64*DATI!$E$63)*1000*C774*sezione!$AD$5</f>
        <v>-273797.41592699644</v>
      </c>
      <c r="Q774" s="545">
        <f>'Foglio deposito bis'!$F$58*IF(ABS(K774)&lt;'Sollecitazioni nel paramento'!$G$58,ABS(K774)*'Sollecitazioni nel paramento'!$G$54,'Sollecitazioni nel paramento'!$G$53)*IF(K774&lt;0,-1,1)</f>
        <v>0</v>
      </c>
      <c r="R774" s="545">
        <f>'Foglio deposito bis'!$F$59*IF(ABS(L774)&lt;'Sollecitazioni nel paramento'!$G$58,ABS(L774)*'Sollecitazioni nel paramento'!$G$54,'Sollecitazioni nel paramento'!$G$53)*IF(L774&lt;0,-1,1)</f>
        <v>153664.85805602249</v>
      </c>
      <c r="S774" s="545">
        <f>'Foglio deposito bis'!$F$60*IF(ABS(M774)&lt;'Sollecitazioni nel paramento'!$G$58,ABS(M774)*'Sollecitazioni nel paramento'!$G$54,'Sollecitazioni nel paramento'!$G$53)*IF(M774&lt;0,-1,1)</f>
        <v>0</v>
      </c>
      <c r="T774" s="545">
        <f>'Foglio deposito bis'!$F$61*IF(ABS(N774)&lt;'Sollecitazioni nel paramento'!$G$58,ABS(N774)*'Sollecitazioni nel paramento'!$G$54,'Sollecitazioni nel paramento'!$G$53)*IF(N774&lt;0,-1,1)</f>
        <v>240946.49743184328</v>
      </c>
      <c r="U774" s="545">
        <f>'Foglio deposito bis'!$F$62*IF(ABS(O774)&lt;'Sollecitazioni nel paramento'!$G$58,ABS(O774)*'Sollecitazioni nel paramento'!$G$54,'Sollecitazioni nel paramento'!$G$53)*IF(O774&lt;0,-1,1)</f>
        <v>314705.62929873407</v>
      </c>
      <c r="V774" s="472">
        <f t="shared" si="57"/>
        <v>435519.56885960337</v>
      </c>
      <c r="W774" s="551"/>
      <c r="X774" s="551"/>
    </row>
    <row r="775" spans="1:24" x14ac:dyDescent="0.25">
      <c r="A775" s="545">
        <f t="shared" si="56"/>
        <v>424567.67222252348</v>
      </c>
      <c r="B775" s="3">
        <f t="shared" si="58"/>
        <v>1.3000000000000005</v>
      </c>
      <c r="C775" s="545">
        <f>'Foglio deposito bis'!$E$156/sezione!$B$247*B775</f>
        <v>7.4743237673327663</v>
      </c>
      <c r="D775" s="603">
        <f>-'Sollecitazioni nel paramento'!$G$47*'Sollecitazioni nel paramento'!$G$41*IF(DATI!$G$211="dx",DATI!$E$61,DATI!$E$64*DATI!$E$63)*1000*C775^2*sezione!$AD$5*(1-sezione!$AD$6)</f>
        <v>-1242932.1959035359</v>
      </c>
      <c r="E775" s="545">
        <f>-'Foglio deposito bis'!$F$58*(C775-sezione!$AL$30)*IF(ABS(K775)&lt;'Sollecitazioni nel paramento'!$G$58,ABS(K775)*'Sollecitazioni nel paramento'!$G$54,'Sollecitazioni nel paramento'!$G$53)</f>
        <v>0</v>
      </c>
      <c r="F775" s="545">
        <f>-'Foglio deposito bis'!$F$59*(C775-sezione!$AM$30)*IF(ABS(L775)&lt;'Sollecitazioni nel paramento'!$G$58,ABS(L775)*'Sollecitazioni nel paramento'!$G$54,'Sollecitazioni nel paramento'!$G$53)</f>
        <v>8071350.5825894047</v>
      </c>
      <c r="G775" s="545">
        <f>-'Foglio deposito bis'!$F$60*(C775-sezione!$AN$30)*IF(ABS(M775)&lt;'Sollecitazioni nel paramento'!$G$58,ABS(M775)*'Sollecitazioni nel paramento'!$G$54,'Sollecitazioni nel paramento'!$G$53)</f>
        <v>0</v>
      </c>
      <c r="H775" s="545">
        <f>-'Foglio deposito bis'!$F$61*(C775-sezione!$AO$30)*IF(ABS(N775)&lt;'Sollecitazioni nel paramento'!$G$58,ABS(N775)*'Sollecitazioni nel paramento'!$G$54,'Sollecitazioni nel paramento'!$G$53)</f>
        <v>36750527.456684515</v>
      </c>
      <c r="I775" s="472">
        <f>-'Foglio deposito bis'!$F$62*(C775-sezione!$AP$30)*IF(ABS(O775)&lt;'Sollecitazioni nel paramento'!$G$58,ABS(O775)*'Sollecitazioni nel paramento'!$G$54,'Sollecitazioni nel paramento'!$G$53)</f>
        <v>118773754.92274009</v>
      </c>
      <c r="J775" s="472">
        <f t="shared" si="55"/>
        <v>162352700.76611048</v>
      </c>
      <c r="K775" s="550">
        <f>'Sollecitazioni nel paramento'!$G$60*(sezione!$AL$30-C775)/C775</f>
        <v>1.5230791488038443E-2</v>
      </c>
      <c r="L775" s="550">
        <f>'Sollecitazioni nel paramento'!$G$60*(sezione!$AM$30-C775)/C775</f>
        <v>2.4596187232057667E-2</v>
      </c>
      <c r="M775" s="551">
        <f>'Sollecitazioni nel paramento'!$G$60*(sezione!$AN$30-C775)/C775</f>
        <v>3.396158297607689E-2</v>
      </c>
      <c r="N775" s="551">
        <f>'Sollecitazioni nel paramento'!$G$60*(sezione!$AO$30-C775)/C775</f>
        <v>7.1423165952153755E-2</v>
      </c>
      <c r="O775" s="551">
        <f>'Sollecitazioni nel paramento'!$G$60*(sezione!$AP$30-C775)/C775</f>
        <v>0.1767307469734998</v>
      </c>
      <c r="P775" s="545">
        <f>-'Sollecitazioni nel paramento'!$G$47*'Sollecitazioni nel paramento'!$G$41*IF(DATI!$G$211="dx",DATI!$E$61,DATI!$E$64*DATI!$E$63)*1000*C775*sezione!$AD$5</f>
        <v>-284749.31256407633</v>
      </c>
      <c r="Q775" s="545">
        <f>'Foglio deposito bis'!$F$58*IF(ABS(K775)&lt;'Sollecitazioni nel paramento'!$G$58,ABS(K775)*'Sollecitazioni nel paramento'!$G$54,'Sollecitazioni nel paramento'!$G$53)*IF(K775&lt;0,-1,1)</f>
        <v>0</v>
      </c>
      <c r="R775" s="545">
        <f>'Foglio deposito bis'!$F$59*IF(ABS(L775)&lt;'Sollecitazioni nel paramento'!$G$58,ABS(L775)*'Sollecitazioni nel paramento'!$G$54,'Sollecitazioni nel paramento'!$G$53)*IF(L775&lt;0,-1,1)</f>
        <v>153664.85805602249</v>
      </c>
      <c r="S775" s="545">
        <f>'Foglio deposito bis'!$F$60*IF(ABS(M775)&lt;'Sollecitazioni nel paramento'!$G$58,ABS(M775)*'Sollecitazioni nel paramento'!$G$54,'Sollecitazioni nel paramento'!$G$53)*IF(M775&lt;0,-1,1)</f>
        <v>0</v>
      </c>
      <c r="T775" s="545">
        <f>'Foglio deposito bis'!$F$61*IF(ABS(N775)&lt;'Sollecitazioni nel paramento'!$G$58,ABS(N775)*'Sollecitazioni nel paramento'!$G$54,'Sollecitazioni nel paramento'!$G$53)*IF(N775&lt;0,-1,1)</f>
        <v>240946.49743184328</v>
      </c>
      <c r="U775" s="545">
        <f>'Foglio deposito bis'!$F$62*IF(ABS(O775)&lt;'Sollecitazioni nel paramento'!$G$58,ABS(O775)*'Sollecitazioni nel paramento'!$G$54,'Sollecitazioni nel paramento'!$G$53)*IF(O775&lt;0,-1,1)</f>
        <v>314705.62929873407</v>
      </c>
      <c r="V775" s="472">
        <f t="shared" si="57"/>
        <v>424567.67222252348</v>
      </c>
      <c r="W775" s="551"/>
      <c r="X775" s="551"/>
    </row>
    <row r="776" spans="1:24" x14ac:dyDescent="0.25">
      <c r="A776" s="545">
        <f t="shared" si="56"/>
        <v>413615.7755854436</v>
      </c>
      <c r="B776" s="3">
        <f t="shared" si="58"/>
        <v>1.3500000000000005</v>
      </c>
      <c r="C776" s="545">
        <f>'Foglio deposito bis'!$E$156/sezione!$B$247*B776</f>
        <v>7.7617977583840263</v>
      </c>
      <c r="D776" s="603">
        <f>-'Sollecitazioni nel paramento'!$G$47*'Sollecitazioni nel paramento'!$G$41*IF(DATI!$G$211="dx",DATI!$E$61,DATI!$E$64*DATI!$E$63)*1000*C776^2*sezione!$AD$5*(1-sezione!$AD$6)</f>
        <v>-1340381.0219137245</v>
      </c>
      <c r="E776" s="545">
        <f>-'Foglio deposito bis'!$F$58*(C776-sezione!$AL$30)*IF(ABS(K776)&lt;'Sollecitazioni nel paramento'!$G$58,ABS(K776)*'Sollecitazioni nel paramento'!$G$54,'Sollecitazioni nel paramento'!$G$53)</f>
        <v>0</v>
      </c>
      <c r="F776" s="545">
        <f>-'Foglio deposito bis'!$F$59*(C776-sezione!$AM$30)*IF(ABS(L776)&lt;'Sollecitazioni nel paramento'!$G$58,ABS(L776)*'Sollecitazioni nel paramento'!$G$54,'Sollecitazioni nel paramento'!$G$53)</f>
        <v>8027175.9325597147</v>
      </c>
      <c r="G776" s="545">
        <f>-'Foglio deposito bis'!$F$60*(C776-sezione!$AN$30)*IF(ABS(M776)&lt;'Sollecitazioni nel paramento'!$G$58,ABS(M776)*'Sollecitazioni nel paramento'!$G$54,'Sollecitazioni nel paramento'!$G$53)</f>
        <v>0</v>
      </c>
      <c r="H776" s="545">
        <f>-'Foglio deposito bis'!$F$61*(C776-sezione!$AO$30)*IF(ABS(N776)&lt;'Sollecitazioni nel paramento'!$G$58,ABS(N776)*'Sollecitazioni nel paramento'!$G$54,'Sollecitazioni nel paramento'!$G$53)</f>
        <v>36681261.605437957</v>
      </c>
      <c r="I776" s="472">
        <f>-'Foglio deposito bis'!$F$62*(C776-sezione!$AP$30)*IF(ABS(O776)&lt;'Sollecitazioni nel paramento'!$G$58,ABS(O776)*'Sollecitazioni nel paramento'!$G$54,'Sollecitazioni nel paramento'!$G$53)</f>
        <v>118683285.23947927</v>
      </c>
      <c r="J776" s="472">
        <f t="shared" si="55"/>
        <v>162051341.75556323</v>
      </c>
      <c r="K776" s="550">
        <f>'Sollecitazioni nel paramento'!$G$60*(sezione!$AL$30-C776)/C776</f>
        <v>1.4537058469962946E-2</v>
      </c>
      <c r="L776" s="550">
        <f>'Sollecitazioni nel paramento'!$G$60*(sezione!$AM$30-C776)/C776</f>
        <v>2.3555587704944418E-2</v>
      </c>
      <c r="M776" s="551">
        <f>'Sollecitazioni nel paramento'!$G$60*(sezione!$AN$30-C776)/C776</f>
        <v>3.2574116939925894E-2</v>
      </c>
      <c r="N776" s="551">
        <f>'Sollecitazioni nel paramento'!$G$60*(sezione!$AO$30-C776)/C776</f>
        <v>6.8648233879851778E-2</v>
      </c>
      <c r="O776" s="551">
        <f>'Sollecitazioni nel paramento'!$G$60*(sezione!$AP$30-C776)/C776</f>
        <v>0.17005553412262944</v>
      </c>
      <c r="P776" s="545">
        <f>-'Sollecitazioni nel paramento'!$G$47*'Sollecitazioni nel paramento'!$G$41*IF(DATI!$G$211="dx",DATI!$E$61,DATI!$E$64*DATI!$E$63)*1000*C776*sezione!$AD$5</f>
        <v>-295701.20920115622</v>
      </c>
      <c r="Q776" s="545">
        <f>'Foglio deposito bis'!$F$58*IF(ABS(K776)&lt;'Sollecitazioni nel paramento'!$G$58,ABS(K776)*'Sollecitazioni nel paramento'!$G$54,'Sollecitazioni nel paramento'!$G$53)*IF(K776&lt;0,-1,1)</f>
        <v>0</v>
      </c>
      <c r="R776" s="545">
        <f>'Foglio deposito bis'!$F$59*IF(ABS(L776)&lt;'Sollecitazioni nel paramento'!$G$58,ABS(L776)*'Sollecitazioni nel paramento'!$G$54,'Sollecitazioni nel paramento'!$G$53)*IF(L776&lt;0,-1,1)</f>
        <v>153664.85805602249</v>
      </c>
      <c r="S776" s="545">
        <f>'Foglio deposito bis'!$F$60*IF(ABS(M776)&lt;'Sollecitazioni nel paramento'!$G$58,ABS(M776)*'Sollecitazioni nel paramento'!$G$54,'Sollecitazioni nel paramento'!$G$53)*IF(M776&lt;0,-1,1)</f>
        <v>0</v>
      </c>
      <c r="T776" s="545">
        <f>'Foglio deposito bis'!$F$61*IF(ABS(N776)&lt;'Sollecitazioni nel paramento'!$G$58,ABS(N776)*'Sollecitazioni nel paramento'!$G$54,'Sollecitazioni nel paramento'!$G$53)*IF(N776&lt;0,-1,1)</f>
        <v>240946.49743184328</v>
      </c>
      <c r="U776" s="545">
        <f>'Foglio deposito bis'!$F$62*IF(ABS(O776)&lt;'Sollecitazioni nel paramento'!$G$58,ABS(O776)*'Sollecitazioni nel paramento'!$G$54,'Sollecitazioni nel paramento'!$G$53)*IF(O776&lt;0,-1,1)</f>
        <v>314705.62929873407</v>
      </c>
      <c r="V776" s="472">
        <f t="shared" si="57"/>
        <v>413615.7755854436</v>
      </c>
      <c r="W776" s="551"/>
      <c r="X776" s="551"/>
    </row>
    <row r="777" spans="1:24" x14ac:dyDescent="0.25">
      <c r="A777" s="545">
        <f t="shared" si="56"/>
        <v>402663.87894836382</v>
      </c>
      <c r="B777" s="3">
        <f t="shared" si="58"/>
        <v>1.4000000000000006</v>
      </c>
      <c r="C777" s="545">
        <f>'Foglio deposito bis'!$E$156/sezione!$B$247*B777</f>
        <v>8.0492717494352863</v>
      </c>
      <c r="D777" s="603">
        <f>-'Sollecitazioni nel paramento'!$G$47*'Sollecitazioni nel paramento'!$G$41*IF(DATI!$G$211="dx",DATI!$E$61,DATI!$E$64*DATI!$E$63)*1000*C777^2*sezione!$AD$5*(1-sezione!$AD$6)</f>
        <v>-1441507.1621129769</v>
      </c>
      <c r="E777" s="545">
        <f>-'Foglio deposito bis'!$F$58*(C777-sezione!$AL$30)*IF(ABS(K777)&lt;'Sollecitazioni nel paramento'!$G$58,ABS(K777)*'Sollecitazioni nel paramento'!$G$54,'Sollecitazioni nel paramento'!$G$53)</f>
        <v>0</v>
      </c>
      <c r="F777" s="545">
        <f>-'Foglio deposito bis'!$F$59*(C777-sezione!$AM$30)*IF(ABS(L777)&lt;'Sollecitazioni nel paramento'!$G$58,ABS(L777)*'Sollecitazioni nel paramento'!$G$54,'Sollecitazioni nel paramento'!$G$53)</f>
        <v>7983001.2825300246</v>
      </c>
      <c r="G777" s="545">
        <f>-'Foglio deposito bis'!$F$60*(C777-sezione!$AN$30)*IF(ABS(M777)&lt;'Sollecitazioni nel paramento'!$G$58,ABS(M777)*'Sollecitazioni nel paramento'!$G$54,'Sollecitazioni nel paramento'!$G$53)</f>
        <v>0</v>
      </c>
      <c r="H777" s="545">
        <f>-'Foglio deposito bis'!$F$61*(C777-sezione!$AO$30)*IF(ABS(N777)&lt;'Sollecitazioni nel paramento'!$G$58,ABS(N777)*'Sollecitazioni nel paramento'!$G$54,'Sollecitazioni nel paramento'!$G$53)</f>
        <v>36611995.754191406</v>
      </c>
      <c r="I777" s="472">
        <f>-'Foglio deposito bis'!$F$62*(C777-sezione!$AP$30)*IF(ABS(O777)&lt;'Sollecitazioni nel paramento'!$G$58,ABS(O777)*'Sollecitazioni nel paramento'!$G$54,'Sollecitazioni nel paramento'!$G$53)</f>
        <v>118592815.55621846</v>
      </c>
      <c r="J777" s="472">
        <f t="shared" si="55"/>
        <v>161746305.4308269</v>
      </c>
      <c r="K777" s="550">
        <f>'Sollecitazioni nel paramento'!$G$60*(sezione!$AL$30-C777)/C777</f>
        <v>1.3892877810321412E-2</v>
      </c>
      <c r="L777" s="550">
        <f>'Sollecitazioni nel paramento'!$G$60*(sezione!$AM$30-C777)/C777</f>
        <v>2.2589316715482116E-2</v>
      </c>
      <c r="M777" s="551">
        <f>'Sollecitazioni nel paramento'!$G$60*(sezione!$AN$30-C777)/C777</f>
        <v>3.128575562064282E-2</v>
      </c>
      <c r="N777" s="551">
        <f>'Sollecitazioni nel paramento'!$G$60*(sezione!$AO$30-C777)/C777</f>
        <v>6.6071511241285644E-2</v>
      </c>
      <c r="O777" s="551">
        <f>'Sollecitazioni nel paramento'!$G$60*(sezione!$AP$30-C777)/C777</f>
        <v>0.16385712218967838</v>
      </c>
      <c r="P777" s="545">
        <f>-'Sollecitazioni nel paramento'!$G$47*'Sollecitazioni nel paramento'!$G$41*IF(DATI!$G$211="dx",DATI!$E$61,DATI!$E$64*DATI!$E$63)*1000*C777*sezione!$AD$5</f>
        <v>-306653.10583823605</v>
      </c>
      <c r="Q777" s="545">
        <f>'Foglio deposito bis'!$F$58*IF(ABS(K777)&lt;'Sollecitazioni nel paramento'!$G$58,ABS(K777)*'Sollecitazioni nel paramento'!$G$54,'Sollecitazioni nel paramento'!$G$53)*IF(K777&lt;0,-1,1)</f>
        <v>0</v>
      </c>
      <c r="R777" s="545">
        <f>'Foglio deposito bis'!$F$59*IF(ABS(L777)&lt;'Sollecitazioni nel paramento'!$G$58,ABS(L777)*'Sollecitazioni nel paramento'!$G$54,'Sollecitazioni nel paramento'!$G$53)*IF(L777&lt;0,-1,1)</f>
        <v>153664.85805602249</v>
      </c>
      <c r="S777" s="545">
        <f>'Foglio deposito bis'!$F$60*IF(ABS(M777)&lt;'Sollecitazioni nel paramento'!$G$58,ABS(M777)*'Sollecitazioni nel paramento'!$G$54,'Sollecitazioni nel paramento'!$G$53)*IF(M777&lt;0,-1,1)</f>
        <v>0</v>
      </c>
      <c r="T777" s="545">
        <f>'Foglio deposito bis'!$F$61*IF(ABS(N777)&lt;'Sollecitazioni nel paramento'!$G$58,ABS(N777)*'Sollecitazioni nel paramento'!$G$54,'Sollecitazioni nel paramento'!$G$53)*IF(N777&lt;0,-1,1)</f>
        <v>240946.49743184328</v>
      </c>
      <c r="U777" s="545">
        <f>'Foglio deposito bis'!$F$62*IF(ABS(O777)&lt;'Sollecitazioni nel paramento'!$G$58,ABS(O777)*'Sollecitazioni nel paramento'!$G$54,'Sollecitazioni nel paramento'!$G$53)*IF(O777&lt;0,-1,1)</f>
        <v>314705.62929873407</v>
      </c>
      <c r="V777" s="472">
        <f t="shared" si="57"/>
        <v>402663.87894836382</v>
      </c>
      <c r="W777" s="551"/>
      <c r="X777" s="551"/>
    </row>
    <row r="778" spans="1:24" x14ac:dyDescent="0.25">
      <c r="A778" s="545">
        <f t="shared" si="56"/>
        <v>391711.98231128394</v>
      </c>
      <c r="B778" s="3">
        <f t="shared" si="58"/>
        <v>1.4500000000000006</v>
      </c>
      <c r="C778" s="545">
        <f>'Foglio deposito bis'!$E$156/sezione!$B$247*B778</f>
        <v>8.3367457404865473</v>
      </c>
      <c r="D778" s="603">
        <f>-'Sollecitazioni nel paramento'!$G$47*'Sollecitazioni nel paramento'!$G$41*IF(DATI!$G$211="dx",DATI!$E$61,DATI!$E$64*DATI!$E$63)*1000*C778^2*sezione!$AD$5*(1-sezione!$AD$6)</f>
        <v>-1546310.6165012929</v>
      </c>
      <c r="E778" s="545">
        <f>-'Foglio deposito bis'!$F$58*(C778-sezione!$AL$30)*IF(ABS(K778)&lt;'Sollecitazioni nel paramento'!$G$58,ABS(K778)*'Sollecitazioni nel paramento'!$G$54,'Sollecitazioni nel paramento'!$G$53)</f>
        <v>0</v>
      </c>
      <c r="F778" s="545">
        <f>-'Foglio deposito bis'!$F$59*(C778-sezione!$AM$30)*IF(ABS(L778)&lt;'Sollecitazioni nel paramento'!$G$58,ABS(L778)*'Sollecitazioni nel paramento'!$G$54,'Sollecitazioni nel paramento'!$G$53)</f>
        <v>7938826.6325003346</v>
      </c>
      <c r="G778" s="545">
        <f>-'Foglio deposito bis'!$F$60*(C778-sezione!$AN$30)*IF(ABS(M778)&lt;'Sollecitazioni nel paramento'!$G$58,ABS(M778)*'Sollecitazioni nel paramento'!$G$54,'Sollecitazioni nel paramento'!$G$53)</f>
        <v>0</v>
      </c>
      <c r="H778" s="545">
        <f>-'Foglio deposito bis'!$F$61*(C778-sezione!$AO$30)*IF(ABS(N778)&lt;'Sollecitazioni nel paramento'!$G$58,ABS(N778)*'Sollecitazioni nel paramento'!$G$54,'Sollecitazioni nel paramento'!$G$53)</f>
        <v>36542729.902944848</v>
      </c>
      <c r="I778" s="472">
        <f>-'Foglio deposito bis'!$F$62*(C778-sezione!$AP$30)*IF(ABS(O778)&lt;'Sollecitazioni nel paramento'!$G$58,ABS(O778)*'Sollecitazioni nel paramento'!$G$54,'Sollecitazioni nel paramento'!$G$53)</f>
        <v>118502345.87295766</v>
      </c>
      <c r="J778" s="472">
        <f t="shared" si="55"/>
        <v>161437591.79190156</v>
      </c>
      <c r="K778" s="550">
        <f>'Sollecitazioni nel paramento'!$G$60*(sezione!$AL$30-C778)/C778</f>
        <v>1.3293123403068947E-2</v>
      </c>
      <c r="L778" s="550">
        <f>'Sollecitazioni nel paramento'!$G$60*(sezione!$AM$30-C778)/C778</f>
        <v>2.168968510460342E-2</v>
      </c>
      <c r="M778" s="551">
        <f>'Sollecitazioni nel paramento'!$G$60*(sezione!$AN$30-C778)/C778</f>
        <v>3.0086246806137897E-2</v>
      </c>
      <c r="N778" s="551">
        <f>'Sollecitazioni nel paramento'!$G$60*(sezione!$AO$30-C778)/C778</f>
        <v>6.3672493612275796E-2</v>
      </c>
      <c r="O778" s="551">
        <f>'Sollecitazioni nel paramento'!$G$60*(sezione!$AP$30-C778)/C778</f>
        <v>0.15808618694175844</v>
      </c>
      <c r="P778" s="545">
        <f>-'Sollecitazioni nel paramento'!$G$47*'Sollecitazioni nel paramento'!$G$41*IF(DATI!$G$211="dx",DATI!$E$61,DATI!$E$64*DATI!$E$63)*1000*C778*sezione!$AD$5</f>
        <v>-317605.00247531594</v>
      </c>
      <c r="Q778" s="545">
        <f>'Foglio deposito bis'!$F$58*IF(ABS(K778)&lt;'Sollecitazioni nel paramento'!$G$58,ABS(K778)*'Sollecitazioni nel paramento'!$G$54,'Sollecitazioni nel paramento'!$G$53)*IF(K778&lt;0,-1,1)</f>
        <v>0</v>
      </c>
      <c r="R778" s="545">
        <f>'Foglio deposito bis'!$F$59*IF(ABS(L778)&lt;'Sollecitazioni nel paramento'!$G$58,ABS(L778)*'Sollecitazioni nel paramento'!$G$54,'Sollecitazioni nel paramento'!$G$53)*IF(L778&lt;0,-1,1)</f>
        <v>153664.85805602249</v>
      </c>
      <c r="S778" s="545">
        <f>'Foglio deposito bis'!$F$60*IF(ABS(M778)&lt;'Sollecitazioni nel paramento'!$G$58,ABS(M778)*'Sollecitazioni nel paramento'!$G$54,'Sollecitazioni nel paramento'!$G$53)*IF(M778&lt;0,-1,1)</f>
        <v>0</v>
      </c>
      <c r="T778" s="545">
        <f>'Foglio deposito bis'!$F$61*IF(ABS(N778)&lt;'Sollecitazioni nel paramento'!$G$58,ABS(N778)*'Sollecitazioni nel paramento'!$G$54,'Sollecitazioni nel paramento'!$G$53)*IF(N778&lt;0,-1,1)</f>
        <v>240946.49743184328</v>
      </c>
      <c r="U778" s="545">
        <f>'Foglio deposito bis'!$F$62*IF(ABS(O778)&lt;'Sollecitazioni nel paramento'!$G$58,ABS(O778)*'Sollecitazioni nel paramento'!$G$54,'Sollecitazioni nel paramento'!$G$53)*IF(O778&lt;0,-1,1)</f>
        <v>314705.62929873407</v>
      </c>
      <c r="V778" s="472">
        <f t="shared" si="57"/>
        <v>391711.98231128394</v>
      </c>
      <c r="W778" s="551"/>
      <c r="X778" s="551"/>
    </row>
    <row r="779" spans="1:24" x14ac:dyDescent="0.25">
      <c r="A779" s="545">
        <f t="shared" si="56"/>
        <v>380760.08567420405</v>
      </c>
      <c r="B779" s="3">
        <f t="shared" si="58"/>
        <v>1.5000000000000007</v>
      </c>
      <c r="C779" s="545">
        <f>'Foglio deposito bis'!$E$156/sezione!$B$247*B779</f>
        <v>8.6242197315378082</v>
      </c>
      <c r="D779" s="603">
        <f>-'Sollecitazioni nel paramento'!$G$47*'Sollecitazioni nel paramento'!$G$41*IF(DATI!$G$211="dx",DATI!$E$61,DATI!$E$64*DATI!$E$63)*1000*C779^2*sezione!$AD$5*(1-sezione!$AD$6)</f>
        <v>-1654791.3850786726</v>
      </c>
      <c r="E779" s="545">
        <f>-'Foglio deposito bis'!$F$58*(C779-sezione!$AL$30)*IF(ABS(K779)&lt;'Sollecitazioni nel paramento'!$G$58,ABS(K779)*'Sollecitazioni nel paramento'!$G$54,'Sollecitazioni nel paramento'!$G$53)</f>
        <v>0</v>
      </c>
      <c r="F779" s="545">
        <f>-'Foglio deposito bis'!$F$59*(C779-sezione!$AM$30)*IF(ABS(L779)&lt;'Sollecitazioni nel paramento'!$G$58,ABS(L779)*'Sollecitazioni nel paramento'!$G$54,'Sollecitazioni nel paramento'!$G$53)</f>
        <v>7894651.9824706437</v>
      </c>
      <c r="G779" s="545">
        <f>-'Foglio deposito bis'!$F$60*(C779-sezione!$AN$30)*IF(ABS(M779)&lt;'Sollecitazioni nel paramento'!$G$58,ABS(M779)*'Sollecitazioni nel paramento'!$G$54,'Sollecitazioni nel paramento'!$G$53)</f>
        <v>0</v>
      </c>
      <c r="H779" s="545">
        <f>-'Foglio deposito bis'!$F$61*(C779-sezione!$AO$30)*IF(ABS(N779)&lt;'Sollecitazioni nel paramento'!$G$58,ABS(N779)*'Sollecitazioni nel paramento'!$G$54,'Sollecitazioni nel paramento'!$G$53)</f>
        <v>36473464.051698297</v>
      </c>
      <c r="I779" s="472">
        <f>-'Foglio deposito bis'!$F$62*(C779-sezione!$AP$30)*IF(ABS(O779)&lt;'Sollecitazioni nel paramento'!$G$58,ABS(O779)*'Sollecitazioni nel paramento'!$G$54,'Sollecitazioni nel paramento'!$G$53)</f>
        <v>118411876.18969685</v>
      </c>
      <c r="J779" s="472">
        <f t="shared" si="55"/>
        <v>161125200.83878711</v>
      </c>
      <c r="K779" s="550">
        <f>'Sollecitazioni nel paramento'!$G$60*(sezione!$AL$30-C779)/C779</f>
        <v>1.2733352622966649E-2</v>
      </c>
      <c r="L779" s="550">
        <f>'Sollecitazioni nel paramento'!$G$60*(sezione!$AM$30-C779)/C779</f>
        <v>2.0850028934449972E-2</v>
      </c>
      <c r="M779" s="551">
        <f>'Sollecitazioni nel paramento'!$G$60*(sezione!$AN$30-C779)/C779</f>
        <v>2.8966705245933297E-2</v>
      </c>
      <c r="N779" s="551">
        <f>'Sollecitazioni nel paramento'!$G$60*(sezione!$AO$30-C779)/C779</f>
        <v>6.1433410491866597E-2</v>
      </c>
      <c r="O779" s="551">
        <f>'Sollecitazioni nel paramento'!$G$60*(sezione!$AP$30-C779)/C779</f>
        <v>0.15269998071036645</v>
      </c>
      <c r="P779" s="545">
        <f>-'Sollecitazioni nel paramento'!$G$47*'Sollecitazioni nel paramento'!$G$41*IF(DATI!$G$211="dx",DATI!$E$61,DATI!$E$64*DATI!$E$63)*1000*C779*sezione!$AD$5</f>
        <v>-328556.89911239583</v>
      </c>
      <c r="Q779" s="545">
        <f>'Foglio deposito bis'!$F$58*IF(ABS(K779)&lt;'Sollecitazioni nel paramento'!$G$58,ABS(K779)*'Sollecitazioni nel paramento'!$G$54,'Sollecitazioni nel paramento'!$G$53)*IF(K779&lt;0,-1,1)</f>
        <v>0</v>
      </c>
      <c r="R779" s="545">
        <f>'Foglio deposito bis'!$F$59*IF(ABS(L779)&lt;'Sollecitazioni nel paramento'!$G$58,ABS(L779)*'Sollecitazioni nel paramento'!$G$54,'Sollecitazioni nel paramento'!$G$53)*IF(L779&lt;0,-1,1)</f>
        <v>153664.85805602249</v>
      </c>
      <c r="S779" s="545">
        <f>'Foglio deposito bis'!$F$60*IF(ABS(M779)&lt;'Sollecitazioni nel paramento'!$G$58,ABS(M779)*'Sollecitazioni nel paramento'!$G$54,'Sollecitazioni nel paramento'!$G$53)*IF(M779&lt;0,-1,1)</f>
        <v>0</v>
      </c>
      <c r="T779" s="545">
        <f>'Foglio deposito bis'!$F$61*IF(ABS(N779)&lt;'Sollecitazioni nel paramento'!$G$58,ABS(N779)*'Sollecitazioni nel paramento'!$G$54,'Sollecitazioni nel paramento'!$G$53)*IF(N779&lt;0,-1,1)</f>
        <v>240946.49743184328</v>
      </c>
      <c r="U779" s="545">
        <f>'Foglio deposito bis'!$F$62*IF(ABS(O779)&lt;'Sollecitazioni nel paramento'!$G$58,ABS(O779)*'Sollecitazioni nel paramento'!$G$54,'Sollecitazioni nel paramento'!$G$53)*IF(O779&lt;0,-1,1)</f>
        <v>314705.62929873407</v>
      </c>
      <c r="V779" s="472">
        <f t="shared" si="57"/>
        <v>380760.08567420405</v>
      </c>
      <c r="W779" s="551"/>
      <c r="X779" s="551"/>
    </row>
    <row r="780" spans="1:24" x14ac:dyDescent="0.25">
      <c r="A780" s="545">
        <f t="shared" si="56"/>
        <v>369808.18903712416</v>
      </c>
      <c r="B780" s="3">
        <f t="shared" si="58"/>
        <v>1.5500000000000007</v>
      </c>
      <c r="C780" s="545">
        <f>'Foglio deposito bis'!$E$156/sezione!$B$247*B780</f>
        <v>8.9116937225890673</v>
      </c>
      <c r="D780" s="603">
        <f>-'Sollecitazioni nel paramento'!$G$47*'Sollecitazioni nel paramento'!$G$41*IF(DATI!$G$211="dx",DATI!$E$61,DATI!$E$64*DATI!$E$63)*1000*C780^2*sezione!$AD$5*(1-sezione!$AD$6)</f>
        <v>-1766949.4678451156</v>
      </c>
      <c r="E780" s="545">
        <f>-'Foglio deposito bis'!$F$58*(C780-sezione!$AL$30)*IF(ABS(K780)&lt;'Sollecitazioni nel paramento'!$G$58,ABS(K780)*'Sollecitazioni nel paramento'!$G$54,'Sollecitazioni nel paramento'!$G$53)</f>
        <v>0</v>
      </c>
      <c r="F780" s="545">
        <f>-'Foglio deposito bis'!$F$59*(C780-sezione!$AM$30)*IF(ABS(L780)&lt;'Sollecitazioni nel paramento'!$G$58,ABS(L780)*'Sollecitazioni nel paramento'!$G$54,'Sollecitazioni nel paramento'!$G$53)</f>
        <v>7850477.3324409546</v>
      </c>
      <c r="G780" s="545">
        <f>-'Foglio deposito bis'!$F$60*(C780-sezione!$AN$30)*IF(ABS(M780)&lt;'Sollecitazioni nel paramento'!$G$58,ABS(M780)*'Sollecitazioni nel paramento'!$G$54,'Sollecitazioni nel paramento'!$G$53)</f>
        <v>0</v>
      </c>
      <c r="H780" s="545">
        <f>-'Foglio deposito bis'!$F$61*(C780-sezione!$AO$30)*IF(ABS(N780)&lt;'Sollecitazioni nel paramento'!$G$58,ABS(N780)*'Sollecitazioni nel paramento'!$G$54,'Sollecitazioni nel paramento'!$G$53)</f>
        <v>36404198.200451747</v>
      </c>
      <c r="I780" s="472">
        <f>-'Foglio deposito bis'!$F$62*(C780-sezione!$AP$30)*IF(ABS(O780)&lt;'Sollecitazioni nel paramento'!$G$58,ABS(O780)*'Sollecitazioni nel paramento'!$G$54,'Sollecitazioni nel paramento'!$G$53)</f>
        <v>118321406.50643604</v>
      </c>
      <c r="J780" s="472">
        <f t="shared" si="55"/>
        <v>160809132.57148361</v>
      </c>
      <c r="K780" s="550">
        <f>'Sollecitazioni nel paramento'!$G$60*(sezione!$AL$30-C780)/C780</f>
        <v>1.220969608674192E-2</v>
      </c>
      <c r="L780" s="550">
        <f>'Sollecitazioni nel paramento'!$G$60*(sezione!$AM$30-C780)/C780</f>
        <v>2.0064544130112882E-2</v>
      </c>
      <c r="M780" s="551">
        <f>'Sollecitazioni nel paramento'!$G$60*(sezione!$AN$30-C780)/C780</f>
        <v>2.7919392173483843E-2</v>
      </c>
      <c r="N780" s="551">
        <f>'Sollecitazioni nel paramento'!$G$60*(sezione!$AO$30-C780)/C780</f>
        <v>5.9338784346967682E-2</v>
      </c>
      <c r="O780" s="551">
        <f>'Sollecitazioni nel paramento'!$G$60*(sezione!$AP$30-C780)/C780</f>
        <v>0.14766127165519338</v>
      </c>
      <c r="P780" s="545">
        <f>-'Sollecitazioni nel paramento'!$G$47*'Sollecitazioni nel paramento'!$G$41*IF(DATI!$G$211="dx",DATI!$E$61,DATI!$E$64*DATI!$E$63)*1000*C780*sezione!$AD$5</f>
        <v>-339508.79574947566</v>
      </c>
      <c r="Q780" s="545">
        <f>'Foglio deposito bis'!$F$58*IF(ABS(K780)&lt;'Sollecitazioni nel paramento'!$G$58,ABS(K780)*'Sollecitazioni nel paramento'!$G$54,'Sollecitazioni nel paramento'!$G$53)*IF(K780&lt;0,-1,1)</f>
        <v>0</v>
      </c>
      <c r="R780" s="545">
        <f>'Foglio deposito bis'!$F$59*IF(ABS(L780)&lt;'Sollecitazioni nel paramento'!$G$58,ABS(L780)*'Sollecitazioni nel paramento'!$G$54,'Sollecitazioni nel paramento'!$G$53)*IF(L780&lt;0,-1,1)</f>
        <v>153664.85805602249</v>
      </c>
      <c r="S780" s="545">
        <f>'Foglio deposito bis'!$F$60*IF(ABS(M780)&lt;'Sollecitazioni nel paramento'!$G$58,ABS(M780)*'Sollecitazioni nel paramento'!$G$54,'Sollecitazioni nel paramento'!$G$53)*IF(M780&lt;0,-1,1)</f>
        <v>0</v>
      </c>
      <c r="T780" s="545">
        <f>'Foglio deposito bis'!$F$61*IF(ABS(N780)&lt;'Sollecitazioni nel paramento'!$G$58,ABS(N780)*'Sollecitazioni nel paramento'!$G$54,'Sollecitazioni nel paramento'!$G$53)*IF(N780&lt;0,-1,1)</f>
        <v>240946.49743184328</v>
      </c>
      <c r="U780" s="545">
        <f>'Foglio deposito bis'!$F$62*IF(ABS(O780)&lt;'Sollecitazioni nel paramento'!$G$58,ABS(O780)*'Sollecitazioni nel paramento'!$G$54,'Sollecitazioni nel paramento'!$G$53)*IF(O780&lt;0,-1,1)</f>
        <v>314705.62929873407</v>
      </c>
      <c r="V780" s="472">
        <f t="shared" si="57"/>
        <v>369808.18903712416</v>
      </c>
      <c r="W780" s="551"/>
      <c r="X780" s="551"/>
    </row>
    <row r="781" spans="1:24" x14ac:dyDescent="0.25">
      <c r="A781" s="545">
        <f t="shared" si="56"/>
        <v>358856.29240004427</v>
      </c>
      <c r="B781" s="3">
        <f t="shared" si="58"/>
        <v>1.6000000000000008</v>
      </c>
      <c r="C781" s="545">
        <f>'Foglio deposito bis'!$E$156/sezione!$B$247*B781</f>
        <v>9.1991677136403283</v>
      </c>
      <c r="D781" s="603">
        <f>-'Sollecitazioni nel paramento'!$G$47*'Sollecitazioni nel paramento'!$G$41*IF(DATI!$G$211="dx",DATI!$E$61,DATI!$E$64*DATI!$E$63)*1000*C781^2*sezione!$AD$5*(1-sezione!$AD$6)</f>
        <v>-1882784.8648006229</v>
      </c>
      <c r="E781" s="545">
        <f>-'Foglio deposito bis'!$F$58*(C781-sezione!$AL$30)*IF(ABS(K781)&lt;'Sollecitazioni nel paramento'!$G$58,ABS(K781)*'Sollecitazioni nel paramento'!$G$54,'Sollecitazioni nel paramento'!$G$53)</f>
        <v>0</v>
      </c>
      <c r="F781" s="545">
        <f>-'Foglio deposito bis'!$F$59*(C781-sezione!$AM$30)*IF(ABS(L781)&lt;'Sollecitazioni nel paramento'!$G$58,ABS(L781)*'Sollecitazioni nel paramento'!$G$54,'Sollecitazioni nel paramento'!$G$53)</f>
        <v>7806302.6824112637</v>
      </c>
      <c r="G781" s="545">
        <f>-'Foglio deposito bis'!$F$60*(C781-sezione!$AN$30)*IF(ABS(M781)&lt;'Sollecitazioni nel paramento'!$G$58,ABS(M781)*'Sollecitazioni nel paramento'!$G$54,'Sollecitazioni nel paramento'!$G$53)</f>
        <v>0</v>
      </c>
      <c r="H781" s="545">
        <f>-'Foglio deposito bis'!$F$61*(C781-sezione!$AO$30)*IF(ABS(N781)&lt;'Sollecitazioni nel paramento'!$G$58,ABS(N781)*'Sollecitazioni nel paramento'!$G$54,'Sollecitazioni nel paramento'!$G$53)</f>
        <v>36334932.349205188</v>
      </c>
      <c r="I781" s="472">
        <f>-'Foglio deposito bis'!$F$62*(C781-sezione!$AP$30)*IF(ABS(O781)&lt;'Sollecitazioni nel paramento'!$G$58,ABS(O781)*'Sollecitazioni nel paramento'!$G$54,'Sollecitazioni nel paramento'!$G$53)</f>
        <v>118230936.82317524</v>
      </c>
      <c r="J781" s="472">
        <f t="shared" si="55"/>
        <v>160489386.98999107</v>
      </c>
      <c r="K781" s="550">
        <f>'Sollecitazioni nel paramento'!$G$60*(sezione!$AL$30-C781)/C781</f>
        <v>1.1718768084031234E-2</v>
      </c>
      <c r="L781" s="550">
        <f>'Sollecitazioni nel paramento'!$G$60*(sezione!$AM$30-C781)/C781</f>
        <v>1.9328152126046851E-2</v>
      </c>
      <c r="M781" s="551">
        <f>'Sollecitazioni nel paramento'!$G$60*(sezione!$AN$30-C781)/C781</f>
        <v>2.6937536168062468E-2</v>
      </c>
      <c r="N781" s="551">
        <f>'Sollecitazioni nel paramento'!$G$60*(sezione!$AO$30-C781)/C781</f>
        <v>5.737507233612494E-2</v>
      </c>
      <c r="O781" s="551">
        <f>'Sollecitazioni nel paramento'!$G$60*(sezione!$AP$30-C781)/C781</f>
        <v>0.14293748191596856</v>
      </c>
      <c r="P781" s="545">
        <f>-'Sollecitazioni nel paramento'!$G$47*'Sollecitazioni nel paramento'!$G$41*IF(DATI!$G$211="dx",DATI!$E$61,DATI!$E$64*DATI!$E$63)*1000*C781*sezione!$AD$5</f>
        <v>-350460.69238655554</v>
      </c>
      <c r="Q781" s="545">
        <f>'Foglio deposito bis'!$F$58*IF(ABS(K781)&lt;'Sollecitazioni nel paramento'!$G$58,ABS(K781)*'Sollecitazioni nel paramento'!$G$54,'Sollecitazioni nel paramento'!$G$53)*IF(K781&lt;0,-1,1)</f>
        <v>0</v>
      </c>
      <c r="R781" s="545">
        <f>'Foglio deposito bis'!$F$59*IF(ABS(L781)&lt;'Sollecitazioni nel paramento'!$G$58,ABS(L781)*'Sollecitazioni nel paramento'!$G$54,'Sollecitazioni nel paramento'!$G$53)*IF(L781&lt;0,-1,1)</f>
        <v>153664.85805602249</v>
      </c>
      <c r="S781" s="545">
        <f>'Foglio deposito bis'!$F$60*IF(ABS(M781)&lt;'Sollecitazioni nel paramento'!$G$58,ABS(M781)*'Sollecitazioni nel paramento'!$G$54,'Sollecitazioni nel paramento'!$G$53)*IF(M781&lt;0,-1,1)</f>
        <v>0</v>
      </c>
      <c r="T781" s="545">
        <f>'Foglio deposito bis'!$F$61*IF(ABS(N781)&lt;'Sollecitazioni nel paramento'!$G$58,ABS(N781)*'Sollecitazioni nel paramento'!$G$54,'Sollecitazioni nel paramento'!$G$53)*IF(N781&lt;0,-1,1)</f>
        <v>240946.49743184328</v>
      </c>
      <c r="U781" s="545">
        <f>'Foglio deposito bis'!$F$62*IF(ABS(O781)&lt;'Sollecitazioni nel paramento'!$G$58,ABS(O781)*'Sollecitazioni nel paramento'!$G$54,'Sollecitazioni nel paramento'!$G$53)*IF(O781&lt;0,-1,1)</f>
        <v>314705.62929873407</v>
      </c>
      <c r="V781" s="472">
        <f t="shared" si="57"/>
        <v>358856.29240004427</v>
      </c>
      <c r="W781" s="551"/>
      <c r="X781" s="551"/>
    </row>
    <row r="782" spans="1:24" x14ac:dyDescent="0.25">
      <c r="A782" s="545">
        <f t="shared" si="56"/>
        <v>347904.39576296438</v>
      </c>
      <c r="B782" s="3">
        <f t="shared" si="58"/>
        <v>1.6500000000000008</v>
      </c>
      <c r="C782" s="545">
        <f>'Foglio deposito bis'!$E$156/sezione!$B$247*B782</f>
        <v>9.4866417046915892</v>
      </c>
      <c r="D782" s="603">
        <f>-'Sollecitazioni nel paramento'!$G$47*'Sollecitazioni nel paramento'!$G$41*IF(DATI!$G$211="dx",DATI!$E$61,DATI!$E$64*DATI!$E$63)*1000*C782^2*sezione!$AD$5*(1-sezione!$AD$6)</f>
        <v>-2002297.5759451941</v>
      </c>
      <c r="E782" s="545">
        <f>-'Foglio deposito bis'!$F$58*(C782-sezione!$AL$30)*IF(ABS(K782)&lt;'Sollecitazioni nel paramento'!$G$58,ABS(K782)*'Sollecitazioni nel paramento'!$G$54,'Sollecitazioni nel paramento'!$G$53)</f>
        <v>0</v>
      </c>
      <c r="F782" s="545">
        <f>-'Foglio deposito bis'!$F$59*(C782-sezione!$AM$30)*IF(ABS(L782)&lt;'Sollecitazioni nel paramento'!$G$58,ABS(L782)*'Sollecitazioni nel paramento'!$G$54,'Sollecitazioni nel paramento'!$G$53)</f>
        <v>7762128.0323815728</v>
      </c>
      <c r="G782" s="545">
        <f>-'Foglio deposito bis'!$F$60*(C782-sezione!$AN$30)*IF(ABS(M782)&lt;'Sollecitazioni nel paramento'!$G$58,ABS(M782)*'Sollecitazioni nel paramento'!$G$54,'Sollecitazioni nel paramento'!$G$53)</f>
        <v>0</v>
      </c>
      <c r="H782" s="545">
        <f>-'Foglio deposito bis'!$F$61*(C782-sezione!$AO$30)*IF(ABS(N782)&lt;'Sollecitazioni nel paramento'!$G$58,ABS(N782)*'Sollecitazioni nel paramento'!$G$54,'Sollecitazioni nel paramento'!$G$53)</f>
        <v>36265666.497958638</v>
      </c>
      <c r="I782" s="472">
        <f>-'Foglio deposito bis'!$F$62*(C782-sezione!$AP$30)*IF(ABS(O782)&lt;'Sollecitazioni nel paramento'!$G$58,ABS(O782)*'Sollecitazioni nel paramento'!$G$54,'Sollecitazioni nel paramento'!$G$53)</f>
        <v>118140467.13991445</v>
      </c>
      <c r="J782" s="472">
        <f t="shared" si="55"/>
        <v>160165964.09430948</v>
      </c>
      <c r="K782" s="550">
        <f>'Sollecitazioni nel paramento'!$G$60*(sezione!$AL$30-C782)/C782</f>
        <v>1.1257593293606044E-2</v>
      </c>
      <c r="L782" s="550">
        <f>'Sollecitazioni nel paramento'!$G$60*(sezione!$AM$30-C782)/C782</f>
        <v>1.8636389940409063E-2</v>
      </c>
      <c r="M782" s="551">
        <f>'Sollecitazioni nel paramento'!$G$60*(sezione!$AN$30-C782)/C782</f>
        <v>2.6015186587212084E-2</v>
      </c>
      <c r="N782" s="551">
        <f>'Sollecitazioni nel paramento'!$G$60*(sezione!$AO$30-C782)/C782</f>
        <v>5.5530373174424184E-2</v>
      </c>
      <c r="O782" s="551">
        <f>'Sollecitazioni nel paramento'!$G$60*(sezione!$AP$30-C782)/C782</f>
        <v>0.13849998246396952</v>
      </c>
      <c r="P782" s="545">
        <f>-'Sollecitazioni nel paramento'!$G$47*'Sollecitazioni nel paramento'!$G$41*IF(DATI!$G$211="dx",DATI!$E$61,DATI!$E$64*DATI!$E$63)*1000*C782*sezione!$AD$5</f>
        <v>-361412.58902363543</v>
      </c>
      <c r="Q782" s="545">
        <f>'Foglio deposito bis'!$F$58*IF(ABS(K782)&lt;'Sollecitazioni nel paramento'!$G$58,ABS(K782)*'Sollecitazioni nel paramento'!$G$54,'Sollecitazioni nel paramento'!$G$53)*IF(K782&lt;0,-1,1)</f>
        <v>0</v>
      </c>
      <c r="R782" s="545">
        <f>'Foglio deposito bis'!$F$59*IF(ABS(L782)&lt;'Sollecitazioni nel paramento'!$G$58,ABS(L782)*'Sollecitazioni nel paramento'!$G$54,'Sollecitazioni nel paramento'!$G$53)*IF(L782&lt;0,-1,1)</f>
        <v>153664.85805602249</v>
      </c>
      <c r="S782" s="545">
        <f>'Foglio deposito bis'!$F$60*IF(ABS(M782)&lt;'Sollecitazioni nel paramento'!$G$58,ABS(M782)*'Sollecitazioni nel paramento'!$G$54,'Sollecitazioni nel paramento'!$G$53)*IF(M782&lt;0,-1,1)</f>
        <v>0</v>
      </c>
      <c r="T782" s="545">
        <f>'Foglio deposito bis'!$F$61*IF(ABS(N782)&lt;'Sollecitazioni nel paramento'!$G$58,ABS(N782)*'Sollecitazioni nel paramento'!$G$54,'Sollecitazioni nel paramento'!$G$53)*IF(N782&lt;0,-1,1)</f>
        <v>240946.49743184328</v>
      </c>
      <c r="U782" s="545">
        <f>'Foglio deposito bis'!$F$62*IF(ABS(O782)&lt;'Sollecitazioni nel paramento'!$G$58,ABS(O782)*'Sollecitazioni nel paramento'!$G$54,'Sollecitazioni nel paramento'!$G$53)*IF(O782&lt;0,-1,1)</f>
        <v>314705.62929873407</v>
      </c>
      <c r="V782" s="472">
        <f t="shared" si="57"/>
        <v>347904.39576296438</v>
      </c>
      <c r="W782" s="551"/>
      <c r="X782" s="551"/>
    </row>
    <row r="783" spans="1:24" x14ac:dyDescent="0.25">
      <c r="A783" s="545">
        <f t="shared" si="56"/>
        <v>336952.49912588461</v>
      </c>
      <c r="B783" s="3">
        <f t="shared" si="58"/>
        <v>1.7000000000000008</v>
      </c>
      <c r="C783" s="545">
        <f>'Foglio deposito bis'!$E$156/sezione!$B$247*B783</f>
        <v>9.7741156957428483</v>
      </c>
      <c r="D783" s="603">
        <f>-'Sollecitazioni nel paramento'!$G$47*'Sollecitazioni nel paramento'!$G$41*IF(DATI!$G$211="dx",DATI!$E$61,DATI!$E$64*DATI!$E$63)*1000*C783^2*sezione!$AD$5*(1-sezione!$AD$6)</f>
        <v>-2125487.6012788285</v>
      </c>
      <c r="E783" s="545">
        <f>-'Foglio deposito bis'!$F$58*(C783-sezione!$AL$30)*IF(ABS(K783)&lt;'Sollecitazioni nel paramento'!$G$58,ABS(K783)*'Sollecitazioni nel paramento'!$G$54,'Sollecitazioni nel paramento'!$G$53)</f>
        <v>0</v>
      </c>
      <c r="F783" s="545">
        <f>-'Foglio deposito bis'!$F$59*(C783-sezione!$AM$30)*IF(ABS(L783)&lt;'Sollecitazioni nel paramento'!$G$58,ABS(L783)*'Sollecitazioni nel paramento'!$G$54,'Sollecitazioni nel paramento'!$G$53)</f>
        <v>7717953.3823518837</v>
      </c>
      <c r="G783" s="545">
        <f>-'Foglio deposito bis'!$F$60*(C783-sezione!$AN$30)*IF(ABS(M783)&lt;'Sollecitazioni nel paramento'!$G$58,ABS(M783)*'Sollecitazioni nel paramento'!$G$54,'Sollecitazioni nel paramento'!$G$53)</f>
        <v>0</v>
      </c>
      <c r="H783" s="545">
        <f>-'Foglio deposito bis'!$F$61*(C783-sezione!$AO$30)*IF(ABS(N783)&lt;'Sollecitazioni nel paramento'!$G$58,ABS(N783)*'Sollecitazioni nel paramento'!$G$54,'Sollecitazioni nel paramento'!$G$53)</f>
        <v>36196400.64671208</v>
      </c>
      <c r="I783" s="472">
        <f>-'Foglio deposito bis'!$F$62*(C783-sezione!$AP$30)*IF(ABS(O783)&lt;'Sollecitazioni nel paramento'!$G$58,ABS(O783)*'Sollecitazioni nel paramento'!$G$54,'Sollecitazioni nel paramento'!$G$53)</f>
        <v>118049997.45665364</v>
      </c>
      <c r="J783" s="472">
        <f t="shared" si="55"/>
        <v>159838863.88443878</v>
      </c>
      <c r="K783" s="550">
        <f>'Sollecitazioni nel paramento'!$G$60*(sezione!$AL$30-C783)/C783</f>
        <v>1.0823546432029396E-2</v>
      </c>
      <c r="L783" s="550">
        <f>'Sollecitazioni nel paramento'!$G$60*(sezione!$AM$30-C783)/C783</f>
        <v>1.7985319648044094E-2</v>
      </c>
      <c r="M783" s="551">
        <f>'Sollecitazioni nel paramento'!$G$60*(sezione!$AN$30-C783)/C783</f>
        <v>2.5147092864058793E-2</v>
      </c>
      <c r="N783" s="551">
        <f>'Sollecitazioni nel paramento'!$G$60*(sezione!$AO$30-C783)/C783</f>
        <v>5.3794185728117595E-2</v>
      </c>
      <c r="O783" s="551">
        <f>'Sollecitazioni nel paramento'!$G$60*(sezione!$AP$30-C783)/C783</f>
        <v>0.13432351239149984</v>
      </c>
      <c r="P783" s="545">
        <f>-'Sollecitazioni nel paramento'!$G$47*'Sollecitazioni nel paramento'!$G$41*IF(DATI!$G$211="dx",DATI!$E$61,DATI!$E$64*DATI!$E$63)*1000*C783*sezione!$AD$5</f>
        <v>-372364.4856607152</v>
      </c>
      <c r="Q783" s="545">
        <f>'Foglio deposito bis'!$F$58*IF(ABS(K783)&lt;'Sollecitazioni nel paramento'!$G$58,ABS(K783)*'Sollecitazioni nel paramento'!$G$54,'Sollecitazioni nel paramento'!$G$53)*IF(K783&lt;0,-1,1)</f>
        <v>0</v>
      </c>
      <c r="R783" s="545">
        <f>'Foglio deposito bis'!$F$59*IF(ABS(L783)&lt;'Sollecitazioni nel paramento'!$G$58,ABS(L783)*'Sollecitazioni nel paramento'!$G$54,'Sollecitazioni nel paramento'!$G$53)*IF(L783&lt;0,-1,1)</f>
        <v>153664.85805602249</v>
      </c>
      <c r="S783" s="545">
        <f>'Foglio deposito bis'!$F$60*IF(ABS(M783)&lt;'Sollecitazioni nel paramento'!$G$58,ABS(M783)*'Sollecitazioni nel paramento'!$G$54,'Sollecitazioni nel paramento'!$G$53)*IF(M783&lt;0,-1,1)</f>
        <v>0</v>
      </c>
      <c r="T783" s="545">
        <f>'Foglio deposito bis'!$F$61*IF(ABS(N783)&lt;'Sollecitazioni nel paramento'!$G$58,ABS(N783)*'Sollecitazioni nel paramento'!$G$54,'Sollecitazioni nel paramento'!$G$53)*IF(N783&lt;0,-1,1)</f>
        <v>240946.49743184328</v>
      </c>
      <c r="U783" s="545">
        <f>'Foglio deposito bis'!$F$62*IF(ABS(O783)&lt;'Sollecitazioni nel paramento'!$G$58,ABS(O783)*'Sollecitazioni nel paramento'!$G$54,'Sollecitazioni nel paramento'!$G$53)*IF(O783&lt;0,-1,1)</f>
        <v>314705.62929873407</v>
      </c>
      <c r="V783" s="472">
        <f t="shared" si="57"/>
        <v>336952.49912588461</v>
      </c>
      <c r="W783" s="551"/>
      <c r="X783" s="551"/>
    </row>
    <row r="784" spans="1:24" x14ac:dyDescent="0.25">
      <c r="A784" s="545">
        <f t="shared" si="56"/>
        <v>326000.60248880472</v>
      </c>
      <c r="B784" s="3">
        <f t="shared" si="58"/>
        <v>1.7500000000000009</v>
      </c>
      <c r="C784" s="545">
        <f>'Foglio deposito bis'!$E$156/sezione!$B$247*B784</f>
        <v>10.061589686794109</v>
      </c>
      <c r="D784" s="603">
        <f>-'Sollecitazioni nel paramento'!$G$47*'Sollecitazioni nel paramento'!$G$41*IF(DATI!$G$211="dx",DATI!$E$61,DATI!$E$64*DATI!$E$63)*1000*C784^2*sezione!$AD$5*(1-sezione!$AD$6)</f>
        <v>-2252354.9408015269</v>
      </c>
      <c r="E784" s="545">
        <f>-'Foglio deposito bis'!$F$58*(C784-sezione!$AL$30)*IF(ABS(K784)&lt;'Sollecitazioni nel paramento'!$G$58,ABS(K784)*'Sollecitazioni nel paramento'!$G$54,'Sollecitazioni nel paramento'!$G$53)</f>
        <v>0</v>
      </c>
      <c r="F784" s="545">
        <f>-'Foglio deposito bis'!$F$59*(C784-sezione!$AM$30)*IF(ABS(L784)&lt;'Sollecitazioni nel paramento'!$G$58,ABS(L784)*'Sollecitazioni nel paramento'!$G$54,'Sollecitazioni nel paramento'!$G$53)</f>
        <v>7673778.7323221928</v>
      </c>
      <c r="G784" s="545">
        <f>-'Foglio deposito bis'!$F$60*(C784-sezione!$AN$30)*IF(ABS(M784)&lt;'Sollecitazioni nel paramento'!$G$58,ABS(M784)*'Sollecitazioni nel paramento'!$G$54,'Sollecitazioni nel paramento'!$G$53)</f>
        <v>0</v>
      </c>
      <c r="H784" s="545">
        <f>-'Foglio deposito bis'!$F$61*(C784-sezione!$AO$30)*IF(ABS(N784)&lt;'Sollecitazioni nel paramento'!$G$58,ABS(N784)*'Sollecitazioni nel paramento'!$G$54,'Sollecitazioni nel paramento'!$G$53)</f>
        <v>36127134.795465522</v>
      </c>
      <c r="I784" s="472">
        <f>-'Foglio deposito bis'!$F$62*(C784-sezione!$AP$30)*IF(ABS(O784)&lt;'Sollecitazioni nel paramento'!$G$58,ABS(O784)*'Sollecitazioni nel paramento'!$G$54,'Sollecitazioni nel paramento'!$G$53)</f>
        <v>117959527.77339283</v>
      </c>
      <c r="J784" s="472">
        <f t="shared" si="55"/>
        <v>159508086.36037901</v>
      </c>
      <c r="K784" s="550">
        <f>'Sollecitazioni nel paramento'!$G$60*(sezione!$AL$30-C784)/C784</f>
        <v>1.0414302248257129E-2</v>
      </c>
      <c r="L784" s="550">
        <f>'Sollecitazioni nel paramento'!$G$60*(sezione!$AM$30-C784)/C784</f>
        <v>1.7371453372385694E-2</v>
      </c>
      <c r="M784" s="551">
        <f>'Sollecitazioni nel paramento'!$G$60*(sezione!$AN$30-C784)/C784</f>
        <v>2.4328604496514257E-2</v>
      </c>
      <c r="N784" s="551">
        <f>'Sollecitazioni nel paramento'!$G$60*(sezione!$AO$30-C784)/C784</f>
        <v>5.215720899302851E-2</v>
      </c>
      <c r="O784" s="551">
        <f>'Sollecitazioni nel paramento'!$G$60*(sezione!$AP$30-C784)/C784</f>
        <v>0.13038569775174272</v>
      </c>
      <c r="P784" s="545">
        <f>-'Sollecitazioni nel paramento'!$G$47*'Sollecitazioni nel paramento'!$G$41*IF(DATI!$G$211="dx",DATI!$E$61,DATI!$E$64*DATI!$E$63)*1000*C784*sezione!$AD$5</f>
        <v>-383316.38229779509</v>
      </c>
      <c r="Q784" s="545">
        <f>'Foglio deposito bis'!$F$58*IF(ABS(K784)&lt;'Sollecitazioni nel paramento'!$G$58,ABS(K784)*'Sollecitazioni nel paramento'!$G$54,'Sollecitazioni nel paramento'!$G$53)*IF(K784&lt;0,-1,1)</f>
        <v>0</v>
      </c>
      <c r="R784" s="545">
        <f>'Foglio deposito bis'!$F$59*IF(ABS(L784)&lt;'Sollecitazioni nel paramento'!$G$58,ABS(L784)*'Sollecitazioni nel paramento'!$G$54,'Sollecitazioni nel paramento'!$G$53)*IF(L784&lt;0,-1,1)</f>
        <v>153664.85805602249</v>
      </c>
      <c r="S784" s="545">
        <f>'Foglio deposito bis'!$F$60*IF(ABS(M784)&lt;'Sollecitazioni nel paramento'!$G$58,ABS(M784)*'Sollecitazioni nel paramento'!$G$54,'Sollecitazioni nel paramento'!$G$53)*IF(M784&lt;0,-1,1)</f>
        <v>0</v>
      </c>
      <c r="T784" s="545">
        <f>'Foglio deposito bis'!$F$61*IF(ABS(N784)&lt;'Sollecitazioni nel paramento'!$G$58,ABS(N784)*'Sollecitazioni nel paramento'!$G$54,'Sollecitazioni nel paramento'!$G$53)*IF(N784&lt;0,-1,1)</f>
        <v>240946.49743184328</v>
      </c>
      <c r="U784" s="545">
        <f>'Foglio deposito bis'!$F$62*IF(ABS(O784)&lt;'Sollecitazioni nel paramento'!$G$58,ABS(O784)*'Sollecitazioni nel paramento'!$G$54,'Sollecitazioni nel paramento'!$G$53)*IF(O784&lt;0,-1,1)</f>
        <v>314705.62929873407</v>
      </c>
      <c r="V784" s="472">
        <f t="shared" si="57"/>
        <v>326000.60248880472</v>
      </c>
      <c r="W784" s="551"/>
      <c r="X784" s="551"/>
    </row>
    <row r="785" spans="1:24" x14ac:dyDescent="0.25">
      <c r="A785" s="545">
        <f t="shared" si="56"/>
        <v>315048.70585172484</v>
      </c>
      <c r="B785" s="3">
        <f t="shared" si="58"/>
        <v>1.8000000000000009</v>
      </c>
      <c r="C785" s="545">
        <f>'Foglio deposito bis'!$E$156/sezione!$B$247*B785</f>
        <v>10.34906367784537</v>
      </c>
      <c r="D785" s="603">
        <f>-'Sollecitazioni nel paramento'!$G$47*'Sollecitazioni nel paramento'!$G$41*IF(DATI!$G$211="dx",DATI!$E$61,DATI!$E$64*DATI!$E$63)*1000*C785^2*sezione!$AD$5*(1-sezione!$AD$6)</f>
        <v>-2382899.5945132887</v>
      </c>
      <c r="E785" s="545">
        <f>-'Foglio deposito bis'!$F$58*(C785-sezione!$AL$30)*IF(ABS(K785)&lt;'Sollecitazioni nel paramento'!$G$58,ABS(K785)*'Sollecitazioni nel paramento'!$G$54,'Sollecitazioni nel paramento'!$G$53)</f>
        <v>0</v>
      </c>
      <c r="F785" s="545">
        <f>-'Foglio deposito bis'!$F$59*(C785-sezione!$AM$30)*IF(ABS(L785)&lt;'Sollecitazioni nel paramento'!$G$58,ABS(L785)*'Sollecitazioni nel paramento'!$G$54,'Sollecitazioni nel paramento'!$G$53)</f>
        <v>7629604.0822925018</v>
      </c>
      <c r="G785" s="545">
        <f>-'Foglio deposito bis'!$F$60*(C785-sezione!$AN$30)*IF(ABS(M785)&lt;'Sollecitazioni nel paramento'!$G$58,ABS(M785)*'Sollecitazioni nel paramento'!$G$54,'Sollecitazioni nel paramento'!$G$53)</f>
        <v>0</v>
      </c>
      <c r="H785" s="545">
        <f>-'Foglio deposito bis'!$F$61*(C785-sezione!$AO$30)*IF(ABS(N785)&lt;'Sollecitazioni nel paramento'!$G$58,ABS(N785)*'Sollecitazioni nel paramento'!$G$54,'Sollecitazioni nel paramento'!$G$53)</f>
        <v>36057868.944218971</v>
      </c>
      <c r="I785" s="472">
        <f>-'Foglio deposito bis'!$F$62*(C785-sezione!$AP$30)*IF(ABS(O785)&lt;'Sollecitazioni nel paramento'!$G$58,ABS(O785)*'Sollecitazioni nel paramento'!$G$54,'Sollecitazioni nel paramento'!$G$53)</f>
        <v>117869058.09013201</v>
      </c>
      <c r="J785" s="472">
        <f t="shared" si="55"/>
        <v>159173631.52213019</v>
      </c>
      <c r="K785" s="550">
        <f>'Sollecitazioni nel paramento'!$G$60*(sezione!$AL$30-C785)/C785</f>
        <v>1.0027793852472206E-2</v>
      </c>
      <c r="L785" s="550">
        <f>'Sollecitazioni nel paramento'!$G$60*(sezione!$AM$30-C785)/C785</f>
        <v>1.6791690778708311E-2</v>
      </c>
      <c r="M785" s="551">
        <f>'Sollecitazioni nel paramento'!$G$60*(sezione!$AN$30-C785)/C785</f>
        <v>2.3555587704944415E-2</v>
      </c>
      <c r="N785" s="551">
        <f>'Sollecitazioni nel paramento'!$G$60*(sezione!$AO$30-C785)/C785</f>
        <v>5.0611175409888826E-2</v>
      </c>
      <c r="O785" s="551">
        <f>'Sollecitazioni nel paramento'!$G$60*(sezione!$AP$30-C785)/C785</f>
        <v>0.12666665059197205</v>
      </c>
      <c r="P785" s="545">
        <f>-'Sollecitazioni nel paramento'!$G$47*'Sollecitazioni nel paramento'!$G$41*IF(DATI!$G$211="dx",DATI!$E$61,DATI!$E$64*DATI!$E$63)*1000*C785*sezione!$AD$5</f>
        <v>-394268.27893487498</v>
      </c>
      <c r="Q785" s="545">
        <f>'Foglio deposito bis'!$F$58*IF(ABS(K785)&lt;'Sollecitazioni nel paramento'!$G$58,ABS(K785)*'Sollecitazioni nel paramento'!$G$54,'Sollecitazioni nel paramento'!$G$53)*IF(K785&lt;0,-1,1)</f>
        <v>0</v>
      </c>
      <c r="R785" s="545">
        <f>'Foglio deposito bis'!$F$59*IF(ABS(L785)&lt;'Sollecitazioni nel paramento'!$G$58,ABS(L785)*'Sollecitazioni nel paramento'!$G$54,'Sollecitazioni nel paramento'!$G$53)*IF(L785&lt;0,-1,1)</f>
        <v>153664.85805602249</v>
      </c>
      <c r="S785" s="545">
        <f>'Foglio deposito bis'!$F$60*IF(ABS(M785)&lt;'Sollecitazioni nel paramento'!$G$58,ABS(M785)*'Sollecitazioni nel paramento'!$G$54,'Sollecitazioni nel paramento'!$G$53)*IF(M785&lt;0,-1,1)</f>
        <v>0</v>
      </c>
      <c r="T785" s="545">
        <f>'Foglio deposito bis'!$F$61*IF(ABS(N785)&lt;'Sollecitazioni nel paramento'!$G$58,ABS(N785)*'Sollecitazioni nel paramento'!$G$54,'Sollecitazioni nel paramento'!$G$53)*IF(N785&lt;0,-1,1)</f>
        <v>240946.49743184328</v>
      </c>
      <c r="U785" s="545">
        <f>'Foglio deposito bis'!$F$62*IF(ABS(O785)&lt;'Sollecitazioni nel paramento'!$G$58,ABS(O785)*'Sollecitazioni nel paramento'!$G$54,'Sollecitazioni nel paramento'!$G$53)*IF(O785&lt;0,-1,1)</f>
        <v>314705.62929873407</v>
      </c>
      <c r="V785" s="472">
        <f t="shared" si="57"/>
        <v>315048.70585172484</v>
      </c>
      <c r="W785" s="551"/>
      <c r="X785" s="551"/>
    </row>
    <row r="786" spans="1:24" x14ac:dyDescent="0.25">
      <c r="A786" s="545">
        <f t="shared" si="56"/>
        <v>304096.80921464495</v>
      </c>
      <c r="B786" s="3">
        <f t="shared" si="58"/>
        <v>1.850000000000001</v>
      </c>
      <c r="C786" s="545">
        <f>'Foglio deposito bis'!$E$156/sezione!$B$247*B786</f>
        <v>10.636537668896631</v>
      </c>
      <c r="D786" s="603">
        <f>-'Sollecitazioni nel paramento'!$G$47*'Sollecitazioni nel paramento'!$G$41*IF(DATI!$G$211="dx",DATI!$E$61,DATI!$E$64*DATI!$E$63)*1000*C786^2*sezione!$AD$5*(1-sezione!$AD$6)</f>
        <v>-2517121.5624141148</v>
      </c>
      <c r="E786" s="545">
        <f>-'Foglio deposito bis'!$F$58*(C786-sezione!$AL$30)*IF(ABS(K786)&lt;'Sollecitazioni nel paramento'!$G$58,ABS(K786)*'Sollecitazioni nel paramento'!$G$54,'Sollecitazioni nel paramento'!$G$53)</f>
        <v>0</v>
      </c>
      <c r="F786" s="545">
        <f>-'Foglio deposito bis'!$F$59*(C786-sezione!$AM$30)*IF(ABS(L786)&lt;'Sollecitazioni nel paramento'!$G$58,ABS(L786)*'Sollecitazioni nel paramento'!$G$54,'Sollecitazioni nel paramento'!$G$53)</f>
        <v>7585429.4322628127</v>
      </c>
      <c r="G786" s="545">
        <f>-'Foglio deposito bis'!$F$60*(C786-sezione!$AN$30)*IF(ABS(M786)&lt;'Sollecitazioni nel paramento'!$G$58,ABS(M786)*'Sollecitazioni nel paramento'!$G$54,'Sollecitazioni nel paramento'!$G$53)</f>
        <v>0</v>
      </c>
      <c r="H786" s="545">
        <f>-'Foglio deposito bis'!$F$61*(C786-sezione!$AO$30)*IF(ABS(N786)&lt;'Sollecitazioni nel paramento'!$G$58,ABS(N786)*'Sollecitazioni nel paramento'!$G$54,'Sollecitazioni nel paramento'!$G$53)</f>
        <v>35988603.09297242</v>
      </c>
      <c r="I786" s="472">
        <f>-'Foglio deposito bis'!$F$62*(C786-sezione!$AP$30)*IF(ABS(O786)&lt;'Sollecitazioni nel paramento'!$G$58,ABS(O786)*'Sollecitazioni nel paramento'!$G$54,'Sollecitazioni nel paramento'!$G$53)</f>
        <v>117778588.40687123</v>
      </c>
      <c r="J786" s="472">
        <f t="shared" si="55"/>
        <v>158835499.36969236</v>
      </c>
      <c r="K786" s="550">
        <f>'Sollecitazioni nel paramento'!$G$60*(sezione!$AL$30-C786)/C786</f>
        <v>9.6621778024053896E-3</v>
      </c>
      <c r="L786" s="550">
        <f>'Sollecitazioni nel paramento'!$G$60*(sezione!$AM$30-C786)/C786</f>
        <v>1.6243266703608084E-2</v>
      </c>
      <c r="M786" s="551">
        <f>'Sollecitazioni nel paramento'!$G$60*(sezione!$AN$30-C786)/C786</f>
        <v>2.2824355604810775E-2</v>
      </c>
      <c r="N786" s="551">
        <f>'Sollecitazioni nel paramento'!$G$60*(sezione!$AO$30-C786)/C786</f>
        <v>4.9148711209621561E-2</v>
      </c>
      <c r="O786" s="551">
        <f>'Sollecitazioni nel paramento'!$G$60*(sezione!$AP$30-C786)/C786</f>
        <v>0.12314863300840526</v>
      </c>
      <c r="P786" s="545">
        <f>-'Sollecitazioni nel paramento'!$G$47*'Sollecitazioni nel paramento'!$G$41*IF(DATI!$G$211="dx",DATI!$E$61,DATI!$E$64*DATI!$E$63)*1000*C786*sezione!$AD$5</f>
        <v>-405220.17557195487</v>
      </c>
      <c r="Q786" s="545">
        <f>'Foglio deposito bis'!$F$58*IF(ABS(K786)&lt;'Sollecitazioni nel paramento'!$G$58,ABS(K786)*'Sollecitazioni nel paramento'!$G$54,'Sollecitazioni nel paramento'!$G$53)*IF(K786&lt;0,-1,1)</f>
        <v>0</v>
      </c>
      <c r="R786" s="545">
        <f>'Foglio deposito bis'!$F$59*IF(ABS(L786)&lt;'Sollecitazioni nel paramento'!$G$58,ABS(L786)*'Sollecitazioni nel paramento'!$G$54,'Sollecitazioni nel paramento'!$G$53)*IF(L786&lt;0,-1,1)</f>
        <v>153664.85805602249</v>
      </c>
      <c r="S786" s="545">
        <f>'Foglio deposito bis'!$F$60*IF(ABS(M786)&lt;'Sollecitazioni nel paramento'!$G$58,ABS(M786)*'Sollecitazioni nel paramento'!$G$54,'Sollecitazioni nel paramento'!$G$53)*IF(M786&lt;0,-1,1)</f>
        <v>0</v>
      </c>
      <c r="T786" s="545">
        <f>'Foglio deposito bis'!$F$61*IF(ABS(N786)&lt;'Sollecitazioni nel paramento'!$G$58,ABS(N786)*'Sollecitazioni nel paramento'!$G$54,'Sollecitazioni nel paramento'!$G$53)*IF(N786&lt;0,-1,1)</f>
        <v>240946.49743184328</v>
      </c>
      <c r="U786" s="545">
        <f>'Foglio deposito bis'!$F$62*IF(ABS(O786)&lt;'Sollecitazioni nel paramento'!$G$58,ABS(O786)*'Sollecitazioni nel paramento'!$G$54,'Sollecitazioni nel paramento'!$G$53)*IF(O786&lt;0,-1,1)</f>
        <v>314705.62929873407</v>
      </c>
      <c r="V786" s="472">
        <f t="shared" si="57"/>
        <v>304096.80921464495</v>
      </c>
      <c r="W786" s="551"/>
      <c r="X786" s="551"/>
    </row>
    <row r="787" spans="1:24" x14ac:dyDescent="0.25">
      <c r="A787" s="545">
        <f t="shared" si="56"/>
        <v>293144.91257756518</v>
      </c>
      <c r="B787" s="3">
        <f t="shared" si="58"/>
        <v>1.900000000000001</v>
      </c>
      <c r="C787" s="545">
        <f>'Foglio deposito bis'!$E$156/sezione!$B$247*B787</f>
        <v>10.92401165994789</v>
      </c>
      <c r="D787" s="603">
        <f>-'Sollecitazioni nel paramento'!$G$47*'Sollecitazioni nel paramento'!$G$41*IF(DATI!$G$211="dx",DATI!$E$61,DATI!$E$64*DATI!$E$63)*1000*C787^2*sezione!$AD$5*(1-sezione!$AD$6)</f>
        <v>-2655020.8445040039</v>
      </c>
      <c r="E787" s="545">
        <f>-'Foglio deposito bis'!$F$58*(C787-sezione!$AL$30)*IF(ABS(K787)&lt;'Sollecitazioni nel paramento'!$G$58,ABS(K787)*'Sollecitazioni nel paramento'!$G$54,'Sollecitazioni nel paramento'!$G$53)</f>
        <v>0</v>
      </c>
      <c r="F787" s="545">
        <f>-'Foglio deposito bis'!$F$59*(C787-sezione!$AM$30)*IF(ABS(L787)&lt;'Sollecitazioni nel paramento'!$G$58,ABS(L787)*'Sollecitazioni nel paramento'!$G$54,'Sollecitazioni nel paramento'!$G$53)</f>
        <v>7541254.7822331218</v>
      </c>
      <c r="G787" s="545">
        <f>-'Foglio deposito bis'!$F$60*(C787-sezione!$AN$30)*IF(ABS(M787)&lt;'Sollecitazioni nel paramento'!$G$58,ABS(M787)*'Sollecitazioni nel paramento'!$G$54,'Sollecitazioni nel paramento'!$G$53)</f>
        <v>0</v>
      </c>
      <c r="H787" s="545">
        <f>-'Foglio deposito bis'!$F$61*(C787-sezione!$AO$30)*IF(ABS(N787)&lt;'Sollecitazioni nel paramento'!$G$58,ABS(N787)*'Sollecitazioni nel paramento'!$G$54,'Sollecitazioni nel paramento'!$G$53)</f>
        <v>35919337.241725862</v>
      </c>
      <c r="I787" s="472">
        <f>-'Foglio deposito bis'!$F$62*(C787-sezione!$AP$30)*IF(ABS(O787)&lt;'Sollecitazioni nel paramento'!$G$58,ABS(O787)*'Sollecitazioni nel paramento'!$G$54,'Sollecitazioni nel paramento'!$G$53)</f>
        <v>117688118.7236104</v>
      </c>
      <c r="J787" s="472">
        <f t="shared" si="55"/>
        <v>158493689.90306538</v>
      </c>
      <c r="K787" s="550">
        <f>'Sollecitazioni nel paramento'!$G$60*(sezione!$AL$30-C787)/C787</f>
        <v>9.3158047023420912E-3</v>
      </c>
      <c r="L787" s="550">
        <f>'Sollecitazioni nel paramento'!$G$60*(sezione!$AM$30-C787)/C787</f>
        <v>1.5723707053513135E-2</v>
      </c>
      <c r="M787" s="551">
        <f>'Sollecitazioni nel paramento'!$G$60*(sezione!$AN$30-C787)/C787</f>
        <v>2.2131609404684182E-2</v>
      </c>
      <c r="N787" s="551">
        <f>'Sollecitazioni nel paramento'!$G$60*(sezione!$AO$30-C787)/C787</f>
        <v>4.7763218809368367E-2</v>
      </c>
      <c r="O787" s="551">
        <f>'Sollecitazioni nel paramento'!$G$60*(sezione!$AP$30-C787)/C787</f>
        <v>0.11981577424502617</v>
      </c>
      <c r="P787" s="545">
        <f>-'Sollecitazioni nel paramento'!$G$47*'Sollecitazioni nel paramento'!$G$41*IF(DATI!$G$211="dx",DATI!$E$61,DATI!$E$64*DATI!$E$63)*1000*C787*sezione!$AD$5</f>
        <v>-416172.0722090347</v>
      </c>
      <c r="Q787" s="545">
        <f>'Foglio deposito bis'!$F$58*IF(ABS(K787)&lt;'Sollecitazioni nel paramento'!$G$58,ABS(K787)*'Sollecitazioni nel paramento'!$G$54,'Sollecitazioni nel paramento'!$G$53)*IF(K787&lt;0,-1,1)</f>
        <v>0</v>
      </c>
      <c r="R787" s="545">
        <f>'Foglio deposito bis'!$F$59*IF(ABS(L787)&lt;'Sollecitazioni nel paramento'!$G$58,ABS(L787)*'Sollecitazioni nel paramento'!$G$54,'Sollecitazioni nel paramento'!$G$53)*IF(L787&lt;0,-1,1)</f>
        <v>153664.85805602249</v>
      </c>
      <c r="S787" s="545">
        <f>'Foglio deposito bis'!$F$60*IF(ABS(M787)&lt;'Sollecitazioni nel paramento'!$G$58,ABS(M787)*'Sollecitazioni nel paramento'!$G$54,'Sollecitazioni nel paramento'!$G$53)*IF(M787&lt;0,-1,1)</f>
        <v>0</v>
      </c>
      <c r="T787" s="545">
        <f>'Foglio deposito bis'!$F$61*IF(ABS(N787)&lt;'Sollecitazioni nel paramento'!$G$58,ABS(N787)*'Sollecitazioni nel paramento'!$G$54,'Sollecitazioni nel paramento'!$G$53)*IF(N787&lt;0,-1,1)</f>
        <v>240946.49743184328</v>
      </c>
      <c r="U787" s="545">
        <f>'Foglio deposito bis'!$F$62*IF(ABS(O787)&lt;'Sollecitazioni nel paramento'!$G$58,ABS(O787)*'Sollecitazioni nel paramento'!$G$54,'Sollecitazioni nel paramento'!$G$53)*IF(O787&lt;0,-1,1)</f>
        <v>314705.62929873407</v>
      </c>
      <c r="V787" s="472">
        <f t="shared" si="57"/>
        <v>293144.91257756518</v>
      </c>
      <c r="W787" s="551"/>
      <c r="X787" s="551"/>
    </row>
    <row r="788" spans="1:24" x14ac:dyDescent="0.25">
      <c r="A788" s="545">
        <f t="shared" si="56"/>
        <v>282193.01594048529</v>
      </c>
      <c r="B788" s="3">
        <f t="shared" si="58"/>
        <v>1.9500000000000011</v>
      </c>
      <c r="C788" s="545">
        <f>'Foglio deposito bis'!$E$156/sezione!$B$247*B788</f>
        <v>11.211485650999151</v>
      </c>
      <c r="D788" s="603">
        <f>-'Sollecitazioni nel paramento'!$G$47*'Sollecitazioni nel paramento'!$G$41*IF(DATI!$G$211="dx",DATI!$E$61,DATI!$E$64*DATI!$E$63)*1000*C788^2*sezione!$AD$5*(1-sezione!$AD$6)</f>
        <v>-2796597.4407829572</v>
      </c>
      <c r="E788" s="545">
        <f>-'Foglio deposito bis'!$F$58*(C788-sezione!$AL$30)*IF(ABS(K788)&lt;'Sollecitazioni nel paramento'!$G$58,ABS(K788)*'Sollecitazioni nel paramento'!$G$54,'Sollecitazioni nel paramento'!$G$53)</f>
        <v>0</v>
      </c>
      <c r="F788" s="545">
        <f>-'Foglio deposito bis'!$F$59*(C788-sezione!$AM$30)*IF(ABS(L788)&lt;'Sollecitazioni nel paramento'!$G$58,ABS(L788)*'Sollecitazioni nel paramento'!$G$54,'Sollecitazioni nel paramento'!$G$53)</f>
        <v>7497080.1322034318</v>
      </c>
      <c r="G788" s="545">
        <f>-'Foglio deposito bis'!$F$60*(C788-sezione!$AN$30)*IF(ABS(M788)&lt;'Sollecitazioni nel paramento'!$G$58,ABS(M788)*'Sollecitazioni nel paramento'!$G$54,'Sollecitazioni nel paramento'!$G$53)</f>
        <v>0</v>
      </c>
      <c r="H788" s="545">
        <f>-'Foglio deposito bis'!$F$61*(C788-sezione!$AO$30)*IF(ABS(N788)&lt;'Sollecitazioni nel paramento'!$G$58,ABS(N788)*'Sollecitazioni nel paramento'!$G$54,'Sollecitazioni nel paramento'!$G$53)</f>
        <v>35850071.390479304</v>
      </c>
      <c r="I788" s="472">
        <f>-'Foglio deposito bis'!$F$62*(C788-sezione!$AP$30)*IF(ABS(O788)&lt;'Sollecitazioni nel paramento'!$G$58,ABS(O788)*'Sollecitazioni nel paramento'!$G$54,'Sollecitazioni nel paramento'!$G$53)</f>
        <v>117597649.04034962</v>
      </c>
      <c r="J788" s="472">
        <f t="shared" si="55"/>
        <v>158148203.12224939</v>
      </c>
      <c r="K788" s="550">
        <f>'Sollecitazioni nel paramento'!$G$60*(sezione!$AL$30-C788)/C788</f>
        <v>8.9871943253589607E-3</v>
      </c>
      <c r="L788" s="550">
        <f>'Sollecitazioni nel paramento'!$G$60*(sezione!$AM$30-C788)/C788</f>
        <v>1.523079148803844E-2</v>
      </c>
      <c r="M788" s="551">
        <f>'Sollecitazioni nel paramento'!$G$60*(sezione!$AN$30-C788)/C788</f>
        <v>2.1474388650717921E-2</v>
      </c>
      <c r="N788" s="551">
        <f>'Sollecitazioni nel paramento'!$G$60*(sezione!$AO$30-C788)/C788</f>
        <v>4.6448777301435845E-2</v>
      </c>
      <c r="O788" s="551">
        <f>'Sollecitazioni nel paramento'!$G$60*(sezione!$AP$30-C788)/C788</f>
        <v>0.11665383131566653</v>
      </c>
      <c r="P788" s="545">
        <f>-'Sollecitazioni nel paramento'!$G$47*'Sollecitazioni nel paramento'!$G$41*IF(DATI!$G$211="dx",DATI!$E$61,DATI!$E$64*DATI!$E$63)*1000*C788*sezione!$AD$5</f>
        <v>-427123.96884611453</v>
      </c>
      <c r="Q788" s="545">
        <f>'Foglio deposito bis'!$F$58*IF(ABS(K788)&lt;'Sollecitazioni nel paramento'!$G$58,ABS(K788)*'Sollecitazioni nel paramento'!$G$54,'Sollecitazioni nel paramento'!$G$53)*IF(K788&lt;0,-1,1)</f>
        <v>0</v>
      </c>
      <c r="R788" s="545">
        <f>'Foglio deposito bis'!$F$59*IF(ABS(L788)&lt;'Sollecitazioni nel paramento'!$G$58,ABS(L788)*'Sollecitazioni nel paramento'!$G$54,'Sollecitazioni nel paramento'!$G$53)*IF(L788&lt;0,-1,1)</f>
        <v>153664.85805602249</v>
      </c>
      <c r="S788" s="545">
        <f>'Foglio deposito bis'!$F$60*IF(ABS(M788)&lt;'Sollecitazioni nel paramento'!$G$58,ABS(M788)*'Sollecitazioni nel paramento'!$G$54,'Sollecitazioni nel paramento'!$G$53)*IF(M788&lt;0,-1,1)</f>
        <v>0</v>
      </c>
      <c r="T788" s="545">
        <f>'Foglio deposito bis'!$F$61*IF(ABS(N788)&lt;'Sollecitazioni nel paramento'!$G$58,ABS(N788)*'Sollecitazioni nel paramento'!$G$54,'Sollecitazioni nel paramento'!$G$53)*IF(N788&lt;0,-1,1)</f>
        <v>240946.49743184328</v>
      </c>
      <c r="U788" s="545">
        <f>'Foglio deposito bis'!$F$62*IF(ABS(O788)&lt;'Sollecitazioni nel paramento'!$G$58,ABS(O788)*'Sollecitazioni nel paramento'!$G$54,'Sollecitazioni nel paramento'!$G$53)*IF(O788&lt;0,-1,1)</f>
        <v>314705.62929873407</v>
      </c>
      <c r="V788" s="472">
        <f t="shared" si="57"/>
        <v>282193.01594048529</v>
      </c>
      <c r="W788" s="551"/>
      <c r="X788" s="551"/>
    </row>
    <row r="789" spans="1:24" x14ac:dyDescent="0.25">
      <c r="A789" s="545">
        <f t="shared" si="56"/>
        <v>271241.1193034054</v>
      </c>
      <c r="B789" s="3">
        <f t="shared" si="58"/>
        <v>2.0000000000000009</v>
      </c>
      <c r="C789" s="545">
        <f>'Foglio deposito bis'!$E$156/sezione!$B$247*B789</f>
        <v>11.49895964205041</v>
      </c>
      <c r="D789" s="603">
        <f>-'Sollecitazioni nel paramento'!$G$47*'Sollecitazioni nel paramento'!$G$41*IF(DATI!$G$211="dx",DATI!$E$61,DATI!$E$64*DATI!$E$63)*1000*C789^2*sezione!$AD$5*(1-sezione!$AD$6)</f>
        <v>-2941851.351250974</v>
      </c>
      <c r="E789" s="545">
        <f>-'Foglio deposito bis'!$F$58*(C789-sezione!$AL$30)*IF(ABS(K789)&lt;'Sollecitazioni nel paramento'!$G$58,ABS(K789)*'Sollecitazioni nel paramento'!$G$54,'Sollecitazioni nel paramento'!$G$53)</f>
        <v>0</v>
      </c>
      <c r="F789" s="545">
        <f>-'Foglio deposito bis'!$F$59*(C789-sezione!$AM$30)*IF(ABS(L789)&lt;'Sollecitazioni nel paramento'!$G$58,ABS(L789)*'Sollecitazioni nel paramento'!$G$54,'Sollecitazioni nel paramento'!$G$53)</f>
        <v>7452905.4821737427</v>
      </c>
      <c r="G789" s="545">
        <f>-'Foglio deposito bis'!$F$60*(C789-sezione!$AN$30)*IF(ABS(M789)&lt;'Sollecitazioni nel paramento'!$G$58,ABS(M789)*'Sollecitazioni nel paramento'!$G$54,'Sollecitazioni nel paramento'!$G$53)</f>
        <v>0</v>
      </c>
      <c r="H789" s="545">
        <f>-'Foglio deposito bis'!$F$61*(C789-sezione!$AO$30)*IF(ABS(N789)&lt;'Sollecitazioni nel paramento'!$G$58,ABS(N789)*'Sollecitazioni nel paramento'!$G$54,'Sollecitazioni nel paramento'!$G$53)</f>
        <v>35780805.539232753</v>
      </c>
      <c r="I789" s="472">
        <f>-'Foglio deposito bis'!$F$62*(C789-sezione!$AP$30)*IF(ABS(O789)&lt;'Sollecitazioni nel paramento'!$G$58,ABS(O789)*'Sollecitazioni nel paramento'!$G$54,'Sollecitazioni nel paramento'!$G$53)</f>
        <v>117507179.3570888</v>
      </c>
      <c r="J789" s="472">
        <f t="shared" si="55"/>
        <v>157799039.02724433</v>
      </c>
      <c r="K789" s="550">
        <f>'Sollecitazioni nel paramento'!$G$60*(sezione!$AL$30-C789)/C789</f>
        <v>8.6750144672249879E-3</v>
      </c>
      <c r="L789" s="550">
        <f>'Sollecitazioni nel paramento'!$G$60*(sezione!$AM$30-C789)/C789</f>
        <v>1.4762521700837481E-2</v>
      </c>
      <c r="M789" s="551">
        <f>'Sollecitazioni nel paramento'!$G$60*(sezione!$AN$30-C789)/C789</f>
        <v>2.0850028934449975E-2</v>
      </c>
      <c r="N789" s="551">
        <f>'Sollecitazioni nel paramento'!$G$60*(sezione!$AO$30-C789)/C789</f>
        <v>4.5200057868899947E-2</v>
      </c>
      <c r="O789" s="551">
        <f>'Sollecitazioni nel paramento'!$G$60*(sezione!$AP$30-C789)/C789</f>
        <v>0.11364998553277486</v>
      </c>
      <c r="P789" s="545">
        <f>-'Sollecitazioni nel paramento'!$G$47*'Sollecitazioni nel paramento'!$G$41*IF(DATI!$G$211="dx",DATI!$E$61,DATI!$E$64*DATI!$E$63)*1000*C789*sezione!$AD$5</f>
        <v>-438075.86548319441</v>
      </c>
      <c r="Q789" s="545">
        <f>'Foglio deposito bis'!$F$58*IF(ABS(K789)&lt;'Sollecitazioni nel paramento'!$G$58,ABS(K789)*'Sollecitazioni nel paramento'!$G$54,'Sollecitazioni nel paramento'!$G$53)*IF(K789&lt;0,-1,1)</f>
        <v>0</v>
      </c>
      <c r="R789" s="545">
        <f>'Foglio deposito bis'!$F$59*IF(ABS(L789)&lt;'Sollecitazioni nel paramento'!$G$58,ABS(L789)*'Sollecitazioni nel paramento'!$G$54,'Sollecitazioni nel paramento'!$G$53)*IF(L789&lt;0,-1,1)</f>
        <v>153664.85805602249</v>
      </c>
      <c r="S789" s="545">
        <f>'Foglio deposito bis'!$F$60*IF(ABS(M789)&lt;'Sollecitazioni nel paramento'!$G$58,ABS(M789)*'Sollecitazioni nel paramento'!$G$54,'Sollecitazioni nel paramento'!$G$53)*IF(M789&lt;0,-1,1)</f>
        <v>0</v>
      </c>
      <c r="T789" s="545">
        <f>'Foglio deposito bis'!$F$61*IF(ABS(N789)&lt;'Sollecitazioni nel paramento'!$G$58,ABS(N789)*'Sollecitazioni nel paramento'!$G$54,'Sollecitazioni nel paramento'!$G$53)*IF(N789&lt;0,-1,1)</f>
        <v>240946.49743184328</v>
      </c>
      <c r="U789" s="545">
        <f>'Foglio deposito bis'!$F$62*IF(ABS(O789)&lt;'Sollecitazioni nel paramento'!$G$58,ABS(O789)*'Sollecitazioni nel paramento'!$G$54,'Sollecitazioni nel paramento'!$G$53)*IF(O789&lt;0,-1,1)</f>
        <v>314705.62929873407</v>
      </c>
      <c r="V789" s="472">
        <f t="shared" si="57"/>
        <v>271241.1193034054</v>
      </c>
      <c r="W789" s="551"/>
      <c r="X789" s="551"/>
    </row>
    <row r="790" spans="1:24" x14ac:dyDescent="0.25">
      <c r="A790" s="545">
        <f t="shared" si="56"/>
        <v>260289.22266632566</v>
      </c>
      <c r="B790" s="3">
        <f t="shared" si="58"/>
        <v>2.0500000000000007</v>
      </c>
      <c r="C790" s="545">
        <f>'Foglio deposito bis'!$E$156/sezione!$B$247*B790</f>
        <v>11.786433633101669</v>
      </c>
      <c r="D790" s="603">
        <f>-'Sollecitazioni nel paramento'!$G$47*'Sollecitazioni nel paramento'!$G$41*IF(DATI!$G$211="dx",DATI!$E$61,DATI!$E$64*DATI!$E$63)*1000*C790^2*sezione!$AD$5*(1-sezione!$AD$6)</f>
        <v>-3090782.5759080541</v>
      </c>
      <c r="E790" s="545">
        <f>-'Foglio deposito bis'!$F$58*(C790-sezione!$AL$30)*IF(ABS(K790)&lt;'Sollecitazioni nel paramento'!$G$58,ABS(K790)*'Sollecitazioni nel paramento'!$G$54,'Sollecitazioni nel paramento'!$G$53)</f>
        <v>0</v>
      </c>
      <c r="F790" s="545">
        <f>-'Foglio deposito bis'!$F$59*(C790-sezione!$AM$30)*IF(ABS(L790)&lt;'Sollecitazioni nel paramento'!$G$58,ABS(L790)*'Sollecitazioni nel paramento'!$G$54,'Sollecitazioni nel paramento'!$G$53)</f>
        <v>7408730.8321440527</v>
      </c>
      <c r="G790" s="545">
        <f>-'Foglio deposito bis'!$F$60*(C790-sezione!$AN$30)*IF(ABS(M790)&lt;'Sollecitazioni nel paramento'!$G$58,ABS(M790)*'Sollecitazioni nel paramento'!$G$54,'Sollecitazioni nel paramento'!$G$53)</f>
        <v>0</v>
      </c>
      <c r="H790" s="545">
        <f>-'Foglio deposito bis'!$F$61*(C790-sezione!$AO$30)*IF(ABS(N790)&lt;'Sollecitazioni nel paramento'!$G$58,ABS(N790)*'Sollecitazioni nel paramento'!$G$54,'Sollecitazioni nel paramento'!$G$53)</f>
        <v>35711539.687986203</v>
      </c>
      <c r="I790" s="472">
        <f>-'Foglio deposito bis'!$F$62*(C790-sezione!$AP$30)*IF(ABS(O790)&lt;'Sollecitazioni nel paramento'!$G$58,ABS(O790)*'Sollecitazioni nel paramento'!$G$54,'Sollecitazioni nel paramento'!$G$53)</f>
        <v>117416709.67382798</v>
      </c>
      <c r="J790" s="472">
        <f t="shared" si="55"/>
        <v>157446197.61805016</v>
      </c>
      <c r="K790" s="550">
        <f>'Sollecitazioni nel paramento'!$G$60*(sezione!$AL$30-C790)/C790</f>
        <v>8.3780628948536481E-3</v>
      </c>
      <c r="L790" s="550">
        <f>'Sollecitazioni nel paramento'!$G$60*(sezione!$AM$30-C790)/C790</f>
        <v>1.4317094342280472E-2</v>
      </c>
      <c r="M790" s="551">
        <f>'Sollecitazioni nel paramento'!$G$60*(sezione!$AN$30-C790)/C790</f>
        <v>2.0256125789707292E-2</v>
      </c>
      <c r="N790" s="551">
        <f>'Sollecitazioni nel paramento'!$G$60*(sezione!$AO$30-C790)/C790</f>
        <v>4.4012251579414588E-2</v>
      </c>
      <c r="O790" s="551">
        <f>'Sollecitazioni nel paramento'!$G$60*(sezione!$AP$30-C790)/C790</f>
        <v>0.11079266881246329</v>
      </c>
      <c r="P790" s="545">
        <f>-'Sollecitazioni nel paramento'!$G$47*'Sollecitazioni nel paramento'!$G$41*IF(DATI!$G$211="dx",DATI!$E$61,DATI!$E$64*DATI!$E$63)*1000*C790*sezione!$AD$5</f>
        <v>-449027.76212027419</v>
      </c>
      <c r="Q790" s="545">
        <f>'Foglio deposito bis'!$F$58*IF(ABS(K790)&lt;'Sollecitazioni nel paramento'!$G$58,ABS(K790)*'Sollecitazioni nel paramento'!$G$54,'Sollecitazioni nel paramento'!$G$53)*IF(K790&lt;0,-1,1)</f>
        <v>0</v>
      </c>
      <c r="R790" s="545">
        <f>'Foglio deposito bis'!$F$59*IF(ABS(L790)&lt;'Sollecitazioni nel paramento'!$G$58,ABS(L790)*'Sollecitazioni nel paramento'!$G$54,'Sollecitazioni nel paramento'!$G$53)*IF(L790&lt;0,-1,1)</f>
        <v>153664.85805602249</v>
      </c>
      <c r="S790" s="545">
        <f>'Foglio deposito bis'!$F$60*IF(ABS(M790)&lt;'Sollecitazioni nel paramento'!$G$58,ABS(M790)*'Sollecitazioni nel paramento'!$G$54,'Sollecitazioni nel paramento'!$G$53)*IF(M790&lt;0,-1,1)</f>
        <v>0</v>
      </c>
      <c r="T790" s="545">
        <f>'Foglio deposito bis'!$F$61*IF(ABS(N790)&lt;'Sollecitazioni nel paramento'!$G$58,ABS(N790)*'Sollecitazioni nel paramento'!$G$54,'Sollecitazioni nel paramento'!$G$53)*IF(N790&lt;0,-1,1)</f>
        <v>240946.49743184328</v>
      </c>
      <c r="U790" s="545">
        <f>'Foglio deposito bis'!$F$62*IF(ABS(O790)&lt;'Sollecitazioni nel paramento'!$G$58,ABS(O790)*'Sollecitazioni nel paramento'!$G$54,'Sollecitazioni nel paramento'!$G$53)*IF(O790&lt;0,-1,1)</f>
        <v>314705.62929873407</v>
      </c>
      <c r="V790" s="472">
        <f t="shared" si="57"/>
        <v>260289.22266632566</v>
      </c>
      <c r="W790" s="551"/>
      <c r="X790" s="551"/>
    </row>
    <row r="791" spans="1:24" x14ac:dyDescent="0.25">
      <c r="A791" s="545">
        <f t="shared" si="56"/>
        <v>249337.32602924583</v>
      </c>
      <c r="B791" s="3">
        <f t="shared" si="58"/>
        <v>2.1000000000000005</v>
      </c>
      <c r="C791" s="545">
        <f>'Foglio deposito bis'!$E$156/sezione!$B$247*B791</f>
        <v>12.073907624152929</v>
      </c>
      <c r="D791" s="603">
        <f>-'Sollecitazioni nel paramento'!$G$47*'Sollecitazioni nel paramento'!$G$41*IF(DATI!$G$211="dx",DATI!$E$61,DATI!$E$64*DATI!$E$63)*1000*C791^2*sezione!$AD$5*(1-sezione!$AD$6)</f>
        <v>-3243391.1147541972</v>
      </c>
      <c r="E791" s="545">
        <f>-'Foglio deposito bis'!$F$58*(C791-sezione!$AL$30)*IF(ABS(K791)&lt;'Sollecitazioni nel paramento'!$G$58,ABS(K791)*'Sollecitazioni nel paramento'!$G$54,'Sollecitazioni nel paramento'!$G$53)</f>
        <v>0</v>
      </c>
      <c r="F791" s="545">
        <f>-'Foglio deposito bis'!$F$59*(C791-sezione!$AM$30)*IF(ABS(L791)&lt;'Sollecitazioni nel paramento'!$G$58,ABS(L791)*'Sollecitazioni nel paramento'!$G$54,'Sollecitazioni nel paramento'!$G$53)</f>
        <v>7364556.1821143627</v>
      </c>
      <c r="G791" s="545">
        <f>-'Foglio deposito bis'!$F$60*(C791-sezione!$AN$30)*IF(ABS(M791)&lt;'Sollecitazioni nel paramento'!$G$58,ABS(M791)*'Sollecitazioni nel paramento'!$G$54,'Sollecitazioni nel paramento'!$G$53)</f>
        <v>0</v>
      </c>
      <c r="H791" s="545">
        <f>-'Foglio deposito bis'!$F$61*(C791-sezione!$AO$30)*IF(ABS(N791)&lt;'Sollecitazioni nel paramento'!$G$58,ABS(N791)*'Sollecitazioni nel paramento'!$G$54,'Sollecitazioni nel paramento'!$G$53)</f>
        <v>35642273.836739652</v>
      </c>
      <c r="I791" s="472">
        <f>-'Foglio deposito bis'!$F$62*(C791-sezione!$AP$30)*IF(ABS(O791)&lt;'Sollecitazioni nel paramento'!$G$58,ABS(O791)*'Sollecitazioni nel paramento'!$G$54,'Sollecitazioni nel paramento'!$G$53)</f>
        <v>117326239.99056719</v>
      </c>
      <c r="J791" s="472">
        <f t="shared" si="55"/>
        <v>157089678.894667</v>
      </c>
      <c r="K791" s="550">
        <f>'Sollecitazioni nel paramento'!$G$60*(sezione!$AL$30-C791)/C791</f>
        <v>8.0952518735476087E-3</v>
      </c>
      <c r="L791" s="550">
        <f>'Sollecitazioni nel paramento'!$G$60*(sezione!$AM$30-C791)/C791</f>
        <v>1.3892877810321412E-2</v>
      </c>
      <c r="M791" s="551">
        <f>'Sollecitazioni nel paramento'!$G$60*(sezione!$AN$30-C791)/C791</f>
        <v>1.9690503747095217E-2</v>
      </c>
      <c r="N791" s="551">
        <f>'Sollecitazioni nel paramento'!$G$60*(sezione!$AO$30-C791)/C791</f>
        <v>4.288100749419043E-2</v>
      </c>
      <c r="O791" s="551">
        <f>'Sollecitazioni nel paramento'!$G$60*(sezione!$AP$30-C791)/C791</f>
        <v>0.10807141479311894</v>
      </c>
      <c r="P791" s="545">
        <f>-'Sollecitazioni nel paramento'!$G$47*'Sollecitazioni nel paramento'!$G$41*IF(DATI!$G$211="dx",DATI!$E$61,DATI!$E$64*DATI!$E$63)*1000*C791*sezione!$AD$5</f>
        <v>-459979.65875735402</v>
      </c>
      <c r="Q791" s="545">
        <f>'Foglio deposito bis'!$F$58*IF(ABS(K791)&lt;'Sollecitazioni nel paramento'!$G$58,ABS(K791)*'Sollecitazioni nel paramento'!$G$54,'Sollecitazioni nel paramento'!$G$53)*IF(K791&lt;0,-1,1)</f>
        <v>0</v>
      </c>
      <c r="R791" s="545">
        <f>'Foglio deposito bis'!$F$59*IF(ABS(L791)&lt;'Sollecitazioni nel paramento'!$G$58,ABS(L791)*'Sollecitazioni nel paramento'!$G$54,'Sollecitazioni nel paramento'!$G$53)*IF(L791&lt;0,-1,1)</f>
        <v>153664.85805602249</v>
      </c>
      <c r="S791" s="545">
        <f>'Foglio deposito bis'!$F$60*IF(ABS(M791)&lt;'Sollecitazioni nel paramento'!$G$58,ABS(M791)*'Sollecitazioni nel paramento'!$G$54,'Sollecitazioni nel paramento'!$G$53)*IF(M791&lt;0,-1,1)</f>
        <v>0</v>
      </c>
      <c r="T791" s="545">
        <f>'Foglio deposito bis'!$F$61*IF(ABS(N791)&lt;'Sollecitazioni nel paramento'!$G$58,ABS(N791)*'Sollecitazioni nel paramento'!$G$54,'Sollecitazioni nel paramento'!$G$53)*IF(N791&lt;0,-1,1)</f>
        <v>240946.49743184328</v>
      </c>
      <c r="U791" s="545">
        <f>'Foglio deposito bis'!$F$62*IF(ABS(O791)&lt;'Sollecitazioni nel paramento'!$G$58,ABS(O791)*'Sollecitazioni nel paramento'!$G$54,'Sollecitazioni nel paramento'!$G$53)*IF(O791&lt;0,-1,1)</f>
        <v>314705.62929873407</v>
      </c>
      <c r="V791" s="472">
        <f t="shared" si="57"/>
        <v>249337.32602924583</v>
      </c>
      <c r="W791" s="551"/>
      <c r="X791" s="551"/>
    </row>
    <row r="792" spans="1:24" x14ac:dyDescent="0.25">
      <c r="A792" s="545">
        <f t="shared" si="56"/>
        <v>238385.42939216594</v>
      </c>
      <c r="B792" s="3">
        <f t="shared" si="58"/>
        <v>2.1500000000000004</v>
      </c>
      <c r="C792" s="545">
        <f>'Foglio deposito bis'!$E$156/sezione!$B$247*B792</f>
        <v>12.361381615204188</v>
      </c>
      <c r="D792" s="603">
        <f>-'Sollecitazioni nel paramento'!$G$47*'Sollecitazioni nel paramento'!$G$41*IF(DATI!$G$211="dx",DATI!$E$61,DATI!$E$64*DATI!$E$63)*1000*C792^2*sezione!$AD$5*(1-sezione!$AD$6)</f>
        <v>-3399676.9677894041</v>
      </c>
      <c r="E792" s="545">
        <f>-'Foglio deposito bis'!$F$58*(C792-sezione!$AL$30)*IF(ABS(K792)&lt;'Sollecitazioni nel paramento'!$G$58,ABS(K792)*'Sollecitazioni nel paramento'!$G$54,'Sollecitazioni nel paramento'!$G$53)</f>
        <v>0</v>
      </c>
      <c r="F792" s="545">
        <f>-'Foglio deposito bis'!$F$59*(C792-sezione!$AM$30)*IF(ABS(L792)&lt;'Sollecitazioni nel paramento'!$G$58,ABS(L792)*'Sollecitazioni nel paramento'!$G$54,'Sollecitazioni nel paramento'!$G$53)</f>
        <v>7320381.5320846718</v>
      </c>
      <c r="G792" s="545">
        <f>-'Foglio deposito bis'!$F$60*(C792-sezione!$AN$30)*IF(ABS(M792)&lt;'Sollecitazioni nel paramento'!$G$58,ABS(M792)*'Sollecitazioni nel paramento'!$G$54,'Sollecitazioni nel paramento'!$G$53)</f>
        <v>0</v>
      </c>
      <c r="H792" s="545">
        <f>-'Foglio deposito bis'!$F$61*(C792-sezione!$AO$30)*IF(ABS(N792)&lt;'Sollecitazioni nel paramento'!$G$58,ABS(N792)*'Sollecitazioni nel paramento'!$G$54,'Sollecitazioni nel paramento'!$G$53)</f>
        <v>35573007.985493094</v>
      </c>
      <c r="I792" s="472">
        <f>-'Foglio deposito bis'!$F$62*(C792-sezione!$AP$30)*IF(ABS(O792)&lt;'Sollecitazioni nel paramento'!$G$58,ABS(O792)*'Sollecitazioni nel paramento'!$G$54,'Sollecitazioni nel paramento'!$G$53)</f>
        <v>117235770.30730638</v>
      </c>
      <c r="J792" s="472">
        <f t="shared" si="55"/>
        <v>156729482.85709473</v>
      </c>
      <c r="K792" s="550">
        <f>'Sollecitazioni nel paramento'!$G$60*(sezione!$AL$30-C792)/C792</f>
        <v>7.8255948532325488E-3</v>
      </c>
      <c r="L792" s="550">
        <f>'Sollecitazioni nel paramento'!$G$60*(sezione!$AM$30-C792)/C792</f>
        <v>1.3488392279848823E-2</v>
      </c>
      <c r="M792" s="551">
        <f>'Sollecitazioni nel paramento'!$G$60*(sezione!$AN$30-C792)/C792</f>
        <v>1.9151189706465101E-2</v>
      </c>
      <c r="N792" s="551">
        <f>'Sollecitazioni nel paramento'!$G$60*(sezione!$AO$30-C792)/C792</f>
        <v>4.1802379412930198E-2</v>
      </c>
      <c r="O792" s="551">
        <f>'Sollecitazioni nel paramento'!$G$60*(sezione!$AP$30-C792)/C792</f>
        <v>0.10547673072816267</v>
      </c>
      <c r="P792" s="545">
        <f>-'Sollecitazioni nel paramento'!$G$47*'Sollecitazioni nel paramento'!$G$41*IF(DATI!$G$211="dx",DATI!$E$61,DATI!$E$64*DATI!$E$63)*1000*C792*sezione!$AD$5</f>
        <v>-470931.5553944339</v>
      </c>
      <c r="Q792" s="545">
        <f>'Foglio deposito bis'!$F$58*IF(ABS(K792)&lt;'Sollecitazioni nel paramento'!$G$58,ABS(K792)*'Sollecitazioni nel paramento'!$G$54,'Sollecitazioni nel paramento'!$G$53)*IF(K792&lt;0,-1,1)</f>
        <v>0</v>
      </c>
      <c r="R792" s="545">
        <f>'Foglio deposito bis'!$F$59*IF(ABS(L792)&lt;'Sollecitazioni nel paramento'!$G$58,ABS(L792)*'Sollecitazioni nel paramento'!$G$54,'Sollecitazioni nel paramento'!$G$53)*IF(L792&lt;0,-1,1)</f>
        <v>153664.85805602249</v>
      </c>
      <c r="S792" s="545">
        <f>'Foglio deposito bis'!$F$60*IF(ABS(M792)&lt;'Sollecitazioni nel paramento'!$G$58,ABS(M792)*'Sollecitazioni nel paramento'!$G$54,'Sollecitazioni nel paramento'!$G$53)*IF(M792&lt;0,-1,1)</f>
        <v>0</v>
      </c>
      <c r="T792" s="545">
        <f>'Foglio deposito bis'!$F$61*IF(ABS(N792)&lt;'Sollecitazioni nel paramento'!$G$58,ABS(N792)*'Sollecitazioni nel paramento'!$G$54,'Sollecitazioni nel paramento'!$G$53)*IF(N792&lt;0,-1,1)</f>
        <v>240946.49743184328</v>
      </c>
      <c r="U792" s="545">
        <f>'Foglio deposito bis'!$F$62*IF(ABS(O792)&lt;'Sollecitazioni nel paramento'!$G$58,ABS(O792)*'Sollecitazioni nel paramento'!$G$54,'Sollecitazioni nel paramento'!$G$53)*IF(O792&lt;0,-1,1)</f>
        <v>314705.62929873407</v>
      </c>
      <c r="V792" s="472">
        <f t="shared" si="57"/>
        <v>238385.42939216594</v>
      </c>
      <c r="W792" s="551"/>
      <c r="X792" s="551"/>
    </row>
    <row r="793" spans="1:24" x14ac:dyDescent="0.25">
      <c r="A793" s="545">
        <f t="shared" si="56"/>
        <v>227433.53275508617</v>
      </c>
      <c r="B793" s="3">
        <f t="shared" si="58"/>
        <v>2.2000000000000002</v>
      </c>
      <c r="C793" s="545">
        <f>'Foglio deposito bis'!$E$156/sezione!$B$247*B793</f>
        <v>12.648855606255447</v>
      </c>
      <c r="D793" s="603">
        <f>-'Sollecitazioni nel paramento'!$G$47*'Sollecitazioni nel paramento'!$G$41*IF(DATI!$G$211="dx",DATI!$E$61,DATI!$E$64*DATI!$E$63)*1000*C793^2*sezione!$AD$5*(1-sezione!$AD$6)</f>
        <v>-3559640.1350136753</v>
      </c>
      <c r="E793" s="545">
        <f>-'Foglio deposito bis'!$F$58*(C793-sezione!$AL$30)*IF(ABS(K793)&lt;'Sollecitazioni nel paramento'!$G$58,ABS(K793)*'Sollecitazioni nel paramento'!$G$54,'Sollecitazioni nel paramento'!$G$53)</f>
        <v>0</v>
      </c>
      <c r="F793" s="545">
        <f>-'Foglio deposito bis'!$F$59*(C793-sezione!$AM$30)*IF(ABS(L793)&lt;'Sollecitazioni nel paramento'!$G$58,ABS(L793)*'Sollecitazioni nel paramento'!$G$54,'Sollecitazioni nel paramento'!$G$53)</f>
        <v>7276206.8820549827</v>
      </c>
      <c r="G793" s="545">
        <f>-'Foglio deposito bis'!$F$60*(C793-sezione!$AN$30)*IF(ABS(M793)&lt;'Sollecitazioni nel paramento'!$G$58,ABS(M793)*'Sollecitazioni nel paramento'!$G$54,'Sollecitazioni nel paramento'!$G$53)</f>
        <v>0</v>
      </c>
      <c r="H793" s="545">
        <f>-'Foglio deposito bis'!$F$61*(C793-sezione!$AO$30)*IF(ABS(N793)&lt;'Sollecitazioni nel paramento'!$G$58,ABS(N793)*'Sollecitazioni nel paramento'!$G$54,'Sollecitazioni nel paramento'!$G$53)</f>
        <v>35503742.134246543</v>
      </c>
      <c r="I793" s="472">
        <f>-'Foglio deposito bis'!$F$62*(C793-sezione!$AP$30)*IF(ABS(O793)&lt;'Sollecitazioni nel paramento'!$G$58,ABS(O793)*'Sollecitazioni nel paramento'!$G$54,'Sollecitazioni nel paramento'!$G$53)</f>
        <v>117145300.62404557</v>
      </c>
      <c r="J793" s="472">
        <f t="shared" si="55"/>
        <v>156365609.50533342</v>
      </c>
      <c r="K793" s="550">
        <f>'Sollecitazioni nel paramento'!$G$60*(sezione!$AL$30-C793)/C793</f>
        <v>7.5681949702045377E-3</v>
      </c>
      <c r="L793" s="550">
        <f>'Sollecitazioni nel paramento'!$G$60*(sezione!$AM$30-C793)/C793</f>
        <v>1.3102292455306808E-2</v>
      </c>
      <c r="M793" s="551">
        <f>'Sollecitazioni nel paramento'!$G$60*(sezione!$AN$30-C793)/C793</f>
        <v>1.8636389940409073E-2</v>
      </c>
      <c r="N793" s="551">
        <f>'Sollecitazioni nel paramento'!$G$60*(sezione!$AO$30-C793)/C793</f>
        <v>4.077277988081815E-2</v>
      </c>
      <c r="O793" s="551">
        <f>'Sollecitazioni nel paramento'!$G$60*(sezione!$AP$30-C793)/C793</f>
        <v>0.10299998684797719</v>
      </c>
      <c r="P793" s="545">
        <f>-'Sollecitazioni nel paramento'!$G$47*'Sollecitazioni nel paramento'!$G$41*IF(DATI!$G$211="dx",DATI!$E$61,DATI!$E$64*DATI!$E$63)*1000*C793*sezione!$AD$5</f>
        <v>-481883.45203151368</v>
      </c>
      <c r="Q793" s="545">
        <f>'Foglio deposito bis'!$F$58*IF(ABS(K793)&lt;'Sollecitazioni nel paramento'!$G$58,ABS(K793)*'Sollecitazioni nel paramento'!$G$54,'Sollecitazioni nel paramento'!$G$53)*IF(K793&lt;0,-1,1)</f>
        <v>0</v>
      </c>
      <c r="R793" s="545">
        <f>'Foglio deposito bis'!$F$59*IF(ABS(L793)&lt;'Sollecitazioni nel paramento'!$G$58,ABS(L793)*'Sollecitazioni nel paramento'!$G$54,'Sollecitazioni nel paramento'!$G$53)*IF(L793&lt;0,-1,1)</f>
        <v>153664.85805602249</v>
      </c>
      <c r="S793" s="545">
        <f>'Foglio deposito bis'!$F$60*IF(ABS(M793)&lt;'Sollecitazioni nel paramento'!$G$58,ABS(M793)*'Sollecitazioni nel paramento'!$G$54,'Sollecitazioni nel paramento'!$G$53)*IF(M793&lt;0,-1,1)</f>
        <v>0</v>
      </c>
      <c r="T793" s="545">
        <f>'Foglio deposito bis'!$F$61*IF(ABS(N793)&lt;'Sollecitazioni nel paramento'!$G$58,ABS(N793)*'Sollecitazioni nel paramento'!$G$54,'Sollecitazioni nel paramento'!$G$53)*IF(N793&lt;0,-1,1)</f>
        <v>240946.49743184328</v>
      </c>
      <c r="U793" s="545">
        <f>'Foglio deposito bis'!$F$62*IF(ABS(O793)&lt;'Sollecitazioni nel paramento'!$G$58,ABS(O793)*'Sollecitazioni nel paramento'!$G$54,'Sollecitazioni nel paramento'!$G$53)*IF(O793&lt;0,-1,1)</f>
        <v>314705.62929873407</v>
      </c>
      <c r="V793" s="472">
        <f t="shared" si="57"/>
        <v>227433.53275508617</v>
      </c>
      <c r="W793" s="551"/>
      <c r="X793" s="551"/>
    </row>
    <row r="794" spans="1:24" x14ac:dyDescent="0.25">
      <c r="A794" s="545">
        <f t="shared" si="56"/>
        <v>216481.6361180064</v>
      </c>
      <c r="B794" s="3">
        <f t="shared" si="58"/>
        <v>2.25</v>
      </c>
      <c r="C794" s="545">
        <f>'Foglio deposito bis'!$E$156/sezione!$B$247*B794</f>
        <v>12.936329597306706</v>
      </c>
      <c r="D794" s="603">
        <f>-'Sollecitazioni nel paramento'!$G$47*'Sollecitazioni nel paramento'!$G$41*IF(DATI!$G$211="dx",DATI!$E$61,DATI!$E$64*DATI!$E$63)*1000*C794^2*sezione!$AD$5*(1-sezione!$AD$6)</f>
        <v>-3723280.6164270109</v>
      </c>
      <c r="E794" s="545">
        <f>-'Foglio deposito bis'!$F$58*(C794-sezione!$AL$30)*IF(ABS(K794)&lt;'Sollecitazioni nel paramento'!$G$58,ABS(K794)*'Sollecitazioni nel paramento'!$G$54,'Sollecitazioni nel paramento'!$G$53)</f>
        <v>0</v>
      </c>
      <c r="F794" s="545">
        <f>-'Foglio deposito bis'!$F$59*(C794-sezione!$AM$30)*IF(ABS(L794)&lt;'Sollecitazioni nel paramento'!$G$58,ABS(L794)*'Sollecitazioni nel paramento'!$G$54,'Sollecitazioni nel paramento'!$G$53)</f>
        <v>7232032.2320252918</v>
      </c>
      <c r="G794" s="545">
        <f>-'Foglio deposito bis'!$F$60*(C794-sezione!$AN$30)*IF(ABS(M794)&lt;'Sollecitazioni nel paramento'!$G$58,ABS(M794)*'Sollecitazioni nel paramento'!$G$54,'Sollecitazioni nel paramento'!$G$53)</f>
        <v>0</v>
      </c>
      <c r="H794" s="545">
        <f>-'Foglio deposito bis'!$F$61*(C794-sezione!$AO$30)*IF(ABS(N794)&lt;'Sollecitazioni nel paramento'!$G$58,ABS(N794)*'Sollecitazioni nel paramento'!$G$54,'Sollecitazioni nel paramento'!$G$53)</f>
        <v>35434476.282999985</v>
      </c>
      <c r="I794" s="472">
        <f>-'Foglio deposito bis'!$F$62*(C794-sezione!$AP$30)*IF(ABS(O794)&lt;'Sollecitazioni nel paramento'!$G$58,ABS(O794)*'Sollecitazioni nel paramento'!$G$54,'Sollecitazioni nel paramento'!$G$53)</f>
        <v>117054830.94078477</v>
      </c>
      <c r="J794" s="472">
        <f t="shared" si="55"/>
        <v>155998058.83938304</v>
      </c>
      <c r="K794" s="550">
        <f>'Sollecitazioni nel paramento'!$G$60*(sezione!$AL$30-C794)/C794</f>
        <v>7.3222350819777708E-3</v>
      </c>
      <c r="L794" s="550">
        <f>'Sollecitazioni nel paramento'!$G$60*(sezione!$AM$30-C794)/C794</f>
        <v>1.2733352622966656E-2</v>
      </c>
      <c r="M794" s="551">
        <f>'Sollecitazioni nel paramento'!$G$60*(sezione!$AN$30-C794)/C794</f>
        <v>1.8144470163955543E-2</v>
      </c>
      <c r="N794" s="551">
        <f>'Sollecitazioni nel paramento'!$G$60*(sezione!$AO$30-C794)/C794</f>
        <v>3.9788940327911082E-2</v>
      </c>
      <c r="O794" s="551">
        <f>'Sollecitazioni nel paramento'!$G$60*(sezione!$AP$30-C794)/C794</f>
        <v>0.10063332047357769</v>
      </c>
      <c r="P794" s="545">
        <f>-'Sollecitazioni nel paramento'!$G$47*'Sollecitazioni nel paramento'!$G$41*IF(DATI!$G$211="dx",DATI!$E$61,DATI!$E$64*DATI!$E$63)*1000*C794*sezione!$AD$5</f>
        <v>-492835.34866859345</v>
      </c>
      <c r="Q794" s="545">
        <f>'Foglio deposito bis'!$F$58*IF(ABS(K794)&lt;'Sollecitazioni nel paramento'!$G$58,ABS(K794)*'Sollecitazioni nel paramento'!$G$54,'Sollecitazioni nel paramento'!$G$53)*IF(K794&lt;0,-1,1)</f>
        <v>0</v>
      </c>
      <c r="R794" s="545">
        <f>'Foglio deposito bis'!$F$59*IF(ABS(L794)&lt;'Sollecitazioni nel paramento'!$G$58,ABS(L794)*'Sollecitazioni nel paramento'!$G$54,'Sollecitazioni nel paramento'!$G$53)*IF(L794&lt;0,-1,1)</f>
        <v>153664.85805602249</v>
      </c>
      <c r="S794" s="545">
        <f>'Foglio deposito bis'!$F$60*IF(ABS(M794)&lt;'Sollecitazioni nel paramento'!$G$58,ABS(M794)*'Sollecitazioni nel paramento'!$G$54,'Sollecitazioni nel paramento'!$G$53)*IF(M794&lt;0,-1,1)</f>
        <v>0</v>
      </c>
      <c r="T794" s="545">
        <f>'Foglio deposito bis'!$F$61*IF(ABS(N794)&lt;'Sollecitazioni nel paramento'!$G$58,ABS(N794)*'Sollecitazioni nel paramento'!$G$54,'Sollecitazioni nel paramento'!$G$53)*IF(N794&lt;0,-1,1)</f>
        <v>240946.49743184328</v>
      </c>
      <c r="U794" s="545">
        <f>'Foglio deposito bis'!$F$62*IF(ABS(O794)&lt;'Sollecitazioni nel paramento'!$G$58,ABS(O794)*'Sollecitazioni nel paramento'!$G$54,'Sollecitazioni nel paramento'!$G$53)*IF(O794&lt;0,-1,1)</f>
        <v>314705.62929873407</v>
      </c>
      <c r="V794" s="472">
        <f t="shared" si="57"/>
        <v>216481.6361180064</v>
      </c>
      <c r="W794" s="551"/>
      <c r="X794" s="551"/>
    </row>
    <row r="795" spans="1:24" x14ac:dyDescent="0.25">
      <c r="A795" s="545">
        <f t="shared" si="56"/>
        <v>205529.73948092651</v>
      </c>
      <c r="B795" s="3">
        <f t="shared" si="58"/>
        <v>2.2999999999999998</v>
      </c>
      <c r="C795" s="545">
        <f>'Foglio deposito bis'!$E$156/sezione!$B$247*B795</f>
        <v>13.223803588357965</v>
      </c>
      <c r="D795" s="603">
        <f>-'Sollecitazioni nel paramento'!$G$47*'Sollecitazioni nel paramento'!$G$41*IF(DATI!$G$211="dx",DATI!$E$61,DATI!$E$64*DATI!$E$63)*1000*C795^2*sezione!$AD$5*(1-sezione!$AD$6)</f>
        <v>-3890598.4120294084</v>
      </c>
      <c r="E795" s="545">
        <f>-'Foglio deposito bis'!$F$58*(C795-sezione!$AL$30)*IF(ABS(K795)&lt;'Sollecitazioni nel paramento'!$G$58,ABS(K795)*'Sollecitazioni nel paramento'!$G$54,'Sollecitazioni nel paramento'!$G$53)</f>
        <v>0</v>
      </c>
      <c r="F795" s="545">
        <f>-'Foglio deposito bis'!$F$59*(C795-sezione!$AM$30)*IF(ABS(L795)&lt;'Sollecitazioni nel paramento'!$G$58,ABS(L795)*'Sollecitazioni nel paramento'!$G$54,'Sollecitazioni nel paramento'!$G$53)</f>
        <v>7187857.5819956027</v>
      </c>
      <c r="G795" s="545">
        <f>-'Foglio deposito bis'!$F$60*(C795-sezione!$AN$30)*IF(ABS(M795)&lt;'Sollecitazioni nel paramento'!$G$58,ABS(M795)*'Sollecitazioni nel paramento'!$G$54,'Sollecitazioni nel paramento'!$G$53)</f>
        <v>0</v>
      </c>
      <c r="H795" s="545">
        <f>-'Foglio deposito bis'!$F$61*(C795-sezione!$AO$30)*IF(ABS(N795)&lt;'Sollecitazioni nel paramento'!$G$58,ABS(N795)*'Sollecitazioni nel paramento'!$G$54,'Sollecitazioni nel paramento'!$G$53)</f>
        <v>35365210.431753434</v>
      </c>
      <c r="I795" s="472">
        <f>-'Foglio deposito bis'!$F$62*(C795-sezione!$AP$30)*IF(ABS(O795)&lt;'Sollecitazioni nel paramento'!$G$58,ABS(O795)*'Sollecitazioni nel paramento'!$G$54,'Sollecitazioni nel paramento'!$G$53)</f>
        <v>116964361.25752398</v>
      </c>
      <c r="J795" s="472">
        <f t="shared" si="55"/>
        <v>155626830.8592436</v>
      </c>
      <c r="K795" s="550">
        <f>'Sollecitazioni nel paramento'!$G$60*(sezione!$AL$30-C795)/C795</f>
        <v>7.086969101934776E-3</v>
      </c>
      <c r="L795" s="550">
        <f>'Sollecitazioni nel paramento'!$G$60*(sezione!$AM$30-C795)/C795</f>
        <v>1.2380453652902162E-2</v>
      </c>
      <c r="M795" s="551">
        <f>'Sollecitazioni nel paramento'!$G$60*(sezione!$AN$30-C795)/C795</f>
        <v>1.7673938203869553E-2</v>
      </c>
      <c r="N795" s="551">
        <f>'Sollecitazioni nel paramento'!$G$60*(sezione!$AO$30-C795)/C795</f>
        <v>3.884787640773911E-2</v>
      </c>
      <c r="O795" s="551">
        <f>'Sollecitazioni nel paramento'!$G$60*(sezione!$AP$30-C795)/C795</f>
        <v>9.8369552637195587E-2</v>
      </c>
      <c r="P795" s="545">
        <f>-'Sollecitazioni nel paramento'!$G$47*'Sollecitazioni nel paramento'!$G$41*IF(DATI!$G$211="dx",DATI!$E$61,DATI!$E$64*DATI!$E$63)*1000*C795*sezione!$AD$5</f>
        <v>-503787.24530567334</v>
      </c>
      <c r="Q795" s="545">
        <f>'Foglio deposito bis'!$F$58*IF(ABS(K795)&lt;'Sollecitazioni nel paramento'!$G$58,ABS(K795)*'Sollecitazioni nel paramento'!$G$54,'Sollecitazioni nel paramento'!$G$53)*IF(K795&lt;0,-1,1)</f>
        <v>0</v>
      </c>
      <c r="R795" s="545">
        <f>'Foglio deposito bis'!$F$59*IF(ABS(L795)&lt;'Sollecitazioni nel paramento'!$G$58,ABS(L795)*'Sollecitazioni nel paramento'!$G$54,'Sollecitazioni nel paramento'!$G$53)*IF(L795&lt;0,-1,1)</f>
        <v>153664.85805602249</v>
      </c>
      <c r="S795" s="545">
        <f>'Foglio deposito bis'!$F$60*IF(ABS(M795)&lt;'Sollecitazioni nel paramento'!$G$58,ABS(M795)*'Sollecitazioni nel paramento'!$G$54,'Sollecitazioni nel paramento'!$G$53)*IF(M795&lt;0,-1,1)</f>
        <v>0</v>
      </c>
      <c r="T795" s="545">
        <f>'Foglio deposito bis'!$F$61*IF(ABS(N795)&lt;'Sollecitazioni nel paramento'!$G$58,ABS(N795)*'Sollecitazioni nel paramento'!$G$54,'Sollecitazioni nel paramento'!$G$53)*IF(N795&lt;0,-1,1)</f>
        <v>240946.49743184328</v>
      </c>
      <c r="U795" s="545">
        <f>'Foglio deposito bis'!$F$62*IF(ABS(O795)&lt;'Sollecitazioni nel paramento'!$G$58,ABS(O795)*'Sollecitazioni nel paramento'!$G$54,'Sollecitazioni nel paramento'!$G$53)*IF(O795&lt;0,-1,1)</f>
        <v>314705.62929873407</v>
      </c>
      <c r="V795" s="472">
        <f t="shared" si="57"/>
        <v>205529.73948092651</v>
      </c>
      <c r="W795" s="551"/>
      <c r="X795" s="551"/>
    </row>
    <row r="796" spans="1:24" x14ac:dyDescent="0.25">
      <c r="A796" s="545">
        <f t="shared" si="56"/>
        <v>194577.84284384668</v>
      </c>
      <c r="B796" s="3">
        <f t="shared" si="58"/>
        <v>2.3499999999999996</v>
      </c>
      <c r="C796" s="545">
        <f>'Foglio deposito bis'!$E$156/sezione!$B$247*B796</f>
        <v>13.511277579409224</v>
      </c>
      <c r="D796" s="603">
        <f>-'Sollecitazioni nel paramento'!$G$47*'Sollecitazioni nel paramento'!$G$41*IF(DATI!$G$211="dx",DATI!$E$61,DATI!$E$64*DATI!$E$63)*1000*C796^2*sezione!$AD$5*(1-sezione!$AD$6)</f>
        <v>-4061593.5218208698</v>
      </c>
      <c r="E796" s="545">
        <f>-'Foglio deposito bis'!$F$58*(C796-sezione!$AL$30)*IF(ABS(K796)&lt;'Sollecitazioni nel paramento'!$G$58,ABS(K796)*'Sollecitazioni nel paramento'!$G$54,'Sollecitazioni nel paramento'!$G$53)</f>
        <v>0</v>
      </c>
      <c r="F796" s="545">
        <f>-'Foglio deposito bis'!$F$59*(C796-sezione!$AM$30)*IF(ABS(L796)&lt;'Sollecitazioni nel paramento'!$G$58,ABS(L796)*'Sollecitazioni nel paramento'!$G$54,'Sollecitazioni nel paramento'!$G$53)</f>
        <v>7143682.9319659118</v>
      </c>
      <c r="G796" s="545">
        <f>-'Foglio deposito bis'!$F$60*(C796-sezione!$AN$30)*IF(ABS(M796)&lt;'Sollecitazioni nel paramento'!$G$58,ABS(M796)*'Sollecitazioni nel paramento'!$G$54,'Sollecitazioni nel paramento'!$G$53)</f>
        <v>0</v>
      </c>
      <c r="H796" s="545">
        <f>-'Foglio deposito bis'!$F$61*(C796-sezione!$AO$30)*IF(ABS(N796)&lt;'Sollecitazioni nel paramento'!$G$58,ABS(N796)*'Sollecitazioni nel paramento'!$G$54,'Sollecitazioni nel paramento'!$G$53)</f>
        <v>35295944.580506869</v>
      </c>
      <c r="I796" s="472">
        <f>-'Foglio deposito bis'!$F$62*(C796-sezione!$AP$30)*IF(ABS(O796)&lt;'Sollecitazioni nel paramento'!$G$58,ABS(O796)*'Sollecitazioni nel paramento'!$G$54,'Sollecitazioni nel paramento'!$G$53)</f>
        <v>116873891.57426317</v>
      </c>
      <c r="J796" s="472">
        <f t="shared" si="55"/>
        <v>155251925.56491509</v>
      </c>
      <c r="K796" s="550">
        <f>'Sollecitazioni nel paramento'!$G$60*(sezione!$AL$30-C796)/C796</f>
        <v>6.8617144401914845E-3</v>
      </c>
      <c r="L796" s="550">
        <f>'Sollecitazioni nel paramento'!$G$60*(sezione!$AM$30-C796)/C796</f>
        <v>1.2042571660287226E-2</v>
      </c>
      <c r="M796" s="551">
        <f>'Sollecitazioni nel paramento'!$G$60*(sezione!$AN$30-C796)/C796</f>
        <v>1.7223428880382967E-2</v>
      </c>
      <c r="N796" s="551">
        <f>'Sollecitazioni nel paramento'!$G$60*(sezione!$AO$30-C796)/C796</f>
        <v>3.794685776076593E-2</v>
      </c>
      <c r="O796" s="551">
        <f>'Sollecitazioni nel paramento'!$G$60*(sezione!$AP$30-C796)/C796</f>
        <v>9.6202115347042483E-2</v>
      </c>
      <c r="P796" s="545">
        <f>-'Sollecitazioni nel paramento'!$G$47*'Sollecitazioni nel paramento'!$G$41*IF(DATI!$G$211="dx",DATI!$E$61,DATI!$E$64*DATI!$E$63)*1000*C796*sezione!$AD$5</f>
        <v>-514739.14194275317</v>
      </c>
      <c r="Q796" s="545">
        <f>'Foglio deposito bis'!$F$58*IF(ABS(K796)&lt;'Sollecitazioni nel paramento'!$G$58,ABS(K796)*'Sollecitazioni nel paramento'!$G$54,'Sollecitazioni nel paramento'!$G$53)*IF(K796&lt;0,-1,1)</f>
        <v>0</v>
      </c>
      <c r="R796" s="545">
        <f>'Foglio deposito bis'!$F$59*IF(ABS(L796)&lt;'Sollecitazioni nel paramento'!$G$58,ABS(L796)*'Sollecitazioni nel paramento'!$G$54,'Sollecitazioni nel paramento'!$G$53)*IF(L796&lt;0,-1,1)</f>
        <v>153664.85805602249</v>
      </c>
      <c r="S796" s="545">
        <f>'Foglio deposito bis'!$F$60*IF(ABS(M796)&lt;'Sollecitazioni nel paramento'!$G$58,ABS(M796)*'Sollecitazioni nel paramento'!$G$54,'Sollecitazioni nel paramento'!$G$53)*IF(M796&lt;0,-1,1)</f>
        <v>0</v>
      </c>
      <c r="T796" s="545">
        <f>'Foglio deposito bis'!$F$61*IF(ABS(N796)&lt;'Sollecitazioni nel paramento'!$G$58,ABS(N796)*'Sollecitazioni nel paramento'!$G$54,'Sollecitazioni nel paramento'!$G$53)*IF(N796&lt;0,-1,1)</f>
        <v>240946.49743184328</v>
      </c>
      <c r="U796" s="545">
        <f>'Foglio deposito bis'!$F$62*IF(ABS(O796)&lt;'Sollecitazioni nel paramento'!$G$58,ABS(O796)*'Sollecitazioni nel paramento'!$G$54,'Sollecitazioni nel paramento'!$G$53)*IF(O796&lt;0,-1,1)</f>
        <v>314705.62929873407</v>
      </c>
      <c r="V796" s="472">
        <f t="shared" si="57"/>
        <v>194577.84284384668</v>
      </c>
      <c r="W796" s="551"/>
      <c r="X796" s="551"/>
    </row>
    <row r="797" spans="1:24" x14ac:dyDescent="0.25">
      <c r="A797" s="545">
        <f t="shared" si="56"/>
        <v>183625.94620676697</v>
      </c>
      <c r="B797" s="3">
        <f t="shared" si="58"/>
        <v>2.3999999999999995</v>
      </c>
      <c r="C797" s="545">
        <f>'Foglio deposito bis'!$E$156/sezione!$B$247*B797</f>
        <v>13.798751570460484</v>
      </c>
      <c r="D797" s="603">
        <f>-'Sollecitazioni nel paramento'!$G$47*'Sollecitazioni nel paramento'!$G$41*IF(DATI!$G$211="dx",DATI!$E$61,DATI!$E$64*DATI!$E$63)*1000*C797^2*sezione!$AD$5*(1-sezione!$AD$6)</f>
        <v>-4236265.9458013969</v>
      </c>
      <c r="E797" s="545">
        <f>-'Foglio deposito bis'!$F$58*(C797-sezione!$AL$30)*IF(ABS(K797)&lt;'Sollecitazioni nel paramento'!$G$58,ABS(K797)*'Sollecitazioni nel paramento'!$G$54,'Sollecitazioni nel paramento'!$G$53)</f>
        <v>0</v>
      </c>
      <c r="F797" s="545">
        <f>-'Foglio deposito bis'!$F$59*(C797-sezione!$AM$30)*IF(ABS(L797)&lt;'Sollecitazioni nel paramento'!$G$58,ABS(L797)*'Sollecitazioni nel paramento'!$G$54,'Sollecitazioni nel paramento'!$G$53)</f>
        <v>7099508.2819362227</v>
      </c>
      <c r="G797" s="545">
        <f>-'Foglio deposito bis'!$F$60*(C797-sezione!$AN$30)*IF(ABS(M797)&lt;'Sollecitazioni nel paramento'!$G$58,ABS(M797)*'Sollecitazioni nel paramento'!$G$54,'Sollecitazioni nel paramento'!$G$53)</f>
        <v>0</v>
      </c>
      <c r="H797" s="545">
        <f>-'Foglio deposito bis'!$F$61*(C797-sezione!$AO$30)*IF(ABS(N797)&lt;'Sollecitazioni nel paramento'!$G$58,ABS(N797)*'Sollecitazioni nel paramento'!$G$54,'Sollecitazioni nel paramento'!$G$53)</f>
        <v>35226678.729260318</v>
      </c>
      <c r="I797" s="472">
        <f>-'Foglio deposito bis'!$F$62*(C797-sezione!$AP$30)*IF(ABS(O797)&lt;'Sollecitazioni nel paramento'!$G$58,ABS(O797)*'Sollecitazioni nel paramento'!$G$54,'Sollecitazioni nel paramento'!$G$53)</f>
        <v>116783421.89100236</v>
      </c>
      <c r="J797" s="472">
        <f t="shared" si="55"/>
        <v>154873342.9563975</v>
      </c>
      <c r="K797" s="550">
        <f>'Sollecitazioni nel paramento'!$G$60*(sezione!$AL$30-C797)/C797</f>
        <v>6.6458453893541627E-3</v>
      </c>
      <c r="L797" s="550">
        <f>'Sollecitazioni nel paramento'!$G$60*(sezione!$AM$30-C797)/C797</f>
        <v>1.1718768084031245E-2</v>
      </c>
      <c r="M797" s="551">
        <f>'Sollecitazioni nel paramento'!$G$60*(sezione!$AN$30-C797)/C797</f>
        <v>1.6791690778708325E-2</v>
      </c>
      <c r="N797" s="551">
        <f>'Sollecitazioni nel paramento'!$G$60*(sezione!$AO$30-C797)/C797</f>
        <v>3.7083381557416646E-2</v>
      </c>
      <c r="O797" s="551">
        <f>'Sollecitazioni nel paramento'!$G$60*(sezione!$AP$30-C797)/C797</f>
        <v>9.4124987943979124E-2</v>
      </c>
      <c r="P797" s="545">
        <f>-'Sollecitazioni nel paramento'!$G$47*'Sollecitazioni nel paramento'!$G$41*IF(DATI!$G$211="dx",DATI!$E$61,DATI!$E$64*DATI!$E$63)*1000*C797*sezione!$AD$5</f>
        <v>-525691.03857983288</v>
      </c>
      <c r="Q797" s="545">
        <f>'Foglio deposito bis'!$F$58*IF(ABS(K797)&lt;'Sollecitazioni nel paramento'!$G$58,ABS(K797)*'Sollecitazioni nel paramento'!$G$54,'Sollecitazioni nel paramento'!$G$53)*IF(K797&lt;0,-1,1)</f>
        <v>0</v>
      </c>
      <c r="R797" s="545">
        <f>'Foglio deposito bis'!$F$59*IF(ABS(L797)&lt;'Sollecitazioni nel paramento'!$G$58,ABS(L797)*'Sollecitazioni nel paramento'!$G$54,'Sollecitazioni nel paramento'!$G$53)*IF(L797&lt;0,-1,1)</f>
        <v>153664.85805602249</v>
      </c>
      <c r="S797" s="545">
        <f>'Foglio deposito bis'!$F$60*IF(ABS(M797)&lt;'Sollecitazioni nel paramento'!$G$58,ABS(M797)*'Sollecitazioni nel paramento'!$G$54,'Sollecitazioni nel paramento'!$G$53)*IF(M797&lt;0,-1,1)</f>
        <v>0</v>
      </c>
      <c r="T797" s="545">
        <f>'Foglio deposito bis'!$F$61*IF(ABS(N797)&lt;'Sollecitazioni nel paramento'!$G$58,ABS(N797)*'Sollecitazioni nel paramento'!$G$54,'Sollecitazioni nel paramento'!$G$53)*IF(N797&lt;0,-1,1)</f>
        <v>240946.49743184328</v>
      </c>
      <c r="U797" s="545">
        <f>'Foglio deposito bis'!$F$62*IF(ABS(O797)&lt;'Sollecitazioni nel paramento'!$G$58,ABS(O797)*'Sollecitazioni nel paramento'!$G$54,'Sollecitazioni nel paramento'!$G$53)*IF(O797&lt;0,-1,1)</f>
        <v>314705.62929873407</v>
      </c>
      <c r="V797" s="472">
        <f t="shared" si="57"/>
        <v>183625.94620676697</v>
      </c>
      <c r="W797" s="551"/>
      <c r="X797" s="551"/>
    </row>
    <row r="798" spans="1:24" x14ac:dyDescent="0.25">
      <c r="A798" s="545">
        <f t="shared" si="56"/>
        <v>172674.04956968708</v>
      </c>
      <c r="B798" s="3">
        <f t="shared" si="58"/>
        <v>2.4499999999999993</v>
      </c>
      <c r="C798" s="545">
        <f>'Foglio deposito bis'!$E$156/sezione!$B$247*B798</f>
        <v>14.086225561511743</v>
      </c>
      <c r="D798" s="603">
        <f>-'Sollecitazioni nel paramento'!$G$47*'Sollecitazioni nel paramento'!$G$41*IF(DATI!$G$211="dx",DATI!$E$61,DATI!$E$64*DATI!$E$63)*1000*C798^2*sezione!$AD$5*(1-sezione!$AD$6)</f>
        <v>-4414615.6839709859</v>
      </c>
      <c r="E798" s="545">
        <f>-'Foglio deposito bis'!$F$58*(C798-sezione!$AL$30)*IF(ABS(K798)&lt;'Sollecitazioni nel paramento'!$G$58,ABS(K798)*'Sollecitazioni nel paramento'!$G$54,'Sollecitazioni nel paramento'!$G$53)</f>
        <v>0</v>
      </c>
      <c r="F798" s="545">
        <f>-'Foglio deposito bis'!$F$59*(C798-sezione!$AM$30)*IF(ABS(L798)&lt;'Sollecitazioni nel paramento'!$G$58,ABS(L798)*'Sollecitazioni nel paramento'!$G$54,'Sollecitazioni nel paramento'!$G$53)</f>
        <v>7055333.6319065327</v>
      </c>
      <c r="G798" s="545">
        <f>-'Foglio deposito bis'!$F$60*(C798-sezione!$AN$30)*IF(ABS(M798)&lt;'Sollecitazioni nel paramento'!$G$58,ABS(M798)*'Sollecitazioni nel paramento'!$G$54,'Sollecitazioni nel paramento'!$G$53)</f>
        <v>0</v>
      </c>
      <c r="H798" s="545">
        <f>-'Foglio deposito bis'!$F$61*(C798-sezione!$AO$30)*IF(ABS(N798)&lt;'Sollecitazioni nel paramento'!$G$58,ABS(N798)*'Sollecitazioni nel paramento'!$G$54,'Sollecitazioni nel paramento'!$G$53)</f>
        <v>35157412.878013767</v>
      </c>
      <c r="I798" s="472">
        <f>-'Foglio deposito bis'!$F$62*(C798-sezione!$AP$30)*IF(ABS(O798)&lt;'Sollecitazioni nel paramento'!$G$58,ABS(O798)*'Sollecitazioni nel paramento'!$G$54,'Sollecitazioni nel paramento'!$G$53)</f>
        <v>116692952.20774156</v>
      </c>
      <c r="J798" s="472">
        <f t="shared" si="55"/>
        <v>154491083.03369087</v>
      </c>
      <c r="K798" s="550">
        <f>'Sollecitazioni nel paramento'!$G$60*(sezione!$AL$30-C798)/C798</f>
        <v>6.43878732018367E-3</v>
      </c>
      <c r="L798" s="550">
        <f>'Sollecitazioni nel paramento'!$G$60*(sezione!$AM$30-C798)/C798</f>
        <v>1.1408180980275505E-2</v>
      </c>
      <c r="M798" s="551">
        <f>'Sollecitazioni nel paramento'!$G$60*(sezione!$AN$30-C798)/C798</f>
        <v>1.6377574640367341E-2</v>
      </c>
      <c r="N798" s="551">
        <f>'Sollecitazioni nel paramento'!$G$60*(sezione!$AO$30-C798)/C798</f>
        <v>3.6255149280734679E-2</v>
      </c>
      <c r="O798" s="551">
        <f>'Sollecitazioni nel paramento'!$G$60*(sezione!$AP$30-C798)/C798</f>
        <v>9.2132641251244846E-2</v>
      </c>
      <c r="P798" s="545">
        <f>-'Sollecitazioni nel paramento'!$G$47*'Sollecitazioni nel paramento'!$G$41*IF(DATI!$G$211="dx",DATI!$E$61,DATI!$E$64*DATI!$E$63)*1000*C798*sezione!$AD$5</f>
        <v>-536642.93521691277</v>
      </c>
      <c r="Q798" s="545">
        <f>'Foglio deposito bis'!$F$58*IF(ABS(K798)&lt;'Sollecitazioni nel paramento'!$G$58,ABS(K798)*'Sollecitazioni nel paramento'!$G$54,'Sollecitazioni nel paramento'!$G$53)*IF(K798&lt;0,-1,1)</f>
        <v>0</v>
      </c>
      <c r="R798" s="545">
        <f>'Foglio deposito bis'!$F$59*IF(ABS(L798)&lt;'Sollecitazioni nel paramento'!$G$58,ABS(L798)*'Sollecitazioni nel paramento'!$G$54,'Sollecitazioni nel paramento'!$G$53)*IF(L798&lt;0,-1,1)</f>
        <v>153664.85805602249</v>
      </c>
      <c r="S798" s="545">
        <f>'Foglio deposito bis'!$F$60*IF(ABS(M798)&lt;'Sollecitazioni nel paramento'!$G$58,ABS(M798)*'Sollecitazioni nel paramento'!$G$54,'Sollecitazioni nel paramento'!$G$53)*IF(M798&lt;0,-1,1)</f>
        <v>0</v>
      </c>
      <c r="T798" s="545">
        <f>'Foglio deposito bis'!$F$61*IF(ABS(N798)&lt;'Sollecitazioni nel paramento'!$G$58,ABS(N798)*'Sollecitazioni nel paramento'!$G$54,'Sollecitazioni nel paramento'!$G$53)*IF(N798&lt;0,-1,1)</f>
        <v>240946.49743184328</v>
      </c>
      <c r="U798" s="545">
        <f>'Foglio deposito bis'!$F$62*IF(ABS(O798)&lt;'Sollecitazioni nel paramento'!$G$58,ABS(O798)*'Sollecitazioni nel paramento'!$G$54,'Sollecitazioni nel paramento'!$G$53)*IF(O798&lt;0,-1,1)</f>
        <v>314705.62929873407</v>
      </c>
      <c r="V798" s="472">
        <f t="shared" si="57"/>
        <v>172674.04956968708</v>
      </c>
      <c r="W798" s="551"/>
      <c r="X798" s="551"/>
    </row>
    <row r="799" spans="1:24" x14ac:dyDescent="0.25">
      <c r="A799" s="545">
        <f t="shared" si="56"/>
        <v>161722.15293260719</v>
      </c>
      <c r="B799" s="3">
        <f t="shared" si="58"/>
        <v>2.4999999999999991</v>
      </c>
      <c r="C799" s="545">
        <f>'Foglio deposito bis'!$E$156/sezione!$B$247*B799</f>
        <v>14.373699552563002</v>
      </c>
      <c r="D799" s="603">
        <f>-'Sollecitazioni nel paramento'!$G$47*'Sollecitazioni nel paramento'!$G$41*IF(DATI!$G$211="dx",DATI!$E$61,DATI!$E$64*DATI!$E$63)*1000*C799^2*sezione!$AD$5*(1-sezione!$AD$6)</f>
        <v>-4596642.7363296384</v>
      </c>
      <c r="E799" s="545">
        <f>-'Foglio deposito bis'!$F$58*(C799-sezione!$AL$30)*IF(ABS(K799)&lt;'Sollecitazioni nel paramento'!$G$58,ABS(K799)*'Sollecitazioni nel paramento'!$G$54,'Sollecitazioni nel paramento'!$G$53)</f>
        <v>0</v>
      </c>
      <c r="F799" s="545">
        <f>-'Foglio deposito bis'!$F$59*(C799-sezione!$AM$30)*IF(ABS(L799)&lt;'Sollecitazioni nel paramento'!$G$58,ABS(L799)*'Sollecitazioni nel paramento'!$G$54,'Sollecitazioni nel paramento'!$G$53)</f>
        <v>7011158.9818768427</v>
      </c>
      <c r="G799" s="545">
        <f>-'Foglio deposito bis'!$F$60*(C799-sezione!$AN$30)*IF(ABS(M799)&lt;'Sollecitazioni nel paramento'!$G$58,ABS(M799)*'Sollecitazioni nel paramento'!$G$54,'Sollecitazioni nel paramento'!$G$53)</f>
        <v>0</v>
      </c>
      <c r="H799" s="545">
        <f>-'Foglio deposito bis'!$F$61*(C799-sezione!$AO$30)*IF(ABS(N799)&lt;'Sollecitazioni nel paramento'!$G$58,ABS(N799)*'Sollecitazioni nel paramento'!$G$54,'Sollecitazioni nel paramento'!$G$53)</f>
        <v>35088147.026767217</v>
      </c>
      <c r="I799" s="472">
        <f>-'Foglio deposito bis'!$F$62*(C799-sezione!$AP$30)*IF(ABS(O799)&lt;'Sollecitazioni nel paramento'!$G$58,ABS(O799)*'Sollecitazioni nel paramento'!$G$54,'Sollecitazioni nel paramento'!$G$53)</f>
        <v>116602482.52448076</v>
      </c>
      <c r="J799" s="472">
        <f t="shared" si="55"/>
        <v>154105145.79679519</v>
      </c>
      <c r="K799" s="550">
        <f>'Sollecitazioni nel paramento'!$G$60*(sezione!$AL$30-C799)/C799</f>
        <v>6.2400115737799968E-3</v>
      </c>
      <c r="L799" s="550">
        <f>'Sollecitazioni nel paramento'!$G$60*(sezione!$AM$30-C799)/C799</f>
        <v>1.1110017360669995E-2</v>
      </c>
      <c r="M799" s="551">
        <f>'Sollecitazioni nel paramento'!$G$60*(sezione!$AN$30-C799)/C799</f>
        <v>1.5980023147559995E-2</v>
      </c>
      <c r="N799" s="551">
        <f>'Sollecitazioni nel paramento'!$G$60*(sezione!$AO$30-C799)/C799</f>
        <v>3.5460046295119986E-2</v>
      </c>
      <c r="O799" s="551">
        <f>'Sollecitazioni nel paramento'!$G$60*(sezione!$AP$30-C799)/C799</f>
        <v>9.0219988426219963E-2</v>
      </c>
      <c r="P799" s="545">
        <f>-'Sollecitazioni nel paramento'!$G$47*'Sollecitazioni nel paramento'!$G$41*IF(DATI!$G$211="dx",DATI!$E$61,DATI!$E$64*DATI!$E$63)*1000*C799*sezione!$AD$5</f>
        <v>-547594.83185399265</v>
      </c>
      <c r="Q799" s="545">
        <f>'Foglio deposito bis'!$F$58*IF(ABS(K799)&lt;'Sollecitazioni nel paramento'!$G$58,ABS(K799)*'Sollecitazioni nel paramento'!$G$54,'Sollecitazioni nel paramento'!$G$53)*IF(K799&lt;0,-1,1)</f>
        <v>0</v>
      </c>
      <c r="R799" s="545">
        <f>'Foglio deposito bis'!$F$59*IF(ABS(L799)&lt;'Sollecitazioni nel paramento'!$G$58,ABS(L799)*'Sollecitazioni nel paramento'!$G$54,'Sollecitazioni nel paramento'!$G$53)*IF(L799&lt;0,-1,1)</f>
        <v>153664.85805602249</v>
      </c>
      <c r="S799" s="545">
        <f>'Foglio deposito bis'!$F$60*IF(ABS(M799)&lt;'Sollecitazioni nel paramento'!$G$58,ABS(M799)*'Sollecitazioni nel paramento'!$G$54,'Sollecitazioni nel paramento'!$G$53)*IF(M799&lt;0,-1,1)</f>
        <v>0</v>
      </c>
      <c r="T799" s="545">
        <f>'Foglio deposito bis'!$F$61*IF(ABS(N799)&lt;'Sollecitazioni nel paramento'!$G$58,ABS(N799)*'Sollecitazioni nel paramento'!$G$54,'Sollecitazioni nel paramento'!$G$53)*IF(N799&lt;0,-1,1)</f>
        <v>240946.49743184328</v>
      </c>
      <c r="U799" s="545">
        <f>'Foglio deposito bis'!$F$62*IF(ABS(O799)&lt;'Sollecitazioni nel paramento'!$G$58,ABS(O799)*'Sollecitazioni nel paramento'!$G$54,'Sollecitazioni nel paramento'!$G$53)*IF(O799&lt;0,-1,1)</f>
        <v>314705.62929873407</v>
      </c>
      <c r="V799" s="472">
        <f t="shared" si="57"/>
        <v>161722.15293260719</v>
      </c>
      <c r="W799" s="551"/>
      <c r="X799" s="551"/>
    </row>
    <row r="800" spans="1:24" x14ac:dyDescent="0.25">
      <c r="A800" s="545">
        <f t="shared" si="56"/>
        <v>150770.25629552742</v>
      </c>
      <c r="B800" s="3">
        <f t="shared" si="58"/>
        <v>2.5499999999999989</v>
      </c>
      <c r="C800" s="545">
        <f>'Foglio deposito bis'!$E$156/sezione!$B$247*B800</f>
        <v>14.661173543614261</v>
      </c>
      <c r="D800" s="603">
        <f>-'Sollecitazioni nel paramento'!$G$47*'Sollecitazioni nel paramento'!$G$41*IF(DATI!$G$211="dx",DATI!$E$61,DATI!$E$64*DATI!$E$63)*1000*C800^2*sezione!$AD$5*(1-sezione!$AD$6)</f>
        <v>-4782347.1028773561</v>
      </c>
      <c r="E800" s="545">
        <f>-'Foglio deposito bis'!$F$58*(C800-sezione!$AL$30)*IF(ABS(K800)&lt;'Sollecitazioni nel paramento'!$G$58,ABS(K800)*'Sollecitazioni nel paramento'!$G$54,'Sollecitazioni nel paramento'!$G$53)</f>
        <v>0</v>
      </c>
      <c r="F800" s="545">
        <f>-'Foglio deposito bis'!$F$59*(C800-sezione!$AM$30)*IF(ABS(L800)&lt;'Sollecitazioni nel paramento'!$G$58,ABS(L800)*'Sollecitazioni nel paramento'!$G$54,'Sollecitazioni nel paramento'!$G$53)</f>
        <v>6966984.3318471517</v>
      </c>
      <c r="G800" s="545">
        <f>-'Foglio deposito bis'!$F$60*(C800-sezione!$AN$30)*IF(ABS(M800)&lt;'Sollecitazioni nel paramento'!$G$58,ABS(M800)*'Sollecitazioni nel paramento'!$G$54,'Sollecitazioni nel paramento'!$G$53)</f>
        <v>0</v>
      </c>
      <c r="H800" s="545">
        <f>-'Foglio deposito bis'!$F$61*(C800-sezione!$AO$30)*IF(ABS(N800)&lt;'Sollecitazioni nel paramento'!$G$58,ABS(N800)*'Sollecitazioni nel paramento'!$G$54,'Sollecitazioni nel paramento'!$G$53)</f>
        <v>35018881.175520658</v>
      </c>
      <c r="I800" s="472">
        <f>-'Foglio deposito bis'!$F$62*(C800-sezione!$AP$30)*IF(ABS(O800)&lt;'Sollecitazioni nel paramento'!$G$58,ABS(O800)*'Sollecitazioni nel paramento'!$G$54,'Sollecitazioni nel paramento'!$G$53)</f>
        <v>116512012.84121993</v>
      </c>
      <c r="J800" s="472">
        <f t="shared" si="55"/>
        <v>153715531.24571037</v>
      </c>
      <c r="K800" s="550">
        <f>'Sollecitazioni nel paramento'!$G$60*(sezione!$AL$30-C800)/C800</f>
        <v>6.0490309546862723E-3</v>
      </c>
      <c r="L800" s="550">
        <f>'Sollecitazioni nel paramento'!$G$60*(sezione!$AM$30-C800)/C800</f>
        <v>1.0823546432029407E-2</v>
      </c>
      <c r="M800" s="551">
        <f>'Sollecitazioni nel paramento'!$G$60*(sezione!$AN$30-C800)/C800</f>
        <v>1.5598061909372542E-2</v>
      </c>
      <c r="N800" s="551">
        <f>'Sollecitazioni nel paramento'!$G$60*(sezione!$AO$30-C800)/C800</f>
        <v>3.4696123818745088E-2</v>
      </c>
      <c r="O800" s="551">
        <f>'Sollecitazioni nel paramento'!$G$60*(sezione!$AP$30-C800)/C800</f>
        <v>8.8382341594333294E-2</v>
      </c>
      <c r="P800" s="545">
        <f>-'Sollecitazioni nel paramento'!$G$47*'Sollecitazioni nel paramento'!$G$41*IF(DATI!$G$211="dx",DATI!$E$61,DATI!$E$64*DATI!$E$63)*1000*C800*sezione!$AD$5</f>
        <v>-558546.72849107243</v>
      </c>
      <c r="Q800" s="545">
        <f>'Foglio deposito bis'!$F$58*IF(ABS(K800)&lt;'Sollecitazioni nel paramento'!$G$58,ABS(K800)*'Sollecitazioni nel paramento'!$G$54,'Sollecitazioni nel paramento'!$G$53)*IF(K800&lt;0,-1,1)</f>
        <v>0</v>
      </c>
      <c r="R800" s="545">
        <f>'Foglio deposito bis'!$F$59*IF(ABS(L800)&lt;'Sollecitazioni nel paramento'!$G$58,ABS(L800)*'Sollecitazioni nel paramento'!$G$54,'Sollecitazioni nel paramento'!$G$53)*IF(L800&lt;0,-1,1)</f>
        <v>153664.85805602249</v>
      </c>
      <c r="S800" s="545">
        <f>'Foglio deposito bis'!$F$60*IF(ABS(M800)&lt;'Sollecitazioni nel paramento'!$G$58,ABS(M800)*'Sollecitazioni nel paramento'!$G$54,'Sollecitazioni nel paramento'!$G$53)*IF(M800&lt;0,-1,1)</f>
        <v>0</v>
      </c>
      <c r="T800" s="545">
        <f>'Foglio deposito bis'!$F$61*IF(ABS(N800)&lt;'Sollecitazioni nel paramento'!$G$58,ABS(N800)*'Sollecitazioni nel paramento'!$G$54,'Sollecitazioni nel paramento'!$G$53)*IF(N800&lt;0,-1,1)</f>
        <v>240946.49743184328</v>
      </c>
      <c r="U800" s="545">
        <f>'Foglio deposito bis'!$F$62*IF(ABS(O800)&lt;'Sollecitazioni nel paramento'!$G$58,ABS(O800)*'Sollecitazioni nel paramento'!$G$54,'Sollecitazioni nel paramento'!$G$53)*IF(O800&lt;0,-1,1)</f>
        <v>314705.62929873407</v>
      </c>
      <c r="V800" s="472">
        <f t="shared" si="57"/>
        <v>150770.25629552742</v>
      </c>
      <c r="W800" s="551"/>
      <c r="X800" s="551"/>
    </row>
    <row r="801" spans="1:24" x14ac:dyDescent="0.25">
      <c r="A801" s="545">
        <f t="shared" si="56"/>
        <v>139818.35965844765</v>
      </c>
      <c r="B801" s="3">
        <f t="shared" si="58"/>
        <v>2.5999999999999988</v>
      </c>
      <c r="C801" s="545">
        <f>'Foglio deposito bis'!$E$156/sezione!$B$247*B801</f>
        <v>14.94864753466552</v>
      </c>
      <c r="D801" s="603">
        <f>-'Sollecitazioni nel paramento'!$G$47*'Sollecitazioni nel paramento'!$G$41*IF(DATI!$G$211="dx",DATI!$E$61,DATI!$E$64*DATI!$E$63)*1000*C801^2*sezione!$AD$5*(1-sezione!$AD$6)</f>
        <v>-4971728.7836141363</v>
      </c>
      <c r="E801" s="545">
        <f>-'Foglio deposito bis'!$F$58*(C801-sezione!$AL$30)*IF(ABS(K801)&lt;'Sollecitazioni nel paramento'!$G$58,ABS(K801)*'Sollecitazioni nel paramento'!$G$54,'Sollecitazioni nel paramento'!$G$53)</f>
        <v>0</v>
      </c>
      <c r="F801" s="545">
        <f>-'Foglio deposito bis'!$F$59*(C801-sezione!$AM$30)*IF(ABS(L801)&lt;'Sollecitazioni nel paramento'!$G$58,ABS(L801)*'Sollecitazioni nel paramento'!$G$54,'Sollecitazioni nel paramento'!$G$53)</f>
        <v>6922809.6818174627</v>
      </c>
      <c r="G801" s="545">
        <f>-'Foglio deposito bis'!$F$60*(C801-sezione!$AN$30)*IF(ABS(M801)&lt;'Sollecitazioni nel paramento'!$G$58,ABS(M801)*'Sollecitazioni nel paramento'!$G$54,'Sollecitazioni nel paramento'!$G$53)</f>
        <v>0</v>
      </c>
      <c r="H801" s="545">
        <f>-'Foglio deposito bis'!$F$61*(C801-sezione!$AO$30)*IF(ABS(N801)&lt;'Sollecitazioni nel paramento'!$G$58,ABS(N801)*'Sollecitazioni nel paramento'!$G$54,'Sollecitazioni nel paramento'!$G$53)</f>
        <v>34949615.324274108</v>
      </c>
      <c r="I801" s="472">
        <f>-'Foglio deposito bis'!$F$62*(C801-sezione!$AP$30)*IF(ABS(O801)&lt;'Sollecitazioni nel paramento'!$G$58,ABS(O801)*'Sollecitazioni nel paramento'!$G$54,'Sollecitazioni nel paramento'!$G$53)</f>
        <v>116421543.15795915</v>
      </c>
      <c r="J801" s="472">
        <f t="shared" si="55"/>
        <v>153322239.3804366</v>
      </c>
      <c r="K801" s="550">
        <f>'Sollecitazioni nel paramento'!$G$60*(sezione!$AL$30-C801)/C801</f>
        <v>5.8653957440192288E-3</v>
      </c>
      <c r="L801" s="550">
        <f>'Sollecitazioni nel paramento'!$G$60*(sezione!$AM$30-C801)/C801</f>
        <v>1.0548093616028844E-2</v>
      </c>
      <c r="M801" s="551">
        <f>'Sollecitazioni nel paramento'!$G$60*(sezione!$AN$30-C801)/C801</f>
        <v>1.5230791488038457E-2</v>
      </c>
      <c r="N801" s="551">
        <f>'Sollecitazioni nel paramento'!$G$60*(sezione!$AO$30-C801)/C801</f>
        <v>3.3961582976076918E-2</v>
      </c>
      <c r="O801" s="551">
        <f>'Sollecitazioni nel paramento'!$G$60*(sezione!$AP$30-C801)/C801</f>
        <v>8.6615373486749983E-2</v>
      </c>
      <c r="P801" s="545">
        <f>-'Sollecitazioni nel paramento'!$G$47*'Sollecitazioni nel paramento'!$G$41*IF(DATI!$G$211="dx",DATI!$E$61,DATI!$E$64*DATI!$E$63)*1000*C801*sezione!$AD$5</f>
        <v>-569498.6251281522</v>
      </c>
      <c r="Q801" s="545">
        <f>'Foglio deposito bis'!$F$58*IF(ABS(K801)&lt;'Sollecitazioni nel paramento'!$G$58,ABS(K801)*'Sollecitazioni nel paramento'!$G$54,'Sollecitazioni nel paramento'!$G$53)*IF(K801&lt;0,-1,1)</f>
        <v>0</v>
      </c>
      <c r="R801" s="545">
        <f>'Foglio deposito bis'!$F$59*IF(ABS(L801)&lt;'Sollecitazioni nel paramento'!$G$58,ABS(L801)*'Sollecitazioni nel paramento'!$G$54,'Sollecitazioni nel paramento'!$G$53)*IF(L801&lt;0,-1,1)</f>
        <v>153664.85805602249</v>
      </c>
      <c r="S801" s="545">
        <f>'Foglio deposito bis'!$F$60*IF(ABS(M801)&lt;'Sollecitazioni nel paramento'!$G$58,ABS(M801)*'Sollecitazioni nel paramento'!$G$54,'Sollecitazioni nel paramento'!$G$53)*IF(M801&lt;0,-1,1)</f>
        <v>0</v>
      </c>
      <c r="T801" s="545">
        <f>'Foglio deposito bis'!$F$61*IF(ABS(N801)&lt;'Sollecitazioni nel paramento'!$G$58,ABS(N801)*'Sollecitazioni nel paramento'!$G$54,'Sollecitazioni nel paramento'!$G$53)*IF(N801&lt;0,-1,1)</f>
        <v>240946.49743184328</v>
      </c>
      <c r="U801" s="545">
        <f>'Foglio deposito bis'!$F$62*IF(ABS(O801)&lt;'Sollecitazioni nel paramento'!$G$58,ABS(O801)*'Sollecitazioni nel paramento'!$G$54,'Sollecitazioni nel paramento'!$G$53)*IF(O801&lt;0,-1,1)</f>
        <v>314705.62929873407</v>
      </c>
      <c r="V801" s="472">
        <f t="shared" si="57"/>
        <v>139818.35965844765</v>
      </c>
      <c r="W801" s="551"/>
      <c r="X801" s="551"/>
    </row>
    <row r="802" spans="1:24" x14ac:dyDescent="0.25">
      <c r="A802" s="545">
        <f t="shared" si="56"/>
        <v>128866.46302136776</v>
      </c>
      <c r="B802" s="3">
        <f t="shared" si="58"/>
        <v>2.6499999999999986</v>
      </c>
      <c r="C802" s="545">
        <f>'Foglio deposito bis'!$E$156/sezione!$B$247*B802</f>
        <v>15.236121525716779</v>
      </c>
      <c r="D802" s="603">
        <f>-'Sollecitazioni nel paramento'!$G$47*'Sollecitazioni nel paramento'!$G$41*IF(DATI!$G$211="dx",DATI!$E$61,DATI!$E$64*DATI!$E$63)*1000*C802^2*sezione!$AD$5*(1-sezione!$AD$6)</f>
        <v>-5164787.7785399808</v>
      </c>
      <c r="E802" s="545">
        <f>-'Foglio deposito bis'!$F$58*(C802-sezione!$AL$30)*IF(ABS(K802)&lt;'Sollecitazioni nel paramento'!$G$58,ABS(K802)*'Sollecitazioni nel paramento'!$G$54,'Sollecitazioni nel paramento'!$G$53)</f>
        <v>0</v>
      </c>
      <c r="F802" s="545">
        <f>-'Foglio deposito bis'!$F$59*(C802-sezione!$AM$30)*IF(ABS(L802)&lt;'Sollecitazioni nel paramento'!$G$58,ABS(L802)*'Sollecitazioni nel paramento'!$G$54,'Sollecitazioni nel paramento'!$G$53)</f>
        <v>6878635.0317877717</v>
      </c>
      <c r="G802" s="545">
        <f>-'Foglio deposito bis'!$F$60*(C802-sezione!$AN$30)*IF(ABS(M802)&lt;'Sollecitazioni nel paramento'!$G$58,ABS(M802)*'Sollecitazioni nel paramento'!$G$54,'Sollecitazioni nel paramento'!$G$53)</f>
        <v>0</v>
      </c>
      <c r="H802" s="545">
        <f>-'Foglio deposito bis'!$F$61*(C802-sezione!$AO$30)*IF(ABS(N802)&lt;'Sollecitazioni nel paramento'!$G$58,ABS(N802)*'Sollecitazioni nel paramento'!$G$54,'Sollecitazioni nel paramento'!$G$53)</f>
        <v>34880349.47302755</v>
      </c>
      <c r="I802" s="472">
        <f>-'Foglio deposito bis'!$F$62*(C802-sezione!$AP$30)*IF(ABS(O802)&lt;'Sollecitazioni nel paramento'!$G$58,ABS(O802)*'Sollecitazioni nel paramento'!$G$54,'Sollecitazioni nel paramento'!$G$53)</f>
        <v>116331073.47469833</v>
      </c>
      <c r="J802" s="472">
        <f t="shared" si="55"/>
        <v>152925270.20097369</v>
      </c>
      <c r="K802" s="550">
        <f>'Sollecitazioni nel paramento'!$G$60*(sezione!$AL$30-C802)/C802</f>
        <v>5.688690163943395E-3</v>
      </c>
      <c r="L802" s="550">
        <f>'Sollecitazioni nel paramento'!$G$60*(sezione!$AM$30-C802)/C802</f>
        <v>1.0283035245915092E-2</v>
      </c>
      <c r="M802" s="551">
        <f>'Sollecitazioni nel paramento'!$G$60*(sezione!$AN$30-C802)/C802</f>
        <v>1.487738032788679E-2</v>
      </c>
      <c r="N802" s="551">
        <f>'Sollecitazioni nel paramento'!$G$60*(sezione!$AO$30-C802)/C802</f>
        <v>3.3254760655773583E-2</v>
      </c>
      <c r="O802" s="551">
        <f>'Sollecitazioni nel paramento'!$G$60*(sezione!$AP$30-C802)/C802</f>
        <v>8.491508342096224E-2</v>
      </c>
      <c r="P802" s="545">
        <f>-'Sollecitazioni nel paramento'!$G$47*'Sollecitazioni nel paramento'!$G$41*IF(DATI!$G$211="dx",DATI!$E$61,DATI!$E$64*DATI!$E$63)*1000*C802*sezione!$AD$5</f>
        <v>-580450.52176523209</v>
      </c>
      <c r="Q802" s="545">
        <f>'Foglio deposito bis'!$F$58*IF(ABS(K802)&lt;'Sollecitazioni nel paramento'!$G$58,ABS(K802)*'Sollecitazioni nel paramento'!$G$54,'Sollecitazioni nel paramento'!$G$53)*IF(K802&lt;0,-1,1)</f>
        <v>0</v>
      </c>
      <c r="R802" s="545">
        <f>'Foglio deposito bis'!$F$59*IF(ABS(L802)&lt;'Sollecitazioni nel paramento'!$G$58,ABS(L802)*'Sollecitazioni nel paramento'!$G$54,'Sollecitazioni nel paramento'!$G$53)*IF(L802&lt;0,-1,1)</f>
        <v>153664.85805602249</v>
      </c>
      <c r="S802" s="545">
        <f>'Foglio deposito bis'!$F$60*IF(ABS(M802)&lt;'Sollecitazioni nel paramento'!$G$58,ABS(M802)*'Sollecitazioni nel paramento'!$G$54,'Sollecitazioni nel paramento'!$G$53)*IF(M802&lt;0,-1,1)</f>
        <v>0</v>
      </c>
      <c r="T802" s="545">
        <f>'Foglio deposito bis'!$F$61*IF(ABS(N802)&lt;'Sollecitazioni nel paramento'!$G$58,ABS(N802)*'Sollecitazioni nel paramento'!$G$54,'Sollecitazioni nel paramento'!$G$53)*IF(N802&lt;0,-1,1)</f>
        <v>240946.49743184328</v>
      </c>
      <c r="U802" s="545">
        <f>'Foglio deposito bis'!$F$62*IF(ABS(O802)&lt;'Sollecitazioni nel paramento'!$G$58,ABS(O802)*'Sollecitazioni nel paramento'!$G$54,'Sollecitazioni nel paramento'!$G$53)*IF(O802&lt;0,-1,1)</f>
        <v>314705.62929873407</v>
      </c>
      <c r="V802" s="472">
        <f t="shared" si="57"/>
        <v>128866.46302136776</v>
      </c>
      <c r="W802" s="551"/>
      <c r="X802" s="551"/>
    </row>
    <row r="803" spans="1:24" x14ac:dyDescent="0.25">
      <c r="A803" s="545">
        <f t="shared" si="56"/>
        <v>117914.56638428799</v>
      </c>
      <c r="B803" s="3">
        <f t="shared" si="58"/>
        <v>2.6999999999999984</v>
      </c>
      <c r="C803" s="545">
        <f>'Foglio deposito bis'!$E$156/sezione!$B$247*B803</f>
        <v>15.523595516768038</v>
      </c>
      <c r="D803" s="603">
        <f>-'Sollecitazioni nel paramento'!$G$47*'Sollecitazioni nel paramento'!$G$41*IF(DATI!$G$211="dx",DATI!$E$61,DATI!$E$64*DATI!$E$63)*1000*C803^2*sezione!$AD$5*(1-sezione!$AD$6)</f>
        <v>-5361524.0876548896</v>
      </c>
      <c r="E803" s="545">
        <f>-'Foglio deposito bis'!$F$58*(C803-sezione!$AL$30)*IF(ABS(K803)&lt;'Sollecitazioni nel paramento'!$G$58,ABS(K803)*'Sollecitazioni nel paramento'!$G$54,'Sollecitazioni nel paramento'!$G$53)</f>
        <v>0</v>
      </c>
      <c r="F803" s="545">
        <f>-'Foglio deposito bis'!$F$59*(C803-sezione!$AM$30)*IF(ABS(L803)&lt;'Sollecitazioni nel paramento'!$G$58,ABS(L803)*'Sollecitazioni nel paramento'!$G$54,'Sollecitazioni nel paramento'!$G$53)</f>
        <v>6834460.3817580808</v>
      </c>
      <c r="G803" s="545">
        <f>-'Foglio deposito bis'!$F$60*(C803-sezione!$AN$30)*IF(ABS(M803)&lt;'Sollecitazioni nel paramento'!$G$58,ABS(M803)*'Sollecitazioni nel paramento'!$G$54,'Sollecitazioni nel paramento'!$G$53)</f>
        <v>0</v>
      </c>
      <c r="H803" s="545">
        <f>-'Foglio deposito bis'!$F$61*(C803-sezione!$AO$30)*IF(ABS(N803)&lt;'Sollecitazioni nel paramento'!$G$58,ABS(N803)*'Sollecitazioni nel paramento'!$G$54,'Sollecitazioni nel paramento'!$G$53)</f>
        <v>34811083.621780999</v>
      </c>
      <c r="I803" s="472">
        <f>-'Foglio deposito bis'!$F$62*(C803-sezione!$AP$30)*IF(ABS(O803)&lt;'Sollecitazioni nel paramento'!$G$58,ABS(O803)*'Sollecitazioni nel paramento'!$G$54,'Sollecitazioni nel paramento'!$G$53)</f>
        <v>116240603.79143754</v>
      </c>
      <c r="J803" s="472">
        <f t="shared" si="55"/>
        <v>152524623.70732173</v>
      </c>
      <c r="K803" s="550">
        <f>'Sollecitazioni nel paramento'!$G$60*(sezione!$AL$30-C803)/C803</f>
        <v>5.5185292349814808E-3</v>
      </c>
      <c r="L803" s="550">
        <f>'Sollecitazioni nel paramento'!$G$60*(sezione!$AM$30-C803)/C803</f>
        <v>1.0027793852472221E-2</v>
      </c>
      <c r="M803" s="551">
        <f>'Sollecitazioni nel paramento'!$G$60*(sezione!$AN$30-C803)/C803</f>
        <v>1.4537058469962961E-2</v>
      </c>
      <c r="N803" s="551">
        <f>'Sollecitazioni nel paramento'!$G$60*(sezione!$AO$30-C803)/C803</f>
        <v>3.2574116939925922E-2</v>
      </c>
      <c r="O803" s="551">
        <f>'Sollecitazioni nel paramento'!$G$60*(sezione!$AP$30-C803)/C803</f>
        <v>8.3277767061314803E-2</v>
      </c>
      <c r="P803" s="545">
        <f>-'Sollecitazioni nel paramento'!$G$47*'Sollecitazioni nel paramento'!$G$41*IF(DATI!$G$211="dx",DATI!$E$61,DATI!$E$64*DATI!$E$63)*1000*C803*sezione!$AD$5</f>
        <v>-591402.41840231186</v>
      </c>
      <c r="Q803" s="545">
        <f>'Foglio deposito bis'!$F$58*IF(ABS(K803)&lt;'Sollecitazioni nel paramento'!$G$58,ABS(K803)*'Sollecitazioni nel paramento'!$G$54,'Sollecitazioni nel paramento'!$G$53)*IF(K803&lt;0,-1,1)</f>
        <v>0</v>
      </c>
      <c r="R803" s="545">
        <f>'Foglio deposito bis'!$F$59*IF(ABS(L803)&lt;'Sollecitazioni nel paramento'!$G$58,ABS(L803)*'Sollecitazioni nel paramento'!$G$54,'Sollecitazioni nel paramento'!$G$53)*IF(L803&lt;0,-1,1)</f>
        <v>153664.85805602249</v>
      </c>
      <c r="S803" s="545">
        <f>'Foglio deposito bis'!$F$60*IF(ABS(M803)&lt;'Sollecitazioni nel paramento'!$G$58,ABS(M803)*'Sollecitazioni nel paramento'!$G$54,'Sollecitazioni nel paramento'!$G$53)*IF(M803&lt;0,-1,1)</f>
        <v>0</v>
      </c>
      <c r="T803" s="545">
        <f>'Foglio deposito bis'!$F$61*IF(ABS(N803)&lt;'Sollecitazioni nel paramento'!$G$58,ABS(N803)*'Sollecitazioni nel paramento'!$G$54,'Sollecitazioni nel paramento'!$G$53)*IF(N803&lt;0,-1,1)</f>
        <v>240946.49743184328</v>
      </c>
      <c r="U803" s="545">
        <f>'Foglio deposito bis'!$F$62*IF(ABS(O803)&lt;'Sollecitazioni nel paramento'!$G$58,ABS(O803)*'Sollecitazioni nel paramento'!$G$54,'Sollecitazioni nel paramento'!$G$53)*IF(O803&lt;0,-1,1)</f>
        <v>314705.62929873407</v>
      </c>
      <c r="V803" s="472">
        <f t="shared" si="57"/>
        <v>117914.56638428799</v>
      </c>
      <c r="W803" s="551"/>
      <c r="X803" s="551"/>
    </row>
    <row r="804" spans="1:24" x14ac:dyDescent="0.25">
      <c r="A804" s="545">
        <f t="shared" si="56"/>
        <v>106962.66974720822</v>
      </c>
      <c r="B804" s="3">
        <f t="shared" si="58"/>
        <v>2.7499999999999982</v>
      </c>
      <c r="C804" s="545">
        <f>'Foglio deposito bis'!$E$156/sezione!$B$247*B804</f>
        <v>15.811069507819298</v>
      </c>
      <c r="D804" s="603">
        <f>-'Sollecitazioni nel paramento'!$G$47*'Sollecitazioni nel paramento'!$G$41*IF(DATI!$G$211="dx",DATI!$E$61,DATI!$E$64*DATI!$E$63)*1000*C804^2*sezione!$AD$5*(1-sezione!$AD$6)</f>
        <v>-5561937.710958859</v>
      </c>
      <c r="E804" s="545">
        <f>-'Foglio deposito bis'!$F$58*(C804-sezione!$AL$30)*IF(ABS(K804)&lt;'Sollecitazioni nel paramento'!$G$58,ABS(K804)*'Sollecitazioni nel paramento'!$G$54,'Sollecitazioni nel paramento'!$G$53)</f>
        <v>0</v>
      </c>
      <c r="F804" s="545">
        <f>-'Foglio deposito bis'!$F$59*(C804-sezione!$AM$30)*IF(ABS(L804)&lt;'Sollecitazioni nel paramento'!$G$58,ABS(L804)*'Sollecitazioni nel paramento'!$G$54,'Sollecitazioni nel paramento'!$G$53)</f>
        <v>6790285.7317283917</v>
      </c>
      <c r="G804" s="545">
        <f>-'Foglio deposito bis'!$F$60*(C804-sezione!$AN$30)*IF(ABS(M804)&lt;'Sollecitazioni nel paramento'!$G$58,ABS(M804)*'Sollecitazioni nel paramento'!$G$54,'Sollecitazioni nel paramento'!$G$53)</f>
        <v>0</v>
      </c>
      <c r="H804" s="545">
        <f>-'Foglio deposito bis'!$F$61*(C804-sezione!$AO$30)*IF(ABS(N804)&lt;'Sollecitazioni nel paramento'!$G$58,ABS(N804)*'Sollecitazioni nel paramento'!$G$54,'Sollecitazioni nel paramento'!$G$53)</f>
        <v>34741817.770534448</v>
      </c>
      <c r="I804" s="472">
        <f>-'Foglio deposito bis'!$F$62*(C804-sezione!$AP$30)*IF(ABS(O804)&lt;'Sollecitazioni nel paramento'!$G$58,ABS(O804)*'Sollecitazioni nel paramento'!$G$54,'Sollecitazioni nel paramento'!$G$53)</f>
        <v>116150134.10817672</v>
      </c>
      <c r="J804" s="472">
        <f t="shared" si="55"/>
        <v>152120299.8994807</v>
      </c>
      <c r="K804" s="550">
        <f>'Sollecitazioni nel paramento'!$G$60*(sezione!$AL$30-C804)/C804</f>
        <v>5.3545559761636356E-3</v>
      </c>
      <c r="L804" s="550">
        <f>'Sollecitazioni nel paramento'!$G$60*(sezione!$AM$30-C804)/C804</f>
        <v>9.7818339642454528E-3</v>
      </c>
      <c r="M804" s="551">
        <f>'Sollecitazioni nel paramento'!$G$60*(sezione!$AN$30-C804)/C804</f>
        <v>1.4209111952327273E-2</v>
      </c>
      <c r="N804" s="551">
        <f>'Sollecitazioni nel paramento'!$G$60*(sezione!$AO$30-C804)/C804</f>
        <v>3.1918223904654548E-2</v>
      </c>
      <c r="O804" s="551">
        <f>'Sollecitazioni nel paramento'!$G$60*(sezione!$AP$30-C804)/C804</f>
        <v>8.1699989478381807E-2</v>
      </c>
      <c r="P804" s="545">
        <f>-'Sollecitazioni nel paramento'!$G$47*'Sollecitazioni nel paramento'!$G$41*IF(DATI!$G$211="dx",DATI!$E$61,DATI!$E$64*DATI!$E$63)*1000*C804*sezione!$AD$5</f>
        <v>-602354.31503939163</v>
      </c>
      <c r="Q804" s="545">
        <f>'Foglio deposito bis'!$F$58*IF(ABS(K804)&lt;'Sollecitazioni nel paramento'!$G$58,ABS(K804)*'Sollecitazioni nel paramento'!$G$54,'Sollecitazioni nel paramento'!$G$53)*IF(K804&lt;0,-1,1)</f>
        <v>0</v>
      </c>
      <c r="R804" s="545">
        <f>'Foglio deposito bis'!$F$59*IF(ABS(L804)&lt;'Sollecitazioni nel paramento'!$G$58,ABS(L804)*'Sollecitazioni nel paramento'!$G$54,'Sollecitazioni nel paramento'!$G$53)*IF(L804&lt;0,-1,1)</f>
        <v>153664.85805602249</v>
      </c>
      <c r="S804" s="545">
        <f>'Foglio deposito bis'!$F$60*IF(ABS(M804)&lt;'Sollecitazioni nel paramento'!$G$58,ABS(M804)*'Sollecitazioni nel paramento'!$G$54,'Sollecitazioni nel paramento'!$G$53)*IF(M804&lt;0,-1,1)</f>
        <v>0</v>
      </c>
      <c r="T804" s="545">
        <f>'Foglio deposito bis'!$F$61*IF(ABS(N804)&lt;'Sollecitazioni nel paramento'!$G$58,ABS(N804)*'Sollecitazioni nel paramento'!$G$54,'Sollecitazioni nel paramento'!$G$53)*IF(N804&lt;0,-1,1)</f>
        <v>240946.49743184328</v>
      </c>
      <c r="U804" s="545">
        <f>'Foglio deposito bis'!$F$62*IF(ABS(O804)&lt;'Sollecitazioni nel paramento'!$G$58,ABS(O804)*'Sollecitazioni nel paramento'!$G$54,'Sollecitazioni nel paramento'!$G$53)*IF(O804&lt;0,-1,1)</f>
        <v>314705.62929873407</v>
      </c>
      <c r="V804" s="472">
        <f t="shared" si="57"/>
        <v>106962.66974720822</v>
      </c>
      <c r="W804" s="551"/>
      <c r="X804" s="551"/>
    </row>
    <row r="805" spans="1:24" x14ac:dyDescent="0.25">
      <c r="A805" s="545">
        <f t="shared" si="56"/>
        <v>96010.773110128444</v>
      </c>
      <c r="B805" s="3">
        <f t="shared" si="58"/>
        <v>2.799999999999998</v>
      </c>
      <c r="C805" s="545">
        <f>'Foglio deposito bis'!$E$156/sezione!$B$247*B805</f>
        <v>16.098543498870555</v>
      </c>
      <c r="D805" s="603">
        <f>-'Sollecitazioni nel paramento'!$G$47*'Sollecitazioni nel paramento'!$G$41*IF(DATI!$G$211="dx",DATI!$E$61,DATI!$E$64*DATI!$E$63)*1000*C805^2*sezione!$AD$5*(1-sezione!$AD$6)</f>
        <v>-5766028.6484518945</v>
      </c>
      <c r="E805" s="545">
        <f>-'Foglio deposito bis'!$F$58*(C805-sezione!$AL$30)*IF(ABS(K805)&lt;'Sollecitazioni nel paramento'!$G$58,ABS(K805)*'Sollecitazioni nel paramento'!$G$54,'Sollecitazioni nel paramento'!$G$53)</f>
        <v>0</v>
      </c>
      <c r="F805" s="545">
        <f>-'Foglio deposito bis'!$F$59*(C805-sezione!$AM$30)*IF(ABS(L805)&lt;'Sollecitazioni nel paramento'!$G$58,ABS(L805)*'Sollecitazioni nel paramento'!$G$54,'Sollecitazioni nel paramento'!$G$53)</f>
        <v>6746111.0816987026</v>
      </c>
      <c r="G805" s="545">
        <f>-'Foglio deposito bis'!$F$60*(C805-sezione!$AN$30)*IF(ABS(M805)&lt;'Sollecitazioni nel paramento'!$G$58,ABS(M805)*'Sollecitazioni nel paramento'!$G$54,'Sollecitazioni nel paramento'!$G$53)</f>
        <v>0</v>
      </c>
      <c r="H805" s="545">
        <f>-'Foglio deposito bis'!$F$61*(C805-sezione!$AO$30)*IF(ABS(N805)&lt;'Sollecitazioni nel paramento'!$G$58,ABS(N805)*'Sollecitazioni nel paramento'!$G$54,'Sollecitazioni nel paramento'!$G$53)</f>
        <v>34672551.91928789</v>
      </c>
      <c r="I805" s="472">
        <f>-'Foglio deposito bis'!$F$62*(C805-sezione!$AP$30)*IF(ABS(O805)&lt;'Sollecitazioni nel paramento'!$G$58,ABS(O805)*'Sollecitazioni nel paramento'!$G$54,'Sollecitazioni nel paramento'!$G$53)</f>
        <v>116059664.42491591</v>
      </c>
      <c r="J805" s="472">
        <f t="shared" si="55"/>
        <v>151712298.77745062</v>
      </c>
      <c r="K805" s="550">
        <f>'Sollecitazioni nel paramento'!$G$60*(sezione!$AL$30-C805)/C805</f>
        <v>5.1964389051607158E-3</v>
      </c>
      <c r="L805" s="550">
        <f>'Sollecitazioni nel paramento'!$G$60*(sezione!$AM$30-C805)/C805</f>
        <v>9.5446583577410721E-3</v>
      </c>
      <c r="M805" s="551">
        <f>'Sollecitazioni nel paramento'!$G$60*(sezione!$AN$30-C805)/C805</f>
        <v>1.3892877810321431E-2</v>
      </c>
      <c r="N805" s="551">
        <f>'Sollecitazioni nel paramento'!$G$60*(sezione!$AO$30-C805)/C805</f>
        <v>3.1285755620642862E-2</v>
      </c>
      <c r="O805" s="551">
        <f>'Sollecitazioni nel paramento'!$G$60*(sezione!$AP$30-C805)/C805</f>
        <v>8.0178561094839285E-2</v>
      </c>
      <c r="P805" s="545">
        <f>-'Sollecitazioni nel paramento'!$G$47*'Sollecitazioni nel paramento'!$G$41*IF(DATI!$G$211="dx",DATI!$E$61,DATI!$E$64*DATI!$E$63)*1000*C805*sezione!$AD$5</f>
        <v>-613306.2116764714</v>
      </c>
      <c r="Q805" s="545">
        <f>'Foglio deposito bis'!$F$58*IF(ABS(K805)&lt;'Sollecitazioni nel paramento'!$G$58,ABS(K805)*'Sollecitazioni nel paramento'!$G$54,'Sollecitazioni nel paramento'!$G$53)*IF(K805&lt;0,-1,1)</f>
        <v>0</v>
      </c>
      <c r="R805" s="545">
        <f>'Foglio deposito bis'!$F$59*IF(ABS(L805)&lt;'Sollecitazioni nel paramento'!$G$58,ABS(L805)*'Sollecitazioni nel paramento'!$G$54,'Sollecitazioni nel paramento'!$G$53)*IF(L805&lt;0,-1,1)</f>
        <v>153664.85805602249</v>
      </c>
      <c r="S805" s="545">
        <f>'Foglio deposito bis'!$F$60*IF(ABS(M805)&lt;'Sollecitazioni nel paramento'!$G$58,ABS(M805)*'Sollecitazioni nel paramento'!$G$54,'Sollecitazioni nel paramento'!$G$53)*IF(M805&lt;0,-1,1)</f>
        <v>0</v>
      </c>
      <c r="T805" s="545">
        <f>'Foglio deposito bis'!$F$61*IF(ABS(N805)&lt;'Sollecitazioni nel paramento'!$G$58,ABS(N805)*'Sollecitazioni nel paramento'!$G$54,'Sollecitazioni nel paramento'!$G$53)*IF(N805&lt;0,-1,1)</f>
        <v>240946.49743184328</v>
      </c>
      <c r="U805" s="545">
        <f>'Foglio deposito bis'!$F$62*IF(ABS(O805)&lt;'Sollecitazioni nel paramento'!$G$58,ABS(O805)*'Sollecitazioni nel paramento'!$G$54,'Sollecitazioni nel paramento'!$G$53)*IF(O805&lt;0,-1,1)</f>
        <v>314705.62929873407</v>
      </c>
      <c r="V805" s="472">
        <f t="shared" si="57"/>
        <v>96010.773110128444</v>
      </c>
      <c r="W805" s="551"/>
      <c r="X805" s="551"/>
    </row>
    <row r="806" spans="1:24" x14ac:dyDescent="0.25">
      <c r="A806" s="545">
        <f t="shared" si="56"/>
        <v>85058.876473048556</v>
      </c>
      <c r="B806" s="3">
        <f t="shared" si="58"/>
        <v>2.8499999999999979</v>
      </c>
      <c r="C806" s="545">
        <f>'Foglio deposito bis'!$E$156/sezione!$B$247*B806</f>
        <v>16.386017489921816</v>
      </c>
      <c r="D806" s="603">
        <f>-'Sollecitazioni nel paramento'!$G$47*'Sollecitazioni nel paramento'!$G$41*IF(DATI!$G$211="dx",DATI!$E$61,DATI!$E$64*DATI!$E$63)*1000*C806^2*sezione!$AD$5*(1-sezione!$AD$6)</f>
        <v>-5973796.9001339953</v>
      </c>
      <c r="E806" s="545">
        <f>-'Foglio deposito bis'!$F$58*(C806-sezione!$AL$30)*IF(ABS(K806)&lt;'Sollecitazioni nel paramento'!$G$58,ABS(K806)*'Sollecitazioni nel paramento'!$G$54,'Sollecitazioni nel paramento'!$G$53)</f>
        <v>0</v>
      </c>
      <c r="F806" s="545">
        <f>-'Foglio deposito bis'!$F$59*(C806-sezione!$AM$30)*IF(ABS(L806)&lt;'Sollecitazioni nel paramento'!$G$58,ABS(L806)*'Sollecitazioni nel paramento'!$G$54,'Sollecitazioni nel paramento'!$G$53)</f>
        <v>6701936.4316690117</v>
      </c>
      <c r="G806" s="545">
        <f>-'Foglio deposito bis'!$F$60*(C806-sezione!$AN$30)*IF(ABS(M806)&lt;'Sollecitazioni nel paramento'!$G$58,ABS(M806)*'Sollecitazioni nel paramento'!$G$54,'Sollecitazioni nel paramento'!$G$53)</f>
        <v>0</v>
      </c>
      <c r="H806" s="545">
        <f>-'Foglio deposito bis'!$F$61*(C806-sezione!$AO$30)*IF(ABS(N806)&lt;'Sollecitazioni nel paramento'!$G$58,ABS(N806)*'Sollecitazioni nel paramento'!$G$54,'Sollecitazioni nel paramento'!$G$53)</f>
        <v>34603286.06804134</v>
      </c>
      <c r="I806" s="472">
        <f>-'Foglio deposito bis'!$F$62*(C806-sezione!$AP$30)*IF(ABS(O806)&lt;'Sollecitazioni nel paramento'!$G$58,ABS(O806)*'Sollecitazioni nel paramento'!$G$54,'Sollecitazioni nel paramento'!$G$53)</f>
        <v>115969194.74165511</v>
      </c>
      <c r="J806" s="472">
        <f t="shared" si="55"/>
        <v>151300620.34123147</v>
      </c>
      <c r="K806" s="550">
        <f>'Sollecitazioni nel paramento'!$G$60*(sezione!$AL$30-C806)/C806</f>
        <v>5.0438698015614035E-3</v>
      </c>
      <c r="L806" s="550">
        <f>'Sollecitazioni nel paramento'!$G$60*(sezione!$AM$30-C806)/C806</f>
        <v>9.3158047023421068E-3</v>
      </c>
      <c r="M806" s="551">
        <f>'Sollecitazioni nel paramento'!$G$60*(sezione!$AN$30-C806)/C806</f>
        <v>1.358773960312281E-2</v>
      </c>
      <c r="N806" s="551">
        <f>'Sollecitazioni nel paramento'!$G$60*(sezione!$AO$30-C806)/C806</f>
        <v>3.0675479206245613E-2</v>
      </c>
      <c r="O806" s="551">
        <f>'Sollecitazioni nel paramento'!$G$60*(sezione!$AP$30-C806)/C806</f>
        <v>7.8710516163350869E-2</v>
      </c>
      <c r="P806" s="545">
        <f>-'Sollecitazioni nel paramento'!$G$47*'Sollecitazioni nel paramento'!$G$41*IF(DATI!$G$211="dx",DATI!$E$61,DATI!$E$64*DATI!$E$63)*1000*C806*sezione!$AD$5</f>
        <v>-624258.10831355129</v>
      </c>
      <c r="Q806" s="545">
        <f>'Foglio deposito bis'!$F$58*IF(ABS(K806)&lt;'Sollecitazioni nel paramento'!$G$58,ABS(K806)*'Sollecitazioni nel paramento'!$G$54,'Sollecitazioni nel paramento'!$G$53)*IF(K806&lt;0,-1,1)</f>
        <v>0</v>
      </c>
      <c r="R806" s="545">
        <f>'Foglio deposito bis'!$F$59*IF(ABS(L806)&lt;'Sollecitazioni nel paramento'!$G$58,ABS(L806)*'Sollecitazioni nel paramento'!$G$54,'Sollecitazioni nel paramento'!$G$53)*IF(L806&lt;0,-1,1)</f>
        <v>153664.85805602249</v>
      </c>
      <c r="S806" s="545">
        <f>'Foglio deposito bis'!$F$60*IF(ABS(M806)&lt;'Sollecitazioni nel paramento'!$G$58,ABS(M806)*'Sollecitazioni nel paramento'!$G$54,'Sollecitazioni nel paramento'!$G$53)*IF(M806&lt;0,-1,1)</f>
        <v>0</v>
      </c>
      <c r="T806" s="545">
        <f>'Foglio deposito bis'!$F$61*IF(ABS(N806)&lt;'Sollecitazioni nel paramento'!$G$58,ABS(N806)*'Sollecitazioni nel paramento'!$G$54,'Sollecitazioni nel paramento'!$G$53)*IF(N806&lt;0,-1,1)</f>
        <v>240946.49743184328</v>
      </c>
      <c r="U806" s="545">
        <f>'Foglio deposito bis'!$F$62*IF(ABS(O806)&lt;'Sollecitazioni nel paramento'!$G$58,ABS(O806)*'Sollecitazioni nel paramento'!$G$54,'Sollecitazioni nel paramento'!$G$53)*IF(O806&lt;0,-1,1)</f>
        <v>314705.62929873407</v>
      </c>
      <c r="V806" s="472">
        <f t="shared" si="57"/>
        <v>85058.876473048556</v>
      </c>
      <c r="W806" s="551"/>
      <c r="X806" s="551"/>
    </row>
    <row r="807" spans="1:24" x14ac:dyDescent="0.25">
      <c r="A807" s="545">
        <f t="shared" si="56"/>
        <v>74106.979835968785</v>
      </c>
      <c r="B807" s="3">
        <f t="shared" si="58"/>
        <v>2.8999999999999977</v>
      </c>
      <c r="C807" s="545">
        <f>'Foglio deposito bis'!$E$156/sezione!$B$247*B807</f>
        <v>16.673491480973073</v>
      </c>
      <c r="D807" s="603">
        <f>-'Sollecitazioni nel paramento'!$G$47*'Sollecitazioni nel paramento'!$G$41*IF(DATI!$G$211="dx",DATI!$E$61,DATI!$E$64*DATI!$E$63)*1000*C807^2*sezione!$AD$5*(1-sezione!$AD$6)</f>
        <v>-6185242.4660051549</v>
      </c>
      <c r="E807" s="545">
        <f>-'Foglio deposito bis'!$F$58*(C807-sezione!$AL$30)*IF(ABS(K807)&lt;'Sollecitazioni nel paramento'!$G$58,ABS(K807)*'Sollecitazioni nel paramento'!$G$54,'Sollecitazioni nel paramento'!$G$53)</f>
        <v>0</v>
      </c>
      <c r="F807" s="545">
        <f>-'Foglio deposito bis'!$F$59*(C807-sezione!$AM$30)*IF(ABS(L807)&lt;'Sollecitazioni nel paramento'!$G$58,ABS(L807)*'Sollecitazioni nel paramento'!$G$54,'Sollecitazioni nel paramento'!$G$53)</f>
        <v>6657761.7816393226</v>
      </c>
      <c r="G807" s="545">
        <f>-'Foglio deposito bis'!$F$60*(C807-sezione!$AN$30)*IF(ABS(M807)&lt;'Sollecitazioni nel paramento'!$G$58,ABS(M807)*'Sollecitazioni nel paramento'!$G$54,'Sollecitazioni nel paramento'!$G$53)</f>
        <v>0</v>
      </c>
      <c r="H807" s="545">
        <f>-'Foglio deposito bis'!$F$61*(C807-sezione!$AO$30)*IF(ABS(N807)&lt;'Sollecitazioni nel paramento'!$G$58,ABS(N807)*'Sollecitazioni nel paramento'!$G$54,'Sollecitazioni nel paramento'!$G$53)</f>
        <v>34534020.216794781</v>
      </c>
      <c r="I807" s="472">
        <f>-'Foglio deposito bis'!$F$62*(C807-sezione!$AP$30)*IF(ABS(O807)&lt;'Sollecitazioni nel paramento'!$G$58,ABS(O807)*'Sollecitazioni nel paramento'!$G$54,'Sollecitazioni nel paramento'!$G$53)</f>
        <v>115878725.0583943</v>
      </c>
      <c r="J807" s="472">
        <f t="shared" si="55"/>
        <v>150885264.59082323</v>
      </c>
      <c r="K807" s="550">
        <f>'Sollecitazioni nel paramento'!$G$60*(sezione!$AL$30-C807)/C807</f>
        <v>4.8965617015344848E-3</v>
      </c>
      <c r="L807" s="550">
        <f>'Sollecitazioni nel paramento'!$G$60*(sezione!$AM$30-C807)/C807</f>
        <v>9.0948425523017292E-3</v>
      </c>
      <c r="M807" s="551">
        <f>'Sollecitazioni nel paramento'!$G$60*(sezione!$AN$30-C807)/C807</f>
        <v>1.3293123403068969E-2</v>
      </c>
      <c r="N807" s="551">
        <f>'Sollecitazioni nel paramento'!$G$60*(sezione!$AO$30-C807)/C807</f>
        <v>3.0086246806137938E-2</v>
      </c>
      <c r="O807" s="551">
        <f>'Sollecitazioni nel paramento'!$G$60*(sezione!$AP$30-C807)/C807</f>
        <v>7.7293093470879315E-2</v>
      </c>
      <c r="P807" s="545">
        <f>-'Sollecitazioni nel paramento'!$G$47*'Sollecitazioni nel paramento'!$G$41*IF(DATI!$G$211="dx",DATI!$E$61,DATI!$E$64*DATI!$E$63)*1000*C807*sezione!$AD$5</f>
        <v>-635210.00495063106</v>
      </c>
      <c r="Q807" s="545">
        <f>'Foglio deposito bis'!$F$58*IF(ABS(K807)&lt;'Sollecitazioni nel paramento'!$G$58,ABS(K807)*'Sollecitazioni nel paramento'!$G$54,'Sollecitazioni nel paramento'!$G$53)*IF(K807&lt;0,-1,1)</f>
        <v>0</v>
      </c>
      <c r="R807" s="545">
        <f>'Foglio deposito bis'!$F$59*IF(ABS(L807)&lt;'Sollecitazioni nel paramento'!$G$58,ABS(L807)*'Sollecitazioni nel paramento'!$G$54,'Sollecitazioni nel paramento'!$G$53)*IF(L807&lt;0,-1,1)</f>
        <v>153664.85805602249</v>
      </c>
      <c r="S807" s="545">
        <f>'Foglio deposito bis'!$F$60*IF(ABS(M807)&lt;'Sollecitazioni nel paramento'!$G$58,ABS(M807)*'Sollecitazioni nel paramento'!$G$54,'Sollecitazioni nel paramento'!$G$53)*IF(M807&lt;0,-1,1)</f>
        <v>0</v>
      </c>
      <c r="T807" s="545">
        <f>'Foglio deposito bis'!$F$61*IF(ABS(N807)&lt;'Sollecitazioni nel paramento'!$G$58,ABS(N807)*'Sollecitazioni nel paramento'!$G$54,'Sollecitazioni nel paramento'!$G$53)*IF(N807&lt;0,-1,1)</f>
        <v>240946.49743184328</v>
      </c>
      <c r="U807" s="545">
        <f>'Foglio deposito bis'!$F$62*IF(ABS(O807)&lt;'Sollecitazioni nel paramento'!$G$58,ABS(O807)*'Sollecitazioni nel paramento'!$G$54,'Sollecitazioni nel paramento'!$G$53)*IF(O807&lt;0,-1,1)</f>
        <v>314705.62929873407</v>
      </c>
      <c r="V807" s="472">
        <f t="shared" si="57"/>
        <v>74106.979835968785</v>
      </c>
      <c r="W807" s="551"/>
      <c r="X807" s="551"/>
    </row>
    <row r="808" spans="1:24" x14ac:dyDescent="0.25">
      <c r="A808" s="545">
        <f t="shared" si="56"/>
        <v>63155.083198888897</v>
      </c>
      <c r="B808" s="3">
        <f t="shared" si="58"/>
        <v>2.9499999999999975</v>
      </c>
      <c r="C808" s="545">
        <f>'Foglio deposito bis'!$E$156/sezione!$B$247*B808</f>
        <v>16.960965472024334</v>
      </c>
      <c r="D808" s="603">
        <f>-'Sollecitazioni nel paramento'!$G$47*'Sollecitazioni nel paramento'!$G$41*IF(DATI!$G$211="dx",DATI!$E$61,DATI!$E$64*DATI!$E$63)*1000*C808^2*sezione!$AD$5*(1-sezione!$AD$6)</f>
        <v>-6400365.3460653834</v>
      </c>
      <c r="E808" s="545">
        <f>-'Foglio deposito bis'!$F$58*(C808-sezione!$AL$30)*IF(ABS(K808)&lt;'Sollecitazioni nel paramento'!$G$58,ABS(K808)*'Sollecitazioni nel paramento'!$G$54,'Sollecitazioni nel paramento'!$G$53)</f>
        <v>0</v>
      </c>
      <c r="F808" s="545">
        <f>-'Foglio deposito bis'!$F$59*(C808-sezione!$AM$30)*IF(ABS(L808)&lt;'Sollecitazioni nel paramento'!$G$58,ABS(L808)*'Sollecitazioni nel paramento'!$G$54,'Sollecitazioni nel paramento'!$G$53)</f>
        <v>6613587.1316096317</v>
      </c>
      <c r="G808" s="545">
        <f>-'Foglio deposito bis'!$F$60*(C808-sezione!$AN$30)*IF(ABS(M808)&lt;'Sollecitazioni nel paramento'!$G$58,ABS(M808)*'Sollecitazioni nel paramento'!$G$54,'Sollecitazioni nel paramento'!$G$53)</f>
        <v>0</v>
      </c>
      <c r="H808" s="545">
        <f>-'Foglio deposito bis'!$F$61*(C808-sezione!$AO$30)*IF(ABS(N808)&lt;'Sollecitazioni nel paramento'!$G$58,ABS(N808)*'Sollecitazioni nel paramento'!$G$54,'Sollecitazioni nel paramento'!$G$53)</f>
        <v>34464754.365548231</v>
      </c>
      <c r="I808" s="472">
        <f>-'Foglio deposito bis'!$F$62*(C808-sezione!$AP$30)*IF(ABS(O808)&lt;'Sollecitazioni nel paramento'!$G$58,ABS(O808)*'Sollecitazioni nel paramento'!$G$54,'Sollecitazioni nel paramento'!$G$53)</f>
        <v>115788255.37513351</v>
      </c>
      <c r="J808" s="472">
        <f t="shared" si="55"/>
        <v>150466231.52622598</v>
      </c>
      <c r="K808" s="550">
        <f>'Sollecitazioni nel paramento'!$G$60*(sezione!$AL$30-C808)/C808</f>
        <v>4.7542470964237298E-3</v>
      </c>
      <c r="L808" s="550">
        <f>'Sollecitazioni nel paramento'!$G$60*(sezione!$AM$30-C808)/C808</f>
        <v>8.8813706446355944E-3</v>
      </c>
      <c r="M808" s="551">
        <f>'Sollecitazioni nel paramento'!$G$60*(sezione!$AN$30-C808)/C808</f>
        <v>1.3008494192847459E-2</v>
      </c>
      <c r="N808" s="551">
        <f>'Sollecitazioni nel paramento'!$G$60*(sezione!$AO$30-C808)/C808</f>
        <v>2.9516988385694921E-2</v>
      </c>
      <c r="O808" s="551">
        <f>'Sollecitazioni nel paramento'!$G$60*(sezione!$AP$30-C808)/C808</f>
        <v>7.5923719005271187E-2</v>
      </c>
      <c r="P808" s="545">
        <f>-'Sollecitazioni nel paramento'!$G$47*'Sollecitazioni nel paramento'!$G$41*IF(DATI!$G$211="dx",DATI!$E$61,DATI!$E$64*DATI!$E$63)*1000*C808*sezione!$AD$5</f>
        <v>-646161.90158771095</v>
      </c>
      <c r="Q808" s="545">
        <f>'Foglio deposito bis'!$F$58*IF(ABS(K808)&lt;'Sollecitazioni nel paramento'!$G$58,ABS(K808)*'Sollecitazioni nel paramento'!$G$54,'Sollecitazioni nel paramento'!$G$53)*IF(K808&lt;0,-1,1)</f>
        <v>0</v>
      </c>
      <c r="R808" s="545">
        <f>'Foglio deposito bis'!$F$59*IF(ABS(L808)&lt;'Sollecitazioni nel paramento'!$G$58,ABS(L808)*'Sollecitazioni nel paramento'!$G$54,'Sollecitazioni nel paramento'!$G$53)*IF(L808&lt;0,-1,1)</f>
        <v>153664.85805602249</v>
      </c>
      <c r="S808" s="545">
        <f>'Foglio deposito bis'!$F$60*IF(ABS(M808)&lt;'Sollecitazioni nel paramento'!$G$58,ABS(M808)*'Sollecitazioni nel paramento'!$G$54,'Sollecitazioni nel paramento'!$G$53)*IF(M808&lt;0,-1,1)</f>
        <v>0</v>
      </c>
      <c r="T808" s="545">
        <f>'Foglio deposito bis'!$F$61*IF(ABS(N808)&lt;'Sollecitazioni nel paramento'!$G$58,ABS(N808)*'Sollecitazioni nel paramento'!$G$54,'Sollecitazioni nel paramento'!$G$53)*IF(N808&lt;0,-1,1)</f>
        <v>240946.49743184328</v>
      </c>
      <c r="U808" s="545">
        <f>'Foglio deposito bis'!$F$62*IF(ABS(O808)&lt;'Sollecitazioni nel paramento'!$G$58,ABS(O808)*'Sollecitazioni nel paramento'!$G$54,'Sollecitazioni nel paramento'!$G$53)*IF(O808&lt;0,-1,1)</f>
        <v>314705.62929873407</v>
      </c>
      <c r="V808" s="472">
        <f t="shared" si="57"/>
        <v>63155.083198888897</v>
      </c>
      <c r="W808" s="551"/>
      <c r="X808" s="551"/>
    </row>
    <row r="809" spans="1:24" x14ac:dyDescent="0.25">
      <c r="A809" s="545">
        <f t="shared" si="56"/>
        <v>52203.186561809096</v>
      </c>
      <c r="B809" s="3">
        <f t="shared" si="58"/>
        <v>2.9999999999999973</v>
      </c>
      <c r="C809" s="545">
        <f>'Foglio deposito bis'!$E$156/sezione!$B$247*B809</f>
        <v>17.248439463075592</v>
      </c>
      <c r="D809" s="603">
        <f>-'Sollecitazioni nel paramento'!$G$47*'Sollecitazioni nel paramento'!$G$41*IF(DATI!$G$211="dx",DATI!$E$61,DATI!$E$64*DATI!$E$63)*1000*C809^2*sezione!$AD$5*(1-sezione!$AD$6)</f>
        <v>-6619165.5403146716</v>
      </c>
      <c r="E809" s="545">
        <f>-'Foglio deposito bis'!$F$58*(C809-sezione!$AL$30)*IF(ABS(K809)&lt;'Sollecitazioni nel paramento'!$G$58,ABS(K809)*'Sollecitazioni nel paramento'!$G$54,'Sollecitazioni nel paramento'!$G$53)</f>
        <v>0</v>
      </c>
      <c r="F809" s="545">
        <f>-'Foglio deposito bis'!$F$59*(C809-sezione!$AM$30)*IF(ABS(L809)&lt;'Sollecitazioni nel paramento'!$G$58,ABS(L809)*'Sollecitazioni nel paramento'!$G$54,'Sollecitazioni nel paramento'!$G$53)</f>
        <v>6569412.4815799426</v>
      </c>
      <c r="G809" s="545">
        <f>-'Foglio deposito bis'!$F$60*(C809-sezione!$AN$30)*IF(ABS(M809)&lt;'Sollecitazioni nel paramento'!$G$58,ABS(M809)*'Sollecitazioni nel paramento'!$G$54,'Sollecitazioni nel paramento'!$G$53)</f>
        <v>0</v>
      </c>
      <c r="H809" s="545">
        <f>-'Foglio deposito bis'!$F$61*(C809-sezione!$AO$30)*IF(ABS(N809)&lt;'Sollecitazioni nel paramento'!$G$58,ABS(N809)*'Sollecitazioni nel paramento'!$G$54,'Sollecitazioni nel paramento'!$G$53)</f>
        <v>34395488.51430168</v>
      </c>
      <c r="I809" s="472">
        <f>-'Foglio deposito bis'!$F$62*(C809-sezione!$AP$30)*IF(ABS(O809)&lt;'Sollecitazioni nel paramento'!$G$58,ABS(O809)*'Sollecitazioni nel paramento'!$G$54,'Sollecitazioni nel paramento'!$G$53)</f>
        <v>115697785.6918727</v>
      </c>
      <c r="J809" s="472">
        <f t="shared" si="55"/>
        <v>150043521.14743966</v>
      </c>
      <c r="K809" s="550">
        <f>'Sollecitazioni nel paramento'!$G$60*(sezione!$AL$30-C809)/C809</f>
        <v>4.6166763114833358E-3</v>
      </c>
      <c r="L809" s="550">
        <f>'Sollecitazioni nel paramento'!$G$60*(sezione!$AM$30-C809)/C809</f>
        <v>8.6750144672250035E-3</v>
      </c>
      <c r="M809" s="551">
        <f>'Sollecitazioni nel paramento'!$G$60*(sezione!$AN$30-C809)/C809</f>
        <v>1.2733352622966671E-2</v>
      </c>
      <c r="N809" s="551">
        <f>'Sollecitazioni nel paramento'!$G$60*(sezione!$AO$30-C809)/C809</f>
        <v>2.8966705245933345E-2</v>
      </c>
      <c r="O809" s="551">
        <f>'Sollecitazioni nel paramento'!$G$60*(sezione!$AP$30-C809)/C809</f>
        <v>7.4599990355183346E-2</v>
      </c>
      <c r="P809" s="545">
        <f>-'Sollecitazioni nel paramento'!$G$47*'Sollecitazioni nel paramento'!$G$41*IF(DATI!$G$211="dx",DATI!$E$61,DATI!$E$64*DATI!$E$63)*1000*C809*sezione!$AD$5</f>
        <v>-657113.79822479072</v>
      </c>
      <c r="Q809" s="545">
        <f>'Foglio deposito bis'!$F$58*IF(ABS(K809)&lt;'Sollecitazioni nel paramento'!$G$58,ABS(K809)*'Sollecitazioni nel paramento'!$G$54,'Sollecitazioni nel paramento'!$G$53)*IF(K809&lt;0,-1,1)</f>
        <v>0</v>
      </c>
      <c r="R809" s="545">
        <f>'Foglio deposito bis'!$F$59*IF(ABS(L809)&lt;'Sollecitazioni nel paramento'!$G$58,ABS(L809)*'Sollecitazioni nel paramento'!$G$54,'Sollecitazioni nel paramento'!$G$53)*IF(L809&lt;0,-1,1)</f>
        <v>153664.85805602249</v>
      </c>
      <c r="S809" s="545">
        <f>'Foglio deposito bis'!$F$60*IF(ABS(M809)&lt;'Sollecitazioni nel paramento'!$G$58,ABS(M809)*'Sollecitazioni nel paramento'!$G$54,'Sollecitazioni nel paramento'!$G$53)*IF(M809&lt;0,-1,1)</f>
        <v>0</v>
      </c>
      <c r="T809" s="545">
        <f>'Foglio deposito bis'!$F$61*IF(ABS(N809)&lt;'Sollecitazioni nel paramento'!$G$58,ABS(N809)*'Sollecitazioni nel paramento'!$G$54,'Sollecitazioni nel paramento'!$G$53)*IF(N809&lt;0,-1,1)</f>
        <v>240946.49743184328</v>
      </c>
      <c r="U809" s="545">
        <f>'Foglio deposito bis'!$F$62*IF(ABS(O809)&lt;'Sollecitazioni nel paramento'!$G$58,ABS(O809)*'Sollecitazioni nel paramento'!$G$54,'Sollecitazioni nel paramento'!$G$53)*IF(O809&lt;0,-1,1)</f>
        <v>314705.62929873407</v>
      </c>
      <c r="V809" s="472">
        <f t="shared" si="57"/>
        <v>52203.186561809096</v>
      </c>
      <c r="W809" s="551"/>
      <c r="X809" s="551"/>
    </row>
    <row r="810" spans="1:24" x14ac:dyDescent="0.25">
      <c r="A810" s="545">
        <f t="shared" si="56"/>
        <v>41251.289924729208</v>
      </c>
      <c r="B810" s="3">
        <f t="shared" si="58"/>
        <v>3.0499999999999972</v>
      </c>
      <c r="C810" s="545">
        <f>'Foglio deposito bis'!$E$156/sezione!$B$247*B810</f>
        <v>17.535913454126852</v>
      </c>
      <c r="D810" s="603">
        <f>-'Sollecitazioni nel paramento'!$G$47*'Sollecitazioni nel paramento'!$G$41*IF(DATI!$G$211="dx",DATI!$E$61,DATI!$E$64*DATI!$E$63)*1000*C810^2*sezione!$AD$5*(1-sezione!$AD$6)</f>
        <v>-6841643.0487530278</v>
      </c>
      <c r="E810" s="545">
        <f>-'Foglio deposito bis'!$F$58*(C810-sezione!$AL$30)*IF(ABS(K810)&lt;'Sollecitazioni nel paramento'!$G$58,ABS(K810)*'Sollecitazioni nel paramento'!$G$54,'Sollecitazioni nel paramento'!$G$53)</f>
        <v>0</v>
      </c>
      <c r="F810" s="545">
        <f>-'Foglio deposito bis'!$F$59*(C810-sezione!$AM$30)*IF(ABS(L810)&lt;'Sollecitazioni nel paramento'!$G$58,ABS(L810)*'Sollecitazioni nel paramento'!$G$54,'Sollecitazioni nel paramento'!$G$53)</f>
        <v>6525237.8315502517</v>
      </c>
      <c r="G810" s="545">
        <f>-'Foglio deposito bis'!$F$60*(C810-sezione!$AN$30)*IF(ABS(M810)&lt;'Sollecitazioni nel paramento'!$G$58,ABS(M810)*'Sollecitazioni nel paramento'!$G$54,'Sollecitazioni nel paramento'!$G$53)</f>
        <v>0</v>
      </c>
      <c r="H810" s="545">
        <f>-'Foglio deposito bis'!$F$61*(C810-sezione!$AO$30)*IF(ABS(N810)&lt;'Sollecitazioni nel paramento'!$G$58,ABS(N810)*'Sollecitazioni nel paramento'!$G$54,'Sollecitazioni nel paramento'!$G$53)</f>
        <v>34326222.663055129</v>
      </c>
      <c r="I810" s="472">
        <f>-'Foglio deposito bis'!$F$62*(C810-sezione!$AP$30)*IF(ABS(O810)&lt;'Sollecitazioni nel paramento'!$G$58,ABS(O810)*'Sollecitazioni nel paramento'!$G$54,'Sollecitazioni nel paramento'!$G$53)</f>
        <v>115607316.00861189</v>
      </c>
      <c r="J810" s="472">
        <f t="shared" si="55"/>
        <v>149617133.45446426</v>
      </c>
      <c r="K810" s="550">
        <f>'Sollecitazioni nel paramento'!$G$60*(sezione!$AL$30-C810)/C810</f>
        <v>4.4836160440819691E-3</v>
      </c>
      <c r="L810" s="550">
        <f>'Sollecitazioni nel paramento'!$G$60*(sezione!$AM$30-C810)/C810</f>
        <v>8.4754240661229531E-3</v>
      </c>
      <c r="M810" s="551">
        <f>'Sollecitazioni nel paramento'!$G$60*(sezione!$AN$30-C810)/C810</f>
        <v>1.2467232088163938E-2</v>
      </c>
      <c r="N810" s="551">
        <f>'Sollecitazioni nel paramento'!$G$60*(sezione!$AO$30-C810)/C810</f>
        <v>2.8434464176327879E-2</v>
      </c>
      <c r="O810" s="551">
        <f>'Sollecitazioni nel paramento'!$G$60*(sezione!$AP$30-C810)/C810</f>
        <v>7.3319662644442632E-2</v>
      </c>
      <c r="P810" s="545">
        <f>-'Sollecitazioni nel paramento'!$G$47*'Sollecitazioni nel paramento'!$G$41*IF(DATI!$G$211="dx",DATI!$E$61,DATI!$E$64*DATI!$E$63)*1000*C810*sezione!$AD$5</f>
        <v>-668065.69486187061</v>
      </c>
      <c r="Q810" s="545">
        <f>'Foglio deposito bis'!$F$58*IF(ABS(K810)&lt;'Sollecitazioni nel paramento'!$G$58,ABS(K810)*'Sollecitazioni nel paramento'!$G$54,'Sollecitazioni nel paramento'!$G$53)*IF(K810&lt;0,-1,1)</f>
        <v>0</v>
      </c>
      <c r="R810" s="545">
        <f>'Foglio deposito bis'!$F$59*IF(ABS(L810)&lt;'Sollecitazioni nel paramento'!$G$58,ABS(L810)*'Sollecitazioni nel paramento'!$G$54,'Sollecitazioni nel paramento'!$G$53)*IF(L810&lt;0,-1,1)</f>
        <v>153664.85805602249</v>
      </c>
      <c r="S810" s="545">
        <f>'Foglio deposito bis'!$F$60*IF(ABS(M810)&lt;'Sollecitazioni nel paramento'!$G$58,ABS(M810)*'Sollecitazioni nel paramento'!$G$54,'Sollecitazioni nel paramento'!$G$53)*IF(M810&lt;0,-1,1)</f>
        <v>0</v>
      </c>
      <c r="T810" s="545">
        <f>'Foglio deposito bis'!$F$61*IF(ABS(N810)&lt;'Sollecitazioni nel paramento'!$G$58,ABS(N810)*'Sollecitazioni nel paramento'!$G$54,'Sollecitazioni nel paramento'!$G$53)*IF(N810&lt;0,-1,1)</f>
        <v>240946.49743184328</v>
      </c>
      <c r="U810" s="545">
        <f>'Foglio deposito bis'!$F$62*IF(ABS(O810)&lt;'Sollecitazioni nel paramento'!$G$58,ABS(O810)*'Sollecitazioni nel paramento'!$G$54,'Sollecitazioni nel paramento'!$G$53)*IF(O810&lt;0,-1,1)</f>
        <v>314705.62929873407</v>
      </c>
      <c r="V810" s="472">
        <f t="shared" si="57"/>
        <v>41251.289924729208</v>
      </c>
      <c r="W810" s="551"/>
      <c r="X810" s="551"/>
    </row>
    <row r="811" spans="1:24" x14ac:dyDescent="0.25">
      <c r="A811" s="545">
        <f t="shared" si="56"/>
        <v>30299.393287649436</v>
      </c>
      <c r="B811" s="3">
        <f t="shared" si="58"/>
        <v>3.099999999999997</v>
      </c>
      <c r="C811" s="545">
        <f>'Foglio deposito bis'!$E$156/sezione!$B$247*B811</f>
        <v>17.82338744517811</v>
      </c>
      <c r="D811" s="603">
        <f>-'Sollecitazioni nel paramento'!$G$47*'Sollecitazioni nel paramento'!$G$41*IF(DATI!$G$211="dx",DATI!$E$61,DATI!$E$64*DATI!$E$63)*1000*C811^2*sezione!$AD$5*(1-sezione!$AD$6)</f>
        <v>-7067797.8713804437</v>
      </c>
      <c r="E811" s="545">
        <f>-'Foglio deposito bis'!$F$58*(C811-sezione!$AL$30)*IF(ABS(K811)&lt;'Sollecitazioni nel paramento'!$G$58,ABS(K811)*'Sollecitazioni nel paramento'!$G$54,'Sollecitazioni nel paramento'!$G$53)</f>
        <v>0</v>
      </c>
      <c r="F811" s="545">
        <f>-'Foglio deposito bis'!$F$59*(C811-sezione!$AM$30)*IF(ABS(L811)&lt;'Sollecitazioni nel paramento'!$G$58,ABS(L811)*'Sollecitazioni nel paramento'!$G$54,'Sollecitazioni nel paramento'!$G$53)</f>
        <v>6481063.1815205608</v>
      </c>
      <c r="G811" s="545">
        <f>-'Foglio deposito bis'!$F$60*(C811-sezione!$AN$30)*IF(ABS(M811)&lt;'Sollecitazioni nel paramento'!$G$58,ABS(M811)*'Sollecitazioni nel paramento'!$G$54,'Sollecitazioni nel paramento'!$G$53)</f>
        <v>0</v>
      </c>
      <c r="H811" s="545">
        <f>-'Foglio deposito bis'!$F$61*(C811-sezione!$AO$30)*IF(ABS(N811)&lt;'Sollecitazioni nel paramento'!$G$58,ABS(N811)*'Sollecitazioni nel paramento'!$G$54,'Sollecitazioni nel paramento'!$G$53)</f>
        <v>34256956.811808571</v>
      </c>
      <c r="I811" s="472">
        <f>-'Foglio deposito bis'!$F$62*(C811-sezione!$AP$30)*IF(ABS(O811)&lt;'Sollecitazioni nel paramento'!$G$58,ABS(O811)*'Sollecitazioni nel paramento'!$G$54,'Sollecitazioni nel paramento'!$G$53)</f>
        <v>115516846.32535109</v>
      </c>
      <c r="J811" s="472">
        <f t="shared" si="55"/>
        <v>149187068.44729978</v>
      </c>
      <c r="K811" s="550">
        <f>'Sollecitazioni nel paramento'!$G$60*(sezione!$AL$30-C811)/C811</f>
        <v>4.3548480433709706E-3</v>
      </c>
      <c r="L811" s="550">
        <f>'Sollecitazioni nel paramento'!$G$60*(sezione!$AM$30-C811)/C811</f>
        <v>8.2822720650564553E-3</v>
      </c>
      <c r="M811" s="551">
        <f>'Sollecitazioni nel paramento'!$G$60*(sezione!$AN$30-C811)/C811</f>
        <v>1.2209696086741941E-2</v>
      </c>
      <c r="N811" s="551">
        <f>'Sollecitazioni nel paramento'!$G$60*(sezione!$AO$30-C811)/C811</f>
        <v>2.7919392173483885E-2</v>
      </c>
      <c r="O811" s="551">
        <f>'Sollecitazioni nel paramento'!$G$60*(sezione!$AP$30-C811)/C811</f>
        <v>7.2080635827596787E-2</v>
      </c>
      <c r="P811" s="545">
        <f>-'Sollecitazioni nel paramento'!$G$47*'Sollecitazioni nel paramento'!$G$41*IF(DATI!$G$211="dx",DATI!$E$61,DATI!$E$64*DATI!$E$63)*1000*C811*sezione!$AD$5</f>
        <v>-679017.59149895038</v>
      </c>
      <c r="Q811" s="545">
        <f>'Foglio deposito bis'!$F$58*IF(ABS(K811)&lt;'Sollecitazioni nel paramento'!$G$58,ABS(K811)*'Sollecitazioni nel paramento'!$G$54,'Sollecitazioni nel paramento'!$G$53)*IF(K811&lt;0,-1,1)</f>
        <v>0</v>
      </c>
      <c r="R811" s="545">
        <f>'Foglio deposito bis'!$F$59*IF(ABS(L811)&lt;'Sollecitazioni nel paramento'!$G$58,ABS(L811)*'Sollecitazioni nel paramento'!$G$54,'Sollecitazioni nel paramento'!$G$53)*IF(L811&lt;0,-1,1)</f>
        <v>153664.85805602249</v>
      </c>
      <c r="S811" s="545">
        <f>'Foglio deposito bis'!$F$60*IF(ABS(M811)&lt;'Sollecitazioni nel paramento'!$G$58,ABS(M811)*'Sollecitazioni nel paramento'!$G$54,'Sollecitazioni nel paramento'!$G$53)*IF(M811&lt;0,-1,1)</f>
        <v>0</v>
      </c>
      <c r="T811" s="545">
        <f>'Foglio deposito bis'!$F$61*IF(ABS(N811)&lt;'Sollecitazioni nel paramento'!$G$58,ABS(N811)*'Sollecitazioni nel paramento'!$G$54,'Sollecitazioni nel paramento'!$G$53)*IF(N811&lt;0,-1,1)</f>
        <v>240946.49743184328</v>
      </c>
      <c r="U811" s="545">
        <f>'Foglio deposito bis'!$F$62*IF(ABS(O811)&lt;'Sollecitazioni nel paramento'!$G$58,ABS(O811)*'Sollecitazioni nel paramento'!$G$54,'Sollecitazioni nel paramento'!$G$53)*IF(O811&lt;0,-1,1)</f>
        <v>314705.62929873407</v>
      </c>
      <c r="V811" s="472">
        <f t="shared" si="57"/>
        <v>30299.393287649436</v>
      </c>
      <c r="W811" s="551"/>
      <c r="X811" s="551"/>
    </row>
    <row r="812" spans="1:24" x14ac:dyDescent="0.25">
      <c r="A812" s="545">
        <f t="shared" si="56"/>
        <v>19347.496650569665</v>
      </c>
      <c r="B812" s="3">
        <f t="shared" si="58"/>
        <v>3.1499999999999968</v>
      </c>
      <c r="C812" s="545">
        <f>'Foglio deposito bis'!$E$156/sezione!$B$247*B812</f>
        <v>18.110861436229371</v>
      </c>
      <c r="D812" s="603">
        <f>-'Sollecitazioni nel paramento'!$G$47*'Sollecitazioni nel paramento'!$G$41*IF(DATI!$G$211="dx",DATI!$E$61,DATI!$E$64*DATI!$E$63)*1000*C812^2*sezione!$AD$5*(1-sezione!$AD$6)</f>
        <v>-7297630.0081969257</v>
      </c>
      <c r="E812" s="545">
        <f>-'Foglio deposito bis'!$F$58*(C812-sezione!$AL$30)*IF(ABS(K812)&lt;'Sollecitazioni nel paramento'!$G$58,ABS(K812)*'Sollecitazioni nel paramento'!$G$54,'Sollecitazioni nel paramento'!$G$53)</f>
        <v>0</v>
      </c>
      <c r="F812" s="545">
        <f>-'Foglio deposito bis'!$F$59*(C812-sezione!$AM$30)*IF(ABS(L812)&lt;'Sollecitazioni nel paramento'!$G$58,ABS(L812)*'Sollecitazioni nel paramento'!$G$54,'Sollecitazioni nel paramento'!$G$53)</f>
        <v>6436888.5314908717</v>
      </c>
      <c r="G812" s="545">
        <f>-'Foglio deposito bis'!$F$60*(C812-sezione!$AN$30)*IF(ABS(M812)&lt;'Sollecitazioni nel paramento'!$G$58,ABS(M812)*'Sollecitazioni nel paramento'!$G$54,'Sollecitazioni nel paramento'!$G$53)</f>
        <v>0</v>
      </c>
      <c r="H812" s="545">
        <f>-'Foglio deposito bis'!$F$61*(C812-sezione!$AO$30)*IF(ABS(N812)&lt;'Sollecitazioni nel paramento'!$G$58,ABS(N812)*'Sollecitazioni nel paramento'!$G$54,'Sollecitazioni nel paramento'!$G$53)</f>
        <v>34187690.960562013</v>
      </c>
      <c r="I812" s="472">
        <f>-'Foglio deposito bis'!$F$62*(C812-sezione!$AP$30)*IF(ABS(O812)&lt;'Sollecitazioni nel paramento'!$G$58,ABS(O812)*'Sollecitazioni nel paramento'!$G$54,'Sollecitazioni nel paramento'!$G$53)</f>
        <v>115426376.64209028</v>
      </c>
      <c r="J812" s="472">
        <f t="shared" si="55"/>
        <v>148753326.12594622</v>
      </c>
      <c r="K812" s="550">
        <f>'Sollecitazioni nel paramento'!$G$60*(sezione!$AL$30-C812)/C812</f>
        <v>4.2301679156984146E-3</v>
      </c>
      <c r="L812" s="550">
        <f>'Sollecitazioni nel paramento'!$G$60*(sezione!$AM$30-C812)/C812</f>
        <v>8.0952518735476243E-3</v>
      </c>
      <c r="M812" s="551">
        <f>'Sollecitazioni nel paramento'!$G$60*(sezione!$AN$30-C812)/C812</f>
        <v>1.1960335831396831E-2</v>
      </c>
      <c r="N812" s="551">
        <f>'Sollecitazioni nel paramento'!$G$60*(sezione!$AO$30-C812)/C812</f>
        <v>2.7420671662793664E-2</v>
      </c>
      <c r="O812" s="551">
        <f>'Sollecitazioni nel paramento'!$G$60*(sezione!$AP$30-C812)/C812</f>
        <v>7.0880943195412716E-2</v>
      </c>
      <c r="P812" s="545">
        <f>-'Sollecitazioni nel paramento'!$G$47*'Sollecitazioni nel paramento'!$G$41*IF(DATI!$G$211="dx",DATI!$E$61,DATI!$E$64*DATI!$E$63)*1000*C812*sezione!$AD$5</f>
        <v>-689969.48813603027</v>
      </c>
      <c r="Q812" s="545">
        <f>'Foglio deposito bis'!$F$58*IF(ABS(K812)&lt;'Sollecitazioni nel paramento'!$G$58,ABS(K812)*'Sollecitazioni nel paramento'!$G$54,'Sollecitazioni nel paramento'!$G$53)*IF(K812&lt;0,-1,1)</f>
        <v>0</v>
      </c>
      <c r="R812" s="545">
        <f>'Foglio deposito bis'!$F$59*IF(ABS(L812)&lt;'Sollecitazioni nel paramento'!$G$58,ABS(L812)*'Sollecitazioni nel paramento'!$G$54,'Sollecitazioni nel paramento'!$G$53)*IF(L812&lt;0,-1,1)</f>
        <v>153664.85805602249</v>
      </c>
      <c r="S812" s="545">
        <f>'Foglio deposito bis'!$F$60*IF(ABS(M812)&lt;'Sollecitazioni nel paramento'!$G$58,ABS(M812)*'Sollecitazioni nel paramento'!$G$54,'Sollecitazioni nel paramento'!$G$53)*IF(M812&lt;0,-1,1)</f>
        <v>0</v>
      </c>
      <c r="T812" s="545">
        <f>'Foglio deposito bis'!$F$61*IF(ABS(N812)&lt;'Sollecitazioni nel paramento'!$G$58,ABS(N812)*'Sollecitazioni nel paramento'!$G$54,'Sollecitazioni nel paramento'!$G$53)*IF(N812&lt;0,-1,1)</f>
        <v>240946.49743184328</v>
      </c>
      <c r="U812" s="545">
        <f>'Foglio deposito bis'!$F$62*IF(ABS(O812)&lt;'Sollecitazioni nel paramento'!$G$58,ABS(O812)*'Sollecitazioni nel paramento'!$G$54,'Sollecitazioni nel paramento'!$G$53)*IF(O812&lt;0,-1,1)</f>
        <v>314705.62929873407</v>
      </c>
      <c r="V812" s="472">
        <f t="shared" si="57"/>
        <v>19347.496650569665</v>
      </c>
      <c r="W812" s="551"/>
      <c r="X812" s="551"/>
    </row>
    <row r="813" spans="1:24" x14ac:dyDescent="0.25">
      <c r="A813" s="545">
        <f t="shared" si="56"/>
        <v>8395.6000134898932</v>
      </c>
      <c r="B813" s="3">
        <f t="shared" si="58"/>
        <v>3.1999999999999966</v>
      </c>
      <c r="C813" s="545">
        <f>'Foglio deposito bis'!$E$156/sezione!$B$247*B813</f>
        <v>18.398335427280628</v>
      </c>
      <c r="D813" s="603">
        <f>-'Sollecitazioni nel paramento'!$G$47*'Sollecitazioni nel paramento'!$G$41*IF(DATI!$G$211="dx",DATI!$E$61,DATI!$E$64*DATI!$E$63)*1000*C813^2*sezione!$AD$5*(1-sezione!$AD$6)</f>
        <v>-7531139.4592024703</v>
      </c>
      <c r="E813" s="545">
        <f>-'Foglio deposito bis'!$F$58*(C813-sezione!$AL$30)*IF(ABS(K813)&lt;'Sollecitazioni nel paramento'!$G$58,ABS(K813)*'Sollecitazioni nel paramento'!$G$54,'Sollecitazioni nel paramento'!$G$53)</f>
        <v>0</v>
      </c>
      <c r="F813" s="545">
        <f>-'Foglio deposito bis'!$F$59*(C813-sezione!$AM$30)*IF(ABS(L813)&lt;'Sollecitazioni nel paramento'!$G$58,ABS(L813)*'Sollecitazioni nel paramento'!$G$54,'Sollecitazioni nel paramento'!$G$53)</f>
        <v>6392713.8814611817</v>
      </c>
      <c r="G813" s="545">
        <f>-'Foglio deposito bis'!$F$60*(C813-sezione!$AN$30)*IF(ABS(M813)&lt;'Sollecitazioni nel paramento'!$G$58,ABS(M813)*'Sollecitazioni nel paramento'!$G$54,'Sollecitazioni nel paramento'!$G$53)</f>
        <v>0</v>
      </c>
      <c r="H813" s="545">
        <f>-'Foglio deposito bis'!$F$61*(C813-sezione!$AO$30)*IF(ABS(N813)&lt;'Sollecitazioni nel paramento'!$G$58,ABS(N813)*'Sollecitazioni nel paramento'!$G$54,'Sollecitazioni nel paramento'!$G$53)</f>
        <v>34118425.109315455</v>
      </c>
      <c r="I813" s="472">
        <f>-'Foglio deposito bis'!$F$62*(C813-sezione!$AP$30)*IF(ABS(O813)&lt;'Sollecitazioni nel paramento'!$G$58,ABS(O813)*'Sollecitazioni nel paramento'!$G$54,'Sollecitazioni nel paramento'!$G$53)</f>
        <v>115335906.95882946</v>
      </c>
      <c r="J813" s="472">
        <f t="shared" ref="J813:J876" si="59">D813+E813+F813+G813+H813+I813</f>
        <v>148315906.49040362</v>
      </c>
      <c r="K813" s="550">
        <f>'Sollecitazioni nel paramento'!$G$60*(sezione!$AL$30-C813)/C813</f>
        <v>4.1093840420156286E-3</v>
      </c>
      <c r="L813" s="550">
        <f>'Sollecitazioni nel paramento'!$G$60*(sezione!$AM$30-C813)/C813</f>
        <v>7.9140760630234432E-3</v>
      </c>
      <c r="M813" s="551">
        <f>'Sollecitazioni nel paramento'!$G$60*(sezione!$AN$30-C813)/C813</f>
        <v>1.1718768084031257E-2</v>
      </c>
      <c r="N813" s="551">
        <f>'Sollecitazioni nel paramento'!$G$60*(sezione!$AO$30-C813)/C813</f>
        <v>2.693753616806251E-2</v>
      </c>
      <c r="O813" s="551">
        <f>'Sollecitazioni nel paramento'!$G$60*(sezione!$AP$30-C813)/C813</f>
        <v>6.9718740957984388E-2</v>
      </c>
      <c r="P813" s="545">
        <f>-'Sollecitazioni nel paramento'!$G$47*'Sollecitazioni nel paramento'!$G$41*IF(DATI!$G$211="dx",DATI!$E$61,DATI!$E$64*DATI!$E$63)*1000*C813*sezione!$AD$5</f>
        <v>-700921.38477310992</v>
      </c>
      <c r="Q813" s="545">
        <f>'Foglio deposito bis'!$F$58*IF(ABS(K813)&lt;'Sollecitazioni nel paramento'!$G$58,ABS(K813)*'Sollecitazioni nel paramento'!$G$54,'Sollecitazioni nel paramento'!$G$53)*IF(K813&lt;0,-1,1)</f>
        <v>0</v>
      </c>
      <c r="R813" s="545">
        <f>'Foglio deposito bis'!$F$59*IF(ABS(L813)&lt;'Sollecitazioni nel paramento'!$G$58,ABS(L813)*'Sollecitazioni nel paramento'!$G$54,'Sollecitazioni nel paramento'!$G$53)*IF(L813&lt;0,-1,1)</f>
        <v>153664.85805602249</v>
      </c>
      <c r="S813" s="545">
        <f>'Foglio deposito bis'!$F$60*IF(ABS(M813)&lt;'Sollecitazioni nel paramento'!$G$58,ABS(M813)*'Sollecitazioni nel paramento'!$G$54,'Sollecitazioni nel paramento'!$G$53)*IF(M813&lt;0,-1,1)</f>
        <v>0</v>
      </c>
      <c r="T813" s="545">
        <f>'Foglio deposito bis'!$F$61*IF(ABS(N813)&lt;'Sollecitazioni nel paramento'!$G$58,ABS(N813)*'Sollecitazioni nel paramento'!$G$54,'Sollecitazioni nel paramento'!$G$53)*IF(N813&lt;0,-1,1)</f>
        <v>240946.49743184328</v>
      </c>
      <c r="U813" s="545">
        <f>'Foglio deposito bis'!$F$62*IF(ABS(O813)&lt;'Sollecitazioni nel paramento'!$G$58,ABS(O813)*'Sollecitazioni nel paramento'!$G$54,'Sollecitazioni nel paramento'!$G$53)*IF(O813&lt;0,-1,1)</f>
        <v>314705.62929873407</v>
      </c>
      <c r="V813" s="472">
        <f t="shared" si="57"/>
        <v>8395.6000134898932</v>
      </c>
      <c r="W813" s="551"/>
      <c r="X813" s="551"/>
    </row>
    <row r="814" spans="1:24" x14ac:dyDescent="0.25">
      <c r="A814" s="545">
        <f t="shared" ref="A814:A877" si="60">ABS(V814)</f>
        <v>2556.2966235898784</v>
      </c>
      <c r="B814" s="3">
        <f t="shared" si="58"/>
        <v>3.2499999999999964</v>
      </c>
      <c r="C814" s="545">
        <f>'Foglio deposito bis'!$E$156/sezione!$B$247*B814</f>
        <v>18.685809418331889</v>
      </c>
      <c r="D814" s="603">
        <f>-'Sollecitazioni nel paramento'!$G$47*'Sollecitazioni nel paramento'!$G$41*IF(DATI!$G$211="dx",DATI!$E$61,DATI!$E$64*DATI!$E$63)*1000*C814^2*sezione!$AD$5*(1-sezione!$AD$6)</f>
        <v>-7768326.2243970782</v>
      </c>
      <c r="E814" s="545">
        <f>-'Foglio deposito bis'!$F$58*(C814-sezione!$AL$30)*IF(ABS(K814)&lt;'Sollecitazioni nel paramento'!$G$58,ABS(K814)*'Sollecitazioni nel paramento'!$G$54,'Sollecitazioni nel paramento'!$G$53)</f>
        <v>0</v>
      </c>
      <c r="F814" s="545">
        <f>-'Foglio deposito bis'!$F$59*(C814-sezione!$AM$30)*IF(ABS(L814)&lt;'Sollecitazioni nel paramento'!$G$58,ABS(L814)*'Sollecitazioni nel paramento'!$G$54,'Sollecitazioni nel paramento'!$G$53)</f>
        <v>6348539.2314314926</v>
      </c>
      <c r="G814" s="545">
        <f>-'Foglio deposito bis'!$F$60*(C814-sezione!$AN$30)*IF(ABS(M814)&lt;'Sollecitazioni nel paramento'!$G$58,ABS(M814)*'Sollecitazioni nel paramento'!$G$54,'Sollecitazioni nel paramento'!$G$53)</f>
        <v>0</v>
      </c>
      <c r="H814" s="545">
        <f>-'Foglio deposito bis'!$F$61*(C814-sezione!$AO$30)*IF(ABS(N814)&lt;'Sollecitazioni nel paramento'!$G$58,ABS(N814)*'Sollecitazioni nel paramento'!$G$54,'Sollecitazioni nel paramento'!$G$53)</f>
        <v>34049159.258068904</v>
      </c>
      <c r="I814" s="472">
        <f>-'Foglio deposito bis'!$F$62*(C814-sezione!$AP$30)*IF(ABS(O814)&lt;'Sollecitazioni nel paramento'!$G$58,ABS(O814)*'Sollecitazioni nel paramento'!$G$54,'Sollecitazioni nel paramento'!$G$53)</f>
        <v>115245437.27556868</v>
      </c>
      <c r="J814" s="472">
        <f t="shared" si="59"/>
        <v>147874809.540672</v>
      </c>
      <c r="K814" s="550">
        <f>'Sollecitazioni nel paramento'!$G$60*(sezione!$AL$30-C814)/C814</f>
        <v>3.9923165952153884E-3</v>
      </c>
      <c r="L814" s="550">
        <f>'Sollecitazioni nel paramento'!$G$60*(sezione!$AM$30-C814)/C814</f>
        <v>7.7384748928230824E-3</v>
      </c>
      <c r="M814" s="551">
        <f>'Sollecitazioni nel paramento'!$G$60*(sezione!$AN$30-C814)/C814</f>
        <v>1.1484633190430776E-2</v>
      </c>
      <c r="N814" s="551">
        <f>'Sollecitazioni nel paramento'!$G$60*(sezione!$AO$30-C814)/C814</f>
        <v>2.6469266380861549E-2</v>
      </c>
      <c r="O814" s="551">
        <f>'Sollecitazioni nel paramento'!$G$60*(sezione!$AP$30-C814)/C814</f>
        <v>6.8592298789400027E-2</v>
      </c>
      <c r="P814" s="545">
        <f>-'Sollecitazioni nel paramento'!$G$47*'Sollecitazioni nel paramento'!$G$41*IF(DATI!$G$211="dx",DATI!$E$61,DATI!$E$64*DATI!$E$63)*1000*C814*sezione!$AD$5</f>
        <v>-711873.28141018981</v>
      </c>
      <c r="Q814" s="545">
        <f>'Foglio deposito bis'!$F$58*IF(ABS(K814)&lt;'Sollecitazioni nel paramento'!$G$58,ABS(K814)*'Sollecitazioni nel paramento'!$G$54,'Sollecitazioni nel paramento'!$G$53)*IF(K814&lt;0,-1,1)</f>
        <v>0</v>
      </c>
      <c r="R814" s="545">
        <f>'Foglio deposito bis'!$F$59*IF(ABS(L814)&lt;'Sollecitazioni nel paramento'!$G$58,ABS(L814)*'Sollecitazioni nel paramento'!$G$54,'Sollecitazioni nel paramento'!$G$53)*IF(L814&lt;0,-1,1)</f>
        <v>153664.85805602249</v>
      </c>
      <c r="S814" s="545">
        <f>'Foglio deposito bis'!$F$60*IF(ABS(M814)&lt;'Sollecitazioni nel paramento'!$G$58,ABS(M814)*'Sollecitazioni nel paramento'!$G$54,'Sollecitazioni nel paramento'!$G$53)*IF(M814&lt;0,-1,1)</f>
        <v>0</v>
      </c>
      <c r="T814" s="545">
        <f>'Foglio deposito bis'!$F$61*IF(ABS(N814)&lt;'Sollecitazioni nel paramento'!$G$58,ABS(N814)*'Sollecitazioni nel paramento'!$G$54,'Sollecitazioni nel paramento'!$G$53)*IF(N814&lt;0,-1,1)</f>
        <v>240946.49743184328</v>
      </c>
      <c r="U814" s="545">
        <f>'Foglio deposito bis'!$F$62*IF(ABS(O814)&lt;'Sollecitazioni nel paramento'!$G$58,ABS(O814)*'Sollecitazioni nel paramento'!$G$54,'Sollecitazioni nel paramento'!$G$53)*IF(O814&lt;0,-1,1)</f>
        <v>314705.62929873407</v>
      </c>
      <c r="V814" s="472">
        <f t="shared" ref="V814:V877" si="61">P814+Q814+R814+S814+T814+U814</f>
        <v>-2556.2966235898784</v>
      </c>
      <c r="W814" s="551"/>
      <c r="X814" s="551"/>
    </row>
    <row r="815" spans="1:24" x14ac:dyDescent="0.25">
      <c r="A815" s="545">
        <f t="shared" si="60"/>
        <v>13508.19326066965</v>
      </c>
      <c r="B815" s="3">
        <f t="shared" ref="B815:B851" si="62">B814+0.05</f>
        <v>3.2999999999999963</v>
      </c>
      <c r="C815" s="545">
        <f>'Foglio deposito bis'!$E$156/sezione!$B$247*B815</f>
        <v>18.973283409383146</v>
      </c>
      <c r="D815" s="603">
        <f>-'Sollecitazioni nel paramento'!$G$47*'Sollecitazioni nel paramento'!$G$41*IF(DATI!$G$211="dx",DATI!$E$61,DATI!$E$64*DATI!$E$63)*1000*C815^2*sezione!$AD$5*(1-sezione!$AD$6)</f>
        <v>-8009190.3037807494</v>
      </c>
      <c r="E815" s="545">
        <f>-'Foglio deposito bis'!$F$58*(C815-sezione!$AL$30)*IF(ABS(K815)&lt;'Sollecitazioni nel paramento'!$G$58,ABS(K815)*'Sollecitazioni nel paramento'!$G$54,'Sollecitazioni nel paramento'!$G$53)</f>
        <v>0</v>
      </c>
      <c r="F815" s="545">
        <f>-'Foglio deposito bis'!$F$59*(C815-sezione!$AM$30)*IF(ABS(L815)&lt;'Sollecitazioni nel paramento'!$G$58,ABS(L815)*'Sollecitazioni nel paramento'!$G$54,'Sollecitazioni nel paramento'!$G$53)</f>
        <v>6304364.5814018026</v>
      </c>
      <c r="G815" s="545">
        <f>-'Foglio deposito bis'!$F$60*(C815-sezione!$AN$30)*IF(ABS(M815)&lt;'Sollecitazioni nel paramento'!$G$58,ABS(M815)*'Sollecitazioni nel paramento'!$G$54,'Sollecitazioni nel paramento'!$G$53)</f>
        <v>0</v>
      </c>
      <c r="H815" s="545">
        <f>-'Foglio deposito bis'!$F$61*(C815-sezione!$AO$30)*IF(ABS(N815)&lt;'Sollecitazioni nel paramento'!$G$58,ABS(N815)*'Sollecitazioni nel paramento'!$G$54,'Sollecitazioni nel paramento'!$G$53)</f>
        <v>33979893.406822354</v>
      </c>
      <c r="I815" s="472">
        <f>-'Foglio deposito bis'!$F$62*(C815-sezione!$AP$30)*IF(ABS(O815)&lt;'Sollecitazioni nel paramento'!$G$58,ABS(O815)*'Sollecitazioni nel paramento'!$G$54,'Sollecitazioni nel paramento'!$G$53)</f>
        <v>115154967.59230787</v>
      </c>
      <c r="J815" s="472">
        <f t="shared" si="59"/>
        <v>147430035.27675128</v>
      </c>
      <c r="K815" s="550">
        <f>'Sollecitazioni nel paramento'!$G$60*(sezione!$AL$30-C815)/C815</f>
        <v>3.8787966468030342E-3</v>
      </c>
      <c r="L815" s="550">
        <f>'Sollecitazioni nel paramento'!$G$60*(sezione!$AM$30-C815)/C815</f>
        <v>7.5681949702045524E-3</v>
      </c>
      <c r="M815" s="551">
        <f>'Sollecitazioni nel paramento'!$G$60*(sezione!$AN$30-C815)/C815</f>
        <v>1.125759329360607E-2</v>
      </c>
      <c r="N815" s="551">
        <f>'Sollecitazioni nel paramento'!$G$60*(sezione!$AO$30-C815)/C815</f>
        <v>2.6015186587212136E-2</v>
      </c>
      <c r="O815" s="551">
        <f>'Sollecitazioni nel paramento'!$G$60*(sezione!$AP$30-C815)/C815</f>
        <v>6.7499991231984871E-2</v>
      </c>
      <c r="P815" s="545">
        <f>-'Sollecitazioni nel paramento'!$G$47*'Sollecitazioni nel paramento'!$G$41*IF(DATI!$G$211="dx",DATI!$E$61,DATI!$E$64*DATI!$E$63)*1000*C815*sezione!$AD$5</f>
        <v>-722825.17804726958</v>
      </c>
      <c r="Q815" s="545">
        <f>'Foglio deposito bis'!$F$58*IF(ABS(K815)&lt;'Sollecitazioni nel paramento'!$G$58,ABS(K815)*'Sollecitazioni nel paramento'!$G$54,'Sollecitazioni nel paramento'!$G$53)*IF(K815&lt;0,-1,1)</f>
        <v>0</v>
      </c>
      <c r="R815" s="545">
        <f>'Foglio deposito bis'!$F$59*IF(ABS(L815)&lt;'Sollecitazioni nel paramento'!$G$58,ABS(L815)*'Sollecitazioni nel paramento'!$G$54,'Sollecitazioni nel paramento'!$G$53)*IF(L815&lt;0,-1,1)</f>
        <v>153664.85805602249</v>
      </c>
      <c r="S815" s="545">
        <f>'Foglio deposito bis'!$F$60*IF(ABS(M815)&lt;'Sollecitazioni nel paramento'!$G$58,ABS(M815)*'Sollecitazioni nel paramento'!$G$54,'Sollecitazioni nel paramento'!$G$53)*IF(M815&lt;0,-1,1)</f>
        <v>0</v>
      </c>
      <c r="T815" s="545">
        <f>'Foglio deposito bis'!$F$61*IF(ABS(N815)&lt;'Sollecitazioni nel paramento'!$G$58,ABS(N815)*'Sollecitazioni nel paramento'!$G$54,'Sollecitazioni nel paramento'!$G$53)*IF(N815&lt;0,-1,1)</f>
        <v>240946.49743184328</v>
      </c>
      <c r="U815" s="545">
        <f>'Foglio deposito bis'!$F$62*IF(ABS(O815)&lt;'Sollecitazioni nel paramento'!$G$58,ABS(O815)*'Sollecitazioni nel paramento'!$G$54,'Sollecitazioni nel paramento'!$G$53)*IF(O815&lt;0,-1,1)</f>
        <v>314705.62929873407</v>
      </c>
      <c r="V815" s="472">
        <f t="shared" si="61"/>
        <v>-13508.19326066965</v>
      </c>
      <c r="W815" s="551"/>
      <c r="X815" s="551"/>
    </row>
    <row r="816" spans="1:24" x14ac:dyDescent="0.25">
      <c r="A816" s="545">
        <f t="shared" si="60"/>
        <v>24460.089897749654</v>
      </c>
      <c r="B816" s="3">
        <f t="shared" si="62"/>
        <v>3.3499999999999961</v>
      </c>
      <c r="C816" s="545">
        <f>'Foglio deposito bis'!$E$156/sezione!$B$247*B816</f>
        <v>19.260757400434407</v>
      </c>
      <c r="D816" s="603">
        <f>-'Sollecitazioni nel paramento'!$G$47*'Sollecitazioni nel paramento'!$G$41*IF(DATI!$G$211="dx",DATI!$E$61,DATI!$E$64*DATI!$E$63)*1000*C816^2*sezione!$AD$5*(1-sezione!$AD$6)</f>
        <v>-8253731.6973534869</v>
      </c>
      <c r="E816" s="545">
        <f>-'Foglio deposito bis'!$F$58*(C816-sezione!$AL$30)*IF(ABS(K816)&lt;'Sollecitazioni nel paramento'!$G$58,ABS(K816)*'Sollecitazioni nel paramento'!$G$54,'Sollecitazioni nel paramento'!$G$53)</f>
        <v>0</v>
      </c>
      <c r="F816" s="545">
        <f>-'Foglio deposito bis'!$F$59*(C816-sezione!$AM$30)*IF(ABS(L816)&lt;'Sollecitazioni nel paramento'!$G$58,ABS(L816)*'Sollecitazioni nel paramento'!$G$54,'Sollecitazioni nel paramento'!$G$53)</f>
        <v>6260189.9313721117</v>
      </c>
      <c r="G816" s="545">
        <f>-'Foglio deposito bis'!$F$60*(C816-sezione!$AN$30)*IF(ABS(M816)&lt;'Sollecitazioni nel paramento'!$G$58,ABS(M816)*'Sollecitazioni nel paramento'!$G$54,'Sollecitazioni nel paramento'!$G$53)</f>
        <v>0</v>
      </c>
      <c r="H816" s="545">
        <f>-'Foglio deposito bis'!$F$61*(C816-sezione!$AO$30)*IF(ABS(N816)&lt;'Sollecitazioni nel paramento'!$G$58,ABS(N816)*'Sollecitazioni nel paramento'!$G$54,'Sollecitazioni nel paramento'!$G$53)</f>
        <v>33910627.555575795</v>
      </c>
      <c r="I816" s="472">
        <f>-'Foglio deposito bis'!$F$62*(C816-sezione!$AP$30)*IF(ABS(O816)&lt;'Sollecitazioni nel paramento'!$G$58,ABS(O816)*'Sollecitazioni nel paramento'!$G$54,'Sollecitazioni nel paramento'!$G$53)</f>
        <v>115064497.90904707</v>
      </c>
      <c r="J816" s="472">
        <f t="shared" si="59"/>
        <v>146981583.69864148</v>
      </c>
      <c r="K816" s="550">
        <f>'Sollecitazioni nel paramento'!$G$60*(sezione!$AL$30-C816)/C816</f>
        <v>3.7686653535671678E-3</v>
      </c>
      <c r="L816" s="550">
        <f>'Sollecitazioni nel paramento'!$G$60*(sezione!$AM$30-C816)/C816</f>
        <v>7.4029980303507523E-3</v>
      </c>
      <c r="M816" s="551">
        <f>'Sollecitazioni nel paramento'!$G$60*(sezione!$AN$30-C816)/C816</f>
        <v>1.1037330707134335E-2</v>
      </c>
      <c r="N816" s="551">
        <f>'Sollecitazioni nel paramento'!$G$60*(sezione!$AO$30-C816)/C816</f>
        <v>2.557466141426867E-2</v>
      </c>
      <c r="O816" s="551">
        <f>'Sollecitazioni nel paramento'!$G$60*(sezione!$AP$30-C816)/C816</f>
        <v>6.644028987031346E-2</v>
      </c>
      <c r="P816" s="545">
        <f>-'Sollecitazioni nel paramento'!$G$47*'Sollecitazioni nel paramento'!$G$41*IF(DATI!$G$211="dx",DATI!$E$61,DATI!$E$64*DATI!$E$63)*1000*C816*sezione!$AD$5</f>
        <v>-733777.07468434947</v>
      </c>
      <c r="Q816" s="545">
        <f>'Foglio deposito bis'!$F$58*IF(ABS(K816)&lt;'Sollecitazioni nel paramento'!$G$58,ABS(K816)*'Sollecitazioni nel paramento'!$G$54,'Sollecitazioni nel paramento'!$G$53)*IF(K816&lt;0,-1,1)</f>
        <v>0</v>
      </c>
      <c r="R816" s="545">
        <f>'Foglio deposito bis'!$F$59*IF(ABS(L816)&lt;'Sollecitazioni nel paramento'!$G$58,ABS(L816)*'Sollecitazioni nel paramento'!$G$54,'Sollecitazioni nel paramento'!$G$53)*IF(L816&lt;0,-1,1)</f>
        <v>153664.85805602249</v>
      </c>
      <c r="S816" s="545">
        <f>'Foglio deposito bis'!$F$60*IF(ABS(M816)&lt;'Sollecitazioni nel paramento'!$G$58,ABS(M816)*'Sollecitazioni nel paramento'!$G$54,'Sollecitazioni nel paramento'!$G$53)*IF(M816&lt;0,-1,1)</f>
        <v>0</v>
      </c>
      <c r="T816" s="545">
        <f>'Foglio deposito bis'!$F$61*IF(ABS(N816)&lt;'Sollecitazioni nel paramento'!$G$58,ABS(N816)*'Sollecitazioni nel paramento'!$G$54,'Sollecitazioni nel paramento'!$G$53)*IF(N816&lt;0,-1,1)</f>
        <v>240946.49743184328</v>
      </c>
      <c r="U816" s="545">
        <f>'Foglio deposito bis'!$F$62*IF(ABS(O816)&lt;'Sollecitazioni nel paramento'!$G$58,ABS(O816)*'Sollecitazioni nel paramento'!$G$54,'Sollecitazioni nel paramento'!$G$53)*IF(O816&lt;0,-1,1)</f>
        <v>314705.62929873407</v>
      </c>
      <c r="V816" s="472">
        <f t="shared" si="61"/>
        <v>-24460.089897749654</v>
      </c>
      <c r="W816" s="551"/>
      <c r="X816" s="551"/>
    </row>
    <row r="817" spans="1:24" x14ac:dyDescent="0.25">
      <c r="A817" s="545">
        <f t="shared" si="60"/>
        <v>35411.986534829426</v>
      </c>
      <c r="B817" s="3">
        <f t="shared" si="62"/>
        <v>3.3999999999999959</v>
      </c>
      <c r="C817" s="545">
        <f>'Foglio deposito bis'!$E$156/sezione!$B$247*B817</f>
        <v>19.548231391485665</v>
      </c>
      <c r="D817" s="603">
        <f>-'Sollecitazioni nel paramento'!$G$47*'Sollecitazioni nel paramento'!$G$41*IF(DATI!$G$211="dx",DATI!$E$61,DATI!$E$64*DATI!$E$63)*1000*C817^2*sezione!$AD$5*(1-sezione!$AD$6)</f>
        <v>-8501950.4051152859</v>
      </c>
      <c r="E817" s="545">
        <f>-'Foglio deposito bis'!$F$58*(C817-sezione!$AL$30)*IF(ABS(K817)&lt;'Sollecitazioni nel paramento'!$G$58,ABS(K817)*'Sollecitazioni nel paramento'!$G$54,'Sollecitazioni nel paramento'!$G$53)</f>
        <v>0</v>
      </c>
      <c r="F817" s="545">
        <f>-'Foglio deposito bis'!$F$59*(C817-sezione!$AM$30)*IF(ABS(L817)&lt;'Sollecitazioni nel paramento'!$G$58,ABS(L817)*'Sollecitazioni nel paramento'!$G$54,'Sollecitazioni nel paramento'!$G$53)</f>
        <v>6216015.2813424217</v>
      </c>
      <c r="G817" s="545">
        <f>-'Foglio deposito bis'!$F$60*(C817-sezione!$AN$30)*IF(ABS(M817)&lt;'Sollecitazioni nel paramento'!$G$58,ABS(M817)*'Sollecitazioni nel paramento'!$G$54,'Sollecitazioni nel paramento'!$G$53)</f>
        <v>0</v>
      </c>
      <c r="H817" s="545">
        <f>-'Foglio deposito bis'!$F$61*(C817-sezione!$AO$30)*IF(ABS(N817)&lt;'Sollecitazioni nel paramento'!$G$58,ABS(N817)*'Sollecitazioni nel paramento'!$G$54,'Sollecitazioni nel paramento'!$G$53)</f>
        <v>33841361.704329245</v>
      </c>
      <c r="I817" s="472">
        <f>-'Foglio deposito bis'!$F$62*(C817-sezione!$AP$30)*IF(ABS(O817)&lt;'Sollecitazioni nel paramento'!$G$58,ABS(O817)*'Sollecitazioni nel paramento'!$G$54,'Sollecitazioni nel paramento'!$G$53)</f>
        <v>114974028.22578625</v>
      </c>
      <c r="J817" s="472">
        <f t="shared" si="59"/>
        <v>146529454.80634263</v>
      </c>
      <c r="K817" s="550">
        <f>'Sollecitazioni nel paramento'!$G$60*(sezione!$AL$30-C817)/C817</f>
        <v>3.6617732160147101E-3</v>
      </c>
      <c r="L817" s="550">
        <f>'Sollecitazioni nel paramento'!$G$60*(sezione!$AM$30-C817)/C817</f>
        <v>7.2426598240220644E-3</v>
      </c>
      <c r="M817" s="551">
        <f>'Sollecitazioni nel paramento'!$G$60*(sezione!$AN$30-C817)/C817</f>
        <v>1.0823546432029421E-2</v>
      </c>
      <c r="N817" s="551">
        <f>'Sollecitazioni nel paramento'!$G$60*(sezione!$AO$30-C817)/C817</f>
        <v>2.5147092864058841E-2</v>
      </c>
      <c r="O817" s="551">
        <f>'Sollecitazioni nel paramento'!$G$60*(sezione!$AP$30-C817)/C817</f>
        <v>6.5411756195750029E-2</v>
      </c>
      <c r="P817" s="545">
        <f>-'Sollecitazioni nel paramento'!$G$47*'Sollecitazioni nel paramento'!$G$41*IF(DATI!$G$211="dx",DATI!$E$61,DATI!$E$64*DATI!$E$63)*1000*C817*sezione!$AD$5</f>
        <v>-744728.97132142924</v>
      </c>
      <c r="Q817" s="545">
        <f>'Foglio deposito bis'!$F$58*IF(ABS(K817)&lt;'Sollecitazioni nel paramento'!$G$58,ABS(K817)*'Sollecitazioni nel paramento'!$G$54,'Sollecitazioni nel paramento'!$G$53)*IF(K817&lt;0,-1,1)</f>
        <v>0</v>
      </c>
      <c r="R817" s="545">
        <f>'Foglio deposito bis'!$F$59*IF(ABS(L817)&lt;'Sollecitazioni nel paramento'!$G$58,ABS(L817)*'Sollecitazioni nel paramento'!$G$54,'Sollecitazioni nel paramento'!$G$53)*IF(L817&lt;0,-1,1)</f>
        <v>153664.85805602249</v>
      </c>
      <c r="S817" s="545">
        <f>'Foglio deposito bis'!$F$60*IF(ABS(M817)&lt;'Sollecitazioni nel paramento'!$G$58,ABS(M817)*'Sollecitazioni nel paramento'!$G$54,'Sollecitazioni nel paramento'!$G$53)*IF(M817&lt;0,-1,1)</f>
        <v>0</v>
      </c>
      <c r="T817" s="545">
        <f>'Foglio deposito bis'!$F$61*IF(ABS(N817)&lt;'Sollecitazioni nel paramento'!$G$58,ABS(N817)*'Sollecitazioni nel paramento'!$G$54,'Sollecitazioni nel paramento'!$G$53)*IF(N817&lt;0,-1,1)</f>
        <v>240946.49743184328</v>
      </c>
      <c r="U817" s="545">
        <f>'Foglio deposito bis'!$F$62*IF(ABS(O817)&lt;'Sollecitazioni nel paramento'!$G$58,ABS(O817)*'Sollecitazioni nel paramento'!$G$54,'Sollecitazioni nel paramento'!$G$53)*IF(O817&lt;0,-1,1)</f>
        <v>314705.62929873407</v>
      </c>
      <c r="V817" s="472">
        <f t="shared" si="61"/>
        <v>-35411.986534829426</v>
      </c>
      <c r="W817" s="551"/>
      <c r="X817" s="551"/>
    </row>
    <row r="818" spans="1:24" x14ac:dyDescent="0.25">
      <c r="A818" s="545">
        <f t="shared" si="60"/>
        <v>46363.883171909198</v>
      </c>
      <c r="B818" s="3">
        <f t="shared" si="62"/>
        <v>3.4499999999999957</v>
      </c>
      <c r="C818" s="545">
        <f>'Foglio deposito bis'!$E$156/sezione!$B$247*B818</f>
        <v>19.835705382536926</v>
      </c>
      <c r="D818" s="603">
        <f>-'Sollecitazioni nel paramento'!$G$47*'Sollecitazioni nel paramento'!$G$41*IF(DATI!$G$211="dx",DATI!$E$61,DATI!$E$64*DATI!$E$63)*1000*C818^2*sezione!$AD$5*(1-sezione!$AD$6)</f>
        <v>-8753846.4270661492</v>
      </c>
      <c r="E818" s="545">
        <f>-'Foglio deposito bis'!$F$58*(C818-sezione!$AL$30)*IF(ABS(K818)&lt;'Sollecitazioni nel paramento'!$G$58,ABS(K818)*'Sollecitazioni nel paramento'!$G$54,'Sollecitazioni nel paramento'!$G$53)</f>
        <v>0</v>
      </c>
      <c r="F818" s="545">
        <f>-'Foglio deposito bis'!$F$59*(C818-sezione!$AM$30)*IF(ABS(L818)&lt;'Sollecitazioni nel paramento'!$G$58,ABS(L818)*'Sollecitazioni nel paramento'!$G$54,'Sollecitazioni nel paramento'!$G$53)</f>
        <v>6171840.6313127307</v>
      </c>
      <c r="G818" s="545">
        <f>-'Foglio deposito bis'!$F$60*(C818-sezione!$AN$30)*IF(ABS(M818)&lt;'Sollecitazioni nel paramento'!$G$58,ABS(M818)*'Sollecitazioni nel paramento'!$G$54,'Sollecitazioni nel paramento'!$G$53)</f>
        <v>0</v>
      </c>
      <c r="H818" s="545">
        <f>-'Foglio deposito bis'!$F$61*(C818-sezione!$AO$30)*IF(ABS(N818)&lt;'Sollecitazioni nel paramento'!$G$58,ABS(N818)*'Sollecitazioni nel paramento'!$G$54,'Sollecitazioni nel paramento'!$G$53)</f>
        <v>33772095.853082687</v>
      </c>
      <c r="I818" s="472">
        <f>-'Foglio deposito bis'!$F$62*(C818-sezione!$AP$30)*IF(ABS(O818)&lt;'Sollecitazioni nel paramento'!$G$58,ABS(O818)*'Sollecitazioni nel paramento'!$G$54,'Sollecitazioni nel paramento'!$G$53)</f>
        <v>114883558.54252547</v>
      </c>
      <c r="J818" s="472">
        <f t="shared" si="59"/>
        <v>146073648.59985474</v>
      </c>
      <c r="K818" s="550">
        <f>'Sollecitazioni nel paramento'!$G$60*(sezione!$AL$30-C818)/C818</f>
        <v>3.5579794012898592E-3</v>
      </c>
      <c r="L818" s="550">
        <f>'Sollecitazioni nel paramento'!$G$60*(sezione!$AM$30-C818)/C818</f>
        <v>7.0869691019347873E-3</v>
      </c>
      <c r="M818" s="551">
        <f>'Sollecitazioni nel paramento'!$G$60*(sezione!$AN$30-C818)/C818</f>
        <v>1.0615958802579718E-2</v>
      </c>
      <c r="N818" s="551">
        <f>'Sollecitazioni nel paramento'!$G$60*(sezione!$AO$30-C818)/C818</f>
        <v>2.4731917605159436E-2</v>
      </c>
      <c r="O818" s="551">
        <f>'Sollecitazioni nel paramento'!$G$60*(sezione!$AP$30-C818)/C818</f>
        <v>6.4413035091463802E-2</v>
      </c>
      <c r="P818" s="545">
        <f>-'Sollecitazioni nel paramento'!$G$47*'Sollecitazioni nel paramento'!$G$41*IF(DATI!$G$211="dx",DATI!$E$61,DATI!$E$64*DATI!$E$63)*1000*C818*sezione!$AD$5</f>
        <v>-755680.86795850913</v>
      </c>
      <c r="Q818" s="545">
        <f>'Foglio deposito bis'!$F$58*IF(ABS(K818)&lt;'Sollecitazioni nel paramento'!$G$58,ABS(K818)*'Sollecitazioni nel paramento'!$G$54,'Sollecitazioni nel paramento'!$G$53)*IF(K818&lt;0,-1,1)</f>
        <v>0</v>
      </c>
      <c r="R818" s="545">
        <f>'Foglio deposito bis'!$F$59*IF(ABS(L818)&lt;'Sollecitazioni nel paramento'!$G$58,ABS(L818)*'Sollecitazioni nel paramento'!$G$54,'Sollecitazioni nel paramento'!$G$53)*IF(L818&lt;0,-1,1)</f>
        <v>153664.85805602249</v>
      </c>
      <c r="S818" s="545">
        <f>'Foglio deposito bis'!$F$60*IF(ABS(M818)&lt;'Sollecitazioni nel paramento'!$G$58,ABS(M818)*'Sollecitazioni nel paramento'!$G$54,'Sollecitazioni nel paramento'!$G$53)*IF(M818&lt;0,-1,1)</f>
        <v>0</v>
      </c>
      <c r="T818" s="545">
        <f>'Foglio deposito bis'!$F$61*IF(ABS(N818)&lt;'Sollecitazioni nel paramento'!$G$58,ABS(N818)*'Sollecitazioni nel paramento'!$G$54,'Sollecitazioni nel paramento'!$G$53)*IF(N818&lt;0,-1,1)</f>
        <v>240946.49743184328</v>
      </c>
      <c r="U818" s="545">
        <f>'Foglio deposito bis'!$F$62*IF(ABS(O818)&lt;'Sollecitazioni nel paramento'!$G$58,ABS(O818)*'Sollecitazioni nel paramento'!$G$54,'Sollecitazioni nel paramento'!$G$53)*IF(O818&lt;0,-1,1)</f>
        <v>314705.62929873407</v>
      </c>
      <c r="V818" s="472">
        <f t="shared" si="61"/>
        <v>-46363.883171909198</v>
      </c>
      <c r="W818" s="551"/>
      <c r="X818" s="551"/>
    </row>
    <row r="819" spans="1:24" x14ac:dyDescent="0.25">
      <c r="A819" s="545">
        <f t="shared" si="60"/>
        <v>57315.779808988969</v>
      </c>
      <c r="B819" s="3">
        <f t="shared" si="62"/>
        <v>3.4999999999999956</v>
      </c>
      <c r="C819" s="545">
        <f>'Foglio deposito bis'!$E$156/sezione!$B$247*B819</f>
        <v>20.123179373588183</v>
      </c>
      <c r="D819" s="603">
        <f>-'Sollecitazioni nel paramento'!$G$47*'Sollecitazioni nel paramento'!$G$41*IF(DATI!$G$211="dx",DATI!$E$61,DATI!$E$64*DATI!$E$63)*1000*C819^2*sezione!$AD$5*(1-sezione!$AD$6)</f>
        <v>-9009419.7632060759</v>
      </c>
      <c r="E819" s="545">
        <f>-'Foglio deposito bis'!$F$58*(C819-sezione!$AL$30)*IF(ABS(K819)&lt;'Sollecitazioni nel paramento'!$G$58,ABS(K819)*'Sollecitazioni nel paramento'!$G$54,'Sollecitazioni nel paramento'!$G$53)</f>
        <v>0</v>
      </c>
      <c r="F819" s="545">
        <f>-'Foglio deposito bis'!$F$59*(C819-sezione!$AM$30)*IF(ABS(L819)&lt;'Sollecitazioni nel paramento'!$G$58,ABS(L819)*'Sollecitazioni nel paramento'!$G$54,'Sollecitazioni nel paramento'!$G$53)</f>
        <v>6127665.9812830407</v>
      </c>
      <c r="G819" s="545">
        <f>-'Foglio deposito bis'!$F$60*(C819-sezione!$AN$30)*IF(ABS(M819)&lt;'Sollecitazioni nel paramento'!$G$58,ABS(M819)*'Sollecitazioni nel paramento'!$G$54,'Sollecitazioni nel paramento'!$G$53)</f>
        <v>0</v>
      </c>
      <c r="H819" s="545">
        <f>-'Foglio deposito bis'!$F$61*(C819-sezione!$AO$30)*IF(ABS(N819)&lt;'Sollecitazioni nel paramento'!$G$58,ABS(N819)*'Sollecitazioni nel paramento'!$G$54,'Sollecitazioni nel paramento'!$G$53)</f>
        <v>33702830.001836136</v>
      </c>
      <c r="I819" s="472">
        <f>-'Foglio deposito bis'!$F$62*(C819-sezione!$AP$30)*IF(ABS(O819)&lt;'Sollecitazioni nel paramento'!$G$58,ABS(O819)*'Sollecitazioni nel paramento'!$G$54,'Sollecitazioni nel paramento'!$G$53)</f>
        <v>114793088.85926464</v>
      </c>
      <c r="J819" s="472">
        <f t="shared" si="59"/>
        <v>145614165.07917774</v>
      </c>
      <c r="K819" s="550">
        <f>'Sollecitazioni nel paramento'!$G$60*(sezione!$AL$30-C819)/C819</f>
        <v>3.4571511241285758E-3</v>
      </c>
      <c r="L819" s="550">
        <f>'Sollecitazioni nel paramento'!$G$60*(sezione!$AM$30-C819)/C819</f>
        <v>6.9357266861928635E-3</v>
      </c>
      <c r="M819" s="551">
        <f>'Sollecitazioni nel paramento'!$G$60*(sezione!$AN$30-C819)/C819</f>
        <v>1.0414302248257151E-2</v>
      </c>
      <c r="N819" s="551">
        <f>'Sollecitazioni nel paramento'!$G$60*(sezione!$AO$30-C819)/C819</f>
        <v>2.4328604496514306E-2</v>
      </c>
      <c r="O819" s="551">
        <f>'Sollecitazioni nel paramento'!$G$60*(sezione!$AP$30-C819)/C819</f>
        <v>6.3442848875871469E-2</v>
      </c>
      <c r="P819" s="545">
        <f>-'Sollecitazioni nel paramento'!$G$47*'Sollecitazioni nel paramento'!$G$41*IF(DATI!$G$211="dx",DATI!$E$61,DATI!$E$64*DATI!$E$63)*1000*C819*sezione!$AD$5</f>
        <v>-766632.7645955889</v>
      </c>
      <c r="Q819" s="545">
        <f>'Foglio deposito bis'!$F$58*IF(ABS(K819)&lt;'Sollecitazioni nel paramento'!$G$58,ABS(K819)*'Sollecitazioni nel paramento'!$G$54,'Sollecitazioni nel paramento'!$G$53)*IF(K819&lt;0,-1,1)</f>
        <v>0</v>
      </c>
      <c r="R819" s="545">
        <f>'Foglio deposito bis'!$F$59*IF(ABS(L819)&lt;'Sollecitazioni nel paramento'!$G$58,ABS(L819)*'Sollecitazioni nel paramento'!$G$54,'Sollecitazioni nel paramento'!$G$53)*IF(L819&lt;0,-1,1)</f>
        <v>153664.85805602249</v>
      </c>
      <c r="S819" s="545">
        <f>'Foglio deposito bis'!$F$60*IF(ABS(M819)&lt;'Sollecitazioni nel paramento'!$G$58,ABS(M819)*'Sollecitazioni nel paramento'!$G$54,'Sollecitazioni nel paramento'!$G$53)*IF(M819&lt;0,-1,1)</f>
        <v>0</v>
      </c>
      <c r="T819" s="545">
        <f>'Foglio deposito bis'!$F$61*IF(ABS(N819)&lt;'Sollecitazioni nel paramento'!$G$58,ABS(N819)*'Sollecitazioni nel paramento'!$G$54,'Sollecitazioni nel paramento'!$G$53)*IF(N819&lt;0,-1,1)</f>
        <v>240946.49743184328</v>
      </c>
      <c r="U819" s="545">
        <f>'Foglio deposito bis'!$F$62*IF(ABS(O819)&lt;'Sollecitazioni nel paramento'!$G$58,ABS(O819)*'Sollecitazioni nel paramento'!$G$54,'Sollecitazioni nel paramento'!$G$53)*IF(O819&lt;0,-1,1)</f>
        <v>314705.62929873407</v>
      </c>
      <c r="V819" s="472">
        <f t="shared" si="61"/>
        <v>-57315.779808988969</v>
      </c>
      <c r="W819" s="551"/>
      <c r="X819" s="551"/>
    </row>
    <row r="820" spans="1:24" x14ac:dyDescent="0.25">
      <c r="A820" s="545">
        <f t="shared" si="60"/>
        <v>68267.676446068974</v>
      </c>
      <c r="B820" s="3">
        <f t="shared" si="62"/>
        <v>3.5499999999999954</v>
      </c>
      <c r="C820" s="545">
        <f>'Foglio deposito bis'!$E$156/sezione!$B$247*B820</f>
        <v>20.410653364639444</v>
      </c>
      <c r="D820" s="603">
        <f>-'Sollecitazioni nel paramento'!$G$47*'Sollecitazioni nel paramento'!$G$41*IF(DATI!$G$211="dx",DATI!$E$61,DATI!$E$64*DATI!$E$63)*1000*C820^2*sezione!$AD$5*(1-sezione!$AD$6)</f>
        <v>-9268670.4135350659</v>
      </c>
      <c r="E820" s="545">
        <f>-'Foglio deposito bis'!$F$58*(C820-sezione!$AL$30)*IF(ABS(K820)&lt;'Sollecitazioni nel paramento'!$G$58,ABS(K820)*'Sollecitazioni nel paramento'!$G$54,'Sollecitazioni nel paramento'!$G$53)</f>
        <v>0</v>
      </c>
      <c r="F820" s="545">
        <f>-'Foglio deposito bis'!$F$59*(C820-sezione!$AM$30)*IF(ABS(L820)&lt;'Sollecitazioni nel paramento'!$G$58,ABS(L820)*'Sollecitazioni nel paramento'!$G$54,'Sollecitazioni nel paramento'!$G$53)</f>
        <v>6083491.3312533516</v>
      </c>
      <c r="G820" s="545">
        <f>-'Foglio deposito bis'!$F$60*(C820-sezione!$AN$30)*IF(ABS(M820)&lt;'Sollecitazioni nel paramento'!$G$58,ABS(M820)*'Sollecitazioni nel paramento'!$G$54,'Sollecitazioni nel paramento'!$G$53)</f>
        <v>0</v>
      </c>
      <c r="H820" s="545">
        <f>-'Foglio deposito bis'!$F$61*(C820-sezione!$AO$30)*IF(ABS(N820)&lt;'Sollecitazioni nel paramento'!$G$58,ABS(N820)*'Sollecitazioni nel paramento'!$G$54,'Sollecitazioni nel paramento'!$G$53)</f>
        <v>33633564.150589585</v>
      </c>
      <c r="I820" s="472">
        <f>-'Foglio deposito bis'!$F$62*(C820-sezione!$AP$30)*IF(ABS(O820)&lt;'Sollecitazioni nel paramento'!$G$58,ABS(O820)*'Sollecitazioni nel paramento'!$G$54,'Sollecitazioni nel paramento'!$G$53)</f>
        <v>114702619.17600383</v>
      </c>
      <c r="J820" s="472">
        <f t="shared" si="59"/>
        <v>145151004.24431169</v>
      </c>
      <c r="K820" s="550">
        <f>'Sollecitazioni nel paramento'!$G$60*(sezione!$AL$30-C820)/C820</f>
        <v>3.3591630801267647E-3</v>
      </c>
      <c r="L820" s="550">
        <f>'Sollecitazioni nel paramento'!$G$60*(sezione!$AM$30-C820)/C820</f>
        <v>6.7887446201901477E-3</v>
      </c>
      <c r="M820" s="551">
        <f>'Sollecitazioni nel paramento'!$G$60*(sezione!$AN$30-C820)/C820</f>
        <v>1.0218326160253531E-2</v>
      </c>
      <c r="N820" s="551">
        <f>'Sollecitazioni nel paramento'!$G$60*(sezione!$AO$30-C820)/C820</f>
        <v>2.3936652320507058E-2</v>
      </c>
      <c r="O820" s="551">
        <f>'Sollecitazioni nel paramento'!$G$60*(sezione!$AP$30-C820)/C820</f>
        <v>6.2499991849450737E-2</v>
      </c>
      <c r="P820" s="545">
        <f>-'Sollecitazioni nel paramento'!$G$47*'Sollecitazioni nel paramento'!$G$41*IF(DATI!$G$211="dx",DATI!$E$61,DATI!$E$64*DATI!$E$63)*1000*C820*sezione!$AD$5</f>
        <v>-777584.66123266879</v>
      </c>
      <c r="Q820" s="545">
        <f>'Foglio deposito bis'!$F$58*IF(ABS(K820)&lt;'Sollecitazioni nel paramento'!$G$58,ABS(K820)*'Sollecitazioni nel paramento'!$G$54,'Sollecitazioni nel paramento'!$G$53)*IF(K820&lt;0,-1,1)</f>
        <v>0</v>
      </c>
      <c r="R820" s="545">
        <f>'Foglio deposito bis'!$F$59*IF(ABS(L820)&lt;'Sollecitazioni nel paramento'!$G$58,ABS(L820)*'Sollecitazioni nel paramento'!$G$54,'Sollecitazioni nel paramento'!$G$53)*IF(L820&lt;0,-1,1)</f>
        <v>153664.85805602249</v>
      </c>
      <c r="S820" s="545">
        <f>'Foglio deposito bis'!$F$60*IF(ABS(M820)&lt;'Sollecitazioni nel paramento'!$G$58,ABS(M820)*'Sollecitazioni nel paramento'!$G$54,'Sollecitazioni nel paramento'!$G$53)*IF(M820&lt;0,-1,1)</f>
        <v>0</v>
      </c>
      <c r="T820" s="545">
        <f>'Foglio deposito bis'!$F$61*IF(ABS(N820)&lt;'Sollecitazioni nel paramento'!$G$58,ABS(N820)*'Sollecitazioni nel paramento'!$G$54,'Sollecitazioni nel paramento'!$G$53)*IF(N820&lt;0,-1,1)</f>
        <v>240946.49743184328</v>
      </c>
      <c r="U820" s="545">
        <f>'Foglio deposito bis'!$F$62*IF(ABS(O820)&lt;'Sollecitazioni nel paramento'!$G$58,ABS(O820)*'Sollecitazioni nel paramento'!$G$54,'Sollecitazioni nel paramento'!$G$53)*IF(O820&lt;0,-1,1)</f>
        <v>314705.62929873407</v>
      </c>
      <c r="V820" s="472">
        <f t="shared" si="61"/>
        <v>-68267.676446068974</v>
      </c>
      <c r="W820" s="551"/>
      <c r="X820" s="551"/>
    </row>
    <row r="821" spans="1:24" x14ac:dyDescent="0.25">
      <c r="A821" s="545">
        <f t="shared" si="60"/>
        <v>79219.573083148513</v>
      </c>
      <c r="B821" s="3">
        <f t="shared" si="62"/>
        <v>3.5999999999999952</v>
      </c>
      <c r="C821" s="545">
        <f>'Foglio deposito bis'!$E$156/sezione!$B$247*B821</f>
        <v>20.698127355690701</v>
      </c>
      <c r="D821" s="603">
        <f>-'Sollecitazioni nel paramento'!$G$47*'Sollecitazioni nel paramento'!$G$41*IF(DATI!$G$211="dx",DATI!$E$61,DATI!$E$64*DATI!$E$63)*1000*C821^2*sezione!$AD$5*(1-sezione!$AD$6)</f>
        <v>-9531598.3780531213</v>
      </c>
      <c r="E821" s="545">
        <f>-'Foglio deposito bis'!$F$58*(C821-sezione!$AL$30)*IF(ABS(K821)&lt;'Sollecitazioni nel paramento'!$G$58,ABS(K821)*'Sollecitazioni nel paramento'!$G$54,'Sollecitazioni nel paramento'!$G$53)</f>
        <v>0</v>
      </c>
      <c r="F821" s="545">
        <f>-'Foglio deposito bis'!$F$59*(C821-sezione!$AM$30)*IF(ABS(L821)&lt;'Sollecitazioni nel paramento'!$G$58,ABS(L821)*'Sollecitazioni nel paramento'!$G$54,'Sollecitazioni nel paramento'!$G$53)</f>
        <v>6039316.6812236616</v>
      </c>
      <c r="G821" s="545">
        <f>-'Foglio deposito bis'!$F$60*(C821-sezione!$AN$30)*IF(ABS(M821)&lt;'Sollecitazioni nel paramento'!$G$58,ABS(M821)*'Sollecitazioni nel paramento'!$G$54,'Sollecitazioni nel paramento'!$G$53)</f>
        <v>0</v>
      </c>
      <c r="H821" s="545">
        <f>-'Foglio deposito bis'!$F$61*(C821-sezione!$AO$30)*IF(ABS(N821)&lt;'Sollecitazioni nel paramento'!$G$58,ABS(N821)*'Sollecitazioni nel paramento'!$G$54,'Sollecitazioni nel paramento'!$G$53)</f>
        <v>33564298.299343027</v>
      </c>
      <c r="I821" s="472">
        <f>-'Foglio deposito bis'!$F$62*(C821-sezione!$AP$30)*IF(ABS(O821)&lt;'Sollecitazioni nel paramento'!$G$58,ABS(O821)*'Sollecitazioni nel paramento'!$G$54,'Sollecitazioni nel paramento'!$G$53)</f>
        <v>114612149.49274305</v>
      </c>
      <c r="J821" s="472">
        <f t="shared" si="59"/>
        <v>144684166.09525663</v>
      </c>
      <c r="K821" s="550">
        <f>'Sollecitazioni nel paramento'!$G$60*(sezione!$AL$30-C821)/C821</f>
        <v>3.2638969262361157E-3</v>
      </c>
      <c r="L821" s="550">
        <f>'Sollecitazioni nel paramento'!$G$60*(sezione!$AM$30-C821)/C821</f>
        <v>6.6458453893541731E-3</v>
      </c>
      <c r="M821" s="551">
        <f>'Sollecitazioni nel paramento'!$G$60*(sezione!$AN$30-C821)/C821</f>
        <v>1.0027793852472232E-2</v>
      </c>
      <c r="N821" s="551">
        <f>'Sollecitazioni nel paramento'!$G$60*(sezione!$AO$30-C821)/C821</f>
        <v>2.3555587704944463E-2</v>
      </c>
      <c r="O821" s="551">
        <f>'Sollecitazioni nel paramento'!$G$60*(sezione!$AP$30-C821)/C821</f>
        <v>6.1583325295986147E-2</v>
      </c>
      <c r="P821" s="545">
        <f>-'Sollecitazioni nel paramento'!$G$47*'Sollecitazioni nel paramento'!$G$41*IF(DATI!$G$211="dx",DATI!$E$61,DATI!$E$64*DATI!$E$63)*1000*C821*sezione!$AD$5</f>
        <v>-788536.55786974845</v>
      </c>
      <c r="Q821" s="545">
        <f>'Foglio deposito bis'!$F$58*IF(ABS(K821)&lt;'Sollecitazioni nel paramento'!$G$58,ABS(K821)*'Sollecitazioni nel paramento'!$G$54,'Sollecitazioni nel paramento'!$G$53)*IF(K821&lt;0,-1,1)</f>
        <v>0</v>
      </c>
      <c r="R821" s="545">
        <f>'Foglio deposito bis'!$F$59*IF(ABS(L821)&lt;'Sollecitazioni nel paramento'!$G$58,ABS(L821)*'Sollecitazioni nel paramento'!$G$54,'Sollecitazioni nel paramento'!$G$53)*IF(L821&lt;0,-1,1)</f>
        <v>153664.85805602249</v>
      </c>
      <c r="S821" s="545">
        <f>'Foglio deposito bis'!$F$60*IF(ABS(M821)&lt;'Sollecitazioni nel paramento'!$G$58,ABS(M821)*'Sollecitazioni nel paramento'!$G$54,'Sollecitazioni nel paramento'!$G$53)*IF(M821&lt;0,-1,1)</f>
        <v>0</v>
      </c>
      <c r="T821" s="545">
        <f>'Foglio deposito bis'!$F$61*IF(ABS(N821)&lt;'Sollecitazioni nel paramento'!$G$58,ABS(N821)*'Sollecitazioni nel paramento'!$G$54,'Sollecitazioni nel paramento'!$G$53)*IF(N821&lt;0,-1,1)</f>
        <v>240946.49743184328</v>
      </c>
      <c r="U821" s="545">
        <f>'Foglio deposito bis'!$F$62*IF(ABS(O821)&lt;'Sollecitazioni nel paramento'!$G$58,ABS(O821)*'Sollecitazioni nel paramento'!$G$54,'Sollecitazioni nel paramento'!$G$53)*IF(O821&lt;0,-1,1)</f>
        <v>314705.62929873407</v>
      </c>
      <c r="V821" s="472">
        <f t="shared" si="61"/>
        <v>-79219.573083148513</v>
      </c>
      <c r="W821" s="551"/>
      <c r="X821" s="551"/>
    </row>
    <row r="822" spans="1:24" x14ac:dyDescent="0.25">
      <c r="A822" s="545">
        <f t="shared" si="60"/>
        <v>90171.469720228517</v>
      </c>
      <c r="B822" s="3">
        <f t="shared" si="62"/>
        <v>3.649999999999995</v>
      </c>
      <c r="C822" s="545">
        <f>'Foglio deposito bis'!$E$156/sezione!$B$247*B822</f>
        <v>20.985601346741962</v>
      </c>
      <c r="D822" s="603">
        <f>-'Sollecitazioni nel paramento'!$G$47*'Sollecitazioni nel paramento'!$G$41*IF(DATI!$G$211="dx",DATI!$E$61,DATI!$E$64*DATI!$E$63)*1000*C822^2*sezione!$AD$5*(1-sezione!$AD$6)</f>
        <v>-9798203.6567602381</v>
      </c>
      <c r="E822" s="545">
        <f>-'Foglio deposito bis'!$F$58*(C822-sezione!$AL$30)*IF(ABS(K822)&lt;'Sollecitazioni nel paramento'!$G$58,ABS(K822)*'Sollecitazioni nel paramento'!$G$54,'Sollecitazioni nel paramento'!$G$53)</f>
        <v>0</v>
      </c>
      <c r="F822" s="545">
        <f>-'Foglio deposito bis'!$F$59*(C822-sezione!$AM$30)*IF(ABS(L822)&lt;'Sollecitazioni nel paramento'!$G$58,ABS(L822)*'Sollecitazioni nel paramento'!$G$54,'Sollecitazioni nel paramento'!$G$53)</f>
        <v>5995142.0311939716</v>
      </c>
      <c r="G822" s="545">
        <f>-'Foglio deposito bis'!$F$60*(C822-sezione!$AN$30)*IF(ABS(M822)&lt;'Sollecitazioni nel paramento'!$G$58,ABS(M822)*'Sollecitazioni nel paramento'!$G$54,'Sollecitazioni nel paramento'!$G$53)</f>
        <v>0</v>
      </c>
      <c r="H822" s="545">
        <f>-'Foglio deposito bis'!$F$61*(C822-sezione!$AO$30)*IF(ABS(N822)&lt;'Sollecitazioni nel paramento'!$G$58,ABS(N822)*'Sollecitazioni nel paramento'!$G$54,'Sollecitazioni nel paramento'!$G$53)</f>
        <v>33495032.448096473</v>
      </c>
      <c r="I822" s="472">
        <f>-'Foglio deposito bis'!$F$62*(C822-sezione!$AP$30)*IF(ABS(O822)&lt;'Sollecitazioni nel paramento'!$G$58,ABS(O822)*'Sollecitazioni nel paramento'!$G$54,'Sollecitazioni nel paramento'!$G$53)</f>
        <v>114521679.80948223</v>
      </c>
      <c r="J822" s="472">
        <f t="shared" si="59"/>
        <v>144213650.63201243</v>
      </c>
      <c r="K822" s="550">
        <f>'Sollecitazioni nel paramento'!$G$60*(sezione!$AL$30-C822)/C822</f>
        <v>3.1712408039589086E-3</v>
      </c>
      <c r="L822" s="550">
        <f>'Sollecitazioni nel paramento'!$G$60*(sezione!$AM$30-C822)/C822</f>
        <v>6.5068612059383628E-3</v>
      </c>
      <c r="M822" s="551">
        <f>'Sollecitazioni nel paramento'!$G$60*(sezione!$AN$30-C822)/C822</f>
        <v>9.8424816079178169E-3</v>
      </c>
      <c r="N822" s="551">
        <f>'Sollecitazioni nel paramento'!$G$60*(sezione!$AO$30-C822)/C822</f>
        <v>2.3184963215835633E-2</v>
      </c>
      <c r="O822" s="551">
        <f>'Sollecitazioni nel paramento'!$G$60*(sezione!$AP$30-C822)/C822</f>
        <v>6.0691772894671266E-2</v>
      </c>
      <c r="P822" s="545">
        <f>-'Sollecitazioni nel paramento'!$G$47*'Sollecitazioni nel paramento'!$G$41*IF(DATI!$G$211="dx",DATI!$E$61,DATI!$E$64*DATI!$E$63)*1000*C822*sezione!$AD$5</f>
        <v>-799488.45450682845</v>
      </c>
      <c r="Q822" s="545">
        <f>'Foglio deposito bis'!$F$58*IF(ABS(K822)&lt;'Sollecitazioni nel paramento'!$G$58,ABS(K822)*'Sollecitazioni nel paramento'!$G$54,'Sollecitazioni nel paramento'!$G$53)*IF(K822&lt;0,-1,1)</f>
        <v>0</v>
      </c>
      <c r="R822" s="545">
        <f>'Foglio deposito bis'!$F$59*IF(ABS(L822)&lt;'Sollecitazioni nel paramento'!$G$58,ABS(L822)*'Sollecitazioni nel paramento'!$G$54,'Sollecitazioni nel paramento'!$G$53)*IF(L822&lt;0,-1,1)</f>
        <v>153664.85805602249</v>
      </c>
      <c r="S822" s="545">
        <f>'Foglio deposito bis'!$F$60*IF(ABS(M822)&lt;'Sollecitazioni nel paramento'!$G$58,ABS(M822)*'Sollecitazioni nel paramento'!$G$54,'Sollecitazioni nel paramento'!$G$53)*IF(M822&lt;0,-1,1)</f>
        <v>0</v>
      </c>
      <c r="T822" s="545">
        <f>'Foglio deposito bis'!$F$61*IF(ABS(N822)&lt;'Sollecitazioni nel paramento'!$G$58,ABS(N822)*'Sollecitazioni nel paramento'!$G$54,'Sollecitazioni nel paramento'!$G$53)*IF(N822&lt;0,-1,1)</f>
        <v>240946.49743184328</v>
      </c>
      <c r="U822" s="545">
        <f>'Foglio deposito bis'!$F$62*IF(ABS(O822)&lt;'Sollecitazioni nel paramento'!$G$58,ABS(O822)*'Sollecitazioni nel paramento'!$G$54,'Sollecitazioni nel paramento'!$G$53)*IF(O822&lt;0,-1,1)</f>
        <v>314705.62929873407</v>
      </c>
      <c r="V822" s="472">
        <f t="shared" si="61"/>
        <v>-90171.469720228517</v>
      </c>
      <c r="W822" s="551"/>
      <c r="X822" s="551"/>
    </row>
    <row r="823" spans="1:24" x14ac:dyDescent="0.25">
      <c r="A823" s="545">
        <f t="shared" si="60"/>
        <v>101123.36635730829</v>
      </c>
      <c r="B823" s="3">
        <f t="shared" si="62"/>
        <v>3.6999999999999948</v>
      </c>
      <c r="C823" s="545">
        <f>'Foglio deposito bis'!$E$156/sezione!$B$247*B823</f>
        <v>21.27307533779322</v>
      </c>
      <c r="D823" s="603">
        <f>-'Sollecitazioni nel paramento'!$G$47*'Sollecitazioni nel paramento'!$G$41*IF(DATI!$G$211="dx",DATI!$E$61,DATI!$E$64*DATI!$E$63)*1000*C823^2*sezione!$AD$5*(1-sezione!$AD$6)</f>
        <v>-10068486.24965642</v>
      </c>
      <c r="E823" s="545">
        <f>-'Foglio deposito bis'!$F$58*(C823-sezione!$AL$30)*IF(ABS(K823)&lt;'Sollecitazioni nel paramento'!$G$58,ABS(K823)*'Sollecitazioni nel paramento'!$G$54,'Sollecitazioni nel paramento'!$G$53)</f>
        <v>0</v>
      </c>
      <c r="F823" s="545">
        <f>-'Foglio deposito bis'!$F$59*(C823-sezione!$AM$30)*IF(ABS(L823)&lt;'Sollecitazioni nel paramento'!$G$58,ABS(L823)*'Sollecitazioni nel paramento'!$G$54,'Sollecitazioni nel paramento'!$G$53)</f>
        <v>5950967.3811642826</v>
      </c>
      <c r="G823" s="545">
        <f>-'Foglio deposito bis'!$F$60*(C823-sezione!$AN$30)*IF(ABS(M823)&lt;'Sollecitazioni nel paramento'!$G$58,ABS(M823)*'Sollecitazioni nel paramento'!$G$54,'Sollecitazioni nel paramento'!$G$53)</f>
        <v>0</v>
      </c>
      <c r="H823" s="545">
        <f>-'Foglio deposito bis'!$F$61*(C823-sezione!$AO$30)*IF(ABS(N823)&lt;'Sollecitazioni nel paramento'!$G$58,ABS(N823)*'Sollecitazioni nel paramento'!$G$54,'Sollecitazioni nel paramento'!$G$53)</f>
        <v>33425766.596849922</v>
      </c>
      <c r="I823" s="472">
        <f>-'Foglio deposito bis'!$F$62*(C823-sezione!$AP$30)*IF(ABS(O823)&lt;'Sollecitazioni nel paramento'!$G$58,ABS(O823)*'Sollecitazioni nel paramento'!$G$54,'Sollecitazioni nel paramento'!$G$53)</f>
        <v>114431210.12622142</v>
      </c>
      <c r="J823" s="472">
        <f t="shared" si="59"/>
        <v>143739457.85457921</v>
      </c>
      <c r="K823" s="550">
        <f>'Sollecitazioni nel paramento'!$G$60*(sezione!$AL$30-C823)/C823</f>
        <v>3.0810889012027076E-3</v>
      </c>
      <c r="L823" s="550">
        <f>'Sollecitazioni nel paramento'!$G$60*(sezione!$AM$30-C823)/C823</f>
        <v>6.3716333518040623E-3</v>
      </c>
      <c r="M823" s="551">
        <f>'Sollecitazioni nel paramento'!$G$60*(sezione!$AN$30-C823)/C823</f>
        <v>9.6621778024054174E-3</v>
      </c>
      <c r="N823" s="551">
        <f>'Sollecitazioni nel paramento'!$G$60*(sezione!$AO$30-C823)/C823</f>
        <v>2.2824355604810831E-2</v>
      </c>
      <c r="O823" s="551">
        <f>'Sollecitazioni nel paramento'!$G$60*(sezione!$AP$30-C823)/C823</f>
        <v>5.9824316504202744E-2</v>
      </c>
      <c r="P823" s="545">
        <f>-'Sollecitazioni nel paramento'!$G$47*'Sollecitazioni nel paramento'!$G$41*IF(DATI!$G$211="dx",DATI!$E$61,DATI!$E$64*DATI!$E$63)*1000*C823*sezione!$AD$5</f>
        <v>-810440.3511439081</v>
      </c>
      <c r="Q823" s="545">
        <f>'Foglio deposito bis'!$F$58*IF(ABS(K823)&lt;'Sollecitazioni nel paramento'!$G$58,ABS(K823)*'Sollecitazioni nel paramento'!$G$54,'Sollecitazioni nel paramento'!$G$53)*IF(K823&lt;0,-1,1)</f>
        <v>0</v>
      </c>
      <c r="R823" s="545">
        <f>'Foglio deposito bis'!$F$59*IF(ABS(L823)&lt;'Sollecitazioni nel paramento'!$G$58,ABS(L823)*'Sollecitazioni nel paramento'!$G$54,'Sollecitazioni nel paramento'!$G$53)*IF(L823&lt;0,-1,1)</f>
        <v>153664.85805602249</v>
      </c>
      <c r="S823" s="545">
        <f>'Foglio deposito bis'!$F$60*IF(ABS(M823)&lt;'Sollecitazioni nel paramento'!$G$58,ABS(M823)*'Sollecitazioni nel paramento'!$G$54,'Sollecitazioni nel paramento'!$G$53)*IF(M823&lt;0,-1,1)</f>
        <v>0</v>
      </c>
      <c r="T823" s="545">
        <f>'Foglio deposito bis'!$F$61*IF(ABS(N823)&lt;'Sollecitazioni nel paramento'!$G$58,ABS(N823)*'Sollecitazioni nel paramento'!$G$54,'Sollecitazioni nel paramento'!$G$53)*IF(N823&lt;0,-1,1)</f>
        <v>240946.49743184328</v>
      </c>
      <c r="U823" s="545">
        <f>'Foglio deposito bis'!$F$62*IF(ABS(O823)&lt;'Sollecitazioni nel paramento'!$G$58,ABS(O823)*'Sollecitazioni nel paramento'!$G$54,'Sollecitazioni nel paramento'!$G$53)*IF(O823&lt;0,-1,1)</f>
        <v>314705.62929873407</v>
      </c>
      <c r="V823" s="472">
        <f t="shared" si="61"/>
        <v>-101123.36635730829</v>
      </c>
      <c r="W823" s="551"/>
      <c r="X823" s="551"/>
    </row>
    <row r="824" spans="1:24" x14ac:dyDescent="0.25">
      <c r="A824" s="545">
        <f t="shared" si="60"/>
        <v>112075.26299438806</v>
      </c>
      <c r="B824" s="3">
        <f t="shared" si="62"/>
        <v>3.7499999999999947</v>
      </c>
      <c r="C824" s="545">
        <f>'Foglio deposito bis'!$E$156/sezione!$B$247*B824</f>
        <v>21.56054932884448</v>
      </c>
      <c r="D824" s="603">
        <f>-'Sollecitazioni nel paramento'!$G$47*'Sollecitazioni nel paramento'!$G$41*IF(DATI!$G$211="dx",DATI!$E$61,DATI!$E$64*DATI!$E$63)*1000*C824^2*sezione!$AD$5*(1-sezione!$AD$6)</f>
        <v>-10342446.156741668</v>
      </c>
      <c r="E824" s="545">
        <f>-'Foglio deposito bis'!$F$58*(C824-sezione!$AL$30)*IF(ABS(K824)&lt;'Sollecitazioni nel paramento'!$G$58,ABS(K824)*'Sollecitazioni nel paramento'!$G$54,'Sollecitazioni nel paramento'!$G$53)</f>
        <v>0</v>
      </c>
      <c r="F824" s="545">
        <f>-'Foglio deposito bis'!$F$59*(C824-sezione!$AM$30)*IF(ABS(L824)&lt;'Sollecitazioni nel paramento'!$G$58,ABS(L824)*'Sollecitazioni nel paramento'!$G$54,'Sollecitazioni nel paramento'!$G$53)</f>
        <v>5906792.7311345916</v>
      </c>
      <c r="G824" s="545">
        <f>-'Foglio deposito bis'!$F$60*(C824-sezione!$AN$30)*IF(ABS(M824)&lt;'Sollecitazioni nel paramento'!$G$58,ABS(M824)*'Sollecitazioni nel paramento'!$G$54,'Sollecitazioni nel paramento'!$G$53)</f>
        <v>0</v>
      </c>
      <c r="H824" s="545">
        <f>-'Foglio deposito bis'!$F$61*(C824-sezione!$AO$30)*IF(ABS(N824)&lt;'Sollecitazioni nel paramento'!$G$58,ABS(N824)*'Sollecitazioni nel paramento'!$G$54,'Sollecitazioni nel paramento'!$G$53)</f>
        <v>33356500.745603368</v>
      </c>
      <c r="I824" s="472">
        <f>-'Foglio deposito bis'!$F$62*(C824-sezione!$AP$30)*IF(ABS(O824)&lt;'Sollecitazioni nel paramento'!$G$58,ABS(O824)*'Sollecitazioni nel paramento'!$G$54,'Sollecitazioni nel paramento'!$G$53)</f>
        <v>114340740.44296062</v>
      </c>
      <c r="J824" s="472">
        <f t="shared" si="59"/>
        <v>143261587.76295692</v>
      </c>
      <c r="K824" s="550">
        <f>'Sollecitazioni nel paramento'!$G$60*(sezione!$AL$30-C824)/C824</f>
        <v>2.9933410491866713E-3</v>
      </c>
      <c r="L824" s="550">
        <f>'Sollecitazioni nel paramento'!$G$60*(sezione!$AM$30-C824)/C824</f>
        <v>6.2400115737800072E-3</v>
      </c>
      <c r="M824" s="551">
        <f>'Sollecitazioni nel paramento'!$G$60*(sezione!$AN$30-C824)/C824</f>
        <v>9.4866820983733439E-3</v>
      </c>
      <c r="N824" s="551">
        <f>'Sollecitazioni nel paramento'!$G$60*(sezione!$AO$30-C824)/C824</f>
        <v>2.2473364196746688E-2</v>
      </c>
      <c r="O824" s="551">
        <f>'Sollecitazioni nel paramento'!$G$60*(sezione!$AP$30-C824)/C824</f>
        <v>5.8979992284146708E-2</v>
      </c>
      <c r="P824" s="545">
        <f>-'Sollecitazioni nel paramento'!$G$47*'Sollecitazioni nel paramento'!$G$41*IF(DATI!$G$211="dx",DATI!$E$61,DATI!$E$64*DATI!$E$63)*1000*C824*sezione!$AD$5</f>
        <v>-821392.24778098799</v>
      </c>
      <c r="Q824" s="545">
        <f>'Foglio deposito bis'!$F$58*IF(ABS(K824)&lt;'Sollecitazioni nel paramento'!$G$58,ABS(K824)*'Sollecitazioni nel paramento'!$G$54,'Sollecitazioni nel paramento'!$G$53)*IF(K824&lt;0,-1,1)</f>
        <v>0</v>
      </c>
      <c r="R824" s="545">
        <f>'Foglio deposito bis'!$F$59*IF(ABS(L824)&lt;'Sollecitazioni nel paramento'!$G$58,ABS(L824)*'Sollecitazioni nel paramento'!$G$54,'Sollecitazioni nel paramento'!$G$53)*IF(L824&lt;0,-1,1)</f>
        <v>153664.85805602249</v>
      </c>
      <c r="S824" s="545">
        <f>'Foglio deposito bis'!$F$60*IF(ABS(M824)&lt;'Sollecitazioni nel paramento'!$G$58,ABS(M824)*'Sollecitazioni nel paramento'!$G$54,'Sollecitazioni nel paramento'!$G$53)*IF(M824&lt;0,-1,1)</f>
        <v>0</v>
      </c>
      <c r="T824" s="545">
        <f>'Foglio deposito bis'!$F$61*IF(ABS(N824)&lt;'Sollecitazioni nel paramento'!$G$58,ABS(N824)*'Sollecitazioni nel paramento'!$G$54,'Sollecitazioni nel paramento'!$G$53)*IF(N824&lt;0,-1,1)</f>
        <v>240946.49743184328</v>
      </c>
      <c r="U824" s="545">
        <f>'Foglio deposito bis'!$F$62*IF(ABS(O824)&lt;'Sollecitazioni nel paramento'!$G$58,ABS(O824)*'Sollecitazioni nel paramento'!$G$54,'Sollecitazioni nel paramento'!$G$53)*IF(O824&lt;0,-1,1)</f>
        <v>314705.62929873407</v>
      </c>
      <c r="V824" s="472">
        <f t="shared" si="61"/>
        <v>-112075.26299438806</v>
      </c>
      <c r="W824" s="551"/>
      <c r="X824" s="551"/>
    </row>
    <row r="825" spans="1:24" x14ac:dyDescent="0.25">
      <c r="A825" s="545">
        <f t="shared" si="60"/>
        <v>123027.15963146783</v>
      </c>
      <c r="B825" s="3">
        <f t="shared" si="62"/>
        <v>3.7999999999999945</v>
      </c>
      <c r="C825" s="545">
        <f>'Foglio deposito bis'!$E$156/sezione!$B$247*B825</f>
        <v>21.848023319895738</v>
      </c>
      <c r="D825" s="603">
        <f>-'Sollecitazioni nel paramento'!$G$47*'Sollecitazioni nel paramento'!$G$41*IF(DATI!$G$211="dx",DATI!$E$61,DATI!$E$64*DATI!$E$63)*1000*C825^2*sezione!$AD$5*(1-sezione!$AD$6)</f>
        <v>-10620083.378015975</v>
      </c>
      <c r="E825" s="545">
        <f>-'Foglio deposito bis'!$F$58*(C825-sezione!$AL$30)*IF(ABS(K825)&lt;'Sollecitazioni nel paramento'!$G$58,ABS(K825)*'Sollecitazioni nel paramento'!$G$54,'Sollecitazioni nel paramento'!$G$53)</f>
        <v>0</v>
      </c>
      <c r="F825" s="545">
        <f>-'Foglio deposito bis'!$F$59*(C825-sezione!$AM$30)*IF(ABS(L825)&lt;'Sollecitazioni nel paramento'!$G$58,ABS(L825)*'Sollecitazioni nel paramento'!$G$54,'Sollecitazioni nel paramento'!$G$53)</f>
        <v>5862618.0811049016</v>
      </c>
      <c r="G825" s="545">
        <f>-'Foglio deposito bis'!$F$60*(C825-sezione!$AN$30)*IF(ABS(M825)&lt;'Sollecitazioni nel paramento'!$G$58,ABS(M825)*'Sollecitazioni nel paramento'!$G$54,'Sollecitazioni nel paramento'!$G$53)</f>
        <v>0</v>
      </c>
      <c r="H825" s="545">
        <f>-'Foglio deposito bis'!$F$61*(C825-sezione!$AO$30)*IF(ABS(N825)&lt;'Sollecitazioni nel paramento'!$G$58,ABS(N825)*'Sollecitazioni nel paramento'!$G$54,'Sollecitazioni nel paramento'!$G$53)</f>
        <v>33287234.894356817</v>
      </c>
      <c r="I825" s="472">
        <f>-'Foglio deposito bis'!$F$62*(C825-sezione!$AP$30)*IF(ABS(O825)&lt;'Sollecitazioni nel paramento'!$G$58,ABS(O825)*'Sollecitazioni nel paramento'!$G$54,'Sollecitazioni nel paramento'!$G$53)</f>
        <v>114250270.75969981</v>
      </c>
      <c r="J825" s="472">
        <f t="shared" si="59"/>
        <v>142780040.35714555</v>
      </c>
      <c r="K825" s="550">
        <f>'Sollecitazioni nel paramento'!$G$60*(sezione!$AL$30-C825)/C825</f>
        <v>2.9079023511710575E-3</v>
      </c>
      <c r="L825" s="550">
        <f>'Sollecitazioni nel paramento'!$G$60*(sezione!$AM$30-C825)/C825</f>
        <v>6.1118535267565876E-3</v>
      </c>
      <c r="M825" s="551">
        <f>'Sollecitazioni nel paramento'!$G$60*(sezione!$AN$30-C825)/C825</f>
        <v>9.3158047023421155E-3</v>
      </c>
      <c r="N825" s="551">
        <f>'Sollecitazioni nel paramento'!$G$60*(sezione!$AO$30-C825)/C825</f>
        <v>2.2131609404684234E-2</v>
      </c>
      <c r="O825" s="551">
        <f>'Sollecitazioni nel paramento'!$G$60*(sezione!$AP$30-C825)/C825</f>
        <v>5.8157887122513199E-2</v>
      </c>
      <c r="P825" s="545">
        <f>-'Sollecitazioni nel paramento'!$G$47*'Sollecitazioni nel paramento'!$G$41*IF(DATI!$G$211="dx",DATI!$E$61,DATI!$E$64*DATI!$E$63)*1000*C825*sezione!$AD$5</f>
        <v>-832344.14441806776</v>
      </c>
      <c r="Q825" s="545">
        <f>'Foglio deposito bis'!$F$58*IF(ABS(K825)&lt;'Sollecitazioni nel paramento'!$G$58,ABS(K825)*'Sollecitazioni nel paramento'!$G$54,'Sollecitazioni nel paramento'!$G$53)*IF(K825&lt;0,-1,1)</f>
        <v>0</v>
      </c>
      <c r="R825" s="545">
        <f>'Foglio deposito bis'!$F$59*IF(ABS(L825)&lt;'Sollecitazioni nel paramento'!$G$58,ABS(L825)*'Sollecitazioni nel paramento'!$G$54,'Sollecitazioni nel paramento'!$G$53)*IF(L825&lt;0,-1,1)</f>
        <v>153664.85805602249</v>
      </c>
      <c r="S825" s="545">
        <f>'Foglio deposito bis'!$F$60*IF(ABS(M825)&lt;'Sollecitazioni nel paramento'!$G$58,ABS(M825)*'Sollecitazioni nel paramento'!$G$54,'Sollecitazioni nel paramento'!$G$53)*IF(M825&lt;0,-1,1)</f>
        <v>0</v>
      </c>
      <c r="T825" s="545">
        <f>'Foglio deposito bis'!$F$61*IF(ABS(N825)&lt;'Sollecitazioni nel paramento'!$G$58,ABS(N825)*'Sollecitazioni nel paramento'!$G$54,'Sollecitazioni nel paramento'!$G$53)*IF(N825&lt;0,-1,1)</f>
        <v>240946.49743184328</v>
      </c>
      <c r="U825" s="545">
        <f>'Foglio deposito bis'!$F$62*IF(ABS(O825)&lt;'Sollecitazioni nel paramento'!$G$58,ABS(O825)*'Sollecitazioni nel paramento'!$G$54,'Sollecitazioni nel paramento'!$G$53)*IF(O825&lt;0,-1,1)</f>
        <v>314705.62929873407</v>
      </c>
      <c r="V825" s="472">
        <f t="shared" si="61"/>
        <v>-123027.15963146783</v>
      </c>
      <c r="W825" s="551"/>
      <c r="X825" s="551"/>
    </row>
    <row r="826" spans="1:24" x14ac:dyDescent="0.25">
      <c r="A826" s="545">
        <f t="shared" si="60"/>
        <v>133979.0562685476</v>
      </c>
      <c r="B826" s="3">
        <f t="shared" si="62"/>
        <v>3.8499999999999943</v>
      </c>
      <c r="C826" s="545">
        <f>'Foglio deposito bis'!$E$156/sezione!$B$247*B826</f>
        <v>22.135497310946995</v>
      </c>
      <c r="D826" s="603">
        <f>-'Sollecitazioni nel paramento'!$G$47*'Sollecitazioni nel paramento'!$G$41*IF(DATI!$G$211="dx",DATI!$E$61,DATI!$E$64*DATI!$E$63)*1000*C826^2*sezione!$AD$5*(1-sezione!$AD$6)</f>
        <v>-10901397.913479345</v>
      </c>
      <c r="E826" s="545">
        <f>-'Foglio deposito bis'!$F$58*(C826-sezione!$AL$30)*IF(ABS(K826)&lt;'Sollecitazioni nel paramento'!$G$58,ABS(K826)*'Sollecitazioni nel paramento'!$G$54,'Sollecitazioni nel paramento'!$G$53)</f>
        <v>0</v>
      </c>
      <c r="F826" s="545">
        <f>-'Foglio deposito bis'!$F$59*(C826-sezione!$AM$30)*IF(ABS(L826)&lt;'Sollecitazioni nel paramento'!$G$58,ABS(L826)*'Sollecitazioni nel paramento'!$G$54,'Sollecitazioni nel paramento'!$G$53)</f>
        <v>5818443.4310752116</v>
      </c>
      <c r="G826" s="545">
        <f>-'Foglio deposito bis'!$F$60*(C826-sezione!$AN$30)*IF(ABS(M826)&lt;'Sollecitazioni nel paramento'!$G$58,ABS(M826)*'Sollecitazioni nel paramento'!$G$54,'Sollecitazioni nel paramento'!$G$53)</f>
        <v>0</v>
      </c>
      <c r="H826" s="545">
        <f>-'Foglio deposito bis'!$F$61*(C826-sezione!$AO$30)*IF(ABS(N826)&lt;'Sollecitazioni nel paramento'!$G$58,ABS(N826)*'Sollecitazioni nel paramento'!$G$54,'Sollecitazioni nel paramento'!$G$53)</f>
        <v>33217969.043110263</v>
      </c>
      <c r="I826" s="472">
        <f>-'Foglio deposito bis'!$F$62*(C826-sezione!$AP$30)*IF(ABS(O826)&lt;'Sollecitazioni nel paramento'!$G$58,ABS(O826)*'Sollecitazioni nel paramento'!$G$54,'Sollecitazioni nel paramento'!$G$53)</f>
        <v>114159801.07643899</v>
      </c>
      <c r="J826" s="472">
        <f t="shared" si="59"/>
        <v>142294815.63714513</v>
      </c>
      <c r="K826" s="550">
        <f>'Sollecitazioni nel paramento'!$G$60*(sezione!$AL$30-C826)/C826</f>
        <v>2.8246828401168891E-3</v>
      </c>
      <c r="L826" s="550">
        <f>'Sollecitazioni nel paramento'!$G$60*(sezione!$AM$30-C826)/C826</f>
        <v>5.9870242601753332E-3</v>
      </c>
      <c r="M826" s="551">
        <f>'Sollecitazioni nel paramento'!$G$60*(sezione!$AN$30-C826)/C826</f>
        <v>9.1493656802337786E-3</v>
      </c>
      <c r="N826" s="551">
        <f>'Sollecitazioni nel paramento'!$G$60*(sezione!$AO$30-C826)/C826</f>
        <v>2.1798731360467557E-2</v>
      </c>
      <c r="O826" s="551">
        <f>'Sollecitazioni nel paramento'!$G$60*(sezione!$AP$30-C826)/C826</f>
        <v>5.7357135341701351E-2</v>
      </c>
      <c r="P826" s="545">
        <f>-'Sollecitazioni nel paramento'!$G$47*'Sollecitazioni nel paramento'!$G$41*IF(DATI!$G$211="dx",DATI!$E$61,DATI!$E$64*DATI!$E$63)*1000*C826*sezione!$AD$5</f>
        <v>-843296.04105514754</v>
      </c>
      <c r="Q826" s="545">
        <f>'Foglio deposito bis'!$F$58*IF(ABS(K826)&lt;'Sollecitazioni nel paramento'!$G$58,ABS(K826)*'Sollecitazioni nel paramento'!$G$54,'Sollecitazioni nel paramento'!$G$53)*IF(K826&lt;0,-1,1)</f>
        <v>0</v>
      </c>
      <c r="R826" s="545">
        <f>'Foglio deposito bis'!$F$59*IF(ABS(L826)&lt;'Sollecitazioni nel paramento'!$G$58,ABS(L826)*'Sollecitazioni nel paramento'!$G$54,'Sollecitazioni nel paramento'!$G$53)*IF(L826&lt;0,-1,1)</f>
        <v>153664.85805602249</v>
      </c>
      <c r="S826" s="545">
        <f>'Foglio deposito bis'!$F$60*IF(ABS(M826)&lt;'Sollecitazioni nel paramento'!$G$58,ABS(M826)*'Sollecitazioni nel paramento'!$G$54,'Sollecitazioni nel paramento'!$G$53)*IF(M826&lt;0,-1,1)</f>
        <v>0</v>
      </c>
      <c r="T826" s="545">
        <f>'Foglio deposito bis'!$F$61*IF(ABS(N826)&lt;'Sollecitazioni nel paramento'!$G$58,ABS(N826)*'Sollecitazioni nel paramento'!$G$54,'Sollecitazioni nel paramento'!$G$53)*IF(N826&lt;0,-1,1)</f>
        <v>240946.49743184328</v>
      </c>
      <c r="U826" s="545">
        <f>'Foglio deposito bis'!$F$62*IF(ABS(O826)&lt;'Sollecitazioni nel paramento'!$G$58,ABS(O826)*'Sollecitazioni nel paramento'!$G$54,'Sollecitazioni nel paramento'!$G$53)*IF(O826&lt;0,-1,1)</f>
        <v>314705.62929873407</v>
      </c>
      <c r="V826" s="472">
        <f t="shared" si="61"/>
        <v>-133979.0562685476</v>
      </c>
      <c r="W826" s="551"/>
      <c r="X826" s="551"/>
    </row>
    <row r="827" spans="1:24" x14ac:dyDescent="0.25">
      <c r="A827" s="545">
        <f t="shared" si="60"/>
        <v>144930.95290562761</v>
      </c>
      <c r="B827" s="3">
        <f t="shared" si="62"/>
        <v>3.8999999999999941</v>
      </c>
      <c r="C827" s="545">
        <f>'Foglio deposito bis'!$E$156/sezione!$B$247*B827</f>
        <v>22.422971301998256</v>
      </c>
      <c r="D827" s="603">
        <f>-'Sollecitazioni nel paramento'!$G$47*'Sollecitazioni nel paramento'!$G$41*IF(DATI!$G$211="dx",DATI!$E$61,DATI!$E$64*DATI!$E$63)*1000*C827^2*sezione!$AD$5*(1-sezione!$AD$6)</f>
        <v>-11186389.763131782</v>
      </c>
      <c r="E827" s="545">
        <f>-'Foglio deposito bis'!$F$58*(C827-sezione!$AL$30)*IF(ABS(K827)&lt;'Sollecitazioni nel paramento'!$G$58,ABS(K827)*'Sollecitazioni nel paramento'!$G$54,'Sollecitazioni nel paramento'!$G$53)</f>
        <v>0</v>
      </c>
      <c r="F827" s="545">
        <f>-'Foglio deposito bis'!$F$59*(C827-sezione!$AM$30)*IF(ABS(L827)&lt;'Sollecitazioni nel paramento'!$G$58,ABS(L827)*'Sollecitazioni nel paramento'!$G$54,'Sollecitazioni nel paramento'!$G$53)</f>
        <v>5774268.7810455216</v>
      </c>
      <c r="G827" s="545">
        <f>-'Foglio deposito bis'!$F$60*(C827-sezione!$AN$30)*IF(ABS(M827)&lt;'Sollecitazioni nel paramento'!$G$58,ABS(M827)*'Sollecitazioni nel paramento'!$G$54,'Sollecitazioni nel paramento'!$G$53)</f>
        <v>0</v>
      </c>
      <c r="H827" s="545">
        <f>-'Foglio deposito bis'!$F$61*(C827-sezione!$AO$30)*IF(ABS(N827)&lt;'Sollecitazioni nel paramento'!$G$58,ABS(N827)*'Sollecitazioni nel paramento'!$G$54,'Sollecitazioni nel paramento'!$G$53)</f>
        <v>33148703.191863704</v>
      </c>
      <c r="I827" s="472">
        <f>-'Foglio deposito bis'!$F$62*(C827-sezione!$AP$30)*IF(ABS(O827)&lt;'Sollecitazioni nel paramento'!$G$58,ABS(O827)*'Sollecitazioni nel paramento'!$G$54,'Sollecitazioni nel paramento'!$G$53)</f>
        <v>114069331.39317821</v>
      </c>
      <c r="J827" s="472">
        <f t="shared" si="59"/>
        <v>141805913.60295564</v>
      </c>
      <c r="K827" s="550">
        <f>'Sollecitazioni nel paramento'!$G$60*(sezione!$AL$30-C827)/C827</f>
        <v>2.7435971626794927E-3</v>
      </c>
      <c r="L827" s="550">
        <f>'Sollecitazioni nel paramento'!$G$60*(sezione!$AM$30-C827)/C827</f>
        <v>5.8653957440192384E-3</v>
      </c>
      <c r="M827" s="551">
        <f>'Sollecitazioni nel paramento'!$G$60*(sezione!$AN$30-C827)/C827</f>
        <v>8.987194325358985E-3</v>
      </c>
      <c r="N827" s="551">
        <f>'Sollecitazioni nel paramento'!$G$60*(sezione!$AO$30-C827)/C827</f>
        <v>2.147438865071797E-2</v>
      </c>
      <c r="O827" s="551">
        <f>'Sollecitazioni nel paramento'!$G$60*(sezione!$AP$30-C827)/C827</f>
        <v>5.6576915657833383E-2</v>
      </c>
      <c r="P827" s="545">
        <f>-'Sollecitazioni nel paramento'!$G$47*'Sollecitazioni nel paramento'!$G$41*IF(DATI!$G$211="dx",DATI!$E$61,DATI!$E$64*DATI!$E$63)*1000*C827*sezione!$AD$5</f>
        <v>-854247.93769222742</v>
      </c>
      <c r="Q827" s="545">
        <f>'Foglio deposito bis'!$F$58*IF(ABS(K827)&lt;'Sollecitazioni nel paramento'!$G$58,ABS(K827)*'Sollecitazioni nel paramento'!$G$54,'Sollecitazioni nel paramento'!$G$53)*IF(K827&lt;0,-1,1)</f>
        <v>0</v>
      </c>
      <c r="R827" s="545">
        <f>'Foglio deposito bis'!$F$59*IF(ABS(L827)&lt;'Sollecitazioni nel paramento'!$G$58,ABS(L827)*'Sollecitazioni nel paramento'!$G$54,'Sollecitazioni nel paramento'!$G$53)*IF(L827&lt;0,-1,1)</f>
        <v>153664.85805602249</v>
      </c>
      <c r="S827" s="545">
        <f>'Foglio deposito bis'!$F$60*IF(ABS(M827)&lt;'Sollecitazioni nel paramento'!$G$58,ABS(M827)*'Sollecitazioni nel paramento'!$G$54,'Sollecitazioni nel paramento'!$G$53)*IF(M827&lt;0,-1,1)</f>
        <v>0</v>
      </c>
      <c r="T827" s="545">
        <f>'Foglio deposito bis'!$F$61*IF(ABS(N827)&lt;'Sollecitazioni nel paramento'!$G$58,ABS(N827)*'Sollecitazioni nel paramento'!$G$54,'Sollecitazioni nel paramento'!$G$53)*IF(N827&lt;0,-1,1)</f>
        <v>240946.49743184328</v>
      </c>
      <c r="U827" s="545">
        <f>'Foglio deposito bis'!$F$62*IF(ABS(O827)&lt;'Sollecitazioni nel paramento'!$G$58,ABS(O827)*'Sollecitazioni nel paramento'!$G$54,'Sollecitazioni nel paramento'!$G$53)*IF(O827&lt;0,-1,1)</f>
        <v>314705.62929873407</v>
      </c>
      <c r="V827" s="472">
        <f t="shared" si="61"/>
        <v>-144930.95290562761</v>
      </c>
      <c r="W827" s="551"/>
      <c r="X827" s="551"/>
    </row>
    <row r="828" spans="1:24" x14ac:dyDescent="0.25">
      <c r="A828" s="545">
        <f t="shared" si="60"/>
        <v>155882.84954270715</v>
      </c>
      <c r="B828" s="3">
        <f t="shared" si="62"/>
        <v>3.949999999999994</v>
      </c>
      <c r="C828" s="545">
        <f>'Foglio deposito bis'!$E$156/sezione!$B$247*B828</f>
        <v>22.710445293049514</v>
      </c>
      <c r="D828" s="603">
        <f>-'Sollecitazioni nel paramento'!$G$47*'Sollecitazioni nel paramento'!$G$41*IF(DATI!$G$211="dx",DATI!$E$61,DATI!$E$64*DATI!$E$63)*1000*C828^2*sezione!$AD$5*(1-sezione!$AD$6)</f>
        <v>-11475058.926973281</v>
      </c>
      <c r="E828" s="545">
        <f>-'Foglio deposito bis'!$F$58*(C828-sezione!$AL$30)*IF(ABS(K828)&lt;'Sollecitazioni nel paramento'!$G$58,ABS(K828)*'Sollecitazioni nel paramento'!$G$54,'Sollecitazioni nel paramento'!$G$53)</f>
        <v>0</v>
      </c>
      <c r="F828" s="545">
        <f>-'Foglio deposito bis'!$F$59*(C828-sezione!$AM$30)*IF(ABS(L828)&lt;'Sollecitazioni nel paramento'!$G$58,ABS(L828)*'Sollecitazioni nel paramento'!$G$54,'Sollecitazioni nel paramento'!$G$53)</f>
        <v>5730094.1310158316</v>
      </c>
      <c r="G828" s="545">
        <f>-'Foglio deposito bis'!$F$60*(C828-sezione!$AN$30)*IF(ABS(M828)&lt;'Sollecitazioni nel paramento'!$G$58,ABS(M828)*'Sollecitazioni nel paramento'!$G$54,'Sollecitazioni nel paramento'!$G$53)</f>
        <v>0</v>
      </c>
      <c r="H828" s="545">
        <f>-'Foglio deposito bis'!$F$61*(C828-sezione!$AO$30)*IF(ABS(N828)&lt;'Sollecitazioni nel paramento'!$G$58,ABS(N828)*'Sollecitazioni nel paramento'!$G$54,'Sollecitazioni nel paramento'!$G$53)</f>
        <v>33079437.340617154</v>
      </c>
      <c r="I828" s="472">
        <f>-'Foglio deposito bis'!$F$62*(C828-sezione!$AP$30)*IF(ABS(O828)&lt;'Sollecitazioni nel paramento'!$G$58,ABS(O828)*'Sollecitazioni nel paramento'!$G$54,'Sollecitazioni nel paramento'!$G$53)</f>
        <v>113978861.7099174</v>
      </c>
      <c r="J828" s="472">
        <f t="shared" si="59"/>
        <v>141313334.2545771</v>
      </c>
      <c r="K828" s="550">
        <f>'Sollecitazioni nel paramento'!$G$60*(sezione!$AL$30-C828)/C828</f>
        <v>2.6645642872025377E-3</v>
      </c>
      <c r="L828" s="550">
        <f>'Sollecitazioni nel paramento'!$G$60*(sezione!$AM$30-C828)/C828</f>
        <v>5.7468464308038066E-3</v>
      </c>
      <c r="M828" s="551">
        <f>'Sollecitazioni nel paramento'!$G$60*(sezione!$AN$30-C828)/C828</f>
        <v>8.8291285744050759E-3</v>
      </c>
      <c r="N828" s="551">
        <f>'Sollecitazioni nel paramento'!$G$60*(sezione!$AO$30-C828)/C828</f>
        <v>2.1158257148810151E-2</v>
      </c>
      <c r="O828" s="551">
        <f>'Sollecitazioni nel paramento'!$G$60*(sezione!$AP$30-C828)/C828</f>
        <v>5.5816448371025361E-2</v>
      </c>
      <c r="P828" s="545">
        <f>-'Sollecitazioni nel paramento'!$G$47*'Sollecitazioni nel paramento'!$G$41*IF(DATI!$G$211="dx",DATI!$E$61,DATI!$E$64*DATI!$E$63)*1000*C828*sezione!$AD$5</f>
        <v>-865199.83432930708</v>
      </c>
      <c r="Q828" s="545">
        <f>'Foglio deposito bis'!$F$58*IF(ABS(K828)&lt;'Sollecitazioni nel paramento'!$G$58,ABS(K828)*'Sollecitazioni nel paramento'!$G$54,'Sollecitazioni nel paramento'!$G$53)*IF(K828&lt;0,-1,1)</f>
        <v>0</v>
      </c>
      <c r="R828" s="545">
        <f>'Foglio deposito bis'!$F$59*IF(ABS(L828)&lt;'Sollecitazioni nel paramento'!$G$58,ABS(L828)*'Sollecitazioni nel paramento'!$G$54,'Sollecitazioni nel paramento'!$G$53)*IF(L828&lt;0,-1,1)</f>
        <v>153664.85805602249</v>
      </c>
      <c r="S828" s="545">
        <f>'Foglio deposito bis'!$F$60*IF(ABS(M828)&lt;'Sollecitazioni nel paramento'!$G$58,ABS(M828)*'Sollecitazioni nel paramento'!$G$54,'Sollecitazioni nel paramento'!$G$53)*IF(M828&lt;0,-1,1)</f>
        <v>0</v>
      </c>
      <c r="T828" s="545">
        <f>'Foglio deposito bis'!$F$61*IF(ABS(N828)&lt;'Sollecitazioni nel paramento'!$G$58,ABS(N828)*'Sollecitazioni nel paramento'!$G$54,'Sollecitazioni nel paramento'!$G$53)*IF(N828&lt;0,-1,1)</f>
        <v>240946.49743184328</v>
      </c>
      <c r="U828" s="545">
        <f>'Foglio deposito bis'!$F$62*IF(ABS(O828)&lt;'Sollecitazioni nel paramento'!$G$58,ABS(O828)*'Sollecitazioni nel paramento'!$G$54,'Sollecitazioni nel paramento'!$G$53)*IF(O828&lt;0,-1,1)</f>
        <v>314705.62929873407</v>
      </c>
      <c r="V828" s="472">
        <f t="shared" si="61"/>
        <v>-155882.84954270715</v>
      </c>
      <c r="W828" s="551"/>
      <c r="X828" s="551"/>
    </row>
    <row r="829" spans="1:24" x14ac:dyDescent="0.25">
      <c r="A829" s="545">
        <f t="shared" si="60"/>
        <v>166834.74617978715</v>
      </c>
      <c r="B829" s="3">
        <f t="shared" si="62"/>
        <v>3.9999999999999938</v>
      </c>
      <c r="C829" s="545">
        <f>'Foglio deposito bis'!$E$156/sezione!$B$247*B829</f>
        <v>22.997919284100774</v>
      </c>
      <c r="D829" s="603">
        <f>-'Sollecitazioni nel paramento'!$G$47*'Sollecitazioni nel paramento'!$G$41*IF(DATI!$G$211="dx",DATI!$E$61,DATI!$E$64*DATI!$E$63)*1000*C829^2*sezione!$AD$5*(1-sezione!$AD$6)</f>
        <v>-11767405.405003848</v>
      </c>
      <c r="E829" s="545">
        <f>-'Foglio deposito bis'!$F$58*(C829-sezione!$AL$30)*IF(ABS(K829)&lt;'Sollecitazioni nel paramento'!$G$58,ABS(K829)*'Sollecitazioni nel paramento'!$G$54,'Sollecitazioni nel paramento'!$G$53)</f>
        <v>0</v>
      </c>
      <c r="F829" s="545">
        <f>-'Foglio deposito bis'!$F$59*(C829-sezione!$AM$30)*IF(ABS(L829)&lt;'Sollecitazioni nel paramento'!$G$58,ABS(L829)*'Sollecitazioni nel paramento'!$G$54,'Sollecitazioni nel paramento'!$G$53)</f>
        <v>5685919.4809861416</v>
      </c>
      <c r="G829" s="545">
        <f>-'Foglio deposito bis'!$F$60*(C829-sezione!$AN$30)*IF(ABS(M829)&lt;'Sollecitazioni nel paramento'!$G$58,ABS(M829)*'Sollecitazioni nel paramento'!$G$54,'Sollecitazioni nel paramento'!$G$53)</f>
        <v>0</v>
      </c>
      <c r="H829" s="545">
        <f>-'Foglio deposito bis'!$F$61*(C829-sezione!$AO$30)*IF(ABS(N829)&lt;'Sollecitazioni nel paramento'!$G$58,ABS(N829)*'Sollecitazioni nel paramento'!$G$54,'Sollecitazioni nel paramento'!$G$53)</f>
        <v>33010171.489370599</v>
      </c>
      <c r="I829" s="472">
        <f>-'Foglio deposito bis'!$F$62*(C829-sezione!$AP$30)*IF(ABS(O829)&lt;'Sollecitazioni nel paramento'!$G$58,ABS(O829)*'Sollecitazioni nel paramento'!$G$54,'Sollecitazioni nel paramento'!$G$53)</f>
        <v>113888392.0266566</v>
      </c>
      <c r="J829" s="472">
        <f t="shared" si="59"/>
        <v>140817077.59200948</v>
      </c>
      <c r="K829" s="550">
        <f>'Sollecitazioni nel paramento'!$G$60*(sezione!$AL$30-C829)/C829</f>
        <v>2.5875072336125054E-3</v>
      </c>
      <c r="L829" s="550">
        <f>'Sollecitazioni nel paramento'!$G$60*(sezione!$AM$30-C829)/C829</f>
        <v>5.6312608504187588E-3</v>
      </c>
      <c r="M829" s="551">
        <f>'Sollecitazioni nel paramento'!$G$60*(sezione!$AN$30-C829)/C829</f>
        <v>8.6750144672250104E-3</v>
      </c>
      <c r="N829" s="551">
        <f>'Sollecitazioni nel paramento'!$G$60*(sezione!$AO$30-C829)/C829</f>
        <v>2.0850028934450024E-2</v>
      </c>
      <c r="O829" s="551">
        <f>'Sollecitazioni nel paramento'!$G$60*(sezione!$AP$30-C829)/C829</f>
        <v>5.5074992766387554E-2</v>
      </c>
      <c r="P829" s="545">
        <f>-'Sollecitazioni nel paramento'!$G$47*'Sollecitazioni nel paramento'!$G$41*IF(DATI!$G$211="dx",DATI!$E$61,DATI!$E$64*DATI!$E$63)*1000*C829*sezione!$AD$5</f>
        <v>-876151.73096638697</v>
      </c>
      <c r="Q829" s="545">
        <f>'Foglio deposito bis'!$F$58*IF(ABS(K829)&lt;'Sollecitazioni nel paramento'!$G$58,ABS(K829)*'Sollecitazioni nel paramento'!$G$54,'Sollecitazioni nel paramento'!$G$53)*IF(K829&lt;0,-1,1)</f>
        <v>0</v>
      </c>
      <c r="R829" s="545">
        <f>'Foglio deposito bis'!$F$59*IF(ABS(L829)&lt;'Sollecitazioni nel paramento'!$G$58,ABS(L829)*'Sollecitazioni nel paramento'!$G$54,'Sollecitazioni nel paramento'!$G$53)*IF(L829&lt;0,-1,1)</f>
        <v>153664.85805602249</v>
      </c>
      <c r="S829" s="545">
        <f>'Foglio deposito bis'!$F$60*IF(ABS(M829)&lt;'Sollecitazioni nel paramento'!$G$58,ABS(M829)*'Sollecitazioni nel paramento'!$G$54,'Sollecitazioni nel paramento'!$G$53)*IF(M829&lt;0,-1,1)</f>
        <v>0</v>
      </c>
      <c r="T829" s="545">
        <f>'Foglio deposito bis'!$F$61*IF(ABS(N829)&lt;'Sollecitazioni nel paramento'!$G$58,ABS(N829)*'Sollecitazioni nel paramento'!$G$54,'Sollecitazioni nel paramento'!$G$53)*IF(N829&lt;0,-1,1)</f>
        <v>240946.49743184328</v>
      </c>
      <c r="U829" s="545">
        <f>'Foglio deposito bis'!$F$62*IF(ABS(O829)&lt;'Sollecitazioni nel paramento'!$G$58,ABS(O829)*'Sollecitazioni nel paramento'!$G$54,'Sollecitazioni nel paramento'!$G$53)*IF(O829&lt;0,-1,1)</f>
        <v>314705.62929873407</v>
      </c>
      <c r="V829" s="472">
        <f t="shared" si="61"/>
        <v>-166834.74617978715</v>
      </c>
      <c r="W829" s="551"/>
      <c r="X829" s="551"/>
    </row>
    <row r="830" spans="1:24" x14ac:dyDescent="0.25">
      <c r="A830" s="545">
        <f t="shared" si="60"/>
        <v>177786.64281686692</v>
      </c>
      <c r="B830" s="3">
        <f t="shared" si="62"/>
        <v>4.0499999999999936</v>
      </c>
      <c r="C830" s="545">
        <f>'Foglio deposito bis'!$E$156/sezione!$B$247*B830</f>
        <v>23.285393275152032</v>
      </c>
      <c r="D830" s="603">
        <f>-'Sollecitazioni nel paramento'!$G$47*'Sollecitazioni nel paramento'!$G$41*IF(DATI!$G$211="dx",DATI!$E$61,DATI!$E$64*DATI!$E$63)*1000*C830^2*sezione!$AD$5*(1-sezione!$AD$6)</f>
        <v>-12063429.197223473</v>
      </c>
      <c r="E830" s="545">
        <f>-'Foglio deposito bis'!$F$58*(C830-sezione!$AL$30)*IF(ABS(K830)&lt;'Sollecitazioni nel paramento'!$G$58,ABS(K830)*'Sollecitazioni nel paramento'!$G$54,'Sollecitazioni nel paramento'!$G$53)</f>
        <v>0</v>
      </c>
      <c r="F830" s="545">
        <f>-'Foglio deposito bis'!$F$59*(C830-sezione!$AM$30)*IF(ABS(L830)&lt;'Sollecitazioni nel paramento'!$G$58,ABS(L830)*'Sollecitazioni nel paramento'!$G$54,'Sollecitazioni nel paramento'!$G$53)</f>
        <v>5641744.8309564516</v>
      </c>
      <c r="G830" s="545">
        <f>-'Foglio deposito bis'!$F$60*(C830-sezione!$AN$30)*IF(ABS(M830)&lt;'Sollecitazioni nel paramento'!$G$58,ABS(M830)*'Sollecitazioni nel paramento'!$G$54,'Sollecitazioni nel paramento'!$G$53)</f>
        <v>0</v>
      </c>
      <c r="H830" s="545">
        <f>-'Foglio deposito bis'!$F$61*(C830-sezione!$AO$30)*IF(ABS(N830)&lt;'Sollecitazioni nel paramento'!$G$58,ABS(N830)*'Sollecitazioni nel paramento'!$G$54,'Sollecitazioni nel paramento'!$G$53)</f>
        <v>32940905.638124041</v>
      </c>
      <c r="I830" s="472">
        <f>-'Foglio deposito bis'!$F$62*(C830-sezione!$AP$30)*IF(ABS(O830)&lt;'Sollecitazioni nel paramento'!$G$58,ABS(O830)*'Sollecitazioni nel paramento'!$G$54,'Sollecitazioni nel paramento'!$G$53)</f>
        <v>113797922.34339578</v>
      </c>
      <c r="J830" s="472">
        <f t="shared" si="59"/>
        <v>140317143.61525279</v>
      </c>
      <c r="K830" s="550">
        <f>'Sollecitazioni nel paramento'!$G$60*(sezione!$AL$30-C830)/C830</f>
        <v>2.5123528233209937E-3</v>
      </c>
      <c r="L830" s="550">
        <f>'Sollecitazioni nel paramento'!$G$60*(sezione!$AM$30-C830)/C830</f>
        <v>5.5185292349814903E-3</v>
      </c>
      <c r="M830" s="551">
        <f>'Sollecitazioni nel paramento'!$G$60*(sezione!$AN$30-C830)/C830</f>
        <v>8.524705646641987E-3</v>
      </c>
      <c r="N830" s="551">
        <f>'Sollecitazioni nel paramento'!$G$60*(sezione!$AO$30-C830)/C830</f>
        <v>2.0549411293283974E-2</v>
      </c>
      <c r="O830" s="551">
        <f>'Sollecitazioni nel paramento'!$G$60*(sezione!$AP$30-C830)/C830</f>
        <v>5.4351844707543256E-2</v>
      </c>
      <c r="P830" s="545">
        <f>-'Sollecitazioni nel paramento'!$G$47*'Sollecitazioni nel paramento'!$G$41*IF(DATI!$G$211="dx",DATI!$E$61,DATI!$E$64*DATI!$E$63)*1000*C830*sezione!$AD$5</f>
        <v>-887103.62760346686</v>
      </c>
      <c r="Q830" s="545">
        <f>'Foglio deposito bis'!$F$58*IF(ABS(K830)&lt;'Sollecitazioni nel paramento'!$G$58,ABS(K830)*'Sollecitazioni nel paramento'!$G$54,'Sollecitazioni nel paramento'!$G$53)*IF(K830&lt;0,-1,1)</f>
        <v>0</v>
      </c>
      <c r="R830" s="545">
        <f>'Foglio deposito bis'!$F$59*IF(ABS(L830)&lt;'Sollecitazioni nel paramento'!$G$58,ABS(L830)*'Sollecitazioni nel paramento'!$G$54,'Sollecitazioni nel paramento'!$G$53)*IF(L830&lt;0,-1,1)</f>
        <v>153664.85805602249</v>
      </c>
      <c r="S830" s="545">
        <f>'Foglio deposito bis'!$F$60*IF(ABS(M830)&lt;'Sollecitazioni nel paramento'!$G$58,ABS(M830)*'Sollecitazioni nel paramento'!$G$54,'Sollecitazioni nel paramento'!$G$53)*IF(M830&lt;0,-1,1)</f>
        <v>0</v>
      </c>
      <c r="T830" s="545">
        <f>'Foglio deposito bis'!$F$61*IF(ABS(N830)&lt;'Sollecitazioni nel paramento'!$G$58,ABS(N830)*'Sollecitazioni nel paramento'!$G$54,'Sollecitazioni nel paramento'!$G$53)*IF(N830&lt;0,-1,1)</f>
        <v>240946.49743184328</v>
      </c>
      <c r="U830" s="545">
        <f>'Foglio deposito bis'!$F$62*IF(ABS(O830)&lt;'Sollecitazioni nel paramento'!$G$58,ABS(O830)*'Sollecitazioni nel paramento'!$G$54,'Sollecitazioni nel paramento'!$G$53)*IF(O830&lt;0,-1,1)</f>
        <v>314705.62929873407</v>
      </c>
      <c r="V830" s="472">
        <f t="shared" si="61"/>
        <v>-177786.64281686692</v>
      </c>
      <c r="W830" s="551"/>
      <c r="X830" s="551"/>
    </row>
    <row r="831" spans="1:24" x14ac:dyDescent="0.25">
      <c r="A831" s="545">
        <f t="shared" si="60"/>
        <v>188738.53945394693</v>
      </c>
      <c r="B831" s="3">
        <f t="shared" si="62"/>
        <v>4.0999999999999934</v>
      </c>
      <c r="C831" s="545">
        <f>'Foglio deposito bis'!$E$156/sezione!$B$247*B831</f>
        <v>23.572867266203293</v>
      </c>
      <c r="D831" s="603">
        <f>-'Sollecitazioni nel paramento'!$G$47*'Sollecitazioni nel paramento'!$G$41*IF(DATI!$G$211="dx",DATI!$E$61,DATI!$E$64*DATI!$E$63)*1000*C831^2*sezione!$AD$5*(1-sezione!$AD$6)</f>
        <v>-12363130.303632164</v>
      </c>
      <c r="E831" s="545">
        <f>-'Foglio deposito bis'!$F$58*(C831-sezione!$AL$30)*IF(ABS(K831)&lt;'Sollecitazioni nel paramento'!$G$58,ABS(K831)*'Sollecitazioni nel paramento'!$G$54,'Sollecitazioni nel paramento'!$G$53)</f>
        <v>0</v>
      </c>
      <c r="F831" s="545">
        <f>-'Foglio deposito bis'!$F$59*(C831-sezione!$AM$30)*IF(ABS(L831)&lt;'Sollecitazioni nel paramento'!$G$58,ABS(L831)*'Sollecitazioni nel paramento'!$G$54,'Sollecitazioni nel paramento'!$G$53)</f>
        <v>5597570.1809267616</v>
      </c>
      <c r="G831" s="545">
        <f>-'Foglio deposito bis'!$F$60*(C831-sezione!$AN$30)*IF(ABS(M831)&lt;'Sollecitazioni nel paramento'!$G$58,ABS(M831)*'Sollecitazioni nel paramento'!$G$54,'Sollecitazioni nel paramento'!$G$53)</f>
        <v>0</v>
      </c>
      <c r="H831" s="545">
        <f>-'Foglio deposito bis'!$F$61*(C831-sezione!$AO$30)*IF(ABS(N831)&lt;'Sollecitazioni nel paramento'!$G$58,ABS(N831)*'Sollecitazioni nel paramento'!$G$54,'Sollecitazioni nel paramento'!$G$53)</f>
        <v>32871639.786877483</v>
      </c>
      <c r="I831" s="472">
        <f>-'Foglio deposito bis'!$F$62*(C831-sezione!$AP$30)*IF(ABS(O831)&lt;'Sollecitazioni nel paramento'!$G$58,ABS(O831)*'Sollecitazioni nel paramento'!$G$54,'Sollecitazioni nel paramento'!$G$53)</f>
        <v>113707452.660135</v>
      </c>
      <c r="J831" s="472">
        <f t="shared" si="59"/>
        <v>139813532.32430708</v>
      </c>
      <c r="K831" s="550">
        <f>'Sollecitazioni nel paramento'!$G$60*(sezione!$AL$30-C831)/C831</f>
        <v>2.4390314474268351E-3</v>
      </c>
      <c r="L831" s="550">
        <f>'Sollecitazioni nel paramento'!$G$60*(sezione!$AM$30-C831)/C831</f>
        <v>5.4085471711402527E-3</v>
      </c>
      <c r="M831" s="551">
        <f>'Sollecitazioni nel paramento'!$G$60*(sezione!$AN$30-C831)/C831</f>
        <v>8.3780628948536707E-3</v>
      </c>
      <c r="N831" s="551">
        <f>'Sollecitazioni nel paramento'!$G$60*(sezione!$AO$30-C831)/C831</f>
        <v>2.0256125789707338E-2</v>
      </c>
      <c r="O831" s="551">
        <f>'Sollecitazioni nel paramento'!$G$60*(sezione!$AP$30-C831)/C831</f>
        <v>5.364633440623176E-2</v>
      </c>
      <c r="P831" s="545">
        <f>-'Sollecitazioni nel paramento'!$G$47*'Sollecitazioni nel paramento'!$G$41*IF(DATI!$G$211="dx",DATI!$E$61,DATI!$E$64*DATI!$E$63)*1000*C831*sezione!$AD$5</f>
        <v>-898055.52424054674</v>
      </c>
      <c r="Q831" s="545">
        <f>'Foglio deposito bis'!$F$58*IF(ABS(K831)&lt;'Sollecitazioni nel paramento'!$G$58,ABS(K831)*'Sollecitazioni nel paramento'!$G$54,'Sollecitazioni nel paramento'!$G$53)*IF(K831&lt;0,-1,1)</f>
        <v>0</v>
      </c>
      <c r="R831" s="545">
        <f>'Foglio deposito bis'!$F$59*IF(ABS(L831)&lt;'Sollecitazioni nel paramento'!$G$58,ABS(L831)*'Sollecitazioni nel paramento'!$G$54,'Sollecitazioni nel paramento'!$G$53)*IF(L831&lt;0,-1,1)</f>
        <v>153664.85805602249</v>
      </c>
      <c r="S831" s="545">
        <f>'Foglio deposito bis'!$F$60*IF(ABS(M831)&lt;'Sollecitazioni nel paramento'!$G$58,ABS(M831)*'Sollecitazioni nel paramento'!$G$54,'Sollecitazioni nel paramento'!$G$53)*IF(M831&lt;0,-1,1)</f>
        <v>0</v>
      </c>
      <c r="T831" s="545">
        <f>'Foglio deposito bis'!$F$61*IF(ABS(N831)&lt;'Sollecitazioni nel paramento'!$G$58,ABS(N831)*'Sollecitazioni nel paramento'!$G$54,'Sollecitazioni nel paramento'!$G$53)*IF(N831&lt;0,-1,1)</f>
        <v>240946.49743184328</v>
      </c>
      <c r="U831" s="545">
        <f>'Foglio deposito bis'!$F$62*IF(ABS(O831)&lt;'Sollecitazioni nel paramento'!$G$58,ABS(O831)*'Sollecitazioni nel paramento'!$G$54,'Sollecitazioni nel paramento'!$G$53)*IF(O831&lt;0,-1,1)</f>
        <v>314705.62929873407</v>
      </c>
      <c r="V831" s="472">
        <f t="shared" si="61"/>
        <v>-188738.53945394693</v>
      </c>
      <c r="W831" s="551"/>
      <c r="X831" s="551"/>
    </row>
    <row r="832" spans="1:24" x14ac:dyDescent="0.25">
      <c r="A832" s="545">
        <f t="shared" si="60"/>
        <v>199690.43609102647</v>
      </c>
      <c r="B832" s="3">
        <f t="shared" si="62"/>
        <v>4.1499999999999932</v>
      </c>
      <c r="C832" s="545">
        <f>'Foglio deposito bis'!$E$156/sezione!$B$247*B832</f>
        <v>23.86034125725455</v>
      </c>
      <c r="D832" s="603">
        <f>-'Sollecitazioni nel paramento'!$G$47*'Sollecitazioni nel paramento'!$G$41*IF(DATI!$G$211="dx",DATI!$E$61,DATI!$E$64*DATI!$E$63)*1000*C832^2*sezione!$AD$5*(1-sezione!$AD$6)</f>
        <v>-12666508.724229921</v>
      </c>
      <c r="E832" s="545">
        <f>-'Foglio deposito bis'!$F$58*(C832-sezione!$AL$30)*IF(ABS(K832)&lt;'Sollecitazioni nel paramento'!$G$58,ABS(K832)*'Sollecitazioni nel paramento'!$G$54,'Sollecitazioni nel paramento'!$G$53)</f>
        <v>0</v>
      </c>
      <c r="F832" s="545">
        <f>-'Foglio deposito bis'!$F$59*(C832-sezione!$AM$30)*IF(ABS(L832)&lt;'Sollecitazioni nel paramento'!$G$58,ABS(L832)*'Sollecitazioni nel paramento'!$G$54,'Sollecitazioni nel paramento'!$G$53)</f>
        <v>5553395.5308970725</v>
      </c>
      <c r="G832" s="545">
        <f>-'Foglio deposito bis'!$F$60*(C832-sezione!$AN$30)*IF(ABS(M832)&lt;'Sollecitazioni nel paramento'!$G$58,ABS(M832)*'Sollecitazioni nel paramento'!$G$54,'Sollecitazioni nel paramento'!$G$53)</f>
        <v>0</v>
      </c>
      <c r="H832" s="545">
        <f>-'Foglio deposito bis'!$F$61*(C832-sezione!$AO$30)*IF(ABS(N832)&lt;'Sollecitazioni nel paramento'!$G$58,ABS(N832)*'Sollecitazioni nel paramento'!$G$54,'Sollecitazioni nel paramento'!$G$53)</f>
        <v>32802373.935630932</v>
      </c>
      <c r="I832" s="472">
        <f>-'Foglio deposito bis'!$F$62*(C832-sezione!$AP$30)*IF(ABS(O832)&lt;'Sollecitazioni nel paramento'!$G$58,ABS(O832)*'Sollecitazioni nel paramento'!$G$54,'Sollecitazioni nel paramento'!$G$53)</f>
        <v>113616982.97687417</v>
      </c>
      <c r="J832" s="472">
        <f t="shared" si="59"/>
        <v>139306243.71917227</v>
      </c>
      <c r="K832" s="550">
        <f>'Sollecitazioni nel paramento'!$G$60*(sezione!$AL$30-C832)/C832</f>
        <v>2.367476851674705E-3</v>
      </c>
      <c r="L832" s="550">
        <f>'Sollecitazioni nel paramento'!$G$60*(sezione!$AM$30-C832)/C832</f>
        <v>5.3012152775120582E-3</v>
      </c>
      <c r="M832" s="551">
        <f>'Sollecitazioni nel paramento'!$G$60*(sezione!$AN$30-C832)/C832</f>
        <v>8.2349537033494114E-3</v>
      </c>
      <c r="N832" s="551">
        <f>'Sollecitazioni nel paramento'!$G$60*(sezione!$AO$30-C832)/C832</f>
        <v>1.9969907406698819E-2</v>
      </c>
      <c r="O832" s="551">
        <f>'Sollecitazioni nel paramento'!$G$60*(sezione!$AP$30-C832)/C832</f>
        <v>5.2957824353144625E-2</v>
      </c>
      <c r="P832" s="545">
        <f>-'Sollecitazioni nel paramento'!$G$47*'Sollecitazioni nel paramento'!$G$41*IF(DATI!$G$211="dx",DATI!$E$61,DATI!$E$64*DATI!$E$63)*1000*C832*sezione!$AD$5</f>
        <v>-909007.4208776264</v>
      </c>
      <c r="Q832" s="545">
        <f>'Foglio deposito bis'!$F$58*IF(ABS(K832)&lt;'Sollecitazioni nel paramento'!$G$58,ABS(K832)*'Sollecitazioni nel paramento'!$G$54,'Sollecitazioni nel paramento'!$G$53)*IF(K832&lt;0,-1,1)</f>
        <v>0</v>
      </c>
      <c r="R832" s="545">
        <f>'Foglio deposito bis'!$F$59*IF(ABS(L832)&lt;'Sollecitazioni nel paramento'!$G$58,ABS(L832)*'Sollecitazioni nel paramento'!$G$54,'Sollecitazioni nel paramento'!$G$53)*IF(L832&lt;0,-1,1)</f>
        <v>153664.85805602249</v>
      </c>
      <c r="S832" s="545">
        <f>'Foglio deposito bis'!$F$60*IF(ABS(M832)&lt;'Sollecitazioni nel paramento'!$G$58,ABS(M832)*'Sollecitazioni nel paramento'!$G$54,'Sollecitazioni nel paramento'!$G$53)*IF(M832&lt;0,-1,1)</f>
        <v>0</v>
      </c>
      <c r="T832" s="545">
        <f>'Foglio deposito bis'!$F$61*IF(ABS(N832)&lt;'Sollecitazioni nel paramento'!$G$58,ABS(N832)*'Sollecitazioni nel paramento'!$G$54,'Sollecitazioni nel paramento'!$G$53)*IF(N832&lt;0,-1,1)</f>
        <v>240946.49743184328</v>
      </c>
      <c r="U832" s="545">
        <f>'Foglio deposito bis'!$F$62*IF(ABS(O832)&lt;'Sollecitazioni nel paramento'!$G$58,ABS(O832)*'Sollecitazioni nel paramento'!$G$54,'Sollecitazioni nel paramento'!$G$53)*IF(O832&lt;0,-1,1)</f>
        <v>314705.62929873407</v>
      </c>
      <c r="V832" s="472">
        <f t="shared" si="61"/>
        <v>-199690.43609102647</v>
      </c>
      <c r="W832" s="551"/>
      <c r="X832" s="551"/>
    </row>
    <row r="833" spans="1:24" x14ac:dyDescent="0.25">
      <c r="A833" s="545">
        <f t="shared" si="60"/>
        <v>210642.33272810647</v>
      </c>
      <c r="B833" s="3">
        <f t="shared" si="62"/>
        <v>4.1999999999999931</v>
      </c>
      <c r="C833" s="545">
        <f>'Foglio deposito bis'!$E$156/sezione!$B$247*B833</f>
        <v>24.147815248305811</v>
      </c>
      <c r="D833" s="603">
        <f>-'Sollecitazioni nel paramento'!$G$47*'Sollecitazioni nel paramento'!$G$41*IF(DATI!$G$211="dx",DATI!$E$61,DATI!$E$64*DATI!$E$63)*1000*C833^2*sezione!$AD$5*(1-sezione!$AD$6)</f>
        <v>-12973564.459016738</v>
      </c>
      <c r="E833" s="545">
        <f>-'Foglio deposito bis'!$F$58*(C833-sezione!$AL$30)*IF(ABS(K833)&lt;'Sollecitazioni nel paramento'!$G$58,ABS(K833)*'Sollecitazioni nel paramento'!$G$54,'Sollecitazioni nel paramento'!$G$53)</f>
        <v>0</v>
      </c>
      <c r="F833" s="545">
        <f>-'Foglio deposito bis'!$F$59*(C833-sezione!$AM$30)*IF(ABS(L833)&lt;'Sollecitazioni nel paramento'!$G$58,ABS(L833)*'Sollecitazioni nel paramento'!$G$54,'Sollecitazioni nel paramento'!$G$53)</f>
        <v>5509220.8808673816</v>
      </c>
      <c r="G833" s="545">
        <f>-'Foglio deposito bis'!$F$60*(C833-sezione!$AN$30)*IF(ABS(M833)&lt;'Sollecitazioni nel paramento'!$G$58,ABS(M833)*'Sollecitazioni nel paramento'!$G$54,'Sollecitazioni nel paramento'!$G$53)</f>
        <v>0</v>
      </c>
      <c r="H833" s="545">
        <f>-'Foglio deposito bis'!$F$61*(C833-sezione!$AO$30)*IF(ABS(N833)&lt;'Sollecitazioni nel paramento'!$G$58,ABS(N833)*'Sollecitazioni nel paramento'!$G$54,'Sollecitazioni nel paramento'!$G$53)</f>
        <v>32733108.084384382</v>
      </c>
      <c r="I833" s="472">
        <f>-'Foglio deposito bis'!$F$62*(C833-sezione!$AP$30)*IF(ABS(O833)&lt;'Sollecitazioni nel paramento'!$G$58,ABS(O833)*'Sollecitazioni nel paramento'!$G$54,'Sollecitazioni nel paramento'!$G$53)</f>
        <v>113526513.29361339</v>
      </c>
      <c r="J833" s="472">
        <f t="shared" si="59"/>
        <v>138795277.79984841</v>
      </c>
      <c r="K833" s="550">
        <f>'Sollecitazioni nel paramento'!$G$60*(sezione!$AL$30-C833)/C833</f>
        <v>2.2976259367738154E-3</v>
      </c>
      <c r="L833" s="550">
        <f>'Sollecitazioni nel paramento'!$G$60*(sezione!$AM$30-C833)/C833</f>
        <v>5.1964389051607236E-3</v>
      </c>
      <c r="M833" s="551">
        <f>'Sollecitazioni nel paramento'!$G$60*(sezione!$AN$30-C833)/C833</f>
        <v>8.0952518735476296E-3</v>
      </c>
      <c r="N833" s="551">
        <f>'Sollecitazioni nel paramento'!$G$60*(sezione!$AO$30-C833)/C833</f>
        <v>1.9690503747095262E-2</v>
      </c>
      <c r="O833" s="551">
        <f>'Sollecitazioni nel paramento'!$G$60*(sezione!$AP$30-C833)/C833</f>
        <v>5.2285707396559578E-2</v>
      </c>
      <c r="P833" s="545">
        <f>-'Sollecitazioni nel paramento'!$G$47*'Sollecitazioni nel paramento'!$G$41*IF(DATI!$G$211="dx",DATI!$E$61,DATI!$E$64*DATI!$E$63)*1000*C833*sezione!$AD$5</f>
        <v>-919959.31751470629</v>
      </c>
      <c r="Q833" s="545">
        <f>'Foglio deposito bis'!$F$58*IF(ABS(K833)&lt;'Sollecitazioni nel paramento'!$G$58,ABS(K833)*'Sollecitazioni nel paramento'!$G$54,'Sollecitazioni nel paramento'!$G$53)*IF(K833&lt;0,-1,1)</f>
        <v>0</v>
      </c>
      <c r="R833" s="545">
        <f>'Foglio deposito bis'!$F$59*IF(ABS(L833)&lt;'Sollecitazioni nel paramento'!$G$58,ABS(L833)*'Sollecitazioni nel paramento'!$G$54,'Sollecitazioni nel paramento'!$G$53)*IF(L833&lt;0,-1,1)</f>
        <v>153664.85805602249</v>
      </c>
      <c r="S833" s="545">
        <f>'Foglio deposito bis'!$F$60*IF(ABS(M833)&lt;'Sollecitazioni nel paramento'!$G$58,ABS(M833)*'Sollecitazioni nel paramento'!$G$54,'Sollecitazioni nel paramento'!$G$53)*IF(M833&lt;0,-1,1)</f>
        <v>0</v>
      </c>
      <c r="T833" s="545">
        <f>'Foglio deposito bis'!$F$61*IF(ABS(N833)&lt;'Sollecitazioni nel paramento'!$G$58,ABS(N833)*'Sollecitazioni nel paramento'!$G$54,'Sollecitazioni nel paramento'!$G$53)*IF(N833&lt;0,-1,1)</f>
        <v>240946.49743184328</v>
      </c>
      <c r="U833" s="545">
        <f>'Foglio deposito bis'!$F$62*IF(ABS(O833)&lt;'Sollecitazioni nel paramento'!$G$58,ABS(O833)*'Sollecitazioni nel paramento'!$G$54,'Sollecitazioni nel paramento'!$G$53)*IF(O833&lt;0,-1,1)</f>
        <v>314705.62929873407</v>
      </c>
      <c r="V833" s="472">
        <f t="shared" si="61"/>
        <v>-210642.33272810647</v>
      </c>
      <c r="W833" s="551"/>
      <c r="X833" s="551"/>
    </row>
    <row r="834" spans="1:24" x14ac:dyDescent="0.25">
      <c r="A834" s="545">
        <f t="shared" si="60"/>
        <v>221594.22936518601</v>
      </c>
      <c r="B834" s="3">
        <f t="shared" si="62"/>
        <v>4.2499999999999929</v>
      </c>
      <c r="C834" s="545">
        <f>'Foglio deposito bis'!$E$156/sezione!$B$247*B834</f>
        <v>24.435289239357068</v>
      </c>
      <c r="D834" s="603">
        <f>-'Sollecitazioni nel paramento'!$G$47*'Sollecitazioni nel paramento'!$G$41*IF(DATI!$G$211="dx",DATI!$E$61,DATI!$E$64*DATI!$E$63)*1000*C834^2*sezione!$AD$5*(1-sezione!$AD$6)</f>
        <v>-13284297.507992622</v>
      </c>
      <c r="E834" s="545">
        <f>-'Foglio deposito bis'!$F$58*(C834-sezione!$AL$30)*IF(ABS(K834)&lt;'Sollecitazioni nel paramento'!$G$58,ABS(K834)*'Sollecitazioni nel paramento'!$G$54,'Sollecitazioni nel paramento'!$G$53)</f>
        <v>0</v>
      </c>
      <c r="F834" s="545">
        <f>-'Foglio deposito bis'!$F$59*(C834-sezione!$AM$30)*IF(ABS(L834)&lt;'Sollecitazioni nel paramento'!$G$58,ABS(L834)*'Sollecitazioni nel paramento'!$G$54,'Sollecitazioni nel paramento'!$G$53)</f>
        <v>5465046.2308376916</v>
      </c>
      <c r="G834" s="545">
        <f>-'Foglio deposito bis'!$F$60*(C834-sezione!$AN$30)*IF(ABS(M834)&lt;'Sollecitazioni nel paramento'!$G$58,ABS(M834)*'Sollecitazioni nel paramento'!$G$54,'Sollecitazioni nel paramento'!$G$53)</f>
        <v>0</v>
      </c>
      <c r="H834" s="545">
        <f>-'Foglio deposito bis'!$F$61*(C834-sezione!$AO$30)*IF(ABS(N834)&lt;'Sollecitazioni nel paramento'!$G$58,ABS(N834)*'Sollecitazioni nel paramento'!$G$54,'Sollecitazioni nel paramento'!$G$53)</f>
        <v>32663842.233137827</v>
      </c>
      <c r="I834" s="472">
        <f>-'Foglio deposito bis'!$F$62*(C834-sezione!$AP$30)*IF(ABS(O834)&lt;'Sollecitazioni nel paramento'!$G$58,ABS(O834)*'Sollecitazioni nel paramento'!$G$54,'Sollecitazioni nel paramento'!$G$53)</f>
        <v>113436043.61035258</v>
      </c>
      <c r="J834" s="472">
        <f t="shared" si="59"/>
        <v>138280634.56633547</v>
      </c>
      <c r="K834" s="550">
        <f>'Sollecitazioni nel paramento'!$G$60*(sezione!$AL$30-C834)/C834</f>
        <v>2.229418572811771E-3</v>
      </c>
      <c r="L834" s="550">
        <f>'Sollecitazioni nel paramento'!$G$60*(sezione!$AM$30-C834)/C834</f>
        <v>5.0941278592176566E-3</v>
      </c>
      <c r="M834" s="551">
        <f>'Sollecitazioni nel paramento'!$G$60*(sezione!$AN$30-C834)/C834</f>
        <v>7.9588371456235426E-3</v>
      </c>
      <c r="N834" s="551">
        <f>'Sollecitazioni nel paramento'!$G$60*(sezione!$AO$30-C834)/C834</f>
        <v>1.9417674291247085E-2</v>
      </c>
      <c r="O834" s="551">
        <f>'Sollecitazioni nel paramento'!$G$60*(sezione!$AP$30-C834)/C834</f>
        <v>5.1629404956600053E-2</v>
      </c>
      <c r="P834" s="545">
        <f>-'Sollecitazioni nel paramento'!$G$47*'Sollecitazioni nel paramento'!$G$41*IF(DATI!$G$211="dx",DATI!$E$61,DATI!$E$64*DATI!$E$63)*1000*C834*sezione!$AD$5</f>
        <v>-930911.21415178594</v>
      </c>
      <c r="Q834" s="545">
        <f>'Foglio deposito bis'!$F$58*IF(ABS(K834)&lt;'Sollecitazioni nel paramento'!$G$58,ABS(K834)*'Sollecitazioni nel paramento'!$G$54,'Sollecitazioni nel paramento'!$G$53)*IF(K834&lt;0,-1,1)</f>
        <v>0</v>
      </c>
      <c r="R834" s="545">
        <f>'Foglio deposito bis'!$F$59*IF(ABS(L834)&lt;'Sollecitazioni nel paramento'!$G$58,ABS(L834)*'Sollecitazioni nel paramento'!$G$54,'Sollecitazioni nel paramento'!$G$53)*IF(L834&lt;0,-1,1)</f>
        <v>153664.85805602249</v>
      </c>
      <c r="S834" s="545">
        <f>'Foglio deposito bis'!$F$60*IF(ABS(M834)&lt;'Sollecitazioni nel paramento'!$G$58,ABS(M834)*'Sollecitazioni nel paramento'!$G$54,'Sollecitazioni nel paramento'!$G$53)*IF(M834&lt;0,-1,1)</f>
        <v>0</v>
      </c>
      <c r="T834" s="545">
        <f>'Foglio deposito bis'!$F$61*IF(ABS(N834)&lt;'Sollecitazioni nel paramento'!$G$58,ABS(N834)*'Sollecitazioni nel paramento'!$G$54,'Sollecitazioni nel paramento'!$G$53)*IF(N834&lt;0,-1,1)</f>
        <v>240946.49743184328</v>
      </c>
      <c r="U834" s="545">
        <f>'Foglio deposito bis'!$F$62*IF(ABS(O834)&lt;'Sollecitazioni nel paramento'!$G$58,ABS(O834)*'Sollecitazioni nel paramento'!$G$54,'Sollecitazioni nel paramento'!$G$53)*IF(O834&lt;0,-1,1)</f>
        <v>314705.62929873407</v>
      </c>
      <c r="V834" s="472">
        <f t="shared" si="61"/>
        <v>-221594.22936518601</v>
      </c>
      <c r="W834" s="551"/>
      <c r="X834" s="551"/>
    </row>
    <row r="835" spans="1:24" x14ac:dyDescent="0.25">
      <c r="A835" s="545">
        <f t="shared" si="60"/>
        <v>232546.12600226601</v>
      </c>
      <c r="B835" s="3">
        <f t="shared" si="62"/>
        <v>4.2999999999999927</v>
      </c>
      <c r="C835" s="545">
        <f>'Foglio deposito bis'!$E$156/sezione!$B$247*B835</f>
        <v>24.722763230408329</v>
      </c>
      <c r="D835" s="603">
        <f>-'Sollecitazioni nel paramento'!$G$47*'Sollecitazioni nel paramento'!$G$41*IF(DATI!$G$211="dx",DATI!$E$61,DATI!$E$64*DATI!$E$63)*1000*C835^2*sezione!$AD$5*(1-sezione!$AD$6)</f>
        <v>-13598707.871157566</v>
      </c>
      <c r="E835" s="545">
        <f>-'Foglio deposito bis'!$F$58*(C835-sezione!$AL$30)*IF(ABS(K835)&lt;'Sollecitazioni nel paramento'!$G$58,ABS(K835)*'Sollecitazioni nel paramento'!$G$54,'Sollecitazioni nel paramento'!$G$53)</f>
        <v>0</v>
      </c>
      <c r="F835" s="545">
        <f>-'Foglio deposito bis'!$F$59*(C835-sezione!$AM$30)*IF(ABS(L835)&lt;'Sollecitazioni nel paramento'!$G$58,ABS(L835)*'Sollecitazioni nel paramento'!$G$54,'Sollecitazioni nel paramento'!$G$53)</f>
        <v>5420871.5808080016</v>
      </c>
      <c r="G835" s="545">
        <f>-'Foglio deposito bis'!$F$60*(C835-sezione!$AN$30)*IF(ABS(M835)&lt;'Sollecitazioni nel paramento'!$G$58,ABS(M835)*'Sollecitazioni nel paramento'!$G$54,'Sollecitazioni nel paramento'!$G$53)</f>
        <v>0</v>
      </c>
      <c r="H835" s="545">
        <f>-'Foglio deposito bis'!$F$61*(C835-sezione!$AO$30)*IF(ABS(N835)&lt;'Sollecitazioni nel paramento'!$G$58,ABS(N835)*'Sollecitazioni nel paramento'!$G$54,'Sollecitazioni nel paramento'!$G$53)</f>
        <v>32594576.381891277</v>
      </c>
      <c r="I835" s="472">
        <f>-'Foglio deposito bis'!$F$62*(C835-sezione!$AP$30)*IF(ABS(O835)&lt;'Sollecitazioni nel paramento'!$G$58,ABS(O835)*'Sollecitazioni nel paramento'!$G$54,'Sollecitazioni nel paramento'!$G$53)</f>
        <v>113345573.92709176</v>
      </c>
      <c r="J835" s="472">
        <f t="shared" si="59"/>
        <v>137762314.01863348</v>
      </c>
      <c r="K835" s="550">
        <f>'Sollecitazioni nel paramento'!$G$60*(sezione!$AL$30-C835)/C835</f>
        <v>2.162797426616285E-3</v>
      </c>
      <c r="L835" s="550">
        <f>'Sollecitazioni nel paramento'!$G$60*(sezione!$AM$30-C835)/C835</f>
        <v>4.9941961399244273E-3</v>
      </c>
      <c r="M835" s="551">
        <f>'Sollecitazioni nel paramento'!$G$60*(sezione!$AN$30-C835)/C835</f>
        <v>7.8255948532325696E-3</v>
      </c>
      <c r="N835" s="551">
        <f>'Sollecitazioni nel paramento'!$G$60*(sezione!$AO$30-C835)/C835</f>
        <v>1.9151189706465139E-2</v>
      </c>
      <c r="O835" s="551">
        <f>'Sollecitazioni nel paramento'!$G$60*(sezione!$AP$30-C835)/C835</f>
        <v>5.0988365364081453E-2</v>
      </c>
      <c r="P835" s="545">
        <f>-'Sollecitazioni nel paramento'!$G$47*'Sollecitazioni nel paramento'!$G$41*IF(DATI!$G$211="dx",DATI!$E$61,DATI!$E$64*DATI!$E$63)*1000*C835*sezione!$AD$5</f>
        <v>-941863.11078886583</v>
      </c>
      <c r="Q835" s="545">
        <f>'Foglio deposito bis'!$F$58*IF(ABS(K835)&lt;'Sollecitazioni nel paramento'!$G$58,ABS(K835)*'Sollecitazioni nel paramento'!$G$54,'Sollecitazioni nel paramento'!$G$53)*IF(K835&lt;0,-1,1)</f>
        <v>0</v>
      </c>
      <c r="R835" s="545">
        <f>'Foglio deposito bis'!$F$59*IF(ABS(L835)&lt;'Sollecitazioni nel paramento'!$G$58,ABS(L835)*'Sollecitazioni nel paramento'!$G$54,'Sollecitazioni nel paramento'!$G$53)*IF(L835&lt;0,-1,1)</f>
        <v>153664.85805602249</v>
      </c>
      <c r="S835" s="545">
        <f>'Foglio deposito bis'!$F$60*IF(ABS(M835)&lt;'Sollecitazioni nel paramento'!$G$58,ABS(M835)*'Sollecitazioni nel paramento'!$G$54,'Sollecitazioni nel paramento'!$G$53)*IF(M835&lt;0,-1,1)</f>
        <v>0</v>
      </c>
      <c r="T835" s="545">
        <f>'Foglio deposito bis'!$F$61*IF(ABS(N835)&lt;'Sollecitazioni nel paramento'!$G$58,ABS(N835)*'Sollecitazioni nel paramento'!$G$54,'Sollecitazioni nel paramento'!$G$53)*IF(N835&lt;0,-1,1)</f>
        <v>240946.49743184328</v>
      </c>
      <c r="U835" s="545">
        <f>'Foglio deposito bis'!$F$62*IF(ABS(O835)&lt;'Sollecitazioni nel paramento'!$G$58,ABS(O835)*'Sollecitazioni nel paramento'!$G$54,'Sollecitazioni nel paramento'!$G$53)*IF(O835&lt;0,-1,1)</f>
        <v>314705.62929873407</v>
      </c>
      <c r="V835" s="472">
        <f t="shared" si="61"/>
        <v>-232546.12600226601</v>
      </c>
      <c r="W835" s="551"/>
      <c r="X835" s="551"/>
    </row>
    <row r="836" spans="1:24" x14ac:dyDescent="0.25">
      <c r="A836" s="545">
        <f t="shared" si="60"/>
        <v>243498.02263934579</v>
      </c>
      <c r="B836" s="3">
        <f t="shared" si="62"/>
        <v>4.3499999999999925</v>
      </c>
      <c r="C836" s="545">
        <f>'Foglio deposito bis'!$E$156/sezione!$B$247*B836</f>
        <v>25.010237221459587</v>
      </c>
      <c r="D836" s="603">
        <f>-'Sollecitazioni nel paramento'!$G$47*'Sollecitazioni nel paramento'!$G$41*IF(DATI!$G$211="dx",DATI!$E$61,DATI!$E$64*DATI!$E$63)*1000*C836^2*sezione!$AD$5*(1-sezione!$AD$6)</f>
        <v>-13916795.548511574</v>
      </c>
      <c r="E836" s="545">
        <f>-'Foglio deposito bis'!$F$58*(C836-sezione!$AL$30)*IF(ABS(K836)&lt;'Sollecitazioni nel paramento'!$G$58,ABS(K836)*'Sollecitazioni nel paramento'!$G$54,'Sollecitazioni nel paramento'!$G$53)</f>
        <v>0</v>
      </c>
      <c r="F836" s="545">
        <f>-'Foglio deposito bis'!$F$59*(C836-sezione!$AM$30)*IF(ABS(L836)&lt;'Sollecitazioni nel paramento'!$G$58,ABS(L836)*'Sollecitazioni nel paramento'!$G$54,'Sollecitazioni nel paramento'!$G$53)</f>
        <v>5376696.9307783116</v>
      </c>
      <c r="G836" s="545">
        <f>-'Foglio deposito bis'!$F$60*(C836-sezione!$AN$30)*IF(ABS(M836)&lt;'Sollecitazioni nel paramento'!$G$58,ABS(M836)*'Sollecitazioni nel paramento'!$G$54,'Sollecitazioni nel paramento'!$G$53)</f>
        <v>0</v>
      </c>
      <c r="H836" s="545">
        <f>-'Foglio deposito bis'!$F$61*(C836-sezione!$AO$30)*IF(ABS(N836)&lt;'Sollecitazioni nel paramento'!$G$58,ABS(N836)*'Sollecitazioni nel paramento'!$G$54,'Sollecitazioni nel paramento'!$G$53)</f>
        <v>32525310.530644719</v>
      </c>
      <c r="I836" s="472">
        <f>-'Foglio deposito bis'!$F$62*(C836-sezione!$AP$30)*IF(ABS(O836)&lt;'Sollecitazioni nel paramento'!$G$58,ABS(O836)*'Sollecitazioni nel paramento'!$G$54,'Sollecitazioni nel paramento'!$G$53)</f>
        <v>113255104.24383095</v>
      </c>
      <c r="J836" s="472">
        <f t="shared" si="59"/>
        <v>137240316.15674239</v>
      </c>
      <c r="K836" s="550">
        <f>'Sollecitazioni nel paramento'!$G$60*(sezione!$AL$30-C836)/C836</f>
        <v>2.0977078010229952E-3</v>
      </c>
      <c r="L836" s="550">
        <f>'Sollecitazioni nel paramento'!$G$60*(sezione!$AM$30-C836)/C836</f>
        <v>4.8965617015344918E-3</v>
      </c>
      <c r="M836" s="551">
        <f>'Sollecitazioni nel paramento'!$G$60*(sezione!$AN$30-C836)/C836</f>
        <v>7.6954156020459892E-3</v>
      </c>
      <c r="N836" s="551">
        <f>'Sollecitazioni nel paramento'!$G$60*(sezione!$AO$30-C836)/C836</f>
        <v>1.889083120409198E-2</v>
      </c>
      <c r="O836" s="551">
        <f>'Sollecitazioni nel paramento'!$G$60*(sezione!$AP$30-C836)/C836</f>
        <v>5.0362062313919591E-2</v>
      </c>
      <c r="P836" s="545">
        <f>-'Sollecitazioni nel paramento'!$G$47*'Sollecitazioni nel paramento'!$G$41*IF(DATI!$G$211="dx",DATI!$E$61,DATI!$E$64*DATI!$E$63)*1000*C836*sezione!$AD$5</f>
        <v>-952815.00742594572</v>
      </c>
      <c r="Q836" s="545">
        <f>'Foglio deposito bis'!$F$58*IF(ABS(K836)&lt;'Sollecitazioni nel paramento'!$G$58,ABS(K836)*'Sollecitazioni nel paramento'!$G$54,'Sollecitazioni nel paramento'!$G$53)*IF(K836&lt;0,-1,1)</f>
        <v>0</v>
      </c>
      <c r="R836" s="545">
        <f>'Foglio deposito bis'!$F$59*IF(ABS(L836)&lt;'Sollecitazioni nel paramento'!$G$58,ABS(L836)*'Sollecitazioni nel paramento'!$G$54,'Sollecitazioni nel paramento'!$G$53)*IF(L836&lt;0,-1,1)</f>
        <v>153664.85805602249</v>
      </c>
      <c r="S836" s="545">
        <f>'Foglio deposito bis'!$F$60*IF(ABS(M836)&lt;'Sollecitazioni nel paramento'!$G$58,ABS(M836)*'Sollecitazioni nel paramento'!$G$54,'Sollecitazioni nel paramento'!$G$53)*IF(M836&lt;0,-1,1)</f>
        <v>0</v>
      </c>
      <c r="T836" s="545">
        <f>'Foglio deposito bis'!$F$61*IF(ABS(N836)&lt;'Sollecitazioni nel paramento'!$G$58,ABS(N836)*'Sollecitazioni nel paramento'!$G$54,'Sollecitazioni nel paramento'!$G$53)*IF(N836&lt;0,-1,1)</f>
        <v>240946.49743184328</v>
      </c>
      <c r="U836" s="545">
        <f>'Foglio deposito bis'!$F$62*IF(ABS(O836)&lt;'Sollecitazioni nel paramento'!$G$58,ABS(O836)*'Sollecitazioni nel paramento'!$G$54,'Sollecitazioni nel paramento'!$G$53)*IF(O836&lt;0,-1,1)</f>
        <v>314705.62929873407</v>
      </c>
      <c r="V836" s="472">
        <f t="shared" si="61"/>
        <v>-243498.02263934579</v>
      </c>
      <c r="W836" s="551"/>
      <c r="X836" s="551"/>
    </row>
    <row r="837" spans="1:24" x14ac:dyDescent="0.25">
      <c r="A837" s="545">
        <f t="shared" si="60"/>
        <v>254449.91927642579</v>
      </c>
      <c r="B837" s="3">
        <f t="shared" si="62"/>
        <v>4.3999999999999924</v>
      </c>
      <c r="C837" s="545">
        <f>'Foglio deposito bis'!$E$156/sezione!$B$247*B837</f>
        <v>25.297711212510848</v>
      </c>
      <c r="D837" s="603">
        <f>-'Sollecitazioni nel paramento'!$G$47*'Sollecitazioni nel paramento'!$G$41*IF(DATI!$G$211="dx",DATI!$E$61,DATI!$E$64*DATI!$E$63)*1000*C837^2*sezione!$AD$5*(1-sezione!$AD$6)</f>
        <v>-14238560.540054651</v>
      </c>
      <c r="E837" s="545">
        <f>-'Foglio deposito bis'!$F$58*(C837-sezione!$AL$30)*IF(ABS(K837)&lt;'Sollecitazioni nel paramento'!$G$58,ABS(K837)*'Sollecitazioni nel paramento'!$G$54,'Sollecitazioni nel paramento'!$G$53)</f>
        <v>0</v>
      </c>
      <c r="F837" s="545">
        <f>-'Foglio deposito bis'!$F$59*(C837-sezione!$AM$30)*IF(ABS(L837)&lt;'Sollecitazioni nel paramento'!$G$58,ABS(L837)*'Sollecitazioni nel paramento'!$G$54,'Sollecitazioni nel paramento'!$G$53)</f>
        <v>5332522.2807486216</v>
      </c>
      <c r="G837" s="545">
        <f>-'Foglio deposito bis'!$F$60*(C837-sezione!$AN$30)*IF(ABS(M837)&lt;'Sollecitazioni nel paramento'!$G$58,ABS(M837)*'Sollecitazioni nel paramento'!$G$54,'Sollecitazioni nel paramento'!$G$53)</f>
        <v>0</v>
      </c>
      <c r="H837" s="545">
        <f>-'Foglio deposito bis'!$F$61*(C837-sezione!$AO$30)*IF(ABS(N837)&lt;'Sollecitazioni nel paramento'!$G$58,ABS(N837)*'Sollecitazioni nel paramento'!$G$54,'Sollecitazioni nel paramento'!$G$53)</f>
        <v>32456044.679398164</v>
      </c>
      <c r="I837" s="472">
        <f>-'Foglio deposito bis'!$F$62*(C837-sezione!$AP$30)*IF(ABS(O837)&lt;'Sollecitazioni nel paramento'!$G$58,ABS(O837)*'Sollecitazioni nel paramento'!$G$54,'Sollecitazioni nel paramento'!$G$53)</f>
        <v>113164634.56057017</v>
      </c>
      <c r="J837" s="472">
        <f t="shared" si="59"/>
        <v>136714640.98066229</v>
      </c>
      <c r="K837" s="550">
        <f>'Sollecitazioni nel paramento'!$G$60*(sezione!$AL$30-C837)/C837</f>
        <v>2.034097485102279E-3</v>
      </c>
      <c r="L837" s="550">
        <f>'Sollecitazioni nel paramento'!$G$60*(sezione!$AM$30-C837)/C837</f>
        <v>4.8011462276534187E-3</v>
      </c>
      <c r="M837" s="551">
        <f>'Sollecitazioni nel paramento'!$G$60*(sezione!$AN$30-C837)/C837</f>
        <v>7.5681949702045585E-3</v>
      </c>
      <c r="N837" s="551">
        <f>'Sollecitazioni nel paramento'!$G$60*(sezione!$AO$30-C837)/C837</f>
        <v>1.8636389940409115E-2</v>
      </c>
      <c r="O837" s="551">
        <f>'Sollecitazioni nel paramento'!$G$60*(sezione!$AP$30-C837)/C837</f>
        <v>4.9749993423988698E-2</v>
      </c>
      <c r="P837" s="545">
        <f>-'Sollecitazioni nel paramento'!$G$47*'Sollecitazioni nel paramento'!$G$41*IF(DATI!$G$211="dx",DATI!$E$61,DATI!$E$64*DATI!$E$63)*1000*C837*sezione!$AD$5</f>
        <v>-963766.90406302561</v>
      </c>
      <c r="Q837" s="545">
        <f>'Foglio deposito bis'!$F$58*IF(ABS(K837)&lt;'Sollecitazioni nel paramento'!$G$58,ABS(K837)*'Sollecitazioni nel paramento'!$G$54,'Sollecitazioni nel paramento'!$G$53)*IF(K837&lt;0,-1,1)</f>
        <v>0</v>
      </c>
      <c r="R837" s="545">
        <f>'Foglio deposito bis'!$F$59*IF(ABS(L837)&lt;'Sollecitazioni nel paramento'!$G$58,ABS(L837)*'Sollecitazioni nel paramento'!$G$54,'Sollecitazioni nel paramento'!$G$53)*IF(L837&lt;0,-1,1)</f>
        <v>153664.85805602249</v>
      </c>
      <c r="S837" s="545">
        <f>'Foglio deposito bis'!$F$60*IF(ABS(M837)&lt;'Sollecitazioni nel paramento'!$G$58,ABS(M837)*'Sollecitazioni nel paramento'!$G$54,'Sollecitazioni nel paramento'!$G$53)*IF(M837&lt;0,-1,1)</f>
        <v>0</v>
      </c>
      <c r="T837" s="545">
        <f>'Foglio deposito bis'!$F$61*IF(ABS(N837)&lt;'Sollecitazioni nel paramento'!$G$58,ABS(N837)*'Sollecitazioni nel paramento'!$G$54,'Sollecitazioni nel paramento'!$G$53)*IF(N837&lt;0,-1,1)</f>
        <v>240946.49743184328</v>
      </c>
      <c r="U837" s="545">
        <f>'Foglio deposito bis'!$F$62*IF(ABS(O837)&lt;'Sollecitazioni nel paramento'!$G$58,ABS(O837)*'Sollecitazioni nel paramento'!$G$54,'Sollecitazioni nel paramento'!$G$53)*IF(O837&lt;0,-1,1)</f>
        <v>314705.62929873407</v>
      </c>
      <c r="V837" s="472">
        <f t="shared" si="61"/>
        <v>-254449.91927642579</v>
      </c>
      <c r="W837" s="551"/>
      <c r="X837" s="551"/>
    </row>
    <row r="838" spans="1:24" x14ac:dyDescent="0.25">
      <c r="A838" s="545">
        <f t="shared" si="60"/>
        <v>265401.81591350556</v>
      </c>
      <c r="B838" s="3">
        <f t="shared" si="62"/>
        <v>4.4499999999999922</v>
      </c>
      <c r="C838" s="545">
        <f>'Foglio deposito bis'!$E$156/sezione!$B$247*B838</f>
        <v>25.585185203562105</v>
      </c>
      <c r="D838" s="603">
        <f>-'Sollecitazioni nel paramento'!$G$47*'Sollecitazioni nel paramento'!$G$41*IF(DATI!$G$211="dx",DATI!$E$61,DATI!$E$64*DATI!$E$63)*1000*C838^2*sezione!$AD$5*(1-sezione!$AD$6)</f>
        <v>-14564002.845786786</v>
      </c>
      <c r="E838" s="545">
        <f>-'Foglio deposito bis'!$F$58*(C838-sezione!$AL$30)*IF(ABS(K838)&lt;'Sollecitazioni nel paramento'!$G$58,ABS(K838)*'Sollecitazioni nel paramento'!$G$54,'Sollecitazioni nel paramento'!$G$53)</f>
        <v>0</v>
      </c>
      <c r="F838" s="545">
        <f>-'Foglio deposito bis'!$F$59*(C838-sezione!$AM$30)*IF(ABS(L838)&lt;'Sollecitazioni nel paramento'!$G$58,ABS(L838)*'Sollecitazioni nel paramento'!$G$54,'Sollecitazioni nel paramento'!$G$53)</f>
        <v>5288347.6307189316</v>
      </c>
      <c r="G838" s="545">
        <f>-'Foglio deposito bis'!$F$60*(C838-sezione!$AN$30)*IF(ABS(M838)&lt;'Sollecitazioni nel paramento'!$G$58,ABS(M838)*'Sollecitazioni nel paramento'!$G$54,'Sollecitazioni nel paramento'!$G$53)</f>
        <v>0</v>
      </c>
      <c r="H838" s="545">
        <f>-'Foglio deposito bis'!$F$61*(C838-sezione!$AO$30)*IF(ABS(N838)&lt;'Sollecitazioni nel paramento'!$G$58,ABS(N838)*'Sollecitazioni nel paramento'!$G$54,'Sollecitazioni nel paramento'!$G$53)</f>
        <v>32386778.828151613</v>
      </c>
      <c r="I838" s="472">
        <f>-'Foglio deposito bis'!$F$62*(C838-sezione!$AP$30)*IF(ABS(O838)&lt;'Sollecitazioni nel paramento'!$G$58,ABS(O838)*'Sollecitazioni nel paramento'!$G$54,'Sollecitazioni nel paramento'!$G$53)</f>
        <v>113074164.87730934</v>
      </c>
      <c r="J838" s="472">
        <f t="shared" si="59"/>
        <v>136185288.4903931</v>
      </c>
      <c r="K838" s="550">
        <f>'Sollecitazioni nel paramento'!$G$60*(sezione!$AL$30-C838)/C838</f>
        <v>1.9719166144831525E-3</v>
      </c>
      <c r="L838" s="550">
        <f>'Sollecitazioni nel paramento'!$G$60*(sezione!$AM$30-C838)/C838</f>
        <v>4.7078749217247286E-3</v>
      </c>
      <c r="M838" s="551">
        <f>'Sollecitazioni nel paramento'!$G$60*(sezione!$AN$30-C838)/C838</f>
        <v>7.4438332289663046E-3</v>
      </c>
      <c r="N838" s="551">
        <f>'Sollecitazioni nel paramento'!$G$60*(sezione!$AO$30-C838)/C838</f>
        <v>1.8387666457932609E-2</v>
      </c>
      <c r="O838" s="551">
        <f>'Sollecitazioni nel paramento'!$G$60*(sezione!$AP$30-C838)/C838</f>
        <v>4.9151678891134885E-2</v>
      </c>
      <c r="P838" s="545">
        <f>-'Sollecitazioni nel paramento'!$G$47*'Sollecitazioni nel paramento'!$G$41*IF(DATI!$G$211="dx",DATI!$E$61,DATI!$E$64*DATI!$E$63)*1000*C838*sezione!$AD$5</f>
        <v>-974718.80070010538</v>
      </c>
      <c r="Q838" s="545">
        <f>'Foglio deposito bis'!$F$58*IF(ABS(K838)&lt;'Sollecitazioni nel paramento'!$G$58,ABS(K838)*'Sollecitazioni nel paramento'!$G$54,'Sollecitazioni nel paramento'!$G$53)*IF(K838&lt;0,-1,1)</f>
        <v>0</v>
      </c>
      <c r="R838" s="545">
        <f>'Foglio deposito bis'!$F$59*IF(ABS(L838)&lt;'Sollecitazioni nel paramento'!$G$58,ABS(L838)*'Sollecitazioni nel paramento'!$G$54,'Sollecitazioni nel paramento'!$G$53)*IF(L838&lt;0,-1,1)</f>
        <v>153664.85805602249</v>
      </c>
      <c r="S838" s="545">
        <f>'Foglio deposito bis'!$F$60*IF(ABS(M838)&lt;'Sollecitazioni nel paramento'!$G$58,ABS(M838)*'Sollecitazioni nel paramento'!$G$54,'Sollecitazioni nel paramento'!$G$53)*IF(M838&lt;0,-1,1)</f>
        <v>0</v>
      </c>
      <c r="T838" s="545">
        <f>'Foglio deposito bis'!$F$61*IF(ABS(N838)&lt;'Sollecitazioni nel paramento'!$G$58,ABS(N838)*'Sollecitazioni nel paramento'!$G$54,'Sollecitazioni nel paramento'!$G$53)*IF(N838&lt;0,-1,1)</f>
        <v>240946.49743184328</v>
      </c>
      <c r="U838" s="545">
        <f>'Foglio deposito bis'!$F$62*IF(ABS(O838)&lt;'Sollecitazioni nel paramento'!$G$58,ABS(O838)*'Sollecitazioni nel paramento'!$G$54,'Sollecitazioni nel paramento'!$G$53)*IF(O838&lt;0,-1,1)</f>
        <v>314705.62929873407</v>
      </c>
      <c r="V838" s="472">
        <f t="shared" si="61"/>
        <v>-265401.81591350556</v>
      </c>
      <c r="W838" s="551"/>
      <c r="X838" s="551"/>
    </row>
    <row r="839" spans="1:24" x14ac:dyDescent="0.25">
      <c r="A839" s="545">
        <f t="shared" si="60"/>
        <v>276353.71255058533</v>
      </c>
      <c r="B839" s="3">
        <f t="shared" si="62"/>
        <v>4.499999999999992</v>
      </c>
      <c r="C839" s="545">
        <f>'Foglio deposito bis'!$E$156/sezione!$B$247*B839</f>
        <v>25.872659194613366</v>
      </c>
      <c r="D839" s="603">
        <f>-'Sollecitazioni nel paramento'!$G$47*'Sollecitazioni nel paramento'!$G$41*IF(DATI!$G$211="dx",DATI!$E$61,DATI!$E$64*DATI!$E$63)*1000*C839^2*sezione!$AD$5*(1-sezione!$AD$6)</f>
        <v>-14893122.465707988</v>
      </c>
      <c r="E839" s="545">
        <f>-'Foglio deposito bis'!$F$58*(C839-sezione!$AL$30)*IF(ABS(K839)&lt;'Sollecitazioni nel paramento'!$G$58,ABS(K839)*'Sollecitazioni nel paramento'!$G$54,'Sollecitazioni nel paramento'!$G$53)</f>
        <v>0</v>
      </c>
      <c r="F839" s="545">
        <f>-'Foglio deposito bis'!$F$59*(C839-sezione!$AM$30)*IF(ABS(L839)&lt;'Sollecitazioni nel paramento'!$G$58,ABS(L839)*'Sollecitazioni nel paramento'!$G$54,'Sollecitazioni nel paramento'!$G$53)</f>
        <v>5244172.9806892416</v>
      </c>
      <c r="G839" s="545">
        <f>-'Foglio deposito bis'!$F$60*(C839-sezione!$AN$30)*IF(ABS(M839)&lt;'Sollecitazioni nel paramento'!$G$58,ABS(M839)*'Sollecitazioni nel paramento'!$G$54,'Sollecitazioni nel paramento'!$G$53)</f>
        <v>0</v>
      </c>
      <c r="H839" s="545">
        <f>-'Foglio deposito bis'!$F$61*(C839-sezione!$AO$30)*IF(ABS(N839)&lt;'Sollecitazioni nel paramento'!$G$58,ABS(N839)*'Sollecitazioni nel paramento'!$G$54,'Sollecitazioni nel paramento'!$G$53)</f>
        <v>32317512.976905059</v>
      </c>
      <c r="I839" s="472">
        <f>-'Foglio deposito bis'!$F$62*(C839-sezione!$AP$30)*IF(ABS(O839)&lt;'Sollecitazioni nel paramento'!$G$58,ABS(O839)*'Sollecitazioni nel paramento'!$G$54,'Sollecitazioni nel paramento'!$G$53)</f>
        <v>112983695.19404852</v>
      </c>
      <c r="J839" s="472">
        <f t="shared" si="59"/>
        <v>135652258.68593484</v>
      </c>
      <c r="K839" s="550">
        <f>'Sollecitazioni nel paramento'!$G$60*(sezione!$AL$30-C839)/C839</f>
        <v>1.9111175409888951E-3</v>
      </c>
      <c r="L839" s="550">
        <f>'Sollecitazioni nel paramento'!$G$60*(sezione!$AM$30-C839)/C839</f>
        <v>4.6166763114833427E-3</v>
      </c>
      <c r="M839" s="551">
        <f>'Sollecitazioni nel paramento'!$G$60*(sezione!$AN$30-C839)/C839</f>
        <v>7.3222350819777907E-3</v>
      </c>
      <c r="N839" s="551">
        <f>'Sollecitazioni nel paramento'!$G$60*(sezione!$AO$30-C839)/C839</f>
        <v>1.8144470163955581E-2</v>
      </c>
      <c r="O839" s="551">
        <f>'Sollecitazioni nel paramento'!$G$60*(sezione!$AP$30-C839)/C839</f>
        <v>4.856666023678894E-2</v>
      </c>
      <c r="P839" s="545">
        <f>-'Sollecitazioni nel paramento'!$G$47*'Sollecitazioni nel paramento'!$G$41*IF(DATI!$G$211="dx",DATI!$E$61,DATI!$E$64*DATI!$E$63)*1000*C839*sezione!$AD$5</f>
        <v>-985670.69733718527</v>
      </c>
      <c r="Q839" s="545">
        <f>'Foglio deposito bis'!$F$58*IF(ABS(K839)&lt;'Sollecitazioni nel paramento'!$G$58,ABS(K839)*'Sollecitazioni nel paramento'!$G$54,'Sollecitazioni nel paramento'!$G$53)*IF(K839&lt;0,-1,1)</f>
        <v>0</v>
      </c>
      <c r="R839" s="545">
        <f>'Foglio deposito bis'!$F$59*IF(ABS(L839)&lt;'Sollecitazioni nel paramento'!$G$58,ABS(L839)*'Sollecitazioni nel paramento'!$G$54,'Sollecitazioni nel paramento'!$G$53)*IF(L839&lt;0,-1,1)</f>
        <v>153664.85805602249</v>
      </c>
      <c r="S839" s="545">
        <f>'Foglio deposito bis'!$F$60*IF(ABS(M839)&lt;'Sollecitazioni nel paramento'!$G$58,ABS(M839)*'Sollecitazioni nel paramento'!$G$54,'Sollecitazioni nel paramento'!$G$53)*IF(M839&lt;0,-1,1)</f>
        <v>0</v>
      </c>
      <c r="T839" s="545">
        <f>'Foglio deposito bis'!$F$61*IF(ABS(N839)&lt;'Sollecitazioni nel paramento'!$G$58,ABS(N839)*'Sollecitazioni nel paramento'!$G$54,'Sollecitazioni nel paramento'!$G$53)*IF(N839&lt;0,-1,1)</f>
        <v>240946.49743184328</v>
      </c>
      <c r="U839" s="545">
        <f>'Foglio deposito bis'!$F$62*IF(ABS(O839)&lt;'Sollecitazioni nel paramento'!$G$58,ABS(O839)*'Sollecitazioni nel paramento'!$G$54,'Sollecitazioni nel paramento'!$G$53)*IF(O839&lt;0,-1,1)</f>
        <v>314705.62929873407</v>
      </c>
      <c r="V839" s="472">
        <f t="shared" si="61"/>
        <v>-276353.71255058533</v>
      </c>
      <c r="W839" s="551"/>
      <c r="X839" s="551"/>
    </row>
    <row r="840" spans="1:24" x14ac:dyDescent="0.25">
      <c r="A840" s="545">
        <f t="shared" si="60"/>
        <v>287305.6091876651</v>
      </c>
      <c r="B840" s="3">
        <f t="shared" si="62"/>
        <v>4.5499999999999918</v>
      </c>
      <c r="C840" s="545">
        <f>'Foglio deposito bis'!$E$156/sezione!$B$247*B840</f>
        <v>26.160133185664623</v>
      </c>
      <c r="D840" s="603">
        <f>-'Sollecitazioni nel paramento'!$G$47*'Sollecitazioni nel paramento'!$G$41*IF(DATI!$G$211="dx",DATI!$E$61,DATI!$E$64*DATI!$E$63)*1000*C840^2*sezione!$AD$5*(1-sezione!$AD$6)</f>
        <v>-15225919.399818249</v>
      </c>
      <c r="E840" s="545">
        <f>-'Foglio deposito bis'!$F$58*(C840-sezione!$AL$30)*IF(ABS(K840)&lt;'Sollecitazioni nel paramento'!$G$58,ABS(K840)*'Sollecitazioni nel paramento'!$G$54,'Sollecitazioni nel paramento'!$G$53)</f>
        <v>0</v>
      </c>
      <c r="F840" s="545">
        <f>-'Foglio deposito bis'!$F$59*(C840-sezione!$AM$30)*IF(ABS(L840)&lt;'Sollecitazioni nel paramento'!$G$58,ABS(L840)*'Sollecitazioni nel paramento'!$G$54,'Sollecitazioni nel paramento'!$G$53)</f>
        <v>5199998.3306595525</v>
      </c>
      <c r="G840" s="545">
        <f>-'Foglio deposito bis'!$F$60*(C840-sezione!$AN$30)*IF(ABS(M840)&lt;'Sollecitazioni nel paramento'!$G$58,ABS(M840)*'Sollecitazioni nel paramento'!$G$54,'Sollecitazioni nel paramento'!$G$53)</f>
        <v>0</v>
      </c>
      <c r="H840" s="545">
        <f>-'Foglio deposito bis'!$F$61*(C840-sezione!$AO$30)*IF(ABS(N840)&lt;'Sollecitazioni nel paramento'!$G$58,ABS(N840)*'Sollecitazioni nel paramento'!$G$54,'Sollecitazioni nel paramento'!$G$53)</f>
        <v>32248247.125658508</v>
      </c>
      <c r="I840" s="472">
        <f>-'Foglio deposito bis'!$F$62*(C840-sezione!$AP$30)*IF(ABS(O840)&lt;'Sollecitazioni nel paramento'!$G$58,ABS(O840)*'Sollecitazioni nel paramento'!$G$54,'Sollecitazioni nel paramento'!$G$53)</f>
        <v>112893225.51078774</v>
      </c>
      <c r="J840" s="472">
        <f t="shared" si="59"/>
        <v>135115551.56728756</v>
      </c>
      <c r="K840" s="550">
        <f>'Sollecitazioni nel paramento'!$G$60*(sezione!$AL$30-C840)/C840</f>
        <v>1.8516547108681383E-3</v>
      </c>
      <c r="L840" s="550">
        <f>'Sollecitazioni nel paramento'!$G$60*(sezione!$AM$30-C840)/C840</f>
        <v>4.5274820663022079E-3</v>
      </c>
      <c r="M840" s="551">
        <f>'Sollecitazioni nel paramento'!$G$60*(sezione!$AN$30-C840)/C840</f>
        <v>7.2033094217362776E-3</v>
      </c>
      <c r="N840" s="551">
        <f>'Sollecitazioni nel paramento'!$G$60*(sezione!$AO$30-C840)/C840</f>
        <v>1.7906618843472555E-2</v>
      </c>
      <c r="O840" s="551">
        <f>'Sollecitazioni nel paramento'!$G$60*(sezione!$AP$30-C840)/C840</f>
        <v>4.7994499135285772E-2</v>
      </c>
      <c r="P840" s="545">
        <f>-'Sollecitazioni nel paramento'!$G$47*'Sollecitazioni nel paramento'!$G$41*IF(DATI!$G$211="dx",DATI!$E$61,DATI!$E$64*DATI!$E$63)*1000*C840*sezione!$AD$5</f>
        <v>-996622.59397426492</v>
      </c>
      <c r="Q840" s="545">
        <f>'Foglio deposito bis'!$F$58*IF(ABS(K840)&lt;'Sollecitazioni nel paramento'!$G$58,ABS(K840)*'Sollecitazioni nel paramento'!$G$54,'Sollecitazioni nel paramento'!$G$53)*IF(K840&lt;0,-1,1)</f>
        <v>0</v>
      </c>
      <c r="R840" s="545">
        <f>'Foglio deposito bis'!$F$59*IF(ABS(L840)&lt;'Sollecitazioni nel paramento'!$G$58,ABS(L840)*'Sollecitazioni nel paramento'!$G$54,'Sollecitazioni nel paramento'!$G$53)*IF(L840&lt;0,-1,1)</f>
        <v>153664.85805602249</v>
      </c>
      <c r="S840" s="545">
        <f>'Foglio deposito bis'!$F$60*IF(ABS(M840)&lt;'Sollecitazioni nel paramento'!$G$58,ABS(M840)*'Sollecitazioni nel paramento'!$G$54,'Sollecitazioni nel paramento'!$G$53)*IF(M840&lt;0,-1,1)</f>
        <v>0</v>
      </c>
      <c r="T840" s="545">
        <f>'Foglio deposito bis'!$F$61*IF(ABS(N840)&lt;'Sollecitazioni nel paramento'!$G$58,ABS(N840)*'Sollecitazioni nel paramento'!$G$54,'Sollecitazioni nel paramento'!$G$53)*IF(N840&lt;0,-1,1)</f>
        <v>240946.49743184328</v>
      </c>
      <c r="U840" s="545">
        <f>'Foglio deposito bis'!$F$62*IF(ABS(O840)&lt;'Sollecitazioni nel paramento'!$G$58,ABS(O840)*'Sollecitazioni nel paramento'!$G$54,'Sollecitazioni nel paramento'!$G$53)*IF(O840&lt;0,-1,1)</f>
        <v>314705.62929873407</v>
      </c>
      <c r="V840" s="472">
        <f t="shared" si="61"/>
        <v>-287305.6091876651</v>
      </c>
      <c r="W840" s="551"/>
      <c r="X840" s="551"/>
    </row>
    <row r="841" spans="1:24" x14ac:dyDescent="0.25">
      <c r="A841" s="545">
        <f t="shared" si="60"/>
        <v>298257.50582474488</v>
      </c>
      <c r="B841" s="3">
        <f t="shared" si="62"/>
        <v>4.5999999999999917</v>
      </c>
      <c r="C841" s="545">
        <f>'Foglio deposito bis'!$E$156/sezione!$B$247*B841</f>
        <v>26.447607176715884</v>
      </c>
      <c r="D841" s="603">
        <f>-'Sollecitazioni nel paramento'!$G$47*'Sollecitazioni nel paramento'!$G$41*IF(DATI!$G$211="dx",DATI!$E$61,DATI!$E$64*DATI!$E$63)*1000*C841^2*sezione!$AD$5*(1-sezione!$AD$6)</f>
        <v>-15562393.64811758</v>
      </c>
      <c r="E841" s="545">
        <f>-'Foglio deposito bis'!$F$58*(C841-sezione!$AL$30)*IF(ABS(K841)&lt;'Sollecitazioni nel paramento'!$G$58,ABS(K841)*'Sollecitazioni nel paramento'!$G$54,'Sollecitazioni nel paramento'!$G$53)</f>
        <v>0</v>
      </c>
      <c r="F841" s="545">
        <f>-'Foglio deposito bis'!$F$59*(C841-sezione!$AM$30)*IF(ABS(L841)&lt;'Sollecitazioni nel paramento'!$G$58,ABS(L841)*'Sollecitazioni nel paramento'!$G$54,'Sollecitazioni nel paramento'!$G$53)</f>
        <v>5155823.6806298615</v>
      </c>
      <c r="G841" s="545">
        <f>-'Foglio deposito bis'!$F$60*(C841-sezione!$AN$30)*IF(ABS(M841)&lt;'Sollecitazioni nel paramento'!$G$58,ABS(M841)*'Sollecitazioni nel paramento'!$G$54,'Sollecitazioni nel paramento'!$G$53)</f>
        <v>0</v>
      </c>
      <c r="H841" s="545">
        <f>-'Foglio deposito bis'!$F$61*(C841-sezione!$AO$30)*IF(ABS(N841)&lt;'Sollecitazioni nel paramento'!$G$58,ABS(N841)*'Sollecitazioni nel paramento'!$G$54,'Sollecitazioni nel paramento'!$G$53)</f>
        <v>32178981.27441195</v>
      </c>
      <c r="I841" s="472">
        <f>-'Foglio deposito bis'!$F$62*(C841-sezione!$AP$30)*IF(ABS(O841)&lt;'Sollecitazioni nel paramento'!$G$58,ABS(O841)*'Sollecitazioni nel paramento'!$G$54,'Sollecitazioni nel paramento'!$G$53)</f>
        <v>112802755.82752694</v>
      </c>
      <c r="J841" s="472">
        <f t="shared" si="59"/>
        <v>134575167.13445118</v>
      </c>
      <c r="K841" s="550">
        <f>'Sollecitazioni nel paramento'!$G$60*(sezione!$AL$30-C841)/C841</f>
        <v>1.7934845509673975E-3</v>
      </c>
      <c r="L841" s="550">
        <f>'Sollecitazioni nel paramento'!$G$60*(sezione!$AM$30-C841)/C841</f>
        <v>4.4402268264510962E-3</v>
      </c>
      <c r="M841" s="551">
        <f>'Sollecitazioni nel paramento'!$G$60*(sezione!$AN$30-C841)/C841</f>
        <v>7.0869691019347951E-3</v>
      </c>
      <c r="N841" s="551">
        <f>'Sollecitazioni nel paramento'!$G$60*(sezione!$AO$30-C841)/C841</f>
        <v>1.7673938203869591E-2</v>
      </c>
      <c r="O841" s="551">
        <f>'Sollecitazioni nel paramento'!$G$60*(sezione!$AP$30-C841)/C841</f>
        <v>4.7434776318597882E-2</v>
      </c>
      <c r="P841" s="545">
        <f>-'Sollecitazioni nel paramento'!$G$47*'Sollecitazioni nel paramento'!$G$41*IF(DATI!$G$211="dx",DATI!$E$61,DATI!$E$64*DATI!$E$63)*1000*C841*sezione!$AD$5</f>
        <v>-1007574.4906113448</v>
      </c>
      <c r="Q841" s="545">
        <f>'Foglio deposito bis'!$F$58*IF(ABS(K841)&lt;'Sollecitazioni nel paramento'!$G$58,ABS(K841)*'Sollecitazioni nel paramento'!$G$54,'Sollecitazioni nel paramento'!$G$53)*IF(K841&lt;0,-1,1)</f>
        <v>0</v>
      </c>
      <c r="R841" s="545">
        <f>'Foglio deposito bis'!$F$59*IF(ABS(L841)&lt;'Sollecitazioni nel paramento'!$G$58,ABS(L841)*'Sollecitazioni nel paramento'!$G$54,'Sollecitazioni nel paramento'!$G$53)*IF(L841&lt;0,-1,1)</f>
        <v>153664.85805602249</v>
      </c>
      <c r="S841" s="545">
        <f>'Foglio deposito bis'!$F$60*IF(ABS(M841)&lt;'Sollecitazioni nel paramento'!$G$58,ABS(M841)*'Sollecitazioni nel paramento'!$G$54,'Sollecitazioni nel paramento'!$G$53)*IF(M841&lt;0,-1,1)</f>
        <v>0</v>
      </c>
      <c r="T841" s="545">
        <f>'Foglio deposito bis'!$F$61*IF(ABS(N841)&lt;'Sollecitazioni nel paramento'!$G$58,ABS(N841)*'Sollecitazioni nel paramento'!$G$54,'Sollecitazioni nel paramento'!$G$53)*IF(N841&lt;0,-1,1)</f>
        <v>240946.49743184328</v>
      </c>
      <c r="U841" s="545">
        <f>'Foglio deposito bis'!$F$62*IF(ABS(O841)&lt;'Sollecitazioni nel paramento'!$G$58,ABS(O841)*'Sollecitazioni nel paramento'!$G$54,'Sollecitazioni nel paramento'!$G$53)*IF(O841&lt;0,-1,1)</f>
        <v>314705.62929873407</v>
      </c>
      <c r="V841" s="472">
        <f t="shared" si="61"/>
        <v>-298257.50582474488</v>
      </c>
      <c r="W841" s="551"/>
      <c r="X841" s="551"/>
    </row>
    <row r="842" spans="1:24" x14ac:dyDescent="0.25">
      <c r="A842" s="545">
        <f t="shared" si="60"/>
        <v>309209.40246182465</v>
      </c>
      <c r="B842" s="3">
        <f t="shared" si="62"/>
        <v>4.6499999999999915</v>
      </c>
      <c r="C842" s="545">
        <f>'Foglio deposito bis'!$E$156/sezione!$B$247*B842</f>
        <v>26.735081167767142</v>
      </c>
      <c r="D842" s="603">
        <f>-'Sollecitazioni nel paramento'!$G$47*'Sollecitazioni nel paramento'!$G$41*IF(DATI!$G$211="dx",DATI!$E$61,DATI!$E$64*DATI!$E$63)*1000*C842^2*sezione!$AD$5*(1-sezione!$AD$6)</f>
        <v>-15902545.210605968</v>
      </c>
      <c r="E842" s="545">
        <f>-'Foglio deposito bis'!$F$58*(C842-sezione!$AL$30)*IF(ABS(K842)&lt;'Sollecitazioni nel paramento'!$G$58,ABS(K842)*'Sollecitazioni nel paramento'!$G$54,'Sollecitazioni nel paramento'!$G$53)</f>
        <v>0</v>
      </c>
      <c r="F842" s="545">
        <f>-'Foglio deposito bis'!$F$59*(C842-sezione!$AM$30)*IF(ABS(L842)&lt;'Sollecitazioni nel paramento'!$G$58,ABS(L842)*'Sollecitazioni nel paramento'!$G$54,'Sollecitazioni nel paramento'!$G$53)</f>
        <v>5111649.0306001715</v>
      </c>
      <c r="G842" s="545">
        <f>-'Foglio deposito bis'!$F$60*(C842-sezione!$AN$30)*IF(ABS(M842)&lt;'Sollecitazioni nel paramento'!$G$58,ABS(M842)*'Sollecitazioni nel paramento'!$G$54,'Sollecitazioni nel paramento'!$G$53)</f>
        <v>0</v>
      </c>
      <c r="H842" s="545">
        <f>-'Foglio deposito bis'!$F$61*(C842-sezione!$AO$30)*IF(ABS(N842)&lt;'Sollecitazioni nel paramento'!$G$58,ABS(N842)*'Sollecitazioni nel paramento'!$G$54,'Sollecitazioni nel paramento'!$G$53)</f>
        <v>32109715.423165396</v>
      </c>
      <c r="I842" s="472">
        <f>-'Foglio deposito bis'!$F$62*(C842-sezione!$AP$30)*IF(ABS(O842)&lt;'Sollecitazioni nel paramento'!$G$58,ABS(O842)*'Sollecitazioni nel paramento'!$G$54,'Sollecitazioni nel paramento'!$G$53)</f>
        <v>112712286.14426613</v>
      </c>
      <c r="J842" s="472">
        <f t="shared" si="59"/>
        <v>134031105.38742572</v>
      </c>
      <c r="K842" s="550">
        <f>'Sollecitazioni nel paramento'!$G$60*(sezione!$AL$30-C842)/C842</f>
        <v>1.7365653622473183E-3</v>
      </c>
      <c r="L842" s="550">
        <f>'Sollecitazioni nel paramento'!$G$60*(sezione!$AM$30-C842)/C842</f>
        <v>4.3548480433709775E-3</v>
      </c>
      <c r="M842" s="551">
        <f>'Sollecitazioni nel paramento'!$G$60*(sezione!$AN$30-C842)/C842</f>
        <v>6.9731307244946363E-3</v>
      </c>
      <c r="N842" s="551">
        <f>'Sollecitazioni nel paramento'!$G$60*(sezione!$AO$30-C842)/C842</f>
        <v>1.7446261448989274E-2</v>
      </c>
      <c r="O842" s="551">
        <f>'Sollecitazioni nel paramento'!$G$60*(sezione!$AP$30-C842)/C842</f>
        <v>4.6887090551731243E-2</v>
      </c>
      <c r="P842" s="545">
        <f>-'Sollecitazioni nel paramento'!$G$47*'Sollecitazioni nel paramento'!$G$41*IF(DATI!$G$211="dx",DATI!$E$61,DATI!$E$64*DATI!$E$63)*1000*C842*sezione!$AD$5</f>
        <v>-1018526.3872484245</v>
      </c>
      <c r="Q842" s="545">
        <f>'Foglio deposito bis'!$F$58*IF(ABS(K842)&lt;'Sollecitazioni nel paramento'!$G$58,ABS(K842)*'Sollecitazioni nel paramento'!$G$54,'Sollecitazioni nel paramento'!$G$53)*IF(K842&lt;0,-1,1)</f>
        <v>0</v>
      </c>
      <c r="R842" s="545">
        <f>'Foglio deposito bis'!$F$59*IF(ABS(L842)&lt;'Sollecitazioni nel paramento'!$G$58,ABS(L842)*'Sollecitazioni nel paramento'!$G$54,'Sollecitazioni nel paramento'!$G$53)*IF(L842&lt;0,-1,1)</f>
        <v>153664.85805602249</v>
      </c>
      <c r="S842" s="545">
        <f>'Foglio deposito bis'!$F$60*IF(ABS(M842)&lt;'Sollecitazioni nel paramento'!$G$58,ABS(M842)*'Sollecitazioni nel paramento'!$G$54,'Sollecitazioni nel paramento'!$G$53)*IF(M842&lt;0,-1,1)</f>
        <v>0</v>
      </c>
      <c r="T842" s="545">
        <f>'Foglio deposito bis'!$F$61*IF(ABS(N842)&lt;'Sollecitazioni nel paramento'!$G$58,ABS(N842)*'Sollecitazioni nel paramento'!$G$54,'Sollecitazioni nel paramento'!$G$53)*IF(N842&lt;0,-1,1)</f>
        <v>240946.49743184328</v>
      </c>
      <c r="U842" s="545">
        <f>'Foglio deposito bis'!$F$62*IF(ABS(O842)&lt;'Sollecitazioni nel paramento'!$G$58,ABS(O842)*'Sollecitazioni nel paramento'!$G$54,'Sollecitazioni nel paramento'!$G$53)*IF(O842&lt;0,-1,1)</f>
        <v>314705.62929873407</v>
      </c>
      <c r="V842" s="472">
        <f t="shared" si="61"/>
        <v>-309209.40246182465</v>
      </c>
      <c r="W842" s="551"/>
      <c r="X842" s="551"/>
    </row>
    <row r="843" spans="1:24" x14ac:dyDescent="0.25">
      <c r="A843" s="545">
        <f t="shared" si="60"/>
        <v>320161.29909890442</v>
      </c>
      <c r="B843" s="3">
        <f t="shared" si="62"/>
        <v>4.6999999999999913</v>
      </c>
      <c r="C843" s="545">
        <f>'Foglio deposito bis'!$E$156/sezione!$B$247*B843</f>
        <v>27.022555158818403</v>
      </c>
      <c r="D843" s="603">
        <f>-'Sollecitazioni nel paramento'!$G$47*'Sollecitazioni nel paramento'!$G$41*IF(DATI!$G$211="dx",DATI!$E$61,DATI!$E$64*DATI!$E$63)*1000*C843^2*sezione!$AD$5*(1-sezione!$AD$6)</f>
        <v>-16246374.087283427</v>
      </c>
      <c r="E843" s="545">
        <f>-'Foglio deposito bis'!$F$58*(C843-sezione!$AL$30)*IF(ABS(K843)&lt;'Sollecitazioni nel paramento'!$G$58,ABS(K843)*'Sollecitazioni nel paramento'!$G$54,'Sollecitazioni nel paramento'!$G$53)</f>
        <v>0</v>
      </c>
      <c r="F843" s="545">
        <f>-'Foglio deposito bis'!$F$59*(C843-sezione!$AM$30)*IF(ABS(L843)&lt;'Sollecitazioni nel paramento'!$G$58,ABS(L843)*'Sollecitazioni nel paramento'!$G$54,'Sollecitazioni nel paramento'!$G$53)</f>
        <v>5067474.3805704815</v>
      </c>
      <c r="G843" s="545">
        <f>-'Foglio deposito bis'!$F$60*(C843-sezione!$AN$30)*IF(ABS(M843)&lt;'Sollecitazioni nel paramento'!$G$58,ABS(M843)*'Sollecitazioni nel paramento'!$G$54,'Sollecitazioni nel paramento'!$G$53)</f>
        <v>0</v>
      </c>
      <c r="H843" s="545">
        <f>-'Foglio deposito bis'!$F$61*(C843-sezione!$AO$30)*IF(ABS(N843)&lt;'Sollecitazioni nel paramento'!$G$58,ABS(N843)*'Sollecitazioni nel paramento'!$G$54,'Sollecitazioni nel paramento'!$G$53)</f>
        <v>32040449.571918845</v>
      </c>
      <c r="I843" s="472">
        <f>-'Foglio deposito bis'!$F$62*(C843-sezione!$AP$30)*IF(ABS(O843)&lt;'Sollecitazioni nel paramento'!$G$58,ABS(O843)*'Sollecitazioni nel paramento'!$G$54,'Sollecitazioni nel paramento'!$G$53)</f>
        <v>112621816.46100532</v>
      </c>
      <c r="J843" s="472">
        <f t="shared" si="59"/>
        <v>133483366.32621121</v>
      </c>
      <c r="K843" s="550">
        <f>'Sollecitazioni nel paramento'!$G$60*(sezione!$AL$30-C843)/C843</f>
        <v>1.6808572200957509E-3</v>
      </c>
      <c r="L843" s="550">
        <f>'Sollecitazioni nel paramento'!$G$60*(sezione!$AM$30-C843)/C843</f>
        <v>4.2712858301436262E-3</v>
      </c>
      <c r="M843" s="551">
        <f>'Sollecitazioni nel paramento'!$G$60*(sezione!$AN$30-C843)/C843</f>
        <v>6.861714440191501E-3</v>
      </c>
      <c r="N843" s="551">
        <f>'Sollecitazioni nel paramento'!$G$60*(sezione!$AO$30-C843)/C843</f>
        <v>1.7223428880383005E-2</v>
      </c>
      <c r="O843" s="551">
        <f>'Sollecitazioni nel paramento'!$G$60*(sezione!$AP$30-C843)/C843</f>
        <v>4.635105767352133E-2</v>
      </c>
      <c r="P843" s="545">
        <f>-'Sollecitazioni nel paramento'!$G$47*'Sollecitazioni nel paramento'!$G$41*IF(DATI!$G$211="dx",DATI!$E$61,DATI!$E$64*DATI!$E$63)*1000*C843*sezione!$AD$5</f>
        <v>-1029478.2838855044</v>
      </c>
      <c r="Q843" s="545">
        <f>'Foglio deposito bis'!$F$58*IF(ABS(K843)&lt;'Sollecitazioni nel paramento'!$G$58,ABS(K843)*'Sollecitazioni nel paramento'!$G$54,'Sollecitazioni nel paramento'!$G$53)*IF(K843&lt;0,-1,1)</f>
        <v>0</v>
      </c>
      <c r="R843" s="545">
        <f>'Foglio deposito bis'!$F$59*IF(ABS(L843)&lt;'Sollecitazioni nel paramento'!$G$58,ABS(L843)*'Sollecitazioni nel paramento'!$G$54,'Sollecitazioni nel paramento'!$G$53)*IF(L843&lt;0,-1,1)</f>
        <v>153664.85805602249</v>
      </c>
      <c r="S843" s="545">
        <f>'Foglio deposito bis'!$F$60*IF(ABS(M843)&lt;'Sollecitazioni nel paramento'!$G$58,ABS(M843)*'Sollecitazioni nel paramento'!$G$54,'Sollecitazioni nel paramento'!$G$53)*IF(M843&lt;0,-1,1)</f>
        <v>0</v>
      </c>
      <c r="T843" s="545">
        <f>'Foglio deposito bis'!$F$61*IF(ABS(N843)&lt;'Sollecitazioni nel paramento'!$G$58,ABS(N843)*'Sollecitazioni nel paramento'!$G$54,'Sollecitazioni nel paramento'!$G$53)*IF(N843&lt;0,-1,1)</f>
        <v>240946.49743184328</v>
      </c>
      <c r="U843" s="545">
        <f>'Foglio deposito bis'!$F$62*IF(ABS(O843)&lt;'Sollecitazioni nel paramento'!$G$58,ABS(O843)*'Sollecitazioni nel paramento'!$G$54,'Sollecitazioni nel paramento'!$G$53)*IF(O843&lt;0,-1,1)</f>
        <v>314705.62929873407</v>
      </c>
      <c r="V843" s="472">
        <f t="shared" si="61"/>
        <v>-320161.29909890442</v>
      </c>
      <c r="W843" s="551"/>
      <c r="X843" s="551"/>
    </row>
    <row r="844" spans="1:24" x14ac:dyDescent="0.25">
      <c r="A844" s="545">
        <f t="shared" si="60"/>
        <v>331113.19573598442</v>
      </c>
      <c r="B844" s="3">
        <f t="shared" si="62"/>
        <v>4.7499999999999911</v>
      </c>
      <c r="C844" s="545">
        <f>'Foglio deposito bis'!$E$156/sezione!$B$247*B844</f>
        <v>27.31002914986966</v>
      </c>
      <c r="D844" s="603">
        <f>-'Sollecitazioni nel paramento'!$G$47*'Sollecitazioni nel paramento'!$G$41*IF(DATI!$G$211="dx",DATI!$E$61,DATI!$E$64*DATI!$E$63)*1000*C844^2*sezione!$AD$5*(1-sezione!$AD$6)</f>
        <v>-16593880.278149946</v>
      </c>
      <c r="E844" s="545">
        <f>-'Foglio deposito bis'!$F$58*(C844-sezione!$AL$30)*IF(ABS(K844)&lt;'Sollecitazioni nel paramento'!$G$58,ABS(K844)*'Sollecitazioni nel paramento'!$G$54,'Sollecitazioni nel paramento'!$G$53)</f>
        <v>0</v>
      </c>
      <c r="F844" s="545">
        <f>-'Foglio deposito bis'!$F$59*(C844-sezione!$AM$30)*IF(ABS(L844)&lt;'Sollecitazioni nel paramento'!$G$58,ABS(L844)*'Sollecitazioni nel paramento'!$G$54,'Sollecitazioni nel paramento'!$G$53)</f>
        <v>5023299.7305407915</v>
      </c>
      <c r="G844" s="545">
        <f>-'Foglio deposito bis'!$F$60*(C844-sezione!$AN$30)*IF(ABS(M844)&lt;'Sollecitazioni nel paramento'!$G$58,ABS(M844)*'Sollecitazioni nel paramento'!$G$54,'Sollecitazioni nel paramento'!$G$53)</f>
        <v>0</v>
      </c>
      <c r="H844" s="545">
        <f>-'Foglio deposito bis'!$F$61*(C844-sezione!$AO$30)*IF(ABS(N844)&lt;'Sollecitazioni nel paramento'!$G$58,ABS(N844)*'Sollecitazioni nel paramento'!$G$54,'Sollecitazioni nel paramento'!$G$53)</f>
        <v>31971183.720672291</v>
      </c>
      <c r="I844" s="472">
        <f>-'Foglio deposito bis'!$F$62*(C844-sezione!$AP$30)*IF(ABS(O844)&lt;'Sollecitazioni nel paramento'!$G$58,ABS(O844)*'Sollecitazioni nel paramento'!$G$54,'Sollecitazioni nel paramento'!$G$53)</f>
        <v>112531346.77774453</v>
      </c>
      <c r="J844" s="472">
        <f t="shared" si="59"/>
        <v>132931949.95080766</v>
      </c>
      <c r="K844" s="550">
        <f>'Sollecitazioni nel paramento'!$G$60*(sezione!$AL$30-C844)/C844</f>
        <v>1.6263218809368487E-3</v>
      </c>
      <c r="L844" s="550">
        <f>'Sollecitazioni nel paramento'!$G$60*(sezione!$AM$30-C844)/C844</f>
        <v>4.1894828214052724E-3</v>
      </c>
      <c r="M844" s="551">
        <f>'Sollecitazioni nel paramento'!$G$60*(sezione!$AN$30-C844)/C844</f>
        <v>6.752643761873697E-3</v>
      </c>
      <c r="N844" s="551">
        <f>'Sollecitazioni nel paramento'!$G$60*(sezione!$AO$30-C844)/C844</f>
        <v>1.7005287523747397E-2</v>
      </c>
      <c r="O844" s="551">
        <f>'Sollecitazioni nel paramento'!$G$60*(sezione!$AP$30-C844)/C844</f>
        <v>4.5826309698010582E-2</v>
      </c>
      <c r="P844" s="545">
        <f>-'Sollecitazioni nel paramento'!$G$47*'Sollecitazioni nel paramento'!$G$41*IF(DATI!$G$211="dx",DATI!$E$61,DATI!$E$64*DATI!$E$63)*1000*C844*sezione!$AD$5</f>
        <v>-1040430.1805225842</v>
      </c>
      <c r="Q844" s="545">
        <f>'Foglio deposito bis'!$F$58*IF(ABS(K844)&lt;'Sollecitazioni nel paramento'!$G$58,ABS(K844)*'Sollecitazioni nel paramento'!$G$54,'Sollecitazioni nel paramento'!$G$53)*IF(K844&lt;0,-1,1)</f>
        <v>0</v>
      </c>
      <c r="R844" s="545">
        <f>'Foglio deposito bis'!$F$59*IF(ABS(L844)&lt;'Sollecitazioni nel paramento'!$G$58,ABS(L844)*'Sollecitazioni nel paramento'!$G$54,'Sollecitazioni nel paramento'!$G$53)*IF(L844&lt;0,-1,1)</f>
        <v>153664.85805602249</v>
      </c>
      <c r="S844" s="545">
        <f>'Foglio deposito bis'!$F$60*IF(ABS(M844)&lt;'Sollecitazioni nel paramento'!$G$58,ABS(M844)*'Sollecitazioni nel paramento'!$G$54,'Sollecitazioni nel paramento'!$G$53)*IF(M844&lt;0,-1,1)</f>
        <v>0</v>
      </c>
      <c r="T844" s="545">
        <f>'Foglio deposito bis'!$F$61*IF(ABS(N844)&lt;'Sollecitazioni nel paramento'!$G$58,ABS(N844)*'Sollecitazioni nel paramento'!$G$54,'Sollecitazioni nel paramento'!$G$53)*IF(N844&lt;0,-1,1)</f>
        <v>240946.49743184328</v>
      </c>
      <c r="U844" s="545">
        <f>'Foglio deposito bis'!$F$62*IF(ABS(O844)&lt;'Sollecitazioni nel paramento'!$G$58,ABS(O844)*'Sollecitazioni nel paramento'!$G$54,'Sollecitazioni nel paramento'!$G$53)*IF(O844&lt;0,-1,1)</f>
        <v>314705.62929873407</v>
      </c>
      <c r="V844" s="472">
        <f t="shared" si="61"/>
        <v>-331113.19573598442</v>
      </c>
      <c r="W844" s="551"/>
      <c r="X844" s="551"/>
    </row>
    <row r="845" spans="1:24" x14ac:dyDescent="0.25">
      <c r="A845" s="545">
        <f t="shared" si="60"/>
        <v>342065.0923730642</v>
      </c>
      <c r="B845" s="3">
        <f t="shared" si="62"/>
        <v>4.7999999999999909</v>
      </c>
      <c r="C845" s="545">
        <f>'Foglio deposito bis'!$E$156/sezione!$B$247*B845</f>
        <v>27.597503140920921</v>
      </c>
      <c r="D845" s="603">
        <f>-'Sollecitazioni nel paramento'!$G$47*'Sollecitazioni nel paramento'!$G$41*IF(DATI!$G$211="dx",DATI!$E$61,DATI!$E$64*DATI!$E$63)*1000*C845^2*sezione!$AD$5*(1-sezione!$AD$6)</f>
        <v>-16945063.783205528</v>
      </c>
      <c r="E845" s="545">
        <f>-'Foglio deposito bis'!$F$58*(C845-sezione!$AL$30)*IF(ABS(K845)&lt;'Sollecitazioni nel paramento'!$G$58,ABS(K845)*'Sollecitazioni nel paramento'!$G$54,'Sollecitazioni nel paramento'!$G$53)</f>
        <v>0</v>
      </c>
      <c r="F845" s="545">
        <f>-'Foglio deposito bis'!$F$59*(C845-sezione!$AM$30)*IF(ABS(L845)&lt;'Sollecitazioni nel paramento'!$G$58,ABS(L845)*'Sollecitazioni nel paramento'!$G$54,'Sollecitazioni nel paramento'!$G$53)</f>
        <v>4979125.0805111015</v>
      </c>
      <c r="G845" s="545">
        <f>-'Foglio deposito bis'!$F$60*(C845-sezione!$AN$30)*IF(ABS(M845)&lt;'Sollecitazioni nel paramento'!$G$58,ABS(M845)*'Sollecitazioni nel paramento'!$G$54,'Sollecitazioni nel paramento'!$G$53)</f>
        <v>0</v>
      </c>
      <c r="H845" s="545">
        <f>-'Foglio deposito bis'!$F$61*(C845-sezione!$AO$30)*IF(ABS(N845)&lt;'Sollecitazioni nel paramento'!$G$58,ABS(N845)*'Sollecitazioni nel paramento'!$G$54,'Sollecitazioni nel paramento'!$G$53)</f>
        <v>31901917.869425729</v>
      </c>
      <c r="I845" s="472">
        <f>-'Foglio deposito bis'!$F$62*(C845-sezione!$AP$30)*IF(ABS(O845)&lt;'Sollecitazioni nel paramento'!$G$58,ABS(O845)*'Sollecitazioni nel paramento'!$G$54,'Sollecitazioni nel paramento'!$G$53)</f>
        <v>112440877.0944837</v>
      </c>
      <c r="J845" s="472">
        <f t="shared" si="59"/>
        <v>132376856.261215</v>
      </c>
      <c r="K845" s="550">
        <f>'Sollecitazioni nel paramento'!$G$60*(sezione!$AL$30-C845)/C845</f>
        <v>1.5729226946770895E-3</v>
      </c>
      <c r="L845" s="550">
        <f>'Sollecitazioni nel paramento'!$G$60*(sezione!$AM$30-C845)/C845</f>
        <v>4.1093840420156347E-3</v>
      </c>
      <c r="M845" s="551">
        <f>'Sollecitazioni nel paramento'!$G$60*(sezione!$AN$30-C845)/C845</f>
        <v>6.6458453893541792E-3</v>
      </c>
      <c r="N845" s="551">
        <f>'Sollecitazioni nel paramento'!$G$60*(sezione!$AO$30-C845)/C845</f>
        <v>1.6791690778708356E-2</v>
      </c>
      <c r="O845" s="551">
        <f>'Sollecitazioni nel paramento'!$G$60*(sezione!$AP$30-C845)/C845</f>
        <v>4.531249397198963E-2</v>
      </c>
      <c r="P845" s="545">
        <f>-'Sollecitazioni nel paramento'!$G$47*'Sollecitazioni nel paramento'!$G$41*IF(DATI!$G$211="dx",DATI!$E$61,DATI!$E$64*DATI!$E$63)*1000*C845*sezione!$AD$5</f>
        <v>-1051382.0771596641</v>
      </c>
      <c r="Q845" s="545">
        <f>'Foglio deposito bis'!$F$58*IF(ABS(K845)&lt;'Sollecitazioni nel paramento'!$G$58,ABS(K845)*'Sollecitazioni nel paramento'!$G$54,'Sollecitazioni nel paramento'!$G$53)*IF(K845&lt;0,-1,1)</f>
        <v>0</v>
      </c>
      <c r="R845" s="545">
        <f>'Foglio deposito bis'!$F$59*IF(ABS(L845)&lt;'Sollecitazioni nel paramento'!$G$58,ABS(L845)*'Sollecitazioni nel paramento'!$G$54,'Sollecitazioni nel paramento'!$G$53)*IF(L845&lt;0,-1,1)</f>
        <v>153664.85805602249</v>
      </c>
      <c r="S845" s="545">
        <f>'Foglio deposito bis'!$F$60*IF(ABS(M845)&lt;'Sollecitazioni nel paramento'!$G$58,ABS(M845)*'Sollecitazioni nel paramento'!$G$54,'Sollecitazioni nel paramento'!$G$53)*IF(M845&lt;0,-1,1)</f>
        <v>0</v>
      </c>
      <c r="T845" s="545">
        <f>'Foglio deposito bis'!$F$61*IF(ABS(N845)&lt;'Sollecitazioni nel paramento'!$G$58,ABS(N845)*'Sollecitazioni nel paramento'!$G$54,'Sollecitazioni nel paramento'!$G$53)*IF(N845&lt;0,-1,1)</f>
        <v>240946.49743184328</v>
      </c>
      <c r="U845" s="545">
        <f>'Foglio deposito bis'!$F$62*IF(ABS(O845)&lt;'Sollecitazioni nel paramento'!$G$58,ABS(O845)*'Sollecitazioni nel paramento'!$G$54,'Sollecitazioni nel paramento'!$G$53)*IF(O845&lt;0,-1,1)</f>
        <v>314705.62929873407</v>
      </c>
      <c r="V845" s="472">
        <f t="shared" si="61"/>
        <v>-342065.0923730642</v>
      </c>
      <c r="W845" s="551"/>
      <c r="X845" s="551"/>
    </row>
    <row r="846" spans="1:24" x14ac:dyDescent="0.25">
      <c r="A846" s="545">
        <f t="shared" si="60"/>
        <v>353016.98901014397</v>
      </c>
      <c r="B846" s="3">
        <f t="shared" si="62"/>
        <v>4.8499999999999908</v>
      </c>
      <c r="C846" s="545">
        <f>'Foglio deposito bis'!$E$156/sezione!$B$247*B846</f>
        <v>27.884977131972178</v>
      </c>
      <c r="D846" s="603">
        <f>-'Sollecitazioni nel paramento'!$G$47*'Sollecitazioni nel paramento'!$G$41*IF(DATI!$G$211="dx",DATI!$E$61,DATI!$E$64*DATI!$E$63)*1000*C846^2*sezione!$AD$5*(1-sezione!$AD$6)</f>
        <v>-17299924.602450173</v>
      </c>
      <c r="E846" s="545">
        <f>-'Foglio deposito bis'!$F$58*(C846-sezione!$AL$30)*IF(ABS(K846)&lt;'Sollecitazioni nel paramento'!$G$58,ABS(K846)*'Sollecitazioni nel paramento'!$G$54,'Sollecitazioni nel paramento'!$G$53)</f>
        <v>0</v>
      </c>
      <c r="F846" s="545">
        <f>-'Foglio deposito bis'!$F$59*(C846-sezione!$AM$30)*IF(ABS(L846)&lt;'Sollecitazioni nel paramento'!$G$58,ABS(L846)*'Sollecitazioni nel paramento'!$G$54,'Sollecitazioni nel paramento'!$G$53)</f>
        <v>4934950.4304814124</v>
      </c>
      <c r="G846" s="545">
        <f>-'Foglio deposito bis'!$F$60*(C846-sezione!$AN$30)*IF(ABS(M846)&lt;'Sollecitazioni nel paramento'!$G$58,ABS(M846)*'Sollecitazioni nel paramento'!$G$54,'Sollecitazioni nel paramento'!$G$53)</f>
        <v>0</v>
      </c>
      <c r="H846" s="545">
        <f>-'Foglio deposito bis'!$F$61*(C846-sezione!$AO$30)*IF(ABS(N846)&lt;'Sollecitazioni nel paramento'!$G$58,ABS(N846)*'Sollecitazioni nel paramento'!$G$54,'Sollecitazioni nel paramento'!$G$53)</f>
        <v>31832652.018179182</v>
      </c>
      <c r="I846" s="472">
        <f>-'Foglio deposito bis'!$F$62*(C846-sezione!$AP$30)*IF(ABS(O846)&lt;'Sollecitazioni nel paramento'!$G$58,ABS(O846)*'Sollecitazioni nel paramento'!$G$54,'Sollecitazioni nel paramento'!$G$53)</f>
        <v>112350407.41122292</v>
      </c>
      <c r="J846" s="472">
        <f t="shared" si="59"/>
        <v>131818085.25743334</v>
      </c>
      <c r="K846" s="550">
        <f>'Sollecitazioni nel paramento'!$G$60*(sezione!$AL$30-C846)/C846</f>
        <v>1.5206245225670167E-3</v>
      </c>
      <c r="L846" s="550">
        <f>'Sollecitazioni nel paramento'!$G$60*(sezione!$AM$30-C846)/C846</f>
        <v>4.030936783850525E-3</v>
      </c>
      <c r="M846" s="551">
        <f>'Sollecitazioni nel paramento'!$G$60*(sezione!$AN$30-C846)/C846</f>
        <v>6.5412490451340335E-3</v>
      </c>
      <c r="N846" s="551">
        <f>'Sollecitazioni nel paramento'!$G$60*(sezione!$AO$30-C846)/C846</f>
        <v>1.6582498090268068E-2</v>
      </c>
      <c r="O846" s="551">
        <f>'Sollecitazioni nel paramento'!$G$60*(sezione!$AP$30-C846)/C846</f>
        <v>4.4809272384649546E-2</v>
      </c>
      <c r="P846" s="545">
        <f>-'Sollecitazioni nel paramento'!$G$47*'Sollecitazioni nel paramento'!$G$41*IF(DATI!$G$211="dx",DATI!$E$61,DATI!$E$64*DATI!$E$63)*1000*C846*sezione!$AD$5</f>
        <v>-1062333.9737967439</v>
      </c>
      <c r="Q846" s="545">
        <f>'Foglio deposito bis'!$F$58*IF(ABS(K846)&lt;'Sollecitazioni nel paramento'!$G$58,ABS(K846)*'Sollecitazioni nel paramento'!$G$54,'Sollecitazioni nel paramento'!$G$53)*IF(K846&lt;0,-1,1)</f>
        <v>0</v>
      </c>
      <c r="R846" s="545">
        <f>'Foglio deposito bis'!$F$59*IF(ABS(L846)&lt;'Sollecitazioni nel paramento'!$G$58,ABS(L846)*'Sollecitazioni nel paramento'!$G$54,'Sollecitazioni nel paramento'!$G$53)*IF(L846&lt;0,-1,1)</f>
        <v>153664.85805602249</v>
      </c>
      <c r="S846" s="545">
        <f>'Foglio deposito bis'!$F$60*IF(ABS(M846)&lt;'Sollecitazioni nel paramento'!$G$58,ABS(M846)*'Sollecitazioni nel paramento'!$G$54,'Sollecitazioni nel paramento'!$G$53)*IF(M846&lt;0,-1,1)</f>
        <v>0</v>
      </c>
      <c r="T846" s="545">
        <f>'Foglio deposito bis'!$F$61*IF(ABS(N846)&lt;'Sollecitazioni nel paramento'!$G$58,ABS(N846)*'Sollecitazioni nel paramento'!$G$54,'Sollecitazioni nel paramento'!$G$53)*IF(N846&lt;0,-1,1)</f>
        <v>240946.49743184328</v>
      </c>
      <c r="U846" s="545">
        <f>'Foglio deposito bis'!$F$62*IF(ABS(O846)&lt;'Sollecitazioni nel paramento'!$G$58,ABS(O846)*'Sollecitazioni nel paramento'!$G$54,'Sollecitazioni nel paramento'!$G$53)*IF(O846&lt;0,-1,1)</f>
        <v>314705.62929873407</v>
      </c>
      <c r="V846" s="472">
        <f t="shared" si="61"/>
        <v>-353016.98901014397</v>
      </c>
      <c r="W846" s="551"/>
      <c r="X846" s="551"/>
    </row>
    <row r="847" spans="1:24" x14ac:dyDescent="0.25">
      <c r="A847" s="545">
        <f t="shared" si="60"/>
        <v>363968.88564722374</v>
      </c>
      <c r="B847" s="3">
        <f t="shared" si="62"/>
        <v>4.8999999999999906</v>
      </c>
      <c r="C847" s="545">
        <f>'Foglio deposito bis'!$E$156/sezione!$B$247*B847</f>
        <v>28.172451123023439</v>
      </c>
      <c r="D847" s="603">
        <f>-'Sollecitazioni nel paramento'!$G$47*'Sollecitazioni nel paramento'!$G$41*IF(DATI!$G$211="dx",DATI!$E$61,DATI!$E$64*DATI!$E$63)*1000*C847^2*sezione!$AD$5*(1-sezione!$AD$6)</f>
        <v>-17658462.735883884</v>
      </c>
      <c r="E847" s="545">
        <f>-'Foglio deposito bis'!$F$58*(C847-sezione!$AL$30)*IF(ABS(K847)&lt;'Sollecitazioni nel paramento'!$G$58,ABS(K847)*'Sollecitazioni nel paramento'!$G$54,'Sollecitazioni nel paramento'!$G$53)</f>
        <v>0</v>
      </c>
      <c r="F847" s="545">
        <f>-'Foglio deposito bis'!$F$59*(C847-sezione!$AM$30)*IF(ABS(L847)&lt;'Sollecitazioni nel paramento'!$G$58,ABS(L847)*'Sollecitazioni nel paramento'!$G$54,'Sollecitazioni nel paramento'!$G$53)</f>
        <v>4890775.7804517215</v>
      </c>
      <c r="G847" s="545">
        <f>-'Foglio deposito bis'!$F$60*(C847-sezione!$AN$30)*IF(ABS(M847)&lt;'Sollecitazioni nel paramento'!$G$58,ABS(M847)*'Sollecitazioni nel paramento'!$G$54,'Sollecitazioni nel paramento'!$G$53)</f>
        <v>0</v>
      </c>
      <c r="H847" s="545">
        <f>-'Foglio deposito bis'!$F$61*(C847-sezione!$AO$30)*IF(ABS(N847)&lt;'Sollecitazioni nel paramento'!$G$58,ABS(N847)*'Sollecitazioni nel paramento'!$G$54,'Sollecitazioni nel paramento'!$G$53)</f>
        <v>31763386.166932624</v>
      </c>
      <c r="I847" s="472">
        <f>-'Foglio deposito bis'!$F$62*(C847-sezione!$AP$30)*IF(ABS(O847)&lt;'Sollecitazioni nel paramento'!$G$58,ABS(O847)*'Sollecitazioni nel paramento'!$G$54,'Sollecitazioni nel paramento'!$G$53)</f>
        <v>112259937.72796211</v>
      </c>
      <c r="J847" s="472">
        <f t="shared" si="59"/>
        <v>131255636.93946257</v>
      </c>
      <c r="K847" s="550">
        <f>'Sollecitazioni nel paramento'!$G$60*(sezione!$AL$30-C847)/C847</f>
        <v>1.4693936600918432E-3</v>
      </c>
      <c r="L847" s="550">
        <f>'Sollecitazioni nel paramento'!$G$60*(sezione!$AM$30-C847)/C847</f>
        <v>3.954090490137765E-3</v>
      </c>
      <c r="M847" s="551">
        <f>'Sollecitazioni nel paramento'!$G$60*(sezione!$AN$30-C847)/C847</f>
        <v>6.4387873201836865E-3</v>
      </c>
      <c r="N847" s="551">
        <f>'Sollecitazioni nel paramento'!$G$60*(sezione!$AO$30-C847)/C847</f>
        <v>1.6377574640367369E-2</v>
      </c>
      <c r="O847" s="551">
        <f>'Sollecitazioni nel paramento'!$G$60*(sezione!$AP$30-C847)/C847</f>
        <v>4.4316320625622498E-2</v>
      </c>
      <c r="P847" s="545">
        <f>-'Sollecitazioni nel paramento'!$G$47*'Sollecitazioni nel paramento'!$G$41*IF(DATI!$G$211="dx",DATI!$E$61,DATI!$E$64*DATI!$E$63)*1000*C847*sezione!$AD$5</f>
        <v>-1073285.8704338237</v>
      </c>
      <c r="Q847" s="545">
        <f>'Foglio deposito bis'!$F$58*IF(ABS(K847)&lt;'Sollecitazioni nel paramento'!$G$58,ABS(K847)*'Sollecitazioni nel paramento'!$G$54,'Sollecitazioni nel paramento'!$G$53)*IF(K847&lt;0,-1,1)</f>
        <v>0</v>
      </c>
      <c r="R847" s="545">
        <f>'Foglio deposito bis'!$F$59*IF(ABS(L847)&lt;'Sollecitazioni nel paramento'!$G$58,ABS(L847)*'Sollecitazioni nel paramento'!$G$54,'Sollecitazioni nel paramento'!$G$53)*IF(L847&lt;0,-1,1)</f>
        <v>153664.85805602249</v>
      </c>
      <c r="S847" s="545">
        <f>'Foglio deposito bis'!$F$60*IF(ABS(M847)&lt;'Sollecitazioni nel paramento'!$G$58,ABS(M847)*'Sollecitazioni nel paramento'!$G$54,'Sollecitazioni nel paramento'!$G$53)*IF(M847&lt;0,-1,1)</f>
        <v>0</v>
      </c>
      <c r="T847" s="545">
        <f>'Foglio deposito bis'!$F$61*IF(ABS(N847)&lt;'Sollecitazioni nel paramento'!$G$58,ABS(N847)*'Sollecitazioni nel paramento'!$G$54,'Sollecitazioni nel paramento'!$G$53)*IF(N847&lt;0,-1,1)</f>
        <v>240946.49743184328</v>
      </c>
      <c r="U847" s="545">
        <f>'Foglio deposito bis'!$F$62*IF(ABS(O847)&lt;'Sollecitazioni nel paramento'!$G$58,ABS(O847)*'Sollecitazioni nel paramento'!$G$54,'Sollecitazioni nel paramento'!$G$53)*IF(O847&lt;0,-1,1)</f>
        <v>314705.62929873407</v>
      </c>
      <c r="V847" s="472">
        <f t="shared" si="61"/>
        <v>-363968.88564722374</v>
      </c>
      <c r="W847" s="551"/>
      <c r="X847" s="551"/>
    </row>
    <row r="848" spans="1:24" x14ac:dyDescent="0.25">
      <c r="A848" s="545">
        <f t="shared" si="60"/>
        <v>374920.78228430351</v>
      </c>
      <c r="B848" s="3">
        <f t="shared" si="62"/>
        <v>4.9499999999999904</v>
      </c>
      <c r="C848" s="545">
        <f>'Foglio deposito bis'!$E$156/sezione!$B$247*B848</f>
        <v>28.459925114074696</v>
      </c>
      <c r="D848" s="603">
        <f>-'Sollecitazioni nel paramento'!$G$47*'Sollecitazioni nel paramento'!$G$41*IF(DATI!$G$211="dx",DATI!$E$61,DATI!$E$64*DATI!$E$63)*1000*C848^2*sezione!$AD$5*(1-sezione!$AD$6)</f>
        <v>-18020678.18350666</v>
      </c>
      <c r="E848" s="545">
        <f>-'Foglio deposito bis'!$F$58*(C848-sezione!$AL$30)*IF(ABS(K848)&lt;'Sollecitazioni nel paramento'!$G$58,ABS(K848)*'Sollecitazioni nel paramento'!$G$54,'Sollecitazioni nel paramento'!$G$53)</f>
        <v>0</v>
      </c>
      <c r="F848" s="545">
        <f>-'Foglio deposito bis'!$F$59*(C848-sezione!$AM$30)*IF(ABS(L848)&lt;'Sollecitazioni nel paramento'!$G$58,ABS(L848)*'Sollecitazioni nel paramento'!$G$54,'Sollecitazioni nel paramento'!$G$53)</f>
        <v>4846601.1304220315</v>
      </c>
      <c r="G848" s="545">
        <f>-'Foglio deposito bis'!$F$60*(C848-sezione!$AN$30)*IF(ABS(M848)&lt;'Sollecitazioni nel paramento'!$G$58,ABS(M848)*'Sollecitazioni nel paramento'!$G$54,'Sollecitazioni nel paramento'!$G$53)</f>
        <v>0</v>
      </c>
      <c r="H848" s="545">
        <f>-'Foglio deposito bis'!$F$61*(C848-sezione!$AO$30)*IF(ABS(N848)&lt;'Sollecitazioni nel paramento'!$G$58,ABS(N848)*'Sollecitazioni nel paramento'!$G$54,'Sollecitazioni nel paramento'!$G$53)</f>
        <v>31694120.315686069</v>
      </c>
      <c r="I848" s="472">
        <f>-'Foglio deposito bis'!$F$62*(C848-sezione!$AP$30)*IF(ABS(O848)&lt;'Sollecitazioni nel paramento'!$G$58,ABS(O848)*'Sollecitazioni nel paramento'!$G$54,'Sollecitazioni nel paramento'!$G$53)</f>
        <v>112169468.04470129</v>
      </c>
      <c r="J848" s="472">
        <f t="shared" si="59"/>
        <v>130689511.30730274</v>
      </c>
      <c r="K848" s="550">
        <f>'Sollecitazioni nel paramento'!$G$60*(sezione!$AL$30-C848)/C848</f>
        <v>1.4191977645353602E-3</v>
      </c>
      <c r="L848" s="550">
        <f>'Sollecitazioni nel paramento'!$G$60*(sezione!$AM$30-C848)/C848</f>
        <v>3.8787966468030398E-3</v>
      </c>
      <c r="M848" s="551">
        <f>'Sollecitazioni nel paramento'!$G$60*(sezione!$AN$30-C848)/C848</f>
        <v>6.3383955290707205E-3</v>
      </c>
      <c r="N848" s="551">
        <f>'Sollecitazioni nel paramento'!$G$60*(sezione!$AO$30-C848)/C848</f>
        <v>1.6176791058141439E-2</v>
      </c>
      <c r="O848" s="551">
        <f>'Sollecitazioni nel paramento'!$G$60*(sezione!$AP$30-C848)/C848</f>
        <v>4.3833327487989959E-2</v>
      </c>
      <c r="P848" s="545">
        <f>-'Sollecitazioni nel paramento'!$G$47*'Sollecitazioni nel paramento'!$G$41*IF(DATI!$G$211="dx",DATI!$E$61,DATI!$E$64*DATI!$E$63)*1000*C848*sezione!$AD$5</f>
        <v>-1084237.7670709034</v>
      </c>
      <c r="Q848" s="545">
        <f>'Foglio deposito bis'!$F$58*IF(ABS(K848)&lt;'Sollecitazioni nel paramento'!$G$58,ABS(K848)*'Sollecitazioni nel paramento'!$G$54,'Sollecitazioni nel paramento'!$G$53)*IF(K848&lt;0,-1,1)</f>
        <v>0</v>
      </c>
      <c r="R848" s="545">
        <f>'Foglio deposito bis'!$F$59*IF(ABS(L848)&lt;'Sollecitazioni nel paramento'!$G$58,ABS(L848)*'Sollecitazioni nel paramento'!$G$54,'Sollecitazioni nel paramento'!$G$53)*IF(L848&lt;0,-1,1)</f>
        <v>153664.85805602249</v>
      </c>
      <c r="S848" s="545">
        <f>'Foglio deposito bis'!$F$60*IF(ABS(M848)&lt;'Sollecitazioni nel paramento'!$G$58,ABS(M848)*'Sollecitazioni nel paramento'!$G$54,'Sollecitazioni nel paramento'!$G$53)*IF(M848&lt;0,-1,1)</f>
        <v>0</v>
      </c>
      <c r="T848" s="545">
        <f>'Foglio deposito bis'!$F$61*IF(ABS(N848)&lt;'Sollecitazioni nel paramento'!$G$58,ABS(N848)*'Sollecitazioni nel paramento'!$G$54,'Sollecitazioni nel paramento'!$G$53)*IF(N848&lt;0,-1,1)</f>
        <v>240946.49743184328</v>
      </c>
      <c r="U848" s="545">
        <f>'Foglio deposito bis'!$F$62*IF(ABS(O848)&lt;'Sollecitazioni nel paramento'!$G$58,ABS(O848)*'Sollecitazioni nel paramento'!$G$54,'Sollecitazioni nel paramento'!$G$53)*IF(O848&lt;0,-1,1)</f>
        <v>314705.62929873407</v>
      </c>
      <c r="V848" s="472">
        <f t="shared" si="61"/>
        <v>-374920.78228430351</v>
      </c>
      <c r="W848" s="551"/>
      <c r="X848" s="551"/>
    </row>
    <row r="849" spans="1:24" x14ac:dyDescent="0.25">
      <c r="A849" s="545">
        <f t="shared" si="60"/>
        <v>385872.67892138328</v>
      </c>
      <c r="B849" s="3">
        <f t="shared" si="62"/>
        <v>4.9999999999999902</v>
      </c>
      <c r="C849" s="545">
        <f>'Foglio deposito bis'!$E$156/sezione!$B$247*B849</f>
        <v>28.747399105125957</v>
      </c>
      <c r="D849" s="603">
        <f>-'Sollecitazioni nel paramento'!$G$47*'Sollecitazioni nel paramento'!$G$41*IF(DATI!$G$211="dx",DATI!$E$61,DATI!$E$64*DATI!$E$63)*1000*C849^2*sezione!$AD$5*(1-sezione!$AD$6)</f>
        <v>-18386570.945318498</v>
      </c>
      <c r="E849" s="545">
        <f>-'Foglio deposito bis'!$F$58*(C849-sezione!$AL$30)*IF(ABS(K849)&lt;'Sollecitazioni nel paramento'!$G$58,ABS(K849)*'Sollecitazioni nel paramento'!$G$54,'Sollecitazioni nel paramento'!$G$53)</f>
        <v>0</v>
      </c>
      <c r="F849" s="545">
        <f>-'Foglio deposito bis'!$F$59*(C849-sezione!$AM$30)*IF(ABS(L849)&lt;'Sollecitazioni nel paramento'!$G$58,ABS(L849)*'Sollecitazioni nel paramento'!$G$54,'Sollecitazioni nel paramento'!$G$53)</f>
        <v>4802426.4803923415</v>
      </c>
      <c r="G849" s="545">
        <f>-'Foglio deposito bis'!$F$60*(C849-sezione!$AN$30)*IF(ABS(M849)&lt;'Sollecitazioni nel paramento'!$G$58,ABS(M849)*'Sollecitazioni nel paramento'!$G$54,'Sollecitazioni nel paramento'!$G$53)</f>
        <v>0</v>
      </c>
      <c r="H849" s="545">
        <f>-'Foglio deposito bis'!$F$61*(C849-sezione!$AO$30)*IF(ABS(N849)&lt;'Sollecitazioni nel paramento'!$G$58,ABS(N849)*'Sollecitazioni nel paramento'!$G$54,'Sollecitazioni nel paramento'!$G$53)</f>
        <v>31624854.464439519</v>
      </c>
      <c r="I849" s="472">
        <f>-'Foglio deposito bis'!$F$62*(C849-sezione!$AP$30)*IF(ABS(O849)&lt;'Sollecitazioni nel paramento'!$G$58,ABS(O849)*'Sollecitazioni nel paramento'!$G$54,'Sollecitazioni nel paramento'!$G$53)</f>
        <v>112078998.36144049</v>
      </c>
      <c r="J849" s="472">
        <f t="shared" si="59"/>
        <v>130119708.36095385</v>
      </c>
      <c r="K849" s="550">
        <f>'Sollecitazioni nel paramento'!$G$60*(sezione!$AL$30-C849)/C849</f>
        <v>1.3700057868900064E-3</v>
      </c>
      <c r="L849" s="550">
        <f>'Sollecitazioni nel paramento'!$G$60*(sezione!$AM$30-C849)/C849</f>
        <v>3.8050086803350096E-3</v>
      </c>
      <c r="M849" s="551">
        <f>'Sollecitazioni nel paramento'!$G$60*(sezione!$AN$30-C849)/C849</f>
        <v>6.2400115737800133E-3</v>
      </c>
      <c r="N849" s="551">
        <f>'Sollecitazioni nel paramento'!$G$60*(sezione!$AO$30-C849)/C849</f>
        <v>1.5980023147560023E-2</v>
      </c>
      <c r="O849" s="551">
        <f>'Sollecitazioni nel paramento'!$G$60*(sezione!$AP$30-C849)/C849</f>
        <v>4.3359994213110049E-2</v>
      </c>
      <c r="P849" s="545">
        <f>-'Sollecitazioni nel paramento'!$G$47*'Sollecitazioni nel paramento'!$G$41*IF(DATI!$G$211="dx",DATI!$E$61,DATI!$E$64*DATI!$E$63)*1000*C849*sezione!$AD$5</f>
        <v>-1095189.6637079832</v>
      </c>
      <c r="Q849" s="545">
        <f>'Foglio deposito bis'!$F$58*IF(ABS(K849)&lt;'Sollecitazioni nel paramento'!$G$58,ABS(K849)*'Sollecitazioni nel paramento'!$G$54,'Sollecitazioni nel paramento'!$G$53)*IF(K849&lt;0,-1,1)</f>
        <v>0</v>
      </c>
      <c r="R849" s="545">
        <f>'Foglio deposito bis'!$F$59*IF(ABS(L849)&lt;'Sollecitazioni nel paramento'!$G$58,ABS(L849)*'Sollecitazioni nel paramento'!$G$54,'Sollecitazioni nel paramento'!$G$53)*IF(L849&lt;0,-1,1)</f>
        <v>153664.85805602249</v>
      </c>
      <c r="S849" s="545">
        <f>'Foglio deposito bis'!$F$60*IF(ABS(M849)&lt;'Sollecitazioni nel paramento'!$G$58,ABS(M849)*'Sollecitazioni nel paramento'!$G$54,'Sollecitazioni nel paramento'!$G$53)*IF(M849&lt;0,-1,1)</f>
        <v>0</v>
      </c>
      <c r="T849" s="545">
        <f>'Foglio deposito bis'!$F$61*IF(ABS(N849)&lt;'Sollecitazioni nel paramento'!$G$58,ABS(N849)*'Sollecitazioni nel paramento'!$G$54,'Sollecitazioni nel paramento'!$G$53)*IF(N849&lt;0,-1,1)</f>
        <v>240946.49743184328</v>
      </c>
      <c r="U849" s="545">
        <f>'Foglio deposito bis'!$F$62*IF(ABS(O849)&lt;'Sollecitazioni nel paramento'!$G$58,ABS(O849)*'Sollecitazioni nel paramento'!$G$54,'Sollecitazioni nel paramento'!$G$53)*IF(O849&lt;0,-1,1)</f>
        <v>314705.62929873407</v>
      </c>
      <c r="V849" s="472">
        <f t="shared" si="61"/>
        <v>-385872.67892138328</v>
      </c>
      <c r="W849" s="551"/>
      <c r="X849" s="551"/>
    </row>
    <row r="850" spans="1:24" x14ac:dyDescent="0.25">
      <c r="A850" s="545">
        <f t="shared" si="60"/>
        <v>396824.57555846329</v>
      </c>
      <c r="B850" s="3">
        <f t="shared" si="62"/>
        <v>5.0499999999999901</v>
      </c>
      <c r="C850" s="545">
        <f>'Foglio deposito bis'!$E$156/sezione!$B$247*B850</f>
        <v>29.034873096177215</v>
      </c>
      <c r="D850" s="603">
        <f>-'Sollecitazioni nel paramento'!$G$47*'Sollecitazioni nel paramento'!$G$41*IF(DATI!$G$211="dx",DATI!$E$61,DATI!$E$64*DATI!$E$63)*1000*C850^2*sezione!$AD$5*(1-sezione!$AD$6)</f>
        <v>-18756141.021319393</v>
      </c>
      <c r="E850" s="545">
        <f>-'Foglio deposito bis'!$F$58*(C850-sezione!$AL$30)*IF(ABS(K850)&lt;'Sollecitazioni nel paramento'!$G$58,ABS(K850)*'Sollecitazioni nel paramento'!$G$54,'Sollecitazioni nel paramento'!$G$53)</f>
        <v>0</v>
      </c>
      <c r="F850" s="545">
        <f>-'Foglio deposito bis'!$F$59*(C850-sezione!$AM$30)*IF(ABS(L850)&lt;'Sollecitazioni nel paramento'!$G$58,ABS(L850)*'Sollecitazioni nel paramento'!$G$54,'Sollecitazioni nel paramento'!$G$53)</f>
        <v>4758251.8303626515</v>
      </c>
      <c r="G850" s="545">
        <f>-'Foglio deposito bis'!$F$60*(C850-sezione!$AN$30)*IF(ABS(M850)&lt;'Sollecitazioni nel paramento'!$G$58,ABS(M850)*'Sollecitazioni nel paramento'!$G$54,'Sollecitazioni nel paramento'!$G$53)</f>
        <v>0</v>
      </c>
      <c r="H850" s="545">
        <f>-'Foglio deposito bis'!$F$61*(C850-sezione!$AO$30)*IF(ABS(N850)&lt;'Sollecitazioni nel paramento'!$G$58,ABS(N850)*'Sollecitazioni nel paramento'!$G$54,'Sollecitazioni nel paramento'!$G$53)</f>
        <v>31555588.613192964</v>
      </c>
      <c r="I850" s="472">
        <f>-'Foglio deposito bis'!$F$62*(C850-sezione!$AP$30)*IF(ABS(O850)&lt;'Sollecitazioni nel paramento'!$G$58,ABS(O850)*'Sollecitazioni nel paramento'!$G$54,'Sollecitazioni nel paramento'!$G$53)</f>
        <v>111988528.6781797</v>
      </c>
      <c r="J850" s="472">
        <f t="shared" si="59"/>
        <v>129546228.10041592</v>
      </c>
      <c r="K850" s="550">
        <f>'Sollecitazioni nel paramento'!$G$60*(sezione!$AL$30-C850)/C850</f>
        <v>1.3217879078118878E-3</v>
      </c>
      <c r="L850" s="550">
        <f>'Sollecitazioni nel paramento'!$G$60*(sezione!$AM$30-C850)/C850</f>
        <v>3.7326818617178315E-3</v>
      </c>
      <c r="M850" s="551">
        <f>'Sollecitazioni nel paramento'!$G$60*(sezione!$AN$30-C850)/C850</f>
        <v>6.1435758156237761E-3</v>
      </c>
      <c r="N850" s="551">
        <f>'Sollecitazioni nel paramento'!$G$60*(sezione!$AO$30-C850)/C850</f>
        <v>1.578715163124755E-2</v>
      </c>
      <c r="O850" s="551">
        <f>'Sollecitazioni nel paramento'!$G$60*(sezione!$AP$30-C850)/C850</f>
        <v>4.2896033874366399E-2</v>
      </c>
      <c r="P850" s="545">
        <f>-'Sollecitazioni nel paramento'!$G$47*'Sollecitazioni nel paramento'!$G$41*IF(DATI!$G$211="dx",DATI!$E$61,DATI!$E$64*DATI!$E$63)*1000*C850*sezione!$AD$5</f>
        <v>-1106141.5603450632</v>
      </c>
      <c r="Q850" s="545">
        <f>'Foglio deposito bis'!$F$58*IF(ABS(K850)&lt;'Sollecitazioni nel paramento'!$G$58,ABS(K850)*'Sollecitazioni nel paramento'!$G$54,'Sollecitazioni nel paramento'!$G$53)*IF(K850&lt;0,-1,1)</f>
        <v>0</v>
      </c>
      <c r="R850" s="545">
        <f>'Foglio deposito bis'!$F$59*IF(ABS(L850)&lt;'Sollecitazioni nel paramento'!$G$58,ABS(L850)*'Sollecitazioni nel paramento'!$G$54,'Sollecitazioni nel paramento'!$G$53)*IF(L850&lt;0,-1,1)</f>
        <v>153664.85805602249</v>
      </c>
      <c r="S850" s="545">
        <f>'Foglio deposito bis'!$F$60*IF(ABS(M850)&lt;'Sollecitazioni nel paramento'!$G$58,ABS(M850)*'Sollecitazioni nel paramento'!$G$54,'Sollecitazioni nel paramento'!$G$53)*IF(M850&lt;0,-1,1)</f>
        <v>0</v>
      </c>
      <c r="T850" s="545">
        <f>'Foglio deposito bis'!$F$61*IF(ABS(N850)&lt;'Sollecitazioni nel paramento'!$G$58,ABS(N850)*'Sollecitazioni nel paramento'!$G$54,'Sollecitazioni nel paramento'!$G$53)*IF(N850&lt;0,-1,1)</f>
        <v>240946.49743184328</v>
      </c>
      <c r="U850" s="545">
        <f>'Foglio deposito bis'!$F$62*IF(ABS(O850)&lt;'Sollecitazioni nel paramento'!$G$58,ABS(O850)*'Sollecitazioni nel paramento'!$G$54,'Sollecitazioni nel paramento'!$G$53)*IF(O850&lt;0,-1,1)</f>
        <v>314705.62929873407</v>
      </c>
      <c r="V850" s="472">
        <f t="shared" si="61"/>
        <v>-396824.57555846329</v>
      </c>
      <c r="W850" s="551"/>
      <c r="X850" s="551"/>
    </row>
    <row r="851" spans="1:24" x14ac:dyDescent="0.25">
      <c r="A851" s="545">
        <f t="shared" si="60"/>
        <v>407776.47219554306</v>
      </c>
      <c r="B851" s="3">
        <f t="shared" si="62"/>
        <v>5.0999999999999899</v>
      </c>
      <c r="C851" s="545">
        <f>'Foglio deposito bis'!$E$156/sezione!$B$247*B851</f>
        <v>29.322347087228476</v>
      </c>
      <c r="D851" s="603">
        <f>-'Sollecitazioni nel paramento'!$G$47*'Sollecitazioni nel paramento'!$G$41*IF(DATI!$G$211="dx",DATI!$E$61,DATI!$E$64*DATI!$E$63)*1000*C851^2*sezione!$AD$5*(1-sezione!$AD$6)</f>
        <v>-19129388.411509365</v>
      </c>
      <c r="E851" s="545">
        <f>-'Foglio deposito bis'!$F$58*(C851-sezione!$AL$30)*IF(ABS(K851)&lt;'Sollecitazioni nel paramento'!$G$58,ABS(K851)*'Sollecitazioni nel paramento'!$G$54,'Sollecitazioni nel paramento'!$G$53)</f>
        <v>0</v>
      </c>
      <c r="F851" s="545">
        <f>-'Foglio deposito bis'!$F$59*(C851-sezione!$AM$30)*IF(ABS(L851)&lt;'Sollecitazioni nel paramento'!$G$58,ABS(L851)*'Sollecitazioni nel paramento'!$G$54,'Sollecitazioni nel paramento'!$G$53)</f>
        <v>4714077.1803329615</v>
      </c>
      <c r="G851" s="545">
        <f>-'Foglio deposito bis'!$F$60*(C851-sezione!$AN$30)*IF(ABS(M851)&lt;'Sollecitazioni nel paramento'!$G$58,ABS(M851)*'Sollecitazioni nel paramento'!$G$54,'Sollecitazioni nel paramento'!$G$53)</f>
        <v>0</v>
      </c>
      <c r="H851" s="545">
        <f>-'Foglio deposito bis'!$F$61*(C851-sezione!$AO$30)*IF(ABS(N851)&lt;'Sollecitazioni nel paramento'!$G$58,ABS(N851)*'Sollecitazioni nel paramento'!$G$54,'Sollecitazioni nel paramento'!$G$53)</f>
        <v>31486322.761946406</v>
      </c>
      <c r="I851" s="472">
        <f>-'Foglio deposito bis'!$F$62*(C851-sezione!$AP$30)*IF(ABS(O851)&lt;'Sollecitazioni nel paramento'!$G$58,ABS(O851)*'Sollecitazioni nel paramento'!$G$54,'Sollecitazioni nel paramento'!$G$53)</f>
        <v>111898058.99491887</v>
      </c>
      <c r="J851" s="472">
        <f t="shared" si="59"/>
        <v>128969070.52568887</v>
      </c>
      <c r="K851" s="550">
        <f>'Sollecitazioni nel paramento'!$G$60*(sezione!$AL$30-C851)/C851</f>
        <v>1.2745154773431437E-3</v>
      </c>
      <c r="L851" s="550">
        <f>'Sollecitazioni nel paramento'!$G$60*(sezione!$AM$30-C851)/C851</f>
        <v>3.6617732160147153E-3</v>
      </c>
      <c r="M851" s="551">
        <f>'Sollecitazioni nel paramento'!$G$60*(sezione!$AN$30-C851)/C851</f>
        <v>6.0490309546862861E-3</v>
      </c>
      <c r="N851" s="551">
        <f>'Sollecitazioni nel paramento'!$G$60*(sezione!$AO$30-C851)/C851</f>
        <v>1.5598061909372574E-2</v>
      </c>
      <c r="O851" s="551">
        <f>'Sollecitazioni nel paramento'!$G$60*(sezione!$AP$30-C851)/C851</f>
        <v>4.2441170797166722E-2</v>
      </c>
      <c r="P851" s="545">
        <f>-'Sollecitazioni nel paramento'!$G$47*'Sollecitazioni nel paramento'!$G$41*IF(DATI!$G$211="dx",DATI!$E$61,DATI!$E$64*DATI!$E$63)*1000*C851*sezione!$AD$5</f>
        <v>-1117093.456982143</v>
      </c>
      <c r="Q851" s="545">
        <f>'Foglio deposito bis'!$F$58*IF(ABS(K851)&lt;'Sollecitazioni nel paramento'!$G$58,ABS(K851)*'Sollecitazioni nel paramento'!$G$54,'Sollecitazioni nel paramento'!$G$53)*IF(K851&lt;0,-1,1)</f>
        <v>0</v>
      </c>
      <c r="R851" s="545">
        <f>'Foglio deposito bis'!$F$59*IF(ABS(L851)&lt;'Sollecitazioni nel paramento'!$G$58,ABS(L851)*'Sollecitazioni nel paramento'!$G$54,'Sollecitazioni nel paramento'!$G$53)*IF(L851&lt;0,-1,1)</f>
        <v>153664.85805602249</v>
      </c>
      <c r="S851" s="545">
        <f>'Foglio deposito bis'!$F$60*IF(ABS(M851)&lt;'Sollecitazioni nel paramento'!$G$58,ABS(M851)*'Sollecitazioni nel paramento'!$G$54,'Sollecitazioni nel paramento'!$G$53)*IF(M851&lt;0,-1,1)</f>
        <v>0</v>
      </c>
      <c r="T851" s="545">
        <f>'Foglio deposito bis'!$F$61*IF(ABS(N851)&lt;'Sollecitazioni nel paramento'!$G$58,ABS(N851)*'Sollecitazioni nel paramento'!$G$54,'Sollecitazioni nel paramento'!$G$53)*IF(N851&lt;0,-1,1)</f>
        <v>240946.49743184328</v>
      </c>
      <c r="U851" s="545">
        <f>'Foglio deposito bis'!$F$62*IF(ABS(O851)&lt;'Sollecitazioni nel paramento'!$G$58,ABS(O851)*'Sollecitazioni nel paramento'!$G$54,'Sollecitazioni nel paramento'!$G$53)*IF(O851&lt;0,-1,1)</f>
        <v>314705.62929873407</v>
      </c>
      <c r="V851" s="472">
        <f t="shared" si="61"/>
        <v>-407776.47219554306</v>
      </c>
      <c r="W851" s="551"/>
      <c r="X851" s="551"/>
    </row>
    <row r="852" spans="1:24" x14ac:dyDescent="0.25">
      <c r="A852" s="545">
        <f t="shared" si="60"/>
        <v>451584.05874386261</v>
      </c>
      <c r="B852" s="3">
        <f>B851+0.2</f>
        <v>5.2999999999999901</v>
      </c>
      <c r="C852" s="545">
        <f>'Foglio deposito bis'!$E$156/sezione!$B$247*B852</f>
        <v>30.472243051433516</v>
      </c>
      <c r="D852" s="603">
        <f>-'Sollecitazioni nel paramento'!$G$47*'Sollecitazioni nel paramento'!$G$41*IF(DATI!$G$211="dx",DATI!$E$61,DATI!$E$64*DATI!$E$63)*1000*C852^2*sezione!$AD$5*(1-sezione!$AD$6)</f>
        <v>-20659151.114159867</v>
      </c>
      <c r="E852" s="545">
        <f>-'Foglio deposito bis'!$F$58*(C852-sezione!$AL$30)*IF(ABS(K852)&lt;'Sollecitazioni nel paramento'!$G$58,ABS(K852)*'Sollecitazioni nel paramento'!$G$54,'Sollecitazioni nel paramento'!$G$53)</f>
        <v>0</v>
      </c>
      <c r="F852" s="545">
        <f>-'Foglio deposito bis'!$F$59*(C852-sezione!$AM$30)*IF(ABS(L852)&lt;'Sollecitazioni nel paramento'!$G$58,ABS(L852)*'Sollecitazioni nel paramento'!$G$54,'Sollecitazioni nel paramento'!$G$53)</f>
        <v>4537378.5802142005</v>
      </c>
      <c r="G852" s="545">
        <f>-'Foglio deposito bis'!$F$60*(C852-sezione!$AN$30)*IF(ABS(M852)&lt;'Sollecitazioni nel paramento'!$G$58,ABS(M852)*'Sollecitazioni nel paramento'!$G$54,'Sollecitazioni nel paramento'!$G$53)</f>
        <v>0</v>
      </c>
      <c r="H852" s="545">
        <f>-'Foglio deposito bis'!$F$61*(C852-sezione!$AO$30)*IF(ABS(N852)&lt;'Sollecitazioni nel paramento'!$G$58,ABS(N852)*'Sollecitazioni nel paramento'!$G$54,'Sollecitazioni nel paramento'!$G$53)</f>
        <v>31209259.3569602</v>
      </c>
      <c r="I852" s="472">
        <f>-'Foglio deposito bis'!$F$62*(C852-sezione!$AP$30)*IF(ABS(O852)&lt;'Sollecitazioni nel paramento'!$G$58,ABS(O852)*'Sollecitazioni nel paramento'!$G$54,'Sollecitazioni nel paramento'!$G$53)</f>
        <v>111536180.26187566</v>
      </c>
      <c r="J852" s="472">
        <f t="shared" si="59"/>
        <v>126623667.08489019</v>
      </c>
      <c r="K852" s="550">
        <f>'Sollecitazioni nel paramento'!$G$60*(sezione!$AL$30-C852)/C852</f>
        <v>1.0943450819717038E-3</v>
      </c>
      <c r="L852" s="550">
        <f>'Sollecitazioni nel paramento'!$G$60*(sezione!$AM$30-C852)/C852</f>
        <v>3.3915176229575559E-3</v>
      </c>
      <c r="M852" s="551">
        <f>'Sollecitazioni nel paramento'!$G$60*(sezione!$AN$30-C852)/C852</f>
        <v>5.6886901639434072E-3</v>
      </c>
      <c r="N852" s="551">
        <f>'Sollecitazioni nel paramento'!$G$60*(sezione!$AO$30-C852)/C852</f>
        <v>1.4877380327886816E-2</v>
      </c>
      <c r="O852" s="551">
        <f>'Sollecitazioni nel paramento'!$G$60*(sezione!$AP$30-C852)/C852</f>
        <v>4.0707541710481181E-2</v>
      </c>
      <c r="P852" s="545">
        <f>-'Sollecitazioni nel paramento'!$G$47*'Sollecitazioni nel paramento'!$G$41*IF(DATI!$G$211="dx",DATI!$E$61,DATI!$E$64*DATI!$E$63)*1000*C852*sezione!$AD$5</f>
        <v>-1160901.0435304625</v>
      </c>
      <c r="Q852" s="545">
        <f>'Foglio deposito bis'!$F$58*IF(ABS(K852)&lt;'Sollecitazioni nel paramento'!$G$58,ABS(K852)*'Sollecitazioni nel paramento'!$G$54,'Sollecitazioni nel paramento'!$G$53)*IF(K852&lt;0,-1,1)</f>
        <v>0</v>
      </c>
      <c r="R852" s="545">
        <f>'Foglio deposito bis'!$F$59*IF(ABS(L852)&lt;'Sollecitazioni nel paramento'!$G$58,ABS(L852)*'Sollecitazioni nel paramento'!$G$54,'Sollecitazioni nel paramento'!$G$53)*IF(L852&lt;0,-1,1)</f>
        <v>153664.85805602249</v>
      </c>
      <c r="S852" s="545">
        <f>'Foglio deposito bis'!$F$60*IF(ABS(M852)&lt;'Sollecitazioni nel paramento'!$G$58,ABS(M852)*'Sollecitazioni nel paramento'!$G$54,'Sollecitazioni nel paramento'!$G$53)*IF(M852&lt;0,-1,1)</f>
        <v>0</v>
      </c>
      <c r="T852" s="545">
        <f>'Foglio deposito bis'!$F$61*IF(ABS(N852)&lt;'Sollecitazioni nel paramento'!$G$58,ABS(N852)*'Sollecitazioni nel paramento'!$G$54,'Sollecitazioni nel paramento'!$G$53)*IF(N852&lt;0,-1,1)</f>
        <v>240946.49743184328</v>
      </c>
      <c r="U852" s="545">
        <f>'Foglio deposito bis'!$F$62*IF(ABS(O852)&lt;'Sollecitazioni nel paramento'!$G$58,ABS(O852)*'Sollecitazioni nel paramento'!$G$54,'Sollecitazioni nel paramento'!$G$53)*IF(O852&lt;0,-1,1)</f>
        <v>314705.62929873407</v>
      </c>
      <c r="V852" s="472">
        <f t="shared" si="61"/>
        <v>-451584.05874386261</v>
      </c>
      <c r="W852" s="551"/>
      <c r="X852" s="551"/>
    </row>
    <row r="853" spans="1:24" x14ac:dyDescent="0.25">
      <c r="A853" s="545">
        <f t="shared" si="60"/>
        <v>495391.64529218193</v>
      </c>
      <c r="B853" s="3">
        <f t="shared" ref="B853:B916" si="63">B852+0.2</f>
        <v>5.4999999999999902</v>
      </c>
      <c r="C853" s="545">
        <f>'Foglio deposito bis'!$E$156/sezione!$B$247*B853</f>
        <v>31.622139015638556</v>
      </c>
      <c r="D853" s="603">
        <f>-'Sollecitazioni nel paramento'!$G$47*'Sollecitazioni nel paramento'!$G$41*IF(DATI!$G$211="dx",DATI!$E$61,DATI!$E$64*DATI!$E$63)*1000*C853^2*sezione!$AD$5*(1-sezione!$AD$6)</f>
        <v>-22247750.843835384</v>
      </c>
      <c r="E853" s="545">
        <f>-'Foglio deposito bis'!$F$58*(C853-sezione!$AL$30)*IF(ABS(K853)&lt;'Sollecitazioni nel paramento'!$G$58,ABS(K853)*'Sollecitazioni nel paramento'!$G$54,'Sollecitazioni nel paramento'!$G$53)</f>
        <v>0</v>
      </c>
      <c r="F853" s="545">
        <f>-'Foglio deposito bis'!$F$59*(C853-sezione!$AM$30)*IF(ABS(L853)&lt;'Sollecitazioni nel paramento'!$G$58,ABS(L853)*'Sollecitazioni nel paramento'!$G$54,'Sollecitazioni nel paramento'!$G$53)</f>
        <v>4360679.9800954396</v>
      </c>
      <c r="G853" s="545">
        <f>-'Foglio deposito bis'!$F$60*(C853-sezione!$AN$30)*IF(ABS(M853)&lt;'Sollecitazioni nel paramento'!$G$58,ABS(M853)*'Sollecitazioni nel paramento'!$G$54,'Sollecitazioni nel paramento'!$G$53)</f>
        <v>0</v>
      </c>
      <c r="H853" s="545">
        <f>-'Foglio deposito bis'!$F$61*(C853-sezione!$AO$30)*IF(ABS(N853)&lt;'Sollecitazioni nel paramento'!$G$58,ABS(N853)*'Sollecitazioni nel paramento'!$G$54,'Sollecitazioni nel paramento'!$G$53)</f>
        <v>30932195.951973978</v>
      </c>
      <c r="I853" s="472">
        <f>-'Foglio deposito bis'!$F$62*(C853-sezione!$AP$30)*IF(ABS(O853)&lt;'Sollecitazioni nel paramento'!$G$58,ABS(O853)*'Sollecitazioni nel paramento'!$G$54,'Sollecitazioni nel paramento'!$G$53)</f>
        <v>111174301.52883245</v>
      </c>
      <c r="J853" s="472">
        <f t="shared" si="59"/>
        <v>124219426.61706649</v>
      </c>
      <c r="K853" s="550">
        <f>'Sollecitazioni nel paramento'!$G$60*(sezione!$AL$30-C853)/C853</f>
        <v>9.2727798808182351E-4</v>
      </c>
      <c r="L853" s="550">
        <f>'Sollecitazioni nel paramento'!$G$60*(sezione!$AM$30-C853)/C853</f>
        <v>3.1409169821227357E-3</v>
      </c>
      <c r="M853" s="551">
        <f>'Sollecitazioni nel paramento'!$G$60*(sezione!$AN$30-C853)/C853</f>
        <v>5.3545559761636477E-3</v>
      </c>
      <c r="N853" s="551">
        <f>'Sollecitazioni nel paramento'!$G$60*(sezione!$AO$30-C853)/C853</f>
        <v>1.4209111952327293E-2</v>
      </c>
      <c r="O853" s="551">
        <f>'Sollecitazioni nel paramento'!$G$60*(sezione!$AP$30-C853)/C853</f>
        <v>3.9099994739190957E-2</v>
      </c>
      <c r="P853" s="545">
        <f>-'Sollecitazioni nel paramento'!$G$47*'Sollecitazioni nel paramento'!$G$41*IF(DATI!$G$211="dx",DATI!$E$61,DATI!$E$64*DATI!$E$63)*1000*C853*sezione!$AD$5</f>
        <v>-1204708.6300787819</v>
      </c>
      <c r="Q853" s="545">
        <f>'Foglio deposito bis'!$F$58*IF(ABS(K853)&lt;'Sollecitazioni nel paramento'!$G$58,ABS(K853)*'Sollecitazioni nel paramento'!$G$54,'Sollecitazioni nel paramento'!$G$53)*IF(K853&lt;0,-1,1)</f>
        <v>0</v>
      </c>
      <c r="R853" s="545">
        <f>'Foglio deposito bis'!$F$59*IF(ABS(L853)&lt;'Sollecitazioni nel paramento'!$G$58,ABS(L853)*'Sollecitazioni nel paramento'!$G$54,'Sollecitazioni nel paramento'!$G$53)*IF(L853&lt;0,-1,1)</f>
        <v>153664.85805602249</v>
      </c>
      <c r="S853" s="545">
        <f>'Foglio deposito bis'!$F$60*IF(ABS(M853)&lt;'Sollecitazioni nel paramento'!$G$58,ABS(M853)*'Sollecitazioni nel paramento'!$G$54,'Sollecitazioni nel paramento'!$G$53)*IF(M853&lt;0,-1,1)</f>
        <v>0</v>
      </c>
      <c r="T853" s="545">
        <f>'Foglio deposito bis'!$F$61*IF(ABS(N853)&lt;'Sollecitazioni nel paramento'!$G$58,ABS(N853)*'Sollecitazioni nel paramento'!$G$54,'Sollecitazioni nel paramento'!$G$53)*IF(N853&lt;0,-1,1)</f>
        <v>240946.49743184328</v>
      </c>
      <c r="U853" s="545">
        <f>'Foglio deposito bis'!$F$62*IF(ABS(O853)&lt;'Sollecitazioni nel paramento'!$G$58,ABS(O853)*'Sollecitazioni nel paramento'!$G$54,'Sollecitazioni nel paramento'!$G$53)*IF(O853&lt;0,-1,1)</f>
        <v>314705.62929873407</v>
      </c>
      <c r="V853" s="472">
        <f t="shared" si="61"/>
        <v>-495391.64529218193</v>
      </c>
      <c r="W853" s="551"/>
      <c r="X853" s="551"/>
    </row>
    <row r="854" spans="1:24" x14ac:dyDescent="0.25">
      <c r="A854" s="545">
        <f t="shared" si="60"/>
        <v>539199.23184050154</v>
      </c>
      <c r="B854" s="3">
        <f t="shared" si="63"/>
        <v>5.6999999999999904</v>
      </c>
      <c r="C854" s="545">
        <f>'Foglio deposito bis'!$E$156/sezione!$B$247*B854</f>
        <v>32.772034979843596</v>
      </c>
      <c r="D854" s="603">
        <f>-'Sollecitazioni nel paramento'!$G$47*'Sollecitazioni nel paramento'!$G$41*IF(DATI!$G$211="dx",DATI!$E$61,DATI!$E$64*DATI!$E$63)*1000*C854^2*sezione!$AD$5*(1-sezione!$AD$6)</f>
        <v>-23895187.600535922</v>
      </c>
      <c r="E854" s="545">
        <f>-'Foglio deposito bis'!$F$58*(C854-sezione!$AL$30)*IF(ABS(K854)&lt;'Sollecitazioni nel paramento'!$G$58,ABS(K854)*'Sollecitazioni nel paramento'!$G$54,'Sollecitazioni nel paramento'!$G$53)</f>
        <v>0</v>
      </c>
      <c r="F854" s="545">
        <f>-'Foglio deposito bis'!$F$59*(C854-sezione!$AM$30)*IF(ABS(L854)&lt;'Sollecitazioni nel paramento'!$G$58,ABS(L854)*'Sollecitazioni nel paramento'!$G$54,'Sollecitazioni nel paramento'!$G$53)</f>
        <v>4183981.3799766791</v>
      </c>
      <c r="G854" s="545">
        <f>-'Foglio deposito bis'!$F$60*(C854-sezione!$AN$30)*IF(ABS(M854)&lt;'Sollecitazioni nel paramento'!$G$58,ABS(M854)*'Sollecitazioni nel paramento'!$G$54,'Sollecitazioni nel paramento'!$G$53)</f>
        <v>0</v>
      </c>
      <c r="H854" s="545">
        <f>-'Foglio deposito bis'!$F$61*(C854-sezione!$AO$30)*IF(ABS(N854)&lt;'Sollecitazioni nel paramento'!$G$58,ABS(N854)*'Sollecitazioni nel paramento'!$G$54,'Sollecitazioni nel paramento'!$G$53)</f>
        <v>30655132.546987761</v>
      </c>
      <c r="I854" s="472">
        <f>-'Foglio deposito bis'!$F$62*(C854-sezione!$AP$30)*IF(ABS(O854)&lt;'Sollecitazioni nel paramento'!$G$58,ABS(O854)*'Sollecitazioni nel paramento'!$G$54,'Sollecitazioni nel paramento'!$G$53)</f>
        <v>110812422.79578923</v>
      </c>
      <c r="J854" s="472">
        <f t="shared" si="59"/>
        <v>121756349.12221774</v>
      </c>
      <c r="K854" s="550">
        <f>'Sollecitazioni nel paramento'!$G$60*(sezione!$AL$30-C854)/C854</f>
        <v>7.719349007807067E-4</v>
      </c>
      <c r="L854" s="550">
        <f>'Sollecitazioni nel paramento'!$G$60*(sezione!$AM$30-C854)/C854</f>
        <v>2.9079023511710601E-3</v>
      </c>
      <c r="M854" s="551">
        <f>'Sollecitazioni nel paramento'!$G$60*(sezione!$AN$30-C854)/C854</f>
        <v>5.0438698015614139E-3</v>
      </c>
      <c r="N854" s="551">
        <f>'Sollecitazioni nel paramento'!$G$60*(sezione!$AO$30-C854)/C854</f>
        <v>1.3587739603122826E-2</v>
      </c>
      <c r="O854" s="551">
        <f>'Sollecitazioni nel paramento'!$G$60*(sezione!$AP$30-C854)/C854</f>
        <v>3.7605258081675488E-2</v>
      </c>
      <c r="P854" s="545">
        <f>-'Sollecitazioni nel paramento'!$G$47*'Sollecitazioni nel paramento'!$G$41*IF(DATI!$G$211="dx",DATI!$E$61,DATI!$E$64*DATI!$E$63)*1000*C854*sezione!$AD$5</f>
        <v>-1248516.2166271014</v>
      </c>
      <c r="Q854" s="545">
        <f>'Foglio deposito bis'!$F$58*IF(ABS(K854)&lt;'Sollecitazioni nel paramento'!$G$58,ABS(K854)*'Sollecitazioni nel paramento'!$G$54,'Sollecitazioni nel paramento'!$G$53)*IF(K854&lt;0,-1,1)</f>
        <v>0</v>
      </c>
      <c r="R854" s="545">
        <f>'Foglio deposito bis'!$F$59*IF(ABS(L854)&lt;'Sollecitazioni nel paramento'!$G$58,ABS(L854)*'Sollecitazioni nel paramento'!$G$54,'Sollecitazioni nel paramento'!$G$53)*IF(L854&lt;0,-1,1)</f>
        <v>153664.85805602249</v>
      </c>
      <c r="S854" s="545">
        <f>'Foglio deposito bis'!$F$60*IF(ABS(M854)&lt;'Sollecitazioni nel paramento'!$G$58,ABS(M854)*'Sollecitazioni nel paramento'!$G$54,'Sollecitazioni nel paramento'!$G$53)*IF(M854&lt;0,-1,1)</f>
        <v>0</v>
      </c>
      <c r="T854" s="545">
        <f>'Foglio deposito bis'!$F$61*IF(ABS(N854)&lt;'Sollecitazioni nel paramento'!$G$58,ABS(N854)*'Sollecitazioni nel paramento'!$G$54,'Sollecitazioni nel paramento'!$G$53)*IF(N854&lt;0,-1,1)</f>
        <v>240946.49743184328</v>
      </c>
      <c r="U854" s="545">
        <f>'Foglio deposito bis'!$F$62*IF(ABS(O854)&lt;'Sollecitazioni nel paramento'!$G$58,ABS(O854)*'Sollecitazioni nel paramento'!$G$54,'Sollecitazioni nel paramento'!$G$53)*IF(O854&lt;0,-1,1)</f>
        <v>314705.62929873407</v>
      </c>
      <c r="V854" s="472">
        <f t="shared" si="61"/>
        <v>-539199.23184050154</v>
      </c>
      <c r="W854" s="551"/>
      <c r="X854" s="551"/>
    </row>
    <row r="855" spans="1:24" x14ac:dyDescent="0.25">
      <c r="A855" s="545">
        <f t="shared" si="60"/>
        <v>583006.81838882109</v>
      </c>
      <c r="B855" s="3">
        <f t="shared" si="63"/>
        <v>5.8999999999999906</v>
      </c>
      <c r="C855" s="545">
        <f>'Foglio deposito bis'!$E$156/sezione!$B$247*B855</f>
        <v>33.92193094404864</v>
      </c>
      <c r="D855" s="603">
        <f>-'Sollecitazioni nel paramento'!$G$47*'Sollecitazioni nel paramento'!$G$41*IF(DATI!$G$211="dx",DATI!$E$61,DATI!$E$64*DATI!$E$63)*1000*C855^2*sezione!$AD$5*(1-sezione!$AD$6)</f>
        <v>-25601461.384261489</v>
      </c>
      <c r="E855" s="545">
        <f>-'Foglio deposito bis'!$F$58*(C855-sezione!$AL$30)*IF(ABS(K855)&lt;'Sollecitazioni nel paramento'!$G$58,ABS(K855)*'Sollecitazioni nel paramento'!$G$54,'Sollecitazioni nel paramento'!$G$53)</f>
        <v>0</v>
      </c>
      <c r="F855" s="545">
        <f>-'Foglio deposito bis'!$F$59*(C855-sezione!$AM$30)*IF(ABS(L855)&lt;'Sollecitazioni nel paramento'!$G$58,ABS(L855)*'Sollecitazioni nel paramento'!$G$54,'Sollecitazioni nel paramento'!$G$53)</f>
        <v>4007282.7798579186</v>
      </c>
      <c r="G855" s="545">
        <f>-'Foglio deposito bis'!$F$60*(C855-sezione!$AN$30)*IF(ABS(M855)&lt;'Sollecitazioni nel paramento'!$G$58,ABS(M855)*'Sollecitazioni nel paramento'!$G$54,'Sollecitazioni nel paramento'!$G$53)</f>
        <v>0</v>
      </c>
      <c r="H855" s="545">
        <f>-'Foglio deposito bis'!$F$61*(C855-sezione!$AO$30)*IF(ABS(N855)&lt;'Sollecitazioni nel paramento'!$G$58,ABS(N855)*'Sollecitazioni nel paramento'!$G$54,'Sollecitazioni nel paramento'!$G$53)</f>
        <v>30378069.142001539</v>
      </c>
      <c r="I855" s="472">
        <f>-'Foglio deposito bis'!$F$62*(C855-sezione!$AP$30)*IF(ABS(O855)&lt;'Sollecitazioni nel paramento'!$G$58,ABS(O855)*'Sollecitazioni nel paramento'!$G$54,'Sollecitazioni nel paramento'!$G$53)</f>
        <v>110450544.062746</v>
      </c>
      <c r="J855" s="472">
        <f t="shared" si="59"/>
        <v>119234434.60034397</v>
      </c>
      <c r="K855" s="550">
        <f>'Sollecitazioni nel paramento'!$G$60*(sezione!$AL$30-C855)/C855</f>
        <v>6.2712354821186842E-4</v>
      </c>
      <c r="L855" s="550">
        <f>'Sollecitazioni nel paramento'!$G$60*(sezione!$AM$30-C855)/C855</f>
        <v>2.6906853223178026E-3</v>
      </c>
      <c r="M855" s="551">
        <f>'Sollecitazioni nel paramento'!$G$60*(sezione!$AN$30-C855)/C855</f>
        <v>4.7542470964237376E-3</v>
      </c>
      <c r="N855" s="551">
        <f>'Sollecitazioni nel paramento'!$G$60*(sezione!$AO$30-C855)/C855</f>
        <v>1.3008494192847475E-2</v>
      </c>
      <c r="O855" s="551">
        <f>'Sollecitazioni nel paramento'!$G$60*(sezione!$AP$30-C855)/C855</f>
        <v>3.6211859502635627E-2</v>
      </c>
      <c r="P855" s="545">
        <f>-'Sollecitazioni nel paramento'!$G$47*'Sollecitazioni nel paramento'!$G$41*IF(DATI!$G$211="dx",DATI!$E$61,DATI!$E$64*DATI!$E$63)*1000*C855*sezione!$AD$5</f>
        <v>-1292323.803175421</v>
      </c>
      <c r="Q855" s="545">
        <f>'Foglio deposito bis'!$F$58*IF(ABS(K855)&lt;'Sollecitazioni nel paramento'!$G$58,ABS(K855)*'Sollecitazioni nel paramento'!$G$54,'Sollecitazioni nel paramento'!$G$53)*IF(K855&lt;0,-1,1)</f>
        <v>0</v>
      </c>
      <c r="R855" s="545">
        <f>'Foglio deposito bis'!$F$59*IF(ABS(L855)&lt;'Sollecitazioni nel paramento'!$G$58,ABS(L855)*'Sollecitazioni nel paramento'!$G$54,'Sollecitazioni nel paramento'!$G$53)*IF(L855&lt;0,-1,1)</f>
        <v>153664.85805602249</v>
      </c>
      <c r="S855" s="545">
        <f>'Foglio deposito bis'!$F$60*IF(ABS(M855)&lt;'Sollecitazioni nel paramento'!$G$58,ABS(M855)*'Sollecitazioni nel paramento'!$G$54,'Sollecitazioni nel paramento'!$G$53)*IF(M855&lt;0,-1,1)</f>
        <v>0</v>
      </c>
      <c r="T855" s="545">
        <f>'Foglio deposito bis'!$F$61*IF(ABS(N855)&lt;'Sollecitazioni nel paramento'!$G$58,ABS(N855)*'Sollecitazioni nel paramento'!$G$54,'Sollecitazioni nel paramento'!$G$53)*IF(N855&lt;0,-1,1)</f>
        <v>240946.49743184328</v>
      </c>
      <c r="U855" s="545">
        <f>'Foglio deposito bis'!$F$62*IF(ABS(O855)&lt;'Sollecitazioni nel paramento'!$G$58,ABS(O855)*'Sollecitazioni nel paramento'!$G$54,'Sollecitazioni nel paramento'!$G$53)*IF(O855&lt;0,-1,1)</f>
        <v>314705.62929873407</v>
      </c>
      <c r="V855" s="472">
        <f t="shared" si="61"/>
        <v>-583006.81838882109</v>
      </c>
      <c r="W855" s="551"/>
      <c r="X855" s="551"/>
    </row>
    <row r="856" spans="1:24" x14ac:dyDescent="0.25">
      <c r="A856" s="545">
        <f t="shared" si="60"/>
        <v>626814.40493714041</v>
      </c>
      <c r="B856" s="3">
        <f t="shared" si="63"/>
        <v>6.0999999999999908</v>
      </c>
      <c r="C856" s="545">
        <f>'Foglio deposito bis'!$E$156/sezione!$B$247*B856</f>
        <v>35.071826908253684</v>
      </c>
      <c r="D856" s="603">
        <f>-'Sollecitazioni nel paramento'!$G$47*'Sollecitazioni nel paramento'!$G$41*IF(DATI!$G$211="dx",DATI!$E$61,DATI!$E$64*DATI!$E$63)*1000*C856^2*sezione!$AD$5*(1-sezione!$AD$6)</f>
        <v>-27366572.195012078</v>
      </c>
      <c r="E856" s="545">
        <f>-'Foglio deposito bis'!$F$58*(C856-sezione!$AL$30)*IF(ABS(K856)&lt;'Sollecitazioni nel paramento'!$G$58,ABS(K856)*'Sollecitazioni nel paramento'!$G$54,'Sollecitazioni nel paramento'!$G$53)</f>
        <v>0</v>
      </c>
      <c r="F856" s="545">
        <f>-'Foglio deposito bis'!$F$59*(C856-sezione!$AM$30)*IF(ABS(L856)&lt;'Sollecitazioni nel paramento'!$G$58,ABS(L856)*'Sollecitazioni nel paramento'!$G$54,'Sollecitazioni nel paramento'!$G$53)</f>
        <v>3830584.1797391572</v>
      </c>
      <c r="G856" s="545">
        <f>-'Foglio deposito bis'!$F$60*(C856-sezione!$AN$30)*IF(ABS(M856)&lt;'Sollecitazioni nel paramento'!$G$58,ABS(M856)*'Sollecitazioni nel paramento'!$G$54,'Sollecitazioni nel paramento'!$G$53)</f>
        <v>0</v>
      </c>
      <c r="H856" s="545">
        <f>-'Foglio deposito bis'!$F$61*(C856-sezione!$AO$30)*IF(ABS(N856)&lt;'Sollecitazioni nel paramento'!$G$58,ABS(N856)*'Sollecitazioni nel paramento'!$G$54,'Sollecitazioni nel paramento'!$G$53)</f>
        <v>30101005.737015326</v>
      </c>
      <c r="I856" s="472">
        <f>-'Foglio deposito bis'!$F$62*(C856-sezione!$AP$30)*IF(ABS(O856)&lt;'Sollecitazioni nel paramento'!$G$58,ABS(O856)*'Sollecitazioni nel paramento'!$G$54,'Sollecitazioni nel paramento'!$G$53)</f>
        <v>110088665.32970276</v>
      </c>
      <c r="J856" s="472">
        <f t="shared" si="59"/>
        <v>116653683.05144517</v>
      </c>
      <c r="K856" s="550">
        <f>'Sollecitazioni nel paramento'!$G$60*(sezione!$AL$30-C856)/C856</f>
        <v>4.9180802204098703E-4</v>
      </c>
      <c r="L856" s="550">
        <f>'Sollecitazioni nel paramento'!$G$60*(sezione!$AM$30-C856)/C856</f>
        <v>2.4877120330614806E-3</v>
      </c>
      <c r="M856" s="551">
        <f>'Sollecitazioni nel paramento'!$G$60*(sezione!$AN$30-C856)/C856</f>
        <v>4.4836160440819743E-3</v>
      </c>
      <c r="N856" s="551">
        <f>'Sollecitazioni nel paramento'!$G$60*(sezione!$AO$30-C856)/C856</f>
        <v>1.2467232088163948E-2</v>
      </c>
      <c r="O856" s="551">
        <f>'Sollecitazioni nel paramento'!$G$60*(sezione!$AP$30-C856)/C856</f>
        <v>3.4909831322221342E-2</v>
      </c>
      <c r="P856" s="545">
        <f>-'Sollecitazioni nel paramento'!$G$47*'Sollecitazioni nel paramento'!$G$41*IF(DATI!$G$211="dx",DATI!$E$61,DATI!$E$64*DATI!$E$63)*1000*C856*sezione!$AD$5</f>
        <v>-1336131.3897237403</v>
      </c>
      <c r="Q856" s="545">
        <f>'Foglio deposito bis'!$F$58*IF(ABS(K856)&lt;'Sollecitazioni nel paramento'!$G$58,ABS(K856)*'Sollecitazioni nel paramento'!$G$54,'Sollecitazioni nel paramento'!$G$53)*IF(K856&lt;0,-1,1)</f>
        <v>0</v>
      </c>
      <c r="R856" s="545">
        <f>'Foglio deposito bis'!$F$59*IF(ABS(L856)&lt;'Sollecitazioni nel paramento'!$G$58,ABS(L856)*'Sollecitazioni nel paramento'!$G$54,'Sollecitazioni nel paramento'!$G$53)*IF(L856&lt;0,-1,1)</f>
        <v>153664.85805602249</v>
      </c>
      <c r="S856" s="545">
        <f>'Foglio deposito bis'!$F$60*IF(ABS(M856)&lt;'Sollecitazioni nel paramento'!$G$58,ABS(M856)*'Sollecitazioni nel paramento'!$G$54,'Sollecitazioni nel paramento'!$G$53)*IF(M856&lt;0,-1,1)</f>
        <v>0</v>
      </c>
      <c r="T856" s="545">
        <f>'Foglio deposito bis'!$F$61*IF(ABS(N856)&lt;'Sollecitazioni nel paramento'!$G$58,ABS(N856)*'Sollecitazioni nel paramento'!$G$54,'Sollecitazioni nel paramento'!$G$53)*IF(N856&lt;0,-1,1)</f>
        <v>240946.49743184328</v>
      </c>
      <c r="U856" s="545">
        <f>'Foglio deposito bis'!$F$62*IF(ABS(O856)&lt;'Sollecitazioni nel paramento'!$G$58,ABS(O856)*'Sollecitazioni nel paramento'!$G$54,'Sollecitazioni nel paramento'!$G$53)*IF(O856&lt;0,-1,1)</f>
        <v>314705.62929873407</v>
      </c>
      <c r="V856" s="472">
        <f t="shared" si="61"/>
        <v>-626814.40493714041</v>
      </c>
      <c r="W856" s="551"/>
      <c r="X856" s="551"/>
    </row>
    <row r="857" spans="1:24" x14ac:dyDescent="0.25">
      <c r="A857" s="545">
        <f t="shared" si="60"/>
        <v>670621.99148545973</v>
      </c>
      <c r="B857" s="3">
        <f t="shared" si="63"/>
        <v>6.2999999999999909</v>
      </c>
      <c r="C857" s="545">
        <f>'Foglio deposito bis'!$E$156/sezione!$B$247*B857</f>
        <v>36.22172287245872</v>
      </c>
      <c r="D857" s="603">
        <f>-'Sollecitazioni nel paramento'!$G$47*'Sollecitazioni nel paramento'!$G$41*IF(DATI!$G$211="dx",DATI!$E$61,DATI!$E$64*DATI!$E$63)*1000*C857^2*sezione!$AD$5*(1-sezione!$AD$6)</f>
        <v>-29190520.032787669</v>
      </c>
      <c r="E857" s="545">
        <f>-'Foglio deposito bis'!$F$58*(C857-sezione!$AL$30)*IF(ABS(K857)&lt;'Sollecitazioni nel paramento'!$G$58,ABS(K857)*'Sollecitazioni nel paramento'!$G$54,'Sollecitazioni nel paramento'!$G$53)</f>
        <v>0</v>
      </c>
      <c r="F857" s="545">
        <f>-'Foglio deposito bis'!$F$59*(C857-sezione!$AM$30)*IF(ABS(L857)&lt;'Sollecitazioni nel paramento'!$G$58,ABS(L857)*'Sollecitazioni nel paramento'!$G$54,'Sollecitazioni nel paramento'!$G$53)</f>
        <v>3653885.5796203972</v>
      </c>
      <c r="G857" s="545">
        <f>-'Foglio deposito bis'!$F$60*(C857-sezione!$AN$30)*IF(ABS(M857)&lt;'Sollecitazioni nel paramento'!$G$58,ABS(M857)*'Sollecitazioni nel paramento'!$G$54,'Sollecitazioni nel paramento'!$G$53)</f>
        <v>0</v>
      </c>
      <c r="H857" s="545">
        <f>-'Foglio deposito bis'!$F$61*(C857-sezione!$AO$30)*IF(ABS(N857)&lt;'Sollecitazioni nel paramento'!$G$58,ABS(N857)*'Sollecitazioni nel paramento'!$G$54,'Sollecitazioni nel paramento'!$G$53)</f>
        <v>29823942.332029108</v>
      </c>
      <c r="I857" s="472">
        <f>-'Foglio deposito bis'!$F$62*(C857-sezione!$AP$30)*IF(ABS(O857)&lt;'Sollecitazioni nel paramento'!$G$58,ABS(O857)*'Sollecitazioni nel paramento'!$G$54,'Sollecitazioni nel paramento'!$G$53)</f>
        <v>109726786.59665956</v>
      </c>
      <c r="J857" s="472">
        <f t="shared" si="59"/>
        <v>114014094.47552139</v>
      </c>
      <c r="K857" s="550">
        <f>'Sollecitazioni nel paramento'!$G$60*(sezione!$AL$30-C857)/C857</f>
        <v>3.6508395784920987E-4</v>
      </c>
      <c r="L857" s="550">
        <f>'Sollecitazioni nel paramento'!$G$60*(sezione!$AM$30-C857)/C857</f>
        <v>2.297625936773815E-3</v>
      </c>
      <c r="M857" s="551">
        <f>'Sollecitazioni nel paramento'!$G$60*(sezione!$AN$30-C857)/C857</f>
        <v>4.2301679156984198E-3</v>
      </c>
      <c r="N857" s="551">
        <f>'Sollecitazioni nel paramento'!$G$60*(sezione!$AO$30-C857)/C857</f>
        <v>1.1960335831396839E-2</v>
      </c>
      <c r="O857" s="551">
        <f>'Sollecitazioni nel paramento'!$G$60*(sezione!$AP$30-C857)/C857</f>
        <v>3.3690471597706384E-2</v>
      </c>
      <c r="P857" s="545">
        <f>-'Sollecitazioni nel paramento'!$G$47*'Sollecitazioni nel paramento'!$G$41*IF(DATI!$G$211="dx",DATI!$E$61,DATI!$E$64*DATI!$E$63)*1000*C857*sezione!$AD$5</f>
        <v>-1379938.9762720596</v>
      </c>
      <c r="Q857" s="545">
        <f>'Foglio deposito bis'!$F$58*IF(ABS(K857)&lt;'Sollecitazioni nel paramento'!$G$58,ABS(K857)*'Sollecitazioni nel paramento'!$G$54,'Sollecitazioni nel paramento'!$G$53)*IF(K857&lt;0,-1,1)</f>
        <v>0</v>
      </c>
      <c r="R857" s="545">
        <f>'Foglio deposito bis'!$F$59*IF(ABS(L857)&lt;'Sollecitazioni nel paramento'!$G$58,ABS(L857)*'Sollecitazioni nel paramento'!$G$54,'Sollecitazioni nel paramento'!$G$53)*IF(L857&lt;0,-1,1)</f>
        <v>153664.85805602249</v>
      </c>
      <c r="S857" s="545">
        <f>'Foglio deposito bis'!$F$60*IF(ABS(M857)&lt;'Sollecitazioni nel paramento'!$G$58,ABS(M857)*'Sollecitazioni nel paramento'!$G$54,'Sollecitazioni nel paramento'!$G$53)*IF(M857&lt;0,-1,1)</f>
        <v>0</v>
      </c>
      <c r="T857" s="545">
        <f>'Foglio deposito bis'!$F$61*IF(ABS(N857)&lt;'Sollecitazioni nel paramento'!$G$58,ABS(N857)*'Sollecitazioni nel paramento'!$G$54,'Sollecitazioni nel paramento'!$G$53)*IF(N857&lt;0,-1,1)</f>
        <v>240946.49743184328</v>
      </c>
      <c r="U857" s="545">
        <f>'Foglio deposito bis'!$F$62*IF(ABS(O857)&lt;'Sollecitazioni nel paramento'!$G$58,ABS(O857)*'Sollecitazioni nel paramento'!$G$54,'Sollecitazioni nel paramento'!$G$53)*IF(O857&lt;0,-1,1)</f>
        <v>314705.62929873407</v>
      </c>
      <c r="V857" s="472">
        <f t="shared" si="61"/>
        <v>-670621.99148545973</v>
      </c>
      <c r="W857" s="551"/>
      <c r="X857" s="551"/>
    </row>
    <row r="858" spans="1:24" x14ac:dyDescent="0.25">
      <c r="A858" s="545">
        <f t="shared" si="60"/>
        <v>714429.57803377928</v>
      </c>
      <c r="B858" s="3">
        <f t="shared" si="63"/>
        <v>6.4999999999999911</v>
      </c>
      <c r="C858" s="545">
        <f>'Foglio deposito bis'!$E$156/sezione!$B$247*B858</f>
        <v>37.371618836663764</v>
      </c>
      <c r="D858" s="603">
        <f>-'Sollecitazioni nel paramento'!$G$47*'Sollecitazioni nel paramento'!$G$41*IF(DATI!$G$211="dx",DATI!$E$61,DATI!$E$64*DATI!$E$63)*1000*C858^2*sezione!$AD$5*(1-sezione!$AD$6)</f>
        <v>-31073304.897588294</v>
      </c>
      <c r="E858" s="545">
        <f>-'Foglio deposito bis'!$F$58*(C858-sezione!$AL$30)*IF(ABS(K858)&lt;'Sollecitazioni nel paramento'!$G$58,ABS(K858)*'Sollecitazioni nel paramento'!$G$54,'Sollecitazioni nel paramento'!$G$53)</f>
        <v>0</v>
      </c>
      <c r="F858" s="545">
        <f>-'Foglio deposito bis'!$F$59*(C858-sezione!$AM$30)*IF(ABS(L858)&lt;'Sollecitazioni nel paramento'!$G$58,ABS(L858)*'Sollecitazioni nel paramento'!$G$54,'Sollecitazioni nel paramento'!$G$53)</f>
        <v>3477186.9795016358</v>
      </c>
      <c r="G858" s="545">
        <f>-'Foglio deposito bis'!$F$60*(C858-sezione!$AN$30)*IF(ABS(M858)&lt;'Sollecitazioni nel paramento'!$G$58,ABS(M858)*'Sollecitazioni nel paramento'!$G$54,'Sollecitazioni nel paramento'!$G$53)</f>
        <v>0</v>
      </c>
      <c r="H858" s="545">
        <f>-'Foglio deposito bis'!$F$61*(C858-sezione!$AO$30)*IF(ABS(N858)&lt;'Sollecitazioni nel paramento'!$G$58,ABS(N858)*'Sollecitazioni nel paramento'!$G$54,'Sollecitazioni nel paramento'!$G$53)</f>
        <v>29546878.92704289</v>
      </c>
      <c r="I858" s="472">
        <f>-'Foglio deposito bis'!$F$62*(C858-sezione!$AP$30)*IF(ABS(O858)&lt;'Sollecitazioni nel paramento'!$G$58,ABS(O858)*'Sollecitazioni nel paramento'!$G$54,'Sollecitazioni nel paramento'!$G$53)</f>
        <v>109364907.86361633</v>
      </c>
      <c r="J858" s="472">
        <f t="shared" si="59"/>
        <v>111315668.87257257</v>
      </c>
      <c r="K858" s="550">
        <f>'Sollecitazioni nel paramento'!$G$60*(sezione!$AL$30-C858)/C858</f>
        <v>2.4615829760769523E-4</v>
      </c>
      <c r="L858" s="550">
        <f>'Sollecitazioni nel paramento'!$G$60*(sezione!$AM$30-C858)/C858</f>
        <v>2.1192374464115427E-3</v>
      </c>
      <c r="M858" s="551">
        <f>'Sollecitazioni nel paramento'!$G$60*(sezione!$AN$30-C858)/C858</f>
        <v>3.9923165952153901E-3</v>
      </c>
      <c r="N858" s="551">
        <f>'Sollecitazioni nel paramento'!$G$60*(sezione!$AO$30-C858)/C858</f>
        <v>1.148463319043078E-2</v>
      </c>
      <c r="O858" s="551">
        <f>'Sollecitazioni nel paramento'!$G$60*(sezione!$AP$30-C858)/C858</f>
        <v>3.2546149394700026E-2</v>
      </c>
      <c r="P858" s="545">
        <f>-'Sollecitazioni nel paramento'!$G$47*'Sollecitazioni nel paramento'!$G$41*IF(DATI!$G$211="dx",DATI!$E$61,DATI!$E$64*DATI!$E$63)*1000*C858*sezione!$AD$5</f>
        <v>-1423746.5628203792</v>
      </c>
      <c r="Q858" s="545">
        <f>'Foglio deposito bis'!$F$58*IF(ABS(K858)&lt;'Sollecitazioni nel paramento'!$G$58,ABS(K858)*'Sollecitazioni nel paramento'!$G$54,'Sollecitazioni nel paramento'!$G$53)*IF(K858&lt;0,-1,1)</f>
        <v>0</v>
      </c>
      <c r="R858" s="545">
        <f>'Foglio deposito bis'!$F$59*IF(ABS(L858)&lt;'Sollecitazioni nel paramento'!$G$58,ABS(L858)*'Sollecitazioni nel paramento'!$G$54,'Sollecitazioni nel paramento'!$G$53)*IF(L858&lt;0,-1,1)</f>
        <v>153664.85805602249</v>
      </c>
      <c r="S858" s="545">
        <f>'Foglio deposito bis'!$F$60*IF(ABS(M858)&lt;'Sollecitazioni nel paramento'!$G$58,ABS(M858)*'Sollecitazioni nel paramento'!$G$54,'Sollecitazioni nel paramento'!$G$53)*IF(M858&lt;0,-1,1)</f>
        <v>0</v>
      </c>
      <c r="T858" s="545">
        <f>'Foglio deposito bis'!$F$61*IF(ABS(N858)&lt;'Sollecitazioni nel paramento'!$G$58,ABS(N858)*'Sollecitazioni nel paramento'!$G$54,'Sollecitazioni nel paramento'!$G$53)*IF(N858&lt;0,-1,1)</f>
        <v>240946.49743184328</v>
      </c>
      <c r="U858" s="545">
        <f>'Foglio deposito bis'!$F$62*IF(ABS(O858)&lt;'Sollecitazioni nel paramento'!$G$58,ABS(O858)*'Sollecitazioni nel paramento'!$G$54,'Sollecitazioni nel paramento'!$G$53)*IF(O858&lt;0,-1,1)</f>
        <v>314705.62929873407</v>
      </c>
      <c r="V858" s="472">
        <f t="shared" si="61"/>
        <v>-714429.57803377928</v>
      </c>
      <c r="W858" s="551"/>
      <c r="X858" s="551"/>
    </row>
    <row r="859" spans="1:24" x14ac:dyDescent="0.25">
      <c r="A859" s="545">
        <f t="shared" si="60"/>
        <v>758237.16458209883</v>
      </c>
      <c r="B859" s="3">
        <f t="shared" si="63"/>
        <v>6.6999999999999913</v>
      </c>
      <c r="C859" s="545">
        <f>'Foglio deposito bis'!$E$156/sezione!$B$247*B859</f>
        <v>38.521514800868808</v>
      </c>
      <c r="D859" s="603">
        <f>-'Sollecitazioni nel paramento'!$G$47*'Sollecitazioni nel paramento'!$G$41*IF(DATI!$G$211="dx",DATI!$E$61,DATI!$E$64*DATI!$E$63)*1000*C859^2*sezione!$AD$5*(1-sezione!$AD$6)</f>
        <v>-33014926.789413936</v>
      </c>
      <c r="E859" s="545">
        <f>-'Foglio deposito bis'!$F$58*(C859-sezione!$AL$30)*IF(ABS(K859)&lt;'Sollecitazioni nel paramento'!$G$58,ABS(K859)*'Sollecitazioni nel paramento'!$G$54,'Sollecitazioni nel paramento'!$G$53)</f>
        <v>0</v>
      </c>
      <c r="F859" s="545">
        <f>-'Foglio deposito bis'!$F$59*(C859-sezione!$AM$30)*IF(ABS(L859)&lt;'Sollecitazioni nel paramento'!$G$58,ABS(L859)*'Sollecitazioni nel paramento'!$G$54,'Sollecitazioni nel paramento'!$G$53)</f>
        <v>3300488.3793828744</v>
      </c>
      <c r="G859" s="545">
        <f>-'Foglio deposito bis'!$F$60*(C859-sezione!$AN$30)*IF(ABS(M859)&lt;'Sollecitazioni nel paramento'!$G$58,ABS(M859)*'Sollecitazioni nel paramento'!$G$54,'Sollecitazioni nel paramento'!$G$53)</f>
        <v>0</v>
      </c>
      <c r="H859" s="545">
        <f>-'Foglio deposito bis'!$F$61*(C859-sezione!$AO$30)*IF(ABS(N859)&lt;'Sollecitazioni nel paramento'!$G$58,ABS(N859)*'Sollecitazioni nel paramento'!$G$54,'Sollecitazioni nel paramento'!$G$53)</f>
        <v>29269815.52205668</v>
      </c>
      <c r="I859" s="472">
        <f>-'Foglio deposito bis'!$F$62*(C859-sezione!$AP$30)*IF(ABS(O859)&lt;'Sollecitazioni nel paramento'!$G$58,ABS(O859)*'Sollecitazioni nel paramento'!$G$54,'Sollecitazioni nel paramento'!$G$53)</f>
        <v>109003029.13057311</v>
      </c>
      <c r="J859" s="472">
        <f t="shared" si="59"/>
        <v>108558406.24259873</v>
      </c>
      <c r="K859" s="550">
        <f>'Sollecitazioni nel paramento'!$G$60*(sezione!$AL$30-C859)/C859</f>
        <v>1.3433267678358444E-4</v>
      </c>
      <c r="L859" s="550">
        <f>'Sollecitazioni nel paramento'!$G$60*(sezione!$AM$30-C859)/C859</f>
        <v>1.9514990151753766E-3</v>
      </c>
      <c r="M859" s="551">
        <f>'Sollecitazioni nel paramento'!$G$60*(sezione!$AN$30-C859)/C859</f>
        <v>3.7686653535671695E-3</v>
      </c>
      <c r="N859" s="551">
        <f>'Sollecitazioni nel paramento'!$G$60*(sezione!$AO$30-C859)/C859</f>
        <v>1.1037330707134339E-2</v>
      </c>
      <c r="O859" s="551">
        <f>'Sollecitazioni nel paramento'!$G$60*(sezione!$AP$30-C859)/C859</f>
        <v>3.1470144935156728E-2</v>
      </c>
      <c r="P859" s="545">
        <f>-'Sollecitazioni nel paramento'!$G$47*'Sollecitazioni nel paramento'!$G$41*IF(DATI!$G$211="dx",DATI!$E$61,DATI!$E$64*DATI!$E$63)*1000*C859*sezione!$AD$5</f>
        <v>-1467554.1493686987</v>
      </c>
      <c r="Q859" s="545">
        <f>'Foglio deposito bis'!$F$58*IF(ABS(K859)&lt;'Sollecitazioni nel paramento'!$G$58,ABS(K859)*'Sollecitazioni nel paramento'!$G$54,'Sollecitazioni nel paramento'!$G$53)*IF(K859&lt;0,-1,1)</f>
        <v>0</v>
      </c>
      <c r="R859" s="545">
        <f>'Foglio deposito bis'!$F$59*IF(ABS(L859)&lt;'Sollecitazioni nel paramento'!$G$58,ABS(L859)*'Sollecitazioni nel paramento'!$G$54,'Sollecitazioni nel paramento'!$G$53)*IF(L859&lt;0,-1,1)</f>
        <v>153664.85805602249</v>
      </c>
      <c r="S859" s="545">
        <f>'Foglio deposito bis'!$F$60*IF(ABS(M859)&lt;'Sollecitazioni nel paramento'!$G$58,ABS(M859)*'Sollecitazioni nel paramento'!$G$54,'Sollecitazioni nel paramento'!$G$53)*IF(M859&lt;0,-1,1)</f>
        <v>0</v>
      </c>
      <c r="T859" s="545">
        <f>'Foglio deposito bis'!$F$61*IF(ABS(N859)&lt;'Sollecitazioni nel paramento'!$G$58,ABS(N859)*'Sollecitazioni nel paramento'!$G$54,'Sollecitazioni nel paramento'!$G$53)*IF(N859&lt;0,-1,1)</f>
        <v>240946.49743184328</v>
      </c>
      <c r="U859" s="545">
        <f>'Foglio deposito bis'!$F$62*IF(ABS(O859)&lt;'Sollecitazioni nel paramento'!$G$58,ABS(O859)*'Sollecitazioni nel paramento'!$G$54,'Sollecitazioni nel paramento'!$G$53)*IF(O859&lt;0,-1,1)</f>
        <v>314705.62929873407</v>
      </c>
      <c r="V859" s="472">
        <f t="shared" si="61"/>
        <v>-758237.16458209883</v>
      </c>
      <c r="W859" s="551"/>
      <c r="X859" s="551"/>
    </row>
    <row r="860" spans="1:24" x14ac:dyDescent="0.25">
      <c r="A860" s="545">
        <f t="shared" si="60"/>
        <v>810623.8635280577</v>
      </c>
      <c r="B860" s="3">
        <f t="shared" si="63"/>
        <v>6.8999999999999915</v>
      </c>
      <c r="C860" s="545">
        <f>'Foglio deposito bis'!$E$156/sezione!$B$247*B860</f>
        <v>39.671410765073851</v>
      </c>
      <c r="D860" s="603">
        <f>-'Sollecitazioni nel paramento'!$G$47*'Sollecitazioni nel paramento'!$G$41*IF(DATI!$G$211="dx",DATI!$E$61,DATI!$E$64*DATI!$E$63)*1000*C860^2*sezione!$AD$5*(1-sezione!$AD$6)</f>
        <v>-35015385.708264597</v>
      </c>
      <c r="E860" s="545">
        <f>-'Foglio deposito bis'!$F$58*(C860-sezione!$AL$30)*IF(ABS(K860)&lt;'Sollecitazioni nel paramento'!$G$58,ABS(K860)*'Sollecitazioni nel paramento'!$G$54,'Sollecitazioni nel paramento'!$G$53)</f>
        <v>0</v>
      </c>
      <c r="F860" s="545">
        <f>-'Foglio deposito bis'!$F$59*(C860-sezione!$AM$30)*IF(ABS(L860)&lt;'Sollecitazioni nel paramento'!$G$58,ABS(L860)*'Sollecitazioni nel paramento'!$G$54,'Sollecitazioni nel paramento'!$G$53)</f>
        <v>2949388.5273322444</v>
      </c>
      <c r="G860" s="545">
        <f>-'Foglio deposito bis'!$F$60*(C860-sezione!$AN$30)*IF(ABS(M860)&lt;'Sollecitazioni nel paramento'!$G$58,ABS(M860)*'Sollecitazioni nel paramento'!$G$54,'Sollecitazioni nel paramento'!$G$53)</f>
        <v>0</v>
      </c>
      <c r="H860" s="545">
        <f>-'Foglio deposito bis'!$F$61*(C860-sezione!$AO$30)*IF(ABS(N860)&lt;'Sollecitazioni nel paramento'!$G$58,ABS(N860)*'Sollecitazioni nel paramento'!$G$54,'Sollecitazioni nel paramento'!$G$53)</f>
        <v>28992752.117070459</v>
      </c>
      <c r="I860" s="472">
        <f>-'Foglio deposito bis'!$F$62*(C860-sezione!$AP$30)*IF(ABS(O860)&lt;'Sollecitazioni nel paramento'!$G$58,ABS(O860)*'Sollecitazioni nel paramento'!$G$54,'Sollecitazioni nel paramento'!$G$53)</f>
        <v>108641150.39752987</v>
      </c>
      <c r="J860" s="472">
        <f t="shared" si="59"/>
        <v>105567905.33366798</v>
      </c>
      <c r="K860" s="550">
        <f>'Sollecitazioni nel paramento'!$G$60*(sezione!$AL$30-C860)/C860</f>
        <v>2.8989700644929403E-5</v>
      </c>
      <c r="L860" s="550">
        <f>'Sollecitazioni nel paramento'!$G$60*(sezione!$AM$30-C860)/C860</f>
        <v>1.7934845509673942E-3</v>
      </c>
      <c r="M860" s="551">
        <f>'Sollecitazioni nel paramento'!$G$60*(sezione!$AN$30-C860)/C860</f>
        <v>3.5579794012898592E-3</v>
      </c>
      <c r="N860" s="551">
        <f>'Sollecitazioni nel paramento'!$G$60*(sezione!$AO$30-C860)/C860</f>
        <v>1.0615958802579718E-2</v>
      </c>
      <c r="O860" s="551">
        <f>'Sollecitazioni nel paramento'!$G$60*(sezione!$AP$30-C860)/C860</f>
        <v>3.0456517545731896E-2</v>
      </c>
      <c r="P860" s="545">
        <f>-'Sollecitazioni nel paramento'!$G$47*'Sollecitazioni nel paramento'!$G$41*IF(DATI!$G$211="dx",DATI!$E$61,DATI!$E$64*DATI!$E$63)*1000*C860*sezione!$AD$5</f>
        <v>-1511361.7359170183</v>
      </c>
      <c r="Q860" s="545">
        <f>'Foglio deposito bis'!$F$58*IF(ABS(K860)&lt;'Sollecitazioni nel paramento'!$G$58,ABS(K860)*'Sollecitazioni nel paramento'!$G$54,'Sollecitazioni nel paramento'!$G$53)*IF(K860&lt;0,-1,1)</f>
        <v>0</v>
      </c>
      <c r="R860" s="545">
        <f>'Foglio deposito bis'!$F$59*IF(ABS(L860)&lt;'Sollecitazioni nel paramento'!$G$58,ABS(L860)*'Sollecitazioni nel paramento'!$G$54,'Sollecitazioni nel paramento'!$G$53)*IF(L860&lt;0,-1,1)</f>
        <v>145085.74565838333</v>
      </c>
      <c r="S860" s="545">
        <f>'Foglio deposito bis'!$F$60*IF(ABS(M860)&lt;'Sollecitazioni nel paramento'!$G$58,ABS(M860)*'Sollecitazioni nel paramento'!$G$54,'Sollecitazioni nel paramento'!$G$53)*IF(M860&lt;0,-1,1)</f>
        <v>0</v>
      </c>
      <c r="T860" s="545">
        <f>'Foglio deposito bis'!$F$61*IF(ABS(N860)&lt;'Sollecitazioni nel paramento'!$G$58,ABS(N860)*'Sollecitazioni nel paramento'!$G$54,'Sollecitazioni nel paramento'!$G$53)*IF(N860&lt;0,-1,1)</f>
        <v>240946.49743184328</v>
      </c>
      <c r="U860" s="545">
        <f>'Foglio deposito bis'!$F$62*IF(ABS(O860)&lt;'Sollecitazioni nel paramento'!$G$58,ABS(O860)*'Sollecitazioni nel paramento'!$G$54,'Sollecitazioni nel paramento'!$G$53)*IF(O860&lt;0,-1,1)</f>
        <v>314705.62929873407</v>
      </c>
      <c r="V860" s="472">
        <f t="shared" si="61"/>
        <v>-810623.8635280577</v>
      </c>
      <c r="W860" s="551"/>
      <c r="X860" s="551"/>
    </row>
    <row r="861" spans="1:24" x14ac:dyDescent="0.25">
      <c r="A861" s="545">
        <f t="shared" si="60"/>
        <v>866494.03552886029</v>
      </c>
      <c r="B861" s="3">
        <f t="shared" si="63"/>
        <v>7.0999999999999917</v>
      </c>
      <c r="C861" s="545">
        <f>'Foglio deposito bis'!$E$156/sezione!$B$247*B861</f>
        <v>40.821306729278888</v>
      </c>
      <c r="D861" s="603">
        <f>-'Sollecitazioni nel paramento'!$G$47*'Sollecitazioni nel paramento'!$G$41*IF(DATI!$G$211="dx",DATI!$E$61,DATI!$E$64*DATI!$E$63)*1000*C861^2*sezione!$AD$5*(1-sezione!$AD$6)</f>
        <v>-37074681.654140264</v>
      </c>
      <c r="E861" s="545">
        <f>-'Foglio deposito bis'!$F$58*(C861-sezione!$AL$30)*IF(ABS(K861)&lt;'Sollecitazioni nel paramento'!$G$58,ABS(K861)*'Sollecitazioni nel paramento'!$G$54,'Sollecitazioni nel paramento'!$G$53)</f>
        <v>0</v>
      </c>
      <c r="F861" s="545">
        <f>-'Foglio deposito bis'!$F$59*(C861-sezione!$AM$30)*IF(ABS(L861)&lt;'Sollecitazioni nel paramento'!$G$58,ABS(L861)*'Sollecitazioni nel paramento'!$G$54,'Sollecitazioni nel paramento'!$G$53)</f>
        <v>2551210.3874909487</v>
      </c>
      <c r="G861" s="545">
        <f>-'Foglio deposito bis'!$F$60*(C861-sezione!$AN$30)*IF(ABS(M861)&lt;'Sollecitazioni nel paramento'!$G$58,ABS(M861)*'Sollecitazioni nel paramento'!$G$54,'Sollecitazioni nel paramento'!$G$53)</f>
        <v>0</v>
      </c>
      <c r="H861" s="545">
        <f>-'Foglio deposito bis'!$F$61*(C861-sezione!$AO$30)*IF(ABS(N861)&lt;'Sollecitazioni nel paramento'!$G$58,ABS(N861)*'Sollecitazioni nel paramento'!$G$54,'Sollecitazioni nel paramento'!$G$53)</f>
        <v>28715688.712084241</v>
      </c>
      <c r="I861" s="472">
        <f>-'Foglio deposito bis'!$F$62*(C861-sezione!$AP$30)*IF(ABS(O861)&lt;'Sollecitazioni nel paramento'!$G$58,ABS(O861)*'Sollecitazioni nel paramento'!$G$54,'Sollecitazioni nel paramento'!$G$53)</f>
        <v>108279271.66448666</v>
      </c>
      <c r="J861" s="472">
        <f t="shared" si="59"/>
        <v>102471489.10992159</v>
      </c>
      <c r="K861" s="550">
        <f>'Sollecitazioni nel paramento'!$G$60*(sezione!$AL$30-C861)/C861</f>
        <v>-7.0418459936617684E-5</v>
      </c>
      <c r="L861" s="550">
        <f>'Sollecitazioni nel paramento'!$G$60*(sezione!$AM$30-C861)/C861</f>
        <v>1.6443723100950736E-3</v>
      </c>
      <c r="M861" s="551">
        <f>'Sollecitazioni nel paramento'!$G$60*(sezione!$AN$30-C861)/C861</f>
        <v>3.3591630801267647E-3</v>
      </c>
      <c r="N861" s="551">
        <f>'Sollecitazioni nel paramento'!$G$60*(sezione!$AO$30-C861)/C861</f>
        <v>1.0218326160253531E-2</v>
      </c>
      <c r="O861" s="551">
        <f>'Sollecitazioni nel paramento'!$G$60*(sezione!$AP$30-C861)/C861</f>
        <v>2.9499995924725367E-2</v>
      </c>
      <c r="P861" s="545">
        <f>-'Sollecitazioni nel paramento'!$G$47*'Sollecitazioni nel paramento'!$G$41*IF(DATI!$G$211="dx",DATI!$E$61,DATI!$E$64*DATI!$E$63)*1000*C861*sezione!$AD$5</f>
        <v>-1555169.3224653376</v>
      </c>
      <c r="Q861" s="545">
        <f>'Foglio deposito bis'!$F$58*IF(ABS(K861)&lt;'Sollecitazioni nel paramento'!$G$58,ABS(K861)*'Sollecitazioni nel paramento'!$G$54,'Sollecitazioni nel paramento'!$G$53)*IF(K861&lt;0,-1,1)</f>
        <v>0</v>
      </c>
      <c r="R861" s="545">
        <f>'Foglio deposito bis'!$F$59*IF(ABS(L861)&lt;'Sollecitazioni nel paramento'!$G$58,ABS(L861)*'Sollecitazioni nel paramento'!$G$54,'Sollecitazioni nel paramento'!$G$53)*IF(L861&lt;0,-1,1)</f>
        <v>133023.16020589988</v>
      </c>
      <c r="S861" s="545">
        <f>'Foglio deposito bis'!$F$60*IF(ABS(M861)&lt;'Sollecitazioni nel paramento'!$G$58,ABS(M861)*'Sollecitazioni nel paramento'!$G$54,'Sollecitazioni nel paramento'!$G$53)*IF(M861&lt;0,-1,1)</f>
        <v>0</v>
      </c>
      <c r="T861" s="545">
        <f>'Foglio deposito bis'!$F$61*IF(ABS(N861)&lt;'Sollecitazioni nel paramento'!$G$58,ABS(N861)*'Sollecitazioni nel paramento'!$G$54,'Sollecitazioni nel paramento'!$G$53)*IF(N861&lt;0,-1,1)</f>
        <v>240946.49743184328</v>
      </c>
      <c r="U861" s="545">
        <f>'Foglio deposito bis'!$F$62*IF(ABS(O861)&lt;'Sollecitazioni nel paramento'!$G$58,ABS(O861)*'Sollecitazioni nel paramento'!$G$54,'Sollecitazioni nel paramento'!$G$53)*IF(O861&lt;0,-1,1)</f>
        <v>314705.62929873407</v>
      </c>
      <c r="V861" s="472">
        <f t="shared" si="61"/>
        <v>-866494.03552886029</v>
      </c>
      <c r="W861" s="551"/>
      <c r="X861" s="551"/>
    </row>
    <row r="862" spans="1:24" x14ac:dyDescent="0.25">
      <c r="A862" s="545">
        <f t="shared" si="60"/>
        <v>921703.24394322606</v>
      </c>
      <c r="B862" s="3">
        <f t="shared" si="63"/>
        <v>7.2999999999999918</v>
      </c>
      <c r="C862" s="545">
        <f>'Foglio deposito bis'!$E$156/sezione!$B$247*B862</f>
        <v>41.971202693483932</v>
      </c>
      <c r="D862" s="603">
        <f>-'Sollecitazioni nel paramento'!$G$47*'Sollecitazioni nel paramento'!$G$41*IF(DATI!$G$211="dx",DATI!$E$61,DATI!$E$64*DATI!$E$63)*1000*C862^2*sezione!$AD$5*(1-sezione!$AD$6)</f>
        <v>-39192814.627040975</v>
      </c>
      <c r="E862" s="545">
        <f>-'Foglio deposito bis'!$F$58*(C862-sezione!$AL$30)*IF(ABS(K862)&lt;'Sollecitazioni nel paramento'!$G$58,ABS(K862)*'Sollecitazioni nel paramento'!$G$54,'Sollecitazioni nel paramento'!$G$53)</f>
        <v>0</v>
      </c>
      <c r="F862" s="545">
        <f>-'Foglio deposito bis'!$F$59*(C862-sezione!$AM$30)*IF(ABS(L862)&lt;'Sollecitazioni nel paramento'!$G$58,ABS(L862)*'Sollecitazioni nel paramento'!$G$54,'Sollecitazioni nel paramento'!$G$53)</f>
        <v>2192690.0628358969</v>
      </c>
      <c r="G862" s="545">
        <f>-'Foglio deposito bis'!$F$60*(C862-sezione!$AN$30)*IF(ABS(M862)&lt;'Sollecitazioni nel paramento'!$G$58,ABS(M862)*'Sollecitazioni nel paramento'!$G$54,'Sollecitazioni nel paramento'!$G$53)</f>
        <v>0</v>
      </c>
      <c r="H862" s="545">
        <f>-'Foglio deposito bis'!$F$61*(C862-sezione!$AO$30)*IF(ABS(N862)&lt;'Sollecitazioni nel paramento'!$G$58,ABS(N862)*'Sollecitazioni nel paramento'!$G$54,'Sollecitazioni nel paramento'!$G$53)</f>
        <v>28438625.30709802</v>
      </c>
      <c r="I862" s="472">
        <f>-'Foglio deposito bis'!$F$62*(C862-sezione!$AP$30)*IF(ABS(O862)&lt;'Sollecitazioni nel paramento'!$G$58,ABS(O862)*'Sollecitazioni nel paramento'!$G$54,'Sollecitazioni nel paramento'!$G$53)</f>
        <v>107917392.93144344</v>
      </c>
      <c r="J862" s="472">
        <f t="shared" si="59"/>
        <v>99355893.674336374</v>
      </c>
      <c r="K862" s="550">
        <f>'Sollecitazioni nel paramento'!$G$60*(sezione!$AL$30-C862)/C862</f>
        <v>-1.6437959802054634E-4</v>
      </c>
      <c r="L862" s="550">
        <f>'Sollecitazioni nel paramento'!$G$60*(sezione!$AM$30-C862)/C862</f>
        <v>1.5034306029691805E-3</v>
      </c>
      <c r="M862" s="551">
        <f>'Sollecitazioni nel paramento'!$G$60*(sezione!$AN$30-C862)/C862</f>
        <v>3.1712408039589073E-3</v>
      </c>
      <c r="N862" s="551">
        <f>'Sollecitazioni nel paramento'!$G$60*(sezione!$AO$30-C862)/C862</f>
        <v>9.8424816079178152E-3</v>
      </c>
      <c r="O862" s="551">
        <f>'Sollecitazioni nel paramento'!$G$60*(sezione!$AP$30-C862)/C862</f>
        <v>2.8595886447335628E-2</v>
      </c>
      <c r="P862" s="545">
        <f>-'Sollecitazioni nel paramento'!$G$47*'Sollecitazioni nel paramento'!$G$41*IF(DATI!$G$211="dx",DATI!$E$61,DATI!$E$64*DATI!$E$63)*1000*C862*sezione!$AD$5</f>
        <v>-1598976.9090136571</v>
      </c>
      <c r="Q862" s="545">
        <f>'Foglio deposito bis'!$F$58*IF(ABS(K862)&lt;'Sollecitazioni nel paramento'!$G$58,ABS(K862)*'Sollecitazioni nel paramento'!$G$54,'Sollecitazioni nel paramento'!$G$53)*IF(K862&lt;0,-1,1)</f>
        <v>0</v>
      </c>
      <c r="R862" s="545">
        <f>'Foglio deposito bis'!$F$59*IF(ABS(L862)&lt;'Sollecitazioni nel paramento'!$G$58,ABS(L862)*'Sollecitazioni nel paramento'!$G$54,'Sollecitazioni nel paramento'!$G$53)*IF(L862&lt;0,-1,1)</f>
        <v>121621.5383398538</v>
      </c>
      <c r="S862" s="545">
        <f>'Foglio deposito bis'!$F$60*IF(ABS(M862)&lt;'Sollecitazioni nel paramento'!$G$58,ABS(M862)*'Sollecitazioni nel paramento'!$G$54,'Sollecitazioni nel paramento'!$G$53)*IF(M862&lt;0,-1,1)</f>
        <v>0</v>
      </c>
      <c r="T862" s="545">
        <f>'Foglio deposito bis'!$F$61*IF(ABS(N862)&lt;'Sollecitazioni nel paramento'!$G$58,ABS(N862)*'Sollecitazioni nel paramento'!$G$54,'Sollecitazioni nel paramento'!$G$53)*IF(N862&lt;0,-1,1)</f>
        <v>240946.49743184328</v>
      </c>
      <c r="U862" s="545">
        <f>'Foglio deposito bis'!$F$62*IF(ABS(O862)&lt;'Sollecitazioni nel paramento'!$G$58,ABS(O862)*'Sollecitazioni nel paramento'!$G$54,'Sollecitazioni nel paramento'!$G$53)*IF(O862&lt;0,-1,1)</f>
        <v>314705.62929873407</v>
      </c>
      <c r="V862" s="472">
        <f t="shared" si="61"/>
        <v>-921703.24394322606</v>
      </c>
      <c r="W862" s="551"/>
      <c r="X862" s="551"/>
    </row>
    <row r="863" spans="1:24" x14ac:dyDescent="0.25">
      <c r="A863" s="545">
        <f t="shared" si="60"/>
        <v>976304.36585806916</v>
      </c>
      <c r="B863" s="3">
        <f t="shared" si="63"/>
        <v>7.499999999999992</v>
      </c>
      <c r="C863" s="545">
        <f>'Foglio deposito bis'!$E$156/sezione!$B$247*B863</f>
        <v>43.121098657688975</v>
      </c>
      <c r="D863" s="603">
        <f>-'Sollecitazioni nel paramento'!$G$47*'Sollecitazioni nel paramento'!$G$41*IF(DATI!$G$211="dx",DATI!$E$61,DATI!$E$64*DATI!$E$63)*1000*C863^2*sezione!$AD$5*(1-sezione!$AD$6)</f>
        <v>-41369784.626966693</v>
      </c>
      <c r="E863" s="545">
        <f>-'Foglio deposito bis'!$F$58*(C863-sezione!$AL$30)*IF(ABS(K863)&lt;'Sollecitazioni nel paramento'!$G$58,ABS(K863)*'Sollecitazioni nel paramento'!$G$54,'Sollecitazioni nel paramento'!$G$53)</f>
        <v>0</v>
      </c>
      <c r="F863" s="545">
        <f>-'Foglio deposito bis'!$F$59*(C863-sezione!$AM$30)*IF(ABS(L863)&lt;'Sollecitazioni nel paramento'!$G$58,ABS(L863)*'Sollecitazioni nel paramento'!$G$54,'Sollecitazioni nel paramento'!$G$53)</f>
        <v>1870654.9281521928</v>
      </c>
      <c r="G863" s="545">
        <f>-'Foglio deposito bis'!$F$60*(C863-sezione!$AN$30)*IF(ABS(M863)&lt;'Sollecitazioni nel paramento'!$G$58,ABS(M863)*'Sollecitazioni nel paramento'!$G$54,'Sollecitazioni nel paramento'!$G$53)</f>
        <v>0</v>
      </c>
      <c r="H863" s="545">
        <f>-'Foglio deposito bis'!$F$61*(C863-sezione!$AO$30)*IF(ABS(N863)&lt;'Sollecitazioni nel paramento'!$G$58,ABS(N863)*'Sollecitazioni nel paramento'!$G$54,'Sollecitazioni nel paramento'!$G$53)</f>
        <v>28161561.902111806</v>
      </c>
      <c r="I863" s="472">
        <f>-'Foglio deposito bis'!$F$62*(C863-sezione!$AP$30)*IF(ABS(O863)&lt;'Sollecitazioni nel paramento'!$G$58,ABS(O863)*'Sollecitazioni nel paramento'!$G$54,'Sollecitazioni nel paramento'!$G$53)</f>
        <v>107555514.19840023</v>
      </c>
      <c r="J863" s="472">
        <f t="shared" si="59"/>
        <v>96217946.401697546</v>
      </c>
      <c r="K863" s="550">
        <f>'Sollecitazioni nel paramento'!$G$60*(sezione!$AL$30-C863)/C863</f>
        <v>-2.5332947540666548E-4</v>
      </c>
      <c r="L863" s="550">
        <f>'Sollecitazioni nel paramento'!$G$60*(sezione!$AM$30-C863)/C863</f>
        <v>1.3700057868900018E-3</v>
      </c>
      <c r="M863" s="551">
        <f>'Sollecitazioni nel paramento'!$G$60*(sezione!$AN$30-C863)/C863</f>
        <v>2.9933410491866691E-3</v>
      </c>
      <c r="N863" s="551">
        <f>'Sollecitazioni nel paramento'!$G$60*(sezione!$AO$30-C863)/C863</f>
        <v>9.4866820983733387E-3</v>
      </c>
      <c r="O863" s="551">
        <f>'Sollecitazioni nel paramento'!$G$60*(sezione!$AP$30-C863)/C863</f>
        <v>2.7739996142073346E-2</v>
      </c>
      <c r="P863" s="545">
        <f>-'Sollecitazioni nel paramento'!$G$47*'Sollecitazioni nel paramento'!$G$41*IF(DATI!$G$211="dx",DATI!$E$61,DATI!$E$64*DATI!$E$63)*1000*C863*sezione!$AD$5</f>
        <v>-1642784.4955619767</v>
      </c>
      <c r="Q863" s="545">
        <f>'Foglio deposito bis'!$F$58*IF(ABS(K863)&lt;'Sollecitazioni nel paramento'!$G$58,ABS(K863)*'Sollecitazioni nel paramento'!$G$54,'Sollecitazioni nel paramento'!$G$53)*IF(K863&lt;0,-1,1)</f>
        <v>0</v>
      </c>
      <c r="R863" s="545">
        <f>'Foglio deposito bis'!$F$59*IF(ABS(L863)&lt;'Sollecitazioni nel paramento'!$G$58,ABS(L863)*'Sollecitazioni nel paramento'!$G$54,'Sollecitazioni nel paramento'!$G$53)*IF(L863&lt;0,-1,1)</f>
        <v>110828.00297333018</v>
      </c>
      <c r="S863" s="545">
        <f>'Foglio deposito bis'!$F$60*IF(ABS(M863)&lt;'Sollecitazioni nel paramento'!$G$58,ABS(M863)*'Sollecitazioni nel paramento'!$G$54,'Sollecitazioni nel paramento'!$G$53)*IF(M863&lt;0,-1,1)</f>
        <v>0</v>
      </c>
      <c r="T863" s="545">
        <f>'Foglio deposito bis'!$F$61*IF(ABS(N863)&lt;'Sollecitazioni nel paramento'!$G$58,ABS(N863)*'Sollecitazioni nel paramento'!$G$54,'Sollecitazioni nel paramento'!$G$53)*IF(N863&lt;0,-1,1)</f>
        <v>240946.49743184328</v>
      </c>
      <c r="U863" s="545">
        <f>'Foglio deposito bis'!$F$62*IF(ABS(O863)&lt;'Sollecitazioni nel paramento'!$G$58,ABS(O863)*'Sollecitazioni nel paramento'!$G$54,'Sollecitazioni nel paramento'!$G$53)*IF(O863&lt;0,-1,1)</f>
        <v>314705.62929873407</v>
      </c>
      <c r="V863" s="472">
        <f t="shared" si="61"/>
        <v>-976304.36585806916</v>
      </c>
      <c r="W863" s="551"/>
      <c r="X863" s="551"/>
    </row>
    <row r="864" spans="1:24" x14ac:dyDescent="0.25">
      <c r="A864" s="545">
        <f t="shared" si="60"/>
        <v>1030344.7846369888</v>
      </c>
      <c r="B864" s="3">
        <f t="shared" si="63"/>
        <v>7.6999999999999922</v>
      </c>
      <c r="C864" s="545">
        <f>'Foglio deposito bis'!$E$156/sezione!$B$247*B864</f>
        <v>44.270994621894012</v>
      </c>
      <c r="D864" s="603">
        <f>-'Sollecitazioni nel paramento'!$G$47*'Sollecitazioni nel paramento'!$G$41*IF(DATI!$G$211="dx",DATI!$E$61,DATI!$E$64*DATI!$E$63)*1000*C864^2*sezione!$AD$5*(1-sezione!$AD$6)</f>
        <v>-43605591.653917417</v>
      </c>
      <c r="E864" s="545">
        <f>-'Foglio deposito bis'!$F$58*(C864-sezione!$AL$30)*IF(ABS(K864)&lt;'Sollecitazioni nel paramento'!$G$58,ABS(K864)*'Sollecitazioni nel paramento'!$G$54,'Sollecitazioni nel paramento'!$G$53)</f>
        <v>0</v>
      </c>
      <c r="F864" s="545">
        <f>-'Foglio deposito bis'!$F$59*(C864-sezione!$AM$30)*IF(ABS(L864)&lt;'Sollecitazioni nel paramento'!$G$58,ABS(L864)*'Sollecitazioni nel paramento'!$G$54,'Sollecitazioni nel paramento'!$G$53)</f>
        <v>1582261.9816238896</v>
      </c>
      <c r="G864" s="545">
        <f>-'Foglio deposito bis'!$F$60*(C864-sezione!$AN$30)*IF(ABS(M864)&lt;'Sollecitazioni nel paramento'!$G$58,ABS(M864)*'Sollecitazioni nel paramento'!$G$54,'Sollecitazioni nel paramento'!$G$53)</f>
        <v>0</v>
      </c>
      <c r="H864" s="545">
        <f>-'Foglio deposito bis'!$F$61*(C864-sezione!$AO$30)*IF(ABS(N864)&lt;'Sollecitazioni nel paramento'!$G$58,ABS(N864)*'Sollecitazioni nel paramento'!$G$54,'Sollecitazioni nel paramento'!$G$53)</f>
        <v>27884498.497125592</v>
      </c>
      <c r="I864" s="472">
        <f>-'Foglio deposito bis'!$F$62*(C864-sezione!$AP$30)*IF(ABS(O864)&lt;'Sollecitazioni nel paramento'!$G$58,ABS(O864)*'Sollecitazioni nel paramento'!$G$54,'Sollecitazioni nel paramento'!$G$53)</f>
        <v>107193635.46535699</v>
      </c>
      <c r="J864" s="472">
        <f t="shared" si="59"/>
        <v>93054804.290189058</v>
      </c>
      <c r="K864" s="550">
        <f>'Sollecitazioni nel paramento'!$G$60*(sezione!$AL$30-C864)/C864</f>
        <v>-3.3765857994155703E-4</v>
      </c>
      <c r="L864" s="550">
        <f>'Sollecitazioni nel paramento'!$G$60*(sezione!$AM$30-C864)/C864</f>
        <v>1.2435121300876646E-3</v>
      </c>
      <c r="M864" s="551">
        <f>'Sollecitazioni nel paramento'!$G$60*(sezione!$AN$30-C864)/C864</f>
        <v>2.824682840116886E-3</v>
      </c>
      <c r="N864" s="551">
        <f>'Sollecitazioni nel paramento'!$G$60*(sezione!$AO$30-C864)/C864</f>
        <v>9.1493656802337717E-3</v>
      </c>
      <c r="O864" s="551">
        <f>'Sollecitazioni nel paramento'!$G$60*(sezione!$AP$30-C864)/C864</f>
        <v>2.6928567670850657E-2</v>
      </c>
      <c r="P864" s="545">
        <f>-'Sollecitazioni nel paramento'!$G$47*'Sollecitazioni nel paramento'!$G$41*IF(DATI!$G$211="dx",DATI!$E$61,DATI!$E$64*DATI!$E$63)*1000*C864*sezione!$AD$5</f>
        <v>-1686592.082110296</v>
      </c>
      <c r="Q864" s="545">
        <f>'Foglio deposito bis'!$F$58*IF(ABS(K864)&lt;'Sollecitazioni nel paramento'!$G$58,ABS(K864)*'Sollecitazioni nel paramento'!$G$54,'Sollecitazioni nel paramento'!$G$53)*IF(K864&lt;0,-1,1)</f>
        <v>0</v>
      </c>
      <c r="R864" s="545">
        <f>'Foglio deposito bis'!$F$59*IF(ABS(L864)&lt;'Sollecitazioni nel paramento'!$G$58,ABS(L864)*'Sollecitazioni nel paramento'!$G$54,'Sollecitazioni nel paramento'!$G$53)*IF(L864&lt;0,-1,1)</f>
        <v>100595.17074272996</v>
      </c>
      <c r="S864" s="545">
        <f>'Foglio deposito bis'!$F$60*IF(ABS(M864)&lt;'Sollecitazioni nel paramento'!$G$58,ABS(M864)*'Sollecitazioni nel paramento'!$G$54,'Sollecitazioni nel paramento'!$G$53)*IF(M864&lt;0,-1,1)</f>
        <v>0</v>
      </c>
      <c r="T864" s="545">
        <f>'Foglio deposito bis'!$F$61*IF(ABS(N864)&lt;'Sollecitazioni nel paramento'!$G$58,ABS(N864)*'Sollecitazioni nel paramento'!$G$54,'Sollecitazioni nel paramento'!$G$53)*IF(N864&lt;0,-1,1)</f>
        <v>240946.49743184328</v>
      </c>
      <c r="U864" s="545">
        <f>'Foglio deposito bis'!$F$62*IF(ABS(O864)&lt;'Sollecitazioni nel paramento'!$G$58,ABS(O864)*'Sollecitazioni nel paramento'!$G$54,'Sollecitazioni nel paramento'!$G$53)*IF(O864&lt;0,-1,1)</f>
        <v>314705.62929873407</v>
      </c>
      <c r="V864" s="472">
        <f t="shared" si="61"/>
        <v>-1030344.7846369888</v>
      </c>
      <c r="W864" s="551"/>
      <c r="X864" s="551"/>
    </row>
    <row r="865" spans="1:24" x14ac:dyDescent="0.25">
      <c r="A865" s="545">
        <f t="shared" si="60"/>
        <v>1083867.085328283</v>
      </c>
      <c r="B865" s="3">
        <f t="shared" si="63"/>
        <v>7.8999999999999924</v>
      </c>
      <c r="C865" s="545">
        <f>'Foglio deposito bis'!$E$156/sezione!$B$247*B865</f>
        <v>45.420890586099055</v>
      </c>
      <c r="D865" s="603">
        <f>-'Sollecitazioni nel paramento'!$G$47*'Sollecitazioni nel paramento'!$G$41*IF(DATI!$G$211="dx",DATI!$E$61,DATI!$E$64*DATI!$E$63)*1000*C865^2*sezione!$AD$5*(1-sezione!$AD$6)</f>
        <v>-45900235.707893185</v>
      </c>
      <c r="E865" s="545">
        <f>-'Foglio deposito bis'!$F$58*(C865-sezione!$AL$30)*IF(ABS(K865)&lt;'Sollecitazioni nel paramento'!$G$58,ABS(K865)*'Sollecitazioni nel paramento'!$G$54,'Sollecitazioni nel paramento'!$G$53)</f>
        <v>0</v>
      </c>
      <c r="F865" s="545">
        <f>-'Foglio deposito bis'!$F$59*(C865-sezione!$AM$30)*IF(ABS(L865)&lt;'Sollecitazioni nel paramento'!$G$58,ABS(L865)*'Sollecitazioni nel paramento'!$G$54,'Sollecitazioni nel paramento'!$G$53)</f>
        <v>1324956.1203531038</v>
      </c>
      <c r="G865" s="545">
        <f>-'Foglio deposito bis'!$F$60*(C865-sezione!$AN$30)*IF(ABS(M865)&lt;'Sollecitazioni nel paramento'!$G$58,ABS(M865)*'Sollecitazioni nel paramento'!$G$54,'Sollecitazioni nel paramento'!$G$53)</f>
        <v>0</v>
      </c>
      <c r="H865" s="545">
        <f>-'Foglio deposito bis'!$F$61*(C865-sezione!$AO$30)*IF(ABS(N865)&lt;'Sollecitazioni nel paramento'!$G$58,ABS(N865)*'Sollecitazioni nel paramento'!$G$54,'Sollecitazioni nel paramento'!$G$53)</f>
        <v>27607435.092139371</v>
      </c>
      <c r="I865" s="472">
        <f>-'Foglio deposito bis'!$F$62*(C865-sezione!$AP$30)*IF(ABS(O865)&lt;'Sollecitazioni nel paramento'!$G$58,ABS(O865)*'Sollecitazioni nel paramento'!$G$54,'Sollecitazioni nel paramento'!$G$53)</f>
        <v>106831756.73231377</v>
      </c>
      <c r="J865" s="472">
        <f t="shared" si="59"/>
        <v>89863912.236913055</v>
      </c>
      <c r="K865" s="550">
        <f>'Sollecitazioni nel paramento'!$G$60*(sezione!$AL$30-C865)/C865</f>
        <v>-4.1771785639873314E-4</v>
      </c>
      <c r="L865" s="550">
        <f>'Sollecitazioni nel paramento'!$G$60*(sezione!$AM$30-C865)/C865</f>
        <v>1.1234232154019002E-3</v>
      </c>
      <c r="M865" s="551">
        <f>'Sollecitazioni nel paramento'!$G$60*(sezione!$AN$30-C865)/C865</f>
        <v>2.6645642872025338E-3</v>
      </c>
      <c r="N865" s="551">
        <f>'Sollecitazioni nel paramento'!$G$60*(sezione!$AO$30-C865)/C865</f>
        <v>8.8291285744050672E-3</v>
      </c>
      <c r="O865" s="551">
        <f>'Sollecitazioni nel paramento'!$G$60*(sezione!$AP$30-C865)/C865</f>
        <v>2.6158224185512665E-2</v>
      </c>
      <c r="P865" s="545">
        <f>-'Sollecitazioni nel paramento'!$G$47*'Sollecitazioni nel paramento'!$G$41*IF(DATI!$G$211="dx",DATI!$E$61,DATI!$E$64*DATI!$E$63)*1000*C865*sezione!$AD$5</f>
        <v>-1730399.6686586153</v>
      </c>
      <c r="Q865" s="545">
        <f>'Foglio deposito bis'!$F$58*IF(ABS(K865)&lt;'Sollecitazioni nel paramento'!$G$58,ABS(K865)*'Sollecitazioni nel paramento'!$G$54,'Sollecitazioni nel paramento'!$G$53)*IF(K865&lt;0,-1,1)</f>
        <v>0</v>
      </c>
      <c r="R865" s="545">
        <f>'Foglio deposito bis'!$F$59*IF(ABS(L865)&lt;'Sollecitazioni nel paramento'!$G$58,ABS(L865)*'Sollecitazioni nel paramento'!$G$54,'Sollecitazioni nel paramento'!$G$53)*IF(L865&lt;0,-1,1)</f>
        <v>90880.456599754965</v>
      </c>
      <c r="S865" s="545">
        <f>'Foglio deposito bis'!$F$60*IF(ABS(M865)&lt;'Sollecitazioni nel paramento'!$G$58,ABS(M865)*'Sollecitazioni nel paramento'!$G$54,'Sollecitazioni nel paramento'!$G$53)*IF(M865&lt;0,-1,1)</f>
        <v>0</v>
      </c>
      <c r="T865" s="545">
        <f>'Foglio deposito bis'!$F$61*IF(ABS(N865)&lt;'Sollecitazioni nel paramento'!$G$58,ABS(N865)*'Sollecitazioni nel paramento'!$G$54,'Sollecitazioni nel paramento'!$G$53)*IF(N865&lt;0,-1,1)</f>
        <v>240946.49743184328</v>
      </c>
      <c r="U865" s="545">
        <f>'Foglio deposito bis'!$F$62*IF(ABS(O865)&lt;'Sollecitazioni nel paramento'!$G$58,ABS(O865)*'Sollecitazioni nel paramento'!$G$54,'Sollecitazioni nel paramento'!$G$53)*IF(O865&lt;0,-1,1)</f>
        <v>314705.62929873407</v>
      </c>
      <c r="V865" s="472">
        <f t="shared" si="61"/>
        <v>-1083867.085328283</v>
      </c>
      <c r="W865" s="551"/>
      <c r="X865" s="551"/>
    </row>
    <row r="866" spans="1:24" x14ac:dyDescent="0.25">
      <c r="A866" s="545">
        <f t="shared" si="60"/>
        <v>1136909.6470495542</v>
      </c>
      <c r="B866" s="3">
        <f t="shared" si="63"/>
        <v>8.0999999999999925</v>
      </c>
      <c r="C866" s="545">
        <f>'Foglio deposito bis'!$E$156/sezione!$B$247*B866</f>
        <v>46.570786550304099</v>
      </c>
      <c r="D866" s="603">
        <f>-'Sollecitazioni nel paramento'!$G$47*'Sollecitazioni nel paramento'!$G$41*IF(DATI!$G$211="dx",DATI!$E$61,DATI!$E$64*DATI!$E$63)*1000*C866^2*sezione!$AD$5*(1-sezione!$AD$6)</f>
        <v>-48253716.788893968</v>
      </c>
      <c r="E866" s="545">
        <f>-'Foglio deposito bis'!$F$58*(C866-sezione!$AL$30)*IF(ABS(K866)&lt;'Sollecitazioni nel paramento'!$G$58,ABS(K866)*'Sollecitazioni nel paramento'!$G$54,'Sollecitazioni nel paramento'!$G$53)</f>
        <v>0</v>
      </c>
      <c r="F866" s="545">
        <f>-'Foglio deposito bis'!$F$59*(C866-sezione!$AM$30)*IF(ABS(L866)&lt;'Sollecitazioni nel paramento'!$G$58,ABS(L866)*'Sollecitazioni nel paramento'!$G$54,'Sollecitazioni nel paramento'!$G$53)</f>
        <v>1096434.5972837256</v>
      </c>
      <c r="G866" s="545">
        <f>-'Foglio deposito bis'!$F$60*(C866-sezione!$AN$30)*IF(ABS(M866)&lt;'Sollecitazioni nel paramento'!$G$58,ABS(M866)*'Sollecitazioni nel paramento'!$G$54,'Sollecitazioni nel paramento'!$G$53)</f>
        <v>0</v>
      </c>
      <c r="H866" s="545">
        <f>-'Foglio deposito bis'!$F$61*(C866-sezione!$AO$30)*IF(ABS(N866)&lt;'Sollecitazioni nel paramento'!$G$58,ABS(N866)*'Sollecitazioni nel paramento'!$G$54,'Sollecitazioni nel paramento'!$G$53)</f>
        <v>27330371.687153161</v>
      </c>
      <c r="I866" s="472">
        <f>-'Foglio deposito bis'!$F$62*(C866-sezione!$AP$30)*IF(ABS(O866)&lt;'Sollecitazioni nel paramento'!$G$58,ABS(O866)*'Sollecitazioni nel paramento'!$G$54,'Sollecitazioni nel paramento'!$G$53)</f>
        <v>106469877.99927054</v>
      </c>
      <c r="J866" s="472">
        <f t="shared" si="59"/>
        <v>86642967.494813472</v>
      </c>
      <c r="K866" s="550">
        <f>'Sollecitazioni nel paramento'!$G$60*(sezione!$AL$30-C866)/C866</f>
        <v>-4.9382358833950537E-4</v>
      </c>
      <c r="L866" s="550">
        <f>'Sollecitazioni nel paramento'!$G$60*(sezione!$AM$30-C866)/C866</f>
        <v>1.0092646174907419E-3</v>
      </c>
      <c r="M866" s="551">
        <f>'Sollecitazioni nel paramento'!$G$60*(sezione!$AN$30-C866)/C866</f>
        <v>2.5123528233209893E-3</v>
      </c>
      <c r="N866" s="551">
        <f>'Sollecitazioni nel paramento'!$G$60*(sezione!$AO$30-C866)/C866</f>
        <v>8.5247056466419783E-3</v>
      </c>
      <c r="O866" s="551">
        <f>'Sollecitazioni nel paramento'!$G$60*(sezione!$AP$30-C866)/C866</f>
        <v>2.5425922353771613E-2</v>
      </c>
      <c r="P866" s="545">
        <f>-'Sollecitazioni nel paramento'!$G$47*'Sollecitazioni nel paramento'!$G$41*IF(DATI!$G$211="dx",DATI!$E$61,DATI!$E$64*DATI!$E$63)*1000*C866*sezione!$AD$5</f>
        <v>-1774207.2552069349</v>
      </c>
      <c r="Q866" s="545">
        <f>'Foglio deposito bis'!$F$58*IF(ABS(K866)&lt;'Sollecitazioni nel paramento'!$G$58,ABS(K866)*'Sollecitazioni nel paramento'!$G$54,'Sollecitazioni nel paramento'!$G$53)*IF(K866&lt;0,-1,1)</f>
        <v>0</v>
      </c>
      <c r="R866" s="545">
        <f>'Foglio deposito bis'!$F$59*IF(ABS(L866)&lt;'Sollecitazioni nel paramento'!$G$58,ABS(L866)*'Sollecitazioni nel paramento'!$G$54,'Sollecitazioni nel paramento'!$G$53)*IF(L866&lt;0,-1,1)</f>
        <v>81645.481426803439</v>
      </c>
      <c r="S866" s="545">
        <f>'Foglio deposito bis'!$F$60*IF(ABS(M866)&lt;'Sollecitazioni nel paramento'!$G$58,ABS(M866)*'Sollecitazioni nel paramento'!$G$54,'Sollecitazioni nel paramento'!$G$53)*IF(M866&lt;0,-1,1)</f>
        <v>0</v>
      </c>
      <c r="T866" s="545">
        <f>'Foglio deposito bis'!$F$61*IF(ABS(N866)&lt;'Sollecitazioni nel paramento'!$G$58,ABS(N866)*'Sollecitazioni nel paramento'!$G$54,'Sollecitazioni nel paramento'!$G$53)*IF(N866&lt;0,-1,1)</f>
        <v>240946.49743184328</v>
      </c>
      <c r="U866" s="545">
        <f>'Foglio deposito bis'!$F$62*IF(ABS(O866)&lt;'Sollecitazioni nel paramento'!$G$58,ABS(O866)*'Sollecitazioni nel paramento'!$G$54,'Sollecitazioni nel paramento'!$G$53)*IF(O866&lt;0,-1,1)</f>
        <v>314705.62929873407</v>
      </c>
      <c r="V866" s="472">
        <f t="shared" si="61"/>
        <v>-1136909.6470495542</v>
      </c>
      <c r="W866" s="551"/>
      <c r="X866" s="551"/>
    </row>
    <row r="867" spans="1:24" x14ac:dyDescent="0.25">
      <c r="A867" s="545">
        <f t="shared" si="60"/>
        <v>1189507.1497263454</v>
      </c>
      <c r="B867" s="3">
        <f t="shared" si="63"/>
        <v>8.2999999999999918</v>
      </c>
      <c r="C867" s="545">
        <f>'Foglio deposito bis'!$E$156/sezione!$B$247*B867</f>
        <v>47.720682514509136</v>
      </c>
      <c r="D867" s="603">
        <f>-'Sollecitazioni nel paramento'!$G$47*'Sollecitazioni nel paramento'!$G$41*IF(DATI!$G$211="dx",DATI!$E$61,DATI!$E$64*DATI!$E$63)*1000*C867^2*sezione!$AD$5*(1-sezione!$AD$6)</f>
        <v>-50666034.896919757</v>
      </c>
      <c r="E867" s="545">
        <f>-'Foglio deposito bis'!$F$58*(C867-sezione!$AL$30)*IF(ABS(K867)&lt;'Sollecitazioni nel paramento'!$G$58,ABS(K867)*'Sollecitazioni nel paramento'!$G$54,'Sollecitazioni nel paramento'!$G$53)</f>
        <v>0</v>
      </c>
      <c r="F867" s="545">
        <f>-'Foglio deposito bis'!$F$59*(C867-sezione!$AM$30)*IF(ABS(L867)&lt;'Sollecitazioni nel paramento'!$G$58,ABS(L867)*'Sollecitazioni nel paramento'!$G$54,'Sollecitazioni nel paramento'!$G$53)</f>
        <v>894616.61688312422</v>
      </c>
      <c r="G867" s="545">
        <f>-'Foglio deposito bis'!$F$60*(C867-sezione!$AN$30)*IF(ABS(M867)&lt;'Sollecitazioni nel paramento'!$G$58,ABS(M867)*'Sollecitazioni nel paramento'!$G$54,'Sollecitazioni nel paramento'!$G$53)</f>
        <v>0</v>
      </c>
      <c r="H867" s="545">
        <f>-'Foglio deposito bis'!$F$61*(C867-sezione!$AO$30)*IF(ABS(N867)&lt;'Sollecitazioni nel paramento'!$G$58,ABS(N867)*'Sollecitazioni nel paramento'!$G$54,'Sollecitazioni nel paramento'!$G$53)</f>
        <v>27053308.282166939</v>
      </c>
      <c r="I867" s="472">
        <f>-'Foglio deposito bis'!$F$62*(C867-sezione!$AP$30)*IF(ABS(O867)&lt;'Sollecitazioni nel paramento'!$G$58,ABS(O867)*'Sollecitazioni nel paramento'!$G$54,'Sollecitazioni nel paramento'!$G$53)</f>
        <v>106107999.26622733</v>
      </c>
      <c r="J867" s="472">
        <f t="shared" si="59"/>
        <v>83389889.268357635</v>
      </c>
      <c r="K867" s="550">
        <f>'Sollecitazioni nel paramento'!$G$60*(sezione!$AL$30-C867)/C867</f>
        <v>-5.6626157416264969E-4</v>
      </c>
      <c r="L867" s="550">
        <f>'Sollecitazioni nel paramento'!$G$60*(sezione!$AM$30-C867)/C867</f>
        <v>9.0060763875602539E-4</v>
      </c>
      <c r="M867" s="551">
        <f>'Sollecitazioni nel paramento'!$G$60*(sezione!$AN$30-C867)/C867</f>
        <v>2.3674768516747007E-3</v>
      </c>
      <c r="N867" s="551">
        <f>'Sollecitazioni nel paramento'!$G$60*(sezione!$AO$30-C867)/C867</f>
        <v>8.234953703349401E-3</v>
      </c>
      <c r="O867" s="551">
        <f>'Sollecitazioni nel paramento'!$G$60*(sezione!$AP$30-C867)/C867</f>
        <v>2.4728912176572297E-2</v>
      </c>
      <c r="P867" s="545">
        <f>-'Sollecitazioni nel paramento'!$G$47*'Sollecitazioni nel paramento'!$G$41*IF(DATI!$G$211="dx",DATI!$E$61,DATI!$E$64*DATI!$E$63)*1000*C867*sezione!$AD$5</f>
        <v>-1818014.8417552544</v>
      </c>
      <c r="Q867" s="545">
        <f>'Foglio deposito bis'!$F$58*IF(ABS(K867)&lt;'Sollecitazioni nel paramento'!$G$58,ABS(K867)*'Sollecitazioni nel paramento'!$G$54,'Sollecitazioni nel paramento'!$G$53)*IF(K867&lt;0,-1,1)</f>
        <v>0</v>
      </c>
      <c r="R867" s="545">
        <f>'Foglio deposito bis'!$F$59*IF(ABS(L867)&lt;'Sollecitazioni nel paramento'!$G$58,ABS(L867)*'Sollecitazioni nel paramento'!$G$54,'Sollecitazioni nel paramento'!$G$53)*IF(L867&lt;0,-1,1)</f>
        <v>72855.565298331567</v>
      </c>
      <c r="S867" s="545">
        <f>'Foglio deposito bis'!$F$60*IF(ABS(M867)&lt;'Sollecitazioni nel paramento'!$G$58,ABS(M867)*'Sollecitazioni nel paramento'!$G$54,'Sollecitazioni nel paramento'!$G$53)*IF(M867&lt;0,-1,1)</f>
        <v>0</v>
      </c>
      <c r="T867" s="545">
        <f>'Foglio deposito bis'!$F$61*IF(ABS(N867)&lt;'Sollecitazioni nel paramento'!$G$58,ABS(N867)*'Sollecitazioni nel paramento'!$G$54,'Sollecitazioni nel paramento'!$G$53)*IF(N867&lt;0,-1,1)</f>
        <v>240946.49743184328</v>
      </c>
      <c r="U867" s="545">
        <f>'Foglio deposito bis'!$F$62*IF(ABS(O867)&lt;'Sollecitazioni nel paramento'!$G$58,ABS(O867)*'Sollecitazioni nel paramento'!$G$54,'Sollecitazioni nel paramento'!$G$53)*IF(O867&lt;0,-1,1)</f>
        <v>314705.62929873407</v>
      </c>
      <c r="V867" s="472">
        <f t="shared" si="61"/>
        <v>-1189507.1497263454</v>
      </c>
      <c r="W867" s="551"/>
      <c r="X867" s="551"/>
    </row>
    <row r="868" spans="1:24" x14ac:dyDescent="0.25">
      <c r="A868" s="545">
        <f t="shared" si="60"/>
        <v>1241691.0092912083</v>
      </c>
      <c r="B868" s="3">
        <f t="shared" si="63"/>
        <v>8.4999999999999911</v>
      </c>
      <c r="C868" s="545">
        <f>'Foglio deposito bis'!$E$156/sezione!$B$247*B868</f>
        <v>48.870578478714172</v>
      </c>
      <c r="D868" s="603">
        <f>-'Sollecitazioni nel paramento'!$G$47*'Sollecitazioni nel paramento'!$G$41*IF(DATI!$G$211="dx",DATI!$E$61,DATI!$E$64*DATI!$E$63)*1000*C868^2*sezione!$AD$5*(1-sezione!$AD$6)</f>
        <v>-53137190.031970561</v>
      </c>
      <c r="E868" s="545">
        <f>-'Foglio deposito bis'!$F$58*(C868-sezione!$AL$30)*IF(ABS(K868)&lt;'Sollecitazioni nel paramento'!$G$58,ABS(K868)*'Sollecitazioni nel paramento'!$G$54,'Sollecitazioni nel paramento'!$G$53)</f>
        <v>0</v>
      </c>
      <c r="F868" s="545">
        <f>-'Foglio deposito bis'!$F$59*(C868-sezione!$AM$30)*IF(ABS(L868)&lt;'Sollecitazioni nel paramento'!$G$58,ABS(L868)*'Sollecitazioni nel paramento'!$G$54,'Sollecitazioni nel paramento'!$G$53)</f>
        <v>717617.22319820826</v>
      </c>
      <c r="G868" s="545">
        <f>-'Foglio deposito bis'!$F$60*(C868-sezione!$AN$30)*IF(ABS(M868)&lt;'Sollecitazioni nel paramento'!$G$58,ABS(M868)*'Sollecitazioni nel paramento'!$G$54,'Sollecitazioni nel paramento'!$G$53)</f>
        <v>0</v>
      </c>
      <c r="H868" s="545">
        <f>-'Foglio deposito bis'!$F$61*(C868-sezione!$AO$30)*IF(ABS(N868)&lt;'Sollecitazioni nel paramento'!$G$58,ABS(N868)*'Sollecitazioni nel paramento'!$G$54,'Sollecitazioni nel paramento'!$G$53)</f>
        <v>26776244.877180722</v>
      </c>
      <c r="I868" s="472">
        <f>-'Foglio deposito bis'!$F$62*(C868-sezione!$AP$30)*IF(ABS(O868)&lt;'Sollecitazioni nel paramento'!$G$58,ABS(O868)*'Sollecitazioni nel paramento'!$G$54,'Sollecitazioni nel paramento'!$G$53)</f>
        <v>105746120.5331841</v>
      </c>
      <c r="J868" s="472">
        <f t="shared" si="59"/>
        <v>80102792.601592466</v>
      </c>
      <c r="K868" s="550">
        <f>'Sollecitazioni nel paramento'!$G$60*(sezione!$AL$30-C868)/C868</f>
        <v>-6.3529071359411657E-4</v>
      </c>
      <c r="L868" s="550">
        <f>'Sollecitazioni nel paramento'!$G$60*(sezione!$AM$30-C868)/C868</f>
        <v>7.9706392960882512E-4</v>
      </c>
      <c r="M868" s="551">
        <f>'Sollecitazioni nel paramento'!$G$60*(sezione!$AN$30-C868)/C868</f>
        <v>2.2294185728117667E-3</v>
      </c>
      <c r="N868" s="551">
        <f>'Sollecitazioni nel paramento'!$G$60*(sezione!$AO$30-C868)/C868</f>
        <v>7.9588371456235339E-3</v>
      </c>
      <c r="O868" s="551">
        <f>'Sollecitazioni nel paramento'!$G$60*(sezione!$AP$30-C868)/C868</f>
        <v>2.4064702478300008E-2</v>
      </c>
      <c r="P868" s="545">
        <f>-'Sollecitazioni nel paramento'!$G$47*'Sollecitazioni nel paramento'!$G$41*IF(DATI!$G$211="dx",DATI!$E$61,DATI!$E$64*DATI!$E$63)*1000*C868*sezione!$AD$5</f>
        <v>-1861822.4283035735</v>
      </c>
      <c r="Q868" s="545">
        <f>'Foglio deposito bis'!$F$58*IF(ABS(K868)&lt;'Sollecitazioni nel paramento'!$G$58,ABS(K868)*'Sollecitazioni nel paramento'!$G$54,'Sollecitazioni nel paramento'!$G$53)*IF(K868&lt;0,-1,1)</f>
        <v>0</v>
      </c>
      <c r="R868" s="545">
        <f>'Foglio deposito bis'!$F$59*IF(ABS(L868)&lt;'Sollecitazioni nel paramento'!$G$58,ABS(L868)*'Sollecitazioni nel paramento'!$G$54,'Sollecitazioni nel paramento'!$G$53)*IF(L868&lt;0,-1,1)</f>
        <v>64479.292281787792</v>
      </c>
      <c r="S868" s="545">
        <f>'Foglio deposito bis'!$F$60*IF(ABS(M868)&lt;'Sollecitazioni nel paramento'!$G$58,ABS(M868)*'Sollecitazioni nel paramento'!$G$54,'Sollecitazioni nel paramento'!$G$53)*IF(M868&lt;0,-1,1)</f>
        <v>0</v>
      </c>
      <c r="T868" s="545">
        <f>'Foglio deposito bis'!$F$61*IF(ABS(N868)&lt;'Sollecitazioni nel paramento'!$G$58,ABS(N868)*'Sollecitazioni nel paramento'!$G$54,'Sollecitazioni nel paramento'!$G$53)*IF(N868&lt;0,-1,1)</f>
        <v>240946.49743184328</v>
      </c>
      <c r="U868" s="545">
        <f>'Foglio deposito bis'!$F$62*IF(ABS(O868)&lt;'Sollecitazioni nel paramento'!$G$58,ABS(O868)*'Sollecitazioni nel paramento'!$G$54,'Sollecitazioni nel paramento'!$G$53)*IF(O868&lt;0,-1,1)</f>
        <v>314705.62929873407</v>
      </c>
      <c r="V868" s="472">
        <f t="shared" si="61"/>
        <v>-1241691.0092912083</v>
      </c>
      <c r="W868" s="551"/>
      <c r="X868" s="551"/>
    </row>
    <row r="869" spans="1:24" x14ac:dyDescent="0.25">
      <c r="A869" s="545">
        <f t="shared" si="60"/>
        <v>1293489.7528553107</v>
      </c>
      <c r="B869" s="3">
        <f t="shared" si="63"/>
        <v>8.6999999999999904</v>
      </c>
      <c r="C869" s="545">
        <f>'Foglio deposito bis'!$E$156/sezione!$B$247*B869</f>
        <v>50.020474442919209</v>
      </c>
      <c r="D869" s="603">
        <f>-'Sollecitazioni nel paramento'!$G$47*'Sollecitazioni nel paramento'!$G$41*IF(DATI!$G$211="dx",DATI!$E$61,DATI!$E$64*DATI!$E$63)*1000*C869^2*sezione!$AD$5*(1-sezione!$AD$6)</f>
        <v>-55667182.194046386</v>
      </c>
      <c r="E869" s="545">
        <f>-'Foglio deposito bis'!$F$58*(C869-sezione!$AL$30)*IF(ABS(K869)&lt;'Sollecitazioni nel paramento'!$G$58,ABS(K869)*'Sollecitazioni nel paramento'!$G$54,'Sollecitazioni nel paramento'!$G$53)</f>
        <v>0</v>
      </c>
      <c r="F869" s="545">
        <f>-'Foglio deposito bis'!$F$59*(C869-sezione!$AM$30)*IF(ABS(L869)&lt;'Sollecitazioni nel paramento'!$G$58,ABS(L869)*'Sollecitazioni nel paramento'!$G$54,'Sollecitazioni nel paramento'!$G$53)</f>
        <v>563724.78955893009</v>
      </c>
      <c r="G869" s="545">
        <f>-'Foglio deposito bis'!$F$60*(C869-sezione!$AN$30)*IF(ABS(M869)&lt;'Sollecitazioni nel paramento'!$G$58,ABS(M869)*'Sollecitazioni nel paramento'!$G$54,'Sollecitazioni nel paramento'!$G$53)</f>
        <v>0</v>
      </c>
      <c r="H869" s="545">
        <f>-'Foglio deposito bis'!$F$61*(C869-sezione!$AO$30)*IF(ABS(N869)&lt;'Sollecitazioni nel paramento'!$G$58,ABS(N869)*'Sollecitazioni nel paramento'!$G$54,'Sollecitazioni nel paramento'!$G$53)</f>
        <v>26499181.472194508</v>
      </c>
      <c r="I869" s="472">
        <f>-'Foglio deposito bis'!$F$62*(C869-sezione!$AP$30)*IF(ABS(O869)&lt;'Sollecitazioni nel paramento'!$G$58,ABS(O869)*'Sollecitazioni nel paramento'!$G$54,'Sollecitazioni nel paramento'!$G$53)</f>
        <v>105384241.80014087</v>
      </c>
      <c r="J869" s="472">
        <f t="shared" si="59"/>
        <v>76779965.867847919</v>
      </c>
      <c r="K869" s="550">
        <f>'Sollecitazioni nel paramento'!$G$60*(sezione!$AL$30-C869)/C869</f>
        <v>-7.011460994885045E-4</v>
      </c>
      <c r="L869" s="550">
        <f>'Sollecitazioni nel paramento'!$G$60*(sezione!$AM$30-C869)/C869</f>
        <v>6.9828085076724313E-4</v>
      </c>
      <c r="M869" s="551">
        <f>'Sollecitazioni nel paramento'!$G$60*(sezione!$AN$30-C869)/C869</f>
        <v>2.0977078010229909E-3</v>
      </c>
      <c r="N869" s="551">
        <f>'Sollecitazioni nel paramento'!$G$60*(sezione!$AO$30-C869)/C869</f>
        <v>7.6954156020459822E-3</v>
      </c>
      <c r="O869" s="551">
        <f>'Sollecitazioni nel paramento'!$G$60*(sezione!$AP$30-C869)/C869</f>
        <v>2.3431031156959777E-2</v>
      </c>
      <c r="P869" s="545">
        <f>-'Sollecitazioni nel paramento'!$G$47*'Sollecitazioni nel paramento'!$G$41*IF(DATI!$G$211="dx",DATI!$E$61,DATI!$E$64*DATI!$E$63)*1000*C869*sezione!$AD$5</f>
        <v>-1905630.0148518926</v>
      </c>
      <c r="Q869" s="545">
        <f>'Foglio deposito bis'!$F$58*IF(ABS(K869)&lt;'Sollecitazioni nel paramento'!$G$58,ABS(K869)*'Sollecitazioni nel paramento'!$G$54,'Sollecitazioni nel paramento'!$G$53)*IF(K869&lt;0,-1,1)</f>
        <v>0</v>
      </c>
      <c r="R869" s="545">
        <f>'Foglio deposito bis'!$F$59*IF(ABS(L869)&lt;'Sollecitazioni nel paramento'!$G$58,ABS(L869)*'Sollecitazioni nel paramento'!$G$54,'Sollecitazioni nel paramento'!$G$53)*IF(L869&lt;0,-1,1)</f>
        <v>56488.135266004647</v>
      </c>
      <c r="S869" s="545">
        <f>'Foglio deposito bis'!$F$60*IF(ABS(M869)&lt;'Sollecitazioni nel paramento'!$G$58,ABS(M869)*'Sollecitazioni nel paramento'!$G$54,'Sollecitazioni nel paramento'!$G$53)*IF(M869&lt;0,-1,1)</f>
        <v>0</v>
      </c>
      <c r="T869" s="545">
        <f>'Foglio deposito bis'!$F$61*IF(ABS(N869)&lt;'Sollecitazioni nel paramento'!$G$58,ABS(N869)*'Sollecitazioni nel paramento'!$G$54,'Sollecitazioni nel paramento'!$G$53)*IF(N869&lt;0,-1,1)</f>
        <v>240946.49743184328</v>
      </c>
      <c r="U869" s="545">
        <f>'Foglio deposito bis'!$F$62*IF(ABS(O869)&lt;'Sollecitazioni nel paramento'!$G$58,ABS(O869)*'Sollecitazioni nel paramento'!$G$54,'Sollecitazioni nel paramento'!$G$53)*IF(O869&lt;0,-1,1)</f>
        <v>314705.62929873407</v>
      </c>
      <c r="V869" s="472">
        <f t="shared" si="61"/>
        <v>-1293489.7528553107</v>
      </c>
      <c r="W869" s="551"/>
      <c r="X869" s="551"/>
    </row>
    <row r="870" spans="1:24" x14ac:dyDescent="0.25">
      <c r="A870" s="545">
        <f t="shared" si="60"/>
        <v>1344929.3432951083</v>
      </c>
      <c r="B870" s="3">
        <f t="shared" si="63"/>
        <v>8.8999999999999897</v>
      </c>
      <c r="C870" s="545">
        <f>'Foglio deposito bis'!$E$156/sezione!$B$247*B870</f>
        <v>51.170370407124246</v>
      </c>
      <c r="D870" s="603">
        <f>-'Sollecitazioni nel paramento'!$G$47*'Sollecitazioni nel paramento'!$G$41*IF(DATI!$G$211="dx",DATI!$E$61,DATI!$E$64*DATI!$E$63)*1000*C870^2*sezione!$AD$5*(1-sezione!$AD$6)</f>
        <v>-58256011.383147225</v>
      </c>
      <c r="E870" s="545">
        <f>-'Foglio deposito bis'!$F$58*(C870-sezione!$AL$30)*IF(ABS(K870)&lt;'Sollecitazioni nel paramento'!$G$58,ABS(K870)*'Sollecitazioni nel paramento'!$G$54,'Sollecitazioni nel paramento'!$G$53)</f>
        <v>0</v>
      </c>
      <c r="F870" s="545">
        <f>-'Foglio deposito bis'!$F$59*(C870-sezione!$AM$30)*IF(ABS(L870)&lt;'Sollecitazioni nel paramento'!$G$58,ABS(L870)*'Sollecitazioni nel paramento'!$G$54,'Sollecitazioni nel paramento'!$G$53)</f>
        <v>431381.54337794357</v>
      </c>
      <c r="G870" s="545">
        <f>-'Foglio deposito bis'!$F$60*(C870-sezione!$AN$30)*IF(ABS(M870)&lt;'Sollecitazioni nel paramento'!$G$58,ABS(M870)*'Sollecitazioni nel paramento'!$G$54,'Sollecitazioni nel paramento'!$G$53)</f>
        <v>0</v>
      </c>
      <c r="H870" s="545">
        <f>-'Foglio deposito bis'!$F$61*(C870-sezione!$AO$30)*IF(ABS(N870)&lt;'Sollecitazioni nel paramento'!$G$58,ABS(N870)*'Sollecitazioni nel paramento'!$G$54,'Sollecitazioni nel paramento'!$G$53)</f>
        <v>26222118.067208294</v>
      </c>
      <c r="I870" s="472">
        <f>-'Foglio deposito bis'!$F$62*(C870-sezione!$AP$30)*IF(ABS(O870)&lt;'Sollecitazioni nel paramento'!$G$58,ABS(O870)*'Sollecitazioni nel paramento'!$G$54,'Sollecitazioni nel paramento'!$G$53)</f>
        <v>105022363.06709765</v>
      </c>
      <c r="J870" s="472">
        <f t="shared" si="59"/>
        <v>73419851.294536665</v>
      </c>
      <c r="K870" s="550">
        <f>'Sollecitazioni nel paramento'!$G$60*(sezione!$AL$30-C870)/C870</f>
        <v>-7.6404169275842574E-4</v>
      </c>
      <c r="L870" s="550">
        <f>'Sollecitazioni nel paramento'!$G$60*(sezione!$AM$30-C870)/C870</f>
        <v>6.0393746086236154E-4</v>
      </c>
      <c r="M870" s="551">
        <f>'Sollecitazioni nel paramento'!$G$60*(sezione!$AN$30-C870)/C870</f>
        <v>1.9719166144831486E-3</v>
      </c>
      <c r="N870" s="551">
        <f>'Sollecitazioni nel paramento'!$G$60*(sezione!$AO$30-C870)/C870</f>
        <v>7.4438332289662986E-3</v>
      </c>
      <c r="O870" s="551">
        <f>'Sollecitazioni nel paramento'!$G$60*(sezione!$AP$30-C870)/C870</f>
        <v>2.2825839445567424E-2</v>
      </c>
      <c r="P870" s="545">
        <f>-'Sollecitazioni nel paramento'!$G$47*'Sollecitazioni nel paramento'!$G$41*IF(DATI!$G$211="dx",DATI!$E$61,DATI!$E$64*DATI!$E$63)*1000*C870*sezione!$AD$5</f>
        <v>-1949437.6014002119</v>
      </c>
      <c r="Q870" s="545">
        <f>'Foglio deposito bis'!$F$58*IF(ABS(K870)&lt;'Sollecitazioni nel paramento'!$G$58,ABS(K870)*'Sollecitazioni nel paramento'!$G$54,'Sollecitazioni nel paramento'!$G$53)*IF(K870&lt;0,-1,1)</f>
        <v>0</v>
      </c>
      <c r="R870" s="545">
        <f>'Foglio deposito bis'!$F$59*IF(ABS(L870)&lt;'Sollecitazioni nel paramento'!$G$58,ABS(L870)*'Sollecitazioni nel paramento'!$G$54,'Sollecitazioni nel paramento'!$G$53)*IF(L870&lt;0,-1,1)</f>
        <v>48856.131374526354</v>
      </c>
      <c r="S870" s="545">
        <f>'Foglio deposito bis'!$F$60*IF(ABS(M870)&lt;'Sollecitazioni nel paramento'!$G$58,ABS(M870)*'Sollecitazioni nel paramento'!$G$54,'Sollecitazioni nel paramento'!$G$53)*IF(M870&lt;0,-1,1)</f>
        <v>0</v>
      </c>
      <c r="T870" s="545">
        <f>'Foglio deposito bis'!$F$61*IF(ABS(N870)&lt;'Sollecitazioni nel paramento'!$G$58,ABS(N870)*'Sollecitazioni nel paramento'!$G$54,'Sollecitazioni nel paramento'!$G$53)*IF(N870&lt;0,-1,1)</f>
        <v>240946.49743184328</v>
      </c>
      <c r="U870" s="545">
        <f>'Foglio deposito bis'!$F$62*IF(ABS(O870)&lt;'Sollecitazioni nel paramento'!$G$58,ABS(O870)*'Sollecitazioni nel paramento'!$G$54,'Sollecitazioni nel paramento'!$G$53)*IF(O870&lt;0,-1,1)</f>
        <v>314705.62929873407</v>
      </c>
      <c r="V870" s="472">
        <f t="shared" si="61"/>
        <v>-1344929.3432951083</v>
      </c>
      <c r="W870" s="551"/>
      <c r="X870" s="551"/>
    </row>
    <row r="871" spans="1:24" x14ac:dyDescent="0.25">
      <c r="A871" s="545">
        <f t="shared" si="60"/>
        <v>1396033.4610363797</v>
      </c>
      <c r="B871" s="3">
        <f t="shared" si="63"/>
        <v>9.099999999999989</v>
      </c>
      <c r="C871" s="545">
        <f>'Foglio deposito bis'!$E$156/sezione!$B$247*B871</f>
        <v>52.320266371329282</v>
      </c>
      <c r="D871" s="603">
        <f>-'Sollecitazioni nel paramento'!$G$47*'Sollecitazioni nel paramento'!$G$41*IF(DATI!$G$211="dx",DATI!$E$61,DATI!$E$64*DATI!$E$63)*1000*C871^2*sezione!$AD$5*(1-sezione!$AD$6)</f>
        <v>-60903677.599273086</v>
      </c>
      <c r="E871" s="545">
        <f>-'Foglio deposito bis'!$F$58*(C871-sezione!$AL$30)*IF(ABS(K871)&lt;'Sollecitazioni nel paramento'!$G$58,ABS(K871)*'Sollecitazioni nel paramento'!$G$54,'Sollecitazioni nel paramento'!$G$53)</f>
        <v>0</v>
      </c>
      <c r="F871" s="545">
        <f>-'Foglio deposito bis'!$F$59*(C871-sezione!$AM$30)*IF(ABS(L871)&lt;'Sollecitazioni nel paramento'!$G$58,ABS(L871)*'Sollecitazioni nel paramento'!$G$54,'Sollecitazioni nel paramento'!$G$53)</f>
        <v>319166.65910854796</v>
      </c>
      <c r="G871" s="545">
        <f>-'Foglio deposito bis'!$F$60*(C871-sezione!$AN$30)*IF(ABS(M871)&lt;'Sollecitazioni nel paramento'!$G$58,ABS(M871)*'Sollecitazioni nel paramento'!$G$54,'Sollecitazioni nel paramento'!$G$53)</f>
        <v>0</v>
      </c>
      <c r="H871" s="545">
        <f>-'Foglio deposito bis'!$F$61*(C871-sezione!$AO$30)*IF(ABS(N871)&lt;'Sollecitazioni nel paramento'!$G$58,ABS(N871)*'Sollecitazioni nel paramento'!$G$54,'Sollecitazioni nel paramento'!$G$53)</f>
        <v>25945054.662222076</v>
      </c>
      <c r="I871" s="472">
        <f>-'Foglio deposito bis'!$F$62*(C871-sezione!$AP$30)*IF(ABS(O871)&lt;'Sollecitazioni nel paramento'!$G$58,ABS(O871)*'Sollecitazioni nel paramento'!$G$54,'Sollecitazioni nel paramento'!$G$53)</f>
        <v>104660484.33405444</v>
      </c>
      <c r="J871" s="472">
        <f t="shared" si="59"/>
        <v>70021028.056111977</v>
      </c>
      <c r="K871" s="550">
        <f>'Sollecitazioni nel paramento'!$G$60*(sezione!$AL$30-C871)/C871</f>
        <v>-8.2417264456593272E-4</v>
      </c>
      <c r="L871" s="550">
        <f>'Sollecitazioni nel paramento'!$G$60*(sezione!$AM$30-C871)/C871</f>
        <v>5.1374103315110096E-4</v>
      </c>
      <c r="M871" s="551">
        <f>'Sollecitazioni nel paramento'!$G$60*(sezione!$AN$30-C871)/C871</f>
        <v>1.8516547108681346E-3</v>
      </c>
      <c r="N871" s="551">
        <f>'Sollecitazioni nel paramento'!$G$60*(sezione!$AO$30-C871)/C871</f>
        <v>7.2033094217362698E-3</v>
      </c>
      <c r="O871" s="551">
        <f>'Sollecitazioni nel paramento'!$G$60*(sezione!$AP$30-C871)/C871</f>
        <v>2.2247249567642867E-2</v>
      </c>
      <c r="P871" s="545">
        <f>-'Sollecitazioni nel paramento'!$G$47*'Sollecitazioni nel paramento'!$G$41*IF(DATI!$G$211="dx",DATI!$E$61,DATI!$E$64*DATI!$E$63)*1000*C871*sezione!$AD$5</f>
        <v>-1993245.1879485315</v>
      </c>
      <c r="Q871" s="545">
        <f>'Foglio deposito bis'!$F$58*IF(ABS(K871)&lt;'Sollecitazioni nel paramento'!$G$58,ABS(K871)*'Sollecitazioni nel paramento'!$G$54,'Sollecitazioni nel paramento'!$G$53)*IF(K871&lt;0,-1,1)</f>
        <v>0</v>
      </c>
      <c r="R871" s="545">
        <f>'Foglio deposito bis'!$F$59*IF(ABS(L871)&lt;'Sollecitazioni nel paramento'!$G$58,ABS(L871)*'Sollecitazioni nel paramento'!$G$54,'Sollecitazioni nel paramento'!$G$53)*IF(L871&lt;0,-1,1)</f>
        <v>41559.600181574577</v>
      </c>
      <c r="S871" s="545">
        <f>'Foglio deposito bis'!$F$60*IF(ABS(M871)&lt;'Sollecitazioni nel paramento'!$G$58,ABS(M871)*'Sollecitazioni nel paramento'!$G$54,'Sollecitazioni nel paramento'!$G$53)*IF(M871&lt;0,-1,1)</f>
        <v>0</v>
      </c>
      <c r="T871" s="545">
        <f>'Foglio deposito bis'!$F$61*IF(ABS(N871)&lt;'Sollecitazioni nel paramento'!$G$58,ABS(N871)*'Sollecitazioni nel paramento'!$G$54,'Sollecitazioni nel paramento'!$G$53)*IF(N871&lt;0,-1,1)</f>
        <v>240946.49743184328</v>
      </c>
      <c r="U871" s="545">
        <f>'Foglio deposito bis'!$F$62*IF(ABS(O871)&lt;'Sollecitazioni nel paramento'!$G$58,ABS(O871)*'Sollecitazioni nel paramento'!$G$54,'Sollecitazioni nel paramento'!$G$53)*IF(O871&lt;0,-1,1)</f>
        <v>314705.62929873407</v>
      </c>
      <c r="V871" s="472">
        <f t="shared" si="61"/>
        <v>-1396033.4610363797</v>
      </c>
      <c r="W871" s="551"/>
      <c r="X871" s="551"/>
    </row>
    <row r="872" spans="1:24" x14ac:dyDescent="0.25">
      <c r="A872" s="545">
        <f t="shared" si="60"/>
        <v>1446823.7494790289</v>
      </c>
      <c r="B872" s="3">
        <f t="shared" si="63"/>
        <v>9.2999999999999883</v>
      </c>
      <c r="C872" s="545">
        <f>'Foglio deposito bis'!$E$156/sezione!$B$247*B872</f>
        <v>53.470162335534319</v>
      </c>
      <c r="D872" s="603">
        <f>-'Sollecitazioni nel paramento'!$G$47*'Sollecitazioni nel paramento'!$G$41*IF(DATI!$G$211="dx",DATI!$E$61,DATI!$E$64*DATI!$E$63)*1000*C872^2*sezione!$AD$5*(1-sezione!$AD$6)</f>
        <v>-63610180.842423961</v>
      </c>
      <c r="E872" s="545">
        <f>-'Foglio deposito bis'!$F$58*(C872-sezione!$AL$30)*IF(ABS(K872)&lt;'Sollecitazioni nel paramento'!$G$58,ABS(K872)*'Sollecitazioni nel paramento'!$G$54,'Sollecitazioni nel paramento'!$G$53)</f>
        <v>0</v>
      </c>
      <c r="F872" s="545">
        <f>-'Foglio deposito bis'!$F$59*(C872-sezione!$AM$30)*IF(ABS(L872)&lt;'Sollecitazioni nel paramento'!$G$58,ABS(L872)*'Sollecitazioni nel paramento'!$G$54,'Sollecitazioni nel paramento'!$G$53)</f>
        <v>225781.53275644727</v>
      </c>
      <c r="G872" s="545">
        <f>-'Foglio deposito bis'!$F$60*(C872-sezione!$AN$30)*IF(ABS(M872)&lt;'Sollecitazioni nel paramento'!$G$58,ABS(M872)*'Sollecitazioni nel paramento'!$G$54,'Sollecitazioni nel paramento'!$G$53)</f>
        <v>0</v>
      </c>
      <c r="H872" s="545">
        <f>-'Foglio deposito bis'!$F$61*(C872-sezione!$AO$30)*IF(ABS(N872)&lt;'Sollecitazioni nel paramento'!$G$58,ABS(N872)*'Sollecitazioni nel paramento'!$G$54,'Sollecitazioni nel paramento'!$G$53)</f>
        <v>25667991.257235862</v>
      </c>
      <c r="I872" s="472">
        <f>-'Foglio deposito bis'!$F$62*(C872-sezione!$AP$30)*IF(ABS(O872)&lt;'Sollecitazioni nel paramento'!$G$58,ABS(O872)*'Sollecitazioni nel paramento'!$G$54,'Sollecitazioni nel paramento'!$G$53)</f>
        <v>104298605.60101123</v>
      </c>
      <c r="J872" s="472">
        <f t="shared" si="59"/>
        <v>66582197.548579581</v>
      </c>
      <c r="K872" s="550">
        <f>'Sollecitazioni nel paramento'!$G$60*(sezione!$AL$30-C872)/C872</f>
        <v>-8.8171731887634261E-4</v>
      </c>
      <c r="L872" s="550">
        <f>'Sollecitazioni nel paramento'!$G$60*(sezione!$AM$30-C872)/C872</f>
        <v>4.2742402168548612E-4</v>
      </c>
      <c r="M872" s="551">
        <f>'Sollecitazioni nel paramento'!$G$60*(sezione!$AN$30-C872)/C872</f>
        <v>1.7365653622473149E-3</v>
      </c>
      <c r="N872" s="551">
        <f>'Sollecitazioni nel paramento'!$G$60*(sezione!$AO$30-C872)/C872</f>
        <v>6.9731307244946293E-3</v>
      </c>
      <c r="O872" s="551">
        <f>'Sollecitazioni nel paramento'!$G$60*(sezione!$AP$30-C872)/C872</f>
        <v>2.1693545275865603E-2</v>
      </c>
      <c r="P872" s="545">
        <f>-'Sollecitazioni nel paramento'!$G$47*'Sollecitazioni nel paramento'!$G$41*IF(DATI!$G$211="dx",DATI!$E$61,DATI!$E$64*DATI!$E$63)*1000*C872*sezione!$AD$5</f>
        <v>-2037052.7744968506</v>
      </c>
      <c r="Q872" s="545">
        <f>'Foglio deposito bis'!$F$58*IF(ABS(K872)&lt;'Sollecitazioni nel paramento'!$G$58,ABS(K872)*'Sollecitazioni nel paramento'!$G$54,'Sollecitazioni nel paramento'!$G$53)*IF(K872&lt;0,-1,1)</f>
        <v>0</v>
      </c>
      <c r="R872" s="545">
        <f>'Foglio deposito bis'!$F$59*IF(ABS(L872)&lt;'Sollecitazioni nel paramento'!$G$58,ABS(L872)*'Sollecitazioni nel paramento'!$G$54,'Sollecitazioni nel paramento'!$G$53)*IF(L872&lt;0,-1,1)</f>
        <v>34576.898287244381</v>
      </c>
      <c r="S872" s="545">
        <f>'Foglio deposito bis'!$F$60*IF(ABS(M872)&lt;'Sollecitazioni nel paramento'!$G$58,ABS(M872)*'Sollecitazioni nel paramento'!$G$54,'Sollecitazioni nel paramento'!$G$53)*IF(M872&lt;0,-1,1)</f>
        <v>0</v>
      </c>
      <c r="T872" s="545">
        <f>'Foglio deposito bis'!$F$61*IF(ABS(N872)&lt;'Sollecitazioni nel paramento'!$G$58,ABS(N872)*'Sollecitazioni nel paramento'!$G$54,'Sollecitazioni nel paramento'!$G$53)*IF(N872&lt;0,-1,1)</f>
        <v>240946.49743184328</v>
      </c>
      <c r="U872" s="545">
        <f>'Foglio deposito bis'!$F$62*IF(ABS(O872)&lt;'Sollecitazioni nel paramento'!$G$58,ABS(O872)*'Sollecitazioni nel paramento'!$G$54,'Sollecitazioni nel paramento'!$G$53)*IF(O872&lt;0,-1,1)</f>
        <v>314705.62929873407</v>
      </c>
      <c r="V872" s="472">
        <f t="shared" si="61"/>
        <v>-1446823.7494790289</v>
      </c>
      <c r="W872" s="551"/>
      <c r="X872" s="551"/>
    </row>
    <row r="873" spans="1:24" x14ac:dyDescent="0.25">
      <c r="A873" s="545">
        <f t="shared" si="60"/>
        <v>1497320.0294208643</v>
      </c>
      <c r="B873" s="3">
        <f t="shared" si="63"/>
        <v>9.4999999999999876</v>
      </c>
      <c r="C873" s="545">
        <f>'Foglio deposito bis'!$E$156/sezione!$B$247*B873</f>
        <v>54.620058299739355</v>
      </c>
      <c r="D873" s="603">
        <f>-'Sollecitazioni nel paramento'!$G$47*'Sollecitazioni nel paramento'!$G$41*IF(DATI!$G$211="dx",DATI!$E$61,DATI!$E$64*DATI!$E$63)*1000*C873^2*sezione!$AD$5*(1-sezione!$AD$6)</f>
        <v>-66375521.112599857</v>
      </c>
      <c r="E873" s="545">
        <f>-'Foglio deposito bis'!$F$58*(C873-sezione!$AL$30)*IF(ABS(K873)&lt;'Sollecitazioni nel paramento'!$G$58,ABS(K873)*'Sollecitazioni nel paramento'!$G$54,'Sollecitazioni nel paramento'!$G$53)</f>
        <v>0</v>
      </c>
      <c r="F873" s="545">
        <f>-'Foglio deposito bis'!$F$59*(C873-sezione!$AM$30)*IF(ABS(L873)&lt;'Sollecitazioni nel paramento'!$G$58,ABS(L873)*'Sollecitazioni nel paramento'!$G$54,'Sollecitazioni nel paramento'!$G$53)</f>
        <v>150036.91645318075</v>
      </c>
      <c r="G873" s="545">
        <f>-'Foglio deposito bis'!$F$60*(C873-sezione!$AN$30)*IF(ABS(M873)&lt;'Sollecitazioni nel paramento'!$G$58,ABS(M873)*'Sollecitazioni nel paramento'!$G$54,'Sollecitazioni nel paramento'!$G$53)</f>
        <v>0</v>
      </c>
      <c r="H873" s="545">
        <f>-'Foglio deposito bis'!$F$61*(C873-sezione!$AO$30)*IF(ABS(N873)&lt;'Sollecitazioni nel paramento'!$G$58,ABS(N873)*'Sollecitazioni nel paramento'!$G$54,'Sollecitazioni nel paramento'!$G$53)</f>
        <v>25390927.852249645</v>
      </c>
      <c r="I873" s="472">
        <f>-'Foglio deposito bis'!$F$62*(C873-sezione!$AP$30)*IF(ABS(O873)&lt;'Sollecitazioni nel paramento'!$G$58,ABS(O873)*'Sollecitazioni nel paramento'!$G$54,'Sollecitazioni nel paramento'!$G$53)</f>
        <v>103936726.86796799</v>
      </c>
      <c r="J873" s="472">
        <f t="shared" si="59"/>
        <v>63102170.524070963</v>
      </c>
      <c r="K873" s="550">
        <f>'Sollecitazioni nel paramento'!$G$60*(sezione!$AL$30-C873)/C873</f>
        <v>-9.3683905953157733E-4</v>
      </c>
      <c r="L873" s="550">
        <f>'Sollecitazioni nel paramento'!$G$60*(sezione!$AM$30-C873)/C873</f>
        <v>3.4474141070263393E-4</v>
      </c>
      <c r="M873" s="551">
        <f>'Sollecitazioni nel paramento'!$G$60*(sezione!$AN$30-C873)/C873</f>
        <v>1.6263218809368452E-3</v>
      </c>
      <c r="N873" s="551">
        <f>'Sollecitazioni nel paramento'!$G$60*(sezione!$AO$30-C873)/C873</f>
        <v>6.7526437618736909E-3</v>
      </c>
      <c r="O873" s="551">
        <f>'Sollecitazioni nel paramento'!$G$60*(sezione!$AP$30-C873)/C873</f>
        <v>2.1163154849005276E-2</v>
      </c>
      <c r="P873" s="545">
        <f>-'Sollecitazioni nel paramento'!$G$47*'Sollecitazioni nel paramento'!$G$41*IF(DATI!$G$211="dx",DATI!$E$61,DATI!$E$64*DATI!$E$63)*1000*C873*sezione!$AD$5</f>
        <v>-2080860.3610451696</v>
      </c>
      <c r="Q873" s="545">
        <f>'Foglio deposito bis'!$F$58*IF(ABS(K873)&lt;'Sollecitazioni nel paramento'!$G$58,ABS(K873)*'Sollecitazioni nel paramento'!$G$54,'Sollecitazioni nel paramento'!$G$53)*IF(K873&lt;0,-1,1)</f>
        <v>0</v>
      </c>
      <c r="R873" s="545">
        <f>'Foglio deposito bis'!$F$59*IF(ABS(L873)&lt;'Sollecitazioni nel paramento'!$G$58,ABS(L873)*'Sollecitazioni nel paramento'!$G$54,'Sollecitazioni nel paramento'!$G$53)*IF(L873&lt;0,-1,1)</f>
        <v>27888.204893728092</v>
      </c>
      <c r="S873" s="545">
        <f>'Foglio deposito bis'!$F$60*IF(ABS(M873)&lt;'Sollecitazioni nel paramento'!$G$58,ABS(M873)*'Sollecitazioni nel paramento'!$G$54,'Sollecitazioni nel paramento'!$G$53)*IF(M873&lt;0,-1,1)</f>
        <v>0</v>
      </c>
      <c r="T873" s="545">
        <f>'Foglio deposito bis'!$F$61*IF(ABS(N873)&lt;'Sollecitazioni nel paramento'!$G$58,ABS(N873)*'Sollecitazioni nel paramento'!$G$54,'Sollecitazioni nel paramento'!$G$53)*IF(N873&lt;0,-1,1)</f>
        <v>240946.49743184328</v>
      </c>
      <c r="U873" s="545">
        <f>'Foglio deposito bis'!$F$62*IF(ABS(O873)&lt;'Sollecitazioni nel paramento'!$G$58,ABS(O873)*'Sollecitazioni nel paramento'!$G$54,'Sollecitazioni nel paramento'!$G$53)*IF(O873&lt;0,-1,1)</f>
        <v>314705.62929873407</v>
      </c>
      <c r="V873" s="472">
        <f t="shared" si="61"/>
        <v>-1497320.0294208643</v>
      </c>
      <c r="W873" s="551"/>
      <c r="X873" s="551"/>
    </row>
    <row r="874" spans="1:24" x14ac:dyDescent="0.25">
      <c r="A874" s="545">
        <f t="shared" si="60"/>
        <v>1547540.48695472</v>
      </c>
      <c r="B874" s="3">
        <f t="shared" si="63"/>
        <v>9.6999999999999869</v>
      </c>
      <c r="C874" s="545">
        <f>'Foglio deposito bis'!$E$156/sezione!$B$247*B874</f>
        <v>55.769954263944392</v>
      </c>
      <c r="D874" s="603">
        <f>-'Sollecitazioni nel paramento'!$G$47*'Sollecitazioni nel paramento'!$G$41*IF(DATI!$G$211="dx",DATI!$E$61,DATI!$E$64*DATI!$E$63)*1000*C874^2*sezione!$AD$5*(1-sezione!$AD$6)</f>
        <v>-69199698.409800783</v>
      </c>
      <c r="E874" s="545">
        <f>-'Foglio deposito bis'!$F$58*(C874-sezione!$AL$30)*IF(ABS(K874)&lt;'Sollecitazioni nel paramento'!$G$58,ABS(K874)*'Sollecitazioni nel paramento'!$G$54,'Sollecitazioni nel paramento'!$G$53)</f>
        <v>0</v>
      </c>
      <c r="F874" s="545">
        <f>-'Foglio deposito bis'!$F$59*(C874-sezione!$AM$30)*IF(ABS(L874)&lt;'Sollecitazioni nel paramento'!$G$58,ABS(L874)*'Sollecitazioni nel paramento'!$G$54,'Sollecitazioni nel paramento'!$G$53)</f>
        <v>90841.644628717389</v>
      </c>
      <c r="G874" s="545">
        <f>-'Foglio deposito bis'!$F$60*(C874-sezione!$AN$30)*IF(ABS(M874)&lt;'Sollecitazioni nel paramento'!$G$58,ABS(M874)*'Sollecitazioni nel paramento'!$G$54,'Sollecitazioni nel paramento'!$G$53)</f>
        <v>0</v>
      </c>
      <c r="H874" s="545">
        <f>-'Foglio deposito bis'!$F$61*(C874-sezione!$AO$30)*IF(ABS(N874)&lt;'Sollecitazioni nel paramento'!$G$58,ABS(N874)*'Sollecitazioni nel paramento'!$G$54,'Sollecitazioni nel paramento'!$G$53)</f>
        <v>25113864.447263431</v>
      </c>
      <c r="I874" s="472">
        <f>-'Foglio deposito bis'!$F$62*(C874-sezione!$AP$30)*IF(ABS(O874)&lt;'Sollecitazioni nel paramento'!$G$58,ABS(O874)*'Sollecitazioni nel paramento'!$G$54,'Sollecitazioni nel paramento'!$G$53)</f>
        <v>103574848.13492478</v>
      </c>
      <c r="J874" s="472">
        <f t="shared" si="59"/>
        <v>59579855.817016155</v>
      </c>
      <c r="K874" s="550">
        <f>'Sollecitazioni nel paramento'!$G$60*(sezione!$AL$30-C874)/C874</f>
        <v>-9.896877387164933E-4</v>
      </c>
      <c r="L874" s="550">
        <f>'Sollecitazioni nel paramento'!$G$60*(sezione!$AM$30-C874)/C874</f>
        <v>2.6546839192526024E-4</v>
      </c>
      <c r="M874" s="551">
        <f>'Sollecitazioni nel paramento'!$G$60*(sezione!$AN$30-C874)/C874</f>
        <v>1.5206245225670137E-3</v>
      </c>
      <c r="N874" s="551">
        <f>'Sollecitazioni nel paramento'!$G$60*(sezione!$AO$30-C874)/C874</f>
        <v>6.5412490451340283E-3</v>
      </c>
      <c r="O874" s="551">
        <f>'Sollecitazioni nel paramento'!$G$60*(sezione!$AP$30-C874)/C874</f>
        <v>2.0654636192324757E-2</v>
      </c>
      <c r="P874" s="545">
        <f>-'Sollecitazioni nel paramento'!$G$47*'Sollecitazioni nel paramento'!$G$41*IF(DATI!$G$211="dx",DATI!$E$61,DATI!$E$64*DATI!$E$63)*1000*C874*sezione!$AD$5</f>
        <v>-2124667.9475934892</v>
      </c>
      <c r="Q874" s="545">
        <f>'Foglio deposito bis'!$F$58*IF(ABS(K874)&lt;'Sollecitazioni nel paramento'!$G$58,ABS(K874)*'Sollecitazioni nel paramento'!$G$54,'Sollecitazioni nel paramento'!$G$53)*IF(K874&lt;0,-1,1)</f>
        <v>0</v>
      </c>
      <c r="R874" s="545">
        <f>'Foglio deposito bis'!$F$59*IF(ABS(L874)&lt;'Sollecitazioni nel paramento'!$G$58,ABS(L874)*'Sollecitazioni nel paramento'!$G$54,'Sollecitazioni nel paramento'!$G$53)*IF(L874&lt;0,-1,1)</f>
        <v>21475.333908191857</v>
      </c>
      <c r="S874" s="545">
        <f>'Foglio deposito bis'!$F$60*IF(ABS(M874)&lt;'Sollecitazioni nel paramento'!$G$58,ABS(M874)*'Sollecitazioni nel paramento'!$G$54,'Sollecitazioni nel paramento'!$G$53)*IF(M874&lt;0,-1,1)</f>
        <v>0</v>
      </c>
      <c r="T874" s="545">
        <f>'Foglio deposito bis'!$F$61*IF(ABS(N874)&lt;'Sollecitazioni nel paramento'!$G$58,ABS(N874)*'Sollecitazioni nel paramento'!$G$54,'Sollecitazioni nel paramento'!$G$53)*IF(N874&lt;0,-1,1)</f>
        <v>240946.49743184328</v>
      </c>
      <c r="U874" s="545">
        <f>'Foglio deposito bis'!$F$62*IF(ABS(O874)&lt;'Sollecitazioni nel paramento'!$G$58,ABS(O874)*'Sollecitazioni nel paramento'!$G$54,'Sollecitazioni nel paramento'!$G$53)*IF(O874&lt;0,-1,1)</f>
        <v>314705.62929873407</v>
      </c>
      <c r="V874" s="472">
        <f t="shared" si="61"/>
        <v>-1547540.48695472</v>
      </c>
      <c r="W874" s="551"/>
      <c r="X874" s="551"/>
    </row>
    <row r="875" spans="1:24" x14ac:dyDescent="0.25">
      <c r="A875" s="545">
        <f t="shared" si="60"/>
        <v>1597501.83859017</v>
      </c>
      <c r="B875" s="3">
        <f t="shared" si="63"/>
        <v>9.8999999999999861</v>
      </c>
      <c r="C875" s="545">
        <f>'Foglio deposito bis'!$E$156/sezione!$B$247*B875</f>
        <v>56.919850228149429</v>
      </c>
      <c r="D875" s="603">
        <f>-'Sollecitazioni nel paramento'!$G$47*'Sollecitazioni nel paramento'!$G$41*IF(DATI!$G$211="dx",DATI!$E$61,DATI!$E$64*DATI!$E$63)*1000*C875^2*sezione!$AD$5*(1-sezione!$AD$6)</f>
        <v>-72082712.734026715</v>
      </c>
      <c r="E875" s="545">
        <f>-'Foglio deposito bis'!$F$58*(C875-sezione!$AL$30)*IF(ABS(K875)&lt;'Sollecitazioni nel paramento'!$G$58,ABS(K875)*'Sollecitazioni nel paramento'!$G$54,'Sollecitazioni nel paramento'!$G$53)</f>
        <v>0</v>
      </c>
      <c r="F875" s="545">
        <f>-'Foglio deposito bis'!$F$59*(C875-sezione!$AM$30)*IF(ABS(L875)&lt;'Sollecitazioni nel paramento'!$G$58,ABS(L875)*'Sollecitazioni nel paramento'!$G$54,'Sollecitazioni nel paramento'!$G$53)</f>
        <v>47192.726708584232</v>
      </c>
      <c r="G875" s="545">
        <f>-'Foglio deposito bis'!$F$60*(C875-sezione!$AN$30)*IF(ABS(M875)&lt;'Sollecitazioni nel paramento'!$G$58,ABS(M875)*'Sollecitazioni nel paramento'!$G$54,'Sollecitazioni nel paramento'!$G$53)</f>
        <v>0</v>
      </c>
      <c r="H875" s="545">
        <f>-'Foglio deposito bis'!$F$61*(C875-sezione!$AO$30)*IF(ABS(N875)&lt;'Sollecitazioni nel paramento'!$G$58,ABS(N875)*'Sollecitazioni nel paramento'!$G$54,'Sollecitazioni nel paramento'!$G$53)</f>
        <v>24836801.042277213</v>
      </c>
      <c r="I875" s="472">
        <f>-'Foglio deposito bis'!$F$62*(C875-sezione!$AP$30)*IF(ABS(O875)&lt;'Sollecitazioni nel paramento'!$G$58,ABS(O875)*'Sollecitazioni nel paramento'!$G$54,'Sollecitazioni nel paramento'!$G$53)</f>
        <v>103212969.40188158</v>
      </c>
      <c r="J875" s="472">
        <f t="shared" si="59"/>
        <v>56014250.436840668</v>
      </c>
      <c r="K875" s="550">
        <f>'Sollecitazioni nel paramento'!$G$60*(sezione!$AL$30-C875)/C875</f>
        <v>-1.0404011177323215E-3</v>
      </c>
      <c r="L875" s="550">
        <f>'Sollecitazioni nel paramento'!$G$60*(sezione!$AM$30-C875)/C875</f>
        <v>1.8939832340151774E-4</v>
      </c>
      <c r="M875" s="551">
        <f>'Sollecitazioni nel paramento'!$G$60*(sezione!$AN$30-C875)/C875</f>
        <v>1.4191977645353572E-3</v>
      </c>
      <c r="N875" s="551">
        <f>'Sollecitazioni nel paramento'!$G$60*(sezione!$AO$30-C875)/C875</f>
        <v>6.3383955290707136E-3</v>
      </c>
      <c r="O875" s="551">
        <f>'Sollecitazioni nel paramento'!$G$60*(sezione!$AP$30-C875)/C875</f>
        <v>2.0166663743994968E-2</v>
      </c>
      <c r="P875" s="545">
        <f>-'Sollecitazioni nel paramento'!$G$47*'Sollecitazioni nel paramento'!$G$41*IF(DATI!$G$211="dx",DATI!$E$61,DATI!$E$64*DATI!$E$63)*1000*C875*sezione!$AD$5</f>
        <v>-2168475.5341418083</v>
      </c>
      <c r="Q875" s="545">
        <f>'Foglio deposito bis'!$F$58*IF(ABS(K875)&lt;'Sollecitazioni nel paramento'!$G$58,ABS(K875)*'Sollecitazioni nel paramento'!$G$54,'Sollecitazioni nel paramento'!$G$53)*IF(K875&lt;0,-1,1)</f>
        <v>0</v>
      </c>
      <c r="R875" s="545">
        <f>'Foglio deposito bis'!$F$59*IF(ABS(L875)&lt;'Sollecitazioni nel paramento'!$G$58,ABS(L875)*'Sollecitazioni nel paramento'!$G$54,'Sollecitazioni nel paramento'!$G$53)*IF(L875&lt;0,-1,1)</f>
        <v>15321.568821061121</v>
      </c>
      <c r="S875" s="545">
        <f>'Foglio deposito bis'!$F$60*IF(ABS(M875)&lt;'Sollecitazioni nel paramento'!$G$58,ABS(M875)*'Sollecitazioni nel paramento'!$G$54,'Sollecitazioni nel paramento'!$G$53)*IF(M875&lt;0,-1,1)</f>
        <v>0</v>
      </c>
      <c r="T875" s="545">
        <f>'Foglio deposito bis'!$F$61*IF(ABS(N875)&lt;'Sollecitazioni nel paramento'!$G$58,ABS(N875)*'Sollecitazioni nel paramento'!$G$54,'Sollecitazioni nel paramento'!$G$53)*IF(N875&lt;0,-1,1)</f>
        <v>240946.49743184328</v>
      </c>
      <c r="U875" s="545">
        <f>'Foglio deposito bis'!$F$62*IF(ABS(O875)&lt;'Sollecitazioni nel paramento'!$G$58,ABS(O875)*'Sollecitazioni nel paramento'!$G$54,'Sollecitazioni nel paramento'!$G$53)*IF(O875&lt;0,-1,1)</f>
        <v>314705.62929873407</v>
      </c>
      <c r="V875" s="472">
        <f t="shared" si="61"/>
        <v>-1597501.83859017</v>
      </c>
      <c r="W875" s="551"/>
      <c r="X875" s="551"/>
    </row>
    <row r="876" spans="1:24" x14ac:dyDescent="0.25">
      <c r="A876" s="545">
        <f t="shared" si="60"/>
        <v>1647219.4767568226</v>
      </c>
      <c r="B876" s="3">
        <f t="shared" si="63"/>
        <v>10.099999999999985</v>
      </c>
      <c r="C876" s="545">
        <f>'Foglio deposito bis'!$E$156/sezione!$B$247*B876</f>
        <v>58.069746192354458</v>
      </c>
      <c r="D876" s="603">
        <f>-'Sollecitazioni nel paramento'!$G$47*'Sollecitazioni nel paramento'!$G$41*IF(DATI!$G$211="dx",DATI!$E$61,DATI!$E$64*DATI!$E$63)*1000*C876^2*sezione!$AD$5*(1-sezione!$AD$6)</f>
        <v>-75024564.085277662</v>
      </c>
      <c r="E876" s="545">
        <f>-'Foglio deposito bis'!$F$58*(C876-sezione!$AL$30)*IF(ABS(K876)&lt;'Sollecitazioni nel paramento'!$G$58,ABS(K876)*'Sollecitazioni nel paramento'!$G$54,'Sollecitazioni nel paramento'!$G$53)</f>
        <v>0</v>
      </c>
      <c r="F876" s="545">
        <f>-'Foglio deposito bis'!$F$59*(C876-sezione!$AM$30)*IF(ABS(L876)&lt;'Sollecitazioni nel paramento'!$G$58,ABS(L876)*'Sollecitazioni nel paramento'!$G$54,'Sollecitazioni nel paramento'!$G$53)</f>
        <v>18166.616916286628</v>
      </c>
      <c r="G876" s="545">
        <f>-'Foglio deposito bis'!$F$60*(C876-sezione!$AN$30)*IF(ABS(M876)&lt;'Sollecitazioni nel paramento'!$G$58,ABS(M876)*'Sollecitazioni nel paramento'!$G$54,'Sollecitazioni nel paramento'!$G$53)</f>
        <v>0</v>
      </c>
      <c r="H876" s="545">
        <f>-'Foglio deposito bis'!$F$61*(C876-sezione!$AO$30)*IF(ABS(N876)&lt;'Sollecitazioni nel paramento'!$G$58,ABS(N876)*'Sollecitazioni nel paramento'!$G$54,'Sollecitazioni nel paramento'!$G$53)</f>
        <v>24559737.637290999</v>
      </c>
      <c r="I876" s="472">
        <f>-'Foglio deposito bis'!$F$62*(C876-sezione!$AP$30)*IF(ABS(O876)&lt;'Sollecitazioni nel paramento'!$G$58,ABS(O876)*'Sollecitazioni nel paramento'!$G$54,'Sollecitazioni nel paramento'!$G$53)</f>
        <v>102851090.66883834</v>
      </c>
      <c r="J876" s="472">
        <f t="shared" si="59"/>
        <v>52404430.837767959</v>
      </c>
      <c r="K876" s="550">
        <f>'Sollecitazioni nel paramento'!$G$60*(sezione!$AL$30-C876)/C876</f>
        <v>-1.0891060460940574E-3</v>
      </c>
      <c r="L876" s="550">
        <f>'Sollecitazioni nel paramento'!$G$60*(sezione!$AM$30-C876)/C876</f>
        <v>1.1634093085891404E-4</v>
      </c>
      <c r="M876" s="551">
        <f>'Sollecitazioni nel paramento'!$G$60*(sezione!$AN$30-C876)/C876</f>
        <v>1.3217879078118854E-3</v>
      </c>
      <c r="N876" s="551">
        <f>'Sollecitazioni nel paramento'!$G$60*(sezione!$AO$30-C876)/C876</f>
        <v>6.1435758156237709E-3</v>
      </c>
      <c r="O876" s="551">
        <f>'Sollecitazioni nel paramento'!$G$60*(sezione!$AP$30-C876)/C876</f>
        <v>1.9698016937183184E-2</v>
      </c>
      <c r="P876" s="545">
        <f>-'Sollecitazioni nel paramento'!$G$47*'Sollecitazioni nel paramento'!$G$41*IF(DATI!$G$211="dx",DATI!$E$61,DATI!$E$64*DATI!$E$63)*1000*C876*sezione!$AD$5</f>
        <v>-2212283.1206901274</v>
      </c>
      <c r="Q876" s="545">
        <f>'Foglio deposito bis'!$F$58*IF(ABS(K876)&lt;'Sollecitazioni nel paramento'!$G$58,ABS(K876)*'Sollecitazioni nel paramento'!$G$54,'Sollecitazioni nel paramento'!$G$53)*IF(K876&lt;0,-1,1)</f>
        <v>0</v>
      </c>
      <c r="R876" s="545">
        <f>'Foglio deposito bis'!$F$59*IF(ABS(L876)&lt;'Sollecitazioni nel paramento'!$G$58,ABS(L876)*'Sollecitazioni nel paramento'!$G$54,'Sollecitazioni nel paramento'!$G$53)*IF(L876&lt;0,-1,1)</f>
        <v>9411.5172027276822</v>
      </c>
      <c r="S876" s="545">
        <f>'Foglio deposito bis'!$F$60*IF(ABS(M876)&lt;'Sollecitazioni nel paramento'!$G$58,ABS(M876)*'Sollecitazioni nel paramento'!$G$54,'Sollecitazioni nel paramento'!$G$53)*IF(M876&lt;0,-1,1)</f>
        <v>0</v>
      </c>
      <c r="T876" s="545">
        <f>'Foglio deposito bis'!$F$61*IF(ABS(N876)&lt;'Sollecitazioni nel paramento'!$G$58,ABS(N876)*'Sollecitazioni nel paramento'!$G$54,'Sollecitazioni nel paramento'!$G$53)*IF(N876&lt;0,-1,1)</f>
        <v>240946.49743184328</v>
      </c>
      <c r="U876" s="545">
        <f>'Foglio deposito bis'!$F$62*IF(ABS(O876)&lt;'Sollecitazioni nel paramento'!$G$58,ABS(O876)*'Sollecitazioni nel paramento'!$G$54,'Sollecitazioni nel paramento'!$G$53)*IF(O876&lt;0,-1,1)</f>
        <v>314705.62929873407</v>
      </c>
      <c r="V876" s="472">
        <f t="shared" si="61"/>
        <v>-1647219.4767568226</v>
      </c>
      <c r="W876" s="551"/>
      <c r="X876" s="551"/>
    </row>
    <row r="877" spans="1:24" x14ac:dyDescent="0.25">
      <c r="A877" s="545">
        <f t="shared" si="60"/>
        <v>1696707.5983557731</v>
      </c>
      <c r="B877" s="3">
        <f t="shared" si="63"/>
        <v>10.299999999999985</v>
      </c>
      <c r="C877" s="545">
        <f>'Foglio deposito bis'!$E$156/sezione!$B$247*B877</f>
        <v>59.219642156559495</v>
      </c>
      <c r="D877" s="603">
        <f>-'Sollecitazioni nel paramento'!$G$47*'Sollecitazioni nel paramento'!$G$41*IF(DATI!$G$211="dx",DATI!$E$61,DATI!$E$64*DATI!$E$63)*1000*C877^2*sezione!$AD$5*(1-sezione!$AD$6)</f>
        <v>-78025252.463553637</v>
      </c>
      <c r="E877" s="545">
        <f>-'Foglio deposito bis'!$F$58*(C877-sezione!$AL$30)*IF(ABS(K877)&lt;'Sollecitazioni nel paramento'!$G$58,ABS(K877)*'Sollecitazioni nel paramento'!$G$54,'Sollecitazioni nel paramento'!$G$53)</f>
        <v>0</v>
      </c>
      <c r="F877" s="545">
        <f>-'Foglio deposito bis'!$F$59*(C877-sezione!$AM$30)*IF(ABS(L877)&lt;'Sollecitazioni nel paramento'!$G$58,ABS(L877)*'Sollecitazioni nel paramento'!$G$54,'Sollecitazioni nel paramento'!$G$53)</f>
        <v>2911.5011861250196</v>
      </c>
      <c r="G877" s="545">
        <f>-'Foglio deposito bis'!$F$60*(C877-sezione!$AN$30)*IF(ABS(M877)&lt;'Sollecitazioni nel paramento'!$G$58,ABS(M877)*'Sollecitazioni nel paramento'!$G$54,'Sollecitazioni nel paramento'!$G$53)</f>
        <v>0</v>
      </c>
      <c r="H877" s="545">
        <f>-'Foglio deposito bis'!$F$61*(C877-sezione!$AO$30)*IF(ABS(N877)&lt;'Sollecitazioni nel paramento'!$G$58,ABS(N877)*'Sollecitazioni nel paramento'!$G$54,'Sollecitazioni nel paramento'!$G$53)</f>
        <v>24282674.232304782</v>
      </c>
      <c r="I877" s="472">
        <f>-'Foglio deposito bis'!$F$62*(C877-sezione!$AP$30)*IF(ABS(O877)&lt;'Sollecitazioni nel paramento'!$G$58,ABS(O877)*'Sollecitazioni nel paramento'!$G$54,'Sollecitazioni nel paramento'!$G$53)</f>
        <v>102489211.93579513</v>
      </c>
      <c r="J877" s="472">
        <f t="shared" ref="J877:J940" si="64">D877+E877+F877+G877+H877+I877</f>
        <v>48749545.205732405</v>
      </c>
      <c r="K877" s="550">
        <f>'Sollecitazioni nel paramento'!$G$60*(sezione!$AL$30-C877)/C877</f>
        <v>-1.1359195209271825E-3</v>
      </c>
      <c r="L877" s="550">
        <f>'Sollecitazioni nel paramento'!$G$60*(sezione!$AM$30-C877)/C877</f>
        <v>4.6120718609226526E-5</v>
      </c>
      <c r="M877" s="551">
        <f>'Sollecitazioni nel paramento'!$G$60*(sezione!$AN$30-C877)/C877</f>
        <v>1.2281609581456354E-3</v>
      </c>
      <c r="N877" s="551">
        <f>'Sollecitazioni nel paramento'!$G$60*(sezione!$AO$30-C877)/C877</f>
        <v>5.95632191629127E-3</v>
      </c>
      <c r="O877" s="551">
        <f>'Sollecitazioni nel paramento'!$G$60*(sezione!$AP$30-C877)/C877</f>
        <v>1.9247570006364095E-2</v>
      </c>
      <c r="P877" s="545">
        <f>-'Sollecitazioni nel paramento'!$G$47*'Sollecitazioni nel paramento'!$G$41*IF(DATI!$G$211="dx",DATI!$E$61,DATI!$E$64*DATI!$E$63)*1000*C877*sezione!$AD$5</f>
        <v>-2256090.7072384469</v>
      </c>
      <c r="Q877" s="545">
        <f>'Foglio deposito bis'!$F$58*IF(ABS(K877)&lt;'Sollecitazioni nel paramento'!$G$58,ABS(K877)*'Sollecitazioni nel paramento'!$G$54,'Sollecitazioni nel paramento'!$G$53)*IF(K877&lt;0,-1,1)</f>
        <v>0</v>
      </c>
      <c r="R877" s="545">
        <f>'Foglio deposito bis'!$F$59*IF(ABS(L877)&lt;'Sollecitazioni nel paramento'!$G$58,ABS(L877)*'Sollecitazioni nel paramento'!$G$54,'Sollecitazioni nel paramento'!$G$53)*IF(L877&lt;0,-1,1)</f>
        <v>3730.9821520964738</v>
      </c>
      <c r="S877" s="545">
        <f>'Foglio deposito bis'!$F$60*IF(ABS(M877)&lt;'Sollecitazioni nel paramento'!$G$58,ABS(M877)*'Sollecitazioni nel paramento'!$G$54,'Sollecitazioni nel paramento'!$G$53)*IF(M877&lt;0,-1,1)</f>
        <v>0</v>
      </c>
      <c r="T877" s="545">
        <f>'Foglio deposito bis'!$F$61*IF(ABS(N877)&lt;'Sollecitazioni nel paramento'!$G$58,ABS(N877)*'Sollecitazioni nel paramento'!$G$54,'Sollecitazioni nel paramento'!$G$53)*IF(N877&lt;0,-1,1)</f>
        <v>240946.49743184328</v>
      </c>
      <c r="U877" s="545">
        <f>'Foglio deposito bis'!$F$62*IF(ABS(O877)&lt;'Sollecitazioni nel paramento'!$G$58,ABS(O877)*'Sollecitazioni nel paramento'!$G$54,'Sollecitazioni nel paramento'!$G$53)*IF(O877&lt;0,-1,1)</f>
        <v>314705.62929873407</v>
      </c>
      <c r="V877" s="472">
        <f t="shared" si="61"/>
        <v>-1696707.5983557731</v>
      </c>
      <c r="W877" s="551"/>
      <c r="X877" s="551"/>
    </row>
    <row r="878" spans="1:24" x14ac:dyDescent="0.25">
      <c r="A878" s="545">
        <f t="shared" ref="A878:A941" si="65">ABS(V878)</f>
        <v>1745979.3186194615</v>
      </c>
      <c r="B878" s="3">
        <f t="shared" si="63"/>
        <v>10.499999999999984</v>
      </c>
      <c r="C878" s="545">
        <f>'Foglio deposito bis'!$E$156/sezione!$B$247*B878</f>
        <v>60.369538120764531</v>
      </c>
      <c r="D878" s="603">
        <f>-'Sollecitazioni nel paramento'!$G$47*'Sollecitazioni nel paramento'!$G$41*IF(DATI!$G$211="dx",DATI!$E$61,DATI!$E$64*DATI!$E$63)*1000*C878^2*sezione!$AD$5*(1-sezione!$AD$6)</f>
        <v>-81084777.868854627</v>
      </c>
      <c r="E878" s="545">
        <f>-'Foglio deposito bis'!$F$58*(C878-sezione!$AL$30)*IF(ABS(K878)&lt;'Sollecitazioni nel paramento'!$G$58,ABS(K878)*'Sollecitazioni nel paramento'!$G$54,'Sollecitazioni nel paramento'!$G$53)</f>
        <v>0</v>
      </c>
      <c r="F878" s="545">
        <f>-'Foglio deposito bis'!$F$59*(C878-sezione!$AM$30)*IF(ABS(L878)&lt;'Sollecitazioni nel paramento'!$G$58,ABS(L878)*'Sollecitazioni nel paramento'!$G$54,'Sollecitazioni nel paramento'!$G$53)</f>
        <v>-640.46557169186383</v>
      </c>
      <c r="G878" s="545">
        <f>-'Foglio deposito bis'!$F$60*(C878-sezione!$AN$30)*IF(ABS(M878)&lt;'Sollecitazioni nel paramento'!$G$58,ABS(M878)*'Sollecitazioni nel paramento'!$G$54,'Sollecitazioni nel paramento'!$G$53)</f>
        <v>0</v>
      </c>
      <c r="H878" s="545">
        <f>-'Foglio deposito bis'!$F$61*(C878-sezione!$AO$30)*IF(ABS(N878)&lt;'Sollecitazioni nel paramento'!$G$58,ABS(N878)*'Sollecitazioni nel paramento'!$G$54,'Sollecitazioni nel paramento'!$G$53)</f>
        <v>24005610.827318568</v>
      </c>
      <c r="I878" s="472">
        <f>-'Foglio deposito bis'!$F$62*(C878-sezione!$AP$30)*IF(ABS(O878)&lt;'Sollecitazioni nel paramento'!$G$58,ABS(O878)*'Sollecitazioni nel paramento'!$G$54,'Sollecitazioni nel paramento'!$G$53)</f>
        <v>102127333.20275192</v>
      </c>
      <c r="J878" s="472">
        <f t="shared" si="64"/>
        <v>45047525.69564417</v>
      </c>
      <c r="K878" s="550">
        <f>'Sollecitazioni nel paramento'!$G$60*(sezione!$AL$30-C878)/C878</f>
        <v>-1.1809496252904738E-3</v>
      </c>
      <c r="L878" s="550">
        <f>'Sollecitazioni nel paramento'!$G$60*(sezione!$AM$30-C878)/C878</f>
        <v>-2.1424437935711001E-5</v>
      </c>
      <c r="M878" s="551">
        <f>'Sollecitazioni nel paramento'!$G$60*(sezione!$AN$30-C878)/C878</f>
        <v>1.1381007494190522E-3</v>
      </c>
      <c r="N878" s="551">
        <f>'Sollecitazioni nel paramento'!$G$60*(sezione!$AO$30-C878)/C878</f>
        <v>5.7762014988381044E-3</v>
      </c>
      <c r="O878" s="551">
        <f>'Sollecitazioni nel paramento'!$G$60*(sezione!$AP$30-C878)/C878</f>
        <v>1.8814282958623828E-2</v>
      </c>
      <c r="P878" s="545">
        <f>-'Sollecitazioni nel paramento'!$G$47*'Sollecitazioni nel paramento'!$G$41*IF(DATI!$G$211="dx",DATI!$E$61,DATI!$E$64*DATI!$E$63)*1000*C878*sezione!$AD$5</f>
        <v>-2299898.293786766</v>
      </c>
      <c r="Q878" s="545">
        <f>'Foglio deposito bis'!$F$58*IF(ABS(K878)&lt;'Sollecitazioni nel paramento'!$G$58,ABS(K878)*'Sollecitazioni nel paramento'!$G$54,'Sollecitazioni nel paramento'!$G$53)*IF(K878&lt;0,-1,1)</f>
        <v>0</v>
      </c>
      <c r="R878" s="545">
        <f>'Foglio deposito bis'!$F$59*IF(ABS(L878)&lt;'Sollecitazioni nel paramento'!$G$58,ABS(L878)*'Sollecitazioni nel paramento'!$G$54,'Sollecitazioni nel paramento'!$G$53)*IF(L878&lt;0,-1,1)</f>
        <v>-1733.1515632725939</v>
      </c>
      <c r="S878" s="545">
        <f>'Foglio deposito bis'!$F$60*IF(ABS(M878)&lt;'Sollecitazioni nel paramento'!$G$58,ABS(M878)*'Sollecitazioni nel paramento'!$G$54,'Sollecitazioni nel paramento'!$G$53)*IF(M878&lt;0,-1,1)</f>
        <v>0</v>
      </c>
      <c r="T878" s="545">
        <f>'Foglio deposito bis'!$F$61*IF(ABS(N878)&lt;'Sollecitazioni nel paramento'!$G$58,ABS(N878)*'Sollecitazioni nel paramento'!$G$54,'Sollecitazioni nel paramento'!$G$53)*IF(N878&lt;0,-1,1)</f>
        <v>240946.49743184328</v>
      </c>
      <c r="U878" s="545">
        <f>'Foglio deposito bis'!$F$62*IF(ABS(O878)&lt;'Sollecitazioni nel paramento'!$G$58,ABS(O878)*'Sollecitazioni nel paramento'!$G$54,'Sollecitazioni nel paramento'!$G$53)*IF(O878&lt;0,-1,1)</f>
        <v>314705.62929873407</v>
      </c>
      <c r="V878" s="472">
        <f t="shared" ref="V878:V941" si="66">P878+Q878+R878+S878+T878+U878</f>
        <v>-1745979.3186194615</v>
      </c>
      <c r="W878" s="551"/>
      <c r="X878" s="551"/>
    </row>
    <row r="879" spans="1:24" x14ac:dyDescent="0.25">
      <c r="A879" s="545">
        <f t="shared" si="65"/>
        <v>1795046.7722022012</v>
      </c>
      <c r="B879" s="3">
        <f t="shared" si="63"/>
        <v>10.699999999999983</v>
      </c>
      <c r="C879" s="545">
        <f>'Foglio deposito bis'!$E$156/sezione!$B$247*B879</f>
        <v>61.519434084969568</v>
      </c>
      <c r="D879" s="603">
        <f>-'Sollecitazioni nel paramento'!$G$47*'Sollecitazioni nel paramento'!$G$41*IF(DATI!$G$211="dx",DATI!$E$61,DATI!$E$64*DATI!$E$63)*1000*C879^2*sezione!$AD$5*(1-sezione!$AD$6)</f>
        <v>-84203140.301180646</v>
      </c>
      <c r="E879" s="545">
        <f>-'Foglio deposito bis'!$F$58*(C879-sezione!$AL$30)*IF(ABS(K879)&lt;'Sollecitazioni nel paramento'!$G$58,ABS(K879)*'Sollecitazioni nel paramento'!$G$54,'Sollecitazioni nel paramento'!$G$53)</f>
        <v>0</v>
      </c>
      <c r="F879" s="545">
        <f>-'Foglio deposito bis'!$F$59*(C879-sezione!$AM$30)*IF(ABS(L879)&lt;'Sollecitazioni nel paramento'!$G$58,ABS(L879)*'Sollecitazioni nel paramento'!$G$54,'Sollecitazioni nel paramento'!$G$53)</f>
        <v>-10625.430814161267</v>
      </c>
      <c r="G879" s="545">
        <f>-'Foglio deposito bis'!$F$60*(C879-sezione!$AN$30)*IF(ABS(M879)&lt;'Sollecitazioni nel paramento'!$G$58,ABS(M879)*'Sollecitazioni nel paramento'!$G$54,'Sollecitazioni nel paramento'!$G$53)</f>
        <v>0</v>
      </c>
      <c r="H879" s="545">
        <f>-'Foglio deposito bis'!$F$61*(C879-sezione!$AO$30)*IF(ABS(N879)&lt;'Sollecitazioni nel paramento'!$G$58,ABS(N879)*'Sollecitazioni nel paramento'!$G$54,'Sollecitazioni nel paramento'!$G$53)</f>
        <v>23728547.422332354</v>
      </c>
      <c r="I879" s="472">
        <f>-'Foglio deposito bis'!$F$62*(C879-sezione!$AP$30)*IF(ABS(O879)&lt;'Sollecitazioni nel paramento'!$G$58,ABS(O879)*'Sollecitazioni nel paramento'!$G$54,'Sollecitazioni nel paramento'!$G$53)</f>
        <v>101765454.46970868</v>
      </c>
      <c r="J879" s="472">
        <f t="shared" si="64"/>
        <v>41280236.160046227</v>
      </c>
      <c r="K879" s="550">
        <f>'Sollecitazioni nel paramento'!$G$60*(sezione!$AL$30-C879)/C879</f>
        <v>-1.2242963612663529E-3</v>
      </c>
      <c r="L879" s="550">
        <f>'Sollecitazioni nel paramento'!$G$60*(sezione!$AM$30-C879)/C879</f>
        <v>-8.6444541899529374E-5</v>
      </c>
      <c r="M879" s="551">
        <f>'Sollecitazioni nel paramento'!$G$60*(sezione!$AN$30-C879)/C879</f>
        <v>1.0514072774672942E-3</v>
      </c>
      <c r="N879" s="551">
        <f>'Sollecitazioni nel paramento'!$G$60*(sezione!$AO$30-C879)/C879</f>
        <v>5.602814554934589E-3</v>
      </c>
      <c r="O879" s="551">
        <f>'Sollecitazioni nel paramento'!$G$60*(sezione!$AP$30-C879)/C879</f>
        <v>1.8397193557528054E-2</v>
      </c>
      <c r="P879" s="545">
        <f>-'Sollecitazioni nel paramento'!$G$47*'Sollecitazioni nel paramento'!$G$41*IF(DATI!$G$211="dx",DATI!$E$61,DATI!$E$64*DATI!$E$63)*1000*C879*sezione!$AD$5</f>
        <v>-2343705.8803350851</v>
      </c>
      <c r="Q879" s="545">
        <f>'Foglio deposito bis'!$F$58*IF(ABS(K879)&lt;'Sollecitazioni nel paramento'!$G$58,ABS(K879)*'Sollecitazioni nel paramento'!$G$54,'Sollecitazioni nel paramento'!$G$53)*IF(K879&lt;0,-1,1)</f>
        <v>0</v>
      </c>
      <c r="R879" s="545">
        <f>'Foglio deposito bis'!$F$59*IF(ABS(L879)&lt;'Sollecitazioni nel paramento'!$G$58,ABS(L879)*'Sollecitazioni nel paramento'!$G$54,'Sollecitazioni nel paramento'!$G$53)*IF(L879&lt;0,-1,1)</f>
        <v>-6993.0185976932862</v>
      </c>
      <c r="S879" s="545">
        <f>'Foglio deposito bis'!$F$60*IF(ABS(M879)&lt;'Sollecitazioni nel paramento'!$G$58,ABS(M879)*'Sollecitazioni nel paramento'!$G$54,'Sollecitazioni nel paramento'!$G$53)*IF(M879&lt;0,-1,1)</f>
        <v>0</v>
      </c>
      <c r="T879" s="545">
        <f>'Foglio deposito bis'!$F$61*IF(ABS(N879)&lt;'Sollecitazioni nel paramento'!$G$58,ABS(N879)*'Sollecitazioni nel paramento'!$G$54,'Sollecitazioni nel paramento'!$G$53)*IF(N879&lt;0,-1,1)</f>
        <v>240946.49743184328</v>
      </c>
      <c r="U879" s="545">
        <f>'Foglio deposito bis'!$F$62*IF(ABS(O879)&lt;'Sollecitazioni nel paramento'!$G$58,ABS(O879)*'Sollecitazioni nel paramento'!$G$54,'Sollecitazioni nel paramento'!$G$53)*IF(O879&lt;0,-1,1)</f>
        <v>314705.62929873407</v>
      </c>
      <c r="V879" s="472">
        <f t="shared" si="66"/>
        <v>-1795046.7722022012</v>
      </c>
      <c r="W879" s="551"/>
      <c r="X879" s="551"/>
    </row>
    <row r="880" spans="1:24" x14ac:dyDescent="0.25">
      <c r="A880" s="545">
        <f t="shared" si="65"/>
        <v>1843921.2031414765</v>
      </c>
      <c r="B880" s="3">
        <f t="shared" si="63"/>
        <v>10.899999999999983</v>
      </c>
      <c r="C880" s="545">
        <f>'Foglio deposito bis'!$E$156/sezione!$B$247*B880</f>
        <v>62.669330049174604</v>
      </c>
      <c r="D880" s="603">
        <f>-'Sollecitazioni nel paramento'!$G$47*'Sollecitazioni nel paramento'!$G$41*IF(DATI!$G$211="dx",DATI!$E$61,DATI!$E$64*DATI!$E$63)*1000*C880^2*sezione!$AD$5*(1-sezione!$AD$6)</f>
        <v>-87380339.760531694</v>
      </c>
      <c r="E880" s="545">
        <f>-'Foglio deposito bis'!$F$58*(C880-sezione!$AL$30)*IF(ABS(K880)&lt;'Sollecitazioni nel paramento'!$G$58,ABS(K880)*'Sollecitazioni nel paramento'!$G$54,'Sollecitazioni nel paramento'!$G$53)</f>
        <v>0</v>
      </c>
      <c r="F880" s="545">
        <f>-'Foglio deposito bis'!$F$59*(C880-sezione!$AM$30)*IF(ABS(L880)&lt;'Sollecitazioni nel paramento'!$G$58,ABS(L880)*'Sollecitazioni nel paramento'!$G$54,'Sollecitazioni nel paramento'!$G$53)</f>
        <v>-32191.754664529421</v>
      </c>
      <c r="G880" s="545">
        <f>-'Foglio deposito bis'!$F$60*(C880-sezione!$AN$30)*IF(ABS(M880)&lt;'Sollecitazioni nel paramento'!$G$58,ABS(M880)*'Sollecitazioni nel paramento'!$G$54,'Sollecitazioni nel paramento'!$G$53)</f>
        <v>0</v>
      </c>
      <c r="H880" s="545">
        <f>-'Foglio deposito bis'!$F$61*(C880-sezione!$AO$30)*IF(ABS(N880)&lt;'Sollecitazioni nel paramento'!$G$58,ABS(N880)*'Sollecitazioni nel paramento'!$G$54,'Sollecitazioni nel paramento'!$G$53)</f>
        <v>23451484.017346136</v>
      </c>
      <c r="I880" s="472">
        <f>-'Foglio deposito bis'!$F$62*(C880-sezione!$AP$30)*IF(ABS(O880)&lt;'Sollecitazioni nel paramento'!$G$58,ABS(O880)*'Sollecitazioni nel paramento'!$G$54,'Sollecitazioni nel paramento'!$G$53)</f>
        <v>101403575.73666546</v>
      </c>
      <c r="J880" s="472">
        <f t="shared" si="64"/>
        <v>37442528.238815375</v>
      </c>
      <c r="K880" s="550">
        <f>'Sollecitazioni nel paramento'!$G$60*(sezione!$AL$30-C880)/C880</f>
        <v>-1.2660523913348601E-3</v>
      </c>
      <c r="L880" s="550">
        <f>'Sollecitazioni nel paramento'!$G$60*(sezione!$AM$30-C880)/C880</f>
        <v>-1.490785870022902E-4</v>
      </c>
      <c r="M880" s="551">
        <f>'Sollecitazioni nel paramento'!$G$60*(sezione!$AN$30-C880)/C880</f>
        <v>9.6789521733027972E-4</v>
      </c>
      <c r="N880" s="551">
        <f>'Sollecitazioni nel paramento'!$G$60*(sezione!$AO$30-C880)/C880</f>
        <v>5.4357904346605595E-3</v>
      </c>
      <c r="O880" s="551">
        <f>'Sollecitazioni nel paramento'!$G$60*(sezione!$AP$30-C880)/C880</f>
        <v>1.799541018950002E-2</v>
      </c>
      <c r="P880" s="545">
        <f>-'Sollecitazioni nel paramento'!$G$47*'Sollecitazioni nel paramento'!$G$41*IF(DATI!$G$211="dx",DATI!$E$61,DATI!$E$64*DATI!$E$63)*1000*C880*sezione!$AD$5</f>
        <v>-2387513.4668834046</v>
      </c>
      <c r="Q880" s="545">
        <f>'Foglio deposito bis'!$F$58*IF(ABS(K880)&lt;'Sollecitazioni nel paramento'!$G$58,ABS(K880)*'Sollecitazioni nel paramento'!$G$54,'Sollecitazioni nel paramento'!$G$53)*IF(K880&lt;0,-1,1)</f>
        <v>0</v>
      </c>
      <c r="R880" s="545">
        <f>'Foglio deposito bis'!$F$59*IF(ABS(L880)&lt;'Sollecitazioni nel paramento'!$G$58,ABS(L880)*'Sollecitazioni nel paramento'!$G$54,'Sollecitazioni nel paramento'!$G$53)*IF(L880&lt;0,-1,1)</f>
        <v>-12059.862988648998</v>
      </c>
      <c r="S880" s="545">
        <f>'Foglio deposito bis'!$F$60*IF(ABS(M880)&lt;'Sollecitazioni nel paramento'!$G$58,ABS(M880)*'Sollecitazioni nel paramento'!$G$54,'Sollecitazioni nel paramento'!$G$53)*IF(M880&lt;0,-1,1)</f>
        <v>0</v>
      </c>
      <c r="T880" s="545">
        <f>'Foglio deposito bis'!$F$61*IF(ABS(N880)&lt;'Sollecitazioni nel paramento'!$G$58,ABS(N880)*'Sollecitazioni nel paramento'!$G$54,'Sollecitazioni nel paramento'!$G$53)*IF(N880&lt;0,-1,1)</f>
        <v>240946.49743184328</v>
      </c>
      <c r="U880" s="545">
        <f>'Foglio deposito bis'!$F$62*IF(ABS(O880)&lt;'Sollecitazioni nel paramento'!$G$58,ABS(O880)*'Sollecitazioni nel paramento'!$G$54,'Sollecitazioni nel paramento'!$G$53)*IF(O880&lt;0,-1,1)</f>
        <v>314705.62929873407</v>
      </c>
      <c r="V880" s="472">
        <f t="shared" si="66"/>
        <v>-1843921.2031414765</v>
      </c>
      <c r="W880" s="551"/>
      <c r="X880" s="551"/>
    </row>
    <row r="881" spans="1:24" x14ac:dyDescent="0.25">
      <c r="A881" s="545">
        <f t="shared" si="65"/>
        <v>1892613.04509369</v>
      </c>
      <c r="B881" s="3">
        <f t="shared" si="63"/>
        <v>11.099999999999982</v>
      </c>
      <c r="C881" s="545">
        <f>'Foglio deposito bis'!$E$156/sezione!$B$247*B881</f>
        <v>63.819226013379641</v>
      </c>
      <c r="D881" s="603">
        <f>-'Sollecitazioni nel paramento'!$G$47*'Sollecitazioni nel paramento'!$G$41*IF(DATI!$G$211="dx",DATI!$E$61,DATI!$E$64*DATI!$E$63)*1000*C881^2*sezione!$AD$5*(1-sezione!$AD$6)</f>
        <v>-90616376.246907711</v>
      </c>
      <c r="E881" s="545">
        <f>-'Foglio deposito bis'!$F$58*(C881-sezione!$AL$30)*IF(ABS(K881)&lt;'Sollecitazioni nel paramento'!$G$58,ABS(K881)*'Sollecitazioni nel paramento'!$G$54,'Sollecitazioni nel paramento'!$G$53)</f>
        <v>0</v>
      </c>
      <c r="F881" s="545">
        <f>-'Foglio deposito bis'!$F$59*(C881-sezione!$AM$30)*IF(ABS(L881)&lt;'Sollecitazioni nel paramento'!$G$58,ABS(L881)*'Sollecitazioni nel paramento'!$G$54,'Sollecitazioni nel paramento'!$G$53)</f>
        <v>-64713.41773858558</v>
      </c>
      <c r="G881" s="545">
        <f>-'Foglio deposito bis'!$F$60*(C881-sezione!$AN$30)*IF(ABS(M881)&lt;'Sollecitazioni nel paramento'!$G$58,ABS(M881)*'Sollecitazioni nel paramento'!$G$54,'Sollecitazioni nel paramento'!$G$53)</f>
        <v>0</v>
      </c>
      <c r="H881" s="545">
        <f>-'Foglio deposito bis'!$F$61*(C881-sezione!$AO$30)*IF(ABS(N881)&lt;'Sollecitazioni nel paramento'!$G$58,ABS(N881)*'Sollecitazioni nel paramento'!$G$54,'Sollecitazioni nel paramento'!$G$53)</f>
        <v>23174420.612359919</v>
      </c>
      <c r="I881" s="472">
        <f>-'Foglio deposito bis'!$F$62*(C881-sezione!$AP$30)*IF(ABS(O881)&lt;'Sollecitazioni nel paramento'!$G$58,ABS(O881)*'Sollecitazioni nel paramento'!$G$54,'Sollecitazioni nel paramento'!$G$53)</f>
        <v>101041697.00362225</v>
      </c>
      <c r="J881" s="472">
        <f t="shared" si="64"/>
        <v>33535027.951335862</v>
      </c>
      <c r="K881" s="550">
        <f>'Sollecitazioni nel paramento'!$G$60*(sezione!$AL$30-C881)/C881</f>
        <v>-1.3063036995990969E-3</v>
      </c>
      <c r="L881" s="550">
        <f>'Sollecitazioni nel paramento'!$G$60*(sezione!$AM$30-C881)/C881</f>
        <v>-2.0945554939864522E-4</v>
      </c>
      <c r="M881" s="551">
        <f>'Sollecitazioni nel paramento'!$G$60*(sezione!$AN$30-C881)/C881</f>
        <v>8.8739260080180639E-4</v>
      </c>
      <c r="N881" s="551">
        <f>'Sollecitazioni nel paramento'!$G$60*(sezione!$AO$30-C881)/C881</f>
        <v>5.274785201603612E-3</v>
      </c>
      <c r="O881" s="551">
        <f>'Sollecitazioni nel paramento'!$G$60*(sezione!$AP$30-C881)/C881</f>
        <v>1.760810550140092E-2</v>
      </c>
      <c r="P881" s="545">
        <f>-'Sollecitazioni nel paramento'!$G$47*'Sollecitazioni nel paramento'!$G$41*IF(DATI!$G$211="dx",DATI!$E$61,DATI!$E$64*DATI!$E$63)*1000*C881*sezione!$AD$5</f>
        <v>-2431321.0534317237</v>
      </c>
      <c r="Q881" s="545">
        <f>'Foglio deposito bis'!$F$58*IF(ABS(K881)&lt;'Sollecitazioni nel paramento'!$G$58,ABS(K881)*'Sollecitazioni nel paramento'!$G$54,'Sollecitazioni nel paramento'!$G$53)*IF(K881&lt;0,-1,1)</f>
        <v>0</v>
      </c>
      <c r="R881" s="545">
        <f>'Foglio deposito bis'!$F$59*IF(ABS(L881)&lt;'Sollecitazioni nel paramento'!$G$58,ABS(L881)*'Sollecitazioni nel paramento'!$G$54,'Sollecitazioni nel paramento'!$G$53)*IF(L881&lt;0,-1,1)</f>
        <v>-16944.118392543241</v>
      </c>
      <c r="S881" s="545">
        <f>'Foglio deposito bis'!$F$60*IF(ABS(M881)&lt;'Sollecitazioni nel paramento'!$G$58,ABS(M881)*'Sollecitazioni nel paramento'!$G$54,'Sollecitazioni nel paramento'!$G$53)*IF(M881&lt;0,-1,1)</f>
        <v>0</v>
      </c>
      <c r="T881" s="545">
        <f>'Foglio deposito bis'!$F$61*IF(ABS(N881)&lt;'Sollecitazioni nel paramento'!$G$58,ABS(N881)*'Sollecitazioni nel paramento'!$G$54,'Sollecitazioni nel paramento'!$G$53)*IF(N881&lt;0,-1,1)</f>
        <v>240946.49743184328</v>
      </c>
      <c r="U881" s="545">
        <f>'Foglio deposito bis'!$F$62*IF(ABS(O881)&lt;'Sollecitazioni nel paramento'!$G$58,ABS(O881)*'Sollecitazioni nel paramento'!$G$54,'Sollecitazioni nel paramento'!$G$53)*IF(O881&lt;0,-1,1)</f>
        <v>314705.62929873407</v>
      </c>
      <c r="V881" s="472">
        <f t="shared" si="66"/>
        <v>-1892613.04509369</v>
      </c>
      <c r="W881" s="551"/>
      <c r="X881" s="551"/>
    </row>
    <row r="882" spans="1:24" x14ac:dyDescent="0.25">
      <c r="A882" s="545">
        <f t="shared" si="65"/>
        <v>1941131.9930493054</v>
      </c>
      <c r="B882" s="3">
        <f t="shared" si="63"/>
        <v>11.299999999999981</v>
      </c>
      <c r="C882" s="545">
        <f>'Foglio deposito bis'!$E$156/sezione!$B$247*B882</f>
        <v>64.969121977584678</v>
      </c>
      <c r="D882" s="603">
        <f>-'Sollecitazioni nel paramento'!$G$47*'Sollecitazioni nel paramento'!$G$41*IF(DATI!$G$211="dx",DATI!$E$61,DATI!$E$64*DATI!$E$63)*1000*C882^2*sezione!$AD$5*(1-sezione!$AD$6)</f>
        <v>-93911249.760308817</v>
      </c>
      <c r="E882" s="545">
        <f>-'Foglio deposito bis'!$F$58*(C882-sezione!$AL$30)*IF(ABS(K882)&lt;'Sollecitazioni nel paramento'!$G$58,ABS(K882)*'Sollecitazioni nel paramento'!$G$54,'Sollecitazioni nel paramento'!$G$53)</f>
        <v>0</v>
      </c>
      <c r="F882" s="545">
        <f>-'Foglio deposito bis'!$F$59*(C882-sezione!$AM$30)*IF(ABS(L882)&lt;'Sollecitazioni nel paramento'!$G$58,ABS(L882)*'Sollecitazioni nel paramento'!$G$54,'Sollecitazioni nel paramento'!$G$53)</f>
        <v>-107608.7206085233</v>
      </c>
      <c r="G882" s="545">
        <f>-'Foglio deposito bis'!$F$60*(C882-sezione!$AN$30)*IF(ABS(M882)&lt;'Sollecitazioni nel paramento'!$G$58,ABS(M882)*'Sollecitazioni nel paramento'!$G$54,'Sollecitazioni nel paramento'!$G$53)</f>
        <v>0</v>
      </c>
      <c r="H882" s="545">
        <f>-'Foglio deposito bis'!$F$61*(C882-sezione!$AO$30)*IF(ABS(N882)&lt;'Sollecitazioni nel paramento'!$G$58,ABS(N882)*'Sollecitazioni nel paramento'!$G$54,'Sollecitazioni nel paramento'!$G$53)</f>
        <v>22897357.207373705</v>
      </c>
      <c r="I882" s="472">
        <f>-'Foglio deposito bis'!$F$62*(C882-sezione!$AP$30)*IF(ABS(O882)&lt;'Sollecitazioni nel paramento'!$G$58,ABS(O882)*'Sollecitazioni nel paramento'!$G$54,'Sollecitazioni nel paramento'!$G$53)</f>
        <v>100679818.27057903</v>
      </c>
      <c r="J882" s="472">
        <f t="shared" si="64"/>
        <v>29558316.997035399</v>
      </c>
      <c r="K882" s="550">
        <f>'Sollecitazioni nel paramento'!$G$60*(sezione!$AL$30-C882)/C882</f>
        <v>-1.3451301827920332E-3</v>
      </c>
      <c r="L882" s="550">
        <f>'Sollecitazioni nel paramento'!$G$60*(sezione!$AM$30-C882)/C882</f>
        <v>-2.6769527418804963E-4</v>
      </c>
      <c r="M882" s="551">
        <f>'Sollecitazioni nel paramento'!$G$60*(sezione!$AN$30-C882)/C882</f>
        <v>8.0973963441593382E-4</v>
      </c>
      <c r="N882" s="551">
        <f>'Sollecitazioni nel paramento'!$G$60*(sezione!$AO$30-C882)/C882</f>
        <v>5.1194792688318679E-3</v>
      </c>
      <c r="O882" s="551">
        <f>'Sollecitazioni nel paramento'!$G$60*(sezione!$AP$30-C882)/C882</f>
        <v>1.7234510713765507E-2</v>
      </c>
      <c r="P882" s="545">
        <f>-'Sollecitazioni nel paramento'!$G$47*'Sollecitazioni nel paramento'!$G$41*IF(DATI!$G$211="dx",DATI!$E$61,DATI!$E$64*DATI!$E$63)*1000*C882*sezione!$AD$5</f>
        <v>-2475128.6399800428</v>
      </c>
      <c r="Q882" s="545">
        <f>'Foglio deposito bis'!$F$58*IF(ABS(K882)&lt;'Sollecitazioni nel paramento'!$G$58,ABS(K882)*'Sollecitazioni nel paramento'!$G$54,'Sollecitazioni nel paramento'!$G$53)*IF(K882&lt;0,-1,1)</f>
        <v>0</v>
      </c>
      <c r="R882" s="545">
        <f>'Foglio deposito bis'!$F$59*IF(ABS(L882)&lt;'Sollecitazioni nel paramento'!$G$58,ABS(L882)*'Sollecitazioni nel paramento'!$G$54,'Sollecitazioni nel paramento'!$G$53)*IF(L882&lt;0,-1,1)</f>
        <v>-21655.479799839461</v>
      </c>
      <c r="S882" s="545">
        <f>'Foglio deposito bis'!$F$60*IF(ABS(M882)&lt;'Sollecitazioni nel paramento'!$G$58,ABS(M882)*'Sollecitazioni nel paramento'!$G$54,'Sollecitazioni nel paramento'!$G$53)*IF(M882&lt;0,-1,1)</f>
        <v>0</v>
      </c>
      <c r="T882" s="545">
        <f>'Foglio deposito bis'!$F$61*IF(ABS(N882)&lt;'Sollecitazioni nel paramento'!$G$58,ABS(N882)*'Sollecitazioni nel paramento'!$G$54,'Sollecitazioni nel paramento'!$G$53)*IF(N882&lt;0,-1,1)</f>
        <v>240946.49743184328</v>
      </c>
      <c r="U882" s="545">
        <f>'Foglio deposito bis'!$F$62*IF(ABS(O882)&lt;'Sollecitazioni nel paramento'!$G$58,ABS(O882)*'Sollecitazioni nel paramento'!$G$54,'Sollecitazioni nel paramento'!$G$53)*IF(O882&lt;0,-1,1)</f>
        <v>314705.62929873407</v>
      </c>
      <c r="V882" s="472">
        <f t="shared" si="66"/>
        <v>-1941131.9930493054</v>
      </c>
      <c r="W882" s="551"/>
      <c r="X882" s="551"/>
    </row>
    <row r="883" spans="1:24" x14ac:dyDescent="0.25">
      <c r="A883" s="545">
        <f t="shared" si="65"/>
        <v>1989487.0675646672</v>
      </c>
      <c r="B883" s="3">
        <f t="shared" si="63"/>
        <v>11.49999999999998</v>
      </c>
      <c r="C883" s="545">
        <f>'Foglio deposito bis'!$E$156/sezione!$B$247*B883</f>
        <v>66.119017941789721</v>
      </c>
      <c r="D883" s="603">
        <f>-'Sollecitazioni nel paramento'!$G$47*'Sollecitazioni nel paramento'!$G$41*IF(DATI!$G$211="dx",DATI!$E$61,DATI!$E$64*DATI!$E$63)*1000*C883^2*sezione!$AD$5*(1-sezione!$AD$6)</f>
        <v>-97264960.300734907</v>
      </c>
      <c r="E883" s="545">
        <f>-'Foglio deposito bis'!$F$58*(C883-sezione!$AL$30)*IF(ABS(K883)&lt;'Sollecitazioni nel paramento'!$G$58,ABS(K883)*'Sollecitazioni nel paramento'!$G$54,'Sollecitazioni nel paramento'!$G$53)</f>
        <v>0</v>
      </c>
      <c r="F883" s="545">
        <f>-'Foglio deposito bis'!$F$59*(C883-sezione!$AM$30)*IF(ABS(L883)&lt;'Sollecitazioni nel paramento'!$G$58,ABS(L883)*'Sollecitazioni nel paramento'!$G$54,'Sollecitazioni nel paramento'!$G$53)</f>
        <v>-160336.42989368827</v>
      </c>
      <c r="G883" s="545">
        <f>-'Foglio deposito bis'!$F$60*(C883-sezione!$AN$30)*IF(ABS(M883)&lt;'Sollecitazioni nel paramento'!$G$58,ABS(M883)*'Sollecitazioni nel paramento'!$G$54,'Sollecitazioni nel paramento'!$G$53)</f>
        <v>0</v>
      </c>
      <c r="H883" s="545">
        <f>-'Foglio deposito bis'!$F$61*(C883-sezione!$AO$30)*IF(ABS(N883)&lt;'Sollecitazioni nel paramento'!$G$58,ABS(N883)*'Sollecitazioni nel paramento'!$G$54,'Sollecitazioni nel paramento'!$G$53)</f>
        <v>22620293.802387487</v>
      </c>
      <c r="I883" s="472">
        <f>-'Foglio deposito bis'!$F$62*(C883-sezione!$AP$30)*IF(ABS(O883)&lt;'Sollecitazioni nel paramento'!$G$58,ABS(O883)*'Sollecitazioni nel paramento'!$G$54,'Sollecitazioni nel paramento'!$G$53)</f>
        <v>100317939.5375358</v>
      </c>
      <c r="J883" s="472">
        <f t="shared" si="64"/>
        <v>25512936.609294698</v>
      </c>
      <c r="K883" s="550">
        <f>'Sollecitazioni nel paramento'!$G$60*(sezione!$AL$30-C883)/C883</f>
        <v>-1.3826061796130412E-3</v>
      </c>
      <c r="L883" s="550">
        <f>'Sollecitazioni nel paramento'!$G$60*(sezione!$AM$30-C883)/C883</f>
        <v>-3.2390926941956206E-4</v>
      </c>
      <c r="M883" s="551">
        <f>'Sollecitazioni nel paramento'!$G$60*(sezione!$AN$30-C883)/C883</f>
        <v>7.3478764077391731E-4</v>
      </c>
      <c r="N883" s="551">
        <f>'Sollecitazioni nel paramento'!$G$60*(sezione!$AO$30-C883)/C883</f>
        <v>4.9695752815478349E-3</v>
      </c>
      <c r="O883" s="551">
        <f>'Sollecitazioni nel paramento'!$G$60*(sezione!$AP$30-C883)/C883</f>
        <v>1.687391052743915E-2</v>
      </c>
      <c r="P883" s="545">
        <f>-'Sollecitazioni nel paramento'!$G$47*'Sollecitazioni nel paramento'!$G$41*IF(DATI!$G$211="dx",DATI!$E$61,DATI!$E$64*DATI!$E$63)*1000*C883*sezione!$AD$5</f>
        <v>-2518936.2265283624</v>
      </c>
      <c r="Q883" s="545">
        <f>'Foglio deposito bis'!$F$58*IF(ABS(K883)&lt;'Sollecitazioni nel paramento'!$G$58,ABS(K883)*'Sollecitazioni nel paramento'!$G$54,'Sollecitazioni nel paramento'!$G$53)*IF(K883&lt;0,-1,1)</f>
        <v>0</v>
      </c>
      <c r="R883" s="545">
        <f>'Foglio deposito bis'!$F$59*IF(ABS(L883)&lt;'Sollecitazioni nel paramento'!$G$58,ABS(L883)*'Sollecitazioni nel paramento'!$G$54,'Sollecitazioni nel paramento'!$G$53)*IF(L883&lt;0,-1,1)</f>
        <v>-26202.967766881931</v>
      </c>
      <c r="S883" s="545">
        <f>'Foglio deposito bis'!$F$60*IF(ABS(M883)&lt;'Sollecitazioni nel paramento'!$G$58,ABS(M883)*'Sollecitazioni nel paramento'!$G$54,'Sollecitazioni nel paramento'!$G$53)*IF(M883&lt;0,-1,1)</f>
        <v>0</v>
      </c>
      <c r="T883" s="545">
        <f>'Foglio deposito bis'!$F$61*IF(ABS(N883)&lt;'Sollecitazioni nel paramento'!$G$58,ABS(N883)*'Sollecitazioni nel paramento'!$G$54,'Sollecitazioni nel paramento'!$G$53)*IF(N883&lt;0,-1,1)</f>
        <v>240946.49743184328</v>
      </c>
      <c r="U883" s="545">
        <f>'Foglio deposito bis'!$F$62*IF(ABS(O883)&lt;'Sollecitazioni nel paramento'!$G$58,ABS(O883)*'Sollecitazioni nel paramento'!$G$54,'Sollecitazioni nel paramento'!$G$53)*IF(O883&lt;0,-1,1)</f>
        <v>314705.62929873407</v>
      </c>
      <c r="V883" s="472">
        <f t="shared" si="66"/>
        <v>-1989487.0675646672</v>
      </c>
      <c r="W883" s="551"/>
      <c r="X883" s="551"/>
    </row>
    <row r="884" spans="1:24" x14ac:dyDescent="0.25">
      <c r="A884" s="545">
        <f t="shared" si="65"/>
        <v>2037686.6724059419</v>
      </c>
      <c r="B884" s="3">
        <f t="shared" si="63"/>
        <v>11.69999999999998</v>
      </c>
      <c r="C884" s="545">
        <f>'Foglio deposito bis'!$E$156/sezione!$B$247*B884</f>
        <v>67.268913905994751</v>
      </c>
      <c r="D884" s="603">
        <f>-'Sollecitazioni nel paramento'!$G$47*'Sollecitazioni nel paramento'!$G$41*IF(DATI!$G$211="dx",DATI!$E$61,DATI!$E$64*DATI!$E$63)*1000*C884^2*sezione!$AD$5*(1-sezione!$AD$6)</f>
        <v>-100677507.868186</v>
      </c>
      <c r="E884" s="545">
        <f>-'Foglio deposito bis'!$F$58*(C884-sezione!$AL$30)*IF(ABS(K884)&lt;'Sollecitazioni nel paramento'!$G$58,ABS(K884)*'Sollecitazioni nel paramento'!$G$54,'Sollecitazioni nel paramento'!$G$53)</f>
        <v>0</v>
      </c>
      <c r="F884" s="545">
        <f>-'Foglio deposito bis'!$F$59*(C884-sezione!$AM$30)*IF(ABS(L884)&lt;'Sollecitazioni nel paramento'!$G$58,ABS(L884)*'Sollecitazioni nel paramento'!$G$54,'Sollecitazioni nel paramento'!$G$53)</f>
        <v>-222392.31962406775</v>
      </c>
      <c r="G884" s="545">
        <f>-'Foglio deposito bis'!$F$60*(C884-sezione!$AN$30)*IF(ABS(M884)&lt;'Sollecitazioni nel paramento'!$G$58,ABS(M884)*'Sollecitazioni nel paramento'!$G$54,'Sollecitazioni nel paramento'!$G$53)</f>
        <v>0</v>
      </c>
      <c r="H884" s="545">
        <f>-'Foglio deposito bis'!$F$61*(C884-sezione!$AO$30)*IF(ABS(N884)&lt;'Sollecitazioni nel paramento'!$G$58,ABS(N884)*'Sollecitazioni nel paramento'!$G$54,'Sollecitazioni nel paramento'!$G$53)</f>
        <v>22343230.397401273</v>
      </c>
      <c r="I884" s="472">
        <f>-'Foglio deposito bis'!$F$62*(C884-sezione!$AP$30)*IF(ABS(O884)&lt;'Sollecitazioni nel paramento'!$G$58,ABS(O884)*'Sollecitazioni nel paramento'!$G$54,'Sollecitazioni nel paramento'!$G$53)</f>
        <v>99956060.804492578</v>
      </c>
      <c r="J884" s="472">
        <f t="shared" si="64"/>
        <v>21399391.014083788</v>
      </c>
      <c r="K884" s="550">
        <f>'Sollecitazioni nel paramento'!$G$60*(sezione!$AL$30-C884)/C884</f>
        <v>-1.4188009457735021E-3</v>
      </c>
      <c r="L884" s="550">
        <f>'Sollecitazioni nel paramento'!$G$60*(sezione!$AM$30-C884)/C884</f>
        <v>-3.7820141866025289E-4</v>
      </c>
      <c r="M884" s="551">
        <f>'Sollecitazioni nel paramento'!$G$60*(sezione!$AN$30-C884)/C884</f>
        <v>6.6239810845299617E-4</v>
      </c>
      <c r="N884" s="551">
        <f>'Sollecitazioni nel paramento'!$G$60*(sezione!$AO$30-C884)/C884</f>
        <v>4.8247962169059924E-3</v>
      </c>
      <c r="O884" s="551">
        <f>'Sollecitazioni nel paramento'!$G$60*(sezione!$AP$30-C884)/C884</f>
        <v>1.6525638552611133E-2</v>
      </c>
      <c r="P884" s="545">
        <f>-'Sollecitazioni nel paramento'!$G$47*'Sollecitazioni nel paramento'!$G$41*IF(DATI!$G$211="dx",DATI!$E$61,DATI!$E$64*DATI!$E$63)*1000*C884*sezione!$AD$5</f>
        <v>-2562743.8130766815</v>
      </c>
      <c r="Q884" s="545">
        <f>'Foglio deposito bis'!$F$58*IF(ABS(K884)&lt;'Sollecitazioni nel paramento'!$G$58,ABS(K884)*'Sollecitazioni nel paramento'!$G$54,'Sollecitazioni nel paramento'!$G$53)*IF(K884&lt;0,-1,1)</f>
        <v>0</v>
      </c>
      <c r="R884" s="545">
        <f>'Foglio deposito bis'!$F$59*IF(ABS(L884)&lt;'Sollecitazioni nel paramento'!$G$58,ABS(L884)*'Sollecitazioni nel paramento'!$G$54,'Sollecitazioni nel paramento'!$G$53)*IF(L884&lt;0,-1,1)</f>
        <v>-30594.986059837422</v>
      </c>
      <c r="S884" s="545">
        <f>'Foglio deposito bis'!$F$60*IF(ABS(M884)&lt;'Sollecitazioni nel paramento'!$G$58,ABS(M884)*'Sollecitazioni nel paramento'!$G$54,'Sollecitazioni nel paramento'!$G$53)*IF(M884&lt;0,-1,1)</f>
        <v>0</v>
      </c>
      <c r="T884" s="545">
        <f>'Foglio deposito bis'!$F$61*IF(ABS(N884)&lt;'Sollecitazioni nel paramento'!$G$58,ABS(N884)*'Sollecitazioni nel paramento'!$G$54,'Sollecitazioni nel paramento'!$G$53)*IF(N884&lt;0,-1,1)</f>
        <v>240946.49743184328</v>
      </c>
      <c r="U884" s="545">
        <f>'Foglio deposito bis'!$F$62*IF(ABS(O884)&lt;'Sollecitazioni nel paramento'!$G$58,ABS(O884)*'Sollecitazioni nel paramento'!$G$54,'Sollecitazioni nel paramento'!$G$53)*IF(O884&lt;0,-1,1)</f>
        <v>314705.62929873407</v>
      </c>
      <c r="V884" s="472">
        <f t="shared" si="66"/>
        <v>-2037686.6724059419</v>
      </c>
      <c r="W884" s="551"/>
      <c r="X884" s="551"/>
    </row>
    <row r="885" spans="1:24" x14ac:dyDescent="0.25">
      <c r="A885" s="545">
        <f t="shared" si="65"/>
        <v>2085738.6463802266</v>
      </c>
      <c r="B885" s="3">
        <f t="shared" si="63"/>
        <v>11.899999999999979</v>
      </c>
      <c r="C885" s="545">
        <f>'Foglio deposito bis'!$E$156/sezione!$B$247*B885</f>
        <v>68.418809870199794</v>
      </c>
      <c r="D885" s="603">
        <f>-'Sollecitazioni nel paramento'!$G$47*'Sollecitazioni nel paramento'!$G$41*IF(DATI!$G$211="dx",DATI!$E$61,DATI!$E$64*DATI!$E$63)*1000*C885^2*sezione!$AD$5*(1-sezione!$AD$6)</f>
        <v>-104148892.46266215</v>
      </c>
      <c r="E885" s="545">
        <f>-'Foglio deposito bis'!$F$58*(C885-sezione!$AL$30)*IF(ABS(K885)&lt;'Sollecitazioni nel paramento'!$G$58,ABS(K885)*'Sollecitazioni nel paramento'!$G$54,'Sollecitazioni nel paramento'!$G$53)</f>
        <v>0</v>
      </c>
      <c r="F885" s="545">
        <f>-'Foglio deposito bis'!$F$59*(C885-sezione!$AM$30)*IF(ABS(L885)&lt;'Sollecitazioni nel paramento'!$G$58,ABS(L885)*'Sollecitazioni nel paramento'!$G$54,'Sollecitazioni nel paramento'!$G$53)</f>
        <v>-293306.06137385411</v>
      </c>
      <c r="G885" s="545">
        <f>-'Foglio deposito bis'!$F$60*(C885-sezione!$AN$30)*IF(ABS(M885)&lt;'Sollecitazioni nel paramento'!$G$58,ABS(M885)*'Sollecitazioni nel paramento'!$G$54,'Sollecitazioni nel paramento'!$G$53)</f>
        <v>0</v>
      </c>
      <c r="H885" s="545">
        <f>-'Foglio deposito bis'!$F$61*(C885-sezione!$AO$30)*IF(ABS(N885)&lt;'Sollecitazioni nel paramento'!$G$58,ABS(N885)*'Sollecitazioni nel paramento'!$G$54,'Sollecitazioni nel paramento'!$G$53)</f>
        <v>22066166.992415056</v>
      </c>
      <c r="I885" s="472">
        <f>-'Foglio deposito bis'!$F$62*(C885-sezione!$AP$30)*IF(ABS(O885)&lt;'Sollecitazioni nel paramento'!$G$58,ABS(O885)*'Sollecitazioni nel paramento'!$G$54,'Sollecitazioni nel paramento'!$G$53)</f>
        <v>99594182.071449354</v>
      </c>
      <c r="J885" s="472">
        <f t="shared" si="64"/>
        <v>17218150.539828405</v>
      </c>
      <c r="K885" s="550">
        <f>'Sollecitazioni nel paramento'!$G$60*(sezione!$AL$30-C885)/C885</f>
        <v>-1.4537790811386534E-3</v>
      </c>
      <c r="L885" s="550">
        <f>'Sollecitazioni nel paramento'!$G$60*(sezione!$AM$30-C885)/C885</f>
        <v>-4.3066862170797996E-4</v>
      </c>
      <c r="M885" s="551">
        <f>'Sollecitazioni nel paramento'!$G$60*(sezione!$AN$30-C885)/C885</f>
        <v>5.9244183772269338E-4</v>
      </c>
      <c r="N885" s="551">
        <f>'Sollecitazioni nel paramento'!$G$60*(sezione!$AO$30-C885)/C885</f>
        <v>4.6848836754453871E-3</v>
      </c>
      <c r="O885" s="551">
        <f>'Sollecitazioni nel paramento'!$G$60*(sezione!$AP$30-C885)/C885</f>
        <v>1.6189073198785733E-2</v>
      </c>
      <c r="P885" s="545">
        <f>-'Sollecitazioni nel paramento'!$G$47*'Sollecitazioni nel paramento'!$G$41*IF(DATI!$G$211="dx",DATI!$E$61,DATI!$E$64*DATI!$E$63)*1000*C885*sezione!$AD$5</f>
        <v>-2606551.399625001</v>
      </c>
      <c r="Q885" s="545">
        <f>'Foglio deposito bis'!$F$58*IF(ABS(K885)&lt;'Sollecitazioni nel paramento'!$G$58,ABS(K885)*'Sollecitazioni nel paramento'!$G$54,'Sollecitazioni nel paramento'!$G$53)*IF(K885&lt;0,-1,1)</f>
        <v>0</v>
      </c>
      <c r="R885" s="545">
        <f>'Foglio deposito bis'!$F$59*IF(ABS(L885)&lt;'Sollecitazioni nel paramento'!$G$58,ABS(L885)*'Sollecitazioni nel paramento'!$G$54,'Sollecitazioni nel paramento'!$G$53)*IF(L885&lt;0,-1,1)</f>
        <v>-34839.373485802862</v>
      </c>
      <c r="S885" s="545">
        <f>'Foglio deposito bis'!$F$60*IF(ABS(M885)&lt;'Sollecitazioni nel paramento'!$G$58,ABS(M885)*'Sollecitazioni nel paramento'!$G$54,'Sollecitazioni nel paramento'!$G$53)*IF(M885&lt;0,-1,1)</f>
        <v>0</v>
      </c>
      <c r="T885" s="545">
        <f>'Foglio deposito bis'!$F$61*IF(ABS(N885)&lt;'Sollecitazioni nel paramento'!$G$58,ABS(N885)*'Sollecitazioni nel paramento'!$G$54,'Sollecitazioni nel paramento'!$G$53)*IF(N885&lt;0,-1,1)</f>
        <v>240946.49743184328</v>
      </c>
      <c r="U885" s="545">
        <f>'Foglio deposito bis'!$F$62*IF(ABS(O885)&lt;'Sollecitazioni nel paramento'!$G$58,ABS(O885)*'Sollecitazioni nel paramento'!$G$54,'Sollecitazioni nel paramento'!$G$53)*IF(O885&lt;0,-1,1)</f>
        <v>314705.62929873407</v>
      </c>
      <c r="V885" s="472">
        <f t="shared" si="66"/>
        <v>-2085738.6463802266</v>
      </c>
      <c r="W885" s="551"/>
      <c r="X885" s="551"/>
    </row>
    <row r="886" spans="1:24" x14ac:dyDescent="0.25">
      <c r="A886" s="545">
        <f t="shared" si="65"/>
        <v>2133650.3100263802</v>
      </c>
      <c r="B886" s="3">
        <f t="shared" si="63"/>
        <v>12.099999999999978</v>
      </c>
      <c r="C886" s="545">
        <f>'Foglio deposito bis'!$E$156/sezione!$B$247*B886</f>
        <v>69.568705834404824</v>
      </c>
      <c r="D886" s="603">
        <f>-'Sollecitazioni nel paramento'!$G$47*'Sollecitazioni nel paramento'!$G$41*IF(DATI!$G$211="dx",DATI!$E$61,DATI!$E$64*DATI!$E$63)*1000*C886^2*sezione!$AD$5*(1-sezione!$AD$6)</f>
        <v>-107679114.08416326</v>
      </c>
      <c r="E886" s="545">
        <f>-'Foglio deposito bis'!$F$58*(C886-sezione!$AL$30)*IF(ABS(K886)&lt;'Sollecitazioni nel paramento'!$G$58,ABS(K886)*'Sollecitazioni nel paramento'!$G$54,'Sollecitazioni nel paramento'!$G$53)</f>
        <v>0</v>
      </c>
      <c r="F886" s="545">
        <f>-'Foglio deposito bis'!$F$59*(C886-sezione!$AM$30)*IF(ABS(L886)&lt;'Sollecitazioni nel paramento'!$G$58,ABS(L886)*'Sollecitazioni nel paramento'!$G$54,'Sollecitazioni nel paramento'!$G$53)</f>
        <v>-372638.42281150486</v>
      </c>
      <c r="G886" s="545">
        <f>-'Foglio deposito bis'!$F$60*(C886-sezione!$AN$30)*IF(ABS(M886)&lt;'Sollecitazioni nel paramento'!$G$58,ABS(M886)*'Sollecitazioni nel paramento'!$G$54,'Sollecitazioni nel paramento'!$G$53)</f>
        <v>0</v>
      </c>
      <c r="H886" s="545">
        <f>-'Foglio deposito bis'!$F$61*(C886-sezione!$AO$30)*IF(ABS(N886)&lt;'Sollecitazioni nel paramento'!$G$58,ABS(N886)*'Sollecitazioni nel paramento'!$G$54,'Sollecitazioni nel paramento'!$G$53)</f>
        <v>21789103.587428842</v>
      </c>
      <c r="I886" s="472">
        <f>-'Foglio deposito bis'!$F$62*(C886-sezione!$AP$30)*IF(ABS(O886)&lt;'Sollecitazioni nel paramento'!$G$58,ABS(O886)*'Sollecitazioni nel paramento'!$G$54,'Sollecitazioni nel paramento'!$G$53)</f>
        <v>99232303.338406131</v>
      </c>
      <c r="J886" s="472">
        <f t="shared" si="64"/>
        <v>12969654.418860197</v>
      </c>
      <c r="K886" s="550">
        <f>'Sollecitazioni nel paramento'!$G$60*(sezione!$AL$30-C886)/C886</f>
        <v>-1.487600914508262E-3</v>
      </c>
      <c r="L886" s="550">
        <f>'Sollecitazioni nel paramento'!$G$60*(sezione!$AM$30-C886)/C886</f>
        <v>-4.8140137176239312E-4</v>
      </c>
      <c r="M886" s="551">
        <f>'Sollecitazioni nel paramento'!$G$60*(sezione!$AN$30-C886)/C886</f>
        <v>5.247981709834759E-4</v>
      </c>
      <c r="N886" s="551">
        <f>'Sollecitazioni nel paramento'!$G$60*(sezione!$AO$30-C886)/C886</f>
        <v>4.5495963419669517E-3</v>
      </c>
      <c r="O886" s="551">
        <f>'Sollecitazioni nel paramento'!$G$60*(sezione!$AP$30-C886)/C886</f>
        <v>1.5863633972359521E-2</v>
      </c>
      <c r="P886" s="545">
        <f>-'Sollecitazioni nel paramento'!$G$47*'Sollecitazioni nel paramento'!$G$41*IF(DATI!$G$211="dx",DATI!$E$61,DATI!$E$64*DATI!$E$63)*1000*C886*sezione!$AD$5</f>
        <v>-2650358.9861733201</v>
      </c>
      <c r="Q886" s="545">
        <f>'Foglio deposito bis'!$F$58*IF(ABS(K886)&lt;'Sollecitazioni nel paramento'!$G$58,ABS(K886)*'Sollecitazioni nel paramento'!$G$54,'Sollecitazioni nel paramento'!$G$53)*IF(K886&lt;0,-1,1)</f>
        <v>0</v>
      </c>
      <c r="R886" s="545">
        <f>'Foglio deposito bis'!$F$59*IF(ABS(L886)&lt;'Sollecitazioni nel paramento'!$G$58,ABS(L886)*'Sollecitazioni nel paramento'!$G$54,'Sollecitazioni nel paramento'!$G$53)*IF(L886&lt;0,-1,1)</f>
        <v>-38943.450583637161</v>
      </c>
      <c r="S886" s="545">
        <f>'Foglio deposito bis'!$F$60*IF(ABS(M886)&lt;'Sollecitazioni nel paramento'!$G$58,ABS(M886)*'Sollecitazioni nel paramento'!$G$54,'Sollecitazioni nel paramento'!$G$53)*IF(M886&lt;0,-1,1)</f>
        <v>0</v>
      </c>
      <c r="T886" s="545">
        <f>'Foglio deposito bis'!$F$61*IF(ABS(N886)&lt;'Sollecitazioni nel paramento'!$G$58,ABS(N886)*'Sollecitazioni nel paramento'!$G$54,'Sollecitazioni nel paramento'!$G$53)*IF(N886&lt;0,-1,1)</f>
        <v>240946.49743184328</v>
      </c>
      <c r="U886" s="545">
        <f>'Foglio deposito bis'!$F$62*IF(ABS(O886)&lt;'Sollecitazioni nel paramento'!$G$58,ABS(O886)*'Sollecitazioni nel paramento'!$G$54,'Sollecitazioni nel paramento'!$G$53)*IF(O886&lt;0,-1,1)</f>
        <v>314705.62929873407</v>
      </c>
      <c r="V886" s="472">
        <f t="shared" si="66"/>
        <v>-2133650.3100263802</v>
      </c>
      <c r="W886" s="551"/>
      <c r="X886" s="551"/>
    </row>
    <row r="887" spans="1:24" x14ac:dyDescent="0.25">
      <c r="A887" s="545">
        <f t="shared" si="65"/>
        <v>2181428.5077506532</v>
      </c>
      <c r="B887" s="3">
        <f t="shared" si="63"/>
        <v>12.299999999999978</v>
      </c>
      <c r="C887" s="545">
        <f>'Foglio deposito bis'!$E$156/sezione!$B$247*B887</f>
        <v>70.718601798609868</v>
      </c>
      <c r="D887" s="603">
        <f>-'Sollecitazioni nel paramento'!$G$47*'Sollecitazioni nel paramento'!$G$41*IF(DATI!$G$211="dx",DATI!$E$61,DATI!$E$64*DATI!$E$63)*1000*C887^2*sezione!$AD$5*(1-sezione!$AD$6)</f>
        <v>-111268172.73268946</v>
      </c>
      <c r="E887" s="545">
        <f>-'Foglio deposito bis'!$F$58*(C887-sezione!$AL$30)*IF(ABS(K887)&lt;'Sollecitazioni nel paramento'!$G$58,ABS(K887)*'Sollecitazioni nel paramento'!$G$54,'Sollecitazioni nel paramento'!$G$53)</f>
        <v>0</v>
      </c>
      <c r="F887" s="545">
        <f>-'Foglio deposito bis'!$F$59*(C887-sezione!$AM$30)*IF(ABS(L887)&lt;'Sollecitazioni nel paramento'!$G$58,ABS(L887)*'Sollecitazioni nel paramento'!$G$54,'Sollecitazioni nel paramento'!$G$53)</f>
        <v>-459978.73956200411</v>
      </c>
      <c r="G887" s="545">
        <f>-'Foglio deposito bis'!$F$60*(C887-sezione!$AN$30)*IF(ABS(M887)&lt;'Sollecitazioni nel paramento'!$G$58,ABS(M887)*'Sollecitazioni nel paramento'!$G$54,'Sollecitazioni nel paramento'!$G$53)</f>
        <v>0</v>
      </c>
      <c r="H887" s="545">
        <f>-'Foglio deposito bis'!$F$61*(C887-sezione!$AO$30)*IF(ABS(N887)&lt;'Sollecitazioni nel paramento'!$G$58,ABS(N887)*'Sollecitazioni nel paramento'!$G$54,'Sollecitazioni nel paramento'!$G$53)</f>
        <v>21512040.182442624</v>
      </c>
      <c r="I887" s="472">
        <f>-'Foglio deposito bis'!$F$62*(C887-sezione!$AP$30)*IF(ABS(O887)&lt;'Sollecitazioni nel paramento'!$G$58,ABS(O887)*'Sollecitazioni nel paramento'!$G$54,'Sollecitazioni nel paramento'!$G$53)</f>
        <v>98870424.605362907</v>
      </c>
      <c r="J887" s="472">
        <f t="shared" si="64"/>
        <v>8654313.3155540675</v>
      </c>
      <c r="K887" s="550">
        <f>'Sollecitazioni nel paramento'!$G$60*(sezione!$AL$30-C887)/C887</f>
        <v>-1.5203228508577215E-3</v>
      </c>
      <c r="L887" s="550">
        <f>'Sollecitazioni nel paramento'!$G$60*(sezione!$AM$30-C887)/C887</f>
        <v>-5.3048427628658206E-4</v>
      </c>
      <c r="M887" s="551">
        <f>'Sollecitazioni nel paramento'!$G$60*(sezione!$AN$30-C887)/C887</f>
        <v>4.5935429828455724E-4</v>
      </c>
      <c r="N887" s="551">
        <f>'Sollecitazioni nel paramento'!$G$60*(sezione!$AO$30-C887)/C887</f>
        <v>4.4187085965691148E-3</v>
      </c>
      <c r="O887" s="551">
        <f>'Sollecitazioni nel paramento'!$G$60*(sezione!$AP$30-C887)/C887</f>
        <v>1.5548778135410586E-2</v>
      </c>
      <c r="P887" s="545">
        <f>-'Sollecitazioni nel paramento'!$G$47*'Sollecitazioni nel paramento'!$G$41*IF(DATI!$G$211="dx",DATI!$E$61,DATI!$E$64*DATI!$E$63)*1000*C887*sezione!$AD$5</f>
        <v>-2694166.5727216396</v>
      </c>
      <c r="Q887" s="545">
        <f>'Foglio deposito bis'!$F$58*IF(ABS(K887)&lt;'Sollecitazioni nel paramento'!$G$58,ABS(K887)*'Sollecitazioni nel paramento'!$G$54,'Sollecitazioni nel paramento'!$G$53)*IF(K887&lt;0,-1,1)</f>
        <v>0</v>
      </c>
      <c r="R887" s="545">
        <f>'Foglio deposito bis'!$F$59*IF(ABS(L887)&lt;'Sollecitazioni nel paramento'!$G$58,ABS(L887)*'Sollecitazioni nel paramento'!$G$54,'Sollecitazioni nel paramento'!$G$53)*IF(L887&lt;0,-1,1)</f>
        <v>-42914.061759590724</v>
      </c>
      <c r="S887" s="545">
        <f>'Foglio deposito bis'!$F$60*IF(ABS(M887)&lt;'Sollecitazioni nel paramento'!$G$58,ABS(M887)*'Sollecitazioni nel paramento'!$G$54,'Sollecitazioni nel paramento'!$G$53)*IF(M887&lt;0,-1,1)</f>
        <v>0</v>
      </c>
      <c r="T887" s="545">
        <f>'Foglio deposito bis'!$F$61*IF(ABS(N887)&lt;'Sollecitazioni nel paramento'!$G$58,ABS(N887)*'Sollecitazioni nel paramento'!$G$54,'Sollecitazioni nel paramento'!$G$53)*IF(N887&lt;0,-1,1)</f>
        <v>240946.49743184328</v>
      </c>
      <c r="U887" s="545">
        <f>'Foglio deposito bis'!$F$62*IF(ABS(O887)&lt;'Sollecitazioni nel paramento'!$G$58,ABS(O887)*'Sollecitazioni nel paramento'!$G$54,'Sollecitazioni nel paramento'!$G$53)*IF(O887&lt;0,-1,1)</f>
        <v>314705.62929873407</v>
      </c>
      <c r="V887" s="472">
        <f t="shared" si="66"/>
        <v>-2181428.5077506532</v>
      </c>
      <c r="W887" s="551"/>
      <c r="X887" s="551"/>
    </row>
    <row r="888" spans="1:24" x14ac:dyDescent="0.25">
      <c r="A888" s="545">
        <f t="shared" si="65"/>
        <v>2229079.6459172955</v>
      </c>
      <c r="B888" s="3">
        <f t="shared" si="63"/>
        <v>12.499999999999977</v>
      </c>
      <c r="C888" s="545">
        <f>'Foglio deposito bis'!$E$156/sezione!$B$247*B888</f>
        <v>71.868497762814897</v>
      </c>
      <c r="D888" s="603">
        <f>-'Sollecitazioni nel paramento'!$G$47*'Sollecitazioni nel paramento'!$G$41*IF(DATI!$G$211="dx",DATI!$E$61,DATI!$E$64*DATI!$E$63)*1000*C888^2*sezione!$AD$5*(1-sezione!$AD$6)</f>
        <v>-114916068.40824062</v>
      </c>
      <c r="E888" s="545">
        <f>-'Foglio deposito bis'!$F$58*(C888-sezione!$AL$30)*IF(ABS(K888)&lt;'Sollecitazioni nel paramento'!$G$58,ABS(K888)*'Sollecitazioni nel paramento'!$G$54,'Sollecitazioni nel paramento'!$G$53)</f>
        <v>0</v>
      </c>
      <c r="F888" s="545">
        <f>-'Foglio deposito bis'!$F$59*(C888-sezione!$AM$30)*IF(ABS(L888)&lt;'Sollecitazioni nel paramento'!$G$58,ABS(L888)*'Sollecitazioni nel paramento'!$G$54,'Sollecitazioni nel paramento'!$G$53)</f>
        <v>-554942.62977033295</v>
      </c>
      <c r="G888" s="545">
        <f>-'Foglio deposito bis'!$F$60*(C888-sezione!$AN$30)*IF(ABS(M888)&lt;'Sollecitazioni nel paramento'!$G$58,ABS(M888)*'Sollecitazioni nel paramento'!$G$54,'Sollecitazioni nel paramento'!$G$53)</f>
        <v>0</v>
      </c>
      <c r="H888" s="545">
        <f>-'Foglio deposito bis'!$F$61*(C888-sezione!$AO$30)*IF(ABS(N888)&lt;'Sollecitazioni nel paramento'!$G$58,ABS(N888)*'Sollecitazioni nel paramento'!$G$54,'Sollecitazioni nel paramento'!$G$53)</f>
        <v>21234976.77745641</v>
      </c>
      <c r="I888" s="472">
        <f>-'Foglio deposito bis'!$F$62*(C888-sezione!$AP$30)*IF(ABS(O888)&lt;'Sollecitazioni nel paramento'!$G$58,ABS(O888)*'Sollecitazioni nel paramento'!$G$54,'Sollecitazioni nel paramento'!$G$53)</f>
        <v>98508545.872319683</v>
      </c>
      <c r="J888" s="472">
        <f t="shared" si="64"/>
        <v>4272511.6117651314</v>
      </c>
      <c r="K888" s="550">
        <f>'Sollecitazioni nel paramento'!$G$60*(sezione!$AL$30-C888)/C888</f>
        <v>-1.5519976852439977E-3</v>
      </c>
      <c r="L888" s="550">
        <f>'Sollecitazioni nel paramento'!$G$60*(sezione!$AM$30-C888)/C888</f>
        <v>-5.7799652786599647E-4</v>
      </c>
      <c r="M888" s="551">
        <f>'Sollecitazioni nel paramento'!$G$60*(sezione!$AN$30-C888)/C888</f>
        <v>3.9600462951200479E-4</v>
      </c>
      <c r="N888" s="551">
        <f>'Sollecitazioni nel paramento'!$G$60*(sezione!$AO$30-C888)/C888</f>
        <v>4.29200925902401E-3</v>
      </c>
      <c r="O888" s="551">
        <f>'Sollecitazioni nel paramento'!$G$60*(sezione!$AP$30-C888)/C888</f>
        <v>1.524399768524402E-2</v>
      </c>
      <c r="P888" s="545">
        <f>-'Sollecitazioni nel paramento'!$G$47*'Sollecitazioni nel paramento'!$G$41*IF(DATI!$G$211="dx",DATI!$E$61,DATI!$E$64*DATI!$E$63)*1000*C888*sezione!$AD$5</f>
        <v>-2737974.1592699587</v>
      </c>
      <c r="Q888" s="545">
        <f>'Foglio deposito bis'!$F$58*IF(ABS(K888)&lt;'Sollecitazioni nel paramento'!$G$58,ABS(K888)*'Sollecitazioni nel paramento'!$G$54,'Sollecitazioni nel paramento'!$G$53)*IF(K888&lt;0,-1,1)</f>
        <v>0</v>
      </c>
      <c r="R888" s="545">
        <f>'Foglio deposito bis'!$F$59*IF(ABS(L888)&lt;'Sollecitazioni nel paramento'!$G$58,ABS(L888)*'Sollecitazioni nel paramento'!$G$54,'Sollecitazioni nel paramento'!$G$53)*IF(L888&lt;0,-1,1)</f>
        <v>-46757.613377913731</v>
      </c>
      <c r="S888" s="545">
        <f>'Foglio deposito bis'!$F$60*IF(ABS(M888)&lt;'Sollecitazioni nel paramento'!$G$58,ABS(M888)*'Sollecitazioni nel paramento'!$G$54,'Sollecitazioni nel paramento'!$G$53)*IF(M888&lt;0,-1,1)</f>
        <v>0</v>
      </c>
      <c r="T888" s="545">
        <f>'Foglio deposito bis'!$F$61*IF(ABS(N888)&lt;'Sollecitazioni nel paramento'!$G$58,ABS(N888)*'Sollecitazioni nel paramento'!$G$54,'Sollecitazioni nel paramento'!$G$53)*IF(N888&lt;0,-1,1)</f>
        <v>240946.49743184328</v>
      </c>
      <c r="U888" s="545">
        <f>'Foglio deposito bis'!$F$62*IF(ABS(O888)&lt;'Sollecitazioni nel paramento'!$G$58,ABS(O888)*'Sollecitazioni nel paramento'!$G$54,'Sollecitazioni nel paramento'!$G$53)*IF(O888&lt;0,-1,1)</f>
        <v>314705.62929873407</v>
      </c>
      <c r="V888" s="472">
        <f t="shared" si="66"/>
        <v>-2229079.6459172955</v>
      </c>
      <c r="W888" s="551"/>
      <c r="X888" s="551"/>
    </row>
    <row r="889" spans="1:24" x14ac:dyDescent="0.25">
      <c r="A889" s="545">
        <f t="shared" si="65"/>
        <v>2276609.7273400538</v>
      </c>
      <c r="B889" s="3">
        <f t="shared" si="63"/>
        <v>12.699999999999976</v>
      </c>
      <c r="C889" s="545">
        <f>'Foglio deposito bis'!$E$156/sezione!$B$247*B889</f>
        <v>73.018393727019941</v>
      </c>
      <c r="D889" s="603">
        <f>-'Sollecitazioni nel paramento'!$G$47*'Sollecitazioni nel paramento'!$G$41*IF(DATI!$G$211="dx",DATI!$E$61,DATI!$E$64*DATI!$E$63)*1000*C889^2*sezione!$AD$5*(1-sezione!$AD$6)</f>
        <v>-118622801.11081685</v>
      </c>
      <c r="E889" s="545">
        <f>-'Foglio deposito bis'!$F$58*(C889-sezione!$AL$30)*IF(ABS(K889)&lt;'Sollecitazioni nel paramento'!$G$58,ABS(K889)*'Sollecitazioni nel paramento'!$G$54,'Sollecitazioni nel paramento'!$G$53)</f>
        <v>0</v>
      </c>
      <c r="F889" s="545">
        <f>-'Foglio deposito bis'!$F$59*(C889-sezione!$AM$30)*IF(ABS(L889)&lt;'Sollecitazioni nel paramento'!$G$58,ABS(L889)*'Sollecitazioni nel paramento'!$G$54,'Sollecitazioni nel paramento'!$G$53)</f>
        <v>-657169.92461171432</v>
      </c>
      <c r="G889" s="545">
        <f>-'Foglio deposito bis'!$F$60*(C889-sezione!$AN$30)*IF(ABS(M889)&lt;'Sollecitazioni nel paramento'!$G$58,ABS(M889)*'Sollecitazioni nel paramento'!$G$54,'Sollecitazioni nel paramento'!$G$53)</f>
        <v>0</v>
      </c>
      <c r="H889" s="545">
        <f>-'Foglio deposito bis'!$F$61*(C889-sezione!$AO$30)*IF(ABS(N889)&lt;'Sollecitazioni nel paramento'!$G$58,ABS(N889)*'Sollecitazioni nel paramento'!$G$54,'Sollecitazioni nel paramento'!$G$53)</f>
        <v>20957913.372470193</v>
      </c>
      <c r="I889" s="472">
        <f>-'Foglio deposito bis'!$F$62*(C889-sezione!$AP$30)*IF(ABS(O889)&lt;'Sollecitazioni nel paramento'!$G$58,ABS(O889)*'Sollecitazioni nel paramento'!$G$54,'Sollecitazioni nel paramento'!$G$53)</f>
        <v>98146667.139276475</v>
      </c>
      <c r="J889" s="472">
        <f t="shared" si="64"/>
        <v>-175390.52368190885</v>
      </c>
      <c r="K889" s="550">
        <f>'Sollecitazioni nel paramento'!$G$60*(sezione!$AL$30-C889)/C889</f>
        <v>-1.5826748870511791E-3</v>
      </c>
      <c r="L889" s="550">
        <f>'Sollecitazioni nel paramento'!$G$60*(sezione!$AM$30-C889)/C889</f>
        <v>-6.2401233057676829E-4</v>
      </c>
      <c r="M889" s="551">
        <f>'Sollecitazioni nel paramento'!$G$60*(sezione!$AN$30-C889)/C889</f>
        <v>3.3465022589764226E-4</v>
      </c>
      <c r="N889" s="551">
        <f>'Sollecitazioni nel paramento'!$G$60*(sezione!$AO$30-C889)/C889</f>
        <v>4.1693004517952851E-3</v>
      </c>
      <c r="O889" s="551">
        <f>'Sollecitazioni nel paramento'!$G$60*(sezione!$AP$30-C889)/C889</f>
        <v>1.4948816619334665E-2</v>
      </c>
      <c r="P889" s="545">
        <f>-'Sollecitazioni nel paramento'!$G$47*'Sollecitazioni nel paramento'!$G$41*IF(DATI!$G$211="dx",DATI!$E$61,DATI!$E$64*DATI!$E$63)*1000*C889*sezione!$AD$5</f>
        <v>-2781781.7458182783</v>
      </c>
      <c r="Q889" s="545">
        <f>'Foglio deposito bis'!$F$58*IF(ABS(K889)&lt;'Sollecitazioni nel paramento'!$G$58,ABS(K889)*'Sollecitazioni nel paramento'!$G$54,'Sollecitazioni nel paramento'!$G$53)*IF(K889&lt;0,-1,1)</f>
        <v>0</v>
      </c>
      <c r="R889" s="545">
        <f>'Foglio deposito bis'!$F$59*IF(ABS(L889)&lt;'Sollecitazioni nel paramento'!$G$58,ABS(L889)*'Sollecitazioni nel paramento'!$G$54,'Sollecitazioni nel paramento'!$G$53)*IF(L889&lt;0,-1,1)</f>
        <v>-50480.108252352577</v>
      </c>
      <c r="S889" s="545">
        <f>'Foglio deposito bis'!$F$60*IF(ABS(M889)&lt;'Sollecitazioni nel paramento'!$G$58,ABS(M889)*'Sollecitazioni nel paramento'!$G$54,'Sollecitazioni nel paramento'!$G$53)*IF(M889&lt;0,-1,1)</f>
        <v>0</v>
      </c>
      <c r="T889" s="545">
        <f>'Foglio deposito bis'!$F$61*IF(ABS(N889)&lt;'Sollecitazioni nel paramento'!$G$58,ABS(N889)*'Sollecitazioni nel paramento'!$G$54,'Sollecitazioni nel paramento'!$G$53)*IF(N889&lt;0,-1,1)</f>
        <v>240946.49743184328</v>
      </c>
      <c r="U889" s="545">
        <f>'Foglio deposito bis'!$F$62*IF(ABS(O889)&lt;'Sollecitazioni nel paramento'!$G$58,ABS(O889)*'Sollecitazioni nel paramento'!$G$54,'Sollecitazioni nel paramento'!$G$53)*IF(O889&lt;0,-1,1)</f>
        <v>314705.62929873407</v>
      </c>
      <c r="V889" s="472">
        <f t="shared" si="66"/>
        <v>-2276609.7273400538</v>
      </c>
      <c r="W889" s="551"/>
      <c r="X889" s="551"/>
    </row>
    <row r="890" spans="1:24" x14ac:dyDescent="0.25">
      <c r="A890" s="545">
        <f t="shared" si="65"/>
        <v>2324024.3825651547</v>
      </c>
      <c r="B890" s="3">
        <f t="shared" si="63"/>
        <v>12.899999999999975</v>
      </c>
      <c r="C890" s="545">
        <f>'Foglio deposito bis'!$E$156/sezione!$B$247*B890</f>
        <v>74.16828969122497</v>
      </c>
      <c r="D890" s="603">
        <f>-'Sollecitazioni nel paramento'!$G$47*'Sollecitazioni nel paramento'!$G$41*IF(DATI!$G$211="dx",DATI!$E$61,DATI!$E$64*DATI!$E$63)*1000*C890^2*sezione!$AD$5*(1-sezione!$AD$6)</f>
        <v>-122388370.84041806</v>
      </c>
      <c r="E890" s="545">
        <f>-'Foglio deposito bis'!$F$58*(C890-sezione!$AL$30)*IF(ABS(K890)&lt;'Sollecitazioni nel paramento'!$G$58,ABS(K890)*'Sollecitazioni nel paramento'!$G$54,'Sollecitazioni nel paramento'!$G$53)</f>
        <v>0</v>
      </c>
      <c r="F890" s="545">
        <f>-'Foglio deposito bis'!$F$59*(C890-sezione!$AM$30)*IF(ABS(L890)&lt;'Sollecitazioni nel paramento'!$G$58,ABS(L890)*'Sollecitazioni nel paramento'!$G$54,'Sollecitazioni nel paramento'!$G$53)</f>
        <v>-766322.79131251562</v>
      </c>
      <c r="G890" s="545">
        <f>-'Foglio deposito bis'!$F$60*(C890-sezione!$AN$30)*IF(ABS(M890)&lt;'Sollecitazioni nel paramento'!$G$58,ABS(M890)*'Sollecitazioni nel paramento'!$G$54,'Sollecitazioni nel paramento'!$G$53)</f>
        <v>0</v>
      </c>
      <c r="H890" s="545">
        <f>-'Foglio deposito bis'!$F$61*(C890-sezione!$AO$30)*IF(ABS(N890)&lt;'Sollecitazioni nel paramento'!$G$58,ABS(N890)*'Sollecitazioni nel paramento'!$G$54,'Sollecitazioni nel paramento'!$G$53)</f>
        <v>20680849.967483979</v>
      </c>
      <c r="I890" s="472">
        <f>-'Foglio deposito bis'!$F$62*(C890-sezione!$AP$30)*IF(ABS(O890)&lt;'Sollecitazioni nel paramento'!$G$58,ABS(O890)*'Sollecitazioni nel paramento'!$G$54,'Sollecitazioni nel paramento'!$G$53)</f>
        <v>97784788.406233251</v>
      </c>
      <c r="J890" s="472">
        <f t="shared" si="64"/>
        <v>-4689055.2580133379</v>
      </c>
      <c r="K890" s="550">
        <f>'Sollecitazioni nel paramento'!$G$60*(sezione!$AL$30-C890)/C890</f>
        <v>-1.6124008577945714E-3</v>
      </c>
      <c r="L890" s="550">
        <f>'Sollecitazioni nel paramento'!$G$60*(sezione!$AM$30-C890)/C890</f>
        <v>-6.6860128669185689E-4</v>
      </c>
      <c r="M890" s="551">
        <f>'Sollecitazioni nel paramento'!$G$60*(sezione!$AN$30-C890)/C890</f>
        <v>2.7519828441085759E-4</v>
      </c>
      <c r="N890" s="551">
        <f>'Sollecitazioni nel paramento'!$G$60*(sezione!$AO$30-C890)/C890</f>
        <v>4.0503965688217149E-3</v>
      </c>
      <c r="O890" s="551">
        <f>'Sollecitazioni nel paramento'!$G$60*(sezione!$AP$30-C890)/C890</f>
        <v>1.466278845469382E-2</v>
      </c>
      <c r="P890" s="545">
        <f>-'Sollecitazioni nel paramento'!$G$47*'Sollecitazioni nel paramento'!$G$41*IF(DATI!$G$211="dx",DATI!$E$61,DATI!$E$64*DATI!$E$63)*1000*C890*sezione!$AD$5</f>
        <v>-2825589.3323665974</v>
      </c>
      <c r="Q890" s="545">
        <f>'Foglio deposito bis'!$F$58*IF(ABS(K890)&lt;'Sollecitazioni nel paramento'!$G$58,ABS(K890)*'Sollecitazioni nel paramento'!$G$54,'Sollecitazioni nel paramento'!$G$53)*IF(K890&lt;0,-1,1)</f>
        <v>0</v>
      </c>
      <c r="R890" s="545">
        <f>'Foglio deposito bis'!$F$59*IF(ABS(L890)&lt;'Sollecitazioni nel paramento'!$G$58,ABS(L890)*'Sollecitazioni nel paramento'!$G$54,'Sollecitazioni nel paramento'!$G$53)*IF(L890&lt;0,-1,1)</f>
        <v>-54087.176929134381</v>
      </c>
      <c r="S890" s="545">
        <f>'Foglio deposito bis'!$F$60*IF(ABS(M890)&lt;'Sollecitazioni nel paramento'!$G$58,ABS(M890)*'Sollecitazioni nel paramento'!$G$54,'Sollecitazioni nel paramento'!$G$53)*IF(M890&lt;0,-1,1)</f>
        <v>0</v>
      </c>
      <c r="T890" s="545">
        <f>'Foglio deposito bis'!$F$61*IF(ABS(N890)&lt;'Sollecitazioni nel paramento'!$G$58,ABS(N890)*'Sollecitazioni nel paramento'!$G$54,'Sollecitazioni nel paramento'!$G$53)*IF(N890&lt;0,-1,1)</f>
        <v>240946.49743184328</v>
      </c>
      <c r="U890" s="545">
        <f>'Foglio deposito bis'!$F$62*IF(ABS(O890)&lt;'Sollecitazioni nel paramento'!$G$58,ABS(O890)*'Sollecitazioni nel paramento'!$G$54,'Sollecitazioni nel paramento'!$G$53)*IF(O890&lt;0,-1,1)</f>
        <v>314705.62929873407</v>
      </c>
      <c r="V890" s="472">
        <f t="shared" si="66"/>
        <v>-2324024.3825651547</v>
      </c>
      <c r="W890" s="551"/>
      <c r="X890" s="551"/>
    </row>
    <row r="891" spans="1:24" x14ac:dyDescent="0.25">
      <c r="A891" s="545">
        <f t="shared" si="65"/>
        <v>2371328.8982886751</v>
      </c>
      <c r="B891" s="3">
        <f t="shared" si="63"/>
        <v>13.099999999999975</v>
      </c>
      <c r="C891" s="545">
        <f>'Foglio deposito bis'!$E$156/sezione!$B$247*B891</f>
        <v>75.318185655430014</v>
      </c>
      <c r="D891" s="603">
        <f>-'Sollecitazioni nel paramento'!$G$47*'Sollecitazioni nel paramento'!$G$41*IF(DATI!$G$211="dx",DATI!$E$61,DATI!$E$64*DATI!$E$63)*1000*C891^2*sezione!$AD$5*(1-sezione!$AD$6)</f>
        <v>-126212777.59704432</v>
      </c>
      <c r="E891" s="545">
        <f>-'Foglio deposito bis'!$F$58*(C891-sezione!$AL$30)*IF(ABS(K891)&lt;'Sollecitazioni nel paramento'!$G$58,ABS(K891)*'Sollecitazioni nel paramento'!$G$54,'Sollecitazioni nel paramento'!$G$53)</f>
        <v>0</v>
      </c>
      <c r="F891" s="545">
        <f>-'Foglio deposito bis'!$F$59*(C891-sezione!$AM$30)*IF(ABS(L891)&lt;'Sollecitazioni nel paramento'!$G$58,ABS(L891)*'Sollecitazioni nel paramento'!$G$54,'Sollecitazioni nel paramento'!$G$53)</f>
        <v>-882084.02810818574</v>
      </c>
      <c r="G891" s="545">
        <f>-'Foglio deposito bis'!$F$60*(C891-sezione!$AN$30)*IF(ABS(M891)&lt;'Sollecitazioni nel paramento'!$G$58,ABS(M891)*'Sollecitazioni nel paramento'!$G$54,'Sollecitazioni nel paramento'!$G$53)</f>
        <v>0</v>
      </c>
      <c r="H891" s="545">
        <f>-'Foglio deposito bis'!$F$61*(C891-sezione!$AO$30)*IF(ABS(N891)&lt;'Sollecitazioni nel paramento'!$G$58,ABS(N891)*'Sollecitazioni nel paramento'!$G$54,'Sollecitazioni nel paramento'!$G$53)</f>
        <v>20403786.562497761</v>
      </c>
      <c r="I891" s="472">
        <f>-'Foglio deposito bis'!$F$62*(C891-sezione!$AP$30)*IF(ABS(O891)&lt;'Sollecitazioni nel paramento'!$G$58,ABS(O891)*'Sollecitazioni nel paramento'!$G$54,'Sollecitazioni nel paramento'!$G$53)</f>
        <v>97422909.673190042</v>
      </c>
      <c r="J891" s="472">
        <f t="shared" si="64"/>
        <v>-9268165.3894646913</v>
      </c>
      <c r="K891" s="550">
        <f>'Sollecitazioni nel paramento'!$G$60*(sezione!$AL$30-C891)/C891</f>
        <v>-1.641219165309158E-3</v>
      </c>
      <c r="L891" s="550">
        <f>'Sollecitazioni nel paramento'!$G$60*(sezione!$AM$30-C891)/C891</f>
        <v>-7.1182874796373702E-4</v>
      </c>
      <c r="M891" s="551">
        <f>'Sollecitazioni nel paramento'!$G$60*(sezione!$AN$30-C891)/C891</f>
        <v>2.1756166938168388E-4</v>
      </c>
      <c r="N891" s="551">
        <f>'Sollecitazioni nel paramento'!$G$60*(sezione!$AO$30-C891)/C891</f>
        <v>3.9351233387633676E-3</v>
      </c>
      <c r="O891" s="551">
        <f>'Sollecitazioni nel paramento'!$G$60*(sezione!$AP$30-C891)/C891</f>
        <v>1.4385493974469487E-2</v>
      </c>
      <c r="P891" s="545">
        <f>-'Sollecitazioni nel paramento'!$G$47*'Sollecitazioni nel paramento'!$G$41*IF(DATI!$G$211="dx",DATI!$E$61,DATI!$E$64*DATI!$E$63)*1000*C891*sezione!$AD$5</f>
        <v>-2869396.9189149169</v>
      </c>
      <c r="Q891" s="545">
        <f>'Foglio deposito bis'!$F$58*IF(ABS(K891)&lt;'Sollecitazioni nel paramento'!$G$58,ABS(K891)*'Sollecitazioni nel paramento'!$G$54,'Sollecitazioni nel paramento'!$G$53)*IF(K891&lt;0,-1,1)</f>
        <v>0</v>
      </c>
      <c r="R891" s="545">
        <f>'Foglio deposito bis'!$F$59*IF(ABS(L891)&lt;'Sollecitazioni nel paramento'!$G$58,ABS(L891)*'Sollecitazioni nel paramento'!$G$54,'Sollecitazioni nel paramento'!$G$53)*IF(L891&lt;0,-1,1)</f>
        <v>-57584.106104335086</v>
      </c>
      <c r="S891" s="545">
        <f>'Foglio deposito bis'!$F$60*IF(ABS(M891)&lt;'Sollecitazioni nel paramento'!$G$58,ABS(M891)*'Sollecitazioni nel paramento'!$G$54,'Sollecitazioni nel paramento'!$G$53)*IF(M891&lt;0,-1,1)</f>
        <v>0</v>
      </c>
      <c r="T891" s="545">
        <f>'Foglio deposito bis'!$F$61*IF(ABS(N891)&lt;'Sollecitazioni nel paramento'!$G$58,ABS(N891)*'Sollecitazioni nel paramento'!$G$54,'Sollecitazioni nel paramento'!$G$53)*IF(N891&lt;0,-1,1)</f>
        <v>240946.49743184328</v>
      </c>
      <c r="U891" s="545">
        <f>'Foglio deposito bis'!$F$62*IF(ABS(O891)&lt;'Sollecitazioni nel paramento'!$G$58,ABS(O891)*'Sollecitazioni nel paramento'!$G$54,'Sollecitazioni nel paramento'!$G$53)*IF(O891&lt;0,-1,1)</f>
        <v>314705.62929873407</v>
      </c>
      <c r="V891" s="472">
        <f t="shared" si="66"/>
        <v>-2371328.8982886751</v>
      </c>
      <c r="W891" s="551"/>
      <c r="X891" s="551"/>
    </row>
    <row r="892" spans="1:24" x14ac:dyDescent="0.25">
      <c r="A892" s="545">
        <f t="shared" si="65"/>
        <v>2418528.2432099325</v>
      </c>
      <c r="B892" s="3">
        <f t="shared" si="63"/>
        <v>13.299999999999974</v>
      </c>
      <c r="C892" s="545">
        <f>'Foglio deposito bis'!$E$156/sezione!$B$247*B892</f>
        <v>76.468081619635043</v>
      </c>
      <c r="D892" s="603">
        <f>-'Sollecitazioni nel paramento'!$G$47*'Sollecitazioni nel paramento'!$G$41*IF(DATI!$G$211="dx",DATI!$E$61,DATI!$E$64*DATI!$E$63)*1000*C892^2*sezione!$AD$5*(1-sezione!$AD$6)</f>
        <v>-130096021.38069555</v>
      </c>
      <c r="E892" s="545">
        <f>-'Foglio deposito bis'!$F$58*(C892-sezione!$AL$30)*IF(ABS(K892)&lt;'Sollecitazioni nel paramento'!$G$58,ABS(K892)*'Sollecitazioni nel paramento'!$G$54,'Sollecitazioni nel paramento'!$G$53)</f>
        <v>0</v>
      </c>
      <c r="F892" s="545">
        <f>-'Foglio deposito bis'!$F$59*(C892-sezione!$AM$30)*IF(ABS(L892)&lt;'Sollecitazioni nel paramento'!$G$58,ABS(L892)*'Sollecitazioni nel paramento'!$G$54,'Sollecitazioni nel paramento'!$G$53)</f>
        <v>-1004155.5130395546</v>
      </c>
      <c r="G892" s="545">
        <f>-'Foglio deposito bis'!$F$60*(C892-sezione!$AN$30)*IF(ABS(M892)&lt;'Sollecitazioni nel paramento'!$G$58,ABS(M892)*'Sollecitazioni nel paramento'!$G$54,'Sollecitazioni nel paramento'!$G$53)</f>
        <v>0</v>
      </c>
      <c r="H892" s="545">
        <f>-'Foglio deposito bis'!$F$61*(C892-sezione!$AO$30)*IF(ABS(N892)&lt;'Sollecitazioni nel paramento'!$G$58,ABS(N892)*'Sollecitazioni nel paramento'!$G$54,'Sollecitazioni nel paramento'!$G$53)</f>
        <v>20126723.157511547</v>
      </c>
      <c r="I892" s="472">
        <f>-'Foglio deposito bis'!$F$62*(C892-sezione!$AP$30)*IF(ABS(O892)&lt;'Sollecitazioni nel paramento'!$G$58,ABS(O892)*'Sollecitazioni nel paramento'!$G$54,'Sollecitazioni nel paramento'!$G$53)</f>
        <v>97061030.940146819</v>
      </c>
      <c r="J892" s="472">
        <f t="shared" si="64"/>
        <v>-13912422.796076745</v>
      </c>
      <c r="K892" s="550">
        <f>'Sollecitazioni nel paramento'!$G$60*(sezione!$AL$30-C892)/C892</f>
        <v>-1.6691707568082682E-3</v>
      </c>
      <c r="L892" s="550">
        <f>'Sollecitazioni nel paramento'!$G$60*(sezione!$AM$30-C892)/C892</f>
        <v>-7.5375613521240232E-4</v>
      </c>
      <c r="M892" s="551">
        <f>'Sollecitazioni nel paramento'!$G$60*(sezione!$AN$30-C892)/C892</f>
        <v>1.6165848638346352E-4</v>
      </c>
      <c r="N892" s="551">
        <f>'Sollecitazioni nel paramento'!$G$60*(sezione!$AO$30-C892)/C892</f>
        <v>3.8233169727669267E-3</v>
      </c>
      <c r="O892" s="551">
        <f>'Sollecitazioni nel paramento'!$G$60*(sezione!$AP$30-C892)/C892</f>
        <v>1.4116539177860925E-2</v>
      </c>
      <c r="P892" s="545">
        <f>-'Sollecitazioni nel paramento'!$G$47*'Sollecitazioni nel paramento'!$G$41*IF(DATI!$G$211="dx",DATI!$E$61,DATI!$E$64*DATI!$E$63)*1000*C892*sezione!$AD$5</f>
        <v>-2913204.5054632355</v>
      </c>
      <c r="Q892" s="545">
        <f>'Foglio deposito bis'!$F$58*IF(ABS(K892)&lt;'Sollecitazioni nel paramento'!$G$58,ABS(K892)*'Sollecitazioni nel paramento'!$G$54,'Sollecitazioni nel paramento'!$G$53)*IF(K892&lt;0,-1,1)</f>
        <v>0</v>
      </c>
      <c r="R892" s="545">
        <f>'Foglio deposito bis'!$F$59*IF(ABS(L892)&lt;'Sollecitazioni nel paramento'!$G$58,ABS(L892)*'Sollecitazioni nel paramento'!$G$54,'Sollecitazioni nel paramento'!$G$53)*IF(L892&lt;0,-1,1)</f>
        <v>-60975.864477274081</v>
      </c>
      <c r="S892" s="545">
        <f>'Foglio deposito bis'!$F$60*IF(ABS(M892)&lt;'Sollecitazioni nel paramento'!$G$58,ABS(M892)*'Sollecitazioni nel paramento'!$G$54,'Sollecitazioni nel paramento'!$G$53)*IF(M892&lt;0,-1,1)</f>
        <v>0</v>
      </c>
      <c r="T892" s="545">
        <f>'Foglio deposito bis'!$F$61*IF(ABS(N892)&lt;'Sollecitazioni nel paramento'!$G$58,ABS(N892)*'Sollecitazioni nel paramento'!$G$54,'Sollecitazioni nel paramento'!$G$53)*IF(N892&lt;0,-1,1)</f>
        <v>240946.49743184328</v>
      </c>
      <c r="U892" s="545">
        <f>'Foglio deposito bis'!$F$62*IF(ABS(O892)&lt;'Sollecitazioni nel paramento'!$G$58,ABS(O892)*'Sollecitazioni nel paramento'!$G$54,'Sollecitazioni nel paramento'!$G$53)*IF(O892&lt;0,-1,1)</f>
        <v>314705.62929873407</v>
      </c>
      <c r="V892" s="472">
        <f t="shared" si="66"/>
        <v>-2418528.2432099325</v>
      </c>
      <c r="W892" s="551"/>
      <c r="X892" s="551"/>
    </row>
    <row r="893" spans="1:24" x14ac:dyDescent="0.25">
      <c r="A893" s="545">
        <f t="shared" si="65"/>
        <v>2465627.0915868077</v>
      </c>
      <c r="B893" s="3">
        <f t="shared" si="63"/>
        <v>13.499999999999973</v>
      </c>
      <c r="C893" s="545">
        <f>'Foglio deposito bis'!$E$156/sezione!$B$247*B893</f>
        <v>77.617977583840087</v>
      </c>
      <c r="D893" s="603">
        <f>-'Sollecitazioni nel paramento'!$G$47*'Sollecitazioni nel paramento'!$G$41*IF(DATI!$G$211="dx",DATI!$E$61,DATI!$E$64*DATI!$E$63)*1000*C893^2*sezione!$AD$5*(1-sezione!$AD$6)</f>
        <v>-134038102.19137186</v>
      </c>
      <c r="E893" s="545">
        <f>-'Foglio deposito bis'!$F$58*(C893-sezione!$AL$30)*IF(ABS(K893)&lt;'Sollecitazioni nel paramento'!$G$58,ABS(K893)*'Sollecitazioni nel paramento'!$G$54,'Sollecitazioni nel paramento'!$G$53)</f>
        <v>0</v>
      </c>
      <c r="F893" s="545">
        <f>-'Foglio deposito bis'!$F$59*(C893-sezione!$AM$30)*IF(ABS(L893)&lt;'Sollecitazioni nel paramento'!$G$58,ABS(L893)*'Sollecitazioni nel paramento'!$G$54,'Sollecitazioni nel paramento'!$G$53)</f>
        <v>-1132256.790633928</v>
      </c>
      <c r="G893" s="545">
        <f>-'Foglio deposito bis'!$F$60*(C893-sezione!$AN$30)*IF(ABS(M893)&lt;'Sollecitazioni nel paramento'!$G$58,ABS(M893)*'Sollecitazioni nel paramento'!$G$54,'Sollecitazioni nel paramento'!$G$53)</f>
        <v>0</v>
      </c>
      <c r="H893" s="545">
        <f>-'Foglio deposito bis'!$F$61*(C893-sezione!$AO$30)*IF(ABS(N893)&lt;'Sollecitazioni nel paramento'!$G$58,ABS(N893)*'Sollecitazioni nel paramento'!$G$54,'Sollecitazioni nel paramento'!$G$53)</f>
        <v>19849659.75252533</v>
      </c>
      <c r="I893" s="472">
        <f>-'Foglio deposito bis'!$F$62*(C893-sezione!$AP$30)*IF(ABS(O893)&lt;'Sollecitazioni nel paramento'!$G$58,ABS(O893)*'Sollecitazioni nel paramento'!$G$54,'Sollecitazioni nel paramento'!$G$53)</f>
        <v>96699152.20710361</v>
      </c>
      <c r="J893" s="472">
        <f t="shared" si="64"/>
        <v>-18621547.022376835</v>
      </c>
      <c r="K893" s="550">
        <f>'Sollecitazioni nel paramento'!$G$60*(sezione!$AL$30-C893)/C893</f>
        <v>-1.6962941530037014E-3</v>
      </c>
      <c r="L893" s="550">
        <f>'Sollecitazioni nel paramento'!$G$60*(sezione!$AM$30-C893)/C893</f>
        <v>-7.9444122950555216E-4</v>
      </c>
      <c r="M893" s="551">
        <f>'Sollecitazioni nel paramento'!$G$60*(sezione!$AN$30-C893)/C893</f>
        <v>1.0741169399259715E-4</v>
      </c>
      <c r="N893" s="551">
        <f>'Sollecitazioni nel paramento'!$G$60*(sezione!$AO$30-C893)/C893</f>
        <v>3.7148233879851942E-3</v>
      </c>
      <c r="O893" s="551">
        <f>'Sollecitazioni nel paramento'!$G$60*(sezione!$AP$30-C893)/C893</f>
        <v>1.3855553412262982E-2</v>
      </c>
      <c r="P893" s="545">
        <f>-'Sollecitazioni nel paramento'!$G$47*'Sollecitazioni nel paramento'!$G$41*IF(DATI!$G$211="dx",DATI!$E$61,DATI!$E$64*DATI!$E$63)*1000*C893*sezione!$AD$5</f>
        <v>-2957012.0920115551</v>
      </c>
      <c r="Q893" s="545">
        <f>'Foglio deposito bis'!$F$58*IF(ABS(K893)&lt;'Sollecitazioni nel paramento'!$G$58,ABS(K893)*'Sollecitazioni nel paramento'!$G$54,'Sollecitazioni nel paramento'!$G$53)*IF(K893&lt;0,-1,1)</f>
        <v>0</v>
      </c>
      <c r="R893" s="545">
        <f>'Foglio deposito bis'!$F$59*IF(ABS(L893)&lt;'Sollecitazioni nel paramento'!$G$58,ABS(L893)*'Sollecitazioni nel paramento'!$G$54,'Sollecitazioni nel paramento'!$G$53)*IF(L893&lt;0,-1,1)</f>
        <v>-64267.126305829741</v>
      </c>
      <c r="S893" s="545">
        <f>'Foglio deposito bis'!$F$60*IF(ABS(M893)&lt;'Sollecitazioni nel paramento'!$G$58,ABS(M893)*'Sollecitazioni nel paramento'!$G$54,'Sollecitazioni nel paramento'!$G$53)*IF(M893&lt;0,-1,1)</f>
        <v>0</v>
      </c>
      <c r="T893" s="545">
        <f>'Foglio deposito bis'!$F$61*IF(ABS(N893)&lt;'Sollecitazioni nel paramento'!$G$58,ABS(N893)*'Sollecitazioni nel paramento'!$G$54,'Sollecitazioni nel paramento'!$G$53)*IF(N893&lt;0,-1,1)</f>
        <v>240946.49743184328</v>
      </c>
      <c r="U893" s="545">
        <f>'Foglio deposito bis'!$F$62*IF(ABS(O893)&lt;'Sollecitazioni nel paramento'!$G$58,ABS(O893)*'Sollecitazioni nel paramento'!$G$54,'Sollecitazioni nel paramento'!$G$53)*IF(O893&lt;0,-1,1)</f>
        <v>314705.62929873407</v>
      </c>
      <c r="V893" s="472">
        <f t="shared" si="66"/>
        <v>-2465627.0915868077</v>
      </c>
      <c r="W893" s="551"/>
      <c r="X893" s="551"/>
    </row>
    <row r="894" spans="1:24" x14ac:dyDescent="0.25">
      <c r="A894" s="545">
        <f t="shared" si="65"/>
        <v>2512629.8447278123</v>
      </c>
      <c r="B894" s="3">
        <f t="shared" si="63"/>
        <v>13.699999999999973</v>
      </c>
      <c r="C894" s="545">
        <f>'Foglio deposito bis'!$E$156/sezione!$B$247*B894</f>
        <v>78.767873548045117</v>
      </c>
      <c r="D894" s="603">
        <f>-'Sollecitazioni nel paramento'!$G$47*'Sollecitazioni nel paramento'!$G$41*IF(DATI!$G$211="dx",DATI!$E$61,DATI!$E$64*DATI!$E$63)*1000*C894^2*sezione!$AD$5*(1-sezione!$AD$6)</f>
        <v>-138039020.02907312</v>
      </c>
      <c r="E894" s="545">
        <f>-'Foglio deposito bis'!$F$58*(C894-sezione!$AL$30)*IF(ABS(K894)&lt;'Sollecitazioni nel paramento'!$G$58,ABS(K894)*'Sollecitazioni nel paramento'!$G$54,'Sollecitazioni nel paramento'!$G$53)</f>
        <v>0</v>
      </c>
      <c r="F894" s="545">
        <f>-'Foglio deposito bis'!$F$59*(C894-sezione!$AM$30)*IF(ABS(L894)&lt;'Sollecitazioni nel paramento'!$G$58,ABS(L894)*'Sollecitazioni nel paramento'!$G$54,'Sollecitazioni nel paramento'!$G$53)</f>
        <v>-1266123.7823805141</v>
      </c>
      <c r="G894" s="545">
        <f>-'Foglio deposito bis'!$F$60*(C894-sezione!$AN$30)*IF(ABS(M894)&lt;'Sollecitazioni nel paramento'!$G$58,ABS(M894)*'Sollecitazioni nel paramento'!$G$54,'Sollecitazioni nel paramento'!$G$53)</f>
        <v>0</v>
      </c>
      <c r="H894" s="545">
        <f>-'Foglio deposito bis'!$F$61*(C894-sezione!$AO$30)*IF(ABS(N894)&lt;'Sollecitazioni nel paramento'!$G$58,ABS(N894)*'Sollecitazioni nel paramento'!$G$54,'Sollecitazioni nel paramento'!$G$53)</f>
        <v>19572596.347539116</v>
      </c>
      <c r="I894" s="472">
        <f>-'Foglio deposito bis'!$F$62*(C894-sezione!$AP$30)*IF(ABS(O894)&lt;'Sollecitazioni nel paramento'!$G$58,ABS(O894)*'Sollecitazioni nel paramento'!$G$54,'Sollecitazioni nel paramento'!$G$53)</f>
        <v>96337273.474060386</v>
      </c>
      <c r="J894" s="472">
        <f t="shared" si="64"/>
        <v>-23395273.989854142</v>
      </c>
      <c r="K894" s="550">
        <f>'Sollecitazioni nel paramento'!$G$60*(sezione!$AL$30-C894)/C894</f>
        <v>-1.7226256252226254E-3</v>
      </c>
      <c r="L894" s="550">
        <f>'Sollecitazioni nel paramento'!$G$60*(sezione!$AM$30-C894)/C894</f>
        <v>-8.3393843783393794E-4</v>
      </c>
      <c r="M894" s="551">
        <f>'Sollecitazioni nel paramento'!$G$60*(sezione!$AN$30-C894)/C894</f>
        <v>5.4748749554749389E-5</v>
      </c>
      <c r="N894" s="551">
        <f>'Sollecitazioni nel paramento'!$G$60*(sezione!$AO$30-C894)/C894</f>
        <v>3.6094974991094987E-3</v>
      </c>
      <c r="O894" s="551">
        <f>'Sollecitazioni nel paramento'!$G$60*(sezione!$AP$30-C894)/C894</f>
        <v>1.360218766901827E-2</v>
      </c>
      <c r="P894" s="545">
        <f>-'Sollecitazioni nel paramento'!$G$47*'Sollecitazioni nel paramento'!$G$41*IF(DATI!$G$211="dx",DATI!$E$61,DATI!$E$64*DATI!$E$63)*1000*C894*sezione!$AD$5</f>
        <v>-3000819.6785598742</v>
      </c>
      <c r="Q894" s="545">
        <f>'Foglio deposito bis'!$F$58*IF(ABS(K894)&lt;'Sollecitazioni nel paramento'!$G$58,ABS(K894)*'Sollecitazioni nel paramento'!$G$54,'Sollecitazioni nel paramento'!$G$53)*IF(K894&lt;0,-1,1)</f>
        <v>0</v>
      </c>
      <c r="R894" s="545">
        <f>'Foglio deposito bis'!$F$59*IF(ABS(L894)&lt;'Sollecitazioni nel paramento'!$G$58,ABS(L894)*'Sollecitazioni nel paramento'!$G$54,'Sollecitazioni nel paramento'!$G$53)*IF(L894&lt;0,-1,1)</f>
        <v>-67462.292898515137</v>
      </c>
      <c r="S894" s="545">
        <f>'Foglio deposito bis'!$F$60*IF(ABS(M894)&lt;'Sollecitazioni nel paramento'!$G$58,ABS(M894)*'Sollecitazioni nel paramento'!$G$54,'Sollecitazioni nel paramento'!$G$53)*IF(M894&lt;0,-1,1)</f>
        <v>0</v>
      </c>
      <c r="T894" s="545">
        <f>'Foglio deposito bis'!$F$61*IF(ABS(N894)&lt;'Sollecitazioni nel paramento'!$G$58,ABS(N894)*'Sollecitazioni nel paramento'!$G$54,'Sollecitazioni nel paramento'!$G$53)*IF(N894&lt;0,-1,1)</f>
        <v>240946.49743184328</v>
      </c>
      <c r="U894" s="545">
        <f>'Foglio deposito bis'!$F$62*IF(ABS(O894)&lt;'Sollecitazioni nel paramento'!$G$58,ABS(O894)*'Sollecitazioni nel paramento'!$G$54,'Sollecitazioni nel paramento'!$G$53)*IF(O894&lt;0,-1,1)</f>
        <v>314705.62929873407</v>
      </c>
      <c r="V894" s="472">
        <f t="shared" si="66"/>
        <v>-2512629.8447278123</v>
      </c>
      <c r="W894" s="551"/>
      <c r="X894" s="551"/>
    </row>
    <row r="895" spans="1:24" x14ac:dyDescent="0.25">
      <c r="A895" s="545">
        <f t="shared" si="65"/>
        <v>2559540.65062874</v>
      </c>
      <c r="B895" s="3">
        <f t="shared" si="63"/>
        <v>13.899999999999972</v>
      </c>
      <c r="C895" s="545">
        <f>'Foglio deposito bis'!$E$156/sezione!$B$247*B895</f>
        <v>79.91776951225016</v>
      </c>
      <c r="D895" s="603">
        <f>-'Sollecitazioni nel paramento'!$G$47*'Sollecitazioni nel paramento'!$G$41*IF(DATI!$G$211="dx",DATI!$E$61,DATI!$E$64*DATI!$E$63)*1000*C895^2*sezione!$AD$5*(1-sezione!$AD$6)</f>
        <v>-142098774.89379945</v>
      </c>
      <c r="E895" s="545">
        <f>-'Foglio deposito bis'!$F$58*(C895-sezione!$AL$30)*IF(ABS(K895)&lt;'Sollecitazioni nel paramento'!$G$58,ABS(K895)*'Sollecitazioni nel paramento'!$G$54,'Sollecitazioni nel paramento'!$G$53)</f>
        <v>0</v>
      </c>
      <c r="F895" s="545">
        <f>-'Foglio deposito bis'!$F$59*(C895-sezione!$AM$30)*IF(ABS(L895)&lt;'Sollecitazioni nel paramento'!$G$58,ABS(L895)*'Sollecitazioni nel paramento'!$G$54,'Sollecitazioni nel paramento'!$G$53)</f>
        <v>-1405507.6085317384</v>
      </c>
      <c r="G895" s="545">
        <f>-'Foglio deposito bis'!$F$60*(C895-sezione!$AN$30)*IF(ABS(M895)&lt;'Sollecitazioni nel paramento'!$G$58,ABS(M895)*'Sollecitazioni nel paramento'!$G$54,'Sollecitazioni nel paramento'!$G$53)</f>
        <v>0</v>
      </c>
      <c r="H895" s="545">
        <f>-'Foglio deposito bis'!$F$61*(C895-sezione!$AO$30)*IF(ABS(N895)&lt;'Sollecitazioni nel paramento'!$G$58,ABS(N895)*'Sollecitazioni nel paramento'!$G$54,'Sollecitazioni nel paramento'!$G$53)</f>
        <v>19295532.942552898</v>
      </c>
      <c r="I895" s="472">
        <f>-'Foglio deposito bis'!$F$62*(C895-sezione!$AP$30)*IF(ABS(O895)&lt;'Sollecitazioni nel paramento'!$G$58,ABS(O895)*'Sollecitazioni nel paramento'!$G$54,'Sollecitazioni nel paramento'!$G$53)</f>
        <v>95975394.741017148</v>
      </c>
      <c r="J895" s="472">
        <f t="shared" si="64"/>
        <v>-28233354.818761155</v>
      </c>
      <c r="K895" s="550">
        <f>'Sollecitazioni nel paramento'!$G$60*(sezione!$AL$30-C895)/C895</f>
        <v>-1.7481993572338109E-3</v>
      </c>
      <c r="L895" s="550">
        <f>'Sollecitazioni nel paramento'!$G$60*(sezione!$AM$30-C895)/C895</f>
        <v>-8.7229903585071605E-4</v>
      </c>
      <c r="M895" s="551">
        <f>'Sollecitazioni nel paramento'!$G$60*(sezione!$AN$30-C895)/C895</f>
        <v>3.6012855323786591E-6</v>
      </c>
      <c r="N895" s="551">
        <f>'Sollecitazioni nel paramento'!$G$60*(sezione!$AO$30-C895)/C895</f>
        <v>3.5072025710647572E-3</v>
      </c>
      <c r="O895" s="551">
        <f>'Sollecitazioni nel paramento'!$G$60*(sezione!$AP$30-C895)/C895</f>
        <v>1.3356113026298579E-2</v>
      </c>
      <c r="P895" s="545">
        <f>-'Sollecitazioni nel paramento'!$G$47*'Sollecitazioni nel paramento'!$G$41*IF(DATI!$G$211="dx",DATI!$E$61,DATI!$E$64*DATI!$E$63)*1000*C895*sezione!$AD$5</f>
        <v>-3044627.2651081937</v>
      </c>
      <c r="Q895" s="545">
        <f>'Foglio deposito bis'!$F$58*IF(ABS(K895)&lt;'Sollecitazioni nel paramento'!$G$58,ABS(K895)*'Sollecitazioni nel paramento'!$G$54,'Sollecitazioni nel paramento'!$G$53)*IF(K895&lt;0,-1,1)</f>
        <v>0</v>
      </c>
      <c r="R895" s="545">
        <f>'Foglio deposito bis'!$F$59*IF(ABS(L895)&lt;'Sollecitazioni nel paramento'!$G$58,ABS(L895)*'Sollecitazioni nel paramento'!$G$54,'Sollecitazioni nel paramento'!$G$53)*IF(L895&lt;0,-1,1)</f>
        <v>-70565.512251123277</v>
      </c>
      <c r="S895" s="545">
        <f>'Foglio deposito bis'!$F$60*IF(ABS(M895)&lt;'Sollecitazioni nel paramento'!$G$58,ABS(M895)*'Sollecitazioni nel paramento'!$G$54,'Sollecitazioni nel paramento'!$G$53)*IF(M895&lt;0,-1,1)</f>
        <v>0</v>
      </c>
      <c r="T895" s="545">
        <f>'Foglio deposito bis'!$F$61*IF(ABS(N895)&lt;'Sollecitazioni nel paramento'!$G$58,ABS(N895)*'Sollecitazioni nel paramento'!$G$54,'Sollecitazioni nel paramento'!$G$53)*IF(N895&lt;0,-1,1)</f>
        <v>240946.49743184328</v>
      </c>
      <c r="U895" s="545">
        <f>'Foglio deposito bis'!$F$62*IF(ABS(O895)&lt;'Sollecitazioni nel paramento'!$G$58,ABS(O895)*'Sollecitazioni nel paramento'!$G$54,'Sollecitazioni nel paramento'!$G$53)*IF(O895&lt;0,-1,1)</f>
        <v>314705.62929873407</v>
      </c>
      <c r="V895" s="472">
        <f t="shared" si="66"/>
        <v>-2559540.65062874</v>
      </c>
      <c r="W895" s="551"/>
      <c r="X895" s="551"/>
    </row>
    <row r="896" spans="1:24" x14ac:dyDescent="0.25">
      <c r="A896" s="545">
        <f t="shared" si="65"/>
        <v>2606363.4219381036</v>
      </c>
      <c r="B896" s="3">
        <f t="shared" si="63"/>
        <v>14.099999999999971</v>
      </c>
      <c r="C896" s="545">
        <f>'Foglio deposito bis'!$E$156/sezione!$B$247*B896</f>
        <v>81.06766547645519</v>
      </c>
      <c r="D896" s="603">
        <f>-'Sollecitazioni nel paramento'!$G$47*'Sollecitazioni nel paramento'!$G$41*IF(DATI!$G$211="dx",DATI!$E$61,DATI!$E$64*DATI!$E$63)*1000*C896^2*sezione!$AD$5*(1-sezione!$AD$6)</f>
        <v>-146217366.78555077</v>
      </c>
      <c r="E896" s="545">
        <f>-'Foglio deposito bis'!$F$58*(C896-sezione!$AL$30)*IF(ABS(K896)&lt;'Sollecitazioni nel paramento'!$G$58,ABS(K896)*'Sollecitazioni nel paramento'!$G$54,'Sollecitazioni nel paramento'!$G$53)</f>
        <v>0</v>
      </c>
      <c r="F896" s="545">
        <f>-'Foglio deposito bis'!$F$59*(C896-sezione!$AM$30)*IF(ABS(L896)&lt;'Sollecitazioni nel paramento'!$G$58,ABS(L896)*'Sollecitazioni nel paramento'!$G$54,'Sollecitazioni nel paramento'!$G$53)</f>
        <v>-1550173.510176762</v>
      </c>
      <c r="G896" s="545">
        <f>-'Foglio deposito bis'!$F$60*(C896-sezione!$AN$30)*IF(ABS(M896)&lt;'Sollecitazioni nel paramento'!$G$58,ABS(M896)*'Sollecitazioni nel paramento'!$G$54,'Sollecitazioni nel paramento'!$G$53)</f>
        <v>0</v>
      </c>
      <c r="H896" s="545">
        <f>-'Foglio deposito bis'!$F$61*(C896-sezione!$AO$30)*IF(ABS(N896)&lt;'Sollecitazioni nel paramento'!$G$58,ABS(N896)*'Sollecitazioni nel paramento'!$G$54,'Sollecitazioni nel paramento'!$G$53)</f>
        <v>19018469.537566684</v>
      </c>
      <c r="I896" s="472">
        <f>-'Foglio deposito bis'!$F$62*(C896-sezione!$AP$30)*IF(ABS(O896)&lt;'Sollecitazioni nel paramento'!$G$58,ABS(O896)*'Sollecitazioni nel paramento'!$G$54,'Sollecitazioni nel paramento'!$G$53)</f>
        <v>95613516.007973924</v>
      </c>
      <c r="J896" s="472">
        <f t="shared" si="64"/>
        <v>-33135554.750186905</v>
      </c>
      <c r="K896" s="550">
        <f>'Sollecitazioni nel paramento'!$G$60*(sezione!$AL$30-C896)/C896</f>
        <v>-1.7730475933014161E-3</v>
      </c>
      <c r="L896" s="550">
        <f>'Sollecitazioni nel paramento'!$G$60*(sezione!$AM$30-C896)/C896</f>
        <v>-9.0957138995212405E-4</v>
      </c>
      <c r="M896" s="551">
        <f>'Sollecitazioni nel paramento'!$G$60*(sezione!$AN$30-C896)/C896</f>
        <v>-4.6095186602832007E-5</v>
      </c>
      <c r="N896" s="551">
        <f>'Sollecitazioni nel paramento'!$G$60*(sezione!$AO$30-C896)/C896</f>
        <v>3.4078096267943364E-3</v>
      </c>
      <c r="O896" s="551">
        <f>'Sollecitazioni nel paramento'!$G$60*(sezione!$AP$30-C896)/C896</f>
        <v>1.3117019224507113E-2</v>
      </c>
      <c r="P896" s="545">
        <f>-'Sollecitazioni nel paramento'!$G$47*'Sollecitazioni nel paramento'!$G$41*IF(DATI!$G$211="dx",DATI!$E$61,DATI!$E$64*DATI!$E$63)*1000*C896*sezione!$AD$5</f>
        <v>-3088434.8516565128</v>
      </c>
      <c r="Q896" s="545">
        <f>'Foglio deposito bis'!$F$58*IF(ABS(K896)&lt;'Sollecitazioni nel paramento'!$G$58,ABS(K896)*'Sollecitazioni nel paramento'!$G$54,'Sollecitazioni nel paramento'!$G$53)*IF(K896&lt;0,-1,1)</f>
        <v>0</v>
      </c>
      <c r="R896" s="545">
        <f>'Foglio deposito bis'!$F$59*IF(ABS(L896)&lt;'Sollecitazioni nel paramento'!$G$58,ABS(L896)*'Sollecitazioni nel paramento'!$G$54,'Sollecitazioni nel paramento'!$G$53)*IF(L896&lt;0,-1,1)</f>
        <v>-73580.697012168035</v>
      </c>
      <c r="S896" s="545">
        <f>'Foglio deposito bis'!$F$60*IF(ABS(M896)&lt;'Sollecitazioni nel paramento'!$G$58,ABS(M896)*'Sollecitazioni nel paramento'!$G$54,'Sollecitazioni nel paramento'!$G$53)*IF(M896&lt;0,-1,1)</f>
        <v>0</v>
      </c>
      <c r="T896" s="545">
        <f>'Foglio deposito bis'!$F$61*IF(ABS(N896)&lt;'Sollecitazioni nel paramento'!$G$58,ABS(N896)*'Sollecitazioni nel paramento'!$G$54,'Sollecitazioni nel paramento'!$G$53)*IF(N896&lt;0,-1,1)</f>
        <v>240946.49743184328</v>
      </c>
      <c r="U896" s="545">
        <f>'Foglio deposito bis'!$F$62*IF(ABS(O896)&lt;'Sollecitazioni nel paramento'!$G$58,ABS(O896)*'Sollecitazioni nel paramento'!$G$54,'Sollecitazioni nel paramento'!$G$53)*IF(O896&lt;0,-1,1)</f>
        <v>314705.62929873407</v>
      </c>
      <c r="V896" s="472">
        <f t="shared" si="66"/>
        <v>-2606363.4219381036</v>
      </c>
      <c r="W896" s="551"/>
      <c r="X896" s="551"/>
    </row>
    <row r="897" spans="1:24" x14ac:dyDescent="0.25">
      <c r="A897" s="545">
        <f t="shared" si="65"/>
        <v>2653101.8524149908</v>
      </c>
      <c r="B897" s="3">
        <f t="shared" si="63"/>
        <v>14.299999999999971</v>
      </c>
      <c r="C897" s="545">
        <f>'Foglio deposito bis'!$E$156/sezione!$B$247*B897</f>
        <v>82.217561440660219</v>
      </c>
      <c r="D897" s="603">
        <f>-'Sollecitazioni nel paramento'!$G$47*'Sollecitazioni nel paramento'!$G$41*IF(DATI!$G$211="dx",DATI!$E$61,DATI!$E$64*DATI!$E$63)*1000*C897^2*sezione!$AD$5*(1-sezione!$AD$6)</f>
        <v>-150394795.70432711</v>
      </c>
      <c r="E897" s="545">
        <f>-'Foglio deposito bis'!$F$58*(C897-sezione!$AL$30)*IF(ABS(K897)&lt;'Sollecitazioni nel paramento'!$G$58,ABS(K897)*'Sollecitazioni nel paramento'!$G$54,'Sollecitazioni nel paramento'!$G$53)</f>
        <v>0</v>
      </c>
      <c r="F897" s="545">
        <f>-'Foglio deposito bis'!$F$59*(C897-sezione!$AM$30)*IF(ABS(L897)&lt;'Sollecitazioni nel paramento'!$G$58,ABS(L897)*'Sollecitazioni nel paramento'!$G$54,'Sollecitazioni nel paramento'!$G$53)</f>
        <v>-1699899.8617703922</v>
      </c>
      <c r="G897" s="545">
        <f>-'Foglio deposito bis'!$F$60*(C897-sezione!$AN$30)*IF(ABS(M897)&lt;'Sollecitazioni nel paramento'!$G$58,ABS(M897)*'Sollecitazioni nel paramento'!$G$54,'Sollecitazioni nel paramento'!$G$53)</f>
        <v>0</v>
      </c>
      <c r="H897" s="545">
        <f>-'Foglio deposito bis'!$F$61*(C897-sezione!$AO$30)*IF(ABS(N897)&lt;'Sollecitazioni nel paramento'!$G$58,ABS(N897)*'Sollecitazioni nel paramento'!$G$54,'Sollecitazioni nel paramento'!$G$53)</f>
        <v>18741406.13258047</v>
      </c>
      <c r="I897" s="472">
        <f>-'Foglio deposito bis'!$F$62*(C897-sezione!$AP$30)*IF(ABS(O897)&lt;'Sollecitazioni nel paramento'!$G$58,ABS(O897)*'Sollecitazioni nel paramento'!$G$54,'Sollecitazioni nel paramento'!$G$53)</f>
        <v>95251637.274930716</v>
      </c>
      <c r="J897" s="472">
        <f t="shared" si="64"/>
        <v>-38101652.158586308</v>
      </c>
      <c r="K897" s="550">
        <f>'Sollecitazioni nel paramento'!$G$60*(sezione!$AL$30-C897)/C897</f>
        <v>-1.7972007738146828E-3</v>
      </c>
      <c r="L897" s="550">
        <f>'Sollecitazioni nel paramento'!$G$60*(sezione!$AM$30-C897)/C897</f>
        <v>-9.4580116072202414E-4</v>
      </c>
      <c r="M897" s="551">
        <f>'Sollecitazioni nel paramento'!$G$60*(sezione!$AN$30-C897)/C897</f>
        <v>-9.4401547629365472E-5</v>
      </c>
      <c r="N897" s="551">
        <f>'Sollecitazioni nel paramento'!$G$60*(sezione!$AO$30-C897)/C897</f>
        <v>3.3111969047412691E-3</v>
      </c>
      <c r="O897" s="551">
        <f>'Sollecitazioni nel paramento'!$G$60*(sezione!$AP$30-C897)/C897</f>
        <v>1.2884613361227294E-2</v>
      </c>
      <c r="P897" s="545">
        <f>-'Sollecitazioni nel paramento'!$G$47*'Sollecitazioni nel paramento'!$G$41*IF(DATI!$G$211="dx",DATI!$E$61,DATI!$E$64*DATI!$E$63)*1000*C897*sezione!$AD$5</f>
        <v>-3132242.4382048319</v>
      </c>
      <c r="Q897" s="545">
        <f>'Foglio deposito bis'!$F$58*IF(ABS(K897)&lt;'Sollecitazioni nel paramento'!$G$58,ABS(K897)*'Sollecitazioni nel paramento'!$G$54,'Sollecitazioni nel paramento'!$G$53)*IF(K897&lt;0,-1,1)</f>
        <v>0</v>
      </c>
      <c r="R897" s="545">
        <f>'Foglio deposito bis'!$F$59*IF(ABS(L897)&lt;'Sollecitazioni nel paramento'!$G$58,ABS(L897)*'Sollecitazioni nel paramento'!$G$54,'Sollecitazioni nel paramento'!$G$53)*IF(L897&lt;0,-1,1)</f>
        <v>-76511.540940735998</v>
      </c>
      <c r="S897" s="545">
        <f>'Foglio deposito bis'!$F$60*IF(ABS(M897)&lt;'Sollecitazioni nel paramento'!$G$58,ABS(M897)*'Sollecitazioni nel paramento'!$G$54,'Sollecitazioni nel paramento'!$G$53)*IF(M897&lt;0,-1,1)</f>
        <v>0</v>
      </c>
      <c r="T897" s="545">
        <f>'Foglio deposito bis'!$F$61*IF(ABS(N897)&lt;'Sollecitazioni nel paramento'!$G$58,ABS(N897)*'Sollecitazioni nel paramento'!$G$54,'Sollecitazioni nel paramento'!$G$53)*IF(N897&lt;0,-1,1)</f>
        <v>240946.49743184328</v>
      </c>
      <c r="U897" s="545">
        <f>'Foglio deposito bis'!$F$62*IF(ABS(O897)&lt;'Sollecitazioni nel paramento'!$G$58,ABS(O897)*'Sollecitazioni nel paramento'!$G$54,'Sollecitazioni nel paramento'!$G$53)*IF(O897&lt;0,-1,1)</f>
        <v>314705.62929873407</v>
      </c>
      <c r="V897" s="472">
        <f t="shared" si="66"/>
        <v>-2653101.8524149908</v>
      </c>
      <c r="W897" s="551"/>
      <c r="X897" s="551"/>
    </row>
    <row r="898" spans="1:24" x14ac:dyDescent="0.25">
      <c r="A898" s="545">
        <f t="shared" si="65"/>
        <v>2699759.4320248836</v>
      </c>
      <c r="B898" s="3">
        <f t="shared" si="63"/>
        <v>14.49999999999997</v>
      </c>
      <c r="C898" s="545">
        <f>'Foglio deposito bis'!$E$156/sezione!$B$247*B898</f>
        <v>83.367457404865263</v>
      </c>
      <c r="D898" s="603">
        <f>-'Sollecitazioni nel paramento'!$G$47*'Sollecitazioni nel paramento'!$G$41*IF(DATI!$G$211="dx",DATI!$E$61,DATI!$E$64*DATI!$E$63)*1000*C898^2*sezione!$AD$5*(1-sezione!$AD$6)</f>
        <v>-154631061.65012851</v>
      </c>
      <c r="E898" s="545">
        <f>-'Foglio deposito bis'!$F$58*(C898-sezione!$AL$30)*IF(ABS(K898)&lt;'Sollecitazioni nel paramento'!$G$58,ABS(K898)*'Sollecitazioni nel paramento'!$G$54,'Sollecitazioni nel paramento'!$G$53)</f>
        <v>0</v>
      </c>
      <c r="F898" s="545">
        <f>-'Foglio deposito bis'!$F$59*(C898-sezione!$AM$30)*IF(ABS(L898)&lt;'Sollecitazioni nel paramento'!$G$58,ABS(L898)*'Sollecitazioni nel paramento'!$G$54,'Sollecitazioni nel paramento'!$G$53)</f>
        <v>-1854477.2653837225</v>
      </c>
      <c r="G898" s="545">
        <f>-'Foglio deposito bis'!$F$60*(C898-sezione!$AN$30)*IF(ABS(M898)&lt;'Sollecitazioni nel paramento'!$G$58,ABS(M898)*'Sollecitazioni nel paramento'!$G$54,'Sollecitazioni nel paramento'!$G$53)</f>
        <v>0</v>
      </c>
      <c r="H898" s="545">
        <f>-'Foglio deposito bis'!$F$61*(C898-sezione!$AO$30)*IF(ABS(N898)&lt;'Sollecitazioni nel paramento'!$G$58,ABS(N898)*'Sollecitazioni nel paramento'!$G$54,'Sollecitazioni nel paramento'!$G$53)</f>
        <v>18464342.727594253</v>
      </c>
      <c r="I898" s="472">
        <f>-'Foglio deposito bis'!$F$62*(C898-sezione!$AP$30)*IF(ABS(O898)&lt;'Sollecitazioni nel paramento'!$G$58,ABS(O898)*'Sollecitazioni nel paramento'!$G$54,'Sollecitazioni nel paramento'!$G$53)</f>
        <v>94889758.541887492</v>
      </c>
      <c r="J898" s="472">
        <f t="shared" si="64"/>
        <v>-43131437.646030486</v>
      </c>
      <c r="K898" s="550">
        <f>'Sollecitazioni nel paramento'!$G$60*(sezione!$AL$30-C898)/C898</f>
        <v>-1.8206876596931012E-3</v>
      </c>
      <c r="L898" s="550">
        <f>'Sollecitazioni nel paramento'!$G$60*(sezione!$AM$30-C898)/C898</f>
        <v>-9.8103148953965148E-4</v>
      </c>
      <c r="M898" s="551">
        <f>'Sollecitazioni nel paramento'!$G$60*(sezione!$AN$30-C898)/C898</f>
        <v>-1.4137531938620204E-4</v>
      </c>
      <c r="N898" s="551">
        <f>'Sollecitazioni nel paramento'!$G$60*(sezione!$AO$30-C898)/C898</f>
        <v>3.2172493612275962E-3</v>
      </c>
      <c r="O898" s="551">
        <f>'Sollecitazioni nel paramento'!$G$60*(sezione!$AP$30-C898)/C898</f>
        <v>1.2658618694175883E-2</v>
      </c>
      <c r="P898" s="545">
        <f>-'Sollecitazioni nel paramento'!$G$47*'Sollecitazioni nel paramento'!$G$41*IF(DATI!$G$211="dx",DATI!$E$61,DATI!$E$64*DATI!$E$63)*1000*C898*sezione!$AD$5</f>
        <v>-3176050.0247531515</v>
      </c>
      <c r="Q898" s="545">
        <f>'Foglio deposito bis'!$F$58*IF(ABS(K898)&lt;'Sollecitazioni nel paramento'!$G$58,ABS(K898)*'Sollecitazioni nel paramento'!$G$54,'Sollecitazioni nel paramento'!$G$53)*IF(K898&lt;0,-1,1)</f>
        <v>0</v>
      </c>
      <c r="R898" s="545">
        <f>'Foglio deposito bis'!$F$59*IF(ABS(L898)&lt;'Sollecitazioni nel paramento'!$G$58,ABS(L898)*'Sollecitazioni nel paramento'!$G$54,'Sollecitazioni nel paramento'!$G$53)*IF(L898&lt;0,-1,1)</f>
        <v>-79361.534002309039</v>
      </c>
      <c r="S898" s="545">
        <f>'Foglio deposito bis'!$F$60*IF(ABS(M898)&lt;'Sollecitazioni nel paramento'!$G$58,ABS(M898)*'Sollecitazioni nel paramento'!$G$54,'Sollecitazioni nel paramento'!$G$53)*IF(M898&lt;0,-1,1)</f>
        <v>0</v>
      </c>
      <c r="T898" s="545">
        <f>'Foglio deposito bis'!$F$61*IF(ABS(N898)&lt;'Sollecitazioni nel paramento'!$G$58,ABS(N898)*'Sollecitazioni nel paramento'!$G$54,'Sollecitazioni nel paramento'!$G$53)*IF(N898&lt;0,-1,1)</f>
        <v>240946.49743184328</v>
      </c>
      <c r="U898" s="545">
        <f>'Foglio deposito bis'!$F$62*IF(ABS(O898)&lt;'Sollecitazioni nel paramento'!$G$58,ABS(O898)*'Sollecitazioni nel paramento'!$G$54,'Sollecitazioni nel paramento'!$G$53)*IF(O898&lt;0,-1,1)</f>
        <v>314705.62929873407</v>
      </c>
      <c r="V898" s="472">
        <f t="shared" si="66"/>
        <v>-2699759.4320248836</v>
      </c>
      <c r="W898" s="551"/>
      <c r="X898" s="551"/>
    </row>
    <row r="899" spans="1:24" x14ac:dyDescent="0.25">
      <c r="A899" s="545">
        <f t="shared" si="65"/>
        <v>2746339.4608031679</v>
      </c>
      <c r="B899" s="3">
        <f t="shared" si="63"/>
        <v>14.699999999999969</v>
      </c>
      <c r="C899" s="545">
        <f>'Foglio deposito bis'!$E$156/sezione!$B$247*B899</f>
        <v>84.517353369070293</v>
      </c>
      <c r="D899" s="603">
        <f>-'Sollecitazioni nel paramento'!$G$47*'Sollecitazioni nel paramento'!$G$41*IF(DATI!$G$211="dx",DATI!$E$61,DATI!$E$64*DATI!$E$63)*1000*C899^2*sezione!$AD$5*(1-sezione!$AD$6)</f>
        <v>-158926164.62295488</v>
      </c>
      <c r="E899" s="545">
        <f>-'Foglio deposito bis'!$F$58*(C899-sezione!$AL$30)*IF(ABS(K899)&lt;'Sollecitazioni nel paramento'!$G$58,ABS(K899)*'Sollecitazioni nel paramento'!$G$54,'Sollecitazioni nel paramento'!$G$53)</f>
        <v>0</v>
      </c>
      <c r="F899" s="545">
        <f>-'Foglio deposito bis'!$F$59*(C899-sezione!$AM$30)*IF(ABS(L899)&lt;'Sollecitazioni nel paramento'!$G$58,ABS(L899)*'Sollecitazioni nel paramento'!$G$54,'Sollecitazioni nel paramento'!$G$53)</f>
        <v>-2013707.7188934977</v>
      </c>
      <c r="G899" s="545">
        <f>-'Foglio deposito bis'!$F$60*(C899-sezione!$AN$30)*IF(ABS(M899)&lt;'Sollecitazioni nel paramento'!$G$58,ABS(M899)*'Sollecitazioni nel paramento'!$G$54,'Sollecitazioni nel paramento'!$G$53)</f>
        <v>0</v>
      </c>
      <c r="H899" s="545">
        <f>-'Foglio deposito bis'!$F$61*(C899-sezione!$AO$30)*IF(ABS(N899)&lt;'Sollecitazioni nel paramento'!$G$58,ABS(N899)*'Sollecitazioni nel paramento'!$G$54,'Sollecitazioni nel paramento'!$G$53)</f>
        <v>18187279.322608039</v>
      </c>
      <c r="I899" s="472">
        <f>-'Foglio deposito bis'!$F$62*(C899-sezione!$AP$30)*IF(ABS(O899)&lt;'Sollecitazioni nel paramento'!$G$58,ABS(O899)*'Sollecitazioni nel paramento'!$G$54,'Sollecitazioni nel paramento'!$G$53)</f>
        <v>94527879.808844268</v>
      </c>
      <c r="J899" s="472">
        <f t="shared" si="64"/>
        <v>-48224713.210396051</v>
      </c>
      <c r="K899" s="550">
        <f>'Sollecitazioni nel paramento'!$G$60*(sezione!$AL$30-C899)/C899</f>
        <v>-1.843535446636052E-3</v>
      </c>
      <c r="L899" s="550">
        <f>'Sollecitazioni nel paramento'!$G$60*(sezione!$AM$30-C899)/C899</f>
        <v>-1.0153031699540779E-3</v>
      </c>
      <c r="M899" s="551">
        <f>'Sollecitazioni nel paramento'!$G$60*(sezione!$AN$30-C899)/C899</f>
        <v>-1.8707089327210373E-4</v>
      </c>
      <c r="N899" s="551">
        <f>'Sollecitazioni nel paramento'!$G$60*(sezione!$AO$30-C899)/C899</f>
        <v>3.1258582134557926E-3</v>
      </c>
      <c r="O899" s="551">
        <f>'Sollecitazioni nel paramento'!$G$60*(sezione!$AP$30-C899)/C899</f>
        <v>1.2438773541874172E-2</v>
      </c>
      <c r="P899" s="545">
        <f>-'Sollecitazioni nel paramento'!$G$47*'Sollecitazioni nel paramento'!$G$41*IF(DATI!$G$211="dx",DATI!$E$61,DATI!$E$64*DATI!$E$63)*1000*C899*sezione!$AD$5</f>
        <v>-3219857.6113014705</v>
      </c>
      <c r="Q899" s="545">
        <f>'Foglio deposito bis'!$F$58*IF(ABS(K899)&lt;'Sollecitazioni nel paramento'!$G$58,ABS(K899)*'Sollecitazioni nel paramento'!$G$54,'Sollecitazioni nel paramento'!$G$53)*IF(K899&lt;0,-1,1)</f>
        <v>0</v>
      </c>
      <c r="R899" s="545">
        <f>'Foglio deposito bis'!$F$59*IF(ABS(L899)&lt;'Sollecitazioni nel paramento'!$G$58,ABS(L899)*'Sollecitazioni nel paramento'!$G$54,'Sollecitazioni nel paramento'!$G$53)*IF(L899&lt;0,-1,1)</f>
        <v>-82133.976232274625</v>
      </c>
      <c r="S899" s="545">
        <f>'Foglio deposito bis'!$F$60*IF(ABS(M899)&lt;'Sollecitazioni nel paramento'!$G$58,ABS(M899)*'Sollecitazioni nel paramento'!$G$54,'Sollecitazioni nel paramento'!$G$53)*IF(M899&lt;0,-1,1)</f>
        <v>0</v>
      </c>
      <c r="T899" s="545">
        <f>'Foglio deposito bis'!$F$61*IF(ABS(N899)&lt;'Sollecitazioni nel paramento'!$G$58,ABS(N899)*'Sollecitazioni nel paramento'!$G$54,'Sollecitazioni nel paramento'!$G$53)*IF(N899&lt;0,-1,1)</f>
        <v>240946.49743184328</v>
      </c>
      <c r="U899" s="545">
        <f>'Foglio deposito bis'!$F$62*IF(ABS(O899)&lt;'Sollecitazioni nel paramento'!$G$58,ABS(O899)*'Sollecitazioni nel paramento'!$G$54,'Sollecitazioni nel paramento'!$G$53)*IF(O899&lt;0,-1,1)</f>
        <v>314705.62929873407</v>
      </c>
      <c r="V899" s="472">
        <f t="shared" si="66"/>
        <v>-2746339.4608031679</v>
      </c>
      <c r="W899" s="551"/>
      <c r="X899" s="551"/>
    </row>
    <row r="900" spans="1:24" x14ac:dyDescent="0.25">
      <c r="A900" s="545">
        <f t="shared" si="65"/>
        <v>2792845.0616021254</v>
      </c>
      <c r="B900" s="3">
        <f t="shared" si="63"/>
        <v>14.899999999999968</v>
      </c>
      <c r="C900" s="545">
        <f>'Foglio deposito bis'!$E$156/sezione!$B$247*B900</f>
        <v>85.667249333275336</v>
      </c>
      <c r="D900" s="603">
        <f>-'Sollecitazioni nel paramento'!$G$47*'Sollecitazioni nel paramento'!$G$41*IF(DATI!$G$211="dx",DATI!$E$61,DATI!$E$64*DATI!$E$63)*1000*C900^2*sezione!$AD$5*(1-sezione!$AD$6)</f>
        <v>-163280104.62280631</v>
      </c>
      <c r="E900" s="545">
        <f>-'Foglio deposito bis'!$F$58*(C900-sezione!$AL$30)*IF(ABS(K900)&lt;'Sollecitazioni nel paramento'!$G$58,ABS(K900)*'Sollecitazioni nel paramento'!$G$54,'Sollecitazioni nel paramento'!$G$53)</f>
        <v>0</v>
      </c>
      <c r="F900" s="545">
        <f>-'Foglio deposito bis'!$F$59*(C900-sezione!$AM$30)*IF(ABS(L900)&lt;'Sollecitazioni nel paramento'!$G$58,ABS(L900)*'Sollecitazioni nel paramento'!$G$54,'Sollecitazioni nel paramento'!$G$53)</f>
        <v>-2177403.8511629496</v>
      </c>
      <c r="G900" s="545">
        <f>-'Foglio deposito bis'!$F$60*(C900-sezione!$AN$30)*IF(ABS(M900)&lt;'Sollecitazioni nel paramento'!$G$58,ABS(M900)*'Sollecitazioni nel paramento'!$G$54,'Sollecitazioni nel paramento'!$G$53)</f>
        <v>0</v>
      </c>
      <c r="H900" s="545">
        <f>-'Foglio deposito bis'!$F$61*(C900-sezione!$AO$30)*IF(ABS(N900)&lt;'Sollecitazioni nel paramento'!$G$58,ABS(N900)*'Sollecitazioni nel paramento'!$G$54,'Sollecitazioni nel paramento'!$G$53)</f>
        <v>17910215.917621821</v>
      </c>
      <c r="I900" s="472">
        <f>-'Foglio deposito bis'!$F$62*(C900-sezione!$AP$30)*IF(ABS(O900)&lt;'Sollecitazioni nel paramento'!$G$58,ABS(O900)*'Sollecitazioni nel paramento'!$G$54,'Sollecitazioni nel paramento'!$G$53)</f>
        <v>94166001.075801045</v>
      </c>
      <c r="J900" s="472">
        <f t="shared" si="64"/>
        <v>-53381291.480546385</v>
      </c>
      <c r="K900" s="550">
        <f>'Sollecitazioni nel paramento'!$G$60*(sezione!$AL$30-C900)/C900</f>
        <v>-1.8657698701711387E-3</v>
      </c>
      <c r="L900" s="550">
        <f>'Sollecitazioni nel paramento'!$G$60*(sezione!$AM$30-C900)/C900</f>
        <v>-1.0486548052567077E-3</v>
      </c>
      <c r="M900" s="551">
        <f>'Sollecitazioni nel paramento'!$G$60*(sezione!$AN$30-C900)/C900</f>
        <v>-2.3153974034227702E-4</v>
      </c>
      <c r="N900" s="551">
        <f>'Sollecitazioni nel paramento'!$G$60*(sezione!$AO$30-C900)/C900</f>
        <v>3.0369205193154464E-3</v>
      </c>
      <c r="O900" s="551">
        <f>'Sollecitazioni nel paramento'!$G$60*(sezione!$AP$30-C900)/C900</f>
        <v>1.2224830272855728E-2</v>
      </c>
      <c r="P900" s="545">
        <f>-'Sollecitazioni nel paramento'!$G$47*'Sollecitazioni nel paramento'!$G$41*IF(DATI!$G$211="dx",DATI!$E$61,DATI!$E$64*DATI!$E$63)*1000*C900*sezione!$AD$5</f>
        <v>-3263665.1978497901</v>
      </c>
      <c r="Q900" s="545">
        <f>'Foglio deposito bis'!$F$58*IF(ABS(K900)&lt;'Sollecitazioni nel paramento'!$G$58,ABS(K900)*'Sollecitazioni nel paramento'!$G$54,'Sollecitazioni nel paramento'!$G$53)*IF(K900&lt;0,-1,1)</f>
        <v>0</v>
      </c>
      <c r="R900" s="545">
        <f>'Foglio deposito bis'!$F$59*IF(ABS(L900)&lt;'Sollecitazioni nel paramento'!$G$58,ABS(L900)*'Sollecitazioni nel paramento'!$G$54,'Sollecitazioni nel paramento'!$G$53)*IF(L900&lt;0,-1,1)</f>
        <v>-84831.990482912268</v>
      </c>
      <c r="S900" s="545">
        <f>'Foglio deposito bis'!$F$60*IF(ABS(M900)&lt;'Sollecitazioni nel paramento'!$G$58,ABS(M900)*'Sollecitazioni nel paramento'!$G$54,'Sollecitazioni nel paramento'!$G$53)*IF(M900&lt;0,-1,1)</f>
        <v>0</v>
      </c>
      <c r="T900" s="545">
        <f>'Foglio deposito bis'!$F$61*IF(ABS(N900)&lt;'Sollecitazioni nel paramento'!$G$58,ABS(N900)*'Sollecitazioni nel paramento'!$G$54,'Sollecitazioni nel paramento'!$G$53)*IF(N900&lt;0,-1,1)</f>
        <v>240946.49743184328</v>
      </c>
      <c r="U900" s="545">
        <f>'Foglio deposito bis'!$F$62*IF(ABS(O900)&lt;'Sollecitazioni nel paramento'!$G$58,ABS(O900)*'Sollecitazioni nel paramento'!$G$54,'Sollecitazioni nel paramento'!$G$53)*IF(O900&lt;0,-1,1)</f>
        <v>314705.62929873407</v>
      </c>
      <c r="V900" s="472">
        <f t="shared" si="66"/>
        <v>-2792845.0616021254</v>
      </c>
      <c r="W900" s="551"/>
      <c r="X900" s="551"/>
    </row>
    <row r="901" spans="1:24" x14ac:dyDescent="0.25">
      <c r="A901" s="545">
        <f t="shared" si="65"/>
        <v>2839279.1918249056</v>
      </c>
      <c r="B901" s="3">
        <f t="shared" si="63"/>
        <v>15.099999999999968</v>
      </c>
      <c r="C901" s="545">
        <f>'Foglio deposito bis'!$E$156/sezione!$B$247*B901</f>
        <v>86.817145297480366</v>
      </c>
      <c r="D901" s="603">
        <f>-'Sollecitazioni nel paramento'!$G$47*'Sollecitazioni nel paramento'!$G$41*IF(DATI!$G$211="dx",DATI!$E$61,DATI!$E$64*DATI!$E$63)*1000*C901^2*sezione!$AD$5*(1-sezione!$AD$6)</f>
        <v>-167692881.64968276</v>
      </c>
      <c r="E901" s="545">
        <f>-'Foglio deposito bis'!$F$58*(C901-sezione!$AL$30)*IF(ABS(K901)&lt;'Sollecitazioni nel paramento'!$G$58,ABS(K901)*'Sollecitazioni nel paramento'!$G$54,'Sollecitazioni nel paramento'!$G$53)</f>
        <v>0</v>
      </c>
      <c r="F901" s="545">
        <f>-'Foglio deposito bis'!$F$59*(C901-sezione!$AM$30)*IF(ABS(L901)&lt;'Sollecitazioni nel paramento'!$G$58,ABS(L901)*'Sollecitazioni nel paramento'!$G$54,'Sollecitazioni nel paramento'!$G$53)</f>
        <v>-2345388.2180029503</v>
      </c>
      <c r="G901" s="545">
        <f>-'Foglio deposito bis'!$F$60*(C901-sezione!$AN$30)*IF(ABS(M901)&lt;'Sollecitazioni nel paramento'!$G$58,ABS(M901)*'Sollecitazioni nel paramento'!$G$54,'Sollecitazioni nel paramento'!$G$53)</f>
        <v>0</v>
      </c>
      <c r="H901" s="545">
        <f>-'Foglio deposito bis'!$F$61*(C901-sezione!$AO$30)*IF(ABS(N901)&lt;'Sollecitazioni nel paramento'!$G$58,ABS(N901)*'Sollecitazioni nel paramento'!$G$54,'Sollecitazioni nel paramento'!$G$53)</f>
        <v>17633152.512635607</v>
      </c>
      <c r="I901" s="472">
        <f>-'Foglio deposito bis'!$F$62*(C901-sezione!$AP$30)*IF(ABS(O901)&lt;'Sollecitazioni nel paramento'!$G$58,ABS(O901)*'Sollecitazioni nel paramento'!$G$54,'Sollecitazioni nel paramento'!$G$53)</f>
        <v>93804122.342757836</v>
      </c>
      <c r="J901" s="472">
        <f t="shared" si="64"/>
        <v>-58600995.012292251</v>
      </c>
      <c r="K901" s="550">
        <f>'Sollecitazioni nel paramento'!$G$60*(sezione!$AL$30-C901)/C901</f>
        <v>-1.8874153023543023E-3</v>
      </c>
      <c r="L901" s="550">
        <f>'Sollecitazioni nel paramento'!$G$60*(sezione!$AM$30-C901)/C901</f>
        <v>-1.0811229535314531E-3</v>
      </c>
      <c r="M901" s="551">
        <f>'Sollecitazioni nel paramento'!$G$60*(sezione!$AN$30-C901)/C901</f>
        <v>-2.7483060470860415E-4</v>
      </c>
      <c r="N901" s="551">
        <f>'Sollecitazioni nel paramento'!$G$60*(sezione!$AO$30-C901)/C901</f>
        <v>2.9503387905827918E-3</v>
      </c>
      <c r="O901" s="551">
        <f>'Sollecitazioni nel paramento'!$G$60*(sezione!$AP$30-C901)/C901</f>
        <v>1.2016554375202011E-2</v>
      </c>
      <c r="P901" s="545">
        <f>-'Sollecitazioni nel paramento'!$G$47*'Sollecitazioni nel paramento'!$G$41*IF(DATI!$G$211="dx",DATI!$E$61,DATI!$E$64*DATI!$E$63)*1000*C901*sezione!$AD$5</f>
        <v>-3307472.7843981087</v>
      </c>
      <c r="Q901" s="545">
        <f>'Foglio deposito bis'!$F$58*IF(ABS(K901)&lt;'Sollecitazioni nel paramento'!$G$58,ABS(K901)*'Sollecitazioni nel paramento'!$G$54,'Sollecitazioni nel paramento'!$G$53)*IF(K901&lt;0,-1,1)</f>
        <v>0</v>
      </c>
      <c r="R901" s="545">
        <f>'Foglio deposito bis'!$F$59*IF(ABS(L901)&lt;'Sollecitazioni nel paramento'!$G$58,ABS(L901)*'Sollecitazioni nel paramento'!$G$54,'Sollecitazioni nel paramento'!$G$53)*IF(L901&lt;0,-1,1)</f>
        <v>-87458.534157374088</v>
      </c>
      <c r="S901" s="545">
        <f>'Foglio deposito bis'!$F$60*IF(ABS(M901)&lt;'Sollecitazioni nel paramento'!$G$58,ABS(M901)*'Sollecitazioni nel paramento'!$G$54,'Sollecitazioni nel paramento'!$G$53)*IF(M901&lt;0,-1,1)</f>
        <v>0</v>
      </c>
      <c r="T901" s="545">
        <f>'Foglio deposito bis'!$F$61*IF(ABS(N901)&lt;'Sollecitazioni nel paramento'!$G$58,ABS(N901)*'Sollecitazioni nel paramento'!$G$54,'Sollecitazioni nel paramento'!$G$53)*IF(N901&lt;0,-1,1)</f>
        <v>240946.49743184328</v>
      </c>
      <c r="U901" s="545">
        <f>'Foglio deposito bis'!$F$62*IF(ABS(O901)&lt;'Sollecitazioni nel paramento'!$G$58,ABS(O901)*'Sollecitazioni nel paramento'!$G$54,'Sollecitazioni nel paramento'!$G$53)*IF(O901&lt;0,-1,1)</f>
        <v>314705.62929873407</v>
      </c>
      <c r="V901" s="472">
        <f t="shared" si="66"/>
        <v>-2839279.1918249056</v>
      </c>
      <c r="W901" s="551"/>
      <c r="X901" s="551"/>
    </row>
    <row r="902" spans="1:24" x14ac:dyDescent="0.25">
      <c r="A902" s="545">
        <f t="shared" si="65"/>
        <v>2885644.6542392042</v>
      </c>
      <c r="B902" s="3">
        <f t="shared" si="63"/>
        <v>15.299999999999967</v>
      </c>
      <c r="C902" s="545">
        <f>'Foglio deposito bis'!$E$156/sezione!$B$247*B902</f>
        <v>87.967041261685409</v>
      </c>
      <c r="D902" s="603">
        <f>-'Sollecitazioni nel paramento'!$G$47*'Sollecitazioni nel paramento'!$G$41*IF(DATI!$G$211="dx",DATI!$E$61,DATI!$E$64*DATI!$E$63)*1000*C902^2*sezione!$AD$5*(1-sezione!$AD$6)</f>
        <v>-172164495.70358419</v>
      </c>
      <c r="E902" s="545">
        <f>-'Foglio deposito bis'!$F$58*(C902-sezione!$AL$30)*IF(ABS(K902)&lt;'Sollecitazioni nel paramento'!$G$58,ABS(K902)*'Sollecitazioni nel paramento'!$G$54,'Sollecitazioni nel paramento'!$G$53)</f>
        <v>0</v>
      </c>
      <c r="F902" s="545">
        <f>-'Foglio deposito bis'!$F$59*(C902-sezione!$AM$30)*IF(ABS(L902)&lt;'Sollecitazioni nel paramento'!$G$58,ABS(L902)*'Sollecitazioni nel paramento'!$G$54,'Sollecitazioni nel paramento'!$G$53)</f>
        <v>-2517492.6533519127</v>
      </c>
      <c r="G902" s="545">
        <f>-'Foglio deposito bis'!$F$60*(C902-sezione!$AN$30)*IF(ABS(M902)&lt;'Sollecitazioni nel paramento'!$G$58,ABS(M902)*'Sollecitazioni nel paramento'!$G$54,'Sollecitazioni nel paramento'!$G$53)</f>
        <v>0</v>
      </c>
      <c r="H902" s="545">
        <f>-'Foglio deposito bis'!$F$61*(C902-sezione!$AO$30)*IF(ABS(N902)&lt;'Sollecitazioni nel paramento'!$G$58,ABS(N902)*'Sollecitazioni nel paramento'!$G$54,'Sollecitazioni nel paramento'!$G$53)</f>
        <v>17356089.10764939</v>
      </c>
      <c r="I902" s="472">
        <f>-'Foglio deposito bis'!$F$62*(C902-sezione!$AP$30)*IF(ABS(O902)&lt;'Sollecitazioni nel paramento'!$G$58,ABS(O902)*'Sollecitazioni nel paramento'!$G$54,'Sollecitazioni nel paramento'!$G$53)</f>
        <v>93442243.609714597</v>
      </c>
      <c r="J902" s="472">
        <f t="shared" si="64"/>
        <v>-63883655.639572114</v>
      </c>
      <c r="K902" s="550">
        <f>'Sollecitazioni nel paramento'!$G$60*(sezione!$AL$30-C902)/C902</f>
        <v>-1.9084948408856185E-3</v>
      </c>
      <c r="L902" s="550">
        <f>'Sollecitazioni nel paramento'!$G$60*(sezione!$AM$30-C902)/C902</f>
        <v>-1.1127422613284278E-3</v>
      </c>
      <c r="M902" s="551">
        <f>'Sollecitazioni nel paramento'!$G$60*(sezione!$AN$30-C902)/C902</f>
        <v>-3.1698968177123701E-4</v>
      </c>
      <c r="N902" s="551">
        <f>'Sollecitazioni nel paramento'!$G$60*(sezione!$AO$30-C902)/C902</f>
        <v>2.8660206364575264E-3</v>
      </c>
      <c r="O902" s="551">
        <f>'Sollecitazioni nel paramento'!$G$60*(sezione!$AP$30-C902)/C902</f>
        <v>1.1813723599055578E-2</v>
      </c>
      <c r="P902" s="545">
        <f>-'Sollecitazioni nel paramento'!$G$47*'Sollecitazioni nel paramento'!$G$41*IF(DATI!$G$211="dx",DATI!$E$61,DATI!$E$64*DATI!$E$63)*1000*C902*sezione!$AD$5</f>
        <v>-3351280.3709464283</v>
      </c>
      <c r="Q902" s="545">
        <f>'Foglio deposito bis'!$F$58*IF(ABS(K902)&lt;'Sollecitazioni nel paramento'!$G$58,ABS(K902)*'Sollecitazioni nel paramento'!$G$54,'Sollecitazioni nel paramento'!$G$53)*IF(K902&lt;0,-1,1)</f>
        <v>0</v>
      </c>
      <c r="R902" s="545">
        <f>'Foglio deposito bis'!$F$59*IF(ABS(L902)&lt;'Sollecitazioni nel paramento'!$G$58,ABS(L902)*'Sollecitazioni nel paramento'!$G$54,'Sollecitazioni nel paramento'!$G$53)*IF(L902&lt;0,-1,1)</f>
        <v>-90016.410023353266</v>
      </c>
      <c r="S902" s="545">
        <f>'Foglio deposito bis'!$F$60*IF(ABS(M902)&lt;'Sollecitazioni nel paramento'!$G$58,ABS(M902)*'Sollecitazioni nel paramento'!$G$54,'Sollecitazioni nel paramento'!$G$53)*IF(M902&lt;0,-1,1)</f>
        <v>0</v>
      </c>
      <c r="T902" s="545">
        <f>'Foglio deposito bis'!$F$61*IF(ABS(N902)&lt;'Sollecitazioni nel paramento'!$G$58,ABS(N902)*'Sollecitazioni nel paramento'!$G$54,'Sollecitazioni nel paramento'!$G$53)*IF(N902&lt;0,-1,1)</f>
        <v>240946.49743184328</v>
      </c>
      <c r="U902" s="545">
        <f>'Foglio deposito bis'!$F$62*IF(ABS(O902)&lt;'Sollecitazioni nel paramento'!$G$58,ABS(O902)*'Sollecitazioni nel paramento'!$G$54,'Sollecitazioni nel paramento'!$G$53)*IF(O902&lt;0,-1,1)</f>
        <v>314705.62929873407</v>
      </c>
      <c r="V902" s="472">
        <f t="shared" si="66"/>
        <v>-2885644.6542392042</v>
      </c>
      <c r="W902" s="551"/>
      <c r="X902" s="551"/>
    </row>
    <row r="903" spans="1:24" x14ac:dyDescent="0.25">
      <c r="A903" s="545">
        <f t="shared" si="65"/>
        <v>2931944.1069537355</v>
      </c>
      <c r="B903" s="3">
        <f t="shared" si="63"/>
        <v>15.499999999999966</v>
      </c>
      <c r="C903" s="545">
        <f>'Foglio deposito bis'!$E$156/sezione!$B$247*B903</f>
        <v>89.116937225890439</v>
      </c>
      <c r="D903" s="603">
        <f>-'Sollecitazioni nel paramento'!$G$47*'Sollecitazioni nel paramento'!$G$41*IF(DATI!$G$211="dx",DATI!$E$61,DATI!$E$64*DATI!$E$63)*1000*C903^2*sezione!$AD$5*(1-sezione!$AD$6)</f>
        <v>-176694946.78451064</v>
      </c>
      <c r="E903" s="545">
        <f>-'Foglio deposito bis'!$F$58*(C903-sezione!$AL$30)*IF(ABS(K903)&lt;'Sollecitazioni nel paramento'!$G$58,ABS(K903)*'Sollecitazioni nel paramento'!$G$54,'Sollecitazioni nel paramento'!$G$53)</f>
        <v>0</v>
      </c>
      <c r="F903" s="545">
        <f>-'Foglio deposito bis'!$F$59*(C903-sezione!$AM$30)*IF(ABS(L903)&lt;'Sollecitazioni nel paramento'!$G$58,ABS(L903)*'Sollecitazioni nel paramento'!$G$54,'Sollecitazioni nel paramento'!$G$53)</f>
        <v>-2693557.6706869053</v>
      </c>
      <c r="G903" s="545">
        <f>-'Foglio deposito bis'!$F$60*(C903-sezione!$AN$30)*IF(ABS(M903)&lt;'Sollecitazioni nel paramento'!$G$58,ABS(M903)*'Sollecitazioni nel paramento'!$G$54,'Sollecitazioni nel paramento'!$G$53)</f>
        <v>0</v>
      </c>
      <c r="H903" s="545">
        <f>-'Foglio deposito bis'!$F$61*(C903-sezione!$AO$30)*IF(ABS(N903)&lt;'Sollecitazioni nel paramento'!$G$58,ABS(N903)*'Sollecitazioni nel paramento'!$G$54,'Sollecitazioni nel paramento'!$G$53)</f>
        <v>17079025.702663176</v>
      </c>
      <c r="I903" s="472">
        <f>-'Foglio deposito bis'!$F$62*(C903-sezione!$AP$30)*IF(ABS(O903)&lt;'Sollecitazioni nel paramento'!$G$58,ABS(O903)*'Sollecitazioni nel paramento'!$G$54,'Sollecitazioni nel paramento'!$G$53)</f>
        <v>93080364.876671374</v>
      </c>
      <c r="J903" s="472">
        <f t="shared" si="64"/>
        <v>-69229113.875862986</v>
      </c>
      <c r="K903" s="550">
        <f>'Sollecitazioni nel paramento'!$G$60*(sezione!$AL$30-C903)/C903</f>
        <v>-1.9290303913258038E-3</v>
      </c>
      <c r="L903" s="550">
        <f>'Sollecitazioni nel paramento'!$G$60*(sezione!$AM$30-C903)/C903</f>
        <v>-1.1435455869887058E-3</v>
      </c>
      <c r="M903" s="551">
        <f>'Sollecitazioni nel paramento'!$G$60*(sezione!$AN$30-C903)/C903</f>
        <v>-3.5806078265160785E-4</v>
      </c>
      <c r="N903" s="551">
        <f>'Sollecitazioni nel paramento'!$G$60*(sezione!$AO$30-C903)/C903</f>
        <v>2.7838784346967843E-3</v>
      </c>
      <c r="O903" s="551">
        <f>'Sollecitazioni nel paramento'!$G$60*(sezione!$AP$30-C903)/C903</f>
        <v>1.1616127165519375E-2</v>
      </c>
      <c r="P903" s="545">
        <f>-'Sollecitazioni nel paramento'!$G$47*'Sollecitazioni nel paramento'!$G$41*IF(DATI!$G$211="dx",DATI!$E$61,DATI!$E$64*DATI!$E$63)*1000*C903*sezione!$AD$5</f>
        <v>-3395087.9574947474</v>
      </c>
      <c r="Q903" s="545">
        <f>'Foglio deposito bis'!$F$58*IF(ABS(K903)&lt;'Sollecitazioni nel paramento'!$G$58,ABS(K903)*'Sollecitazioni nel paramento'!$G$54,'Sollecitazioni nel paramento'!$G$53)*IF(K903&lt;0,-1,1)</f>
        <v>0</v>
      </c>
      <c r="R903" s="545">
        <f>'Foglio deposito bis'!$F$59*IF(ABS(L903)&lt;'Sollecitazioni nel paramento'!$G$58,ABS(L903)*'Sollecitazioni nel paramento'!$G$54,'Sollecitazioni nel paramento'!$G$53)*IF(L903&lt;0,-1,1)</f>
        <v>-92508.276189565207</v>
      </c>
      <c r="S903" s="545">
        <f>'Foglio deposito bis'!$F$60*IF(ABS(M903)&lt;'Sollecitazioni nel paramento'!$G$58,ABS(M903)*'Sollecitazioni nel paramento'!$G$54,'Sollecitazioni nel paramento'!$G$53)*IF(M903&lt;0,-1,1)</f>
        <v>0</v>
      </c>
      <c r="T903" s="545">
        <f>'Foglio deposito bis'!$F$61*IF(ABS(N903)&lt;'Sollecitazioni nel paramento'!$G$58,ABS(N903)*'Sollecitazioni nel paramento'!$G$54,'Sollecitazioni nel paramento'!$G$53)*IF(N903&lt;0,-1,1)</f>
        <v>240946.49743184328</v>
      </c>
      <c r="U903" s="545">
        <f>'Foglio deposito bis'!$F$62*IF(ABS(O903)&lt;'Sollecitazioni nel paramento'!$G$58,ABS(O903)*'Sollecitazioni nel paramento'!$G$54,'Sollecitazioni nel paramento'!$G$53)*IF(O903&lt;0,-1,1)</f>
        <v>314705.62929873407</v>
      </c>
      <c r="V903" s="472">
        <f t="shared" si="66"/>
        <v>-2931944.1069537355</v>
      </c>
      <c r="W903" s="551"/>
      <c r="X903" s="551"/>
    </row>
    <row r="904" spans="1:24" x14ac:dyDescent="0.25">
      <c r="A904" s="545">
        <f t="shared" si="65"/>
        <v>2978180.0726321852</v>
      </c>
      <c r="B904" s="3">
        <f t="shared" si="63"/>
        <v>15.699999999999966</v>
      </c>
      <c r="C904" s="545">
        <f>'Foglio deposito bis'!$E$156/sezione!$B$247*B904</f>
        <v>90.266833190095483</v>
      </c>
      <c r="D904" s="603">
        <f>-'Sollecitazioni nel paramento'!$G$47*'Sollecitazioni nel paramento'!$G$41*IF(DATI!$G$211="dx",DATI!$E$61,DATI!$E$64*DATI!$E$63)*1000*C904^2*sezione!$AD$5*(1-sezione!$AD$6)</f>
        <v>-181284234.89246216</v>
      </c>
      <c r="E904" s="545">
        <f>-'Foglio deposito bis'!$F$58*(C904-sezione!$AL$30)*IF(ABS(K904)&lt;'Sollecitazioni nel paramento'!$G$58,ABS(K904)*'Sollecitazioni nel paramento'!$G$54,'Sollecitazioni nel paramento'!$G$53)</f>
        <v>0</v>
      </c>
      <c r="F904" s="545">
        <f>-'Foglio deposito bis'!$F$59*(C904-sezione!$AM$30)*IF(ABS(L904)&lt;'Sollecitazioni nel paramento'!$G$58,ABS(L904)*'Sollecitazioni nel paramento'!$G$54,'Sollecitazioni nel paramento'!$G$53)</f>
        <v>-2873431.91018681</v>
      </c>
      <c r="G904" s="545">
        <f>-'Foglio deposito bis'!$F$60*(C904-sezione!$AN$30)*IF(ABS(M904)&lt;'Sollecitazioni nel paramento'!$G$58,ABS(M904)*'Sollecitazioni nel paramento'!$G$54,'Sollecitazioni nel paramento'!$G$53)</f>
        <v>0</v>
      </c>
      <c r="H904" s="545">
        <f>-'Foglio deposito bis'!$F$61*(C904-sezione!$AO$30)*IF(ABS(N904)&lt;'Sollecitazioni nel paramento'!$G$58,ABS(N904)*'Sollecitazioni nel paramento'!$G$54,'Sollecitazioni nel paramento'!$G$53)</f>
        <v>16801962.297676958</v>
      </c>
      <c r="I904" s="472">
        <f>-'Foglio deposito bis'!$F$62*(C904-sezione!$AP$30)*IF(ABS(O904)&lt;'Sollecitazioni nel paramento'!$G$58,ABS(O904)*'Sollecitazioni nel paramento'!$G$54,'Sollecitazioni nel paramento'!$G$53)</f>
        <v>92718486.14362815</v>
      </c>
      <c r="J904" s="472">
        <f t="shared" si="64"/>
        <v>-74637218.361343861</v>
      </c>
      <c r="K904" s="550">
        <f>'Sollecitazioni nel paramento'!$G$60*(sezione!$AL$30-C904)/C904</f>
        <v>-1.9490427430286601E-3</v>
      </c>
      <c r="L904" s="550">
        <f>'Sollecitazioni nel paramento'!$G$60*(sezione!$AM$30-C904)/C904</f>
        <v>-1.1735641145429901E-3</v>
      </c>
      <c r="M904" s="551">
        <f>'Sollecitazioni nel paramento'!$G$60*(sezione!$AN$30-C904)/C904</f>
        <v>-3.9808548605732E-4</v>
      </c>
      <c r="N904" s="551">
        <f>'Sollecitazioni nel paramento'!$G$60*(sezione!$AO$30-C904)/C904</f>
        <v>2.7038290278853603E-3</v>
      </c>
      <c r="O904" s="551">
        <f>'Sollecitazioni nel paramento'!$G$60*(sezione!$AP$30-C904)/C904</f>
        <v>1.1423565036022314E-2</v>
      </c>
      <c r="P904" s="545">
        <f>-'Sollecitazioni nel paramento'!$G$47*'Sollecitazioni nel paramento'!$G$41*IF(DATI!$G$211="dx",DATI!$E$61,DATI!$E$64*DATI!$E$63)*1000*C904*sezione!$AD$5</f>
        <v>-3438895.5440430669</v>
      </c>
      <c r="Q904" s="545">
        <f>'Foglio deposito bis'!$F$58*IF(ABS(K904)&lt;'Sollecitazioni nel paramento'!$G$58,ABS(K904)*'Sollecitazioni nel paramento'!$G$54,'Sollecitazioni nel paramento'!$G$53)*IF(K904&lt;0,-1,1)</f>
        <v>0</v>
      </c>
      <c r="R904" s="545">
        <f>'Foglio deposito bis'!$F$59*IF(ABS(L904)&lt;'Sollecitazioni nel paramento'!$G$58,ABS(L904)*'Sollecitazioni nel paramento'!$G$54,'Sollecitazioni nel paramento'!$G$53)*IF(L904&lt;0,-1,1)</f>
        <v>-94936.655319695361</v>
      </c>
      <c r="S904" s="545">
        <f>'Foglio deposito bis'!$F$60*IF(ABS(M904)&lt;'Sollecitazioni nel paramento'!$G$58,ABS(M904)*'Sollecitazioni nel paramento'!$G$54,'Sollecitazioni nel paramento'!$G$53)*IF(M904&lt;0,-1,1)</f>
        <v>0</v>
      </c>
      <c r="T904" s="545">
        <f>'Foglio deposito bis'!$F$61*IF(ABS(N904)&lt;'Sollecitazioni nel paramento'!$G$58,ABS(N904)*'Sollecitazioni nel paramento'!$G$54,'Sollecitazioni nel paramento'!$G$53)*IF(N904&lt;0,-1,1)</f>
        <v>240946.49743184328</v>
      </c>
      <c r="U904" s="545">
        <f>'Foglio deposito bis'!$F$62*IF(ABS(O904)&lt;'Sollecitazioni nel paramento'!$G$58,ABS(O904)*'Sollecitazioni nel paramento'!$G$54,'Sollecitazioni nel paramento'!$G$53)*IF(O904&lt;0,-1,1)</f>
        <v>314705.62929873407</v>
      </c>
      <c r="V904" s="472">
        <f t="shared" si="66"/>
        <v>-2978180.0726321852</v>
      </c>
      <c r="W904" s="551"/>
      <c r="X904" s="551"/>
    </row>
    <row r="905" spans="1:24" x14ac:dyDescent="0.25">
      <c r="A905" s="545">
        <f t="shared" si="65"/>
        <v>3024354.9470117632</v>
      </c>
      <c r="B905" s="3">
        <f t="shared" si="63"/>
        <v>15.899999999999965</v>
      </c>
      <c r="C905" s="545">
        <f>'Foglio deposito bis'!$E$156/sezione!$B$247*B905</f>
        <v>91.416729154300512</v>
      </c>
      <c r="D905" s="603">
        <f>-'Sollecitazioni nel paramento'!$G$47*'Sollecitazioni nel paramento'!$G$41*IF(DATI!$G$211="dx",DATI!$E$61,DATI!$E$64*DATI!$E$63)*1000*C905^2*sezione!$AD$5*(1-sezione!$AD$6)</f>
        <v>-185932360.02743864</v>
      </c>
      <c r="E905" s="545">
        <f>-'Foglio deposito bis'!$F$58*(C905-sezione!$AL$30)*IF(ABS(K905)&lt;'Sollecitazioni nel paramento'!$G$58,ABS(K905)*'Sollecitazioni nel paramento'!$G$54,'Sollecitazioni nel paramento'!$G$53)</f>
        <v>0</v>
      </c>
      <c r="F905" s="545">
        <f>-'Foglio deposito bis'!$F$59*(C905-sezione!$AM$30)*IF(ABS(L905)&lt;'Sollecitazioni nel paramento'!$G$58,ABS(L905)*'Sollecitazioni nel paramento'!$G$54,'Sollecitazioni nel paramento'!$G$53)</f>
        <v>-3056971.6276189848</v>
      </c>
      <c r="G905" s="545">
        <f>-'Foglio deposito bis'!$F$60*(C905-sezione!$AN$30)*IF(ABS(M905)&lt;'Sollecitazioni nel paramento'!$G$58,ABS(M905)*'Sollecitazioni nel paramento'!$G$54,'Sollecitazioni nel paramento'!$G$53)</f>
        <v>0</v>
      </c>
      <c r="H905" s="545">
        <f>-'Foglio deposito bis'!$F$61*(C905-sezione!$AO$30)*IF(ABS(N905)&lt;'Sollecitazioni nel paramento'!$G$58,ABS(N905)*'Sollecitazioni nel paramento'!$G$54,'Sollecitazioni nel paramento'!$G$53)</f>
        <v>16524898.892690742</v>
      </c>
      <c r="I905" s="472">
        <f>-'Foglio deposito bis'!$F$62*(C905-sezione!$AP$30)*IF(ABS(O905)&lt;'Sollecitazioni nel paramento'!$G$58,ABS(O905)*'Sollecitazioni nel paramento'!$G$54,'Sollecitazioni nel paramento'!$G$53)</f>
        <v>92356607.410584942</v>
      </c>
      <c r="J905" s="472">
        <f t="shared" si="64"/>
        <v>-80107825.351781949</v>
      </c>
      <c r="K905" s="550">
        <f>'Sollecitazioni nel paramento'!$G$60*(sezione!$AL$30-C905)/C905</f>
        <v>-1.9685516393427647E-3</v>
      </c>
      <c r="L905" s="550">
        <f>'Sollecitazioni nel paramento'!$G$60*(sezione!$AM$30-C905)/C905</f>
        <v>-1.2028274590141473E-3</v>
      </c>
      <c r="M905" s="551">
        <f>'Sollecitazioni nel paramento'!$G$60*(sezione!$AN$30-C905)/C905</f>
        <v>-4.3710327868552956E-4</v>
      </c>
      <c r="N905" s="551">
        <f>'Sollecitazioni nel paramento'!$G$60*(sezione!$AO$30-C905)/C905</f>
        <v>2.6257934426289408E-3</v>
      </c>
      <c r="O905" s="551">
        <f>'Sollecitazioni nel paramento'!$G$60*(sezione!$AP$30-C905)/C905</f>
        <v>1.1235847236827065E-2</v>
      </c>
      <c r="P905" s="545">
        <f>-'Sollecitazioni nel paramento'!$G$47*'Sollecitazioni nel paramento'!$G$41*IF(DATI!$G$211="dx",DATI!$E$61,DATI!$E$64*DATI!$E$63)*1000*C905*sezione!$AD$5</f>
        <v>-3482703.130591386</v>
      </c>
      <c r="Q905" s="545">
        <f>'Foglio deposito bis'!$F$58*IF(ABS(K905)&lt;'Sollecitazioni nel paramento'!$G$58,ABS(K905)*'Sollecitazioni nel paramento'!$G$54,'Sollecitazioni nel paramento'!$G$53)*IF(K905&lt;0,-1,1)</f>
        <v>0</v>
      </c>
      <c r="R905" s="545">
        <f>'Foglio deposito bis'!$F$59*IF(ABS(L905)&lt;'Sollecitazioni nel paramento'!$G$58,ABS(L905)*'Sollecitazioni nel paramento'!$G$54,'Sollecitazioni nel paramento'!$G$53)*IF(L905&lt;0,-1,1)</f>
        <v>-97303.943150954263</v>
      </c>
      <c r="S905" s="545">
        <f>'Foglio deposito bis'!$F$60*IF(ABS(M905)&lt;'Sollecitazioni nel paramento'!$G$58,ABS(M905)*'Sollecitazioni nel paramento'!$G$54,'Sollecitazioni nel paramento'!$G$53)*IF(M905&lt;0,-1,1)</f>
        <v>0</v>
      </c>
      <c r="T905" s="545">
        <f>'Foglio deposito bis'!$F$61*IF(ABS(N905)&lt;'Sollecitazioni nel paramento'!$G$58,ABS(N905)*'Sollecitazioni nel paramento'!$G$54,'Sollecitazioni nel paramento'!$G$53)*IF(N905&lt;0,-1,1)</f>
        <v>240946.49743184328</v>
      </c>
      <c r="U905" s="545">
        <f>'Foglio deposito bis'!$F$62*IF(ABS(O905)&lt;'Sollecitazioni nel paramento'!$G$58,ABS(O905)*'Sollecitazioni nel paramento'!$G$54,'Sollecitazioni nel paramento'!$G$53)*IF(O905&lt;0,-1,1)</f>
        <v>314705.62929873407</v>
      </c>
      <c r="V905" s="472">
        <f t="shared" si="66"/>
        <v>-3024354.9470117632</v>
      </c>
      <c r="W905" s="551"/>
      <c r="X905" s="551"/>
    </row>
    <row r="906" spans="1:24" x14ac:dyDescent="0.25">
      <c r="A906" s="545">
        <f t="shared" si="65"/>
        <v>3070471.0067868386</v>
      </c>
      <c r="B906" s="3">
        <f t="shared" si="63"/>
        <v>16.099999999999966</v>
      </c>
      <c r="C906" s="545">
        <f>'Foglio deposito bis'!$E$156/sezione!$B$247*B906</f>
        <v>92.56662511850557</v>
      </c>
      <c r="D906" s="603">
        <f>-'Sollecitazioni nel paramento'!$G$47*'Sollecitazioni nel paramento'!$G$41*IF(DATI!$G$211="dx",DATI!$E$61,DATI!$E$64*DATI!$E$63)*1000*C906^2*sezione!$AD$5*(1-sezione!$AD$6)</f>
        <v>-190639322.18944025</v>
      </c>
      <c r="E906" s="545">
        <f>-'Foglio deposito bis'!$F$58*(C906-sezione!$AL$30)*IF(ABS(K906)&lt;'Sollecitazioni nel paramento'!$G$58,ABS(K906)*'Sollecitazioni nel paramento'!$G$54,'Sollecitazioni nel paramento'!$G$53)</f>
        <v>0</v>
      </c>
      <c r="F906" s="545">
        <f>-'Foglio deposito bis'!$F$59*(C906-sezione!$AM$30)*IF(ABS(L906)&lt;'Sollecitazioni nel paramento'!$G$58,ABS(L906)*'Sollecitazioni nel paramento'!$G$54,'Sollecitazioni nel paramento'!$G$53)</f>
        <v>-3244040.221321363</v>
      </c>
      <c r="G906" s="545">
        <f>-'Foglio deposito bis'!$F$60*(C906-sezione!$AN$30)*IF(ABS(M906)&lt;'Sollecitazioni nel paramento'!$G$58,ABS(M906)*'Sollecitazioni nel paramento'!$G$54,'Sollecitazioni nel paramento'!$G$53)</f>
        <v>0</v>
      </c>
      <c r="H906" s="545">
        <f>-'Foglio deposito bis'!$F$61*(C906-sezione!$AO$30)*IF(ABS(N906)&lt;'Sollecitazioni nel paramento'!$G$58,ABS(N906)*'Sollecitazioni nel paramento'!$G$54,'Sollecitazioni nel paramento'!$G$53)</f>
        <v>16247835.487704523</v>
      </c>
      <c r="I906" s="472">
        <f>-'Foglio deposito bis'!$F$62*(C906-sezione!$AP$30)*IF(ABS(O906)&lt;'Sollecitazioni nel paramento'!$G$58,ABS(O906)*'Sollecitazioni nel paramento'!$G$54,'Sollecitazioni nel paramento'!$G$53)</f>
        <v>91994728.677541718</v>
      </c>
      <c r="J906" s="472">
        <f t="shared" si="64"/>
        <v>-85640798.245515391</v>
      </c>
      <c r="K906" s="550">
        <f>'Sollecitazioni nel paramento'!$G$60*(sezione!$AL$30-C906)/C906</f>
        <v>-1.9875758425807431E-3</v>
      </c>
      <c r="L906" s="550">
        <f>'Sollecitazioni nel paramento'!$G$60*(sezione!$AM$30-C906)/C906</f>
        <v>-1.2313637638711149E-3</v>
      </c>
      <c r="M906" s="551">
        <f>'Sollecitazioni nel paramento'!$G$60*(sezione!$AN$30-C906)/C906</f>
        <v>-4.751516851614864E-4</v>
      </c>
      <c r="N906" s="551">
        <f>'Sollecitazioni nel paramento'!$G$60*(sezione!$AO$30-C906)/C906</f>
        <v>2.5496966296770273E-3</v>
      </c>
      <c r="O906" s="551">
        <f>'Sollecitazioni nel paramento'!$G$60*(sezione!$AP$30-C906)/C906</f>
        <v>1.1052793233885113E-2</v>
      </c>
      <c r="P906" s="545">
        <f>-'Sollecitazioni nel paramento'!$G$47*'Sollecitazioni nel paramento'!$G$41*IF(DATI!$G$211="dx",DATI!$E$61,DATI!$E$64*DATI!$E$63)*1000*C906*sezione!$AD$5</f>
        <v>-3526510.717139706</v>
      </c>
      <c r="Q906" s="545">
        <f>'Foglio deposito bis'!$F$58*IF(ABS(K906)&lt;'Sollecitazioni nel paramento'!$G$58,ABS(K906)*'Sollecitazioni nel paramento'!$G$54,'Sollecitazioni nel paramento'!$G$53)*IF(K906&lt;0,-1,1)</f>
        <v>0</v>
      </c>
      <c r="R906" s="545">
        <f>'Foglio deposito bis'!$F$59*IF(ABS(L906)&lt;'Sollecitazioni nel paramento'!$G$58,ABS(L906)*'Sollecitazioni nel paramento'!$G$54,'Sollecitazioni nel paramento'!$G$53)*IF(L906&lt;0,-1,1)</f>
        <v>-99612.416377709902</v>
      </c>
      <c r="S906" s="545">
        <f>'Foglio deposito bis'!$F$60*IF(ABS(M906)&lt;'Sollecitazioni nel paramento'!$G$58,ABS(M906)*'Sollecitazioni nel paramento'!$G$54,'Sollecitazioni nel paramento'!$G$53)*IF(M906&lt;0,-1,1)</f>
        <v>0</v>
      </c>
      <c r="T906" s="545">
        <f>'Foglio deposito bis'!$F$61*IF(ABS(N906)&lt;'Sollecitazioni nel paramento'!$G$58,ABS(N906)*'Sollecitazioni nel paramento'!$G$54,'Sollecitazioni nel paramento'!$G$53)*IF(N906&lt;0,-1,1)</f>
        <v>240946.49743184328</v>
      </c>
      <c r="U906" s="545">
        <f>'Foglio deposito bis'!$F$62*IF(ABS(O906)&lt;'Sollecitazioni nel paramento'!$G$58,ABS(O906)*'Sollecitazioni nel paramento'!$G$54,'Sollecitazioni nel paramento'!$G$53)*IF(O906&lt;0,-1,1)</f>
        <v>314705.62929873407</v>
      </c>
      <c r="V906" s="472">
        <f t="shared" si="66"/>
        <v>-3070471.0067868386</v>
      </c>
      <c r="W906" s="551"/>
      <c r="X906" s="551"/>
    </row>
    <row r="907" spans="1:24" x14ac:dyDescent="0.25">
      <c r="A907" s="545">
        <f t="shared" si="65"/>
        <v>3116530.4169121766</v>
      </c>
      <c r="B907" s="3">
        <f t="shared" si="63"/>
        <v>16.299999999999965</v>
      </c>
      <c r="C907" s="545">
        <f>'Foglio deposito bis'!$E$156/sezione!$B$247*B907</f>
        <v>93.716521082710599</v>
      </c>
      <c r="D907" s="603">
        <f>-'Sollecitazioni nel paramento'!$G$47*'Sollecitazioni nel paramento'!$G$41*IF(DATI!$G$211="dx",DATI!$E$61,DATI!$E$64*DATI!$E$63)*1000*C907^2*sezione!$AD$5*(1-sezione!$AD$6)</f>
        <v>-195405121.37846676</v>
      </c>
      <c r="E907" s="545">
        <f>-'Foglio deposito bis'!$F$58*(C907-sezione!$AL$30)*IF(ABS(K907)&lt;'Sollecitazioni nel paramento'!$G$58,ABS(K907)*'Sollecitazioni nel paramento'!$G$54,'Sollecitazioni nel paramento'!$G$53)</f>
        <v>0</v>
      </c>
      <c r="F907" s="545">
        <f>-'Foglio deposito bis'!$F$59*(C907-sezione!$AM$30)*IF(ABS(L907)&lt;'Sollecitazioni nel paramento'!$G$58,ABS(L907)*'Sollecitazioni nel paramento'!$G$54,'Sollecitazioni nel paramento'!$G$53)</f>
        <v>-3434507.7940079169</v>
      </c>
      <c r="G907" s="545">
        <f>-'Foglio deposito bis'!$F$60*(C907-sezione!$AN$30)*IF(ABS(M907)&lt;'Sollecitazioni nel paramento'!$G$58,ABS(M907)*'Sollecitazioni nel paramento'!$G$54,'Sollecitazioni nel paramento'!$G$53)</f>
        <v>0</v>
      </c>
      <c r="H907" s="545">
        <f>-'Foglio deposito bis'!$F$61*(C907-sezione!$AO$30)*IF(ABS(N907)&lt;'Sollecitazioni nel paramento'!$G$58,ABS(N907)*'Sollecitazioni nel paramento'!$G$54,'Sollecitazioni nel paramento'!$G$53)</f>
        <v>15970772.082718309</v>
      </c>
      <c r="I907" s="472">
        <f>-'Foglio deposito bis'!$F$62*(C907-sezione!$AP$30)*IF(ABS(O907)&lt;'Sollecitazioni nel paramento'!$G$58,ABS(O907)*'Sollecitazioni nel paramento'!$G$54,'Sollecitazioni nel paramento'!$G$53)</f>
        <v>91632849.944498509</v>
      </c>
      <c r="J907" s="472">
        <f t="shared" si="64"/>
        <v>-91236007.14525786</v>
      </c>
      <c r="K907" s="550">
        <f>'Sollecitazioni nel paramento'!$G$60*(sezione!$AL$30-C907)/C907</f>
        <v>-2.0061331942055191E-3</v>
      </c>
      <c r="L907" s="550">
        <f>'Sollecitazioni nel paramento'!$G$60*(sezione!$AM$30-C907)/C907</f>
        <v>-1.2591997913082788E-3</v>
      </c>
      <c r="M907" s="551">
        <f>'Sollecitazioni nel paramento'!$G$60*(sezione!$AN$30-C907)/C907</f>
        <v>-5.122663884110384E-4</v>
      </c>
      <c r="N907" s="551">
        <f>'Sollecitazioni nel paramento'!$G$60*(sezione!$AO$30-C907)/C907</f>
        <v>2.475467223177923E-3</v>
      </c>
      <c r="O907" s="551">
        <f>'Sollecitazioni nel paramento'!$G$60*(sezione!$AP$30-C907)/C907</f>
        <v>1.0874231353714745E-2</v>
      </c>
      <c r="P907" s="545">
        <f>-'Sollecitazioni nel paramento'!$G$47*'Sollecitazioni nel paramento'!$G$41*IF(DATI!$G$211="dx",DATI!$E$61,DATI!$E$64*DATI!$E$63)*1000*C907*sezione!$AD$5</f>
        <v>-3570318.3036880246</v>
      </c>
      <c r="Q907" s="545">
        <f>'Foglio deposito bis'!$F$58*IF(ABS(K907)&lt;'Sollecitazioni nel paramento'!$G$58,ABS(K907)*'Sollecitazioni nel paramento'!$G$54,'Sollecitazioni nel paramento'!$G$53)*IF(K907&lt;0,-1,1)</f>
        <v>0</v>
      </c>
      <c r="R907" s="545">
        <f>'Foglio deposito bis'!$F$59*IF(ABS(L907)&lt;'Sollecitazioni nel paramento'!$G$58,ABS(L907)*'Sollecitazioni nel paramento'!$G$54,'Sollecitazioni nel paramento'!$G$53)*IF(L907&lt;0,-1,1)</f>
        <v>-101864.23995472916</v>
      </c>
      <c r="S907" s="545">
        <f>'Foglio deposito bis'!$F$60*IF(ABS(M907)&lt;'Sollecitazioni nel paramento'!$G$58,ABS(M907)*'Sollecitazioni nel paramento'!$G$54,'Sollecitazioni nel paramento'!$G$53)*IF(M907&lt;0,-1,1)</f>
        <v>0</v>
      </c>
      <c r="T907" s="545">
        <f>'Foglio deposito bis'!$F$61*IF(ABS(N907)&lt;'Sollecitazioni nel paramento'!$G$58,ABS(N907)*'Sollecitazioni nel paramento'!$G$54,'Sollecitazioni nel paramento'!$G$53)*IF(N907&lt;0,-1,1)</f>
        <v>240946.49743184328</v>
      </c>
      <c r="U907" s="545">
        <f>'Foglio deposito bis'!$F$62*IF(ABS(O907)&lt;'Sollecitazioni nel paramento'!$G$58,ABS(O907)*'Sollecitazioni nel paramento'!$G$54,'Sollecitazioni nel paramento'!$G$53)*IF(O907&lt;0,-1,1)</f>
        <v>314705.62929873407</v>
      </c>
      <c r="V907" s="472">
        <f t="shared" si="66"/>
        <v>-3116530.4169121766</v>
      </c>
      <c r="W907" s="551"/>
      <c r="X907" s="551"/>
    </row>
    <row r="908" spans="1:24" x14ac:dyDescent="0.25">
      <c r="A908" s="545">
        <f t="shared" si="65"/>
        <v>3162535.2373750424</v>
      </c>
      <c r="B908" s="3">
        <f t="shared" si="63"/>
        <v>16.499999999999964</v>
      </c>
      <c r="C908" s="545">
        <f>'Foglio deposito bis'!$E$156/sezione!$B$247*B908</f>
        <v>94.866417046915643</v>
      </c>
      <c r="D908" s="603">
        <f>-'Sollecitazioni nel paramento'!$G$47*'Sollecitazioni nel paramento'!$G$41*IF(DATI!$G$211="dx",DATI!$E$61,DATI!$E$64*DATI!$E$63)*1000*C908^2*sezione!$AD$5*(1-sezione!$AD$6)</f>
        <v>-200229757.59451833</v>
      </c>
      <c r="E908" s="545">
        <f>-'Foglio deposito bis'!$F$58*(C908-sezione!$AL$30)*IF(ABS(K908)&lt;'Sollecitazioni nel paramento'!$G$58,ABS(K908)*'Sollecitazioni nel paramento'!$G$54,'Sollecitazioni nel paramento'!$G$53)</f>
        <v>0</v>
      </c>
      <c r="F908" s="545">
        <f>-'Foglio deposito bis'!$F$59*(C908-sezione!$AM$30)*IF(ABS(L908)&lt;'Sollecitazioni nel paramento'!$G$58,ABS(L908)*'Sollecitazioni nel paramento'!$G$54,'Sollecitazioni nel paramento'!$G$53)</f>
        <v>-3628250.7464428651</v>
      </c>
      <c r="G908" s="545">
        <f>-'Foglio deposito bis'!$F$60*(C908-sezione!$AN$30)*IF(ABS(M908)&lt;'Sollecitazioni nel paramento'!$G$58,ABS(M908)*'Sollecitazioni nel paramento'!$G$54,'Sollecitazioni nel paramento'!$G$53)</f>
        <v>0</v>
      </c>
      <c r="H908" s="545">
        <f>-'Foglio deposito bis'!$F$61*(C908-sezione!$AO$30)*IF(ABS(N908)&lt;'Sollecitazioni nel paramento'!$G$58,ABS(N908)*'Sollecitazioni nel paramento'!$G$54,'Sollecitazioni nel paramento'!$G$53)</f>
        <v>15693708.67773209</v>
      </c>
      <c r="I908" s="472">
        <f>-'Foglio deposito bis'!$F$62*(C908-sezione!$AP$30)*IF(ABS(O908)&lt;'Sollecitazioni nel paramento'!$G$58,ABS(O908)*'Sollecitazioni nel paramento'!$G$54,'Sollecitazioni nel paramento'!$G$53)</f>
        <v>91270971.211455286</v>
      </c>
      <c r="J908" s="472">
        <f t="shared" si="64"/>
        <v>-96893328.451773822</v>
      </c>
      <c r="K908" s="550">
        <f>'Sollecitazioni nel paramento'!$G$60*(sezione!$AL$30-C908)/C908</f>
        <v>-2.0242406706393917E-3</v>
      </c>
      <c r="L908" s="550">
        <f>'Sollecitazioni nel paramento'!$G$60*(sezione!$AM$30-C908)/C908</f>
        <v>-1.2863610059590878E-3</v>
      </c>
      <c r="M908" s="551">
        <f>'Sollecitazioni nel paramento'!$G$60*(sezione!$AN$30-C908)/C908</f>
        <v>-5.4848134127878352E-4</v>
      </c>
      <c r="N908" s="551">
        <f>'Sollecitazioni nel paramento'!$G$60*(sezione!$AO$30-C908)/C908</f>
        <v>2.4030373174424328E-3</v>
      </c>
      <c r="O908" s="551">
        <f>'Sollecitazioni nel paramento'!$G$60*(sezione!$AP$30-C908)/C908</f>
        <v>1.069999824639699E-2</v>
      </c>
      <c r="P908" s="545">
        <f>-'Sollecitazioni nel paramento'!$G$47*'Sollecitazioni nel paramento'!$G$41*IF(DATI!$G$211="dx",DATI!$E$61,DATI!$E$64*DATI!$E$63)*1000*C908*sezione!$AD$5</f>
        <v>-3614125.8902363442</v>
      </c>
      <c r="Q908" s="545">
        <f>'Foglio deposito bis'!$F$58*IF(ABS(K908)&lt;'Sollecitazioni nel paramento'!$G$58,ABS(K908)*'Sollecitazioni nel paramento'!$G$54,'Sollecitazioni nel paramento'!$G$53)*IF(K908&lt;0,-1,1)</f>
        <v>0</v>
      </c>
      <c r="R908" s="545">
        <f>'Foglio deposito bis'!$F$59*IF(ABS(L908)&lt;'Sollecitazioni nel paramento'!$G$58,ABS(L908)*'Sollecitazioni nel paramento'!$G$54,'Sollecitazioni nel paramento'!$G$53)*IF(L908&lt;0,-1,1)</f>
        <v>-104061.47386927524</v>
      </c>
      <c r="S908" s="545">
        <f>'Foglio deposito bis'!$F$60*IF(ABS(M908)&lt;'Sollecitazioni nel paramento'!$G$58,ABS(M908)*'Sollecitazioni nel paramento'!$G$54,'Sollecitazioni nel paramento'!$G$53)*IF(M908&lt;0,-1,1)</f>
        <v>0</v>
      </c>
      <c r="T908" s="545">
        <f>'Foglio deposito bis'!$F$61*IF(ABS(N908)&lt;'Sollecitazioni nel paramento'!$G$58,ABS(N908)*'Sollecitazioni nel paramento'!$G$54,'Sollecitazioni nel paramento'!$G$53)*IF(N908&lt;0,-1,1)</f>
        <v>240946.49743184328</v>
      </c>
      <c r="U908" s="545">
        <f>'Foglio deposito bis'!$F$62*IF(ABS(O908)&lt;'Sollecitazioni nel paramento'!$G$58,ABS(O908)*'Sollecitazioni nel paramento'!$G$54,'Sollecitazioni nel paramento'!$G$53)*IF(O908&lt;0,-1,1)</f>
        <v>314705.62929873407</v>
      </c>
      <c r="V908" s="472">
        <f t="shared" si="66"/>
        <v>-3162535.2373750424</v>
      </c>
      <c r="W908" s="551"/>
      <c r="X908" s="551"/>
    </row>
    <row r="909" spans="1:24" x14ac:dyDescent="0.25">
      <c r="A909" s="545">
        <f t="shared" si="65"/>
        <v>3208487.4294806733</v>
      </c>
      <c r="B909" s="3">
        <f t="shared" si="63"/>
        <v>16.699999999999964</v>
      </c>
      <c r="C909" s="545">
        <f>'Foglio deposito bis'!$E$156/sezione!$B$247*B909</f>
        <v>96.016313011120673</v>
      </c>
      <c r="D909" s="603">
        <f>-'Sollecitazioni nel paramento'!$G$47*'Sollecitazioni nel paramento'!$G$41*IF(DATI!$G$211="dx",DATI!$E$61,DATI!$E$64*DATI!$E$63)*1000*C909^2*sezione!$AD$5*(1-sezione!$AD$6)</f>
        <v>-205113230.83759493</v>
      </c>
      <c r="E909" s="545">
        <f>-'Foglio deposito bis'!$F$58*(C909-sezione!$AL$30)*IF(ABS(K909)&lt;'Sollecitazioni nel paramento'!$G$58,ABS(K909)*'Sollecitazioni nel paramento'!$G$54,'Sollecitazioni nel paramento'!$G$53)</f>
        <v>0</v>
      </c>
      <c r="F909" s="545">
        <f>-'Foglio deposito bis'!$F$59*(C909-sezione!$AM$30)*IF(ABS(L909)&lt;'Sollecitazioni nel paramento'!$G$58,ABS(L909)*'Sollecitazioni nel paramento'!$G$54,'Sollecitazioni nel paramento'!$G$53)</f>
        <v>-3825151.4003118882</v>
      </c>
      <c r="G909" s="545">
        <f>-'Foglio deposito bis'!$F$60*(C909-sezione!$AN$30)*IF(ABS(M909)&lt;'Sollecitazioni nel paramento'!$G$58,ABS(M909)*'Sollecitazioni nel paramento'!$G$54,'Sollecitazioni nel paramento'!$G$53)</f>
        <v>0</v>
      </c>
      <c r="H909" s="545">
        <f>-'Foglio deposito bis'!$F$61*(C909-sezione!$AO$30)*IF(ABS(N909)&lt;'Sollecitazioni nel paramento'!$G$58,ABS(N909)*'Sollecitazioni nel paramento'!$G$54,'Sollecitazioni nel paramento'!$G$53)</f>
        <v>15416645.272745878</v>
      </c>
      <c r="I909" s="472">
        <f>-'Foglio deposito bis'!$F$62*(C909-sezione!$AP$30)*IF(ABS(O909)&lt;'Sollecitazioni nel paramento'!$G$58,ABS(O909)*'Sollecitazioni nel paramento'!$G$54,'Sollecitazioni nel paramento'!$G$53)</f>
        <v>90909092.478412077</v>
      </c>
      <c r="J909" s="472">
        <f t="shared" si="64"/>
        <v>-102612644.48674886</v>
      </c>
      <c r="K909" s="550">
        <f>'Sollecitazioni nel paramento'!$G$60*(sezione!$AL$30-C909)/C909</f>
        <v>-2.0419144350628722E-3</v>
      </c>
      <c r="L909" s="550">
        <f>'Sollecitazioni nel paramento'!$G$60*(sezione!$AM$30-C909)/C909</f>
        <v>-1.312871652594308E-3</v>
      </c>
      <c r="M909" s="551">
        <f>'Sollecitazioni nel paramento'!$G$60*(sezione!$AN$30-C909)/C909</f>
        <v>-5.8382887012574402E-4</v>
      </c>
      <c r="N909" s="551">
        <f>'Sollecitazioni nel paramento'!$G$60*(sezione!$AO$30-C909)/C909</f>
        <v>2.332342259748512E-3</v>
      </c>
      <c r="O909" s="551">
        <f>'Sollecitazioni nel paramento'!$G$60*(sezione!$AP$30-C909)/C909</f>
        <v>1.0529938387158705E-2</v>
      </c>
      <c r="P909" s="545">
        <f>-'Sollecitazioni nel paramento'!$G$47*'Sollecitazioni nel paramento'!$G$41*IF(DATI!$G$211="dx",DATI!$E$61,DATI!$E$64*DATI!$E$63)*1000*C909*sezione!$AD$5</f>
        <v>-3657933.4767846637</v>
      </c>
      <c r="Q909" s="545">
        <f>'Foglio deposito bis'!$F$58*IF(ABS(K909)&lt;'Sollecitazioni nel paramento'!$G$58,ABS(K909)*'Sollecitazioni nel paramento'!$G$54,'Sollecitazioni nel paramento'!$G$53)*IF(K909&lt;0,-1,1)</f>
        <v>0</v>
      </c>
      <c r="R909" s="545">
        <f>'Foglio deposito bis'!$F$59*IF(ABS(L909)&lt;'Sollecitazioni nel paramento'!$G$58,ABS(L909)*'Sollecitazioni nel paramento'!$G$54,'Sollecitazioni nel paramento'!$G$53)*IF(L909&lt;0,-1,1)</f>
        <v>-106206.07942658664</v>
      </c>
      <c r="S909" s="545">
        <f>'Foglio deposito bis'!$F$60*IF(ABS(M909)&lt;'Sollecitazioni nel paramento'!$G$58,ABS(M909)*'Sollecitazioni nel paramento'!$G$54,'Sollecitazioni nel paramento'!$G$53)*IF(M909&lt;0,-1,1)</f>
        <v>0</v>
      </c>
      <c r="T909" s="545">
        <f>'Foglio deposito bis'!$F$61*IF(ABS(N909)&lt;'Sollecitazioni nel paramento'!$G$58,ABS(N909)*'Sollecitazioni nel paramento'!$G$54,'Sollecitazioni nel paramento'!$G$53)*IF(N909&lt;0,-1,1)</f>
        <v>240946.49743184328</v>
      </c>
      <c r="U909" s="545">
        <f>'Foglio deposito bis'!$F$62*IF(ABS(O909)&lt;'Sollecitazioni nel paramento'!$G$58,ABS(O909)*'Sollecitazioni nel paramento'!$G$54,'Sollecitazioni nel paramento'!$G$53)*IF(O909&lt;0,-1,1)</f>
        <v>314705.62929873407</v>
      </c>
      <c r="V909" s="472">
        <f t="shared" si="66"/>
        <v>-3208487.4294806733</v>
      </c>
      <c r="W909" s="551"/>
      <c r="X909" s="551"/>
    </row>
    <row r="910" spans="1:24" x14ac:dyDescent="0.25">
      <c r="A910" s="545">
        <f t="shared" si="65"/>
        <v>3254388.8616914568</v>
      </c>
      <c r="B910" s="3">
        <f t="shared" si="63"/>
        <v>16.899999999999963</v>
      </c>
      <c r="C910" s="545">
        <f>'Foglio deposito bis'!$E$156/sezione!$B$247*B910</f>
        <v>97.166208975325716</v>
      </c>
      <c r="D910" s="603">
        <f>-'Sollecitazioni nel paramento'!$G$47*'Sollecitazioni nel paramento'!$G$41*IF(DATI!$G$211="dx",DATI!$E$61,DATI!$E$64*DATI!$E$63)*1000*C910^2*sezione!$AD$5*(1-sezione!$AD$6)</f>
        <v>-210055541.10769653</v>
      </c>
      <c r="E910" s="545">
        <f>-'Foglio deposito bis'!$F$58*(C910-sezione!$AL$30)*IF(ABS(K910)&lt;'Sollecitazioni nel paramento'!$G$58,ABS(K910)*'Sollecitazioni nel paramento'!$G$54,'Sollecitazioni nel paramento'!$G$53)</f>
        <v>0</v>
      </c>
      <c r="F910" s="545">
        <f>-'Foglio deposito bis'!$F$59*(C910-sezione!$AM$30)*IF(ABS(L910)&lt;'Sollecitazioni nel paramento'!$G$58,ABS(L910)*'Sollecitazioni nel paramento'!$G$54,'Sollecitazioni nel paramento'!$G$53)</f>
        <v>-4025097.6478717709</v>
      </c>
      <c r="G910" s="545">
        <f>-'Foglio deposito bis'!$F$60*(C910-sezione!$AN$30)*IF(ABS(M910)&lt;'Sollecitazioni nel paramento'!$G$58,ABS(M910)*'Sollecitazioni nel paramento'!$G$54,'Sollecitazioni nel paramento'!$G$53)</f>
        <v>0</v>
      </c>
      <c r="H910" s="545">
        <f>-'Foglio deposito bis'!$F$61*(C910-sezione!$AO$30)*IF(ABS(N910)&lt;'Sollecitazioni nel paramento'!$G$58,ABS(N910)*'Sollecitazioni nel paramento'!$G$54,'Sollecitazioni nel paramento'!$G$53)</f>
        <v>15139581.86775966</v>
      </c>
      <c r="I910" s="472">
        <f>-'Foglio deposito bis'!$F$62*(C910-sezione!$AP$30)*IF(ABS(O910)&lt;'Sollecitazioni nel paramento'!$G$58,ABS(O910)*'Sollecitazioni nel paramento'!$G$54,'Sollecitazioni nel paramento'!$G$53)</f>
        <v>90547213.745368838</v>
      </c>
      <c r="J910" s="472">
        <f t="shared" si="64"/>
        <v>-108393843.14243978</v>
      </c>
      <c r="K910" s="550">
        <f>'Sollecitazioni nel paramento'!$G$60*(sezione!$AL$30-C910)/C910</f>
        <v>-2.0591698855355008E-3</v>
      </c>
      <c r="L910" s="550">
        <f>'Sollecitazioni nel paramento'!$G$60*(sezione!$AM$30-C910)/C910</f>
        <v>-1.3387548283032512E-3</v>
      </c>
      <c r="M910" s="551">
        <f>'Sollecitazioni nel paramento'!$G$60*(sezione!$AN$30-C910)/C910</f>
        <v>-6.1833977107100162E-4</v>
      </c>
      <c r="N910" s="551">
        <f>'Sollecitazioni nel paramento'!$G$60*(sezione!$AO$30-C910)/C910</f>
        <v>2.2633204578579968E-3</v>
      </c>
      <c r="O910" s="551">
        <f>'Sollecitazioni nel paramento'!$G$60*(sezione!$AP$30-C910)/C910</f>
        <v>1.0363903613346173E-2</v>
      </c>
      <c r="P910" s="545">
        <f>-'Sollecitazioni nel paramento'!$G$47*'Sollecitazioni nel paramento'!$G$41*IF(DATI!$G$211="dx",DATI!$E$61,DATI!$E$64*DATI!$E$63)*1000*C910*sezione!$AD$5</f>
        <v>-3701741.0633329833</v>
      </c>
      <c r="Q910" s="545">
        <f>'Foglio deposito bis'!$F$58*IF(ABS(K910)&lt;'Sollecitazioni nel paramento'!$G$58,ABS(K910)*'Sollecitazioni nel paramento'!$G$54,'Sollecitazioni nel paramento'!$G$53)*IF(K910&lt;0,-1,1)</f>
        <v>0</v>
      </c>
      <c r="R910" s="545">
        <f>'Foglio deposito bis'!$F$59*IF(ABS(L910)&lt;'Sollecitazioni nel paramento'!$G$58,ABS(L910)*'Sollecitazioni nel paramento'!$G$54,'Sollecitazioni nel paramento'!$G$53)*IF(L910&lt;0,-1,1)</f>
        <v>-108299.92508905049</v>
      </c>
      <c r="S910" s="545">
        <f>'Foglio deposito bis'!$F$60*IF(ABS(M910)&lt;'Sollecitazioni nel paramento'!$G$58,ABS(M910)*'Sollecitazioni nel paramento'!$G$54,'Sollecitazioni nel paramento'!$G$53)*IF(M910&lt;0,-1,1)</f>
        <v>0</v>
      </c>
      <c r="T910" s="545">
        <f>'Foglio deposito bis'!$F$61*IF(ABS(N910)&lt;'Sollecitazioni nel paramento'!$G$58,ABS(N910)*'Sollecitazioni nel paramento'!$G$54,'Sollecitazioni nel paramento'!$G$53)*IF(N910&lt;0,-1,1)</f>
        <v>240946.49743184328</v>
      </c>
      <c r="U910" s="545">
        <f>'Foglio deposito bis'!$F$62*IF(ABS(O910)&lt;'Sollecitazioni nel paramento'!$G$58,ABS(O910)*'Sollecitazioni nel paramento'!$G$54,'Sollecitazioni nel paramento'!$G$53)*IF(O910&lt;0,-1,1)</f>
        <v>314705.62929873407</v>
      </c>
      <c r="V910" s="472">
        <f t="shared" si="66"/>
        <v>-3254388.8616914568</v>
      </c>
      <c r="W910" s="551"/>
      <c r="X910" s="551"/>
    </row>
    <row r="911" spans="1:24" x14ac:dyDescent="0.25">
      <c r="A911" s="545">
        <f t="shared" si="65"/>
        <v>3300241.3150563338</v>
      </c>
      <c r="B911" s="3">
        <f t="shared" si="63"/>
        <v>17.099999999999962</v>
      </c>
      <c r="C911" s="545">
        <f>'Foglio deposito bis'!$E$156/sezione!$B$247*B911</f>
        <v>98.316104939530746</v>
      </c>
      <c r="D911" s="603">
        <f>-'Sollecitazioni nel paramento'!$G$47*'Sollecitazioni nel paramento'!$G$41*IF(DATI!$G$211="dx",DATI!$E$61,DATI!$E$64*DATI!$E$63)*1000*C911^2*sezione!$AD$5*(1-sezione!$AD$6)</f>
        <v>-215056688.40482315</v>
      </c>
      <c r="E911" s="545">
        <f>-'Foglio deposito bis'!$F$58*(C911-sezione!$AL$30)*IF(ABS(K911)&lt;'Sollecitazioni nel paramento'!$G$58,ABS(K911)*'Sollecitazioni nel paramento'!$G$54,'Sollecitazioni nel paramento'!$G$53)</f>
        <v>0</v>
      </c>
      <c r="F911" s="545">
        <f>-'Foglio deposito bis'!$F$59*(C911-sezione!$AM$30)*IF(ABS(L911)&lt;'Sollecitazioni nel paramento'!$G$58,ABS(L911)*'Sollecitazioni nel paramento'!$G$54,'Sollecitazioni nel paramento'!$G$53)</f>
        <v>-4227982.6261859862</v>
      </c>
      <c r="G911" s="545">
        <f>-'Foglio deposito bis'!$F$60*(C911-sezione!$AN$30)*IF(ABS(M911)&lt;'Sollecitazioni nel paramento'!$G$58,ABS(M911)*'Sollecitazioni nel paramento'!$G$54,'Sollecitazioni nel paramento'!$G$53)</f>
        <v>0</v>
      </c>
      <c r="H911" s="545">
        <f>-'Foglio deposito bis'!$F$61*(C911-sezione!$AO$30)*IF(ABS(N911)&lt;'Sollecitazioni nel paramento'!$G$58,ABS(N911)*'Sollecitazioni nel paramento'!$G$54,'Sollecitazioni nel paramento'!$G$53)</f>
        <v>14862518.462773444</v>
      </c>
      <c r="I911" s="472">
        <f>-'Foglio deposito bis'!$F$62*(C911-sezione!$AP$30)*IF(ABS(O911)&lt;'Sollecitazioni nel paramento'!$G$58,ABS(O911)*'Sollecitazioni nel paramento'!$G$54,'Sollecitazioni nel paramento'!$G$53)</f>
        <v>90185335.012325615</v>
      </c>
      <c r="J911" s="472">
        <f t="shared" si="64"/>
        <v>-114236817.55591008</v>
      </c>
      <c r="K911" s="550">
        <f>'Sollecitazioni nel paramento'!$G$60*(sezione!$AL$30-C911)/C911</f>
        <v>-2.0760216997397639E-3</v>
      </c>
      <c r="L911" s="550">
        <f>'Sollecitazioni nel paramento'!$G$60*(sezione!$AM$30-C911)/C911</f>
        <v>-1.3640325496096458E-3</v>
      </c>
      <c r="M911" s="551">
        <f>'Sollecitazioni nel paramento'!$G$60*(sezione!$AN$30-C911)/C911</f>
        <v>-6.5204339947952774E-4</v>
      </c>
      <c r="N911" s="551">
        <f>'Sollecitazioni nel paramento'!$G$60*(sezione!$AO$30-C911)/C911</f>
        <v>2.1959132010409446E-3</v>
      </c>
      <c r="O911" s="551">
        <f>'Sollecitazioni nel paramento'!$G$60*(sezione!$AP$30-C911)/C911</f>
        <v>1.0201752693891831E-2</v>
      </c>
      <c r="P911" s="545">
        <f>-'Sollecitazioni nel paramento'!$G$47*'Sollecitazioni nel paramento'!$G$41*IF(DATI!$G$211="dx",DATI!$E$61,DATI!$E$64*DATI!$E$63)*1000*C911*sezione!$AD$5</f>
        <v>-3745548.6498813024</v>
      </c>
      <c r="Q911" s="545">
        <f>'Foglio deposito bis'!$F$58*IF(ABS(K911)&lt;'Sollecitazioni nel paramento'!$G$58,ABS(K911)*'Sollecitazioni nel paramento'!$G$54,'Sollecitazioni nel paramento'!$G$53)*IF(K911&lt;0,-1,1)</f>
        <v>0</v>
      </c>
      <c r="R911" s="545">
        <f>'Foglio deposito bis'!$F$59*IF(ABS(L911)&lt;'Sollecitazioni nel paramento'!$G$58,ABS(L911)*'Sollecitazioni nel paramento'!$G$54,'Sollecitazioni nel paramento'!$G$53)*IF(L911&lt;0,-1,1)</f>
        <v>-110344.79190560871</v>
      </c>
      <c r="S911" s="545">
        <f>'Foglio deposito bis'!$F$60*IF(ABS(M911)&lt;'Sollecitazioni nel paramento'!$G$58,ABS(M911)*'Sollecitazioni nel paramento'!$G$54,'Sollecitazioni nel paramento'!$G$53)*IF(M911&lt;0,-1,1)</f>
        <v>0</v>
      </c>
      <c r="T911" s="545">
        <f>'Foglio deposito bis'!$F$61*IF(ABS(N911)&lt;'Sollecitazioni nel paramento'!$G$58,ABS(N911)*'Sollecitazioni nel paramento'!$G$54,'Sollecitazioni nel paramento'!$G$53)*IF(N911&lt;0,-1,1)</f>
        <v>240946.49743184328</v>
      </c>
      <c r="U911" s="545">
        <f>'Foglio deposito bis'!$F$62*IF(ABS(O911)&lt;'Sollecitazioni nel paramento'!$G$58,ABS(O911)*'Sollecitazioni nel paramento'!$G$54,'Sollecitazioni nel paramento'!$G$53)*IF(O911&lt;0,-1,1)</f>
        <v>314705.62929873407</v>
      </c>
      <c r="V911" s="472">
        <f t="shared" si="66"/>
        <v>-3300241.3150563338</v>
      </c>
      <c r="W911" s="551"/>
      <c r="X911" s="551"/>
    </row>
    <row r="912" spans="1:24" x14ac:dyDescent="0.25">
      <c r="A912" s="545">
        <f t="shared" si="65"/>
        <v>3346046.4882636038</v>
      </c>
      <c r="B912" s="3">
        <f t="shared" si="63"/>
        <v>17.299999999999962</v>
      </c>
      <c r="C912" s="545">
        <f>'Foglio deposito bis'!$E$156/sezione!$B$247*B912</f>
        <v>99.46600090373579</v>
      </c>
      <c r="D912" s="603">
        <f>-'Sollecitazioni nel paramento'!$G$47*'Sollecitazioni nel paramento'!$G$41*IF(DATI!$G$211="dx",DATI!$E$61,DATI!$E$64*DATI!$E$63)*1000*C912^2*sezione!$AD$5*(1-sezione!$AD$6)</f>
        <v>-220116672.72897482</v>
      </c>
      <c r="E912" s="545">
        <f>-'Foglio deposito bis'!$F$58*(C912-sezione!$AL$30)*IF(ABS(K912)&lt;'Sollecitazioni nel paramento'!$G$58,ABS(K912)*'Sollecitazioni nel paramento'!$G$54,'Sollecitazioni nel paramento'!$G$53)</f>
        <v>0</v>
      </c>
      <c r="F912" s="545">
        <f>-'Foglio deposito bis'!$F$59*(C912-sezione!$AM$30)*IF(ABS(L912)&lt;'Sollecitazioni nel paramento'!$G$58,ABS(L912)*'Sollecitazioni nel paramento'!$G$54,'Sollecitazioni nel paramento'!$G$53)</f>
        <v>-4433704.4139567018</v>
      </c>
      <c r="G912" s="545">
        <f>-'Foglio deposito bis'!$F$60*(C912-sezione!$AN$30)*IF(ABS(M912)&lt;'Sollecitazioni nel paramento'!$G$58,ABS(M912)*'Sollecitazioni nel paramento'!$G$54,'Sollecitazioni nel paramento'!$G$53)</f>
        <v>0</v>
      </c>
      <c r="H912" s="545">
        <f>-'Foglio deposito bis'!$F$61*(C912-sezione!$AO$30)*IF(ABS(N912)&lt;'Sollecitazioni nel paramento'!$G$58,ABS(N912)*'Sollecitazioni nel paramento'!$G$54,'Sollecitazioni nel paramento'!$G$53)</f>
        <v>14585455.057787228</v>
      </c>
      <c r="I912" s="472">
        <f>-'Foglio deposito bis'!$F$62*(C912-sezione!$AP$30)*IF(ABS(O912)&lt;'Sollecitazioni nel paramento'!$G$58,ABS(O912)*'Sollecitazioni nel paramento'!$G$54,'Sollecitazioni nel paramento'!$G$53)</f>
        <v>89823456.279282391</v>
      </c>
      <c r="J912" s="472">
        <f t="shared" si="64"/>
        <v>-120141465.80586189</v>
      </c>
      <c r="K912" s="550">
        <f>'Sollecitazioni nel paramento'!$G$60*(sezione!$AL$30-C912)/C912</f>
        <v>-2.0924838766213849E-3</v>
      </c>
      <c r="L912" s="550">
        <f>'Sollecitazioni nel paramento'!$G$60*(sezione!$AM$30-C912)/C912</f>
        <v>-1.3887258149320779E-3</v>
      </c>
      <c r="M912" s="551">
        <f>'Sollecitazioni nel paramento'!$G$60*(sezione!$AN$30-C912)/C912</f>
        <v>-6.8496775324277033E-4</v>
      </c>
      <c r="N912" s="551">
        <f>'Sollecitazioni nel paramento'!$G$60*(sezione!$AO$30-C912)/C912</f>
        <v>2.1300644935144594E-3</v>
      </c>
      <c r="O912" s="551">
        <f>'Sollecitazioni nel paramento'!$G$60*(sezione!$AP$30-C912)/C912</f>
        <v>1.0043350928644529E-2</v>
      </c>
      <c r="P912" s="545">
        <f>-'Sollecitazioni nel paramento'!$G$47*'Sollecitazioni nel paramento'!$G$41*IF(DATI!$G$211="dx",DATI!$E$61,DATI!$E$64*DATI!$E$63)*1000*C912*sezione!$AD$5</f>
        <v>-3789356.2364296219</v>
      </c>
      <c r="Q912" s="545">
        <f>'Foglio deposito bis'!$F$58*IF(ABS(K912)&lt;'Sollecitazioni nel paramento'!$G$58,ABS(K912)*'Sollecitazioni nel paramento'!$G$54,'Sollecitazioni nel paramento'!$G$53)*IF(K912&lt;0,-1,1)</f>
        <v>0</v>
      </c>
      <c r="R912" s="545">
        <f>'Foglio deposito bis'!$F$59*IF(ABS(L912)&lt;'Sollecitazioni nel paramento'!$G$58,ABS(L912)*'Sollecitazioni nel paramento'!$G$54,'Sollecitazioni nel paramento'!$G$53)*IF(L912&lt;0,-1,1)</f>
        <v>-112342.3785645587</v>
      </c>
      <c r="S912" s="545">
        <f>'Foglio deposito bis'!$F$60*IF(ABS(M912)&lt;'Sollecitazioni nel paramento'!$G$58,ABS(M912)*'Sollecitazioni nel paramento'!$G$54,'Sollecitazioni nel paramento'!$G$53)*IF(M912&lt;0,-1,1)</f>
        <v>0</v>
      </c>
      <c r="T912" s="545">
        <f>'Foglio deposito bis'!$F$61*IF(ABS(N912)&lt;'Sollecitazioni nel paramento'!$G$58,ABS(N912)*'Sollecitazioni nel paramento'!$G$54,'Sollecitazioni nel paramento'!$G$53)*IF(N912&lt;0,-1,1)</f>
        <v>240946.49743184328</v>
      </c>
      <c r="U912" s="545">
        <f>'Foglio deposito bis'!$F$62*IF(ABS(O912)&lt;'Sollecitazioni nel paramento'!$G$58,ABS(O912)*'Sollecitazioni nel paramento'!$G$54,'Sollecitazioni nel paramento'!$G$53)*IF(O912&lt;0,-1,1)</f>
        <v>314705.62929873407</v>
      </c>
      <c r="V912" s="472">
        <f t="shared" si="66"/>
        <v>-3346046.4882636038</v>
      </c>
      <c r="W912" s="551"/>
      <c r="X912" s="551"/>
    </row>
    <row r="913" spans="1:24" x14ac:dyDescent="0.25">
      <c r="A913" s="545">
        <f t="shared" si="65"/>
        <v>3391806.0023472388</v>
      </c>
      <c r="B913" s="3">
        <f t="shared" si="63"/>
        <v>17.499999999999961</v>
      </c>
      <c r="C913" s="545">
        <f>'Foglio deposito bis'!$E$156/sezione!$B$247*B913</f>
        <v>100.61589686794082</v>
      </c>
      <c r="D913" s="603">
        <f>-'Sollecitazioni nel paramento'!$G$47*'Sollecitazioni nel paramento'!$G$41*IF(DATI!$G$211="dx",DATI!$E$61,DATI!$E$64*DATI!$E$63)*1000*C913^2*sezione!$AD$5*(1-sezione!$AD$6)</f>
        <v>-225235494.08015144</v>
      </c>
      <c r="E913" s="545">
        <f>-'Foglio deposito bis'!$F$58*(C913-sezione!$AL$30)*IF(ABS(K913)&lt;'Sollecitazioni nel paramento'!$G$58,ABS(K913)*'Sollecitazioni nel paramento'!$G$54,'Sollecitazioni nel paramento'!$G$53)</f>
        <v>0</v>
      </c>
      <c r="F913" s="545">
        <f>-'Foglio deposito bis'!$F$59*(C913-sezione!$AM$30)*IF(ABS(L913)&lt;'Sollecitazioni nel paramento'!$G$58,ABS(L913)*'Sollecitazioni nel paramento'!$G$54,'Sollecitazioni nel paramento'!$G$53)</f>
        <v>-4642165.7491454026</v>
      </c>
      <c r="G913" s="545">
        <f>-'Foglio deposito bis'!$F$60*(C913-sezione!$AN$30)*IF(ABS(M913)&lt;'Sollecitazioni nel paramento'!$G$58,ABS(M913)*'Sollecitazioni nel paramento'!$G$54,'Sollecitazioni nel paramento'!$G$53)</f>
        <v>0</v>
      </c>
      <c r="H913" s="545">
        <f>-'Foglio deposito bis'!$F$61*(C913-sezione!$AO$30)*IF(ABS(N913)&lt;'Sollecitazioni nel paramento'!$G$58,ABS(N913)*'Sollecitazioni nel paramento'!$G$54,'Sollecitazioni nel paramento'!$G$53)</f>
        <v>14308391.652801013</v>
      </c>
      <c r="I913" s="472">
        <f>-'Foglio deposito bis'!$F$62*(C913-sezione!$AP$30)*IF(ABS(O913)&lt;'Sollecitazioni nel paramento'!$G$58,ABS(O913)*'Sollecitazioni nel paramento'!$G$54,'Sollecitazioni nel paramento'!$G$53)</f>
        <v>89461577.546239182</v>
      </c>
      <c r="J913" s="472">
        <f t="shared" si="64"/>
        <v>-126107690.63025664</v>
      </c>
      <c r="K913" s="550">
        <f>'Sollecitazioni nel paramento'!$G$60*(sezione!$AL$30-C913)/C913</f>
        <v>-2.1085697751742835E-3</v>
      </c>
      <c r="L913" s="550">
        <f>'Sollecitazioni nel paramento'!$G$60*(sezione!$AM$30-C913)/C913</f>
        <v>-1.4128546627614254E-3</v>
      </c>
      <c r="M913" s="551">
        <f>'Sollecitazioni nel paramento'!$G$60*(sezione!$AN$30-C913)/C913</f>
        <v>-7.1713955034856706E-4</v>
      </c>
      <c r="N913" s="551">
        <f>'Sollecitazioni nel paramento'!$G$60*(sezione!$AO$30-C913)/C913</f>
        <v>2.0657208993028662E-3</v>
      </c>
      <c r="O913" s="551">
        <f>'Sollecitazioni nel paramento'!$G$60*(sezione!$AP$30-C913)/C913</f>
        <v>9.8885697751743048E-3</v>
      </c>
      <c r="P913" s="545">
        <f>-'Sollecitazioni nel paramento'!$G$47*'Sollecitazioni nel paramento'!$G$41*IF(DATI!$G$211="dx",DATI!$E$61,DATI!$E$64*DATI!$E$63)*1000*C913*sezione!$AD$5</f>
        <v>-3833163.8229779406</v>
      </c>
      <c r="Q913" s="545">
        <f>'Foglio deposito bis'!$F$58*IF(ABS(K913)&lt;'Sollecitazioni nel paramento'!$G$58,ABS(K913)*'Sollecitazioni nel paramento'!$G$54,'Sollecitazioni nel paramento'!$G$53)*IF(K913&lt;0,-1,1)</f>
        <v>0</v>
      </c>
      <c r="R913" s="545">
        <f>'Foglio deposito bis'!$F$59*IF(ABS(L913)&lt;'Sollecitazioni nel paramento'!$G$58,ABS(L913)*'Sollecitazioni nel paramento'!$G$54,'Sollecitazioni nel paramento'!$G$53)*IF(L913&lt;0,-1,1)</f>
        <v>-114294.3060998755</v>
      </c>
      <c r="S913" s="545">
        <f>'Foglio deposito bis'!$F$60*IF(ABS(M913)&lt;'Sollecitazioni nel paramento'!$G$58,ABS(M913)*'Sollecitazioni nel paramento'!$G$54,'Sollecitazioni nel paramento'!$G$53)*IF(M913&lt;0,-1,1)</f>
        <v>0</v>
      </c>
      <c r="T913" s="545">
        <f>'Foglio deposito bis'!$F$61*IF(ABS(N913)&lt;'Sollecitazioni nel paramento'!$G$58,ABS(N913)*'Sollecitazioni nel paramento'!$G$54,'Sollecitazioni nel paramento'!$G$53)*IF(N913&lt;0,-1,1)</f>
        <v>240946.49743184328</v>
      </c>
      <c r="U913" s="545">
        <f>'Foglio deposito bis'!$F$62*IF(ABS(O913)&lt;'Sollecitazioni nel paramento'!$G$58,ABS(O913)*'Sollecitazioni nel paramento'!$G$54,'Sollecitazioni nel paramento'!$G$53)*IF(O913&lt;0,-1,1)</f>
        <v>314705.62929873407</v>
      </c>
      <c r="V913" s="472">
        <f t="shared" si="66"/>
        <v>-3391806.0023472388</v>
      </c>
      <c r="W913" s="551"/>
      <c r="X913" s="551"/>
    </row>
    <row r="914" spans="1:24" x14ac:dyDescent="0.25">
      <c r="A914" s="545">
        <f t="shared" si="65"/>
        <v>3437521.4050741442</v>
      </c>
      <c r="B914" s="3">
        <f t="shared" si="63"/>
        <v>17.69999999999996</v>
      </c>
      <c r="C914" s="545">
        <f>'Foglio deposito bis'!$E$156/sezione!$B$247*B914</f>
        <v>101.76579283214585</v>
      </c>
      <c r="D914" s="603">
        <f>-'Sollecitazioni nel paramento'!$G$47*'Sollecitazioni nel paramento'!$G$41*IF(DATI!$G$211="dx",DATI!$E$61,DATI!$E$64*DATI!$E$63)*1000*C914^2*sezione!$AD$5*(1-sezione!$AD$6)</f>
        <v>-230413152.4583531</v>
      </c>
      <c r="E914" s="545">
        <f>-'Foglio deposito bis'!$F$58*(C914-sezione!$AL$30)*IF(ABS(K914)&lt;'Sollecitazioni nel paramento'!$G$58,ABS(K914)*'Sollecitazioni nel paramento'!$G$54,'Sollecitazioni nel paramento'!$G$53)</f>
        <v>0</v>
      </c>
      <c r="F914" s="545">
        <f>-'Foglio deposito bis'!$F$59*(C914-sezione!$AM$30)*IF(ABS(L914)&lt;'Sollecitazioni nel paramento'!$G$58,ABS(L914)*'Sollecitazioni nel paramento'!$G$54,'Sollecitazioni nel paramento'!$G$53)</f>
        <v>-4853273.7657379229</v>
      </c>
      <c r="G914" s="545">
        <f>-'Foglio deposito bis'!$F$60*(C914-sezione!$AN$30)*IF(ABS(M914)&lt;'Sollecitazioni nel paramento'!$G$58,ABS(M914)*'Sollecitazioni nel paramento'!$G$54,'Sollecitazioni nel paramento'!$G$53)</f>
        <v>0</v>
      </c>
      <c r="H914" s="545">
        <f>-'Foglio deposito bis'!$F$61*(C914-sezione!$AO$30)*IF(ABS(N914)&lt;'Sollecitazioni nel paramento'!$G$58,ABS(N914)*'Sollecitazioni nel paramento'!$G$54,'Sollecitazioni nel paramento'!$G$53)</f>
        <v>14031328.247814801</v>
      </c>
      <c r="I914" s="472">
        <f>-'Foglio deposito bis'!$F$62*(C914-sezione!$AP$30)*IF(ABS(O914)&lt;'Sollecitazioni nel paramento'!$G$58,ABS(O914)*'Sollecitazioni nel paramento'!$G$54,'Sollecitazioni nel paramento'!$G$53)</f>
        <v>89099698.813195959</v>
      </c>
      <c r="J914" s="472">
        <f t="shared" si="64"/>
        <v>-132135399.16308026</v>
      </c>
      <c r="K914" s="550">
        <f>'Sollecitazioni nel paramento'!$G$60*(sezione!$AL$30-C914)/C914</f>
        <v>-2.1242921505960429E-3</v>
      </c>
      <c r="L914" s="550">
        <f>'Sollecitazioni nel paramento'!$G$60*(sezione!$AM$30-C914)/C914</f>
        <v>-1.4364382258940645E-3</v>
      </c>
      <c r="M914" s="551">
        <f>'Sollecitazioni nel paramento'!$G$60*(sezione!$AN$30-C914)/C914</f>
        <v>-7.4858430119208587E-4</v>
      </c>
      <c r="N914" s="551">
        <f>'Sollecitazioni nel paramento'!$G$60*(sezione!$AO$30-C914)/C914</f>
        <v>2.0028313976158283E-3</v>
      </c>
      <c r="O914" s="551">
        <f>'Sollecitazioni nel paramento'!$G$60*(sezione!$AP$30-C914)/C914</f>
        <v>9.7372865008785517E-3</v>
      </c>
      <c r="P914" s="545">
        <f>-'Sollecitazioni nel paramento'!$G$47*'Sollecitazioni nel paramento'!$G$41*IF(DATI!$G$211="dx",DATI!$E$61,DATI!$E$64*DATI!$E$63)*1000*C914*sezione!$AD$5</f>
        <v>-3876971.4095262592</v>
      </c>
      <c r="Q914" s="545">
        <f>'Foglio deposito bis'!$F$58*IF(ABS(K914)&lt;'Sollecitazioni nel paramento'!$G$58,ABS(K914)*'Sollecitazioni nel paramento'!$G$54,'Sollecitazioni nel paramento'!$G$53)*IF(K914&lt;0,-1,1)</f>
        <v>0</v>
      </c>
      <c r="R914" s="545">
        <f>'Foglio deposito bis'!$F$59*IF(ABS(L914)&lt;'Sollecitazioni nel paramento'!$G$58,ABS(L914)*'Sollecitazioni nel paramento'!$G$54,'Sollecitazioni nel paramento'!$G$53)*IF(L914&lt;0,-1,1)</f>
        <v>-116202.12227846196</v>
      </c>
      <c r="S914" s="545">
        <f>'Foglio deposito bis'!$F$60*IF(ABS(M914)&lt;'Sollecitazioni nel paramento'!$G$58,ABS(M914)*'Sollecitazioni nel paramento'!$G$54,'Sollecitazioni nel paramento'!$G$53)*IF(M914&lt;0,-1,1)</f>
        <v>0</v>
      </c>
      <c r="T914" s="545">
        <f>'Foglio deposito bis'!$F$61*IF(ABS(N914)&lt;'Sollecitazioni nel paramento'!$G$58,ABS(N914)*'Sollecitazioni nel paramento'!$G$54,'Sollecitazioni nel paramento'!$G$53)*IF(N914&lt;0,-1,1)</f>
        <v>240946.49743184328</v>
      </c>
      <c r="U914" s="545">
        <f>'Foglio deposito bis'!$F$62*IF(ABS(O914)&lt;'Sollecitazioni nel paramento'!$G$58,ABS(O914)*'Sollecitazioni nel paramento'!$G$54,'Sollecitazioni nel paramento'!$G$53)*IF(O914&lt;0,-1,1)</f>
        <v>314705.62929873407</v>
      </c>
      <c r="V914" s="472">
        <f t="shared" si="66"/>
        <v>-3437521.4050741442</v>
      </c>
      <c r="W914" s="551"/>
      <c r="X914" s="551"/>
    </row>
    <row r="915" spans="1:24" x14ac:dyDescent="0.25">
      <c r="A915" s="545">
        <f t="shared" si="65"/>
        <v>3483194.175037283</v>
      </c>
      <c r="B915" s="3">
        <f t="shared" si="63"/>
        <v>17.899999999999959</v>
      </c>
      <c r="C915" s="545">
        <f>'Foglio deposito bis'!$E$156/sezione!$B$247*B915</f>
        <v>102.91568879635089</v>
      </c>
      <c r="D915" s="603">
        <f>-'Sollecitazioni nel paramento'!$G$47*'Sollecitazioni nel paramento'!$G$41*IF(DATI!$G$211="dx",DATI!$E$61,DATI!$E$64*DATI!$E$63)*1000*C915^2*sezione!$AD$5*(1-sezione!$AD$6)</f>
        <v>-235649647.86357984</v>
      </c>
      <c r="E915" s="545">
        <f>-'Foglio deposito bis'!$F$58*(C915-sezione!$AL$30)*IF(ABS(K915)&lt;'Sollecitazioni nel paramento'!$G$58,ABS(K915)*'Sollecitazioni nel paramento'!$G$54,'Sollecitazioni nel paramento'!$G$53)</f>
        <v>0</v>
      </c>
      <c r="F915" s="545">
        <f>-'Foglio deposito bis'!$F$59*(C915-sezione!$AM$30)*IF(ABS(L915)&lt;'Sollecitazioni nel paramento'!$G$58,ABS(L915)*'Sollecitazioni nel paramento'!$G$54,'Sollecitazioni nel paramento'!$G$53)</f>
        <v>-5066939.7481564833</v>
      </c>
      <c r="G915" s="545">
        <f>-'Foglio deposito bis'!$F$60*(C915-sezione!$AN$30)*IF(ABS(M915)&lt;'Sollecitazioni nel paramento'!$G$58,ABS(M915)*'Sollecitazioni nel paramento'!$G$54,'Sollecitazioni nel paramento'!$G$53)</f>
        <v>0</v>
      </c>
      <c r="H915" s="545">
        <f>-'Foglio deposito bis'!$F$61*(C915-sezione!$AO$30)*IF(ABS(N915)&lt;'Sollecitazioni nel paramento'!$G$58,ABS(N915)*'Sollecitazioni nel paramento'!$G$54,'Sollecitazioni nel paramento'!$G$53)</f>
        <v>13754264.842828583</v>
      </c>
      <c r="I915" s="472">
        <f>-'Foglio deposito bis'!$F$62*(C915-sezione!$AP$30)*IF(ABS(O915)&lt;'Sollecitazioni nel paramento'!$G$58,ABS(O915)*'Sollecitazioni nel paramento'!$G$54,'Sollecitazioni nel paramento'!$G$53)</f>
        <v>88737820.080152735</v>
      </c>
      <c r="J915" s="472">
        <f t="shared" si="64"/>
        <v>-138224502.68875504</v>
      </c>
      <c r="K915" s="550">
        <f>'Sollecitazioni nel paramento'!$G$60*(sezione!$AL$30-C915)/C915</f>
        <v>-2.1396631880195509E-3</v>
      </c>
      <c r="L915" s="550">
        <f>'Sollecitazioni nel paramento'!$G$60*(sezione!$AM$30-C915)/C915</f>
        <v>-1.4594947820293263E-3</v>
      </c>
      <c r="M915" s="551">
        <f>'Sollecitazioni nel paramento'!$G$60*(sezione!$AN$30-C915)/C915</f>
        <v>-7.7932637603910166E-4</v>
      </c>
      <c r="N915" s="551">
        <f>'Sollecitazioni nel paramento'!$G$60*(sezione!$AO$30-C915)/C915</f>
        <v>1.9413472479217968E-3</v>
      </c>
      <c r="O915" s="551">
        <f>'Sollecitazioni nel paramento'!$G$60*(sezione!$AP$30-C915)/C915</f>
        <v>9.5893838584106342E-3</v>
      </c>
      <c r="P915" s="545">
        <f>-'Sollecitazioni nel paramento'!$G$47*'Sollecitazioni nel paramento'!$G$41*IF(DATI!$G$211="dx",DATI!$E$61,DATI!$E$64*DATI!$E$63)*1000*C915*sezione!$AD$5</f>
        <v>-3920778.9960745787</v>
      </c>
      <c r="Q915" s="545">
        <f>'Foglio deposito bis'!$F$58*IF(ABS(K915)&lt;'Sollecitazioni nel paramento'!$G$58,ABS(K915)*'Sollecitazioni nel paramento'!$G$54,'Sollecitazioni nel paramento'!$G$53)*IF(K915&lt;0,-1,1)</f>
        <v>0</v>
      </c>
      <c r="R915" s="545">
        <f>'Foglio deposito bis'!$F$59*IF(ABS(L915)&lt;'Sollecitazioni nel paramento'!$G$58,ABS(L915)*'Sollecitazioni nel paramento'!$G$54,'Sollecitazioni nel paramento'!$G$53)*IF(L915&lt;0,-1,1)</f>
        <v>-118067.30569328117</v>
      </c>
      <c r="S915" s="545">
        <f>'Foglio deposito bis'!$F$60*IF(ABS(M915)&lt;'Sollecitazioni nel paramento'!$G$58,ABS(M915)*'Sollecitazioni nel paramento'!$G$54,'Sollecitazioni nel paramento'!$G$53)*IF(M915&lt;0,-1,1)</f>
        <v>0</v>
      </c>
      <c r="T915" s="545">
        <f>'Foglio deposito bis'!$F$61*IF(ABS(N915)&lt;'Sollecitazioni nel paramento'!$G$58,ABS(N915)*'Sollecitazioni nel paramento'!$G$54,'Sollecitazioni nel paramento'!$G$53)*IF(N915&lt;0,-1,1)</f>
        <v>240946.49743184328</v>
      </c>
      <c r="U915" s="545">
        <f>'Foglio deposito bis'!$F$62*IF(ABS(O915)&lt;'Sollecitazioni nel paramento'!$G$58,ABS(O915)*'Sollecitazioni nel paramento'!$G$54,'Sollecitazioni nel paramento'!$G$53)*IF(O915&lt;0,-1,1)</f>
        <v>314705.62929873407</v>
      </c>
      <c r="V915" s="472">
        <f t="shared" si="66"/>
        <v>-3483194.175037283</v>
      </c>
      <c r="W915" s="551"/>
      <c r="X915" s="551"/>
    </row>
    <row r="916" spans="1:24" x14ac:dyDescent="0.25">
      <c r="A916" s="545">
        <f t="shared" si="65"/>
        <v>3528825.7254774421</v>
      </c>
      <c r="B916" s="3">
        <f t="shared" si="63"/>
        <v>18.099999999999959</v>
      </c>
      <c r="C916" s="545">
        <f>'Foglio deposito bis'!$E$156/sezione!$B$247*B916</f>
        <v>104.06558476055592</v>
      </c>
      <c r="D916" s="603">
        <f>-'Sollecitazioni nel paramento'!$G$47*'Sollecitazioni nel paramento'!$G$41*IF(DATI!$G$211="dx",DATI!$E$61,DATI!$E$64*DATI!$E$63)*1000*C916^2*sezione!$AD$5*(1-sezione!$AD$6)</f>
        <v>-240944980.2958315</v>
      </c>
      <c r="E916" s="545">
        <f>-'Foglio deposito bis'!$F$58*(C916-sezione!$AL$30)*IF(ABS(K916)&lt;'Sollecitazioni nel paramento'!$G$58,ABS(K916)*'Sollecitazioni nel paramento'!$G$54,'Sollecitazioni nel paramento'!$G$53)</f>
        <v>0</v>
      </c>
      <c r="F916" s="545">
        <f>-'Foglio deposito bis'!$F$59*(C916-sezione!$AM$30)*IF(ABS(L916)&lt;'Sollecitazioni nel paramento'!$G$58,ABS(L916)*'Sollecitazioni nel paramento'!$G$54,'Sollecitazioni nel paramento'!$G$53)</f>
        <v>-5283078.9019538052</v>
      </c>
      <c r="G916" s="545">
        <f>-'Foglio deposito bis'!$F$60*(C916-sezione!$AN$30)*IF(ABS(M916)&lt;'Sollecitazioni nel paramento'!$G$58,ABS(M916)*'Sollecitazioni nel paramento'!$G$54,'Sollecitazioni nel paramento'!$G$53)</f>
        <v>0</v>
      </c>
      <c r="H916" s="545">
        <f>-'Foglio deposito bis'!$F$61*(C916-sezione!$AO$30)*IF(ABS(N916)&lt;'Sollecitazioni nel paramento'!$G$58,ABS(N916)*'Sollecitazioni nel paramento'!$G$54,'Sollecitazioni nel paramento'!$G$53)</f>
        <v>13477201.437842367</v>
      </c>
      <c r="I916" s="472">
        <f>-'Foglio deposito bis'!$F$62*(C916-sezione!$AP$30)*IF(ABS(O916)&lt;'Sollecitazioni nel paramento'!$G$58,ABS(O916)*'Sollecitazioni nel paramento'!$G$54,'Sollecitazioni nel paramento'!$G$53)</f>
        <v>88375941.347109511</v>
      </c>
      <c r="J916" s="472">
        <f t="shared" si="64"/>
        <v>-144374916.41283345</v>
      </c>
      <c r="K916" s="550">
        <f>'Sollecitazioni nel paramento'!$G$60*(sezione!$AL$30-C916)/C916</f>
        <v>-2.154694534008285E-3</v>
      </c>
      <c r="L916" s="550">
        <f>'Sollecitazioni nel paramento'!$G$60*(sezione!$AM$30-C916)/C916</f>
        <v>-1.4820418010124273E-3</v>
      </c>
      <c r="M916" s="551">
        <f>'Sollecitazioni nel paramento'!$G$60*(sezione!$AN$30-C916)/C916</f>
        <v>-8.0938906801657001E-4</v>
      </c>
      <c r="N916" s="551">
        <f>'Sollecitazioni nel paramento'!$G$60*(sezione!$AO$30-C916)/C916</f>
        <v>1.8812218639668603E-3</v>
      </c>
      <c r="O916" s="551">
        <f>'Sollecitazioni nel paramento'!$G$60*(sezione!$AP$30-C916)/C916</f>
        <v>9.4447497826270939E-3</v>
      </c>
      <c r="P916" s="545">
        <f>-'Sollecitazioni nel paramento'!$G$47*'Sollecitazioni nel paramento'!$G$41*IF(DATI!$G$211="dx",DATI!$E$61,DATI!$E$64*DATI!$E$63)*1000*C916*sezione!$AD$5</f>
        <v>-3964586.5826228983</v>
      </c>
      <c r="Q916" s="545">
        <f>'Foglio deposito bis'!$F$58*IF(ABS(K916)&lt;'Sollecitazioni nel paramento'!$G$58,ABS(K916)*'Sollecitazioni nel paramento'!$G$54,'Sollecitazioni nel paramento'!$G$53)*IF(K916&lt;0,-1,1)</f>
        <v>0</v>
      </c>
      <c r="R916" s="545">
        <f>'Foglio deposito bis'!$F$59*IF(ABS(L916)&lt;'Sollecitazioni nel paramento'!$G$58,ABS(L916)*'Sollecitazioni nel paramento'!$G$54,'Sollecitazioni nel paramento'!$G$53)*IF(L916&lt;0,-1,1)</f>
        <v>-119891.2695851209</v>
      </c>
      <c r="S916" s="545">
        <f>'Foglio deposito bis'!$F$60*IF(ABS(M916)&lt;'Sollecitazioni nel paramento'!$G$58,ABS(M916)*'Sollecitazioni nel paramento'!$G$54,'Sollecitazioni nel paramento'!$G$53)*IF(M916&lt;0,-1,1)</f>
        <v>0</v>
      </c>
      <c r="T916" s="545">
        <f>'Foglio deposito bis'!$F$61*IF(ABS(N916)&lt;'Sollecitazioni nel paramento'!$G$58,ABS(N916)*'Sollecitazioni nel paramento'!$G$54,'Sollecitazioni nel paramento'!$G$53)*IF(N916&lt;0,-1,1)</f>
        <v>240946.49743184328</v>
      </c>
      <c r="U916" s="545">
        <f>'Foglio deposito bis'!$F$62*IF(ABS(O916)&lt;'Sollecitazioni nel paramento'!$G$58,ABS(O916)*'Sollecitazioni nel paramento'!$G$54,'Sollecitazioni nel paramento'!$G$53)*IF(O916&lt;0,-1,1)</f>
        <v>314705.62929873407</v>
      </c>
      <c r="V916" s="472">
        <f t="shared" si="66"/>
        <v>-3528825.7254774421</v>
      </c>
      <c r="W916" s="551"/>
      <c r="X916" s="551"/>
    </row>
    <row r="917" spans="1:24" x14ac:dyDescent="0.25">
      <c r="A917" s="545">
        <f t="shared" si="65"/>
        <v>3584200.3208117741</v>
      </c>
      <c r="B917" s="3">
        <f t="shared" ref="B917:B940" si="67">B916+0.2</f>
        <v>18.299999999999958</v>
      </c>
      <c r="C917" s="545">
        <f>'Foglio deposito bis'!$E$156/sezione!$B$247*B917</f>
        <v>105.21548072476097</v>
      </c>
      <c r="D917" s="603">
        <f>-'Sollecitazioni nel paramento'!$G$47*'Sollecitazioni nel paramento'!$G$41*IF(DATI!$G$211="dx",DATI!$E$61,DATI!$E$64*DATI!$E$63)*1000*C917^2*sezione!$AD$5*(1-sezione!$AD$6)</f>
        <v>-246299149.7551083</v>
      </c>
      <c r="E917" s="545">
        <f>-'Foglio deposito bis'!$F$58*(C917-sezione!$AL$30)*IF(ABS(K917)&lt;'Sollecitazioni nel paramento'!$G$58,ABS(K917)*'Sollecitazioni nel paramento'!$G$54,'Sollecitazioni nel paramento'!$G$53)</f>
        <v>0</v>
      </c>
      <c r="F917" s="545">
        <f>-'Foglio deposito bis'!$F$59*(C917-sezione!$AM$30)*IF(ABS(L917)&lt;'Sollecitazioni nel paramento'!$G$58,ABS(L917)*'Sollecitazioni nel paramento'!$G$54,'Sollecitazioni nel paramento'!$G$53)</f>
        <v>-5501610.1395437084</v>
      </c>
      <c r="G917" s="545">
        <f>-'Foglio deposito bis'!$F$60*(C917-sezione!$AN$30)*IF(ABS(M917)&lt;'Sollecitazioni nel paramento'!$G$58,ABS(M917)*'Sollecitazioni nel paramento'!$G$54,'Sollecitazioni nel paramento'!$G$53)</f>
        <v>0</v>
      </c>
      <c r="H917" s="545">
        <f>-'Foglio deposito bis'!$F$61*(C917-sezione!$AO$30)*IF(ABS(N917)&lt;'Sollecitazioni nel paramento'!$G$58,ABS(N917)*'Sollecitazioni nel paramento'!$G$54,'Sollecitazioni nel paramento'!$G$53)</f>
        <v>12664185.849374445</v>
      </c>
      <c r="I917" s="472">
        <f>-'Foglio deposito bis'!$F$62*(C917-sezione!$AP$30)*IF(ABS(O917)&lt;'Sollecitazioni nel paramento'!$G$58,ABS(O917)*'Sollecitazioni nel paramento'!$G$54,'Sollecitazioni nel paramento'!$G$53)</f>
        <v>88014062.614066288</v>
      </c>
      <c r="J917" s="472">
        <f t="shared" si="64"/>
        <v>-151122511.43121129</v>
      </c>
      <c r="K917" s="550">
        <f>'Sollecitazioni nel paramento'!$G$60*(sezione!$AL$30-C917)/C917</f>
        <v>-2.1693973259863364E-3</v>
      </c>
      <c r="L917" s="550">
        <f>'Sollecitazioni nel paramento'!$G$60*(sezione!$AM$30-C917)/C917</f>
        <v>-1.5040959889795048E-3</v>
      </c>
      <c r="M917" s="551">
        <f>'Sollecitazioni nel paramento'!$G$60*(sezione!$AN$30-C917)/C917</f>
        <v>-8.3879465197267324E-4</v>
      </c>
      <c r="N917" s="551">
        <f>'Sollecitazioni nel paramento'!$G$60*(sezione!$AO$30-C917)/C917</f>
        <v>1.8224106960546538E-3</v>
      </c>
      <c r="O917" s="551">
        <f>'Sollecitazioni nel paramento'!$G$60*(sezione!$AP$30-C917)/C917</f>
        <v>9.3032771074071235E-3</v>
      </c>
      <c r="P917" s="545">
        <f>-'Sollecitazioni nel paramento'!$G$47*'Sollecitazioni nel paramento'!$G$41*IF(DATI!$G$211="dx",DATI!$E$61,DATI!$E$64*DATI!$E$63)*1000*C917*sezione!$AD$5</f>
        <v>-4008394.1691712178</v>
      </c>
      <c r="Q917" s="545">
        <f>'Foglio deposito bis'!$F$58*IF(ABS(K917)&lt;'Sollecitazioni nel paramento'!$G$58,ABS(K917)*'Sollecitazioni nel paramento'!$G$54,'Sollecitazioni nel paramento'!$G$53)*IF(K917&lt;0,-1,1)</f>
        <v>0</v>
      </c>
      <c r="R917" s="545">
        <f>'Foglio deposito bis'!$F$59*IF(ABS(L917)&lt;'Sollecitazioni nel paramento'!$G$58,ABS(L917)*'Sollecitazioni nel paramento'!$G$54,'Sollecitazioni nel paramento'!$G$53)*IF(L917&lt;0,-1,1)</f>
        <v>-121675.36541375107</v>
      </c>
      <c r="S917" s="545">
        <f>'Foglio deposito bis'!$F$60*IF(ABS(M917)&lt;'Sollecitazioni nel paramento'!$G$58,ABS(M917)*'Sollecitazioni nel paramento'!$G$54,'Sollecitazioni nel paramento'!$G$53)*IF(M917&lt;0,-1,1)</f>
        <v>0</v>
      </c>
      <c r="T917" s="545">
        <f>'Foglio deposito bis'!$F$61*IF(ABS(N917)&lt;'Sollecitazioni nel paramento'!$G$58,ABS(N917)*'Sollecitazioni nel paramento'!$G$54,'Sollecitazioni nel paramento'!$G$53)*IF(N917&lt;0,-1,1)</f>
        <v>231163.5844744608</v>
      </c>
      <c r="U917" s="545">
        <f>'Foglio deposito bis'!$F$62*IF(ABS(O917)&lt;'Sollecitazioni nel paramento'!$G$58,ABS(O917)*'Sollecitazioni nel paramento'!$G$54,'Sollecitazioni nel paramento'!$G$53)*IF(O917&lt;0,-1,1)</f>
        <v>314705.62929873407</v>
      </c>
      <c r="V917" s="472">
        <f t="shared" si="66"/>
        <v>-3584200.3208117741</v>
      </c>
      <c r="W917" s="551"/>
      <c r="X917" s="551"/>
    </row>
    <row r="918" spans="1:24" x14ac:dyDescent="0.25">
      <c r="A918" s="545">
        <f t="shared" si="65"/>
        <v>3637052.0323806359</v>
      </c>
      <c r="B918" s="3">
        <f t="shared" si="67"/>
        <v>18.499999999999957</v>
      </c>
      <c r="C918" s="545">
        <f>'Foglio deposito bis'!$E$156/sezione!$B$247*B918</f>
        <v>106.36537668896599</v>
      </c>
      <c r="D918" s="603">
        <f>-'Sollecitazioni nel paramento'!$G$47*'Sollecitazioni nel paramento'!$G$41*IF(DATI!$G$211="dx",DATI!$E$61,DATI!$E$64*DATI!$E$63)*1000*C918^2*sezione!$AD$5*(1-sezione!$AD$6)</f>
        <v>-251712156.24140999</v>
      </c>
      <c r="E918" s="545">
        <f>-'Foglio deposito bis'!$F$58*(C918-sezione!$AL$30)*IF(ABS(K918)&lt;'Sollecitazioni nel paramento'!$G$58,ABS(K918)*'Sollecitazioni nel paramento'!$G$54,'Sollecitazioni nel paramento'!$G$53)</f>
        <v>0</v>
      </c>
      <c r="F918" s="545">
        <f>-'Foglio deposito bis'!$F$59*(C918-sezione!$AM$30)*IF(ABS(L918)&lt;'Sollecitazioni nel paramento'!$G$58,ABS(L918)*'Sollecitazioni nel paramento'!$G$54,'Sollecitazioni nel paramento'!$G$53)</f>
        <v>-5722455.8798302105</v>
      </c>
      <c r="G918" s="545">
        <f>-'Foglio deposito bis'!$F$60*(C918-sezione!$AN$30)*IF(ABS(M918)&lt;'Sollecitazioni nel paramento'!$G$58,ABS(M918)*'Sollecitazioni nel paramento'!$G$54,'Sollecitazioni nel paramento'!$G$53)</f>
        <v>0</v>
      </c>
      <c r="H918" s="545">
        <f>-'Foglio deposito bis'!$F$61*(C918-sezione!$AO$30)*IF(ABS(N918)&lt;'Sollecitazioni nel paramento'!$G$58,ABS(N918)*'Sollecitazioni nel paramento'!$G$54,'Sollecitazioni nel paramento'!$G$53)</f>
        <v>12006913.887576021</v>
      </c>
      <c r="I918" s="472">
        <f>-'Foglio deposito bis'!$F$62*(C918-sezione!$AP$30)*IF(ABS(O918)&lt;'Sollecitazioni nel paramento'!$G$58,ABS(O918)*'Sollecitazioni nel paramento'!$G$54,'Sollecitazioni nel paramento'!$G$53)</f>
        <v>87652183.881023064</v>
      </c>
      <c r="J918" s="472">
        <f t="shared" si="64"/>
        <v>-157775514.35264111</v>
      </c>
      <c r="K918" s="550">
        <f>'Sollecitazioni nel paramento'!$G$60*(sezione!$AL$30-C918)/C918</f>
        <v>-2.1837822197594572E-3</v>
      </c>
      <c r="L918" s="550">
        <f>'Sollecitazioni nel paramento'!$G$60*(sezione!$AM$30-C918)/C918</f>
        <v>-1.5256733296391857E-3</v>
      </c>
      <c r="M918" s="551">
        <f>'Sollecitazioni nel paramento'!$G$60*(sezione!$AN$30-C918)/C918</f>
        <v>-8.6756443951891435E-4</v>
      </c>
      <c r="N918" s="551">
        <f>'Sollecitazioni nel paramento'!$G$60*(sezione!$AO$30-C918)/C918</f>
        <v>1.7648711209621714E-3</v>
      </c>
      <c r="O918" s="551">
        <f>'Sollecitazioni nel paramento'!$G$60*(sezione!$AP$30-C918)/C918</f>
        <v>9.1648633008405596E-3</v>
      </c>
      <c r="P918" s="545">
        <f>-'Sollecitazioni nel paramento'!$G$47*'Sollecitazioni nel paramento'!$G$41*IF(DATI!$G$211="dx",DATI!$E$61,DATI!$E$64*DATI!$E$63)*1000*C918*sezione!$AD$5</f>
        <v>-4052201.7557195369</v>
      </c>
      <c r="Q918" s="545">
        <f>'Foglio deposito bis'!$F$58*IF(ABS(K918)&lt;'Sollecitazioni nel paramento'!$G$58,ABS(K918)*'Sollecitazioni nel paramento'!$G$54,'Sollecitazioni nel paramento'!$G$53)*IF(K918&lt;0,-1,1)</f>
        <v>0</v>
      </c>
      <c r="R918" s="545">
        <f>'Foglio deposito bis'!$F$59*IF(ABS(L918)&lt;'Sollecitazioni nel paramento'!$G$58,ABS(L918)*'Sollecitazioni nel paramento'!$G$54,'Sollecitazioni nel paramento'!$G$53)*IF(L918&lt;0,-1,1)</f>
        <v>-123420.88619743787</v>
      </c>
      <c r="S918" s="545">
        <f>'Foglio deposito bis'!$F$60*IF(ABS(M918)&lt;'Sollecitazioni nel paramento'!$G$58,ABS(M918)*'Sollecitazioni nel paramento'!$G$54,'Sollecitazioni nel paramento'!$G$53)*IF(M918&lt;0,-1,1)</f>
        <v>0</v>
      </c>
      <c r="T918" s="545">
        <f>'Foglio deposito bis'!$F$61*IF(ABS(N918)&lt;'Sollecitazioni nel paramento'!$G$58,ABS(N918)*'Sollecitazioni nel paramento'!$G$54,'Sollecitazioni nel paramento'!$G$53)*IF(N918&lt;0,-1,1)</f>
        <v>223864.98023760508</v>
      </c>
      <c r="U918" s="545">
        <f>'Foglio deposito bis'!$F$62*IF(ABS(O918)&lt;'Sollecitazioni nel paramento'!$G$58,ABS(O918)*'Sollecitazioni nel paramento'!$G$54,'Sollecitazioni nel paramento'!$G$53)*IF(O918&lt;0,-1,1)</f>
        <v>314705.62929873407</v>
      </c>
      <c r="V918" s="472">
        <f t="shared" si="66"/>
        <v>-3637052.0323806359</v>
      </c>
      <c r="W918" s="551"/>
      <c r="X918" s="551"/>
    </row>
    <row r="919" spans="1:24" x14ac:dyDescent="0.25">
      <c r="A919" s="545">
        <f t="shared" si="65"/>
        <v>3689710.2867298066</v>
      </c>
      <c r="B919" s="3">
        <f t="shared" si="67"/>
        <v>18.699999999999957</v>
      </c>
      <c r="C919" s="545">
        <f>'Foglio deposito bis'!$E$156/sezione!$B$247*B919</f>
        <v>107.51527265317104</v>
      </c>
      <c r="D919" s="603">
        <f>-'Sollecitazioni nel paramento'!$G$47*'Sollecitazioni nel paramento'!$G$41*IF(DATI!$G$211="dx",DATI!$E$61,DATI!$E$64*DATI!$E$63)*1000*C919^2*sezione!$AD$5*(1-sezione!$AD$6)</f>
        <v>-257183999.75473684</v>
      </c>
      <c r="E919" s="545">
        <f>-'Foglio deposito bis'!$F$58*(C919-sezione!$AL$30)*IF(ABS(K919)&lt;'Sollecitazioni nel paramento'!$G$58,ABS(K919)*'Sollecitazioni nel paramento'!$G$54,'Sollecitazioni nel paramento'!$G$53)</f>
        <v>0</v>
      </c>
      <c r="F919" s="545">
        <f>-'Foglio deposito bis'!$F$59*(C919-sezione!$AM$30)*IF(ABS(L919)&lt;'Sollecitazioni nel paramento'!$G$58,ABS(L919)*'Sollecitazioni nel paramento'!$G$54,'Sollecitazioni nel paramento'!$G$53)</f>
        <v>-5945541.8606947092</v>
      </c>
      <c r="G919" s="545">
        <f>-'Foglio deposito bis'!$F$60*(C919-sezione!$AN$30)*IF(ABS(M919)&lt;'Sollecitazioni nel paramento'!$G$58,ABS(M919)*'Sollecitazioni nel paramento'!$G$54,'Sollecitazioni nel paramento'!$G$53)</f>
        <v>0</v>
      </c>
      <c r="H919" s="545">
        <f>-'Foglio deposito bis'!$F$61*(C919-sezione!$AO$30)*IF(ABS(N919)&lt;'Sollecitazioni nel paramento'!$G$58,ABS(N919)*'Sollecitazioni nel paramento'!$G$54,'Sollecitazioni nel paramento'!$G$53)</f>
        <v>11374621.106053459</v>
      </c>
      <c r="I919" s="472">
        <f>-'Foglio deposito bis'!$F$62*(C919-sezione!$AP$30)*IF(ABS(O919)&lt;'Sollecitazioni nel paramento'!$G$58,ABS(O919)*'Sollecitazioni nel paramento'!$G$54,'Sollecitazioni nel paramento'!$G$53)</f>
        <v>87290305.147979841</v>
      </c>
      <c r="J919" s="472">
        <f t="shared" si="64"/>
        <v>-164464615.36139822</v>
      </c>
      <c r="K919" s="550">
        <f>'Sollecitazioni nel paramento'!$G$60*(sezione!$AL$30-C919)/C919</f>
        <v>-2.1978594152700513E-3</v>
      </c>
      <c r="L919" s="550">
        <f>'Sollecitazioni nel paramento'!$G$60*(sezione!$AM$30-C919)/C919</f>
        <v>-1.546789122905077E-3</v>
      </c>
      <c r="M919" s="551">
        <f>'Sollecitazioni nel paramento'!$G$60*(sezione!$AN$30-C919)/C919</f>
        <v>-8.9571883054010261E-4</v>
      </c>
      <c r="N919" s="551">
        <f>'Sollecitazioni nel paramento'!$G$60*(sezione!$AO$30-C919)/C919</f>
        <v>1.7085623389197948E-3</v>
      </c>
      <c r="O919" s="551">
        <f>'Sollecitazioni nel paramento'!$G$60*(sezione!$AP$30-C919)/C919</f>
        <v>9.0294102174091097E-3</v>
      </c>
      <c r="P919" s="545">
        <f>-'Sollecitazioni nel paramento'!$G$47*'Sollecitazioni nel paramento'!$G$41*IF(DATI!$G$211="dx",DATI!$E$61,DATI!$E$64*DATI!$E$63)*1000*C919*sezione!$AD$5</f>
        <v>-4096009.3422678565</v>
      </c>
      <c r="Q919" s="545">
        <f>'Foglio deposito bis'!$F$58*IF(ABS(K919)&lt;'Sollecitazioni nel paramento'!$G$58,ABS(K919)*'Sollecitazioni nel paramento'!$G$54,'Sollecitazioni nel paramento'!$G$53)*IF(K919&lt;0,-1,1)</f>
        <v>0</v>
      </c>
      <c r="R919" s="545">
        <f>'Foglio deposito bis'!$F$59*IF(ABS(L919)&lt;'Sollecitazioni nel paramento'!$G$58,ABS(L919)*'Sollecitazioni nel paramento'!$G$54,'Sollecitazioni nel paramento'!$G$53)*IF(L919&lt;0,-1,1)</f>
        <v>-125129.06963815812</v>
      </c>
      <c r="S919" s="545">
        <f>'Foglio deposito bis'!$F$60*IF(ABS(M919)&lt;'Sollecitazioni nel paramento'!$G$58,ABS(M919)*'Sollecitazioni nel paramento'!$G$54,'Sollecitazioni nel paramento'!$G$53)*IF(M919&lt;0,-1,1)</f>
        <v>0</v>
      </c>
      <c r="T919" s="545">
        <f>'Foglio deposito bis'!$F$61*IF(ABS(N919)&lt;'Sollecitazioni nel paramento'!$G$58,ABS(N919)*'Sollecitazioni nel paramento'!$G$54,'Sollecitazioni nel paramento'!$G$53)*IF(N919&lt;0,-1,1)</f>
        <v>216722.49587747347</v>
      </c>
      <c r="U919" s="545">
        <f>'Foglio deposito bis'!$F$62*IF(ABS(O919)&lt;'Sollecitazioni nel paramento'!$G$58,ABS(O919)*'Sollecitazioni nel paramento'!$G$54,'Sollecitazioni nel paramento'!$G$53)*IF(O919&lt;0,-1,1)</f>
        <v>314705.62929873407</v>
      </c>
      <c r="V919" s="472">
        <f t="shared" si="66"/>
        <v>-3689710.2867298066</v>
      </c>
      <c r="W919" s="551"/>
      <c r="X919" s="551"/>
    </row>
    <row r="920" spans="1:24" x14ac:dyDescent="0.25">
      <c r="A920" s="545">
        <f t="shared" si="65"/>
        <v>3742181.2253583241</v>
      </c>
      <c r="B920" s="3">
        <f t="shared" si="67"/>
        <v>18.899999999999956</v>
      </c>
      <c r="C920" s="545">
        <f>'Foglio deposito bis'!$E$156/sezione!$B$247*B920</f>
        <v>108.66516861737607</v>
      </c>
      <c r="D920" s="603">
        <f>-'Sollecitazioni nel paramento'!$G$47*'Sollecitazioni nel paramento'!$G$41*IF(DATI!$G$211="dx",DATI!$E$61,DATI!$E$64*DATI!$E$63)*1000*C920^2*sezione!$AD$5*(1-sezione!$AD$6)</f>
        <v>-262714680.29508853</v>
      </c>
      <c r="E920" s="545">
        <f>-'Foglio deposito bis'!$F$58*(C920-sezione!$AL$30)*IF(ABS(K920)&lt;'Sollecitazioni nel paramento'!$G$58,ABS(K920)*'Sollecitazioni nel paramento'!$G$54,'Sollecitazioni nel paramento'!$G$53)</f>
        <v>0</v>
      </c>
      <c r="F920" s="545">
        <f>-'Foglio deposito bis'!$F$59*(C920-sezione!$AM$30)*IF(ABS(L920)&lt;'Sollecitazioni nel paramento'!$G$58,ABS(L920)*'Sollecitazioni nel paramento'!$G$54,'Sollecitazioni nel paramento'!$G$53)</f>
        <v>-6170796.9633886898</v>
      </c>
      <c r="G920" s="545">
        <f>-'Foglio deposito bis'!$F$60*(C920-sezione!$AN$30)*IF(ABS(M920)&lt;'Sollecitazioni nel paramento'!$G$58,ABS(M920)*'Sollecitazioni nel paramento'!$G$54,'Sollecitazioni nel paramento'!$G$53)</f>
        <v>0</v>
      </c>
      <c r="H920" s="545">
        <f>-'Foglio deposito bis'!$F$61*(C920-sezione!$AO$30)*IF(ABS(N920)&lt;'Sollecitazioni nel paramento'!$G$58,ABS(N920)*'Sollecitazioni nel paramento'!$G$54,'Sollecitazioni nel paramento'!$G$53)</f>
        <v>10766514.51495675</v>
      </c>
      <c r="I920" s="472">
        <f>-'Foglio deposito bis'!$F$62*(C920-sezione!$AP$30)*IF(ABS(O920)&lt;'Sollecitazioni nel paramento'!$G$58,ABS(O920)*'Sollecitazioni nel paramento'!$G$54,'Sollecitazioni nel paramento'!$G$53)</f>
        <v>86928426.414936632</v>
      </c>
      <c r="J920" s="472">
        <f t="shared" si="64"/>
        <v>-171190536.32858384</v>
      </c>
      <c r="K920" s="550">
        <f>'Sollecitazioni nel paramento'!$G$60*(sezione!$AL$30-C920)/C920</f>
        <v>-2.2116386807169292E-3</v>
      </c>
      <c r="L920" s="550">
        <f>'Sollecitazioni nel paramento'!$G$60*(sezione!$AM$30-C920)/C920</f>
        <v>-1.5674580210753935E-3</v>
      </c>
      <c r="M920" s="551">
        <f>'Sollecitazioni nel paramento'!$G$60*(sezione!$AN$30-C920)/C920</f>
        <v>-9.2327736143385801E-4</v>
      </c>
      <c r="N920" s="551">
        <f>'Sollecitazioni nel paramento'!$G$60*(sezione!$AO$30-C920)/C920</f>
        <v>1.6534452771322843E-3</v>
      </c>
      <c r="O920" s="551">
        <f>'Sollecitazioni nel paramento'!$G$60*(sezione!$AP$30-C920)/C920</f>
        <v>8.8968238659021363E-3</v>
      </c>
      <c r="P920" s="545">
        <f>-'Sollecitazioni nel paramento'!$G$47*'Sollecitazioni nel paramento'!$G$41*IF(DATI!$G$211="dx",DATI!$E$61,DATI!$E$64*DATI!$E$63)*1000*C920*sezione!$AD$5</f>
        <v>-4139816.9288161751</v>
      </c>
      <c r="Q920" s="545">
        <f>'Foglio deposito bis'!$F$58*IF(ABS(K920)&lt;'Sollecitazioni nel paramento'!$G$58,ABS(K920)*'Sollecitazioni nel paramento'!$G$54,'Sollecitazioni nel paramento'!$G$53)*IF(K920&lt;0,-1,1)</f>
        <v>0</v>
      </c>
      <c r="R920" s="545">
        <f>'Foglio deposito bis'!$F$59*IF(ABS(L920)&lt;'Sollecitazioni nel paramento'!$G$58,ABS(L920)*'Sollecitazioni nel paramento'!$G$54,'Sollecitazioni nel paramento'!$G$53)*IF(L920&lt;0,-1,1)</f>
        <v>-126801.1010483869</v>
      </c>
      <c r="S920" s="545">
        <f>'Foglio deposito bis'!$F$60*IF(ABS(M920)&lt;'Sollecitazioni nel paramento'!$G$58,ABS(M920)*'Sollecitazioni nel paramento'!$G$54,'Sollecitazioni nel paramento'!$G$53)*IF(M920&lt;0,-1,1)</f>
        <v>0</v>
      </c>
      <c r="T920" s="545">
        <f>'Foglio deposito bis'!$F$61*IF(ABS(N920)&lt;'Sollecitazioni nel paramento'!$G$58,ABS(N920)*'Sollecitazioni nel paramento'!$G$54,'Sollecitazioni nel paramento'!$G$53)*IF(N920&lt;0,-1,1)</f>
        <v>209731.17520750352</v>
      </c>
      <c r="U920" s="545">
        <f>'Foglio deposito bis'!$F$62*IF(ABS(O920)&lt;'Sollecitazioni nel paramento'!$G$58,ABS(O920)*'Sollecitazioni nel paramento'!$G$54,'Sollecitazioni nel paramento'!$G$53)*IF(O920&lt;0,-1,1)</f>
        <v>314705.62929873407</v>
      </c>
      <c r="V920" s="472">
        <f t="shared" si="66"/>
        <v>-3742181.2253583241</v>
      </c>
      <c r="W920" s="551"/>
      <c r="X920" s="551"/>
    </row>
    <row r="921" spans="1:24" x14ac:dyDescent="0.25">
      <c r="A921" s="545">
        <f t="shared" si="65"/>
        <v>3794470.7325296663</v>
      </c>
      <c r="B921" s="3">
        <f t="shared" si="67"/>
        <v>19.099999999999955</v>
      </c>
      <c r="C921" s="545">
        <f>'Foglio deposito bis'!$E$156/sezione!$B$247*B921</f>
        <v>109.81506458158111</v>
      </c>
      <c r="D921" s="603">
        <f>-'Sollecitazioni nel paramento'!$G$47*'Sollecitazioni nel paramento'!$G$41*IF(DATI!$G$211="dx",DATI!$E$61,DATI!$E$64*DATI!$E$63)*1000*C921^2*sezione!$AD$5*(1-sezione!$AD$6)</f>
        <v>-268304197.86246541</v>
      </c>
      <c r="E921" s="545">
        <f>-'Foglio deposito bis'!$F$58*(C921-sezione!$AL$30)*IF(ABS(K921)&lt;'Sollecitazioni nel paramento'!$G$58,ABS(K921)*'Sollecitazioni nel paramento'!$G$54,'Sollecitazioni nel paramento'!$G$53)</f>
        <v>0</v>
      </c>
      <c r="F921" s="545">
        <f>-'Foglio deposito bis'!$F$59*(C921-sezione!$AM$30)*IF(ABS(L921)&lt;'Sollecitazioni nel paramento'!$G$58,ABS(L921)*'Sollecitazioni nel paramento'!$G$54,'Sollecitazioni nel paramento'!$G$53)</f>
        <v>-6398153.0479594013</v>
      </c>
      <c r="G921" s="545">
        <f>-'Foglio deposito bis'!$F$60*(C921-sezione!$AN$30)*IF(ABS(M921)&lt;'Sollecitazioni nel paramento'!$G$58,ABS(M921)*'Sollecitazioni nel paramento'!$G$54,'Sollecitazioni nel paramento'!$G$53)</f>
        <v>0</v>
      </c>
      <c r="H921" s="545">
        <f>-'Foglio deposito bis'!$F$61*(C921-sezione!$AO$30)*IF(ABS(N921)&lt;'Sollecitazioni nel paramento'!$G$58,ABS(N921)*'Sollecitazioni nel paramento'!$G$54,'Sollecitazioni nel paramento'!$G$53)</f>
        <v>10181834.338670401</v>
      </c>
      <c r="I921" s="472">
        <f>-'Foglio deposito bis'!$F$62*(C921-sezione!$AP$30)*IF(ABS(O921)&lt;'Sollecitazioni nel paramento'!$G$58,ABS(O921)*'Sollecitazioni nel paramento'!$G$54,'Sollecitazioni nel paramento'!$G$53)</f>
        <v>86566547.681893408</v>
      </c>
      <c r="J921" s="472">
        <f t="shared" si="64"/>
        <v>-177953968.88986102</v>
      </c>
      <c r="K921" s="550">
        <f>'Sollecitazioni nel paramento'!$G$60*(sezione!$AL$30-C921)/C921</f>
        <v>-2.2251293751596839E-3</v>
      </c>
      <c r="L921" s="550">
        <f>'Sollecitazioni nel paramento'!$G$60*(sezione!$AM$30-C921)/C921</f>
        <v>-1.5876940627395256E-3</v>
      </c>
      <c r="M921" s="551">
        <f>'Sollecitazioni nel paramento'!$G$60*(sezione!$AN$30-C921)/C921</f>
        <v>-9.5025875031936734E-4</v>
      </c>
      <c r="N921" s="551">
        <f>'Sollecitazioni nel paramento'!$G$60*(sezione!$AO$30-C921)/C921</f>
        <v>1.5994824993612652E-3</v>
      </c>
      <c r="O921" s="551">
        <f>'Sollecitazioni nel paramento'!$G$60*(sezione!$AP$30-C921)/C921</f>
        <v>8.7670141919136326E-3</v>
      </c>
      <c r="P921" s="545">
        <f>-'Sollecitazioni nel paramento'!$G$47*'Sollecitazioni nel paramento'!$G$41*IF(DATI!$G$211="dx",DATI!$E$61,DATI!$E$64*DATI!$E$63)*1000*C921*sezione!$AD$5</f>
        <v>-4183624.5153644946</v>
      </c>
      <c r="Q921" s="545">
        <f>'Foglio deposito bis'!$F$58*IF(ABS(K921)&lt;'Sollecitazioni nel paramento'!$G$58,ABS(K921)*'Sollecitazioni nel paramento'!$G$54,'Sollecitazioni nel paramento'!$G$53)*IF(K921&lt;0,-1,1)</f>
        <v>0</v>
      </c>
      <c r="R921" s="545">
        <f>'Foglio deposito bis'!$F$59*IF(ABS(L921)&lt;'Sollecitazioni nel paramento'!$G$58,ABS(L921)*'Sollecitazioni nel paramento'!$G$54,'Sollecitazioni nel paramento'!$G$53)*IF(L921&lt;0,-1,1)</f>
        <v>-128438.11609400361</v>
      </c>
      <c r="S921" s="545">
        <f>'Foglio deposito bis'!$F$60*IF(ABS(M921)&lt;'Sollecitazioni nel paramento'!$G$58,ABS(M921)*'Sollecitazioni nel paramento'!$G$54,'Sollecitazioni nel paramento'!$G$53)*IF(M921&lt;0,-1,1)</f>
        <v>0</v>
      </c>
      <c r="T921" s="545">
        <f>'Foglio deposito bis'!$F$61*IF(ABS(N921)&lt;'Sollecitazioni nel paramento'!$G$58,ABS(N921)*'Sollecitazioni nel paramento'!$G$54,'Sollecitazioni nel paramento'!$G$53)*IF(N921&lt;0,-1,1)</f>
        <v>202886.26963009825</v>
      </c>
      <c r="U921" s="545">
        <f>'Foglio deposito bis'!$F$62*IF(ABS(O921)&lt;'Sollecitazioni nel paramento'!$G$58,ABS(O921)*'Sollecitazioni nel paramento'!$G$54,'Sollecitazioni nel paramento'!$G$53)*IF(O921&lt;0,-1,1)</f>
        <v>314705.62929873407</v>
      </c>
      <c r="V921" s="472">
        <f t="shared" si="66"/>
        <v>-3794470.7325296663</v>
      </c>
      <c r="W921" s="551"/>
      <c r="X921" s="551"/>
    </row>
    <row r="922" spans="1:24" x14ac:dyDescent="0.25">
      <c r="A922" s="545">
        <f t="shared" si="65"/>
        <v>3846584.4486000119</v>
      </c>
      <c r="B922" s="3">
        <f t="shared" si="67"/>
        <v>19.299999999999955</v>
      </c>
      <c r="C922" s="545">
        <f>'Foglio deposito bis'!$E$156/sezione!$B$247*B922</f>
        <v>110.96496054578614</v>
      </c>
      <c r="D922" s="603">
        <f>-'Sollecitazioni nel paramento'!$G$47*'Sollecitazioni nel paramento'!$G$41*IF(DATI!$G$211="dx",DATI!$E$61,DATI!$E$64*DATI!$E$63)*1000*C922^2*sezione!$AD$5*(1-sezione!$AD$6)</f>
        <v>-273952552.45686716</v>
      </c>
      <c r="E922" s="545">
        <f>-'Foglio deposito bis'!$F$58*(C922-sezione!$AL$30)*IF(ABS(K922)&lt;'Sollecitazioni nel paramento'!$G$58,ABS(K922)*'Sollecitazioni nel paramento'!$G$54,'Sollecitazioni nel paramento'!$G$53)</f>
        <v>0</v>
      </c>
      <c r="F922" s="545">
        <f>-'Foglio deposito bis'!$F$59*(C922-sezione!$AM$30)*IF(ABS(L922)&lt;'Sollecitazioni nel paramento'!$G$58,ABS(L922)*'Sollecitazioni nel paramento'!$G$54,'Sollecitazioni nel paramento'!$G$53)</f>
        <v>-6627544.7989080781</v>
      </c>
      <c r="G922" s="545">
        <f>-'Foglio deposito bis'!$F$60*(C922-sezione!$AN$30)*IF(ABS(M922)&lt;'Sollecitazioni nel paramento'!$G$58,ABS(M922)*'Sollecitazioni nel paramento'!$G$54,'Sollecitazioni nel paramento'!$G$53)</f>
        <v>0</v>
      </c>
      <c r="H922" s="545">
        <f>-'Foglio deposito bis'!$F$61*(C922-sezione!$AO$30)*IF(ABS(N922)&lt;'Sollecitazioni nel paramento'!$G$58,ABS(N922)*'Sollecitazioni nel paramento'!$G$54,'Sollecitazioni nel paramento'!$G$53)</f>
        <v>9619852.2948687207</v>
      </c>
      <c r="I922" s="472">
        <f>-'Foglio deposito bis'!$F$62*(C922-sezione!$AP$30)*IF(ABS(O922)&lt;'Sollecitazioni nel paramento'!$G$58,ABS(O922)*'Sollecitazioni nel paramento'!$G$54,'Sollecitazioni nel paramento'!$G$53)</f>
        <v>86204668.948850185</v>
      </c>
      <c r="J922" s="472">
        <f t="shared" si="64"/>
        <v>-184755576.01205632</v>
      </c>
      <c r="K922" s="550">
        <f>'Sollecitazioni nel paramento'!$G$60*(sezione!$AL$30-C922)/C922</f>
        <v>-2.2383404697176143E-3</v>
      </c>
      <c r="L922" s="550">
        <f>'Sollecitazioni nel paramento'!$G$60*(sezione!$AM$30-C922)/C922</f>
        <v>-1.6075107045764214E-3</v>
      </c>
      <c r="M922" s="551">
        <f>'Sollecitazioni nel paramento'!$G$60*(sezione!$AN$30-C922)/C922</f>
        <v>-9.7668093943522856E-4</v>
      </c>
      <c r="N922" s="551">
        <f>'Sollecitazioni nel paramento'!$G$60*(sezione!$AO$30-C922)/C922</f>
        <v>1.5466381211295427E-3</v>
      </c>
      <c r="O922" s="551">
        <f>'Sollecitazioni nel paramento'!$G$60*(sezione!$AP$30-C922)/C922</f>
        <v>8.6398948738627135E-3</v>
      </c>
      <c r="P922" s="545">
        <f>-'Sollecitazioni nel paramento'!$G$47*'Sollecitazioni nel paramento'!$G$41*IF(DATI!$G$211="dx",DATI!$E$61,DATI!$E$64*DATI!$E$63)*1000*C922*sezione!$AD$5</f>
        <v>-4227432.1019128142</v>
      </c>
      <c r="Q922" s="545">
        <f>'Foglio deposito bis'!$F$58*IF(ABS(K922)&lt;'Sollecitazioni nel paramento'!$G$58,ABS(K922)*'Sollecitazioni nel paramento'!$G$54,'Sollecitazioni nel paramento'!$G$53)*IF(K922&lt;0,-1,1)</f>
        <v>0</v>
      </c>
      <c r="R922" s="545">
        <f>'Foglio deposito bis'!$F$59*IF(ABS(L922)&lt;'Sollecitazioni nel paramento'!$G$58,ABS(L922)*'Sollecitazioni nel paramento'!$G$54,'Sollecitazioni nel paramento'!$G$53)*IF(L922&lt;0,-1,1)</f>
        <v>-130041.20336665411</v>
      </c>
      <c r="S922" s="545">
        <f>'Foglio deposito bis'!$F$60*IF(ABS(M922)&lt;'Sollecitazioni nel paramento'!$G$58,ABS(M922)*'Sollecitazioni nel paramento'!$G$54,'Sollecitazioni nel paramento'!$G$53)*IF(M922&lt;0,-1,1)</f>
        <v>0</v>
      </c>
      <c r="T922" s="545">
        <f>'Foglio deposito bis'!$F$61*IF(ABS(N922)&lt;'Sollecitazioni nel paramento'!$G$58,ABS(N922)*'Sollecitazioni nel paramento'!$G$54,'Sollecitazioni nel paramento'!$G$53)*IF(N922&lt;0,-1,1)</f>
        <v>196183.22738072218</v>
      </c>
      <c r="U922" s="545">
        <f>'Foglio deposito bis'!$F$62*IF(ABS(O922)&lt;'Sollecitazioni nel paramento'!$G$58,ABS(O922)*'Sollecitazioni nel paramento'!$G$54,'Sollecitazioni nel paramento'!$G$53)*IF(O922&lt;0,-1,1)</f>
        <v>314705.62929873407</v>
      </c>
      <c r="V922" s="472">
        <f t="shared" si="66"/>
        <v>-3846584.4486000119</v>
      </c>
      <c r="W922" s="551"/>
      <c r="X922" s="551"/>
    </row>
    <row r="923" spans="1:24" x14ac:dyDescent="0.25">
      <c r="A923" s="545">
        <f t="shared" si="65"/>
        <v>3898527.7825263157</v>
      </c>
      <c r="B923" s="3">
        <f t="shared" si="67"/>
        <v>19.499999999999954</v>
      </c>
      <c r="C923" s="545">
        <f>'Foglio deposito bis'!$E$156/sezione!$B$247*B923</f>
        <v>112.11485650999118</v>
      </c>
      <c r="D923" s="603">
        <f>-'Sollecitazioni nel paramento'!$G$47*'Sollecitazioni nel paramento'!$G$41*IF(DATI!$G$211="dx",DATI!$E$61,DATI!$E$64*DATI!$E$63)*1000*C923^2*sezione!$AD$5*(1-sezione!$AD$6)</f>
        <v>-279659744.0782941</v>
      </c>
      <c r="E923" s="545">
        <f>-'Foglio deposito bis'!$F$58*(C923-sezione!$AL$30)*IF(ABS(K923)&lt;'Sollecitazioni nel paramento'!$G$58,ABS(K923)*'Sollecitazioni nel paramento'!$G$54,'Sollecitazioni nel paramento'!$G$53)</f>
        <v>0</v>
      </c>
      <c r="F923" s="545">
        <f>-'Foglio deposito bis'!$F$59*(C923-sezione!$AM$30)*IF(ABS(L923)&lt;'Sollecitazioni nel paramento'!$G$58,ABS(L923)*'Sollecitazioni nel paramento'!$G$54,'Sollecitazioni nel paramento'!$G$53)</f>
        <v>-6858909.5803461755</v>
      </c>
      <c r="G923" s="545">
        <f>-'Foglio deposito bis'!$F$60*(C923-sezione!$AN$30)*IF(ABS(M923)&lt;'Sollecitazioni nel paramento'!$G$58,ABS(M923)*'Sollecitazioni nel paramento'!$G$54,'Sollecitazioni nel paramento'!$G$53)</f>
        <v>0</v>
      </c>
      <c r="H923" s="545">
        <f>-'Foglio deposito bis'!$F$61*(C923-sezione!$AO$30)*IF(ABS(N923)&lt;'Sollecitazioni nel paramento'!$G$58,ABS(N923)*'Sollecitazioni nel paramento'!$G$54,'Sollecitazioni nel paramento'!$G$53)</f>
        <v>9079869.979475243</v>
      </c>
      <c r="I923" s="472">
        <f>-'Foglio deposito bis'!$F$62*(C923-sezione!$AP$30)*IF(ABS(O923)&lt;'Sollecitazioni nel paramento'!$G$58,ABS(O923)*'Sollecitazioni nel paramento'!$G$54,'Sollecitazioni nel paramento'!$G$53)</f>
        <v>85842790.215806976</v>
      </c>
      <c r="J923" s="472">
        <f t="shared" si="64"/>
        <v>-191595993.46335804</v>
      </c>
      <c r="K923" s="550">
        <f>'Sollecitazioni nel paramento'!$G$60*(sezione!$AL$30-C923)/C923</f>
        <v>-2.2512805674641005E-3</v>
      </c>
      <c r="L923" s="550">
        <f>'Sollecitazioni nel paramento'!$G$60*(sezione!$AM$30-C923)/C923</f>
        <v>-1.6269208511961507E-3</v>
      </c>
      <c r="M923" s="551">
        <f>'Sollecitazioni nel paramento'!$G$60*(sezione!$AN$30-C923)/C923</f>
        <v>-1.0025611349282009E-3</v>
      </c>
      <c r="N923" s="551">
        <f>'Sollecitazioni nel paramento'!$G$60*(sezione!$AO$30-C923)/C923</f>
        <v>1.4948777301435983E-3</v>
      </c>
      <c r="O923" s="551">
        <f>'Sollecitazioni nel paramento'!$G$60*(sezione!$AP$30-C923)/C923</f>
        <v>8.515383131566686E-3</v>
      </c>
      <c r="P923" s="545">
        <f>-'Sollecitazioni nel paramento'!$G$47*'Sollecitazioni nel paramento'!$G$41*IF(DATI!$G$211="dx",DATI!$E$61,DATI!$E$64*DATI!$E$63)*1000*C923*sezione!$AD$5</f>
        <v>-4271239.6884611333</v>
      </c>
      <c r="Q923" s="545">
        <f>'Foglio deposito bis'!$F$58*IF(ABS(K923)&lt;'Sollecitazioni nel paramento'!$G$58,ABS(K923)*'Sollecitazioni nel paramento'!$G$54,'Sollecitazioni nel paramento'!$G$53)*IF(K923&lt;0,-1,1)</f>
        <v>0</v>
      </c>
      <c r="R923" s="545">
        <f>'Foglio deposito bis'!$F$59*IF(ABS(L923)&lt;'Sollecitazioni nel paramento'!$G$58,ABS(L923)*'Sollecitazioni nel paramento'!$G$54,'Sollecitazioni nel paramento'!$G$53)*IF(L923&lt;0,-1,1)</f>
        <v>-131611.40679781439</v>
      </c>
      <c r="S923" s="545">
        <f>'Foglio deposito bis'!$F$60*IF(ABS(M923)&lt;'Sollecitazioni nel paramento'!$G$58,ABS(M923)*'Sollecitazioni nel paramento'!$G$54,'Sollecitazioni nel paramento'!$G$53)*IF(M923&lt;0,-1,1)</f>
        <v>0</v>
      </c>
      <c r="T923" s="545">
        <f>'Foglio deposito bis'!$F$61*IF(ABS(N923)&lt;'Sollecitazioni nel paramento'!$G$58,ABS(N923)*'Sollecitazioni nel paramento'!$G$54,'Sollecitazioni nel paramento'!$G$53)*IF(N923&lt;0,-1,1)</f>
        <v>189617.68343389736</v>
      </c>
      <c r="U923" s="545">
        <f>'Foglio deposito bis'!$F$62*IF(ABS(O923)&lt;'Sollecitazioni nel paramento'!$G$58,ABS(O923)*'Sollecitazioni nel paramento'!$G$54,'Sollecitazioni nel paramento'!$G$53)*IF(O923&lt;0,-1,1)</f>
        <v>314705.62929873407</v>
      </c>
      <c r="V923" s="472">
        <f t="shared" si="66"/>
        <v>-3898527.7825263157</v>
      </c>
      <c r="W923" s="551"/>
      <c r="X923" s="551"/>
    </row>
    <row r="924" spans="1:24" x14ac:dyDescent="0.25">
      <c r="A924" s="545">
        <f t="shared" si="65"/>
        <v>3950305.9236124582</v>
      </c>
      <c r="B924" s="3">
        <f t="shared" si="67"/>
        <v>19.699999999999953</v>
      </c>
      <c r="C924" s="545">
        <f>'Foglio deposito bis'!$E$156/sezione!$B$247*B924</f>
        <v>113.26475247419621</v>
      </c>
      <c r="D924" s="603">
        <f>-'Sollecitazioni nel paramento'!$G$47*'Sollecitazioni nel paramento'!$G$41*IF(DATI!$G$211="dx",DATI!$E$61,DATI!$E$64*DATI!$E$63)*1000*C924^2*sezione!$AD$5*(1-sezione!$AD$6)</f>
        <v>-285425772.72674596</v>
      </c>
      <c r="E924" s="545">
        <f>-'Foglio deposito bis'!$F$58*(C924-sezione!$AL$30)*IF(ABS(K924)&lt;'Sollecitazioni nel paramento'!$G$58,ABS(K924)*'Sollecitazioni nel paramento'!$G$54,'Sollecitazioni nel paramento'!$G$53)</f>
        <v>0</v>
      </c>
      <c r="F924" s="545">
        <f>-'Foglio deposito bis'!$F$59*(C924-sezione!$AM$30)*IF(ABS(L924)&lt;'Sollecitazioni nel paramento'!$G$58,ABS(L924)*'Sollecitazioni nel paramento'!$G$54,'Sollecitazioni nel paramento'!$G$53)</f>
        <v>-7092187.299974516</v>
      </c>
      <c r="G924" s="545">
        <f>-'Foglio deposito bis'!$F$60*(C924-sezione!$AN$30)*IF(ABS(M924)&lt;'Sollecitazioni nel paramento'!$G$58,ABS(M924)*'Sollecitazioni nel paramento'!$G$54,'Sollecitazioni nel paramento'!$G$53)</f>
        <v>0</v>
      </c>
      <c r="H924" s="545">
        <f>-'Foglio deposito bis'!$F$61*(C924-sezione!$AO$30)*IF(ABS(N924)&lt;'Sollecitazioni nel paramento'!$G$58,ABS(N924)*'Sollecitazioni nel paramento'!$G$54,'Sollecitazioni nel paramento'!$G$53)</f>
        <v>8561217.3500003889</v>
      </c>
      <c r="I924" s="472">
        <f>-'Foglio deposito bis'!$F$62*(C924-sezione!$AP$30)*IF(ABS(O924)&lt;'Sollecitazioni nel paramento'!$G$58,ABS(O924)*'Sollecitazioni nel paramento'!$G$54,'Sollecitazioni nel paramento'!$G$53)</f>
        <v>85480911.482763752</v>
      </c>
      <c r="J924" s="472">
        <f t="shared" si="64"/>
        <v>-198475831.19395632</v>
      </c>
      <c r="K924" s="550">
        <f>'Sollecitazioni nel paramento'!$G$60*(sezione!$AL$30-C924)/C924</f>
        <v>-2.2639579221091352E-3</v>
      </c>
      <c r="L924" s="550">
        <f>'Sollecitazioni nel paramento'!$G$60*(sezione!$AM$30-C924)/C924</f>
        <v>-1.6459368831637023E-3</v>
      </c>
      <c r="M924" s="551">
        <f>'Sollecitazioni nel paramento'!$G$60*(sezione!$AN$30-C924)/C924</f>
        <v>-1.0279158442182696E-3</v>
      </c>
      <c r="N924" s="551">
        <f>'Sollecitazioni nel paramento'!$G$60*(sezione!$AO$30-C924)/C924</f>
        <v>1.4441683115634606E-3</v>
      </c>
      <c r="O924" s="551">
        <f>'Sollecitazioni nel paramento'!$G$60*(sezione!$AP$30-C924)/C924</f>
        <v>8.3933995464746392E-3</v>
      </c>
      <c r="P924" s="545">
        <f>-'Sollecitazioni nel paramento'!$G$47*'Sollecitazioni nel paramento'!$G$41*IF(DATI!$G$211="dx",DATI!$E$61,DATI!$E$64*DATI!$E$63)*1000*C924*sezione!$AD$5</f>
        <v>-4315047.2750094524</v>
      </c>
      <c r="Q924" s="545">
        <f>'Foglio deposito bis'!$F$58*IF(ABS(K924)&lt;'Sollecitazioni nel paramento'!$G$58,ABS(K924)*'Sollecitazioni nel paramento'!$G$54,'Sollecitazioni nel paramento'!$G$53)*IF(K924&lt;0,-1,1)</f>
        <v>0</v>
      </c>
      <c r="R924" s="545">
        <f>'Foglio deposito bis'!$F$59*IF(ABS(L924)&lt;'Sollecitazioni nel paramento'!$G$58,ABS(L924)*'Sollecitazioni nel paramento'!$G$54,'Sollecitazioni nel paramento'!$G$53)*IF(L924&lt;0,-1,1)</f>
        <v>-133149.72792580389</v>
      </c>
      <c r="S924" s="545">
        <f>'Foglio deposito bis'!$F$60*IF(ABS(M924)&lt;'Sollecitazioni nel paramento'!$G$58,ABS(M924)*'Sollecitazioni nel paramento'!$G$54,'Sollecitazioni nel paramento'!$G$53)*IF(M924&lt;0,-1,1)</f>
        <v>0</v>
      </c>
      <c r="T924" s="545">
        <f>'Foglio deposito bis'!$F$61*IF(ABS(N924)&lt;'Sollecitazioni nel paramento'!$G$58,ABS(N924)*'Sollecitazioni nel paramento'!$G$54,'Sollecitazioni nel paramento'!$G$53)*IF(N924&lt;0,-1,1)</f>
        <v>183185.45002406399</v>
      </c>
      <c r="U924" s="545">
        <f>'Foglio deposito bis'!$F$62*IF(ABS(O924)&lt;'Sollecitazioni nel paramento'!$G$58,ABS(O924)*'Sollecitazioni nel paramento'!$G$54,'Sollecitazioni nel paramento'!$G$53)*IF(O924&lt;0,-1,1)</f>
        <v>314705.62929873407</v>
      </c>
      <c r="V924" s="472">
        <f t="shared" si="66"/>
        <v>-3950305.9236124582</v>
      </c>
      <c r="W924" s="551"/>
      <c r="X924" s="551"/>
    </row>
    <row r="925" spans="1:24" x14ac:dyDescent="0.25">
      <c r="A925" s="545">
        <f t="shared" si="65"/>
        <v>4001923.8525470872</v>
      </c>
      <c r="B925" s="3">
        <f t="shared" si="67"/>
        <v>19.899999999999952</v>
      </c>
      <c r="C925" s="545">
        <f>'Foglio deposito bis'!$E$156/sezione!$B$247*B925</f>
        <v>114.41464843840126</v>
      </c>
      <c r="D925" s="603">
        <f>-'Sollecitazioni nel paramento'!$G$47*'Sollecitazioni nel paramento'!$G$41*IF(DATI!$G$211="dx",DATI!$E$61,DATI!$E$64*DATI!$E$63)*1000*C925^2*sezione!$AD$5*(1-sezione!$AD$6)</f>
        <v>-291250638.40222287</v>
      </c>
      <c r="E925" s="545">
        <f>-'Foglio deposito bis'!$F$58*(C925-sezione!$AL$30)*IF(ABS(K925)&lt;'Sollecitazioni nel paramento'!$G$58,ABS(K925)*'Sollecitazioni nel paramento'!$G$54,'Sollecitazioni nel paramento'!$G$53)</f>
        <v>0</v>
      </c>
      <c r="F925" s="545">
        <f>-'Foglio deposito bis'!$F$59*(C925-sezione!$AM$30)*IF(ABS(L925)&lt;'Sollecitazioni nel paramento'!$G$58,ABS(L925)*'Sollecitazioni nel paramento'!$G$54,'Sollecitazioni nel paramento'!$G$53)</f>
        <v>-7327320.2812647549</v>
      </c>
      <c r="G925" s="545">
        <f>-'Foglio deposito bis'!$F$60*(C925-sezione!$AN$30)*IF(ABS(M925)&lt;'Sollecitazioni nel paramento'!$G$58,ABS(M925)*'Sollecitazioni nel paramento'!$G$54,'Sollecitazioni nel paramento'!$G$53)</f>
        <v>0</v>
      </c>
      <c r="H925" s="545">
        <f>-'Foglio deposito bis'!$F$61*(C925-sezione!$AO$30)*IF(ABS(N925)&lt;'Sollecitazioni nel paramento'!$G$58,ABS(N925)*'Sollecitazioni nel paramento'!$G$54,'Sollecitazioni nel paramento'!$G$53)</f>
        <v>8063251.3003360489</v>
      </c>
      <c r="I925" s="472">
        <f>-'Foglio deposito bis'!$F$62*(C925-sezione!$AP$30)*IF(ABS(O925)&lt;'Sollecitazioni nel paramento'!$G$58,ABS(O925)*'Sollecitazioni nel paramento'!$G$54,'Sollecitazioni nel paramento'!$G$53)</f>
        <v>85119032.749720544</v>
      </c>
      <c r="J925" s="472">
        <f t="shared" si="64"/>
        <v>-205395674.63343105</v>
      </c>
      <c r="K925" s="550">
        <f>'Sollecitazioni nel paramento'!$G$60*(sezione!$AL$30-C925)/C925</f>
        <v>-2.2763804555552742E-3</v>
      </c>
      <c r="L925" s="550">
        <f>'Sollecitazioni nel paramento'!$G$60*(sezione!$AM$30-C925)/C925</f>
        <v>-1.6645706833329115E-3</v>
      </c>
      <c r="M925" s="551">
        <f>'Sollecitazioni nel paramento'!$G$60*(sezione!$AN$30-C925)/C925</f>
        <v>-1.0527609111105486E-3</v>
      </c>
      <c r="N925" s="551">
        <f>'Sollecitazioni nel paramento'!$G$60*(sezione!$AO$30-C925)/C925</f>
        <v>1.3944781777789029E-3</v>
      </c>
      <c r="O925" s="551">
        <f>'Sollecitazioni nel paramento'!$G$60*(sezione!$AP$30-C925)/C925</f>
        <v>8.2738678927412272E-3</v>
      </c>
      <c r="P925" s="545">
        <f>-'Sollecitazioni nel paramento'!$G$47*'Sollecitazioni nel paramento'!$G$41*IF(DATI!$G$211="dx",DATI!$E$61,DATI!$E$64*DATI!$E$63)*1000*C925*sezione!$AD$5</f>
        <v>-4358854.8615577724</v>
      </c>
      <c r="Q925" s="545">
        <f>'Foglio deposito bis'!$F$58*IF(ABS(K925)&lt;'Sollecitazioni nel paramento'!$G$58,ABS(K925)*'Sollecitazioni nel paramento'!$G$54,'Sollecitazioni nel paramento'!$G$53)*IF(K925&lt;0,-1,1)</f>
        <v>0</v>
      </c>
      <c r="R925" s="545">
        <f>'Foglio deposito bis'!$F$59*IF(ABS(L925)&lt;'Sollecitazioni nel paramento'!$G$58,ABS(L925)*'Sollecitazioni nel paramento'!$G$54,'Sollecitazioni nel paramento'!$G$53)*IF(L925&lt;0,-1,1)</f>
        <v>-134657.12802609513</v>
      </c>
      <c r="S925" s="545">
        <f>'Foglio deposito bis'!$F$60*IF(ABS(M925)&lt;'Sollecitazioni nel paramento'!$G$58,ABS(M925)*'Sollecitazioni nel paramento'!$G$54,'Sollecitazioni nel paramento'!$G$53)*IF(M925&lt;0,-1,1)</f>
        <v>0</v>
      </c>
      <c r="T925" s="545">
        <f>'Foglio deposito bis'!$F$61*IF(ABS(N925)&lt;'Sollecitazioni nel paramento'!$G$58,ABS(N925)*'Sollecitazioni nel paramento'!$G$54,'Sollecitazioni nel paramento'!$G$53)*IF(N925&lt;0,-1,1)</f>
        <v>176882.50773804626</v>
      </c>
      <c r="U925" s="545">
        <f>'Foglio deposito bis'!$F$62*IF(ABS(O925)&lt;'Sollecitazioni nel paramento'!$G$58,ABS(O925)*'Sollecitazioni nel paramento'!$G$54,'Sollecitazioni nel paramento'!$G$53)*IF(O925&lt;0,-1,1)</f>
        <v>314705.62929873407</v>
      </c>
      <c r="V925" s="472">
        <f t="shared" si="66"/>
        <v>-4001923.8525470872</v>
      </c>
      <c r="W925" s="551"/>
      <c r="X925" s="551"/>
    </row>
    <row r="926" spans="1:24" x14ac:dyDescent="0.25">
      <c r="A926" s="545">
        <f t="shared" si="65"/>
        <v>4053386.3517824844</v>
      </c>
      <c r="B926" s="3">
        <f t="shared" si="67"/>
        <v>20.099999999999952</v>
      </c>
      <c r="C926" s="545">
        <f>'Foglio deposito bis'!$E$156/sezione!$B$247*B926</f>
        <v>115.56454440260629</v>
      </c>
      <c r="D926" s="603">
        <f>-'Sollecitazioni nel paramento'!$G$47*'Sollecitazioni nel paramento'!$G$41*IF(DATI!$G$211="dx",DATI!$E$61,DATI!$E$64*DATI!$E$63)*1000*C926^2*sezione!$AD$5*(1-sezione!$AD$6)</f>
        <v>-297134341.10472471</v>
      </c>
      <c r="E926" s="545">
        <f>-'Foglio deposito bis'!$F$58*(C926-sezione!$AL$30)*IF(ABS(K926)&lt;'Sollecitazioni nel paramento'!$G$58,ABS(K926)*'Sollecitazioni nel paramento'!$G$54,'Sollecitazioni nel paramento'!$G$53)</f>
        <v>0</v>
      </c>
      <c r="F926" s="545">
        <f>-'Foglio deposito bis'!$F$59*(C926-sezione!$AM$30)*IF(ABS(L926)&lt;'Sollecitazioni nel paramento'!$G$58,ABS(L926)*'Sollecitazioni nel paramento'!$G$54,'Sollecitazioni nel paramento'!$G$53)</f>
        <v>-7564253.1432717573</v>
      </c>
      <c r="G926" s="545">
        <f>-'Foglio deposito bis'!$F$60*(C926-sezione!$AN$30)*IF(ABS(M926)&lt;'Sollecitazioni nel paramento'!$G$58,ABS(M926)*'Sollecitazioni nel paramento'!$G$54,'Sollecitazioni nel paramento'!$G$53)</f>
        <v>0</v>
      </c>
      <c r="H926" s="545">
        <f>-'Foglio deposito bis'!$F$61*(C926-sezione!$AO$30)*IF(ABS(N926)&lt;'Sollecitazioni nel paramento'!$G$58,ABS(N926)*'Sollecitazioni nel paramento'!$G$54,'Sollecitazioni nel paramento'!$G$53)</f>
        <v>7585354.3206371441</v>
      </c>
      <c r="I926" s="472">
        <f>-'Foglio deposito bis'!$F$62*(C926-sezione!$AP$30)*IF(ABS(O926)&lt;'Sollecitazioni nel paramento'!$G$58,ABS(O926)*'Sollecitazioni nel paramento'!$G$54,'Sollecitazioni nel paramento'!$G$53)</f>
        <v>84757154.01667732</v>
      </c>
      <c r="J926" s="472">
        <f t="shared" si="64"/>
        <v>-212356085.91068196</v>
      </c>
      <c r="K926" s="550">
        <f>'Sollecitazioni nel paramento'!$G$60*(sezione!$AL$30-C926)/C926</f>
        <v>-2.2885557744054706E-3</v>
      </c>
      <c r="L926" s="550">
        <f>'Sollecitazioni nel paramento'!$G$60*(sezione!$AM$30-C926)/C926</f>
        <v>-1.6828336616082058E-3</v>
      </c>
      <c r="M926" s="551">
        <f>'Sollecitazioni nel paramento'!$G$60*(sezione!$AN$30-C926)/C926</f>
        <v>-1.0771115488109409E-3</v>
      </c>
      <c r="N926" s="551">
        <f>'Sollecitazioni nel paramento'!$G$60*(sezione!$AO$30-C926)/C926</f>
        <v>1.3457769023781181E-3</v>
      </c>
      <c r="O926" s="551">
        <f>'Sollecitazioni nel paramento'!$G$60*(sezione!$AP$30-C926)/C926</f>
        <v>8.156714978385592E-3</v>
      </c>
      <c r="P926" s="545">
        <f>-'Sollecitazioni nel paramento'!$G$47*'Sollecitazioni nel paramento'!$G$41*IF(DATI!$G$211="dx",DATI!$E$61,DATI!$E$64*DATI!$E$63)*1000*C926*sezione!$AD$5</f>
        <v>-4402662.4481060905</v>
      </c>
      <c r="Q926" s="545">
        <f>'Foglio deposito bis'!$F$58*IF(ABS(K926)&lt;'Sollecitazioni nel paramento'!$G$58,ABS(K926)*'Sollecitazioni nel paramento'!$G$54,'Sollecitazioni nel paramento'!$G$53)*IF(K926&lt;0,-1,1)</f>
        <v>0</v>
      </c>
      <c r="R926" s="545">
        <f>'Foglio deposito bis'!$F$59*IF(ABS(L926)&lt;'Sollecitazioni nel paramento'!$G$58,ABS(L926)*'Sollecitazioni nel paramento'!$G$54,'Sollecitazioni nel paramento'!$G$53)*IF(L926&lt;0,-1,1)</f>
        <v>-136134.53011444022</v>
      </c>
      <c r="S926" s="545">
        <f>'Foglio deposito bis'!$F$60*IF(ABS(M926)&lt;'Sollecitazioni nel paramento'!$G$58,ABS(M926)*'Sollecitazioni nel paramento'!$G$54,'Sollecitazioni nel paramento'!$G$53)*IF(M926&lt;0,-1,1)</f>
        <v>0</v>
      </c>
      <c r="T926" s="545">
        <f>'Foglio deposito bis'!$F$61*IF(ABS(N926)&lt;'Sollecitazioni nel paramento'!$G$58,ABS(N926)*'Sollecitazioni nel paramento'!$G$54,'Sollecitazioni nel paramento'!$G$53)*IF(N926&lt;0,-1,1)</f>
        <v>170704.99713931256</v>
      </c>
      <c r="U926" s="545">
        <f>'Foglio deposito bis'!$F$62*IF(ABS(O926)&lt;'Sollecitazioni nel paramento'!$G$58,ABS(O926)*'Sollecitazioni nel paramento'!$G$54,'Sollecitazioni nel paramento'!$G$53)*IF(O926&lt;0,-1,1)</f>
        <v>314705.62929873407</v>
      </c>
      <c r="V926" s="472">
        <f t="shared" si="66"/>
        <v>-4053386.3517824844</v>
      </c>
      <c r="W926" s="551"/>
      <c r="X926" s="551"/>
    </row>
    <row r="927" spans="1:24" x14ac:dyDescent="0.25">
      <c r="A927" s="545">
        <f t="shared" si="65"/>
        <v>4104698.0152999111</v>
      </c>
      <c r="B927" s="3">
        <f t="shared" si="67"/>
        <v>20.299999999999951</v>
      </c>
      <c r="C927" s="545">
        <f>'Foglio deposito bis'!$E$156/sezione!$B$247*B927</f>
        <v>116.71444036681133</v>
      </c>
      <c r="D927" s="603">
        <f>-'Sollecitazioni nel paramento'!$G$47*'Sollecitazioni nel paramento'!$G$41*IF(DATI!$G$211="dx",DATI!$E$61,DATI!$E$64*DATI!$E$63)*1000*C927^2*sezione!$AD$5*(1-sezione!$AD$6)</f>
        <v>-303076880.83425164</v>
      </c>
      <c r="E927" s="545">
        <f>-'Foglio deposito bis'!$F$58*(C927-sezione!$AL$30)*IF(ABS(K927)&lt;'Sollecitazioni nel paramento'!$G$58,ABS(K927)*'Sollecitazioni nel paramento'!$G$54,'Sollecitazioni nel paramento'!$G$53)</f>
        <v>0</v>
      </c>
      <c r="F927" s="545">
        <f>-'Foglio deposito bis'!$F$59*(C927-sezione!$AM$30)*IF(ABS(L927)&lt;'Sollecitazioni nel paramento'!$G$58,ABS(L927)*'Sollecitazioni nel paramento'!$G$54,'Sollecitazioni nel paramento'!$G$53)</f>
        <v>-7802932.6875506975</v>
      </c>
      <c r="G927" s="545">
        <f>-'Foglio deposito bis'!$F$60*(C927-sezione!$AN$30)*IF(ABS(M927)&lt;'Sollecitazioni nel paramento'!$G$58,ABS(M927)*'Sollecitazioni nel paramento'!$G$54,'Sollecitazioni nel paramento'!$G$53)</f>
        <v>0</v>
      </c>
      <c r="H927" s="545">
        <f>-'Foglio deposito bis'!$F$61*(C927-sezione!$AO$30)*IF(ABS(N927)&lt;'Sollecitazioni nel paramento'!$G$58,ABS(N927)*'Sollecitazioni nel paramento'!$G$54,'Sollecitazioni nel paramento'!$G$53)</f>
        <v>7126933.2364219287</v>
      </c>
      <c r="I927" s="472">
        <f>-'Foglio deposito bis'!$F$62*(C927-sezione!$AP$30)*IF(ABS(O927)&lt;'Sollecitazioni nel paramento'!$G$58,ABS(O927)*'Sollecitazioni nel paramento'!$G$54,'Sollecitazioni nel paramento'!$G$53)</f>
        <v>84395275.283634081</v>
      </c>
      <c r="J927" s="472">
        <f t="shared" si="64"/>
        <v>-219357605.00174636</v>
      </c>
      <c r="K927" s="550">
        <f>'Sollecitazioni nel paramento'!$G$60*(sezione!$AL$30-C927)/C927</f>
        <v>-2.3004911854950716E-3</v>
      </c>
      <c r="L927" s="550">
        <f>'Sollecitazioni nel paramento'!$G$60*(sezione!$AM$30-C927)/C927</f>
        <v>-1.7007367782426077E-3</v>
      </c>
      <c r="M927" s="551">
        <f>'Sollecitazioni nel paramento'!$G$60*(sezione!$AN$30-C927)/C927</f>
        <v>-1.1009823709901437E-3</v>
      </c>
      <c r="N927" s="551">
        <f>'Sollecitazioni nel paramento'!$G$60*(sezione!$AO$30-C927)/C927</f>
        <v>1.2980352580197131E-3</v>
      </c>
      <c r="O927" s="551">
        <f>'Sollecitazioni nel paramento'!$G$60*(sezione!$AP$30-C927)/C927</f>
        <v>8.041870495839919E-3</v>
      </c>
      <c r="P927" s="545">
        <f>-'Sollecitazioni nel paramento'!$G$47*'Sollecitazioni nel paramento'!$G$41*IF(DATI!$G$211="dx",DATI!$E$61,DATI!$E$64*DATI!$E$63)*1000*C927*sezione!$AD$5</f>
        <v>-4446470.0346544106</v>
      </c>
      <c r="Q927" s="545">
        <f>'Foglio deposito bis'!$F$58*IF(ABS(K927)&lt;'Sollecitazioni nel paramento'!$G$58,ABS(K927)*'Sollecitazioni nel paramento'!$G$54,'Sollecitazioni nel paramento'!$G$53)*IF(K927&lt;0,-1,1)</f>
        <v>0</v>
      </c>
      <c r="R927" s="545">
        <f>'Foglio deposito bis'!$F$59*IF(ABS(L927)&lt;'Sollecitazioni nel paramento'!$G$58,ABS(L927)*'Sollecitazioni nel paramento'!$G$54,'Sollecitazioni nel paramento'!$G$53)*IF(L927&lt;0,-1,1)</f>
        <v>-137582.82083158643</v>
      </c>
      <c r="S927" s="545">
        <f>'Foglio deposito bis'!$F$60*IF(ABS(M927)&lt;'Sollecitazioni nel paramento'!$G$58,ABS(M927)*'Sollecitazioni nel paramento'!$G$54,'Sollecitazioni nel paramento'!$G$53)*IF(M927&lt;0,-1,1)</f>
        <v>0</v>
      </c>
      <c r="T927" s="545">
        <f>'Foglio deposito bis'!$F$61*IF(ABS(N927)&lt;'Sollecitazioni nel paramento'!$G$58,ABS(N927)*'Sollecitazioni nel paramento'!$G$54,'Sollecitazioni nel paramento'!$G$53)*IF(N927&lt;0,-1,1)</f>
        <v>164649.21088735192</v>
      </c>
      <c r="U927" s="545">
        <f>'Foglio deposito bis'!$F$62*IF(ABS(O927)&lt;'Sollecitazioni nel paramento'!$G$58,ABS(O927)*'Sollecitazioni nel paramento'!$G$54,'Sollecitazioni nel paramento'!$G$53)*IF(O927&lt;0,-1,1)</f>
        <v>314705.62929873407</v>
      </c>
      <c r="V927" s="472">
        <f t="shared" si="66"/>
        <v>-4104698.0152999111</v>
      </c>
      <c r="W927" s="551"/>
      <c r="X927" s="551"/>
    </row>
    <row r="928" spans="1:24" x14ac:dyDescent="0.25">
      <c r="A928" s="545">
        <f t="shared" si="65"/>
        <v>4155863.2578033055</v>
      </c>
      <c r="B928" s="3">
        <f t="shared" si="67"/>
        <v>20.49999999999995</v>
      </c>
      <c r="C928" s="545">
        <f>'Foglio deposito bis'!$E$156/sezione!$B$247*B928</f>
        <v>117.86433633101636</v>
      </c>
      <c r="D928" s="603">
        <f>-'Sollecitazioni nel paramento'!$G$47*'Sollecitazioni nel paramento'!$G$41*IF(DATI!$G$211="dx",DATI!$E$61,DATI!$E$64*DATI!$E$63)*1000*C928^2*sezione!$AD$5*(1-sezione!$AD$6)</f>
        <v>-309078257.59080362</v>
      </c>
      <c r="E928" s="545">
        <f>-'Foglio deposito bis'!$F$58*(C928-sezione!$AL$30)*IF(ABS(K928)&lt;'Sollecitazioni nel paramento'!$G$58,ABS(K928)*'Sollecitazioni nel paramento'!$G$54,'Sollecitazioni nel paramento'!$G$53)</f>
        <v>0</v>
      </c>
      <c r="F928" s="545">
        <f>-'Foglio deposito bis'!$F$59*(C928-sezione!$AM$30)*IF(ABS(L928)&lt;'Sollecitazioni nel paramento'!$G$58,ABS(L928)*'Sollecitazioni nel paramento'!$G$54,'Sollecitazioni nel paramento'!$G$53)</f>
        <v>-8043307.7916936101</v>
      </c>
      <c r="G928" s="545">
        <f>-'Foglio deposito bis'!$F$60*(C928-sezione!$AN$30)*IF(ABS(M928)&lt;'Sollecitazioni nel paramento'!$G$58,ABS(M928)*'Sollecitazioni nel paramento'!$G$54,'Sollecitazioni nel paramento'!$G$53)</f>
        <v>0</v>
      </c>
      <c r="H928" s="545">
        <f>-'Foglio deposito bis'!$F$61*(C928-sezione!$AO$30)*IF(ABS(N928)&lt;'Sollecitazioni nel paramento'!$G$58,ABS(N928)*'Sollecitazioni nel paramento'!$G$54,'Sollecitazioni nel paramento'!$G$53)</f>
        <v>6687418.0214811284</v>
      </c>
      <c r="I928" s="472">
        <f>-'Foglio deposito bis'!$F$62*(C928-sezione!$AP$30)*IF(ABS(O928)&lt;'Sollecitazioni nel paramento'!$G$58,ABS(O928)*'Sollecitazioni nel paramento'!$G$54,'Sollecitazioni nel paramento'!$G$53)</f>
        <v>84033396.550590873</v>
      </c>
      <c r="J928" s="472">
        <f t="shared" si="64"/>
        <v>-226400750.81042522</v>
      </c>
      <c r="K928" s="550">
        <f>'Sollecitazioni nel paramento'!$G$60*(sezione!$AL$30-C928)/C928</f>
        <v>-2.3121937105146321E-3</v>
      </c>
      <c r="L928" s="550">
        <f>'Sollecitazioni nel paramento'!$G$60*(sezione!$AM$30-C928)/C928</f>
        <v>-1.7182905657719481E-3</v>
      </c>
      <c r="M928" s="551">
        <f>'Sollecitazioni nel paramento'!$G$60*(sezione!$AN$30-C928)/C928</f>
        <v>-1.1243874210292641E-3</v>
      </c>
      <c r="N928" s="551">
        <f>'Sollecitazioni nel paramento'!$G$60*(sezione!$AO$30-C928)/C928</f>
        <v>1.2512251579414723E-3</v>
      </c>
      <c r="O928" s="551">
        <f>'Sollecitazioni nel paramento'!$G$60*(sezione!$AP$30-C928)/C928</f>
        <v>7.9292668812463614E-3</v>
      </c>
      <c r="P928" s="545">
        <f>-'Sollecitazioni nel paramento'!$G$47*'Sollecitazioni nel paramento'!$G$41*IF(DATI!$G$211="dx",DATI!$E$61,DATI!$E$64*DATI!$E$63)*1000*C928*sezione!$AD$5</f>
        <v>-4490277.6212027287</v>
      </c>
      <c r="Q928" s="545">
        <f>'Foglio deposito bis'!$F$58*IF(ABS(K928)&lt;'Sollecitazioni nel paramento'!$G$58,ABS(K928)*'Sollecitazioni nel paramento'!$G$54,'Sollecitazioni nel paramento'!$G$53)*IF(K928&lt;0,-1,1)</f>
        <v>0</v>
      </c>
      <c r="R928" s="545">
        <f>'Foglio deposito bis'!$F$59*IF(ABS(L928)&lt;'Sollecitazioni nel paramento'!$G$58,ABS(L928)*'Sollecitazioni nel paramento'!$G$54,'Sollecitazioni nel paramento'!$G$53)*IF(L928&lt;0,-1,1)</f>
        <v>-139002.85221766637</v>
      </c>
      <c r="S928" s="545">
        <f>'Foglio deposito bis'!$F$60*IF(ABS(M928)&lt;'Sollecitazioni nel paramento'!$G$58,ABS(M928)*'Sollecitazioni nel paramento'!$G$54,'Sollecitazioni nel paramento'!$G$53)*IF(M928&lt;0,-1,1)</f>
        <v>0</v>
      </c>
      <c r="T928" s="545">
        <f>'Foglio deposito bis'!$F$61*IF(ABS(N928)&lt;'Sollecitazioni nel paramento'!$G$58,ABS(N928)*'Sollecitazioni nel paramento'!$G$54,'Sollecitazioni nel paramento'!$G$53)*IF(N928&lt;0,-1,1)</f>
        <v>158711.58631835636</v>
      </c>
      <c r="U928" s="545">
        <f>'Foglio deposito bis'!$F$62*IF(ABS(O928)&lt;'Sollecitazioni nel paramento'!$G$58,ABS(O928)*'Sollecitazioni nel paramento'!$G$54,'Sollecitazioni nel paramento'!$G$53)*IF(O928&lt;0,-1,1)</f>
        <v>314705.62929873407</v>
      </c>
      <c r="V928" s="472">
        <f t="shared" si="66"/>
        <v>-4155863.2578033055</v>
      </c>
      <c r="W928" s="551"/>
      <c r="X928" s="551"/>
    </row>
    <row r="929" spans="1:24" x14ac:dyDescent="0.25">
      <c r="A929" s="545">
        <f t="shared" si="65"/>
        <v>4206886.3233800316</v>
      </c>
      <c r="B929" s="3">
        <f t="shared" si="67"/>
        <v>20.69999999999995</v>
      </c>
      <c r="C929" s="545">
        <f>'Foglio deposito bis'!$E$156/sezione!$B$247*B929</f>
        <v>119.0142322952214</v>
      </c>
      <c r="D929" s="603">
        <f>-'Sollecitazioni nel paramento'!$G$47*'Sollecitazioni nel paramento'!$G$41*IF(DATI!$G$211="dx",DATI!$E$61,DATI!$E$64*DATI!$E$63)*1000*C929^2*sezione!$AD$5*(1-sezione!$AD$6)</f>
        <v>-315138471.37438059</v>
      </c>
      <c r="E929" s="545">
        <f>-'Foglio deposito bis'!$F$58*(C929-sezione!$AL$30)*IF(ABS(K929)&lt;'Sollecitazioni nel paramento'!$G$58,ABS(K929)*'Sollecitazioni nel paramento'!$G$54,'Sollecitazioni nel paramento'!$G$53)</f>
        <v>0</v>
      </c>
      <c r="F929" s="545">
        <f>-'Foglio deposito bis'!$F$59*(C929-sezione!$AM$30)*IF(ABS(L929)&lt;'Sollecitazioni nel paramento'!$G$58,ABS(L929)*'Sollecitazioni nel paramento'!$G$54,'Sollecitazioni nel paramento'!$G$53)</f>
        <v>-8285329.3090377785</v>
      </c>
      <c r="G929" s="545">
        <f>-'Foglio deposito bis'!$F$60*(C929-sezione!$AN$30)*IF(ABS(M929)&lt;'Sollecitazioni nel paramento'!$G$58,ABS(M929)*'Sollecitazioni nel paramento'!$G$54,'Sollecitazioni nel paramento'!$G$53)</f>
        <v>0</v>
      </c>
      <c r="H929" s="545">
        <f>-'Foglio deposito bis'!$F$61*(C929-sezione!$AO$30)*IF(ABS(N929)&lt;'Sollecitazioni nel paramento'!$G$58,ABS(N929)*'Sollecitazioni nel paramento'!$G$54,'Sollecitazioni nel paramento'!$G$53)</f>
        <v>6266260.6796038849</v>
      </c>
      <c r="I929" s="472">
        <f>-'Foglio deposito bis'!$F$62*(C929-sezione!$AP$30)*IF(ABS(O929)&lt;'Sollecitazioni nel paramento'!$G$58,ABS(O929)*'Sollecitazioni nel paramento'!$G$54,'Sollecitazioni nel paramento'!$G$53)</f>
        <v>83671517.817547649</v>
      </c>
      <c r="J929" s="472">
        <f t="shared" si="64"/>
        <v>-233486022.18626687</v>
      </c>
      <c r="K929" s="550">
        <f>'Sollecitazioni nel paramento'!$G$60*(sezione!$AL$30-C929)/C929</f>
        <v>-2.3236700997850222E-3</v>
      </c>
      <c r="L929" s="550">
        <f>'Sollecitazioni nel paramento'!$G$60*(sezione!$AM$30-C929)/C929</f>
        <v>-1.735505149677533E-3</v>
      </c>
      <c r="M929" s="551">
        <f>'Sollecitazioni nel paramento'!$G$60*(sezione!$AN$30-C929)/C929</f>
        <v>-1.1473401995700442E-3</v>
      </c>
      <c r="N929" s="551">
        <f>'Sollecitazioni nel paramento'!$G$60*(sezione!$AO$30-C929)/C929</f>
        <v>1.2053196008599118E-3</v>
      </c>
      <c r="O929" s="551">
        <f>'Sollecitazioni nel paramento'!$G$60*(sezione!$AP$30-C929)/C929</f>
        <v>7.8188391819106473E-3</v>
      </c>
      <c r="P929" s="545">
        <f>-'Sollecitazioni nel paramento'!$G$47*'Sollecitazioni nel paramento'!$G$41*IF(DATI!$G$211="dx",DATI!$E$61,DATI!$E$64*DATI!$E$63)*1000*C929*sezione!$AD$5</f>
        <v>-4534085.2077510487</v>
      </c>
      <c r="Q929" s="545">
        <f>'Foglio deposito bis'!$F$58*IF(ABS(K929)&lt;'Sollecitazioni nel paramento'!$G$58,ABS(K929)*'Sollecitazioni nel paramento'!$G$54,'Sollecitazioni nel paramento'!$G$53)*IF(K929&lt;0,-1,1)</f>
        <v>0</v>
      </c>
      <c r="R929" s="545">
        <f>'Foglio deposito bis'!$F$59*IF(ABS(L929)&lt;'Sollecitazioni nel paramento'!$G$58,ABS(L929)*'Sollecitazioni nel paramento'!$G$54,'Sollecitazioni nel paramento'!$G$53)*IF(L929&lt;0,-1,1)</f>
        <v>-140395.44338372545</v>
      </c>
      <c r="S929" s="545">
        <f>'Foglio deposito bis'!$F$60*IF(ABS(M929)&lt;'Sollecitazioni nel paramento'!$G$58,ABS(M929)*'Sollecitazioni nel paramento'!$G$54,'Sollecitazioni nel paramento'!$G$53)*IF(M929&lt;0,-1,1)</f>
        <v>0</v>
      </c>
      <c r="T929" s="545">
        <f>'Foglio deposito bis'!$F$61*IF(ABS(N929)&lt;'Sollecitazioni nel paramento'!$G$58,ABS(N929)*'Sollecitazioni nel paramento'!$G$54,'Sollecitazioni nel paramento'!$G$53)*IF(N929&lt;0,-1,1)</f>
        <v>152888.69845600799</v>
      </c>
      <c r="U929" s="545">
        <f>'Foglio deposito bis'!$F$62*IF(ABS(O929)&lt;'Sollecitazioni nel paramento'!$G$58,ABS(O929)*'Sollecitazioni nel paramento'!$G$54,'Sollecitazioni nel paramento'!$G$53)*IF(O929&lt;0,-1,1)</f>
        <v>314705.62929873407</v>
      </c>
      <c r="V929" s="472">
        <f t="shared" si="66"/>
        <v>-4206886.3233800316</v>
      </c>
      <c r="W929" s="551"/>
      <c r="X929" s="551"/>
    </row>
    <row r="930" spans="1:24" x14ac:dyDescent="0.25">
      <c r="A930" s="545">
        <f t="shared" si="65"/>
        <v>4257771.2936643483</v>
      </c>
      <c r="B930" s="3">
        <f t="shared" si="67"/>
        <v>20.899999999999949</v>
      </c>
      <c r="C930" s="545">
        <f>'Foglio deposito bis'!$E$156/sezione!$B$247*B930</f>
        <v>120.16412825942643</v>
      </c>
      <c r="D930" s="603">
        <f>-'Sollecitazioni nel paramento'!$G$47*'Sollecitazioni nel paramento'!$G$41*IF(DATI!$G$211="dx",DATI!$E$61,DATI!$E$64*DATI!$E$63)*1000*C930^2*sezione!$AD$5*(1-sezione!$AD$6)</f>
        <v>-321257522.1849826</v>
      </c>
      <c r="E930" s="545">
        <f>-'Foglio deposito bis'!$F$58*(C930-sezione!$AL$30)*IF(ABS(K930)&lt;'Sollecitazioni nel paramento'!$G$58,ABS(K930)*'Sollecitazioni nel paramento'!$G$54,'Sollecitazioni nel paramento'!$G$53)</f>
        <v>0</v>
      </c>
      <c r="F930" s="545">
        <f>-'Foglio deposito bis'!$F$59*(C930-sezione!$AM$30)*IF(ABS(L930)&lt;'Sollecitazioni nel paramento'!$G$58,ABS(L930)*'Sollecitazioni nel paramento'!$G$54,'Sollecitazioni nel paramento'!$G$53)</f>
        <v>-8528949.974132441</v>
      </c>
      <c r="G930" s="545">
        <f>-'Foglio deposito bis'!$F$60*(C930-sezione!$AN$30)*IF(ABS(M930)&lt;'Sollecitazioni nel paramento'!$G$58,ABS(M930)*'Sollecitazioni nel paramento'!$G$54,'Sollecitazioni nel paramento'!$G$53)</f>
        <v>0</v>
      </c>
      <c r="H930" s="545">
        <f>-'Foglio deposito bis'!$F$61*(C930-sezione!$AO$30)*IF(ABS(N930)&lt;'Sollecitazioni nel paramento'!$G$58,ABS(N930)*'Sollecitazioni nel paramento'!$G$54,'Sollecitazioni nel paramento'!$G$53)</f>
        <v>5862934.1905108728</v>
      </c>
      <c r="I930" s="472">
        <f>-'Foglio deposito bis'!$F$62*(C930-sezione!$AP$30)*IF(ABS(O930)&lt;'Sollecitazioni nel paramento'!$G$58,ABS(O930)*'Sollecitazioni nel paramento'!$G$54,'Sollecitazioni nel paramento'!$G$53)</f>
        <v>83309639.08450444</v>
      </c>
      <c r="J930" s="472">
        <f t="shared" si="64"/>
        <v>-240613898.88409972</v>
      </c>
      <c r="K930" s="550">
        <f>'Sollecitazioni nel paramento'!$G$60*(sezione!$AL$30-C930)/C930</f>
        <v>-2.3349268452416247E-3</v>
      </c>
      <c r="L930" s="550">
        <f>'Sollecitazioni nel paramento'!$G$60*(sezione!$AM$30-C930)/C930</f>
        <v>-1.7523902678624368E-3</v>
      </c>
      <c r="M930" s="551">
        <f>'Sollecitazioni nel paramento'!$G$60*(sezione!$AN$30-C930)/C930</f>
        <v>-1.1698536904832493E-3</v>
      </c>
      <c r="N930" s="551">
        <f>'Sollecitazioni nel paramento'!$G$60*(sezione!$AO$30-C930)/C930</f>
        <v>1.1602926190335016E-3</v>
      </c>
      <c r="O930" s="551">
        <f>'Sollecitazioni nel paramento'!$G$60*(sezione!$AP$30-C930)/C930</f>
        <v>7.7105249313660484E-3</v>
      </c>
      <c r="P930" s="545">
        <f>-'Sollecitazioni nel paramento'!$G$47*'Sollecitazioni nel paramento'!$G$41*IF(DATI!$G$211="dx",DATI!$E$61,DATI!$E$64*DATI!$E$63)*1000*C930*sezione!$AD$5</f>
        <v>-4577892.7942993678</v>
      </c>
      <c r="Q930" s="545">
        <f>'Foglio deposito bis'!$F$58*IF(ABS(K930)&lt;'Sollecitazioni nel paramento'!$G$58,ABS(K930)*'Sollecitazioni nel paramento'!$G$54,'Sollecitazioni nel paramento'!$G$53)*IF(K930&lt;0,-1,1)</f>
        <v>0</v>
      </c>
      <c r="R930" s="545">
        <f>'Foglio deposito bis'!$F$59*IF(ABS(L930)&lt;'Sollecitazioni nel paramento'!$G$58,ABS(L930)*'Sollecitazioni nel paramento'!$G$54,'Sollecitazioni nel paramento'!$G$53)*IF(L930&lt;0,-1,1)</f>
        <v>-141761.38208727617</v>
      </c>
      <c r="S930" s="545">
        <f>'Foglio deposito bis'!$F$60*IF(ABS(M930)&lt;'Sollecitazioni nel paramento'!$G$58,ABS(M930)*'Sollecitazioni nel paramento'!$G$54,'Sollecitazioni nel paramento'!$G$53)*IF(M930&lt;0,-1,1)</f>
        <v>0</v>
      </c>
      <c r="T930" s="545">
        <f>'Foglio deposito bis'!$F$61*IF(ABS(N930)&lt;'Sollecitazioni nel paramento'!$G$58,ABS(N930)*'Sollecitazioni nel paramento'!$G$54,'Sollecitazioni nel paramento'!$G$53)*IF(N930&lt;0,-1,1)</f>
        <v>147177.25342356114</v>
      </c>
      <c r="U930" s="545">
        <f>'Foglio deposito bis'!$F$62*IF(ABS(O930)&lt;'Sollecitazioni nel paramento'!$G$58,ABS(O930)*'Sollecitazioni nel paramento'!$G$54,'Sollecitazioni nel paramento'!$G$53)*IF(O930&lt;0,-1,1)</f>
        <v>314705.62929873407</v>
      </c>
      <c r="V930" s="472">
        <f t="shared" si="66"/>
        <v>-4257771.2936643483</v>
      </c>
      <c r="W930" s="551"/>
      <c r="X930" s="551"/>
    </row>
    <row r="931" spans="1:24" x14ac:dyDescent="0.25">
      <c r="A931" s="545">
        <f t="shared" si="65"/>
        <v>4308522.0955366092</v>
      </c>
      <c r="B931" s="3">
        <f t="shared" si="67"/>
        <v>21.099999999999948</v>
      </c>
      <c r="C931" s="545">
        <f>'Foglio deposito bis'!$E$156/sezione!$B$247*B931</f>
        <v>121.31402422363148</v>
      </c>
      <c r="D931" s="603">
        <f>-'Sollecitazioni nel paramento'!$G$47*'Sollecitazioni nel paramento'!$G$41*IF(DATI!$G$211="dx",DATI!$E$61,DATI!$E$64*DATI!$E$63)*1000*C931^2*sezione!$AD$5*(1-sezione!$AD$6)</f>
        <v>-327435410.02260959</v>
      </c>
      <c r="E931" s="545">
        <f>-'Foglio deposito bis'!$F$58*(C931-sezione!$AL$30)*IF(ABS(K931)&lt;'Sollecitazioni nel paramento'!$G$58,ABS(K931)*'Sollecitazioni nel paramento'!$G$54,'Sollecitazioni nel paramento'!$G$53)</f>
        <v>0</v>
      </c>
      <c r="F931" s="545">
        <f>-'Foglio deposito bis'!$F$59*(C931-sezione!$AM$30)*IF(ABS(L931)&lt;'Sollecitazioni nel paramento'!$G$58,ABS(L931)*'Sollecitazioni nel paramento'!$G$54,'Sollecitazioni nel paramento'!$G$53)</f>
        <v>-8774124.3135818578</v>
      </c>
      <c r="G931" s="545">
        <f>-'Foglio deposito bis'!$F$60*(C931-sezione!$AN$30)*IF(ABS(M931)&lt;'Sollecitazioni nel paramento'!$G$58,ABS(M931)*'Sollecitazioni nel paramento'!$G$54,'Sollecitazioni nel paramento'!$G$53)</f>
        <v>0</v>
      </c>
      <c r="H931" s="545">
        <f>-'Foglio deposito bis'!$F$61*(C931-sezione!$AO$30)*IF(ABS(N931)&lt;'Sollecitazioni nel paramento'!$G$58,ABS(N931)*'Sollecitazioni nel paramento'!$G$54,'Sollecitazioni nel paramento'!$G$53)</f>
        <v>5476931.5157342805</v>
      </c>
      <c r="I931" s="472">
        <f>-'Foglio deposito bis'!$F$62*(C931-sezione!$AP$30)*IF(ABS(O931)&lt;'Sollecitazioni nel paramento'!$G$58,ABS(O931)*'Sollecitazioni nel paramento'!$G$54,'Sollecitazioni nel paramento'!$G$53)</f>
        <v>82947760.351461217</v>
      </c>
      <c r="J931" s="472">
        <f t="shared" si="64"/>
        <v>-247784842.46899599</v>
      </c>
      <c r="K931" s="550">
        <f>'Sollecitazioni nel paramento'!$G$60*(sezione!$AL$30-C931)/C931</f>
        <v>-2.3459701926800925E-3</v>
      </c>
      <c r="L931" s="550">
        <f>'Sollecitazioni nel paramento'!$G$60*(sezione!$AM$30-C931)/C931</f>
        <v>-1.768955289020139E-3</v>
      </c>
      <c r="M931" s="551">
        <f>'Sollecitazioni nel paramento'!$G$60*(sezione!$AN$30-C931)/C931</f>
        <v>-1.1919403853601854E-3</v>
      </c>
      <c r="N931" s="551">
        <f>'Sollecitazioni nel paramento'!$G$60*(sezione!$AO$30-C931)/C931</f>
        <v>1.1161192292796292E-3</v>
      </c>
      <c r="O931" s="551">
        <f>'Sollecitazioni nel paramento'!$G$60*(sezione!$AP$30-C931)/C931</f>
        <v>7.6042640315426733E-3</v>
      </c>
      <c r="P931" s="545">
        <f>-'Sollecitazioni nel paramento'!$G$47*'Sollecitazioni nel paramento'!$G$41*IF(DATI!$G$211="dx",DATI!$E$61,DATI!$E$64*DATI!$E$63)*1000*C931*sezione!$AD$5</f>
        <v>-4621700.3808476878</v>
      </c>
      <c r="Q931" s="545">
        <f>'Foglio deposito bis'!$F$58*IF(ABS(K931)&lt;'Sollecitazioni nel paramento'!$G$58,ABS(K931)*'Sollecitazioni nel paramento'!$G$54,'Sollecitazioni nel paramento'!$G$53)*IF(K931&lt;0,-1,1)</f>
        <v>0</v>
      </c>
      <c r="R931" s="545">
        <f>'Foglio deposito bis'!$F$59*IF(ABS(L931)&lt;'Sollecitazioni nel paramento'!$G$58,ABS(L931)*'Sollecitazioni nel paramento'!$G$54,'Sollecitazioni nel paramento'!$G$53)*IF(L931&lt;0,-1,1)</f>
        <v>-143101.4262182478</v>
      </c>
      <c r="S931" s="545">
        <f>'Foglio deposito bis'!$F$60*IF(ABS(M931)&lt;'Sollecitazioni nel paramento'!$G$58,ABS(M931)*'Sollecitazioni nel paramento'!$G$54,'Sollecitazioni nel paramento'!$G$53)*IF(M931&lt;0,-1,1)</f>
        <v>0</v>
      </c>
      <c r="T931" s="545">
        <f>'Foglio deposito bis'!$F$61*IF(ABS(N931)&lt;'Sollecitazioni nel paramento'!$G$58,ABS(N931)*'Sollecitazioni nel paramento'!$G$54,'Sollecitazioni nel paramento'!$G$53)*IF(N931&lt;0,-1,1)</f>
        <v>141574.08223059183</v>
      </c>
      <c r="U931" s="545">
        <f>'Foglio deposito bis'!$F$62*IF(ABS(O931)&lt;'Sollecitazioni nel paramento'!$G$58,ABS(O931)*'Sollecitazioni nel paramento'!$G$54,'Sollecitazioni nel paramento'!$G$53)*IF(O931&lt;0,-1,1)</f>
        <v>314705.62929873407</v>
      </c>
      <c r="V931" s="472">
        <f t="shared" si="66"/>
        <v>-4308522.0955366092</v>
      </c>
      <c r="W931" s="551"/>
      <c r="X931" s="551"/>
    </row>
    <row r="932" spans="1:24" x14ac:dyDescent="0.25">
      <c r="A932" s="545">
        <f t="shared" si="65"/>
        <v>4359142.5083887018</v>
      </c>
      <c r="B932" s="3">
        <f t="shared" si="67"/>
        <v>21.299999999999947</v>
      </c>
      <c r="C932" s="545">
        <f>'Foglio deposito bis'!$E$156/sezione!$B$247*B932</f>
        <v>122.46392018783651</v>
      </c>
      <c r="D932" s="603">
        <f>-'Sollecitazioni nel paramento'!$G$47*'Sollecitazioni nel paramento'!$G$41*IF(DATI!$G$211="dx",DATI!$E$61,DATI!$E$64*DATI!$E$63)*1000*C932^2*sezione!$AD$5*(1-sezione!$AD$6)</f>
        <v>-333672134.88726157</v>
      </c>
      <c r="E932" s="545">
        <f>-'Foglio deposito bis'!$F$58*(C932-sezione!$AL$30)*IF(ABS(K932)&lt;'Sollecitazioni nel paramento'!$G$58,ABS(K932)*'Sollecitazioni nel paramento'!$G$54,'Sollecitazioni nel paramento'!$G$53)</f>
        <v>0</v>
      </c>
      <c r="F932" s="545">
        <f>-'Foglio deposito bis'!$F$59*(C932-sezione!$AM$30)*IF(ABS(L932)&lt;'Sollecitazioni nel paramento'!$G$58,ABS(L932)*'Sollecitazioni nel paramento'!$G$54,'Sollecitazioni nel paramento'!$G$53)</f>
        <v>-9020808.5619112402</v>
      </c>
      <c r="G932" s="545">
        <f>-'Foglio deposito bis'!$F$60*(C932-sezione!$AN$30)*IF(ABS(M932)&lt;'Sollecitazioni nel paramento'!$G$58,ABS(M932)*'Sollecitazioni nel paramento'!$G$54,'Sollecitazioni nel paramento'!$G$53)</f>
        <v>0</v>
      </c>
      <c r="H932" s="545">
        <f>-'Foglio deposito bis'!$F$61*(C932-sezione!$AO$30)*IF(ABS(N932)&lt;'Sollecitazioni nel paramento'!$G$58,ABS(N932)*'Sollecitazioni nel paramento'!$G$54,'Sollecitazioni nel paramento'!$G$53)</f>
        <v>5107764.6605046429</v>
      </c>
      <c r="I932" s="472">
        <f>-'Foglio deposito bis'!$F$62*(C932-sezione!$AP$30)*IF(ABS(O932)&lt;'Sollecitazioni nel paramento'!$G$58,ABS(O932)*'Sollecitazioni nel paramento'!$G$54,'Sollecitazioni nel paramento'!$G$53)</f>
        <v>82585881.618417993</v>
      </c>
      <c r="J932" s="472">
        <f t="shared" si="64"/>
        <v>-254999297.17025018</v>
      </c>
      <c r="K932" s="550">
        <f>'Sollecitazioni nel paramento'!$G$60*(sezione!$AL$30-C932)/C932</f>
        <v>-2.3568061533122049E-3</v>
      </c>
      <c r="L932" s="550">
        <f>'Sollecitazioni nel paramento'!$G$60*(sezione!$AM$30-C932)/C932</f>
        <v>-1.7852092299683066E-3</v>
      </c>
      <c r="M932" s="551">
        <f>'Sollecitazioni nel paramento'!$G$60*(sezione!$AN$30-C932)/C932</f>
        <v>-1.2136123066244088E-3</v>
      </c>
      <c r="N932" s="551">
        <f>'Sollecitazioni nel paramento'!$G$60*(sezione!$AO$30-C932)/C932</f>
        <v>1.0727753867511823E-3</v>
      </c>
      <c r="O932" s="551">
        <f>'Sollecitazioni nel paramento'!$G$60*(sezione!$AP$30-C932)/C932</f>
        <v>7.4999986415751367E-3</v>
      </c>
      <c r="P932" s="545">
        <f>-'Sollecitazioni nel paramento'!$G$47*'Sollecitazioni nel paramento'!$G$41*IF(DATI!$G$211="dx",DATI!$E$61,DATI!$E$64*DATI!$E$63)*1000*C932*sezione!$AD$5</f>
        <v>-4665507.9673960069</v>
      </c>
      <c r="Q932" s="545">
        <f>'Foglio deposito bis'!$F$58*IF(ABS(K932)&lt;'Sollecitazioni nel paramento'!$G$58,ABS(K932)*'Sollecitazioni nel paramento'!$G$54,'Sollecitazioni nel paramento'!$G$53)*IF(K932&lt;0,-1,1)</f>
        <v>0</v>
      </c>
      <c r="R932" s="545">
        <f>'Foglio deposito bis'!$F$59*IF(ABS(L932)&lt;'Sollecitazioni nel paramento'!$G$58,ABS(L932)*'Sollecitazioni nel paramento'!$G$54,'Sollecitazioni nel paramento'!$G$53)*IF(L932&lt;0,-1,1)</f>
        <v>-144416.30520121992</v>
      </c>
      <c r="S932" s="545">
        <f>'Foglio deposito bis'!$F$60*IF(ABS(M932)&lt;'Sollecitazioni nel paramento'!$G$58,ABS(M932)*'Sollecitazioni nel paramento'!$G$54,'Sollecitazioni nel paramento'!$G$53)*IF(M932&lt;0,-1,1)</f>
        <v>0</v>
      </c>
      <c r="T932" s="545">
        <f>'Foglio deposito bis'!$F$61*IF(ABS(N932)&lt;'Sollecitazioni nel paramento'!$G$58,ABS(N932)*'Sollecitazioni nel paramento'!$G$54,'Sollecitazioni nel paramento'!$G$53)*IF(N932&lt;0,-1,1)</f>
        <v>136076.13490979106</v>
      </c>
      <c r="U932" s="545">
        <f>'Foglio deposito bis'!$F$62*IF(ABS(O932)&lt;'Sollecitazioni nel paramento'!$G$58,ABS(O932)*'Sollecitazioni nel paramento'!$G$54,'Sollecitazioni nel paramento'!$G$53)*IF(O932&lt;0,-1,1)</f>
        <v>314705.62929873407</v>
      </c>
      <c r="V932" s="472">
        <f t="shared" si="66"/>
        <v>-4359142.5083887018</v>
      </c>
      <c r="W932" s="551"/>
      <c r="X932" s="551"/>
    </row>
    <row r="933" spans="1:24" x14ac:dyDescent="0.25">
      <c r="A933" s="545">
        <f t="shared" si="65"/>
        <v>4409636.1709839785</v>
      </c>
      <c r="B933" s="3">
        <f t="shared" si="67"/>
        <v>21.499999999999947</v>
      </c>
      <c r="C933" s="545">
        <f>'Foglio deposito bis'!$E$156/sezione!$B$247*B933</f>
        <v>123.61381615204155</v>
      </c>
      <c r="D933" s="603">
        <f>-'Sollecitazioni nel paramento'!$G$47*'Sollecitazioni nel paramento'!$G$41*IF(DATI!$G$211="dx",DATI!$E$61,DATI!$E$64*DATI!$E$63)*1000*C933^2*sezione!$AD$5*(1-sezione!$AD$6)</f>
        <v>-339967696.77893865</v>
      </c>
      <c r="E933" s="545">
        <f>-'Foglio deposito bis'!$F$58*(C933-sezione!$AL$30)*IF(ABS(K933)&lt;'Sollecitazioni nel paramento'!$G$58,ABS(K933)*'Sollecitazioni nel paramento'!$G$54,'Sollecitazioni nel paramento'!$G$53)</f>
        <v>0</v>
      </c>
      <c r="F933" s="545">
        <f>-'Foglio deposito bis'!$F$59*(C933-sezione!$AM$30)*IF(ABS(L933)&lt;'Sollecitazioni nel paramento'!$G$58,ABS(L933)*'Sollecitazioni nel paramento'!$G$54,'Sollecitazioni nel paramento'!$G$53)</f>
        <v>-9268960.5821285937</v>
      </c>
      <c r="G933" s="545">
        <f>-'Foglio deposito bis'!$F$60*(C933-sezione!$AN$30)*IF(ABS(M933)&lt;'Sollecitazioni nel paramento'!$G$58,ABS(M933)*'Sollecitazioni nel paramento'!$G$54,'Sollecitazioni nel paramento'!$G$53)</f>
        <v>0</v>
      </c>
      <c r="H933" s="545">
        <f>-'Foglio deposito bis'!$F$61*(C933-sezione!$AO$30)*IF(ABS(N933)&lt;'Sollecitazioni nel paramento'!$G$58,ABS(N933)*'Sollecitazioni nel paramento'!$G$54,'Sollecitazioni nel paramento'!$G$53)</f>
        <v>4754963.7879973864</v>
      </c>
      <c r="I933" s="472">
        <f>-'Foglio deposito bis'!$F$62*(C933-sezione!$AP$30)*IF(ABS(O933)&lt;'Sollecitazioni nel paramento'!$G$58,ABS(O933)*'Sollecitazioni nel paramento'!$G$54,'Sollecitazioni nel paramento'!$G$53)</f>
        <v>82224002.885374755</v>
      </c>
      <c r="J933" s="472">
        <f t="shared" si="64"/>
        <v>-262257690.68769512</v>
      </c>
      <c r="K933" s="550">
        <f>'Sollecitazioni nel paramento'!$G$60*(sezione!$AL$30-C933)/C933</f>
        <v>-2.3674405146767424E-3</v>
      </c>
      <c r="L933" s="550">
        <f>'Sollecitazioni nel paramento'!$G$60*(sezione!$AM$30-C933)/C933</f>
        <v>-1.8011607720151133E-3</v>
      </c>
      <c r="M933" s="551">
        <f>'Sollecitazioni nel paramento'!$G$60*(sezione!$AN$30-C933)/C933</f>
        <v>-1.2348810293534842E-3</v>
      </c>
      <c r="N933" s="551">
        <f>'Sollecitazioni nel paramento'!$G$60*(sezione!$AO$30-C933)/C933</f>
        <v>1.0302379412930316E-3</v>
      </c>
      <c r="O933" s="551">
        <f>'Sollecitazioni nel paramento'!$G$60*(sezione!$AP$30-C933)/C933</f>
        <v>7.3976730728162968E-3</v>
      </c>
      <c r="P933" s="545">
        <f>-'Sollecitazioni nel paramento'!$G$47*'Sollecitazioni nel paramento'!$G$41*IF(DATI!$G$211="dx",DATI!$E$61,DATI!$E$64*DATI!$E$63)*1000*C933*sezione!$AD$5</f>
        <v>-4709315.553944326</v>
      </c>
      <c r="Q933" s="545">
        <f>'Foglio deposito bis'!$F$58*IF(ABS(K933)&lt;'Sollecitazioni nel paramento'!$G$58,ABS(K933)*'Sollecitazioni nel paramento'!$G$54,'Sollecitazioni nel paramento'!$G$53)*IF(K933&lt;0,-1,1)</f>
        <v>0</v>
      </c>
      <c r="R933" s="545">
        <f>'Foglio deposito bis'!$F$59*IF(ABS(L933)&lt;'Sollecitazioni nel paramento'!$G$58,ABS(L933)*'Sollecitazioni nel paramento'!$G$54,'Sollecitazioni nel paramento'!$G$53)*IF(L933&lt;0,-1,1)</f>
        <v>-145706.72131939259</v>
      </c>
      <c r="S933" s="545">
        <f>'Foglio deposito bis'!$F$60*IF(ABS(M933)&lt;'Sollecitazioni nel paramento'!$G$58,ABS(M933)*'Sollecitazioni nel paramento'!$G$54,'Sollecitazioni nel paramento'!$G$53)*IF(M933&lt;0,-1,1)</f>
        <v>0</v>
      </c>
      <c r="T933" s="545">
        <f>'Foglio deposito bis'!$F$61*IF(ABS(N933)&lt;'Sollecitazioni nel paramento'!$G$58,ABS(N933)*'Sollecitazioni nel paramento'!$G$54,'Sollecitazioni nel paramento'!$G$53)*IF(N933&lt;0,-1,1)</f>
        <v>130680.4749810051</v>
      </c>
      <c r="U933" s="545">
        <f>'Foglio deposito bis'!$F$62*IF(ABS(O933)&lt;'Sollecitazioni nel paramento'!$G$58,ABS(O933)*'Sollecitazioni nel paramento'!$G$54,'Sollecitazioni nel paramento'!$G$53)*IF(O933&lt;0,-1,1)</f>
        <v>314705.62929873407</v>
      </c>
      <c r="V933" s="472">
        <f t="shared" si="66"/>
        <v>-4409636.1709839785</v>
      </c>
      <c r="W933" s="551"/>
      <c r="X933" s="551"/>
    </row>
    <row r="934" spans="1:24" x14ac:dyDescent="0.25">
      <c r="A934" s="545">
        <f t="shared" si="65"/>
        <v>4460006.5879378375</v>
      </c>
      <c r="B934" s="3">
        <f t="shared" si="67"/>
        <v>21.699999999999946</v>
      </c>
      <c r="C934" s="545">
        <f>'Foglio deposito bis'!$E$156/sezione!$B$247*B934</f>
        <v>124.76371211624658</v>
      </c>
      <c r="D934" s="603">
        <f>-'Sollecitazioni nel paramento'!$G$47*'Sollecitazioni nel paramento'!$G$41*IF(DATI!$G$211="dx",DATI!$E$61,DATI!$E$64*DATI!$E$63)*1000*C934^2*sezione!$AD$5*(1-sezione!$AD$6)</f>
        <v>-346322095.69764066</v>
      </c>
      <c r="E934" s="545">
        <f>-'Foglio deposito bis'!$F$58*(C934-sezione!$AL$30)*IF(ABS(K934)&lt;'Sollecitazioni nel paramento'!$G$58,ABS(K934)*'Sollecitazioni nel paramento'!$G$54,'Sollecitazioni nel paramento'!$G$53)</f>
        <v>0</v>
      </c>
      <c r="F934" s="545">
        <f>-'Foglio deposito bis'!$F$59*(C934-sezione!$AM$30)*IF(ABS(L934)&lt;'Sollecitazioni nel paramento'!$G$58,ABS(L934)*'Sollecitazioni nel paramento'!$G$54,'Sollecitazioni nel paramento'!$G$53)</f>
        <v>-9518539.7906794045</v>
      </c>
      <c r="G934" s="545">
        <f>-'Foglio deposito bis'!$F$60*(C934-sezione!$AN$30)*IF(ABS(M934)&lt;'Sollecitazioni nel paramento'!$G$58,ABS(M934)*'Sollecitazioni nel paramento'!$G$54,'Sollecitazioni nel paramento'!$G$53)</f>
        <v>0</v>
      </c>
      <c r="H934" s="545">
        <f>-'Foglio deposito bis'!$F$61*(C934-sezione!$AO$30)*IF(ABS(N934)&lt;'Sollecitazioni nel paramento'!$G$58,ABS(N934)*'Sollecitazioni nel paramento'!$G$54,'Sollecitazioni nel paramento'!$G$53)</f>
        <v>4418076.3825612068</v>
      </c>
      <c r="I934" s="472">
        <f>-'Foglio deposito bis'!$F$62*(C934-sezione!$AP$30)*IF(ABS(O934)&lt;'Sollecitazioni nel paramento'!$G$58,ABS(O934)*'Sollecitazioni nel paramento'!$G$54,'Sollecitazioni nel paramento'!$G$53)</f>
        <v>81862124.152331546</v>
      </c>
      <c r="J934" s="472">
        <f t="shared" si="64"/>
        <v>-269560434.95342731</v>
      </c>
      <c r="K934" s="550">
        <f>'Sollecitazioni nel paramento'!$G$60*(sezione!$AL$30-C934)/C934</f>
        <v>-2.3778788509470025E-3</v>
      </c>
      <c r="L934" s="550">
        <f>'Sollecitazioni nel paramento'!$G$60*(sezione!$AM$30-C934)/C934</f>
        <v>-1.8168182764205037E-3</v>
      </c>
      <c r="M934" s="551">
        <f>'Sollecitazioni nel paramento'!$G$60*(sezione!$AN$30-C934)/C934</f>
        <v>-1.2557577018940049E-3</v>
      </c>
      <c r="N934" s="551">
        <f>'Sollecitazioni nel paramento'!$G$60*(sezione!$AO$30-C934)/C934</f>
        <v>9.8848459621199013E-4</v>
      </c>
      <c r="O934" s="551">
        <f>'Sollecitazioni nel paramento'!$G$60*(sezione!$AP$30-C934)/C934</f>
        <v>7.2972336896567009E-3</v>
      </c>
      <c r="P934" s="545">
        <f>-'Sollecitazioni nel paramento'!$G$47*'Sollecitazioni nel paramento'!$G$41*IF(DATI!$G$211="dx",DATI!$E$61,DATI!$E$64*DATI!$E$63)*1000*C934*sezione!$AD$5</f>
        <v>-4753123.1404926451</v>
      </c>
      <c r="Q934" s="545">
        <f>'Foglio deposito bis'!$F$58*IF(ABS(K934)&lt;'Sollecitazioni nel paramento'!$G$58,ABS(K934)*'Sollecitazioni nel paramento'!$G$54,'Sollecitazioni nel paramento'!$G$53)*IF(K934&lt;0,-1,1)</f>
        <v>0</v>
      </c>
      <c r="R934" s="545">
        <f>'Foglio deposito bis'!$F$59*IF(ABS(L934)&lt;'Sollecitazioni nel paramento'!$G$58,ABS(L934)*'Sollecitazioni nel paramento'!$G$54,'Sollecitazioni nel paramento'!$G$53)*IF(L934&lt;0,-1,1)</f>
        <v>-146973.35096534083</v>
      </c>
      <c r="S934" s="545">
        <f>'Foglio deposito bis'!$F$60*IF(ABS(M934)&lt;'Sollecitazioni nel paramento'!$G$58,ABS(M934)*'Sollecitazioni nel paramento'!$G$54,'Sollecitazioni nel paramento'!$G$53)*IF(M934&lt;0,-1,1)</f>
        <v>0</v>
      </c>
      <c r="T934" s="545">
        <f>'Foglio deposito bis'!$F$61*IF(ABS(N934)&lt;'Sollecitazioni nel paramento'!$G$58,ABS(N934)*'Sollecitazioni nel paramento'!$G$54,'Sollecitazioni nel paramento'!$G$53)*IF(N934&lt;0,-1,1)</f>
        <v>125384.27422141343</v>
      </c>
      <c r="U934" s="545">
        <f>'Foglio deposito bis'!$F$62*IF(ABS(O934)&lt;'Sollecitazioni nel paramento'!$G$58,ABS(O934)*'Sollecitazioni nel paramento'!$G$54,'Sollecitazioni nel paramento'!$G$53)*IF(O934&lt;0,-1,1)</f>
        <v>314705.62929873407</v>
      </c>
      <c r="V934" s="472">
        <f t="shared" si="66"/>
        <v>-4460006.5879378375</v>
      </c>
      <c r="W934" s="551"/>
      <c r="X934" s="551"/>
    </row>
    <row r="935" spans="1:24" x14ac:dyDescent="0.25">
      <c r="A935" s="545">
        <f t="shared" si="65"/>
        <v>4510257.1358431941</v>
      </c>
      <c r="B935" s="3">
        <f t="shared" si="67"/>
        <v>21.899999999999945</v>
      </c>
      <c r="C935" s="545">
        <f>'Foglio deposito bis'!$E$156/sezione!$B$247*B935</f>
        <v>125.91360808045162</v>
      </c>
      <c r="D935" s="603">
        <f>-'Sollecitazioni nel paramento'!$G$47*'Sollecitazioni nel paramento'!$G$41*IF(DATI!$G$211="dx",DATI!$E$61,DATI!$E$64*DATI!$E$63)*1000*C935^2*sezione!$AD$5*(1-sezione!$AD$6)</f>
        <v>-352735331.64336777</v>
      </c>
      <c r="E935" s="545">
        <f>-'Foglio deposito bis'!$F$58*(C935-sezione!$AL$30)*IF(ABS(K935)&lt;'Sollecitazioni nel paramento'!$G$58,ABS(K935)*'Sollecitazioni nel paramento'!$G$54,'Sollecitazioni nel paramento'!$G$53)</f>
        <v>0</v>
      </c>
      <c r="F935" s="545">
        <f>-'Foglio deposito bis'!$F$59*(C935-sezione!$AM$30)*IF(ABS(L935)&lt;'Sollecitazioni nel paramento'!$G$58,ABS(L935)*'Sollecitazioni nel paramento'!$G$54,'Sollecitazioni nel paramento'!$G$53)</f>
        <v>-9769507.0865134541</v>
      </c>
      <c r="G935" s="545">
        <f>-'Foglio deposito bis'!$F$60*(C935-sezione!$AN$30)*IF(ABS(M935)&lt;'Sollecitazioni nel paramento'!$G$58,ABS(M935)*'Sollecitazioni nel paramento'!$G$54,'Sollecitazioni nel paramento'!$G$53)</f>
        <v>0</v>
      </c>
      <c r="H935" s="545">
        <f>-'Foglio deposito bis'!$F$61*(C935-sezione!$AO$30)*IF(ABS(N935)&lt;'Sollecitazioni nel paramento'!$G$58,ABS(N935)*'Sollecitazioni nel paramento'!$G$54,'Sollecitazioni nel paramento'!$G$53)</f>
        <v>4096666.4587968881</v>
      </c>
      <c r="I935" s="472">
        <f>-'Foglio deposito bis'!$F$62*(C935-sezione!$AP$30)*IF(ABS(O935)&lt;'Sollecitazioni nel paramento'!$G$58,ABS(O935)*'Sollecitazioni nel paramento'!$G$54,'Sollecitazioni nel paramento'!$G$53)</f>
        <v>81500245.419288322</v>
      </c>
      <c r="J935" s="472">
        <f t="shared" si="64"/>
        <v>-276907926.85179603</v>
      </c>
      <c r="K935" s="550">
        <f>'Sollecitazioni nel paramento'!$G$60*(sezione!$AL$30-C935)/C935</f>
        <v>-2.3881265326735142E-3</v>
      </c>
      <c r="L935" s="550">
        <f>'Sollecitazioni nel paramento'!$G$60*(sezione!$AM$30-C935)/C935</f>
        <v>-1.8321897990102711E-3</v>
      </c>
      <c r="M935" s="551">
        <f>'Sollecitazioni nel paramento'!$G$60*(sezione!$AN$30-C935)/C935</f>
        <v>-1.2762530653470279E-3</v>
      </c>
      <c r="N935" s="551">
        <f>'Sollecitazioni nel paramento'!$G$60*(sezione!$AO$30-C935)/C935</f>
        <v>9.4749386930594428E-4</v>
      </c>
      <c r="O935" s="551">
        <f>'Sollecitazioni nel paramento'!$G$60*(sezione!$AP$30-C935)/C935</f>
        <v>7.1986288157785561E-3</v>
      </c>
      <c r="P935" s="545">
        <f>-'Sollecitazioni nel paramento'!$G$47*'Sollecitazioni nel paramento'!$G$41*IF(DATI!$G$211="dx",DATI!$E$61,DATI!$E$64*DATI!$E$63)*1000*C935*sezione!$AD$5</f>
        <v>-4796930.7270409642</v>
      </c>
      <c r="Q935" s="545">
        <f>'Foglio deposito bis'!$F$58*IF(ABS(K935)&lt;'Sollecitazioni nel paramento'!$G$58,ABS(K935)*'Sollecitazioni nel paramento'!$G$54,'Sollecitazioni nel paramento'!$G$53)*IF(K935&lt;0,-1,1)</f>
        <v>0</v>
      </c>
      <c r="R935" s="545">
        <f>'Foglio deposito bis'!$F$59*IF(ABS(L935)&lt;'Sollecitazioni nel paramento'!$G$58,ABS(L935)*'Sollecitazioni nel paramento'!$G$54,'Sollecitazioni nel paramento'!$G$53)*IF(L935&lt;0,-1,1)</f>
        <v>-148216.84582323529</v>
      </c>
      <c r="S935" s="545">
        <f>'Foglio deposito bis'!$F$60*IF(ABS(M935)&lt;'Sollecitazioni nel paramento'!$G$58,ABS(M935)*'Sollecitazioni nel paramento'!$G$54,'Sollecitazioni nel paramento'!$G$53)*IF(M935&lt;0,-1,1)</f>
        <v>0</v>
      </c>
      <c r="T935" s="545">
        <f>'Foglio deposito bis'!$F$61*IF(ABS(N935)&lt;'Sollecitazioni nel paramento'!$G$58,ABS(N935)*'Sollecitazioni nel paramento'!$G$54,'Sollecitazioni nel paramento'!$G$53)*IF(N935&lt;0,-1,1)</f>
        <v>120184.80772227085</v>
      </c>
      <c r="U935" s="545">
        <f>'Foglio deposito bis'!$F$62*IF(ABS(O935)&lt;'Sollecitazioni nel paramento'!$G$58,ABS(O935)*'Sollecitazioni nel paramento'!$G$54,'Sollecitazioni nel paramento'!$G$53)*IF(O935&lt;0,-1,1)</f>
        <v>314705.62929873407</v>
      </c>
      <c r="V935" s="472">
        <f t="shared" si="66"/>
        <v>-4510257.1358431941</v>
      </c>
      <c r="W935" s="551"/>
      <c r="X935" s="551"/>
    </row>
    <row r="936" spans="1:24" x14ac:dyDescent="0.25">
      <c r="A936" s="545">
        <f t="shared" si="65"/>
        <v>4560391.0690633561</v>
      </c>
      <c r="B936" s="3">
        <f t="shared" si="67"/>
        <v>22.099999999999945</v>
      </c>
      <c r="C936" s="545">
        <f>'Foglio deposito bis'!$E$156/sezione!$B$247*B936</f>
        <v>127.06350404465665</v>
      </c>
      <c r="D936" s="603">
        <f>-'Sollecitazioni nel paramento'!$G$47*'Sollecitazioni nel paramento'!$G$41*IF(DATI!$G$211="dx",DATI!$E$61,DATI!$E$64*DATI!$E$63)*1000*C936^2*sezione!$AD$5*(1-sezione!$AD$6)</f>
        <v>-359207404.61611986</v>
      </c>
      <c r="E936" s="545">
        <f>-'Foglio deposito bis'!$F$58*(C936-sezione!$AL$30)*IF(ABS(K936)&lt;'Sollecitazioni nel paramento'!$G$58,ABS(K936)*'Sollecitazioni nel paramento'!$G$54,'Sollecitazioni nel paramento'!$G$53)</f>
        <v>0</v>
      </c>
      <c r="F936" s="545">
        <f>-'Foglio deposito bis'!$F$59*(C936-sezione!$AM$30)*IF(ABS(L936)&lt;'Sollecitazioni nel paramento'!$G$58,ABS(L936)*'Sollecitazioni nel paramento'!$G$54,'Sollecitazioni nel paramento'!$G$53)</f>
        <v>-10021824.784003129</v>
      </c>
      <c r="G936" s="545">
        <f>-'Foglio deposito bis'!$F$60*(C936-sezione!$AN$30)*IF(ABS(M936)&lt;'Sollecitazioni nel paramento'!$G$58,ABS(M936)*'Sollecitazioni nel paramento'!$G$54,'Sollecitazioni nel paramento'!$G$53)</f>
        <v>0</v>
      </c>
      <c r="H936" s="545">
        <f>-'Foglio deposito bis'!$F$61*(C936-sezione!$AO$30)*IF(ABS(N936)&lt;'Sollecitazioni nel paramento'!$G$58,ABS(N936)*'Sollecitazioni nel paramento'!$G$54,'Sollecitazioni nel paramento'!$G$53)</f>
        <v>3790313.8135821279</v>
      </c>
      <c r="I936" s="472">
        <f>-'Foglio deposito bis'!$F$62*(C936-sezione!$AP$30)*IF(ABS(O936)&lt;'Sollecitazioni nel paramento'!$G$58,ABS(O936)*'Sollecitazioni nel paramento'!$G$54,'Sollecitazioni nel paramento'!$G$53)</f>
        <v>81138366.686245099</v>
      </c>
      <c r="J936" s="472">
        <f t="shared" si="64"/>
        <v>-284300548.90029579</v>
      </c>
      <c r="K936" s="550">
        <f>'Sollecitazioni nel paramento'!$G$60*(sezione!$AL$30-C936)/C936</f>
        <v>-2.3981887359977353E-3</v>
      </c>
      <c r="L936" s="550">
        <f>'Sollecitazioni nel paramento'!$G$60*(sezione!$AM$30-C936)/C936</f>
        <v>-1.8472831039966033E-3</v>
      </c>
      <c r="M936" s="551">
        <f>'Sollecitazioni nel paramento'!$G$60*(sezione!$AN$30-C936)/C936</f>
        <v>-1.296377471995471E-3</v>
      </c>
      <c r="N936" s="551">
        <f>'Sollecitazioni nel paramento'!$G$60*(sezione!$AO$30-C936)/C936</f>
        <v>9.0724505600905817E-4</v>
      </c>
      <c r="O936" s="551">
        <f>'Sollecitazioni nel paramento'!$G$60*(sezione!$AP$30-C936)/C936</f>
        <v>7.1018086455000183E-3</v>
      </c>
      <c r="P936" s="545">
        <f>-'Sollecitazioni nel paramento'!$G$47*'Sollecitazioni nel paramento'!$G$41*IF(DATI!$G$211="dx",DATI!$E$61,DATI!$E$64*DATI!$E$63)*1000*C936*sezione!$AD$5</f>
        <v>-4840738.3135892842</v>
      </c>
      <c r="Q936" s="545">
        <f>'Foglio deposito bis'!$F$58*IF(ABS(K936)&lt;'Sollecitazioni nel paramento'!$G$58,ABS(K936)*'Sollecitazioni nel paramento'!$G$54,'Sollecitazioni nel paramento'!$G$53)*IF(K936&lt;0,-1,1)</f>
        <v>0</v>
      </c>
      <c r="R936" s="545">
        <f>'Foglio deposito bis'!$F$59*IF(ABS(L936)&lt;'Sollecitazioni nel paramento'!$G$58,ABS(L936)*'Sollecitazioni nel paramento'!$G$54,'Sollecitazioni nel paramento'!$G$53)*IF(L936&lt;0,-1,1)</f>
        <v>-149437.83398686917</v>
      </c>
      <c r="S936" s="545">
        <f>'Foglio deposito bis'!$F$60*IF(ABS(M936)&lt;'Sollecitazioni nel paramento'!$G$58,ABS(M936)*'Sollecitazioni nel paramento'!$G$54,'Sollecitazioni nel paramento'!$G$53)*IF(M936&lt;0,-1,1)</f>
        <v>0</v>
      </c>
      <c r="T936" s="545">
        <f>'Foglio deposito bis'!$F$61*IF(ABS(N936)&lt;'Sollecitazioni nel paramento'!$G$58,ABS(N936)*'Sollecitazioni nel paramento'!$G$54,'Sollecitazioni nel paramento'!$G$53)*IF(N936&lt;0,-1,1)</f>
        <v>115079.44921406306</v>
      </c>
      <c r="U936" s="545">
        <f>'Foglio deposito bis'!$F$62*IF(ABS(O936)&lt;'Sollecitazioni nel paramento'!$G$58,ABS(O936)*'Sollecitazioni nel paramento'!$G$54,'Sollecitazioni nel paramento'!$G$53)*IF(O936&lt;0,-1,1)</f>
        <v>314705.62929873407</v>
      </c>
      <c r="V936" s="472">
        <f t="shared" si="66"/>
        <v>-4560391.0690633561</v>
      </c>
      <c r="W936" s="551"/>
      <c r="X936" s="551"/>
    </row>
    <row r="937" spans="1:24" x14ac:dyDescent="0.25">
      <c r="A937" s="545">
        <f t="shared" si="65"/>
        <v>4610411.5252131699</v>
      </c>
      <c r="B937" s="3">
        <f t="shared" si="67"/>
        <v>22.299999999999944</v>
      </c>
      <c r="C937" s="545">
        <f>'Foglio deposito bis'!$E$156/sezione!$B$247*B937</f>
        <v>128.2134000088617</v>
      </c>
      <c r="D937" s="603">
        <f>-'Sollecitazioni nel paramento'!$G$47*'Sollecitazioni nel paramento'!$G$41*IF(DATI!$G$211="dx",DATI!$E$61,DATI!$E$64*DATI!$E$63)*1000*C937^2*sezione!$AD$5*(1-sezione!$AD$6)</f>
        <v>-365738314.61589706</v>
      </c>
      <c r="E937" s="545">
        <f>-'Foglio deposito bis'!$F$58*(C937-sezione!$AL$30)*IF(ABS(K937)&lt;'Sollecitazioni nel paramento'!$G$58,ABS(K937)*'Sollecitazioni nel paramento'!$G$54,'Sollecitazioni nel paramento'!$G$53)</f>
        <v>0</v>
      </c>
      <c r="F937" s="545">
        <f>-'Foglio deposito bis'!$F$59*(C937-sezione!$AM$30)*IF(ABS(L937)&lt;'Sollecitazioni nel paramento'!$G$58,ABS(L937)*'Sollecitazioni nel paramento'!$G$54,'Sollecitazioni nel paramento'!$G$53)</f>
        <v>-10275456.549471607</v>
      </c>
      <c r="G937" s="545">
        <f>-'Foglio deposito bis'!$F$60*(C937-sezione!$AN$30)*IF(ABS(M937)&lt;'Sollecitazioni nel paramento'!$G$58,ABS(M937)*'Sollecitazioni nel paramento'!$G$54,'Sollecitazioni nel paramento'!$G$53)</f>
        <v>0</v>
      </c>
      <c r="H937" s="545">
        <f>-'Foglio deposito bis'!$F$61*(C937-sezione!$AO$30)*IF(ABS(N937)&lt;'Sollecitazioni nel paramento'!$G$58,ABS(N937)*'Sollecitazioni nel paramento'!$G$54,'Sollecitazioni nel paramento'!$G$53)</f>
        <v>3498613.3183460766</v>
      </c>
      <c r="I937" s="472">
        <f>-'Foglio deposito bis'!$F$62*(C937-sezione!$AP$30)*IF(ABS(O937)&lt;'Sollecitazioni nel paramento'!$G$58,ABS(O937)*'Sollecitazioni nel paramento'!$G$54,'Sollecitazioni nel paramento'!$G$53)</f>
        <v>80776487.953201875</v>
      </c>
      <c r="J937" s="472">
        <f t="shared" si="64"/>
        <v>-291738669.8938207</v>
      </c>
      <c r="K937" s="550">
        <f>'Sollecitazioni nel paramento'!$G$60*(sezione!$AL$30-C937)/C937</f>
        <v>-2.4080704513699531E-3</v>
      </c>
      <c r="L937" s="550">
        <f>'Sollecitazioni nel paramento'!$G$60*(sezione!$AM$30-C937)/C937</f>
        <v>-1.8621056770549299E-3</v>
      </c>
      <c r="M937" s="551">
        <f>'Sollecitazioni nel paramento'!$G$60*(sezione!$AN$30-C937)/C937</f>
        <v>-1.3161409027399062E-3</v>
      </c>
      <c r="N937" s="551">
        <f>'Sollecitazioni nel paramento'!$G$60*(sezione!$AO$30-C937)/C937</f>
        <v>8.6771819452018757E-4</v>
      </c>
      <c r="O937" s="551">
        <f>'Sollecitazioni nel paramento'!$G$60*(sezione!$AP$30-C937)/C937</f>
        <v>7.0067251598901524E-3</v>
      </c>
      <c r="P937" s="545">
        <f>-'Sollecitazioni nel paramento'!$G$47*'Sollecitazioni nel paramento'!$G$41*IF(DATI!$G$211="dx",DATI!$E$61,DATI!$E$64*DATI!$E$63)*1000*C937*sezione!$AD$5</f>
        <v>-4884545.9001376033</v>
      </c>
      <c r="Q937" s="545">
        <f>'Foglio deposito bis'!$F$58*IF(ABS(K937)&lt;'Sollecitazioni nel paramento'!$G$58,ABS(K937)*'Sollecitazioni nel paramento'!$G$54,'Sollecitazioni nel paramento'!$G$53)*IF(K937&lt;0,-1,1)</f>
        <v>0</v>
      </c>
      <c r="R937" s="545">
        <f>'Foglio deposito bis'!$F$59*IF(ABS(L937)&lt;'Sollecitazioni nel paramento'!$G$58,ABS(L937)*'Sollecitazioni nel paramento'!$G$54,'Sollecitazioni nel paramento'!$G$53)*IF(L937&lt;0,-1,1)</f>
        <v>-150636.9210175231</v>
      </c>
      <c r="S937" s="545">
        <f>'Foglio deposito bis'!$F$60*IF(ABS(M937)&lt;'Sollecitazioni nel paramento'!$G$58,ABS(M937)*'Sollecitazioni nel paramento'!$G$54,'Sollecitazioni nel paramento'!$G$53)*IF(M937&lt;0,-1,1)</f>
        <v>0</v>
      </c>
      <c r="T937" s="545">
        <f>'Foglio deposito bis'!$F$61*IF(ABS(N937)&lt;'Sollecitazioni nel paramento'!$G$58,ABS(N937)*'Sollecitazioni nel paramento'!$G$54,'Sollecitazioni nel paramento'!$G$53)*IF(N937&lt;0,-1,1)</f>
        <v>110065.66664322215</v>
      </c>
      <c r="U937" s="545">
        <f>'Foglio deposito bis'!$F$62*IF(ABS(O937)&lt;'Sollecitazioni nel paramento'!$G$58,ABS(O937)*'Sollecitazioni nel paramento'!$G$54,'Sollecitazioni nel paramento'!$G$53)*IF(O937&lt;0,-1,1)</f>
        <v>314705.62929873407</v>
      </c>
      <c r="V937" s="472">
        <f t="shared" si="66"/>
        <v>-4610411.5252131699</v>
      </c>
      <c r="W937" s="551"/>
      <c r="X937" s="551"/>
    </row>
    <row r="938" spans="1:24" x14ac:dyDescent="0.25">
      <c r="A938" s="545">
        <f t="shared" si="65"/>
        <v>4662171.6974584591</v>
      </c>
      <c r="B938" s="3">
        <f t="shared" si="67"/>
        <v>22.499999999999943</v>
      </c>
      <c r="C938" s="545">
        <f>'Foglio deposito bis'!$E$156/sezione!$B$247*B938</f>
        <v>129.36329597306673</v>
      </c>
      <c r="D938" s="603">
        <f>-'Sollecitazioni nel paramento'!$G$47*'Sollecitazioni nel paramento'!$G$41*IF(DATI!$G$211="dx",DATI!$E$61,DATI!$E$64*DATI!$E$63)*1000*C938^2*sezione!$AD$5*(1-sezione!$AD$6)</f>
        <v>-372328061.64269912</v>
      </c>
      <c r="E938" s="545">
        <f>-'Foglio deposito bis'!$F$58*(C938-sezione!$AL$30)*IF(ABS(K938)&lt;'Sollecitazioni nel paramento'!$G$58,ABS(K938)*'Sollecitazioni nel paramento'!$G$54,'Sollecitazioni nel paramento'!$G$53)</f>
        <v>0</v>
      </c>
      <c r="F938" s="545">
        <f>-'Foglio deposito bis'!$F$59*(C938-sezione!$AM$30)*IF(ABS(L938)&lt;'Sollecitazioni nel paramento'!$G$58,ABS(L938)*'Sollecitazioni nel paramento'!$G$54,'Sollecitazioni nel paramento'!$G$53)</f>
        <v>-10658701.029999176</v>
      </c>
      <c r="G938" s="545">
        <f>-'Foglio deposito bis'!$F$60*(C938-sezione!$AN$30)*IF(ABS(M938)&lt;'Sollecitazioni nel paramento'!$G$58,ABS(M938)*'Sollecitazioni nel paramento'!$G$54,'Sollecitazioni nel paramento'!$G$53)</f>
        <v>0</v>
      </c>
      <c r="H938" s="545">
        <f>-'Foglio deposito bis'!$F$61*(C938-sezione!$AO$30)*IF(ABS(N938)&lt;'Sollecitazioni nel paramento'!$G$58,ABS(N938)*'Sollecitazioni nel paramento'!$G$54,'Sollecitazioni nel paramento'!$G$53)</f>
        <v>3221174.2490893099</v>
      </c>
      <c r="I938" s="472">
        <f>-'Foglio deposito bis'!$F$62*(C938-sezione!$AP$30)*IF(ABS(O938)&lt;'Sollecitazioni nel paramento'!$G$58,ABS(O938)*'Sollecitazioni nel paramento'!$G$54,'Sollecitazioni nel paramento'!$G$53)</f>
        <v>80414609.220158666</v>
      </c>
      <c r="J938" s="472">
        <f t="shared" si="64"/>
        <v>-299350979.20345032</v>
      </c>
      <c r="K938" s="550">
        <f>'Sollecitazioni nel paramento'!$G$60*(sezione!$AL$30-C938)/C938</f>
        <v>-2.41777649180222E-3</v>
      </c>
      <c r="L938" s="550">
        <f>'Sollecitazioni nel paramento'!$G$60*(sezione!$AM$30-C938)/C938</f>
        <v>-1.8766647377033304E-3</v>
      </c>
      <c r="M938" s="551">
        <f>'Sollecitazioni nel paramento'!$G$60*(sezione!$AN$30-C938)/C938</f>
        <v>-1.3355529836044404E-3</v>
      </c>
      <c r="N938" s="551">
        <f>'Sollecitazioni nel paramento'!$G$60*(sezione!$AO$30-C938)/C938</f>
        <v>8.2889403279111948E-4</v>
      </c>
      <c r="O938" s="551">
        <f>'Sollecitazioni nel paramento'!$G$60*(sezione!$AP$30-C938)/C938</f>
        <v>6.9133320473577968E-3</v>
      </c>
      <c r="P938" s="545">
        <f>-'Sollecitazioni nel paramento'!$G$47*'Sollecitazioni nel paramento'!$G$41*IF(DATI!$G$211="dx",DATI!$E$61,DATI!$E$64*DATI!$E$63)*1000*C938*sezione!$AD$5</f>
        <v>-4928353.4866859224</v>
      </c>
      <c r="Q938" s="545">
        <f>'Foglio deposito bis'!$F$58*IF(ABS(K938)&lt;'Sollecitazioni nel paramento'!$G$58,ABS(K938)*'Sollecitazioni nel paramento'!$G$54,'Sollecitazioni nel paramento'!$G$53)*IF(K938&lt;0,-1,1)</f>
        <v>0</v>
      </c>
      <c r="R938" s="545">
        <f>'Foglio deposito bis'!$F$59*IF(ABS(L938)&lt;'Sollecitazioni nel paramento'!$G$58,ABS(L938)*'Sollecitazioni nel paramento'!$G$54,'Sollecitazioni nel paramento'!$G$53)*IF(L938&lt;0,-1,1)</f>
        <v>-153664.85805602249</v>
      </c>
      <c r="S938" s="545">
        <f>'Foglio deposito bis'!$F$60*IF(ABS(M938)&lt;'Sollecitazioni nel paramento'!$G$58,ABS(M938)*'Sollecitazioni nel paramento'!$G$54,'Sollecitazioni nel paramento'!$G$53)*IF(M938&lt;0,-1,1)</f>
        <v>0</v>
      </c>
      <c r="T938" s="545">
        <f>'Foglio deposito bis'!$F$61*IF(ABS(N938)&lt;'Sollecitazioni nel paramento'!$G$58,ABS(N938)*'Sollecitazioni nel paramento'!$G$54,'Sollecitazioni nel paramento'!$G$53)*IF(N938&lt;0,-1,1)</f>
        <v>105141.01798475182</v>
      </c>
      <c r="U938" s="545">
        <f>'Foglio deposito bis'!$F$62*IF(ABS(O938)&lt;'Sollecitazioni nel paramento'!$G$58,ABS(O938)*'Sollecitazioni nel paramento'!$G$54,'Sollecitazioni nel paramento'!$G$53)*IF(O938&lt;0,-1,1)</f>
        <v>314705.62929873407</v>
      </c>
      <c r="V938" s="472">
        <f t="shared" si="66"/>
        <v>-4662171.6974584591</v>
      </c>
      <c r="W938" s="551"/>
      <c r="X938" s="551"/>
    </row>
    <row r="939" spans="1:24" x14ac:dyDescent="0.25">
      <c r="A939" s="545">
        <f t="shared" si="65"/>
        <v>4710817.1547153182</v>
      </c>
      <c r="B939" s="3">
        <f t="shared" si="67"/>
        <v>22.699999999999942</v>
      </c>
      <c r="C939" s="545">
        <f>'Foglio deposito bis'!$E$156/sezione!$B$247*B939</f>
        <v>130.51319193727176</v>
      </c>
      <c r="D939" s="603">
        <f>-'Sollecitazioni nel paramento'!$G$47*'Sollecitazioni nel paramento'!$G$41*IF(DATI!$G$211="dx",DATI!$E$61,DATI!$E$64*DATI!$E$63)*1000*C939^2*sezione!$AD$5*(1-sezione!$AD$6)</f>
        <v>-378976645.69652623</v>
      </c>
      <c r="E939" s="545">
        <f>-'Foglio deposito bis'!$F$58*(C939-sezione!$AL$30)*IF(ABS(K939)&lt;'Sollecitazioni nel paramento'!$G$58,ABS(K939)*'Sollecitazioni nel paramento'!$G$54,'Sollecitazioni nel paramento'!$G$53)</f>
        <v>0</v>
      </c>
      <c r="F939" s="545">
        <f>-'Foglio deposito bis'!$F$59*(C939-sezione!$AM$30)*IF(ABS(L939)&lt;'Sollecitazioni nel paramento'!$G$58,ABS(L939)*'Sollecitazioni nel paramento'!$G$54,'Sollecitazioni nel paramento'!$G$53)</f>
        <v>-10835399.630117934</v>
      </c>
      <c r="G939" s="545">
        <f>-'Foglio deposito bis'!$F$60*(C939-sezione!$AN$30)*IF(ABS(M939)&lt;'Sollecitazioni nel paramento'!$G$58,ABS(M939)*'Sollecitazioni nel paramento'!$G$54,'Sollecitazioni nel paramento'!$G$53)</f>
        <v>0</v>
      </c>
      <c r="H939" s="545">
        <f>-'Foglio deposito bis'!$F$61*(C939-sezione!$AO$30)*IF(ABS(N939)&lt;'Sollecitazioni nel paramento'!$G$58,ABS(N939)*'Sollecitazioni nel paramento'!$G$54,'Sollecitazioni nel paramento'!$G$53)</f>
        <v>2957619.6518211807</v>
      </c>
      <c r="I939" s="472">
        <f>-'Foglio deposito bis'!$F$62*(C939-sezione!$AP$30)*IF(ABS(O939)&lt;'Sollecitazioni nel paramento'!$G$58,ABS(O939)*'Sollecitazioni nel paramento'!$G$54,'Sollecitazioni nel paramento'!$G$53)</f>
        <v>80052730.487115443</v>
      </c>
      <c r="J939" s="472">
        <f t="shared" si="64"/>
        <v>-306801695.18770754</v>
      </c>
      <c r="K939" s="550">
        <f>'Sollecitazioni nel paramento'!$G$60*(sezione!$AL$30-C939)/C939</f>
        <v>-2.4273115006850201E-3</v>
      </c>
      <c r="L939" s="550">
        <f>'Sollecitazioni nel paramento'!$G$60*(sezione!$AM$30-C939)/C939</f>
        <v>-1.8909672510275298E-3</v>
      </c>
      <c r="M939" s="551">
        <f>'Sollecitazioni nel paramento'!$G$60*(sezione!$AN$30-C939)/C939</f>
        <v>-1.3546230013700398E-3</v>
      </c>
      <c r="N939" s="551">
        <f>'Sollecitazioni nel paramento'!$G$60*(sezione!$AO$30-C939)/C939</f>
        <v>7.9075399725992031E-4</v>
      </c>
      <c r="O939" s="551">
        <f>'Sollecitazioni nel paramento'!$G$60*(sezione!$AP$30-C939)/C939</f>
        <v>6.8215846284383451E-3</v>
      </c>
      <c r="P939" s="545">
        <f>-'Sollecitazioni nel paramento'!$G$47*'Sollecitazioni nel paramento'!$G$41*IF(DATI!$G$211="dx",DATI!$E$61,DATI!$E$64*DATI!$E$63)*1000*C939*sezione!$AD$5</f>
        <v>-4972161.0732342405</v>
      </c>
      <c r="Q939" s="545">
        <f>'Foglio deposito bis'!$F$58*IF(ABS(K939)&lt;'Sollecitazioni nel paramento'!$G$58,ABS(K939)*'Sollecitazioni nel paramento'!$G$54,'Sollecitazioni nel paramento'!$G$53)*IF(K939&lt;0,-1,1)</f>
        <v>0</v>
      </c>
      <c r="R939" s="545">
        <f>'Foglio deposito bis'!$F$59*IF(ABS(L939)&lt;'Sollecitazioni nel paramento'!$G$58,ABS(L939)*'Sollecitazioni nel paramento'!$G$54,'Sollecitazioni nel paramento'!$G$53)*IF(L939&lt;0,-1,1)</f>
        <v>-153664.85805602249</v>
      </c>
      <c r="S939" s="545">
        <f>'Foglio deposito bis'!$F$60*IF(ABS(M939)&lt;'Sollecitazioni nel paramento'!$G$58,ABS(M939)*'Sollecitazioni nel paramento'!$G$54,'Sollecitazioni nel paramento'!$G$53)*IF(M939&lt;0,-1,1)</f>
        <v>0</v>
      </c>
      <c r="T939" s="545">
        <f>'Foglio deposito bis'!$F$61*IF(ABS(N939)&lt;'Sollecitazioni nel paramento'!$G$58,ABS(N939)*'Sollecitazioni nel paramento'!$G$54,'Sollecitazioni nel paramento'!$G$53)*IF(N939&lt;0,-1,1)</f>
        <v>100303.14727621044</v>
      </c>
      <c r="U939" s="545">
        <f>'Foglio deposito bis'!$F$62*IF(ABS(O939)&lt;'Sollecitazioni nel paramento'!$G$58,ABS(O939)*'Sollecitazioni nel paramento'!$G$54,'Sollecitazioni nel paramento'!$G$53)*IF(O939&lt;0,-1,1)</f>
        <v>314705.62929873407</v>
      </c>
      <c r="V939" s="472">
        <f t="shared" si="66"/>
        <v>-4710817.1547153182</v>
      </c>
      <c r="W939" s="551"/>
      <c r="X939" s="551"/>
    </row>
    <row r="940" spans="1:24" x14ac:dyDescent="0.25">
      <c r="A940" s="545">
        <f t="shared" si="65"/>
        <v>4759378.1076803282</v>
      </c>
      <c r="B940" s="3">
        <f t="shared" si="67"/>
        <v>22.899999999999942</v>
      </c>
      <c r="C940" s="545">
        <f>'Foglio deposito bis'!$E$156/sezione!$B$247*B940</f>
        <v>131.66308790147681</v>
      </c>
      <c r="D940" s="603">
        <f>-'Sollecitazioni nel paramento'!$G$47*'Sollecitazioni nel paramento'!$G$41*IF(DATI!$G$211="dx",DATI!$E$61,DATI!$E$64*DATI!$E$63)*1000*C940^2*sezione!$AD$5*(1-sezione!$AD$6)</f>
        <v>-385684066.7773785</v>
      </c>
      <c r="E940" s="545">
        <f>-'Foglio deposito bis'!$F$58*(C940-sezione!$AL$30)*IF(ABS(K940)&lt;'Sollecitazioni nel paramento'!$G$58,ABS(K940)*'Sollecitazioni nel paramento'!$G$54,'Sollecitazioni nel paramento'!$G$53)</f>
        <v>0</v>
      </c>
      <c r="F940" s="545">
        <f>-'Foglio deposito bis'!$F$59*(C940-sezione!$AM$30)*IF(ABS(L940)&lt;'Sollecitazioni nel paramento'!$G$58,ABS(L940)*'Sollecitazioni nel paramento'!$G$54,'Sollecitazioni nel paramento'!$G$53)</f>
        <v>-11012098.230236698</v>
      </c>
      <c r="G940" s="545">
        <f>-'Foglio deposito bis'!$F$60*(C940-sezione!$AN$30)*IF(ABS(M940)&lt;'Sollecitazioni nel paramento'!$G$58,ABS(M940)*'Sollecitazioni nel paramento'!$G$54,'Sollecitazioni nel paramento'!$G$53)</f>
        <v>0</v>
      </c>
      <c r="H940" s="545">
        <f>-'Foglio deposito bis'!$F$61*(C940-sezione!$AO$30)*IF(ABS(N940)&lt;'Sollecitazioni nel paramento'!$G$58,ABS(N940)*'Sollecitazioni nel paramento'!$G$54,'Sollecitazioni nel paramento'!$G$53)</f>
        <v>2707585.7412494062</v>
      </c>
      <c r="I940" s="472">
        <f>-'Foglio deposito bis'!$F$62*(C940-sezione!$AP$30)*IF(ABS(O940)&lt;'Sollecitazioni nel paramento'!$G$58,ABS(O940)*'Sollecitazioni nel paramento'!$G$54,'Sollecitazioni nel paramento'!$G$53)</f>
        <v>79690851.754072219</v>
      </c>
      <c r="J940" s="472">
        <f t="shared" si="64"/>
        <v>-314297727.51229358</v>
      </c>
      <c r="K940" s="550">
        <f>'Sollecitazioni nel paramento'!$G$60*(sezione!$AL$30-C940)/C940</f>
        <v>-2.4366799591943214E-3</v>
      </c>
      <c r="L940" s="550">
        <f>'Sollecitazioni nel paramento'!$G$60*(sezione!$AM$30-C940)/C940</f>
        <v>-1.9050199387914818E-3</v>
      </c>
      <c r="M940" s="551">
        <f>'Sollecitazioni nel paramento'!$G$60*(sezione!$AN$30-C940)/C940</f>
        <v>-1.3733599183886425E-3</v>
      </c>
      <c r="N940" s="551">
        <f>'Sollecitazioni nel paramento'!$G$60*(sezione!$AO$30-C940)/C940</f>
        <v>7.5328016322271513E-4</v>
      </c>
      <c r="O940" s="551">
        <f>'Sollecitazioni nel paramento'!$G$60*(sezione!$AP$30-C940)/C940</f>
        <v>6.7314397845218516E-3</v>
      </c>
      <c r="P940" s="545">
        <f>-'Sollecitazioni nel paramento'!$G$47*'Sollecitazioni nel paramento'!$G$41*IF(DATI!$G$211="dx",DATI!$E$61,DATI!$E$64*DATI!$E$63)*1000*C940*sezione!$AD$5</f>
        <v>-5015968.6597825615</v>
      </c>
      <c r="Q940" s="545">
        <f>'Foglio deposito bis'!$F$58*IF(ABS(K940)&lt;'Sollecitazioni nel paramento'!$G$58,ABS(K940)*'Sollecitazioni nel paramento'!$G$54,'Sollecitazioni nel paramento'!$G$53)*IF(K940&lt;0,-1,1)</f>
        <v>0</v>
      </c>
      <c r="R940" s="545">
        <f>'Foglio deposito bis'!$F$59*IF(ABS(L940)&lt;'Sollecitazioni nel paramento'!$G$58,ABS(L940)*'Sollecitazioni nel paramento'!$G$54,'Sollecitazioni nel paramento'!$G$53)*IF(L940&lt;0,-1,1)</f>
        <v>-153664.85805602249</v>
      </c>
      <c r="S940" s="545">
        <f>'Foglio deposito bis'!$F$60*IF(ABS(M940)&lt;'Sollecitazioni nel paramento'!$G$58,ABS(M940)*'Sollecitazioni nel paramento'!$G$54,'Sollecitazioni nel paramento'!$G$53)*IF(M940&lt;0,-1,1)</f>
        <v>0</v>
      </c>
      <c r="T940" s="545">
        <f>'Foglio deposito bis'!$F$61*IF(ABS(N940)&lt;'Sollecitazioni nel paramento'!$G$58,ABS(N940)*'Sollecitazioni nel paramento'!$G$54,'Sollecitazioni nel paramento'!$G$53)*IF(N940&lt;0,-1,1)</f>
        <v>95549.780859521226</v>
      </c>
      <c r="U940" s="545">
        <f>'Foglio deposito bis'!$F$62*IF(ABS(O940)&lt;'Sollecitazioni nel paramento'!$G$58,ABS(O940)*'Sollecitazioni nel paramento'!$G$54,'Sollecitazioni nel paramento'!$G$53)*IF(O940&lt;0,-1,1)</f>
        <v>314705.62929873407</v>
      </c>
      <c r="V940" s="472">
        <f t="shared" si="66"/>
        <v>-4759378.1076803282</v>
      </c>
      <c r="W940" s="551"/>
      <c r="X940" s="551"/>
    </row>
    <row r="941" spans="1:24" x14ac:dyDescent="0.25">
      <c r="A941" s="545">
        <f t="shared" si="65"/>
        <v>5000989.5587605955</v>
      </c>
      <c r="B941" s="3">
        <f t="shared" ref="B941:B991" si="68">B940+1</f>
        <v>23.899999999999942</v>
      </c>
      <c r="C941" s="545">
        <f>'Foglio deposito bis'!$E$156/sezione!$B$247*B941</f>
        <v>137.41256772250202</v>
      </c>
      <c r="D941" s="603">
        <f>-'Sollecitazioni nel paramento'!$G$47*'Sollecitazioni nel paramento'!$G$41*IF(DATI!$G$211="dx",DATI!$E$61,DATI!$E$64*DATI!$E$63)*1000*C941^2*sezione!$AD$5*(1-sezione!$AD$6)</f>
        <v>-420103727.58701479</v>
      </c>
      <c r="E941" s="545">
        <f>-'Foglio deposito bis'!$F$58*(C941-sezione!$AL$30)*IF(ABS(K941)&lt;'Sollecitazioni nel paramento'!$G$58,ABS(K941)*'Sollecitazioni nel paramento'!$G$54,'Sollecitazioni nel paramento'!$G$53)</f>
        <v>0</v>
      </c>
      <c r="F941" s="545">
        <f>-'Foglio deposito bis'!$F$59*(C941-sezione!$AM$30)*IF(ABS(L941)&lt;'Sollecitazioni nel paramento'!$G$58,ABS(L941)*'Sollecitazioni nel paramento'!$G$54,'Sollecitazioni nel paramento'!$G$53)</f>
        <v>-11895591.230830502</v>
      </c>
      <c r="G941" s="545">
        <f>-'Foglio deposito bis'!$F$60*(C941-sezione!$AN$30)*IF(ABS(M941)&lt;'Sollecitazioni nel paramento'!$G$58,ABS(M941)*'Sollecitazioni nel paramento'!$G$54,'Sollecitazioni nel paramento'!$G$53)</f>
        <v>0</v>
      </c>
      <c r="H941" s="545">
        <f>-'Foglio deposito bis'!$F$61*(C941-sezione!$AO$30)*IF(ABS(N941)&lt;'Sollecitazioni nel paramento'!$G$58,ABS(N941)*'Sollecitazioni nel paramento'!$G$54,'Sollecitazioni nel paramento'!$G$53)</f>
        <v>1648346.3875546372</v>
      </c>
      <c r="I941" s="472">
        <f>-'Foglio deposito bis'!$F$62*(C941-sezione!$AP$30)*IF(ABS(O941)&lt;'Sollecitazioni nel paramento'!$G$58,ABS(O941)*'Sollecitazioni nel paramento'!$G$54,'Sollecitazioni nel paramento'!$G$53)</f>
        <v>77881458.088856101</v>
      </c>
      <c r="J941" s="472">
        <f t="shared" ref="J941:J991" si="69">D941+E941+F941+G941+H941+I941</f>
        <v>-352469514.34143454</v>
      </c>
      <c r="K941" s="550">
        <f>'Sollecitazioni nel paramento'!$G$60*(sezione!$AL$30-C941)/C941</f>
        <v>-2.4811703374707094E-3</v>
      </c>
      <c r="L941" s="550">
        <f>'Sollecitazioni nel paramento'!$G$60*(sezione!$AM$30-C941)/C941</f>
        <v>-1.9717555062060644E-3</v>
      </c>
      <c r="M941" s="551">
        <f>'Sollecitazioni nel paramento'!$G$60*(sezione!$AN$30-C941)/C941</f>
        <v>-1.4623406749414191E-3</v>
      </c>
      <c r="N941" s="551">
        <f>'Sollecitazioni nel paramento'!$G$60*(sezione!$AO$30-C941)/C941</f>
        <v>5.7531865011716183E-4</v>
      </c>
      <c r="O941" s="551">
        <f>'Sollecitazioni nel paramento'!$G$60*(sezione!$AP$30-C941)/C941</f>
        <v>6.3033460696882999E-3</v>
      </c>
      <c r="P941" s="545">
        <f>-'Sollecitazioni nel paramento'!$G$47*'Sollecitazioni nel paramento'!$G$41*IF(DATI!$G$211="dx",DATI!$E$61,DATI!$E$64*DATI!$E$63)*1000*C941*sezione!$AD$5</f>
        <v>-5235006.5925241578</v>
      </c>
      <c r="Q941" s="545">
        <f>'Foglio deposito bis'!$F$58*IF(ABS(K941)&lt;'Sollecitazioni nel paramento'!$G$58,ABS(K941)*'Sollecitazioni nel paramento'!$G$54,'Sollecitazioni nel paramento'!$G$53)*IF(K941&lt;0,-1,1)</f>
        <v>0</v>
      </c>
      <c r="R941" s="545">
        <f>'Foglio deposito bis'!$F$59*IF(ABS(L941)&lt;'Sollecitazioni nel paramento'!$G$58,ABS(L941)*'Sollecitazioni nel paramento'!$G$54,'Sollecitazioni nel paramento'!$G$53)*IF(L941&lt;0,-1,1)</f>
        <v>-153664.85805602249</v>
      </c>
      <c r="S941" s="545">
        <f>'Foglio deposito bis'!$F$60*IF(ABS(M941)&lt;'Sollecitazioni nel paramento'!$G$58,ABS(M941)*'Sollecitazioni nel paramento'!$G$54,'Sollecitazioni nel paramento'!$G$53)*IF(M941&lt;0,-1,1)</f>
        <v>0</v>
      </c>
      <c r="T941" s="545">
        <f>'Foglio deposito bis'!$F$61*IF(ABS(N941)&lt;'Sollecitazioni nel paramento'!$G$58,ABS(N941)*'Sollecitazioni nel paramento'!$G$54,'Sollecitazioni nel paramento'!$G$53)*IF(N941&lt;0,-1,1)</f>
        <v>72976.262520851044</v>
      </c>
      <c r="U941" s="545">
        <f>'Foglio deposito bis'!$F$62*IF(ABS(O941)&lt;'Sollecitazioni nel paramento'!$G$58,ABS(O941)*'Sollecitazioni nel paramento'!$G$54,'Sollecitazioni nel paramento'!$G$53)*IF(O941&lt;0,-1,1)</f>
        <v>314705.62929873407</v>
      </c>
      <c r="V941" s="472">
        <f t="shared" si="66"/>
        <v>-5000989.5587605955</v>
      </c>
      <c r="W941" s="551"/>
      <c r="X941" s="551"/>
    </row>
    <row r="942" spans="1:24" x14ac:dyDescent="0.25">
      <c r="A942" s="545">
        <f t="shared" ref="A942:A991" si="70">ABS(V942)</f>
        <v>5240787.8758377554</v>
      </c>
      <c r="B942" s="3">
        <f t="shared" si="68"/>
        <v>24.899999999999942</v>
      </c>
      <c r="C942" s="545">
        <f>'Foglio deposito bis'!$E$156/sezione!$B$247*B942</f>
        <v>143.16204754352719</v>
      </c>
      <c r="D942" s="603">
        <f>-'Sollecitazioni nel paramento'!$G$47*'Sollecitazioni nel paramento'!$G$41*IF(DATI!$G$211="dx",DATI!$E$61,DATI!$E$64*DATI!$E$63)*1000*C942^2*sezione!$AD$5*(1-sezione!$AD$6)</f>
        <v>-455994314.07227635</v>
      </c>
      <c r="E942" s="545">
        <f>-'Foglio deposito bis'!$F$58*(C942-sezione!$AL$30)*IF(ABS(K942)&lt;'Sollecitazioni nel paramento'!$G$58,ABS(K942)*'Sollecitazioni nel paramento'!$G$54,'Sollecitazioni nel paramento'!$G$53)</f>
        <v>0</v>
      </c>
      <c r="F942" s="545">
        <f>-'Foglio deposito bis'!$F$59*(C942-sezione!$AM$30)*IF(ABS(L942)&lt;'Sollecitazioni nel paramento'!$G$58,ABS(L942)*'Sollecitazioni nel paramento'!$G$54,'Sollecitazioni nel paramento'!$G$53)</f>
        <v>-12779084.231424302</v>
      </c>
      <c r="G942" s="545">
        <f>-'Foglio deposito bis'!$F$60*(C942-sezione!$AN$30)*IF(ABS(M942)&lt;'Sollecitazioni nel paramento'!$G$58,ABS(M942)*'Sollecitazioni nel paramento'!$G$54,'Sollecitazioni nel paramento'!$G$53)</f>
        <v>0</v>
      </c>
      <c r="H942" s="545">
        <f>-'Foglio deposito bis'!$F$61*(C942-sezione!$AO$30)*IF(ABS(N942)&lt;'Sollecitazioni nel paramento'!$G$58,ABS(N942)*'Sollecitazioni nel paramento'!$G$54,'Sollecitazioni nel paramento'!$G$53)</f>
        <v>879208.47435683745</v>
      </c>
      <c r="I942" s="472">
        <f>-'Foglio deposito bis'!$F$62*(C942-sezione!$AP$30)*IF(ABS(O942)&lt;'Sollecitazioni nel paramento'!$G$58,ABS(O942)*'Sollecitazioni nel paramento'!$G$54,'Sollecitazioni nel paramento'!$G$53)</f>
        <v>76072064.423640013</v>
      </c>
      <c r="J942" s="472">
        <f t="shared" si="69"/>
        <v>-391822125.40570384</v>
      </c>
      <c r="K942" s="550">
        <f>'Sollecitazioni nel paramento'!$G$60*(sezione!$AL$30-C942)/C942</f>
        <v>-2.5220871913875487E-3</v>
      </c>
      <c r="L942" s="550">
        <f>'Sollecitazioni nel paramento'!$G$60*(sezione!$AM$30-C942)/C942</f>
        <v>-2.0331307870813226E-3</v>
      </c>
      <c r="M942" s="551">
        <f>'Sollecitazioni nel paramento'!$G$60*(sezione!$AN$30-C942)/C942</f>
        <v>-1.5441743827750969E-3</v>
      </c>
      <c r="N942" s="551">
        <f>'Sollecitazioni nel paramento'!$G$60*(sezione!$AO$30-C942)/C942</f>
        <v>4.1165123444980621E-4</v>
      </c>
      <c r="O942" s="551">
        <f>'Sollecitazioni nel paramento'!$G$60*(sezione!$AP$30-C942)/C942</f>
        <v>5.9096373921907787E-3</v>
      </c>
      <c r="P942" s="545">
        <f>-'Sollecitazioni nel paramento'!$G$47*'Sollecitazioni nel paramento'!$G$41*IF(DATI!$G$211="dx",DATI!$E$61,DATI!$E$64*DATI!$E$63)*1000*C942*sezione!$AD$5</f>
        <v>-5454044.5252657542</v>
      </c>
      <c r="Q942" s="545">
        <f>'Foglio deposito bis'!$F$58*IF(ABS(K942)&lt;'Sollecitazioni nel paramento'!$G$58,ABS(K942)*'Sollecitazioni nel paramento'!$G$54,'Sollecitazioni nel paramento'!$G$53)*IF(K942&lt;0,-1,1)</f>
        <v>0</v>
      </c>
      <c r="R942" s="545">
        <f>'Foglio deposito bis'!$F$59*IF(ABS(L942)&lt;'Sollecitazioni nel paramento'!$G$58,ABS(L942)*'Sollecitazioni nel paramento'!$G$54,'Sollecitazioni nel paramento'!$G$53)*IF(L942&lt;0,-1,1)</f>
        <v>-153664.85805602249</v>
      </c>
      <c r="S942" s="545">
        <f>'Foglio deposito bis'!$F$60*IF(ABS(M942)&lt;'Sollecitazioni nel paramento'!$G$58,ABS(M942)*'Sollecitazioni nel paramento'!$G$54,'Sollecitazioni nel paramento'!$G$53)*IF(M942&lt;0,-1,1)</f>
        <v>0</v>
      </c>
      <c r="T942" s="545">
        <f>'Foglio deposito bis'!$F$61*IF(ABS(N942)&lt;'Sollecitazioni nel paramento'!$G$58,ABS(N942)*'Sollecitazioni nel paramento'!$G$54,'Sollecitazioni nel paramento'!$G$53)*IF(N942&lt;0,-1,1)</f>
        <v>52215.878185286972</v>
      </c>
      <c r="U942" s="545">
        <f>'Foglio deposito bis'!$F$62*IF(ABS(O942)&lt;'Sollecitazioni nel paramento'!$G$58,ABS(O942)*'Sollecitazioni nel paramento'!$G$54,'Sollecitazioni nel paramento'!$G$53)*IF(O942&lt;0,-1,1)</f>
        <v>314705.62929873407</v>
      </c>
      <c r="V942" s="472">
        <f t="shared" ref="V942:V991" si="71">P942+Q942+R942+S942+T942+U942</f>
        <v>-5240787.8758377554</v>
      </c>
      <c r="W942" s="551"/>
      <c r="X942" s="551"/>
    </row>
    <row r="943" spans="1:24" x14ac:dyDescent="0.25">
      <c r="A943" s="545">
        <f t="shared" si="70"/>
        <v>5478983.0744334059</v>
      </c>
      <c r="B943" s="3">
        <f t="shared" si="68"/>
        <v>25.899999999999942</v>
      </c>
      <c r="C943" s="545">
        <f>'Foglio deposito bis'!$E$156/sezione!$B$247*B943</f>
        <v>148.9115273645524</v>
      </c>
      <c r="D943" s="603">
        <f>-'Sollecitazioni nel paramento'!$G$47*'Sollecitazioni nel paramento'!$G$41*IF(DATI!$G$211="dx",DATI!$E$61,DATI!$E$64*DATI!$E$63)*1000*C943^2*sezione!$AD$5*(1-sezione!$AD$6)</f>
        <v>-493355826.23316365</v>
      </c>
      <c r="E943" s="545">
        <f>-'Foglio deposito bis'!$F$58*(C943-sezione!$AL$30)*IF(ABS(K943)&lt;'Sollecitazioni nel paramento'!$G$58,ABS(K943)*'Sollecitazioni nel paramento'!$G$54,'Sollecitazioni nel paramento'!$G$53)</f>
        <v>0</v>
      </c>
      <c r="F943" s="545">
        <f>-'Foglio deposito bis'!$F$59*(C943-sezione!$AM$30)*IF(ABS(L943)&lt;'Sollecitazioni nel paramento'!$G$58,ABS(L943)*'Sollecitazioni nel paramento'!$G$54,'Sollecitazioni nel paramento'!$G$53)</f>
        <v>-13662577.232018106</v>
      </c>
      <c r="G943" s="545">
        <f>-'Foglio deposito bis'!$F$60*(C943-sezione!$AN$30)*IF(ABS(M943)&lt;'Sollecitazioni nel paramento'!$G$58,ABS(M943)*'Sollecitazioni nel paramento'!$G$54,'Sollecitazioni nel paramento'!$G$53)</f>
        <v>0</v>
      </c>
      <c r="H943" s="545">
        <f>-'Foglio deposito bis'!$F$61*(C943-sezione!$AO$30)*IF(ABS(N943)&lt;'Sollecitazioni nel paramento'!$G$58,ABS(N943)*'Sollecitazioni nel paramento'!$G$54,'Sollecitazioni nel paramento'!$G$53)</f>
        <v>366569.51820075396</v>
      </c>
      <c r="I943" s="472">
        <f>-'Foglio deposito bis'!$F$62*(C943-sezione!$AP$30)*IF(ABS(O943)&lt;'Sollecitazioni nel paramento'!$G$58,ABS(O943)*'Sollecitazioni nel paramento'!$G$54,'Sollecitazioni nel paramento'!$G$53)</f>
        <v>74262670.758423895</v>
      </c>
      <c r="J943" s="472">
        <f t="shared" si="69"/>
        <v>-432389163.18855715</v>
      </c>
      <c r="K943" s="550">
        <f>'Sollecitazioni nel paramento'!$G$60*(sezione!$AL$30-C943)/C943</f>
        <v>-2.5598444426853267E-3</v>
      </c>
      <c r="L943" s="550">
        <f>'Sollecitazioni nel paramento'!$G$60*(sezione!$AM$30-C943)/C943</f>
        <v>-2.08976666402799E-3</v>
      </c>
      <c r="M943" s="551">
        <f>'Sollecitazioni nel paramento'!$G$60*(sezione!$AN$30-C943)/C943</f>
        <v>-1.6196888853706533E-3</v>
      </c>
      <c r="N943" s="551">
        <f>'Sollecitazioni nel paramento'!$G$60*(sezione!$AO$30-C943)/C943</f>
        <v>2.6062222925869364E-4</v>
      </c>
      <c r="O943" s="551">
        <f>'Sollecitazioni nel paramento'!$G$60*(sezione!$AP$30-C943)/C943</f>
        <v>5.5463309291718292E-3</v>
      </c>
      <c r="P943" s="545">
        <f>-'Sollecitazioni nel paramento'!$G$47*'Sollecitazioni nel paramento'!$G$41*IF(DATI!$G$211="dx",DATI!$E$61,DATI!$E$64*DATI!$E$63)*1000*C943*sezione!$AD$5</f>
        <v>-5673082.4580073515</v>
      </c>
      <c r="Q943" s="545">
        <f>'Foglio deposito bis'!$F$58*IF(ABS(K943)&lt;'Sollecitazioni nel paramento'!$G$58,ABS(K943)*'Sollecitazioni nel paramento'!$G$54,'Sollecitazioni nel paramento'!$G$53)*IF(K943&lt;0,-1,1)</f>
        <v>0</v>
      </c>
      <c r="R943" s="545">
        <f>'Foglio deposito bis'!$F$59*IF(ABS(L943)&lt;'Sollecitazioni nel paramento'!$G$58,ABS(L943)*'Sollecitazioni nel paramento'!$G$54,'Sollecitazioni nel paramento'!$G$53)*IF(L943&lt;0,-1,1)</f>
        <v>-153664.85805602249</v>
      </c>
      <c r="S943" s="545">
        <f>'Foglio deposito bis'!$F$60*IF(ABS(M943)&lt;'Sollecitazioni nel paramento'!$G$58,ABS(M943)*'Sollecitazioni nel paramento'!$G$54,'Sollecitazioni nel paramento'!$G$53)*IF(M943&lt;0,-1,1)</f>
        <v>0</v>
      </c>
      <c r="T943" s="545">
        <f>'Foglio deposito bis'!$F$61*IF(ABS(N943)&lt;'Sollecitazioni nel paramento'!$G$58,ABS(N943)*'Sollecitazioni nel paramento'!$G$54,'Sollecitazioni nel paramento'!$G$53)*IF(N943&lt;0,-1,1)</f>
        <v>33058.612331233562</v>
      </c>
      <c r="U943" s="545">
        <f>'Foglio deposito bis'!$F$62*IF(ABS(O943)&lt;'Sollecitazioni nel paramento'!$G$58,ABS(O943)*'Sollecitazioni nel paramento'!$G$54,'Sollecitazioni nel paramento'!$G$53)*IF(O943&lt;0,-1,1)</f>
        <v>314705.62929873407</v>
      </c>
      <c r="V943" s="472">
        <f t="shared" si="71"/>
        <v>-5478983.0744334059</v>
      </c>
      <c r="W943" s="551"/>
      <c r="X943" s="551"/>
    </row>
    <row r="944" spans="1:24" x14ac:dyDescent="0.25">
      <c r="A944" s="545">
        <f t="shared" si="70"/>
        <v>5715753.9409952983</v>
      </c>
      <c r="B944" s="3">
        <f t="shared" si="68"/>
        <v>26.899999999999942</v>
      </c>
      <c r="C944" s="545">
        <f>'Foglio deposito bis'!$E$156/sezione!$B$247*B944</f>
        <v>154.6610071855776</v>
      </c>
      <c r="D944" s="603">
        <f>-'Sollecitazioni nel paramento'!$G$47*'Sollecitazioni nel paramento'!$G$41*IF(DATI!$G$211="dx",DATI!$E$61,DATI!$E$64*DATI!$E$63)*1000*C944^2*sezione!$AD$5*(1-sezione!$AD$6)</f>
        <v>-532188264.06967634</v>
      </c>
      <c r="E944" s="545">
        <f>-'Foglio deposito bis'!$F$58*(C944-sezione!$AL$30)*IF(ABS(K944)&lt;'Sollecitazioni nel paramento'!$G$58,ABS(K944)*'Sollecitazioni nel paramento'!$G$54,'Sollecitazioni nel paramento'!$G$53)</f>
        <v>0</v>
      </c>
      <c r="F944" s="545">
        <f>-'Foglio deposito bis'!$F$59*(C944-sezione!$AM$30)*IF(ABS(L944)&lt;'Sollecitazioni nel paramento'!$G$58,ABS(L944)*'Sollecitazioni nel paramento'!$G$54,'Sollecitazioni nel paramento'!$G$53)</f>
        <v>-14546070.232611908</v>
      </c>
      <c r="G944" s="545">
        <f>-'Foglio deposito bis'!$F$60*(C944-sezione!$AN$30)*IF(ABS(M944)&lt;'Sollecitazioni nel paramento'!$G$58,ABS(M944)*'Sollecitazioni nel paramento'!$G$54,'Sollecitazioni nel paramento'!$G$53)</f>
        <v>0</v>
      </c>
      <c r="H944" s="545">
        <f>-'Foglio deposito bis'!$F$61*(C944-sezione!$AO$30)*IF(ABS(N944)&lt;'Sollecitazioni nel paramento'!$G$58,ABS(N944)*'Sollecitazioni nel paramento'!$G$54,'Sollecitazioni nel paramento'!$G$53)</f>
        <v>81823.687446049807</v>
      </c>
      <c r="I944" s="472">
        <f>-'Foglio deposito bis'!$F$62*(C944-sezione!$AP$30)*IF(ABS(O944)&lt;'Sollecitazioni nel paramento'!$G$58,ABS(O944)*'Sollecitazioni nel paramento'!$G$54,'Sollecitazioni nel paramento'!$G$53)</f>
        <v>72453277.093207777</v>
      </c>
      <c r="J944" s="472">
        <f t="shared" si="69"/>
        <v>-474199233.52163452</v>
      </c>
      <c r="K944" s="550">
        <f>'Sollecitazioni nel paramento'!$G$60*(sezione!$AL$30-C944)/C944</f>
        <v>-2.5947944634033444E-3</v>
      </c>
      <c r="L944" s="550">
        <f>'Sollecitazioni nel paramento'!$G$60*(sezione!$AM$30-C944)/C944</f>
        <v>-2.1421916951050164E-3</v>
      </c>
      <c r="M944" s="551">
        <f>'Sollecitazioni nel paramento'!$G$60*(sezione!$AN$30-C944)/C944</f>
        <v>-1.6895889268066886E-3</v>
      </c>
      <c r="N944" s="551">
        <f>'Sollecitazioni nel paramento'!$G$60*(sezione!$AO$30-C944)/C944</f>
        <v>1.2082214638662288E-4</v>
      </c>
      <c r="O944" s="551">
        <f>'Sollecitazioni nel paramento'!$G$60*(sezione!$AP$30-C944)/C944</f>
        <v>5.2100360990910907E-3</v>
      </c>
      <c r="P944" s="545">
        <f>-'Sollecitazioni nel paramento'!$G$47*'Sollecitazioni nel paramento'!$G$41*IF(DATI!$G$211="dx",DATI!$E$61,DATI!$E$64*DATI!$E$63)*1000*C944*sezione!$AD$5</f>
        <v>-5892120.3907489488</v>
      </c>
      <c r="Q944" s="545">
        <f>'Foglio deposito bis'!$F$58*IF(ABS(K944)&lt;'Sollecitazioni nel paramento'!$G$58,ABS(K944)*'Sollecitazioni nel paramento'!$G$54,'Sollecitazioni nel paramento'!$G$53)*IF(K944&lt;0,-1,1)</f>
        <v>0</v>
      </c>
      <c r="R944" s="545">
        <f>'Foglio deposito bis'!$F$59*IF(ABS(L944)&lt;'Sollecitazioni nel paramento'!$G$58,ABS(L944)*'Sollecitazioni nel paramento'!$G$54,'Sollecitazioni nel paramento'!$G$53)*IF(L944&lt;0,-1,1)</f>
        <v>-153664.85805602249</v>
      </c>
      <c r="S944" s="545">
        <f>'Foglio deposito bis'!$F$60*IF(ABS(M944)&lt;'Sollecitazioni nel paramento'!$G$58,ABS(M944)*'Sollecitazioni nel paramento'!$G$54,'Sollecitazioni nel paramento'!$G$53)*IF(M944&lt;0,-1,1)</f>
        <v>0</v>
      </c>
      <c r="T944" s="545">
        <f>'Foglio deposito bis'!$F$61*IF(ABS(N944)&lt;'Sollecitazioni nel paramento'!$G$58,ABS(N944)*'Sollecitazioni nel paramento'!$G$54,'Sollecitazioni nel paramento'!$G$53)*IF(N944&lt;0,-1,1)</f>
        <v>15325.678510938766</v>
      </c>
      <c r="U944" s="545">
        <f>'Foglio deposito bis'!$F$62*IF(ABS(O944)&lt;'Sollecitazioni nel paramento'!$G$58,ABS(O944)*'Sollecitazioni nel paramento'!$G$54,'Sollecitazioni nel paramento'!$G$53)*IF(O944&lt;0,-1,1)</f>
        <v>314705.62929873407</v>
      </c>
      <c r="V944" s="472">
        <f t="shared" si="71"/>
        <v>-5715753.9409952983</v>
      </c>
      <c r="W944" s="551"/>
      <c r="X944" s="551"/>
    </row>
    <row r="945" spans="1:24" x14ac:dyDescent="0.25">
      <c r="A945" s="545">
        <f t="shared" si="70"/>
        <v>5951253.6295055561</v>
      </c>
      <c r="B945" s="3">
        <f t="shared" si="68"/>
        <v>27.899999999999942</v>
      </c>
      <c r="C945" s="545">
        <f>'Foglio deposito bis'!$E$156/sezione!$B$247*B945</f>
        <v>160.41048700660281</v>
      </c>
      <c r="D945" s="603">
        <f>-'Sollecitazioni nel paramento'!$G$47*'Sollecitazioni nel paramento'!$G$41*IF(DATI!$G$211="dx",DATI!$E$61,DATI!$E$64*DATI!$E$63)*1000*C945^2*sezione!$AD$5*(1-sezione!$AD$6)</f>
        <v>-572491627.58181453</v>
      </c>
      <c r="E945" s="545">
        <f>-'Foglio deposito bis'!$F$58*(C945-sezione!$AL$30)*IF(ABS(K945)&lt;'Sollecitazioni nel paramento'!$G$58,ABS(K945)*'Sollecitazioni nel paramento'!$G$54,'Sollecitazioni nel paramento'!$G$53)</f>
        <v>0</v>
      </c>
      <c r="F945" s="545">
        <f>-'Foglio deposito bis'!$F$59*(C945-sezione!$AM$30)*IF(ABS(L945)&lt;'Sollecitazioni nel paramento'!$G$58,ABS(L945)*'Sollecitazioni nel paramento'!$G$54,'Sollecitazioni nel paramento'!$G$53)</f>
        <v>-15429563.233205711</v>
      </c>
      <c r="G945" s="545">
        <f>-'Foglio deposito bis'!$F$60*(C945-sezione!$AN$30)*IF(ABS(M945)&lt;'Sollecitazioni nel paramento'!$G$58,ABS(M945)*'Sollecitazioni nel paramento'!$G$54,'Sollecitazioni nel paramento'!$G$53)</f>
        <v>0</v>
      </c>
      <c r="H945" s="545">
        <f>-'Foglio deposito bis'!$F$61*(C945-sezione!$AO$30)*IF(ABS(N945)&lt;'Sollecitazioni nel paramento'!$G$58,ABS(N945)*'Sollecitazioni nel paramento'!$G$54,'Sollecitazioni nel paramento'!$G$53)</f>
        <v>-466.34495279182511</v>
      </c>
      <c r="I945" s="472">
        <f>-'Foglio deposito bis'!$F$62*(C945-sezione!$AP$30)*IF(ABS(O945)&lt;'Sollecitazioni nel paramento'!$G$58,ABS(O945)*'Sollecitazioni nel paramento'!$G$54,'Sollecitazioni nel paramento'!$G$53)</f>
        <v>70643883.427991673</v>
      </c>
      <c r="J945" s="472">
        <f t="shared" si="69"/>
        <v>-517277773.73198134</v>
      </c>
      <c r="K945" s="550">
        <f>'Sollecitazioni nel paramento'!$G$60*(sezione!$AL$30-C945)/C945</f>
        <v>-2.6272391062921135E-3</v>
      </c>
      <c r="L945" s="550">
        <f>'Sollecitazioni nel paramento'!$G$60*(sezione!$AM$30-C945)/C945</f>
        <v>-2.1908586594381703E-3</v>
      </c>
      <c r="M945" s="551">
        <f>'Sollecitazioni nel paramento'!$G$60*(sezione!$AN$30-C945)/C945</f>
        <v>-1.7544782125842268E-3</v>
      </c>
      <c r="N945" s="551">
        <f>'Sollecitazioni nel paramento'!$G$60*(sezione!$AO$30-C945)/C945</f>
        <v>-8.9564251684535245E-6</v>
      </c>
      <c r="O945" s="551">
        <f>'Sollecitazioni nel paramento'!$G$60*(sezione!$AP$30-C945)/C945</f>
        <v>4.897848425288542E-3</v>
      </c>
      <c r="P945" s="545">
        <f>-'Sollecitazioni nel paramento'!$G$47*'Sollecitazioni nel paramento'!$G$41*IF(DATI!$G$211="dx",DATI!$E$61,DATI!$E$64*DATI!$E$63)*1000*C945*sezione!$AD$5</f>
        <v>-6111158.3234905461</v>
      </c>
      <c r="Q945" s="545">
        <f>'Foglio deposito bis'!$F$58*IF(ABS(K945)&lt;'Sollecitazioni nel paramento'!$G$58,ABS(K945)*'Sollecitazioni nel paramento'!$G$54,'Sollecitazioni nel paramento'!$G$53)*IF(K945&lt;0,-1,1)</f>
        <v>0</v>
      </c>
      <c r="R945" s="545">
        <f>'Foglio deposito bis'!$F$59*IF(ABS(L945)&lt;'Sollecitazioni nel paramento'!$G$58,ABS(L945)*'Sollecitazioni nel paramento'!$G$54,'Sollecitazioni nel paramento'!$G$53)*IF(L945&lt;0,-1,1)</f>
        <v>-153664.85805602249</v>
      </c>
      <c r="S945" s="545">
        <f>'Foglio deposito bis'!$F$60*IF(ABS(M945)&lt;'Sollecitazioni nel paramento'!$G$58,ABS(M945)*'Sollecitazioni nel paramento'!$G$54,'Sollecitazioni nel paramento'!$G$53)*IF(M945&lt;0,-1,1)</f>
        <v>0</v>
      </c>
      <c r="T945" s="545">
        <f>'Foglio deposito bis'!$F$61*IF(ABS(N945)&lt;'Sollecitazioni nel paramento'!$G$58,ABS(N945)*'Sollecitazioni nel paramento'!$G$54,'Sollecitazioni nel paramento'!$G$53)*IF(N945&lt;0,-1,1)</f>
        <v>-1136.0772577219893</v>
      </c>
      <c r="U945" s="545">
        <f>'Foglio deposito bis'!$F$62*IF(ABS(O945)&lt;'Sollecitazioni nel paramento'!$G$58,ABS(O945)*'Sollecitazioni nel paramento'!$G$54,'Sollecitazioni nel paramento'!$G$53)*IF(O945&lt;0,-1,1)</f>
        <v>314705.62929873407</v>
      </c>
      <c r="V945" s="472">
        <f t="shared" si="71"/>
        <v>-5951253.6295055561</v>
      </c>
      <c r="W945" s="551"/>
      <c r="X945" s="551"/>
    </row>
    <row r="946" spans="1:24" x14ac:dyDescent="0.25">
      <c r="A946" s="545">
        <f t="shared" si="70"/>
        <v>6185614.096163311</v>
      </c>
      <c r="B946" s="3">
        <f t="shared" si="68"/>
        <v>28.899999999999942</v>
      </c>
      <c r="C946" s="545">
        <f>'Foglio deposito bis'!$E$156/sezione!$B$247*B946</f>
        <v>166.15996682762801</v>
      </c>
      <c r="D946" s="603">
        <f>-'Sollecitazioni nel paramento'!$G$47*'Sollecitazioni nel paramento'!$G$41*IF(DATI!$G$211="dx",DATI!$E$61,DATI!$E$64*DATI!$E$63)*1000*C946^2*sezione!$AD$5*(1-sezione!$AD$6)</f>
        <v>-614265916.76957834</v>
      </c>
      <c r="E946" s="545">
        <f>-'Foglio deposito bis'!$F$58*(C946-sezione!$AL$30)*IF(ABS(K946)&lt;'Sollecitazioni nel paramento'!$G$58,ABS(K946)*'Sollecitazioni nel paramento'!$G$54,'Sollecitazioni nel paramento'!$G$53)</f>
        <v>0</v>
      </c>
      <c r="F946" s="545">
        <f>-'Foglio deposito bis'!$F$59*(C946-sezione!$AM$30)*IF(ABS(L946)&lt;'Sollecitazioni nel paramento'!$G$58,ABS(L946)*'Sollecitazioni nel paramento'!$G$54,'Sollecitazioni nel paramento'!$G$53)</f>
        <v>-16313056.233799517</v>
      </c>
      <c r="G946" s="545">
        <f>-'Foglio deposito bis'!$F$60*(C946-sezione!$AN$30)*IF(ABS(M946)&lt;'Sollecitazioni nel paramento'!$G$58,ABS(M946)*'Sollecitazioni nel paramento'!$G$54,'Sollecitazioni nel paramento'!$G$53)</f>
        <v>0</v>
      </c>
      <c r="H946" s="545">
        <f>-'Foglio deposito bis'!$F$61*(C946-sezione!$AO$30)*IF(ABS(N946)&lt;'Sollecitazioni nel paramento'!$G$58,ABS(N946)*'Sollecitazioni nel paramento'!$G$54,'Sollecitazioni nel paramento'!$G$53)</f>
        <v>-101384.49885993017</v>
      </c>
      <c r="I946" s="472">
        <f>-'Foglio deposito bis'!$F$62*(C946-sezione!$AP$30)*IF(ABS(O946)&lt;'Sollecitazioni nel paramento'!$G$58,ABS(O946)*'Sollecitazioni nel paramento'!$G$54,'Sollecitazioni nel paramento'!$G$53)</f>
        <v>68834489.76277557</v>
      </c>
      <c r="J946" s="472">
        <f t="shared" si="69"/>
        <v>-561845867.73946226</v>
      </c>
      <c r="K946" s="550">
        <f>'Sollecitazioni nel paramento'!$G$60*(sezione!$AL$30-C946)/C946</f>
        <v>-2.6574384451747393E-3</v>
      </c>
      <c r="L946" s="550">
        <f>'Sollecitazioni nel paramento'!$G$60*(sezione!$AM$30-C946)/C946</f>
        <v>-2.236157667762109E-3</v>
      </c>
      <c r="M946" s="551">
        <f>'Sollecitazioni nel paramento'!$G$60*(sezione!$AN$30-C946)/C946</f>
        <v>-1.8148768903494784E-3</v>
      </c>
      <c r="N946" s="551">
        <f>'Sollecitazioni nel paramento'!$G$60*(sezione!$AO$30-C946)/C946</f>
        <v>-1.2975378069895714E-4</v>
      </c>
      <c r="O946" s="551">
        <f>'Sollecitazioni nel paramento'!$G$60*(sezione!$AP$30-C946)/C946</f>
        <v>4.6072654347941288E-3</v>
      </c>
      <c r="P946" s="545">
        <f>-'Sollecitazioni nel paramento'!$G$47*'Sollecitazioni nel paramento'!$G$41*IF(DATI!$G$211="dx",DATI!$E$61,DATI!$E$64*DATI!$E$63)*1000*C946*sezione!$AD$5</f>
        <v>-6330196.2562321424</v>
      </c>
      <c r="Q946" s="545">
        <f>'Foglio deposito bis'!$F$58*IF(ABS(K946)&lt;'Sollecitazioni nel paramento'!$G$58,ABS(K946)*'Sollecitazioni nel paramento'!$G$54,'Sollecitazioni nel paramento'!$G$53)*IF(K946&lt;0,-1,1)</f>
        <v>0</v>
      </c>
      <c r="R946" s="545">
        <f>'Foglio deposito bis'!$F$59*IF(ABS(L946)&lt;'Sollecitazioni nel paramento'!$G$58,ABS(L946)*'Sollecitazioni nel paramento'!$G$54,'Sollecitazioni nel paramento'!$G$53)*IF(L946&lt;0,-1,1)</f>
        <v>-153664.85805602249</v>
      </c>
      <c r="S946" s="545">
        <f>'Foglio deposito bis'!$F$60*IF(ABS(M946)&lt;'Sollecitazioni nel paramento'!$G$58,ABS(M946)*'Sollecitazioni nel paramento'!$G$54,'Sollecitazioni nel paramento'!$G$53)*IF(M946&lt;0,-1,1)</f>
        <v>0</v>
      </c>
      <c r="T946" s="545">
        <f>'Foglio deposito bis'!$F$61*IF(ABS(N946)&lt;'Sollecitazioni nel paramento'!$G$58,ABS(N946)*'Sollecitazioni nel paramento'!$G$54,'Sollecitazioni nel paramento'!$G$53)*IF(N946&lt;0,-1,1)</f>
        <v>-16458.611173880268</v>
      </c>
      <c r="U946" s="545">
        <f>'Foglio deposito bis'!$F$62*IF(ABS(O946)&lt;'Sollecitazioni nel paramento'!$G$58,ABS(O946)*'Sollecitazioni nel paramento'!$G$54,'Sollecitazioni nel paramento'!$G$53)*IF(O946&lt;0,-1,1)</f>
        <v>314705.62929873407</v>
      </c>
      <c r="V946" s="472">
        <f t="shared" si="71"/>
        <v>-6185614.096163311</v>
      </c>
      <c r="W946" s="551"/>
      <c r="X946" s="551"/>
    </row>
    <row r="947" spans="1:24" x14ac:dyDescent="0.25">
      <c r="A947" s="545">
        <f t="shared" si="70"/>
        <v>6418949.6441644682</v>
      </c>
      <c r="B947" s="3">
        <f t="shared" si="68"/>
        <v>29.899999999999942</v>
      </c>
      <c r="C947" s="545">
        <f>'Foglio deposito bis'!$E$156/sezione!$B$247*B947</f>
        <v>171.90944664865322</v>
      </c>
      <c r="D947" s="603">
        <f>-'Sollecitazioni nel paramento'!$G$47*'Sollecitazioni nel paramento'!$G$41*IF(DATI!$G$211="dx",DATI!$E$61,DATI!$E$64*DATI!$E$63)*1000*C947^2*sezione!$AD$5*(1-sezione!$AD$6)</f>
        <v>-657511131.63296747</v>
      </c>
      <c r="E947" s="545">
        <f>-'Foglio deposito bis'!$F$58*(C947-sezione!$AL$30)*IF(ABS(K947)&lt;'Sollecitazioni nel paramento'!$G$58,ABS(K947)*'Sollecitazioni nel paramento'!$G$54,'Sollecitazioni nel paramento'!$G$53)</f>
        <v>0</v>
      </c>
      <c r="F947" s="545">
        <f>-'Foglio deposito bis'!$F$59*(C947-sezione!$AM$30)*IF(ABS(L947)&lt;'Sollecitazioni nel paramento'!$G$58,ABS(L947)*'Sollecitazioni nel paramento'!$G$54,'Sollecitazioni nel paramento'!$G$53)</f>
        <v>-17196549.234393317</v>
      </c>
      <c r="G947" s="545">
        <f>-'Foglio deposito bis'!$F$60*(C947-sezione!$AN$30)*IF(ABS(M947)&lt;'Sollecitazioni nel paramento'!$G$58,ABS(M947)*'Sollecitazioni nel paramento'!$G$54,'Sollecitazioni nel paramento'!$G$53)</f>
        <v>0</v>
      </c>
      <c r="H947" s="545">
        <f>-'Foglio deposito bis'!$F$61*(C947-sezione!$AO$30)*IF(ABS(N947)&lt;'Sollecitazioni nel paramento'!$G$58,ABS(N947)*'Sollecitazioni nel paramento'!$G$54,'Sollecitazioni nel paramento'!$G$53)</f>
        <v>-366289.63782294345</v>
      </c>
      <c r="I947" s="472">
        <f>-'Foglio deposito bis'!$F$62*(C947-sezione!$AP$30)*IF(ABS(O947)&lt;'Sollecitazioni nel paramento'!$G$58,ABS(O947)*'Sollecitazioni nel paramento'!$G$54,'Sollecitazioni nel paramento'!$G$53)</f>
        <v>67025096.09755946</v>
      </c>
      <c r="J947" s="472">
        <f t="shared" si="69"/>
        <v>-608048874.40762436</v>
      </c>
      <c r="K947" s="550">
        <f>'Sollecitazioni nel paramento'!$G$60*(sezione!$AL$30-C947)/C947</f>
        <v>-2.685617761389631E-3</v>
      </c>
      <c r="L947" s="550">
        <f>'Sollecitazioni nel paramento'!$G$60*(sezione!$AM$30-C947)/C947</f>
        <v>-2.2784266420844464E-3</v>
      </c>
      <c r="M947" s="551">
        <f>'Sollecitazioni nel paramento'!$G$60*(sezione!$AN$30-C947)/C947</f>
        <v>-1.8712355227792621E-3</v>
      </c>
      <c r="N947" s="551">
        <f>'Sollecitazioni nel paramento'!$G$60*(sezione!$AO$30-C947)/C947</f>
        <v>-2.4247104555852407E-4</v>
      </c>
      <c r="O947" s="551">
        <f>'Sollecitazioni nel paramento'!$G$60*(sezione!$AP$30-C947)/C947</f>
        <v>4.3361194336304443E-3</v>
      </c>
      <c r="P947" s="545">
        <f>-'Sollecitazioni nel paramento'!$G$47*'Sollecitazioni nel paramento'!$G$41*IF(DATI!$G$211="dx",DATI!$E$61,DATI!$E$64*DATI!$E$63)*1000*C947*sezione!$AD$5</f>
        <v>-6549234.1889737407</v>
      </c>
      <c r="Q947" s="545">
        <f>'Foglio deposito bis'!$F$58*IF(ABS(K947)&lt;'Sollecitazioni nel paramento'!$G$58,ABS(K947)*'Sollecitazioni nel paramento'!$G$54,'Sollecitazioni nel paramento'!$G$53)*IF(K947&lt;0,-1,1)</f>
        <v>0</v>
      </c>
      <c r="R947" s="545">
        <f>'Foglio deposito bis'!$F$59*IF(ABS(L947)&lt;'Sollecitazioni nel paramento'!$G$58,ABS(L947)*'Sollecitazioni nel paramento'!$G$54,'Sollecitazioni nel paramento'!$G$53)*IF(L947&lt;0,-1,1)</f>
        <v>-153664.85805602249</v>
      </c>
      <c r="S947" s="545">
        <f>'Foglio deposito bis'!$F$60*IF(ABS(M947)&lt;'Sollecitazioni nel paramento'!$G$58,ABS(M947)*'Sollecitazioni nel paramento'!$G$54,'Sollecitazioni nel paramento'!$G$53)*IF(M947&lt;0,-1,1)</f>
        <v>0</v>
      </c>
      <c r="T947" s="545">
        <f>'Foglio deposito bis'!$F$61*IF(ABS(N947)&lt;'Sollecitazioni nel paramento'!$G$58,ABS(N947)*'Sollecitazioni nel paramento'!$G$54,'Sollecitazioni nel paramento'!$G$53)*IF(N947&lt;0,-1,1)</f>
        <v>-30756.226433439329</v>
      </c>
      <c r="U947" s="545">
        <f>'Foglio deposito bis'!$F$62*IF(ABS(O947)&lt;'Sollecitazioni nel paramento'!$G$58,ABS(O947)*'Sollecitazioni nel paramento'!$G$54,'Sollecitazioni nel paramento'!$G$53)*IF(O947&lt;0,-1,1)</f>
        <v>314705.62929873407</v>
      </c>
      <c r="V947" s="472">
        <f t="shared" si="71"/>
        <v>-6418949.6441644682</v>
      </c>
      <c r="W947" s="551"/>
      <c r="X947" s="551"/>
    </row>
    <row r="948" spans="1:24" x14ac:dyDescent="0.25">
      <c r="A948" s="545">
        <f t="shared" si="70"/>
        <v>6651359.7801747136</v>
      </c>
      <c r="B948" s="3">
        <f t="shared" si="68"/>
        <v>30.899999999999942</v>
      </c>
      <c r="C948" s="545">
        <f>'Foglio deposito bis'!$E$156/sezione!$B$247*B948</f>
        <v>177.65892646967842</v>
      </c>
      <c r="D948" s="603">
        <f>-'Sollecitazioni nel paramento'!$G$47*'Sollecitazioni nel paramento'!$G$41*IF(DATI!$G$211="dx",DATI!$E$61,DATI!$E$64*DATI!$E$63)*1000*C948^2*sezione!$AD$5*(1-sezione!$AD$6)</f>
        <v>-702227272.17198205</v>
      </c>
      <c r="E948" s="545">
        <f>-'Foglio deposito bis'!$F$58*(C948-sezione!$AL$30)*IF(ABS(K948)&lt;'Sollecitazioni nel paramento'!$G$58,ABS(K948)*'Sollecitazioni nel paramento'!$G$54,'Sollecitazioni nel paramento'!$G$53)</f>
        <v>0</v>
      </c>
      <c r="F948" s="545">
        <f>-'Foglio deposito bis'!$F$59*(C948-sezione!$AM$30)*IF(ABS(L948)&lt;'Sollecitazioni nel paramento'!$G$58,ABS(L948)*'Sollecitazioni nel paramento'!$G$54,'Sollecitazioni nel paramento'!$G$53)</f>
        <v>-18080042.234987121</v>
      </c>
      <c r="G948" s="545">
        <f>-'Foglio deposito bis'!$F$60*(C948-sezione!$AN$30)*IF(ABS(M948)&lt;'Sollecitazioni nel paramento'!$G$58,ABS(M948)*'Sollecitazioni nel paramento'!$G$54,'Sollecitazioni nel paramento'!$G$53)</f>
        <v>0</v>
      </c>
      <c r="H948" s="545">
        <f>-'Foglio deposito bis'!$F$61*(C948-sezione!$AO$30)*IF(ABS(N948)&lt;'Sollecitazioni nel paramento'!$G$58,ABS(N948)*'Sollecitazioni nel paramento'!$G$54,'Sollecitazioni nel paramento'!$G$53)</f>
        <v>-779260.69533155242</v>
      </c>
      <c r="I948" s="472">
        <f>-'Foglio deposito bis'!$F$62*(C948-sezione!$AP$30)*IF(ABS(O948)&lt;'Sollecitazioni nel paramento'!$G$58,ABS(O948)*'Sollecitazioni nel paramento'!$G$54,'Sollecitazioni nel paramento'!$G$53)</f>
        <v>65215702.432343341</v>
      </c>
      <c r="J948" s="472">
        <f t="shared" si="69"/>
        <v>-655870872.6699574</v>
      </c>
      <c r="K948" s="550">
        <f>'Sollecitazioni nel paramento'!$G$60*(sezione!$AL$30-C948)/C948</f>
        <v>-2.7119731736423942E-3</v>
      </c>
      <c r="L948" s="550">
        <f>'Sollecitazioni nel paramento'!$G$60*(sezione!$AM$30-C948)/C948</f>
        <v>-2.317959760463591E-3</v>
      </c>
      <c r="M948" s="551">
        <f>'Sollecitazioni nel paramento'!$G$60*(sezione!$AN$30-C948)/C948</f>
        <v>-1.9239463472847877E-3</v>
      </c>
      <c r="N948" s="551">
        <f>'Sollecitazioni nel paramento'!$G$60*(sezione!$AO$30-C948)/C948</f>
        <v>-3.4789269456957529E-4</v>
      </c>
      <c r="O948" s="551">
        <f>'Sollecitazioni nel paramento'!$G$60*(sezione!$AP$30-C948)/C948</f>
        <v>4.0825233354547016E-3</v>
      </c>
      <c r="P948" s="545">
        <f>-'Sollecitazioni nel paramento'!$G$47*'Sollecitazioni nel paramento'!$G$41*IF(DATI!$G$211="dx",DATI!$E$61,DATI!$E$64*DATI!$E$63)*1000*C948*sezione!$AD$5</f>
        <v>-6768272.121715337</v>
      </c>
      <c r="Q948" s="545">
        <f>'Foglio deposito bis'!$F$58*IF(ABS(K948)&lt;'Sollecitazioni nel paramento'!$G$58,ABS(K948)*'Sollecitazioni nel paramento'!$G$54,'Sollecitazioni nel paramento'!$G$53)*IF(K948&lt;0,-1,1)</f>
        <v>0</v>
      </c>
      <c r="R948" s="545">
        <f>'Foglio deposito bis'!$F$59*IF(ABS(L948)&lt;'Sollecitazioni nel paramento'!$G$58,ABS(L948)*'Sollecitazioni nel paramento'!$G$54,'Sollecitazioni nel paramento'!$G$53)*IF(L948&lt;0,-1,1)</f>
        <v>-153664.85805602249</v>
      </c>
      <c r="S948" s="545">
        <f>'Foglio deposito bis'!$F$60*IF(ABS(M948)&lt;'Sollecitazioni nel paramento'!$G$58,ABS(M948)*'Sollecitazioni nel paramento'!$G$54,'Sollecitazioni nel paramento'!$G$53)*IF(M948&lt;0,-1,1)</f>
        <v>0</v>
      </c>
      <c r="T948" s="545">
        <f>'Foglio deposito bis'!$F$61*IF(ABS(N948)&lt;'Sollecitazioni nel paramento'!$G$58,ABS(N948)*'Sollecitazioni nel paramento'!$G$54,'Sollecitazioni nel paramento'!$G$53)*IF(N948&lt;0,-1,1)</f>
        <v>-44128.429702088411</v>
      </c>
      <c r="U948" s="545">
        <f>'Foglio deposito bis'!$F$62*IF(ABS(O948)&lt;'Sollecitazioni nel paramento'!$G$58,ABS(O948)*'Sollecitazioni nel paramento'!$G$54,'Sollecitazioni nel paramento'!$G$53)*IF(O948&lt;0,-1,1)</f>
        <v>314705.62929873407</v>
      </c>
      <c r="V948" s="472">
        <f t="shared" si="71"/>
        <v>-6651359.7801747136</v>
      </c>
      <c r="W948" s="551"/>
      <c r="X948" s="551"/>
    </row>
    <row r="949" spans="1:24" x14ac:dyDescent="0.25">
      <c r="A949" s="545">
        <f t="shared" si="70"/>
        <v>6882931.5335348882</v>
      </c>
      <c r="B949" s="3">
        <f t="shared" si="68"/>
        <v>31.899999999999942</v>
      </c>
      <c r="C949" s="545">
        <f>'Foglio deposito bis'!$E$156/sezione!$B$247*B949</f>
        <v>183.40840629070362</v>
      </c>
      <c r="D949" s="603">
        <f>-'Sollecitazioni nel paramento'!$G$47*'Sollecitazioni nel paramento'!$G$41*IF(DATI!$G$211="dx",DATI!$E$61,DATI!$E$64*DATI!$E$63)*1000*C949^2*sezione!$AD$5*(1-sezione!$AD$6)</f>
        <v>-748414338.38662243</v>
      </c>
      <c r="E949" s="545">
        <f>-'Foglio deposito bis'!$F$58*(C949-sezione!$AL$30)*IF(ABS(K949)&lt;'Sollecitazioni nel paramento'!$G$58,ABS(K949)*'Sollecitazioni nel paramento'!$G$54,'Sollecitazioni nel paramento'!$G$53)</f>
        <v>0</v>
      </c>
      <c r="F949" s="545">
        <f>-'Foglio deposito bis'!$F$59*(C949-sezione!$AM$30)*IF(ABS(L949)&lt;'Sollecitazioni nel paramento'!$G$58,ABS(L949)*'Sollecitazioni nel paramento'!$G$54,'Sollecitazioni nel paramento'!$G$53)</f>
        <v>-18963535.235580929</v>
      </c>
      <c r="G949" s="545">
        <f>-'Foglio deposito bis'!$F$60*(C949-sezione!$AN$30)*IF(ABS(M949)&lt;'Sollecitazioni nel paramento'!$G$58,ABS(M949)*'Sollecitazioni nel paramento'!$G$54,'Sollecitazioni nel paramento'!$G$53)</f>
        <v>0</v>
      </c>
      <c r="H949" s="545">
        <f>-'Foglio deposito bis'!$F$61*(C949-sezione!$AO$30)*IF(ABS(N949)&lt;'Sollecitazioni nel paramento'!$G$58,ABS(N949)*'Sollecitazioni nel paramento'!$G$54,'Sollecitazioni nel paramento'!$G$53)</f>
        <v>-1326372.9768516887</v>
      </c>
      <c r="I949" s="472">
        <f>-'Foglio deposito bis'!$F$62*(C949-sezione!$AP$30)*IF(ABS(O949)&lt;'Sollecitazioni nel paramento'!$G$58,ABS(O949)*'Sollecitazioni nel paramento'!$G$54,'Sollecitazioni nel paramento'!$G$53)</f>
        <v>63406308.767127238</v>
      </c>
      <c r="J949" s="472">
        <f t="shared" si="69"/>
        <v>-705297937.83192778</v>
      </c>
      <c r="K949" s="550">
        <f>'Sollecitazioni nel paramento'!$G$60*(sezione!$AL$30-C949)/C949</f>
        <v>-2.7366762089514099E-3</v>
      </c>
      <c r="L949" s="550">
        <f>'Sollecitazioni nel paramento'!$G$60*(sezione!$AM$30-C949)/C949</f>
        <v>-2.3550143134271149E-3</v>
      </c>
      <c r="M949" s="551">
        <f>'Sollecitazioni nel paramento'!$G$60*(sezione!$AN$30-C949)/C949</f>
        <v>-1.9733524179028194E-3</v>
      </c>
      <c r="N949" s="551">
        <f>'Sollecitazioni nel paramento'!$G$60*(sezione!$AO$30-C949)/C949</f>
        <v>-4.4670483580563897E-4</v>
      </c>
      <c r="O949" s="551">
        <f>'Sollecitazioni nel paramento'!$G$60*(sezione!$AP$30-C949)/C949</f>
        <v>3.8448266791708541E-3</v>
      </c>
      <c r="P949" s="545">
        <f>-'Sollecitazioni nel paramento'!$G$47*'Sollecitazioni nel paramento'!$G$41*IF(DATI!$G$211="dx",DATI!$E$61,DATI!$E$64*DATI!$E$63)*1000*C949*sezione!$AD$5</f>
        <v>-6987310.0544569343</v>
      </c>
      <c r="Q949" s="545">
        <f>'Foglio deposito bis'!$F$58*IF(ABS(K949)&lt;'Sollecitazioni nel paramento'!$G$58,ABS(K949)*'Sollecitazioni nel paramento'!$G$54,'Sollecitazioni nel paramento'!$G$53)*IF(K949&lt;0,-1,1)</f>
        <v>0</v>
      </c>
      <c r="R949" s="545">
        <f>'Foglio deposito bis'!$F$59*IF(ABS(L949)&lt;'Sollecitazioni nel paramento'!$G$58,ABS(L949)*'Sollecitazioni nel paramento'!$G$54,'Sollecitazioni nel paramento'!$G$53)*IF(L949&lt;0,-1,1)</f>
        <v>-153664.85805602249</v>
      </c>
      <c r="S949" s="545">
        <f>'Foglio deposito bis'!$F$60*IF(ABS(M949)&lt;'Sollecitazioni nel paramento'!$G$58,ABS(M949)*'Sollecitazioni nel paramento'!$G$54,'Sollecitazioni nel paramento'!$G$53)*IF(M949&lt;0,-1,1)</f>
        <v>0</v>
      </c>
      <c r="T949" s="545">
        <f>'Foglio deposito bis'!$F$61*IF(ABS(N949)&lt;'Sollecitazioni nel paramento'!$G$58,ABS(N949)*'Sollecitazioni nel paramento'!$G$54,'Sollecitazioni nel paramento'!$G$53)*IF(N949&lt;0,-1,1)</f>
        <v>-56662.250320665458</v>
      </c>
      <c r="U949" s="545">
        <f>'Foglio deposito bis'!$F$62*IF(ABS(O949)&lt;'Sollecitazioni nel paramento'!$G$58,ABS(O949)*'Sollecitazioni nel paramento'!$G$54,'Sollecitazioni nel paramento'!$G$53)*IF(O949&lt;0,-1,1)</f>
        <v>314705.62929873407</v>
      </c>
      <c r="V949" s="472">
        <f t="shared" si="71"/>
        <v>-6882931.5335348882</v>
      </c>
      <c r="W949" s="551"/>
      <c r="X949" s="551"/>
    </row>
    <row r="950" spans="1:24" x14ac:dyDescent="0.25">
      <c r="A950" s="545">
        <f t="shared" si="70"/>
        <v>7113741.3525109543</v>
      </c>
      <c r="B950" s="3">
        <f t="shared" si="68"/>
        <v>32.899999999999942</v>
      </c>
      <c r="C950" s="545">
        <f>'Foglio deposito bis'!$E$156/sezione!$B$247*B950</f>
        <v>189.15788611172883</v>
      </c>
      <c r="D950" s="603">
        <f>-'Sollecitazioni nel paramento'!$G$47*'Sollecitazioni nel paramento'!$G$41*IF(DATI!$G$211="dx",DATI!$E$61,DATI!$E$64*DATI!$E$63)*1000*C950^2*sezione!$AD$5*(1-sezione!$AD$6)</f>
        <v>-796072330.27688789</v>
      </c>
      <c r="E950" s="545">
        <f>-'Foglio deposito bis'!$F$58*(C950-sezione!$AL$30)*IF(ABS(K950)&lt;'Sollecitazioni nel paramento'!$G$58,ABS(K950)*'Sollecitazioni nel paramento'!$G$54,'Sollecitazioni nel paramento'!$G$53)</f>
        <v>0</v>
      </c>
      <c r="F950" s="545">
        <f>-'Foglio deposito bis'!$F$59*(C950-sezione!$AM$30)*IF(ABS(L950)&lt;'Sollecitazioni nel paramento'!$G$58,ABS(L950)*'Sollecitazioni nel paramento'!$G$54,'Sollecitazioni nel paramento'!$G$53)</f>
        <v>-19847028.236174729</v>
      </c>
      <c r="G950" s="545">
        <f>-'Foglio deposito bis'!$F$60*(C950-sezione!$AN$30)*IF(ABS(M950)&lt;'Sollecitazioni nel paramento'!$G$58,ABS(M950)*'Sollecitazioni nel paramento'!$G$54,'Sollecitazioni nel paramento'!$G$53)</f>
        <v>0</v>
      </c>
      <c r="H950" s="545">
        <f>-'Foglio deposito bis'!$F$61*(C950-sezione!$AO$30)*IF(ABS(N950)&lt;'Sollecitazioni nel paramento'!$G$58,ABS(N950)*'Sollecitazioni nel paramento'!$G$54,'Sollecitazioni nel paramento'!$G$53)</f>
        <v>-1995394.7598291095</v>
      </c>
      <c r="I950" s="472">
        <f>-'Foglio deposito bis'!$F$62*(C950-sezione!$AP$30)*IF(ABS(O950)&lt;'Sollecitazioni nel paramento'!$G$58,ABS(O950)*'Sollecitazioni nel paramento'!$G$54,'Sollecitazioni nel paramento'!$G$53)</f>
        <v>61596915.101911128</v>
      </c>
      <c r="J950" s="472">
        <f t="shared" si="69"/>
        <v>-756317838.17098069</v>
      </c>
      <c r="K950" s="550">
        <f>'Sollecitazioni nel paramento'!$G$60*(sezione!$AL$30-C950)/C950</f>
        <v>-2.7598775399863213E-3</v>
      </c>
      <c r="L950" s="550">
        <f>'Sollecitazioni nel paramento'!$G$60*(sezione!$AM$30-C950)/C950</f>
        <v>-2.3898163099794821E-3</v>
      </c>
      <c r="M950" s="551">
        <f>'Sollecitazioni nel paramento'!$G$60*(sezione!$AN$30-C950)/C950</f>
        <v>-2.0197550799726429E-3</v>
      </c>
      <c r="N950" s="551">
        <f>'Sollecitazioni nel paramento'!$G$60*(sezione!$AO$30-C950)/C950</f>
        <v>-5.3951015994528541E-4</v>
      </c>
      <c r="O950" s="551">
        <f>'Sollecitazioni nel paramento'!$G$60*(sezione!$AP$30-C950)/C950</f>
        <v>3.6215796676459036E-3</v>
      </c>
      <c r="P950" s="545">
        <f>-'Sollecitazioni nel paramento'!$G$47*'Sollecitazioni nel paramento'!$G$41*IF(DATI!$G$211="dx",DATI!$E$61,DATI!$E$64*DATI!$E$63)*1000*C950*sezione!$AD$5</f>
        <v>-7206347.9871985316</v>
      </c>
      <c r="Q950" s="545">
        <f>'Foglio deposito bis'!$F$58*IF(ABS(K950)&lt;'Sollecitazioni nel paramento'!$G$58,ABS(K950)*'Sollecitazioni nel paramento'!$G$54,'Sollecitazioni nel paramento'!$G$53)*IF(K950&lt;0,-1,1)</f>
        <v>0</v>
      </c>
      <c r="R950" s="545">
        <f>'Foglio deposito bis'!$F$59*IF(ABS(L950)&lt;'Sollecitazioni nel paramento'!$G$58,ABS(L950)*'Sollecitazioni nel paramento'!$G$54,'Sollecitazioni nel paramento'!$G$53)*IF(L950&lt;0,-1,1)</f>
        <v>-153664.85805602249</v>
      </c>
      <c r="S950" s="545">
        <f>'Foglio deposito bis'!$F$60*IF(ABS(M950)&lt;'Sollecitazioni nel paramento'!$G$58,ABS(M950)*'Sollecitazioni nel paramento'!$G$54,'Sollecitazioni nel paramento'!$G$53)*IF(M950&lt;0,-1,1)</f>
        <v>0</v>
      </c>
      <c r="T950" s="545">
        <f>'Foglio deposito bis'!$F$61*IF(ABS(N950)&lt;'Sollecitazioni nel paramento'!$G$58,ABS(N950)*'Sollecitazioni nel paramento'!$G$54,'Sollecitazioni nel paramento'!$G$53)*IF(N950&lt;0,-1,1)</f>
        <v>-68434.136555134479</v>
      </c>
      <c r="U950" s="545">
        <f>'Foglio deposito bis'!$F$62*IF(ABS(O950)&lt;'Sollecitazioni nel paramento'!$G$58,ABS(O950)*'Sollecitazioni nel paramento'!$G$54,'Sollecitazioni nel paramento'!$G$53)*IF(O950&lt;0,-1,1)</f>
        <v>314705.62929873407</v>
      </c>
      <c r="V950" s="472">
        <f t="shared" si="71"/>
        <v>-7113741.3525109543</v>
      </c>
      <c r="W950" s="551"/>
      <c r="X950" s="551"/>
    </row>
    <row r="951" spans="1:24" x14ac:dyDescent="0.25">
      <c r="A951" s="545">
        <f t="shared" si="70"/>
        <v>7343856.6649245145</v>
      </c>
      <c r="B951" s="3">
        <f t="shared" si="68"/>
        <v>33.899999999999942</v>
      </c>
      <c r="C951" s="545">
        <f>'Foglio deposito bis'!$E$156/sezione!$B$247*B951</f>
        <v>194.90736593275403</v>
      </c>
      <c r="D951" s="603">
        <f>-'Sollecitazioni nel paramento'!$G$47*'Sollecitazioni nel paramento'!$G$41*IF(DATI!$G$211="dx",DATI!$E$61,DATI!$E$64*DATI!$E$63)*1000*C951^2*sezione!$AD$5*(1-sezione!$AD$6)</f>
        <v>-845201247.84277916</v>
      </c>
      <c r="E951" s="545">
        <f>-'Foglio deposito bis'!$F$58*(C951-sezione!$AL$30)*IF(ABS(K951)&lt;'Sollecitazioni nel paramento'!$G$58,ABS(K951)*'Sollecitazioni nel paramento'!$G$54,'Sollecitazioni nel paramento'!$G$53)</f>
        <v>0</v>
      </c>
      <c r="F951" s="545">
        <f>-'Foglio deposito bis'!$F$59*(C951-sezione!$AM$30)*IF(ABS(L951)&lt;'Sollecitazioni nel paramento'!$G$58,ABS(L951)*'Sollecitazioni nel paramento'!$G$54,'Sollecitazioni nel paramento'!$G$53)</f>
        <v>-20730521.236768533</v>
      </c>
      <c r="G951" s="545">
        <f>-'Foglio deposito bis'!$F$60*(C951-sezione!$AN$30)*IF(ABS(M951)&lt;'Sollecitazioni nel paramento'!$G$58,ABS(M951)*'Sollecitazioni nel paramento'!$G$54,'Sollecitazioni nel paramento'!$G$53)</f>
        <v>0</v>
      </c>
      <c r="H951" s="545">
        <f>-'Foglio deposito bis'!$F$61*(C951-sezione!$AO$30)*IF(ABS(N951)&lt;'Sollecitazioni nel paramento'!$G$58,ABS(N951)*'Sollecitazioni nel paramento'!$G$54,'Sollecitazioni nel paramento'!$G$53)</f>
        <v>-2775537.5928074182</v>
      </c>
      <c r="I951" s="472">
        <f>-'Foglio deposito bis'!$F$62*(C951-sezione!$AP$30)*IF(ABS(O951)&lt;'Sollecitazioni nel paramento'!$G$58,ABS(O951)*'Sollecitazioni nel paramento'!$G$54,'Sollecitazioni nel paramento'!$G$53)</f>
        <v>59787521.436695009</v>
      </c>
      <c r="J951" s="472">
        <f t="shared" si="69"/>
        <v>-808919785.23566008</v>
      </c>
      <c r="K951" s="550">
        <f>'Sollecitazioni nel paramento'!$G$60*(sezione!$AL$30-C951)/C951</f>
        <v>-2.7817100609306778E-3</v>
      </c>
      <c r="L951" s="550">
        <f>'Sollecitazioni nel paramento'!$G$60*(sezione!$AM$30-C951)/C951</f>
        <v>-2.4225650913960164E-3</v>
      </c>
      <c r="M951" s="551">
        <f>'Sollecitazioni nel paramento'!$G$60*(sezione!$AN$30-C951)/C951</f>
        <v>-2.0634201218613555E-3</v>
      </c>
      <c r="N951" s="551">
        <f>'Sollecitazioni nel paramento'!$G$60*(sezione!$AO$30-C951)/C951</f>
        <v>-6.2684024372271078E-4</v>
      </c>
      <c r="O951" s="551">
        <f>'Sollecitazioni nel paramento'!$G$60*(sezione!$AP$30-C951)/C951</f>
        <v>3.4115035712551688E-3</v>
      </c>
      <c r="P951" s="545">
        <f>-'Sollecitazioni nel paramento'!$G$47*'Sollecitazioni nel paramento'!$G$41*IF(DATI!$G$211="dx",DATI!$E$61,DATI!$E$64*DATI!$E$63)*1000*C951*sezione!$AD$5</f>
        <v>-7425385.919940128</v>
      </c>
      <c r="Q951" s="545">
        <f>'Foglio deposito bis'!$F$58*IF(ABS(K951)&lt;'Sollecitazioni nel paramento'!$G$58,ABS(K951)*'Sollecitazioni nel paramento'!$G$54,'Sollecitazioni nel paramento'!$G$53)*IF(K951&lt;0,-1,1)</f>
        <v>0</v>
      </c>
      <c r="R951" s="545">
        <f>'Foglio deposito bis'!$F$59*IF(ABS(L951)&lt;'Sollecitazioni nel paramento'!$G$58,ABS(L951)*'Sollecitazioni nel paramento'!$G$54,'Sollecitazioni nel paramento'!$G$53)*IF(L951&lt;0,-1,1)</f>
        <v>-153664.85805602249</v>
      </c>
      <c r="S951" s="545">
        <f>'Foglio deposito bis'!$F$60*IF(ABS(M951)&lt;'Sollecitazioni nel paramento'!$G$58,ABS(M951)*'Sollecitazioni nel paramento'!$G$54,'Sollecitazioni nel paramento'!$G$53)*IF(M951&lt;0,-1,1)</f>
        <v>0</v>
      </c>
      <c r="T951" s="545">
        <f>'Foglio deposito bis'!$F$61*IF(ABS(N951)&lt;'Sollecitazioni nel paramento'!$G$58,ABS(N951)*'Sollecitazioni nel paramento'!$G$54,'Sollecitazioni nel paramento'!$G$53)*IF(N951&lt;0,-1,1)</f>
        <v>-79511.516227097934</v>
      </c>
      <c r="U951" s="545">
        <f>'Foglio deposito bis'!$F$62*IF(ABS(O951)&lt;'Sollecitazioni nel paramento'!$G$58,ABS(O951)*'Sollecitazioni nel paramento'!$G$54,'Sollecitazioni nel paramento'!$G$53)*IF(O951&lt;0,-1,1)</f>
        <v>314705.62929873407</v>
      </c>
      <c r="V951" s="472">
        <f t="shared" si="71"/>
        <v>-7343856.6649245145</v>
      </c>
      <c r="W951" s="551"/>
      <c r="X951" s="551"/>
    </row>
    <row r="952" spans="1:24" x14ac:dyDescent="0.25">
      <c r="A952" s="545">
        <f t="shared" si="70"/>
        <v>7573337.1704800837</v>
      </c>
      <c r="B952" s="3">
        <f t="shared" si="68"/>
        <v>34.899999999999942</v>
      </c>
      <c r="C952" s="545">
        <f>'Foglio deposito bis'!$E$156/sezione!$B$247*B952</f>
        <v>200.65684575377924</v>
      </c>
      <c r="D952" s="603">
        <f>-'Sollecitazioni nel paramento'!$G$47*'Sollecitazioni nel paramento'!$G$41*IF(DATI!$G$211="dx",DATI!$E$61,DATI!$E$64*DATI!$E$63)*1000*C952^2*sezione!$AD$5*(1-sezione!$AD$6)</f>
        <v>-895801091.08429575</v>
      </c>
      <c r="E952" s="545">
        <f>-'Foglio deposito bis'!$F$58*(C952-sezione!$AL$30)*IF(ABS(K952)&lt;'Sollecitazioni nel paramento'!$G$58,ABS(K952)*'Sollecitazioni nel paramento'!$G$54,'Sollecitazioni nel paramento'!$G$53)</f>
        <v>0</v>
      </c>
      <c r="F952" s="545">
        <f>-'Foglio deposito bis'!$F$59*(C952-sezione!$AM$30)*IF(ABS(L952)&lt;'Sollecitazioni nel paramento'!$G$58,ABS(L952)*'Sollecitazioni nel paramento'!$G$54,'Sollecitazioni nel paramento'!$G$53)</f>
        <v>-21614014.237362336</v>
      </c>
      <c r="G952" s="545">
        <f>-'Foglio deposito bis'!$F$60*(C952-sezione!$AN$30)*IF(ABS(M952)&lt;'Sollecitazioni nel paramento'!$G$58,ABS(M952)*'Sollecitazioni nel paramento'!$G$54,'Sollecitazioni nel paramento'!$G$53)</f>
        <v>0</v>
      </c>
      <c r="H952" s="545">
        <f>-'Foglio deposito bis'!$F$61*(C952-sezione!$AO$30)*IF(ABS(N952)&lt;'Sollecitazioni nel paramento'!$G$58,ABS(N952)*'Sollecitazioni nel paramento'!$G$54,'Sollecitazioni nel paramento'!$G$53)</f>
        <v>-3657249.5230644746</v>
      </c>
      <c r="I952" s="472">
        <f>-'Foglio deposito bis'!$F$62*(C952-sezione!$AP$30)*IF(ABS(O952)&lt;'Sollecitazioni nel paramento'!$G$58,ABS(O952)*'Sollecitazioni nel paramento'!$G$54,'Sollecitazioni nel paramento'!$G$53)</f>
        <v>57978127.771478906</v>
      </c>
      <c r="J952" s="472">
        <f t="shared" si="69"/>
        <v>-863094227.07324374</v>
      </c>
      <c r="K952" s="550">
        <f>'Sollecitazioni nel paramento'!$G$60*(sezione!$AL$30-C952)/C952</f>
        <v>-2.8022914345429794E-3</v>
      </c>
      <c r="L952" s="550">
        <f>'Sollecitazioni nel paramento'!$G$60*(sezione!$AM$30-C952)/C952</f>
        <v>-2.4534371518144687E-3</v>
      </c>
      <c r="M952" s="551">
        <f>'Sollecitazioni nel paramento'!$G$60*(sezione!$AN$30-C952)/C952</f>
        <v>-2.1045828690859584E-3</v>
      </c>
      <c r="N952" s="551">
        <f>'Sollecitazioni nel paramento'!$G$60*(sezione!$AO$30-C952)/C952</f>
        <v>-7.0916573817191692E-4</v>
      </c>
      <c r="O952" s="551">
        <f>'Sollecitazioni nel paramento'!$G$60*(sezione!$AP$30-C952)/C952</f>
        <v>3.2134662196432722E-3</v>
      </c>
      <c r="P952" s="545">
        <f>-'Sollecitazioni nel paramento'!$G$47*'Sollecitazioni nel paramento'!$G$41*IF(DATI!$G$211="dx",DATI!$E$61,DATI!$E$64*DATI!$E$63)*1000*C952*sezione!$AD$5</f>
        <v>-7644423.8526817262</v>
      </c>
      <c r="Q952" s="545">
        <f>'Foglio deposito bis'!$F$58*IF(ABS(K952)&lt;'Sollecitazioni nel paramento'!$G$58,ABS(K952)*'Sollecitazioni nel paramento'!$G$54,'Sollecitazioni nel paramento'!$G$53)*IF(K952&lt;0,-1,1)</f>
        <v>0</v>
      </c>
      <c r="R952" s="545">
        <f>'Foglio deposito bis'!$F$59*IF(ABS(L952)&lt;'Sollecitazioni nel paramento'!$G$58,ABS(L952)*'Sollecitazioni nel paramento'!$G$54,'Sollecitazioni nel paramento'!$G$53)*IF(L952&lt;0,-1,1)</f>
        <v>-153664.85805602249</v>
      </c>
      <c r="S952" s="545">
        <f>'Foglio deposito bis'!$F$60*IF(ABS(M952)&lt;'Sollecitazioni nel paramento'!$G$58,ABS(M952)*'Sollecitazioni nel paramento'!$G$54,'Sollecitazioni nel paramento'!$G$53)*IF(M952&lt;0,-1,1)</f>
        <v>0</v>
      </c>
      <c r="T952" s="545">
        <f>'Foglio deposito bis'!$F$61*IF(ABS(N952)&lt;'Sollecitazioni nel paramento'!$G$58,ABS(N952)*'Sollecitazioni nel paramento'!$G$54,'Sollecitazioni nel paramento'!$G$53)*IF(N952&lt;0,-1,1)</f>
        <v>-89954.089041069223</v>
      </c>
      <c r="U952" s="545">
        <f>'Foglio deposito bis'!$F$62*IF(ABS(O952)&lt;'Sollecitazioni nel paramento'!$G$58,ABS(O952)*'Sollecitazioni nel paramento'!$G$54,'Sollecitazioni nel paramento'!$G$53)*IF(O952&lt;0,-1,1)</f>
        <v>314705.62929873407</v>
      </c>
      <c r="V952" s="472">
        <f t="shared" si="71"/>
        <v>-7573337.1704800837</v>
      </c>
      <c r="W952" s="551"/>
      <c r="X952" s="551"/>
    </row>
    <row r="953" spans="1:24" x14ac:dyDescent="0.25">
      <c r="A953" s="545">
        <f t="shared" si="70"/>
        <v>7802235.9171045115</v>
      </c>
      <c r="B953" s="3">
        <f t="shared" si="68"/>
        <v>35.899999999999942</v>
      </c>
      <c r="C953" s="545">
        <f>'Foglio deposito bis'!$E$156/sezione!$B$247*B953</f>
        <v>206.40632557480444</v>
      </c>
      <c r="D953" s="603">
        <f>-'Sollecitazioni nel paramento'!$G$47*'Sollecitazioni nel paramento'!$G$41*IF(DATI!$G$211="dx",DATI!$E$61,DATI!$E$64*DATI!$E$63)*1000*C953^2*sezione!$AD$5*(1-sezione!$AD$6)</f>
        <v>-947871860.0014379</v>
      </c>
      <c r="E953" s="545">
        <f>-'Foglio deposito bis'!$F$58*(C953-sezione!$AL$30)*IF(ABS(K953)&lt;'Sollecitazioni nel paramento'!$G$58,ABS(K953)*'Sollecitazioni nel paramento'!$G$54,'Sollecitazioni nel paramento'!$G$53)</f>
        <v>0</v>
      </c>
      <c r="F953" s="545">
        <f>-'Foglio deposito bis'!$F$59*(C953-sezione!$AM$30)*IF(ABS(L953)&lt;'Sollecitazioni nel paramento'!$G$58,ABS(L953)*'Sollecitazioni nel paramento'!$G$54,'Sollecitazioni nel paramento'!$G$53)</f>
        <v>-22497507.23795614</v>
      </c>
      <c r="G953" s="545">
        <f>-'Foglio deposito bis'!$F$60*(C953-sezione!$AN$30)*IF(ABS(M953)&lt;'Sollecitazioni nel paramento'!$G$58,ABS(M953)*'Sollecitazioni nel paramento'!$G$54,'Sollecitazioni nel paramento'!$G$53)</f>
        <v>0</v>
      </c>
      <c r="H953" s="545">
        <f>-'Foglio deposito bis'!$F$61*(C953-sezione!$AO$30)*IF(ABS(N953)&lt;'Sollecitazioni nel paramento'!$G$58,ABS(N953)*'Sollecitazioni nel paramento'!$G$54,'Sollecitazioni nel paramento'!$G$53)</f>
        <v>-4632042.8823040063</v>
      </c>
      <c r="I953" s="472">
        <f>-'Foglio deposito bis'!$F$62*(C953-sezione!$AP$30)*IF(ABS(O953)&lt;'Sollecitazioni nel paramento'!$G$58,ABS(O953)*'Sollecitazioni nel paramento'!$G$54,'Sollecitazioni nel paramento'!$G$53)</f>
        <v>56168734.106262803</v>
      </c>
      <c r="J953" s="472">
        <f t="shared" si="69"/>
        <v>-918832676.01543522</v>
      </c>
      <c r="K953" s="550">
        <f>'Sollecitazioni nel paramento'!$G$60*(sezione!$AL$30-C953)/C953</f>
        <v>-2.8217262135250688E-3</v>
      </c>
      <c r="L953" s="550">
        <f>'Sollecitazioni nel paramento'!$G$60*(sezione!$AM$30-C953)/C953</f>
        <v>-2.4825893202876036E-3</v>
      </c>
      <c r="M953" s="551">
        <f>'Sollecitazioni nel paramento'!$G$60*(sezione!$AN$30-C953)/C953</f>
        <v>-2.143452427050138E-3</v>
      </c>
      <c r="N953" s="551">
        <f>'Sollecitazioni nel paramento'!$G$60*(sezione!$AO$30-C953)/C953</f>
        <v>-7.8690485410027602E-4</v>
      </c>
      <c r="O953" s="551">
        <f>'Sollecitazioni nel paramento'!$G$60*(sezione!$AP$30-C953)/C953</f>
        <v>3.0264615895696434E-3</v>
      </c>
      <c r="P953" s="545">
        <f>-'Sollecitazioni nel paramento'!$G$47*'Sollecitazioni nel paramento'!$G$41*IF(DATI!$G$211="dx",DATI!$E$61,DATI!$E$64*DATI!$E$63)*1000*C953*sezione!$AD$5</f>
        <v>-7863461.7854233235</v>
      </c>
      <c r="Q953" s="545">
        <f>'Foglio deposito bis'!$F$58*IF(ABS(K953)&lt;'Sollecitazioni nel paramento'!$G$58,ABS(K953)*'Sollecitazioni nel paramento'!$G$54,'Sollecitazioni nel paramento'!$G$53)*IF(K953&lt;0,-1,1)</f>
        <v>0</v>
      </c>
      <c r="R953" s="545">
        <f>'Foglio deposito bis'!$F$59*IF(ABS(L953)&lt;'Sollecitazioni nel paramento'!$G$58,ABS(L953)*'Sollecitazioni nel paramento'!$G$54,'Sollecitazioni nel paramento'!$G$53)*IF(L953&lt;0,-1,1)</f>
        <v>-153664.85805602249</v>
      </c>
      <c r="S953" s="545">
        <f>'Foglio deposito bis'!$F$60*IF(ABS(M953)&lt;'Sollecitazioni nel paramento'!$G$58,ABS(M953)*'Sollecitazioni nel paramento'!$G$54,'Sollecitazioni nel paramento'!$G$53)*IF(M953&lt;0,-1,1)</f>
        <v>0</v>
      </c>
      <c r="T953" s="545">
        <f>'Foglio deposito bis'!$F$61*IF(ABS(N953)&lt;'Sollecitazioni nel paramento'!$G$58,ABS(N953)*'Sollecitazioni nel paramento'!$G$54,'Sollecitazioni nel paramento'!$G$53)*IF(N953&lt;0,-1,1)</f>
        <v>-99814.902923900052</v>
      </c>
      <c r="U953" s="545">
        <f>'Foglio deposito bis'!$F$62*IF(ABS(O953)&lt;'Sollecitazioni nel paramento'!$G$58,ABS(O953)*'Sollecitazioni nel paramento'!$G$54,'Sollecitazioni nel paramento'!$G$53)*IF(O953&lt;0,-1,1)</f>
        <v>314705.62929873407</v>
      </c>
      <c r="V953" s="472">
        <f t="shared" si="71"/>
        <v>-7802235.9171045115</v>
      </c>
      <c r="W953" s="551"/>
      <c r="X953" s="551"/>
    </row>
    <row r="954" spans="1:24" x14ac:dyDescent="0.25">
      <c r="A954" s="545">
        <f t="shared" si="70"/>
        <v>8030600.202271875</v>
      </c>
      <c r="B954" s="3">
        <f t="shared" si="68"/>
        <v>36.899999999999942</v>
      </c>
      <c r="C954" s="545">
        <f>'Foglio deposito bis'!$E$156/sezione!$B$247*B954</f>
        <v>212.15580539582965</v>
      </c>
      <c r="D954" s="603">
        <f>-'Sollecitazioni nel paramento'!$G$47*'Sollecitazioni nel paramento'!$G$41*IF(DATI!$G$211="dx",DATI!$E$61,DATI!$E$64*DATI!$E$63)*1000*C954^2*sezione!$AD$5*(1-sezione!$AD$6)</f>
        <v>-1001413554.5942055</v>
      </c>
      <c r="E954" s="545">
        <f>-'Foglio deposito bis'!$F$58*(C954-sezione!$AL$30)*IF(ABS(K954)&lt;'Sollecitazioni nel paramento'!$G$58,ABS(K954)*'Sollecitazioni nel paramento'!$G$54,'Sollecitazioni nel paramento'!$G$53)</f>
        <v>0</v>
      </c>
      <c r="F954" s="545">
        <f>-'Foglio deposito bis'!$F$59*(C954-sezione!$AM$30)*IF(ABS(L954)&lt;'Sollecitazioni nel paramento'!$G$58,ABS(L954)*'Sollecitazioni nel paramento'!$G$54,'Sollecitazioni nel paramento'!$G$53)</f>
        <v>-23381000.238549944</v>
      </c>
      <c r="G954" s="545">
        <f>-'Foglio deposito bis'!$F$60*(C954-sezione!$AN$30)*IF(ABS(M954)&lt;'Sollecitazioni nel paramento'!$G$58,ABS(M954)*'Sollecitazioni nel paramento'!$G$54,'Sollecitazioni nel paramento'!$G$53)</f>
        <v>0</v>
      </c>
      <c r="H954" s="545">
        <f>-'Foglio deposito bis'!$F$61*(C954-sezione!$AO$30)*IF(ABS(N954)&lt;'Sollecitazioni nel paramento'!$G$58,ABS(N954)*'Sollecitazioni nel paramento'!$G$54,'Sollecitazioni nel paramento'!$G$53)</f>
        <v>-5692350.0746737765</v>
      </c>
      <c r="I954" s="472">
        <f>-'Foglio deposito bis'!$F$62*(C954-sezione!$AP$30)*IF(ABS(O954)&lt;'Sollecitazioni nel paramento'!$G$58,ABS(O954)*'Sollecitazioni nel paramento'!$G$54,'Sollecitazioni nel paramento'!$G$53)</f>
        <v>54359340.441046685</v>
      </c>
      <c r="J954" s="472">
        <f t="shared" si="69"/>
        <v>-976127564.4663825</v>
      </c>
      <c r="K954" s="550">
        <f>'Sollecitazioni nel paramento'!$G$60*(sezione!$AL$30-C954)/C954</f>
        <v>-2.8401076169525738E-3</v>
      </c>
      <c r="L954" s="550">
        <f>'Sollecitazioni nel paramento'!$G$60*(sezione!$AM$30-C954)/C954</f>
        <v>-2.5101614254288609E-3</v>
      </c>
      <c r="M954" s="551">
        <f>'Sollecitazioni nel paramento'!$G$60*(sezione!$AN$30-C954)/C954</f>
        <v>-2.180215233905148E-3</v>
      </c>
      <c r="N954" s="551">
        <f>'Sollecitazioni nel paramento'!$G$60*(sezione!$AO$30-C954)/C954</f>
        <v>-8.6043046781029574E-4</v>
      </c>
      <c r="O954" s="551">
        <f>'Sollecitazioni nel paramento'!$G$60*(sezione!$AP$30-C954)/C954</f>
        <v>2.8495927118035282E-3</v>
      </c>
      <c r="P954" s="545">
        <f>-'Sollecitazioni nel paramento'!$G$47*'Sollecitazioni nel paramento'!$G$41*IF(DATI!$G$211="dx",DATI!$E$61,DATI!$E$64*DATI!$E$63)*1000*C954*sezione!$AD$5</f>
        <v>-8082499.7181649199</v>
      </c>
      <c r="Q954" s="545">
        <f>'Foglio deposito bis'!$F$58*IF(ABS(K954)&lt;'Sollecitazioni nel paramento'!$G$58,ABS(K954)*'Sollecitazioni nel paramento'!$G$54,'Sollecitazioni nel paramento'!$G$53)*IF(K954&lt;0,-1,1)</f>
        <v>0</v>
      </c>
      <c r="R954" s="545">
        <f>'Foglio deposito bis'!$F$59*IF(ABS(L954)&lt;'Sollecitazioni nel paramento'!$G$58,ABS(L954)*'Sollecitazioni nel paramento'!$G$54,'Sollecitazioni nel paramento'!$G$53)*IF(L954&lt;0,-1,1)</f>
        <v>-153664.85805602249</v>
      </c>
      <c r="S954" s="545">
        <f>'Foglio deposito bis'!$F$60*IF(ABS(M954)&lt;'Sollecitazioni nel paramento'!$G$58,ABS(M954)*'Sollecitazioni nel paramento'!$G$54,'Sollecitazioni nel paramento'!$G$53)*IF(M954&lt;0,-1,1)</f>
        <v>0</v>
      </c>
      <c r="T954" s="545">
        <f>'Foglio deposito bis'!$F$61*IF(ABS(N954)&lt;'Sollecitazioni nel paramento'!$G$58,ABS(N954)*'Sollecitazioni nel paramento'!$G$54,'Sollecitazioni nel paramento'!$G$53)*IF(N954&lt;0,-1,1)</f>
        <v>-109141.25534966687</v>
      </c>
      <c r="U954" s="545">
        <f>'Foglio deposito bis'!$F$62*IF(ABS(O954)&lt;'Sollecitazioni nel paramento'!$G$58,ABS(O954)*'Sollecitazioni nel paramento'!$G$54,'Sollecitazioni nel paramento'!$G$53)*IF(O954&lt;0,-1,1)</f>
        <v>314705.62929873407</v>
      </c>
      <c r="V954" s="472">
        <f t="shared" si="71"/>
        <v>-8030600.202271875</v>
      </c>
      <c r="W954" s="551"/>
      <c r="X954" s="551"/>
    </row>
    <row r="955" spans="1:24" x14ac:dyDescent="0.25">
      <c r="A955" s="545">
        <f t="shared" si="70"/>
        <v>8258472.3316384079</v>
      </c>
      <c r="B955" s="3">
        <f t="shared" si="68"/>
        <v>37.899999999999942</v>
      </c>
      <c r="C955" s="545">
        <f>'Foglio deposito bis'!$E$156/sezione!$B$247*B955</f>
        <v>217.90528521685485</v>
      </c>
      <c r="D955" s="603">
        <f>-'Sollecitazioni nel paramento'!$G$47*'Sollecitazioni nel paramento'!$G$41*IF(DATI!$G$211="dx",DATI!$E$61,DATI!$E$64*DATI!$E$63)*1000*C955^2*sezione!$AD$5*(1-sezione!$AD$6)</f>
        <v>-1056426174.8625984</v>
      </c>
      <c r="E955" s="545">
        <f>-'Foglio deposito bis'!$F$58*(C955-sezione!$AL$30)*IF(ABS(K955)&lt;'Sollecitazioni nel paramento'!$G$58,ABS(K955)*'Sollecitazioni nel paramento'!$G$54,'Sollecitazioni nel paramento'!$G$53)</f>
        <v>0</v>
      </c>
      <c r="F955" s="545">
        <f>-'Foglio deposito bis'!$F$59*(C955-sezione!$AM$30)*IF(ABS(L955)&lt;'Sollecitazioni nel paramento'!$G$58,ABS(L955)*'Sollecitazioni nel paramento'!$G$54,'Sollecitazioni nel paramento'!$G$53)</f>
        <v>-24264493.239143748</v>
      </c>
      <c r="G955" s="545">
        <f>-'Foglio deposito bis'!$F$60*(C955-sezione!$AN$30)*IF(ABS(M955)&lt;'Sollecitazioni nel paramento'!$G$58,ABS(M955)*'Sollecitazioni nel paramento'!$G$54,'Sollecitazioni nel paramento'!$G$53)</f>
        <v>0</v>
      </c>
      <c r="H955" s="545">
        <f>-'Foglio deposito bis'!$F$61*(C955-sezione!$AO$30)*IF(ABS(N955)&lt;'Sollecitazioni nel paramento'!$G$58,ABS(N955)*'Sollecitazioni nel paramento'!$G$54,'Sollecitazioni nel paramento'!$G$53)</f>
        <v>-6831402.1951766713</v>
      </c>
      <c r="I955" s="472">
        <f>-'Foglio deposito bis'!$F$62*(C955-sezione!$AP$30)*IF(ABS(O955)&lt;'Sollecitazioni nel paramento'!$G$58,ABS(O955)*'Sollecitazioni nel paramento'!$G$54,'Sollecitazioni nel paramento'!$G$53)</f>
        <v>52549946.775830574</v>
      </c>
      <c r="J955" s="472">
        <f t="shared" si="69"/>
        <v>-1034972123.5210882</v>
      </c>
      <c r="K955" s="550">
        <f>'Sollecitazioni nel paramento'!$G$60*(sezione!$AL$30-C955)/C955</f>
        <v>-2.8575190254762528E-3</v>
      </c>
      <c r="L955" s="550">
        <f>'Sollecitazioni nel paramento'!$G$60*(sezione!$AM$30-C955)/C955</f>
        <v>-2.5362785382143792E-3</v>
      </c>
      <c r="M955" s="551">
        <f>'Sollecitazioni nel paramento'!$G$60*(sezione!$AN$30-C955)/C955</f>
        <v>-2.2150380509525056E-3</v>
      </c>
      <c r="N955" s="551">
        <f>'Sollecitazioni nel paramento'!$G$60*(sezione!$AO$30-C955)/C955</f>
        <v>-9.3007610190501096E-4</v>
      </c>
      <c r="O955" s="551">
        <f>'Sollecitazioni nel paramento'!$G$60*(sezione!$AP$30-C955)/C955</f>
        <v>2.6820572840514558E-3</v>
      </c>
      <c r="P955" s="545">
        <f>-'Sollecitazioni nel paramento'!$G$47*'Sollecitazioni nel paramento'!$G$41*IF(DATI!$G$211="dx",DATI!$E$61,DATI!$E$64*DATI!$E$63)*1000*C955*sezione!$AD$5</f>
        <v>-8301537.6509065172</v>
      </c>
      <c r="Q955" s="545">
        <f>'Foglio deposito bis'!$F$58*IF(ABS(K955)&lt;'Sollecitazioni nel paramento'!$G$58,ABS(K955)*'Sollecitazioni nel paramento'!$G$54,'Sollecitazioni nel paramento'!$G$53)*IF(K955&lt;0,-1,1)</f>
        <v>0</v>
      </c>
      <c r="R955" s="545">
        <f>'Foglio deposito bis'!$F$59*IF(ABS(L955)&lt;'Sollecitazioni nel paramento'!$G$58,ABS(L955)*'Sollecitazioni nel paramento'!$G$54,'Sollecitazioni nel paramento'!$G$53)*IF(L955&lt;0,-1,1)</f>
        <v>-153664.85805602249</v>
      </c>
      <c r="S955" s="545">
        <f>'Foglio deposito bis'!$F$60*IF(ABS(M955)&lt;'Sollecitazioni nel paramento'!$G$58,ABS(M955)*'Sollecitazioni nel paramento'!$G$54,'Sollecitazioni nel paramento'!$G$53)*IF(M955&lt;0,-1,1)</f>
        <v>0</v>
      </c>
      <c r="T955" s="545">
        <f>'Foglio deposito bis'!$F$61*IF(ABS(N955)&lt;'Sollecitazioni nel paramento'!$G$58,ABS(N955)*'Sollecitazioni nel paramento'!$G$54,'Sollecitazioni nel paramento'!$G$53)*IF(N955&lt;0,-1,1)</f>
        <v>-117975.45197460166</v>
      </c>
      <c r="U955" s="545">
        <f>'Foglio deposito bis'!$F$62*IF(ABS(O955)&lt;'Sollecitazioni nel paramento'!$G$58,ABS(O955)*'Sollecitazioni nel paramento'!$G$54,'Sollecitazioni nel paramento'!$G$53)*IF(O955&lt;0,-1,1)</f>
        <v>314705.62929873407</v>
      </c>
      <c r="V955" s="472">
        <f t="shared" si="71"/>
        <v>-8258472.3316384079</v>
      </c>
      <c r="W955" s="551"/>
      <c r="X955" s="551"/>
    </row>
    <row r="956" spans="1:24" x14ac:dyDescent="0.25">
      <c r="A956" s="545">
        <f t="shared" si="70"/>
        <v>8485890.2606643271</v>
      </c>
      <c r="B956" s="3">
        <f t="shared" si="68"/>
        <v>38.899999999999942</v>
      </c>
      <c r="C956" s="545">
        <f>'Foglio deposito bis'!$E$156/sezione!$B$247*B956</f>
        <v>223.65476503788005</v>
      </c>
      <c r="D956" s="603">
        <f>-'Sollecitazioni nel paramento'!$G$47*'Sollecitazioni nel paramento'!$G$41*IF(DATI!$G$211="dx",DATI!$E$61,DATI!$E$64*DATI!$E$63)*1000*C956^2*sezione!$AD$5*(1-sezione!$AD$6)</f>
        <v>-1112909720.806617</v>
      </c>
      <c r="E956" s="545">
        <f>-'Foglio deposito bis'!$F$58*(C956-sezione!$AL$30)*IF(ABS(K956)&lt;'Sollecitazioni nel paramento'!$G$58,ABS(K956)*'Sollecitazioni nel paramento'!$G$54,'Sollecitazioni nel paramento'!$G$53)</f>
        <v>0</v>
      </c>
      <c r="F956" s="545">
        <f>-'Foglio deposito bis'!$F$59*(C956-sezione!$AM$30)*IF(ABS(L956)&lt;'Sollecitazioni nel paramento'!$G$58,ABS(L956)*'Sollecitazioni nel paramento'!$G$54,'Sollecitazioni nel paramento'!$G$53)</f>
        <v>-25147986.239737552</v>
      </c>
      <c r="G956" s="545">
        <f>-'Foglio deposito bis'!$F$60*(C956-sezione!$AN$30)*IF(ABS(M956)&lt;'Sollecitazioni nel paramento'!$G$58,ABS(M956)*'Sollecitazioni nel paramento'!$G$54,'Sollecitazioni nel paramento'!$G$53)</f>
        <v>0</v>
      </c>
      <c r="H956" s="545">
        <f>-'Foglio deposito bis'!$F$61*(C956-sezione!$AO$30)*IF(ABS(N956)&lt;'Sollecitazioni nel paramento'!$G$58,ABS(N956)*'Sollecitazioni nel paramento'!$G$54,'Sollecitazioni nel paramento'!$G$53)</f>
        <v>-8043126.370177744</v>
      </c>
      <c r="I956" s="472">
        <f>-'Foglio deposito bis'!$F$62*(C956-sezione!$AP$30)*IF(ABS(O956)&lt;'Sollecitazioni nel paramento'!$G$58,ABS(O956)*'Sollecitazioni nel paramento'!$G$54,'Sollecitazioni nel paramento'!$G$53)</f>
        <v>50740553.110614471</v>
      </c>
      <c r="J956" s="472">
        <f t="shared" si="69"/>
        <v>-1095360280.3059177</v>
      </c>
      <c r="K956" s="550">
        <f>'Sollecitazioni nel paramento'!$G$60*(sezione!$AL$30-C956)/C956</f>
        <v>-2.8740352459010274E-3</v>
      </c>
      <c r="L956" s="550">
        <f>'Sollecitazioni nel paramento'!$G$60*(sezione!$AM$30-C956)/C956</f>
        <v>-2.5610528688515418E-3</v>
      </c>
      <c r="M956" s="551">
        <f>'Sollecitazioni nel paramento'!$G$60*(sezione!$AN$30-C956)/C956</f>
        <v>-2.2480704918020553E-3</v>
      </c>
      <c r="N956" s="551">
        <f>'Sollecitazioni nel paramento'!$G$60*(sezione!$AO$30-C956)/C956</f>
        <v>-9.961409836041111E-4</v>
      </c>
      <c r="O956" s="551">
        <f>'Sollecitazioni nel paramento'!$G$60*(sezione!$AP$30-C956)/C956</f>
        <v>2.523135502970441E-3</v>
      </c>
      <c r="P956" s="545">
        <f>-'Sollecitazioni nel paramento'!$G$47*'Sollecitazioni nel paramento'!$G$41*IF(DATI!$G$211="dx",DATI!$E$61,DATI!$E$64*DATI!$E$63)*1000*C956*sezione!$AD$5</f>
        <v>-8520575.5836481154</v>
      </c>
      <c r="Q956" s="545">
        <f>'Foglio deposito bis'!$F$58*IF(ABS(K956)&lt;'Sollecitazioni nel paramento'!$G$58,ABS(K956)*'Sollecitazioni nel paramento'!$G$54,'Sollecitazioni nel paramento'!$G$53)*IF(K956&lt;0,-1,1)</f>
        <v>0</v>
      </c>
      <c r="R956" s="545">
        <f>'Foglio deposito bis'!$F$59*IF(ABS(L956)&lt;'Sollecitazioni nel paramento'!$G$58,ABS(L956)*'Sollecitazioni nel paramento'!$G$54,'Sollecitazioni nel paramento'!$G$53)*IF(L956&lt;0,-1,1)</f>
        <v>-153664.85805602249</v>
      </c>
      <c r="S956" s="545">
        <f>'Foglio deposito bis'!$F$60*IF(ABS(M956)&lt;'Sollecitazioni nel paramento'!$G$58,ABS(M956)*'Sollecitazioni nel paramento'!$G$54,'Sollecitazioni nel paramento'!$G$53)*IF(M956&lt;0,-1,1)</f>
        <v>0</v>
      </c>
      <c r="T956" s="545">
        <f>'Foglio deposito bis'!$F$61*IF(ABS(N956)&lt;'Sollecitazioni nel paramento'!$G$58,ABS(N956)*'Sollecitazioni nel paramento'!$G$54,'Sollecitazioni nel paramento'!$G$53)*IF(N956&lt;0,-1,1)</f>
        <v>-126355.44825892286</v>
      </c>
      <c r="U956" s="545">
        <f>'Foglio deposito bis'!$F$62*IF(ABS(O956)&lt;'Sollecitazioni nel paramento'!$G$58,ABS(O956)*'Sollecitazioni nel paramento'!$G$54,'Sollecitazioni nel paramento'!$G$53)*IF(O956&lt;0,-1,1)</f>
        <v>314705.62929873407</v>
      </c>
      <c r="V956" s="472">
        <f t="shared" si="71"/>
        <v>-8485890.2606643271</v>
      </c>
      <c r="W956" s="551"/>
      <c r="X956" s="551"/>
    </row>
    <row r="957" spans="1:24" x14ac:dyDescent="0.25">
      <c r="A957" s="545">
        <f t="shared" si="70"/>
        <v>8712888.1397511791</v>
      </c>
      <c r="B957" s="3">
        <f t="shared" si="68"/>
        <v>39.899999999999942</v>
      </c>
      <c r="C957" s="545">
        <f>'Foglio deposito bis'!$E$156/sezione!$B$247*B957</f>
        <v>229.40424485890526</v>
      </c>
      <c r="D957" s="603">
        <f>-'Sollecitazioni nel paramento'!$G$47*'Sollecitazioni nel paramento'!$G$41*IF(DATI!$G$211="dx",DATI!$E$61,DATI!$E$64*DATI!$E$63)*1000*C957^2*sezione!$AD$5*(1-sezione!$AD$6)</f>
        <v>-1170864192.4262612</v>
      </c>
      <c r="E957" s="545">
        <f>-'Foglio deposito bis'!$F$58*(C957-sezione!$AL$30)*IF(ABS(K957)&lt;'Sollecitazioni nel paramento'!$G$58,ABS(K957)*'Sollecitazioni nel paramento'!$G$54,'Sollecitazioni nel paramento'!$G$53)</f>
        <v>0</v>
      </c>
      <c r="F957" s="545">
        <f>-'Foglio deposito bis'!$F$59*(C957-sezione!$AM$30)*IF(ABS(L957)&lt;'Sollecitazioni nel paramento'!$G$58,ABS(L957)*'Sollecitazioni nel paramento'!$G$54,'Sollecitazioni nel paramento'!$G$53)</f>
        <v>-26031479.240331355</v>
      </c>
      <c r="G957" s="545">
        <f>-'Foglio deposito bis'!$F$60*(C957-sezione!$AN$30)*IF(ABS(M957)&lt;'Sollecitazioni nel paramento'!$G$58,ABS(M957)*'Sollecitazioni nel paramento'!$G$54,'Sollecitazioni nel paramento'!$G$53)</f>
        <v>0</v>
      </c>
      <c r="H957" s="545">
        <f>-'Foglio deposito bis'!$F$61*(C957-sezione!$AO$30)*IF(ABS(N957)&lt;'Sollecitazioni nel paramento'!$G$58,ABS(N957)*'Sollecitazioni nel paramento'!$G$54,'Sollecitazioni nel paramento'!$G$53)</f>
        <v>-9322058.5354290139</v>
      </c>
      <c r="I957" s="472">
        <f>-'Foglio deposito bis'!$F$62*(C957-sezione!$AP$30)*IF(ABS(O957)&lt;'Sollecitazioni nel paramento'!$G$58,ABS(O957)*'Sollecitazioni nel paramento'!$G$54,'Sollecitazioni nel paramento'!$G$53)</f>
        <v>48931159.445398353</v>
      </c>
      <c r="J957" s="472">
        <f t="shared" si="69"/>
        <v>-1157286570.7566233</v>
      </c>
      <c r="K957" s="550">
        <f>'Sollecitazioni nel paramento'!$G$60*(sezione!$AL$30-C957)/C957</f>
        <v>-2.8897235856027562E-3</v>
      </c>
      <c r="L957" s="550">
        <f>'Sollecitazioni nel paramento'!$G$60*(sezione!$AM$30-C957)/C957</f>
        <v>-2.5845853784041348E-3</v>
      </c>
      <c r="M957" s="551">
        <f>'Sollecitazioni nel paramento'!$G$60*(sezione!$AN$30-C957)/C957</f>
        <v>-2.2794471712055133E-3</v>
      </c>
      <c r="N957" s="551">
        <f>'Sollecitazioni nel paramento'!$G$60*(sezione!$AO$30-C957)/C957</f>
        <v>-1.0588943424110256E-3</v>
      </c>
      <c r="O957" s="551">
        <f>'Sollecitazioni nel paramento'!$G$60*(sezione!$AP$30-C957)/C957</f>
        <v>2.3721797259536378E-3</v>
      </c>
      <c r="P957" s="545">
        <f>-'Sollecitazioni nel paramento'!$G$47*'Sollecitazioni nel paramento'!$G$41*IF(DATI!$G$211="dx",DATI!$E$61,DATI!$E$64*DATI!$E$63)*1000*C957*sezione!$AD$5</f>
        <v>-8739613.5163897108</v>
      </c>
      <c r="Q957" s="545">
        <f>'Foglio deposito bis'!$F$58*IF(ABS(K957)&lt;'Sollecitazioni nel paramento'!$G$58,ABS(K957)*'Sollecitazioni nel paramento'!$G$54,'Sollecitazioni nel paramento'!$G$53)*IF(K957&lt;0,-1,1)</f>
        <v>0</v>
      </c>
      <c r="R957" s="545">
        <f>'Foglio deposito bis'!$F$59*IF(ABS(L957)&lt;'Sollecitazioni nel paramento'!$G$58,ABS(L957)*'Sollecitazioni nel paramento'!$G$54,'Sollecitazioni nel paramento'!$G$53)*IF(L957&lt;0,-1,1)</f>
        <v>-153664.85805602249</v>
      </c>
      <c r="S957" s="545">
        <f>'Foglio deposito bis'!$F$60*IF(ABS(M957)&lt;'Sollecitazioni nel paramento'!$G$58,ABS(M957)*'Sollecitazioni nel paramento'!$G$54,'Sollecitazioni nel paramento'!$G$53)*IF(M957&lt;0,-1,1)</f>
        <v>0</v>
      </c>
      <c r="T957" s="545">
        <f>'Foglio deposito bis'!$F$61*IF(ABS(N957)&lt;'Sollecitazioni nel paramento'!$G$58,ABS(N957)*'Sollecitazioni nel paramento'!$G$54,'Sollecitazioni nel paramento'!$G$53)*IF(N957&lt;0,-1,1)</f>
        <v>-134315.39460418033</v>
      </c>
      <c r="U957" s="545">
        <f>'Foglio deposito bis'!$F$62*IF(ABS(O957)&lt;'Sollecitazioni nel paramento'!$G$58,ABS(O957)*'Sollecitazioni nel paramento'!$G$54,'Sollecitazioni nel paramento'!$G$53)*IF(O957&lt;0,-1,1)</f>
        <v>314705.62929873407</v>
      </c>
      <c r="V957" s="472">
        <f t="shared" si="71"/>
        <v>-8712888.1397511791</v>
      </c>
      <c r="W957" s="551"/>
      <c r="X957" s="551"/>
    </row>
    <row r="958" spans="1:24" x14ac:dyDescent="0.25">
      <c r="A958" s="545">
        <f t="shared" si="70"/>
        <v>8939496.7794079483</v>
      </c>
      <c r="B958" s="3">
        <f t="shared" si="68"/>
        <v>40.899999999999942</v>
      </c>
      <c r="C958" s="545">
        <f>'Foglio deposito bis'!$E$156/sezione!$B$247*B958</f>
        <v>235.15372467993043</v>
      </c>
      <c r="D958" s="603">
        <f>-'Sollecitazioni nel paramento'!$G$47*'Sollecitazioni nel paramento'!$G$41*IF(DATI!$G$211="dx",DATI!$E$61,DATI!$E$64*DATI!$E$63)*1000*C958^2*sezione!$AD$5*(1-sezione!$AD$6)</f>
        <v>-1230289589.7215304</v>
      </c>
      <c r="E958" s="545">
        <f>-'Foglio deposito bis'!$F$58*(C958-sezione!$AL$30)*IF(ABS(K958)&lt;'Sollecitazioni nel paramento'!$G$58,ABS(K958)*'Sollecitazioni nel paramento'!$G$54,'Sollecitazioni nel paramento'!$G$53)</f>
        <v>0</v>
      </c>
      <c r="F958" s="545">
        <f>-'Foglio deposito bis'!$F$59*(C958-sezione!$AM$30)*IF(ABS(L958)&lt;'Sollecitazioni nel paramento'!$G$58,ABS(L958)*'Sollecitazioni nel paramento'!$G$54,'Sollecitazioni nel paramento'!$G$53)</f>
        <v>-26914972.240925156</v>
      </c>
      <c r="G958" s="545">
        <f>-'Foglio deposito bis'!$F$60*(C958-sezione!$AN$30)*IF(ABS(M958)&lt;'Sollecitazioni nel paramento'!$G$58,ABS(M958)*'Sollecitazioni nel paramento'!$G$54,'Sollecitazioni nel paramento'!$G$53)</f>
        <v>0</v>
      </c>
      <c r="H958" s="545">
        <f>-'Foglio deposito bis'!$F$61*(C958-sezione!$AO$30)*IF(ABS(N958)&lt;'Sollecitazioni nel paramento'!$G$58,ABS(N958)*'Sollecitazioni nel paramento'!$G$54,'Sollecitazioni nel paramento'!$G$53)</f>
        <v>-10663269.009494025</v>
      </c>
      <c r="I958" s="472">
        <f>-'Foglio deposito bis'!$F$62*(C958-sezione!$AP$30)*IF(ABS(O958)&lt;'Sollecitazioni nel paramento'!$G$58,ABS(O958)*'Sollecitazioni nel paramento'!$G$54,'Sollecitazioni nel paramento'!$G$53)</f>
        <v>47121765.780182257</v>
      </c>
      <c r="J958" s="472">
        <f t="shared" si="69"/>
        <v>-1220746065.1917672</v>
      </c>
      <c r="K958" s="550">
        <f>'Sollecitazioni nel paramento'!$G$60*(sezione!$AL$30-C958)/C958</f>
        <v>-2.9046447693288507E-3</v>
      </c>
      <c r="L958" s="550">
        <f>'Sollecitazioni nel paramento'!$G$60*(sezione!$AM$30-C958)/C958</f>
        <v>-2.6069671539932756E-3</v>
      </c>
      <c r="M958" s="551">
        <f>'Sollecitazioni nel paramento'!$G$60*(sezione!$AN$30-C958)/C958</f>
        <v>-2.3092895386577009E-3</v>
      </c>
      <c r="N958" s="551">
        <f>'Sollecitazioni nel paramento'!$G$60*(sezione!$AO$30-C958)/C958</f>
        <v>-1.1185790773154014E-3</v>
      </c>
      <c r="O958" s="551">
        <f>'Sollecitazioni nel paramento'!$G$60*(sezione!$AP$30-C958)/C958</f>
        <v>2.228605649524454E-3</v>
      </c>
      <c r="P958" s="545">
        <f>-'Sollecitazioni nel paramento'!$G$47*'Sollecitazioni nel paramento'!$G$41*IF(DATI!$G$211="dx",DATI!$E$61,DATI!$E$64*DATI!$E$63)*1000*C958*sezione!$AD$5</f>
        <v>-8958651.4491313081</v>
      </c>
      <c r="Q958" s="545">
        <f>'Foglio deposito bis'!$F$58*IF(ABS(K958)&lt;'Sollecitazioni nel paramento'!$G$58,ABS(K958)*'Sollecitazioni nel paramento'!$G$54,'Sollecitazioni nel paramento'!$G$53)*IF(K958&lt;0,-1,1)</f>
        <v>0</v>
      </c>
      <c r="R958" s="545">
        <f>'Foglio deposito bis'!$F$59*IF(ABS(L958)&lt;'Sollecitazioni nel paramento'!$G$58,ABS(L958)*'Sollecitazioni nel paramento'!$G$54,'Sollecitazioni nel paramento'!$G$53)*IF(L958&lt;0,-1,1)</f>
        <v>-153664.85805602249</v>
      </c>
      <c r="S958" s="545">
        <f>'Foglio deposito bis'!$F$60*IF(ABS(M958)&lt;'Sollecitazioni nel paramento'!$G$58,ABS(M958)*'Sollecitazioni nel paramento'!$G$54,'Sollecitazioni nel paramento'!$G$53)*IF(M958&lt;0,-1,1)</f>
        <v>0</v>
      </c>
      <c r="T958" s="545">
        <f>'Foglio deposito bis'!$F$61*IF(ABS(N958)&lt;'Sollecitazioni nel paramento'!$G$58,ABS(N958)*'Sollecitazioni nel paramento'!$G$54,'Sollecitazioni nel paramento'!$G$53)*IF(N958&lt;0,-1,1)</f>
        <v>-141886.1015193518</v>
      </c>
      <c r="U958" s="545">
        <f>'Foglio deposito bis'!$F$62*IF(ABS(O958)&lt;'Sollecitazioni nel paramento'!$G$58,ABS(O958)*'Sollecitazioni nel paramento'!$G$54,'Sollecitazioni nel paramento'!$G$53)*IF(O958&lt;0,-1,1)</f>
        <v>314705.62929873407</v>
      </c>
      <c r="V958" s="472">
        <f t="shared" si="71"/>
        <v>-8939496.7794079483</v>
      </c>
      <c r="W958" s="551"/>
      <c r="X958" s="551"/>
    </row>
    <row r="959" spans="1:24" x14ac:dyDescent="0.25">
      <c r="A959" s="545">
        <f t="shared" si="70"/>
        <v>9165744.0488062371</v>
      </c>
      <c r="B959" s="3">
        <f t="shared" si="68"/>
        <v>41.899999999999942</v>
      </c>
      <c r="C959" s="545">
        <f>'Foglio deposito bis'!$E$156/sezione!$B$247*B959</f>
        <v>240.90320450095564</v>
      </c>
      <c r="D959" s="603">
        <f>-'Sollecitazioni nel paramento'!$G$47*'Sollecitazioni nel paramento'!$G$41*IF(DATI!$G$211="dx",DATI!$E$61,DATI!$E$64*DATI!$E$63)*1000*C959^2*sezione!$AD$5*(1-sezione!$AD$6)</f>
        <v>-1291185912.6924257</v>
      </c>
      <c r="E959" s="545">
        <f>-'Foglio deposito bis'!$F$58*(C959-sezione!$AL$30)*IF(ABS(K959)&lt;'Sollecitazioni nel paramento'!$G$58,ABS(K959)*'Sollecitazioni nel paramento'!$G$54,'Sollecitazioni nel paramento'!$G$53)</f>
        <v>0</v>
      </c>
      <c r="F959" s="545">
        <f>-'Foglio deposito bis'!$F$59*(C959-sezione!$AM$30)*IF(ABS(L959)&lt;'Sollecitazioni nel paramento'!$G$58,ABS(L959)*'Sollecitazioni nel paramento'!$G$54,'Sollecitazioni nel paramento'!$G$53)</f>
        <v>-27798465.241518956</v>
      </c>
      <c r="G959" s="545">
        <f>-'Foglio deposito bis'!$F$60*(C959-sezione!$AN$30)*IF(ABS(M959)&lt;'Sollecitazioni nel paramento'!$G$58,ABS(M959)*'Sollecitazioni nel paramento'!$G$54,'Sollecitazioni nel paramento'!$G$53)</f>
        <v>0</v>
      </c>
      <c r="H959" s="545">
        <f>-'Foglio deposito bis'!$F$61*(C959-sezione!$AO$30)*IF(ABS(N959)&lt;'Sollecitazioni nel paramento'!$G$58,ABS(N959)*'Sollecitazioni nel paramento'!$G$54,'Sollecitazioni nel paramento'!$G$53)</f>
        <v>-12062298.724915963</v>
      </c>
      <c r="I959" s="472">
        <f>-'Foglio deposito bis'!$F$62*(C959-sezione!$AP$30)*IF(ABS(O959)&lt;'Sollecitazioni nel paramento'!$G$58,ABS(O959)*'Sollecitazioni nel paramento'!$G$54,'Sollecitazioni nel paramento'!$G$53)</f>
        <v>45312372.114966147</v>
      </c>
      <c r="J959" s="472">
        <f t="shared" si="69"/>
        <v>-1285734304.5438945</v>
      </c>
      <c r="K959" s="550">
        <f>'Sollecitazioni nel paramento'!$G$60*(sezione!$AL$30-C959)/C959</f>
        <v>-2.9188537247147968E-3</v>
      </c>
      <c r="L959" s="550">
        <f>'Sollecitazioni nel paramento'!$G$60*(sezione!$AM$30-C959)/C959</f>
        <v>-2.6282805870721949E-3</v>
      </c>
      <c r="M959" s="551">
        <f>'Sollecitazioni nel paramento'!$G$60*(sezione!$AN$30-C959)/C959</f>
        <v>-2.3377074494295934E-3</v>
      </c>
      <c r="N959" s="551">
        <f>'Sollecitazioni nel paramento'!$G$60*(sezione!$AO$30-C959)/C959</f>
        <v>-1.1754148988591868E-3</v>
      </c>
      <c r="O959" s="551">
        <f>'Sollecitazioni nel paramento'!$G$60*(sezione!$AP$30-C959)/C959</f>
        <v>2.0918847509677845E-3</v>
      </c>
      <c r="P959" s="545">
        <f>-'Sollecitazioni nel paramento'!$G$47*'Sollecitazioni nel paramento'!$G$41*IF(DATI!$G$211="dx",DATI!$E$61,DATI!$E$64*DATI!$E$63)*1000*C959*sezione!$AD$5</f>
        <v>-9177689.3818729054</v>
      </c>
      <c r="Q959" s="545">
        <f>'Foglio deposito bis'!$F$58*IF(ABS(K959)&lt;'Sollecitazioni nel paramento'!$G$58,ABS(K959)*'Sollecitazioni nel paramento'!$G$54,'Sollecitazioni nel paramento'!$G$53)*IF(K959&lt;0,-1,1)</f>
        <v>0</v>
      </c>
      <c r="R959" s="545">
        <f>'Foglio deposito bis'!$F$59*IF(ABS(L959)&lt;'Sollecitazioni nel paramento'!$G$58,ABS(L959)*'Sollecitazioni nel paramento'!$G$54,'Sollecitazioni nel paramento'!$G$53)*IF(L959&lt;0,-1,1)</f>
        <v>-153664.85805602249</v>
      </c>
      <c r="S959" s="545">
        <f>'Foglio deposito bis'!$F$60*IF(ABS(M959)&lt;'Sollecitazioni nel paramento'!$G$58,ABS(M959)*'Sollecitazioni nel paramento'!$G$54,'Sollecitazioni nel paramento'!$G$53)*IF(M959&lt;0,-1,1)</f>
        <v>0</v>
      </c>
      <c r="T959" s="545">
        <f>'Foglio deposito bis'!$F$61*IF(ABS(N959)&lt;'Sollecitazioni nel paramento'!$G$58,ABS(N959)*'Sollecitazioni nel paramento'!$G$54,'Sollecitazioni nel paramento'!$G$53)*IF(N959&lt;0,-1,1)</f>
        <v>-149095.4381760426</v>
      </c>
      <c r="U959" s="545">
        <f>'Foglio deposito bis'!$F$62*IF(ABS(O959)&lt;'Sollecitazioni nel paramento'!$G$58,ABS(O959)*'Sollecitazioni nel paramento'!$G$54,'Sollecitazioni nel paramento'!$G$53)*IF(O959&lt;0,-1,1)</f>
        <v>314705.62929873407</v>
      </c>
      <c r="V959" s="472">
        <f t="shared" si="71"/>
        <v>-9165744.0488062371</v>
      </c>
      <c r="W959" s="551"/>
      <c r="X959" s="551"/>
    </row>
    <row r="960" spans="1:24" x14ac:dyDescent="0.25">
      <c r="A960" s="545">
        <f t="shared" si="70"/>
        <v>9391655.2185934894</v>
      </c>
      <c r="B960" s="3">
        <f t="shared" si="68"/>
        <v>42.899999999999942</v>
      </c>
      <c r="C960" s="545">
        <f>'Foglio deposito bis'!$E$156/sezione!$B$247*B960</f>
        <v>246.65268432198084</v>
      </c>
      <c r="D960" s="603">
        <f>-'Sollecitazioni nel paramento'!$G$47*'Sollecitazioni nel paramento'!$G$41*IF(DATI!$G$211="dx",DATI!$E$61,DATI!$E$64*DATI!$E$63)*1000*C960^2*sezione!$AD$5*(1-sezione!$AD$6)</f>
        <v>-1353553161.3389459</v>
      </c>
      <c r="E960" s="545">
        <f>-'Foglio deposito bis'!$F$58*(C960-sezione!$AL$30)*IF(ABS(K960)&lt;'Sollecitazioni nel paramento'!$G$58,ABS(K960)*'Sollecitazioni nel paramento'!$G$54,'Sollecitazioni nel paramento'!$G$53)</f>
        <v>0</v>
      </c>
      <c r="F960" s="545">
        <f>-'Foglio deposito bis'!$F$59*(C960-sezione!$AM$30)*IF(ABS(L960)&lt;'Sollecitazioni nel paramento'!$G$58,ABS(L960)*'Sollecitazioni nel paramento'!$G$54,'Sollecitazioni nel paramento'!$G$53)</f>
        <v>-28681958.24211276</v>
      </c>
      <c r="G960" s="545">
        <f>-'Foglio deposito bis'!$F$60*(C960-sezione!$AN$30)*IF(ABS(M960)&lt;'Sollecitazioni nel paramento'!$G$58,ABS(M960)*'Sollecitazioni nel paramento'!$G$54,'Sollecitazioni nel paramento'!$G$53)</f>
        <v>0</v>
      </c>
      <c r="H960" s="545">
        <f>-'Foglio deposito bis'!$F$61*(C960-sezione!$AO$30)*IF(ABS(N960)&lt;'Sollecitazioni nel paramento'!$G$58,ABS(N960)*'Sollecitazioni nel paramento'!$G$54,'Sollecitazioni nel paramento'!$G$53)</f>
        <v>-13515104.378103426</v>
      </c>
      <c r="I960" s="472">
        <f>-'Foglio deposito bis'!$F$62*(C960-sezione!$AP$30)*IF(ABS(O960)&lt;'Sollecitazioni nel paramento'!$G$58,ABS(O960)*'Sollecitazioni nel paramento'!$G$54,'Sollecitazioni nel paramento'!$G$53)</f>
        <v>43502978.449750036</v>
      </c>
      <c r="J960" s="472">
        <f t="shared" si="69"/>
        <v>-1352247245.5094123</v>
      </c>
      <c r="K960" s="550">
        <f>'Sollecitazioni nel paramento'!$G$60*(sezione!$AL$30-C960)/C960</f>
        <v>-2.932400257938228E-3</v>
      </c>
      <c r="L960" s="550">
        <f>'Sollecitazioni nel paramento'!$G$60*(sezione!$AM$30-C960)/C960</f>
        <v>-2.6486003869073418E-3</v>
      </c>
      <c r="M960" s="551">
        <f>'Sollecitazioni nel paramento'!$G$60*(sezione!$AN$30-C960)/C960</f>
        <v>-2.3648005158764559E-3</v>
      </c>
      <c r="N960" s="551">
        <f>'Sollecitazioni nel paramento'!$G$60*(sezione!$AO$30-C960)/C960</f>
        <v>-1.229601031752912E-3</v>
      </c>
      <c r="O960" s="551">
        <f>'Sollecitazioni nel paramento'!$G$60*(sezione!$AP$30-C960)/C960</f>
        <v>1.9615377870757611E-3</v>
      </c>
      <c r="P960" s="545">
        <f>-'Sollecitazioni nel paramento'!$G$47*'Sollecitazioni nel paramento'!$G$41*IF(DATI!$G$211="dx",DATI!$E$61,DATI!$E$64*DATI!$E$63)*1000*C960*sezione!$AD$5</f>
        <v>-9396727.3146145027</v>
      </c>
      <c r="Q960" s="545">
        <f>'Foglio deposito bis'!$F$58*IF(ABS(K960)&lt;'Sollecitazioni nel paramento'!$G$58,ABS(K960)*'Sollecitazioni nel paramento'!$G$54,'Sollecitazioni nel paramento'!$G$53)*IF(K960&lt;0,-1,1)</f>
        <v>0</v>
      </c>
      <c r="R960" s="545">
        <f>'Foglio deposito bis'!$F$59*IF(ABS(L960)&lt;'Sollecitazioni nel paramento'!$G$58,ABS(L960)*'Sollecitazioni nel paramento'!$G$54,'Sollecitazioni nel paramento'!$G$53)*IF(L960&lt;0,-1,1)</f>
        <v>-153664.85805602249</v>
      </c>
      <c r="S960" s="545">
        <f>'Foglio deposito bis'!$F$60*IF(ABS(M960)&lt;'Sollecitazioni nel paramento'!$G$58,ABS(M960)*'Sollecitazioni nel paramento'!$G$54,'Sollecitazioni nel paramento'!$G$53)*IF(M960&lt;0,-1,1)</f>
        <v>0</v>
      </c>
      <c r="T960" s="545">
        <f>'Foglio deposito bis'!$F$61*IF(ABS(N960)&lt;'Sollecitazioni nel paramento'!$G$58,ABS(N960)*'Sollecitazioni nel paramento'!$G$54,'Sollecitazioni nel paramento'!$G$53)*IF(N960&lt;0,-1,1)</f>
        <v>-155968.67522169885</v>
      </c>
      <c r="U960" s="545">
        <f>'Foglio deposito bis'!$F$62*IF(ABS(O960)&lt;'Sollecitazioni nel paramento'!$G$58,ABS(O960)*'Sollecitazioni nel paramento'!$G$54,'Sollecitazioni nel paramento'!$G$53)*IF(O960&lt;0,-1,1)</f>
        <v>314705.62929873407</v>
      </c>
      <c r="V960" s="472">
        <f t="shared" si="71"/>
        <v>-9391655.2185934894</v>
      </c>
      <c r="W960" s="551"/>
      <c r="X960" s="551"/>
    </row>
    <row r="961" spans="1:24" x14ac:dyDescent="0.25">
      <c r="A961" s="545">
        <f t="shared" si="70"/>
        <v>9627592.4535708372</v>
      </c>
      <c r="B961" s="3">
        <f t="shared" si="68"/>
        <v>43.899999999999942</v>
      </c>
      <c r="C961" s="545">
        <f>'Foglio deposito bis'!$E$156/sezione!$B$247*B961</f>
        <v>252.40216414300605</v>
      </c>
      <c r="D961" s="603">
        <f>-'Sollecitazioni nel paramento'!$G$47*'Sollecitazioni nel paramento'!$G$41*IF(DATI!$G$211="dx",DATI!$E$61,DATI!$E$64*DATI!$E$63)*1000*C961^2*sezione!$AD$5*(1-sezione!$AD$6)</f>
        <v>-1417391335.6610918</v>
      </c>
      <c r="E961" s="545">
        <f>-'Foglio deposito bis'!$F$58*(C961-sezione!$AL$30)*IF(ABS(K961)&lt;'Sollecitazioni nel paramento'!$G$58,ABS(K961)*'Sollecitazioni nel paramento'!$G$54,'Sollecitazioni nel paramento'!$G$53)</f>
        <v>0</v>
      </c>
      <c r="F961" s="545">
        <f>-'Foglio deposito bis'!$F$59*(C961-sezione!$AM$30)*IF(ABS(L961)&lt;'Sollecitazioni nel paramento'!$G$58,ABS(L961)*'Sollecitazioni nel paramento'!$G$54,'Sollecitazioni nel paramento'!$G$53)</f>
        <v>-29565451.242706567</v>
      </c>
      <c r="G961" s="545">
        <f>-'Foglio deposito bis'!$F$60*(C961-sezione!$AN$30)*IF(ABS(M961)&lt;'Sollecitazioni nel paramento'!$G$58,ABS(M961)*'Sollecitazioni nel paramento'!$G$54,'Sollecitazioni nel paramento'!$G$53)</f>
        <v>0</v>
      </c>
      <c r="H961" s="545">
        <f>-'Foglio deposito bis'!$F$61*(C961-sezione!$AO$30)*IF(ABS(N961)&lt;'Sollecitazioni nel paramento'!$G$58,ABS(N961)*'Sollecitazioni nel paramento'!$G$54,'Sollecitazioni nel paramento'!$G$53)</f>
        <v>-15018011.075815031</v>
      </c>
      <c r="I961" s="472">
        <f>-'Foglio deposito bis'!$F$62*(C961-sezione!$AP$30)*IF(ABS(O961)&lt;'Sollecitazioni nel paramento'!$G$58,ABS(O961)*'Sollecitazioni nel paramento'!$G$54,'Sollecitazioni nel paramento'!$G$53)</f>
        <v>40323802.566332012</v>
      </c>
      <c r="J961" s="472">
        <f t="shared" si="69"/>
        <v>-1421650995.4132812</v>
      </c>
      <c r="K961" s="550">
        <f>'Sollecitazioni nel paramento'!$G$60*(sezione!$AL$30-C961)/C961</f>
        <v>-2.9453296370284734E-3</v>
      </c>
      <c r="L961" s="550">
        <f>'Sollecitazioni nel paramento'!$G$60*(sezione!$AM$30-C961)/C961</f>
        <v>-2.6679944555427098E-3</v>
      </c>
      <c r="M961" s="551">
        <f>'Sollecitazioni nel paramento'!$G$60*(sezione!$AN$30-C961)/C961</f>
        <v>-2.3906592740569467E-3</v>
      </c>
      <c r="N961" s="551">
        <f>'Sollecitazioni nel paramento'!$G$60*(sezione!$AO$30-C961)/C961</f>
        <v>-1.2813185481138935E-3</v>
      </c>
      <c r="O961" s="551">
        <f>'Sollecitazioni nel paramento'!$G$60*(sezione!$AP$30-C961)/C961</f>
        <v>1.8371291814476113E-3</v>
      </c>
      <c r="P961" s="545">
        <f>-'Sollecitazioni nel paramento'!$G$47*'Sollecitazioni nel paramento'!$G$41*IF(DATI!$G$211="dx",DATI!$E$61,DATI!$E$64*DATI!$E$63)*1000*C961*sezione!$AD$5</f>
        <v>-9615765.2473560981</v>
      </c>
      <c r="Q961" s="545">
        <f>'Foglio deposito bis'!$F$58*IF(ABS(K961)&lt;'Sollecitazioni nel paramento'!$G$58,ABS(K961)*'Sollecitazioni nel paramento'!$G$54,'Sollecitazioni nel paramento'!$G$53)*IF(K961&lt;0,-1,1)</f>
        <v>0</v>
      </c>
      <c r="R961" s="545">
        <f>'Foglio deposito bis'!$F$59*IF(ABS(L961)&lt;'Sollecitazioni nel paramento'!$G$58,ABS(L961)*'Sollecitazioni nel paramento'!$G$54,'Sollecitazioni nel paramento'!$G$53)*IF(L961&lt;0,-1,1)</f>
        <v>-153664.85805602249</v>
      </c>
      <c r="S961" s="545">
        <f>'Foglio deposito bis'!$F$60*IF(ABS(M961)&lt;'Sollecitazioni nel paramento'!$G$58,ABS(M961)*'Sollecitazioni nel paramento'!$G$54,'Sollecitazioni nel paramento'!$G$53)*IF(M961&lt;0,-1,1)</f>
        <v>0</v>
      </c>
      <c r="T961" s="545">
        <f>'Foglio deposito bis'!$F$61*IF(ABS(N961)&lt;'Sollecitazioni nel paramento'!$G$58,ABS(N961)*'Sollecitazioni nel paramento'!$G$54,'Sollecitazioni nel paramento'!$G$53)*IF(N961&lt;0,-1,1)</f>
        <v>-162528.78073907914</v>
      </c>
      <c r="U961" s="545">
        <f>'Foglio deposito bis'!$F$62*IF(ABS(O961)&lt;'Sollecitazioni nel paramento'!$G$58,ABS(O961)*'Sollecitazioni nel paramento'!$G$54,'Sollecitazioni nel paramento'!$G$53)*IF(O961&lt;0,-1,1)</f>
        <v>304366.43258036138</v>
      </c>
      <c r="V961" s="472">
        <f t="shared" si="71"/>
        <v>-9627592.4535708372</v>
      </c>
      <c r="W961" s="551"/>
      <c r="X961" s="551"/>
    </row>
    <row r="962" spans="1:24" x14ac:dyDescent="0.25">
      <c r="A962" s="545">
        <f t="shared" si="70"/>
        <v>9872591.57929473</v>
      </c>
      <c r="B962" s="3">
        <f t="shared" si="68"/>
        <v>44.899999999999942</v>
      </c>
      <c r="C962" s="545">
        <f>'Foglio deposito bis'!$E$156/sezione!$B$247*B962</f>
        <v>258.15164396403128</v>
      </c>
      <c r="D962" s="603">
        <f>-'Sollecitazioni nel paramento'!$G$47*'Sollecitazioni nel paramento'!$G$41*IF(DATI!$G$211="dx",DATI!$E$61,DATI!$E$64*DATI!$E$63)*1000*C962^2*sezione!$AD$5*(1-sezione!$AD$6)</f>
        <v>-1482700435.6588638</v>
      </c>
      <c r="E962" s="545">
        <f>-'Foglio deposito bis'!$F$58*(C962-sezione!$AL$30)*IF(ABS(K962)&lt;'Sollecitazioni nel paramento'!$G$58,ABS(K962)*'Sollecitazioni nel paramento'!$G$54,'Sollecitazioni nel paramento'!$G$53)</f>
        <v>0</v>
      </c>
      <c r="F962" s="545">
        <f>-'Foglio deposito bis'!$F$59*(C962-sezione!$AM$30)*IF(ABS(L962)&lt;'Sollecitazioni nel paramento'!$G$58,ABS(L962)*'Sollecitazioni nel paramento'!$G$54,'Sollecitazioni nel paramento'!$G$53)</f>
        <v>-30448944.243300371</v>
      </c>
      <c r="G962" s="545">
        <f>-'Foglio deposito bis'!$F$60*(C962-sezione!$AN$30)*IF(ABS(M962)&lt;'Sollecitazioni nel paramento'!$G$58,ABS(M962)*'Sollecitazioni nel paramento'!$G$54,'Sollecitazioni nel paramento'!$G$53)</f>
        <v>0</v>
      </c>
      <c r="H962" s="545">
        <f>-'Foglio deposito bis'!$F$61*(C962-sezione!$AO$30)*IF(ABS(N962)&lt;'Sollecitazioni nel paramento'!$G$58,ABS(N962)*'Sollecitazioni nel paramento'!$G$54,'Sollecitazioni nel paramento'!$G$53)</f>
        <v>-16567671.309507977</v>
      </c>
      <c r="I962" s="472">
        <f>-'Foglio deposito bis'!$F$62*(C962-sezione!$AP$30)*IF(ABS(O962)&lt;'Sollecitazioni nel paramento'!$G$58,ABS(O962)*'Sollecitazioni nel paramento'!$G$54,'Sollecitazioni nel paramento'!$G$53)</f>
        <v>36078025.578184105</v>
      </c>
      <c r="J962" s="472">
        <f t="shared" si="69"/>
        <v>-1493639025.6334882</v>
      </c>
      <c r="K962" s="550">
        <f>'Sollecitazioni nel paramento'!$G$60*(sezione!$AL$30-C962)/C962</f>
        <v>-2.9576830972282849E-3</v>
      </c>
      <c r="L962" s="550">
        <f>'Sollecitazioni nel paramento'!$G$60*(sezione!$AM$30-C962)/C962</f>
        <v>-2.6865246458424269E-3</v>
      </c>
      <c r="M962" s="551">
        <f>'Sollecitazioni nel paramento'!$G$60*(sezione!$AN$30-C962)/C962</f>
        <v>-2.4153661944565697E-3</v>
      </c>
      <c r="N962" s="551">
        <f>'Sollecitazioni nel paramento'!$G$60*(sezione!$AO$30-C962)/C962</f>
        <v>-1.3307323889131389E-3</v>
      </c>
      <c r="O962" s="551">
        <f>'Sollecitazioni nel paramento'!$G$60*(sezione!$AP$30-C962)/C962</f>
        <v>1.7182621618162608E-3</v>
      </c>
      <c r="P962" s="545">
        <f>-'Sollecitazioni nel paramento'!$G$47*'Sollecitazioni nel paramento'!$G$41*IF(DATI!$G$211="dx",DATI!$E$61,DATI!$E$64*DATI!$E$63)*1000*C962*sezione!$AD$5</f>
        <v>-9834803.1800976973</v>
      </c>
      <c r="Q962" s="545">
        <f>'Foglio deposito bis'!$F$58*IF(ABS(K962)&lt;'Sollecitazioni nel paramento'!$G$58,ABS(K962)*'Sollecitazioni nel paramento'!$G$54,'Sollecitazioni nel paramento'!$G$53)*IF(K962&lt;0,-1,1)</f>
        <v>0</v>
      </c>
      <c r="R962" s="545">
        <f>'Foglio deposito bis'!$F$59*IF(ABS(L962)&lt;'Sollecitazioni nel paramento'!$G$58,ABS(L962)*'Sollecitazioni nel paramento'!$G$54,'Sollecitazioni nel paramento'!$G$53)*IF(L962&lt;0,-1,1)</f>
        <v>-153664.85805602249</v>
      </c>
      <c r="S962" s="545">
        <f>'Foglio deposito bis'!$F$60*IF(ABS(M962)&lt;'Sollecitazioni nel paramento'!$G$58,ABS(M962)*'Sollecitazioni nel paramento'!$G$54,'Sollecitazioni nel paramento'!$G$53)*IF(M962&lt;0,-1,1)</f>
        <v>0</v>
      </c>
      <c r="T962" s="545">
        <f>'Foglio deposito bis'!$F$61*IF(ABS(N962)&lt;'Sollecitazioni nel paramento'!$G$58,ABS(N962)*'Sollecitazioni nel paramento'!$G$54,'Sollecitazioni nel paramento'!$G$53)*IF(N962&lt;0,-1,1)</f>
        <v>-168796.67665657622</v>
      </c>
      <c r="U962" s="545">
        <f>'Foglio deposito bis'!$F$62*IF(ABS(O962)&lt;'Sollecitazioni nel paramento'!$G$58,ABS(O962)*'Sollecitazioni nel paramento'!$G$54,'Sollecitazioni nel paramento'!$G$53)*IF(O962&lt;0,-1,1)</f>
        <v>284673.13551556505</v>
      </c>
      <c r="V962" s="472">
        <f t="shared" si="71"/>
        <v>-9872591.57929473</v>
      </c>
      <c r="W962" s="551"/>
      <c r="X962" s="551"/>
    </row>
    <row r="963" spans="1:24" x14ac:dyDescent="0.25">
      <c r="A963" s="545">
        <f t="shared" si="70"/>
        <v>10116459.498352727</v>
      </c>
      <c r="B963" s="3">
        <f t="shared" si="68"/>
        <v>45.899999999999942</v>
      </c>
      <c r="C963" s="545">
        <f>'Foglio deposito bis'!$E$156/sezione!$B$247*B963</f>
        <v>263.90112378505648</v>
      </c>
      <c r="D963" s="603">
        <f>-'Sollecitazioni nel paramento'!$G$47*'Sollecitazioni nel paramento'!$G$41*IF(DATI!$G$211="dx",DATI!$E$61,DATI!$E$64*DATI!$E$63)*1000*C963^2*sezione!$AD$5*(1-sezione!$AD$6)</f>
        <v>-1549480461.3322611</v>
      </c>
      <c r="E963" s="545">
        <f>-'Foglio deposito bis'!$F$58*(C963-sezione!$AL$30)*IF(ABS(K963)&lt;'Sollecitazioni nel paramento'!$G$58,ABS(K963)*'Sollecitazioni nel paramento'!$G$54,'Sollecitazioni nel paramento'!$G$53)</f>
        <v>0</v>
      </c>
      <c r="F963" s="545">
        <f>-'Foglio deposito bis'!$F$59*(C963-sezione!$AM$30)*IF(ABS(L963)&lt;'Sollecitazioni nel paramento'!$G$58,ABS(L963)*'Sollecitazioni nel paramento'!$G$54,'Sollecitazioni nel paramento'!$G$53)</f>
        <v>-31332437.243894178</v>
      </c>
      <c r="G963" s="545">
        <f>-'Foglio deposito bis'!$F$60*(C963-sezione!$AN$30)*IF(ABS(M963)&lt;'Sollecitazioni nel paramento'!$G$58,ABS(M963)*'Sollecitazioni nel paramento'!$G$54,'Sollecitazioni nel paramento'!$G$53)</f>
        <v>0</v>
      </c>
      <c r="H963" s="545">
        <f>-'Foglio deposito bis'!$F$61*(C963-sezione!$AO$30)*IF(ABS(N963)&lt;'Sollecitazioni nel paramento'!$G$58,ABS(N963)*'Sollecitazioni nel paramento'!$G$54,'Sollecitazioni nel paramento'!$G$53)</f>
        <v>-18161029.292516805</v>
      </c>
      <c r="I963" s="472">
        <f>-'Foglio deposito bis'!$F$62*(C963-sezione!$AP$30)*IF(ABS(O963)&lt;'Sollecitazioni nel paramento'!$G$58,ABS(O963)*'Sollecitazioni nel paramento'!$G$54,'Sollecitazioni nel paramento'!$G$53)</f>
        <v>32162518.10368235</v>
      </c>
      <c r="J963" s="472">
        <f t="shared" si="69"/>
        <v>-1566811409.7649896</v>
      </c>
      <c r="K963" s="550">
        <f>'Sollecitazioni nel paramento'!$G$60*(sezione!$AL$30-C963)/C963</f>
        <v>-2.9694982802952069E-3</v>
      </c>
      <c r="L963" s="550">
        <f>'Sollecitazioni nel paramento'!$G$60*(sezione!$AM$30-C963)/C963</f>
        <v>-2.7042474204428098E-3</v>
      </c>
      <c r="M963" s="551">
        <f>'Sollecitazioni nel paramento'!$G$60*(sezione!$AN$30-C963)/C963</f>
        <v>-2.4389965605904132E-3</v>
      </c>
      <c r="N963" s="551">
        <f>'Sollecitazioni nel paramento'!$G$60*(sezione!$AO$30-C963)/C963</f>
        <v>-1.3779931211808268E-3</v>
      </c>
      <c r="O963" s="551">
        <f>'Sollecitazioni nel paramento'!$G$60*(sezione!$AP$30-C963)/C963</f>
        <v>1.6045745330185207E-3</v>
      </c>
      <c r="P963" s="545">
        <f>-'Sollecitazioni nel paramento'!$G$47*'Sollecitazioni nel paramento'!$G$41*IF(DATI!$G$211="dx",DATI!$E$61,DATI!$E$64*DATI!$E$63)*1000*C963*sezione!$AD$5</f>
        <v>-10053841.112839295</v>
      </c>
      <c r="Q963" s="545">
        <f>'Foglio deposito bis'!$F$58*IF(ABS(K963)&lt;'Sollecitazioni nel paramento'!$G$58,ABS(K963)*'Sollecitazioni nel paramento'!$G$54,'Sollecitazioni nel paramento'!$G$53)*IF(K963&lt;0,-1,1)</f>
        <v>0</v>
      </c>
      <c r="R963" s="545">
        <f>'Foglio deposito bis'!$F$59*IF(ABS(L963)&lt;'Sollecitazioni nel paramento'!$G$58,ABS(L963)*'Sollecitazioni nel paramento'!$G$54,'Sollecitazioni nel paramento'!$G$53)*IF(L963&lt;0,-1,1)</f>
        <v>-153664.85805602249</v>
      </c>
      <c r="S963" s="545">
        <f>'Foglio deposito bis'!$F$60*IF(ABS(M963)&lt;'Sollecitazioni nel paramento'!$G$58,ABS(M963)*'Sollecitazioni nel paramento'!$G$54,'Sollecitazioni nel paramento'!$G$53)*IF(M963&lt;0,-1,1)</f>
        <v>0</v>
      </c>
      <c r="T963" s="545">
        <f>'Foglio deposito bis'!$F$61*IF(ABS(N963)&lt;'Sollecitazioni nel paramento'!$G$58,ABS(N963)*'Sollecitazioni nel paramento'!$G$54,'Sollecitazioni nel paramento'!$G$53)*IF(N963&lt;0,-1,1)</f>
        <v>-174791.46164084901</v>
      </c>
      <c r="U963" s="545">
        <f>'Foglio deposito bis'!$F$62*IF(ABS(O963)&lt;'Sollecitazioni nel paramento'!$G$58,ABS(O963)*'Sollecitazioni nel paramento'!$G$54,'Sollecitazioni nel paramento'!$G$53)*IF(O963&lt;0,-1,1)</f>
        <v>265837.93418343959</v>
      </c>
      <c r="V963" s="472">
        <f t="shared" si="71"/>
        <v>-10116459.498352727</v>
      </c>
      <c r="W963" s="551"/>
      <c r="X963" s="551"/>
    </row>
    <row r="964" spans="1:24" x14ac:dyDescent="0.25">
      <c r="A964" s="545">
        <f t="shared" si="70"/>
        <v>10359268.569380172</v>
      </c>
      <c r="B964" s="3">
        <f t="shared" si="68"/>
        <v>46.899999999999942</v>
      </c>
      <c r="C964" s="545">
        <f>'Foglio deposito bis'!$E$156/sezione!$B$247*B964</f>
        <v>269.65060360608169</v>
      </c>
      <c r="D964" s="603">
        <f>-'Sollecitazioni nel paramento'!$G$47*'Sollecitazioni nel paramento'!$G$41*IF(DATI!$G$211="dx",DATI!$E$61,DATI!$E$64*DATI!$E$63)*1000*C964^2*sezione!$AD$5*(1-sezione!$AD$6)</f>
        <v>-1617731412.681283</v>
      </c>
      <c r="E964" s="545">
        <f>-'Foglio deposito bis'!$F$58*(C964-sezione!$AL$30)*IF(ABS(K964)&lt;'Sollecitazioni nel paramento'!$G$58,ABS(K964)*'Sollecitazioni nel paramento'!$G$54,'Sollecitazioni nel paramento'!$G$53)</f>
        <v>0</v>
      </c>
      <c r="F964" s="545">
        <f>-'Foglio deposito bis'!$F$59*(C964-sezione!$AM$30)*IF(ABS(L964)&lt;'Sollecitazioni nel paramento'!$G$58,ABS(L964)*'Sollecitazioni nel paramento'!$G$54,'Sollecitazioni nel paramento'!$G$53)</f>
        <v>-32215930.244487982</v>
      </c>
      <c r="G964" s="545">
        <f>-'Foglio deposito bis'!$F$60*(C964-sezione!$AN$30)*IF(ABS(M964)&lt;'Sollecitazioni nel paramento'!$G$58,ABS(M964)*'Sollecitazioni nel paramento'!$G$54,'Sollecitazioni nel paramento'!$G$53)</f>
        <v>0</v>
      </c>
      <c r="H964" s="545">
        <f>-'Foglio deposito bis'!$F$61*(C964-sezione!$AO$30)*IF(ABS(N964)&lt;'Sollecitazioni nel paramento'!$G$58,ABS(N964)*'Sollecitazioni nel paramento'!$G$54,'Sollecitazioni nel paramento'!$G$53)</f>
        <v>-19795289.859640069</v>
      </c>
      <c r="I964" s="472">
        <f>-'Foglio deposito bis'!$F$62*(C964-sezione!$AP$30)*IF(ABS(O964)&lt;'Sollecitazioni nel paramento'!$G$58,ABS(O964)*'Sollecitazioni nel paramento'!$G$54,'Sollecitazioni nel paramento'!$G$53)</f>
        <v>28556154.161143612</v>
      </c>
      <c r="J964" s="472">
        <f t="shared" si="69"/>
        <v>-1641186478.6242676</v>
      </c>
      <c r="K964" s="550">
        <f>'Sollecitazioni nel paramento'!$G$60*(sezione!$AL$30-C964)/C964</f>
        <v>-2.9808096176023452E-3</v>
      </c>
      <c r="L964" s="550">
        <f>'Sollecitazioni nel paramento'!$G$60*(sezione!$AM$30-C964)/C964</f>
        <v>-2.721214426403518E-3</v>
      </c>
      <c r="M964" s="551">
        <f>'Sollecitazioni nel paramento'!$G$60*(sezione!$AN$30-C964)/C964</f>
        <v>-2.4616192352046903E-3</v>
      </c>
      <c r="N964" s="551">
        <f>'Sollecitazioni nel paramento'!$G$60*(sezione!$AO$30-C964)/C964</f>
        <v>-1.4232384704093808E-3</v>
      </c>
      <c r="O964" s="551">
        <f>'Sollecitazioni nel paramento'!$G$60*(sezione!$AP$30-C964)/C964</f>
        <v>1.4957349907366757E-3</v>
      </c>
      <c r="P964" s="545">
        <f>-'Sollecitazioni nel paramento'!$G$47*'Sollecitazioni nel paramento'!$G$41*IF(DATI!$G$211="dx",DATI!$E$61,DATI!$E$64*DATI!$E$63)*1000*C964*sezione!$AD$5</f>
        <v>-10272879.045580892</v>
      </c>
      <c r="Q964" s="545">
        <f>'Foglio deposito bis'!$F$58*IF(ABS(K964)&lt;'Sollecitazioni nel paramento'!$G$58,ABS(K964)*'Sollecitazioni nel paramento'!$G$54,'Sollecitazioni nel paramento'!$G$53)*IF(K964&lt;0,-1,1)</f>
        <v>0</v>
      </c>
      <c r="R964" s="545">
        <f>'Foglio deposito bis'!$F$59*IF(ABS(L964)&lt;'Sollecitazioni nel paramento'!$G$58,ABS(L964)*'Sollecitazioni nel paramento'!$G$54,'Sollecitazioni nel paramento'!$G$53)*IF(L964&lt;0,-1,1)</f>
        <v>-153664.85805602249</v>
      </c>
      <c r="S964" s="545">
        <f>'Foglio deposito bis'!$F$60*IF(ABS(M964)&lt;'Sollecitazioni nel paramento'!$G$58,ABS(M964)*'Sollecitazioni nel paramento'!$G$54,'Sollecitazioni nel paramento'!$G$53)*IF(M964&lt;0,-1,1)</f>
        <v>0</v>
      </c>
      <c r="T964" s="545">
        <f>'Foglio deposito bis'!$F$61*IF(ABS(N964)&lt;'Sollecitazioni nel paramento'!$G$58,ABS(N964)*'Sollecitazioni nel paramento'!$G$54,'Sollecitazioni nel paramento'!$G$53)*IF(N964&lt;0,-1,1)</f>
        <v>-180530.6054744065</v>
      </c>
      <c r="U964" s="545">
        <f>'Foglio deposito bis'!$F$62*IF(ABS(O964)&lt;'Sollecitazioni nel paramento'!$G$58,ABS(O964)*'Sollecitazioni nel paramento'!$G$54,'Sollecitazioni nel paramento'!$G$53)*IF(O964&lt;0,-1,1)</f>
        <v>247805.939731149</v>
      </c>
      <c r="V964" s="472">
        <f t="shared" si="71"/>
        <v>-10359268.569380172</v>
      </c>
      <c r="W964" s="551"/>
      <c r="X964" s="551"/>
    </row>
    <row r="965" spans="1:24" x14ac:dyDescent="0.25">
      <c r="A965" s="545">
        <f t="shared" si="70"/>
        <v>10601085.108537644</v>
      </c>
      <c r="B965" s="3">
        <f t="shared" si="68"/>
        <v>47.899999999999942</v>
      </c>
      <c r="C965" s="545">
        <f>'Foglio deposito bis'!$E$156/sezione!$B$247*B965</f>
        <v>275.40008342710689</v>
      </c>
      <c r="D965" s="603">
        <f>-'Sollecitazioni nel paramento'!$G$47*'Sollecitazioni nel paramento'!$G$41*IF(DATI!$G$211="dx",DATI!$E$61,DATI!$E$64*DATI!$E$63)*1000*C965^2*sezione!$AD$5*(1-sezione!$AD$6)</f>
        <v>-1687453289.7059314</v>
      </c>
      <c r="E965" s="545">
        <f>-'Foglio deposito bis'!$F$58*(C965-sezione!$AL$30)*IF(ABS(K965)&lt;'Sollecitazioni nel paramento'!$G$58,ABS(K965)*'Sollecitazioni nel paramento'!$G$54,'Sollecitazioni nel paramento'!$G$53)</f>
        <v>0</v>
      </c>
      <c r="F965" s="545">
        <f>-'Foglio deposito bis'!$F$59*(C965-sezione!$AM$30)*IF(ABS(L965)&lt;'Sollecitazioni nel paramento'!$G$58,ABS(L965)*'Sollecitazioni nel paramento'!$G$54,'Sollecitazioni nel paramento'!$G$53)</f>
        <v>-33099423.245081786</v>
      </c>
      <c r="G965" s="545">
        <f>-'Foglio deposito bis'!$F$60*(C965-sezione!$AN$30)*IF(ABS(M965)&lt;'Sollecitazioni nel paramento'!$G$58,ABS(M965)*'Sollecitazioni nel paramento'!$G$54,'Sollecitazioni nel paramento'!$G$53)</f>
        <v>0</v>
      </c>
      <c r="H965" s="545">
        <f>-'Foglio deposito bis'!$F$61*(C965-sezione!$AO$30)*IF(ABS(N965)&lt;'Sollecitazioni nel paramento'!$G$58,ABS(N965)*'Sollecitazioni nel paramento'!$G$54,'Sollecitazioni nel paramento'!$G$53)</f>
        <v>-21467891.262394611</v>
      </c>
      <c r="I965" s="472">
        <f>-'Foglio deposito bis'!$F$62*(C965-sezione!$AP$30)*IF(ABS(O965)&lt;'Sollecitazioni nel paramento'!$G$58,ABS(O965)*'Sollecitazioni nel paramento'!$G$54,'Sollecitazioni nel paramento'!$G$53)</f>
        <v>25239571.942720521</v>
      </c>
      <c r="J965" s="472">
        <f t="shared" si="69"/>
        <v>-1716781032.2706876</v>
      </c>
      <c r="K965" s="550">
        <f>'Sollecitazioni nel paramento'!$G$60*(sezione!$AL$30-C965)/C965</f>
        <v>-2.9916486652515656E-3</v>
      </c>
      <c r="L965" s="550">
        <f>'Sollecitazioni nel paramento'!$G$60*(sezione!$AM$30-C965)/C965</f>
        <v>-2.7374729978773484E-3</v>
      </c>
      <c r="M965" s="551">
        <f>'Sollecitazioni nel paramento'!$G$60*(sezione!$AN$30-C965)/C965</f>
        <v>-2.4832973305031311E-3</v>
      </c>
      <c r="N965" s="551">
        <f>'Sollecitazioni nel paramento'!$G$60*(sezione!$AO$30-C965)/C965</f>
        <v>-1.4665946610062622E-3</v>
      </c>
      <c r="O965" s="551">
        <f>'Sollecitazioni nel paramento'!$G$60*(sezione!$AP$30-C965)/C965</f>
        <v>1.3914398969843442E-3</v>
      </c>
      <c r="P965" s="545">
        <f>-'Sollecitazioni nel paramento'!$G$47*'Sollecitazioni nel paramento'!$G$41*IF(DATI!$G$211="dx",DATI!$E$61,DATI!$E$64*DATI!$E$63)*1000*C965*sezione!$AD$5</f>
        <v>-10491916.978322489</v>
      </c>
      <c r="Q965" s="545">
        <f>'Foglio deposito bis'!$F$58*IF(ABS(K965)&lt;'Sollecitazioni nel paramento'!$G$58,ABS(K965)*'Sollecitazioni nel paramento'!$G$54,'Sollecitazioni nel paramento'!$G$53)*IF(K965&lt;0,-1,1)</f>
        <v>0</v>
      </c>
      <c r="R965" s="545">
        <f>'Foglio deposito bis'!$F$59*IF(ABS(L965)&lt;'Sollecitazioni nel paramento'!$G$58,ABS(L965)*'Sollecitazioni nel paramento'!$G$54,'Sollecitazioni nel paramento'!$G$53)*IF(L965&lt;0,-1,1)</f>
        <v>-153664.85805602249</v>
      </c>
      <c r="S965" s="545">
        <f>'Foglio deposito bis'!$F$60*IF(ABS(M965)&lt;'Sollecitazioni nel paramento'!$G$58,ABS(M965)*'Sollecitazioni nel paramento'!$G$54,'Sollecitazioni nel paramento'!$G$53)*IF(M965&lt;0,-1,1)</f>
        <v>0</v>
      </c>
      <c r="T965" s="545">
        <f>'Foglio deposito bis'!$F$61*IF(ABS(N965)&lt;'Sollecitazioni nel paramento'!$G$58,ABS(N965)*'Sollecitazioni nel paramento'!$G$54,'Sollecitazioni nel paramento'!$G$53)*IF(N965&lt;0,-1,1)</f>
        <v>-186030.11908526847</v>
      </c>
      <c r="U965" s="545">
        <f>'Foglio deposito bis'!$F$62*IF(ABS(O965)&lt;'Sollecitazioni nel paramento'!$G$58,ABS(O965)*'Sollecitazioni nel paramento'!$G$54,'Sollecitazioni nel paramento'!$G$53)*IF(O965&lt;0,-1,1)</f>
        <v>230526.84692613565</v>
      </c>
      <c r="V965" s="472">
        <f t="shared" si="71"/>
        <v>-10601085.108537644</v>
      </c>
      <c r="W965" s="551"/>
      <c r="X965" s="551"/>
    </row>
    <row r="966" spans="1:24" x14ac:dyDescent="0.25">
      <c r="A966" s="545">
        <f t="shared" si="70"/>
        <v>10841970.007350907</v>
      </c>
      <c r="B966" s="3">
        <f t="shared" si="68"/>
        <v>48.899999999999942</v>
      </c>
      <c r="C966" s="545">
        <f>'Foglio deposito bis'!$E$156/sezione!$B$247*B966</f>
        <v>281.14956324813204</v>
      </c>
      <c r="D966" s="603">
        <f>-'Sollecitazioni nel paramento'!$G$47*'Sollecitazioni nel paramento'!$G$41*IF(DATI!$G$211="dx",DATI!$E$61,DATI!$E$64*DATI!$E$63)*1000*C966^2*sezione!$AD$5*(1-sezione!$AD$6)</f>
        <v>-1758646092.4062042</v>
      </c>
      <c r="E966" s="545">
        <f>-'Foglio deposito bis'!$F$58*(C966-sezione!$AL$30)*IF(ABS(K966)&lt;'Sollecitazioni nel paramento'!$G$58,ABS(K966)*'Sollecitazioni nel paramento'!$G$54,'Sollecitazioni nel paramento'!$G$53)</f>
        <v>0</v>
      </c>
      <c r="F966" s="545">
        <f>-'Foglio deposito bis'!$F$59*(C966-sezione!$AM$30)*IF(ABS(L966)&lt;'Sollecitazioni nel paramento'!$G$58,ABS(L966)*'Sollecitazioni nel paramento'!$G$54,'Sollecitazioni nel paramento'!$G$53)</f>
        <v>-33982916.245675579</v>
      </c>
      <c r="G966" s="545">
        <f>-'Foglio deposito bis'!$F$60*(C966-sezione!$AN$30)*IF(ABS(M966)&lt;'Sollecitazioni nel paramento'!$G$58,ABS(M966)*'Sollecitazioni nel paramento'!$G$54,'Sollecitazioni nel paramento'!$G$53)</f>
        <v>0</v>
      </c>
      <c r="H966" s="545">
        <f>-'Foglio deposito bis'!$F$61*(C966-sezione!$AO$30)*IF(ABS(N966)&lt;'Sollecitazioni nel paramento'!$G$58,ABS(N966)*'Sollecitazioni nel paramento'!$G$54,'Sollecitazioni nel paramento'!$G$53)</f>
        <v>-23176481.302275438</v>
      </c>
      <c r="I966" s="472">
        <f>-'Foglio deposito bis'!$F$62*(C966-sezione!$AP$30)*IF(ABS(O966)&lt;'Sollecitazioni nel paramento'!$G$58,ABS(O966)*'Sollecitazioni nel paramento'!$G$54,'Sollecitazioni nel paramento'!$G$53)</f>
        <v>22194993.428528707</v>
      </c>
      <c r="J966" s="472">
        <f t="shared" si="69"/>
        <v>-1793610496.5256264</v>
      </c>
      <c r="K966" s="550">
        <f>'Sollecitazioni nel paramento'!$G$60*(sezione!$AL$30-C966)/C966</f>
        <v>-3.0020443980685067E-3</v>
      </c>
      <c r="L966" s="550">
        <f>'Sollecitazioni nel paramento'!$G$60*(sezione!$AM$30-C966)/C966</f>
        <v>-2.7530665971027602E-3</v>
      </c>
      <c r="M966" s="551">
        <f>'Sollecitazioni nel paramento'!$G$60*(sezione!$AN$30-C966)/C966</f>
        <v>-2.5040887961370138E-3</v>
      </c>
      <c r="N966" s="551">
        <f>'Sollecitazioni nel paramento'!$G$60*(sezione!$AO$30-C966)/C966</f>
        <v>-1.5081775922740272E-3</v>
      </c>
      <c r="O966" s="551">
        <f>'Sollecitazioni nel paramento'!$G$60*(sezione!$AP$30-C966)/C966</f>
        <v>1.2914104512382438E-3</v>
      </c>
      <c r="P966" s="545">
        <f>-'Sollecitazioni nel paramento'!$G$47*'Sollecitazioni nel paramento'!$G$41*IF(DATI!$G$211="dx",DATI!$E$61,DATI!$E$64*DATI!$E$63)*1000*C966*sezione!$AD$5</f>
        <v>-10710954.911064085</v>
      </c>
      <c r="Q966" s="545">
        <f>'Foglio deposito bis'!$F$58*IF(ABS(K966)&lt;'Sollecitazioni nel paramento'!$G$58,ABS(K966)*'Sollecitazioni nel paramento'!$G$54,'Sollecitazioni nel paramento'!$G$53)*IF(K966&lt;0,-1,1)</f>
        <v>0</v>
      </c>
      <c r="R966" s="545">
        <f>'Foglio deposito bis'!$F$59*IF(ABS(L966)&lt;'Sollecitazioni nel paramento'!$G$58,ABS(L966)*'Sollecitazioni nel paramento'!$G$54,'Sollecitazioni nel paramento'!$G$53)*IF(L966&lt;0,-1,1)</f>
        <v>-153664.85805602249</v>
      </c>
      <c r="S966" s="545">
        <f>'Foglio deposito bis'!$F$60*IF(ABS(M966)&lt;'Sollecitazioni nel paramento'!$G$58,ABS(M966)*'Sollecitazioni nel paramento'!$G$54,'Sollecitazioni nel paramento'!$G$53)*IF(M966&lt;0,-1,1)</f>
        <v>0</v>
      </c>
      <c r="T966" s="545">
        <f>'Foglio deposito bis'!$F$61*IF(ABS(N966)&lt;'Sollecitazioni nel paramento'!$G$58,ABS(N966)*'Sollecitazioni nel paramento'!$G$54,'Sollecitazioni nel paramento'!$G$53)*IF(N966&lt;0,-1,1)</f>
        <v>-191304.70371409107</v>
      </c>
      <c r="U966" s="545">
        <f>'Foglio deposito bis'!$F$62*IF(ABS(O966)&lt;'Sollecitazioni nel paramento'!$G$58,ABS(O966)*'Sollecitazioni nel paramento'!$G$54,'Sollecitazioni nel paramento'!$G$53)*IF(O966&lt;0,-1,1)</f>
        <v>213954.46548329067</v>
      </c>
      <c r="V966" s="472">
        <f t="shared" si="71"/>
        <v>-10841970.007350907</v>
      </c>
      <c r="W966" s="551"/>
      <c r="X966" s="551"/>
    </row>
    <row r="967" spans="1:24" x14ac:dyDescent="0.25">
      <c r="A967" s="545">
        <f t="shared" si="70"/>
        <v>11081979.276261499</v>
      </c>
      <c r="B967" s="3">
        <f t="shared" si="68"/>
        <v>49.899999999999942</v>
      </c>
      <c r="C967" s="545">
        <f>'Foglio deposito bis'!$E$156/sezione!$B$247*B967</f>
        <v>286.89904306915724</v>
      </c>
      <c r="D967" s="603">
        <f>-'Sollecitazioni nel paramento'!$G$47*'Sollecitazioni nel paramento'!$G$41*IF(DATI!$G$211="dx",DATI!$E$61,DATI!$E$64*DATI!$E$63)*1000*C967^2*sezione!$AD$5*(1-sezione!$AD$6)</f>
        <v>-1831309820.7821026</v>
      </c>
      <c r="E967" s="545">
        <f>-'Foglio deposito bis'!$F$58*(C967-sezione!$AL$30)*IF(ABS(K967)&lt;'Sollecitazioni nel paramento'!$G$58,ABS(K967)*'Sollecitazioni nel paramento'!$G$54,'Sollecitazioni nel paramento'!$G$53)</f>
        <v>0</v>
      </c>
      <c r="F967" s="545">
        <f>-'Foglio deposito bis'!$F$59*(C967-sezione!$AM$30)*IF(ABS(L967)&lt;'Sollecitazioni nel paramento'!$G$58,ABS(L967)*'Sollecitazioni nel paramento'!$G$54,'Sollecitazioni nel paramento'!$G$53)</f>
        <v>-34866409.246269383</v>
      </c>
      <c r="G967" s="545">
        <f>-'Foglio deposito bis'!$F$60*(C967-sezione!$AN$30)*IF(ABS(M967)&lt;'Sollecitazioni nel paramento'!$G$58,ABS(M967)*'Sollecitazioni nel paramento'!$G$54,'Sollecitazioni nel paramento'!$G$53)</f>
        <v>0</v>
      </c>
      <c r="H967" s="545">
        <f>-'Foglio deposito bis'!$F$61*(C967-sezione!$AO$30)*IF(ABS(N967)&lt;'Sollecitazioni nel paramento'!$G$58,ABS(N967)*'Sollecitazioni nel paramento'!$G$54,'Sollecitazioni nel paramento'!$G$53)</f>
        <v>-24918896.333763953</v>
      </c>
      <c r="I967" s="472">
        <f>-'Foglio deposito bis'!$F$62*(C967-sezione!$AP$30)*IF(ABS(O967)&lt;'Sollecitazioni nel paramento'!$G$58,ABS(O967)*'Sollecitazioni nel paramento'!$G$54,'Sollecitazioni nel paramento'!$G$53)</f>
        <v>19406065.690458018</v>
      </c>
      <c r="J967" s="472">
        <f t="shared" si="69"/>
        <v>-1871689060.6716778</v>
      </c>
      <c r="K967" s="550">
        <f>'Sollecitazioni nel paramento'!$G$60*(sezione!$AL$30-C967)/C967</f>
        <v>-3.0120234682474946E-3</v>
      </c>
      <c r="L967" s="550">
        <f>'Sollecitazioni nel paramento'!$G$60*(sezione!$AM$30-C967)/C967</f>
        <v>-2.768035202371242E-3</v>
      </c>
      <c r="M967" s="551">
        <f>'Sollecitazioni nel paramento'!$G$60*(sezione!$AN$30-C967)/C967</f>
        <v>-2.5240469364949895E-3</v>
      </c>
      <c r="N967" s="551">
        <f>'Sollecitazioni nel paramento'!$G$60*(sezione!$AO$30-C967)/C967</f>
        <v>-1.5480938729899787E-3</v>
      </c>
      <c r="O967" s="551">
        <f>'Sollecitazioni nel paramento'!$G$60*(sezione!$AP$30-C967)/C967</f>
        <v>1.1953902017144314E-3</v>
      </c>
      <c r="P967" s="545">
        <f>-'Sollecitazioni nel paramento'!$G$47*'Sollecitazioni nel paramento'!$G$41*IF(DATI!$G$211="dx",DATI!$E$61,DATI!$E$64*DATI!$E$63)*1000*C967*sezione!$AD$5</f>
        <v>-10929992.843805682</v>
      </c>
      <c r="Q967" s="545">
        <f>'Foglio deposito bis'!$F$58*IF(ABS(K967)&lt;'Sollecitazioni nel paramento'!$G$58,ABS(K967)*'Sollecitazioni nel paramento'!$G$54,'Sollecitazioni nel paramento'!$G$53)*IF(K967&lt;0,-1,1)</f>
        <v>0</v>
      </c>
      <c r="R967" s="545">
        <f>'Foglio deposito bis'!$F$59*IF(ABS(L967)&lt;'Sollecitazioni nel paramento'!$G$58,ABS(L967)*'Sollecitazioni nel paramento'!$G$54,'Sollecitazioni nel paramento'!$G$53)*IF(L967&lt;0,-1,1)</f>
        <v>-153664.85805602249</v>
      </c>
      <c r="S967" s="545">
        <f>'Foglio deposito bis'!$F$60*IF(ABS(M967)&lt;'Sollecitazioni nel paramento'!$G$58,ABS(M967)*'Sollecitazioni nel paramento'!$G$54,'Sollecitazioni nel paramento'!$G$53)*IF(M967&lt;0,-1,1)</f>
        <v>0</v>
      </c>
      <c r="T967" s="545">
        <f>'Foglio deposito bis'!$F$61*IF(ABS(N967)&lt;'Sollecitazioni nel paramento'!$G$58,ABS(N967)*'Sollecitazioni nel paramento'!$G$54,'Sollecitazioni nel paramento'!$G$53)*IF(N967&lt;0,-1,1)</f>
        <v>-196367.8821453657</v>
      </c>
      <c r="U967" s="545">
        <f>'Foglio deposito bis'!$F$62*IF(ABS(O967)&lt;'Sollecitazioni nel paramento'!$G$58,ABS(O967)*'Sollecitazioni nel paramento'!$G$54,'Sollecitazioni nel paramento'!$G$53)*IF(O967&lt;0,-1,1)</f>
        <v>198046.30774556965</v>
      </c>
      <c r="V967" s="472">
        <f t="shared" si="71"/>
        <v>-11081979.276261499</v>
      </c>
      <c r="W967" s="551"/>
      <c r="X967" s="551"/>
    </row>
    <row r="968" spans="1:24" x14ac:dyDescent="0.25">
      <c r="A968" s="545">
        <f t="shared" si="70"/>
        <v>11321164.524104547</v>
      </c>
      <c r="B968" s="3">
        <f t="shared" si="68"/>
        <v>50.899999999999942</v>
      </c>
      <c r="C968" s="545">
        <f>'Foglio deposito bis'!$E$156/sezione!$B$247*B968</f>
        <v>292.64852289018245</v>
      </c>
      <c r="D968" s="603">
        <f>-'Sollecitazioni nel paramento'!$G$47*'Sollecitazioni nel paramento'!$G$41*IF(DATI!$G$211="dx",DATI!$E$61,DATI!$E$64*DATI!$E$63)*1000*C968^2*sezione!$AD$5*(1-sezione!$AD$6)</f>
        <v>-1905444474.8336272</v>
      </c>
      <c r="E968" s="545">
        <f>-'Foglio deposito bis'!$F$58*(C968-sezione!$AL$30)*IF(ABS(K968)&lt;'Sollecitazioni nel paramento'!$G$58,ABS(K968)*'Sollecitazioni nel paramento'!$G$54,'Sollecitazioni nel paramento'!$G$53)</f>
        <v>0</v>
      </c>
      <c r="F968" s="545">
        <f>-'Foglio deposito bis'!$F$59*(C968-sezione!$AM$30)*IF(ABS(L968)&lt;'Sollecitazioni nel paramento'!$G$58,ABS(L968)*'Sollecitazioni nel paramento'!$G$54,'Sollecitazioni nel paramento'!$G$53)</f>
        <v>-35749902.246863186</v>
      </c>
      <c r="G968" s="545">
        <f>-'Foglio deposito bis'!$F$60*(C968-sezione!$AN$30)*IF(ABS(M968)&lt;'Sollecitazioni nel paramento'!$G$58,ABS(M968)*'Sollecitazioni nel paramento'!$G$54,'Sollecitazioni nel paramento'!$G$53)</f>
        <v>0</v>
      </c>
      <c r="H968" s="545">
        <f>-'Foglio deposito bis'!$F$61*(C968-sezione!$AO$30)*IF(ABS(N968)&lt;'Sollecitazioni nel paramento'!$G$58,ABS(N968)*'Sollecitazioni nel paramento'!$G$54,'Sollecitazioni nel paramento'!$G$53)</f>
        <v>-26693142.742423553</v>
      </c>
      <c r="I968" s="472">
        <f>-'Foglio deposito bis'!$F$62*(C968-sezione!$AP$30)*IF(ABS(O968)&lt;'Sollecitazioni nel paramento'!$G$58,ABS(O968)*'Sollecitazioni nel paramento'!$G$54,'Sollecitazioni nel paramento'!$G$53)</f>
        <v>16857720.902803898</v>
      </c>
      <c r="J968" s="472">
        <f t="shared" si="69"/>
        <v>-1951029798.92011</v>
      </c>
      <c r="K968" s="550">
        <f>'Sollecitazioni nel paramento'!$G$60*(sezione!$AL$30-C968)/C968</f>
        <v>-3.0216104335078582E-3</v>
      </c>
      <c r="L968" s="550">
        <f>'Sollecitazioni nel paramento'!$G$60*(sezione!$AM$30-C968)/C968</f>
        <v>-2.7824156502617874E-3</v>
      </c>
      <c r="M968" s="551">
        <f>'Sollecitazioni nel paramento'!$G$60*(sezione!$AN$30-C968)/C968</f>
        <v>-2.5432208670157167E-3</v>
      </c>
      <c r="N968" s="551">
        <f>'Sollecitazioni nel paramento'!$G$60*(sezione!$AO$30-C968)/C968</f>
        <v>-1.5864417340314331E-3</v>
      </c>
      <c r="O968" s="551">
        <f>'Sollecitazioni nel paramento'!$G$60*(sezione!$AP$30-C968)/C968</f>
        <v>1.1031428500108077E-3</v>
      </c>
      <c r="P968" s="545">
        <f>-'Sollecitazioni nel paramento'!$G$47*'Sollecitazioni nel paramento'!$G$41*IF(DATI!$G$211="dx",DATI!$E$61,DATI!$E$64*DATI!$E$63)*1000*C968*sezione!$AD$5</f>
        <v>-11149030.776547277</v>
      </c>
      <c r="Q968" s="545">
        <f>'Foglio deposito bis'!$F$58*IF(ABS(K968)&lt;'Sollecitazioni nel paramento'!$G$58,ABS(K968)*'Sollecitazioni nel paramento'!$G$54,'Sollecitazioni nel paramento'!$G$53)*IF(K968&lt;0,-1,1)</f>
        <v>0</v>
      </c>
      <c r="R968" s="545">
        <f>'Foglio deposito bis'!$F$59*IF(ABS(L968)&lt;'Sollecitazioni nel paramento'!$G$58,ABS(L968)*'Sollecitazioni nel paramento'!$G$54,'Sollecitazioni nel paramento'!$G$53)*IF(L968&lt;0,-1,1)</f>
        <v>-153664.85805602249</v>
      </c>
      <c r="S968" s="545">
        <f>'Foglio deposito bis'!$F$60*IF(ABS(M968)&lt;'Sollecitazioni nel paramento'!$G$58,ABS(M968)*'Sollecitazioni nel paramento'!$G$54,'Sollecitazioni nel paramento'!$G$53)*IF(M968&lt;0,-1,1)</f>
        <v>0</v>
      </c>
      <c r="T968" s="545">
        <f>'Foglio deposito bis'!$F$61*IF(ABS(N968)&lt;'Sollecitazioni nel paramento'!$G$58,ABS(N968)*'Sollecitazioni nel paramento'!$G$54,'Sollecitazioni nel paramento'!$G$53)*IF(N968&lt;0,-1,1)</f>
        <v>-201232.1144693211</v>
      </c>
      <c r="U968" s="545">
        <f>'Foglio deposito bis'!$F$62*IF(ABS(O968)&lt;'Sollecitazioni nel paramento'!$G$58,ABS(O968)*'Sollecitazioni nel paramento'!$G$54,'Sollecitazioni nel paramento'!$G$53)*IF(O968&lt;0,-1,1)</f>
        <v>182763.22496807334</v>
      </c>
      <c r="V968" s="472">
        <f t="shared" si="71"/>
        <v>-11321164.524104547</v>
      </c>
      <c r="W968" s="551"/>
      <c r="X968" s="551"/>
    </row>
    <row r="969" spans="1:24" x14ac:dyDescent="0.25">
      <c r="A969" s="545">
        <f t="shared" si="70"/>
        <v>11559573.382155634</v>
      </c>
      <c r="B969" s="3">
        <f t="shared" si="68"/>
        <v>51.899999999999942</v>
      </c>
      <c r="C969" s="545">
        <f>'Foglio deposito bis'!$E$156/sezione!$B$247*B969</f>
        <v>298.39800271120765</v>
      </c>
      <c r="D969" s="603">
        <f>-'Sollecitazioni nel paramento'!$G$47*'Sollecitazioni nel paramento'!$G$41*IF(DATI!$G$211="dx",DATI!$E$61,DATI!$E$64*DATI!$E$63)*1000*C969^2*sezione!$AD$5*(1-sezione!$AD$6)</f>
        <v>-1981050054.5607772</v>
      </c>
      <c r="E969" s="545">
        <f>-'Foglio deposito bis'!$F$58*(C969-sezione!$AL$30)*IF(ABS(K969)&lt;'Sollecitazioni nel paramento'!$G$58,ABS(K969)*'Sollecitazioni nel paramento'!$G$54,'Sollecitazioni nel paramento'!$G$53)</f>
        <v>0</v>
      </c>
      <c r="F969" s="545">
        <f>-'Foglio deposito bis'!$F$59*(C969-sezione!$AM$30)*IF(ABS(L969)&lt;'Sollecitazioni nel paramento'!$G$58,ABS(L969)*'Sollecitazioni nel paramento'!$G$54,'Sollecitazioni nel paramento'!$G$53)</f>
        <v>-36633395.24745699</v>
      </c>
      <c r="G969" s="545">
        <f>-'Foglio deposito bis'!$F$60*(C969-sezione!$AN$30)*IF(ABS(M969)&lt;'Sollecitazioni nel paramento'!$G$58,ABS(M969)*'Sollecitazioni nel paramento'!$G$54,'Sollecitazioni nel paramento'!$G$53)</f>
        <v>0</v>
      </c>
      <c r="H969" s="545">
        <f>-'Foglio deposito bis'!$F$61*(C969-sezione!$AO$30)*IF(ABS(N969)&lt;'Sollecitazioni nel paramento'!$G$58,ABS(N969)*'Sollecitazioni nel paramento'!$G$54,'Sollecitazioni nel paramento'!$G$53)</f>
        <v>-28497380.564255904</v>
      </c>
      <c r="I969" s="472">
        <f>-'Foglio deposito bis'!$F$62*(C969-sezione!$AP$30)*IF(ABS(O969)&lt;'Sollecitazioni nel paramento'!$G$58,ABS(O969)*'Sollecitazioni nel paramento'!$G$54,'Sollecitazioni nel paramento'!$G$53)</f>
        <v>14536052.536640532</v>
      </c>
      <c r="J969" s="472">
        <f t="shared" si="69"/>
        <v>-2031644777.8358495</v>
      </c>
      <c r="K969" s="550">
        <f>'Sollecitazioni nel paramento'!$G$60*(sezione!$AL$30-C969)/C969</f>
        <v>-3.0308279588737957E-3</v>
      </c>
      <c r="L969" s="550">
        <f>'Sollecitazioni nel paramento'!$G$60*(sezione!$AM$30-C969)/C969</f>
        <v>-2.7962419383106931E-3</v>
      </c>
      <c r="M969" s="551">
        <f>'Sollecitazioni nel paramento'!$G$60*(sezione!$AN$30-C969)/C969</f>
        <v>-2.5616559177475914E-3</v>
      </c>
      <c r="N969" s="551">
        <f>'Sollecitazioni nel paramento'!$G$60*(sezione!$AO$30-C969)/C969</f>
        <v>-1.623311835495182E-3</v>
      </c>
      <c r="O969" s="551">
        <f>'Sollecitazioni nel paramento'!$G$60*(sezione!$AP$30-C969)/C969</f>
        <v>1.0144503095481717E-3</v>
      </c>
      <c r="P969" s="545">
        <f>-'Sollecitazioni nel paramento'!$G$47*'Sollecitazioni nel paramento'!$G$41*IF(DATI!$G$211="dx",DATI!$E$61,DATI!$E$64*DATI!$E$63)*1000*C969*sezione!$AD$5</f>
        <v>-11368068.709288877</v>
      </c>
      <c r="Q969" s="545">
        <f>'Foglio deposito bis'!$F$58*IF(ABS(K969)&lt;'Sollecitazioni nel paramento'!$G$58,ABS(K969)*'Sollecitazioni nel paramento'!$G$54,'Sollecitazioni nel paramento'!$G$53)*IF(K969&lt;0,-1,1)</f>
        <v>0</v>
      </c>
      <c r="R969" s="545">
        <f>'Foglio deposito bis'!$F$59*IF(ABS(L969)&lt;'Sollecitazioni nel paramento'!$G$58,ABS(L969)*'Sollecitazioni nel paramento'!$G$54,'Sollecitazioni nel paramento'!$G$53)*IF(L969&lt;0,-1,1)</f>
        <v>-153664.85805602249</v>
      </c>
      <c r="S969" s="545">
        <f>'Foglio deposito bis'!$F$60*IF(ABS(M969)&lt;'Sollecitazioni nel paramento'!$G$58,ABS(M969)*'Sollecitazioni nel paramento'!$G$54,'Sollecitazioni nel paramento'!$G$53)*IF(M969&lt;0,-1,1)</f>
        <v>0</v>
      </c>
      <c r="T969" s="545">
        <f>'Foglio deposito bis'!$F$61*IF(ABS(N969)&lt;'Sollecitazioni nel paramento'!$G$58,ABS(N969)*'Sollecitazioni nel paramento'!$G$54,'Sollecitazioni nel paramento'!$G$53)*IF(N969&lt;0,-1,1)</f>
        <v>-205908.90046094684</v>
      </c>
      <c r="U969" s="545">
        <f>'Foglio deposito bis'!$F$62*IF(ABS(O969)&lt;'Sollecitazioni nel paramento'!$G$58,ABS(O969)*'Sollecitazioni nel paramento'!$G$54,'Sollecitazioni nel paramento'!$G$53)*IF(O969&lt;0,-1,1)</f>
        <v>168069.08565021085</v>
      </c>
      <c r="V969" s="472">
        <f t="shared" si="71"/>
        <v>-11559573.382155634</v>
      </c>
      <c r="W969" s="551"/>
      <c r="X969" s="551"/>
    </row>
    <row r="970" spans="1:24" x14ac:dyDescent="0.25">
      <c r="A970" s="545">
        <f t="shared" si="70"/>
        <v>11797249.880081598</v>
      </c>
      <c r="B970" s="3">
        <f t="shared" si="68"/>
        <v>52.899999999999942</v>
      </c>
      <c r="C970" s="545">
        <f>'Foglio deposito bis'!$E$156/sezione!$B$247*B970</f>
        <v>304.14748253223286</v>
      </c>
      <c r="D970" s="603">
        <f>-'Sollecitazioni nel paramento'!$G$47*'Sollecitazioni nel paramento'!$G$41*IF(DATI!$G$211="dx",DATI!$E$61,DATI!$E$64*DATI!$E$63)*1000*C970^2*sezione!$AD$5*(1-sezione!$AD$6)</f>
        <v>-2058126559.9635525</v>
      </c>
      <c r="E970" s="545">
        <f>-'Foglio deposito bis'!$F$58*(C970-sezione!$AL$30)*IF(ABS(K970)&lt;'Sollecitazioni nel paramento'!$G$58,ABS(K970)*'Sollecitazioni nel paramento'!$G$54,'Sollecitazioni nel paramento'!$G$53)</f>
        <v>0</v>
      </c>
      <c r="F970" s="545">
        <f>-'Foglio deposito bis'!$F$59*(C970-sezione!$AM$30)*IF(ABS(L970)&lt;'Sollecitazioni nel paramento'!$G$58,ABS(L970)*'Sollecitazioni nel paramento'!$G$54,'Sollecitazioni nel paramento'!$G$53)</f>
        <v>-37516888.248050794</v>
      </c>
      <c r="G970" s="545">
        <f>-'Foglio deposito bis'!$F$60*(C970-sezione!$AN$30)*IF(ABS(M970)&lt;'Sollecitazioni nel paramento'!$G$58,ABS(M970)*'Sollecitazioni nel paramento'!$G$54,'Sollecitazioni nel paramento'!$G$53)</f>
        <v>0</v>
      </c>
      <c r="H970" s="545">
        <f>-'Foglio deposito bis'!$F$61*(C970-sezione!$AO$30)*IF(ABS(N970)&lt;'Sollecitazioni nel paramento'!$G$58,ABS(N970)*'Sollecitazioni nel paramento'!$G$54,'Sollecitazioni nel paramento'!$G$53)</f>
        <v>-30329908.962975215</v>
      </c>
      <c r="I970" s="472">
        <f>-'Foglio deposito bis'!$F$62*(C970-sezione!$AP$30)*IF(ABS(O970)&lt;'Sollecitazioni nel paramento'!$G$58,ABS(O970)*'Sollecitazioni nel paramento'!$G$54,'Sollecitazioni nel paramento'!$G$53)</f>
        <v>12428205.596420242</v>
      </c>
      <c r="J970" s="472">
        <f t="shared" si="69"/>
        <v>-2113545151.5781581</v>
      </c>
      <c r="K970" s="550">
        <f>'Sollecitazioni nel paramento'!$G$60*(sezione!$AL$30-C970)/C970</f>
        <v>-3.0396969955680531E-3</v>
      </c>
      <c r="L970" s="550">
        <f>'Sollecitazioni nel paramento'!$G$60*(sezione!$AM$30-C970)/C970</f>
        <v>-2.8095454933520789E-3</v>
      </c>
      <c r="M970" s="551">
        <f>'Sollecitazioni nel paramento'!$G$60*(sezione!$AN$30-C970)/C970</f>
        <v>-2.5793939911361056E-3</v>
      </c>
      <c r="N970" s="551">
        <f>'Sollecitazioni nel paramento'!$G$60*(sezione!$AO$30-C970)/C970</f>
        <v>-1.6587879822722107E-3</v>
      </c>
      <c r="O970" s="551">
        <f>'Sollecitazioni nel paramento'!$G$60*(sezione!$AP$30-C970)/C970</f>
        <v>9.291109842258997E-4</v>
      </c>
      <c r="P970" s="545">
        <f>-'Sollecitazioni nel paramento'!$G$47*'Sollecitazioni nel paramento'!$G$41*IF(DATI!$G$211="dx",DATI!$E$61,DATI!$E$64*DATI!$E$63)*1000*C970*sezione!$AD$5</f>
        <v>-11587106.642030474</v>
      </c>
      <c r="Q970" s="545">
        <f>'Foglio deposito bis'!$F$58*IF(ABS(K970)&lt;'Sollecitazioni nel paramento'!$G$58,ABS(K970)*'Sollecitazioni nel paramento'!$G$54,'Sollecitazioni nel paramento'!$G$53)*IF(K970&lt;0,-1,1)</f>
        <v>0</v>
      </c>
      <c r="R970" s="545">
        <f>'Foglio deposito bis'!$F$59*IF(ABS(L970)&lt;'Sollecitazioni nel paramento'!$G$58,ABS(L970)*'Sollecitazioni nel paramento'!$G$54,'Sollecitazioni nel paramento'!$G$53)*IF(L970&lt;0,-1,1)</f>
        <v>-153664.85805602249</v>
      </c>
      <c r="S970" s="545">
        <f>'Foglio deposito bis'!$F$60*IF(ABS(M970)&lt;'Sollecitazioni nel paramento'!$G$58,ABS(M970)*'Sollecitazioni nel paramento'!$G$54,'Sollecitazioni nel paramento'!$G$53)*IF(M970&lt;0,-1,1)</f>
        <v>0</v>
      </c>
      <c r="T970" s="545">
        <f>'Foglio deposito bis'!$F$61*IF(ABS(N970)&lt;'Sollecitazioni nel paramento'!$G$58,ABS(N970)*'Sollecitazioni nel paramento'!$G$54,'Sollecitazioni nel paramento'!$G$53)*IF(N970&lt;0,-1,1)</f>
        <v>-210408.87034702901</v>
      </c>
      <c r="U970" s="545">
        <f>'Foglio deposito bis'!$F$62*IF(ABS(O970)&lt;'Sollecitazioni nel paramento'!$G$58,ABS(O970)*'Sollecitazioni nel paramento'!$G$54,'Sollecitazioni nel paramento'!$G$53)*IF(O970&lt;0,-1,1)</f>
        <v>153930.49035192723</v>
      </c>
      <c r="V970" s="472">
        <f t="shared" si="71"/>
        <v>-11797249.880081598</v>
      </c>
      <c r="W970" s="551"/>
      <c r="X970" s="551"/>
    </row>
    <row r="971" spans="1:24" x14ac:dyDescent="0.25">
      <c r="A971" s="545">
        <f t="shared" si="70"/>
        <v>12034234.780041534</v>
      </c>
      <c r="B971" s="3">
        <f t="shared" si="68"/>
        <v>53.899999999999942</v>
      </c>
      <c r="C971" s="545">
        <f>'Foglio deposito bis'!$E$156/sezione!$B$247*B971</f>
        <v>309.89696235325806</v>
      </c>
      <c r="D971" s="603">
        <f>-'Sollecitazioni nel paramento'!$G$47*'Sollecitazioni nel paramento'!$G$41*IF(DATI!$G$211="dx",DATI!$E$61,DATI!$E$64*DATI!$E$63)*1000*C971^2*sezione!$AD$5*(1-sezione!$AD$6)</f>
        <v>-2136673991.0419533</v>
      </c>
      <c r="E971" s="545">
        <f>-'Foglio deposito bis'!$F$58*(C971-sezione!$AL$30)*IF(ABS(K971)&lt;'Sollecitazioni nel paramento'!$G$58,ABS(K971)*'Sollecitazioni nel paramento'!$G$54,'Sollecitazioni nel paramento'!$G$53)</f>
        <v>0</v>
      </c>
      <c r="F971" s="545">
        <f>-'Foglio deposito bis'!$F$59*(C971-sezione!$AM$30)*IF(ABS(L971)&lt;'Sollecitazioni nel paramento'!$G$58,ABS(L971)*'Sollecitazioni nel paramento'!$G$54,'Sollecitazioni nel paramento'!$G$53)</f>
        <v>-38400381.248644598</v>
      </c>
      <c r="G971" s="545">
        <f>-'Foglio deposito bis'!$F$60*(C971-sezione!$AN$30)*IF(ABS(M971)&lt;'Sollecitazioni nel paramento'!$G$58,ABS(M971)*'Sollecitazioni nel paramento'!$G$54,'Sollecitazioni nel paramento'!$G$53)</f>
        <v>0</v>
      </c>
      <c r="H971" s="545">
        <f>-'Foglio deposito bis'!$F$61*(C971-sezione!$AO$30)*IF(ABS(N971)&lt;'Sollecitazioni nel paramento'!$G$58,ABS(N971)*'Sollecitazioni nel paramento'!$G$54,'Sollecitazioni nel paramento'!$G$53)</f>
        <v>-32189153.323912453</v>
      </c>
      <c r="I971" s="472">
        <f>-'Foglio deposito bis'!$F$62*(C971-sezione!$AP$30)*IF(ABS(O971)&lt;'Sollecitazioni nel paramento'!$G$58,ABS(O971)*'Sollecitazioni nel paramento'!$G$54,'Sollecitazioni nel paramento'!$G$53)</f>
        <v>10522279.075133208</v>
      </c>
      <c r="J971" s="472">
        <f t="shared" si="69"/>
        <v>-2196741246.5393772</v>
      </c>
      <c r="K971" s="550">
        <f>'Sollecitazioni nel paramento'!$G$60*(sezione!$AL$30-C971)/C971</f>
        <v>-3.0482369399916511E-3</v>
      </c>
      <c r="L971" s="550">
        <f>'Sollecitazioni nel paramento'!$G$60*(sezione!$AM$30-C971)/C971</f>
        <v>-2.8223554099874766E-3</v>
      </c>
      <c r="M971" s="551">
        <f>'Sollecitazioni nel paramento'!$G$60*(sezione!$AN$30-C971)/C971</f>
        <v>-2.5964738799833021E-3</v>
      </c>
      <c r="N971" s="551">
        <f>'Sollecitazioni nel paramento'!$G$60*(sezione!$AO$30-C971)/C971</f>
        <v>-1.692947759966604E-3</v>
      </c>
      <c r="O971" s="551">
        <f>'Sollecitazioni nel paramento'!$G$60*(sezione!$AP$30-C971)/C971</f>
        <v>8.4693823869295157E-4</v>
      </c>
      <c r="P971" s="545">
        <f>-'Sollecitazioni nel paramento'!$G$47*'Sollecitazioni nel paramento'!$G$41*IF(DATI!$G$211="dx",DATI!$E$61,DATI!$E$64*DATI!$E$63)*1000*C971*sezione!$AD$5</f>
        <v>-11806144.574772069</v>
      </c>
      <c r="Q971" s="545">
        <f>'Foglio deposito bis'!$F$58*IF(ABS(K971)&lt;'Sollecitazioni nel paramento'!$G$58,ABS(K971)*'Sollecitazioni nel paramento'!$G$54,'Sollecitazioni nel paramento'!$G$53)*IF(K971&lt;0,-1,1)</f>
        <v>0</v>
      </c>
      <c r="R971" s="545">
        <f>'Foglio deposito bis'!$F$59*IF(ABS(L971)&lt;'Sollecitazioni nel paramento'!$G$58,ABS(L971)*'Sollecitazioni nel paramento'!$G$54,'Sollecitazioni nel paramento'!$G$53)*IF(L971&lt;0,-1,1)</f>
        <v>-153664.85805602249</v>
      </c>
      <c r="S971" s="545">
        <f>'Foglio deposito bis'!$F$60*IF(ABS(M971)&lt;'Sollecitazioni nel paramento'!$G$58,ABS(M971)*'Sollecitazioni nel paramento'!$G$54,'Sollecitazioni nel paramento'!$G$53)*IF(M971&lt;0,-1,1)</f>
        <v>0</v>
      </c>
      <c r="T971" s="545">
        <f>'Foglio deposito bis'!$F$61*IF(ABS(N971)&lt;'Sollecitazioni nel paramento'!$G$58,ABS(N971)*'Sollecitazioni nel paramento'!$G$54,'Sollecitazioni nel paramento'!$G$53)*IF(N971&lt;0,-1,1)</f>
        <v>-214741.8654692492</v>
      </c>
      <c r="U971" s="545">
        <f>'Foglio deposito bis'!$F$62*IF(ABS(O971)&lt;'Sollecitazioni nel paramento'!$G$58,ABS(O971)*'Sollecitazioni nel paramento'!$G$54,'Sollecitazioni nel paramento'!$G$53)*IF(O971&lt;0,-1,1)</f>
        <v>140316.51825580632</v>
      </c>
      <c r="V971" s="472">
        <f t="shared" si="71"/>
        <v>-12034234.780041534</v>
      </c>
      <c r="W971" s="551"/>
      <c r="X971" s="551"/>
    </row>
    <row r="972" spans="1:24" x14ac:dyDescent="0.25">
      <c r="A972" s="545">
        <f t="shared" si="70"/>
        <v>12270565.87427403</v>
      </c>
      <c r="B972" s="3">
        <f t="shared" si="68"/>
        <v>54.899999999999942</v>
      </c>
      <c r="C972" s="545">
        <f>'Foglio deposito bis'!$E$156/sezione!$B$247*B972</f>
        <v>315.64644217428327</v>
      </c>
      <c r="D972" s="603">
        <f>-'Sollecitazioni nel paramento'!$G$47*'Sollecitazioni nel paramento'!$G$41*IF(DATI!$G$211="dx",DATI!$E$61,DATI!$E$64*DATI!$E$63)*1000*C972^2*sezione!$AD$5*(1-sezione!$AD$6)</f>
        <v>-2216692347.7959795</v>
      </c>
      <c r="E972" s="545">
        <f>-'Foglio deposito bis'!$F$58*(C972-sezione!$AL$30)*IF(ABS(K972)&lt;'Sollecitazioni nel paramento'!$G$58,ABS(K972)*'Sollecitazioni nel paramento'!$G$54,'Sollecitazioni nel paramento'!$G$53)</f>
        <v>0</v>
      </c>
      <c r="F972" s="545">
        <f>-'Foglio deposito bis'!$F$59*(C972-sezione!$AM$30)*IF(ABS(L972)&lt;'Sollecitazioni nel paramento'!$G$58,ABS(L972)*'Sollecitazioni nel paramento'!$G$54,'Sollecitazioni nel paramento'!$G$53)</f>
        <v>-39283874.249238402</v>
      </c>
      <c r="G972" s="545">
        <f>-'Foglio deposito bis'!$F$60*(C972-sezione!$AN$30)*IF(ABS(M972)&lt;'Sollecitazioni nel paramento'!$G$58,ABS(M972)*'Sollecitazioni nel paramento'!$G$54,'Sollecitazioni nel paramento'!$G$53)</f>
        <v>0</v>
      </c>
      <c r="H972" s="545">
        <f>-'Foglio deposito bis'!$F$61*(C972-sezione!$AO$30)*IF(ABS(N972)&lt;'Sollecitazioni nel paramento'!$G$58,ABS(N972)*'Sollecitazioni nel paramento'!$G$54,'Sollecitazioni nel paramento'!$G$53)</f>
        <v>-34073653.758421831</v>
      </c>
      <c r="I972" s="472">
        <f>-'Foglio deposito bis'!$F$62*(C972-sezione!$AP$30)*IF(ABS(O972)&lt;'Sollecitazioni nel paramento'!$G$58,ABS(O972)*'Sollecitazioni nel paramento'!$G$54,'Sollecitazioni nel paramento'!$G$53)</f>
        <v>8807239.0701054838</v>
      </c>
      <c r="J972" s="472">
        <f t="shared" si="69"/>
        <v>-2281242636.7335343</v>
      </c>
      <c r="K972" s="550">
        <f>'Sollecitazioni nel paramento'!$G$60*(sezione!$AL$30-C972)/C972</f>
        <v>-3.0564657753287794E-3</v>
      </c>
      <c r="L972" s="550">
        <f>'Sollecitazioni nel paramento'!$G$60*(sezione!$AM$30-C972)/C972</f>
        <v>-2.8346986629931691E-3</v>
      </c>
      <c r="M972" s="551">
        <f>'Sollecitazioni nel paramento'!$G$60*(sezione!$AN$30-C972)/C972</f>
        <v>-2.6129315506575588E-3</v>
      </c>
      <c r="N972" s="551">
        <f>'Sollecitazioni nel paramento'!$G$60*(sezione!$AO$30-C972)/C972</f>
        <v>-1.7258631013151175E-3</v>
      </c>
      <c r="O972" s="551">
        <f>'Sollecitazioni nel paramento'!$G$60*(sezione!$AP$30-C972)/C972</f>
        <v>7.6775903580236944E-4</v>
      </c>
      <c r="P972" s="545">
        <f>-'Sollecitazioni nel paramento'!$G$47*'Sollecitazioni nel paramento'!$G$41*IF(DATI!$G$211="dx",DATI!$E$61,DATI!$E$64*DATI!$E$63)*1000*C972*sezione!$AD$5</f>
        <v>-12025182.507513668</v>
      </c>
      <c r="Q972" s="545">
        <f>'Foglio deposito bis'!$F$58*IF(ABS(K972)&lt;'Sollecitazioni nel paramento'!$G$58,ABS(K972)*'Sollecitazioni nel paramento'!$G$54,'Sollecitazioni nel paramento'!$G$53)*IF(K972&lt;0,-1,1)</f>
        <v>0</v>
      </c>
      <c r="R972" s="545">
        <f>'Foglio deposito bis'!$F$59*IF(ABS(L972)&lt;'Sollecitazioni nel paramento'!$G$58,ABS(L972)*'Sollecitazioni nel paramento'!$G$54,'Sollecitazioni nel paramento'!$G$53)*IF(L972&lt;0,-1,1)</f>
        <v>-153664.85805602249</v>
      </c>
      <c r="S972" s="545">
        <f>'Foglio deposito bis'!$F$60*IF(ABS(M972)&lt;'Sollecitazioni nel paramento'!$G$58,ABS(M972)*'Sollecitazioni nel paramento'!$G$54,'Sollecitazioni nel paramento'!$G$53)*IF(M972&lt;0,-1,1)</f>
        <v>0</v>
      </c>
      <c r="T972" s="545">
        <f>'Foglio deposito bis'!$F$61*IF(ABS(N972)&lt;'Sollecitazioni nel paramento'!$G$58,ABS(N972)*'Sollecitazioni nel paramento'!$G$54,'Sollecitazioni nel paramento'!$G$53)*IF(N972&lt;0,-1,1)</f>
        <v>-218917.01013164347</v>
      </c>
      <c r="U972" s="545">
        <f>'Foglio deposito bis'!$F$62*IF(ABS(O972)&lt;'Sollecitazioni nel paramento'!$G$58,ABS(O972)*'Sollecitazioni nel paramento'!$G$54,'Sollecitazioni nel paramento'!$G$53)*IF(O972&lt;0,-1,1)</f>
        <v>127198.50142730364</v>
      </c>
      <c r="V972" s="472">
        <f t="shared" si="71"/>
        <v>-12270565.87427403</v>
      </c>
      <c r="W972" s="551"/>
      <c r="X972" s="551"/>
    </row>
    <row r="973" spans="1:24" x14ac:dyDescent="0.25">
      <c r="A973" s="545">
        <f t="shared" si="70"/>
        <v>12506278.250742985</v>
      </c>
      <c r="B973" s="3">
        <f t="shared" si="68"/>
        <v>55.899999999999942</v>
      </c>
      <c r="C973" s="545">
        <f>'Foglio deposito bis'!$E$156/sezione!$B$247*B973</f>
        <v>321.39592199530847</v>
      </c>
      <c r="D973" s="603">
        <f>-'Sollecitazioni nel paramento'!$G$47*'Sollecitazioni nel paramento'!$G$41*IF(DATI!$G$211="dx",DATI!$E$61,DATI!$E$64*DATI!$E$63)*1000*C973^2*sezione!$AD$5*(1-sezione!$AD$6)</f>
        <v>-2298181630.2256312</v>
      </c>
      <c r="E973" s="545">
        <f>-'Foglio deposito bis'!$F$58*(C973-sezione!$AL$30)*IF(ABS(K973)&lt;'Sollecitazioni nel paramento'!$G$58,ABS(K973)*'Sollecitazioni nel paramento'!$G$54,'Sollecitazioni nel paramento'!$G$53)</f>
        <v>0</v>
      </c>
      <c r="F973" s="545">
        <f>-'Foglio deposito bis'!$F$59*(C973-sezione!$AM$30)*IF(ABS(L973)&lt;'Sollecitazioni nel paramento'!$G$58,ABS(L973)*'Sollecitazioni nel paramento'!$G$54,'Sollecitazioni nel paramento'!$G$53)</f>
        <v>-40167367.249832205</v>
      </c>
      <c r="G973" s="545">
        <f>-'Foglio deposito bis'!$F$60*(C973-sezione!$AN$30)*IF(ABS(M973)&lt;'Sollecitazioni nel paramento'!$G$58,ABS(M973)*'Sollecitazioni nel paramento'!$G$54,'Sollecitazioni nel paramento'!$G$53)</f>
        <v>0</v>
      </c>
      <c r="H973" s="545">
        <f>-'Foglio deposito bis'!$F$61*(C973-sezione!$AO$30)*IF(ABS(N973)&lt;'Sollecitazioni nel paramento'!$G$58,ABS(N973)*'Sollecitazioni nel paramento'!$G$54,'Sollecitazioni nel paramento'!$G$53)</f>
        <v>-35982054.842161365</v>
      </c>
      <c r="I973" s="472">
        <f>-'Foglio deposito bis'!$F$62*(C973-sezione!$AP$30)*IF(ABS(O973)&lt;'Sollecitazioni nel paramento'!$G$58,ABS(O973)*'Sollecitazioni nel paramento'!$G$54,'Sollecitazioni nel paramento'!$G$53)</f>
        <v>7272841.2244716324</v>
      </c>
      <c r="J973" s="472">
        <f t="shared" si="69"/>
        <v>-2367058211.093153</v>
      </c>
      <c r="K973" s="550">
        <f>'Sollecitazioni nel paramento'!$G$60*(sezione!$AL$30-C973)/C973</f>
        <v>-3.0644001979525937E-3</v>
      </c>
      <c r="L973" s="550">
        <f>'Sollecitazioni nel paramento'!$G$60*(sezione!$AM$30-C973)/C973</f>
        <v>-2.8466002969288907E-3</v>
      </c>
      <c r="M973" s="551">
        <f>'Sollecitazioni nel paramento'!$G$60*(sezione!$AN$30-C973)/C973</f>
        <v>-2.6288003959051877E-3</v>
      </c>
      <c r="N973" s="551">
        <f>'Sollecitazioni nel paramento'!$G$60*(sezione!$AO$30-C973)/C973</f>
        <v>-1.7576007918103749E-3</v>
      </c>
      <c r="O973" s="551">
        <f>'Sollecitazioni nel paramento'!$G$60*(sezione!$AP$30-C973)/C973</f>
        <v>6.9141272031395494E-4</v>
      </c>
      <c r="P973" s="545">
        <f>-'Sollecitazioni nel paramento'!$G$47*'Sollecitazioni nel paramento'!$G$41*IF(DATI!$G$211="dx",DATI!$E$61,DATI!$E$64*DATI!$E$63)*1000*C973*sezione!$AD$5</f>
        <v>-12244220.440255266</v>
      </c>
      <c r="Q973" s="545">
        <f>'Foglio deposito bis'!$F$58*IF(ABS(K973)&lt;'Sollecitazioni nel paramento'!$G$58,ABS(K973)*'Sollecitazioni nel paramento'!$G$54,'Sollecitazioni nel paramento'!$G$53)*IF(K973&lt;0,-1,1)</f>
        <v>0</v>
      </c>
      <c r="R973" s="545">
        <f>'Foglio deposito bis'!$F$59*IF(ABS(L973)&lt;'Sollecitazioni nel paramento'!$G$58,ABS(L973)*'Sollecitazioni nel paramento'!$G$54,'Sollecitazioni nel paramento'!$G$53)*IF(L973&lt;0,-1,1)</f>
        <v>-153664.85805602249</v>
      </c>
      <c r="S973" s="545">
        <f>'Foglio deposito bis'!$F$60*IF(ABS(M973)&lt;'Sollecitazioni nel paramento'!$G$58,ABS(M973)*'Sollecitazioni nel paramento'!$G$54,'Sollecitazioni nel paramento'!$G$53)*IF(M973&lt;0,-1,1)</f>
        <v>0</v>
      </c>
      <c r="T973" s="545">
        <f>'Foglio deposito bis'!$F$61*IF(ABS(N973)&lt;'Sollecitazioni nel paramento'!$G$58,ABS(N973)*'Sollecitazioni nel paramento'!$G$54,'Sollecitazioni nel paramento'!$G$53)*IF(N973&lt;0,-1,1)</f>
        <v>-222942.77573634923</v>
      </c>
      <c r="U973" s="545">
        <f>'Foglio deposito bis'!$F$62*IF(ABS(O973)&lt;'Sollecitazioni nel paramento'!$G$58,ABS(O973)*'Sollecitazioni nel paramento'!$G$54,'Sollecitazioni nel paramento'!$G$53)*IF(O973&lt;0,-1,1)</f>
        <v>114549.8233046508</v>
      </c>
      <c r="V973" s="472">
        <f t="shared" si="71"/>
        <v>-12506278.250742985</v>
      </c>
      <c r="W973" s="551"/>
      <c r="X973" s="551"/>
    </row>
    <row r="974" spans="1:24" x14ac:dyDescent="0.25">
      <c r="A974" s="545">
        <f t="shared" si="70"/>
        <v>12741404.530771611</v>
      </c>
      <c r="B974" s="3">
        <f t="shared" si="68"/>
        <v>56.899999999999942</v>
      </c>
      <c r="C974" s="545">
        <f>'Foglio deposito bis'!$E$156/sezione!$B$247*B974</f>
        <v>327.14540181633367</v>
      </c>
      <c r="D974" s="603">
        <f>-'Sollecitazioni nel paramento'!$G$47*'Sollecitazioni nel paramento'!$G$41*IF(DATI!$G$211="dx",DATI!$E$61,DATI!$E$64*DATI!$E$63)*1000*C974^2*sezione!$AD$5*(1-sezione!$AD$6)</f>
        <v>-2381141838.3309088</v>
      </c>
      <c r="E974" s="545">
        <f>-'Foglio deposito bis'!$F$58*(C974-sezione!$AL$30)*IF(ABS(K974)&lt;'Sollecitazioni nel paramento'!$G$58,ABS(K974)*'Sollecitazioni nel paramento'!$G$54,'Sollecitazioni nel paramento'!$G$53)</f>
        <v>0</v>
      </c>
      <c r="F974" s="545">
        <f>-'Foglio deposito bis'!$F$59*(C974-sezione!$AM$30)*IF(ABS(L974)&lt;'Sollecitazioni nel paramento'!$G$58,ABS(L974)*'Sollecitazioni nel paramento'!$G$54,'Sollecitazioni nel paramento'!$G$53)</f>
        <v>-41050860.250426009</v>
      </c>
      <c r="G974" s="545">
        <f>-'Foglio deposito bis'!$F$60*(C974-sezione!$AN$30)*IF(ABS(M974)&lt;'Sollecitazioni nel paramento'!$G$58,ABS(M974)*'Sollecitazioni nel paramento'!$G$54,'Sollecitazioni nel paramento'!$G$53)</f>
        <v>0</v>
      </c>
      <c r="H974" s="545">
        <f>-'Foglio deposito bis'!$F$61*(C974-sezione!$AO$30)*IF(ABS(N974)&lt;'Sollecitazioni nel paramento'!$G$58,ABS(N974)*'Sollecitazioni nel paramento'!$G$54,'Sollecitazioni nel paramento'!$G$53)</f>
        <v>-37913096.435452856</v>
      </c>
      <c r="I974" s="472">
        <f>-'Foglio deposito bis'!$F$62*(C974-sezione!$AP$30)*IF(ABS(O974)&lt;'Sollecitazioni nel paramento'!$G$58,ABS(O974)*'Sollecitazioni nel paramento'!$G$54,'Sollecitazioni nel paramento'!$G$53)</f>
        <v>5909561.3470509537</v>
      </c>
      <c r="J974" s="472">
        <f t="shared" si="69"/>
        <v>-2454196233.6697364</v>
      </c>
      <c r="K974" s="550">
        <f>'Sollecitazioni nel paramento'!$G$60*(sezione!$AL$30-C974)/C974</f>
        <v>-3.0720557305017574E-3</v>
      </c>
      <c r="L974" s="550">
        <f>'Sollecitazioni nel paramento'!$G$60*(sezione!$AM$30-C974)/C974</f>
        <v>-2.858083595752636E-3</v>
      </c>
      <c r="M974" s="551">
        <f>'Sollecitazioni nel paramento'!$G$60*(sezione!$AN$30-C974)/C974</f>
        <v>-2.6441114610035146E-3</v>
      </c>
      <c r="N974" s="551">
        <f>'Sollecitazioni nel paramento'!$G$60*(sezione!$AO$30-C974)/C974</f>
        <v>-1.788222922007029E-3</v>
      </c>
      <c r="O974" s="551">
        <f>'Sollecitazioni nel paramento'!$G$60*(sezione!$AP$30-C974)/C974</f>
        <v>6.1774993085325267E-4</v>
      </c>
      <c r="P974" s="545">
        <f>-'Sollecitazioni nel paramento'!$G$47*'Sollecitazioni nel paramento'!$G$41*IF(DATI!$G$211="dx",DATI!$E$61,DATI!$E$64*DATI!$E$63)*1000*C974*sezione!$AD$5</f>
        <v>-12463258.372996861</v>
      </c>
      <c r="Q974" s="545">
        <f>'Foglio deposito bis'!$F$58*IF(ABS(K974)&lt;'Sollecitazioni nel paramento'!$G$58,ABS(K974)*'Sollecitazioni nel paramento'!$G$54,'Sollecitazioni nel paramento'!$G$53)*IF(K974&lt;0,-1,1)</f>
        <v>0</v>
      </c>
      <c r="R974" s="545">
        <f>'Foglio deposito bis'!$F$59*IF(ABS(L974)&lt;'Sollecitazioni nel paramento'!$G$58,ABS(L974)*'Sollecitazioni nel paramento'!$G$54,'Sollecitazioni nel paramento'!$G$53)*IF(L974&lt;0,-1,1)</f>
        <v>-153664.85805602249</v>
      </c>
      <c r="S974" s="545">
        <f>'Foglio deposito bis'!$F$60*IF(ABS(M974)&lt;'Sollecitazioni nel paramento'!$G$58,ABS(M974)*'Sollecitazioni nel paramento'!$G$54,'Sollecitazioni nel paramento'!$G$53)*IF(M974&lt;0,-1,1)</f>
        <v>0</v>
      </c>
      <c r="T974" s="545">
        <f>'Foglio deposito bis'!$F$61*IF(ABS(N974)&lt;'Sollecitazioni nel paramento'!$G$58,ABS(N974)*'Sollecitazioni nel paramento'!$G$54,'Sollecitazioni nel paramento'!$G$53)*IF(N974&lt;0,-1,1)</f>
        <v>-226827.03815635529</v>
      </c>
      <c r="U974" s="545">
        <f>'Foglio deposito bis'!$F$62*IF(ABS(O974)&lt;'Sollecitazioni nel paramento'!$G$58,ABS(O974)*'Sollecitazioni nel paramento'!$G$54,'Sollecitazioni nel paramento'!$G$53)*IF(O974&lt;0,-1,1)</f>
        <v>102345.73843762722</v>
      </c>
      <c r="V974" s="472">
        <f t="shared" si="71"/>
        <v>-12741404.530771611</v>
      </c>
      <c r="W974" s="551"/>
      <c r="X974" s="551"/>
    </row>
    <row r="975" spans="1:24" x14ac:dyDescent="0.25">
      <c r="A975" s="545">
        <f t="shared" si="70"/>
        <v>12975975.082051117</v>
      </c>
      <c r="B975" s="3">
        <f t="shared" si="68"/>
        <v>57.899999999999942</v>
      </c>
      <c r="C975" s="545">
        <f>'Foglio deposito bis'!$E$156/sezione!$B$247*B975</f>
        <v>332.89488163735888</v>
      </c>
      <c r="D975" s="603">
        <f>-'Sollecitazioni nel paramento'!$G$47*'Sollecitazioni nel paramento'!$G$41*IF(DATI!$G$211="dx",DATI!$E$61,DATI!$E$64*DATI!$E$63)*1000*C975^2*sezione!$AD$5*(1-sezione!$AD$6)</f>
        <v>-2465572972.1118116</v>
      </c>
      <c r="E975" s="545">
        <f>-'Foglio deposito bis'!$F$58*(C975-sezione!$AL$30)*IF(ABS(K975)&lt;'Sollecitazioni nel paramento'!$G$58,ABS(K975)*'Sollecitazioni nel paramento'!$G$54,'Sollecitazioni nel paramento'!$G$53)</f>
        <v>0</v>
      </c>
      <c r="F975" s="545">
        <f>-'Foglio deposito bis'!$F$59*(C975-sezione!$AM$30)*IF(ABS(L975)&lt;'Sollecitazioni nel paramento'!$G$58,ABS(L975)*'Sollecitazioni nel paramento'!$G$54,'Sollecitazioni nel paramento'!$G$53)</f>
        <v>-41934353.251019813</v>
      </c>
      <c r="G975" s="545">
        <f>-'Foglio deposito bis'!$F$60*(C975-sezione!$AN$30)*IF(ABS(M975)&lt;'Sollecitazioni nel paramento'!$G$58,ABS(M975)*'Sollecitazioni nel paramento'!$G$54,'Sollecitazioni nel paramento'!$G$53)</f>
        <v>0</v>
      </c>
      <c r="H975" s="545">
        <f>-'Foglio deposito bis'!$F$61*(C975-sezione!$AO$30)*IF(ABS(N975)&lt;'Sollecitazioni nel paramento'!$G$58,ABS(N975)*'Sollecitazioni nel paramento'!$G$54,'Sollecitazioni nel paramento'!$G$53)</f>
        <v>-39865605.454899818</v>
      </c>
      <c r="I975" s="472">
        <f>-'Foglio deposito bis'!$F$62*(C975-sezione!$AP$30)*IF(ABS(O975)&lt;'Sollecitazioni nel paramento'!$G$58,ABS(O975)*'Sollecitazioni nel paramento'!$G$54,'Sollecitazioni nel paramento'!$G$53)</f>
        <v>4708533.2218738552</v>
      </c>
      <c r="J975" s="472">
        <f t="shared" si="69"/>
        <v>-2542664397.5958576</v>
      </c>
      <c r="K975" s="550">
        <f>'Sollecitazioni nel paramento'!$G$60*(sezione!$AL$30-C975)/C975</f>
        <v>-3.0794468232392055E-3</v>
      </c>
      <c r="L975" s="550">
        <f>'Sollecitazioni nel paramento'!$G$60*(sezione!$AM$30-C975)/C975</f>
        <v>-2.8691702348588081E-3</v>
      </c>
      <c r="M975" s="551">
        <f>'Sollecitazioni nel paramento'!$G$60*(sezione!$AN$30-C975)/C975</f>
        <v>-2.6588936464784106E-3</v>
      </c>
      <c r="N975" s="551">
        <f>'Sollecitazioni nel paramento'!$G$60*(sezione!$AO$30-C975)/C975</f>
        <v>-1.8177872929568213E-3</v>
      </c>
      <c r="O975" s="551">
        <f>'Sollecitazioni nel paramento'!$G$60*(sezione!$AP$30-C975)/C975</f>
        <v>5.4663162462089928E-4</v>
      </c>
      <c r="P975" s="545">
        <f>-'Sollecitazioni nel paramento'!$G$47*'Sollecitazioni nel paramento'!$G$41*IF(DATI!$G$211="dx",DATI!$E$61,DATI!$E$64*DATI!$E$63)*1000*C975*sezione!$AD$5</f>
        <v>-12682296.305738458</v>
      </c>
      <c r="Q975" s="545">
        <f>'Foglio deposito bis'!$F$58*IF(ABS(K975)&lt;'Sollecitazioni nel paramento'!$G$58,ABS(K975)*'Sollecitazioni nel paramento'!$G$54,'Sollecitazioni nel paramento'!$G$53)*IF(K975&lt;0,-1,1)</f>
        <v>0</v>
      </c>
      <c r="R975" s="545">
        <f>'Foglio deposito bis'!$F$59*IF(ABS(L975)&lt;'Sollecitazioni nel paramento'!$G$58,ABS(L975)*'Sollecitazioni nel paramento'!$G$54,'Sollecitazioni nel paramento'!$G$53)*IF(L975&lt;0,-1,1)</f>
        <v>-153664.85805602249</v>
      </c>
      <c r="S975" s="545">
        <f>'Foglio deposito bis'!$F$60*IF(ABS(M975)&lt;'Sollecitazioni nel paramento'!$G$58,ABS(M975)*'Sollecitazioni nel paramento'!$G$54,'Sollecitazioni nel paramento'!$G$53)*IF(M975&lt;0,-1,1)</f>
        <v>0</v>
      </c>
      <c r="T975" s="545">
        <f>'Foglio deposito bis'!$F$61*IF(ABS(N975)&lt;'Sollecitazioni nel paramento'!$G$58,ABS(N975)*'Sollecitazioni nel paramento'!$G$54,'Sollecitazioni nel paramento'!$G$53)*IF(N975&lt;0,-1,1)</f>
        <v>-230577.12916288967</v>
      </c>
      <c r="U975" s="545">
        <f>'Foglio deposito bis'!$F$62*IF(ABS(O975)&lt;'Sollecitazioni nel paramento'!$G$58,ABS(O975)*'Sollecitazioni nel paramento'!$G$54,'Sollecitazioni nel paramento'!$G$53)*IF(O975&lt;0,-1,1)</f>
        <v>90563.210906252119</v>
      </c>
      <c r="V975" s="472">
        <f t="shared" si="71"/>
        <v>-12975975.082051117</v>
      </c>
      <c r="W975" s="551"/>
      <c r="X975" s="551"/>
    </row>
    <row r="976" spans="1:24" x14ac:dyDescent="0.25">
      <c r="A976" s="545">
        <f t="shared" si="70"/>
        <v>13210018.20995073</v>
      </c>
      <c r="B976" s="3">
        <f t="shared" si="68"/>
        <v>58.899999999999942</v>
      </c>
      <c r="C976" s="545">
        <f>'Foglio deposito bis'!$E$156/sezione!$B$247*B976</f>
        <v>338.64436145838408</v>
      </c>
      <c r="D976" s="603">
        <f>-'Sollecitazioni nel paramento'!$G$47*'Sollecitazioni nel paramento'!$G$41*IF(DATI!$G$211="dx",DATI!$E$61,DATI!$E$64*DATI!$E$63)*1000*C976^2*sezione!$AD$5*(1-sezione!$AD$6)</f>
        <v>-2551475031.5683398</v>
      </c>
      <c r="E976" s="545">
        <f>-'Foglio deposito bis'!$F$58*(C976-sezione!$AL$30)*IF(ABS(K976)&lt;'Sollecitazioni nel paramento'!$G$58,ABS(K976)*'Sollecitazioni nel paramento'!$G$54,'Sollecitazioni nel paramento'!$G$53)</f>
        <v>0</v>
      </c>
      <c r="F976" s="545">
        <f>-'Foglio deposito bis'!$F$59*(C976-sezione!$AM$30)*IF(ABS(L976)&lt;'Sollecitazioni nel paramento'!$G$58,ABS(L976)*'Sollecitazioni nel paramento'!$G$54,'Sollecitazioni nel paramento'!$G$53)</f>
        <v>-42817846.251613617</v>
      </c>
      <c r="G976" s="545">
        <f>-'Foglio deposito bis'!$F$60*(C976-sezione!$AN$30)*IF(ABS(M976)&lt;'Sollecitazioni nel paramento'!$G$58,ABS(M976)*'Sollecitazioni nel paramento'!$G$54,'Sollecitazioni nel paramento'!$G$53)</f>
        <v>0</v>
      </c>
      <c r="H976" s="545">
        <f>-'Foglio deposito bis'!$F$61*(C976-sezione!$AO$30)*IF(ABS(N976)&lt;'Sollecitazioni nel paramento'!$G$58,ABS(N976)*'Sollecitazioni nel paramento'!$G$54,'Sollecitazioni nel paramento'!$G$53)</f>
        <v>-41838488.483210802</v>
      </c>
      <c r="I976" s="472">
        <f>-'Foglio deposito bis'!$F$62*(C976-sezione!$AP$30)*IF(ABS(O976)&lt;'Sollecitazioni nel paramento'!$G$58,ABS(O976)*'Sollecitazioni nel paramento'!$G$54,'Sollecitazioni nel paramento'!$G$53)</f>
        <v>3661492.7529007667</v>
      </c>
      <c r="J976" s="472">
        <f t="shared" si="69"/>
        <v>-2632469873.5502639</v>
      </c>
      <c r="K976" s="550">
        <f>'Sollecitazioni nel paramento'!$G$60*(sezione!$AL$30-C976)/C976</f>
        <v>-3.0865869450857385E-3</v>
      </c>
      <c r="L976" s="550">
        <f>'Sollecitazioni nel paramento'!$G$60*(sezione!$AM$30-C976)/C976</f>
        <v>-2.8798804176286079E-3</v>
      </c>
      <c r="M976" s="551">
        <f>'Sollecitazioni nel paramento'!$G$60*(sezione!$AN$30-C976)/C976</f>
        <v>-2.6731738901714769E-3</v>
      </c>
      <c r="N976" s="551">
        <f>'Sollecitazioni nel paramento'!$G$60*(sezione!$AO$30-C976)/C976</f>
        <v>-1.8463477803429534E-3</v>
      </c>
      <c r="O976" s="551">
        <f>'Sollecitazioni nel paramento'!$G$60*(sezione!$AP$30-C976)/C976</f>
        <v>4.7792820145246286E-4</v>
      </c>
      <c r="P976" s="545">
        <f>-'Sollecitazioni nel paramento'!$G$47*'Sollecitazioni nel paramento'!$G$41*IF(DATI!$G$211="dx",DATI!$E$61,DATI!$E$64*DATI!$E$63)*1000*C976*sezione!$AD$5</f>
        <v>-12901334.238480056</v>
      </c>
      <c r="Q976" s="545">
        <f>'Foglio deposito bis'!$F$58*IF(ABS(K976)&lt;'Sollecitazioni nel paramento'!$G$58,ABS(K976)*'Sollecitazioni nel paramento'!$G$54,'Sollecitazioni nel paramento'!$G$53)*IF(K976&lt;0,-1,1)</f>
        <v>0</v>
      </c>
      <c r="R976" s="545">
        <f>'Foglio deposito bis'!$F$59*IF(ABS(L976)&lt;'Sollecitazioni nel paramento'!$G$58,ABS(L976)*'Sollecitazioni nel paramento'!$G$54,'Sollecitazioni nel paramento'!$G$53)*IF(L976&lt;0,-1,1)</f>
        <v>-153664.85805602249</v>
      </c>
      <c r="S976" s="545">
        <f>'Foglio deposito bis'!$F$60*IF(ABS(M976)&lt;'Sollecitazioni nel paramento'!$G$58,ABS(M976)*'Sollecitazioni nel paramento'!$G$54,'Sollecitazioni nel paramento'!$G$53)*IF(M976&lt;0,-1,1)</f>
        <v>0</v>
      </c>
      <c r="T976" s="545">
        <f>'Foglio deposito bis'!$F$61*IF(ABS(N976)&lt;'Sollecitazioni nel paramento'!$G$58,ABS(N976)*'Sollecitazioni nel paramento'!$G$54,'Sollecitazioni nel paramento'!$G$53)*IF(N976&lt;0,-1,1)</f>
        <v>-234199.88261402387</v>
      </c>
      <c r="U976" s="545">
        <f>'Foglio deposito bis'!$F$62*IF(ABS(O976)&lt;'Sollecitazioni nel paramento'!$G$58,ABS(O976)*'Sollecitazioni nel paramento'!$G$54,'Sollecitazioni nel paramento'!$G$53)*IF(O976&lt;0,-1,1)</f>
        <v>79180.769199371935</v>
      </c>
      <c r="V976" s="472">
        <f t="shared" si="71"/>
        <v>-13210018.20995073</v>
      </c>
      <c r="W976" s="551"/>
      <c r="X976" s="551"/>
    </row>
    <row r="977" spans="1:24" x14ac:dyDescent="0.25">
      <c r="A977" s="545">
        <f t="shared" si="70"/>
        <v>13446805.151079901</v>
      </c>
      <c r="B977" s="3">
        <f t="shared" si="68"/>
        <v>59.899999999999942</v>
      </c>
      <c r="C977" s="545">
        <f>'Foglio deposito bis'!$E$156/sezione!$B$247*B977</f>
        <v>344.39384127940929</v>
      </c>
      <c r="D977" s="603">
        <f>-'Sollecitazioni nel paramento'!$G$47*'Sollecitazioni nel paramento'!$G$41*IF(DATI!$G$211="dx",DATI!$E$61,DATI!$E$64*DATI!$E$63)*1000*C977^2*sezione!$AD$5*(1-sezione!$AD$6)</f>
        <v>-2638848016.7004938</v>
      </c>
      <c r="E977" s="545">
        <f>-'Foglio deposito bis'!$F$58*(C977-sezione!$AL$30)*IF(ABS(K977)&lt;'Sollecitazioni nel paramento'!$G$58,ABS(K977)*'Sollecitazioni nel paramento'!$G$54,'Sollecitazioni nel paramento'!$G$53)</f>
        <v>0</v>
      </c>
      <c r="F977" s="545">
        <f>-'Foglio deposito bis'!$F$59*(C977-sezione!$AM$30)*IF(ABS(L977)&lt;'Sollecitazioni nel paramento'!$G$58,ABS(L977)*'Sollecitazioni nel paramento'!$G$54,'Sollecitazioni nel paramento'!$G$53)</f>
        <v>-43701339.252207413</v>
      </c>
      <c r="G977" s="545">
        <f>-'Foglio deposito bis'!$F$60*(C977-sezione!$AN$30)*IF(ABS(M977)&lt;'Sollecitazioni nel paramento'!$G$58,ABS(M977)*'Sollecitazioni nel paramento'!$G$54,'Sollecitazioni nel paramento'!$G$53)</f>
        <v>0</v>
      </c>
      <c r="H977" s="545">
        <f>-'Foglio deposito bis'!$F$61*(C977-sezione!$AO$30)*IF(ABS(N977)&lt;'Sollecitazioni nel paramento'!$G$58,ABS(N977)*'Sollecitazioni nel paramento'!$G$54,'Sollecitazioni nel paramento'!$G$53)</f>
        <v>-44429050.204276904</v>
      </c>
      <c r="I977" s="472">
        <f>-'Foglio deposito bis'!$F$62*(C977-sezione!$AP$30)*IF(ABS(O977)&lt;'Sollecitazioni nel paramento'!$G$58,ABS(O977)*'Sollecitazioni nel paramento'!$G$54,'Sollecitazioni nel paramento'!$G$53)</f>
        <v>2760727.7035939251</v>
      </c>
      <c r="J977" s="472">
        <f t="shared" si="69"/>
        <v>-2724217678.4533844</v>
      </c>
      <c r="K977" s="550">
        <f>'Sollecitazioni nel paramento'!$G$60*(sezione!$AL$30-C977)/C977</f>
        <v>-3.0934886655350586E-3</v>
      </c>
      <c r="L977" s="550">
        <f>'Sollecitazioni nel paramento'!$G$60*(sezione!$AM$30-C977)/C977</f>
        <v>-2.8902329983025877E-3</v>
      </c>
      <c r="M977" s="551">
        <f>'Sollecitazioni nel paramento'!$G$60*(sezione!$AN$30-C977)/C977</f>
        <v>-2.6869773310701167E-3</v>
      </c>
      <c r="N977" s="551">
        <f>'Sollecitazioni nel paramento'!$G$60*(sezione!$AO$30-C977)/C977</f>
        <v>-1.873954662140233E-3</v>
      </c>
      <c r="O977" s="551">
        <f>'Sollecitazioni nel paramento'!$G$60*(sezione!$AP$30-C977)/C977</f>
        <v>4.1151871561853187E-4</v>
      </c>
      <c r="P977" s="545">
        <f>-'Sollecitazioni nel paramento'!$G$47*'Sollecitazioni nel paramento'!$G$41*IF(DATI!$G$211="dx",DATI!$E$61,DATI!$E$64*DATI!$E$63)*1000*C977*sezione!$AD$5</f>
        <v>-13120372.171221653</v>
      </c>
      <c r="Q977" s="545">
        <f>'Foglio deposito bis'!$F$58*IF(ABS(K977)&lt;'Sollecitazioni nel paramento'!$G$58,ABS(K977)*'Sollecitazioni nel paramento'!$G$54,'Sollecitazioni nel paramento'!$G$53)*IF(K977&lt;0,-1,1)</f>
        <v>0</v>
      </c>
      <c r="R977" s="545">
        <f>'Foglio deposito bis'!$F$59*IF(ABS(L977)&lt;'Sollecitazioni nel paramento'!$G$58,ABS(L977)*'Sollecitazioni nel paramento'!$G$54,'Sollecitazioni nel paramento'!$G$53)*IF(L977&lt;0,-1,1)</f>
        <v>-153664.85805602249</v>
      </c>
      <c r="S977" s="545">
        <f>'Foglio deposito bis'!$F$60*IF(ABS(M977)&lt;'Sollecitazioni nel paramento'!$G$58,ABS(M977)*'Sollecitazioni nel paramento'!$G$54,'Sollecitazioni nel paramento'!$G$53)*IF(M977&lt;0,-1,1)</f>
        <v>0</v>
      </c>
      <c r="T977" s="545">
        <f>'Foglio deposito bis'!$F$61*IF(ABS(N977)&lt;'Sollecitazioni nel paramento'!$G$58,ABS(N977)*'Sollecitazioni nel paramento'!$G$54,'Sollecitazioni nel paramento'!$G$53)*IF(N977&lt;0,-1,1)</f>
        <v>-240946.49743184328</v>
      </c>
      <c r="U977" s="545">
        <f>'Foglio deposito bis'!$F$62*IF(ABS(O977)&lt;'Sollecitazioni nel paramento'!$G$58,ABS(O977)*'Sollecitazioni nel paramento'!$G$54,'Sollecitazioni nel paramento'!$G$53)*IF(O977&lt;0,-1,1)</f>
        <v>68178.375629616305</v>
      </c>
      <c r="V977" s="472">
        <f t="shared" si="71"/>
        <v>-13446805.151079901</v>
      </c>
      <c r="W977" s="551"/>
      <c r="X977" s="551"/>
    </row>
    <row r="978" spans="1:24" x14ac:dyDescent="0.25">
      <c r="A978" s="545">
        <f t="shared" si="70"/>
        <v>13676484.150837239</v>
      </c>
      <c r="B978" s="3">
        <f t="shared" si="68"/>
        <v>60.899999999999942</v>
      </c>
      <c r="C978" s="545">
        <f>'Foglio deposito bis'!$E$156/sezione!$B$247*B978</f>
        <v>350.14332110043449</v>
      </c>
      <c r="D978" s="603">
        <f>-'Sollecitazioni nel paramento'!$G$47*'Sollecitazioni nel paramento'!$G$41*IF(DATI!$G$211="dx",DATI!$E$61,DATI!$E$64*DATI!$E$63)*1000*C978^2*sezione!$AD$5*(1-sezione!$AD$6)</f>
        <v>-2727691927.5082726</v>
      </c>
      <c r="E978" s="545">
        <f>-'Foglio deposito bis'!$F$58*(C978-sezione!$AL$30)*IF(ABS(K978)&lt;'Sollecitazioni nel paramento'!$G$58,ABS(K978)*'Sollecitazioni nel paramento'!$G$54,'Sollecitazioni nel paramento'!$G$53)</f>
        <v>0</v>
      </c>
      <c r="F978" s="545">
        <f>-'Foglio deposito bis'!$F$59*(C978-sezione!$AM$30)*IF(ABS(L978)&lt;'Sollecitazioni nel paramento'!$G$58,ABS(L978)*'Sollecitazioni nel paramento'!$G$54,'Sollecitazioni nel paramento'!$G$53)</f>
        <v>-44584832.252801225</v>
      </c>
      <c r="G978" s="545">
        <f>-'Foglio deposito bis'!$F$60*(C978-sezione!$AN$30)*IF(ABS(M978)&lt;'Sollecitazioni nel paramento'!$G$58,ABS(M978)*'Sollecitazioni nel paramento'!$G$54,'Sollecitazioni nel paramento'!$G$53)</f>
        <v>0</v>
      </c>
      <c r="H978" s="545">
        <f>-'Foglio deposito bis'!$F$61*(C978-sezione!$AO$30)*IF(ABS(N978)&lt;'Sollecitazioni nel paramento'!$G$58,ABS(N978)*'Sollecitazioni nel paramento'!$G$54,'Sollecitazioni nel paramento'!$G$53)</f>
        <v>-45814367.229207993</v>
      </c>
      <c r="I978" s="472">
        <f>-'Foglio deposito bis'!$F$62*(C978-sezione!$AP$30)*IF(ABS(O978)&lt;'Sollecitazioni nel paramento'!$G$58,ABS(O978)*'Sollecitazioni nel paramento'!$G$54,'Sollecitazioni nel paramento'!$G$53)</f>
        <v>1999032.3882554835</v>
      </c>
      <c r="J978" s="472">
        <f t="shared" si="69"/>
        <v>-2816092094.6020265</v>
      </c>
      <c r="K978" s="550">
        <f>'Sollecitazioni nel paramento'!$G$60*(sezione!$AL$30-C978)/C978</f>
        <v>-3.100163728498358E-3</v>
      </c>
      <c r="L978" s="550">
        <f>'Sollecitazioni nel paramento'!$G$60*(sezione!$AM$30-C978)/C978</f>
        <v>-2.9002455927475365E-3</v>
      </c>
      <c r="M978" s="551">
        <f>'Sollecitazioni nel paramento'!$G$60*(sezione!$AN$30-C978)/C978</f>
        <v>-2.7003274569967154E-3</v>
      </c>
      <c r="N978" s="551">
        <f>'Sollecitazioni nel paramento'!$G$60*(sezione!$AO$30-C978)/C978</f>
        <v>-1.9006549139934314E-3</v>
      </c>
      <c r="O978" s="551">
        <f>'Sollecitazioni nel paramento'!$G$60*(sezione!$AP$30-C978)/C978</f>
        <v>3.4729016527996798E-4</v>
      </c>
      <c r="P978" s="545">
        <f>-'Sollecitazioni nel paramento'!$G$47*'Sollecitazioni nel paramento'!$G$41*IF(DATI!$G$211="dx",DATI!$E$61,DATI!$E$64*DATI!$E$63)*1000*C978*sezione!$AD$5</f>
        <v>-13339410.10396325</v>
      </c>
      <c r="Q978" s="545">
        <f>'Foglio deposito bis'!$F$58*IF(ABS(K978)&lt;'Sollecitazioni nel paramento'!$G$58,ABS(K978)*'Sollecitazioni nel paramento'!$G$54,'Sollecitazioni nel paramento'!$G$53)*IF(K978&lt;0,-1,1)</f>
        <v>0</v>
      </c>
      <c r="R978" s="545">
        <f>'Foglio deposito bis'!$F$59*IF(ABS(L978)&lt;'Sollecitazioni nel paramento'!$G$58,ABS(L978)*'Sollecitazioni nel paramento'!$G$54,'Sollecitazioni nel paramento'!$G$53)*IF(L978&lt;0,-1,1)</f>
        <v>-153664.85805602249</v>
      </c>
      <c r="S978" s="545">
        <f>'Foglio deposito bis'!$F$60*IF(ABS(M978)&lt;'Sollecitazioni nel paramento'!$G$58,ABS(M978)*'Sollecitazioni nel paramento'!$G$54,'Sollecitazioni nel paramento'!$G$53)*IF(M978&lt;0,-1,1)</f>
        <v>0</v>
      </c>
      <c r="T978" s="545">
        <f>'Foglio deposito bis'!$F$61*IF(ABS(N978)&lt;'Sollecitazioni nel paramento'!$G$58,ABS(N978)*'Sollecitazioni nel paramento'!$G$54,'Sollecitazioni nel paramento'!$G$53)*IF(N978&lt;0,-1,1)</f>
        <v>-240946.49743184328</v>
      </c>
      <c r="U978" s="545">
        <f>'Foglio deposito bis'!$F$62*IF(ABS(O978)&lt;'Sollecitazioni nel paramento'!$G$58,ABS(O978)*'Sollecitazioni nel paramento'!$G$54,'Sollecitazioni nel paramento'!$G$53)*IF(O978&lt;0,-1,1)</f>
        <v>57537.308613875626</v>
      </c>
      <c r="V978" s="472">
        <f t="shared" si="71"/>
        <v>-13676484.150837239</v>
      </c>
      <c r="W978" s="551"/>
      <c r="X978" s="551"/>
    </row>
    <row r="979" spans="1:24" x14ac:dyDescent="0.25">
      <c r="A979" s="545">
        <f t="shared" si="70"/>
        <v>13905819.335828317</v>
      </c>
      <c r="B979" s="3">
        <f t="shared" si="68"/>
        <v>61.899999999999942</v>
      </c>
      <c r="C979" s="545">
        <f>'Foglio deposito bis'!$E$156/sezione!$B$247*B979</f>
        <v>355.8928009214597</v>
      </c>
      <c r="D979" s="603">
        <f>-'Sollecitazioni nel paramento'!$G$47*'Sollecitazioni nel paramento'!$G$41*IF(DATI!$G$211="dx",DATI!$E$61,DATI!$E$64*DATI!$E$63)*1000*C979^2*sezione!$AD$5*(1-sezione!$AD$6)</f>
        <v>-2818006763.9916782</v>
      </c>
      <c r="E979" s="545">
        <f>-'Foglio deposito bis'!$F$58*(C979-sezione!$AL$30)*IF(ABS(K979)&lt;'Sollecitazioni nel paramento'!$G$58,ABS(K979)*'Sollecitazioni nel paramento'!$G$54,'Sollecitazioni nel paramento'!$G$53)</f>
        <v>0</v>
      </c>
      <c r="F979" s="545">
        <f>-'Foglio deposito bis'!$F$59*(C979-sezione!$AM$30)*IF(ABS(L979)&lt;'Sollecitazioni nel paramento'!$G$58,ABS(L979)*'Sollecitazioni nel paramento'!$G$54,'Sollecitazioni nel paramento'!$G$53)</f>
        <v>-45468325.253395028</v>
      </c>
      <c r="G979" s="545">
        <f>-'Foglio deposito bis'!$F$60*(C979-sezione!$AN$30)*IF(ABS(M979)&lt;'Sollecitazioni nel paramento'!$G$58,ABS(M979)*'Sollecitazioni nel paramento'!$G$54,'Sollecitazioni nel paramento'!$G$53)</f>
        <v>0</v>
      </c>
      <c r="H979" s="545">
        <f>-'Foglio deposito bis'!$F$61*(C979-sezione!$AO$30)*IF(ABS(N979)&lt;'Sollecitazioni nel paramento'!$G$58,ABS(N979)*'Sollecitazioni nel paramento'!$G$54,'Sollecitazioni nel paramento'!$G$53)</f>
        <v>-47199684.254139073</v>
      </c>
      <c r="I979" s="472">
        <f>-'Foglio deposito bis'!$F$62*(C979-sezione!$AP$30)*IF(ABS(O979)&lt;'Sollecitazioni nel paramento'!$G$58,ABS(O979)*'Sollecitazioni nel paramento'!$G$54,'Sollecitazioni nel paramento'!$G$53)</f>
        <v>1369666.7551583808</v>
      </c>
      <c r="J979" s="472">
        <f t="shared" si="69"/>
        <v>-2909305106.7440538</v>
      </c>
      <c r="K979" s="550">
        <f>'Sollecitazioni nel paramento'!$G$60*(sezione!$AL$30-C979)/C979</f>
        <v>-3.1066231189911149E-3</v>
      </c>
      <c r="L979" s="550">
        <f>'Sollecitazioni nel paramento'!$G$60*(sezione!$AM$30-C979)/C979</f>
        <v>-2.9099346784866721E-3</v>
      </c>
      <c r="M979" s="551">
        <f>'Sollecitazioni nel paramento'!$G$60*(sezione!$AN$30-C979)/C979</f>
        <v>-2.7132462379822289E-3</v>
      </c>
      <c r="N979" s="551">
        <f>'Sollecitazioni nel paramento'!$G$60*(sezione!$AO$30-C979)/C979</f>
        <v>-1.9264924759644585E-3</v>
      </c>
      <c r="O979" s="551">
        <f>'Sollecitazioni nel paramento'!$G$60*(sezione!$AP$30-C979)/C979</f>
        <v>2.8513685081664046E-4</v>
      </c>
      <c r="P979" s="545">
        <f>-'Sollecitazioni nel paramento'!$G$47*'Sollecitazioni nel paramento'!$G$41*IF(DATI!$G$211="dx",DATI!$E$61,DATI!$E$64*DATI!$E$63)*1000*C979*sezione!$AD$5</f>
        <v>-13558448.036704848</v>
      </c>
      <c r="Q979" s="545">
        <f>'Foglio deposito bis'!$F$58*IF(ABS(K979)&lt;'Sollecitazioni nel paramento'!$G$58,ABS(K979)*'Sollecitazioni nel paramento'!$G$54,'Sollecitazioni nel paramento'!$G$53)*IF(K979&lt;0,-1,1)</f>
        <v>0</v>
      </c>
      <c r="R979" s="545">
        <f>'Foglio deposito bis'!$F$59*IF(ABS(L979)&lt;'Sollecitazioni nel paramento'!$G$58,ABS(L979)*'Sollecitazioni nel paramento'!$G$54,'Sollecitazioni nel paramento'!$G$53)*IF(L979&lt;0,-1,1)</f>
        <v>-153664.85805602249</v>
      </c>
      <c r="S979" s="545">
        <f>'Foglio deposito bis'!$F$60*IF(ABS(M979)&lt;'Sollecitazioni nel paramento'!$G$58,ABS(M979)*'Sollecitazioni nel paramento'!$G$54,'Sollecitazioni nel paramento'!$G$53)*IF(M979&lt;0,-1,1)</f>
        <v>0</v>
      </c>
      <c r="T979" s="545">
        <f>'Foglio deposito bis'!$F$61*IF(ABS(N979)&lt;'Sollecitazioni nel paramento'!$G$58,ABS(N979)*'Sollecitazioni nel paramento'!$G$54,'Sollecitazioni nel paramento'!$G$53)*IF(N979&lt;0,-1,1)</f>
        <v>-240946.49743184328</v>
      </c>
      <c r="U979" s="545">
        <f>'Foglio deposito bis'!$F$62*IF(ABS(O979)&lt;'Sollecitazioni nel paramento'!$G$58,ABS(O979)*'Sollecitazioni nel paramento'!$G$54,'Sollecitazioni nel paramento'!$G$53)*IF(O979&lt;0,-1,1)</f>
        <v>47240.056364394753</v>
      </c>
      <c r="V979" s="472">
        <f t="shared" si="71"/>
        <v>-13905819.335828317</v>
      </c>
      <c r="W979" s="551"/>
      <c r="X979" s="551"/>
    </row>
    <row r="980" spans="1:24" x14ac:dyDescent="0.25">
      <c r="A980" s="545">
        <f t="shared" si="70"/>
        <v>14134827.10421369</v>
      </c>
      <c r="B980" s="3">
        <f t="shared" si="68"/>
        <v>62.899999999999942</v>
      </c>
      <c r="C980" s="545">
        <f>'Foglio deposito bis'!$E$156/sezione!$B$247*B980</f>
        <v>361.6422807424849</v>
      </c>
      <c r="D980" s="603">
        <f>-'Sollecitazioni nel paramento'!$G$47*'Sollecitazioni nel paramento'!$G$41*IF(DATI!$G$211="dx",DATI!$E$61,DATI!$E$64*DATI!$E$63)*1000*C980^2*sezione!$AD$5*(1-sezione!$AD$6)</f>
        <v>-2909792526.1507077</v>
      </c>
      <c r="E980" s="545">
        <f>-'Foglio deposito bis'!$F$58*(C980-sezione!$AL$30)*IF(ABS(K980)&lt;'Sollecitazioni nel paramento'!$G$58,ABS(K980)*'Sollecitazioni nel paramento'!$G$54,'Sollecitazioni nel paramento'!$G$53)</f>
        <v>0</v>
      </c>
      <c r="F980" s="545">
        <f>-'Foglio deposito bis'!$F$59*(C980-sezione!$AM$30)*IF(ABS(L980)&lt;'Sollecitazioni nel paramento'!$G$58,ABS(L980)*'Sollecitazioni nel paramento'!$G$54,'Sollecitazioni nel paramento'!$G$53)</f>
        <v>-46351818.253988832</v>
      </c>
      <c r="G980" s="545">
        <f>-'Foglio deposito bis'!$F$60*(C980-sezione!$AN$30)*IF(ABS(M980)&lt;'Sollecitazioni nel paramento'!$G$58,ABS(M980)*'Sollecitazioni nel paramento'!$G$54,'Sollecitazioni nel paramento'!$G$53)</f>
        <v>0</v>
      </c>
      <c r="H980" s="545">
        <f>-'Foglio deposito bis'!$F$61*(C980-sezione!$AO$30)*IF(ABS(N980)&lt;'Sollecitazioni nel paramento'!$G$58,ABS(N980)*'Sollecitazioni nel paramento'!$G$54,'Sollecitazioni nel paramento'!$G$53)</f>
        <v>-48585001.279070154</v>
      </c>
      <c r="I980" s="472">
        <f>-'Foglio deposito bis'!$F$62*(C980-sezione!$AP$30)*IF(ABS(O980)&lt;'Sollecitazioni nel paramento'!$G$58,ABS(O980)*'Sollecitazioni nel paramento'!$G$54,'Sollecitazioni nel paramento'!$G$53)</f>
        <v>866319.37271717889</v>
      </c>
      <c r="J980" s="472">
        <f t="shared" si="69"/>
        <v>-3003863026.3110495</v>
      </c>
      <c r="K980" s="550">
        <f>'Sollecitazioni nel paramento'!$G$60*(sezione!$AL$30-C980)/C980</f>
        <v>-3.1128771234586643E-3</v>
      </c>
      <c r="L980" s="550">
        <f>'Sollecitazioni nel paramento'!$G$60*(sezione!$AM$30-C980)/C980</f>
        <v>-2.9193156851879962E-3</v>
      </c>
      <c r="M980" s="551">
        <f>'Sollecitazioni nel paramento'!$G$60*(sezione!$AN$30-C980)/C980</f>
        <v>-2.725754246917329E-3</v>
      </c>
      <c r="N980" s="551">
        <f>'Sollecitazioni nel paramento'!$G$60*(sezione!$AO$30-C980)/C980</f>
        <v>-1.9515084938346579E-3</v>
      </c>
      <c r="O980" s="551">
        <f>'Sollecitazioni nel paramento'!$G$60*(sezione!$AP$30-C980)/C980</f>
        <v>2.249597943648655E-4</v>
      </c>
      <c r="P980" s="545">
        <f>-'Sollecitazioni nel paramento'!$G$47*'Sollecitazioni nel paramento'!$G$41*IF(DATI!$G$211="dx",DATI!$E$61,DATI!$E$64*DATI!$E$63)*1000*C980*sezione!$AD$5</f>
        <v>-13777485.969446447</v>
      </c>
      <c r="Q980" s="545">
        <f>'Foglio deposito bis'!$F$58*IF(ABS(K980)&lt;'Sollecitazioni nel paramento'!$G$58,ABS(K980)*'Sollecitazioni nel paramento'!$G$54,'Sollecitazioni nel paramento'!$G$53)*IF(K980&lt;0,-1,1)</f>
        <v>0</v>
      </c>
      <c r="R980" s="545">
        <f>'Foglio deposito bis'!$F$59*IF(ABS(L980)&lt;'Sollecitazioni nel paramento'!$G$58,ABS(L980)*'Sollecitazioni nel paramento'!$G$54,'Sollecitazioni nel paramento'!$G$53)*IF(L980&lt;0,-1,1)</f>
        <v>-153664.85805602249</v>
      </c>
      <c r="S980" s="545">
        <f>'Foglio deposito bis'!$F$60*IF(ABS(M980)&lt;'Sollecitazioni nel paramento'!$G$58,ABS(M980)*'Sollecitazioni nel paramento'!$G$54,'Sollecitazioni nel paramento'!$G$53)*IF(M980&lt;0,-1,1)</f>
        <v>0</v>
      </c>
      <c r="T980" s="545">
        <f>'Foglio deposito bis'!$F$61*IF(ABS(N980)&lt;'Sollecitazioni nel paramento'!$G$58,ABS(N980)*'Sollecitazioni nel paramento'!$G$54,'Sollecitazioni nel paramento'!$G$53)*IF(N980&lt;0,-1,1)</f>
        <v>-240946.49743184328</v>
      </c>
      <c r="U980" s="545">
        <f>'Foglio deposito bis'!$F$62*IF(ABS(O980)&lt;'Sollecitazioni nel paramento'!$G$58,ABS(O980)*'Sollecitazioni nel paramento'!$G$54,'Sollecitazioni nel paramento'!$G$53)*IF(O980&lt;0,-1,1)</f>
        <v>37270.220720620746</v>
      </c>
      <c r="V980" s="472">
        <f t="shared" si="71"/>
        <v>-14134827.10421369</v>
      </c>
      <c r="W980" s="551"/>
      <c r="X980" s="551"/>
    </row>
    <row r="981" spans="1:24" x14ac:dyDescent="0.25">
      <c r="A981" s="545">
        <f t="shared" si="70"/>
        <v>14363522.827664981</v>
      </c>
      <c r="B981" s="3">
        <f t="shared" si="68"/>
        <v>63.899999999999942</v>
      </c>
      <c r="C981" s="545">
        <f>'Foglio deposito bis'!$E$156/sezione!$B$247*B981</f>
        <v>367.3917605635101</v>
      </c>
      <c r="D981" s="603">
        <f>-'Sollecitazioni nel paramento'!$G$47*'Sollecitazioni nel paramento'!$G$41*IF(DATI!$G$211="dx",DATI!$E$61,DATI!$E$64*DATI!$E$63)*1000*C981^2*sezione!$AD$5*(1-sezione!$AD$6)</f>
        <v>-3003049213.985364</v>
      </c>
      <c r="E981" s="545">
        <f>-'Foglio deposito bis'!$F$58*(C981-sezione!$AL$30)*IF(ABS(K981)&lt;'Sollecitazioni nel paramento'!$G$58,ABS(K981)*'Sollecitazioni nel paramento'!$G$54,'Sollecitazioni nel paramento'!$G$53)</f>
        <v>0</v>
      </c>
      <c r="F981" s="545">
        <f>-'Foglio deposito bis'!$F$59*(C981-sezione!$AM$30)*IF(ABS(L981)&lt;'Sollecitazioni nel paramento'!$G$58,ABS(L981)*'Sollecitazioni nel paramento'!$G$54,'Sollecitazioni nel paramento'!$G$53)</f>
        <v>-47235311.254582636</v>
      </c>
      <c r="G981" s="545">
        <f>-'Foglio deposito bis'!$F$60*(C981-sezione!$AN$30)*IF(ABS(M981)&lt;'Sollecitazioni nel paramento'!$G$58,ABS(M981)*'Sollecitazioni nel paramento'!$G$54,'Sollecitazioni nel paramento'!$G$53)</f>
        <v>0</v>
      </c>
      <c r="H981" s="545">
        <f>-'Foglio deposito bis'!$F$61*(C981-sezione!$AO$30)*IF(ABS(N981)&lt;'Sollecitazioni nel paramento'!$G$58,ABS(N981)*'Sollecitazioni nel paramento'!$G$54,'Sollecitazioni nel paramento'!$G$53)</f>
        <v>-49970318.304001242</v>
      </c>
      <c r="I981" s="472">
        <f>-'Foglio deposito bis'!$F$62*(C981-sezione!$AP$30)*IF(ABS(O981)&lt;'Sollecitazioni nel paramento'!$G$58,ABS(O981)*'Sollecitazioni nel paramento'!$G$54,'Sollecitazioni nel paramento'!$G$53)</f>
        <v>483073.89113582601</v>
      </c>
      <c r="J981" s="472">
        <f t="shared" si="69"/>
        <v>-3099771769.652812</v>
      </c>
      <c r="K981" s="550">
        <f>'Sollecitazioni nel paramento'!$G$60*(sezione!$AL$30-C981)/C981</f>
        <v>-3.1189353844374022E-3</v>
      </c>
      <c r="L981" s="550">
        <f>'Sollecitazioni nel paramento'!$G$60*(sezione!$AM$30-C981)/C981</f>
        <v>-2.9284030766561033E-3</v>
      </c>
      <c r="M981" s="551">
        <f>'Sollecitazioni nel paramento'!$G$60*(sezione!$AN$30-C981)/C981</f>
        <v>-2.737870768874804E-3</v>
      </c>
      <c r="N981" s="551">
        <f>'Sollecitazioni nel paramento'!$G$60*(sezione!$AO$30-C981)/C981</f>
        <v>-1.9757415377496083E-3</v>
      </c>
      <c r="O981" s="551">
        <f>'Sollecitazioni nel paramento'!$G$60*(sezione!$AP$30-C981)/C981</f>
        <v>1.6666621385837303E-4</v>
      </c>
      <c r="P981" s="545">
        <f>-'Sollecitazioni nel paramento'!$G$47*'Sollecitazioni nel paramento'!$G$41*IF(DATI!$G$211="dx",DATI!$E$61,DATI!$E$64*DATI!$E$63)*1000*C981*sezione!$AD$5</f>
        <v>-13996523.90218804</v>
      </c>
      <c r="Q981" s="545">
        <f>'Foglio deposito bis'!$F$58*IF(ABS(K981)&lt;'Sollecitazioni nel paramento'!$G$58,ABS(K981)*'Sollecitazioni nel paramento'!$G$54,'Sollecitazioni nel paramento'!$G$53)*IF(K981&lt;0,-1,1)</f>
        <v>0</v>
      </c>
      <c r="R981" s="545">
        <f>'Foglio deposito bis'!$F$59*IF(ABS(L981)&lt;'Sollecitazioni nel paramento'!$G$58,ABS(L981)*'Sollecitazioni nel paramento'!$G$54,'Sollecitazioni nel paramento'!$G$53)*IF(L981&lt;0,-1,1)</f>
        <v>-153664.85805602249</v>
      </c>
      <c r="S981" s="545">
        <f>'Foglio deposito bis'!$F$60*IF(ABS(M981)&lt;'Sollecitazioni nel paramento'!$G$58,ABS(M981)*'Sollecitazioni nel paramento'!$G$54,'Sollecitazioni nel paramento'!$G$53)*IF(M981&lt;0,-1,1)</f>
        <v>0</v>
      </c>
      <c r="T981" s="545">
        <f>'Foglio deposito bis'!$F$61*IF(ABS(N981)&lt;'Sollecitazioni nel paramento'!$G$58,ABS(N981)*'Sollecitazioni nel paramento'!$G$54,'Sollecitazioni nel paramento'!$G$53)*IF(N981&lt;0,-1,1)</f>
        <v>-240946.49743184328</v>
      </c>
      <c r="U981" s="545">
        <f>'Foglio deposito bis'!$F$62*IF(ABS(O981)&lt;'Sollecitazioni nel paramento'!$G$58,ABS(O981)*'Sollecitazioni nel paramento'!$G$54,'Sollecitazioni nel paramento'!$G$53)*IF(O981&lt;0,-1,1)</f>
        <v>27612.430010924174</v>
      </c>
      <c r="V981" s="472">
        <f t="shared" si="71"/>
        <v>-14363522.827664981</v>
      </c>
      <c r="W981" s="551"/>
      <c r="X981" s="551"/>
    </row>
    <row r="982" spans="1:24" x14ac:dyDescent="0.25">
      <c r="A982" s="545">
        <f t="shared" si="70"/>
        <v>14591920.930447258</v>
      </c>
      <c r="B982" s="3">
        <f t="shared" si="68"/>
        <v>64.899999999999949</v>
      </c>
      <c r="C982" s="545">
        <f>'Foglio deposito bis'!$E$156/sezione!$B$247*B982</f>
        <v>373.14124038453537</v>
      </c>
      <c r="D982" s="603">
        <f>-'Sollecitazioni nel paramento'!$G$47*'Sollecitazioni nel paramento'!$G$41*IF(DATI!$G$211="dx",DATI!$E$61,DATI!$E$64*DATI!$E$63)*1000*C982^2*sezione!$AD$5*(1-sezione!$AD$6)</f>
        <v>-3097776827.495646</v>
      </c>
      <c r="E982" s="545">
        <f>-'Foglio deposito bis'!$F$58*(C982-sezione!$AL$30)*IF(ABS(K982)&lt;'Sollecitazioni nel paramento'!$G$58,ABS(K982)*'Sollecitazioni nel paramento'!$G$54,'Sollecitazioni nel paramento'!$G$53)</f>
        <v>0</v>
      </c>
      <c r="F982" s="545">
        <f>-'Foglio deposito bis'!$F$59*(C982-sezione!$AM$30)*IF(ABS(L982)&lt;'Sollecitazioni nel paramento'!$G$58,ABS(L982)*'Sollecitazioni nel paramento'!$G$54,'Sollecitazioni nel paramento'!$G$53)</f>
        <v>-48118804.255176447</v>
      </c>
      <c r="G982" s="545">
        <f>-'Foglio deposito bis'!$F$60*(C982-sezione!$AN$30)*IF(ABS(M982)&lt;'Sollecitazioni nel paramento'!$G$58,ABS(M982)*'Sollecitazioni nel paramento'!$G$54,'Sollecitazioni nel paramento'!$G$53)</f>
        <v>0</v>
      </c>
      <c r="H982" s="545">
        <f>-'Foglio deposito bis'!$F$61*(C982-sezione!$AO$30)*IF(ABS(N982)&lt;'Sollecitazioni nel paramento'!$G$58,ABS(N982)*'Sollecitazioni nel paramento'!$G$54,'Sollecitazioni nel paramento'!$G$53)</f>
        <v>-51355635.328932345</v>
      </c>
      <c r="I982" s="472">
        <f>-'Foglio deposito bis'!$F$62*(C982-sezione!$AP$30)*IF(ABS(O982)&lt;'Sollecitazioni nel paramento'!$G$58,ABS(O982)*'Sollecitazioni nel paramento'!$G$54,'Sollecitazioni nel paramento'!$G$53)</f>
        <v>214378.60467349505</v>
      </c>
      <c r="J982" s="472">
        <f t="shared" si="69"/>
        <v>-3197036888.4750814</v>
      </c>
      <c r="K982" s="550">
        <f>'Sollecitazioni nel paramento'!$G$60*(sezione!$AL$30-C982)/C982</f>
        <v>-3.1248069501625575E-3</v>
      </c>
      <c r="L982" s="550">
        <f>'Sollecitazioni nel paramento'!$G$60*(sezione!$AM$30-C982)/C982</f>
        <v>-2.9372104252438362E-3</v>
      </c>
      <c r="M982" s="551">
        <f>'Sollecitazioni nel paramento'!$G$60*(sezione!$AN$30-C982)/C982</f>
        <v>-2.7496139003251158E-3</v>
      </c>
      <c r="N982" s="551">
        <f>'Sollecitazioni nel paramento'!$G$60*(sezione!$AO$30-C982)/C982</f>
        <v>-1.9992278006502311E-3</v>
      </c>
      <c r="O982" s="551">
        <f>'Sollecitazioni nel paramento'!$G$60*(sezione!$AP$30-C982)/C982</f>
        <v>1.1016904569414478E-4</v>
      </c>
      <c r="P982" s="545">
        <f>-'Sollecitazioni nel paramento'!$G$47*'Sollecitazioni nel paramento'!$G$41*IF(DATI!$G$211="dx",DATI!$E$61,DATI!$E$64*DATI!$E$63)*1000*C982*sezione!$AD$5</f>
        <v>-14215561.834929641</v>
      </c>
      <c r="Q982" s="545">
        <f>'Foglio deposito bis'!$F$58*IF(ABS(K982)&lt;'Sollecitazioni nel paramento'!$G$58,ABS(K982)*'Sollecitazioni nel paramento'!$G$54,'Sollecitazioni nel paramento'!$G$53)*IF(K982&lt;0,-1,1)</f>
        <v>0</v>
      </c>
      <c r="R982" s="545">
        <f>'Foglio deposito bis'!$F$59*IF(ABS(L982)&lt;'Sollecitazioni nel paramento'!$G$58,ABS(L982)*'Sollecitazioni nel paramento'!$G$54,'Sollecitazioni nel paramento'!$G$53)*IF(L982&lt;0,-1,1)</f>
        <v>-153664.85805602249</v>
      </c>
      <c r="S982" s="545">
        <f>'Foglio deposito bis'!$F$60*IF(ABS(M982)&lt;'Sollecitazioni nel paramento'!$G$58,ABS(M982)*'Sollecitazioni nel paramento'!$G$54,'Sollecitazioni nel paramento'!$G$53)*IF(M982&lt;0,-1,1)</f>
        <v>0</v>
      </c>
      <c r="T982" s="545">
        <f>'Foglio deposito bis'!$F$61*IF(ABS(N982)&lt;'Sollecitazioni nel paramento'!$G$58,ABS(N982)*'Sollecitazioni nel paramento'!$G$54,'Sollecitazioni nel paramento'!$G$53)*IF(N982&lt;0,-1,1)</f>
        <v>-240946.49743184328</v>
      </c>
      <c r="U982" s="545">
        <f>'Foglio deposito bis'!$F$62*IF(ABS(O982)&lt;'Sollecitazioni nel paramento'!$G$58,ABS(O982)*'Sollecitazioni nel paramento'!$G$54,'Sollecitazioni nel paramento'!$G$53)*IF(O982&lt;0,-1,1)</f>
        <v>18252.259970247433</v>
      </c>
      <c r="V982" s="472">
        <f t="shared" si="71"/>
        <v>-14591920.930447258</v>
      </c>
      <c r="W982" s="551"/>
      <c r="X982" s="551"/>
    </row>
    <row r="983" spans="1:24" x14ac:dyDescent="0.25">
      <c r="A983" s="545">
        <f t="shared" si="70"/>
        <v>14820034.961301135</v>
      </c>
      <c r="B983" s="3">
        <f t="shared" si="68"/>
        <v>65.899999999999949</v>
      </c>
      <c r="C983" s="545">
        <f>'Foglio deposito bis'!$E$156/sezione!$B$247*B983</f>
        <v>378.89072020556057</v>
      </c>
      <c r="D983" s="603">
        <f>-'Sollecitazioni nel paramento'!$G$47*'Sollecitazioni nel paramento'!$G$41*IF(DATI!$G$211="dx",DATI!$E$61,DATI!$E$64*DATI!$E$63)*1000*C983^2*sezione!$AD$5*(1-sezione!$AD$6)</f>
        <v>-3193975366.6815524</v>
      </c>
      <c r="E983" s="545">
        <f>-'Foglio deposito bis'!$F$58*(C983-sezione!$AL$30)*IF(ABS(K983)&lt;'Sollecitazioni nel paramento'!$G$58,ABS(K983)*'Sollecitazioni nel paramento'!$G$54,'Sollecitazioni nel paramento'!$G$53)</f>
        <v>0</v>
      </c>
      <c r="F983" s="545">
        <f>-'Foglio deposito bis'!$F$59*(C983-sezione!$AM$30)*IF(ABS(L983)&lt;'Sollecitazioni nel paramento'!$G$58,ABS(L983)*'Sollecitazioni nel paramento'!$G$54,'Sollecitazioni nel paramento'!$G$53)</f>
        <v>-49002297.255770251</v>
      </c>
      <c r="G983" s="545">
        <f>-'Foglio deposito bis'!$F$60*(C983-sezione!$AN$30)*IF(ABS(M983)&lt;'Sollecitazioni nel paramento'!$G$58,ABS(M983)*'Sollecitazioni nel paramento'!$G$54,'Sollecitazioni nel paramento'!$G$53)</f>
        <v>0</v>
      </c>
      <c r="H983" s="545">
        <f>-'Foglio deposito bis'!$F$61*(C983-sezione!$AO$30)*IF(ABS(N983)&lt;'Sollecitazioni nel paramento'!$G$58,ABS(N983)*'Sollecitazioni nel paramento'!$G$54,'Sollecitazioni nel paramento'!$G$53)</f>
        <v>-52740952.353863426</v>
      </c>
      <c r="I983" s="472">
        <f>-'Foglio deposito bis'!$F$62*(C983-sezione!$AP$30)*IF(ABS(O983)&lt;'Sollecitazioni nel paramento'!$G$58,ABS(O983)*'Sollecitazioni nel paramento'!$G$54,'Sollecitazioni nel paramento'!$G$53)</f>
        <v>55018.785176062673</v>
      </c>
      <c r="J983" s="472">
        <f t="shared" si="69"/>
        <v>-3295663597.5060096</v>
      </c>
      <c r="K983" s="550">
        <f>'Sollecitazioni nel paramento'!$G$60*(sezione!$AL$30-C983)/C983</f>
        <v>-3.1305003196593325E-3</v>
      </c>
      <c r="L983" s="550">
        <f>'Sollecitazioni nel paramento'!$G$60*(sezione!$AM$30-C983)/C983</f>
        <v>-2.9457504794889984E-3</v>
      </c>
      <c r="M983" s="551">
        <f>'Sollecitazioni nel paramento'!$G$60*(sezione!$AN$30-C983)/C983</f>
        <v>-2.7610006393186644E-3</v>
      </c>
      <c r="N983" s="551">
        <f>'Sollecitazioni nel paramento'!$G$60*(sezione!$AO$30-C983)/C983</f>
        <v>-2.0220012786373292E-3</v>
      </c>
      <c r="O983" s="551">
        <f>'Sollecitazioni nel paramento'!$G$60*(sezione!$AP$30-C983)/C983</f>
        <v>5.538651085811824E-5</v>
      </c>
      <c r="P983" s="545">
        <f>-'Sollecitazioni nel paramento'!$G$47*'Sollecitazioni nel paramento'!$G$41*IF(DATI!$G$211="dx",DATI!$E$61,DATI!$E$64*DATI!$E$63)*1000*C983*sezione!$AD$5</f>
        <v>-14434599.767671239</v>
      </c>
      <c r="Q983" s="545">
        <f>'Foglio deposito bis'!$F$58*IF(ABS(K983)&lt;'Sollecitazioni nel paramento'!$G$58,ABS(K983)*'Sollecitazioni nel paramento'!$G$54,'Sollecitazioni nel paramento'!$G$53)*IF(K983&lt;0,-1,1)</f>
        <v>0</v>
      </c>
      <c r="R983" s="545">
        <f>'Foglio deposito bis'!$F$59*IF(ABS(L983)&lt;'Sollecitazioni nel paramento'!$G$58,ABS(L983)*'Sollecitazioni nel paramento'!$G$54,'Sollecitazioni nel paramento'!$G$53)*IF(L983&lt;0,-1,1)</f>
        <v>-153664.85805602249</v>
      </c>
      <c r="S983" s="545">
        <f>'Foglio deposito bis'!$F$60*IF(ABS(M983)&lt;'Sollecitazioni nel paramento'!$G$58,ABS(M983)*'Sollecitazioni nel paramento'!$G$54,'Sollecitazioni nel paramento'!$G$53)*IF(M983&lt;0,-1,1)</f>
        <v>0</v>
      </c>
      <c r="T983" s="545">
        <f>'Foglio deposito bis'!$F$61*IF(ABS(N983)&lt;'Sollecitazioni nel paramento'!$G$58,ABS(N983)*'Sollecitazioni nel paramento'!$G$54,'Sollecitazioni nel paramento'!$G$53)*IF(N983&lt;0,-1,1)</f>
        <v>-240946.49743184328</v>
      </c>
      <c r="U983" s="545">
        <f>'Foglio deposito bis'!$F$62*IF(ABS(O983)&lt;'Sollecitazioni nel paramento'!$G$58,ABS(O983)*'Sollecitazioni nel paramento'!$G$54,'Sollecitazioni nel paramento'!$G$53)*IF(O983&lt;0,-1,1)</f>
        <v>9176.1618579676488</v>
      </c>
      <c r="V983" s="472">
        <f t="shared" si="71"/>
        <v>-14820034.961301135</v>
      </c>
      <c r="W983" s="551"/>
      <c r="X983" s="551"/>
    </row>
    <row r="984" spans="1:24" x14ac:dyDescent="0.25">
      <c r="A984" s="545">
        <f t="shared" si="70"/>
        <v>15047877.658878114</v>
      </c>
      <c r="B984" s="3">
        <f t="shared" si="68"/>
        <v>66.899999999999949</v>
      </c>
      <c r="C984" s="545">
        <f>'Foglio deposito bis'!$E$156/sezione!$B$247*B984</f>
        <v>384.64020002658577</v>
      </c>
      <c r="D984" s="603">
        <f>-'Sollecitazioni nel paramento'!$G$47*'Sollecitazioni nel paramento'!$G$41*IF(DATI!$G$211="dx",DATI!$E$61,DATI!$E$64*DATI!$E$63)*1000*C984^2*sezione!$AD$5*(1-sezione!$AD$6)</f>
        <v>-3291644831.5430841</v>
      </c>
      <c r="E984" s="545">
        <f>-'Foglio deposito bis'!$F$58*(C984-sezione!$AL$30)*IF(ABS(K984)&lt;'Sollecitazioni nel paramento'!$G$58,ABS(K984)*'Sollecitazioni nel paramento'!$G$54,'Sollecitazioni nel paramento'!$G$53)</f>
        <v>0</v>
      </c>
      <c r="F984" s="545">
        <f>-'Foglio deposito bis'!$F$59*(C984-sezione!$AM$30)*IF(ABS(L984)&lt;'Sollecitazioni nel paramento'!$G$58,ABS(L984)*'Sollecitazioni nel paramento'!$G$54,'Sollecitazioni nel paramento'!$G$53)</f>
        <v>-49885790.256364055</v>
      </c>
      <c r="G984" s="545">
        <f>-'Foglio deposito bis'!$F$60*(C984-sezione!$AN$30)*IF(ABS(M984)&lt;'Sollecitazioni nel paramento'!$G$58,ABS(M984)*'Sollecitazioni nel paramento'!$G$54,'Sollecitazioni nel paramento'!$G$53)</f>
        <v>0</v>
      </c>
      <c r="H984" s="545">
        <f>-'Foglio deposito bis'!$F$61*(C984-sezione!$AO$30)*IF(ABS(N984)&lt;'Sollecitazioni nel paramento'!$G$58,ABS(N984)*'Sollecitazioni nel paramento'!$G$54,'Sollecitazioni nel paramento'!$G$53)</f>
        <v>-54126269.378794514</v>
      </c>
      <c r="I984" s="472">
        <f>-'Foglio deposito bis'!$F$62*(C984-sezione!$AP$30)*IF(ABS(O984)&lt;'Sollecitazioni nel paramento'!$G$58,ABS(O984)*'Sollecitazioni nel paramento'!$G$54,'Sollecitazioni nel paramento'!$G$53)</f>
        <v>91.496905189596077</v>
      </c>
      <c r="J984" s="472">
        <f t="shared" si="69"/>
        <v>-3395656799.6813374</v>
      </c>
      <c r="K984" s="550">
        <f>'Sollecitazioni nel paramento'!$G$60*(sezione!$AL$30-C984)/C984</f>
        <v>-3.136023483789985E-3</v>
      </c>
      <c r="L984" s="550">
        <f>'Sollecitazioni nel paramento'!$G$60*(sezione!$AM$30-C984)/C984</f>
        <v>-2.9540352256849779E-3</v>
      </c>
      <c r="M984" s="551">
        <f>'Sollecitazioni nel paramento'!$G$60*(sezione!$AN$30-C984)/C984</f>
        <v>-2.7720469675799704E-3</v>
      </c>
      <c r="N984" s="551">
        <f>'Sollecitazioni nel paramento'!$G$60*(sezione!$AO$30-C984)/C984</f>
        <v>-2.0440939351599402E-3</v>
      </c>
      <c r="O984" s="551">
        <f>'Sollecitazioni nel paramento'!$G$60*(sezione!$AP$30-C984)/C984</f>
        <v>2.2417199633780034E-6</v>
      </c>
      <c r="P984" s="545">
        <f>-'Sollecitazioni nel paramento'!$G$47*'Sollecitazioni nel paramento'!$G$41*IF(DATI!$G$211="dx",DATI!$E$61,DATI!$E$64*DATI!$E$63)*1000*C984*sezione!$AD$5</f>
        <v>-14653637.700412836</v>
      </c>
      <c r="Q984" s="545">
        <f>'Foglio deposito bis'!$F$58*IF(ABS(K984)&lt;'Sollecitazioni nel paramento'!$G$58,ABS(K984)*'Sollecitazioni nel paramento'!$G$54,'Sollecitazioni nel paramento'!$G$53)*IF(K984&lt;0,-1,1)</f>
        <v>0</v>
      </c>
      <c r="R984" s="545">
        <f>'Foglio deposito bis'!$F$59*IF(ABS(L984)&lt;'Sollecitazioni nel paramento'!$G$58,ABS(L984)*'Sollecitazioni nel paramento'!$G$54,'Sollecitazioni nel paramento'!$G$53)*IF(L984&lt;0,-1,1)</f>
        <v>-153664.85805602249</v>
      </c>
      <c r="S984" s="545">
        <f>'Foglio deposito bis'!$F$60*IF(ABS(M984)&lt;'Sollecitazioni nel paramento'!$G$58,ABS(M984)*'Sollecitazioni nel paramento'!$G$54,'Sollecitazioni nel paramento'!$G$53)*IF(M984&lt;0,-1,1)</f>
        <v>0</v>
      </c>
      <c r="T984" s="545">
        <f>'Foglio deposito bis'!$F$61*IF(ABS(N984)&lt;'Sollecitazioni nel paramento'!$G$58,ABS(N984)*'Sollecitazioni nel paramento'!$G$54,'Sollecitazioni nel paramento'!$G$53)*IF(N984&lt;0,-1,1)</f>
        <v>-240946.49743184328</v>
      </c>
      <c r="U984" s="545">
        <f>'Foglio deposito bis'!$F$62*IF(ABS(O984)&lt;'Sollecitazioni nel paramento'!$G$58,ABS(O984)*'Sollecitazioni nel paramento'!$G$54,'Sollecitazioni nel paramento'!$G$53)*IF(O984&lt;0,-1,1)</f>
        <v>371.39702258711208</v>
      </c>
      <c r="V984" s="472">
        <f t="shared" si="71"/>
        <v>-15047877.658878114</v>
      </c>
      <c r="W984" s="551"/>
      <c r="X984" s="551"/>
    </row>
    <row r="985" spans="1:24" x14ac:dyDescent="0.25">
      <c r="A985" s="545">
        <f t="shared" si="70"/>
        <v>15275461.011393664</v>
      </c>
      <c r="B985" s="3">
        <f t="shared" si="68"/>
        <v>67.899999999999949</v>
      </c>
      <c r="C985" s="545">
        <f>'Foglio deposito bis'!$E$156/sezione!$B$247*B985</f>
        <v>390.38967984761098</v>
      </c>
      <c r="D985" s="603">
        <f>-'Sollecitazioni nel paramento'!$G$47*'Sollecitazioni nel paramento'!$G$41*IF(DATI!$G$211="dx",DATI!$E$61,DATI!$E$64*DATI!$E$63)*1000*C985^2*sezione!$AD$5*(1-sezione!$AD$6)</f>
        <v>-3390785222.0802422</v>
      </c>
      <c r="E985" s="545">
        <f>-'Foglio deposito bis'!$F$58*(C985-sezione!$AL$30)*IF(ABS(K985)&lt;'Sollecitazioni nel paramento'!$G$58,ABS(K985)*'Sollecitazioni nel paramento'!$G$54,'Sollecitazioni nel paramento'!$G$53)</f>
        <v>0</v>
      </c>
      <c r="F985" s="545">
        <f>-'Foglio deposito bis'!$F$59*(C985-sezione!$AM$30)*IF(ABS(L985)&lt;'Sollecitazioni nel paramento'!$G$58,ABS(L985)*'Sollecitazioni nel paramento'!$G$54,'Sollecitazioni nel paramento'!$G$53)</f>
        <v>-50769283.256957859</v>
      </c>
      <c r="G985" s="545">
        <f>-'Foglio deposito bis'!$F$60*(C985-sezione!$AN$30)*IF(ABS(M985)&lt;'Sollecitazioni nel paramento'!$G$58,ABS(M985)*'Sollecitazioni nel paramento'!$G$54,'Sollecitazioni nel paramento'!$G$53)</f>
        <v>0</v>
      </c>
      <c r="H985" s="545">
        <f>-'Foglio deposito bis'!$F$61*(C985-sezione!$AO$30)*IF(ABS(N985)&lt;'Sollecitazioni nel paramento'!$G$58,ABS(N985)*'Sollecitazioni nel paramento'!$G$54,'Sollecitazioni nel paramento'!$G$53)</f>
        <v>-55511586.403725594</v>
      </c>
      <c r="I985" s="472">
        <f>-'Foglio deposito bis'!$F$62*(C985-sezione!$AP$30)*IF(ABS(O985)&lt;'Sollecitazioni nel paramento'!$G$58,ABS(O985)*'Sollecitazioni nel paramento'!$G$54,'Sollecitazioni nel paramento'!$G$53)</f>
        <v>-44982.636861175095</v>
      </c>
      <c r="J985" s="472">
        <f t="shared" si="69"/>
        <v>-3497111074.3777871</v>
      </c>
      <c r="K985" s="550">
        <f>'Sollecitazioni nel paramento'!$G$60*(sezione!$AL$30-C985)/C985</f>
        <v>-3.1413839626737851E-3</v>
      </c>
      <c r="L985" s="550">
        <f>'Sollecitazioni nel paramento'!$G$60*(sezione!$AM$30-C985)/C985</f>
        <v>-2.9620759440106776E-3</v>
      </c>
      <c r="M985" s="551">
        <f>'Sollecitazioni nel paramento'!$G$60*(sezione!$AN$30-C985)/C985</f>
        <v>-2.7827679253475696E-3</v>
      </c>
      <c r="N985" s="551">
        <f>'Sollecitazioni nel paramento'!$G$60*(sezione!$AO$30-C985)/C985</f>
        <v>-2.0655358506951401E-3</v>
      </c>
      <c r="O985" s="551">
        <f>'Sollecitazioni nel paramento'!$G$60*(sezione!$AP$30-C985)/C985</f>
        <v>-4.933768681075133E-5</v>
      </c>
      <c r="P985" s="545">
        <f>-'Sollecitazioni nel paramento'!$G$47*'Sollecitazioni nel paramento'!$G$41*IF(DATI!$G$211="dx",DATI!$E$61,DATI!$E$64*DATI!$E$63)*1000*C985*sezione!$AD$5</f>
        <v>-14872675.633154431</v>
      </c>
      <c r="Q985" s="545">
        <f>'Foglio deposito bis'!$F$58*IF(ABS(K985)&lt;'Sollecitazioni nel paramento'!$G$58,ABS(K985)*'Sollecitazioni nel paramento'!$G$54,'Sollecitazioni nel paramento'!$G$53)*IF(K985&lt;0,-1,1)</f>
        <v>0</v>
      </c>
      <c r="R985" s="545">
        <f>'Foglio deposito bis'!$F$59*IF(ABS(L985)&lt;'Sollecitazioni nel paramento'!$G$58,ABS(L985)*'Sollecitazioni nel paramento'!$G$54,'Sollecitazioni nel paramento'!$G$53)*IF(L985&lt;0,-1,1)</f>
        <v>-153664.85805602249</v>
      </c>
      <c r="S985" s="545">
        <f>'Foglio deposito bis'!$F$60*IF(ABS(M985)&lt;'Sollecitazioni nel paramento'!$G$58,ABS(M985)*'Sollecitazioni nel paramento'!$G$54,'Sollecitazioni nel paramento'!$G$53)*IF(M985&lt;0,-1,1)</f>
        <v>0</v>
      </c>
      <c r="T985" s="545">
        <f>'Foglio deposito bis'!$F$61*IF(ABS(N985)&lt;'Sollecitazioni nel paramento'!$G$58,ABS(N985)*'Sollecitazioni nel paramento'!$G$54,'Sollecitazioni nel paramento'!$G$53)*IF(N985&lt;0,-1,1)</f>
        <v>-240946.49743184328</v>
      </c>
      <c r="U985" s="545">
        <f>'Foglio deposito bis'!$F$62*IF(ABS(O985)&lt;'Sollecitazioni nel paramento'!$G$58,ABS(O985)*'Sollecitazioni nel paramento'!$G$54,'Sollecitazioni nel paramento'!$G$53)*IF(O985&lt;0,-1,1)</f>
        <v>-8174.0227513683731</v>
      </c>
      <c r="V985" s="472">
        <f t="shared" si="71"/>
        <v>-15275461.011393664</v>
      </c>
      <c r="W985" s="551"/>
      <c r="X985" s="551"/>
    </row>
    <row r="986" spans="1:24" x14ac:dyDescent="0.25">
      <c r="A986" s="545">
        <f t="shared" si="70"/>
        <v>15502796.311085589</v>
      </c>
      <c r="B986" s="3">
        <f t="shared" si="68"/>
        <v>68.899999999999949</v>
      </c>
      <c r="C986" s="545">
        <f>'Foglio deposito bis'!$E$156/sezione!$B$247*B986</f>
        <v>396.13915966863618</v>
      </c>
      <c r="D986" s="603">
        <f>-'Sollecitazioni nel paramento'!$G$47*'Sollecitazioni nel paramento'!$G$41*IF(DATI!$G$211="dx",DATI!$E$61,DATI!$E$64*DATI!$E$63)*1000*C986^2*sezione!$AD$5*(1-sezione!$AD$6)</f>
        <v>-3491396538.2930255</v>
      </c>
      <c r="E986" s="545">
        <f>-'Foglio deposito bis'!$F$58*(C986-sezione!$AL$30)*IF(ABS(K986)&lt;'Sollecitazioni nel paramento'!$G$58,ABS(K986)*'Sollecitazioni nel paramento'!$G$54,'Sollecitazioni nel paramento'!$G$53)</f>
        <v>0</v>
      </c>
      <c r="F986" s="545">
        <f>-'Foglio deposito bis'!$F$59*(C986-sezione!$AM$30)*IF(ABS(L986)&lt;'Sollecitazioni nel paramento'!$G$58,ABS(L986)*'Sollecitazioni nel paramento'!$G$54,'Sollecitazioni nel paramento'!$G$53)</f>
        <v>-51652776.257551663</v>
      </c>
      <c r="G986" s="545">
        <f>-'Foglio deposito bis'!$F$60*(C986-sezione!$AN$30)*IF(ABS(M986)&lt;'Sollecitazioni nel paramento'!$G$58,ABS(M986)*'Sollecitazioni nel paramento'!$G$54,'Sollecitazioni nel paramento'!$G$53)</f>
        <v>0</v>
      </c>
      <c r="H986" s="545">
        <f>-'Foglio deposito bis'!$F$61*(C986-sezione!$AO$30)*IF(ABS(N986)&lt;'Sollecitazioni nel paramento'!$G$58,ABS(N986)*'Sollecitazioni nel paramento'!$G$54,'Sollecitazioni nel paramento'!$G$53)</f>
        <v>-56896903.428656675</v>
      </c>
      <c r="I986" s="472">
        <f>-'Foglio deposito bis'!$F$62*(C986-sezione!$AP$30)*IF(ABS(O986)&lt;'Sollecitazioni nel paramento'!$G$58,ABS(O986)*'Sollecitazioni nel paramento'!$G$54,'Sollecitazioni nel paramento'!$G$53)</f>
        <v>-185345.97449713128</v>
      </c>
      <c r="J986" s="472">
        <f t="shared" si="69"/>
        <v>-3600131563.9537311</v>
      </c>
      <c r="K986" s="550">
        <f>'Sollecitazioni nel paramento'!$G$60*(sezione!$AL$30-C986)/C986</f>
        <v>-3.1465888398483307E-3</v>
      </c>
      <c r="L986" s="550">
        <f>'Sollecitazioni nel paramento'!$G$60*(sezione!$AM$30-C986)/C986</f>
        <v>-2.9698832597724965E-3</v>
      </c>
      <c r="M986" s="551">
        <f>'Sollecitazioni nel paramento'!$G$60*(sezione!$AN$30-C986)/C986</f>
        <v>-2.7931776796966618E-3</v>
      </c>
      <c r="N986" s="551">
        <f>'Sollecitazioni nel paramento'!$G$60*(sezione!$AO$30-C986)/C986</f>
        <v>-2.0863553593933235E-3</v>
      </c>
      <c r="O986" s="551">
        <f>'Sollecitazioni nel paramento'!$G$60*(sezione!$AP$30-C986)/C986</f>
        <v>-9.9419868424528569E-5</v>
      </c>
      <c r="P986" s="545">
        <f>-'Sollecitazioni nel paramento'!$G$47*'Sollecitazioni nel paramento'!$G$41*IF(DATI!$G$211="dx",DATI!$E$61,DATI!$E$64*DATI!$E$63)*1000*C986*sezione!$AD$5</f>
        <v>-15091713.565896029</v>
      </c>
      <c r="Q986" s="545">
        <f>'Foglio deposito bis'!$F$58*IF(ABS(K986)&lt;'Sollecitazioni nel paramento'!$G$58,ABS(K986)*'Sollecitazioni nel paramento'!$G$54,'Sollecitazioni nel paramento'!$G$53)*IF(K986&lt;0,-1,1)</f>
        <v>0</v>
      </c>
      <c r="R986" s="545">
        <f>'Foglio deposito bis'!$F$59*IF(ABS(L986)&lt;'Sollecitazioni nel paramento'!$G$58,ABS(L986)*'Sollecitazioni nel paramento'!$G$54,'Sollecitazioni nel paramento'!$G$53)*IF(L986&lt;0,-1,1)</f>
        <v>-153664.85805602249</v>
      </c>
      <c r="S986" s="545">
        <f>'Foglio deposito bis'!$F$60*IF(ABS(M986)&lt;'Sollecitazioni nel paramento'!$G$58,ABS(M986)*'Sollecitazioni nel paramento'!$G$54,'Sollecitazioni nel paramento'!$G$53)*IF(M986&lt;0,-1,1)</f>
        <v>0</v>
      </c>
      <c r="T986" s="545">
        <f>'Foglio deposito bis'!$F$61*IF(ABS(N986)&lt;'Sollecitazioni nel paramento'!$G$58,ABS(N986)*'Sollecitazioni nel paramento'!$G$54,'Sollecitazioni nel paramento'!$G$53)*IF(N986&lt;0,-1,1)</f>
        <v>-240946.49743184328</v>
      </c>
      <c r="U986" s="545">
        <f>'Foglio deposito bis'!$F$62*IF(ABS(O986)&lt;'Sollecitazioni nel paramento'!$G$58,ABS(O986)*'Sollecitazioni nel paramento'!$G$54,'Sollecitazioni nel paramento'!$G$53)*IF(O986&lt;0,-1,1)</f>
        <v>-16471.389701696702</v>
      </c>
      <c r="V986" s="472">
        <f t="shared" si="71"/>
        <v>-15502796.311085589</v>
      </c>
      <c r="W986" s="551"/>
      <c r="X986" s="551"/>
    </row>
    <row r="987" spans="1:24" x14ac:dyDescent="0.25">
      <c r="A987" s="545">
        <f t="shared" si="70"/>
        <v>15729894.203997821</v>
      </c>
      <c r="B987" s="3">
        <f t="shared" si="68"/>
        <v>69.899999999999949</v>
      </c>
      <c r="C987" s="545">
        <f>'Foglio deposito bis'!$E$156/sezione!$B$247*B987</f>
        <v>401.88863948966139</v>
      </c>
      <c r="D987" s="603">
        <f>-'Sollecitazioni nel paramento'!$G$47*'Sollecitazioni nel paramento'!$G$41*IF(DATI!$G$211="dx",DATI!$E$61,DATI!$E$64*DATI!$E$63)*1000*C987^2*sezione!$AD$5*(1-sezione!$AD$6)</f>
        <v>-3593478780.1814342</v>
      </c>
      <c r="E987" s="545">
        <f>-'Foglio deposito bis'!$F$58*(C987-sezione!$AL$30)*IF(ABS(K987)&lt;'Sollecitazioni nel paramento'!$G$58,ABS(K987)*'Sollecitazioni nel paramento'!$G$54,'Sollecitazioni nel paramento'!$G$53)</f>
        <v>0</v>
      </c>
      <c r="F987" s="545">
        <f>-'Foglio deposito bis'!$F$59*(C987-sezione!$AM$30)*IF(ABS(L987)&lt;'Sollecitazioni nel paramento'!$G$58,ABS(L987)*'Sollecitazioni nel paramento'!$G$54,'Sollecitazioni nel paramento'!$G$53)</f>
        <v>-52536269.258145459</v>
      </c>
      <c r="G987" s="545">
        <f>-'Foglio deposito bis'!$F$60*(C987-sezione!$AN$30)*IF(ABS(M987)&lt;'Sollecitazioni nel paramento'!$G$58,ABS(M987)*'Sollecitazioni nel paramento'!$G$54,'Sollecitazioni nel paramento'!$G$53)</f>
        <v>0</v>
      </c>
      <c r="H987" s="545">
        <f>-'Foglio deposito bis'!$F$61*(C987-sezione!$AO$30)*IF(ABS(N987)&lt;'Sollecitazioni nel paramento'!$G$58,ABS(N987)*'Sollecitazioni nel paramento'!$G$54,'Sollecitazioni nel paramento'!$G$53)</f>
        <v>-58282220.453587756</v>
      </c>
      <c r="I987" s="472">
        <f>-'Foglio deposito bis'!$F$62*(C987-sezione!$AP$30)*IF(ABS(O987)&lt;'Sollecitazioni nel paramento'!$G$58,ABS(O987)*'Sollecitazioni nel paramento'!$G$54,'Sollecitazioni nel paramento'!$G$53)</f>
        <v>-417083.99059932539</v>
      </c>
      <c r="J987" s="472">
        <f t="shared" si="69"/>
        <v>-3704714353.8837662</v>
      </c>
      <c r="K987" s="550">
        <f>'Sollecitazioni nel paramento'!$G$60*(sezione!$AL$30-C987)/C987</f>
        <v>-3.1516447934985697E-3</v>
      </c>
      <c r="L987" s="550">
        <f>'Sollecitazioni nel paramento'!$G$60*(sezione!$AM$30-C987)/C987</f>
        <v>-2.9774671902478541E-3</v>
      </c>
      <c r="M987" s="551">
        <f>'Sollecitazioni nel paramento'!$G$60*(sezione!$AN$30-C987)/C987</f>
        <v>-2.8032895869971384E-3</v>
      </c>
      <c r="N987" s="551">
        <f>'Sollecitazioni nel paramento'!$G$60*(sezione!$AO$30-C987)/C987</f>
        <v>-2.1065791739942777E-3</v>
      </c>
      <c r="O987" s="551">
        <f>'Sollecitazioni nel paramento'!$G$60*(sezione!$AP$30-C987)/C987</f>
        <v>-1.4806908346852676E-4</v>
      </c>
      <c r="P987" s="545">
        <f>-'Sollecitazioni nel paramento'!$G$47*'Sollecitazioni nel paramento'!$G$41*IF(DATI!$G$211="dx",DATI!$E$61,DATI!$E$64*DATI!$E$63)*1000*C987*sezione!$AD$5</f>
        <v>-15310751.498637626</v>
      </c>
      <c r="Q987" s="545">
        <f>'Foglio deposito bis'!$F$58*IF(ABS(K987)&lt;'Sollecitazioni nel paramento'!$G$58,ABS(K987)*'Sollecitazioni nel paramento'!$G$54,'Sollecitazioni nel paramento'!$G$53)*IF(K987&lt;0,-1,1)</f>
        <v>0</v>
      </c>
      <c r="R987" s="545">
        <f>'Foglio deposito bis'!$F$59*IF(ABS(L987)&lt;'Sollecitazioni nel paramento'!$G$58,ABS(L987)*'Sollecitazioni nel paramento'!$G$54,'Sollecitazioni nel paramento'!$G$53)*IF(L987&lt;0,-1,1)</f>
        <v>-153664.85805602249</v>
      </c>
      <c r="S987" s="545">
        <f>'Foglio deposito bis'!$F$60*IF(ABS(M987)&lt;'Sollecitazioni nel paramento'!$G$58,ABS(M987)*'Sollecitazioni nel paramento'!$G$54,'Sollecitazioni nel paramento'!$G$53)*IF(M987&lt;0,-1,1)</f>
        <v>0</v>
      </c>
      <c r="T987" s="545">
        <f>'Foglio deposito bis'!$F$61*IF(ABS(N987)&lt;'Sollecitazioni nel paramento'!$G$58,ABS(N987)*'Sollecitazioni nel paramento'!$G$54,'Sollecitazioni nel paramento'!$G$53)*IF(N987&lt;0,-1,1)</f>
        <v>-240946.49743184328</v>
      </c>
      <c r="U987" s="545">
        <f>'Foglio deposito bis'!$F$62*IF(ABS(O987)&lt;'Sollecitazioni nel paramento'!$G$58,ABS(O987)*'Sollecitazioni nel paramento'!$G$54,'Sollecitazioni nel paramento'!$G$53)*IF(O987&lt;0,-1,1)</f>
        <v>-24531.349872330367</v>
      </c>
      <c r="V987" s="472">
        <f t="shared" si="71"/>
        <v>-15729894.203997821</v>
      </c>
      <c r="W987" s="551"/>
      <c r="X987" s="551"/>
    </row>
    <row r="988" spans="1:24" x14ac:dyDescent="0.25">
      <c r="A988" s="545">
        <f t="shared" si="70"/>
        <v>15956764.735551221</v>
      </c>
      <c r="B988" s="3">
        <f t="shared" si="68"/>
        <v>70.899999999999949</v>
      </c>
      <c r="C988" s="545">
        <f>'Foglio deposito bis'!$E$156/sezione!$B$247*B988</f>
        <v>407.63811931068659</v>
      </c>
      <c r="D988" s="603">
        <f>-'Sollecitazioni nel paramento'!$G$47*'Sollecitazioni nel paramento'!$G$41*IF(DATI!$G$211="dx",DATI!$E$61,DATI!$E$64*DATI!$E$63)*1000*C988^2*sezione!$AD$5*(1-sezione!$AD$6)</f>
        <v>-3697031947.7454677</v>
      </c>
      <c r="E988" s="545">
        <f>-'Foglio deposito bis'!$F$58*(C988-sezione!$AL$30)*IF(ABS(K988)&lt;'Sollecitazioni nel paramento'!$G$58,ABS(K988)*'Sollecitazioni nel paramento'!$G$54,'Sollecitazioni nel paramento'!$G$53)</f>
        <v>0</v>
      </c>
      <c r="F988" s="545">
        <f>-'Foglio deposito bis'!$F$59*(C988-sezione!$AM$30)*IF(ABS(L988)&lt;'Sollecitazioni nel paramento'!$G$58,ABS(L988)*'Sollecitazioni nel paramento'!$G$54,'Sollecitazioni nel paramento'!$G$53)</f>
        <v>-53419762.25873927</v>
      </c>
      <c r="G988" s="545">
        <f>-'Foglio deposito bis'!$F$60*(C988-sezione!$AN$30)*IF(ABS(M988)&lt;'Sollecitazioni nel paramento'!$G$58,ABS(M988)*'Sollecitazioni nel paramento'!$G$54,'Sollecitazioni nel paramento'!$G$53)</f>
        <v>0</v>
      </c>
      <c r="H988" s="545">
        <f>-'Foglio deposito bis'!$F$61*(C988-sezione!$AO$30)*IF(ABS(N988)&lt;'Sollecitazioni nel paramento'!$G$58,ABS(N988)*'Sollecitazioni nel paramento'!$G$54,'Sollecitazioni nel paramento'!$G$53)</f>
        <v>-59667537.478518844</v>
      </c>
      <c r="I988" s="472">
        <f>-'Foglio deposito bis'!$F$62*(C988-sezione!$AP$30)*IF(ABS(O988)&lt;'Sollecitazioni nel paramento'!$G$58,ABS(O988)*'Sollecitazioni nel paramento'!$G$54,'Sollecitazioni nel paramento'!$G$53)</f>
        <v>-736330.33770092123</v>
      </c>
      <c r="J988" s="472">
        <f t="shared" si="69"/>
        <v>-3810855577.8204269</v>
      </c>
      <c r="K988" s="550">
        <f>'Sollecitazioni nel paramento'!$G$60*(sezione!$AL$30-C988)/C988</f>
        <v>-3.1565581250430183E-3</v>
      </c>
      <c r="L988" s="550">
        <f>'Sollecitazioni nel paramento'!$G$60*(sezione!$AM$30-C988)/C988</f>
        <v>-2.9848371875645279E-3</v>
      </c>
      <c r="M988" s="551">
        <f>'Sollecitazioni nel paramento'!$G$60*(sezione!$AN$30-C988)/C988</f>
        <v>-2.8131162500860366E-3</v>
      </c>
      <c r="N988" s="551">
        <f>'Sollecitazioni nel paramento'!$G$60*(sezione!$AO$30-C988)/C988</f>
        <v>-2.1262325001720735E-3</v>
      </c>
      <c r="O988" s="551">
        <f>'Sollecitazioni nel paramento'!$G$60*(sezione!$AP$30-C988)/C988</f>
        <v>-1.9534596522496509E-4</v>
      </c>
      <c r="P988" s="545">
        <f>-'Sollecitazioni nel paramento'!$G$47*'Sollecitazioni nel paramento'!$G$41*IF(DATI!$G$211="dx",DATI!$E$61,DATI!$E$64*DATI!$E$63)*1000*C988*sezione!$AD$5</f>
        <v>-15529789.431379225</v>
      </c>
      <c r="Q988" s="545">
        <f>'Foglio deposito bis'!$F$58*IF(ABS(K988)&lt;'Sollecitazioni nel paramento'!$G$58,ABS(K988)*'Sollecitazioni nel paramento'!$G$54,'Sollecitazioni nel paramento'!$G$53)*IF(K988&lt;0,-1,1)</f>
        <v>0</v>
      </c>
      <c r="R988" s="545">
        <f>'Foglio deposito bis'!$F$59*IF(ABS(L988)&lt;'Sollecitazioni nel paramento'!$G$58,ABS(L988)*'Sollecitazioni nel paramento'!$G$54,'Sollecitazioni nel paramento'!$G$53)*IF(L988&lt;0,-1,1)</f>
        <v>-153664.85805602249</v>
      </c>
      <c r="S988" s="545">
        <f>'Foglio deposito bis'!$F$60*IF(ABS(M988)&lt;'Sollecitazioni nel paramento'!$G$58,ABS(M988)*'Sollecitazioni nel paramento'!$G$54,'Sollecitazioni nel paramento'!$G$53)*IF(M988&lt;0,-1,1)</f>
        <v>0</v>
      </c>
      <c r="T988" s="545">
        <f>'Foglio deposito bis'!$F$61*IF(ABS(N988)&lt;'Sollecitazioni nel paramento'!$G$58,ABS(N988)*'Sollecitazioni nel paramento'!$G$54,'Sollecitazioni nel paramento'!$G$53)*IF(N988&lt;0,-1,1)</f>
        <v>-240946.49743184328</v>
      </c>
      <c r="U988" s="545">
        <f>'Foglio deposito bis'!$F$62*IF(ABS(O988)&lt;'Sollecitazioni nel paramento'!$G$58,ABS(O988)*'Sollecitazioni nel paramento'!$G$54,'Sollecitazioni nel paramento'!$G$53)*IF(O988&lt;0,-1,1)</f>
        <v>-32363.948684130934</v>
      </c>
      <c r="V988" s="472">
        <f t="shared" si="71"/>
        <v>-15956764.735551221</v>
      </c>
      <c r="W988" s="551"/>
      <c r="X988" s="551"/>
    </row>
    <row r="989" spans="1:24" x14ac:dyDescent="0.25">
      <c r="A989" s="545">
        <f t="shared" si="70"/>
        <v>16183417.392311519</v>
      </c>
      <c r="B989" s="3">
        <f t="shared" si="68"/>
        <v>71.899999999999949</v>
      </c>
      <c r="C989" s="545">
        <f>'Foglio deposito bis'!$E$156/sezione!$B$247*B989</f>
        <v>413.38759913171174</v>
      </c>
      <c r="D989" s="603">
        <f>-'Sollecitazioni nel paramento'!$G$47*'Sollecitazioni nel paramento'!$G$41*IF(DATI!$G$211="dx",DATI!$E$61,DATI!$E$64*DATI!$E$63)*1000*C989^2*sezione!$AD$5*(1-sezione!$AD$6)</f>
        <v>-3802056040.985127</v>
      </c>
      <c r="E989" s="545">
        <f>-'Foglio deposito bis'!$F$58*(C989-sezione!$AL$30)*IF(ABS(K989)&lt;'Sollecitazioni nel paramento'!$G$58,ABS(K989)*'Sollecitazioni nel paramento'!$G$54,'Sollecitazioni nel paramento'!$G$53)</f>
        <v>0</v>
      </c>
      <c r="F989" s="545">
        <f>-'Foglio deposito bis'!$F$59*(C989-sezione!$AM$30)*IF(ABS(L989)&lt;'Sollecitazioni nel paramento'!$G$58,ABS(L989)*'Sollecitazioni nel paramento'!$G$54,'Sollecitazioni nel paramento'!$G$53)</f>
        <v>-54303255.259333067</v>
      </c>
      <c r="G989" s="545">
        <f>-'Foglio deposito bis'!$F$60*(C989-sezione!$AN$30)*IF(ABS(M989)&lt;'Sollecitazioni nel paramento'!$G$58,ABS(M989)*'Sollecitazioni nel paramento'!$G$54,'Sollecitazioni nel paramento'!$G$53)</f>
        <v>0</v>
      </c>
      <c r="H989" s="545">
        <f>-'Foglio deposito bis'!$F$61*(C989-sezione!$AO$30)*IF(ABS(N989)&lt;'Sollecitazioni nel paramento'!$G$58,ABS(N989)*'Sollecitazioni nel paramento'!$G$54,'Sollecitazioni nel paramento'!$G$53)</f>
        <v>-61052854.503449909</v>
      </c>
      <c r="I989" s="472">
        <f>-'Foglio deposito bis'!$F$62*(C989-sezione!$AP$30)*IF(ABS(O989)&lt;'Sollecitazioni nel paramento'!$G$58,ABS(O989)*'Sollecitazioni nel paramento'!$G$54,'Sollecitazioni nel paramento'!$G$53)</f>
        <v>-1139433.7641607705</v>
      </c>
      <c r="J989" s="472">
        <f t="shared" si="69"/>
        <v>-3918551584.5120707</v>
      </c>
      <c r="K989" s="550">
        <f>'Sollecitazioni nel paramento'!$G$60*(sezione!$AL$30-C989)/C989</f>
        <v>-3.1613347853344923E-3</v>
      </c>
      <c r="L989" s="550">
        <f>'Sollecitazioni nel paramento'!$G$60*(sezione!$AM$30-C989)/C989</f>
        <v>-2.9920021780017385E-3</v>
      </c>
      <c r="M989" s="551">
        <f>'Sollecitazioni nel paramento'!$G$60*(sezione!$AN$30-C989)/C989</f>
        <v>-2.822669570668985E-3</v>
      </c>
      <c r="N989" s="551">
        <f>'Sollecitazioni nel paramento'!$G$60*(sezione!$AO$30-C989)/C989</f>
        <v>-2.1453391413379691E-3</v>
      </c>
      <c r="O989" s="551">
        <f>'Sollecitazioni nel paramento'!$G$60*(sezione!$AP$30-C989)/C989</f>
        <v>-2.4130777377538243E-4</v>
      </c>
      <c r="P989" s="545">
        <f>-'Sollecitazioni nel paramento'!$G$47*'Sollecitazioni nel paramento'!$G$41*IF(DATI!$G$211="dx",DATI!$E$61,DATI!$E$64*DATI!$E$63)*1000*C989*sezione!$AD$5</f>
        <v>-15748827.364120819</v>
      </c>
      <c r="Q989" s="545">
        <f>'Foglio deposito bis'!$F$58*IF(ABS(K989)&lt;'Sollecitazioni nel paramento'!$G$58,ABS(K989)*'Sollecitazioni nel paramento'!$G$54,'Sollecitazioni nel paramento'!$G$53)*IF(K989&lt;0,-1,1)</f>
        <v>0</v>
      </c>
      <c r="R989" s="545">
        <f>'Foglio deposito bis'!$F$59*IF(ABS(L989)&lt;'Sollecitazioni nel paramento'!$G$58,ABS(L989)*'Sollecitazioni nel paramento'!$G$54,'Sollecitazioni nel paramento'!$G$53)*IF(L989&lt;0,-1,1)</f>
        <v>-153664.85805602249</v>
      </c>
      <c r="S989" s="545">
        <f>'Foglio deposito bis'!$F$60*IF(ABS(M989)&lt;'Sollecitazioni nel paramento'!$G$58,ABS(M989)*'Sollecitazioni nel paramento'!$G$54,'Sollecitazioni nel paramento'!$G$53)*IF(M989&lt;0,-1,1)</f>
        <v>0</v>
      </c>
      <c r="T989" s="545">
        <f>'Foglio deposito bis'!$F$61*IF(ABS(N989)&lt;'Sollecitazioni nel paramento'!$G$58,ABS(N989)*'Sollecitazioni nel paramento'!$G$54,'Sollecitazioni nel paramento'!$G$53)*IF(N989&lt;0,-1,1)</f>
        <v>-240946.49743184328</v>
      </c>
      <c r="U989" s="545">
        <f>'Foglio deposito bis'!$F$62*IF(ABS(O989)&lt;'Sollecitazioni nel paramento'!$G$58,ABS(O989)*'Sollecitazioni nel paramento'!$G$54,'Sollecitazioni nel paramento'!$G$53)*IF(O989&lt;0,-1,1)</f>
        <v>-39978.672702835443</v>
      </c>
      <c r="V989" s="472">
        <f t="shared" si="71"/>
        <v>-16183417.392311519</v>
      </c>
      <c r="W989" s="551"/>
      <c r="X989" s="551"/>
    </row>
    <row r="990" spans="1:24" x14ac:dyDescent="0.25">
      <c r="A990" s="545">
        <f t="shared" si="70"/>
        <v>16409861.140319593</v>
      </c>
      <c r="B990" s="3">
        <f t="shared" si="68"/>
        <v>72.899999999999949</v>
      </c>
      <c r="C990" s="545">
        <f>'Foglio deposito bis'!$E$156/sezione!$B$247*B990</f>
        <v>419.13707895273694</v>
      </c>
      <c r="D990" s="603">
        <f>-'Sollecitazioni nel paramento'!$G$47*'Sollecitazioni nel paramento'!$G$41*IF(DATI!$G$211="dx",DATI!$E$61,DATI!$E$64*DATI!$E$63)*1000*C990^2*sezione!$AD$5*(1-sezione!$AD$6)</f>
        <v>-3908551059.9004116</v>
      </c>
      <c r="E990" s="545">
        <f>-'Foglio deposito bis'!$F$58*(C990-sezione!$AL$30)*IF(ABS(K990)&lt;'Sollecitazioni nel paramento'!$G$58,ABS(K990)*'Sollecitazioni nel paramento'!$G$54,'Sollecitazioni nel paramento'!$G$53)</f>
        <v>0</v>
      </c>
      <c r="F990" s="545">
        <f>-'Foglio deposito bis'!$F$59*(C990-sezione!$AM$30)*IF(ABS(L990)&lt;'Sollecitazioni nel paramento'!$G$58,ABS(L990)*'Sollecitazioni nel paramento'!$G$54,'Sollecitazioni nel paramento'!$G$53)</f>
        <v>-55186748.259926863</v>
      </c>
      <c r="G990" s="545">
        <f>-'Foglio deposito bis'!$F$60*(C990-sezione!$AN$30)*IF(ABS(M990)&lt;'Sollecitazioni nel paramento'!$G$58,ABS(M990)*'Sollecitazioni nel paramento'!$G$54,'Sollecitazioni nel paramento'!$G$53)</f>
        <v>0</v>
      </c>
      <c r="H990" s="545">
        <f>-'Foglio deposito bis'!$F$61*(C990-sezione!$AO$30)*IF(ABS(N990)&lt;'Sollecitazioni nel paramento'!$G$58,ABS(N990)*'Sollecitazioni nel paramento'!$G$54,'Sollecitazioni nel paramento'!$G$53)</f>
        <v>-62438171.528380997</v>
      </c>
      <c r="I990" s="472">
        <f>-'Foglio deposito bis'!$F$62*(C990-sezione!$AP$30)*IF(ABS(O990)&lt;'Sollecitazioni nel paramento'!$G$58,ABS(O990)*'Sollecitazioni nel paramento'!$G$54,'Sollecitazioni nel paramento'!$G$53)</f>
        <v>-1622943.3613633155</v>
      </c>
      <c r="J990" s="472">
        <f t="shared" si="69"/>
        <v>-4027798923.0500827</v>
      </c>
      <c r="K990" s="550">
        <f>'Sollecitazioni nel paramento'!$G$60*(sezione!$AL$30-C990)/C990</f>
        <v>-3.1659803987043899E-3</v>
      </c>
      <c r="L990" s="550">
        <f>'Sollecitazioni nel paramento'!$G$60*(sezione!$AM$30-C990)/C990</f>
        <v>-2.9989705980565844E-3</v>
      </c>
      <c r="M990" s="551">
        <f>'Sollecitazioni nel paramento'!$G$60*(sezione!$AN$30-C990)/C990</f>
        <v>-2.8319607974087789E-3</v>
      </c>
      <c r="N990" s="551">
        <f>'Sollecitazioni nel paramento'!$G$60*(sezione!$AO$30-C990)/C990</f>
        <v>-2.1639215948175581E-3</v>
      </c>
      <c r="O990" s="551">
        <f>'Sollecitazioni nel paramento'!$G$60*(sezione!$AP$30-C990)/C990</f>
        <v>-2.8600862735871058E-4</v>
      </c>
      <c r="P990" s="545">
        <f>-'Sollecitazioni nel paramento'!$G$47*'Sollecitazioni nel paramento'!$G$41*IF(DATI!$G$211="dx",DATI!$E$61,DATI!$E$64*DATI!$E$63)*1000*C990*sezione!$AD$5</f>
        <v>-15967865.296862416</v>
      </c>
      <c r="Q990" s="545">
        <f>'Foglio deposito bis'!$F$58*IF(ABS(K990)&lt;'Sollecitazioni nel paramento'!$G$58,ABS(K990)*'Sollecitazioni nel paramento'!$G$54,'Sollecitazioni nel paramento'!$G$53)*IF(K990&lt;0,-1,1)</f>
        <v>0</v>
      </c>
      <c r="R990" s="545">
        <f>'Foglio deposito bis'!$F$59*IF(ABS(L990)&lt;'Sollecitazioni nel paramento'!$G$58,ABS(L990)*'Sollecitazioni nel paramento'!$G$54,'Sollecitazioni nel paramento'!$G$53)*IF(L990&lt;0,-1,1)</f>
        <v>-153664.85805602249</v>
      </c>
      <c r="S990" s="545">
        <f>'Foglio deposito bis'!$F$60*IF(ABS(M990)&lt;'Sollecitazioni nel paramento'!$G$58,ABS(M990)*'Sollecitazioni nel paramento'!$G$54,'Sollecitazioni nel paramento'!$G$53)*IF(M990&lt;0,-1,1)</f>
        <v>0</v>
      </c>
      <c r="T990" s="545">
        <f>'Foglio deposito bis'!$F$61*IF(ABS(N990)&lt;'Sollecitazioni nel paramento'!$G$58,ABS(N990)*'Sollecitazioni nel paramento'!$G$54,'Sollecitazioni nel paramento'!$G$53)*IF(N990&lt;0,-1,1)</f>
        <v>-240946.49743184328</v>
      </c>
      <c r="U990" s="545">
        <f>'Foglio deposito bis'!$F$62*IF(ABS(O990)&lt;'Sollecitazioni nel paramento'!$G$58,ABS(O990)*'Sollecitazioni nel paramento'!$G$54,'Sollecitazioni nel paramento'!$G$53)*IF(O990&lt;0,-1,1)</f>
        <v>-47384.487969312184</v>
      </c>
      <c r="V990" s="472">
        <f t="shared" si="71"/>
        <v>-16409861.140319593</v>
      </c>
      <c r="W990" s="551"/>
      <c r="X990" s="551"/>
    </row>
    <row r="991" spans="1:24" x14ac:dyDescent="0.25">
      <c r="A991" s="545">
        <f t="shared" si="70"/>
        <v>16636104.460309632</v>
      </c>
      <c r="B991" s="3">
        <f t="shared" si="68"/>
        <v>73.899999999999949</v>
      </c>
      <c r="C991" s="545">
        <f>'Foglio deposito bis'!$E$156/sezione!$B$247*B991</f>
        <v>424.88655877376215</v>
      </c>
      <c r="D991" s="31">
        <f>-'Sollecitazioni nel paramento'!$G$47*'Sollecitazioni nel paramento'!$G$41*IF(DATI!$G$211="dx",DATI!$E$61,DATI!$E$64*DATI!$E$63)*1000*C991^2*sezione!$AD$5*(1-sezione!$AD$6)</f>
        <v>-4016517004.4913225</v>
      </c>
      <c r="E991" s="545">
        <f>-'Foglio deposito bis'!$F$58*(C991-sezione!$AL$30)*IF(ABS(K991)&lt;'Sollecitazioni nel paramento'!$G$58,ABS(K991)*'Sollecitazioni nel paramento'!$G$54,'Sollecitazioni nel paramento'!$G$53)</f>
        <v>0</v>
      </c>
      <c r="F991" s="545">
        <f>-'Foglio deposito bis'!$F$59*(C991-sezione!$AM$30)*IF(ABS(L991)&lt;'Sollecitazioni nel paramento'!$G$58,ABS(L991)*'Sollecitazioni nel paramento'!$G$54,'Sollecitazioni nel paramento'!$G$53)</f>
        <v>-56070241.260520674</v>
      </c>
      <c r="G991" s="545">
        <f>-'Foglio deposito bis'!$F$60*(C991-sezione!$AN$30)*IF(ABS(M991)&lt;'Sollecitazioni nel paramento'!$G$58,ABS(M991)*'Sollecitazioni nel paramento'!$G$54,'Sollecitazioni nel paramento'!$G$53)</f>
        <v>0</v>
      </c>
      <c r="H991" s="545">
        <f>-'Foglio deposito bis'!$F$61*(C991-sezione!$AO$30)*IF(ABS(N991)&lt;'Sollecitazioni nel paramento'!$G$58,ABS(N991)*'Sollecitazioni nel paramento'!$G$54,'Sollecitazioni nel paramento'!$G$53)</f>
        <v>-63823488.553312078</v>
      </c>
      <c r="I991" s="472">
        <f>-'Foglio deposito bis'!$F$62*(C991-sezione!$AP$30)*IF(ABS(O991)&lt;'Sollecitazioni nel paramento'!$G$58,ABS(O991)*'Sollecitazioni nel paramento'!$G$54,'Sollecitazioni nel paramento'!$G$53)</f>
        <v>-2183595.0087100668</v>
      </c>
      <c r="J991" s="472">
        <f t="shared" si="69"/>
        <v>-4138594329.3138652</v>
      </c>
      <c r="K991" s="550">
        <f>'Sollecitazioni nel paramento'!$G$60*(sezione!$AL$30-C991)/C991</f>
        <v>-3.1705002850548037E-3</v>
      </c>
      <c r="L991" s="550">
        <f>'Sollecitazioni nel paramento'!$G$60*(sezione!$AM$30-C991)/C991</f>
        <v>-3.0057504275822055E-3</v>
      </c>
      <c r="M991" s="551">
        <f>'Sollecitazioni nel paramento'!$G$60*(sezione!$AN$30-C991)/C991</f>
        <v>-2.8410005701096077E-3</v>
      </c>
      <c r="N991" s="551">
        <f>'Sollecitazioni nel paramento'!$G$60*(sezione!$AO$30-C991)/C991</f>
        <v>-2.182001140219215E-3</v>
      </c>
      <c r="O991" s="551">
        <f>'Sollecitazioni nel paramento'!$G$60*(sezione!$AP$30-C991)/C991</f>
        <v>-3.2949971494519628E-4</v>
      </c>
      <c r="P991" s="545">
        <f>-'Sollecitazioni nel paramento'!$G$47*'Sollecitazioni nel paramento'!$G$41*IF(DATI!$G$211="dx",DATI!$E$61,DATI!$E$64*DATI!$E$63)*1000*C991*sezione!$AD$5</f>
        <v>-16186903.229604015</v>
      </c>
      <c r="Q991" s="545">
        <f>'Foglio deposito bis'!$F$58*IF(ABS(K991)&lt;'Sollecitazioni nel paramento'!$G$58,ABS(K991)*'Sollecitazioni nel paramento'!$G$54,'Sollecitazioni nel paramento'!$G$53)*IF(K991&lt;0,-1,1)</f>
        <v>0</v>
      </c>
      <c r="R991" s="545">
        <f>'Foglio deposito bis'!$F$59*IF(ABS(L991)&lt;'Sollecitazioni nel paramento'!$G$58,ABS(L991)*'Sollecitazioni nel paramento'!$G$54,'Sollecitazioni nel paramento'!$G$53)*IF(L991&lt;0,-1,1)</f>
        <v>-153664.85805602249</v>
      </c>
      <c r="S991" s="545">
        <f>'Foglio deposito bis'!$F$60*IF(ABS(M991)&lt;'Sollecitazioni nel paramento'!$G$58,ABS(M991)*'Sollecitazioni nel paramento'!$G$54,'Sollecitazioni nel paramento'!$G$53)*IF(M991&lt;0,-1,1)</f>
        <v>0</v>
      </c>
      <c r="T991" s="545">
        <f>'Foglio deposito bis'!$F$61*IF(ABS(N991)&lt;'Sollecitazioni nel paramento'!$G$58,ABS(N991)*'Sollecitazioni nel paramento'!$G$54,'Sollecitazioni nel paramento'!$G$53)*IF(N991&lt;0,-1,1)</f>
        <v>-240946.49743184328</v>
      </c>
      <c r="U991" s="545">
        <f>'Foglio deposito bis'!$F$62*IF(ABS(O991)&lt;'Sollecitazioni nel paramento'!$G$58,ABS(O991)*'Sollecitazioni nel paramento'!$G$54,'Sollecitazioni nel paramento'!$G$53)*IF(O991&lt;0,-1,1)</f>
        <v>-54589.875217751673</v>
      </c>
      <c r="V991" s="472">
        <f t="shared" si="71"/>
        <v>-16636104.460309632</v>
      </c>
      <c r="W991" s="551"/>
      <c r="X991" s="551"/>
    </row>
    <row r="992" spans="1:24" x14ac:dyDescent="0.25">
      <c r="P992" s="545"/>
      <c r="Q992" s="545"/>
      <c r="R992" s="545"/>
      <c r="S992" s="545"/>
      <c r="T992" s="545"/>
      <c r="U992" s="545"/>
      <c r="V992" s="472"/>
    </row>
    <row r="993" spans="1:24" x14ac:dyDescent="0.25">
      <c r="P993" s="545"/>
      <c r="Q993" s="545"/>
      <c r="R993" s="545"/>
      <c r="S993" s="545"/>
      <c r="T993" s="545"/>
      <c r="U993" s="545"/>
      <c r="V993" s="472"/>
    </row>
    <row r="994" spans="1:24" ht="15.75" x14ac:dyDescent="0.25">
      <c r="A994" s="1035" t="s">
        <v>952</v>
      </c>
      <c r="B994" s="1036"/>
      <c r="C994" s="1036"/>
      <c r="D994" s="1036"/>
      <c r="E994" s="1036"/>
      <c r="F994" s="1036"/>
      <c r="G994" s="1036"/>
      <c r="H994" s="1036"/>
      <c r="I994" s="1036"/>
      <c r="J994" s="1036"/>
      <c r="K994" s="1036"/>
      <c r="L994" s="1036"/>
      <c r="M994" s="1036"/>
      <c r="N994" s="1036"/>
      <c r="O994" s="1037"/>
      <c r="P994" s="545"/>
      <c r="Q994" s="545"/>
      <c r="R994" s="545"/>
      <c r="S994" s="545"/>
      <c r="T994" s="545"/>
      <c r="U994" s="545"/>
      <c r="V994" s="472"/>
      <c r="W994" s="605"/>
      <c r="X994" s="605"/>
    </row>
    <row r="995" spans="1:24" x14ac:dyDescent="0.25">
      <c r="A995" s="533">
        <v>1</v>
      </c>
      <c r="B995" s="533">
        <v>2</v>
      </c>
      <c r="C995" s="533">
        <v>3</v>
      </c>
      <c r="D995" s="533">
        <v>4</v>
      </c>
      <c r="E995" s="533">
        <v>5</v>
      </c>
      <c r="F995" s="533">
        <v>6</v>
      </c>
      <c r="G995" s="533">
        <v>7</v>
      </c>
      <c r="H995" s="533">
        <v>8</v>
      </c>
      <c r="I995" s="533">
        <v>9</v>
      </c>
      <c r="J995" s="533">
        <v>10</v>
      </c>
      <c r="K995" s="533">
        <v>11</v>
      </c>
      <c r="L995" s="533">
        <v>12</v>
      </c>
      <c r="M995" s="533">
        <v>13</v>
      </c>
      <c r="N995" s="533">
        <v>14</v>
      </c>
      <c r="O995" s="533">
        <v>15</v>
      </c>
      <c r="P995" s="598">
        <v>4</v>
      </c>
      <c r="Q995" s="598">
        <v>5</v>
      </c>
      <c r="R995" s="598">
        <v>6</v>
      </c>
      <c r="S995" s="598">
        <v>7</v>
      </c>
      <c r="T995" s="598">
        <v>8</v>
      </c>
      <c r="U995" s="598">
        <v>9</v>
      </c>
      <c r="V995" s="598">
        <v>10</v>
      </c>
      <c r="W995" s="46"/>
      <c r="X995" s="46"/>
    </row>
    <row r="996" spans="1:24" x14ac:dyDescent="0.25">
      <c r="A996" s="553" t="s">
        <v>930</v>
      </c>
      <c r="B996" s="80" t="s">
        <v>918</v>
      </c>
      <c r="C996" s="533" t="s">
        <v>137</v>
      </c>
      <c r="D996" s="533" t="s">
        <v>912</v>
      </c>
      <c r="E996" s="533" t="s">
        <v>913</v>
      </c>
      <c r="F996" s="533" t="s">
        <v>914</v>
      </c>
      <c r="G996" s="533" t="s">
        <v>915</v>
      </c>
      <c r="H996" s="533" t="s">
        <v>916</v>
      </c>
      <c r="I996" s="533" t="s">
        <v>917</v>
      </c>
      <c r="J996" s="554" t="s">
        <v>911</v>
      </c>
      <c r="K996" s="553" t="s">
        <v>924</v>
      </c>
      <c r="L996" s="553" t="s">
        <v>925</v>
      </c>
      <c r="M996" s="553" t="s">
        <v>926</v>
      </c>
      <c r="N996" s="553" t="s">
        <v>927</v>
      </c>
      <c r="O996" s="553" t="s">
        <v>928</v>
      </c>
      <c r="P996" s="598" t="s">
        <v>296</v>
      </c>
      <c r="Q996" s="598" t="s">
        <v>969</v>
      </c>
      <c r="R996" s="598" t="s">
        <v>970</v>
      </c>
      <c r="S996" s="598" t="s">
        <v>971</v>
      </c>
      <c r="T996" s="598" t="s">
        <v>972</v>
      </c>
      <c r="U996" s="598" t="s">
        <v>973</v>
      </c>
      <c r="V996" s="599" t="s">
        <v>1022</v>
      </c>
      <c r="W996" s="57"/>
      <c r="X996" s="57"/>
    </row>
    <row r="997" spans="1:24" x14ac:dyDescent="0.25">
      <c r="A997" s="545">
        <f>ABS(V997)</f>
        <v>708936.0147865999</v>
      </c>
      <c r="B997" s="3">
        <v>0</v>
      </c>
      <c r="C997" s="41">
        <v>0.01</v>
      </c>
      <c r="D997" s="603">
        <f>-'Sollecitazioni nel paramento'!$G$47*'Sollecitazioni nel paramento'!$G$41*IF(DATI!$G$211="dx",DATI!$E$61,DATI!$E$64*DATI!$E$63)*1000*C997^2*sezione!$AD$5*(1-sezione!$AD$6)</f>
        <v>-2.2248647999999998</v>
      </c>
      <c r="E997" s="545">
        <f>-'Foglio deposito bis'!$F$58*(C997-sezione!$AL$31)*IF(ABS(K997)&lt;'Sollecitazioni nel paramento'!$G$58,ABS(K997)*'Sollecitazioni nel paramento'!$G$54,'Sollecitazioni nel paramento'!$G$53)</f>
        <v>0</v>
      </c>
      <c r="F997" s="545">
        <f>-'Foglio deposito bis'!$F$59*(C997-sezione!$AM$31)*IF(ABS(L997)&lt;'Sollecitazioni nel paramento'!$G$58,ABS(L997)*'Sollecitazioni nel paramento'!$G$54,'Sollecitazioni nel paramento'!$G$53)</f>
        <v>9218354.8347807899</v>
      </c>
      <c r="G997" s="545">
        <f>-'Foglio deposito bis'!$F$60*(C997-sezione!$AN$31)*IF(ABS(M997)&lt;'Sollecitazioni nel paramento'!$G$58,ABS(M997)*'Sollecitazioni nel paramento'!$G$54,'Sollecitazioni nel paramento'!$G$53)</f>
        <v>0</v>
      </c>
      <c r="H997" s="545">
        <f>-'Foglio deposito bis'!$F$61*(C997-sezione!$AO$31)*IF(ABS(N997)&lt;'Sollecitazioni nel paramento'!$G$58,ABS(N997)*'Sollecitazioni nel paramento'!$G$54,'Sollecitazioni nel paramento'!$G$53)</f>
        <v>38549030.124120608</v>
      </c>
      <c r="I997" s="472">
        <f>-'Foglio deposito bis'!$F$62*(C997-sezione!$AP$31)*IF(ABS(O997)&lt;'Sollecitazioni nel paramento'!$G$58,ABS(O997)*'Sollecitazioni nel paramento'!$G$54,'Sollecitazioni nel paramento'!$G$53)</f>
        <v>140402588.79857683</v>
      </c>
      <c r="J997" s="472">
        <f t="shared" ref="J997:J1060" si="72">D997+E997+F997+G997+H997+I997</f>
        <v>188169971.53261343</v>
      </c>
      <c r="K997" s="550">
        <f>'Sollecitazioni nel paramento'!$G$60*(sezione!$AL$31-C997)/C997</f>
        <v>13.996500000000001</v>
      </c>
      <c r="L997" s="550">
        <f>'Sollecitazioni nel paramento'!$G$60*(sezione!$AM$31-C997)/C997</f>
        <v>20.996500000000001</v>
      </c>
      <c r="M997" s="551">
        <f>'Sollecitazioni nel paramento'!$G$60*(sezione!$AN$31-C997)/C997</f>
        <v>27.996499999999997</v>
      </c>
      <c r="N997" s="551">
        <f>'Sollecitazioni nel paramento'!$G$60*(sezione!$AO$31-C997)/C997</f>
        <v>55.996500000000005</v>
      </c>
      <c r="O997" s="551">
        <f>'Sollecitazioni nel paramento'!$G$60*(sezione!$AP$31-C997)/C997</f>
        <v>156.1487990825068</v>
      </c>
      <c r="P997" s="545">
        <f>-'Sollecitazioni nel paramento'!$G$47*'Sollecitazioni nel paramento'!$G$41*IF(DATI!$G$211="dx",DATI!$E$61,DATI!$E$64*DATI!$E$63)*1000*C997*sezione!$AD$5</f>
        <v>-380.96999999999991</v>
      </c>
      <c r="Q997" s="545">
        <f>'Foglio deposito bis'!$F$58*IF(ABS(K997)&lt;'Sollecitazioni nel paramento'!$G$58,ABS(K997)*'Sollecitazioni nel paramento'!$G$54,'Sollecitazioni nel paramento'!$G$53)*IF(K997&lt;0,-1,1)</f>
        <v>0</v>
      </c>
      <c r="R997" s="545">
        <f>'Foglio deposito bis'!$F$59*IF(ABS(L997)&lt;'Sollecitazioni nel paramento'!$G$58,ABS(L997)*'Sollecitazioni nel paramento'!$G$54,'Sollecitazioni nel paramento'!$G$53)*IF(L997&lt;0,-1,1)</f>
        <v>153664.85805602249</v>
      </c>
      <c r="S997" s="545">
        <f>'Foglio deposito bis'!$F$60*IF(ABS(M997)&lt;'Sollecitazioni nel paramento'!$G$58,ABS(M997)*'Sollecitazioni nel paramento'!$G$54,'Sollecitazioni nel paramento'!$G$53)*IF(M997&lt;0,-1,1)</f>
        <v>0</v>
      </c>
      <c r="T997" s="545">
        <f>'Foglio deposito bis'!$F$61*IF(ABS(N997)&lt;'Sollecitazioni nel paramento'!$G$58,ABS(N997)*'Sollecitazioni nel paramento'!$G$54,'Sollecitazioni nel paramento'!$G$53)*IF(N997&lt;0,-1,1)</f>
        <v>240946.49743184328</v>
      </c>
      <c r="U997" s="545">
        <f>'Foglio deposito bis'!$F$62*IF(ABS(O997)&lt;'Sollecitazioni nel paramento'!$G$58,ABS(O997)*'Sollecitazioni nel paramento'!$G$54,'Sollecitazioni nel paramento'!$G$53)*IF(O997&lt;0,-1,1)</f>
        <v>314705.62929873407</v>
      </c>
      <c r="V997" s="472">
        <f>P997+Q997+R997+S997+T997+U997</f>
        <v>708936.0147865999</v>
      </c>
      <c r="W997" s="551"/>
      <c r="X997" s="551"/>
    </row>
    <row r="998" spans="1:24" x14ac:dyDescent="0.25">
      <c r="A998" s="545">
        <f t="shared" ref="A998:A1061" si="73">ABS(V998)</f>
        <v>696785.97350079613</v>
      </c>
      <c r="B998" s="3">
        <f>B997+0.05</f>
        <v>0.05</v>
      </c>
      <c r="C998" s="545">
        <f>'Foglio deposito bis'!$E$157/sezione!$B$247*B998</f>
        <v>0.32892383352504723</v>
      </c>
      <c r="D998" s="603">
        <f>-'Sollecitazioni nel paramento'!$G$47*'Sollecitazioni nel paramento'!$G$41*IF(DATI!$G$211="dx",DATI!$E$61,DATI!$E$64*DATI!$E$63)*1000*C998^2*sezione!$AD$5*(1-sezione!$AD$6)</f>
        <v>-2407.1009897221597</v>
      </c>
      <c r="E998" s="545">
        <f>-'Foglio deposito bis'!$F$58*(C998-sezione!$AL$31)*IF(ABS(K998)&lt;'Sollecitazioni nel paramento'!$G$58,ABS(K998)*'Sollecitazioni nel paramento'!$G$54,'Sollecitazioni nel paramento'!$G$53)</f>
        <v>0</v>
      </c>
      <c r="F998" s="545">
        <f>-'Foglio deposito bis'!$F$59*(C998-sezione!$AM$31)*IF(ABS(L998)&lt;'Sollecitazioni nel paramento'!$G$58,ABS(L998)*'Sollecitazioni nel paramento'!$G$54,'Sollecitazioni nel paramento'!$G$53)</f>
        <v>9169347.4491714798</v>
      </c>
      <c r="G998" s="545">
        <f>-'Foglio deposito bis'!$F$60*(C998-sezione!$AN$31)*IF(ABS(M998)&lt;'Sollecitazioni nel paramento'!$G$58,ABS(M998)*'Sollecitazioni nel paramento'!$G$54,'Sollecitazioni nel paramento'!$G$53)</f>
        <v>0</v>
      </c>
      <c r="H998" s="545">
        <f>-'Foglio deposito bis'!$F$61*(C998-sezione!$AO$31)*IF(ABS(N998)&lt;'Sollecitazioni nel paramento'!$G$58,ABS(N998)*'Sollecitazioni nel paramento'!$G$54,'Sollecitazioni nel paramento'!$G$53)</f>
        <v>38472186.543485209</v>
      </c>
      <c r="I998" s="472">
        <f>-'Foglio deposito bis'!$F$62*(C998-sezione!$AP$31)*IF(ABS(O998)&lt;'Sollecitazioni nel paramento'!$G$58,ABS(O998)*'Sollecitazioni nel paramento'!$G$54,'Sollecitazioni nel paramento'!$G$53)</f>
        <v>140302221.67284897</v>
      </c>
      <c r="J998" s="472">
        <f t="shared" si="72"/>
        <v>187941348.56451595</v>
      </c>
      <c r="K998" s="550">
        <f>'Sollecitazioni nel paramento'!$G$60*(sezione!$AL$31-C998)/C998</f>
        <v>0.42213045219202444</v>
      </c>
      <c r="L998" s="550">
        <f>'Sollecitazioni nel paramento'!$G$60*(sezione!$AM$31-C998)/C998</f>
        <v>0.63494567828803661</v>
      </c>
      <c r="M998" s="551">
        <f>'Sollecitazioni nel paramento'!$G$60*(sezione!$AN$31-C998)/C998</f>
        <v>0.84776090438404872</v>
      </c>
      <c r="N998" s="551">
        <f>'Sollecitazioni nel paramento'!$G$60*(sezione!$AO$31-C998)/C998</f>
        <v>1.6990218087680975</v>
      </c>
      <c r="O998" s="551">
        <f>'Sollecitazioni nel paramento'!$G$60*(sezione!$AP$31-C998)/C998</f>
        <v>4.7438695478079715</v>
      </c>
      <c r="P998" s="545">
        <f>-'Sollecitazioni nel paramento'!$G$47*'Sollecitazioni nel paramento'!$G$41*IF(DATI!$G$211="dx",DATI!$E$61,DATI!$E$64*DATI!$E$63)*1000*C998*sezione!$AD$5</f>
        <v>-12531.011285803721</v>
      </c>
      <c r="Q998" s="545">
        <f>'Foglio deposito bis'!$F$58*IF(ABS(K998)&lt;'Sollecitazioni nel paramento'!$G$58,ABS(K998)*'Sollecitazioni nel paramento'!$G$54,'Sollecitazioni nel paramento'!$G$53)*IF(K998&lt;0,-1,1)</f>
        <v>0</v>
      </c>
      <c r="R998" s="545">
        <f>'Foglio deposito bis'!$F$59*IF(ABS(L998)&lt;'Sollecitazioni nel paramento'!$G$58,ABS(L998)*'Sollecitazioni nel paramento'!$G$54,'Sollecitazioni nel paramento'!$G$53)*IF(L998&lt;0,-1,1)</f>
        <v>153664.85805602249</v>
      </c>
      <c r="S998" s="545">
        <f>'Foglio deposito bis'!$F$60*IF(ABS(M998)&lt;'Sollecitazioni nel paramento'!$G$58,ABS(M998)*'Sollecitazioni nel paramento'!$G$54,'Sollecitazioni nel paramento'!$G$53)*IF(M998&lt;0,-1,1)</f>
        <v>0</v>
      </c>
      <c r="T998" s="545">
        <f>'Foglio deposito bis'!$F$61*IF(ABS(N998)&lt;'Sollecitazioni nel paramento'!$G$58,ABS(N998)*'Sollecitazioni nel paramento'!$G$54,'Sollecitazioni nel paramento'!$G$53)*IF(N998&lt;0,-1,1)</f>
        <v>240946.49743184328</v>
      </c>
      <c r="U998" s="545">
        <f>'Foglio deposito bis'!$F$62*IF(ABS(O998)&lt;'Sollecitazioni nel paramento'!$G$58,ABS(O998)*'Sollecitazioni nel paramento'!$G$54,'Sollecitazioni nel paramento'!$G$53)*IF(O998&lt;0,-1,1)</f>
        <v>314705.62929873407</v>
      </c>
      <c r="V998" s="472">
        <f t="shared" ref="V998:V1061" si="74">P998+Q998+R998+S998+T998+U998</f>
        <v>696785.97350079613</v>
      </c>
      <c r="W998" s="551"/>
      <c r="X998" s="551"/>
    </row>
    <row r="999" spans="1:24" x14ac:dyDescent="0.25">
      <c r="A999" s="545">
        <f t="shared" si="73"/>
        <v>684254.96221499238</v>
      </c>
      <c r="B999" s="3">
        <f t="shared" ref="B999:B1062" si="75">B998+0.05</f>
        <v>0.1</v>
      </c>
      <c r="C999" s="545">
        <f>'Foglio deposito bis'!$E$157/sezione!$B$247*B999</f>
        <v>0.65784766705009445</v>
      </c>
      <c r="D999" s="603">
        <f>-'Sollecitazioni nel paramento'!$G$47*'Sollecitazioni nel paramento'!$G$41*IF(DATI!$G$211="dx",DATI!$E$61,DATI!$E$64*DATI!$E$63)*1000*C999^2*sezione!$AD$5*(1-sezione!$AD$6)</f>
        <v>-9628.403958888639</v>
      </c>
      <c r="E999" s="545">
        <f>-'Foglio deposito bis'!$F$58*(C999-sezione!$AL$31)*IF(ABS(K999)&lt;'Sollecitazioni nel paramento'!$G$58,ABS(K999)*'Sollecitazioni nel paramento'!$G$54,'Sollecitazioni nel paramento'!$G$53)</f>
        <v>0</v>
      </c>
      <c r="F999" s="545">
        <f>-'Foglio deposito bis'!$F$59*(C999-sezione!$AM$31)*IF(ABS(L999)&lt;'Sollecitazioni nel paramento'!$G$58,ABS(L999)*'Sollecitazioni nel paramento'!$G$54,'Sollecitazioni nel paramento'!$G$53)</f>
        <v>9118803.4149816129</v>
      </c>
      <c r="G999" s="545">
        <f>-'Foglio deposito bis'!$F$60*(C999-sezione!$AN$31)*IF(ABS(M999)&lt;'Sollecitazioni nel paramento'!$G$58,ABS(M999)*'Sollecitazioni nel paramento'!$G$54,'Sollecitazioni nel paramento'!$G$53)</f>
        <v>0</v>
      </c>
      <c r="H999" s="545">
        <f>-'Foglio deposito bis'!$F$61*(C999-sezione!$AO$31)*IF(ABS(N999)&lt;'Sollecitazioni nel paramento'!$G$58,ABS(N999)*'Sollecitazioni nel paramento'!$G$54,'Sollecitazioni nel paramento'!$G$53)</f>
        <v>38392933.497875497</v>
      </c>
      <c r="I999" s="472">
        <f>-'Foglio deposito bis'!$F$62*(C999-sezione!$AP$31)*IF(ABS(O999)&lt;'Sollecitazioni nel paramento'!$G$58,ABS(O999)*'Sollecitazioni nel paramento'!$G$54,'Sollecitazioni nel paramento'!$G$53)</f>
        <v>140198707.49082813</v>
      </c>
      <c r="J999" s="472">
        <f t="shared" si="72"/>
        <v>187700815.99972636</v>
      </c>
      <c r="K999" s="550">
        <f>'Sollecitazioni nel paramento'!$G$60*(sezione!$AL$31-C999)/C999</f>
        <v>0.20931522609601222</v>
      </c>
      <c r="L999" s="550">
        <f>'Sollecitazioni nel paramento'!$G$60*(sezione!$AM$31-C999)/C999</f>
        <v>0.31572283914401833</v>
      </c>
      <c r="M999" s="551">
        <f>'Sollecitazioni nel paramento'!$G$60*(sezione!$AN$31-C999)/C999</f>
        <v>0.42213045219202444</v>
      </c>
      <c r="N999" s="551">
        <f>'Sollecitazioni nel paramento'!$G$60*(sezione!$AO$31-C999)/C999</f>
        <v>0.84776090438404872</v>
      </c>
      <c r="O999" s="551">
        <f>'Sollecitazioni nel paramento'!$G$60*(sezione!$AP$31-C999)/C999</f>
        <v>2.3701847739039859</v>
      </c>
      <c r="P999" s="545">
        <f>-'Sollecitazioni nel paramento'!$G$47*'Sollecitazioni nel paramento'!$G$41*IF(DATI!$G$211="dx",DATI!$E$61,DATI!$E$64*DATI!$E$63)*1000*C999*sezione!$AD$5</f>
        <v>-25062.022571607442</v>
      </c>
      <c r="Q999" s="545">
        <f>'Foglio deposito bis'!$F$58*IF(ABS(K999)&lt;'Sollecitazioni nel paramento'!$G$58,ABS(K999)*'Sollecitazioni nel paramento'!$G$54,'Sollecitazioni nel paramento'!$G$53)*IF(K999&lt;0,-1,1)</f>
        <v>0</v>
      </c>
      <c r="R999" s="545">
        <f>'Foglio deposito bis'!$F$59*IF(ABS(L999)&lt;'Sollecitazioni nel paramento'!$G$58,ABS(L999)*'Sollecitazioni nel paramento'!$G$54,'Sollecitazioni nel paramento'!$G$53)*IF(L999&lt;0,-1,1)</f>
        <v>153664.85805602249</v>
      </c>
      <c r="S999" s="545">
        <f>'Foglio deposito bis'!$F$60*IF(ABS(M999)&lt;'Sollecitazioni nel paramento'!$G$58,ABS(M999)*'Sollecitazioni nel paramento'!$G$54,'Sollecitazioni nel paramento'!$G$53)*IF(M999&lt;0,-1,1)</f>
        <v>0</v>
      </c>
      <c r="T999" s="545">
        <f>'Foglio deposito bis'!$F$61*IF(ABS(N999)&lt;'Sollecitazioni nel paramento'!$G$58,ABS(N999)*'Sollecitazioni nel paramento'!$G$54,'Sollecitazioni nel paramento'!$G$53)*IF(N999&lt;0,-1,1)</f>
        <v>240946.49743184328</v>
      </c>
      <c r="U999" s="545">
        <f>'Foglio deposito bis'!$F$62*IF(ABS(O999)&lt;'Sollecitazioni nel paramento'!$G$58,ABS(O999)*'Sollecitazioni nel paramento'!$G$54,'Sollecitazioni nel paramento'!$G$53)*IF(O999&lt;0,-1,1)</f>
        <v>314705.62929873407</v>
      </c>
      <c r="V999" s="472">
        <f t="shared" si="74"/>
        <v>684254.96221499238</v>
      </c>
      <c r="W999" s="551"/>
      <c r="X999" s="551"/>
    </row>
    <row r="1000" spans="1:24" x14ac:dyDescent="0.25">
      <c r="A1000" s="545">
        <f t="shared" si="73"/>
        <v>671723.95092918864</v>
      </c>
      <c r="B1000" s="3">
        <f t="shared" si="75"/>
        <v>0.15000000000000002</v>
      </c>
      <c r="C1000" s="545">
        <f>'Foglio deposito bis'!$E$157/sezione!$B$247*B1000</f>
        <v>0.98677150057514174</v>
      </c>
      <c r="D1000" s="603">
        <f>-'Sollecitazioni nel paramento'!$G$47*'Sollecitazioni nel paramento'!$G$41*IF(DATI!$G$211="dx",DATI!$E$61,DATI!$E$64*DATI!$E$63)*1000*C1000^2*sezione!$AD$5*(1-sezione!$AD$6)</f>
        <v>-21663.908907499448</v>
      </c>
      <c r="E1000" s="545">
        <f>-'Foglio deposito bis'!$F$58*(C1000-sezione!$AL$31)*IF(ABS(K1000)&lt;'Sollecitazioni nel paramento'!$G$58,ABS(K1000)*'Sollecitazioni nel paramento'!$G$54,'Sollecitazioni nel paramento'!$G$53)</f>
        <v>0</v>
      </c>
      <c r="F1000" s="545">
        <f>-'Foglio deposito bis'!$F$59*(C1000-sezione!$AM$31)*IF(ABS(L1000)&lt;'Sollecitazioni nel paramento'!$G$58,ABS(L1000)*'Sollecitazioni nel paramento'!$G$54,'Sollecitazioni nel paramento'!$G$53)</f>
        <v>9068259.3807917424</v>
      </c>
      <c r="G1000" s="545">
        <f>-'Foglio deposito bis'!$F$60*(C1000-sezione!$AN$31)*IF(ABS(M1000)&lt;'Sollecitazioni nel paramento'!$G$58,ABS(M1000)*'Sollecitazioni nel paramento'!$G$54,'Sollecitazioni nel paramento'!$G$53)</f>
        <v>0</v>
      </c>
      <c r="H1000" s="545">
        <f>-'Foglio deposito bis'!$F$61*(C1000-sezione!$AO$31)*IF(ABS(N1000)&lt;'Sollecitazioni nel paramento'!$G$58,ABS(N1000)*'Sollecitazioni nel paramento'!$G$54,'Sollecitazioni nel paramento'!$G$53)</f>
        <v>38313680.452265777</v>
      </c>
      <c r="I1000" s="472">
        <f>-'Foglio deposito bis'!$F$62*(C1000-sezione!$AP$31)*IF(ABS(O1000)&lt;'Sollecitazioni nel paramento'!$G$58,ABS(O1000)*'Sollecitazioni nel paramento'!$G$54,'Sollecitazioni nel paramento'!$G$53)</f>
        <v>140095193.30880725</v>
      </c>
      <c r="J1000" s="472">
        <f t="shared" si="72"/>
        <v>187455469.23295727</v>
      </c>
      <c r="K1000" s="550">
        <f>'Sollecitazioni nel paramento'!$G$60*(sezione!$AL$31-C1000)/C1000</f>
        <v>0.13837681739734142</v>
      </c>
      <c r="L1000" s="550">
        <f>'Sollecitazioni nel paramento'!$G$60*(sezione!$AM$31-C1000)/C1000</f>
        <v>0.20931522609601216</v>
      </c>
      <c r="M1000" s="551">
        <f>'Sollecitazioni nel paramento'!$G$60*(sezione!$AN$31-C1000)/C1000</f>
        <v>0.2802536347946829</v>
      </c>
      <c r="N1000" s="551">
        <f>'Sollecitazioni nel paramento'!$G$60*(sezione!$AO$31-C1000)/C1000</f>
        <v>0.56400726958936576</v>
      </c>
      <c r="O1000" s="551">
        <f>'Sollecitazioni nel paramento'!$G$60*(sezione!$AP$31-C1000)/C1000</f>
        <v>1.5789565159359906</v>
      </c>
      <c r="P1000" s="545">
        <f>-'Sollecitazioni nel paramento'!$G$47*'Sollecitazioni nel paramento'!$G$41*IF(DATI!$G$211="dx",DATI!$E$61,DATI!$E$64*DATI!$E$63)*1000*C1000*sezione!$AD$5</f>
        <v>-37593.033857411167</v>
      </c>
      <c r="Q1000" s="545">
        <f>'Foglio deposito bis'!$F$58*IF(ABS(K1000)&lt;'Sollecitazioni nel paramento'!$G$58,ABS(K1000)*'Sollecitazioni nel paramento'!$G$54,'Sollecitazioni nel paramento'!$G$53)*IF(K1000&lt;0,-1,1)</f>
        <v>0</v>
      </c>
      <c r="R1000" s="545">
        <f>'Foglio deposito bis'!$F$59*IF(ABS(L1000)&lt;'Sollecitazioni nel paramento'!$G$58,ABS(L1000)*'Sollecitazioni nel paramento'!$G$54,'Sollecitazioni nel paramento'!$G$53)*IF(L1000&lt;0,-1,1)</f>
        <v>153664.85805602249</v>
      </c>
      <c r="S1000" s="545">
        <f>'Foglio deposito bis'!$F$60*IF(ABS(M1000)&lt;'Sollecitazioni nel paramento'!$G$58,ABS(M1000)*'Sollecitazioni nel paramento'!$G$54,'Sollecitazioni nel paramento'!$G$53)*IF(M1000&lt;0,-1,1)</f>
        <v>0</v>
      </c>
      <c r="T1000" s="545">
        <f>'Foglio deposito bis'!$F$61*IF(ABS(N1000)&lt;'Sollecitazioni nel paramento'!$G$58,ABS(N1000)*'Sollecitazioni nel paramento'!$G$54,'Sollecitazioni nel paramento'!$G$53)*IF(N1000&lt;0,-1,1)</f>
        <v>240946.49743184328</v>
      </c>
      <c r="U1000" s="545">
        <f>'Foglio deposito bis'!$F$62*IF(ABS(O1000)&lt;'Sollecitazioni nel paramento'!$G$58,ABS(O1000)*'Sollecitazioni nel paramento'!$G$54,'Sollecitazioni nel paramento'!$G$53)*IF(O1000&lt;0,-1,1)</f>
        <v>314705.62929873407</v>
      </c>
      <c r="V1000" s="472">
        <f t="shared" si="74"/>
        <v>671723.95092918864</v>
      </c>
      <c r="W1000" s="551"/>
      <c r="X1000" s="551"/>
    </row>
    <row r="1001" spans="1:24" x14ac:dyDescent="0.25">
      <c r="A1001" s="545">
        <f t="shared" si="73"/>
        <v>659192.93964338489</v>
      </c>
      <c r="B1001" s="3">
        <f t="shared" si="75"/>
        <v>0.2</v>
      </c>
      <c r="C1001" s="545">
        <f>'Foglio deposito bis'!$E$157/sezione!$B$247*B1001</f>
        <v>1.3156953341001889</v>
      </c>
      <c r="D1001" s="603">
        <f>-'Sollecitazioni nel paramento'!$G$47*'Sollecitazioni nel paramento'!$G$41*IF(DATI!$G$211="dx",DATI!$E$61,DATI!$E$64*DATI!$E$63)*1000*C1001^2*sezione!$AD$5*(1-sezione!$AD$6)</f>
        <v>-38513.615835554556</v>
      </c>
      <c r="E1001" s="545">
        <f>-'Foglio deposito bis'!$F$58*(C1001-sezione!$AL$31)*IF(ABS(K1001)&lt;'Sollecitazioni nel paramento'!$G$58,ABS(K1001)*'Sollecitazioni nel paramento'!$G$54,'Sollecitazioni nel paramento'!$G$53)</f>
        <v>0</v>
      </c>
      <c r="F1001" s="545">
        <f>-'Foglio deposito bis'!$F$59*(C1001-sezione!$AM$31)*IF(ABS(L1001)&lt;'Sollecitazioni nel paramento'!$G$58,ABS(L1001)*'Sollecitazioni nel paramento'!$G$54,'Sollecitazioni nel paramento'!$G$53)</f>
        <v>9017715.3466018736</v>
      </c>
      <c r="G1001" s="545">
        <f>-'Foglio deposito bis'!$F$60*(C1001-sezione!$AN$31)*IF(ABS(M1001)&lt;'Sollecitazioni nel paramento'!$G$58,ABS(M1001)*'Sollecitazioni nel paramento'!$G$54,'Sollecitazioni nel paramento'!$G$53)</f>
        <v>0</v>
      </c>
      <c r="H1001" s="545">
        <f>-'Foglio deposito bis'!$F$61*(C1001-sezione!$AO$31)*IF(ABS(N1001)&lt;'Sollecitazioni nel paramento'!$G$58,ABS(N1001)*'Sollecitazioni nel paramento'!$G$54,'Sollecitazioni nel paramento'!$G$53)</f>
        <v>38234427.406656064</v>
      </c>
      <c r="I1001" s="472">
        <f>-'Foglio deposito bis'!$F$62*(C1001-sezione!$AP$31)*IF(ABS(O1001)&lt;'Sollecitazioni nel paramento'!$G$58,ABS(O1001)*'Sollecitazioni nel paramento'!$G$54,'Sollecitazioni nel paramento'!$G$53)</f>
        <v>139991679.12678641</v>
      </c>
      <c r="J1001" s="472">
        <f t="shared" si="72"/>
        <v>187205308.26420879</v>
      </c>
      <c r="K1001" s="550">
        <f>'Sollecitazioni nel paramento'!$G$60*(sezione!$AL$31-C1001)/C1001</f>
        <v>0.10290761304800608</v>
      </c>
      <c r="L1001" s="550">
        <f>'Sollecitazioni nel paramento'!$G$60*(sezione!$AM$31-C1001)/C1001</f>
        <v>0.15611141957200914</v>
      </c>
      <c r="M1001" s="551">
        <f>'Sollecitazioni nel paramento'!$G$60*(sezione!$AN$31-C1001)/C1001</f>
        <v>0.20931522609601222</v>
      </c>
      <c r="N1001" s="551">
        <f>'Sollecitazioni nel paramento'!$G$60*(sezione!$AO$31-C1001)/C1001</f>
        <v>0.42213045219202444</v>
      </c>
      <c r="O1001" s="551">
        <f>'Sollecitazioni nel paramento'!$G$60*(sezione!$AP$31-C1001)/C1001</f>
        <v>1.1833423869519928</v>
      </c>
      <c r="P1001" s="545">
        <f>-'Sollecitazioni nel paramento'!$G$47*'Sollecitazioni nel paramento'!$G$41*IF(DATI!$G$211="dx",DATI!$E$61,DATI!$E$64*DATI!$E$63)*1000*C1001*sezione!$AD$5</f>
        <v>-50124.045143214884</v>
      </c>
      <c r="Q1001" s="545">
        <f>'Foglio deposito bis'!$F$58*IF(ABS(K1001)&lt;'Sollecitazioni nel paramento'!$G$58,ABS(K1001)*'Sollecitazioni nel paramento'!$G$54,'Sollecitazioni nel paramento'!$G$53)*IF(K1001&lt;0,-1,1)</f>
        <v>0</v>
      </c>
      <c r="R1001" s="545">
        <f>'Foglio deposito bis'!$F$59*IF(ABS(L1001)&lt;'Sollecitazioni nel paramento'!$G$58,ABS(L1001)*'Sollecitazioni nel paramento'!$G$54,'Sollecitazioni nel paramento'!$G$53)*IF(L1001&lt;0,-1,1)</f>
        <v>153664.85805602249</v>
      </c>
      <c r="S1001" s="545">
        <f>'Foglio deposito bis'!$F$60*IF(ABS(M1001)&lt;'Sollecitazioni nel paramento'!$G$58,ABS(M1001)*'Sollecitazioni nel paramento'!$G$54,'Sollecitazioni nel paramento'!$G$53)*IF(M1001&lt;0,-1,1)</f>
        <v>0</v>
      </c>
      <c r="T1001" s="545">
        <f>'Foglio deposito bis'!$F$61*IF(ABS(N1001)&lt;'Sollecitazioni nel paramento'!$G$58,ABS(N1001)*'Sollecitazioni nel paramento'!$G$54,'Sollecitazioni nel paramento'!$G$53)*IF(N1001&lt;0,-1,1)</f>
        <v>240946.49743184328</v>
      </c>
      <c r="U1001" s="545">
        <f>'Foglio deposito bis'!$F$62*IF(ABS(O1001)&lt;'Sollecitazioni nel paramento'!$G$58,ABS(O1001)*'Sollecitazioni nel paramento'!$G$54,'Sollecitazioni nel paramento'!$G$53)*IF(O1001&lt;0,-1,1)</f>
        <v>314705.62929873407</v>
      </c>
      <c r="V1001" s="472">
        <f t="shared" si="74"/>
        <v>659192.93964338489</v>
      </c>
      <c r="W1001" s="551"/>
      <c r="X1001" s="551"/>
    </row>
    <row r="1002" spans="1:24" x14ac:dyDescent="0.25">
      <c r="A1002" s="545">
        <f t="shared" si="73"/>
        <v>646661.92835758126</v>
      </c>
      <c r="B1002" s="3">
        <f t="shared" si="75"/>
        <v>0.25</v>
      </c>
      <c r="C1002" s="545">
        <f>'Foglio deposito bis'!$E$157/sezione!$B$247*B1002</f>
        <v>1.644619167625236</v>
      </c>
      <c r="D1002" s="603">
        <f>-'Sollecitazioni nel paramento'!$G$47*'Sollecitazioni nel paramento'!$G$41*IF(DATI!$G$211="dx",DATI!$E$61,DATI!$E$64*DATI!$E$63)*1000*C1002^2*sezione!$AD$5*(1-sezione!$AD$6)</f>
        <v>-60177.524743053997</v>
      </c>
      <c r="E1002" s="545">
        <f>-'Foglio deposito bis'!$F$58*(C1002-sezione!$AL$31)*IF(ABS(K1002)&lt;'Sollecitazioni nel paramento'!$G$58,ABS(K1002)*'Sollecitazioni nel paramento'!$G$54,'Sollecitazioni nel paramento'!$G$53)</f>
        <v>0</v>
      </c>
      <c r="F1002" s="545">
        <f>-'Foglio deposito bis'!$F$59*(C1002-sezione!$AM$31)*IF(ABS(L1002)&lt;'Sollecitazioni nel paramento'!$G$58,ABS(L1002)*'Sollecitazioni nel paramento'!$G$54,'Sollecitazioni nel paramento'!$G$53)</f>
        <v>8967171.3124120031</v>
      </c>
      <c r="G1002" s="545">
        <f>-'Foglio deposito bis'!$F$60*(C1002-sezione!$AN$31)*IF(ABS(M1002)&lt;'Sollecitazioni nel paramento'!$G$58,ABS(M1002)*'Sollecitazioni nel paramento'!$G$54,'Sollecitazioni nel paramento'!$G$53)</f>
        <v>0</v>
      </c>
      <c r="H1002" s="545">
        <f>-'Foglio deposito bis'!$F$61*(C1002-sezione!$AO$31)*IF(ABS(N1002)&lt;'Sollecitazioni nel paramento'!$G$58,ABS(N1002)*'Sollecitazioni nel paramento'!$G$54,'Sollecitazioni nel paramento'!$G$53)</f>
        <v>38155174.361046351</v>
      </c>
      <c r="I1002" s="472">
        <f>-'Foglio deposito bis'!$F$62*(C1002-sezione!$AP$31)*IF(ABS(O1002)&lt;'Sollecitazioni nel paramento'!$G$58,ABS(O1002)*'Sollecitazioni nel paramento'!$G$54,'Sollecitazioni nel paramento'!$G$53)</f>
        <v>139888164.94476557</v>
      </c>
      <c r="J1002" s="472">
        <f t="shared" si="72"/>
        <v>186950333.09348089</v>
      </c>
      <c r="K1002" s="550">
        <f>'Sollecitazioni nel paramento'!$G$60*(sezione!$AL$31-C1002)/C1002</f>
        <v>8.1626090438404894E-2</v>
      </c>
      <c r="L1002" s="550">
        <f>'Sollecitazioni nel paramento'!$G$60*(sezione!$AM$31-C1002)/C1002</f>
        <v>0.12418913565760732</v>
      </c>
      <c r="M1002" s="551">
        <f>'Sollecitazioni nel paramento'!$G$60*(sezione!$AN$31-C1002)/C1002</f>
        <v>0.16675218087680976</v>
      </c>
      <c r="N1002" s="551">
        <f>'Sollecitazioni nel paramento'!$G$60*(sezione!$AO$31-C1002)/C1002</f>
        <v>0.33700436175361953</v>
      </c>
      <c r="O1002" s="551">
        <f>'Sollecitazioni nel paramento'!$G$60*(sezione!$AP$31-C1002)/C1002</f>
        <v>0.94597390956159433</v>
      </c>
      <c r="P1002" s="545">
        <f>-'Sollecitazioni nel paramento'!$G$47*'Sollecitazioni nel paramento'!$G$41*IF(DATI!$G$211="dx",DATI!$E$61,DATI!$E$64*DATI!$E$63)*1000*C1002*sezione!$AD$5</f>
        <v>-62655.056429018601</v>
      </c>
      <c r="Q1002" s="545">
        <f>'Foglio deposito bis'!$F$58*IF(ABS(K1002)&lt;'Sollecitazioni nel paramento'!$G$58,ABS(K1002)*'Sollecitazioni nel paramento'!$G$54,'Sollecitazioni nel paramento'!$G$53)*IF(K1002&lt;0,-1,1)</f>
        <v>0</v>
      </c>
      <c r="R1002" s="545">
        <f>'Foglio deposito bis'!$F$59*IF(ABS(L1002)&lt;'Sollecitazioni nel paramento'!$G$58,ABS(L1002)*'Sollecitazioni nel paramento'!$G$54,'Sollecitazioni nel paramento'!$G$53)*IF(L1002&lt;0,-1,1)</f>
        <v>153664.85805602249</v>
      </c>
      <c r="S1002" s="545">
        <f>'Foglio deposito bis'!$F$60*IF(ABS(M1002)&lt;'Sollecitazioni nel paramento'!$G$58,ABS(M1002)*'Sollecitazioni nel paramento'!$G$54,'Sollecitazioni nel paramento'!$G$53)*IF(M1002&lt;0,-1,1)</f>
        <v>0</v>
      </c>
      <c r="T1002" s="545">
        <f>'Foglio deposito bis'!$F$61*IF(ABS(N1002)&lt;'Sollecitazioni nel paramento'!$G$58,ABS(N1002)*'Sollecitazioni nel paramento'!$G$54,'Sollecitazioni nel paramento'!$G$53)*IF(N1002&lt;0,-1,1)</f>
        <v>240946.49743184328</v>
      </c>
      <c r="U1002" s="545">
        <f>'Foglio deposito bis'!$F$62*IF(ABS(O1002)&lt;'Sollecitazioni nel paramento'!$G$58,ABS(O1002)*'Sollecitazioni nel paramento'!$G$54,'Sollecitazioni nel paramento'!$G$53)*IF(O1002&lt;0,-1,1)</f>
        <v>314705.62929873407</v>
      </c>
      <c r="V1002" s="472">
        <f t="shared" si="74"/>
        <v>646661.92835758126</v>
      </c>
      <c r="W1002" s="551"/>
      <c r="X1002" s="551"/>
    </row>
    <row r="1003" spans="1:24" x14ac:dyDescent="0.25">
      <c r="A1003" s="545">
        <f t="shared" si="73"/>
        <v>634130.91707177751</v>
      </c>
      <c r="B1003" s="3">
        <f t="shared" si="75"/>
        <v>0.3</v>
      </c>
      <c r="C1003" s="545">
        <f>'Foglio deposito bis'!$E$157/sezione!$B$247*B1003</f>
        <v>1.973543001150283</v>
      </c>
      <c r="D1003" s="603">
        <f>-'Sollecitazioni nel paramento'!$G$47*'Sollecitazioni nel paramento'!$G$41*IF(DATI!$G$211="dx",DATI!$E$61,DATI!$E$64*DATI!$E$63)*1000*C1003^2*sezione!$AD$5*(1-sezione!$AD$6)</f>
        <v>-86655.635629997734</v>
      </c>
      <c r="E1003" s="545">
        <f>-'Foglio deposito bis'!$F$58*(C1003-sezione!$AL$31)*IF(ABS(K1003)&lt;'Sollecitazioni nel paramento'!$G$58,ABS(K1003)*'Sollecitazioni nel paramento'!$G$54,'Sollecitazioni nel paramento'!$G$53)</f>
        <v>0</v>
      </c>
      <c r="F1003" s="545">
        <f>-'Foglio deposito bis'!$F$59*(C1003-sezione!$AM$31)*IF(ABS(L1003)&lt;'Sollecitazioni nel paramento'!$G$58,ABS(L1003)*'Sollecitazioni nel paramento'!$G$54,'Sollecitazioni nel paramento'!$G$53)</f>
        <v>8916627.2782221343</v>
      </c>
      <c r="G1003" s="545">
        <f>-'Foglio deposito bis'!$F$60*(C1003-sezione!$AN$31)*IF(ABS(M1003)&lt;'Sollecitazioni nel paramento'!$G$58,ABS(M1003)*'Sollecitazioni nel paramento'!$G$54,'Sollecitazioni nel paramento'!$G$53)</f>
        <v>0</v>
      </c>
      <c r="H1003" s="545">
        <f>-'Foglio deposito bis'!$F$61*(C1003-sezione!$AO$31)*IF(ABS(N1003)&lt;'Sollecitazioni nel paramento'!$G$58,ABS(N1003)*'Sollecitazioni nel paramento'!$G$54,'Sollecitazioni nel paramento'!$G$53)</f>
        <v>38075921.315436631</v>
      </c>
      <c r="I1003" s="472">
        <f>-'Foglio deposito bis'!$F$62*(C1003-sezione!$AP$31)*IF(ABS(O1003)&lt;'Sollecitazioni nel paramento'!$G$58,ABS(O1003)*'Sollecitazioni nel paramento'!$G$54,'Sollecitazioni nel paramento'!$G$53)</f>
        <v>139784650.76274469</v>
      </c>
      <c r="J1003" s="472">
        <f t="shared" si="72"/>
        <v>186690543.72077346</v>
      </c>
      <c r="K1003" s="550">
        <f>'Sollecitazioni nel paramento'!$G$60*(sezione!$AL$31-C1003)/C1003</f>
        <v>6.7438408698670751E-2</v>
      </c>
      <c r="L1003" s="550">
        <f>'Sollecitazioni nel paramento'!$G$60*(sezione!$AM$31-C1003)/C1003</f>
        <v>0.10290761304800612</v>
      </c>
      <c r="M1003" s="551">
        <f>'Sollecitazioni nel paramento'!$G$60*(sezione!$AN$31-C1003)/C1003</f>
        <v>0.13837681739734148</v>
      </c>
      <c r="N1003" s="551">
        <f>'Sollecitazioni nel paramento'!$G$60*(sezione!$AO$31-C1003)/C1003</f>
        <v>0.28025363479468296</v>
      </c>
      <c r="O1003" s="551">
        <f>'Sollecitazioni nel paramento'!$G$60*(sezione!$AP$31-C1003)/C1003</f>
        <v>0.78772825796799539</v>
      </c>
      <c r="P1003" s="545">
        <f>-'Sollecitazioni nel paramento'!$G$47*'Sollecitazioni nel paramento'!$G$41*IF(DATI!$G$211="dx",DATI!$E$61,DATI!$E$64*DATI!$E$63)*1000*C1003*sezione!$AD$5</f>
        <v>-75186.067714822319</v>
      </c>
      <c r="Q1003" s="545">
        <f>'Foglio deposito bis'!$F$58*IF(ABS(K1003)&lt;'Sollecitazioni nel paramento'!$G$58,ABS(K1003)*'Sollecitazioni nel paramento'!$G$54,'Sollecitazioni nel paramento'!$G$53)*IF(K1003&lt;0,-1,1)</f>
        <v>0</v>
      </c>
      <c r="R1003" s="545">
        <f>'Foglio deposito bis'!$F$59*IF(ABS(L1003)&lt;'Sollecitazioni nel paramento'!$G$58,ABS(L1003)*'Sollecitazioni nel paramento'!$G$54,'Sollecitazioni nel paramento'!$G$53)*IF(L1003&lt;0,-1,1)</f>
        <v>153664.85805602249</v>
      </c>
      <c r="S1003" s="545">
        <f>'Foglio deposito bis'!$F$60*IF(ABS(M1003)&lt;'Sollecitazioni nel paramento'!$G$58,ABS(M1003)*'Sollecitazioni nel paramento'!$G$54,'Sollecitazioni nel paramento'!$G$53)*IF(M1003&lt;0,-1,1)</f>
        <v>0</v>
      </c>
      <c r="T1003" s="545">
        <f>'Foglio deposito bis'!$F$61*IF(ABS(N1003)&lt;'Sollecitazioni nel paramento'!$G$58,ABS(N1003)*'Sollecitazioni nel paramento'!$G$54,'Sollecitazioni nel paramento'!$G$53)*IF(N1003&lt;0,-1,1)</f>
        <v>240946.49743184328</v>
      </c>
      <c r="U1003" s="545">
        <f>'Foglio deposito bis'!$F$62*IF(ABS(O1003)&lt;'Sollecitazioni nel paramento'!$G$58,ABS(O1003)*'Sollecitazioni nel paramento'!$G$54,'Sollecitazioni nel paramento'!$G$53)*IF(O1003&lt;0,-1,1)</f>
        <v>314705.62929873407</v>
      </c>
      <c r="V1003" s="472">
        <f t="shared" si="74"/>
        <v>634130.91707177751</v>
      </c>
      <c r="W1003" s="551"/>
      <c r="X1003" s="551"/>
    </row>
    <row r="1004" spans="1:24" x14ac:dyDescent="0.25">
      <c r="A1004" s="545">
        <f t="shared" si="73"/>
        <v>621599.90578597388</v>
      </c>
      <c r="B1004" s="3">
        <f t="shared" si="75"/>
        <v>0.35</v>
      </c>
      <c r="C1004" s="545">
        <f>'Foglio deposito bis'!$E$157/sezione!$B$247*B1004</f>
        <v>2.3024668346753301</v>
      </c>
      <c r="D1004" s="603">
        <f>-'Sollecitazioni nel paramento'!$G$47*'Sollecitazioni nel paramento'!$G$41*IF(DATI!$G$211="dx",DATI!$E$61,DATI!$E$64*DATI!$E$63)*1000*C1004^2*sezione!$AD$5*(1-sezione!$AD$6)</f>
        <v>-117947.9484963858</v>
      </c>
      <c r="E1004" s="545">
        <f>-'Foglio deposito bis'!$F$58*(C1004-sezione!$AL$31)*IF(ABS(K1004)&lt;'Sollecitazioni nel paramento'!$G$58,ABS(K1004)*'Sollecitazioni nel paramento'!$G$54,'Sollecitazioni nel paramento'!$G$53)</f>
        <v>0</v>
      </c>
      <c r="F1004" s="545">
        <f>-'Foglio deposito bis'!$F$59*(C1004-sezione!$AM$31)*IF(ABS(L1004)&lt;'Sollecitazioni nel paramento'!$G$58,ABS(L1004)*'Sollecitazioni nel paramento'!$G$54,'Sollecitazioni nel paramento'!$G$53)</f>
        <v>8866083.2440322656</v>
      </c>
      <c r="G1004" s="545">
        <f>-'Foglio deposito bis'!$F$60*(C1004-sezione!$AN$31)*IF(ABS(M1004)&lt;'Sollecitazioni nel paramento'!$G$58,ABS(M1004)*'Sollecitazioni nel paramento'!$G$54,'Sollecitazioni nel paramento'!$G$53)</f>
        <v>0</v>
      </c>
      <c r="H1004" s="545">
        <f>-'Foglio deposito bis'!$F$61*(C1004-sezione!$AO$31)*IF(ABS(N1004)&lt;'Sollecitazioni nel paramento'!$G$58,ABS(N1004)*'Sollecitazioni nel paramento'!$G$54,'Sollecitazioni nel paramento'!$G$53)</f>
        <v>37996668.269826919</v>
      </c>
      <c r="I1004" s="472">
        <f>-'Foglio deposito bis'!$F$62*(C1004-sezione!$AP$31)*IF(ABS(O1004)&lt;'Sollecitazioni nel paramento'!$G$58,ABS(O1004)*'Sollecitazioni nel paramento'!$G$54,'Sollecitazioni nel paramento'!$G$53)</f>
        <v>139681136.58072385</v>
      </c>
      <c r="J1004" s="472">
        <f t="shared" si="72"/>
        <v>186425940.14608663</v>
      </c>
      <c r="K1004" s="550">
        <f>'Sollecitazioni nel paramento'!$G$60*(sezione!$AL$31-C1004)/C1004</f>
        <v>5.7304350313146353E-2</v>
      </c>
      <c r="L1004" s="550">
        <f>'Sollecitazioni nel paramento'!$G$60*(sezione!$AM$31-C1004)/C1004</f>
        <v>8.7706525469719535E-2</v>
      </c>
      <c r="M1004" s="551">
        <f>'Sollecitazioni nel paramento'!$G$60*(sezione!$AN$31-C1004)/C1004</f>
        <v>0.11810870062629271</v>
      </c>
      <c r="N1004" s="551">
        <f>'Sollecitazioni nel paramento'!$G$60*(sezione!$AO$31-C1004)/C1004</f>
        <v>0.23971740125258539</v>
      </c>
      <c r="O1004" s="551">
        <f>'Sollecitazioni nel paramento'!$G$60*(sezione!$AP$31-C1004)/C1004</f>
        <v>0.67469564968685325</v>
      </c>
      <c r="P1004" s="545">
        <f>-'Sollecitazioni nel paramento'!$G$47*'Sollecitazioni nel paramento'!$G$41*IF(DATI!$G$211="dx",DATI!$E$61,DATI!$E$64*DATI!$E$63)*1000*C1004*sezione!$AD$5</f>
        <v>-87717.079000626036</v>
      </c>
      <c r="Q1004" s="545">
        <f>'Foglio deposito bis'!$F$58*IF(ABS(K1004)&lt;'Sollecitazioni nel paramento'!$G$58,ABS(K1004)*'Sollecitazioni nel paramento'!$G$54,'Sollecitazioni nel paramento'!$G$53)*IF(K1004&lt;0,-1,1)</f>
        <v>0</v>
      </c>
      <c r="R1004" s="545">
        <f>'Foglio deposito bis'!$F$59*IF(ABS(L1004)&lt;'Sollecitazioni nel paramento'!$G$58,ABS(L1004)*'Sollecitazioni nel paramento'!$G$54,'Sollecitazioni nel paramento'!$G$53)*IF(L1004&lt;0,-1,1)</f>
        <v>153664.85805602249</v>
      </c>
      <c r="S1004" s="545">
        <f>'Foglio deposito bis'!$F$60*IF(ABS(M1004)&lt;'Sollecitazioni nel paramento'!$G$58,ABS(M1004)*'Sollecitazioni nel paramento'!$G$54,'Sollecitazioni nel paramento'!$G$53)*IF(M1004&lt;0,-1,1)</f>
        <v>0</v>
      </c>
      <c r="T1004" s="545">
        <f>'Foglio deposito bis'!$F$61*IF(ABS(N1004)&lt;'Sollecitazioni nel paramento'!$G$58,ABS(N1004)*'Sollecitazioni nel paramento'!$G$54,'Sollecitazioni nel paramento'!$G$53)*IF(N1004&lt;0,-1,1)</f>
        <v>240946.49743184328</v>
      </c>
      <c r="U1004" s="545">
        <f>'Foglio deposito bis'!$F$62*IF(ABS(O1004)&lt;'Sollecitazioni nel paramento'!$G$58,ABS(O1004)*'Sollecitazioni nel paramento'!$G$54,'Sollecitazioni nel paramento'!$G$53)*IF(O1004&lt;0,-1,1)</f>
        <v>314705.62929873407</v>
      </c>
      <c r="V1004" s="472">
        <f t="shared" si="74"/>
        <v>621599.90578597388</v>
      </c>
      <c r="W1004" s="551"/>
      <c r="X1004" s="551"/>
    </row>
    <row r="1005" spans="1:24" x14ac:dyDescent="0.25">
      <c r="A1005" s="545">
        <f t="shared" si="73"/>
        <v>609068.89450017014</v>
      </c>
      <c r="B1005" s="3">
        <f t="shared" si="75"/>
        <v>0.39999999999999997</v>
      </c>
      <c r="C1005" s="545">
        <f>'Foglio deposito bis'!$E$157/sezione!$B$247*B1005</f>
        <v>2.6313906682003774</v>
      </c>
      <c r="D1005" s="603">
        <f>-'Sollecitazioni nel paramento'!$G$47*'Sollecitazioni nel paramento'!$G$41*IF(DATI!$G$211="dx",DATI!$E$61,DATI!$E$64*DATI!$E$63)*1000*C1005^2*sezione!$AD$5*(1-sezione!$AD$6)</f>
        <v>-154054.46334221819</v>
      </c>
      <c r="E1005" s="545">
        <f>-'Foglio deposito bis'!$F$58*(C1005-sezione!$AL$31)*IF(ABS(K1005)&lt;'Sollecitazioni nel paramento'!$G$58,ABS(K1005)*'Sollecitazioni nel paramento'!$G$54,'Sollecitazioni nel paramento'!$G$53)</f>
        <v>0</v>
      </c>
      <c r="F1005" s="545">
        <f>-'Foglio deposito bis'!$F$59*(C1005-sezione!$AM$31)*IF(ABS(L1005)&lt;'Sollecitazioni nel paramento'!$G$58,ABS(L1005)*'Sollecitazioni nel paramento'!$G$54,'Sollecitazioni nel paramento'!$G$53)</f>
        <v>8815539.2098423969</v>
      </c>
      <c r="G1005" s="545">
        <f>-'Foglio deposito bis'!$F$60*(C1005-sezione!$AN$31)*IF(ABS(M1005)&lt;'Sollecitazioni nel paramento'!$G$58,ABS(M1005)*'Sollecitazioni nel paramento'!$G$54,'Sollecitazioni nel paramento'!$G$53)</f>
        <v>0</v>
      </c>
      <c r="H1005" s="545">
        <f>-'Foglio deposito bis'!$F$61*(C1005-sezione!$AO$31)*IF(ABS(N1005)&lt;'Sollecitazioni nel paramento'!$G$58,ABS(N1005)*'Sollecitazioni nel paramento'!$G$54,'Sollecitazioni nel paramento'!$G$53)</f>
        <v>37917415.224217206</v>
      </c>
      <c r="I1005" s="472">
        <f>-'Foglio deposito bis'!$F$62*(C1005-sezione!$AP$31)*IF(ABS(O1005)&lt;'Sollecitazioni nel paramento'!$G$58,ABS(O1005)*'Sollecitazioni nel paramento'!$G$54,'Sollecitazioni nel paramento'!$G$53)</f>
        <v>139577622.39870301</v>
      </c>
      <c r="J1005" s="472">
        <f t="shared" si="72"/>
        <v>186156522.36942041</v>
      </c>
      <c r="K1005" s="550">
        <f>'Sollecitazioni nel paramento'!$G$60*(sezione!$AL$31-C1005)/C1005</f>
        <v>4.9703806524003059E-2</v>
      </c>
      <c r="L1005" s="550">
        <f>'Sollecitazioni nel paramento'!$G$60*(sezione!$AM$31-C1005)/C1005</f>
        <v>7.6305709786004594E-2</v>
      </c>
      <c r="M1005" s="551">
        <f>'Sollecitazioni nel paramento'!$G$60*(sezione!$AN$31-C1005)/C1005</f>
        <v>0.10290761304800609</v>
      </c>
      <c r="N1005" s="551">
        <f>'Sollecitazioni nel paramento'!$G$60*(sezione!$AO$31-C1005)/C1005</f>
        <v>0.20931522609601225</v>
      </c>
      <c r="O1005" s="551">
        <f>'Sollecitazioni nel paramento'!$G$60*(sezione!$AP$31-C1005)/C1005</f>
        <v>0.58992119347599659</v>
      </c>
      <c r="P1005" s="545">
        <f>-'Sollecitazioni nel paramento'!$G$47*'Sollecitazioni nel paramento'!$G$41*IF(DATI!$G$211="dx",DATI!$E$61,DATI!$E$64*DATI!$E$63)*1000*C1005*sezione!$AD$5</f>
        <v>-100248.09028642977</v>
      </c>
      <c r="Q1005" s="545">
        <f>'Foglio deposito bis'!$F$58*IF(ABS(K1005)&lt;'Sollecitazioni nel paramento'!$G$58,ABS(K1005)*'Sollecitazioni nel paramento'!$G$54,'Sollecitazioni nel paramento'!$G$53)*IF(K1005&lt;0,-1,1)</f>
        <v>0</v>
      </c>
      <c r="R1005" s="545">
        <f>'Foglio deposito bis'!$F$59*IF(ABS(L1005)&lt;'Sollecitazioni nel paramento'!$G$58,ABS(L1005)*'Sollecitazioni nel paramento'!$G$54,'Sollecitazioni nel paramento'!$G$53)*IF(L1005&lt;0,-1,1)</f>
        <v>153664.85805602249</v>
      </c>
      <c r="S1005" s="545">
        <f>'Foglio deposito bis'!$F$60*IF(ABS(M1005)&lt;'Sollecitazioni nel paramento'!$G$58,ABS(M1005)*'Sollecitazioni nel paramento'!$G$54,'Sollecitazioni nel paramento'!$G$53)*IF(M1005&lt;0,-1,1)</f>
        <v>0</v>
      </c>
      <c r="T1005" s="545">
        <f>'Foglio deposito bis'!$F$61*IF(ABS(N1005)&lt;'Sollecitazioni nel paramento'!$G$58,ABS(N1005)*'Sollecitazioni nel paramento'!$G$54,'Sollecitazioni nel paramento'!$G$53)*IF(N1005&lt;0,-1,1)</f>
        <v>240946.49743184328</v>
      </c>
      <c r="U1005" s="545">
        <f>'Foglio deposito bis'!$F$62*IF(ABS(O1005)&lt;'Sollecitazioni nel paramento'!$G$58,ABS(O1005)*'Sollecitazioni nel paramento'!$G$54,'Sollecitazioni nel paramento'!$G$53)*IF(O1005&lt;0,-1,1)</f>
        <v>314705.62929873407</v>
      </c>
      <c r="V1005" s="472">
        <f t="shared" si="74"/>
        <v>609068.89450017014</v>
      </c>
      <c r="W1005" s="551"/>
      <c r="X1005" s="551"/>
    </row>
    <row r="1006" spans="1:24" x14ac:dyDescent="0.25">
      <c r="A1006" s="545">
        <f t="shared" si="73"/>
        <v>596537.88321436639</v>
      </c>
      <c r="B1006" s="3">
        <f t="shared" si="75"/>
        <v>0.44999999999999996</v>
      </c>
      <c r="C1006" s="545">
        <f>'Foglio deposito bis'!$E$157/sezione!$B$247*B1006</f>
        <v>2.9603145017254247</v>
      </c>
      <c r="D1006" s="603">
        <f>-'Sollecitazioni nel paramento'!$G$47*'Sollecitazioni nel paramento'!$G$41*IF(DATI!$G$211="dx",DATI!$E$61,DATI!$E$64*DATI!$E$63)*1000*C1006^2*sezione!$AD$5*(1-sezione!$AD$6)</f>
        <v>-194975.18016749492</v>
      </c>
      <c r="E1006" s="545">
        <f>-'Foglio deposito bis'!$F$58*(C1006-sezione!$AL$31)*IF(ABS(K1006)&lt;'Sollecitazioni nel paramento'!$G$58,ABS(K1006)*'Sollecitazioni nel paramento'!$G$54,'Sollecitazioni nel paramento'!$G$53)</f>
        <v>0</v>
      </c>
      <c r="F1006" s="545">
        <f>-'Foglio deposito bis'!$F$59*(C1006-sezione!$AM$31)*IF(ABS(L1006)&lt;'Sollecitazioni nel paramento'!$G$58,ABS(L1006)*'Sollecitazioni nel paramento'!$G$54,'Sollecitazioni nel paramento'!$G$53)</f>
        <v>8764995.1756525263</v>
      </c>
      <c r="G1006" s="545">
        <f>-'Foglio deposito bis'!$F$60*(C1006-sezione!$AN$31)*IF(ABS(M1006)&lt;'Sollecitazioni nel paramento'!$G$58,ABS(M1006)*'Sollecitazioni nel paramento'!$G$54,'Sollecitazioni nel paramento'!$G$53)</f>
        <v>0</v>
      </c>
      <c r="H1006" s="545">
        <f>-'Foglio deposito bis'!$F$61*(C1006-sezione!$AO$31)*IF(ABS(N1006)&lt;'Sollecitazioni nel paramento'!$G$58,ABS(N1006)*'Sollecitazioni nel paramento'!$G$54,'Sollecitazioni nel paramento'!$G$53)</f>
        <v>37838162.178607486</v>
      </c>
      <c r="I1006" s="472">
        <f>-'Foglio deposito bis'!$F$62*(C1006-sezione!$AP$31)*IF(ABS(O1006)&lt;'Sollecitazioni nel paramento'!$G$58,ABS(O1006)*'Sollecitazioni nel paramento'!$G$54,'Sollecitazioni nel paramento'!$G$53)</f>
        <v>139474108.21668214</v>
      </c>
      <c r="J1006" s="472">
        <f t="shared" si="72"/>
        <v>185882290.39077467</v>
      </c>
      <c r="K1006" s="550">
        <f>'Sollecitazioni nel paramento'!$G$60*(sezione!$AL$31-C1006)/C1006</f>
        <v>4.3792272465780484E-2</v>
      </c>
      <c r="L1006" s="550">
        <f>'Sollecitazioni nel paramento'!$G$60*(sezione!$AM$31-C1006)/C1006</f>
        <v>6.7438408698670738E-2</v>
      </c>
      <c r="M1006" s="551">
        <f>'Sollecitazioni nel paramento'!$G$60*(sezione!$AN$31-C1006)/C1006</f>
        <v>9.1084544931560998E-2</v>
      </c>
      <c r="N1006" s="551">
        <f>'Sollecitazioni nel paramento'!$G$60*(sezione!$AO$31-C1006)/C1006</f>
        <v>0.18566908986312197</v>
      </c>
      <c r="O1006" s="551">
        <f>'Sollecitazioni nel paramento'!$G$60*(sezione!$AP$31-C1006)/C1006</f>
        <v>0.52398550531199695</v>
      </c>
      <c r="P1006" s="545">
        <f>-'Sollecitazioni nel paramento'!$G$47*'Sollecitazioni nel paramento'!$G$41*IF(DATI!$G$211="dx",DATI!$E$61,DATI!$E$64*DATI!$E$63)*1000*C1006*sezione!$AD$5</f>
        <v>-112779.10157223349</v>
      </c>
      <c r="Q1006" s="545">
        <f>'Foglio deposito bis'!$F$58*IF(ABS(K1006)&lt;'Sollecitazioni nel paramento'!$G$58,ABS(K1006)*'Sollecitazioni nel paramento'!$G$54,'Sollecitazioni nel paramento'!$G$53)*IF(K1006&lt;0,-1,1)</f>
        <v>0</v>
      </c>
      <c r="R1006" s="545">
        <f>'Foglio deposito bis'!$F$59*IF(ABS(L1006)&lt;'Sollecitazioni nel paramento'!$G$58,ABS(L1006)*'Sollecitazioni nel paramento'!$G$54,'Sollecitazioni nel paramento'!$G$53)*IF(L1006&lt;0,-1,1)</f>
        <v>153664.85805602249</v>
      </c>
      <c r="S1006" s="545">
        <f>'Foglio deposito bis'!$F$60*IF(ABS(M1006)&lt;'Sollecitazioni nel paramento'!$G$58,ABS(M1006)*'Sollecitazioni nel paramento'!$G$54,'Sollecitazioni nel paramento'!$G$53)*IF(M1006&lt;0,-1,1)</f>
        <v>0</v>
      </c>
      <c r="T1006" s="545">
        <f>'Foglio deposito bis'!$F$61*IF(ABS(N1006)&lt;'Sollecitazioni nel paramento'!$G$58,ABS(N1006)*'Sollecitazioni nel paramento'!$G$54,'Sollecitazioni nel paramento'!$G$53)*IF(N1006&lt;0,-1,1)</f>
        <v>240946.49743184328</v>
      </c>
      <c r="U1006" s="545">
        <f>'Foglio deposito bis'!$F$62*IF(ABS(O1006)&lt;'Sollecitazioni nel paramento'!$G$58,ABS(O1006)*'Sollecitazioni nel paramento'!$G$54,'Sollecitazioni nel paramento'!$G$53)*IF(O1006&lt;0,-1,1)</f>
        <v>314705.62929873407</v>
      </c>
      <c r="V1006" s="472">
        <f t="shared" si="74"/>
        <v>596537.88321436639</v>
      </c>
      <c r="W1006" s="551"/>
      <c r="X1006" s="551"/>
    </row>
    <row r="1007" spans="1:24" x14ac:dyDescent="0.25">
      <c r="A1007" s="545">
        <f t="shared" si="73"/>
        <v>584006.87192856264</v>
      </c>
      <c r="B1007" s="3">
        <f t="shared" si="75"/>
        <v>0.49999999999999994</v>
      </c>
      <c r="C1007" s="545">
        <f>'Foglio deposito bis'!$E$157/sezione!$B$247*B1007</f>
        <v>3.2892383352504715</v>
      </c>
      <c r="D1007" s="603">
        <f>-'Sollecitazioni nel paramento'!$G$47*'Sollecitazioni nel paramento'!$G$41*IF(DATI!$G$211="dx",DATI!$E$61,DATI!$E$64*DATI!$E$63)*1000*C1007^2*sezione!$AD$5*(1-sezione!$AD$6)</f>
        <v>-240710.0989722159</v>
      </c>
      <c r="E1007" s="545">
        <f>-'Foglio deposito bis'!$F$58*(C1007-sezione!$AL$31)*IF(ABS(K1007)&lt;'Sollecitazioni nel paramento'!$G$58,ABS(K1007)*'Sollecitazioni nel paramento'!$G$54,'Sollecitazioni nel paramento'!$G$53)</f>
        <v>0</v>
      </c>
      <c r="F1007" s="545">
        <f>-'Foglio deposito bis'!$F$59*(C1007-sezione!$AM$31)*IF(ABS(L1007)&lt;'Sollecitazioni nel paramento'!$G$58,ABS(L1007)*'Sollecitazioni nel paramento'!$G$54,'Sollecitazioni nel paramento'!$G$53)</f>
        <v>8714451.1414626576</v>
      </c>
      <c r="G1007" s="545">
        <f>-'Foglio deposito bis'!$F$60*(C1007-sezione!$AN$31)*IF(ABS(M1007)&lt;'Sollecitazioni nel paramento'!$G$58,ABS(M1007)*'Sollecitazioni nel paramento'!$G$54,'Sollecitazioni nel paramento'!$G$53)</f>
        <v>0</v>
      </c>
      <c r="H1007" s="545">
        <f>-'Foglio deposito bis'!$F$61*(C1007-sezione!$AO$31)*IF(ABS(N1007)&lt;'Sollecitazioni nel paramento'!$G$58,ABS(N1007)*'Sollecitazioni nel paramento'!$G$54,'Sollecitazioni nel paramento'!$G$53)</f>
        <v>37758909.132997781</v>
      </c>
      <c r="I1007" s="472">
        <f>-'Foglio deposito bis'!$F$62*(C1007-sezione!$AP$31)*IF(ABS(O1007)&lt;'Sollecitazioni nel paramento'!$G$58,ABS(O1007)*'Sollecitazioni nel paramento'!$G$54,'Sollecitazioni nel paramento'!$G$53)</f>
        <v>139370594.03466129</v>
      </c>
      <c r="J1007" s="472">
        <f t="shared" si="72"/>
        <v>185603244.21014953</v>
      </c>
      <c r="K1007" s="550">
        <f>'Sollecitazioni nel paramento'!$G$60*(sezione!$AL$31-C1007)/C1007</f>
        <v>3.9063045219202452E-2</v>
      </c>
      <c r="L1007" s="550">
        <f>'Sollecitazioni nel paramento'!$G$60*(sezione!$AM$31-C1007)/C1007</f>
        <v>6.0344567828803666E-2</v>
      </c>
      <c r="M1007" s="551">
        <f>'Sollecitazioni nel paramento'!$G$60*(sezione!$AN$31-C1007)/C1007</f>
        <v>8.1626090438404908E-2</v>
      </c>
      <c r="N1007" s="551">
        <f>'Sollecitazioni nel paramento'!$G$60*(sezione!$AO$31-C1007)/C1007</f>
        <v>0.16675218087680979</v>
      </c>
      <c r="O1007" s="551">
        <f>'Sollecitazioni nel paramento'!$G$60*(sezione!$AP$31-C1007)/C1007</f>
        <v>0.4712369547807973</v>
      </c>
      <c r="P1007" s="545">
        <f>-'Sollecitazioni nel paramento'!$G$47*'Sollecitazioni nel paramento'!$G$41*IF(DATI!$G$211="dx",DATI!$E$61,DATI!$E$64*DATI!$E$63)*1000*C1007*sezione!$AD$5</f>
        <v>-125310.11285803717</v>
      </c>
      <c r="Q1007" s="545">
        <f>'Foglio deposito bis'!$F$58*IF(ABS(K1007)&lt;'Sollecitazioni nel paramento'!$G$58,ABS(K1007)*'Sollecitazioni nel paramento'!$G$54,'Sollecitazioni nel paramento'!$G$53)*IF(K1007&lt;0,-1,1)</f>
        <v>0</v>
      </c>
      <c r="R1007" s="545">
        <f>'Foglio deposito bis'!$F$59*IF(ABS(L1007)&lt;'Sollecitazioni nel paramento'!$G$58,ABS(L1007)*'Sollecitazioni nel paramento'!$G$54,'Sollecitazioni nel paramento'!$G$53)*IF(L1007&lt;0,-1,1)</f>
        <v>153664.85805602249</v>
      </c>
      <c r="S1007" s="545">
        <f>'Foglio deposito bis'!$F$60*IF(ABS(M1007)&lt;'Sollecitazioni nel paramento'!$G$58,ABS(M1007)*'Sollecitazioni nel paramento'!$G$54,'Sollecitazioni nel paramento'!$G$53)*IF(M1007&lt;0,-1,1)</f>
        <v>0</v>
      </c>
      <c r="T1007" s="545">
        <f>'Foglio deposito bis'!$F$61*IF(ABS(N1007)&lt;'Sollecitazioni nel paramento'!$G$58,ABS(N1007)*'Sollecitazioni nel paramento'!$G$54,'Sollecitazioni nel paramento'!$G$53)*IF(N1007&lt;0,-1,1)</f>
        <v>240946.49743184328</v>
      </c>
      <c r="U1007" s="545">
        <f>'Foglio deposito bis'!$F$62*IF(ABS(O1007)&lt;'Sollecitazioni nel paramento'!$G$58,ABS(O1007)*'Sollecitazioni nel paramento'!$G$54,'Sollecitazioni nel paramento'!$G$53)*IF(O1007&lt;0,-1,1)</f>
        <v>314705.62929873407</v>
      </c>
      <c r="V1007" s="472">
        <f t="shared" si="74"/>
        <v>584006.87192856264</v>
      </c>
      <c r="W1007" s="551"/>
      <c r="X1007" s="551"/>
    </row>
    <row r="1008" spans="1:24" x14ac:dyDescent="0.25">
      <c r="A1008" s="545">
        <f t="shared" si="73"/>
        <v>571475.8606427589</v>
      </c>
      <c r="B1008" s="3">
        <f t="shared" si="75"/>
        <v>0.54999999999999993</v>
      </c>
      <c r="C1008" s="545">
        <f>'Foglio deposito bis'!$E$157/sezione!$B$247*B1008</f>
        <v>3.6181621687755188</v>
      </c>
      <c r="D1008" s="603">
        <f>-'Sollecitazioni nel paramento'!$G$47*'Sollecitazioni nel paramento'!$G$41*IF(DATI!$G$211="dx",DATI!$E$61,DATI!$E$64*DATI!$E$63)*1000*C1008^2*sezione!$AD$5*(1-sezione!$AD$6)</f>
        <v>-291259.21975638124</v>
      </c>
      <c r="E1008" s="545">
        <f>-'Foglio deposito bis'!$F$58*(C1008-sezione!$AL$31)*IF(ABS(K1008)&lt;'Sollecitazioni nel paramento'!$G$58,ABS(K1008)*'Sollecitazioni nel paramento'!$G$54,'Sollecitazioni nel paramento'!$G$53)</f>
        <v>0</v>
      </c>
      <c r="F1008" s="545">
        <f>-'Foglio deposito bis'!$F$59*(C1008-sezione!$AM$31)*IF(ABS(L1008)&lt;'Sollecitazioni nel paramento'!$G$58,ABS(L1008)*'Sollecitazioni nel paramento'!$G$54,'Sollecitazioni nel paramento'!$G$53)</f>
        <v>8663907.1072727889</v>
      </c>
      <c r="G1008" s="545">
        <f>-'Foglio deposito bis'!$F$60*(C1008-sezione!$AN$31)*IF(ABS(M1008)&lt;'Sollecitazioni nel paramento'!$G$58,ABS(M1008)*'Sollecitazioni nel paramento'!$G$54,'Sollecitazioni nel paramento'!$G$53)</f>
        <v>0</v>
      </c>
      <c r="H1008" s="545">
        <f>-'Foglio deposito bis'!$F$61*(C1008-sezione!$AO$31)*IF(ABS(N1008)&lt;'Sollecitazioni nel paramento'!$G$58,ABS(N1008)*'Sollecitazioni nel paramento'!$G$54,'Sollecitazioni nel paramento'!$G$53)</f>
        <v>37679656.087388061</v>
      </c>
      <c r="I1008" s="472">
        <f>-'Foglio deposito bis'!$F$62*(C1008-sezione!$AP$31)*IF(ABS(O1008)&lt;'Sollecitazioni nel paramento'!$G$58,ABS(O1008)*'Sollecitazioni nel paramento'!$G$54,'Sollecitazioni nel paramento'!$G$53)</f>
        <v>139267079.85264045</v>
      </c>
      <c r="J1008" s="472">
        <f t="shared" si="72"/>
        <v>185319383.82754493</v>
      </c>
      <c r="K1008" s="550">
        <f>'Sollecitazioni nel paramento'!$G$60*(sezione!$AL$31-C1008)/C1008</f>
        <v>3.5193677472002229E-2</v>
      </c>
      <c r="L1008" s="550">
        <f>'Sollecitazioni nel paramento'!$G$60*(sezione!$AM$31-C1008)/C1008</f>
        <v>5.4540516208003341E-2</v>
      </c>
      <c r="M1008" s="551">
        <f>'Sollecitazioni nel paramento'!$G$60*(sezione!$AN$31-C1008)/C1008</f>
        <v>7.388735494400446E-2</v>
      </c>
      <c r="N1008" s="551">
        <f>'Sollecitazioni nel paramento'!$G$60*(sezione!$AO$31-C1008)/C1008</f>
        <v>0.15127470988800892</v>
      </c>
      <c r="O1008" s="551">
        <f>'Sollecitazioni nel paramento'!$G$60*(sezione!$AP$31-C1008)/C1008</f>
        <v>0.42807904980072475</v>
      </c>
      <c r="P1008" s="545">
        <f>-'Sollecitazioni nel paramento'!$G$47*'Sollecitazioni nel paramento'!$G$41*IF(DATI!$G$211="dx",DATI!$E$61,DATI!$E$64*DATI!$E$63)*1000*C1008*sezione!$AD$5</f>
        <v>-137841.12414384092</v>
      </c>
      <c r="Q1008" s="545">
        <f>'Foglio deposito bis'!$F$58*IF(ABS(K1008)&lt;'Sollecitazioni nel paramento'!$G$58,ABS(K1008)*'Sollecitazioni nel paramento'!$G$54,'Sollecitazioni nel paramento'!$G$53)*IF(K1008&lt;0,-1,1)</f>
        <v>0</v>
      </c>
      <c r="R1008" s="545">
        <f>'Foglio deposito bis'!$F$59*IF(ABS(L1008)&lt;'Sollecitazioni nel paramento'!$G$58,ABS(L1008)*'Sollecitazioni nel paramento'!$G$54,'Sollecitazioni nel paramento'!$G$53)*IF(L1008&lt;0,-1,1)</f>
        <v>153664.85805602249</v>
      </c>
      <c r="S1008" s="545">
        <f>'Foglio deposito bis'!$F$60*IF(ABS(M1008)&lt;'Sollecitazioni nel paramento'!$G$58,ABS(M1008)*'Sollecitazioni nel paramento'!$G$54,'Sollecitazioni nel paramento'!$G$53)*IF(M1008&lt;0,-1,1)</f>
        <v>0</v>
      </c>
      <c r="T1008" s="545">
        <f>'Foglio deposito bis'!$F$61*IF(ABS(N1008)&lt;'Sollecitazioni nel paramento'!$G$58,ABS(N1008)*'Sollecitazioni nel paramento'!$G$54,'Sollecitazioni nel paramento'!$G$53)*IF(N1008&lt;0,-1,1)</f>
        <v>240946.49743184328</v>
      </c>
      <c r="U1008" s="545">
        <f>'Foglio deposito bis'!$F$62*IF(ABS(O1008)&lt;'Sollecitazioni nel paramento'!$G$58,ABS(O1008)*'Sollecitazioni nel paramento'!$G$54,'Sollecitazioni nel paramento'!$G$53)*IF(O1008&lt;0,-1,1)</f>
        <v>314705.62929873407</v>
      </c>
      <c r="V1008" s="472">
        <f t="shared" si="74"/>
        <v>571475.8606427589</v>
      </c>
      <c r="W1008" s="551"/>
      <c r="X1008" s="551"/>
    </row>
    <row r="1009" spans="1:24" x14ac:dyDescent="0.25">
      <c r="A1009" s="545">
        <f t="shared" si="73"/>
        <v>558944.84935695515</v>
      </c>
      <c r="B1009" s="3">
        <f t="shared" si="75"/>
        <v>0.6</v>
      </c>
      <c r="C1009" s="545">
        <f>'Foglio deposito bis'!$E$157/sezione!$B$247*B1009</f>
        <v>3.9470860023005661</v>
      </c>
      <c r="D1009" s="603">
        <f>-'Sollecitazioni nel paramento'!$G$47*'Sollecitazioni nel paramento'!$G$41*IF(DATI!$G$211="dx",DATI!$E$61,DATI!$E$64*DATI!$E$63)*1000*C1009^2*sezione!$AD$5*(1-sezione!$AD$6)</f>
        <v>-346622.54251999094</v>
      </c>
      <c r="E1009" s="545">
        <f>-'Foglio deposito bis'!$F$58*(C1009-sezione!$AL$31)*IF(ABS(K1009)&lt;'Sollecitazioni nel paramento'!$G$58,ABS(K1009)*'Sollecitazioni nel paramento'!$G$54,'Sollecitazioni nel paramento'!$G$53)</f>
        <v>0</v>
      </c>
      <c r="F1009" s="545">
        <f>-'Foglio deposito bis'!$F$59*(C1009-sezione!$AM$31)*IF(ABS(L1009)&lt;'Sollecitazioni nel paramento'!$G$58,ABS(L1009)*'Sollecitazioni nel paramento'!$G$54,'Sollecitazioni nel paramento'!$G$53)</f>
        <v>8613363.0730829202</v>
      </c>
      <c r="G1009" s="545">
        <f>-'Foglio deposito bis'!$F$60*(C1009-sezione!$AN$31)*IF(ABS(M1009)&lt;'Sollecitazioni nel paramento'!$G$58,ABS(M1009)*'Sollecitazioni nel paramento'!$G$54,'Sollecitazioni nel paramento'!$G$53)</f>
        <v>0</v>
      </c>
      <c r="H1009" s="545">
        <f>-'Foglio deposito bis'!$F$61*(C1009-sezione!$AO$31)*IF(ABS(N1009)&lt;'Sollecitazioni nel paramento'!$G$58,ABS(N1009)*'Sollecitazioni nel paramento'!$G$54,'Sollecitazioni nel paramento'!$G$53)</f>
        <v>37600403.041778341</v>
      </c>
      <c r="I1009" s="472">
        <f>-'Foglio deposito bis'!$F$62*(C1009-sezione!$AP$31)*IF(ABS(O1009)&lt;'Sollecitazioni nel paramento'!$G$58,ABS(O1009)*'Sollecitazioni nel paramento'!$G$54,'Sollecitazioni nel paramento'!$G$53)</f>
        <v>139163565.67061961</v>
      </c>
      <c r="J1009" s="472">
        <f t="shared" si="72"/>
        <v>185030709.24296087</v>
      </c>
      <c r="K1009" s="550">
        <f>'Sollecitazioni nel paramento'!$G$60*(sezione!$AL$31-C1009)/C1009</f>
        <v>3.1969204349335374E-2</v>
      </c>
      <c r="L1009" s="550">
        <f>'Sollecitazioni nel paramento'!$G$60*(sezione!$AM$31-C1009)/C1009</f>
        <v>4.9703806524003059E-2</v>
      </c>
      <c r="M1009" s="551">
        <f>'Sollecitazioni nel paramento'!$G$60*(sezione!$AN$31-C1009)/C1009</f>
        <v>6.7438408698670751E-2</v>
      </c>
      <c r="N1009" s="551">
        <f>'Sollecitazioni nel paramento'!$G$60*(sezione!$AO$31-C1009)/C1009</f>
        <v>0.13837681739734148</v>
      </c>
      <c r="O1009" s="551">
        <f>'Sollecitazioni nel paramento'!$G$60*(sezione!$AP$31-C1009)/C1009</f>
        <v>0.39211412898399767</v>
      </c>
      <c r="P1009" s="545">
        <f>-'Sollecitazioni nel paramento'!$G$47*'Sollecitazioni nel paramento'!$G$41*IF(DATI!$G$211="dx",DATI!$E$61,DATI!$E$64*DATI!$E$63)*1000*C1009*sezione!$AD$5</f>
        <v>-150372.13542964464</v>
      </c>
      <c r="Q1009" s="545">
        <f>'Foglio deposito bis'!$F$58*IF(ABS(K1009)&lt;'Sollecitazioni nel paramento'!$G$58,ABS(K1009)*'Sollecitazioni nel paramento'!$G$54,'Sollecitazioni nel paramento'!$G$53)*IF(K1009&lt;0,-1,1)</f>
        <v>0</v>
      </c>
      <c r="R1009" s="545">
        <f>'Foglio deposito bis'!$F$59*IF(ABS(L1009)&lt;'Sollecitazioni nel paramento'!$G$58,ABS(L1009)*'Sollecitazioni nel paramento'!$G$54,'Sollecitazioni nel paramento'!$G$53)*IF(L1009&lt;0,-1,1)</f>
        <v>153664.85805602249</v>
      </c>
      <c r="S1009" s="545">
        <f>'Foglio deposito bis'!$F$60*IF(ABS(M1009)&lt;'Sollecitazioni nel paramento'!$G$58,ABS(M1009)*'Sollecitazioni nel paramento'!$G$54,'Sollecitazioni nel paramento'!$G$53)*IF(M1009&lt;0,-1,1)</f>
        <v>0</v>
      </c>
      <c r="T1009" s="545">
        <f>'Foglio deposito bis'!$F$61*IF(ABS(N1009)&lt;'Sollecitazioni nel paramento'!$G$58,ABS(N1009)*'Sollecitazioni nel paramento'!$G$54,'Sollecitazioni nel paramento'!$G$53)*IF(N1009&lt;0,-1,1)</f>
        <v>240946.49743184328</v>
      </c>
      <c r="U1009" s="545">
        <f>'Foglio deposito bis'!$F$62*IF(ABS(O1009)&lt;'Sollecitazioni nel paramento'!$G$58,ABS(O1009)*'Sollecitazioni nel paramento'!$G$54,'Sollecitazioni nel paramento'!$G$53)*IF(O1009&lt;0,-1,1)</f>
        <v>314705.62929873407</v>
      </c>
      <c r="V1009" s="472">
        <f t="shared" si="74"/>
        <v>558944.84935695515</v>
      </c>
      <c r="W1009" s="551"/>
      <c r="X1009" s="551"/>
    </row>
    <row r="1010" spans="1:24" x14ac:dyDescent="0.25">
      <c r="A1010" s="545">
        <f t="shared" si="73"/>
        <v>546413.83807115152</v>
      </c>
      <c r="B1010" s="3">
        <f t="shared" si="75"/>
        <v>0.65</v>
      </c>
      <c r="C1010" s="545">
        <f>'Foglio deposito bis'!$E$157/sezione!$B$247*B1010</f>
        <v>4.2760098358256133</v>
      </c>
      <c r="D1010" s="603">
        <f>-'Sollecitazioni nel paramento'!$G$47*'Sollecitazioni nel paramento'!$G$41*IF(DATI!$G$211="dx",DATI!$E$61,DATI!$E$64*DATI!$E$63)*1000*C1010^2*sezione!$AD$5*(1-sezione!$AD$6)</f>
        <v>-406800.06726304488</v>
      </c>
      <c r="E1010" s="545">
        <f>-'Foglio deposito bis'!$F$58*(C1010-sezione!$AL$31)*IF(ABS(K1010)&lt;'Sollecitazioni nel paramento'!$G$58,ABS(K1010)*'Sollecitazioni nel paramento'!$G$54,'Sollecitazioni nel paramento'!$G$53)</f>
        <v>0</v>
      </c>
      <c r="F1010" s="545">
        <f>-'Foglio deposito bis'!$F$59*(C1010-sezione!$AM$31)*IF(ABS(L1010)&lt;'Sollecitazioni nel paramento'!$G$58,ABS(L1010)*'Sollecitazioni nel paramento'!$G$54,'Sollecitazioni nel paramento'!$G$53)</f>
        <v>8562819.0388930514</v>
      </c>
      <c r="G1010" s="545">
        <f>-'Foglio deposito bis'!$F$60*(C1010-sezione!$AN$31)*IF(ABS(M1010)&lt;'Sollecitazioni nel paramento'!$G$58,ABS(M1010)*'Sollecitazioni nel paramento'!$G$54,'Sollecitazioni nel paramento'!$G$53)</f>
        <v>0</v>
      </c>
      <c r="H1010" s="545">
        <f>-'Foglio deposito bis'!$F$61*(C1010-sezione!$AO$31)*IF(ABS(N1010)&lt;'Sollecitazioni nel paramento'!$G$58,ABS(N1010)*'Sollecitazioni nel paramento'!$G$54,'Sollecitazioni nel paramento'!$G$53)</f>
        <v>37521149.996168628</v>
      </c>
      <c r="I1010" s="472">
        <f>-'Foglio deposito bis'!$F$62*(C1010-sezione!$AP$31)*IF(ABS(O1010)&lt;'Sollecitazioni nel paramento'!$G$58,ABS(O1010)*'Sollecitazioni nel paramento'!$G$54,'Sollecitazioni nel paramento'!$G$53)</f>
        <v>139060051.48859873</v>
      </c>
      <c r="J1010" s="472">
        <f t="shared" si="72"/>
        <v>184737220.45639735</v>
      </c>
      <c r="K1010" s="550">
        <f>'Sollecitazioni nel paramento'!$G$60*(sezione!$AL$31-C1010)/C1010</f>
        <v>2.924080401477111E-2</v>
      </c>
      <c r="L1010" s="550">
        <f>'Sollecitazioni nel paramento'!$G$60*(sezione!$AM$31-C1010)/C1010</f>
        <v>4.5611206022156667E-2</v>
      </c>
      <c r="M1010" s="551">
        <f>'Sollecitazioni nel paramento'!$G$60*(sezione!$AN$31-C1010)/C1010</f>
        <v>6.1981608029542216E-2</v>
      </c>
      <c r="N1010" s="551">
        <f>'Sollecitazioni nel paramento'!$G$60*(sezione!$AO$31-C1010)/C1010</f>
        <v>0.12746321605908445</v>
      </c>
      <c r="O1010" s="551">
        <f>'Sollecitazioni nel paramento'!$G$60*(sezione!$AP$31-C1010)/C1010</f>
        <v>0.36168227290830557</v>
      </c>
      <c r="P1010" s="545">
        <f>-'Sollecitazioni nel paramento'!$G$47*'Sollecitazioni nel paramento'!$G$41*IF(DATI!$G$211="dx",DATI!$E$61,DATI!$E$64*DATI!$E$63)*1000*C1010*sezione!$AD$5</f>
        <v>-162903.14671544835</v>
      </c>
      <c r="Q1010" s="545">
        <f>'Foglio deposito bis'!$F$58*IF(ABS(K1010)&lt;'Sollecitazioni nel paramento'!$G$58,ABS(K1010)*'Sollecitazioni nel paramento'!$G$54,'Sollecitazioni nel paramento'!$G$53)*IF(K1010&lt;0,-1,1)</f>
        <v>0</v>
      </c>
      <c r="R1010" s="545">
        <f>'Foglio deposito bis'!$F$59*IF(ABS(L1010)&lt;'Sollecitazioni nel paramento'!$G$58,ABS(L1010)*'Sollecitazioni nel paramento'!$G$54,'Sollecitazioni nel paramento'!$G$53)*IF(L1010&lt;0,-1,1)</f>
        <v>153664.85805602249</v>
      </c>
      <c r="S1010" s="545">
        <f>'Foglio deposito bis'!$F$60*IF(ABS(M1010)&lt;'Sollecitazioni nel paramento'!$G$58,ABS(M1010)*'Sollecitazioni nel paramento'!$G$54,'Sollecitazioni nel paramento'!$G$53)*IF(M1010&lt;0,-1,1)</f>
        <v>0</v>
      </c>
      <c r="T1010" s="545">
        <f>'Foglio deposito bis'!$F$61*IF(ABS(N1010)&lt;'Sollecitazioni nel paramento'!$G$58,ABS(N1010)*'Sollecitazioni nel paramento'!$G$54,'Sollecitazioni nel paramento'!$G$53)*IF(N1010&lt;0,-1,1)</f>
        <v>240946.49743184328</v>
      </c>
      <c r="U1010" s="545">
        <f>'Foglio deposito bis'!$F$62*IF(ABS(O1010)&lt;'Sollecitazioni nel paramento'!$G$58,ABS(O1010)*'Sollecitazioni nel paramento'!$G$54,'Sollecitazioni nel paramento'!$G$53)*IF(O1010&lt;0,-1,1)</f>
        <v>314705.62929873407</v>
      </c>
      <c r="V1010" s="472">
        <f t="shared" si="74"/>
        <v>546413.83807115152</v>
      </c>
      <c r="W1010" s="551"/>
      <c r="X1010" s="551"/>
    </row>
    <row r="1011" spans="1:24" x14ac:dyDescent="0.25">
      <c r="A1011" s="545">
        <f t="shared" si="73"/>
        <v>533882.82678534777</v>
      </c>
      <c r="B1011" s="3">
        <f t="shared" si="75"/>
        <v>0.70000000000000007</v>
      </c>
      <c r="C1011" s="545">
        <f>'Foglio deposito bis'!$E$157/sezione!$B$247*B1011</f>
        <v>4.6049336693506611</v>
      </c>
      <c r="D1011" s="603">
        <f>-'Sollecitazioni nel paramento'!$G$47*'Sollecitazioni nel paramento'!$G$41*IF(DATI!$G$211="dx",DATI!$E$61,DATI!$E$64*DATI!$E$63)*1000*C1011^2*sezione!$AD$5*(1-sezione!$AD$6)</f>
        <v>-471791.79398554337</v>
      </c>
      <c r="E1011" s="545">
        <f>-'Foglio deposito bis'!$F$58*(C1011-sezione!$AL$31)*IF(ABS(K1011)&lt;'Sollecitazioni nel paramento'!$G$58,ABS(K1011)*'Sollecitazioni nel paramento'!$G$54,'Sollecitazioni nel paramento'!$G$53)</f>
        <v>0</v>
      </c>
      <c r="F1011" s="545">
        <f>-'Foglio deposito bis'!$F$59*(C1011-sezione!$AM$31)*IF(ABS(L1011)&lt;'Sollecitazioni nel paramento'!$G$58,ABS(L1011)*'Sollecitazioni nel paramento'!$G$54,'Sollecitazioni nel paramento'!$G$53)</f>
        <v>8512275.0047031827</v>
      </c>
      <c r="G1011" s="545">
        <f>-'Foglio deposito bis'!$F$60*(C1011-sezione!$AN$31)*IF(ABS(M1011)&lt;'Sollecitazioni nel paramento'!$G$58,ABS(M1011)*'Sollecitazioni nel paramento'!$G$54,'Sollecitazioni nel paramento'!$G$53)</f>
        <v>0</v>
      </c>
      <c r="H1011" s="545">
        <f>-'Foglio deposito bis'!$F$61*(C1011-sezione!$AO$31)*IF(ABS(N1011)&lt;'Sollecitazioni nel paramento'!$G$58,ABS(N1011)*'Sollecitazioni nel paramento'!$G$54,'Sollecitazioni nel paramento'!$G$53)</f>
        <v>37441896.950558916</v>
      </c>
      <c r="I1011" s="472">
        <f>-'Foglio deposito bis'!$F$62*(C1011-sezione!$AP$31)*IF(ABS(O1011)&lt;'Sollecitazioni nel paramento'!$G$58,ABS(O1011)*'Sollecitazioni nel paramento'!$G$54,'Sollecitazioni nel paramento'!$G$53)</f>
        <v>138956537.30657789</v>
      </c>
      <c r="J1011" s="472">
        <f t="shared" si="72"/>
        <v>184438917.46785444</v>
      </c>
      <c r="K1011" s="550">
        <f>'Sollecitazioni nel paramento'!$G$60*(sezione!$AL$31-C1011)/C1011</f>
        <v>2.6902175156573175E-2</v>
      </c>
      <c r="L1011" s="550">
        <f>'Sollecitazioni nel paramento'!$G$60*(sezione!$AM$31-C1011)/C1011</f>
        <v>4.2103262734859759E-2</v>
      </c>
      <c r="M1011" s="551">
        <f>'Sollecitazioni nel paramento'!$G$60*(sezione!$AN$31-C1011)/C1011</f>
        <v>5.7304350313146346E-2</v>
      </c>
      <c r="N1011" s="551">
        <f>'Sollecitazioni nel paramento'!$G$60*(sezione!$AO$31-C1011)/C1011</f>
        <v>0.11810870062629268</v>
      </c>
      <c r="O1011" s="551">
        <f>'Sollecitazioni nel paramento'!$G$60*(sezione!$AP$31-C1011)/C1011</f>
        <v>0.33559782484342654</v>
      </c>
      <c r="P1011" s="545">
        <f>-'Sollecitazioni nel paramento'!$G$47*'Sollecitazioni nel paramento'!$G$41*IF(DATI!$G$211="dx",DATI!$E$61,DATI!$E$64*DATI!$E$63)*1000*C1011*sezione!$AD$5</f>
        <v>-175434.1580012521</v>
      </c>
      <c r="Q1011" s="545">
        <f>'Foglio deposito bis'!$F$58*IF(ABS(K1011)&lt;'Sollecitazioni nel paramento'!$G$58,ABS(K1011)*'Sollecitazioni nel paramento'!$G$54,'Sollecitazioni nel paramento'!$G$53)*IF(K1011&lt;0,-1,1)</f>
        <v>0</v>
      </c>
      <c r="R1011" s="545">
        <f>'Foglio deposito bis'!$F$59*IF(ABS(L1011)&lt;'Sollecitazioni nel paramento'!$G$58,ABS(L1011)*'Sollecitazioni nel paramento'!$G$54,'Sollecitazioni nel paramento'!$G$53)*IF(L1011&lt;0,-1,1)</f>
        <v>153664.85805602249</v>
      </c>
      <c r="S1011" s="545">
        <f>'Foglio deposito bis'!$F$60*IF(ABS(M1011)&lt;'Sollecitazioni nel paramento'!$G$58,ABS(M1011)*'Sollecitazioni nel paramento'!$G$54,'Sollecitazioni nel paramento'!$G$53)*IF(M1011&lt;0,-1,1)</f>
        <v>0</v>
      </c>
      <c r="T1011" s="545">
        <f>'Foglio deposito bis'!$F$61*IF(ABS(N1011)&lt;'Sollecitazioni nel paramento'!$G$58,ABS(N1011)*'Sollecitazioni nel paramento'!$G$54,'Sollecitazioni nel paramento'!$G$53)*IF(N1011&lt;0,-1,1)</f>
        <v>240946.49743184328</v>
      </c>
      <c r="U1011" s="545">
        <f>'Foglio deposito bis'!$F$62*IF(ABS(O1011)&lt;'Sollecitazioni nel paramento'!$G$58,ABS(O1011)*'Sollecitazioni nel paramento'!$G$54,'Sollecitazioni nel paramento'!$G$53)*IF(O1011&lt;0,-1,1)</f>
        <v>314705.62929873407</v>
      </c>
      <c r="V1011" s="472">
        <f t="shared" si="74"/>
        <v>533882.82678534777</v>
      </c>
      <c r="W1011" s="551"/>
      <c r="X1011" s="551"/>
    </row>
    <row r="1012" spans="1:24" x14ac:dyDescent="0.25">
      <c r="A1012" s="545">
        <f t="shared" si="73"/>
        <v>521351.81549954403</v>
      </c>
      <c r="B1012" s="3">
        <f t="shared" si="75"/>
        <v>0.75000000000000011</v>
      </c>
      <c r="C1012" s="545">
        <f>'Foglio deposito bis'!$E$157/sezione!$B$247*B1012</f>
        <v>4.9338575028757088</v>
      </c>
      <c r="D1012" s="603">
        <f>-'Sollecitazioni nel paramento'!$G$47*'Sollecitazioni nel paramento'!$G$41*IF(DATI!$G$211="dx",DATI!$E$61,DATI!$E$64*DATI!$E$63)*1000*C1012^2*sezione!$AD$5*(1-sezione!$AD$6)</f>
        <v>-541597.72268748609</v>
      </c>
      <c r="E1012" s="545">
        <f>-'Foglio deposito bis'!$F$58*(C1012-sezione!$AL$31)*IF(ABS(K1012)&lt;'Sollecitazioni nel paramento'!$G$58,ABS(K1012)*'Sollecitazioni nel paramento'!$G$54,'Sollecitazioni nel paramento'!$G$53)</f>
        <v>0</v>
      </c>
      <c r="F1012" s="545">
        <f>-'Foglio deposito bis'!$F$59*(C1012-sezione!$AM$31)*IF(ABS(L1012)&lt;'Sollecitazioni nel paramento'!$G$58,ABS(L1012)*'Sollecitazioni nel paramento'!$G$54,'Sollecitazioni nel paramento'!$G$53)</f>
        <v>8461730.9705133121</v>
      </c>
      <c r="G1012" s="545">
        <f>-'Foglio deposito bis'!$F$60*(C1012-sezione!$AN$31)*IF(ABS(M1012)&lt;'Sollecitazioni nel paramento'!$G$58,ABS(M1012)*'Sollecitazioni nel paramento'!$G$54,'Sollecitazioni nel paramento'!$G$53)</f>
        <v>0</v>
      </c>
      <c r="H1012" s="545">
        <f>-'Foglio deposito bis'!$F$61*(C1012-sezione!$AO$31)*IF(ABS(N1012)&lt;'Sollecitazioni nel paramento'!$G$58,ABS(N1012)*'Sollecitazioni nel paramento'!$G$54,'Sollecitazioni nel paramento'!$G$53)</f>
        <v>37362643.904949203</v>
      </c>
      <c r="I1012" s="472">
        <f>-'Foglio deposito bis'!$F$62*(C1012-sezione!$AP$31)*IF(ABS(O1012)&lt;'Sollecitazioni nel paramento'!$G$58,ABS(O1012)*'Sollecitazioni nel paramento'!$G$54,'Sollecitazioni nel paramento'!$G$53)</f>
        <v>138853023.12455705</v>
      </c>
      <c r="J1012" s="472">
        <f t="shared" si="72"/>
        <v>184135800.27733207</v>
      </c>
      <c r="K1012" s="550">
        <f>'Sollecitazioni nel paramento'!$G$60*(sezione!$AL$31-C1012)/C1012</f>
        <v>2.4875363479468289E-2</v>
      </c>
      <c r="L1012" s="550">
        <f>'Sollecitazioni nel paramento'!$G$60*(sezione!$AM$31-C1012)/C1012</f>
        <v>3.9063045219202432E-2</v>
      </c>
      <c r="M1012" s="551">
        <f>'Sollecitazioni nel paramento'!$G$60*(sezione!$AN$31-C1012)/C1012</f>
        <v>5.3250726958936581E-2</v>
      </c>
      <c r="N1012" s="551">
        <f>'Sollecitazioni nel paramento'!$G$60*(sezione!$AO$31-C1012)/C1012</f>
        <v>0.11000145391787318</v>
      </c>
      <c r="O1012" s="551">
        <f>'Sollecitazioni nel paramento'!$G$60*(sezione!$AP$31-C1012)/C1012</f>
        <v>0.31299130318719809</v>
      </c>
      <c r="P1012" s="545">
        <f>-'Sollecitazioni nel paramento'!$G$47*'Sollecitazioni nel paramento'!$G$41*IF(DATI!$G$211="dx",DATI!$E$61,DATI!$E$64*DATI!$E$63)*1000*C1012*sezione!$AD$5</f>
        <v>-187965.16928705585</v>
      </c>
      <c r="Q1012" s="545">
        <f>'Foglio deposito bis'!$F$58*IF(ABS(K1012)&lt;'Sollecitazioni nel paramento'!$G$58,ABS(K1012)*'Sollecitazioni nel paramento'!$G$54,'Sollecitazioni nel paramento'!$G$53)*IF(K1012&lt;0,-1,1)</f>
        <v>0</v>
      </c>
      <c r="R1012" s="545">
        <f>'Foglio deposito bis'!$F$59*IF(ABS(L1012)&lt;'Sollecitazioni nel paramento'!$G$58,ABS(L1012)*'Sollecitazioni nel paramento'!$G$54,'Sollecitazioni nel paramento'!$G$53)*IF(L1012&lt;0,-1,1)</f>
        <v>153664.85805602249</v>
      </c>
      <c r="S1012" s="545">
        <f>'Foglio deposito bis'!$F$60*IF(ABS(M1012)&lt;'Sollecitazioni nel paramento'!$G$58,ABS(M1012)*'Sollecitazioni nel paramento'!$G$54,'Sollecitazioni nel paramento'!$G$53)*IF(M1012&lt;0,-1,1)</f>
        <v>0</v>
      </c>
      <c r="T1012" s="545">
        <f>'Foglio deposito bis'!$F$61*IF(ABS(N1012)&lt;'Sollecitazioni nel paramento'!$G$58,ABS(N1012)*'Sollecitazioni nel paramento'!$G$54,'Sollecitazioni nel paramento'!$G$53)*IF(N1012&lt;0,-1,1)</f>
        <v>240946.49743184328</v>
      </c>
      <c r="U1012" s="545">
        <f>'Foglio deposito bis'!$F$62*IF(ABS(O1012)&lt;'Sollecitazioni nel paramento'!$G$58,ABS(O1012)*'Sollecitazioni nel paramento'!$G$54,'Sollecitazioni nel paramento'!$G$53)*IF(O1012&lt;0,-1,1)</f>
        <v>314705.62929873407</v>
      </c>
      <c r="V1012" s="472">
        <f t="shared" si="74"/>
        <v>521351.81549954403</v>
      </c>
      <c r="W1012" s="551"/>
      <c r="X1012" s="551"/>
    </row>
    <row r="1013" spans="1:24" x14ac:dyDescent="0.25">
      <c r="A1013" s="545">
        <f t="shared" si="73"/>
        <v>508820.80421374028</v>
      </c>
      <c r="B1013" s="3">
        <f t="shared" si="75"/>
        <v>0.80000000000000016</v>
      </c>
      <c r="C1013" s="545">
        <f>'Foglio deposito bis'!$E$157/sezione!$B$247*B1013</f>
        <v>5.2627813364007565</v>
      </c>
      <c r="D1013" s="603">
        <f>-'Sollecitazioni nel paramento'!$G$47*'Sollecitazioni nel paramento'!$G$41*IF(DATI!$G$211="dx",DATI!$E$61,DATI!$E$64*DATI!$E$63)*1000*C1013^2*sezione!$AD$5*(1-sezione!$AD$6)</f>
        <v>-616217.85336887324</v>
      </c>
      <c r="E1013" s="545">
        <f>-'Foglio deposito bis'!$F$58*(C1013-sezione!$AL$31)*IF(ABS(K1013)&lt;'Sollecitazioni nel paramento'!$G$58,ABS(K1013)*'Sollecitazioni nel paramento'!$G$54,'Sollecitazioni nel paramento'!$G$53)</f>
        <v>0</v>
      </c>
      <c r="F1013" s="545">
        <f>-'Foglio deposito bis'!$F$59*(C1013-sezione!$AM$31)*IF(ABS(L1013)&lt;'Sollecitazioni nel paramento'!$G$58,ABS(L1013)*'Sollecitazioni nel paramento'!$G$54,'Sollecitazioni nel paramento'!$G$53)</f>
        <v>8411186.9363234434</v>
      </c>
      <c r="G1013" s="545">
        <f>-'Foglio deposito bis'!$F$60*(C1013-sezione!$AN$31)*IF(ABS(M1013)&lt;'Sollecitazioni nel paramento'!$G$58,ABS(M1013)*'Sollecitazioni nel paramento'!$G$54,'Sollecitazioni nel paramento'!$G$53)</f>
        <v>0</v>
      </c>
      <c r="H1013" s="545">
        <f>-'Foglio deposito bis'!$F$61*(C1013-sezione!$AO$31)*IF(ABS(N1013)&lt;'Sollecitazioni nel paramento'!$G$58,ABS(N1013)*'Sollecitazioni nel paramento'!$G$54,'Sollecitazioni nel paramento'!$G$53)</f>
        <v>37283390.859339483</v>
      </c>
      <c r="I1013" s="472">
        <f>-'Foglio deposito bis'!$F$62*(C1013-sezione!$AP$31)*IF(ABS(O1013)&lt;'Sollecitazioni nel paramento'!$G$58,ABS(O1013)*'Sollecitazioni nel paramento'!$G$54,'Sollecitazioni nel paramento'!$G$53)</f>
        <v>138749508.94253618</v>
      </c>
      <c r="J1013" s="472">
        <f t="shared" si="72"/>
        <v>183827868.88483024</v>
      </c>
      <c r="K1013" s="550">
        <f>'Sollecitazioni nel paramento'!$G$60*(sezione!$AL$31-C1013)/C1013</f>
        <v>2.3101903262001521E-2</v>
      </c>
      <c r="L1013" s="550">
        <f>'Sollecitazioni nel paramento'!$G$60*(sezione!$AM$31-C1013)/C1013</f>
        <v>3.6402854893002282E-2</v>
      </c>
      <c r="M1013" s="551">
        <f>'Sollecitazioni nel paramento'!$G$60*(sezione!$AN$31-C1013)/C1013</f>
        <v>4.9703806524003032E-2</v>
      </c>
      <c r="N1013" s="551">
        <f>'Sollecitazioni nel paramento'!$G$60*(sezione!$AO$31-C1013)/C1013</f>
        <v>0.10290761304800607</v>
      </c>
      <c r="O1013" s="551">
        <f>'Sollecitazioni nel paramento'!$G$60*(sezione!$AP$31-C1013)/C1013</f>
        <v>0.29321059673799821</v>
      </c>
      <c r="P1013" s="545">
        <f>-'Sollecitazioni nel paramento'!$G$47*'Sollecitazioni nel paramento'!$G$41*IF(DATI!$G$211="dx",DATI!$E$61,DATI!$E$64*DATI!$E$63)*1000*C1013*sezione!$AD$5</f>
        <v>-200496.18057285959</v>
      </c>
      <c r="Q1013" s="545">
        <f>'Foglio deposito bis'!$F$58*IF(ABS(K1013)&lt;'Sollecitazioni nel paramento'!$G$58,ABS(K1013)*'Sollecitazioni nel paramento'!$G$54,'Sollecitazioni nel paramento'!$G$53)*IF(K1013&lt;0,-1,1)</f>
        <v>0</v>
      </c>
      <c r="R1013" s="545">
        <f>'Foglio deposito bis'!$F$59*IF(ABS(L1013)&lt;'Sollecitazioni nel paramento'!$G$58,ABS(L1013)*'Sollecitazioni nel paramento'!$G$54,'Sollecitazioni nel paramento'!$G$53)*IF(L1013&lt;0,-1,1)</f>
        <v>153664.85805602249</v>
      </c>
      <c r="S1013" s="545">
        <f>'Foglio deposito bis'!$F$60*IF(ABS(M1013)&lt;'Sollecitazioni nel paramento'!$G$58,ABS(M1013)*'Sollecitazioni nel paramento'!$G$54,'Sollecitazioni nel paramento'!$G$53)*IF(M1013&lt;0,-1,1)</f>
        <v>0</v>
      </c>
      <c r="T1013" s="545">
        <f>'Foglio deposito bis'!$F$61*IF(ABS(N1013)&lt;'Sollecitazioni nel paramento'!$G$58,ABS(N1013)*'Sollecitazioni nel paramento'!$G$54,'Sollecitazioni nel paramento'!$G$53)*IF(N1013&lt;0,-1,1)</f>
        <v>240946.49743184328</v>
      </c>
      <c r="U1013" s="545">
        <f>'Foglio deposito bis'!$F$62*IF(ABS(O1013)&lt;'Sollecitazioni nel paramento'!$G$58,ABS(O1013)*'Sollecitazioni nel paramento'!$G$54,'Sollecitazioni nel paramento'!$G$53)*IF(O1013&lt;0,-1,1)</f>
        <v>314705.62929873407</v>
      </c>
      <c r="V1013" s="472">
        <f t="shared" si="74"/>
        <v>508820.80421374028</v>
      </c>
      <c r="W1013" s="551"/>
      <c r="X1013" s="551"/>
    </row>
    <row r="1014" spans="1:24" x14ac:dyDescent="0.25">
      <c r="A1014" s="545">
        <f t="shared" si="73"/>
        <v>496289.79292793659</v>
      </c>
      <c r="B1014" s="3">
        <f t="shared" si="75"/>
        <v>0.8500000000000002</v>
      </c>
      <c r="C1014" s="545">
        <f>'Foglio deposito bis'!$E$157/sezione!$B$247*B1014</f>
        <v>5.5917051699258034</v>
      </c>
      <c r="D1014" s="603">
        <f>-'Sollecitazioni nel paramento'!$G$47*'Sollecitazioni nel paramento'!$G$41*IF(DATI!$G$211="dx",DATI!$E$61,DATI!$E$64*DATI!$E$63)*1000*C1014^2*sezione!$AD$5*(1-sezione!$AD$6)</f>
        <v>-695652.18602970452</v>
      </c>
      <c r="E1014" s="545">
        <f>-'Foglio deposito bis'!$F$58*(C1014-sezione!$AL$31)*IF(ABS(K1014)&lt;'Sollecitazioni nel paramento'!$G$58,ABS(K1014)*'Sollecitazioni nel paramento'!$G$54,'Sollecitazioni nel paramento'!$G$53)</f>
        <v>0</v>
      </c>
      <c r="F1014" s="545">
        <f>-'Foglio deposito bis'!$F$59*(C1014-sezione!$AM$31)*IF(ABS(L1014)&lt;'Sollecitazioni nel paramento'!$G$58,ABS(L1014)*'Sollecitazioni nel paramento'!$G$54,'Sollecitazioni nel paramento'!$G$53)</f>
        <v>8360642.9021335738</v>
      </c>
      <c r="G1014" s="545">
        <f>-'Foglio deposito bis'!$F$60*(C1014-sezione!$AN$31)*IF(ABS(M1014)&lt;'Sollecitazioni nel paramento'!$G$58,ABS(M1014)*'Sollecitazioni nel paramento'!$G$54,'Sollecitazioni nel paramento'!$G$53)</f>
        <v>0</v>
      </c>
      <c r="H1014" s="545">
        <f>-'Foglio deposito bis'!$F$61*(C1014-sezione!$AO$31)*IF(ABS(N1014)&lt;'Sollecitazioni nel paramento'!$G$58,ABS(N1014)*'Sollecitazioni nel paramento'!$G$54,'Sollecitazioni nel paramento'!$G$53)</f>
        <v>37204137.81372977</v>
      </c>
      <c r="I1014" s="472">
        <f>-'Foglio deposito bis'!$F$62*(C1014-sezione!$AP$31)*IF(ABS(O1014)&lt;'Sollecitazioni nel paramento'!$G$58,ABS(O1014)*'Sollecitazioni nel paramento'!$G$54,'Sollecitazioni nel paramento'!$G$53)</f>
        <v>138645994.76051533</v>
      </c>
      <c r="J1014" s="472">
        <f t="shared" si="72"/>
        <v>183515123.29034898</v>
      </c>
      <c r="K1014" s="550">
        <f>'Sollecitazioni nel paramento'!$G$60*(sezione!$AL$31-C1014)/C1014</f>
        <v>2.1537085423060258E-2</v>
      </c>
      <c r="L1014" s="550">
        <f>'Sollecitazioni nel paramento'!$G$60*(sezione!$AM$31-C1014)/C1014</f>
        <v>3.4055628134590385E-2</v>
      </c>
      <c r="M1014" s="551">
        <f>'Sollecitazioni nel paramento'!$G$60*(sezione!$AN$31-C1014)/C1014</f>
        <v>4.6574170846120512E-2</v>
      </c>
      <c r="N1014" s="551">
        <f>'Sollecitazioni nel paramento'!$G$60*(sezione!$AO$31-C1014)/C1014</f>
        <v>9.6648341692241027E-2</v>
      </c>
      <c r="O1014" s="551">
        <f>'Sollecitazioni nel paramento'!$G$60*(sezione!$AP$31-C1014)/C1014</f>
        <v>0.27575703222399828</v>
      </c>
      <c r="P1014" s="545">
        <f>-'Sollecitazioni nel paramento'!$G$47*'Sollecitazioni nel paramento'!$G$41*IF(DATI!$G$211="dx",DATI!$E$61,DATI!$E$64*DATI!$E$63)*1000*C1014*sezione!$AD$5</f>
        <v>-213027.19185866325</v>
      </c>
      <c r="Q1014" s="545">
        <f>'Foglio deposito bis'!$F$58*IF(ABS(K1014)&lt;'Sollecitazioni nel paramento'!$G$58,ABS(K1014)*'Sollecitazioni nel paramento'!$G$54,'Sollecitazioni nel paramento'!$G$53)*IF(K1014&lt;0,-1,1)</f>
        <v>0</v>
      </c>
      <c r="R1014" s="545">
        <f>'Foglio deposito bis'!$F$59*IF(ABS(L1014)&lt;'Sollecitazioni nel paramento'!$G$58,ABS(L1014)*'Sollecitazioni nel paramento'!$G$54,'Sollecitazioni nel paramento'!$G$53)*IF(L1014&lt;0,-1,1)</f>
        <v>153664.85805602249</v>
      </c>
      <c r="S1014" s="545">
        <f>'Foglio deposito bis'!$F$60*IF(ABS(M1014)&lt;'Sollecitazioni nel paramento'!$G$58,ABS(M1014)*'Sollecitazioni nel paramento'!$G$54,'Sollecitazioni nel paramento'!$G$53)*IF(M1014&lt;0,-1,1)</f>
        <v>0</v>
      </c>
      <c r="T1014" s="545">
        <f>'Foglio deposito bis'!$F$61*IF(ABS(N1014)&lt;'Sollecitazioni nel paramento'!$G$58,ABS(N1014)*'Sollecitazioni nel paramento'!$G$54,'Sollecitazioni nel paramento'!$G$53)*IF(N1014&lt;0,-1,1)</f>
        <v>240946.49743184328</v>
      </c>
      <c r="U1014" s="545">
        <f>'Foglio deposito bis'!$F$62*IF(ABS(O1014)&lt;'Sollecitazioni nel paramento'!$G$58,ABS(O1014)*'Sollecitazioni nel paramento'!$G$54,'Sollecitazioni nel paramento'!$G$53)*IF(O1014&lt;0,-1,1)</f>
        <v>314705.62929873407</v>
      </c>
      <c r="V1014" s="472">
        <f t="shared" si="74"/>
        <v>496289.79292793659</v>
      </c>
      <c r="W1014" s="551"/>
      <c r="X1014" s="551"/>
    </row>
    <row r="1015" spans="1:24" x14ac:dyDescent="0.25">
      <c r="A1015" s="545">
        <f t="shared" si="73"/>
        <v>483758.78164213285</v>
      </c>
      <c r="B1015" s="3">
        <f t="shared" si="75"/>
        <v>0.90000000000000024</v>
      </c>
      <c r="C1015" s="545">
        <f>'Foglio deposito bis'!$E$157/sezione!$B$247*B1015</f>
        <v>5.9206290034508511</v>
      </c>
      <c r="D1015" s="603">
        <f>-'Sollecitazioni nel paramento'!$G$47*'Sollecitazioni nel paramento'!$G$41*IF(DATI!$G$211="dx",DATI!$E$61,DATI!$E$64*DATI!$E$63)*1000*C1015^2*sezione!$AD$5*(1-sezione!$AD$6)</f>
        <v>-779900.72066998016</v>
      </c>
      <c r="E1015" s="545">
        <f>-'Foglio deposito bis'!$F$58*(C1015-sezione!$AL$31)*IF(ABS(K1015)&lt;'Sollecitazioni nel paramento'!$G$58,ABS(K1015)*'Sollecitazioni nel paramento'!$G$54,'Sollecitazioni nel paramento'!$G$53)</f>
        <v>0</v>
      </c>
      <c r="F1015" s="545">
        <f>-'Foglio deposito bis'!$F$59*(C1015-sezione!$AM$31)*IF(ABS(L1015)&lt;'Sollecitazioni nel paramento'!$G$58,ABS(L1015)*'Sollecitazioni nel paramento'!$G$54,'Sollecitazioni nel paramento'!$G$53)</f>
        <v>8310098.8679437051</v>
      </c>
      <c r="G1015" s="545">
        <f>-'Foglio deposito bis'!$F$60*(C1015-sezione!$AN$31)*IF(ABS(M1015)&lt;'Sollecitazioni nel paramento'!$G$58,ABS(M1015)*'Sollecitazioni nel paramento'!$G$54,'Sollecitazioni nel paramento'!$G$53)</f>
        <v>0</v>
      </c>
      <c r="H1015" s="545">
        <f>-'Foglio deposito bis'!$F$61*(C1015-sezione!$AO$31)*IF(ABS(N1015)&lt;'Sollecitazioni nel paramento'!$G$58,ABS(N1015)*'Sollecitazioni nel paramento'!$G$54,'Sollecitazioni nel paramento'!$G$53)</f>
        <v>37124884.768120058</v>
      </c>
      <c r="I1015" s="472">
        <f>-'Foglio deposito bis'!$F$62*(C1015-sezione!$AP$31)*IF(ABS(O1015)&lt;'Sollecitazioni nel paramento'!$G$58,ABS(O1015)*'Sollecitazioni nel paramento'!$G$54,'Sollecitazioni nel paramento'!$G$53)</f>
        <v>138542480.57849449</v>
      </c>
      <c r="J1015" s="472">
        <f t="shared" si="72"/>
        <v>183197563.49388826</v>
      </c>
      <c r="K1015" s="550">
        <f>'Sollecitazioni nel paramento'!$G$60*(sezione!$AL$31-C1015)/C1015</f>
        <v>2.014613623289024E-2</v>
      </c>
      <c r="L1015" s="550">
        <f>'Sollecitazioni nel paramento'!$G$60*(sezione!$AM$31-C1015)/C1015</f>
        <v>3.196920434933536E-2</v>
      </c>
      <c r="M1015" s="551">
        <f>'Sollecitazioni nel paramento'!$G$60*(sezione!$AN$31-C1015)/C1015</f>
        <v>4.379227246578047E-2</v>
      </c>
      <c r="N1015" s="551">
        <f>'Sollecitazioni nel paramento'!$G$60*(sezione!$AO$31-C1015)/C1015</f>
        <v>9.1084544931560971E-2</v>
      </c>
      <c r="O1015" s="551">
        <f>'Sollecitazioni nel paramento'!$G$60*(sezione!$AP$31-C1015)/C1015</f>
        <v>0.26024275265599833</v>
      </c>
      <c r="P1015" s="545">
        <f>-'Sollecitazioni nel paramento'!$G$47*'Sollecitazioni nel paramento'!$G$41*IF(DATI!$G$211="dx",DATI!$E$61,DATI!$E$64*DATI!$E$63)*1000*C1015*sezione!$AD$5</f>
        <v>-225558.203144467</v>
      </c>
      <c r="Q1015" s="545">
        <f>'Foglio deposito bis'!$F$58*IF(ABS(K1015)&lt;'Sollecitazioni nel paramento'!$G$58,ABS(K1015)*'Sollecitazioni nel paramento'!$G$54,'Sollecitazioni nel paramento'!$G$53)*IF(K1015&lt;0,-1,1)</f>
        <v>0</v>
      </c>
      <c r="R1015" s="545">
        <f>'Foglio deposito bis'!$F$59*IF(ABS(L1015)&lt;'Sollecitazioni nel paramento'!$G$58,ABS(L1015)*'Sollecitazioni nel paramento'!$G$54,'Sollecitazioni nel paramento'!$G$53)*IF(L1015&lt;0,-1,1)</f>
        <v>153664.85805602249</v>
      </c>
      <c r="S1015" s="545">
        <f>'Foglio deposito bis'!$F$60*IF(ABS(M1015)&lt;'Sollecitazioni nel paramento'!$G$58,ABS(M1015)*'Sollecitazioni nel paramento'!$G$54,'Sollecitazioni nel paramento'!$G$53)*IF(M1015&lt;0,-1,1)</f>
        <v>0</v>
      </c>
      <c r="T1015" s="545">
        <f>'Foglio deposito bis'!$F$61*IF(ABS(N1015)&lt;'Sollecitazioni nel paramento'!$G$58,ABS(N1015)*'Sollecitazioni nel paramento'!$G$54,'Sollecitazioni nel paramento'!$G$53)*IF(N1015&lt;0,-1,1)</f>
        <v>240946.49743184328</v>
      </c>
      <c r="U1015" s="545">
        <f>'Foglio deposito bis'!$F$62*IF(ABS(O1015)&lt;'Sollecitazioni nel paramento'!$G$58,ABS(O1015)*'Sollecitazioni nel paramento'!$G$54,'Sollecitazioni nel paramento'!$G$53)*IF(O1015&lt;0,-1,1)</f>
        <v>314705.62929873407</v>
      </c>
      <c r="V1015" s="472">
        <f t="shared" si="74"/>
        <v>483758.78164213285</v>
      </c>
      <c r="W1015" s="551"/>
      <c r="X1015" s="551"/>
    </row>
    <row r="1016" spans="1:24" x14ac:dyDescent="0.25">
      <c r="A1016" s="545">
        <f t="shared" si="73"/>
        <v>471227.7703563291</v>
      </c>
      <c r="B1016" s="3">
        <f t="shared" si="75"/>
        <v>0.95000000000000029</v>
      </c>
      <c r="C1016" s="545">
        <f>'Foglio deposito bis'!$E$157/sezione!$B$247*B1016</f>
        <v>6.2495528369758988</v>
      </c>
      <c r="D1016" s="603">
        <f>-'Sollecitazioni nel paramento'!$G$47*'Sollecitazioni nel paramento'!$G$41*IF(DATI!$G$211="dx",DATI!$E$61,DATI!$E$64*DATI!$E$63)*1000*C1016^2*sezione!$AD$5*(1-sezione!$AD$6)</f>
        <v>-868963.45728970028</v>
      </c>
      <c r="E1016" s="545">
        <f>-'Foglio deposito bis'!$F$58*(C1016-sezione!$AL$31)*IF(ABS(K1016)&lt;'Sollecitazioni nel paramento'!$G$58,ABS(K1016)*'Sollecitazioni nel paramento'!$G$54,'Sollecitazioni nel paramento'!$G$53)</f>
        <v>0</v>
      </c>
      <c r="F1016" s="545">
        <f>-'Foglio deposito bis'!$F$59*(C1016-sezione!$AM$31)*IF(ABS(L1016)&lt;'Sollecitazioni nel paramento'!$G$58,ABS(L1016)*'Sollecitazioni nel paramento'!$G$54,'Sollecitazioni nel paramento'!$G$53)</f>
        <v>8259554.8337538345</v>
      </c>
      <c r="G1016" s="545">
        <f>-'Foglio deposito bis'!$F$60*(C1016-sezione!$AN$31)*IF(ABS(M1016)&lt;'Sollecitazioni nel paramento'!$G$58,ABS(M1016)*'Sollecitazioni nel paramento'!$G$54,'Sollecitazioni nel paramento'!$G$53)</f>
        <v>0</v>
      </c>
      <c r="H1016" s="545">
        <f>-'Foglio deposito bis'!$F$61*(C1016-sezione!$AO$31)*IF(ABS(N1016)&lt;'Sollecitazioni nel paramento'!$G$58,ABS(N1016)*'Sollecitazioni nel paramento'!$G$54,'Sollecitazioni nel paramento'!$G$53)</f>
        <v>37045631.722510338</v>
      </c>
      <c r="I1016" s="472">
        <f>-'Foglio deposito bis'!$F$62*(C1016-sezione!$AP$31)*IF(ABS(O1016)&lt;'Sollecitazioni nel paramento'!$G$58,ABS(O1016)*'Sollecitazioni nel paramento'!$G$54,'Sollecitazioni nel paramento'!$G$53)</f>
        <v>138438966.39647365</v>
      </c>
      <c r="J1016" s="472">
        <f t="shared" si="72"/>
        <v>182875189.49544811</v>
      </c>
      <c r="K1016" s="550">
        <f>'Sollecitazioni nel paramento'!$G$60*(sezione!$AL$31-C1016)/C1016</f>
        <v>1.8901602746948645E-2</v>
      </c>
      <c r="L1016" s="550">
        <f>'Sollecitazioni nel paramento'!$G$60*(sezione!$AM$31-C1016)/C1016</f>
        <v>3.0102404120422966E-2</v>
      </c>
      <c r="M1016" s="551">
        <f>'Sollecitazioni nel paramento'!$G$60*(sezione!$AN$31-C1016)/C1016</f>
        <v>4.1303205493897301E-2</v>
      </c>
      <c r="N1016" s="551">
        <f>'Sollecitazioni nel paramento'!$G$60*(sezione!$AO$31-C1016)/C1016</f>
        <v>8.6106410987794577E-2</v>
      </c>
      <c r="O1016" s="551">
        <f>'Sollecitazioni nel paramento'!$G$60*(sezione!$AP$31-C1016)/C1016</f>
        <v>0.2463615551477879</v>
      </c>
      <c r="P1016" s="545">
        <f>-'Sollecitazioni nel paramento'!$G$47*'Sollecitazioni nel paramento'!$G$41*IF(DATI!$G$211="dx",DATI!$E$61,DATI!$E$64*DATI!$E$63)*1000*C1016*sezione!$AD$5</f>
        <v>-238089.21443027075</v>
      </c>
      <c r="Q1016" s="545">
        <f>'Foglio deposito bis'!$F$58*IF(ABS(K1016)&lt;'Sollecitazioni nel paramento'!$G$58,ABS(K1016)*'Sollecitazioni nel paramento'!$G$54,'Sollecitazioni nel paramento'!$G$53)*IF(K1016&lt;0,-1,1)</f>
        <v>0</v>
      </c>
      <c r="R1016" s="545">
        <f>'Foglio deposito bis'!$F$59*IF(ABS(L1016)&lt;'Sollecitazioni nel paramento'!$G$58,ABS(L1016)*'Sollecitazioni nel paramento'!$G$54,'Sollecitazioni nel paramento'!$G$53)*IF(L1016&lt;0,-1,1)</f>
        <v>153664.85805602249</v>
      </c>
      <c r="S1016" s="545">
        <f>'Foglio deposito bis'!$F$60*IF(ABS(M1016)&lt;'Sollecitazioni nel paramento'!$G$58,ABS(M1016)*'Sollecitazioni nel paramento'!$G$54,'Sollecitazioni nel paramento'!$G$53)*IF(M1016&lt;0,-1,1)</f>
        <v>0</v>
      </c>
      <c r="T1016" s="545">
        <f>'Foglio deposito bis'!$F$61*IF(ABS(N1016)&lt;'Sollecitazioni nel paramento'!$G$58,ABS(N1016)*'Sollecitazioni nel paramento'!$G$54,'Sollecitazioni nel paramento'!$G$53)*IF(N1016&lt;0,-1,1)</f>
        <v>240946.49743184328</v>
      </c>
      <c r="U1016" s="545">
        <f>'Foglio deposito bis'!$F$62*IF(ABS(O1016)&lt;'Sollecitazioni nel paramento'!$G$58,ABS(O1016)*'Sollecitazioni nel paramento'!$G$54,'Sollecitazioni nel paramento'!$G$53)*IF(O1016&lt;0,-1,1)</f>
        <v>314705.62929873407</v>
      </c>
      <c r="V1016" s="472">
        <f t="shared" si="74"/>
        <v>471227.7703563291</v>
      </c>
      <c r="W1016" s="551"/>
      <c r="X1016" s="551"/>
    </row>
    <row r="1017" spans="1:24" x14ac:dyDescent="0.25">
      <c r="A1017" s="545">
        <f t="shared" si="73"/>
        <v>458696.75907052535</v>
      </c>
      <c r="B1017" s="3">
        <f t="shared" si="75"/>
        <v>1.0000000000000002</v>
      </c>
      <c r="C1017" s="545">
        <f>'Foglio deposito bis'!$E$157/sezione!$B$247*B1017</f>
        <v>6.5784766705009456</v>
      </c>
      <c r="D1017" s="603">
        <f>-'Sollecitazioni nel paramento'!$G$47*'Sollecitazioni nel paramento'!$G$41*IF(DATI!$G$211="dx",DATI!$E$61,DATI!$E$64*DATI!$E$63)*1000*C1017^2*sezione!$AD$5*(1-sezione!$AD$6)</f>
        <v>-962840.39588886441</v>
      </c>
      <c r="E1017" s="545">
        <f>-'Foglio deposito bis'!$F$58*(C1017-sezione!$AL$31)*IF(ABS(K1017)&lt;'Sollecitazioni nel paramento'!$G$58,ABS(K1017)*'Sollecitazioni nel paramento'!$G$54,'Sollecitazioni nel paramento'!$G$53)</f>
        <v>0</v>
      </c>
      <c r="F1017" s="545">
        <f>-'Foglio deposito bis'!$F$59*(C1017-sezione!$AM$31)*IF(ABS(L1017)&lt;'Sollecitazioni nel paramento'!$G$58,ABS(L1017)*'Sollecitazioni nel paramento'!$G$54,'Sollecitazioni nel paramento'!$G$53)</f>
        <v>8209010.7995639658</v>
      </c>
      <c r="G1017" s="545">
        <f>-'Foglio deposito bis'!$F$60*(C1017-sezione!$AN$31)*IF(ABS(M1017)&lt;'Sollecitazioni nel paramento'!$G$58,ABS(M1017)*'Sollecitazioni nel paramento'!$G$54,'Sollecitazioni nel paramento'!$G$53)</f>
        <v>0</v>
      </c>
      <c r="H1017" s="545">
        <f>-'Foglio deposito bis'!$F$61*(C1017-sezione!$AO$31)*IF(ABS(N1017)&lt;'Sollecitazioni nel paramento'!$G$58,ABS(N1017)*'Sollecitazioni nel paramento'!$G$54,'Sollecitazioni nel paramento'!$G$53)</f>
        <v>36966378.676900625</v>
      </c>
      <c r="I1017" s="472">
        <f>-'Foglio deposito bis'!$F$62*(C1017-sezione!$AP$31)*IF(ABS(O1017)&lt;'Sollecitazioni nel paramento'!$G$58,ABS(O1017)*'Sollecitazioni nel paramento'!$G$54,'Sollecitazioni nel paramento'!$G$53)</f>
        <v>138335452.21445277</v>
      </c>
      <c r="J1017" s="472">
        <f t="shared" si="72"/>
        <v>182548001.29502851</v>
      </c>
      <c r="K1017" s="550">
        <f>'Sollecitazioni nel paramento'!$G$60*(sezione!$AL$31-C1017)/C1017</f>
        <v>1.7781522609601214E-2</v>
      </c>
      <c r="L1017" s="550">
        <f>'Sollecitazioni nel paramento'!$G$60*(sezione!$AM$31-C1017)/C1017</f>
        <v>2.8422283914401825E-2</v>
      </c>
      <c r="M1017" s="551">
        <f>'Sollecitazioni nel paramento'!$G$60*(sezione!$AN$31-C1017)/C1017</f>
        <v>3.9063045219202432E-2</v>
      </c>
      <c r="N1017" s="551">
        <f>'Sollecitazioni nel paramento'!$G$60*(sezione!$AO$31-C1017)/C1017</f>
        <v>8.1626090438404866E-2</v>
      </c>
      <c r="O1017" s="551">
        <f>'Sollecitazioni nel paramento'!$G$60*(sezione!$AP$31-C1017)/C1017</f>
        <v>0.23386847739039854</v>
      </c>
      <c r="P1017" s="545">
        <f>-'Sollecitazioni nel paramento'!$G$47*'Sollecitazioni nel paramento'!$G$41*IF(DATI!$G$211="dx",DATI!$E$61,DATI!$E$64*DATI!$E$63)*1000*C1017*sezione!$AD$5</f>
        <v>-250620.22571607449</v>
      </c>
      <c r="Q1017" s="545">
        <f>'Foglio deposito bis'!$F$58*IF(ABS(K1017)&lt;'Sollecitazioni nel paramento'!$G$58,ABS(K1017)*'Sollecitazioni nel paramento'!$G$54,'Sollecitazioni nel paramento'!$G$53)*IF(K1017&lt;0,-1,1)</f>
        <v>0</v>
      </c>
      <c r="R1017" s="545">
        <f>'Foglio deposito bis'!$F$59*IF(ABS(L1017)&lt;'Sollecitazioni nel paramento'!$G$58,ABS(L1017)*'Sollecitazioni nel paramento'!$G$54,'Sollecitazioni nel paramento'!$G$53)*IF(L1017&lt;0,-1,1)</f>
        <v>153664.85805602249</v>
      </c>
      <c r="S1017" s="545">
        <f>'Foglio deposito bis'!$F$60*IF(ABS(M1017)&lt;'Sollecitazioni nel paramento'!$G$58,ABS(M1017)*'Sollecitazioni nel paramento'!$G$54,'Sollecitazioni nel paramento'!$G$53)*IF(M1017&lt;0,-1,1)</f>
        <v>0</v>
      </c>
      <c r="T1017" s="545">
        <f>'Foglio deposito bis'!$F$61*IF(ABS(N1017)&lt;'Sollecitazioni nel paramento'!$G$58,ABS(N1017)*'Sollecitazioni nel paramento'!$G$54,'Sollecitazioni nel paramento'!$G$53)*IF(N1017&lt;0,-1,1)</f>
        <v>240946.49743184328</v>
      </c>
      <c r="U1017" s="545">
        <f>'Foglio deposito bis'!$F$62*IF(ABS(O1017)&lt;'Sollecitazioni nel paramento'!$G$58,ABS(O1017)*'Sollecitazioni nel paramento'!$G$54,'Sollecitazioni nel paramento'!$G$53)*IF(O1017&lt;0,-1,1)</f>
        <v>314705.62929873407</v>
      </c>
      <c r="V1017" s="472">
        <f t="shared" si="74"/>
        <v>458696.75907052535</v>
      </c>
      <c r="W1017" s="551"/>
      <c r="X1017" s="551"/>
    </row>
    <row r="1018" spans="1:24" x14ac:dyDescent="0.25">
      <c r="A1018" s="545">
        <f t="shared" si="73"/>
        <v>446165.74778472167</v>
      </c>
      <c r="B1018" s="3">
        <f t="shared" si="75"/>
        <v>1.0500000000000003</v>
      </c>
      <c r="C1018" s="545">
        <f>'Foglio deposito bis'!$E$157/sezione!$B$247*B1018</f>
        <v>6.9074005040259925</v>
      </c>
      <c r="D1018" s="603">
        <f>-'Sollecitazioni nel paramento'!$G$47*'Sollecitazioni nel paramento'!$G$41*IF(DATI!$G$211="dx",DATI!$E$61,DATI!$E$64*DATI!$E$63)*1000*C1018^2*sezione!$AD$5*(1-sezione!$AD$6)</f>
        <v>-1061531.5364674728</v>
      </c>
      <c r="E1018" s="545">
        <f>-'Foglio deposito bis'!$F$58*(C1018-sezione!$AL$31)*IF(ABS(K1018)&lt;'Sollecitazioni nel paramento'!$G$58,ABS(K1018)*'Sollecitazioni nel paramento'!$G$54,'Sollecitazioni nel paramento'!$G$53)</f>
        <v>0</v>
      </c>
      <c r="F1018" s="545">
        <f>-'Foglio deposito bis'!$F$59*(C1018-sezione!$AM$31)*IF(ABS(L1018)&lt;'Sollecitazioni nel paramento'!$G$58,ABS(L1018)*'Sollecitazioni nel paramento'!$G$54,'Sollecitazioni nel paramento'!$G$53)</f>
        <v>8158466.765374098</v>
      </c>
      <c r="G1018" s="545">
        <f>-'Foglio deposito bis'!$F$60*(C1018-sezione!$AN$31)*IF(ABS(M1018)&lt;'Sollecitazioni nel paramento'!$G$58,ABS(M1018)*'Sollecitazioni nel paramento'!$G$54,'Sollecitazioni nel paramento'!$G$53)</f>
        <v>0</v>
      </c>
      <c r="H1018" s="545">
        <f>-'Foglio deposito bis'!$F$61*(C1018-sezione!$AO$31)*IF(ABS(N1018)&lt;'Sollecitazioni nel paramento'!$G$58,ABS(N1018)*'Sollecitazioni nel paramento'!$G$54,'Sollecitazioni nel paramento'!$G$53)</f>
        <v>36887125.631290913</v>
      </c>
      <c r="I1018" s="472">
        <f>-'Foglio deposito bis'!$F$62*(C1018-sezione!$AP$31)*IF(ABS(O1018)&lt;'Sollecitazioni nel paramento'!$G$58,ABS(O1018)*'Sollecitazioni nel paramento'!$G$54,'Sollecitazioni nel paramento'!$G$53)</f>
        <v>138231938.03243193</v>
      </c>
      <c r="J1018" s="472">
        <f t="shared" si="72"/>
        <v>182215998.89262947</v>
      </c>
      <c r="K1018" s="550">
        <f>'Sollecitazioni nel paramento'!$G$60*(sezione!$AL$31-C1018)/C1018</f>
        <v>1.676811677104878E-2</v>
      </c>
      <c r="L1018" s="550">
        <f>'Sollecitazioni nel paramento'!$G$60*(sezione!$AM$31-C1018)/C1018</f>
        <v>2.6902175156573168E-2</v>
      </c>
      <c r="M1018" s="551">
        <f>'Sollecitazioni nel paramento'!$G$60*(sezione!$AN$31-C1018)/C1018</f>
        <v>3.7036233542097563E-2</v>
      </c>
      <c r="N1018" s="551">
        <f>'Sollecitazioni nel paramento'!$G$60*(sezione!$AO$31-C1018)/C1018</f>
        <v>7.7572467084195115E-2</v>
      </c>
      <c r="O1018" s="551">
        <f>'Sollecitazioni nel paramento'!$G$60*(sezione!$AP$31-C1018)/C1018</f>
        <v>0.22256521656228434</v>
      </c>
      <c r="P1018" s="545">
        <f>-'Sollecitazioni nel paramento'!$G$47*'Sollecitazioni nel paramento'!$G$41*IF(DATI!$G$211="dx",DATI!$E$61,DATI!$E$64*DATI!$E$63)*1000*C1018*sezione!$AD$5</f>
        <v>-263151.23700187821</v>
      </c>
      <c r="Q1018" s="545">
        <f>'Foglio deposito bis'!$F$58*IF(ABS(K1018)&lt;'Sollecitazioni nel paramento'!$G$58,ABS(K1018)*'Sollecitazioni nel paramento'!$G$54,'Sollecitazioni nel paramento'!$G$53)*IF(K1018&lt;0,-1,1)</f>
        <v>0</v>
      </c>
      <c r="R1018" s="545">
        <f>'Foglio deposito bis'!$F$59*IF(ABS(L1018)&lt;'Sollecitazioni nel paramento'!$G$58,ABS(L1018)*'Sollecitazioni nel paramento'!$G$54,'Sollecitazioni nel paramento'!$G$53)*IF(L1018&lt;0,-1,1)</f>
        <v>153664.85805602249</v>
      </c>
      <c r="S1018" s="545">
        <f>'Foglio deposito bis'!$F$60*IF(ABS(M1018)&lt;'Sollecitazioni nel paramento'!$G$58,ABS(M1018)*'Sollecitazioni nel paramento'!$G$54,'Sollecitazioni nel paramento'!$G$53)*IF(M1018&lt;0,-1,1)</f>
        <v>0</v>
      </c>
      <c r="T1018" s="545">
        <f>'Foglio deposito bis'!$F$61*IF(ABS(N1018)&lt;'Sollecitazioni nel paramento'!$G$58,ABS(N1018)*'Sollecitazioni nel paramento'!$G$54,'Sollecitazioni nel paramento'!$G$53)*IF(N1018&lt;0,-1,1)</f>
        <v>240946.49743184328</v>
      </c>
      <c r="U1018" s="545">
        <f>'Foglio deposito bis'!$F$62*IF(ABS(O1018)&lt;'Sollecitazioni nel paramento'!$G$58,ABS(O1018)*'Sollecitazioni nel paramento'!$G$54,'Sollecitazioni nel paramento'!$G$53)*IF(O1018&lt;0,-1,1)</f>
        <v>314705.62929873407</v>
      </c>
      <c r="V1018" s="472">
        <f t="shared" si="74"/>
        <v>446165.74778472167</v>
      </c>
      <c r="W1018" s="551"/>
      <c r="X1018" s="551"/>
    </row>
    <row r="1019" spans="1:24" x14ac:dyDescent="0.25">
      <c r="A1019" s="545">
        <f t="shared" si="73"/>
        <v>433634.73649891792</v>
      </c>
      <c r="B1019" s="3">
        <f t="shared" si="75"/>
        <v>1.1000000000000003</v>
      </c>
      <c r="C1019" s="545">
        <f>'Foglio deposito bis'!$E$157/sezione!$B$247*B1019</f>
        <v>7.2363243375510402</v>
      </c>
      <c r="D1019" s="603">
        <f>-'Sollecitazioni nel paramento'!$G$47*'Sollecitazioni nel paramento'!$G$41*IF(DATI!$G$211="dx",DATI!$E$61,DATI!$E$64*DATI!$E$63)*1000*C1019^2*sezione!$AD$5*(1-sezione!$AD$6)</f>
        <v>-1165036.8790255259</v>
      </c>
      <c r="E1019" s="545">
        <f>-'Foglio deposito bis'!$F$58*(C1019-sezione!$AL$31)*IF(ABS(K1019)&lt;'Sollecitazioni nel paramento'!$G$58,ABS(K1019)*'Sollecitazioni nel paramento'!$G$54,'Sollecitazioni nel paramento'!$G$53)</f>
        <v>0</v>
      </c>
      <c r="F1019" s="545">
        <f>-'Foglio deposito bis'!$F$59*(C1019-sezione!$AM$31)*IF(ABS(L1019)&lt;'Sollecitazioni nel paramento'!$G$58,ABS(L1019)*'Sollecitazioni nel paramento'!$G$54,'Sollecitazioni nel paramento'!$G$53)</f>
        <v>8107922.7311842293</v>
      </c>
      <c r="G1019" s="545">
        <f>-'Foglio deposito bis'!$F$60*(C1019-sezione!$AN$31)*IF(ABS(M1019)&lt;'Sollecitazioni nel paramento'!$G$58,ABS(M1019)*'Sollecitazioni nel paramento'!$G$54,'Sollecitazioni nel paramento'!$G$53)</f>
        <v>0</v>
      </c>
      <c r="H1019" s="545">
        <f>-'Foglio deposito bis'!$F$61*(C1019-sezione!$AO$31)*IF(ABS(N1019)&lt;'Sollecitazioni nel paramento'!$G$58,ABS(N1019)*'Sollecitazioni nel paramento'!$G$54,'Sollecitazioni nel paramento'!$G$53)</f>
        <v>36807872.585681193</v>
      </c>
      <c r="I1019" s="472">
        <f>-'Foglio deposito bis'!$F$62*(C1019-sezione!$AP$31)*IF(ABS(O1019)&lt;'Sollecitazioni nel paramento'!$G$58,ABS(O1019)*'Sollecitazioni nel paramento'!$G$54,'Sollecitazioni nel paramento'!$G$53)</f>
        <v>138128423.85041109</v>
      </c>
      <c r="J1019" s="472">
        <f t="shared" si="72"/>
        <v>181879182.28825098</v>
      </c>
      <c r="K1019" s="550">
        <f>'Sollecitazioni nel paramento'!$G$60*(sezione!$AL$31-C1019)/C1019</f>
        <v>1.5846838736001106E-2</v>
      </c>
      <c r="L1019" s="550">
        <f>'Sollecitazioni nel paramento'!$G$60*(sezione!$AM$31-C1019)/C1019</f>
        <v>2.5520258104001659E-2</v>
      </c>
      <c r="M1019" s="551">
        <f>'Sollecitazioni nel paramento'!$G$60*(sezione!$AN$31-C1019)/C1019</f>
        <v>3.5193677472002215E-2</v>
      </c>
      <c r="N1019" s="551">
        <f>'Sollecitazioni nel paramento'!$G$60*(sezione!$AO$31-C1019)/C1019</f>
        <v>7.3887354944004419E-2</v>
      </c>
      <c r="O1019" s="551">
        <f>'Sollecitazioni nel paramento'!$G$60*(sezione!$AP$31-C1019)/C1019</f>
        <v>0.21228952490036232</v>
      </c>
      <c r="P1019" s="545">
        <f>-'Sollecitazioni nel paramento'!$G$47*'Sollecitazioni nel paramento'!$G$41*IF(DATI!$G$211="dx",DATI!$E$61,DATI!$E$64*DATI!$E$63)*1000*C1019*sezione!$AD$5</f>
        <v>-275682.24828768196</v>
      </c>
      <c r="Q1019" s="545">
        <f>'Foglio deposito bis'!$F$58*IF(ABS(K1019)&lt;'Sollecitazioni nel paramento'!$G$58,ABS(K1019)*'Sollecitazioni nel paramento'!$G$54,'Sollecitazioni nel paramento'!$G$53)*IF(K1019&lt;0,-1,1)</f>
        <v>0</v>
      </c>
      <c r="R1019" s="545">
        <f>'Foglio deposito bis'!$F$59*IF(ABS(L1019)&lt;'Sollecitazioni nel paramento'!$G$58,ABS(L1019)*'Sollecitazioni nel paramento'!$G$54,'Sollecitazioni nel paramento'!$G$53)*IF(L1019&lt;0,-1,1)</f>
        <v>153664.85805602249</v>
      </c>
      <c r="S1019" s="545">
        <f>'Foglio deposito bis'!$F$60*IF(ABS(M1019)&lt;'Sollecitazioni nel paramento'!$G$58,ABS(M1019)*'Sollecitazioni nel paramento'!$G$54,'Sollecitazioni nel paramento'!$G$53)*IF(M1019&lt;0,-1,1)</f>
        <v>0</v>
      </c>
      <c r="T1019" s="545">
        <f>'Foglio deposito bis'!$F$61*IF(ABS(N1019)&lt;'Sollecitazioni nel paramento'!$G$58,ABS(N1019)*'Sollecitazioni nel paramento'!$G$54,'Sollecitazioni nel paramento'!$G$53)*IF(N1019&lt;0,-1,1)</f>
        <v>240946.49743184328</v>
      </c>
      <c r="U1019" s="545">
        <f>'Foglio deposito bis'!$F$62*IF(ABS(O1019)&lt;'Sollecitazioni nel paramento'!$G$58,ABS(O1019)*'Sollecitazioni nel paramento'!$G$54,'Sollecitazioni nel paramento'!$G$53)*IF(O1019&lt;0,-1,1)</f>
        <v>314705.62929873407</v>
      </c>
      <c r="V1019" s="472">
        <f t="shared" si="74"/>
        <v>433634.73649891792</v>
      </c>
      <c r="W1019" s="551"/>
      <c r="X1019" s="551"/>
    </row>
    <row r="1020" spans="1:24" x14ac:dyDescent="0.25">
      <c r="A1020" s="545">
        <f t="shared" si="73"/>
        <v>421103.72521311417</v>
      </c>
      <c r="B1020" s="3">
        <f t="shared" si="75"/>
        <v>1.1500000000000004</v>
      </c>
      <c r="C1020" s="545">
        <f>'Foglio deposito bis'!$E$157/sezione!$B$247*B1020</f>
        <v>7.5652481710760879</v>
      </c>
      <c r="D1020" s="603">
        <f>-'Sollecitazioni nel paramento'!$G$47*'Sollecitazioni nel paramento'!$G$41*IF(DATI!$G$211="dx",DATI!$E$61,DATI!$E$64*DATI!$E$63)*1000*C1020^2*sezione!$AD$5*(1-sezione!$AD$6)</f>
        <v>-1273356.4235630233</v>
      </c>
      <c r="E1020" s="545">
        <f>-'Foglio deposito bis'!$F$58*(C1020-sezione!$AL$31)*IF(ABS(K1020)&lt;'Sollecitazioni nel paramento'!$G$58,ABS(K1020)*'Sollecitazioni nel paramento'!$G$54,'Sollecitazioni nel paramento'!$G$53)</f>
        <v>0</v>
      </c>
      <c r="F1020" s="545">
        <f>-'Foglio deposito bis'!$F$59*(C1020-sezione!$AM$31)*IF(ABS(L1020)&lt;'Sollecitazioni nel paramento'!$G$58,ABS(L1020)*'Sollecitazioni nel paramento'!$G$54,'Sollecitazioni nel paramento'!$G$53)</f>
        <v>8057378.6969943596</v>
      </c>
      <c r="G1020" s="545">
        <f>-'Foglio deposito bis'!$F$60*(C1020-sezione!$AN$31)*IF(ABS(M1020)&lt;'Sollecitazioni nel paramento'!$G$58,ABS(M1020)*'Sollecitazioni nel paramento'!$G$54,'Sollecitazioni nel paramento'!$G$53)</f>
        <v>0</v>
      </c>
      <c r="H1020" s="545">
        <f>-'Foglio deposito bis'!$F$61*(C1020-sezione!$AO$31)*IF(ABS(N1020)&lt;'Sollecitazioni nel paramento'!$G$58,ABS(N1020)*'Sollecitazioni nel paramento'!$G$54,'Sollecitazioni nel paramento'!$G$53)</f>
        <v>36728619.54007148</v>
      </c>
      <c r="I1020" s="472">
        <f>-'Foglio deposito bis'!$F$62*(C1020-sezione!$AP$31)*IF(ABS(O1020)&lt;'Sollecitazioni nel paramento'!$G$58,ABS(O1020)*'Sollecitazioni nel paramento'!$G$54,'Sollecitazioni nel paramento'!$G$53)</f>
        <v>138024909.66839021</v>
      </c>
      <c r="J1020" s="472">
        <f t="shared" si="72"/>
        <v>181537551.48189303</v>
      </c>
      <c r="K1020" s="550">
        <f>'Sollecitazioni nel paramento'!$G$60*(sezione!$AL$31-C1020)/C1020</f>
        <v>1.5005671834435842E-2</v>
      </c>
      <c r="L1020" s="550">
        <f>'Sollecitazioni nel paramento'!$G$60*(sezione!$AM$31-C1020)/C1020</f>
        <v>2.4258507751653759E-2</v>
      </c>
      <c r="M1020" s="551">
        <f>'Sollecitazioni nel paramento'!$G$60*(sezione!$AN$31-C1020)/C1020</f>
        <v>3.3511343668871672E-2</v>
      </c>
      <c r="N1020" s="551">
        <f>'Sollecitazioni nel paramento'!$G$60*(sezione!$AO$31-C1020)/C1020</f>
        <v>7.0522687337743348E-2</v>
      </c>
      <c r="O1020" s="551">
        <f>'Sollecitazioni nel paramento'!$G$60*(sezione!$AP$31-C1020)/C1020</f>
        <v>0.2029073716438248</v>
      </c>
      <c r="P1020" s="545">
        <f>-'Sollecitazioni nel paramento'!$G$47*'Sollecitazioni nel paramento'!$G$41*IF(DATI!$G$211="dx",DATI!$E$61,DATI!$E$64*DATI!$E$63)*1000*C1020*sezione!$AD$5</f>
        <v>-288213.2595734857</v>
      </c>
      <c r="Q1020" s="545">
        <f>'Foglio deposito bis'!$F$58*IF(ABS(K1020)&lt;'Sollecitazioni nel paramento'!$G$58,ABS(K1020)*'Sollecitazioni nel paramento'!$G$54,'Sollecitazioni nel paramento'!$G$53)*IF(K1020&lt;0,-1,1)</f>
        <v>0</v>
      </c>
      <c r="R1020" s="545">
        <f>'Foglio deposito bis'!$F$59*IF(ABS(L1020)&lt;'Sollecitazioni nel paramento'!$G$58,ABS(L1020)*'Sollecitazioni nel paramento'!$G$54,'Sollecitazioni nel paramento'!$G$53)*IF(L1020&lt;0,-1,1)</f>
        <v>153664.85805602249</v>
      </c>
      <c r="S1020" s="545">
        <f>'Foglio deposito bis'!$F$60*IF(ABS(M1020)&lt;'Sollecitazioni nel paramento'!$G$58,ABS(M1020)*'Sollecitazioni nel paramento'!$G$54,'Sollecitazioni nel paramento'!$G$53)*IF(M1020&lt;0,-1,1)</f>
        <v>0</v>
      </c>
      <c r="T1020" s="545">
        <f>'Foglio deposito bis'!$F$61*IF(ABS(N1020)&lt;'Sollecitazioni nel paramento'!$G$58,ABS(N1020)*'Sollecitazioni nel paramento'!$G$54,'Sollecitazioni nel paramento'!$G$53)*IF(N1020&lt;0,-1,1)</f>
        <v>240946.49743184328</v>
      </c>
      <c r="U1020" s="545">
        <f>'Foglio deposito bis'!$F$62*IF(ABS(O1020)&lt;'Sollecitazioni nel paramento'!$G$58,ABS(O1020)*'Sollecitazioni nel paramento'!$G$54,'Sollecitazioni nel paramento'!$G$53)*IF(O1020&lt;0,-1,1)</f>
        <v>314705.62929873407</v>
      </c>
      <c r="V1020" s="472">
        <f t="shared" si="74"/>
        <v>421103.72521311417</v>
      </c>
      <c r="W1020" s="551"/>
      <c r="X1020" s="551"/>
    </row>
    <row r="1021" spans="1:24" x14ac:dyDescent="0.25">
      <c r="A1021" s="545">
        <f t="shared" si="73"/>
        <v>408572.71392731043</v>
      </c>
      <c r="B1021" s="3">
        <f t="shared" si="75"/>
        <v>1.2000000000000004</v>
      </c>
      <c r="C1021" s="545">
        <f>'Foglio deposito bis'!$E$157/sezione!$B$247*B1021</f>
        <v>7.8941720046011357</v>
      </c>
      <c r="D1021" s="603">
        <f>-'Sollecitazioni nel paramento'!$G$47*'Sollecitazioni nel paramento'!$G$41*IF(DATI!$G$211="dx",DATI!$E$61,DATI!$E$64*DATI!$E$63)*1000*C1021^2*sezione!$AD$5*(1-sezione!$AD$6)</f>
        <v>-1386490.1700799651</v>
      </c>
      <c r="E1021" s="545">
        <f>-'Foglio deposito bis'!$F$58*(C1021-sezione!$AL$31)*IF(ABS(K1021)&lt;'Sollecitazioni nel paramento'!$G$58,ABS(K1021)*'Sollecitazioni nel paramento'!$G$54,'Sollecitazioni nel paramento'!$G$53)</f>
        <v>0</v>
      </c>
      <c r="F1021" s="545">
        <f>-'Foglio deposito bis'!$F$59*(C1021-sezione!$AM$31)*IF(ABS(L1021)&lt;'Sollecitazioni nel paramento'!$G$58,ABS(L1021)*'Sollecitazioni nel paramento'!$G$54,'Sollecitazioni nel paramento'!$G$53)</f>
        <v>8006834.662804489</v>
      </c>
      <c r="G1021" s="545">
        <f>-'Foglio deposito bis'!$F$60*(C1021-sezione!$AN$31)*IF(ABS(M1021)&lt;'Sollecitazioni nel paramento'!$G$58,ABS(M1021)*'Sollecitazioni nel paramento'!$G$54,'Sollecitazioni nel paramento'!$G$53)</f>
        <v>0</v>
      </c>
      <c r="H1021" s="545">
        <f>-'Foglio deposito bis'!$F$61*(C1021-sezione!$AO$31)*IF(ABS(N1021)&lt;'Sollecitazioni nel paramento'!$G$58,ABS(N1021)*'Sollecitazioni nel paramento'!$G$54,'Sollecitazioni nel paramento'!$G$53)</f>
        <v>36649366.494461767</v>
      </c>
      <c r="I1021" s="472">
        <f>-'Foglio deposito bis'!$F$62*(C1021-sezione!$AP$31)*IF(ABS(O1021)&lt;'Sollecitazioni nel paramento'!$G$58,ABS(O1021)*'Sollecitazioni nel paramento'!$G$54,'Sollecitazioni nel paramento'!$G$53)</f>
        <v>137921395.48636937</v>
      </c>
      <c r="J1021" s="472">
        <f t="shared" si="72"/>
        <v>181191106.47355565</v>
      </c>
      <c r="K1021" s="550">
        <f>'Sollecitazioni nel paramento'!$G$60*(sezione!$AL$31-C1021)/C1021</f>
        <v>1.4234602174667677E-2</v>
      </c>
      <c r="L1021" s="550">
        <f>'Sollecitazioni nel paramento'!$G$60*(sezione!$AM$31-C1021)/C1021</f>
        <v>2.3101903262001514E-2</v>
      </c>
      <c r="M1021" s="551">
        <f>'Sollecitazioni nel paramento'!$G$60*(sezione!$AN$31-C1021)/C1021</f>
        <v>3.196920434933536E-2</v>
      </c>
      <c r="N1021" s="551">
        <f>'Sollecitazioni nel paramento'!$G$60*(sezione!$AO$31-C1021)/C1021</f>
        <v>6.743840869867071E-2</v>
      </c>
      <c r="O1021" s="551">
        <f>'Sollecitazioni nel paramento'!$G$60*(sezione!$AP$31-C1021)/C1021</f>
        <v>0.19430706449199875</v>
      </c>
      <c r="P1021" s="545">
        <f>-'Sollecitazioni nel paramento'!$G$47*'Sollecitazioni nel paramento'!$G$41*IF(DATI!$G$211="dx",DATI!$E$61,DATI!$E$64*DATI!$E$63)*1000*C1021*sezione!$AD$5</f>
        <v>-300744.27085928945</v>
      </c>
      <c r="Q1021" s="545">
        <f>'Foglio deposito bis'!$F$58*IF(ABS(K1021)&lt;'Sollecitazioni nel paramento'!$G$58,ABS(K1021)*'Sollecitazioni nel paramento'!$G$54,'Sollecitazioni nel paramento'!$G$53)*IF(K1021&lt;0,-1,1)</f>
        <v>0</v>
      </c>
      <c r="R1021" s="545">
        <f>'Foglio deposito bis'!$F$59*IF(ABS(L1021)&lt;'Sollecitazioni nel paramento'!$G$58,ABS(L1021)*'Sollecitazioni nel paramento'!$G$54,'Sollecitazioni nel paramento'!$G$53)*IF(L1021&lt;0,-1,1)</f>
        <v>153664.85805602249</v>
      </c>
      <c r="S1021" s="545">
        <f>'Foglio deposito bis'!$F$60*IF(ABS(M1021)&lt;'Sollecitazioni nel paramento'!$G$58,ABS(M1021)*'Sollecitazioni nel paramento'!$G$54,'Sollecitazioni nel paramento'!$G$53)*IF(M1021&lt;0,-1,1)</f>
        <v>0</v>
      </c>
      <c r="T1021" s="545">
        <f>'Foglio deposito bis'!$F$61*IF(ABS(N1021)&lt;'Sollecitazioni nel paramento'!$G$58,ABS(N1021)*'Sollecitazioni nel paramento'!$G$54,'Sollecitazioni nel paramento'!$G$53)*IF(N1021&lt;0,-1,1)</f>
        <v>240946.49743184328</v>
      </c>
      <c r="U1021" s="545">
        <f>'Foglio deposito bis'!$F$62*IF(ABS(O1021)&lt;'Sollecitazioni nel paramento'!$G$58,ABS(O1021)*'Sollecitazioni nel paramento'!$G$54,'Sollecitazioni nel paramento'!$G$53)*IF(O1021&lt;0,-1,1)</f>
        <v>314705.62929873407</v>
      </c>
      <c r="V1021" s="472">
        <f t="shared" si="74"/>
        <v>408572.71392731043</v>
      </c>
      <c r="W1021" s="551"/>
      <c r="X1021" s="551"/>
    </row>
    <row r="1022" spans="1:24" x14ac:dyDescent="0.25">
      <c r="A1022" s="545">
        <f t="shared" si="73"/>
        <v>396041.70264150668</v>
      </c>
      <c r="B1022" s="3">
        <f t="shared" si="75"/>
        <v>1.2500000000000004</v>
      </c>
      <c r="C1022" s="545">
        <f>'Foglio deposito bis'!$E$157/sezione!$B$247*B1022</f>
        <v>8.2230958381261825</v>
      </c>
      <c r="D1022" s="603">
        <f>-'Sollecitazioni nel paramento'!$G$47*'Sollecitazioni nel paramento'!$G$41*IF(DATI!$G$211="dx",DATI!$E$61,DATI!$E$64*DATI!$E$63)*1000*C1022^2*sezione!$AD$5*(1-sezione!$AD$6)</f>
        <v>-1504438.1185763509</v>
      </c>
      <c r="E1022" s="545">
        <f>-'Foglio deposito bis'!$F$58*(C1022-sezione!$AL$31)*IF(ABS(K1022)&lt;'Sollecitazioni nel paramento'!$G$58,ABS(K1022)*'Sollecitazioni nel paramento'!$G$54,'Sollecitazioni nel paramento'!$G$53)</f>
        <v>0</v>
      </c>
      <c r="F1022" s="545">
        <f>-'Foglio deposito bis'!$F$59*(C1022-sezione!$AM$31)*IF(ABS(L1022)&lt;'Sollecitazioni nel paramento'!$G$58,ABS(L1022)*'Sollecitazioni nel paramento'!$G$54,'Sollecitazioni nel paramento'!$G$53)</f>
        <v>7956290.6286146203</v>
      </c>
      <c r="G1022" s="545">
        <f>-'Foglio deposito bis'!$F$60*(C1022-sezione!$AN$31)*IF(ABS(M1022)&lt;'Sollecitazioni nel paramento'!$G$58,ABS(M1022)*'Sollecitazioni nel paramento'!$G$54,'Sollecitazioni nel paramento'!$G$53)</f>
        <v>0</v>
      </c>
      <c r="H1022" s="545">
        <f>-'Foglio deposito bis'!$F$61*(C1022-sezione!$AO$31)*IF(ABS(N1022)&lt;'Sollecitazioni nel paramento'!$G$58,ABS(N1022)*'Sollecitazioni nel paramento'!$G$54,'Sollecitazioni nel paramento'!$G$53)</f>
        <v>36570113.448852055</v>
      </c>
      <c r="I1022" s="472">
        <f>-'Foglio deposito bis'!$F$62*(C1022-sezione!$AP$31)*IF(ABS(O1022)&lt;'Sollecitazioni nel paramento'!$G$58,ABS(O1022)*'Sollecitazioni nel paramento'!$G$54,'Sollecitazioni nel paramento'!$G$53)</f>
        <v>137817881.30434853</v>
      </c>
      <c r="J1022" s="472">
        <f t="shared" si="72"/>
        <v>180839847.26323885</v>
      </c>
      <c r="K1022" s="550">
        <f>'Sollecitazioni nel paramento'!$G$60*(sezione!$AL$31-C1022)/C1022</f>
        <v>1.352521808768097E-2</v>
      </c>
      <c r="L1022" s="550">
        <f>'Sollecitazioni nel paramento'!$G$60*(sezione!$AM$31-C1022)/C1022</f>
        <v>2.203782713152146E-2</v>
      </c>
      <c r="M1022" s="551">
        <f>'Sollecitazioni nel paramento'!$G$60*(sezione!$AN$31-C1022)/C1022</f>
        <v>3.0550436175361941E-2</v>
      </c>
      <c r="N1022" s="551">
        <f>'Sollecitazioni nel paramento'!$G$60*(sezione!$AO$31-C1022)/C1022</f>
        <v>6.4600872350723884E-2</v>
      </c>
      <c r="O1022" s="551">
        <f>'Sollecitazioni nel paramento'!$G$60*(sezione!$AP$31-C1022)/C1022</f>
        <v>0.18639478191231881</v>
      </c>
      <c r="P1022" s="545">
        <f>-'Sollecitazioni nel paramento'!$G$47*'Sollecitazioni nel paramento'!$G$41*IF(DATI!$G$211="dx",DATI!$E$61,DATI!$E$64*DATI!$E$63)*1000*C1022*sezione!$AD$5</f>
        <v>-313275.28214509314</v>
      </c>
      <c r="Q1022" s="545">
        <f>'Foglio deposito bis'!$F$58*IF(ABS(K1022)&lt;'Sollecitazioni nel paramento'!$G$58,ABS(K1022)*'Sollecitazioni nel paramento'!$G$54,'Sollecitazioni nel paramento'!$G$53)*IF(K1022&lt;0,-1,1)</f>
        <v>0</v>
      </c>
      <c r="R1022" s="545">
        <f>'Foglio deposito bis'!$F$59*IF(ABS(L1022)&lt;'Sollecitazioni nel paramento'!$G$58,ABS(L1022)*'Sollecitazioni nel paramento'!$G$54,'Sollecitazioni nel paramento'!$G$53)*IF(L1022&lt;0,-1,1)</f>
        <v>153664.85805602249</v>
      </c>
      <c r="S1022" s="545">
        <f>'Foglio deposito bis'!$F$60*IF(ABS(M1022)&lt;'Sollecitazioni nel paramento'!$G$58,ABS(M1022)*'Sollecitazioni nel paramento'!$G$54,'Sollecitazioni nel paramento'!$G$53)*IF(M1022&lt;0,-1,1)</f>
        <v>0</v>
      </c>
      <c r="T1022" s="545">
        <f>'Foglio deposito bis'!$F$61*IF(ABS(N1022)&lt;'Sollecitazioni nel paramento'!$G$58,ABS(N1022)*'Sollecitazioni nel paramento'!$G$54,'Sollecitazioni nel paramento'!$G$53)*IF(N1022&lt;0,-1,1)</f>
        <v>240946.49743184328</v>
      </c>
      <c r="U1022" s="545">
        <f>'Foglio deposito bis'!$F$62*IF(ABS(O1022)&lt;'Sollecitazioni nel paramento'!$G$58,ABS(O1022)*'Sollecitazioni nel paramento'!$G$54,'Sollecitazioni nel paramento'!$G$53)*IF(O1022&lt;0,-1,1)</f>
        <v>314705.62929873407</v>
      </c>
      <c r="V1022" s="472">
        <f t="shared" si="74"/>
        <v>396041.70264150668</v>
      </c>
      <c r="W1022" s="551"/>
      <c r="X1022" s="551"/>
    </row>
    <row r="1023" spans="1:24" x14ac:dyDescent="0.25">
      <c r="A1023" s="545">
        <f t="shared" si="73"/>
        <v>383510.69135570293</v>
      </c>
      <c r="B1023" s="3">
        <f t="shared" si="75"/>
        <v>1.3000000000000005</v>
      </c>
      <c r="C1023" s="545">
        <f>'Foglio deposito bis'!$E$157/sezione!$B$247*B1023</f>
        <v>8.5520196716512302</v>
      </c>
      <c r="D1023" s="603">
        <f>-'Sollecitazioni nel paramento'!$G$47*'Sollecitazioni nel paramento'!$G$41*IF(DATI!$G$211="dx",DATI!$E$61,DATI!$E$64*DATI!$E$63)*1000*C1023^2*sezione!$AD$5*(1-sezione!$AD$6)</f>
        <v>-1627200.2690521812</v>
      </c>
      <c r="E1023" s="545">
        <f>-'Foglio deposito bis'!$F$58*(C1023-sezione!$AL$31)*IF(ABS(K1023)&lt;'Sollecitazioni nel paramento'!$G$58,ABS(K1023)*'Sollecitazioni nel paramento'!$G$54,'Sollecitazioni nel paramento'!$G$53)</f>
        <v>0</v>
      </c>
      <c r="F1023" s="545">
        <f>-'Foglio deposito bis'!$F$59*(C1023-sezione!$AM$31)*IF(ABS(L1023)&lt;'Sollecitazioni nel paramento'!$G$58,ABS(L1023)*'Sollecitazioni nel paramento'!$G$54,'Sollecitazioni nel paramento'!$G$53)</f>
        <v>7905746.5944247516</v>
      </c>
      <c r="G1023" s="545">
        <f>-'Foglio deposito bis'!$F$60*(C1023-sezione!$AN$31)*IF(ABS(M1023)&lt;'Sollecitazioni nel paramento'!$G$58,ABS(M1023)*'Sollecitazioni nel paramento'!$G$54,'Sollecitazioni nel paramento'!$G$53)</f>
        <v>0</v>
      </c>
      <c r="H1023" s="545">
        <f>-'Foglio deposito bis'!$F$61*(C1023-sezione!$AO$31)*IF(ABS(N1023)&lt;'Sollecitazioni nel paramento'!$G$58,ABS(N1023)*'Sollecitazioni nel paramento'!$G$54,'Sollecitazioni nel paramento'!$G$53)</f>
        <v>36490860.403242335</v>
      </c>
      <c r="I1023" s="472">
        <f>-'Foglio deposito bis'!$F$62*(C1023-sezione!$AP$31)*IF(ABS(O1023)&lt;'Sollecitazioni nel paramento'!$G$58,ABS(O1023)*'Sollecitazioni nel paramento'!$G$54,'Sollecitazioni nel paramento'!$G$53)</f>
        <v>137714367.12232766</v>
      </c>
      <c r="J1023" s="472">
        <f t="shared" si="72"/>
        <v>180483773.85094255</v>
      </c>
      <c r="K1023" s="550">
        <f>'Sollecitazioni nel paramento'!$G$60*(sezione!$AL$31-C1023)/C1023</f>
        <v>1.287040200738555E-2</v>
      </c>
      <c r="L1023" s="550">
        <f>'Sollecitazioni nel paramento'!$G$60*(sezione!$AM$31-C1023)/C1023</f>
        <v>2.1055603011078325E-2</v>
      </c>
      <c r="M1023" s="551">
        <f>'Sollecitazioni nel paramento'!$G$60*(sezione!$AN$31-C1023)/C1023</f>
        <v>2.9240804014771093E-2</v>
      </c>
      <c r="N1023" s="551">
        <f>'Sollecitazioni nel paramento'!$G$60*(sezione!$AO$31-C1023)/C1023</f>
        <v>6.1981608029542196E-2</v>
      </c>
      <c r="O1023" s="551">
        <f>'Sollecitazioni nel paramento'!$G$60*(sezione!$AP$31-C1023)/C1023</f>
        <v>0.1790911364541527</v>
      </c>
      <c r="P1023" s="545">
        <f>-'Sollecitazioni nel paramento'!$G$47*'Sollecitazioni nel paramento'!$G$41*IF(DATI!$G$211="dx",DATI!$E$61,DATI!$E$64*DATI!$E$63)*1000*C1023*sezione!$AD$5</f>
        <v>-325806.29343089688</v>
      </c>
      <c r="Q1023" s="545">
        <f>'Foglio deposito bis'!$F$58*IF(ABS(K1023)&lt;'Sollecitazioni nel paramento'!$G$58,ABS(K1023)*'Sollecitazioni nel paramento'!$G$54,'Sollecitazioni nel paramento'!$G$53)*IF(K1023&lt;0,-1,1)</f>
        <v>0</v>
      </c>
      <c r="R1023" s="545">
        <f>'Foglio deposito bis'!$F$59*IF(ABS(L1023)&lt;'Sollecitazioni nel paramento'!$G$58,ABS(L1023)*'Sollecitazioni nel paramento'!$G$54,'Sollecitazioni nel paramento'!$G$53)*IF(L1023&lt;0,-1,1)</f>
        <v>153664.85805602249</v>
      </c>
      <c r="S1023" s="545">
        <f>'Foglio deposito bis'!$F$60*IF(ABS(M1023)&lt;'Sollecitazioni nel paramento'!$G$58,ABS(M1023)*'Sollecitazioni nel paramento'!$G$54,'Sollecitazioni nel paramento'!$G$53)*IF(M1023&lt;0,-1,1)</f>
        <v>0</v>
      </c>
      <c r="T1023" s="545">
        <f>'Foglio deposito bis'!$F$61*IF(ABS(N1023)&lt;'Sollecitazioni nel paramento'!$G$58,ABS(N1023)*'Sollecitazioni nel paramento'!$G$54,'Sollecitazioni nel paramento'!$G$53)*IF(N1023&lt;0,-1,1)</f>
        <v>240946.49743184328</v>
      </c>
      <c r="U1023" s="545">
        <f>'Foglio deposito bis'!$F$62*IF(ABS(O1023)&lt;'Sollecitazioni nel paramento'!$G$58,ABS(O1023)*'Sollecitazioni nel paramento'!$G$54,'Sollecitazioni nel paramento'!$G$53)*IF(O1023&lt;0,-1,1)</f>
        <v>314705.62929873407</v>
      </c>
      <c r="V1023" s="472">
        <f t="shared" si="74"/>
        <v>383510.69135570293</v>
      </c>
      <c r="W1023" s="551"/>
      <c r="X1023" s="551"/>
    </row>
    <row r="1024" spans="1:24" x14ac:dyDescent="0.25">
      <c r="A1024" s="545">
        <f t="shared" si="73"/>
        <v>370979.68006989919</v>
      </c>
      <c r="B1024" s="3">
        <f t="shared" si="75"/>
        <v>1.3500000000000005</v>
      </c>
      <c r="C1024" s="545">
        <f>'Foglio deposito bis'!$E$157/sezione!$B$247*B1024</f>
        <v>8.880943505176278</v>
      </c>
      <c r="D1024" s="603">
        <f>-'Sollecitazioni nel paramento'!$G$47*'Sollecitazioni nel paramento'!$G$41*IF(DATI!$G$211="dx",DATI!$E$61,DATI!$E$64*DATI!$E$63)*1000*C1024^2*sezione!$AD$5*(1-sezione!$AD$6)</f>
        <v>-1754776.6215074561</v>
      </c>
      <c r="E1024" s="545">
        <f>-'Foglio deposito bis'!$F$58*(C1024-sezione!$AL$31)*IF(ABS(K1024)&lt;'Sollecitazioni nel paramento'!$G$58,ABS(K1024)*'Sollecitazioni nel paramento'!$G$54,'Sollecitazioni nel paramento'!$G$53)</f>
        <v>0</v>
      </c>
      <c r="F1024" s="545">
        <f>-'Foglio deposito bis'!$F$59*(C1024-sezione!$AM$31)*IF(ABS(L1024)&lt;'Sollecitazioni nel paramento'!$G$58,ABS(L1024)*'Sollecitazioni nel paramento'!$G$54,'Sollecitazioni nel paramento'!$G$53)</f>
        <v>7855202.5602348819</v>
      </c>
      <c r="G1024" s="545">
        <f>-'Foglio deposito bis'!$F$60*(C1024-sezione!$AN$31)*IF(ABS(M1024)&lt;'Sollecitazioni nel paramento'!$G$58,ABS(M1024)*'Sollecitazioni nel paramento'!$G$54,'Sollecitazioni nel paramento'!$G$53)</f>
        <v>0</v>
      </c>
      <c r="H1024" s="545">
        <f>-'Foglio deposito bis'!$F$61*(C1024-sezione!$AO$31)*IF(ABS(N1024)&lt;'Sollecitazioni nel paramento'!$G$58,ABS(N1024)*'Sollecitazioni nel paramento'!$G$54,'Sollecitazioni nel paramento'!$G$53)</f>
        <v>36411607.357632622</v>
      </c>
      <c r="I1024" s="472">
        <f>-'Foglio deposito bis'!$F$62*(C1024-sezione!$AP$31)*IF(ABS(O1024)&lt;'Sollecitazioni nel paramento'!$G$58,ABS(O1024)*'Sollecitazioni nel paramento'!$G$54,'Sollecitazioni nel paramento'!$G$53)</f>
        <v>137610852.94030681</v>
      </c>
      <c r="J1024" s="472">
        <f t="shared" si="72"/>
        <v>180122886.23666686</v>
      </c>
      <c r="K1024" s="550">
        <f>'Sollecitazioni nel paramento'!$G$60*(sezione!$AL$31-C1024)/C1024</f>
        <v>1.2264090821926825E-2</v>
      </c>
      <c r="L1024" s="550">
        <f>'Sollecitazioni nel paramento'!$G$60*(sezione!$AM$31-C1024)/C1024</f>
        <v>2.0146136232890237E-2</v>
      </c>
      <c r="M1024" s="551">
        <f>'Sollecitazioni nel paramento'!$G$60*(sezione!$AN$31-C1024)/C1024</f>
        <v>2.802818164385365E-2</v>
      </c>
      <c r="N1024" s="551">
        <f>'Sollecitazioni nel paramento'!$G$60*(sezione!$AO$31-C1024)/C1024</f>
        <v>5.955636328770729E-2</v>
      </c>
      <c r="O1024" s="551">
        <f>'Sollecitazioni nel paramento'!$G$60*(sezione!$AP$31-C1024)/C1024</f>
        <v>0.17232850177066555</v>
      </c>
      <c r="P1024" s="545">
        <f>-'Sollecitazioni nel paramento'!$G$47*'Sollecitazioni nel paramento'!$G$41*IF(DATI!$G$211="dx",DATI!$E$61,DATI!$E$64*DATI!$E$63)*1000*C1024*sezione!$AD$5</f>
        <v>-338337.30471670063</v>
      </c>
      <c r="Q1024" s="545">
        <f>'Foglio deposito bis'!$F$58*IF(ABS(K1024)&lt;'Sollecitazioni nel paramento'!$G$58,ABS(K1024)*'Sollecitazioni nel paramento'!$G$54,'Sollecitazioni nel paramento'!$G$53)*IF(K1024&lt;0,-1,1)</f>
        <v>0</v>
      </c>
      <c r="R1024" s="545">
        <f>'Foglio deposito bis'!$F$59*IF(ABS(L1024)&lt;'Sollecitazioni nel paramento'!$G$58,ABS(L1024)*'Sollecitazioni nel paramento'!$G$54,'Sollecitazioni nel paramento'!$G$53)*IF(L1024&lt;0,-1,1)</f>
        <v>153664.85805602249</v>
      </c>
      <c r="S1024" s="545">
        <f>'Foglio deposito bis'!$F$60*IF(ABS(M1024)&lt;'Sollecitazioni nel paramento'!$G$58,ABS(M1024)*'Sollecitazioni nel paramento'!$G$54,'Sollecitazioni nel paramento'!$G$53)*IF(M1024&lt;0,-1,1)</f>
        <v>0</v>
      </c>
      <c r="T1024" s="545">
        <f>'Foglio deposito bis'!$F$61*IF(ABS(N1024)&lt;'Sollecitazioni nel paramento'!$G$58,ABS(N1024)*'Sollecitazioni nel paramento'!$G$54,'Sollecitazioni nel paramento'!$G$53)*IF(N1024&lt;0,-1,1)</f>
        <v>240946.49743184328</v>
      </c>
      <c r="U1024" s="545">
        <f>'Foglio deposito bis'!$F$62*IF(ABS(O1024)&lt;'Sollecitazioni nel paramento'!$G$58,ABS(O1024)*'Sollecitazioni nel paramento'!$G$54,'Sollecitazioni nel paramento'!$G$53)*IF(O1024&lt;0,-1,1)</f>
        <v>314705.62929873407</v>
      </c>
      <c r="V1024" s="472">
        <f t="shared" si="74"/>
        <v>370979.68006989919</v>
      </c>
      <c r="W1024" s="551"/>
      <c r="X1024" s="551"/>
    </row>
    <row r="1025" spans="1:24" x14ac:dyDescent="0.25">
      <c r="A1025" s="545">
        <f t="shared" si="73"/>
        <v>358448.66878409544</v>
      </c>
      <c r="B1025" s="3">
        <f t="shared" si="75"/>
        <v>1.4000000000000006</v>
      </c>
      <c r="C1025" s="545">
        <f>'Foglio deposito bis'!$E$157/sezione!$B$247*B1025</f>
        <v>9.2098673387013257</v>
      </c>
      <c r="D1025" s="603">
        <f>-'Sollecitazioni nel paramento'!$G$47*'Sollecitazioni nel paramento'!$G$41*IF(DATI!$G$211="dx",DATI!$E$61,DATI!$E$64*DATI!$E$63)*1000*C1025^2*sezione!$AD$5*(1-sezione!$AD$6)</f>
        <v>-1887167.1759421749</v>
      </c>
      <c r="E1025" s="545">
        <f>-'Foglio deposito bis'!$F$58*(C1025-sezione!$AL$31)*IF(ABS(K1025)&lt;'Sollecitazioni nel paramento'!$G$58,ABS(K1025)*'Sollecitazioni nel paramento'!$G$54,'Sollecitazioni nel paramento'!$G$53)</f>
        <v>0</v>
      </c>
      <c r="F1025" s="545">
        <f>-'Foglio deposito bis'!$F$59*(C1025-sezione!$AM$31)*IF(ABS(L1025)&lt;'Sollecitazioni nel paramento'!$G$58,ABS(L1025)*'Sollecitazioni nel paramento'!$G$54,'Sollecitazioni nel paramento'!$G$53)</f>
        <v>7804658.5260450114</v>
      </c>
      <c r="G1025" s="545">
        <f>-'Foglio deposito bis'!$F$60*(C1025-sezione!$AN$31)*IF(ABS(M1025)&lt;'Sollecitazioni nel paramento'!$G$58,ABS(M1025)*'Sollecitazioni nel paramento'!$G$54,'Sollecitazioni nel paramento'!$G$53)</f>
        <v>0</v>
      </c>
      <c r="H1025" s="545">
        <f>-'Foglio deposito bis'!$F$61*(C1025-sezione!$AO$31)*IF(ABS(N1025)&lt;'Sollecitazioni nel paramento'!$G$58,ABS(N1025)*'Sollecitazioni nel paramento'!$G$54,'Sollecitazioni nel paramento'!$G$53)</f>
        <v>36332354.31202291</v>
      </c>
      <c r="I1025" s="472">
        <f>-'Foglio deposito bis'!$F$62*(C1025-sezione!$AP$31)*IF(ABS(O1025)&lt;'Sollecitazioni nel paramento'!$G$58,ABS(O1025)*'Sollecitazioni nel paramento'!$G$54,'Sollecitazioni nel paramento'!$G$53)</f>
        <v>137507338.75828597</v>
      </c>
      <c r="J1025" s="472">
        <f t="shared" si="72"/>
        <v>179757184.42041171</v>
      </c>
      <c r="K1025" s="550">
        <f>'Sollecitazioni nel paramento'!$G$60*(sezione!$AL$31-C1025)/C1025</f>
        <v>1.1701087578286581E-2</v>
      </c>
      <c r="L1025" s="550">
        <f>'Sollecitazioni nel paramento'!$G$60*(sezione!$AM$31-C1025)/C1025</f>
        <v>1.9301631367429867E-2</v>
      </c>
      <c r="M1025" s="551">
        <f>'Sollecitazioni nel paramento'!$G$60*(sezione!$AN$31-C1025)/C1025</f>
        <v>2.6902175156573158E-2</v>
      </c>
      <c r="N1025" s="551">
        <f>'Sollecitazioni nel paramento'!$G$60*(sezione!$AO$31-C1025)/C1025</f>
        <v>5.7304350313146325E-2</v>
      </c>
      <c r="O1025" s="551">
        <f>'Sollecitazioni nel paramento'!$G$60*(sezione!$AP$31-C1025)/C1025</f>
        <v>0.16604891242171321</v>
      </c>
      <c r="P1025" s="545">
        <f>-'Sollecitazioni nel paramento'!$G$47*'Sollecitazioni nel paramento'!$G$41*IF(DATI!$G$211="dx",DATI!$E$61,DATI!$E$64*DATI!$E$63)*1000*C1025*sezione!$AD$5</f>
        <v>-350868.31600250438</v>
      </c>
      <c r="Q1025" s="545">
        <f>'Foglio deposito bis'!$F$58*IF(ABS(K1025)&lt;'Sollecitazioni nel paramento'!$G$58,ABS(K1025)*'Sollecitazioni nel paramento'!$G$54,'Sollecitazioni nel paramento'!$G$53)*IF(K1025&lt;0,-1,1)</f>
        <v>0</v>
      </c>
      <c r="R1025" s="545">
        <f>'Foglio deposito bis'!$F$59*IF(ABS(L1025)&lt;'Sollecitazioni nel paramento'!$G$58,ABS(L1025)*'Sollecitazioni nel paramento'!$G$54,'Sollecitazioni nel paramento'!$G$53)*IF(L1025&lt;0,-1,1)</f>
        <v>153664.85805602249</v>
      </c>
      <c r="S1025" s="545">
        <f>'Foglio deposito bis'!$F$60*IF(ABS(M1025)&lt;'Sollecitazioni nel paramento'!$G$58,ABS(M1025)*'Sollecitazioni nel paramento'!$G$54,'Sollecitazioni nel paramento'!$G$53)*IF(M1025&lt;0,-1,1)</f>
        <v>0</v>
      </c>
      <c r="T1025" s="545">
        <f>'Foglio deposito bis'!$F$61*IF(ABS(N1025)&lt;'Sollecitazioni nel paramento'!$G$58,ABS(N1025)*'Sollecitazioni nel paramento'!$G$54,'Sollecitazioni nel paramento'!$G$53)*IF(N1025&lt;0,-1,1)</f>
        <v>240946.49743184328</v>
      </c>
      <c r="U1025" s="545">
        <f>'Foglio deposito bis'!$F$62*IF(ABS(O1025)&lt;'Sollecitazioni nel paramento'!$G$58,ABS(O1025)*'Sollecitazioni nel paramento'!$G$54,'Sollecitazioni nel paramento'!$G$53)*IF(O1025&lt;0,-1,1)</f>
        <v>314705.62929873407</v>
      </c>
      <c r="V1025" s="472">
        <f t="shared" si="74"/>
        <v>358448.66878409544</v>
      </c>
      <c r="W1025" s="551"/>
      <c r="X1025" s="551"/>
    </row>
    <row r="1026" spans="1:24" x14ac:dyDescent="0.25">
      <c r="A1026" s="545">
        <f t="shared" si="73"/>
        <v>345917.65749829169</v>
      </c>
      <c r="B1026" s="3">
        <f t="shared" si="75"/>
        <v>1.4500000000000006</v>
      </c>
      <c r="C1026" s="545">
        <f>'Foglio deposito bis'!$E$157/sezione!$B$247*B1026</f>
        <v>9.5387911722263734</v>
      </c>
      <c r="D1026" s="603">
        <f>-'Sollecitazioni nel paramento'!$G$47*'Sollecitazioni nel paramento'!$G$41*IF(DATI!$G$211="dx",DATI!$E$61,DATI!$E$64*DATI!$E$63)*1000*C1026^2*sezione!$AD$5*(1-sezione!$AD$6)</f>
        <v>-2024371.9323563382</v>
      </c>
      <c r="E1026" s="545">
        <f>-'Foglio deposito bis'!$F$58*(C1026-sezione!$AL$31)*IF(ABS(K1026)&lt;'Sollecitazioni nel paramento'!$G$58,ABS(K1026)*'Sollecitazioni nel paramento'!$G$54,'Sollecitazioni nel paramento'!$G$53)</f>
        <v>0</v>
      </c>
      <c r="F1026" s="545">
        <f>-'Foglio deposito bis'!$F$59*(C1026-sezione!$AM$31)*IF(ABS(L1026)&lt;'Sollecitazioni nel paramento'!$G$58,ABS(L1026)*'Sollecitazioni nel paramento'!$G$54,'Sollecitazioni nel paramento'!$G$53)</f>
        <v>7754114.4918551426</v>
      </c>
      <c r="G1026" s="545">
        <f>-'Foglio deposito bis'!$F$60*(C1026-sezione!$AN$31)*IF(ABS(M1026)&lt;'Sollecitazioni nel paramento'!$G$58,ABS(M1026)*'Sollecitazioni nel paramento'!$G$54,'Sollecitazioni nel paramento'!$G$53)</f>
        <v>0</v>
      </c>
      <c r="H1026" s="545">
        <f>-'Foglio deposito bis'!$F$61*(C1026-sezione!$AO$31)*IF(ABS(N1026)&lt;'Sollecitazioni nel paramento'!$G$58,ABS(N1026)*'Sollecitazioni nel paramento'!$G$54,'Sollecitazioni nel paramento'!$G$53)</f>
        <v>36253101.266413189</v>
      </c>
      <c r="I1026" s="472">
        <f>-'Foglio deposito bis'!$F$62*(C1026-sezione!$AP$31)*IF(ABS(O1026)&lt;'Sollecitazioni nel paramento'!$G$58,ABS(O1026)*'Sollecitazioni nel paramento'!$G$54,'Sollecitazioni nel paramento'!$G$53)</f>
        <v>137403824.5762651</v>
      </c>
      <c r="J1026" s="472">
        <f t="shared" si="72"/>
        <v>179386668.4021771</v>
      </c>
      <c r="K1026" s="550">
        <f>'Sollecitazioni nel paramento'!$G$60*(sezione!$AL$31-C1026)/C1026</f>
        <v>1.1176912144552558E-2</v>
      </c>
      <c r="L1026" s="550">
        <f>'Sollecitazioni nel paramento'!$G$60*(sezione!$AM$31-C1026)/C1026</f>
        <v>1.8515368216828837E-2</v>
      </c>
      <c r="M1026" s="551">
        <f>'Sollecitazioni nel paramento'!$G$60*(sezione!$AN$31-C1026)/C1026</f>
        <v>2.5853824289105119E-2</v>
      </c>
      <c r="N1026" s="551">
        <f>'Sollecitazioni nel paramento'!$G$60*(sezione!$AO$31-C1026)/C1026</f>
        <v>5.5207648578210235E-2</v>
      </c>
      <c r="O1026" s="551">
        <f>'Sollecitazioni nel paramento'!$G$60*(sezione!$AP$31-C1026)/C1026</f>
        <v>0.16020239820027482</v>
      </c>
      <c r="P1026" s="545">
        <f>-'Sollecitazioni nel paramento'!$G$47*'Sollecitazioni nel paramento'!$G$41*IF(DATI!$G$211="dx",DATI!$E$61,DATI!$E$64*DATI!$E$63)*1000*C1026*sezione!$AD$5</f>
        <v>-363399.32728830812</v>
      </c>
      <c r="Q1026" s="545">
        <f>'Foglio deposito bis'!$F$58*IF(ABS(K1026)&lt;'Sollecitazioni nel paramento'!$G$58,ABS(K1026)*'Sollecitazioni nel paramento'!$G$54,'Sollecitazioni nel paramento'!$G$53)*IF(K1026&lt;0,-1,1)</f>
        <v>0</v>
      </c>
      <c r="R1026" s="545">
        <f>'Foglio deposito bis'!$F$59*IF(ABS(L1026)&lt;'Sollecitazioni nel paramento'!$G$58,ABS(L1026)*'Sollecitazioni nel paramento'!$G$54,'Sollecitazioni nel paramento'!$G$53)*IF(L1026&lt;0,-1,1)</f>
        <v>153664.85805602249</v>
      </c>
      <c r="S1026" s="545">
        <f>'Foglio deposito bis'!$F$60*IF(ABS(M1026)&lt;'Sollecitazioni nel paramento'!$G$58,ABS(M1026)*'Sollecitazioni nel paramento'!$G$54,'Sollecitazioni nel paramento'!$G$53)*IF(M1026&lt;0,-1,1)</f>
        <v>0</v>
      </c>
      <c r="T1026" s="545">
        <f>'Foglio deposito bis'!$F$61*IF(ABS(N1026)&lt;'Sollecitazioni nel paramento'!$G$58,ABS(N1026)*'Sollecitazioni nel paramento'!$G$54,'Sollecitazioni nel paramento'!$G$53)*IF(N1026&lt;0,-1,1)</f>
        <v>240946.49743184328</v>
      </c>
      <c r="U1026" s="545">
        <f>'Foglio deposito bis'!$F$62*IF(ABS(O1026)&lt;'Sollecitazioni nel paramento'!$G$58,ABS(O1026)*'Sollecitazioni nel paramento'!$G$54,'Sollecitazioni nel paramento'!$G$53)*IF(O1026&lt;0,-1,1)</f>
        <v>314705.62929873407</v>
      </c>
      <c r="V1026" s="472">
        <f t="shared" si="74"/>
        <v>345917.65749829169</v>
      </c>
      <c r="W1026" s="551"/>
      <c r="X1026" s="551"/>
    </row>
    <row r="1027" spans="1:24" x14ac:dyDescent="0.25">
      <c r="A1027" s="545">
        <f t="shared" si="73"/>
        <v>333386.64621248806</v>
      </c>
      <c r="B1027" s="3">
        <f t="shared" si="75"/>
        <v>1.5000000000000007</v>
      </c>
      <c r="C1027" s="545">
        <f>'Foglio deposito bis'!$E$157/sezione!$B$247*B1027</f>
        <v>9.8677150057514194</v>
      </c>
      <c r="D1027" s="603">
        <f>-'Sollecitazioni nel paramento'!$G$47*'Sollecitazioni nel paramento'!$G$41*IF(DATI!$G$211="dx",DATI!$E$61,DATI!$E$64*DATI!$E$63)*1000*C1027^2*sezione!$AD$5*(1-sezione!$AD$6)</f>
        <v>-2166390.8907499453</v>
      </c>
      <c r="E1027" s="545">
        <f>-'Foglio deposito bis'!$F$58*(C1027-sezione!$AL$31)*IF(ABS(K1027)&lt;'Sollecitazioni nel paramento'!$G$58,ABS(K1027)*'Sollecitazioni nel paramento'!$G$54,'Sollecitazioni nel paramento'!$G$53)</f>
        <v>0</v>
      </c>
      <c r="F1027" s="545">
        <f>-'Foglio deposito bis'!$F$59*(C1027-sezione!$AM$31)*IF(ABS(L1027)&lt;'Sollecitazioni nel paramento'!$G$58,ABS(L1027)*'Sollecitazioni nel paramento'!$G$54,'Sollecitazioni nel paramento'!$G$53)</f>
        <v>7703570.4576652739</v>
      </c>
      <c r="G1027" s="545">
        <f>-'Foglio deposito bis'!$F$60*(C1027-sezione!$AN$31)*IF(ABS(M1027)&lt;'Sollecitazioni nel paramento'!$G$58,ABS(M1027)*'Sollecitazioni nel paramento'!$G$54,'Sollecitazioni nel paramento'!$G$53)</f>
        <v>0</v>
      </c>
      <c r="H1027" s="545">
        <f>-'Foglio deposito bis'!$F$61*(C1027-sezione!$AO$31)*IF(ABS(N1027)&lt;'Sollecitazioni nel paramento'!$G$58,ABS(N1027)*'Sollecitazioni nel paramento'!$G$54,'Sollecitazioni nel paramento'!$G$53)</f>
        <v>36173848.220803477</v>
      </c>
      <c r="I1027" s="472">
        <f>-'Foglio deposito bis'!$F$62*(C1027-sezione!$AP$31)*IF(ABS(O1027)&lt;'Sollecitazioni nel paramento'!$G$58,ABS(O1027)*'Sollecitazioni nel paramento'!$G$54,'Sollecitazioni nel paramento'!$G$53)</f>
        <v>137300310.39424425</v>
      </c>
      <c r="J1027" s="472">
        <f t="shared" si="72"/>
        <v>179011338.18196306</v>
      </c>
      <c r="K1027" s="550">
        <f>'Sollecitazioni nel paramento'!$G$60*(sezione!$AL$31-C1027)/C1027</f>
        <v>1.0687681739734141E-2</v>
      </c>
      <c r="L1027" s="550">
        <f>'Sollecitazioni nel paramento'!$G$60*(sezione!$AM$31-C1027)/C1027</f>
        <v>1.7781522609601214E-2</v>
      </c>
      <c r="M1027" s="551">
        <f>'Sollecitazioni nel paramento'!$G$60*(sezione!$AN$31-C1027)/C1027</f>
        <v>2.4875363479468282E-2</v>
      </c>
      <c r="N1027" s="551">
        <f>'Sollecitazioni nel paramento'!$G$60*(sezione!$AO$31-C1027)/C1027</f>
        <v>5.3250726958936567E-2</v>
      </c>
      <c r="O1027" s="551">
        <f>'Sollecitazioni nel paramento'!$G$60*(sezione!$AP$31-C1027)/C1027</f>
        <v>0.15474565159359902</v>
      </c>
      <c r="P1027" s="545">
        <f>-'Sollecitazioni nel paramento'!$G$47*'Sollecitazioni nel paramento'!$G$41*IF(DATI!$G$211="dx",DATI!$E$61,DATI!$E$64*DATI!$E$63)*1000*C1027*sezione!$AD$5</f>
        <v>-375930.33857411175</v>
      </c>
      <c r="Q1027" s="545">
        <f>'Foglio deposito bis'!$F$58*IF(ABS(K1027)&lt;'Sollecitazioni nel paramento'!$G$58,ABS(K1027)*'Sollecitazioni nel paramento'!$G$54,'Sollecitazioni nel paramento'!$G$53)*IF(K1027&lt;0,-1,1)</f>
        <v>0</v>
      </c>
      <c r="R1027" s="545">
        <f>'Foglio deposito bis'!$F$59*IF(ABS(L1027)&lt;'Sollecitazioni nel paramento'!$G$58,ABS(L1027)*'Sollecitazioni nel paramento'!$G$54,'Sollecitazioni nel paramento'!$G$53)*IF(L1027&lt;0,-1,1)</f>
        <v>153664.85805602249</v>
      </c>
      <c r="S1027" s="545">
        <f>'Foglio deposito bis'!$F$60*IF(ABS(M1027)&lt;'Sollecitazioni nel paramento'!$G$58,ABS(M1027)*'Sollecitazioni nel paramento'!$G$54,'Sollecitazioni nel paramento'!$G$53)*IF(M1027&lt;0,-1,1)</f>
        <v>0</v>
      </c>
      <c r="T1027" s="545">
        <f>'Foglio deposito bis'!$F$61*IF(ABS(N1027)&lt;'Sollecitazioni nel paramento'!$G$58,ABS(N1027)*'Sollecitazioni nel paramento'!$G$54,'Sollecitazioni nel paramento'!$G$53)*IF(N1027&lt;0,-1,1)</f>
        <v>240946.49743184328</v>
      </c>
      <c r="U1027" s="545">
        <f>'Foglio deposito bis'!$F$62*IF(ABS(O1027)&lt;'Sollecitazioni nel paramento'!$G$58,ABS(O1027)*'Sollecitazioni nel paramento'!$G$54,'Sollecitazioni nel paramento'!$G$53)*IF(O1027&lt;0,-1,1)</f>
        <v>314705.62929873407</v>
      </c>
      <c r="V1027" s="472">
        <f t="shared" si="74"/>
        <v>333386.64621248806</v>
      </c>
      <c r="W1027" s="551"/>
      <c r="X1027" s="551"/>
    </row>
    <row r="1028" spans="1:24" x14ac:dyDescent="0.25">
      <c r="A1028" s="545">
        <f t="shared" si="73"/>
        <v>320855.63492668432</v>
      </c>
      <c r="B1028" s="3">
        <f t="shared" si="75"/>
        <v>1.5500000000000007</v>
      </c>
      <c r="C1028" s="545">
        <f>'Foglio deposito bis'!$E$157/sezione!$B$247*B1028</f>
        <v>10.196638839276467</v>
      </c>
      <c r="D1028" s="603">
        <f>-'Sollecitazioni nel paramento'!$G$47*'Sollecitazioni nel paramento'!$G$41*IF(DATI!$G$211="dx",DATI!$E$61,DATI!$E$64*DATI!$E$63)*1000*C1028^2*sezione!$AD$5*(1-sezione!$AD$6)</f>
        <v>-2313224.051122997</v>
      </c>
      <c r="E1028" s="545">
        <f>-'Foglio deposito bis'!$F$58*(C1028-sezione!$AL$31)*IF(ABS(K1028)&lt;'Sollecitazioni nel paramento'!$G$58,ABS(K1028)*'Sollecitazioni nel paramento'!$G$54,'Sollecitazioni nel paramento'!$G$53)</f>
        <v>0</v>
      </c>
      <c r="F1028" s="545">
        <f>-'Foglio deposito bis'!$F$59*(C1028-sezione!$AM$31)*IF(ABS(L1028)&lt;'Sollecitazioni nel paramento'!$G$58,ABS(L1028)*'Sollecitazioni nel paramento'!$G$54,'Sollecitazioni nel paramento'!$G$53)</f>
        <v>7653026.4234754061</v>
      </c>
      <c r="G1028" s="545">
        <f>-'Foglio deposito bis'!$F$60*(C1028-sezione!$AN$31)*IF(ABS(M1028)&lt;'Sollecitazioni nel paramento'!$G$58,ABS(M1028)*'Sollecitazioni nel paramento'!$G$54,'Sollecitazioni nel paramento'!$G$53)</f>
        <v>0</v>
      </c>
      <c r="H1028" s="545">
        <f>-'Foglio deposito bis'!$F$61*(C1028-sezione!$AO$31)*IF(ABS(N1028)&lt;'Sollecitazioni nel paramento'!$G$58,ABS(N1028)*'Sollecitazioni nel paramento'!$G$54,'Sollecitazioni nel paramento'!$G$53)</f>
        <v>36094595.175193764</v>
      </c>
      <c r="I1028" s="472">
        <f>-'Foglio deposito bis'!$F$62*(C1028-sezione!$AP$31)*IF(ABS(O1028)&lt;'Sollecitazioni nel paramento'!$G$58,ABS(O1028)*'Sollecitazioni nel paramento'!$G$54,'Sollecitazioni nel paramento'!$G$53)</f>
        <v>137196796.21222341</v>
      </c>
      <c r="J1028" s="472">
        <f t="shared" si="72"/>
        <v>178631193.75976959</v>
      </c>
      <c r="K1028" s="550">
        <f>'Sollecitazioni nel paramento'!$G$60*(sezione!$AL$31-C1028)/C1028</f>
        <v>1.0230014586839493E-2</v>
      </c>
      <c r="L1028" s="550">
        <f>'Sollecitazioni nel paramento'!$G$60*(sezione!$AM$31-C1028)/C1028</f>
        <v>1.7095021880259239E-2</v>
      </c>
      <c r="M1028" s="551">
        <f>'Sollecitazioni nel paramento'!$G$60*(sezione!$AN$31-C1028)/C1028</f>
        <v>2.3960029173678985E-2</v>
      </c>
      <c r="N1028" s="551">
        <f>'Sollecitazioni nel paramento'!$G$60*(sezione!$AO$31-C1028)/C1028</f>
        <v>5.1420058347357973E-2</v>
      </c>
      <c r="O1028" s="551">
        <f>'Sollecitazioni nel paramento'!$G$60*(sezione!$AP$31-C1028)/C1028</f>
        <v>0.14964095315509582</v>
      </c>
      <c r="P1028" s="545">
        <f>-'Sollecitazioni nel paramento'!$G$47*'Sollecitazioni nel paramento'!$G$41*IF(DATI!$G$211="dx",DATI!$E$61,DATI!$E$64*DATI!$E$63)*1000*C1028*sezione!$AD$5</f>
        <v>-388461.3498599155</v>
      </c>
      <c r="Q1028" s="545">
        <f>'Foglio deposito bis'!$F$58*IF(ABS(K1028)&lt;'Sollecitazioni nel paramento'!$G$58,ABS(K1028)*'Sollecitazioni nel paramento'!$G$54,'Sollecitazioni nel paramento'!$G$53)*IF(K1028&lt;0,-1,1)</f>
        <v>0</v>
      </c>
      <c r="R1028" s="545">
        <f>'Foglio deposito bis'!$F$59*IF(ABS(L1028)&lt;'Sollecitazioni nel paramento'!$G$58,ABS(L1028)*'Sollecitazioni nel paramento'!$G$54,'Sollecitazioni nel paramento'!$G$53)*IF(L1028&lt;0,-1,1)</f>
        <v>153664.85805602249</v>
      </c>
      <c r="S1028" s="545">
        <f>'Foglio deposito bis'!$F$60*IF(ABS(M1028)&lt;'Sollecitazioni nel paramento'!$G$58,ABS(M1028)*'Sollecitazioni nel paramento'!$G$54,'Sollecitazioni nel paramento'!$G$53)*IF(M1028&lt;0,-1,1)</f>
        <v>0</v>
      </c>
      <c r="T1028" s="545">
        <f>'Foglio deposito bis'!$F$61*IF(ABS(N1028)&lt;'Sollecitazioni nel paramento'!$G$58,ABS(N1028)*'Sollecitazioni nel paramento'!$G$54,'Sollecitazioni nel paramento'!$G$53)*IF(N1028&lt;0,-1,1)</f>
        <v>240946.49743184328</v>
      </c>
      <c r="U1028" s="545">
        <f>'Foglio deposito bis'!$F$62*IF(ABS(O1028)&lt;'Sollecitazioni nel paramento'!$G$58,ABS(O1028)*'Sollecitazioni nel paramento'!$G$54,'Sollecitazioni nel paramento'!$G$53)*IF(O1028&lt;0,-1,1)</f>
        <v>314705.62929873407</v>
      </c>
      <c r="V1028" s="472">
        <f t="shared" si="74"/>
        <v>320855.63492668432</v>
      </c>
      <c r="W1028" s="551"/>
      <c r="X1028" s="551"/>
    </row>
    <row r="1029" spans="1:24" x14ac:dyDescent="0.25">
      <c r="A1029" s="545">
        <f t="shared" si="73"/>
        <v>308324.62364088057</v>
      </c>
      <c r="B1029" s="3">
        <f t="shared" si="75"/>
        <v>1.6000000000000008</v>
      </c>
      <c r="C1029" s="545">
        <f>'Foglio deposito bis'!$E$157/sezione!$B$247*B1029</f>
        <v>10.525562672801515</v>
      </c>
      <c r="D1029" s="603">
        <f>-'Sollecitazioni nel paramento'!$G$47*'Sollecitazioni nel paramento'!$G$41*IF(DATI!$G$211="dx",DATI!$E$61,DATI!$E$64*DATI!$E$63)*1000*C1029^2*sezione!$AD$5*(1-sezione!$AD$6)</f>
        <v>-2464871.4134754934</v>
      </c>
      <c r="E1029" s="545">
        <f>-'Foglio deposito bis'!$F$58*(C1029-sezione!$AL$31)*IF(ABS(K1029)&lt;'Sollecitazioni nel paramento'!$G$58,ABS(K1029)*'Sollecitazioni nel paramento'!$G$54,'Sollecitazioni nel paramento'!$G$53)</f>
        <v>0</v>
      </c>
      <c r="F1029" s="545">
        <f>-'Foglio deposito bis'!$F$59*(C1029-sezione!$AM$31)*IF(ABS(L1029)&lt;'Sollecitazioni nel paramento'!$G$58,ABS(L1029)*'Sollecitazioni nel paramento'!$G$54,'Sollecitazioni nel paramento'!$G$53)</f>
        <v>7602482.3892855374</v>
      </c>
      <c r="G1029" s="545">
        <f>-'Foglio deposito bis'!$F$60*(C1029-sezione!$AN$31)*IF(ABS(M1029)&lt;'Sollecitazioni nel paramento'!$G$58,ABS(M1029)*'Sollecitazioni nel paramento'!$G$54,'Sollecitazioni nel paramento'!$G$53)</f>
        <v>0</v>
      </c>
      <c r="H1029" s="545">
        <f>-'Foglio deposito bis'!$F$61*(C1029-sezione!$AO$31)*IF(ABS(N1029)&lt;'Sollecitazioni nel paramento'!$G$58,ABS(N1029)*'Sollecitazioni nel paramento'!$G$54,'Sollecitazioni nel paramento'!$G$53)</f>
        <v>36015342.129584044</v>
      </c>
      <c r="I1029" s="472">
        <f>-'Foglio deposito bis'!$F$62*(C1029-sezione!$AP$31)*IF(ABS(O1029)&lt;'Sollecitazioni nel paramento'!$G$58,ABS(O1029)*'Sollecitazioni nel paramento'!$G$54,'Sollecitazioni nel paramento'!$G$53)</f>
        <v>137093282.03020257</v>
      </c>
      <c r="J1029" s="472">
        <f t="shared" si="72"/>
        <v>178246235.13559666</v>
      </c>
      <c r="K1029" s="550">
        <f>'Sollecitazioni nel paramento'!$G$60*(sezione!$AL$31-C1029)/C1029</f>
        <v>9.8009516310007573E-3</v>
      </c>
      <c r="L1029" s="550">
        <f>'Sollecitazioni nel paramento'!$G$60*(sezione!$AM$31-C1029)/C1029</f>
        <v>1.6451427446501136E-2</v>
      </c>
      <c r="M1029" s="551">
        <f>'Sollecitazioni nel paramento'!$G$60*(sezione!$AN$31-C1029)/C1029</f>
        <v>2.3101903262001518E-2</v>
      </c>
      <c r="N1029" s="551">
        <f>'Sollecitazioni nel paramento'!$G$60*(sezione!$AO$31-C1029)/C1029</f>
        <v>4.9703806524003025E-2</v>
      </c>
      <c r="O1029" s="551">
        <f>'Sollecitazioni nel paramento'!$G$60*(sezione!$AP$31-C1029)/C1029</f>
        <v>0.14485529836899905</v>
      </c>
      <c r="P1029" s="545">
        <f>-'Sollecitazioni nel paramento'!$G$47*'Sollecitazioni nel paramento'!$G$41*IF(DATI!$G$211="dx",DATI!$E$61,DATI!$E$64*DATI!$E$63)*1000*C1029*sezione!$AD$5</f>
        <v>-400992.36114571925</v>
      </c>
      <c r="Q1029" s="545">
        <f>'Foglio deposito bis'!$F$58*IF(ABS(K1029)&lt;'Sollecitazioni nel paramento'!$G$58,ABS(K1029)*'Sollecitazioni nel paramento'!$G$54,'Sollecitazioni nel paramento'!$G$53)*IF(K1029&lt;0,-1,1)</f>
        <v>0</v>
      </c>
      <c r="R1029" s="545">
        <f>'Foglio deposito bis'!$F$59*IF(ABS(L1029)&lt;'Sollecitazioni nel paramento'!$G$58,ABS(L1029)*'Sollecitazioni nel paramento'!$G$54,'Sollecitazioni nel paramento'!$G$53)*IF(L1029&lt;0,-1,1)</f>
        <v>153664.85805602249</v>
      </c>
      <c r="S1029" s="545">
        <f>'Foglio deposito bis'!$F$60*IF(ABS(M1029)&lt;'Sollecitazioni nel paramento'!$G$58,ABS(M1029)*'Sollecitazioni nel paramento'!$G$54,'Sollecitazioni nel paramento'!$G$53)*IF(M1029&lt;0,-1,1)</f>
        <v>0</v>
      </c>
      <c r="T1029" s="545">
        <f>'Foglio deposito bis'!$F$61*IF(ABS(N1029)&lt;'Sollecitazioni nel paramento'!$G$58,ABS(N1029)*'Sollecitazioni nel paramento'!$G$54,'Sollecitazioni nel paramento'!$G$53)*IF(N1029&lt;0,-1,1)</f>
        <v>240946.49743184328</v>
      </c>
      <c r="U1029" s="545">
        <f>'Foglio deposito bis'!$F$62*IF(ABS(O1029)&lt;'Sollecitazioni nel paramento'!$G$58,ABS(O1029)*'Sollecitazioni nel paramento'!$G$54,'Sollecitazioni nel paramento'!$G$53)*IF(O1029&lt;0,-1,1)</f>
        <v>314705.62929873407</v>
      </c>
      <c r="V1029" s="472">
        <f t="shared" si="74"/>
        <v>308324.62364088057</v>
      </c>
      <c r="W1029" s="551"/>
      <c r="X1029" s="551"/>
    </row>
    <row r="1030" spans="1:24" x14ac:dyDescent="0.25">
      <c r="A1030" s="545">
        <f t="shared" si="73"/>
        <v>295793.61235507682</v>
      </c>
      <c r="B1030" s="3">
        <f t="shared" si="75"/>
        <v>1.6500000000000008</v>
      </c>
      <c r="C1030" s="545">
        <f>'Foglio deposito bis'!$E$157/sezione!$B$247*B1030</f>
        <v>10.854486506326563</v>
      </c>
      <c r="D1030" s="603">
        <f>-'Sollecitazioni nel paramento'!$G$47*'Sollecitazioni nel paramento'!$G$41*IF(DATI!$G$211="dx",DATI!$E$61,DATI!$E$64*DATI!$E$63)*1000*C1030^2*sezione!$AD$5*(1-sezione!$AD$6)</f>
        <v>-2621332.9778074343</v>
      </c>
      <c r="E1030" s="545">
        <f>-'Foglio deposito bis'!$F$58*(C1030-sezione!$AL$31)*IF(ABS(K1030)&lt;'Sollecitazioni nel paramento'!$G$58,ABS(K1030)*'Sollecitazioni nel paramento'!$G$54,'Sollecitazioni nel paramento'!$G$53)</f>
        <v>0</v>
      </c>
      <c r="F1030" s="545">
        <f>-'Foglio deposito bis'!$F$59*(C1030-sezione!$AM$31)*IF(ABS(L1030)&lt;'Sollecitazioni nel paramento'!$G$58,ABS(L1030)*'Sollecitazioni nel paramento'!$G$54,'Sollecitazioni nel paramento'!$G$53)</f>
        <v>7551938.3550956668</v>
      </c>
      <c r="G1030" s="545">
        <f>-'Foglio deposito bis'!$F$60*(C1030-sezione!$AN$31)*IF(ABS(M1030)&lt;'Sollecitazioni nel paramento'!$G$58,ABS(M1030)*'Sollecitazioni nel paramento'!$G$54,'Sollecitazioni nel paramento'!$G$53)</f>
        <v>0</v>
      </c>
      <c r="H1030" s="545">
        <f>-'Foglio deposito bis'!$F$61*(C1030-sezione!$AO$31)*IF(ABS(N1030)&lt;'Sollecitazioni nel paramento'!$G$58,ABS(N1030)*'Sollecitazioni nel paramento'!$G$54,'Sollecitazioni nel paramento'!$G$53)</f>
        <v>35936089.083974332</v>
      </c>
      <c r="I1030" s="472">
        <f>-'Foglio deposito bis'!$F$62*(C1030-sezione!$AP$31)*IF(ABS(O1030)&lt;'Sollecitazioni nel paramento'!$G$58,ABS(O1030)*'Sollecitazioni nel paramento'!$G$54,'Sollecitazioni nel paramento'!$G$53)</f>
        <v>136989767.84818169</v>
      </c>
      <c r="J1030" s="472">
        <f t="shared" si="72"/>
        <v>177856462.30944425</v>
      </c>
      <c r="K1030" s="550">
        <f>'Sollecitazioni nel paramento'!$G$60*(sezione!$AL$31-C1030)/C1030</f>
        <v>9.3978924906674005E-3</v>
      </c>
      <c r="L1030" s="550">
        <f>'Sollecitazioni nel paramento'!$G$60*(sezione!$AM$31-C1030)/C1030</f>
        <v>1.5846838736001099E-2</v>
      </c>
      <c r="M1030" s="551">
        <f>'Sollecitazioni nel paramento'!$G$60*(sezione!$AN$31-C1030)/C1030</f>
        <v>2.2295784981334801E-2</v>
      </c>
      <c r="N1030" s="551">
        <f>'Sollecitazioni nel paramento'!$G$60*(sezione!$AO$31-C1030)/C1030</f>
        <v>4.8091569962669604E-2</v>
      </c>
      <c r="O1030" s="551">
        <f>'Sollecitazioni nel paramento'!$G$60*(sezione!$AP$31-C1030)/C1030</f>
        <v>0.14035968326690818</v>
      </c>
      <c r="P1030" s="545">
        <f>-'Sollecitazioni nel paramento'!$G$47*'Sollecitazioni nel paramento'!$G$41*IF(DATI!$G$211="dx",DATI!$E$61,DATI!$E$64*DATI!$E$63)*1000*C1030*sezione!$AD$5</f>
        <v>-413523.37243152299</v>
      </c>
      <c r="Q1030" s="545">
        <f>'Foglio deposito bis'!$F$58*IF(ABS(K1030)&lt;'Sollecitazioni nel paramento'!$G$58,ABS(K1030)*'Sollecitazioni nel paramento'!$G$54,'Sollecitazioni nel paramento'!$G$53)*IF(K1030&lt;0,-1,1)</f>
        <v>0</v>
      </c>
      <c r="R1030" s="545">
        <f>'Foglio deposito bis'!$F$59*IF(ABS(L1030)&lt;'Sollecitazioni nel paramento'!$G$58,ABS(L1030)*'Sollecitazioni nel paramento'!$G$54,'Sollecitazioni nel paramento'!$G$53)*IF(L1030&lt;0,-1,1)</f>
        <v>153664.85805602249</v>
      </c>
      <c r="S1030" s="545">
        <f>'Foglio deposito bis'!$F$60*IF(ABS(M1030)&lt;'Sollecitazioni nel paramento'!$G$58,ABS(M1030)*'Sollecitazioni nel paramento'!$G$54,'Sollecitazioni nel paramento'!$G$53)*IF(M1030&lt;0,-1,1)</f>
        <v>0</v>
      </c>
      <c r="T1030" s="545">
        <f>'Foglio deposito bis'!$F$61*IF(ABS(N1030)&lt;'Sollecitazioni nel paramento'!$G$58,ABS(N1030)*'Sollecitazioni nel paramento'!$G$54,'Sollecitazioni nel paramento'!$G$53)*IF(N1030&lt;0,-1,1)</f>
        <v>240946.49743184328</v>
      </c>
      <c r="U1030" s="545">
        <f>'Foglio deposito bis'!$F$62*IF(ABS(O1030)&lt;'Sollecitazioni nel paramento'!$G$58,ABS(O1030)*'Sollecitazioni nel paramento'!$G$54,'Sollecitazioni nel paramento'!$G$53)*IF(O1030&lt;0,-1,1)</f>
        <v>314705.62929873407</v>
      </c>
      <c r="V1030" s="472">
        <f t="shared" si="74"/>
        <v>295793.61235507682</v>
      </c>
      <c r="W1030" s="551"/>
      <c r="X1030" s="551"/>
    </row>
    <row r="1031" spans="1:24" x14ac:dyDescent="0.25">
      <c r="A1031" s="545">
        <f t="shared" si="73"/>
        <v>283262.60106927308</v>
      </c>
      <c r="B1031" s="3">
        <f t="shared" si="75"/>
        <v>1.7000000000000008</v>
      </c>
      <c r="C1031" s="545">
        <f>'Foglio deposito bis'!$E$157/sezione!$B$247*B1031</f>
        <v>11.18341033985161</v>
      </c>
      <c r="D1031" s="603">
        <f>-'Sollecitazioni nel paramento'!$G$47*'Sollecitazioni nel paramento'!$G$41*IF(DATI!$G$211="dx",DATI!$E$61,DATI!$E$64*DATI!$E$63)*1000*C1031^2*sezione!$AD$5*(1-sezione!$AD$6)</f>
        <v>-2782608.744118819</v>
      </c>
      <c r="E1031" s="545">
        <f>-'Foglio deposito bis'!$F$58*(C1031-sezione!$AL$31)*IF(ABS(K1031)&lt;'Sollecitazioni nel paramento'!$G$58,ABS(K1031)*'Sollecitazioni nel paramento'!$G$54,'Sollecitazioni nel paramento'!$G$53)</f>
        <v>0</v>
      </c>
      <c r="F1031" s="545">
        <f>-'Foglio deposito bis'!$F$59*(C1031-sezione!$AM$31)*IF(ABS(L1031)&lt;'Sollecitazioni nel paramento'!$G$58,ABS(L1031)*'Sollecitazioni nel paramento'!$G$54,'Sollecitazioni nel paramento'!$G$53)</f>
        <v>7501394.3209057972</v>
      </c>
      <c r="G1031" s="545">
        <f>-'Foglio deposito bis'!$F$60*(C1031-sezione!$AN$31)*IF(ABS(M1031)&lt;'Sollecitazioni nel paramento'!$G$58,ABS(M1031)*'Sollecitazioni nel paramento'!$G$54,'Sollecitazioni nel paramento'!$G$53)</f>
        <v>0</v>
      </c>
      <c r="H1031" s="545">
        <f>-'Foglio deposito bis'!$F$61*(C1031-sezione!$AO$31)*IF(ABS(N1031)&lt;'Sollecitazioni nel paramento'!$G$58,ABS(N1031)*'Sollecitazioni nel paramento'!$G$54,'Sollecitazioni nel paramento'!$G$53)</f>
        <v>35856836.038364619</v>
      </c>
      <c r="I1031" s="472">
        <f>-'Foglio deposito bis'!$F$62*(C1031-sezione!$AP$31)*IF(ABS(O1031)&lt;'Sollecitazioni nel paramento'!$G$58,ABS(O1031)*'Sollecitazioni nel paramento'!$G$54,'Sollecitazioni nel paramento'!$G$53)</f>
        <v>136886253.66616085</v>
      </c>
      <c r="J1031" s="472">
        <f t="shared" si="72"/>
        <v>177461875.28131247</v>
      </c>
      <c r="K1031" s="550">
        <f>'Sollecitazioni nel paramento'!$G$60*(sezione!$AL$31-C1031)/C1031</f>
        <v>9.0185427115301239E-3</v>
      </c>
      <c r="L1031" s="550">
        <f>'Sollecitazioni nel paramento'!$G$60*(sezione!$AM$31-C1031)/C1031</f>
        <v>1.5277814067295184E-2</v>
      </c>
      <c r="M1031" s="551">
        <f>'Sollecitazioni nel paramento'!$G$60*(sezione!$AN$31-C1031)/C1031</f>
        <v>2.1537085423060251E-2</v>
      </c>
      <c r="N1031" s="551">
        <f>'Sollecitazioni nel paramento'!$G$60*(sezione!$AO$31-C1031)/C1031</f>
        <v>4.6574170846120491E-2</v>
      </c>
      <c r="O1031" s="551">
        <f>'Sollecitazioni nel paramento'!$G$60*(sezione!$AP$31-C1031)/C1031</f>
        <v>0.13612851611199911</v>
      </c>
      <c r="P1031" s="545">
        <f>-'Sollecitazioni nel paramento'!$G$47*'Sollecitazioni nel paramento'!$G$41*IF(DATI!$G$211="dx",DATI!$E$61,DATI!$E$64*DATI!$E$63)*1000*C1031*sezione!$AD$5</f>
        <v>-426054.38371732674</v>
      </c>
      <c r="Q1031" s="545">
        <f>'Foglio deposito bis'!$F$58*IF(ABS(K1031)&lt;'Sollecitazioni nel paramento'!$G$58,ABS(K1031)*'Sollecitazioni nel paramento'!$G$54,'Sollecitazioni nel paramento'!$G$53)*IF(K1031&lt;0,-1,1)</f>
        <v>0</v>
      </c>
      <c r="R1031" s="545">
        <f>'Foglio deposito bis'!$F$59*IF(ABS(L1031)&lt;'Sollecitazioni nel paramento'!$G$58,ABS(L1031)*'Sollecitazioni nel paramento'!$G$54,'Sollecitazioni nel paramento'!$G$53)*IF(L1031&lt;0,-1,1)</f>
        <v>153664.85805602249</v>
      </c>
      <c r="S1031" s="545">
        <f>'Foglio deposito bis'!$F$60*IF(ABS(M1031)&lt;'Sollecitazioni nel paramento'!$G$58,ABS(M1031)*'Sollecitazioni nel paramento'!$G$54,'Sollecitazioni nel paramento'!$G$53)*IF(M1031&lt;0,-1,1)</f>
        <v>0</v>
      </c>
      <c r="T1031" s="545">
        <f>'Foglio deposito bis'!$F$61*IF(ABS(N1031)&lt;'Sollecitazioni nel paramento'!$G$58,ABS(N1031)*'Sollecitazioni nel paramento'!$G$54,'Sollecitazioni nel paramento'!$G$53)*IF(N1031&lt;0,-1,1)</f>
        <v>240946.49743184328</v>
      </c>
      <c r="U1031" s="545">
        <f>'Foglio deposito bis'!$F$62*IF(ABS(O1031)&lt;'Sollecitazioni nel paramento'!$G$58,ABS(O1031)*'Sollecitazioni nel paramento'!$G$54,'Sollecitazioni nel paramento'!$G$53)*IF(O1031&lt;0,-1,1)</f>
        <v>314705.62929873407</v>
      </c>
      <c r="V1031" s="472">
        <f t="shared" si="74"/>
        <v>283262.60106927308</v>
      </c>
      <c r="W1031" s="551"/>
      <c r="X1031" s="551"/>
    </row>
    <row r="1032" spans="1:24" x14ac:dyDescent="0.25">
      <c r="A1032" s="545">
        <f t="shared" si="73"/>
        <v>270731.58978346933</v>
      </c>
      <c r="B1032" s="3">
        <f t="shared" si="75"/>
        <v>1.7500000000000009</v>
      </c>
      <c r="C1032" s="545">
        <f>'Foglio deposito bis'!$E$157/sezione!$B$247*B1032</f>
        <v>11.512334173376658</v>
      </c>
      <c r="D1032" s="603">
        <f>-'Sollecitazioni nel paramento'!$G$47*'Sollecitazioni nel paramento'!$G$41*IF(DATI!$G$211="dx",DATI!$E$61,DATI!$E$64*DATI!$E$63)*1000*C1032^2*sezione!$AD$5*(1-sezione!$AD$6)</f>
        <v>-2948698.7124096481</v>
      </c>
      <c r="E1032" s="545">
        <f>-'Foglio deposito bis'!$F$58*(C1032-sezione!$AL$31)*IF(ABS(K1032)&lt;'Sollecitazioni nel paramento'!$G$58,ABS(K1032)*'Sollecitazioni nel paramento'!$G$54,'Sollecitazioni nel paramento'!$G$53)</f>
        <v>0</v>
      </c>
      <c r="F1032" s="545">
        <f>-'Foglio deposito bis'!$F$59*(C1032-sezione!$AM$31)*IF(ABS(L1032)&lt;'Sollecitazioni nel paramento'!$G$58,ABS(L1032)*'Sollecitazioni nel paramento'!$G$54,'Sollecitazioni nel paramento'!$G$53)</f>
        <v>7450850.2867159285</v>
      </c>
      <c r="G1032" s="545">
        <f>-'Foglio deposito bis'!$F$60*(C1032-sezione!$AN$31)*IF(ABS(M1032)&lt;'Sollecitazioni nel paramento'!$G$58,ABS(M1032)*'Sollecitazioni nel paramento'!$G$54,'Sollecitazioni nel paramento'!$G$53)</f>
        <v>0</v>
      </c>
      <c r="H1032" s="545">
        <f>-'Foglio deposito bis'!$F$61*(C1032-sezione!$AO$31)*IF(ABS(N1032)&lt;'Sollecitazioni nel paramento'!$G$58,ABS(N1032)*'Sollecitazioni nel paramento'!$G$54,'Sollecitazioni nel paramento'!$G$53)</f>
        <v>35777582.992754906</v>
      </c>
      <c r="I1032" s="472">
        <f>-'Foglio deposito bis'!$F$62*(C1032-sezione!$AP$31)*IF(ABS(O1032)&lt;'Sollecitazioni nel paramento'!$G$58,ABS(O1032)*'Sollecitazioni nel paramento'!$G$54,'Sollecitazioni nel paramento'!$G$53)</f>
        <v>136782739.48414001</v>
      </c>
      <c r="J1032" s="472">
        <f t="shared" si="72"/>
        <v>177062474.05120119</v>
      </c>
      <c r="K1032" s="550">
        <f>'Sollecitazioni nel paramento'!$G$60*(sezione!$AL$31-C1032)/C1032</f>
        <v>8.660870062629264E-3</v>
      </c>
      <c r="L1032" s="550">
        <f>'Sollecitazioni nel paramento'!$G$60*(sezione!$AM$31-C1032)/C1032</f>
        <v>1.4741305093943896E-2</v>
      </c>
      <c r="M1032" s="551">
        <f>'Sollecitazioni nel paramento'!$G$60*(sezione!$AN$31-C1032)/C1032</f>
        <v>2.0821740125258524E-2</v>
      </c>
      <c r="N1032" s="551">
        <f>'Sollecitazioni nel paramento'!$G$60*(sezione!$AO$31-C1032)/C1032</f>
        <v>4.5143480250517058E-2</v>
      </c>
      <c r="O1032" s="551">
        <f>'Sollecitazioni nel paramento'!$G$60*(sezione!$AP$31-C1032)/C1032</f>
        <v>0.13213912993737056</v>
      </c>
      <c r="P1032" s="545">
        <f>-'Sollecitazioni nel paramento'!$G$47*'Sollecitazioni nel paramento'!$G$41*IF(DATI!$G$211="dx",DATI!$E$61,DATI!$E$64*DATI!$E$63)*1000*C1032*sezione!$AD$5</f>
        <v>-438585.39500313048</v>
      </c>
      <c r="Q1032" s="545">
        <f>'Foglio deposito bis'!$F$58*IF(ABS(K1032)&lt;'Sollecitazioni nel paramento'!$G$58,ABS(K1032)*'Sollecitazioni nel paramento'!$G$54,'Sollecitazioni nel paramento'!$G$53)*IF(K1032&lt;0,-1,1)</f>
        <v>0</v>
      </c>
      <c r="R1032" s="545">
        <f>'Foglio deposito bis'!$F$59*IF(ABS(L1032)&lt;'Sollecitazioni nel paramento'!$G$58,ABS(L1032)*'Sollecitazioni nel paramento'!$G$54,'Sollecitazioni nel paramento'!$G$53)*IF(L1032&lt;0,-1,1)</f>
        <v>153664.85805602249</v>
      </c>
      <c r="S1032" s="545">
        <f>'Foglio deposito bis'!$F$60*IF(ABS(M1032)&lt;'Sollecitazioni nel paramento'!$G$58,ABS(M1032)*'Sollecitazioni nel paramento'!$G$54,'Sollecitazioni nel paramento'!$G$53)*IF(M1032&lt;0,-1,1)</f>
        <v>0</v>
      </c>
      <c r="T1032" s="545">
        <f>'Foglio deposito bis'!$F$61*IF(ABS(N1032)&lt;'Sollecitazioni nel paramento'!$G$58,ABS(N1032)*'Sollecitazioni nel paramento'!$G$54,'Sollecitazioni nel paramento'!$G$53)*IF(N1032&lt;0,-1,1)</f>
        <v>240946.49743184328</v>
      </c>
      <c r="U1032" s="545">
        <f>'Foglio deposito bis'!$F$62*IF(ABS(O1032)&lt;'Sollecitazioni nel paramento'!$G$58,ABS(O1032)*'Sollecitazioni nel paramento'!$G$54,'Sollecitazioni nel paramento'!$G$53)*IF(O1032&lt;0,-1,1)</f>
        <v>314705.62929873407</v>
      </c>
      <c r="V1032" s="472">
        <f t="shared" si="74"/>
        <v>270731.58978346933</v>
      </c>
      <c r="W1032" s="551"/>
      <c r="X1032" s="551"/>
    </row>
    <row r="1033" spans="1:24" x14ac:dyDescent="0.25">
      <c r="A1033" s="545">
        <f t="shared" si="73"/>
        <v>258200.57849766561</v>
      </c>
      <c r="B1033" s="3">
        <f t="shared" si="75"/>
        <v>1.8000000000000009</v>
      </c>
      <c r="C1033" s="545">
        <f>'Foglio deposito bis'!$E$157/sezione!$B$247*B1033</f>
        <v>11.841258006901706</v>
      </c>
      <c r="D1033" s="603">
        <f>-'Sollecitazioni nel paramento'!$G$47*'Sollecitazioni nel paramento'!$G$41*IF(DATI!$G$211="dx",DATI!$E$61,DATI!$E$64*DATI!$E$63)*1000*C1033^2*sezione!$AD$5*(1-sezione!$AD$6)</f>
        <v>-3119602.8826799225</v>
      </c>
      <c r="E1033" s="545">
        <f>-'Foglio deposito bis'!$F$58*(C1033-sezione!$AL$31)*IF(ABS(K1033)&lt;'Sollecitazioni nel paramento'!$G$58,ABS(K1033)*'Sollecitazioni nel paramento'!$G$54,'Sollecitazioni nel paramento'!$G$53)</f>
        <v>0</v>
      </c>
      <c r="F1033" s="545">
        <f>-'Foglio deposito bis'!$F$59*(C1033-sezione!$AM$31)*IF(ABS(L1033)&lt;'Sollecitazioni nel paramento'!$G$58,ABS(L1033)*'Sollecitazioni nel paramento'!$G$54,'Sollecitazioni nel paramento'!$G$53)</f>
        <v>7400306.2525260597</v>
      </c>
      <c r="G1033" s="545">
        <f>-'Foglio deposito bis'!$F$60*(C1033-sezione!$AN$31)*IF(ABS(M1033)&lt;'Sollecitazioni nel paramento'!$G$58,ABS(M1033)*'Sollecitazioni nel paramento'!$G$54,'Sollecitazioni nel paramento'!$G$53)</f>
        <v>0</v>
      </c>
      <c r="H1033" s="545">
        <f>-'Foglio deposito bis'!$F$61*(C1033-sezione!$AO$31)*IF(ABS(N1033)&lt;'Sollecitazioni nel paramento'!$G$58,ABS(N1033)*'Sollecitazioni nel paramento'!$G$54,'Sollecitazioni nel paramento'!$G$53)</f>
        <v>35698329.947145186</v>
      </c>
      <c r="I1033" s="472">
        <f>-'Foglio deposito bis'!$F$62*(C1033-sezione!$AP$31)*IF(ABS(O1033)&lt;'Sollecitazioni nel paramento'!$G$58,ABS(O1033)*'Sollecitazioni nel paramento'!$G$54,'Sollecitazioni nel paramento'!$G$53)</f>
        <v>136679225.30211914</v>
      </c>
      <c r="J1033" s="472">
        <f t="shared" si="72"/>
        <v>176658258.61911047</v>
      </c>
      <c r="K1033" s="550">
        <f>'Sollecitazioni nel paramento'!$G$60*(sezione!$AL$31-C1033)/C1033</f>
        <v>8.3230681164451169E-3</v>
      </c>
      <c r="L1033" s="550">
        <f>'Sollecitazioni nel paramento'!$G$60*(sezione!$AM$31-C1033)/C1033</f>
        <v>1.4234602174667675E-2</v>
      </c>
      <c r="M1033" s="551">
        <f>'Sollecitazioni nel paramento'!$G$60*(sezione!$AN$31-C1033)/C1033</f>
        <v>2.0146136232890233E-2</v>
      </c>
      <c r="N1033" s="551">
        <f>'Sollecitazioni nel paramento'!$G$60*(sezione!$AO$31-C1033)/C1033</f>
        <v>4.3792272465780456E-2</v>
      </c>
      <c r="O1033" s="551">
        <f>'Sollecitazioni nel paramento'!$G$60*(sezione!$AP$31-C1033)/C1033</f>
        <v>0.12837137632799914</v>
      </c>
      <c r="P1033" s="545">
        <f>-'Sollecitazioni nel paramento'!$G$47*'Sollecitazioni nel paramento'!$G$41*IF(DATI!$G$211="dx",DATI!$E$61,DATI!$E$64*DATI!$E$63)*1000*C1033*sezione!$AD$5</f>
        <v>-451116.40628893423</v>
      </c>
      <c r="Q1033" s="545">
        <f>'Foglio deposito bis'!$F$58*IF(ABS(K1033)&lt;'Sollecitazioni nel paramento'!$G$58,ABS(K1033)*'Sollecitazioni nel paramento'!$G$54,'Sollecitazioni nel paramento'!$G$53)*IF(K1033&lt;0,-1,1)</f>
        <v>0</v>
      </c>
      <c r="R1033" s="545">
        <f>'Foglio deposito bis'!$F$59*IF(ABS(L1033)&lt;'Sollecitazioni nel paramento'!$G$58,ABS(L1033)*'Sollecitazioni nel paramento'!$G$54,'Sollecitazioni nel paramento'!$G$53)*IF(L1033&lt;0,-1,1)</f>
        <v>153664.85805602249</v>
      </c>
      <c r="S1033" s="545">
        <f>'Foglio deposito bis'!$F$60*IF(ABS(M1033)&lt;'Sollecitazioni nel paramento'!$G$58,ABS(M1033)*'Sollecitazioni nel paramento'!$G$54,'Sollecitazioni nel paramento'!$G$53)*IF(M1033&lt;0,-1,1)</f>
        <v>0</v>
      </c>
      <c r="T1033" s="545">
        <f>'Foglio deposito bis'!$F$61*IF(ABS(N1033)&lt;'Sollecitazioni nel paramento'!$G$58,ABS(N1033)*'Sollecitazioni nel paramento'!$G$54,'Sollecitazioni nel paramento'!$G$53)*IF(N1033&lt;0,-1,1)</f>
        <v>240946.49743184328</v>
      </c>
      <c r="U1033" s="545">
        <f>'Foglio deposito bis'!$F$62*IF(ABS(O1033)&lt;'Sollecitazioni nel paramento'!$G$58,ABS(O1033)*'Sollecitazioni nel paramento'!$G$54,'Sollecitazioni nel paramento'!$G$53)*IF(O1033&lt;0,-1,1)</f>
        <v>314705.62929873407</v>
      </c>
      <c r="V1033" s="472">
        <f t="shared" si="74"/>
        <v>258200.57849766561</v>
      </c>
      <c r="W1033" s="551"/>
      <c r="X1033" s="551"/>
    </row>
    <row r="1034" spans="1:24" x14ac:dyDescent="0.25">
      <c r="A1034" s="545">
        <f t="shared" si="73"/>
        <v>245669.56721186187</v>
      </c>
      <c r="B1034" s="3">
        <f t="shared" si="75"/>
        <v>1.850000000000001</v>
      </c>
      <c r="C1034" s="545">
        <f>'Foglio deposito bis'!$E$157/sezione!$B$247*B1034</f>
        <v>12.170181840426753</v>
      </c>
      <c r="D1034" s="603">
        <f>-'Sollecitazioni nel paramento'!$G$47*'Sollecitazioni nel paramento'!$G$41*IF(DATI!$G$211="dx",DATI!$E$61,DATI!$E$64*DATI!$E$63)*1000*C1034^2*sezione!$AD$5*(1-sezione!$AD$6)</f>
        <v>-3295321.2549296403</v>
      </c>
      <c r="E1034" s="545">
        <f>-'Foglio deposito bis'!$F$58*(C1034-sezione!$AL$31)*IF(ABS(K1034)&lt;'Sollecitazioni nel paramento'!$G$58,ABS(K1034)*'Sollecitazioni nel paramento'!$G$54,'Sollecitazioni nel paramento'!$G$53)</f>
        <v>0</v>
      </c>
      <c r="F1034" s="545">
        <f>-'Foglio deposito bis'!$F$59*(C1034-sezione!$AM$31)*IF(ABS(L1034)&lt;'Sollecitazioni nel paramento'!$G$58,ABS(L1034)*'Sollecitazioni nel paramento'!$G$54,'Sollecitazioni nel paramento'!$G$53)</f>
        <v>7349762.2183361901</v>
      </c>
      <c r="G1034" s="545">
        <f>-'Foglio deposito bis'!$F$60*(C1034-sezione!$AN$31)*IF(ABS(M1034)&lt;'Sollecitazioni nel paramento'!$G$58,ABS(M1034)*'Sollecitazioni nel paramento'!$G$54,'Sollecitazioni nel paramento'!$G$53)</f>
        <v>0</v>
      </c>
      <c r="H1034" s="545">
        <f>-'Foglio deposito bis'!$F$61*(C1034-sezione!$AO$31)*IF(ABS(N1034)&lt;'Sollecitazioni nel paramento'!$G$58,ABS(N1034)*'Sollecitazioni nel paramento'!$G$54,'Sollecitazioni nel paramento'!$G$53)</f>
        <v>35619076.901535474</v>
      </c>
      <c r="I1034" s="472">
        <f>-'Foglio deposito bis'!$F$62*(C1034-sezione!$AP$31)*IF(ABS(O1034)&lt;'Sollecitazioni nel paramento'!$G$58,ABS(O1034)*'Sollecitazioni nel paramento'!$G$54,'Sollecitazioni nel paramento'!$G$53)</f>
        <v>136575711.12009829</v>
      </c>
      <c r="J1034" s="472">
        <f t="shared" si="72"/>
        <v>176249228.98504031</v>
      </c>
      <c r="K1034" s="550">
        <f>'Sollecitazioni nel paramento'!$G$60*(sezione!$AL$31-C1034)/C1034</f>
        <v>8.0035257349195723E-3</v>
      </c>
      <c r="L1034" s="550">
        <f>'Sollecitazioni nel paramento'!$G$60*(sezione!$AM$31-C1034)/C1034</f>
        <v>1.3755288602379359E-2</v>
      </c>
      <c r="M1034" s="551">
        <f>'Sollecitazioni nel paramento'!$G$60*(sezione!$AN$31-C1034)/C1034</f>
        <v>1.9507051469839148E-2</v>
      </c>
      <c r="N1034" s="551">
        <f>'Sollecitazioni nel paramento'!$G$60*(sezione!$AO$31-C1034)/C1034</f>
        <v>4.2514102939678292E-2</v>
      </c>
      <c r="O1034" s="551">
        <f>'Sollecitazioni nel paramento'!$G$60*(sezione!$AP$31-C1034)/C1034</f>
        <v>0.12480728507589105</v>
      </c>
      <c r="P1034" s="545">
        <f>-'Sollecitazioni nel paramento'!$G$47*'Sollecitazioni nel paramento'!$G$41*IF(DATI!$G$211="dx",DATI!$E$61,DATI!$E$64*DATI!$E$63)*1000*C1034*sezione!$AD$5</f>
        <v>-463647.41757473798</v>
      </c>
      <c r="Q1034" s="545">
        <f>'Foglio deposito bis'!$F$58*IF(ABS(K1034)&lt;'Sollecitazioni nel paramento'!$G$58,ABS(K1034)*'Sollecitazioni nel paramento'!$G$54,'Sollecitazioni nel paramento'!$G$53)*IF(K1034&lt;0,-1,1)</f>
        <v>0</v>
      </c>
      <c r="R1034" s="545">
        <f>'Foglio deposito bis'!$F$59*IF(ABS(L1034)&lt;'Sollecitazioni nel paramento'!$G$58,ABS(L1034)*'Sollecitazioni nel paramento'!$G$54,'Sollecitazioni nel paramento'!$G$53)*IF(L1034&lt;0,-1,1)</f>
        <v>153664.85805602249</v>
      </c>
      <c r="S1034" s="545">
        <f>'Foglio deposito bis'!$F$60*IF(ABS(M1034)&lt;'Sollecitazioni nel paramento'!$G$58,ABS(M1034)*'Sollecitazioni nel paramento'!$G$54,'Sollecitazioni nel paramento'!$G$53)*IF(M1034&lt;0,-1,1)</f>
        <v>0</v>
      </c>
      <c r="T1034" s="545">
        <f>'Foglio deposito bis'!$F$61*IF(ABS(N1034)&lt;'Sollecitazioni nel paramento'!$G$58,ABS(N1034)*'Sollecitazioni nel paramento'!$G$54,'Sollecitazioni nel paramento'!$G$53)*IF(N1034&lt;0,-1,1)</f>
        <v>240946.49743184328</v>
      </c>
      <c r="U1034" s="545">
        <f>'Foglio deposito bis'!$F$62*IF(ABS(O1034)&lt;'Sollecitazioni nel paramento'!$G$58,ABS(O1034)*'Sollecitazioni nel paramento'!$G$54,'Sollecitazioni nel paramento'!$G$53)*IF(O1034&lt;0,-1,1)</f>
        <v>314705.62929873407</v>
      </c>
      <c r="V1034" s="472">
        <f t="shared" si="74"/>
        <v>245669.56721186187</v>
      </c>
      <c r="W1034" s="551"/>
      <c r="X1034" s="551"/>
    </row>
    <row r="1035" spans="1:24" x14ac:dyDescent="0.25">
      <c r="A1035" s="545">
        <f t="shared" si="73"/>
        <v>233138.55592605824</v>
      </c>
      <c r="B1035" s="3">
        <f t="shared" si="75"/>
        <v>1.900000000000001</v>
      </c>
      <c r="C1035" s="545">
        <f>'Foglio deposito bis'!$E$157/sezione!$B$247*B1035</f>
        <v>12.499105673951799</v>
      </c>
      <c r="D1035" s="603">
        <f>-'Sollecitazioni nel paramento'!$G$47*'Sollecitazioni nel paramento'!$G$41*IF(DATI!$G$211="dx",DATI!$E$61,DATI!$E$64*DATI!$E$63)*1000*C1035^2*sezione!$AD$5*(1-sezione!$AD$6)</f>
        <v>-3475853.8291588016</v>
      </c>
      <c r="E1035" s="545">
        <f>-'Foglio deposito bis'!$F$58*(C1035-sezione!$AL$31)*IF(ABS(K1035)&lt;'Sollecitazioni nel paramento'!$G$58,ABS(K1035)*'Sollecitazioni nel paramento'!$G$54,'Sollecitazioni nel paramento'!$G$53)</f>
        <v>0</v>
      </c>
      <c r="F1035" s="545">
        <f>-'Foglio deposito bis'!$F$59*(C1035-sezione!$AM$31)*IF(ABS(L1035)&lt;'Sollecitazioni nel paramento'!$G$58,ABS(L1035)*'Sollecitazioni nel paramento'!$G$54,'Sollecitazioni nel paramento'!$G$53)</f>
        <v>7299218.1841463204</v>
      </c>
      <c r="G1035" s="545">
        <f>-'Foglio deposito bis'!$F$60*(C1035-sezione!$AN$31)*IF(ABS(M1035)&lt;'Sollecitazioni nel paramento'!$G$58,ABS(M1035)*'Sollecitazioni nel paramento'!$G$54,'Sollecitazioni nel paramento'!$G$53)</f>
        <v>0</v>
      </c>
      <c r="H1035" s="545">
        <f>-'Foglio deposito bis'!$F$61*(C1035-sezione!$AO$31)*IF(ABS(N1035)&lt;'Sollecitazioni nel paramento'!$G$58,ABS(N1035)*'Sollecitazioni nel paramento'!$G$54,'Sollecitazioni nel paramento'!$G$53)</f>
        <v>35539823.855925761</v>
      </c>
      <c r="I1035" s="472">
        <f>-'Foglio deposito bis'!$F$62*(C1035-sezione!$AP$31)*IF(ABS(O1035)&lt;'Sollecitazioni nel paramento'!$G$58,ABS(O1035)*'Sollecitazioni nel paramento'!$G$54,'Sollecitazioni nel paramento'!$G$53)</f>
        <v>136472196.93807745</v>
      </c>
      <c r="J1035" s="472">
        <f t="shared" si="72"/>
        <v>175835385.14899072</v>
      </c>
      <c r="K1035" s="550">
        <f>'Sollecitazioni nel paramento'!$G$60*(sezione!$AL$31-C1035)/C1035</f>
        <v>7.700801373474322E-3</v>
      </c>
      <c r="L1035" s="550">
        <f>'Sollecitazioni nel paramento'!$G$60*(sezione!$AM$31-C1035)/C1035</f>
        <v>1.3301202060211481E-2</v>
      </c>
      <c r="M1035" s="551">
        <f>'Sollecitazioni nel paramento'!$G$60*(sezione!$AN$31-C1035)/C1035</f>
        <v>1.8901602746948642E-2</v>
      </c>
      <c r="N1035" s="551">
        <f>'Sollecitazioni nel paramento'!$G$60*(sezione!$AO$31-C1035)/C1035</f>
        <v>4.1303205493897294E-2</v>
      </c>
      <c r="O1035" s="551">
        <f>'Sollecitazioni nel paramento'!$G$60*(sezione!$AP$31-C1035)/C1035</f>
        <v>0.12143077757389394</v>
      </c>
      <c r="P1035" s="545">
        <f>-'Sollecitazioni nel paramento'!$G$47*'Sollecitazioni nel paramento'!$G$41*IF(DATI!$G$211="dx",DATI!$E$61,DATI!$E$64*DATI!$E$63)*1000*C1035*sezione!$AD$5</f>
        <v>-476178.42886054161</v>
      </c>
      <c r="Q1035" s="545">
        <f>'Foglio deposito bis'!$F$58*IF(ABS(K1035)&lt;'Sollecitazioni nel paramento'!$G$58,ABS(K1035)*'Sollecitazioni nel paramento'!$G$54,'Sollecitazioni nel paramento'!$G$53)*IF(K1035&lt;0,-1,1)</f>
        <v>0</v>
      </c>
      <c r="R1035" s="545">
        <f>'Foglio deposito bis'!$F$59*IF(ABS(L1035)&lt;'Sollecitazioni nel paramento'!$G$58,ABS(L1035)*'Sollecitazioni nel paramento'!$G$54,'Sollecitazioni nel paramento'!$G$53)*IF(L1035&lt;0,-1,1)</f>
        <v>153664.85805602249</v>
      </c>
      <c r="S1035" s="545">
        <f>'Foglio deposito bis'!$F$60*IF(ABS(M1035)&lt;'Sollecitazioni nel paramento'!$G$58,ABS(M1035)*'Sollecitazioni nel paramento'!$G$54,'Sollecitazioni nel paramento'!$G$53)*IF(M1035&lt;0,-1,1)</f>
        <v>0</v>
      </c>
      <c r="T1035" s="545">
        <f>'Foglio deposito bis'!$F$61*IF(ABS(N1035)&lt;'Sollecitazioni nel paramento'!$G$58,ABS(N1035)*'Sollecitazioni nel paramento'!$G$54,'Sollecitazioni nel paramento'!$G$53)*IF(N1035&lt;0,-1,1)</f>
        <v>240946.49743184328</v>
      </c>
      <c r="U1035" s="545">
        <f>'Foglio deposito bis'!$F$62*IF(ABS(O1035)&lt;'Sollecitazioni nel paramento'!$G$58,ABS(O1035)*'Sollecitazioni nel paramento'!$G$54,'Sollecitazioni nel paramento'!$G$53)*IF(O1035&lt;0,-1,1)</f>
        <v>314705.62929873407</v>
      </c>
      <c r="V1035" s="472">
        <f t="shared" si="74"/>
        <v>233138.55592605824</v>
      </c>
      <c r="W1035" s="551"/>
      <c r="X1035" s="551"/>
    </row>
    <row r="1036" spans="1:24" x14ac:dyDescent="0.25">
      <c r="A1036" s="545">
        <f t="shared" si="73"/>
        <v>220607.54464025449</v>
      </c>
      <c r="B1036" s="3">
        <f t="shared" si="75"/>
        <v>1.9500000000000011</v>
      </c>
      <c r="C1036" s="545">
        <f>'Foglio deposito bis'!$E$157/sezione!$B$247*B1036</f>
        <v>12.828029507476847</v>
      </c>
      <c r="D1036" s="603">
        <f>-'Sollecitazioni nel paramento'!$G$47*'Sollecitazioni nel paramento'!$G$41*IF(DATI!$G$211="dx",DATI!$E$61,DATI!$E$64*DATI!$E$63)*1000*C1036^2*sezione!$AD$5*(1-sezione!$AD$6)</f>
        <v>-3661200.6053674086</v>
      </c>
      <c r="E1036" s="545">
        <f>-'Foglio deposito bis'!$F$58*(C1036-sezione!$AL$31)*IF(ABS(K1036)&lt;'Sollecitazioni nel paramento'!$G$58,ABS(K1036)*'Sollecitazioni nel paramento'!$G$54,'Sollecitazioni nel paramento'!$G$53)</f>
        <v>0</v>
      </c>
      <c r="F1036" s="545">
        <f>-'Foglio deposito bis'!$F$59*(C1036-sezione!$AM$31)*IF(ABS(L1036)&lt;'Sollecitazioni nel paramento'!$G$58,ABS(L1036)*'Sollecitazioni nel paramento'!$G$54,'Sollecitazioni nel paramento'!$G$53)</f>
        <v>7248674.1499564508</v>
      </c>
      <c r="G1036" s="545">
        <f>-'Foglio deposito bis'!$F$60*(C1036-sezione!$AN$31)*IF(ABS(M1036)&lt;'Sollecitazioni nel paramento'!$G$58,ABS(M1036)*'Sollecitazioni nel paramento'!$G$54,'Sollecitazioni nel paramento'!$G$53)</f>
        <v>0</v>
      </c>
      <c r="H1036" s="545">
        <f>-'Foglio deposito bis'!$F$61*(C1036-sezione!$AO$31)*IF(ABS(N1036)&lt;'Sollecitazioni nel paramento'!$G$58,ABS(N1036)*'Sollecitazioni nel paramento'!$G$54,'Sollecitazioni nel paramento'!$G$53)</f>
        <v>35460570.810316041</v>
      </c>
      <c r="I1036" s="472">
        <f>-'Foglio deposito bis'!$F$62*(C1036-sezione!$AP$31)*IF(ABS(O1036)&lt;'Sollecitazioni nel paramento'!$G$58,ABS(O1036)*'Sollecitazioni nel paramento'!$G$54,'Sollecitazioni nel paramento'!$G$53)</f>
        <v>136368682.75605658</v>
      </c>
      <c r="J1036" s="472">
        <f t="shared" si="72"/>
        <v>175416727.11096168</v>
      </c>
      <c r="K1036" s="550">
        <f>'Sollecitazioni nel paramento'!$G$60*(sezione!$AL$31-C1036)/C1036</f>
        <v>7.4136013382570306E-3</v>
      </c>
      <c r="L1036" s="550">
        <f>'Sollecitazioni nel paramento'!$G$60*(sezione!$AM$31-C1036)/C1036</f>
        <v>1.2870402007385545E-2</v>
      </c>
      <c r="M1036" s="551">
        <f>'Sollecitazioni nel paramento'!$G$60*(sezione!$AN$31-C1036)/C1036</f>
        <v>1.8327202676514064E-2</v>
      </c>
      <c r="N1036" s="551">
        <f>'Sollecitazioni nel paramento'!$G$60*(sezione!$AO$31-C1036)/C1036</f>
        <v>4.0154405353028118E-2</v>
      </c>
      <c r="O1036" s="551">
        <f>'Sollecitazioni nel paramento'!$G$60*(sezione!$AP$31-C1036)/C1036</f>
        <v>0.11822742430276845</v>
      </c>
      <c r="P1036" s="545">
        <f>-'Sollecitazioni nel paramento'!$G$47*'Sollecitazioni nel paramento'!$G$41*IF(DATI!$G$211="dx",DATI!$E$61,DATI!$E$64*DATI!$E$63)*1000*C1036*sezione!$AD$5</f>
        <v>-488709.44014634535</v>
      </c>
      <c r="Q1036" s="545">
        <f>'Foglio deposito bis'!$F$58*IF(ABS(K1036)&lt;'Sollecitazioni nel paramento'!$G$58,ABS(K1036)*'Sollecitazioni nel paramento'!$G$54,'Sollecitazioni nel paramento'!$G$53)*IF(K1036&lt;0,-1,1)</f>
        <v>0</v>
      </c>
      <c r="R1036" s="545">
        <f>'Foglio deposito bis'!$F$59*IF(ABS(L1036)&lt;'Sollecitazioni nel paramento'!$G$58,ABS(L1036)*'Sollecitazioni nel paramento'!$G$54,'Sollecitazioni nel paramento'!$G$53)*IF(L1036&lt;0,-1,1)</f>
        <v>153664.85805602249</v>
      </c>
      <c r="S1036" s="545">
        <f>'Foglio deposito bis'!$F$60*IF(ABS(M1036)&lt;'Sollecitazioni nel paramento'!$G$58,ABS(M1036)*'Sollecitazioni nel paramento'!$G$54,'Sollecitazioni nel paramento'!$G$53)*IF(M1036&lt;0,-1,1)</f>
        <v>0</v>
      </c>
      <c r="T1036" s="545">
        <f>'Foglio deposito bis'!$F$61*IF(ABS(N1036)&lt;'Sollecitazioni nel paramento'!$G$58,ABS(N1036)*'Sollecitazioni nel paramento'!$G$54,'Sollecitazioni nel paramento'!$G$53)*IF(N1036&lt;0,-1,1)</f>
        <v>240946.49743184328</v>
      </c>
      <c r="U1036" s="545">
        <f>'Foglio deposito bis'!$F$62*IF(ABS(O1036)&lt;'Sollecitazioni nel paramento'!$G$58,ABS(O1036)*'Sollecitazioni nel paramento'!$G$54,'Sollecitazioni nel paramento'!$G$53)*IF(O1036&lt;0,-1,1)</f>
        <v>314705.62929873407</v>
      </c>
      <c r="V1036" s="472">
        <f t="shared" si="74"/>
        <v>220607.54464025449</v>
      </c>
      <c r="W1036" s="551"/>
      <c r="X1036" s="551"/>
    </row>
    <row r="1037" spans="1:24" x14ac:dyDescent="0.25">
      <c r="A1037" s="545">
        <f t="shared" si="73"/>
        <v>208076.53335445086</v>
      </c>
      <c r="B1037" s="3">
        <f t="shared" si="75"/>
        <v>2.0000000000000009</v>
      </c>
      <c r="C1037" s="545">
        <f>'Foglio deposito bis'!$E$157/sezione!$B$247*B1037</f>
        <v>13.156953341001893</v>
      </c>
      <c r="D1037" s="603">
        <f>-'Sollecitazioni nel paramento'!$G$47*'Sollecitazioni nel paramento'!$G$41*IF(DATI!$G$211="dx",DATI!$E$61,DATI!$E$64*DATI!$E$63)*1000*C1037^2*sezione!$AD$5*(1-sezione!$AD$6)</f>
        <v>-3851361.583555459</v>
      </c>
      <c r="E1037" s="545">
        <f>-'Foglio deposito bis'!$F$58*(C1037-sezione!$AL$31)*IF(ABS(K1037)&lt;'Sollecitazioni nel paramento'!$G$58,ABS(K1037)*'Sollecitazioni nel paramento'!$G$54,'Sollecitazioni nel paramento'!$G$53)</f>
        <v>0</v>
      </c>
      <c r="F1037" s="545">
        <f>-'Foglio deposito bis'!$F$59*(C1037-sezione!$AM$31)*IF(ABS(L1037)&lt;'Sollecitazioni nel paramento'!$G$58,ABS(L1037)*'Sollecitazioni nel paramento'!$G$54,'Sollecitazioni nel paramento'!$G$53)</f>
        <v>7198130.1157665821</v>
      </c>
      <c r="G1037" s="545">
        <f>-'Foglio deposito bis'!$F$60*(C1037-sezione!$AN$31)*IF(ABS(M1037)&lt;'Sollecitazioni nel paramento'!$G$58,ABS(M1037)*'Sollecitazioni nel paramento'!$G$54,'Sollecitazioni nel paramento'!$G$53)</f>
        <v>0</v>
      </c>
      <c r="H1037" s="545">
        <f>-'Foglio deposito bis'!$F$61*(C1037-sezione!$AO$31)*IF(ABS(N1037)&lt;'Sollecitazioni nel paramento'!$G$58,ABS(N1037)*'Sollecitazioni nel paramento'!$G$54,'Sollecitazioni nel paramento'!$G$53)</f>
        <v>35381317.764706329</v>
      </c>
      <c r="I1037" s="472">
        <f>-'Foglio deposito bis'!$F$62*(C1037-sezione!$AP$31)*IF(ABS(O1037)&lt;'Sollecitazioni nel paramento'!$G$58,ABS(O1037)*'Sollecitazioni nel paramento'!$G$54,'Sollecitazioni nel paramento'!$G$53)</f>
        <v>136265168.57403573</v>
      </c>
      <c r="J1037" s="472">
        <f t="shared" si="72"/>
        <v>174993254.8709532</v>
      </c>
      <c r="K1037" s="550">
        <f>'Sollecitazioni nel paramento'!$G$60*(sezione!$AL$31-C1037)/C1037</f>
        <v>7.1407613048006064E-3</v>
      </c>
      <c r="L1037" s="550">
        <f>'Sollecitazioni nel paramento'!$G$60*(sezione!$AM$31-C1037)/C1037</f>
        <v>1.2461141957200911E-2</v>
      </c>
      <c r="M1037" s="551">
        <f>'Sollecitazioni nel paramento'!$G$60*(sezione!$AN$31-C1037)/C1037</f>
        <v>1.7781522609601211E-2</v>
      </c>
      <c r="N1037" s="551">
        <f>'Sollecitazioni nel paramento'!$G$60*(sezione!$AO$31-C1037)/C1037</f>
        <v>3.9063045219202432E-2</v>
      </c>
      <c r="O1037" s="551">
        <f>'Sollecitazioni nel paramento'!$G$60*(sezione!$AP$31-C1037)/C1037</f>
        <v>0.11518423869519925</v>
      </c>
      <c r="P1037" s="545">
        <f>-'Sollecitazioni nel paramento'!$G$47*'Sollecitazioni nel paramento'!$G$41*IF(DATI!$G$211="dx",DATI!$E$61,DATI!$E$64*DATI!$E$63)*1000*C1037*sezione!$AD$5</f>
        <v>-501240.45143214898</v>
      </c>
      <c r="Q1037" s="545">
        <f>'Foglio deposito bis'!$F$58*IF(ABS(K1037)&lt;'Sollecitazioni nel paramento'!$G$58,ABS(K1037)*'Sollecitazioni nel paramento'!$G$54,'Sollecitazioni nel paramento'!$G$53)*IF(K1037&lt;0,-1,1)</f>
        <v>0</v>
      </c>
      <c r="R1037" s="545">
        <f>'Foglio deposito bis'!$F$59*IF(ABS(L1037)&lt;'Sollecitazioni nel paramento'!$G$58,ABS(L1037)*'Sollecitazioni nel paramento'!$G$54,'Sollecitazioni nel paramento'!$G$53)*IF(L1037&lt;0,-1,1)</f>
        <v>153664.85805602249</v>
      </c>
      <c r="S1037" s="545">
        <f>'Foglio deposito bis'!$F$60*IF(ABS(M1037)&lt;'Sollecitazioni nel paramento'!$G$58,ABS(M1037)*'Sollecitazioni nel paramento'!$G$54,'Sollecitazioni nel paramento'!$G$53)*IF(M1037&lt;0,-1,1)</f>
        <v>0</v>
      </c>
      <c r="T1037" s="545">
        <f>'Foglio deposito bis'!$F$61*IF(ABS(N1037)&lt;'Sollecitazioni nel paramento'!$G$58,ABS(N1037)*'Sollecitazioni nel paramento'!$G$54,'Sollecitazioni nel paramento'!$G$53)*IF(N1037&lt;0,-1,1)</f>
        <v>240946.49743184328</v>
      </c>
      <c r="U1037" s="545">
        <f>'Foglio deposito bis'!$F$62*IF(ABS(O1037)&lt;'Sollecitazioni nel paramento'!$G$58,ABS(O1037)*'Sollecitazioni nel paramento'!$G$54,'Sollecitazioni nel paramento'!$G$53)*IF(O1037&lt;0,-1,1)</f>
        <v>314705.62929873407</v>
      </c>
      <c r="V1037" s="472">
        <f t="shared" si="74"/>
        <v>208076.53335445086</v>
      </c>
      <c r="W1037" s="551"/>
      <c r="X1037" s="551"/>
    </row>
    <row r="1038" spans="1:24" x14ac:dyDescent="0.25">
      <c r="A1038" s="545">
        <f t="shared" si="73"/>
        <v>195545.52206864711</v>
      </c>
      <c r="B1038" s="3">
        <f t="shared" si="75"/>
        <v>2.0500000000000007</v>
      </c>
      <c r="C1038" s="545">
        <f>'Foglio deposito bis'!$E$157/sezione!$B$247*B1038</f>
        <v>13.485877174526939</v>
      </c>
      <c r="D1038" s="603">
        <f>-'Sollecitazioni nel paramento'!$G$47*'Sollecitazioni nel paramento'!$G$41*IF(DATI!$G$211="dx",DATI!$E$61,DATI!$E$64*DATI!$E$63)*1000*C1038^2*sezione!$AD$5*(1-sezione!$AD$6)</f>
        <v>-4046336.763722952</v>
      </c>
      <c r="E1038" s="545">
        <f>-'Foglio deposito bis'!$F$58*(C1038-sezione!$AL$31)*IF(ABS(K1038)&lt;'Sollecitazioni nel paramento'!$G$58,ABS(K1038)*'Sollecitazioni nel paramento'!$G$54,'Sollecitazioni nel paramento'!$G$53)</f>
        <v>0</v>
      </c>
      <c r="F1038" s="545">
        <f>-'Foglio deposito bis'!$F$59*(C1038-sezione!$AM$31)*IF(ABS(L1038)&lt;'Sollecitazioni nel paramento'!$G$58,ABS(L1038)*'Sollecitazioni nel paramento'!$G$54,'Sollecitazioni nel paramento'!$G$53)</f>
        <v>7147586.0815767143</v>
      </c>
      <c r="G1038" s="545">
        <f>-'Foglio deposito bis'!$F$60*(C1038-sezione!$AN$31)*IF(ABS(M1038)&lt;'Sollecitazioni nel paramento'!$G$58,ABS(M1038)*'Sollecitazioni nel paramento'!$G$54,'Sollecitazioni nel paramento'!$G$53)</f>
        <v>0</v>
      </c>
      <c r="H1038" s="545">
        <f>-'Foglio deposito bis'!$F$61*(C1038-sezione!$AO$31)*IF(ABS(N1038)&lt;'Sollecitazioni nel paramento'!$G$58,ABS(N1038)*'Sollecitazioni nel paramento'!$G$54,'Sollecitazioni nel paramento'!$G$53)</f>
        <v>35302064.719096616</v>
      </c>
      <c r="I1038" s="472">
        <f>-'Foglio deposito bis'!$F$62*(C1038-sezione!$AP$31)*IF(ABS(O1038)&lt;'Sollecitazioni nel paramento'!$G$58,ABS(O1038)*'Sollecitazioni nel paramento'!$G$54,'Sollecitazioni nel paramento'!$G$53)</f>
        <v>136161654.39201489</v>
      </c>
      <c r="J1038" s="472">
        <f t="shared" si="72"/>
        <v>174564968.42896527</v>
      </c>
      <c r="K1038" s="550">
        <f>'Sollecitazioni nel paramento'!$G$60*(sezione!$AL$31-C1038)/C1038</f>
        <v>6.8812305412688851E-3</v>
      </c>
      <c r="L1038" s="550">
        <f>'Sollecitazioni nel paramento'!$G$60*(sezione!$AM$31-C1038)/C1038</f>
        <v>1.2071845811903329E-2</v>
      </c>
      <c r="M1038" s="551">
        <f>'Sollecitazioni nel paramento'!$G$60*(sezione!$AN$31-C1038)/C1038</f>
        <v>1.7262461082537772E-2</v>
      </c>
      <c r="N1038" s="551">
        <f>'Sollecitazioni nel paramento'!$G$60*(sezione!$AO$31-C1038)/C1038</f>
        <v>3.8024922165075539E-2</v>
      </c>
      <c r="O1038" s="551">
        <f>'Sollecitazioni nel paramento'!$G$60*(sezione!$AP$31-C1038)/C1038</f>
        <v>0.11228950116604806</v>
      </c>
      <c r="P1038" s="545">
        <f>-'Sollecitazioni nel paramento'!$G$47*'Sollecitazioni nel paramento'!$G$41*IF(DATI!$G$211="dx",DATI!$E$61,DATI!$E$64*DATI!$E$63)*1000*C1038*sezione!$AD$5</f>
        <v>-513771.46271795273</v>
      </c>
      <c r="Q1038" s="545">
        <f>'Foglio deposito bis'!$F$58*IF(ABS(K1038)&lt;'Sollecitazioni nel paramento'!$G$58,ABS(K1038)*'Sollecitazioni nel paramento'!$G$54,'Sollecitazioni nel paramento'!$G$53)*IF(K1038&lt;0,-1,1)</f>
        <v>0</v>
      </c>
      <c r="R1038" s="545">
        <f>'Foglio deposito bis'!$F$59*IF(ABS(L1038)&lt;'Sollecitazioni nel paramento'!$G$58,ABS(L1038)*'Sollecitazioni nel paramento'!$G$54,'Sollecitazioni nel paramento'!$G$53)*IF(L1038&lt;0,-1,1)</f>
        <v>153664.85805602249</v>
      </c>
      <c r="S1038" s="545">
        <f>'Foglio deposito bis'!$F$60*IF(ABS(M1038)&lt;'Sollecitazioni nel paramento'!$G$58,ABS(M1038)*'Sollecitazioni nel paramento'!$G$54,'Sollecitazioni nel paramento'!$G$53)*IF(M1038&lt;0,-1,1)</f>
        <v>0</v>
      </c>
      <c r="T1038" s="545">
        <f>'Foglio deposito bis'!$F$61*IF(ABS(N1038)&lt;'Sollecitazioni nel paramento'!$G$58,ABS(N1038)*'Sollecitazioni nel paramento'!$G$54,'Sollecitazioni nel paramento'!$G$53)*IF(N1038&lt;0,-1,1)</f>
        <v>240946.49743184328</v>
      </c>
      <c r="U1038" s="545">
        <f>'Foglio deposito bis'!$F$62*IF(ABS(O1038)&lt;'Sollecitazioni nel paramento'!$G$58,ABS(O1038)*'Sollecitazioni nel paramento'!$G$54,'Sollecitazioni nel paramento'!$G$53)*IF(O1038&lt;0,-1,1)</f>
        <v>314705.62929873407</v>
      </c>
      <c r="V1038" s="472">
        <f t="shared" si="74"/>
        <v>195545.52206864711</v>
      </c>
      <c r="W1038" s="551"/>
      <c r="X1038" s="551"/>
    </row>
    <row r="1039" spans="1:24" x14ac:dyDescent="0.25">
      <c r="A1039" s="545">
        <f t="shared" si="73"/>
        <v>183014.51078284343</v>
      </c>
      <c r="B1039" s="3">
        <f t="shared" si="75"/>
        <v>2.1000000000000005</v>
      </c>
      <c r="C1039" s="545">
        <f>'Foglio deposito bis'!$E$157/sezione!$B$247*B1039</f>
        <v>13.814801008051985</v>
      </c>
      <c r="D1039" s="603">
        <f>-'Sollecitazioni nel paramento'!$G$47*'Sollecitazioni nel paramento'!$G$41*IF(DATI!$G$211="dx",DATI!$E$61,DATI!$E$64*DATI!$E$63)*1000*C1039^2*sezione!$AD$5*(1-sezione!$AD$6)</f>
        <v>-4246126.1458698912</v>
      </c>
      <c r="E1039" s="545">
        <f>-'Foglio deposito bis'!$F$58*(C1039-sezione!$AL$31)*IF(ABS(K1039)&lt;'Sollecitazioni nel paramento'!$G$58,ABS(K1039)*'Sollecitazioni nel paramento'!$G$54,'Sollecitazioni nel paramento'!$G$53)</f>
        <v>0</v>
      </c>
      <c r="F1039" s="545">
        <f>-'Foglio deposito bis'!$F$59*(C1039-sezione!$AM$31)*IF(ABS(L1039)&lt;'Sollecitazioni nel paramento'!$G$58,ABS(L1039)*'Sollecitazioni nel paramento'!$G$54,'Sollecitazioni nel paramento'!$G$53)</f>
        <v>7097042.0473868456</v>
      </c>
      <c r="G1039" s="545">
        <f>-'Foglio deposito bis'!$F$60*(C1039-sezione!$AN$31)*IF(ABS(M1039)&lt;'Sollecitazioni nel paramento'!$G$58,ABS(M1039)*'Sollecitazioni nel paramento'!$G$54,'Sollecitazioni nel paramento'!$G$53)</f>
        <v>0</v>
      </c>
      <c r="H1039" s="545">
        <f>-'Foglio deposito bis'!$F$61*(C1039-sezione!$AO$31)*IF(ABS(N1039)&lt;'Sollecitazioni nel paramento'!$G$58,ABS(N1039)*'Sollecitazioni nel paramento'!$G$54,'Sollecitazioni nel paramento'!$G$53)</f>
        <v>35222811.673486903</v>
      </c>
      <c r="I1039" s="472">
        <f>-'Foglio deposito bis'!$F$62*(C1039-sezione!$AP$31)*IF(ABS(O1039)&lt;'Sollecitazioni nel paramento'!$G$58,ABS(O1039)*'Sollecitazioni nel paramento'!$G$54,'Sollecitazioni nel paramento'!$G$53)</f>
        <v>136058140.20999402</v>
      </c>
      <c r="J1039" s="472">
        <f t="shared" si="72"/>
        <v>174131867.78499788</v>
      </c>
      <c r="K1039" s="550">
        <f>'Sollecitazioni nel paramento'!$G$60*(sezione!$AL$31-C1039)/C1039</f>
        <v>6.6340583855243884E-3</v>
      </c>
      <c r="L1039" s="550">
        <f>'Sollecitazioni nel paramento'!$G$60*(sezione!$AM$31-C1039)/C1039</f>
        <v>1.1701087578286584E-2</v>
      </c>
      <c r="M1039" s="551">
        <f>'Sollecitazioni nel paramento'!$G$60*(sezione!$AN$31-C1039)/C1039</f>
        <v>1.676811677104878E-2</v>
      </c>
      <c r="N1039" s="551">
        <f>'Sollecitazioni nel paramento'!$G$60*(sezione!$AO$31-C1039)/C1039</f>
        <v>3.7036233542097563E-2</v>
      </c>
      <c r="O1039" s="551">
        <f>'Sollecitazioni nel paramento'!$G$60*(sezione!$AP$31-C1039)/C1039</f>
        <v>0.10953260828114217</v>
      </c>
      <c r="P1039" s="545">
        <f>-'Sollecitazioni nel paramento'!$G$47*'Sollecitazioni nel paramento'!$G$41*IF(DATI!$G$211="dx",DATI!$E$61,DATI!$E$64*DATI!$E$63)*1000*C1039*sezione!$AD$5</f>
        <v>-526302.47400375642</v>
      </c>
      <c r="Q1039" s="545">
        <f>'Foglio deposito bis'!$F$58*IF(ABS(K1039)&lt;'Sollecitazioni nel paramento'!$G$58,ABS(K1039)*'Sollecitazioni nel paramento'!$G$54,'Sollecitazioni nel paramento'!$G$53)*IF(K1039&lt;0,-1,1)</f>
        <v>0</v>
      </c>
      <c r="R1039" s="545">
        <f>'Foglio deposito bis'!$F$59*IF(ABS(L1039)&lt;'Sollecitazioni nel paramento'!$G$58,ABS(L1039)*'Sollecitazioni nel paramento'!$G$54,'Sollecitazioni nel paramento'!$G$53)*IF(L1039&lt;0,-1,1)</f>
        <v>153664.85805602249</v>
      </c>
      <c r="S1039" s="545">
        <f>'Foglio deposito bis'!$F$60*IF(ABS(M1039)&lt;'Sollecitazioni nel paramento'!$G$58,ABS(M1039)*'Sollecitazioni nel paramento'!$G$54,'Sollecitazioni nel paramento'!$G$53)*IF(M1039&lt;0,-1,1)</f>
        <v>0</v>
      </c>
      <c r="T1039" s="545">
        <f>'Foglio deposito bis'!$F$61*IF(ABS(N1039)&lt;'Sollecitazioni nel paramento'!$G$58,ABS(N1039)*'Sollecitazioni nel paramento'!$G$54,'Sollecitazioni nel paramento'!$G$53)*IF(N1039&lt;0,-1,1)</f>
        <v>240946.49743184328</v>
      </c>
      <c r="U1039" s="545">
        <f>'Foglio deposito bis'!$F$62*IF(ABS(O1039)&lt;'Sollecitazioni nel paramento'!$G$58,ABS(O1039)*'Sollecitazioni nel paramento'!$G$54,'Sollecitazioni nel paramento'!$G$53)*IF(O1039&lt;0,-1,1)</f>
        <v>314705.62929873407</v>
      </c>
      <c r="V1039" s="472">
        <f t="shared" si="74"/>
        <v>183014.51078284343</v>
      </c>
      <c r="W1039" s="551"/>
      <c r="X1039" s="551"/>
    </row>
    <row r="1040" spans="1:24" x14ac:dyDescent="0.25">
      <c r="A1040" s="545">
        <f t="shared" si="73"/>
        <v>170483.4994970398</v>
      </c>
      <c r="B1040" s="3">
        <f t="shared" si="75"/>
        <v>2.1500000000000004</v>
      </c>
      <c r="C1040" s="545">
        <f>'Foglio deposito bis'!$E$157/sezione!$B$247*B1040</f>
        <v>14.143724841577031</v>
      </c>
      <c r="D1040" s="603">
        <f>-'Sollecitazioni nel paramento'!$G$47*'Sollecitazioni nel paramento'!$G$41*IF(DATI!$G$211="dx",DATI!$E$61,DATI!$E$64*DATI!$E$63)*1000*C1040^2*sezione!$AD$5*(1-sezione!$AD$6)</f>
        <v>-4450729.7299962742</v>
      </c>
      <c r="E1040" s="545">
        <f>-'Foglio deposito bis'!$F$58*(C1040-sezione!$AL$31)*IF(ABS(K1040)&lt;'Sollecitazioni nel paramento'!$G$58,ABS(K1040)*'Sollecitazioni nel paramento'!$G$54,'Sollecitazioni nel paramento'!$G$53)</f>
        <v>0</v>
      </c>
      <c r="F1040" s="545">
        <f>-'Foglio deposito bis'!$F$59*(C1040-sezione!$AM$31)*IF(ABS(L1040)&lt;'Sollecitazioni nel paramento'!$G$58,ABS(L1040)*'Sollecitazioni nel paramento'!$G$54,'Sollecitazioni nel paramento'!$G$53)</f>
        <v>7046498.0131969759</v>
      </c>
      <c r="G1040" s="545">
        <f>-'Foglio deposito bis'!$F$60*(C1040-sezione!$AN$31)*IF(ABS(M1040)&lt;'Sollecitazioni nel paramento'!$G$58,ABS(M1040)*'Sollecitazioni nel paramento'!$G$54,'Sollecitazioni nel paramento'!$G$53)</f>
        <v>0</v>
      </c>
      <c r="H1040" s="545">
        <f>-'Foglio deposito bis'!$F$61*(C1040-sezione!$AO$31)*IF(ABS(N1040)&lt;'Sollecitazioni nel paramento'!$G$58,ABS(N1040)*'Sollecitazioni nel paramento'!$G$54,'Sollecitazioni nel paramento'!$G$53)</f>
        <v>35143558.627877183</v>
      </c>
      <c r="I1040" s="472">
        <f>-'Foglio deposito bis'!$F$62*(C1040-sezione!$AP$31)*IF(ABS(O1040)&lt;'Sollecitazioni nel paramento'!$G$58,ABS(O1040)*'Sollecitazioni nel paramento'!$G$54,'Sollecitazioni nel paramento'!$G$53)</f>
        <v>135954626.02797318</v>
      </c>
      <c r="J1040" s="472">
        <f t="shared" si="72"/>
        <v>173693952.93905106</v>
      </c>
      <c r="K1040" s="550">
        <f>'Sollecitazioni nel paramento'!$G$60*(sezione!$AL$31-C1040)/C1040</f>
        <v>6.3983826091168457E-3</v>
      </c>
      <c r="L1040" s="550">
        <f>'Sollecitazioni nel paramento'!$G$60*(sezione!$AM$31-C1040)/C1040</f>
        <v>1.1347573913675269E-2</v>
      </c>
      <c r="M1040" s="551">
        <f>'Sollecitazioni nel paramento'!$G$60*(sezione!$AN$31-C1040)/C1040</f>
        <v>1.6296765218233693E-2</v>
      </c>
      <c r="N1040" s="551">
        <f>'Sollecitazioni nel paramento'!$G$60*(sezione!$AO$31-C1040)/C1040</f>
        <v>3.6093530436467382E-2</v>
      </c>
      <c r="O1040" s="551">
        <f>'Sollecitazioni nel paramento'!$G$60*(sezione!$AP$31-C1040)/C1040</f>
        <v>0.10690394297227841</v>
      </c>
      <c r="P1040" s="545">
        <f>-'Sollecitazioni nel paramento'!$G$47*'Sollecitazioni nel paramento'!$G$41*IF(DATI!$G$211="dx",DATI!$E$61,DATI!$E$64*DATI!$E$63)*1000*C1040*sezione!$AD$5</f>
        <v>-538833.48528956005</v>
      </c>
      <c r="Q1040" s="545">
        <f>'Foglio deposito bis'!$F$58*IF(ABS(K1040)&lt;'Sollecitazioni nel paramento'!$G$58,ABS(K1040)*'Sollecitazioni nel paramento'!$G$54,'Sollecitazioni nel paramento'!$G$53)*IF(K1040&lt;0,-1,1)</f>
        <v>0</v>
      </c>
      <c r="R1040" s="545">
        <f>'Foglio deposito bis'!$F$59*IF(ABS(L1040)&lt;'Sollecitazioni nel paramento'!$G$58,ABS(L1040)*'Sollecitazioni nel paramento'!$G$54,'Sollecitazioni nel paramento'!$G$53)*IF(L1040&lt;0,-1,1)</f>
        <v>153664.85805602249</v>
      </c>
      <c r="S1040" s="545">
        <f>'Foglio deposito bis'!$F$60*IF(ABS(M1040)&lt;'Sollecitazioni nel paramento'!$G$58,ABS(M1040)*'Sollecitazioni nel paramento'!$G$54,'Sollecitazioni nel paramento'!$G$53)*IF(M1040&lt;0,-1,1)</f>
        <v>0</v>
      </c>
      <c r="T1040" s="545">
        <f>'Foglio deposito bis'!$F$61*IF(ABS(N1040)&lt;'Sollecitazioni nel paramento'!$G$58,ABS(N1040)*'Sollecitazioni nel paramento'!$G$54,'Sollecitazioni nel paramento'!$G$53)*IF(N1040&lt;0,-1,1)</f>
        <v>240946.49743184328</v>
      </c>
      <c r="U1040" s="545">
        <f>'Foglio deposito bis'!$F$62*IF(ABS(O1040)&lt;'Sollecitazioni nel paramento'!$G$58,ABS(O1040)*'Sollecitazioni nel paramento'!$G$54,'Sollecitazioni nel paramento'!$G$53)*IF(O1040&lt;0,-1,1)</f>
        <v>314705.62929873407</v>
      </c>
      <c r="V1040" s="472">
        <f t="shared" si="74"/>
        <v>170483.4994970398</v>
      </c>
      <c r="W1040" s="551"/>
      <c r="X1040" s="551"/>
    </row>
    <row r="1041" spans="1:24" x14ac:dyDescent="0.25">
      <c r="A1041" s="545">
        <f t="shared" si="73"/>
        <v>157952.48821123617</v>
      </c>
      <c r="B1041" s="3">
        <f t="shared" si="75"/>
        <v>2.2000000000000002</v>
      </c>
      <c r="C1041" s="545">
        <f>'Foglio deposito bis'!$E$157/sezione!$B$247*B1041</f>
        <v>14.472648675102077</v>
      </c>
      <c r="D1041" s="603">
        <f>-'Sollecitazioni nel paramento'!$G$47*'Sollecitazioni nel paramento'!$G$41*IF(DATI!$G$211="dx",DATI!$E$61,DATI!$E$64*DATI!$E$63)*1000*C1041^2*sezione!$AD$5*(1-sezione!$AD$6)</f>
        <v>-4660147.5161021017</v>
      </c>
      <c r="E1041" s="545">
        <f>-'Foglio deposito bis'!$F$58*(C1041-sezione!$AL$31)*IF(ABS(K1041)&lt;'Sollecitazioni nel paramento'!$G$58,ABS(K1041)*'Sollecitazioni nel paramento'!$G$54,'Sollecitazioni nel paramento'!$G$53)</f>
        <v>0</v>
      </c>
      <c r="F1041" s="545">
        <f>-'Foglio deposito bis'!$F$59*(C1041-sezione!$AM$31)*IF(ABS(L1041)&lt;'Sollecitazioni nel paramento'!$G$58,ABS(L1041)*'Sollecitazioni nel paramento'!$G$54,'Sollecitazioni nel paramento'!$G$53)</f>
        <v>6995953.9790071072</v>
      </c>
      <c r="G1041" s="545">
        <f>-'Foglio deposito bis'!$F$60*(C1041-sezione!$AN$31)*IF(ABS(M1041)&lt;'Sollecitazioni nel paramento'!$G$58,ABS(M1041)*'Sollecitazioni nel paramento'!$G$54,'Sollecitazioni nel paramento'!$G$53)</f>
        <v>0</v>
      </c>
      <c r="H1041" s="545">
        <f>-'Foglio deposito bis'!$F$61*(C1041-sezione!$AO$31)*IF(ABS(N1041)&lt;'Sollecitazioni nel paramento'!$G$58,ABS(N1041)*'Sollecitazioni nel paramento'!$G$54,'Sollecitazioni nel paramento'!$G$53)</f>
        <v>35064305.582267471</v>
      </c>
      <c r="I1041" s="472">
        <f>-'Foglio deposito bis'!$F$62*(C1041-sezione!$AP$31)*IF(ABS(O1041)&lt;'Sollecitazioni nel paramento'!$G$58,ABS(O1041)*'Sollecitazioni nel paramento'!$G$54,'Sollecitazioni nel paramento'!$G$53)</f>
        <v>135851111.84595233</v>
      </c>
      <c r="J1041" s="472">
        <f t="shared" si="72"/>
        <v>173251223.89112481</v>
      </c>
      <c r="K1041" s="550">
        <f>'Sollecitazioni nel paramento'!$G$60*(sezione!$AL$31-C1041)/C1041</f>
        <v>6.1734193680005548E-3</v>
      </c>
      <c r="L1041" s="550">
        <f>'Sollecitazioni nel paramento'!$G$60*(sezione!$AM$31-C1041)/C1041</f>
        <v>1.1010129052000831E-2</v>
      </c>
      <c r="M1041" s="551">
        <f>'Sollecitazioni nel paramento'!$G$60*(sezione!$AN$31-C1041)/C1041</f>
        <v>1.5846838736001109E-2</v>
      </c>
      <c r="N1041" s="551">
        <f>'Sollecitazioni nel paramento'!$G$60*(sezione!$AO$31-C1041)/C1041</f>
        <v>3.5193677472002222E-2</v>
      </c>
      <c r="O1041" s="551">
        <f>'Sollecitazioni nel paramento'!$G$60*(sezione!$AP$31-C1041)/C1041</f>
        <v>0.10439476245018119</v>
      </c>
      <c r="P1041" s="545">
        <f>-'Sollecitazioni nel paramento'!$G$47*'Sollecitazioni nel paramento'!$G$41*IF(DATI!$G$211="dx",DATI!$E$61,DATI!$E$64*DATI!$E$63)*1000*C1041*sezione!$AD$5</f>
        <v>-551364.49657536368</v>
      </c>
      <c r="Q1041" s="545">
        <f>'Foglio deposito bis'!$F$58*IF(ABS(K1041)&lt;'Sollecitazioni nel paramento'!$G$58,ABS(K1041)*'Sollecitazioni nel paramento'!$G$54,'Sollecitazioni nel paramento'!$G$53)*IF(K1041&lt;0,-1,1)</f>
        <v>0</v>
      </c>
      <c r="R1041" s="545">
        <f>'Foglio deposito bis'!$F$59*IF(ABS(L1041)&lt;'Sollecitazioni nel paramento'!$G$58,ABS(L1041)*'Sollecitazioni nel paramento'!$G$54,'Sollecitazioni nel paramento'!$G$53)*IF(L1041&lt;0,-1,1)</f>
        <v>153664.85805602249</v>
      </c>
      <c r="S1041" s="545">
        <f>'Foglio deposito bis'!$F$60*IF(ABS(M1041)&lt;'Sollecitazioni nel paramento'!$G$58,ABS(M1041)*'Sollecitazioni nel paramento'!$G$54,'Sollecitazioni nel paramento'!$G$53)*IF(M1041&lt;0,-1,1)</f>
        <v>0</v>
      </c>
      <c r="T1041" s="545">
        <f>'Foglio deposito bis'!$F$61*IF(ABS(N1041)&lt;'Sollecitazioni nel paramento'!$G$58,ABS(N1041)*'Sollecitazioni nel paramento'!$G$54,'Sollecitazioni nel paramento'!$G$53)*IF(N1041&lt;0,-1,1)</f>
        <v>240946.49743184328</v>
      </c>
      <c r="U1041" s="545">
        <f>'Foglio deposito bis'!$F$62*IF(ABS(O1041)&lt;'Sollecitazioni nel paramento'!$G$58,ABS(O1041)*'Sollecitazioni nel paramento'!$G$54,'Sollecitazioni nel paramento'!$G$53)*IF(O1041&lt;0,-1,1)</f>
        <v>314705.62929873407</v>
      </c>
      <c r="V1041" s="472">
        <f t="shared" si="74"/>
        <v>157952.48821123617</v>
      </c>
      <c r="W1041" s="551"/>
      <c r="X1041" s="551"/>
    </row>
    <row r="1042" spans="1:24" x14ac:dyDescent="0.25">
      <c r="A1042" s="545">
        <f t="shared" si="73"/>
        <v>145421.47692543242</v>
      </c>
      <c r="B1042" s="3">
        <f t="shared" si="75"/>
        <v>2.25</v>
      </c>
      <c r="C1042" s="545">
        <f>'Foglio deposito bis'!$E$157/sezione!$B$247*B1042</f>
        <v>14.801572508627125</v>
      </c>
      <c r="D1042" s="603">
        <f>-'Sollecitazioni nel paramento'!$G$47*'Sollecitazioni nel paramento'!$G$41*IF(DATI!$G$211="dx",DATI!$E$61,DATI!$E$64*DATI!$E$63)*1000*C1042^2*sezione!$AD$5*(1-sezione!$AD$6)</f>
        <v>-4874379.5041873744</v>
      </c>
      <c r="E1042" s="545">
        <f>-'Foglio deposito bis'!$F$58*(C1042-sezione!$AL$31)*IF(ABS(K1042)&lt;'Sollecitazioni nel paramento'!$G$58,ABS(K1042)*'Sollecitazioni nel paramento'!$G$54,'Sollecitazioni nel paramento'!$G$53)</f>
        <v>0</v>
      </c>
      <c r="F1042" s="545">
        <f>-'Foglio deposito bis'!$F$59*(C1042-sezione!$AM$31)*IF(ABS(L1042)&lt;'Sollecitazioni nel paramento'!$G$58,ABS(L1042)*'Sollecitazioni nel paramento'!$G$54,'Sollecitazioni nel paramento'!$G$53)</f>
        <v>6945409.9448172385</v>
      </c>
      <c r="G1042" s="545">
        <f>-'Foglio deposito bis'!$F$60*(C1042-sezione!$AN$31)*IF(ABS(M1042)&lt;'Sollecitazioni nel paramento'!$G$58,ABS(M1042)*'Sollecitazioni nel paramento'!$G$54,'Sollecitazioni nel paramento'!$G$53)</f>
        <v>0</v>
      </c>
      <c r="H1042" s="545">
        <f>-'Foglio deposito bis'!$F$61*(C1042-sezione!$AO$31)*IF(ABS(N1042)&lt;'Sollecitazioni nel paramento'!$G$58,ABS(N1042)*'Sollecitazioni nel paramento'!$G$54,'Sollecitazioni nel paramento'!$G$53)</f>
        <v>34985052.536657758</v>
      </c>
      <c r="I1042" s="472">
        <f>-'Foglio deposito bis'!$F$62*(C1042-sezione!$AP$31)*IF(ABS(O1042)&lt;'Sollecitazioni nel paramento'!$G$58,ABS(O1042)*'Sollecitazioni nel paramento'!$G$54,'Sollecitazioni nel paramento'!$G$53)</f>
        <v>135747597.66393149</v>
      </c>
      <c r="J1042" s="472">
        <f t="shared" si="72"/>
        <v>172803680.64121911</v>
      </c>
      <c r="K1042" s="550">
        <f>'Sollecitazioni nel paramento'!$G$60*(sezione!$AL$31-C1042)/C1042</f>
        <v>5.9584544931560977E-3</v>
      </c>
      <c r="L1042" s="550">
        <f>'Sollecitazioni nel paramento'!$G$60*(sezione!$AM$31-C1042)/C1042</f>
        <v>1.0687681739734148E-2</v>
      </c>
      <c r="M1042" s="551">
        <f>'Sollecitazioni nel paramento'!$G$60*(sezione!$AN$31-C1042)/C1042</f>
        <v>1.5416908986312197E-2</v>
      </c>
      <c r="N1042" s="551">
        <f>'Sollecitazioni nel paramento'!$G$60*(sezione!$AO$31-C1042)/C1042</f>
        <v>3.4333817972624393E-2</v>
      </c>
      <c r="O1042" s="551">
        <f>'Sollecitazioni nel paramento'!$G$60*(sezione!$AP$31-C1042)/C1042</f>
        <v>0.10199710106239936</v>
      </c>
      <c r="P1042" s="545">
        <f>-'Sollecitazioni nel paramento'!$G$47*'Sollecitazioni nel paramento'!$G$41*IF(DATI!$G$211="dx",DATI!$E$61,DATI!$E$64*DATI!$E$63)*1000*C1042*sezione!$AD$5</f>
        <v>-563895.50786116743</v>
      </c>
      <c r="Q1042" s="545">
        <f>'Foglio deposito bis'!$F$58*IF(ABS(K1042)&lt;'Sollecitazioni nel paramento'!$G$58,ABS(K1042)*'Sollecitazioni nel paramento'!$G$54,'Sollecitazioni nel paramento'!$G$53)*IF(K1042&lt;0,-1,1)</f>
        <v>0</v>
      </c>
      <c r="R1042" s="545">
        <f>'Foglio deposito bis'!$F$59*IF(ABS(L1042)&lt;'Sollecitazioni nel paramento'!$G$58,ABS(L1042)*'Sollecitazioni nel paramento'!$G$54,'Sollecitazioni nel paramento'!$G$53)*IF(L1042&lt;0,-1,1)</f>
        <v>153664.85805602249</v>
      </c>
      <c r="S1042" s="545">
        <f>'Foglio deposito bis'!$F$60*IF(ABS(M1042)&lt;'Sollecitazioni nel paramento'!$G$58,ABS(M1042)*'Sollecitazioni nel paramento'!$G$54,'Sollecitazioni nel paramento'!$G$53)*IF(M1042&lt;0,-1,1)</f>
        <v>0</v>
      </c>
      <c r="T1042" s="545">
        <f>'Foglio deposito bis'!$F$61*IF(ABS(N1042)&lt;'Sollecitazioni nel paramento'!$G$58,ABS(N1042)*'Sollecitazioni nel paramento'!$G$54,'Sollecitazioni nel paramento'!$G$53)*IF(N1042&lt;0,-1,1)</f>
        <v>240946.49743184328</v>
      </c>
      <c r="U1042" s="545">
        <f>'Foglio deposito bis'!$F$62*IF(ABS(O1042)&lt;'Sollecitazioni nel paramento'!$G$58,ABS(O1042)*'Sollecitazioni nel paramento'!$G$54,'Sollecitazioni nel paramento'!$G$53)*IF(O1042&lt;0,-1,1)</f>
        <v>314705.62929873407</v>
      </c>
      <c r="V1042" s="472">
        <f t="shared" si="74"/>
        <v>145421.47692543242</v>
      </c>
      <c r="W1042" s="551"/>
      <c r="X1042" s="551"/>
    </row>
    <row r="1043" spans="1:24" x14ac:dyDescent="0.25">
      <c r="A1043" s="545">
        <f t="shared" si="73"/>
        <v>132890.46563962867</v>
      </c>
      <c r="B1043" s="3">
        <f t="shared" si="75"/>
        <v>2.2999999999999998</v>
      </c>
      <c r="C1043" s="545">
        <f>'Foglio deposito bis'!$E$157/sezione!$B$247*B1043</f>
        <v>15.130496342152171</v>
      </c>
      <c r="D1043" s="603">
        <f>-'Sollecitazioni nel paramento'!$G$47*'Sollecitazioni nel paramento'!$G$41*IF(DATI!$G$211="dx",DATI!$E$61,DATI!$E$64*DATI!$E$63)*1000*C1043^2*sezione!$AD$5*(1-sezione!$AD$6)</f>
        <v>-5093425.6942520887</v>
      </c>
      <c r="E1043" s="545">
        <f>-'Foglio deposito bis'!$F$58*(C1043-sezione!$AL$31)*IF(ABS(K1043)&lt;'Sollecitazioni nel paramento'!$G$58,ABS(K1043)*'Sollecitazioni nel paramento'!$G$54,'Sollecitazioni nel paramento'!$G$53)</f>
        <v>0</v>
      </c>
      <c r="F1043" s="545">
        <f>-'Foglio deposito bis'!$F$59*(C1043-sezione!$AM$31)*IF(ABS(L1043)&lt;'Sollecitazioni nel paramento'!$G$58,ABS(L1043)*'Sollecitazioni nel paramento'!$G$54,'Sollecitazioni nel paramento'!$G$53)</f>
        <v>6894865.9106273688</v>
      </c>
      <c r="G1043" s="545">
        <f>-'Foglio deposito bis'!$F$60*(C1043-sezione!$AN$31)*IF(ABS(M1043)&lt;'Sollecitazioni nel paramento'!$G$58,ABS(M1043)*'Sollecitazioni nel paramento'!$G$54,'Sollecitazioni nel paramento'!$G$53)</f>
        <v>0</v>
      </c>
      <c r="H1043" s="545">
        <f>-'Foglio deposito bis'!$F$61*(C1043-sezione!$AO$31)*IF(ABS(N1043)&lt;'Sollecitazioni nel paramento'!$G$58,ABS(N1043)*'Sollecitazioni nel paramento'!$G$54,'Sollecitazioni nel paramento'!$G$53)</f>
        <v>34905799.491048038</v>
      </c>
      <c r="I1043" s="472">
        <f>-'Foglio deposito bis'!$F$62*(C1043-sezione!$AP$31)*IF(ABS(O1043)&lt;'Sollecitazioni nel paramento'!$G$58,ABS(O1043)*'Sollecitazioni nel paramento'!$G$54,'Sollecitazioni nel paramento'!$G$53)</f>
        <v>135644083.48191062</v>
      </c>
      <c r="J1043" s="472">
        <f t="shared" si="72"/>
        <v>172351323.18933392</v>
      </c>
      <c r="K1043" s="550">
        <f>'Sollecitazioni nel paramento'!$G$60*(sezione!$AL$31-C1043)/C1043</f>
        <v>5.7528359172179227E-3</v>
      </c>
      <c r="L1043" s="550">
        <f>'Sollecitazioni nel paramento'!$G$60*(sezione!$AM$31-C1043)/C1043</f>
        <v>1.0379253875826885E-2</v>
      </c>
      <c r="M1043" s="551">
        <f>'Sollecitazioni nel paramento'!$G$60*(sezione!$AN$31-C1043)/C1043</f>
        <v>1.5005671834435847E-2</v>
      </c>
      <c r="N1043" s="551">
        <f>'Sollecitazioni nel paramento'!$G$60*(sezione!$AO$31-C1043)/C1043</f>
        <v>3.3511343668871686E-2</v>
      </c>
      <c r="O1043" s="551">
        <f>'Sollecitazioni nel paramento'!$G$60*(sezione!$AP$31-C1043)/C1043</f>
        <v>9.9703685821912427E-2</v>
      </c>
      <c r="P1043" s="545">
        <f>-'Sollecitazioni nel paramento'!$G$47*'Sollecitazioni nel paramento'!$G$41*IF(DATI!$G$211="dx",DATI!$E$61,DATI!$E$64*DATI!$E$63)*1000*C1043*sezione!$AD$5</f>
        <v>-576426.51914697117</v>
      </c>
      <c r="Q1043" s="545">
        <f>'Foglio deposito bis'!$F$58*IF(ABS(K1043)&lt;'Sollecitazioni nel paramento'!$G$58,ABS(K1043)*'Sollecitazioni nel paramento'!$G$54,'Sollecitazioni nel paramento'!$G$53)*IF(K1043&lt;0,-1,1)</f>
        <v>0</v>
      </c>
      <c r="R1043" s="545">
        <f>'Foglio deposito bis'!$F$59*IF(ABS(L1043)&lt;'Sollecitazioni nel paramento'!$G$58,ABS(L1043)*'Sollecitazioni nel paramento'!$G$54,'Sollecitazioni nel paramento'!$G$53)*IF(L1043&lt;0,-1,1)</f>
        <v>153664.85805602249</v>
      </c>
      <c r="S1043" s="545">
        <f>'Foglio deposito bis'!$F$60*IF(ABS(M1043)&lt;'Sollecitazioni nel paramento'!$G$58,ABS(M1043)*'Sollecitazioni nel paramento'!$G$54,'Sollecitazioni nel paramento'!$G$53)*IF(M1043&lt;0,-1,1)</f>
        <v>0</v>
      </c>
      <c r="T1043" s="545">
        <f>'Foglio deposito bis'!$F$61*IF(ABS(N1043)&lt;'Sollecitazioni nel paramento'!$G$58,ABS(N1043)*'Sollecitazioni nel paramento'!$G$54,'Sollecitazioni nel paramento'!$G$53)*IF(N1043&lt;0,-1,1)</f>
        <v>240946.49743184328</v>
      </c>
      <c r="U1043" s="545">
        <f>'Foglio deposito bis'!$F$62*IF(ABS(O1043)&lt;'Sollecitazioni nel paramento'!$G$58,ABS(O1043)*'Sollecitazioni nel paramento'!$G$54,'Sollecitazioni nel paramento'!$G$53)*IF(O1043&lt;0,-1,1)</f>
        <v>314705.62929873407</v>
      </c>
      <c r="V1043" s="472">
        <f t="shared" si="74"/>
        <v>132890.46563962867</v>
      </c>
      <c r="W1043" s="551"/>
      <c r="X1043" s="551"/>
    </row>
    <row r="1044" spans="1:24" x14ac:dyDescent="0.25">
      <c r="A1044" s="545">
        <f t="shared" si="73"/>
        <v>120359.45435382504</v>
      </c>
      <c r="B1044" s="3">
        <f t="shared" si="75"/>
        <v>2.3499999999999996</v>
      </c>
      <c r="C1044" s="545">
        <f>'Foglio deposito bis'!$E$157/sezione!$B$247*B1044</f>
        <v>15.459420175677216</v>
      </c>
      <c r="D1044" s="603">
        <f>-'Sollecitazioni nel paramento'!$G$47*'Sollecitazioni nel paramento'!$G$41*IF(DATI!$G$211="dx",DATI!$E$61,DATI!$E$64*DATI!$E$63)*1000*C1044^2*sezione!$AD$5*(1-sezione!$AD$6)</f>
        <v>-5317286.0862962492</v>
      </c>
      <c r="E1044" s="545">
        <f>-'Foglio deposito bis'!$F$58*(C1044-sezione!$AL$31)*IF(ABS(K1044)&lt;'Sollecitazioni nel paramento'!$G$58,ABS(K1044)*'Sollecitazioni nel paramento'!$G$54,'Sollecitazioni nel paramento'!$G$53)</f>
        <v>0</v>
      </c>
      <c r="F1044" s="545">
        <f>-'Foglio deposito bis'!$F$59*(C1044-sezione!$AM$31)*IF(ABS(L1044)&lt;'Sollecitazioni nel paramento'!$G$58,ABS(L1044)*'Sollecitazioni nel paramento'!$G$54,'Sollecitazioni nel paramento'!$G$53)</f>
        <v>6844321.8764375001</v>
      </c>
      <c r="G1044" s="545">
        <f>-'Foglio deposito bis'!$F$60*(C1044-sezione!$AN$31)*IF(ABS(M1044)&lt;'Sollecitazioni nel paramento'!$G$58,ABS(M1044)*'Sollecitazioni nel paramento'!$G$54,'Sollecitazioni nel paramento'!$G$53)</f>
        <v>0</v>
      </c>
      <c r="H1044" s="545">
        <f>-'Foglio deposito bis'!$F$61*(C1044-sezione!$AO$31)*IF(ABS(N1044)&lt;'Sollecitazioni nel paramento'!$G$58,ABS(N1044)*'Sollecitazioni nel paramento'!$G$54,'Sollecitazioni nel paramento'!$G$53)</f>
        <v>34826546.445438325</v>
      </c>
      <c r="I1044" s="472">
        <f>-'Foglio deposito bis'!$F$62*(C1044-sezione!$AP$31)*IF(ABS(O1044)&lt;'Sollecitazioni nel paramento'!$G$58,ABS(O1044)*'Sollecitazioni nel paramento'!$G$54,'Sollecitazioni nel paramento'!$G$53)</f>
        <v>135540569.29988977</v>
      </c>
      <c r="J1044" s="472">
        <f t="shared" si="72"/>
        <v>171894151.53546935</v>
      </c>
      <c r="K1044" s="550">
        <f>'Sollecitazioni nel paramento'!$G$60*(sezione!$AL$31-C1044)/C1044</f>
        <v>5.5559670679154139E-3</v>
      </c>
      <c r="L1044" s="550">
        <f>'Sollecitazioni nel paramento'!$G$60*(sezione!$AM$31-C1044)/C1044</f>
        <v>1.0083950601873122E-2</v>
      </c>
      <c r="M1044" s="551">
        <f>'Sollecitazioni nel paramento'!$G$60*(sezione!$AN$31-C1044)/C1044</f>
        <v>1.4611934135830828E-2</v>
      </c>
      <c r="N1044" s="551">
        <f>'Sollecitazioni nel paramento'!$G$60*(sezione!$AO$31-C1044)/C1044</f>
        <v>3.2723868271661662E-2</v>
      </c>
      <c r="O1044" s="551">
        <f>'Sollecitazioni nel paramento'!$G$60*(sezione!$AP$31-C1044)/C1044</f>
        <v>9.7507862719318564E-2</v>
      </c>
      <c r="P1044" s="545">
        <f>-'Sollecitazioni nel paramento'!$G$47*'Sollecitazioni nel paramento'!$G$41*IF(DATI!$G$211="dx",DATI!$E$61,DATI!$E$64*DATI!$E$63)*1000*C1044*sezione!$AD$5</f>
        <v>-588957.5304327748</v>
      </c>
      <c r="Q1044" s="545">
        <f>'Foglio deposito bis'!$F$58*IF(ABS(K1044)&lt;'Sollecitazioni nel paramento'!$G$58,ABS(K1044)*'Sollecitazioni nel paramento'!$G$54,'Sollecitazioni nel paramento'!$G$53)*IF(K1044&lt;0,-1,1)</f>
        <v>0</v>
      </c>
      <c r="R1044" s="545">
        <f>'Foglio deposito bis'!$F$59*IF(ABS(L1044)&lt;'Sollecitazioni nel paramento'!$G$58,ABS(L1044)*'Sollecitazioni nel paramento'!$G$54,'Sollecitazioni nel paramento'!$G$53)*IF(L1044&lt;0,-1,1)</f>
        <v>153664.85805602249</v>
      </c>
      <c r="S1044" s="545">
        <f>'Foglio deposito bis'!$F$60*IF(ABS(M1044)&lt;'Sollecitazioni nel paramento'!$G$58,ABS(M1044)*'Sollecitazioni nel paramento'!$G$54,'Sollecitazioni nel paramento'!$G$53)*IF(M1044&lt;0,-1,1)</f>
        <v>0</v>
      </c>
      <c r="T1044" s="545">
        <f>'Foglio deposito bis'!$F$61*IF(ABS(N1044)&lt;'Sollecitazioni nel paramento'!$G$58,ABS(N1044)*'Sollecitazioni nel paramento'!$G$54,'Sollecitazioni nel paramento'!$G$53)*IF(N1044&lt;0,-1,1)</f>
        <v>240946.49743184328</v>
      </c>
      <c r="U1044" s="545">
        <f>'Foglio deposito bis'!$F$62*IF(ABS(O1044)&lt;'Sollecitazioni nel paramento'!$G$58,ABS(O1044)*'Sollecitazioni nel paramento'!$G$54,'Sollecitazioni nel paramento'!$G$53)*IF(O1044&lt;0,-1,1)</f>
        <v>314705.62929873407</v>
      </c>
      <c r="V1044" s="472">
        <f t="shared" si="74"/>
        <v>120359.45435382504</v>
      </c>
      <c r="W1044" s="551"/>
      <c r="X1044" s="551"/>
    </row>
    <row r="1045" spans="1:24" x14ac:dyDescent="0.25">
      <c r="A1045" s="545">
        <f t="shared" si="73"/>
        <v>107828.44306802141</v>
      </c>
      <c r="B1045" s="3">
        <f t="shared" si="75"/>
        <v>2.3999999999999995</v>
      </c>
      <c r="C1045" s="545">
        <f>'Foglio deposito bis'!$E$157/sezione!$B$247*B1045</f>
        <v>15.788344009202262</v>
      </c>
      <c r="D1045" s="603">
        <f>-'Sollecitazioni nel paramento'!$G$47*'Sollecitazioni nel paramento'!$G$41*IF(DATI!$G$211="dx",DATI!$E$61,DATI!$E$64*DATI!$E$63)*1000*C1045^2*sezione!$AD$5*(1-sezione!$AD$6)</f>
        <v>-5545960.6803198541</v>
      </c>
      <c r="E1045" s="545">
        <f>-'Foglio deposito bis'!$F$58*(C1045-sezione!$AL$31)*IF(ABS(K1045)&lt;'Sollecitazioni nel paramento'!$G$58,ABS(K1045)*'Sollecitazioni nel paramento'!$G$54,'Sollecitazioni nel paramento'!$G$53)</f>
        <v>0</v>
      </c>
      <c r="F1045" s="545">
        <f>-'Foglio deposito bis'!$F$59*(C1045-sezione!$AM$31)*IF(ABS(L1045)&lt;'Sollecitazioni nel paramento'!$G$58,ABS(L1045)*'Sollecitazioni nel paramento'!$G$54,'Sollecitazioni nel paramento'!$G$53)</f>
        <v>6793777.8422476314</v>
      </c>
      <c r="G1045" s="545">
        <f>-'Foglio deposito bis'!$F$60*(C1045-sezione!$AN$31)*IF(ABS(M1045)&lt;'Sollecitazioni nel paramento'!$G$58,ABS(M1045)*'Sollecitazioni nel paramento'!$G$54,'Sollecitazioni nel paramento'!$G$53)</f>
        <v>0</v>
      </c>
      <c r="H1045" s="545">
        <f>-'Foglio deposito bis'!$F$61*(C1045-sezione!$AO$31)*IF(ABS(N1045)&lt;'Sollecitazioni nel paramento'!$G$58,ABS(N1045)*'Sollecitazioni nel paramento'!$G$54,'Sollecitazioni nel paramento'!$G$53)</f>
        <v>34747293.399828613</v>
      </c>
      <c r="I1045" s="472">
        <f>-'Foglio deposito bis'!$F$62*(C1045-sezione!$AP$31)*IF(ABS(O1045)&lt;'Sollecitazioni nel paramento'!$G$58,ABS(O1045)*'Sollecitazioni nel paramento'!$G$54,'Sollecitazioni nel paramento'!$G$53)</f>
        <v>135437055.11786893</v>
      </c>
      <c r="J1045" s="472">
        <f t="shared" si="72"/>
        <v>171432165.67962533</v>
      </c>
      <c r="K1045" s="550">
        <f>'Sollecitazioni nel paramento'!$G$60*(sezione!$AL$31-C1045)/C1045</f>
        <v>5.3673010873338438E-3</v>
      </c>
      <c r="L1045" s="550">
        <f>'Sollecitazioni nel paramento'!$G$60*(sezione!$AM$31-C1045)/C1045</f>
        <v>9.800951631000766E-3</v>
      </c>
      <c r="M1045" s="551">
        <f>'Sollecitazioni nel paramento'!$G$60*(sezione!$AN$31-C1045)/C1045</f>
        <v>1.4234602174667687E-2</v>
      </c>
      <c r="N1045" s="551">
        <f>'Sollecitazioni nel paramento'!$G$60*(sezione!$AO$31-C1045)/C1045</f>
        <v>3.1969204349335374E-2</v>
      </c>
      <c r="O1045" s="551">
        <f>'Sollecitazioni nel paramento'!$G$60*(sezione!$AP$31-C1045)/C1045</f>
        <v>9.5403532245999442E-2</v>
      </c>
      <c r="P1045" s="545">
        <f>-'Sollecitazioni nel paramento'!$G$47*'Sollecitazioni nel paramento'!$G$41*IF(DATI!$G$211="dx",DATI!$E$61,DATI!$E$64*DATI!$E$63)*1000*C1045*sezione!$AD$5</f>
        <v>-601488.54171857843</v>
      </c>
      <c r="Q1045" s="545">
        <f>'Foglio deposito bis'!$F$58*IF(ABS(K1045)&lt;'Sollecitazioni nel paramento'!$G$58,ABS(K1045)*'Sollecitazioni nel paramento'!$G$54,'Sollecitazioni nel paramento'!$G$53)*IF(K1045&lt;0,-1,1)</f>
        <v>0</v>
      </c>
      <c r="R1045" s="545">
        <f>'Foglio deposito bis'!$F$59*IF(ABS(L1045)&lt;'Sollecitazioni nel paramento'!$G$58,ABS(L1045)*'Sollecitazioni nel paramento'!$G$54,'Sollecitazioni nel paramento'!$G$53)*IF(L1045&lt;0,-1,1)</f>
        <v>153664.85805602249</v>
      </c>
      <c r="S1045" s="545">
        <f>'Foglio deposito bis'!$F$60*IF(ABS(M1045)&lt;'Sollecitazioni nel paramento'!$G$58,ABS(M1045)*'Sollecitazioni nel paramento'!$G$54,'Sollecitazioni nel paramento'!$G$53)*IF(M1045&lt;0,-1,1)</f>
        <v>0</v>
      </c>
      <c r="T1045" s="545">
        <f>'Foglio deposito bis'!$F$61*IF(ABS(N1045)&lt;'Sollecitazioni nel paramento'!$G$58,ABS(N1045)*'Sollecitazioni nel paramento'!$G$54,'Sollecitazioni nel paramento'!$G$53)*IF(N1045&lt;0,-1,1)</f>
        <v>240946.49743184328</v>
      </c>
      <c r="U1045" s="545">
        <f>'Foglio deposito bis'!$F$62*IF(ABS(O1045)&lt;'Sollecitazioni nel paramento'!$G$58,ABS(O1045)*'Sollecitazioni nel paramento'!$G$54,'Sollecitazioni nel paramento'!$G$53)*IF(O1045&lt;0,-1,1)</f>
        <v>314705.62929873407</v>
      </c>
      <c r="V1045" s="472">
        <f t="shared" si="74"/>
        <v>107828.44306802141</v>
      </c>
      <c r="W1045" s="551"/>
      <c r="X1045" s="551"/>
    </row>
    <row r="1046" spans="1:24" x14ac:dyDescent="0.25">
      <c r="A1046" s="545">
        <f t="shared" si="73"/>
        <v>95297.431782217667</v>
      </c>
      <c r="B1046" s="3">
        <f t="shared" si="75"/>
        <v>2.4499999999999993</v>
      </c>
      <c r="C1046" s="545">
        <f>'Foglio deposito bis'!$E$157/sezione!$B$247*B1046</f>
        <v>16.117267842727308</v>
      </c>
      <c r="D1046" s="603">
        <f>-'Sollecitazioni nel paramento'!$G$47*'Sollecitazioni nel paramento'!$G$41*IF(DATI!$G$211="dx",DATI!$E$61,DATI!$E$64*DATI!$E$63)*1000*C1046^2*sezione!$AD$5*(1-sezione!$AD$6)</f>
        <v>-5779449.4763229024</v>
      </c>
      <c r="E1046" s="545">
        <f>-'Foglio deposito bis'!$F$58*(C1046-sezione!$AL$31)*IF(ABS(K1046)&lt;'Sollecitazioni nel paramento'!$G$58,ABS(K1046)*'Sollecitazioni nel paramento'!$G$54,'Sollecitazioni nel paramento'!$G$53)</f>
        <v>0</v>
      </c>
      <c r="F1046" s="545">
        <f>-'Foglio deposito bis'!$F$59*(C1046-sezione!$AM$31)*IF(ABS(L1046)&lt;'Sollecitazioni nel paramento'!$G$58,ABS(L1046)*'Sollecitazioni nel paramento'!$G$54,'Sollecitazioni nel paramento'!$G$53)</f>
        <v>6743233.8080577618</v>
      </c>
      <c r="G1046" s="545">
        <f>-'Foglio deposito bis'!$F$60*(C1046-sezione!$AN$31)*IF(ABS(M1046)&lt;'Sollecitazioni nel paramento'!$G$58,ABS(M1046)*'Sollecitazioni nel paramento'!$G$54,'Sollecitazioni nel paramento'!$G$53)</f>
        <v>0</v>
      </c>
      <c r="H1046" s="545">
        <f>-'Foglio deposito bis'!$F$61*(C1046-sezione!$AO$31)*IF(ABS(N1046)&lt;'Sollecitazioni nel paramento'!$G$58,ABS(N1046)*'Sollecitazioni nel paramento'!$G$54,'Sollecitazioni nel paramento'!$G$53)</f>
        <v>34668040.3542189</v>
      </c>
      <c r="I1046" s="472">
        <f>-'Foglio deposito bis'!$F$62*(C1046-sezione!$AP$31)*IF(ABS(O1046)&lt;'Sollecitazioni nel paramento'!$G$58,ABS(O1046)*'Sollecitazioni nel paramento'!$G$54,'Sollecitazioni nel paramento'!$G$53)</f>
        <v>135333540.93584806</v>
      </c>
      <c r="J1046" s="472">
        <f t="shared" si="72"/>
        <v>170965365.62180182</v>
      </c>
      <c r="K1046" s="550">
        <f>'Sollecitazioni nel paramento'!$G$60*(sezione!$AL$31-C1046)/C1046</f>
        <v>5.1863357590209089E-3</v>
      </c>
      <c r="L1046" s="550">
        <f>'Sollecitazioni nel paramento'!$G$60*(sezione!$AM$31-C1046)/C1046</f>
        <v>9.5295036385313631E-3</v>
      </c>
      <c r="M1046" s="551">
        <f>'Sollecitazioni nel paramento'!$G$60*(sezione!$AN$31-C1046)/C1046</f>
        <v>1.3872671518041817E-2</v>
      </c>
      <c r="N1046" s="551">
        <f>'Sollecitazioni nel paramento'!$G$60*(sezione!$AO$31-C1046)/C1046</f>
        <v>3.1245343036083641E-2</v>
      </c>
      <c r="O1046" s="551">
        <f>'Sollecitazioni nel paramento'!$G$60*(sezione!$AP$31-C1046)/C1046</f>
        <v>9.3385092812407616E-2</v>
      </c>
      <c r="P1046" s="545">
        <f>-'Sollecitazioni nel paramento'!$G$47*'Sollecitazioni nel paramento'!$G$41*IF(DATI!$G$211="dx",DATI!$E$61,DATI!$E$64*DATI!$E$63)*1000*C1046*sezione!$AD$5</f>
        <v>-614019.55300438218</v>
      </c>
      <c r="Q1046" s="545">
        <f>'Foglio deposito bis'!$F$58*IF(ABS(K1046)&lt;'Sollecitazioni nel paramento'!$G$58,ABS(K1046)*'Sollecitazioni nel paramento'!$G$54,'Sollecitazioni nel paramento'!$G$53)*IF(K1046&lt;0,-1,1)</f>
        <v>0</v>
      </c>
      <c r="R1046" s="545">
        <f>'Foglio deposito bis'!$F$59*IF(ABS(L1046)&lt;'Sollecitazioni nel paramento'!$G$58,ABS(L1046)*'Sollecitazioni nel paramento'!$G$54,'Sollecitazioni nel paramento'!$G$53)*IF(L1046&lt;0,-1,1)</f>
        <v>153664.85805602249</v>
      </c>
      <c r="S1046" s="545">
        <f>'Foglio deposito bis'!$F$60*IF(ABS(M1046)&lt;'Sollecitazioni nel paramento'!$G$58,ABS(M1046)*'Sollecitazioni nel paramento'!$G$54,'Sollecitazioni nel paramento'!$G$53)*IF(M1046&lt;0,-1,1)</f>
        <v>0</v>
      </c>
      <c r="T1046" s="545">
        <f>'Foglio deposito bis'!$F$61*IF(ABS(N1046)&lt;'Sollecitazioni nel paramento'!$G$58,ABS(N1046)*'Sollecitazioni nel paramento'!$G$54,'Sollecitazioni nel paramento'!$G$53)*IF(N1046&lt;0,-1,1)</f>
        <v>240946.49743184328</v>
      </c>
      <c r="U1046" s="545">
        <f>'Foglio deposito bis'!$F$62*IF(ABS(O1046)&lt;'Sollecitazioni nel paramento'!$G$58,ABS(O1046)*'Sollecitazioni nel paramento'!$G$54,'Sollecitazioni nel paramento'!$G$53)*IF(O1046&lt;0,-1,1)</f>
        <v>314705.62929873407</v>
      </c>
      <c r="V1046" s="472">
        <f t="shared" si="74"/>
        <v>95297.431782217667</v>
      </c>
      <c r="W1046" s="551"/>
      <c r="X1046" s="551"/>
    </row>
    <row r="1047" spans="1:24" x14ac:dyDescent="0.25">
      <c r="A1047" s="545">
        <f t="shared" si="73"/>
        <v>82766.420496413921</v>
      </c>
      <c r="B1047" s="3">
        <f t="shared" si="75"/>
        <v>2.4999999999999991</v>
      </c>
      <c r="C1047" s="545">
        <f>'Foglio deposito bis'!$E$157/sezione!$B$247*B1047</f>
        <v>16.446191676252354</v>
      </c>
      <c r="D1047" s="603">
        <f>-'Sollecitazioni nel paramento'!$G$47*'Sollecitazioni nel paramento'!$G$41*IF(DATI!$G$211="dx",DATI!$E$61,DATI!$E$64*DATI!$E$63)*1000*C1047^2*sezione!$AD$5*(1-sezione!$AD$6)</f>
        <v>-6017752.4743053941</v>
      </c>
      <c r="E1047" s="545">
        <f>-'Foglio deposito bis'!$F$58*(C1047-sezione!$AL$31)*IF(ABS(K1047)&lt;'Sollecitazioni nel paramento'!$G$58,ABS(K1047)*'Sollecitazioni nel paramento'!$G$54,'Sollecitazioni nel paramento'!$G$53)</f>
        <v>0</v>
      </c>
      <c r="F1047" s="545">
        <f>-'Foglio deposito bis'!$F$59*(C1047-sezione!$AM$31)*IF(ABS(L1047)&lt;'Sollecitazioni nel paramento'!$G$58,ABS(L1047)*'Sollecitazioni nel paramento'!$G$54,'Sollecitazioni nel paramento'!$G$53)</f>
        <v>6692689.773867893</v>
      </c>
      <c r="G1047" s="545">
        <f>-'Foglio deposito bis'!$F$60*(C1047-sezione!$AN$31)*IF(ABS(M1047)&lt;'Sollecitazioni nel paramento'!$G$58,ABS(M1047)*'Sollecitazioni nel paramento'!$G$54,'Sollecitazioni nel paramento'!$G$53)</f>
        <v>0</v>
      </c>
      <c r="H1047" s="545">
        <f>-'Foglio deposito bis'!$F$61*(C1047-sezione!$AO$31)*IF(ABS(N1047)&lt;'Sollecitazioni nel paramento'!$G$58,ABS(N1047)*'Sollecitazioni nel paramento'!$G$54,'Sollecitazioni nel paramento'!$G$53)</f>
        <v>34588787.308609188</v>
      </c>
      <c r="I1047" s="472">
        <f>-'Foglio deposito bis'!$F$62*(C1047-sezione!$AP$31)*IF(ABS(O1047)&lt;'Sollecitazioni nel paramento'!$G$58,ABS(O1047)*'Sollecitazioni nel paramento'!$G$54,'Sollecitazioni nel paramento'!$G$53)</f>
        <v>135230026.75382721</v>
      </c>
      <c r="J1047" s="472">
        <f t="shared" si="72"/>
        <v>170493751.36199892</v>
      </c>
      <c r="K1047" s="550">
        <f>'Sollecitazioni nel paramento'!$G$60*(sezione!$AL$31-C1047)/C1047</f>
        <v>5.0126090438404915E-3</v>
      </c>
      <c r="L1047" s="550">
        <f>'Sollecitazioni nel paramento'!$G$60*(sezione!$AM$31-C1047)/C1047</f>
        <v>9.268913565760737E-3</v>
      </c>
      <c r="M1047" s="551">
        <f>'Sollecitazioni nel paramento'!$G$60*(sezione!$AN$31-C1047)/C1047</f>
        <v>1.3525218087680983E-2</v>
      </c>
      <c r="N1047" s="551">
        <f>'Sollecitazioni nel paramento'!$G$60*(sezione!$AO$31-C1047)/C1047</f>
        <v>3.0550436175361968E-2</v>
      </c>
      <c r="O1047" s="551">
        <f>'Sollecitazioni nel paramento'!$G$60*(sezione!$AP$31-C1047)/C1047</f>
        <v>9.1447390956159474E-2</v>
      </c>
      <c r="P1047" s="545">
        <f>-'Sollecitazioni nel paramento'!$G$47*'Sollecitazioni nel paramento'!$G$41*IF(DATI!$G$211="dx",DATI!$E$61,DATI!$E$64*DATI!$E$63)*1000*C1047*sezione!$AD$5</f>
        <v>-626550.56429018592</v>
      </c>
      <c r="Q1047" s="545">
        <f>'Foglio deposito bis'!$F$58*IF(ABS(K1047)&lt;'Sollecitazioni nel paramento'!$G$58,ABS(K1047)*'Sollecitazioni nel paramento'!$G$54,'Sollecitazioni nel paramento'!$G$53)*IF(K1047&lt;0,-1,1)</f>
        <v>0</v>
      </c>
      <c r="R1047" s="545">
        <f>'Foglio deposito bis'!$F$59*IF(ABS(L1047)&lt;'Sollecitazioni nel paramento'!$G$58,ABS(L1047)*'Sollecitazioni nel paramento'!$G$54,'Sollecitazioni nel paramento'!$G$53)*IF(L1047&lt;0,-1,1)</f>
        <v>153664.85805602249</v>
      </c>
      <c r="S1047" s="545">
        <f>'Foglio deposito bis'!$F$60*IF(ABS(M1047)&lt;'Sollecitazioni nel paramento'!$G$58,ABS(M1047)*'Sollecitazioni nel paramento'!$G$54,'Sollecitazioni nel paramento'!$G$53)*IF(M1047&lt;0,-1,1)</f>
        <v>0</v>
      </c>
      <c r="T1047" s="545">
        <f>'Foglio deposito bis'!$F$61*IF(ABS(N1047)&lt;'Sollecitazioni nel paramento'!$G$58,ABS(N1047)*'Sollecitazioni nel paramento'!$G$54,'Sollecitazioni nel paramento'!$G$53)*IF(N1047&lt;0,-1,1)</f>
        <v>240946.49743184328</v>
      </c>
      <c r="U1047" s="545">
        <f>'Foglio deposito bis'!$F$62*IF(ABS(O1047)&lt;'Sollecitazioni nel paramento'!$G$58,ABS(O1047)*'Sollecitazioni nel paramento'!$G$54,'Sollecitazioni nel paramento'!$G$53)*IF(O1047&lt;0,-1,1)</f>
        <v>314705.62929873407</v>
      </c>
      <c r="V1047" s="472">
        <f t="shared" si="74"/>
        <v>82766.420496413921</v>
      </c>
      <c r="W1047" s="551"/>
      <c r="X1047" s="551"/>
    </row>
    <row r="1048" spans="1:24" x14ac:dyDescent="0.25">
      <c r="A1048" s="545">
        <f t="shared" si="73"/>
        <v>70235.409210610291</v>
      </c>
      <c r="B1048" s="3">
        <f t="shared" si="75"/>
        <v>2.5499999999999989</v>
      </c>
      <c r="C1048" s="545">
        <f>'Foglio deposito bis'!$E$157/sezione!$B$247*B1048</f>
        <v>16.7751155097774</v>
      </c>
      <c r="D1048" s="603">
        <f>-'Sollecitazioni nel paramento'!$G$47*'Sollecitazioni nel paramento'!$G$41*IF(DATI!$G$211="dx",DATI!$E$61,DATI!$E$64*DATI!$E$63)*1000*C1048^2*sezione!$AD$5*(1-sezione!$AD$6)</f>
        <v>-6260869.6742673311</v>
      </c>
      <c r="E1048" s="545">
        <f>-'Foglio deposito bis'!$F$58*(C1048-sezione!$AL$31)*IF(ABS(K1048)&lt;'Sollecitazioni nel paramento'!$G$58,ABS(K1048)*'Sollecitazioni nel paramento'!$G$54,'Sollecitazioni nel paramento'!$G$53)</f>
        <v>0</v>
      </c>
      <c r="F1048" s="545">
        <f>-'Foglio deposito bis'!$F$59*(C1048-sezione!$AM$31)*IF(ABS(L1048)&lt;'Sollecitazioni nel paramento'!$G$58,ABS(L1048)*'Sollecitazioni nel paramento'!$G$54,'Sollecitazioni nel paramento'!$G$53)</f>
        <v>6642145.7396780243</v>
      </c>
      <c r="G1048" s="545">
        <f>-'Foglio deposito bis'!$F$60*(C1048-sezione!$AN$31)*IF(ABS(M1048)&lt;'Sollecitazioni nel paramento'!$G$58,ABS(M1048)*'Sollecitazioni nel paramento'!$G$54,'Sollecitazioni nel paramento'!$G$53)</f>
        <v>0</v>
      </c>
      <c r="H1048" s="545">
        <f>-'Foglio deposito bis'!$F$61*(C1048-sezione!$AO$31)*IF(ABS(N1048)&lt;'Sollecitazioni nel paramento'!$G$58,ABS(N1048)*'Sollecitazioni nel paramento'!$G$54,'Sollecitazioni nel paramento'!$G$53)</f>
        <v>34509534.262999468</v>
      </c>
      <c r="I1048" s="472">
        <f>-'Foglio deposito bis'!$F$62*(C1048-sezione!$AP$31)*IF(ABS(O1048)&lt;'Sollecitazioni nel paramento'!$G$58,ABS(O1048)*'Sollecitazioni nel paramento'!$G$54,'Sollecitazioni nel paramento'!$G$53)</f>
        <v>135126512.57180637</v>
      </c>
      <c r="J1048" s="472">
        <f t="shared" si="72"/>
        <v>170017322.90021652</v>
      </c>
      <c r="K1048" s="550">
        <f>'Sollecitazioni nel paramento'!$G$60*(sezione!$AL$31-C1048)/C1048</f>
        <v>4.8456951410200903E-3</v>
      </c>
      <c r="L1048" s="550">
        <f>'Sollecitazioni nel paramento'!$G$60*(sezione!$AM$31-C1048)/C1048</f>
        <v>9.0185427115301361E-3</v>
      </c>
      <c r="M1048" s="551">
        <f>'Sollecitazioni nel paramento'!$G$60*(sezione!$AN$31-C1048)/C1048</f>
        <v>1.319139028204018E-2</v>
      </c>
      <c r="N1048" s="551">
        <f>'Sollecitazioni nel paramento'!$G$60*(sezione!$AO$31-C1048)/C1048</f>
        <v>2.988278056408036E-2</v>
      </c>
      <c r="O1048" s="551">
        <f>'Sollecitazioni nel paramento'!$G$60*(sezione!$AP$31-C1048)/C1048</f>
        <v>8.9585677407999498E-2</v>
      </c>
      <c r="P1048" s="545">
        <f>-'Sollecitazioni nel paramento'!$G$47*'Sollecitazioni nel paramento'!$G$41*IF(DATI!$G$211="dx",DATI!$E$61,DATI!$E$64*DATI!$E$63)*1000*C1048*sezione!$AD$5</f>
        <v>-639081.57557598955</v>
      </c>
      <c r="Q1048" s="545">
        <f>'Foglio deposito bis'!$F$58*IF(ABS(K1048)&lt;'Sollecitazioni nel paramento'!$G$58,ABS(K1048)*'Sollecitazioni nel paramento'!$G$54,'Sollecitazioni nel paramento'!$G$53)*IF(K1048&lt;0,-1,1)</f>
        <v>0</v>
      </c>
      <c r="R1048" s="545">
        <f>'Foglio deposito bis'!$F$59*IF(ABS(L1048)&lt;'Sollecitazioni nel paramento'!$G$58,ABS(L1048)*'Sollecitazioni nel paramento'!$G$54,'Sollecitazioni nel paramento'!$G$53)*IF(L1048&lt;0,-1,1)</f>
        <v>153664.85805602249</v>
      </c>
      <c r="S1048" s="545">
        <f>'Foglio deposito bis'!$F$60*IF(ABS(M1048)&lt;'Sollecitazioni nel paramento'!$G$58,ABS(M1048)*'Sollecitazioni nel paramento'!$G$54,'Sollecitazioni nel paramento'!$G$53)*IF(M1048&lt;0,-1,1)</f>
        <v>0</v>
      </c>
      <c r="T1048" s="545">
        <f>'Foglio deposito bis'!$F$61*IF(ABS(N1048)&lt;'Sollecitazioni nel paramento'!$G$58,ABS(N1048)*'Sollecitazioni nel paramento'!$G$54,'Sollecitazioni nel paramento'!$G$53)*IF(N1048&lt;0,-1,1)</f>
        <v>240946.49743184328</v>
      </c>
      <c r="U1048" s="545">
        <f>'Foglio deposito bis'!$F$62*IF(ABS(O1048)&lt;'Sollecitazioni nel paramento'!$G$58,ABS(O1048)*'Sollecitazioni nel paramento'!$G$54,'Sollecitazioni nel paramento'!$G$53)*IF(O1048&lt;0,-1,1)</f>
        <v>314705.62929873407</v>
      </c>
      <c r="V1048" s="472">
        <f t="shared" si="74"/>
        <v>70235.409210610291</v>
      </c>
      <c r="W1048" s="551"/>
      <c r="X1048" s="551"/>
    </row>
    <row r="1049" spans="1:24" x14ac:dyDescent="0.25">
      <c r="A1049" s="545">
        <f t="shared" si="73"/>
        <v>57704.397924806661</v>
      </c>
      <c r="B1049" s="3">
        <f t="shared" si="75"/>
        <v>2.5999999999999988</v>
      </c>
      <c r="C1049" s="545">
        <f>'Foglio deposito bis'!$E$157/sezione!$B$247*B1049</f>
        <v>17.104039343302446</v>
      </c>
      <c r="D1049" s="603">
        <f>-'Sollecitazioni nel paramento'!$G$47*'Sollecitazioni nel paramento'!$G$41*IF(DATI!$G$211="dx",DATI!$E$61,DATI!$E$64*DATI!$E$63)*1000*C1049^2*sezione!$AD$5*(1-sezione!$AD$6)</f>
        <v>-6508801.0762087135</v>
      </c>
      <c r="E1049" s="545">
        <f>-'Foglio deposito bis'!$F$58*(C1049-sezione!$AL$31)*IF(ABS(K1049)&lt;'Sollecitazioni nel paramento'!$G$58,ABS(K1049)*'Sollecitazioni nel paramento'!$G$54,'Sollecitazioni nel paramento'!$G$53)</f>
        <v>0</v>
      </c>
      <c r="F1049" s="545">
        <f>-'Foglio deposito bis'!$F$59*(C1049-sezione!$AM$31)*IF(ABS(L1049)&lt;'Sollecitazioni nel paramento'!$G$58,ABS(L1049)*'Sollecitazioni nel paramento'!$G$54,'Sollecitazioni nel paramento'!$G$53)</f>
        <v>6591601.7054881547</v>
      </c>
      <c r="G1049" s="545">
        <f>-'Foglio deposito bis'!$F$60*(C1049-sezione!$AN$31)*IF(ABS(M1049)&lt;'Sollecitazioni nel paramento'!$G$58,ABS(M1049)*'Sollecitazioni nel paramento'!$G$54,'Sollecitazioni nel paramento'!$G$53)</f>
        <v>0</v>
      </c>
      <c r="H1049" s="545">
        <f>-'Foglio deposito bis'!$F$61*(C1049-sezione!$AO$31)*IF(ABS(N1049)&lt;'Sollecitazioni nel paramento'!$G$58,ABS(N1049)*'Sollecitazioni nel paramento'!$G$54,'Sollecitazioni nel paramento'!$G$53)</f>
        <v>34430281.217389755</v>
      </c>
      <c r="I1049" s="472">
        <f>-'Foglio deposito bis'!$F$62*(C1049-sezione!$AP$31)*IF(ABS(O1049)&lt;'Sollecitazioni nel paramento'!$G$58,ABS(O1049)*'Sollecitazioni nel paramento'!$G$54,'Sollecitazioni nel paramento'!$G$53)</f>
        <v>135022998.38978553</v>
      </c>
      <c r="J1049" s="472">
        <f t="shared" si="72"/>
        <v>169536080.23645473</v>
      </c>
      <c r="K1049" s="550">
        <f>'Sollecitazioni nel paramento'!$G$60*(sezione!$AL$31-C1049)/C1049</f>
        <v>4.6852010036927813E-3</v>
      </c>
      <c r="L1049" s="550">
        <f>'Sollecitazioni nel paramento'!$G$60*(sezione!$AM$31-C1049)/C1049</f>
        <v>8.777801505539173E-3</v>
      </c>
      <c r="M1049" s="551">
        <f>'Sollecitazioni nel paramento'!$G$60*(sezione!$AN$31-C1049)/C1049</f>
        <v>1.2870402007385564E-2</v>
      </c>
      <c r="N1049" s="551">
        <f>'Sollecitazioni nel paramento'!$G$60*(sezione!$AO$31-C1049)/C1049</f>
        <v>2.9240804014771124E-2</v>
      </c>
      <c r="O1049" s="551">
        <f>'Sollecitazioni nel paramento'!$G$60*(sezione!$AP$31-C1049)/C1049</f>
        <v>8.7795568227076431E-2</v>
      </c>
      <c r="P1049" s="545">
        <f>-'Sollecitazioni nel paramento'!$G$47*'Sollecitazioni nel paramento'!$G$41*IF(DATI!$G$211="dx",DATI!$E$61,DATI!$E$64*DATI!$E$63)*1000*C1049*sezione!$AD$5</f>
        <v>-651612.58686179318</v>
      </c>
      <c r="Q1049" s="545">
        <f>'Foglio deposito bis'!$F$58*IF(ABS(K1049)&lt;'Sollecitazioni nel paramento'!$G$58,ABS(K1049)*'Sollecitazioni nel paramento'!$G$54,'Sollecitazioni nel paramento'!$G$53)*IF(K1049&lt;0,-1,1)</f>
        <v>0</v>
      </c>
      <c r="R1049" s="545">
        <f>'Foglio deposito bis'!$F$59*IF(ABS(L1049)&lt;'Sollecitazioni nel paramento'!$G$58,ABS(L1049)*'Sollecitazioni nel paramento'!$G$54,'Sollecitazioni nel paramento'!$G$53)*IF(L1049&lt;0,-1,1)</f>
        <v>153664.85805602249</v>
      </c>
      <c r="S1049" s="545">
        <f>'Foglio deposito bis'!$F$60*IF(ABS(M1049)&lt;'Sollecitazioni nel paramento'!$G$58,ABS(M1049)*'Sollecitazioni nel paramento'!$G$54,'Sollecitazioni nel paramento'!$G$53)*IF(M1049&lt;0,-1,1)</f>
        <v>0</v>
      </c>
      <c r="T1049" s="545">
        <f>'Foglio deposito bis'!$F$61*IF(ABS(N1049)&lt;'Sollecitazioni nel paramento'!$G$58,ABS(N1049)*'Sollecitazioni nel paramento'!$G$54,'Sollecitazioni nel paramento'!$G$53)*IF(N1049&lt;0,-1,1)</f>
        <v>240946.49743184328</v>
      </c>
      <c r="U1049" s="545">
        <f>'Foglio deposito bis'!$F$62*IF(ABS(O1049)&lt;'Sollecitazioni nel paramento'!$G$58,ABS(O1049)*'Sollecitazioni nel paramento'!$G$54,'Sollecitazioni nel paramento'!$G$53)*IF(O1049&lt;0,-1,1)</f>
        <v>314705.62929873407</v>
      </c>
      <c r="V1049" s="472">
        <f t="shared" si="74"/>
        <v>57704.397924806661</v>
      </c>
      <c r="W1049" s="551"/>
      <c r="X1049" s="551"/>
    </row>
    <row r="1050" spans="1:24" x14ac:dyDescent="0.25">
      <c r="A1050" s="545">
        <f t="shared" si="73"/>
        <v>45173.386639003002</v>
      </c>
      <c r="B1050" s="3">
        <f t="shared" si="75"/>
        <v>2.6499999999999986</v>
      </c>
      <c r="C1050" s="545">
        <f>'Foglio deposito bis'!$E$157/sezione!$B$247*B1050</f>
        <v>17.432963176827492</v>
      </c>
      <c r="D1050" s="603">
        <f>-'Sollecitazioni nel paramento'!$G$47*'Sollecitazioni nel paramento'!$G$41*IF(DATI!$G$211="dx",DATI!$E$61,DATI!$E$64*DATI!$E$63)*1000*C1050^2*sezione!$AD$5*(1-sezione!$AD$6)</f>
        <v>-6761546.6801295392</v>
      </c>
      <c r="E1050" s="545">
        <f>-'Foglio deposito bis'!$F$58*(C1050-sezione!$AL$31)*IF(ABS(K1050)&lt;'Sollecitazioni nel paramento'!$G$58,ABS(K1050)*'Sollecitazioni nel paramento'!$G$54,'Sollecitazioni nel paramento'!$G$53)</f>
        <v>0</v>
      </c>
      <c r="F1050" s="545">
        <f>-'Foglio deposito bis'!$F$59*(C1050-sezione!$AM$31)*IF(ABS(L1050)&lt;'Sollecitazioni nel paramento'!$G$58,ABS(L1050)*'Sollecitazioni nel paramento'!$G$54,'Sollecitazioni nel paramento'!$G$53)</f>
        <v>6541057.6712982859</v>
      </c>
      <c r="G1050" s="545">
        <f>-'Foglio deposito bis'!$F$60*(C1050-sezione!$AN$31)*IF(ABS(M1050)&lt;'Sollecitazioni nel paramento'!$G$58,ABS(M1050)*'Sollecitazioni nel paramento'!$G$54,'Sollecitazioni nel paramento'!$G$53)</f>
        <v>0</v>
      </c>
      <c r="H1050" s="545">
        <f>-'Foglio deposito bis'!$F$61*(C1050-sezione!$AO$31)*IF(ABS(N1050)&lt;'Sollecitazioni nel paramento'!$G$58,ABS(N1050)*'Sollecitazioni nel paramento'!$G$54,'Sollecitazioni nel paramento'!$G$53)</f>
        <v>34351028.171780042</v>
      </c>
      <c r="I1050" s="472">
        <f>-'Foglio deposito bis'!$F$62*(C1050-sezione!$AP$31)*IF(ABS(O1050)&lt;'Sollecitazioni nel paramento'!$G$58,ABS(O1050)*'Sollecitazioni nel paramento'!$G$54,'Sollecitazioni nel paramento'!$G$53)</f>
        <v>134919484.20776466</v>
      </c>
      <c r="J1050" s="472">
        <f t="shared" si="72"/>
        <v>169050023.37071344</v>
      </c>
      <c r="K1050" s="550">
        <f>'Sollecitazioni nel paramento'!$G$60*(sezione!$AL$31-C1050)/C1050</f>
        <v>4.530763248906125E-3</v>
      </c>
      <c r="L1050" s="550">
        <f>'Sollecitazioni nel paramento'!$G$60*(sezione!$AM$31-C1050)/C1050</f>
        <v>8.5461448733591891E-3</v>
      </c>
      <c r="M1050" s="551">
        <f>'Sollecitazioni nel paramento'!$G$60*(sezione!$AN$31-C1050)/C1050</f>
        <v>1.2561526497812251E-2</v>
      </c>
      <c r="N1050" s="551">
        <f>'Sollecitazioni nel paramento'!$G$60*(sezione!$AO$31-C1050)/C1050</f>
        <v>2.8623052995624503E-2</v>
      </c>
      <c r="O1050" s="551">
        <f>'Sollecitazioni nel paramento'!$G$60*(sezione!$AP$31-C1050)/C1050</f>
        <v>8.6073010335999525E-2</v>
      </c>
      <c r="P1050" s="545">
        <f>-'Sollecitazioni nel paramento'!$G$47*'Sollecitazioni nel paramento'!$G$41*IF(DATI!$G$211="dx",DATI!$E$61,DATI!$E$64*DATI!$E$63)*1000*C1050*sezione!$AD$5</f>
        <v>-664143.59814759681</v>
      </c>
      <c r="Q1050" s="545">
        <f>'Foglio deposito bis'!$F$58*IF(ABS(K1050)&lt;'Sollecitazioni nel paramento'!$G$58,ABS(K1050)*'Sollecitazioni nel paramento'!$G$54,'Sollecitazioni nel paramento'!$G$53)*IF(K1050&lt;0,-1,1)</f>
        <v>0</v>
      </c>
      <c r="R1050" s="545">
        <f>'Foglio deposito bis'!$F$59*IF(ABS(L1050)&lt;'Sollecitazioni nel paramento'!$G$58,ABS(L1050)*'Sollecitazioni nel paramento'!$G$54,'Sollecitazioni nel paramento'!$G$53)*IF(L1050&lt;0,-1,1)</f>
        <v>153664.85805602249</v>
      </c>
      <c r="S1050" s="545">
        <f>'Foglio deposito bis'!$F$60*IF(ABS(M1050)&lt;'Sollecitazioni nel paramento'!$G$58,ABS(M1050)*'Sollecitazioni nel paramento'!$G$54,'Sollecitazioni nel paramento'!$G$53)*IF(M1050&lt;0,-1,1)</f>
        <v>0</v>
      </c>
      <c r="T1050" s="545">
        <f>'Foglio deposito bis'!$F$61*IF(ABS(N1050)&lt;'Sollecitazioni nel paramento'!$G$58,ABS(N1050)*'Sollecitazioni nel paramento'!$G$54,'Sollecitazioni nel paramento'!$G$53)*IF(N1050&lt;0,-1,1)</f>
        <v>240946.49743184328</v>
      </c>
      <c r="U1050" s="545">
        <f>'Foglio deposito bis'!$F$62*IF(ABS(O1050)&lt;'Sollecitazioni nel paramento'!$G$58,ABS(O1050)*'Sollecitazioni nel paramento'!$G$54,'Sollecitazioni nel paramento'!$G$53)*IF(O1050&lt;0,-1,1)</f>
        <v>314705.62929873407</v>
      </c>
      <c r="V1050" s="472">
        <f t="shared" si="74"/>
        <v>45173.386639003002</v>
      </c>
      <c r="W1050" s="551"/>
      <c r="X1050" s="551"/>
    </row>
    <row r="1051" spans="1:24" x14ac:dyDescent="0.25">
      <c r="A1051" s="545">
        <f t="shared" si="73"/>
        <v>32642.375353199255</v>
      </c>
      <c r="B1051" s="3">
        <f t="shared" si="75"/>
        <v>2.6999999999999984</v>
      </c>
      <c r="C1051" s="545">
        <f>'Foglio deposito bis'!$E$157/sezione!$B$247*B1051</f>
        <v>17.761887010352538</v>
      </c>
      <c r="D1051" s="603">
        <f>-'Sollecitazioni nel paramento'!$G$47*'Sollecitazioni nel paramento'!$G$41*IF(DATI!$G$211="dx",DATI!$E$61,DATI!$E$64*DATI!$E$63)*1000*C1051^2*sezione!$AD$5*(1-sezione!$AD$6)</f>
        <v>-7019106.4860298084</v>
      </c>
      <c r="E1051" s="545">
        <f>-'Foglio deposito bis'!$F$58*(C1051-sezione!$AL$31)*IF(ABS(K1051)&lt;'Sollecitazioni nel paramento'!$G$58,ABS(K1051)*'Sollecitazioni nel paramento'!$G$54,'Sollecitazioni nel paramento'!$G$53)</f>
        <v>0</v>
      </c>
      <c r="F1051" s="545">
        <f>-'Foglio deposito bis'!$F$59*(C1051-sezione!$AM$31)*IF(ABS(L1051)&lt;'Sollecitazioni nel paramento'!$G$58,ABS(L1051)*'Sollecitazioni nel paramento'!$G$54,'Sollecitazioni nel paramento'!$G$53)</f>
        <v>6490513.6371084172</v>
      </c>
      <c r="G1051" s="545">
        <f>-'Foglio deposito bis'!$F$60*(C1051-sezione!$AN$31)*IF(ABS(M1051)&lt;'Sollecitazioni nel paramento'!$G$58,ABS(M1051)*'Sollecitazioni nel paramento'!$G$54,'Sollecitazioni nel paramento'!$G$53)</f>
        <v>0</v>
      </c>
      <c r="H1051" s="545">
        <f>-'Foglio deposito bis'!$F$61*(C1051-sezione!$AO$31)*IF(ABS(N1051)&lt;'Sollecitazioni nel paramento'!$G$58,ABS(N1051)*'Sollecitazioni nel paramento'!$G$54,'Sollecitazioni nel paramento'!$G$53)</f>
        <v>34271775.126170322</v>
      </c>
      <c r="I1051" s="472">
        <f>-'Foglio deposito bis'!$F$62*(C1051-sezione!$AP$31)*IF(ABS(O1051)&lt;'Sollecitazioni nel paramento'!$G$58,ABS(O1051)*'Sollecitazioni nel paramento'!$G$54,'Sollecitazioni nel paramento'!$G$53)</f>
        <v>134815970.02574381</v>
      </c>
      <c r="J1051" s="472">
        <f t="shared" si="72"/>
        <v>168559152.30299276</v>
      </c>
      <c r="K1051" s="550">
        <f>'Sollecitazioni nel paramento'!$G$60*(sezione!$AL$31-C1051)/C1051</f>
        <v>4.3820454109634198E-3</v>
      </c>
      <c r="L1051" s="550">
        <f>'Sollecitazioni nel paramento'!$G$60*(sezione!$AM$31-C1051)/C1051</f>
        <v>8.323068116445129E-3</v>
      </c>
      <c r="M1051" s="551">
        <f>'Sollecitazioni nel paramento'!$G$60*(sezione!$AN$31-C1051)/C1051</f>
        <v>1.2264090821926839E-2</v>
      </c>
      <c r="N1051" s="551">
        <f>'Sollecitazioni nel paramento'!$G$60*(sezione!$AO$31-C1051)/C1051</f>
        <v>2.8028181643853678E-2</v>
      </c>
      <c r="O1051" s="551">
        <f>'Sollecitazioni nel paramento'!$G$60*(sezione!$AP$31-C1051)/C1051</f>
        <v>8.4414250885332859E-2</v>
      </c>
      <c r="P1051" s="545">
        <f>-'Sollecitazioni nel paramento'!$G$47*'Sollecitazioni nel paramento'!$G$41*IF(DATI!$G$211="dx",DATI!$E$61,DATI!$E$64*DATI!$E$63)*1000*C1051*sezione!$AD$5</f>
        <v>-676674.60943340056</v>
      </c>
      <c r="Q1051" s="545">
        <f>'Foglio deposito bis'!$F$58*IF(ABS(K1051)&lt;'Sollecitazioni nel paramento'!$G$58,ABS(K1051)*'Sollecitazioni nel paramento'!$G$54,'Sollecitazioni nel paramento'!$G$53)*IF(K1051&lt;0,-1,1)</f>
        <v>0</v>
      </c>
      <c r="R1051" s="545">
        <f>'Foglio deposito bis'!$F$59*IF(ABS(L1051)&lt;'Sollecitazioni nel paramento'!$G$58,ABS(L1051)*'Sollecitazioni nel paramento'!$G$54,'Sollecitazioni nel paramento'!$G$53)*IF(L1051&lt;0,-1,1)</f>
        <v>153664.85805602249</v>
      </c>
      <c r="S1051" s="545">
        <f>'Foglio deposito bis'!$F$60*IF(ABS(M1051)&lt;'Sollecitazioni nel paramento'!$G$58,ABS(M1051)*'Sollecitazioni nel paramento'!$G$54,'Sollecitazioni nel paramento'!$G$53)*IF(M1051&lt;0,-1,1)</f>
        <v>0</v>
      </c>
      <c r="T1051" s="545">
        <f>'Foglio deposito bis'!$F$61*IF(ABS(N1051)&lt;'Sollecitazioni nel paramento'!$G$58,ABS(N1051)*'Sollecitazioni nel paramento'!$G$54,'Sollecitazioni nel paramento'!$G$53)*IF(N1051&lt;0,-1,1)</f>
        <v>240946.49743184328</v>
      </c>
      <c r="U1051" s="545">
        <f>'Foglio deposito bis'!$F$62*IF(ABS(O1051)&lt;'Sollecitazioni nel paramento'!$G$58,ABS(O1051)*'Sollecitazioni nel paramento'!$G$54,'Sollecitazioni nel paramento'!$G$53)*IF(O1051&lt;0,-1,1)</f>
        <v>314705.62929873407</v>
      </c>
      <c r="V1051" s="472">
        <f t="shared" si="74"/>
        <v>32642.375353199255</v>
      </c>
      <c r="W1051" s="551"/>
      <c r="X1051" s="551"/>
    </row>
    <row r="1052" spans="1:24" x14ac:dyDescent="0.25">
      <c r="A1052" s="545">
        <f t="shared" si="73"/>
        <v>20111.364067395742</v>
      </c>
      <c r="B1052" s="3">
        <f t="shared" si="75"/>
        <v>2.7499999999999982</v>
      </c>
      <c r="C1052" s="545">
        <f>'Foglio deposito bis'!$E$157/sezione!$B$247*B1052</f>
        <v>18.090810843877584</v>
      </c>
      <c r="D1052" s="603">
        <f>-'Sollecitazioni nel paramento'!$G$47*'Sollecitazioni nel paramento'!$G$41*IF(DATI!$G$211="dx",DATI!$E$61,DATI!$E$64*DATI!$E$63)*1000*C1052^2*sezione!$AD$5*(1-sezione!$AD$6)</f>
        <v>-7281480.4939095229</v>
      </c>
      <c r="E1052" s="545">
        <f>-'Foglio deposito bis'!$F$58*(C1052-sezione!$AL$31)*IF(ABS(K1052)&lt;'Sollecitazioni nel paramento'!$G$58,ABS(K1052)*'Sollecitazioni nel paramento'!$G$54,'Sollecitazioni nel paramento'!$G$53)</f>
        <v>0</v>
      </c>
      <c r="F1052" s="545">
        <f>-'Foglio deposito bis'!$F$59*(C1052-sezione!$AM$31)*IF(ABS(L1052)&lt;'Sollecitazioni nel paramento'!$G$58,ABS(L1052)*'Sollecitazioni nel paramento'!$G$54,'Sollecitazioni nel paramento'!$G$53)</f>
        <v>6439969.6029185476</v>
      </c>
      <c r="G1052" s="545">
        <f>-'Foglio deposito bis'!$F$60*(C1052-sezione!$AN$31)*IF(ABS(M1052)&lt;'Sollecitazioni nel paramento'!$G$58,ABS(M1052)*'Sollecitazioni nel paramento'!$G$54,'Sollecitazioni nel paramento'!$G$53)</f>
        <v>0</v>
      </c>
      <c r="H1052" s="545">
        <f>-'Foglio deposito bis'!$F$61*(C1052-sezione!$AO$31)*IF(ABS(N1052)&lt;'Sollecitazioni nel paramento'!$G$58,ABS(N1052)*'Sollecitazioni nel paramento'!$G$54,'Sollecitazioni nel paramento'!$G$53)</f>
        <v>34192522.08056061</v>
      </c>
      <c r="I1052" s="472">
        <f>-'Foglio deposito bis'!$F$62*(C1052-sezione!$AP$31)*IF(ABS(O1052)&lt;'Sollecitazioni nel paramento'!$G$58,ABS(O1052)*'Sollecitazioni nel paramento'!$G$54,'Sollecitazioni nel paramento'!$G$53)</f>
        <v>134712455.84372297</v>
      </c>
      <c r="J1052" s="472">
        <f t="shared" si="72"/>
        <v>168063467.03329259</v>
      </c>
      <c r="K1052" s="550">
        <f>'Sollecitazioni nel paramento'!$G$60*(sezione!$AL$31-C1052)/C1052</f>
        <v>4.238735494400449E-3</v>
      </c>
      <c r="L1052" s="550">
        <f>'Sollecitazioni nel paramento'!$G$60*(sezione!$AM$31-C1052)/C1052</f>
        <v>8.1081032416006737E-3</v>
      </c>
      <c r="M1052" s="551">
        <f>'Sollecitazioni nel paramento'!$G$60*(sezione!$AN$31-C1052)/C1052</f>
        <v>1.1977470988800898E-2</v>
      </c>
      <c r="N1052" s="551">
        <f>'Sollecitazioni nel paramento'!$G$60*(sezione!$AO$31-C1052)/C1052</f>
        <v>2.7454941977601795E-2</v>
      </c>
      <c r="O1052" s="551">
        <f>'Sollecitazioni nel paramento'!$G$60*(sezione!$AP$31-C1052)/C1052</f>
        <v>8.2815809960144995E-2</v>
      </c>
      <c r="P1052" s="545">
        <f>-'Sollecitazioni nel paramento'!$G$47*'Sollecitazioni nel paramento'!$G$41*IF(DATI!$G$211="dx",DATI!$E$61,DATI!$E$64*DATI!$E$63)*1000*C1052*sezione!$AD$5</f>
        <v>-689205.62071920419</v>
      </c>
      <c r="Q1052" s="545">
        <f>'Foglio deposito bis'!$F$58*IF(ABS(K1052)&lt;'Sollecitazioni nel paramento'!$G$58,ABS(K1052)*'Sollecitazioni nel paramento'!$G$54,'Sollecitazioni nel paramento'!$G$53)*IF(K1052&lt;0,-1,1)</f>
        <v>0</v>
      </c>
      <c r="R1052" s="545">
        <f>'Foglio deposito bis'!$F$59*IF(ABS(L1052)&lt;'Sollecitazioni nel paramento'!$G$58,ABS(L1052)*'Sollecitazioni nel paramento'!$G$54,'Sollecitazioni nel paramento'!$G$53)*IF(L1052&lt;0,-1,1)</f>
        <v>153664.85805602249</v>
      </c>
      <c r="S1052" s="545">
        <f>'Foglio deposito bis'!$F$60*IF(ABS(M1052)&lt;'Sollecitazioni nel paramento'!$G$58,ABS(M1052)*'Sollecitazioni nel paramento'!$G$54,'Sollecitazioni nel paramento'!$G$53)*IF(M1052&lt;0,-1,1)</f>
        <v>0</v>
      </c>
      <c r="T1052" s="545">
        <f>'Foglio deposito bis'!$F$61*IF(ABS(N1052)&lt;'Sollecitazioni nel paramento'!$G$58,ABS(N1052)*'Sollecitazioni nel paramento'!$G$54,'Sollecitazioni nel paramento'!$G$53)*IF(N1052&lt;0,-1,1)</f>
        <v>240946.49743184328</v>
      </c>
      <c r="U1052" s="545">
        <f>'Foglio deposito bis'!$F$62*IF(ABS(O1052)&lt;'Sollecitazioni nel paramento'!$G$58,ABS(O1052)*'Sollecitazioni nel paramento'!$G$54,'Sollecitazioni nel paramento'!$G$53)*IF(O1052&lt;0,-1,1)</f>
        <v>314705.62929873407</v>
      </c>
      <c r="V1052" s="472">
        <f t="shared" si="74"/>
        <v>20111.364067395742</v>
      </c>
      <c r="W1052" s="551"/>
      <c r="X1052" s="551"/>
    </row>
    <row r="1053" spans="1:24" x14ac:dyDescent="0.25">
      <c r="A1053" s="545">
        <f t="shared" si="73"/>
        <v>7580.3527815919952</v>
      </c>
      <c r="B1053" s="3">
        <f t="shared" si="75"/>
        <v>2.799999999999998</v>
      </c>
      <c r="C1053" s="545">
        <f>'Foglio deposito bis'!$E$157/sezione!$B$247*B1053</f>
        <v>18.41973467740263</v>
      </c>
      <c r="D1053" s="603">
        <f>-'Sollecitazioni nel paramento'!$G$47*'Sollecitazioni nel paramento'!$G$41*IF(DATI!$G$211="dx",DATI!$E$61,DATI!$E$64*DATI!$E$63)*1000*C1053^2*sezione!$AD$5*(1-sezione!$AD$6)</f>
        <v>-7548668.7037686808</v>
      </c>
      <c r="E1053" s="545">
        <f>-'Foglio deposito bis'!$F$58*(C1053-sezione!$AL$31)*IF(ABS(K1053)&lt;'Sollecitazioni nel paramento'!$G$58,ABS(K1053)*'Sollecitazioni nel paramento'!$G$54,'Sollecitazioni nel paramento'!$G$53)</f>
        <v>0</v>
      </c>
      <c r="F1053" s="545">
        <f>-'Foglio deposito bis'!$F$59*(C1053-sezione!$AM$31)*IF(ABS(L1053)&lt;'Sollecitazioni nel paramento'!$G$58,ABS(L1053)*'Sollecitazioni nel paramento'!$G$54,'Sollecitazioni nel paramento'!$G$53)</f>
        <v>6389425.5687286798</v>
      </c>
      <c r="G1053" s="545">
        <f>-'Foglio deposito bis'!$F$60*(C1053-sezione!$AN$31)*IF(ABS(M1053)&lt;'Sollecitazioni nel paramento'!$G$58,ABS(M1053)*'Sollecitazioni nel paramento'!$G$54,'Sollecitazioni nel paramento'!$G$53)</f>
        <v>0</v>
      </c>
      <c r="H1053" s="545">
        <f>-'Foglio deposito bis'!$F$61*(C1053-sezione!$AO$31)*IF(ABS(N1053)&lt;'Sollecitazioni nel paramento'!$G$58,ABS(N1053)*'Sollecitazioni nel paramento'!$G$54,'Sollecitazioni nel paramento'!$G$53)</f>
        <v>34113269.034950897</v>
      </c>
      <c r="I1053" s="472">
        <f>-'Foglio deposito bis'!$F$62*(C1053-sezione!$AP$31)*IF(ABS(O1053)&lt;'Sollecitazioni nel paramento'!$G$58,ABS(O1053)*'Sollecitazioni nel paramento'!$G$54,'Sollecitazioni nel paramento'!$G$53)</f>
        <v>134608941.6617021</v>
      </c>
      <c r="J1053" s="472">
        <f t="shared" si="72"/>
        <v>167562967.56161299</v>
      </c>
      <c r="K1053" s="550">
        <f>'Sollecitazioni nel paramento'!$G$60*(sezione!$AL$31-C1053)/C1053</f>
        <v>4.1005437891432983E-3</v>
      </c>
      <c r="L1053" s="550">
        <f>'Sollecitazioni nel paramento'!$G$60*(sezione!$AM$31-C1053)/C1053</f>
        <v>7.9008156837149495E-3</v>
      </c>
      <c r="M1053" s="551">
        <f>'Sollecitazioni nel paramento'!$G$60*(sezione!$AN$31-C1053)/C1053</f>
        <v>1.1701087578286596E-2</v>
      </c>
      <c r="N1053" s="551">
        <f>'Sollecitazioni nel paramento'!$G$60*(sezione!$AO$31-C1053)/C1053</f>
        <v>2.6902175156573196E-2</v>
      </c>
      <c r="O1053" s="551">
        <f>'Sollecitazioni nel paramento'!$G$60*(sezione!$AP$31-C1053)/C1053</f>
        <v>8.1274456210856702E-2</v>
      </c>
      <c r="P1053" s="545">
        <f>-'Sollecitazioni nel paramento'!$G$47*'Sollecitazioni nel paramento'!$G$41*IF(DATI!$G$211="dx",DATI!$E$61,DATI!$E$64*DATI!$E$63)*1000*C1053*sezione!$AD$5</f>
        <v>-701736.63200500782</v>
      </c>
      <c r="Q1053" s="545">
        <f>'Foglio deposito bis'!$F$58*IF(ABS(K1053)&lt;'Sollecitazioni nel paramento'!$G$58,ABS(K1053)*'Sollecitazioni nel paramento'!$G$54,'Sollecitazioni nel paramento'!$G$53)*IF(K1053&lt;0,-1,1)</f>
        <v>0</v>
      </c>
      <c r="R1053" s="545">
        <f>'Foglio deposito bis'!$F$59*IF(ABS(L1053)&lt;'Sollecitazioni nel paramento'!$G$58,ABS(L1053)*'Sollecitazioni nel paramento'!$G$54,'Sollecitazioni nel paramento'!$G$53)*IF(L1053&lt;0,-1,1)</f>
        <v>153664.85805602249</v>
      </c>
      <c r="S1053" s="545">
        <f>'Foglio deposito bis'!$F$60*IF(ABS(M1053)&lt;'Sollecitazioni nel paramento'!$G$58,ABS(M1053)*'Sollecitazioni nel paramento'!$G$54,'Sollecitazioni nel paramento'!$G$53)*IF(M1053&lt;0,-1,1)</f>
        <v>0</v>
      </c>
      <c r="T1053" s="545">
        <f>'Foglio deposito bis'!$F$61*IF(ABS(N1053)&lt;'Sollecitazioni nel paramento'!$G$58,ABS(N1053)*'Sollecitazioni nel paramento'!$G$54,'Sollecitazioni nel paramento'!$G$53)*IF(N1053&lt;0,-1,1)</f>
        <v>240946.49743184328</v>
      </c>
      <c r="U1053" s="545">
        <f>'Foglio deposito bis'!$F$62*IF(ABS(O1053)&lt;'Sollecitazioni nel paramento'!$G$58,ABS(O1053)*'Sollecitazioni nel paramento'!$G$54,'Sollecitazioni nel paramento'!$G$53)*IF(O1053&lt;0,-1,1)</f>
        <v>314705.62929873407</v>
      </c>
      <c r="V1053" s="472">
        <f t="shared" si="74"/>
        <v>7580.3527815919952</v>
      </c>
      <c r="W1053" s="551"/>
      <c r="X1053" s="551"/>
    </row>
    <row r="1054" spans="1:24" x14ac:dyDescent="0.25">
      <c r="A1054" s="545">
        <f t="shared" si="73"/>
        <v>4950.6585042115184</v>
      </c>
      <c r="B1054" s="3">
        <f t="shared" si="75"/>
        <v>2.8499999999999979</v>
      </c>
      <c r="C1054" s="545">
        <f>'Foglio deposito bis'!$E$157/sezione!$B$247*B1054</f>
        <v>18.748658510927676</v>
      </c>
      <c r="D1054" s="603">
        <f>-'Sollecitazioni nel paramento'!$G$47*'Sollecitazioni nel paramento'!$G$41*IF(DATI!$G$211="dx",DATI!$E$61,DATI!$E$64*DATI!$E$63)*1000*C1054^2*sezione!$AD$5*(1-sezione!$AD$6)</f>
        <v>-7820671.1156072849</v>
      </c>
      <c r="E1054" s="545">
        <f>-'Foglio deposito bis'!$F$58*(C1054-sezione!$AL$31)*IF(ABS(K1054)&lt;'Sollecitazioni nel paramento'!$G$58,ABS(K1054)*'Sollecitazioni nel paramento'!$G$54,'Sollecitazioni nel paramento'!$G$53)</f>
        <v>0</v>
      </c>
      <c r="F1054" s="545">
        <f>-'Foglio deposito bis'!$F$59*(C1054-sezione!$AM$31)*IF(ABS(L1054)&lt;'Sollecitazioni nel paramento'!$G$58,ABS(L1054)*'Sollecitazioni nel paramento'!$G$54,'Sollecitazioni nel paramento'!$G$53)</f>
        <v>6338881.5345388101</v>
      </c>
      <c r="G1054" s="545">
        <f>-'Foglio deposito bis'!$F$60*(C1054-sezione!$AN$31)*IF(ABS(M1054)&lt;'Sollecitazioni nel paramento'!$G$58,ABS(M1054)*'Sollecitazioni nel paramento'!$G$54,'Sollecitazioni nel paramento'!$G$53)</f>
        <v>0</v>
      </c>
      <c r="H1054" s="545">
        <f>-'Foglio deposito bis'!$F$61*(C1054-sezione!$AO$31)*IF(ABS(N1054)&lt;'Sollecitazioni nel paramento'!$G$58,ABS(N1054)*'Sollecitazioni nel paramento'!$G$54,'Sollecitazioni nel paramento'!$G$53)</f>
        <v>34034015.989341177</v>
      </c>
      <c r="I1054" s="472">
        <f>-'Foglio deposito bis'!$F$62*(C1054-sezione!$AP$31)*IF(ABS(O1054)&lt;'Sollecitazioni nel paramento'!$G$58,ABS(O1054)*'Sollecitazioni nel paramento'!$G$54,'Sollecitazioni nel paramento'!$G$53)</f>
        <v>134505427.47968125</v>
      </c>
      <c r="J1054" s="472">
        <f t="shared" si="72"/>
        <v>167057653.88795397</v>
      </c>
      <c r="K1054" s="550">
        <f>'Sollecitazioni nel paramento'!$G$60*(sezione!$AL$31-C1054)/C1054</f>
        <v>3.9672009156495568E-3</v>
      </c>
      <c r="L1054" s="550">
        <f>'Sollecitazioni nel paramento'!$G$60*(sezione!$AM$31-C1054)/C1054</f>
        <v>7.7008013734743358E-3</v>
      </c>
      <c r="M1054" s="551">
        <f>'Sollecitazioni nel paramento'!$G$60*(sezione!$AN$31-C1054)/C1054</f>
        <v>1.1434401831299115E-2</v>
      </c>
      <c r="N1054" s="551">
        <f>'Sollecitazioni nel paramento'!$G$60*(sezione!$AO$31-C1054)/C1054</f>
        <v>2.6368803662598229E-2</v>
      </c>
      <c r="O1054" s="551">
        <f>'Sollecitazioni nel paramento'!$G$60*(sezione!$AP$31-C1054)/C1054</f>
        <v>7.9787185049262729E-2</v>
      </c>
      <c r="P1054" s="545">
        <f>-'Sollecitazioni nel paramento'!$G$47*'Sollecitazioni nel paramento'!$G$41*IF(DATI!$G$211="dx",DATI!$E$61,DATI!$E$64*DATI!$E$63)*1000*C1054*sezione!$AD$5</f>
        <v>-714267.64329081145</v>
      </c>
      <c r="Q1054" s="545">
        <f>'Foglio deposito bis'!$F$58*IF(ABS(K1054)&lt;'Sollecitazioni nel paramento'!$G$58,ABS(K1054)*'Sollecitazioni nel paramento'!$G$54,'Sollecitazioni nel paramento'!$G$53)*IF(K1054&lt;0,-1,1)</f>
        <v>0</v>
      </c>
      <c r="R1054" s="545">
        <f>'Foglio deposito bis'!$F$59*IF(ABS(L1054)&lt;'Sollecitazioni nel paramento'!$G$58,ABS(L1054)*'Sollecitazioni nel paramento'!$G$54,'Sollecitazioni nel paramento'!$G$53)*IF(L1054&lt;0,-1,1)</f>
        <v>153664.85805602249</v>
      </c>
      <c r="S1054" s="545">
        <f>'Foglio deposito bis'!$F$60*IF(ABS(M1054)&lt;'Sollecitazioni nel paramento'!$G$58,ABS(M1054)*'Sollecitazioni nel paramento'!$G$54,'Sollecitazioni nel paramento'!$G$53)*IF(M1054&lt;0,-1,1)</f>
        <v>0</v>
      </c>
      <c r="T1054" s="545">
        <f>'Foglio deposito bis'!$F$61*IF(ABS(N1054)&lt;'Sollecitazioni nel paramento'!$G$58,ABS(N1054)*'Sollecitazioni nel paramento'!$G$54,'Sollecitazioni nel paramento'!$G$53)*IF(N1054&lt;0,-1,1)</f>
        <v>240946.49743184328</v>
      </c>
      <c r="U1054" s="545">
        <f>'Foglio deposito bis'!$F$62*IF(ABS(O1054)&lt;'Sollecitazioni nel paramento'!$G$58,ABS(O1054)*'Sollecitazioni nel paramento'!$G$54,'Sollecitazioni nel paramento'!$G$53)*IF(O1054&lt;0,-1,1)</f>
        <v>314705.62929873407</v>
      </c>
      <c r="V1054" s="472">
        <f t="shared" si="74"/>
        <v>-4950.6585042115184</v>
      </c>
      <c r="W1054" s="551"/>
      <c r="X1054" s="551"/>
    </row>
    <row r="1055" spans="1:24" x14ac:dyDescent="0.25">
      <c r="A1055" s="545">
        <f t="shared" si="73"/>
        <v>17481.669790015265</v>
      </c>
      <c r="B1055" s="3">
        <f t="shared" si="75"/>
        <v>2.8999999999999977</v>
      </c>
      <c r="C1055" s="545">
        <f>'Foglio deposito bis'!$E$157/sezione!$B$247*B1055</f>
        <v>19.077582344452722</v>
      </c>
      <c r="D1055" s="603">
        <f>-'Sollecitazioni nel paramento'!$G$47*'Sollecitazioni nel paramento'!$G$41*IF(DATI!$G$211="dx",DATI!$E$61,DATI!$E$64*DATI!$E$63)*1000*C1055^2*sezione!$AD$5*(1-sezione!$AD$6)</f>
        <v>-8097487.7294253325</v>
      </c>
      <c r="E1055" s="545">
        <f>-'Foglio deposito bis'!$F$58*(C1055-sezione!$AL$31)*IF(ABS(K1055)&lt;'Sollecitazioni nel paramento'!$G$58,ABS(K1055)*'Sollecitazioni nel paramento'!$G$54,'Sollecitazioni nel paramento'!$G$53)</f>
        <v>0</v>
      </c>
      <c r="F1055" s="545">
        <f>-'Foglio deposito bis'!$F$59*(C1055-sezione!$AM$31)*IF(ABS(L1055)&lt;'Sollecitazioni nel paramento'!$G$58,ABS(L1055)*'Sollecitazioni nel paramento'!$G$54,'Sollecitazioni nel paramento'!$G$53)</f>
        <v>6288337.5003489414</v>
      </c>
      <c r="G1055" s="545">
        <f>-'Foglio deposito bis'!$F$60*(C1055-sezione!$AN$31)*IF(ABS(M1055)&lt;'Sollecitazioni nel paramento'!$G$58,ABS(M1055)*'Sollecitazioni nel paramento'!$G$54,'Sollecitazioni nel paramento'!$G$53)</f>
        <v>0</v>
      </c>
      <c r="H1055" s="545">
        <f>-'Foglio deposito bis'!$F$61*(C1055-sezione!$AO$31)*IF(ABS(N1055)&lt;'Sollecitazioni nel paramento'!$G$58,ABS(N1055)*'Sollecitazioni nel paramento'!$G$54,'Sollecitazioni nel paramento'!$G$53)</f>
        <v>33954762.943731472</v>
      </c>
      <c r="I1055" s="472">
        <f>-'Foglio deposito bis'!$F$62*(C1055-sezione!$AP$31)*IF(ABS(O1055)&lt;'Sollecitazioni nel paramento'!$G$58,ABS(O1055)*'Sollecitazioni nel paramento'!$G$54,'Sollecitazioni nel paramento'!$G$53)</f>
        <v>134401913.29766041</v>
      </c>
      <c r="J1055" s="472">
        <f t="shared" si="72"/>
        <v>166547526.01231548</v>
      </c>
      <c r="K1055" s="550">
        <f>'Sollecitazioni nel paramento'!$G$60*(sezione!$AL$31-C1055)/C1055</f>
        <v>3.8384560722762892E-3</v>
      </c>
      <c r="L1055" s="550">
        <f>'Sollecitazioni nel paramento'!$G$60*(sezione!$AM$31-C1055)/C1055</f>
        <v>7.5076841084144343E-3</v>
      </c>
      <c r="M1055" s="551">
        <f>'Sollecitazioni nel paramento'!$G$60*(sezione!$AN$31-C1055)/C1055</f>
        <v>1.1176912144552579E-2</v>
      </c>
      <c r="N1055" s="551">
        <f>'Sollecitazioni nel paramento'!$G$60*(sezione!$AO$31-C1055)/C1055</f>
        <v>2.5853824289105161E-2</v>
      </c>
      <c r="O1055" s="551">
        <f>'Sollecitazioni nel paramento'!$G$60*(sezione!$AP$31-C1055)/C1055</f>
        <v>7.8351199100137506E-2</v>
      </c>
      <c r="P1055" s="545">
        <f>-'Sollecitazioni nel paramento'!$G$47*'Sollecitazioni nel paramento'!$G$41*IF(DATI!$G$211="dx",DATI!$E$61,DATI!$E$64*DATI!$E$63)*1000*C1055*sezione!$AD$5</f>
        <v>-726798.6545766152</v>
      </c>
      <c r="Q1055" s="545">
        <f>'Foglio deposito bis'!$F$58*IF(ABS(K1055)&lt;'Sollecitazioni nel paramento'!$G$58,ABS(K1055)*'Sollecitazioni nel paramento'!$G$54,'Sollecitazioni nel paramento'!$G$53)*IF(K1055&lt;0,-1,1)</f>
        <v>0</v>
      </c>
      <c r="R1055" s="545">
        <f>'Foglio deposito bis'!$F$59*IF(ABS(L1055)&lt;'Sollecitazioni nel paramento'!$G$58,ABS(L1055)*'Sollecitazioni nel paramento'!$G$54,'Sollecitazioni nel paramento'!$G$53)*IF(L1055&lt;0,-1,1)</f>
        <v>153664.85805602249</v>
      </c>
      <c r="S1055" s="545">
        <f>'Foglio deposito bis'!$F$60*IF(ABS(M1055)&lt;'Sollecitazioni nel paramento'!$G$58,ABS(M1055)*'Sollecitazioni nel paramento'!$G$54,'Sollecitazioni nel paramento'!$G$53)*IF(M1055&lt;0,-1,1)</f>
        <v>0</v>
      </c>
      <c r="T1055" s="545">
        <f>'Foglio deposito bis'!$F$61*IF(ABS(N1055)&lt;'Sollecitazioni nel paramento'!$G$58,ABS(N1055)*'Sollecitazioni nel paramento'!$G$54,'Sollecitazioni nel paramento'!$G$53)*IF(N1055&lt;0,-1,1)</f>
        <v>240946.49743184328</v>
      </c>
      <c r="U1055" s="545">
        <f>'Foglio deposito bis'!$F$62*IF(ABS(O1055)&lt;'Sollecitazioni nel paramento'!$G$58,ABS(O1055)*'Sollecitazioni nel paramento'!$G$54,'Sollecitazioni nel paramento'!$G$53)*IF(O1055&lt;0,-1,1)</f>
        <v>314705.62929873407</v>
      </c>
      <c r="V1055" s="472">
        <f t="shared" si="74"/>
        <v>-17481.669790015265</v>
      </c>
      <c r="W1055" s="551"/>
      <c r="X1055" s="551"/>
    </row>
    <row r="1056" spans="1:24" x14ac:dyDescent="0.25">
      <c r="A1056" s="545">
        <f t="shared" si="73"/>
        <v>30012.681075819011</v>
      </c>
      <c r="B1056" s="3">
        <f t="shared" si="75"/>
        <v>2.9499999999999975</v>
      </c>
      <c r="C1056" s="545">
        <f>'Foglio deposito bis'!$E$157/sezione!$B$247*B1056</f>
        <v>19.406506177977768</v>
      </c>
      <c r="D1056" s="603">
        <f>-'Sollecitazioni nel paramento'!$G$47*'Sollecitazioni nel paramento'!$G$41*IF(DATI!$G$211="dx",DATI!$E$61,DATI!$E$64*DATI!$E$63)*1000*C1056^2*sezione!$AD$5*(1-sezione!$AD$6)</f>
        <v>-8379118.5452228235</v>
      </c>
      <c r="E1056" s="545">
        <f>-'Foglio deposito bis'!$F$58*(C1056-sezione!$AL$31)*IF(ABS(K1056)&lt;'Sollecitazioni nel paramento'!$G$58,ABS(K1056)*'Sollecitazioni nel paramento'!$G$54,'Sollecitazioni nel paramento'!$G$53)</f>
        <v>0</v>
      </c>
      <c r="F1056" s="545">
        <f>-'Foglio deposito bis'!$F$59*(C1056-sezione!$AM$31)*IF(ABS(L1056)&lt;'Sollecitazioni nel paramento'!$G$58,ABS(L1056)*'Sollecitazioni nel paramento'!$G$54,'Sollecitazioni nel paramento'!$G$53)</f>
        <v>6237793.4661590727</v>
      </c>
      <c r="G1056" s="545">
        <f>-'Foglio deposito bis'!$F$60*(C1056-sezione!$AN$31)*IF(ABS(M1056)&lt;'Sollecitazioni nel paramento'!$G$58,ABS(M1056)*'Sollecitazioni nel paramento'!$G$54,'Sollecitazioni nel paramento'!$G$53)</f>
        <v>0</v>
      </c>
      <c r="H1056" s="545">
        <f>-'Foglio deposito bis'!$F$61*(C1056-sezione!$AO$31)*IF(ABS(N1056)&lt;'Sollecitazioni nel paramento'!$G$58,ABS(N1056)*'Sollecitazioni nel paramento'!$G$54,'Sollecitazioni nel paramento'!$G$53)</f>
        <v>33875509.898121752</v>
      </c>
      <c r="I1056" s="472">
        <f>-'Foglio deposito bis'!$F$62*(C1056-sezione!$AP$31)*IF(ABS(O1056)&lt;'Sollecitazioni nel paramento'!$G$58,ABS(O1056)*'Sollecitazioni nel paramento'!$G$54,'Sollecitazioni nel paramento'!$G$53)</f>
        <v>134298399.11563957</v>
      </c>
      <c r="J1056" s="472">
        <f t="shared" si="72"/>
        <v>166032583.93469757</v>
      </c>
      <c r="K1056" s="550">
        <f>'Sollecitazioni nel paramento'!$G$60*(sezione!$AL$31-C1056)/C1056</f>
        <v>3.7140754608817766E-3</v>
      </c>
      <c r="L1056" s="550">
        <f>'Sollecitazioni nel paramento'!$G$60*(sezione!$AM$31-C1056)/C1056</f>
        <v>7.3211131913226641E-3</v>
      </c>
      <c r="M1056" s="551">
        <f>'Sollecitazioni nel paramento'!$G$60*(sezione!$AN$31-C1056)/C1056</f>
        <v>1.0928150921763552E-2</v>
      </c>
      <c r="N1056" s="551">
        <f>'Sollecitazioni nel paramento'!$G$60*(sezione!$AO$31-C1056)/C1056</f>
        <v>2.5356301843527104E-2</v>
      </c>
      <c r="O1056" s="551">
        <f>'Sollecitazioni nel paramento'!$G$60*(sezione!$AP$31-C1056)/C1056</f>
        <v>7.696389064081316E-2</v>
      </c>
      <c r="P1056" s="545">
        <f>-'Sollecitazioni nel paramento'!$G$47*'Sollecitazioni nel paramento'!$G$41*IF(DATI!$G$211="dx",DATI!$E$61,DATI!$E$64*DATI!$E$63)*1000*C1056*sezione!$AD$5</f>
        <v>-739329.66586241894</v>
      </c>
      <c r="Q1056" s="545">
        <f>'Foglio deposito bis'!$F$58*IF(ABS(K1056)&lt;'Sollecitazioni nel paramento'!$G$58,ABS(K1056)*'Sollecitazioni nel paramento'!$G$54,'Sollecitazioni nel paramento'!$G$53)*IF(K1056&lt;0,-1,1)</f>
        <v>0</v>
      </c>
      <c r="R1056" s="545">
        <f>'Foglio deposito bis'!$F$59*IF(ABS(L1056)&lt;'Sollecitazioni nel paramento'!$G$58,ABS(L1056)*'Sollecitazioni nel paramento'!$G$54,'Sollecitazioni nel paramento'!$G$53)*IF(L1056&lt;0,-1,1)</f>
        <v>153664.85805602249</v>
      </c>
      <c r="S1056" s="545">
        <f>'Foglio deposito bis'!$F$60*IF(ABS(M1056)&lt;'Sollecitazioni nel paramento'!$G$58,ABS(M1056)*'Sollecitazioni nel paramento'!$G$54,'Sollecitazioni nel paramento'!$G$53)*IF(M1056&lt;0,-1,1)</f>
        <v>0</v>
      </c>
      <c r="T1056" s="545">
        <f>'Foglio deposito bis'!$F$61*IF(ABS(N1056)&lt;'Sollecitazioni nel paramento'!$G$58,ABS(N1056)*'Sollecitazioni nel paramento'!$G$54,'Sollecitazioni nel paramento'!$G$53)*IF(N1056&lt;0,-1,1)</f>
        <v>240946.49743184328</v>
      </c>
      <c r="U1056" s="545">
        <f>'Foglio deposito bis'!$F$62*IF(ABS(O1056)&lt;'Sollecitazioni nel paramento'!$G$58,ABS(O1056)*'Sollecitazioni nel paramento'!$G$54,'Sollecitazioni nel paramento'!$G$53)*IF(O1056&lt;0,-1,1)</f>
        <v>314705.62929873407</v>
      </c>
      <c r="V1056" s="472">
        <f t="shared" si="74"/>
        <v>-30012.681075819011</v>
      </c>
      <c r="W1056" s="551"/>
      <c r="X1056" s="551"/>
    </row>
    <row r="1057" spans="1:24" x14ac:dyDescent="0.25">
      <c r="A1057" s="545">
        <f t="shared" si="73"/>
        <v>42543.692361622758</v>
      </c>
      <c r="B1057" s="3">
        <f t="shared" si="75"/>
        <v>2.9999999999999973</v>
      </c>
      <c r="C1057" s="545">
        <f>'Foglio deposito bis'!$E$157/sezione!$B$247*B1057</f>
        <v>19.735430011502814</v>
      </c>
      <c r="D1057" s="603">
        <f>-'Sollecitazioni nel paramento'!$G$47*'Sollecitazioni nel paramento'!$G$41*IF(DATI!$G$211="dx",DATI!$E$61,DATI!$E$64*DATI!$E$63)*1000*C1057^2*sezione!$AD$5*(1-sezione!$AD$6)</f>
        <v>-8665563.5629997589</v>
      </c>
      <c r="E1057" s="545">
        <f>-'Foglio deposito bis'!$F$58*(C1057-sezione!$AL$31)*IF(ABS(K1057)&lt;'Sollecitazioni nel paramento'!$G$58,ABS(K1057)*'Sollecitazioni nel paramento'!$G$54,'Sollecitazioni nel paramento'!$G$53)</f>
        <v>0</v>
      </c>
      <c r="F1057" s="545">
        <f>-'Foglio deposito bis'!$F$59*(C1057-sezione!$AM$31)*IF(ABS(L1057)&lt;'Sollecitazioni nel paramento'!$G$58,ABS(L1057)*'Sollecitazioni nel paramento'!$G$54,'Sollecitazioni nel paramento'!$G$53)</f>
        <v>6187249.4319692031</v>
      </c>
      <c r="G1057" s="545">
        <f>-'Foglio deposito bis'!$F$60*(C1057-sezione!$AN$31)*IF(ABS(M1057)&lt;'Sollecitazioni nel paramento'!$G$58,ABS(M1057)*'Sollecitazioni nel paramento'!$G$54,'Sollecitazioni nel paramento'!$G$53)</f>
        <v>0</v>
      </c>
      <c r="H1057" s="545">
        <f>-'Foglio deposito bis'!$F$61*(C1057-sezione!$AO$31)*IF(ABS(N1057)&lt;'Sollecitazioni nel paramento'!$G$58,ABS(N1057)*'Sollecitazioni nel paramento'!$G$54,'Sollecitazioni nel paramento'!$G$53)</f>
        <v>33796256.852512039</v>
      </c>
      <c r="I1057" s="472">
        <f>-'Foglio deposito bis'!$F$62*(C1057-sezione!$AP$31)*IF(ABS(O1057)&lt;'Sollecitazioni nel paramento'!$G$58,ABS(O1057)*'Sollecitazioni nel paramento'!$G$54,'Sollecitazioni nel paramento'!$G$53)</f>
        <v>134194884.93361869</v>
      </c>
      <c r="J1057" s="472">
        <f t="shared" si="72"/>
        <v>165512827.65510017</v>
      </c>
      <c r="K1057" s="550">
        <f>'Sollecitazioni nel paramento'!$G$60*(sezione!$AL$31-C1057)/C1057</f>
        <v>3.5938408698670803E-3</v>
      </c>
      <c r="L1057" s="550">
        <f>'Sollecitazioni nel paramento'!$G$60*(sezione!$AM$31-C1057)/C1057</f>
        <v>7.1407613048006203E-3</v>
      </c>
      <c r="M1057" s="551">
        <f>'Sollecitazioni nel paramento'!$G$60*(sezione!$AN$31-C1057)/C1057</f>
        <v>1.068768173973416E-2</v>
      </c>
      <c r="N1057" s="551">
        <f>'Sollecitazioni nel paramento'!$G$60*(sezione!$AO$31-C1057)/C1057</f>
        <v>2.487536347946832E-2</v>
      </c>
      <c r="O1057" s="551">
        <f>'Sollecitazioni nel paramento'!$G$60*(sezione!$AP$31-C1057)/C1057</f>
        <v>7.5622825796799603E-2</v>
      </c>
      <c r="P1057" s="545">
        <f>-'Sollecitazioni nel paramento'!$G$47*'Sollecitazioni nel paramento'!$G$41*IF(DATI!$G$211="dx",DATI!$E$61,DATI!$E$64*DATI!$E$63)*1000*C1057*sezione!$AD$5</f>
        <v>-751860.67714822257</v>
      </c>
      <c r="Q1057" s="545">
        <f>'Foglio deposito bis'!$F$58*IF(ABS(K1057)&lt;'Sollecitazioni nel paramento'!$G$58,ABS(K1057)*'Sollecitazioni nel paramento'!$G$54,'Sollecitazioni nel paramento'!$G$53)*IF(K1057&lt;0,-1,1)</f>
        <v>0</v>
      </c>
      <c r="R1057" s="545">
        <f>'Foglio deposito bis'!$F$59*IF(ABS(L1057)&lt;'Sollecitazioni nel paramento'!$G$58,ABS(L1057)*'Sollecitazioni nel paramento'!$G$54,'Sollecitazioni nel paramento'!$G$53)*IF(L1057&lt;0,-1,1)</f>
        <v>153664.85805602249</v>
      </c>
      <c r="S1057" s="545">
        <f>'Foglio deposito bis'!$F$60*IF(ABS(M1057)&lt;'Sollecitazioni nel paramento'!$G$58,ABS(M1057)*'Sollecitazioni nel paramento'!$G$54,'Sollecitazioni nel paramento'!$G$53)*IF(M1057&lt;0,-1,1)</f>
        <v>0</v>
      </c>
      <c r="T1057" s="545">
        <f>'Foglio deposito bis'!$F$61*IF(ABS(N1057)&lt;'Sollecitazioni nel paramento'!$G$58,ABS(N1057)*'Sollecitazioni nel paramento'!$G$54,'Sollecitazioni nel paramento'!$G$53)*IF(N1057&lt;0,-1,1)</f>
        <v>240946.49743184328</v>
      </c>
      <c r="U1057" s="545">
        <f>'Foglio deposito bis'!$F$62*IF(ABS(O1057)&lt;'Sollecitazioni nel paramento'!$G$58,ABS(O1057)*'Sollecitazioni nel paramento'!$G$54,'Sollecitazioni nel paramento'!$G$53)*IF(O1057&lt;0,-1,1)</f>
        <v>314705.62929873407</v>
      </c>
      <c r="V1057" s="472">
        <f t="shared" si="74"/>
        <v>-42543.692361622758</v>
      </c>
      <c r="W1057" s="551"/>
      <c r="X1057" s="551"/>
    </row>
    <row r="1058" spans="1:24" x14ac:dyDescent="0.25">
      <c r="A1058" s="545">
        <f t="shared" si="73"/>
        <v>55074.703647426271</v>
      </c>
      <c r="B1058" s="3">
        <f t="shared" si="75"/>
        <v>3.0499999999999972</v>
      </c>
      <c r="C1058" s="545">
        <f>'Foglio deposito bis'!$E$157/sezione!$B$247*B1058</f>
        <v>20.06435384502786</v>
      </c>
      <c r="D1058" s="603">
        <f>-'Sollecitazioni nel paramento'!$G$47*'Sollecitazioni nel paramento'!$G$41*IF(DATI!$G$211="dx",DATI!$E$61,DATI!$E$64*DATI!$E$63)*1000*C1058^2*sezione!$AD$5*(1-sezione!$AD$6)</f>
        <v>-8956822.7827561386</v>
      </c>
      <c r="E1058" s="545">
        <f>-'Foglio deposito bis'!$F$58*(C1058-sezione!$AL$31)*IF(ABS(K1058)&lt;'Sollecitazioni nel paramento'!$G$58,ABS(K1058)*'Sollecitazioni nel paramento'!$G$54,'Sollecitazioni nel paramento'!$G$53)</f>
        <v>0</v>
      </c>
      <c r="F1058" s="545">
        <f>-'Foglio deposito bis'!$F$59*(C1058-sezione!$AM$31)*IF(ABS(L1058)&lt;'Sollecitazioni nel paramento'!$G$58,ABS(L1058)*'Sollecitazioni nel paramento'!$G$54,'Sollecitazioni nel paramento'!$G$53)</f>
        <v>6136705.3977793343</v>
      </c>
      <c r="G1058" s="545">
        <f>-'Foglio deposito bis'!$F$60*(C1058-sezione!$AN$31)*IF(ABS(M1058)&lt;'Sollecitazioni nel paramento'!$G$58,ABS(M1058)*'Sollecitazioni nel paramento'!$G$54,'Sollecitazioni nel paramento'!$G$53)</f>
        <v>0</v>
      </c>
      <c r="H1058" s="545">
        <f>-'Foglio deposito bis'!$F$61*(C1058-sezione!$AO$31)*IF(ABS(N1058)&lt;'Sollecitazioni nel paramento'!$G$58,ABS(N1058)*'Sollecitazioni nel paramento'!$G$54,'Sollecitazioni nel paramento'!$G$53)</f>
        <v>33717003.806902327</v>
      </c>
      <c r="I1058" s="472">
        <f>-'Foglio deposito bis'!$F$62*(C1058-sezione!$AP$31)*IF(ABS(O1058)&lt;'Sollecitazioni nel paramento'!$G$58,ABS(O1058)*'Sollecitazioni nel paramento'!$G$54,'Sollecitazioni nel paramento'!$G$53)</f>
        <v>134091370.75159785</v>
      </c>
      <c r="J1058" s="472">
        <f t="shared" si="72"/>
        <v>164988257.17352337</v>
      </c>
      <c r="K1058" s="550">
        <f>'Sollecitazioni nel paramento'!$G$60*(sezione!$AL$31-C1058)/C1058</f>
        <v>3.4775483965905707E-3</v>
      </c>
      <c r="L1058" s="550">
        <f>'Sollecitazioni nel paramento'!$G$60*(sezione!$AM$31-C1058)/C1058</f>
        <v>6.9663225948858563E-3</v>
      </c>
      <c r="M1058" s="551">
        <f>'Sollecitazioni nel paramento'!$G$60*(sezione!$AN$31-C1058)/C1058</f>
        <v>1.0455096793181141E-2</v>
      </c>
      <c r="N1058" s="551">
        <f>'Sollecitazioni nel paramento'!$G$60*(sezione!$AO$31-C1058)/C1058</f>
        <v>2.4410193586362285E-2</v>
      </c>
      <c r="O1058" s="551">
        <f>'Sollecitazioni nel paramento'!$G$60*(sezione!$AP$31-C1058)/C1058</f>
        <v>7.4325730291934039E-2</v>
      </c>
      <c r="P1058" s="545">
        <f>-'Sollecitazioni nel paramento'!$G$47*'Sollecitazioni nel paramento'!$G$41*IF(DATI!$G$211="dx",DATI!$E$61,DATI!$E$64*DATI!$E$63)*1000*C1058*sezione!$AD$5</f>
        <v>-764391.6884340262</v>
      </c>
      <c r="Q1058" s="545">
        <f>'Foglio deposito bis'!$F$58*IF(ABS(K1058)&lt;'Sollecitazioni nel paramento'!$G$58,ABS(K1058)*'Sollecitazioni nel paramento'!$G$54,'Sollecitazioni nel paramento'!$G$53)*IF(K1058&lt;0,-1,1)</f>
        <v>0</v>
      </c>
      <c r="R1058" s="545">
        <f>'Foglio deposito bis'!$F$59*IF(ABS(L1058)&lt;'Sollecitazioni nel paramento'!$G$58,ABS(L1058)*'Sollecitazioni nel paramento'!$G$54,'Sollecitazioni nel paramento'!$G$53)*IF(L1058&lt;0,-1,1)</f>
        <v>153664.85805602249</v>
      </c>
      <c r="S1058" s="545">
        <f>'Foglio deposito bis'!$F$60*IF(ABS(M1058)&lt;'Sollecitazioni nel paramento'!$G$58,ABS(M1058)*'Sollecitazioni nel paramento'!$G$54,'Sollecitazioni nel paramento'!$G$53)*IF(M1058&lt;0,-1,1)</f>
        <v>0</v>
      </c>
      <c r="T1058" s="545">
        <f>'Foglio deposito bis'!$F$61*IF(ABS(N1058)&lt;'Sollecitazioni nel paramento'!$G$58,ABS(N1058)*'Sollecitazioni nel paramento'!$G$54,'Sollecitazioni nel paramento'!$G$53)*IF(N1058&lt;0,-1,1)</f>
        <v>240946.49743184328</v>
      </c>
      <c r="U1058" s="545">
        <f>'Foglio deposito bis'!$F$62*IF(ABS(O1058)&lt;'Sollecitazioni nel paramento'!$G$58,ABS(O1058)*'Sollecitazioni nel paramento'!$G$54,'Sollecitazioni nel paramento'!$G$53)*IF(O1058&lt;0,-1,1)</f>
        <v>314705.62929873407</v>
      </c>
      <c r="V1058" s="472">
        <f t="shared" si="74"/>
        <v>-55074.703647426271</v>
      </c>
      <c r="W1058" s="551"/>
      <c r="X1058" s="551"/>
    </row>
    <row r="1059" spans="1:24" x14ac:dyDescent="0.25">
      <c r="A1059" s="545">
        <f t="shared" si="73"/>
        <v>67605.714933230018</v>
      </c>
      <c r="B1059" s="3">
        <f t="shared" si="75"/>
        <v>3.099999999999997</v>
      </c>
      <c r="C1059" s="545">
        <f>'Foglio deposito bis'!$E$157/sezione!$B$247*B1059</f>
        <v>20.393277678552906</v>
      </c>
      <c r="D1059" s="603">
        <f>-'Sollecitazioni nel paramento'!$G$47*'Sollecitazioni nel paramento'!$G$41*IF(DATI!$G$211="dx",DATI!$E$61,DATI!$E$64*DATI!$E$63)*1000*C1059^2*sezione!$AD$5*(1-sezione!$AD$6)</f>
        <v>-9252896.2044919636</v>
      </c>
      <c r="E1059" s="545">
        <f>-'Foglio deposito bis'!$F$58*(C1059-sezione!$AL$31)*IF(ABS(K1059)&lt;'Sollecitazioni nel paramento'!$G$58,ABS(K1059)*'Sollecitazioni nel paramento'!$G$54,'Sollecitazioni nel paramento'!$G$53)</f>
        <v>0</v>
      </c>
      <c r="F1059" s="545">
        <f>-'Foglio deposito bis'!$F$59*(C1059-sezione!$AM$31)*IF(ABS(L1059)&lt;'Sollecitazioni nel paramento'!$G$58,ABS(L1059)*'Sollecitazioni nel paramento'!$G$54,'Sollecitazioni nel paramento'!$G$53)</f>
        <v>6086161.3635894656</v>
      </c>
      <c r="G1059" s="545">
        <f>-'Foglio deposito bis'!$F$60*(C1059-sezione!$AN$31)*IF(ABS(M1059)&lt;'Sollecitazioni nel paramento'!$G$58,ABS(M1059)*'Sollecitazioni nel paramento'!$G$54,'Sollecitazioni nel paramento'!$G$53)</f>
        <v>0</v>
      </c>
      <c r="H1059" s="545">
        <f>-'Foglio deposito bis'!$F$61*(C1059-sezione!$AO$31)*IF(ABS(N1059)&lt;'Sollecitazioni nel paramento'!$G$58,ABS(N1059)*'Sollecitazioni nel paramento'!$G$54,'Sollecitazioni nel paramento'!$G$53)</f>
        <v>33637750.761292607</v>
      </c>
      <c r="I1059" s="472">
        <f>-'Foglio deposito bis'!$F$62*(C1059-sezione!$AP$31)*IF(ABS(O1059)&lt;'Sollecitazioni nel paramento'!$G$58,ABS(O1059)*'Sollecitazioni nel paramento'!$G$54,'Sollecitazioni nel paramento'!$G$53)</f>
        <v>133987856.56957699</v>
      </c>
      <c r="J1059" s="472">
        <f t="shared" si="72"/>
        <v>164458872.48996711</v>
      </c>
      <c r="K1059" s="550">
        <f>'Sollecitazioni nel paramento'!$G$60*(sezione!$AL$31-C1059)/C1059</f>
        <v>3.3650072934197561E-3</v>
      </c>
      <c r="L1059" s="550">
        <f>'Sollecitazioni nel paramento'!$G$60*(sezione!$AM$31-C1059)/C1059</f>
        <v>6.7975109401296344E-3</v>
      </c>
      <c r="M1059" s="551">
        <f>'Sollecitazioni nel paramento'!$G$60*(sezione!$AN$31-C1059)/C1059</f>
        <v>1.023001458683951E-2</v>
      </c>
      <c r="N1059" s="551">
        <f>'Sollecitazioni nel paramento'!$G$60*(sezione!$AO$31-C1059)/C1059</f>
        <v>2.396002917367902E-2</v>
      </c>
      <c r="O1059" s="551">
        <f>'Sollecitazioni nel paramento'!$G$60*(sezione!$AP$31-C1059)/C1059</f>
        <v>7.3070476577548019E-2</v>
      </c>
      <c r="P1059" s="545">
        <f>-'Sollecitazioni nel paramento'!$G$47*'Sollecitazioni nel paramento'!$G$41*IF(DATI!$G$211="dx",DATI!$E$61,DATI!$E$64*DATI!$E$63)*1000*C1059*sezione!$AD$5</f>
        <v>-776922.69971982995</v>
      </c>
      <c r="Q1059" s="545">
        <f>'Foglio deposito bis'!$F$58*IF(ABS(K1059)&lt;'Sollecitazioni nel paramento'!$G$58,ABS(K1059)*'Sollecitazioni nel paramento'!$G$54,'Sollecitazioni nel paramento'!$G$53)*IF(K1059&lt;0,-1,1)</f>
        <v>0</v>
      </c>
      <c r="R1059" s="545">
        <f>'Foglio deposito bis'!$F$59*IF(ABS(L1059)&lt;'Sollecitazioni nel paramento'!$G$58,ABS(L1059)*'Sollecitazioni nel paramento'!$G$54,'Sollecitazioni nel paramento'!$G$53)*IF(L1059&lt;0,-1,1)</f>
        <v>153664.85805602249</v>
      </c>
      <c r="S1059" s="545">
        <f>'Foglio deposito bis'!$F$60*IF(ABS(M1059)&lt;'Sollecitazioni nel paramento'!$G$58,ABS(M1059)*'Sollecitazioni nel paramento'!$G$54,'Sollecitazioni nel paramento'!$G$53)*IF(M1059&lt;0,-1,1)</f>
        <v>0</v>
      </c>
      <c r="T1059" s="545">
        <f>'Foglio deposito bis'!$F$61*IF(ABS(N1059)&lt;'Sollecitazioni nel paramento'!$G$58,ABS(N1059)*'Sollecitazioni nel paramento'!$G$54,'Sollecitazioni nel paramento'!$G$53)*IF(N1059&lt;0,-1,1)</f>
        <v>240946.49743184328</v>
      </c>
      <c r="U1059" s="545">
        <f>'Foglio deposito bis'!$F$62*IF(ABS(O1059)&lt;'Sollecitazioni nel paramento'!$G$58,ABS(O1059)*'Sollecitazioni nel paramento'!$G$54,'Sollecitazioni nel paramento'!$G$53)*IF(O1059&lt;0,-1,1)</f>
        <v>314705.62929873407</v>
      </c>
      <c r="V1059" s="472">
        <f t="shared" si="74"/>
        <v>-67605.714933230018</v>
      </c>
      <c r="W1059" s="551"/>
      <c r="X1059" s="551"/>
    </row>
    <row r="1060" spans="1:24" x14ac:dyDescent="0.25">
      <c r="A1060" s="545">
        <f t="shared" si="73"/>
        <v>80136.726219033764</v>
      </c>
      <c r="B1060" s="3">
        <f t="shared" si="75"/>
        <v>3.1499999999999968</v>
      </c>
      <c r="C1060" s="545">
        <f>'Foglio deposito bis'!$E$157/sezione!$B$247*B1060</f>
        <v>20.722201512077952</v>
      </c>
      <c r="D1060" s="603">
        <f>-'Sollecitazioni nel paramento'!$G$47*'Sollecitazioni nel paramento'!$G$41*IF(DATI!$G$211="dx",DATI!$E$61,DATI!$E$64*DATI!$E$63)*1000*C1060^2*sezione!$AD$5*(1-sezione!$AD$6)</f>
        <v>-9553783.8282072321</v>
      </c>
      <c r="E1060" s="545">
        <f>-'Foglio deposito bis'!$F$58*(C1060-sezione!$AL$31)*IF(ABS(K1060)&lt;'Sollecitazioni nel paramento'!$G$58,ABS(K1060)*'Sollecitazioni nel paramento'!$G$54,'Sollecitazioni nel paramento'!$G$53)</f>
        <v>0</v>
      </c>
      <c r="F1060" s="545">
        <f>-'Foglio deposito bis'!$F$59*(C1060-sezione!$AM$31)*IF(ABS(L1060)&lt;'Sollecitazioni nel paramento'!$G$58,ABS(L1060)*'Sollecitazioni nel paramento'!$G$54,'Sollecitazioni nel paramento'!$G$53)</f>
        <v>6035617.329399596</v>
      </c>
      <c r="G1060" s="545">
        <f>-'Foglio deposito bis'!$F$60*(C1060-sezione!$AN$31)*IF(ABS(M1060)&lt;'Sollecitazioni nel paramento'!$G$58,ABS(M1060)*'Sollecitazioni nel paramento'!$G$54,'Sollecitazioni nel paramento'!$G$53)</f>
        <v>0</v>
      </c>
      <c r="H1060" s="545">
        <f>-'Foglio deposito bis'!$F$61*(C1060-sezione!$AO$31)*IF(ABS(N1060)&lt;'Sollecitazioni nel paramento'!$G$58,ABS(N1060)*'Sollecitazioni nel paramento'!$G$54,'Sollecitazioni nel paramento'!$G$53)</f>
        <v>33558497.715682894</v>
      </c>
      <c r="I1060" s="472">
        <f>-'Foglio deposito bis'!$F$62*(C1060-sezione!$AP$31)*IF(ABS(O1060)&lt;'Sollecitazioni nel paramento'!$G$58,ABS(O1060)*'Sollecitazioni nel paramento'!$G$54,'Sollecitazioni nel paramento'!$G$53)</f>
        <v>133884342.38755615</v>
      </c>
      <c r="J1060" s="472">
        <f t="shared" si="72"/>
        <v>163924673.60443142</v>
      </c>
      <c r="K1060" s="550">
        <f>'Sollecitazioni nel paramento'!$G$60*(sezione!$AL$31-C1060)/C1060</f>
        <v>3.2560389236829346E-3</v>
      </c>
      <c r="L1060" s="550">
        <f>'Sollecitazioni nel paramento'!$G$60*(sezione!$AM$31-C1060)/C1060</f>
        <v>6.6340583855244023E-3</v>
      </c>
      <c r="M1060" s="551">
        <f>'Sollecitazioni nel paramento'!$G$60*(sezione!$AN$31-C1060)/C1060</f>
        <v>1.001207784736587E-2</v>
      </c>
      <c r="N1060" s="551">
        <f>'Sollecitazioni nel paramento'!$G$60*(sezione!$AO$31-C1060)/C1060</f>
        <v>2.3524155694731735E-2</v>
      </c>
      <c r="O1060" s="551">
        <f>'Sollecitazioni nel paramento'!$G$60*(sezione!$AP$31-C1060)/C1060</f>
        <v>7.1855072187428204E-2</v>
      </c>
      <c r="P1060" s="545">
        <f>-'Sollecitazioni nel paramento'!$G$47*'Sollecitazioni nel paramento'!$G$41*IF(DATI!$G$211="dx",DATI!$E$61,DATI!$E$64*DATI!$E$63)*1000*C1060*sezione!$AD$5</f>
        <v>-789453.71100563358</v>
      </c>
      <c r="Q1060" s="545">
        <f>'Foglio deposito bis'!$F$58*IF(ABS(K1060)&lt;'Sollecitazioni nel paramento'!$G$58,ABS(K1060)*'Sollecitazioni nel paramento'!$G$54,'Sollecitazioni nel paramento'!$G$53)*IF(K1060&lt;0,-1,1)</f>
        <v>0</v>
      </c>
      <c r="R1060" s="545">
        <f>'Foglio deposito bis'!$F$59*IF(ABS(L1060)&lt;'Sollecitazioni nel paramento'!$G$58,ABS(L1060)*'Sollecitazioni nel paramento'!$G$54,'Sollecitazioni nel paramento'!$G$53)*IF(L1060&lt;0,-1,1)</f>
        <v>153664.85805602249</v>
      </c>
      <c r="S1060" s="545">
        <f>'Foglio deposito bis'!$F$60*IF(ABS(M1060)&lt;'Sollecitazioni nel paramento'!$G$58,ABS(M1060)*'Sollecitazioni nel paramento'!$G$54,'Sollecitazioni nel paramento'!$G$53)*IF(M1060&lt;0,-1,1)</f>
        <v>0</v>
      </c>
      <c r="T1060" s="545">
        <f>'Foglio deposito bis'!$F$61*IF(ABS(N1060)&lt;'Sollecitazioni nel paramento'!$G$58,ABS(N1060)*'Sollecitazioni nel paramento'!$G$54,'Sollecitazioni nel paramento'!$G$53)*IF(N1060&lt;0,-1,1)</f>
        <v>240946.49743184328</v>
      </c>
      <c r="U1060" s="545">
        <f>'Foglio deposito bis'!$F$62*IF(ABS(O1060)&lt;'Sollecitazioni nel paramento'!$G$58,ABS(O1060)*'Sollecitazioni nel paramento'!$G$54,'Sollecitazioni nel paramento'!$G$53)*IF(O1060&lt;0,-1,1)</f>
        <v>314705.62929873407</v>
      </c>
      <c r="V1060" s="472">
        <f t="shared" si="74"/>
        <v>-80136.726219033764</v>
      </c>
      <c r="W1060" s="551"/>
      <c r="X1060" s="551"/>
    </row>
    <row r="1061" spans="1:24" x14ac:dyDescent="0.25">
      <c r="A1061" s="545">
        <f t="shared" si="73"/>
        <v>92667.737504837278</v>
      </c>
      <c r="B1061" s="3">
        <f t="shared" si="75"/>
        <v>3.1999999999999966</v>
      </c>
      <c r="C1061" s="545">
        <f>'Foglio deposito bis'!$E$157/sezione!$B$247*B1061</f>
        <v>21.051125345602998</v>
      </c>
      <c r="D1061" s="603">
        <f>-'Sollecitazioni nel paramento'!$G$47*'Sollecitazioni nel paramento'!$G$41*IF(DATI!$G$211="dx",DATI!$E$61,DATI!$E$64*DATI!$E$63)*1000*C1061^2*sezione!$AD$5*(1-sezione!$AD$6)</f>
        <v>-9859485.6539019458</v>
      </c>
      <c r="E1061" s="545">
        <f>-'Foglio deposito bis'!$F$58*(C1061-sezione!$AL$31)*IF(ABS(K1061)&lt;'Sollecitazioni nel paramento'!$G$58,ABS(K1061)*'Sollecitazioni nel paramento'!$G$54,'Sollecitazioni nel paramento'!$G$53)</f>
        <v>0</v>
      </c>
      <c r="F1061" s="545">
        <f>-'Foglio deposito bis'!$F$59*(C1061-sezione!$AM$31)*IF(ABS(L1061)&lt;'Sollecitazioni nel paramento'!$G$58,ABS(L1061)*'Sollecitazioni nel paramento'!$G$54,'Sollecitazioni nel paramento'!$G$53)</f>
        <v>5985073.2952097282</v>
      </c>
      <c r="G1061" s="545">
        <f>-'Foglio deposito bis'!$F$60*(C1061-sezione!$AN$31)*IF(ABS(M1061)&lt;'Sollecitazioni nel paramento'!$G$58,ABS(M1061)*'Sollecitazioni nel paramento'!$G$54,'Sollecitazioni nel paramento'!$G$53)</f>
        <v>0</v>
      </c>
      <c r="H1061" s="545">
        <f>-'Foglio deposito bis'!$F$61*(C1061-sezione!$AO$31)*IF(ABS(N1061)&lt;'Sollecitazioni nel paramento'!$G$58,ABS(N1061)*'Sollecitazioni nel paramento'!$G$54,'Sollecitazioni nel paramento'!$G$53)</f>
        <v>33479244.670073178</v>
      </c>
      <c r="I1061" s="472">
        <f>-'Foglio deposito bis'!$F$62*(C1061-sezione!$AP$31)*IF(ABS(O1061)&lt;'Sollecitazioni nel paramento'!$G$58,ABS(O1061)*'Sollecitazioni nel paramento'!$G$54,'Sollecitazioni nel paramento'!$G$53)</f>
        <v>133780828.20553531</v>
      </c>
      <c r="J1061" s="472">
        <f t="shared" ref="J1061:J1124" si="76">D1061+E1061+F1061+G1061+H1061+I1061</f>
        <v>163385660.51691628</v>
      </c>
      <c r="K1061" s="550">
        <f>'Sollecitazioni nel paramento'!$G$60*(sezione!$AL$31-C1061)/C1061</f>
        <v>3.1504758155003888E-3</v>
      </c>
      <c r="L1061" s="550">
        <f>'Sollecitazioni nel paramento'!$G$60*(sezione!$AM$31-C1061)/C1061</f>
        <v>6.4757137232505837E-3</v>
      </c>
      <c r="M1061" s="551">
        <f>'Sollecitazioni nel paramento'!$G$60*(sezione!$AN$31-C1061)/C1061</f>
        <v>9.8009516310007781E-3</v>
      </c>
      <c r="N1061" s="551">
        <f>'Sollecitazioni nel paramento'!$G$60*(sezione!$AO$31-C1061)/C1061</f>
        <v>2.3101903262001556E-2</v>
      </c>
      <c r="O1061" s="551">
        <f>'Sollecitazioni nel paramento'!$G$60*(sezione!$AP$31-C1061)/C1061</f>
        <v>7.0677649184499647E-2</v>
      </c>
      <c r="P1061" s="545">
        <f>-'Sollecitazioni nel paramento'!$G$47*'Sollecitazioni nel paramento'!$G$41*IF(DATI!$G$211="dx",DATI!$E$61,DATI!$E$64*DATI!$E$63)*1000*C1061*sezione!$AD$5</f>
        <v>-801984.72229143721</v>
      </c>
      <c r="Q1061" s="545">
        <f>'Foglio deposito bis'!$F$58*IF(ABS(K1061)&lt;'Sollecitazioni nel paramento'!$G$58,ABS(K1061)*'Sollecitazioni nel paramento'!$G$54,'Sollecitazioni nel paramento'!$G$53)*IF(K1061&lt;0,-1,1)</f>
        <v>0</v>
      </c>
      <c r="R1061" s="545">
        <f>'Foglio deposito bis'!$F$59*IF(ABS(L1061)&lt;'Sollecitazioni nel paramento'!$G$58,ABS(L1061)*'Sollecitazioni nel paramento'!$G$54,'Sollecitazioni nel paramento'!$G$53)*IF(L1061&lt;0,-1,1)</f>
        <v>153664.85805602249</v>
      </c>
      <c r="S1061" s="545">
        <f>'Foglio deposito bis'!$F$60*IF(ABS(M1061)&lt;'Sollecitazioni nel paramento'!$G$58,ABS(M1061)*'Sollecitazioni nel paramento'!$G$54,'Sollecitazioni nel paramento'!$G$53)*IF(M1061&lt;0,-1,1)</f>
        <v>0</v>
      </c>
      <c r="T1061" s="545">
        <f>'Foglio deposito bis'!$F$61*IF(ABS(N1061)&lt;'Sollecitazioni nel paramento'!$G$58,ABS(N1061)*'Sollecitazioni nel paramento'!$G$54,'Sollecitazioni nel paramento'!$G$53)*IF(N1061&lt;0,-1,1)</f>
        <v>240946.49743184328</v>
      </c>
      <c r="U1061" s="545">
        <f>'Foglio deposito bis'!$F$62*IF(ABS(O1061)&lt;'Sollecitazioni nel paramento'!$G$58,ABS(O1061)*'Sollecitazioni nel paramento'!$G$54,'Sollecitazioni nel paramento'!$G$53)*IF(O1061&lt;0,-1,1)</f>
        <v>314705.62929873407</v>
      </c>
      <c r="V1061" s="472">
        <f t="shared" si="74"/>
        <v>-92667.737504837278</v>
      </c>
      <c r="W1061" s="551"/>
      <c r="X1061" s="551"/>
    </row>
    <row r="1062" spans="1:24" x14ac:dyDescent="0.25">
      <c r="A1062" s="545">
        <f t="shared" ref="A1062:A1125" si="77">ABS(V1062)</f>
        <v>105198.74879064102</v>
      </c>
      <c r="B1062" s="3">
        <f t="shared" si="75"/>
        <v>3.2499999999999964</v>
      </c>
      <c r="C1062" s="545">
        <f>'Foglio deposito bis'!$E$157/sezione!$B$247*B1062</f>
        <v>21.380049179128044</v>
      </c>
      <c r="D1062" s="603">
        <f>-'Sollecitazioni nel paramento'!$G$47*'Sollecitazioni nel paramento'!$G$41*IF(DATI!$G$211="dx",DATI!$E$61,DATI!$E$64*DATI!$E$63)*1000*C1062^2*sezione!$AD$5*(1-sezione!$AD$6)</f>
        <v>-10170001.681576101</v>
      </c>
      <c r="E1062" s="545">
        <f>-'Foglio deposito bis'!$F$58*(C1062-sezione!$AL$31)*IF(ABS(K1062)&lt;'Sollecitazioni nel paramento'!$G$58,ABS(K1062)*'Sollecitazioni nel paramento'!$G$54,'Sollecitazioni nel paramento'!$G$53)</f>
        <v>0</v>
      </c>
      <c r="F1062" s="545">
        <f>-'Foglio deposito bis'!$F$59*(C1062-sezione!$AM$31)*IF(ABS(L1062)&lt;'Sollecitazioni nel paramento'!$G$58,ABS(L1062)*'Sollecitazioni nel paramento'!$G$54,'Sollecitazioni nel paramento'!$G$53)</f>
        <v>5934529.2610198585</v>
      </c>
      <c r="G1062" s="545">
        <f>-'Foglio deposito bis'!$F$60*(C1062-sezione!$AN$31)*IF(ABS(M1062)&lt;'Sollecitazioni nel paramento'!$G$58,ABS(M1062)*'Sollecitazioni nel paramento'!$G$54,'Sollecitazioni nel paramento'!$G$53)</f>
        <v>0</v>
      </c>
      <c r="H1062" s="545">
        <f>-'Foglio deposito bis'!$F$61*(C1062-sezione!$AO$31)*IF(ABS(N1062)&lt;'Sollecitazioni nel paramento'!$G$58,ABS(N1062)*'Sollecitazioni nel paramento'!$G$54,'Sollecitazioni nel paramento'!$G$53)</f>
        <v>33399991.624463465</v>
      </c>
      <c r="I1062" s="472">
        <f>-'Foglio deposito bis'!$F$62*(C1062-sezione!$AP$31)*IF(ABS(O1062)&lt;'Sollecitazioni nel paramento'!$G$58,ABS(O1062)*'Sollecitazioni nel paramento'!$G$54,'Sollecitazioni nel paramento'!$G$53)</f>
        <v>133677314.02351443</v>
      </c>
      <c r="J1062" s="472">
        <f t="shared" si="76"/>
        <v>162841833.22742164</v>
      </c>
      <c r="K1062" s="550">
        <f>'Sollecitazioni nel paramento'!$G$60*(sezione!$AL$31-C1062)/C1062</f>
        <v>3.0481608029542294E-3</v>
      </c>
      <c r="L1062" s="550">
        <f>'Sollecitazioni nel paramento'!$G$60*(sezione!$AM$31-C1062)/C1062</f>
        <v>6.3222412044313435E-3</v>
      </c>
      <c r="M1062" s="551">
        <f>'Sollecitazioni nel paramento'!$G$60*(sezione!$AN$31-C1062)/C1062</f>
        <v>9.5963216059084585E-3</v>
      </c>
      <c r="N1062" s="551">
        <f>'Sollecitazioni nel paramento'!$G$60*(sezione!$AO$31-C1062)/C1062</f>
        <v>2.269264321181692E-2</v>
      </c>
      <c r="O1062" s="551">
        <f>'Sollecitazioni nel paramento'!$G$60*(sezione!$AP$31-C1062)/C1062</f>
        <v>6.9536454581661189E-2</v>
      </c>
      <c r="P1062" s="545">
        <f>-'Sollecitazioni nel paramento'!$G$47*'Sollecitazioni nel paramento'!$G$41*IF(DATI!$G$211="dx",DATI!$E$61,DATI!$E$64*DATI!$E$63)*1000*C1062*sezione!$AD$5</f>
        <v>-814515.73357724084</v>
      </c>
      <c r="Q1062" s="545">
        <f>'Foglio deposito bis'!$F$58*IF(ABS(K1062)&lt;'Sollecitazioni nel paramento'!$G$58,ABS(K1062)*'Sollecitazioni nel paramento'!$G$54,'Sollecitazioni nel paramento'!$G$53)*IF(K1062&lt;0,-1,1)</f>
        <v>0</v>
      </c>
      <c r="R1062" s="545">
        <f>'Foglio deposito bis'!$F$59*IF(ABS(L1062)&lt;'Sollecitazioni nel paramento'!$G$58,ABS(L1062)*'Sollecitazioni nel paramento'!$G$54,'Sollecitazioni nel paramento'!$G$53)*IF(L1062&lt;0,-1,1)</f>
        <v>153664.85805602249</v>
      </c>
      <c r="S1062" s="545">
        <f>'Foglio deposito bis'!$F$60*IF(ABS(M1062)&lt;'Sollecitazioni nel paramento'!$G$58,ABS(M1062)*'Sollecitazioni nel paramento'!$G$54,'Sollecitazioni nel paramento'!$G$53)*IF(M1062&lt;0,-1,1)</f>
        <v>0</v>
      </c>
      <c r="T1062" s="545">
        <f>'Foglio deposito bis'!$F$61*IF(ABS(N1062)&lt;'Sollecitazioni nel paramento'!$G$58,ABS(N1062)*'Sollecitazioni nel paramento'!$G$54,'Sollecitazioni nel paramento'!$G$53)*IF(N1062&lt;0,-1,1)</f>
        <v>240946.49743184328</v>
      </c>
      <c r="U1062" s="545">
        <f>'Foglio deposito bis'!$F$62*IF(ABS(O1062)&lt;'Sollecitazioni nel paramento'!$G$58,ABS(O1062)*'Sollecitazioni nel paramento'!$G$54,'Sollecitazioni nel paramento'!$G$53)*IF(O1062&lt;0,-1,1)</f>
        <v>314705.62929873407</v>
      </c>
      <c r="V1062" s="472">
        <f t="shared" ref="V1062:V1125" si="78">P1062+Q1062+R1062+S1062+T1062+U1062</f>
        <v>-105198.74879064102</v>
      </c>
      <c r="W1062" s="551"/>
      <c r="X1062" s="551"/>
    </row>
    <row r="1063" spans="1:24" x14ac:dyDescent="0.25">
      <c r="A1063" s="545">
        <f t="shared" si="77"/>
        <v>117729.76007644477</v>
      </c>
      <c r="B1063" s="3">
        <f t="shared" ref="B1063:B1099" si="79">B1062+0.05</f>
        <v>3.2999999999999963</v>
      </c>
      <c r="C1063" s="545">
        <f>'Foglio deposito bis'!$E$157/sezione!$B$247*B1063</f>
        <v>21.70897301265309</v>
      </c>
      <c r="D1063" s="603">
        <f>-'Sollecitazioni nel paramento'!$G$47*'Sollecitazioni nel paramento'!$G$41*IF(DATI!$G$211="dx",DATI!$E$61,DATI!$E$64*DATI!$E$63)*1000*C1063^2*sezione!$AD$5*(1-sezione!$AD$6)</f>
        <v>-10485331.911229702</v>
      </c>
      <c r="E1063" s="545">
        <f>-'Foglio deposito bis'!$F$58*(C1063-sezione!$AL$31)*IF(ABS(K1063)&lt;'Sollecitazioni nel paramento'!$G$58,ABS(K1063)*'Sollecitazioni nel paramento'!$G$54,'Sollecitazioni nel paramento'!$G$53)</f>
        <v>0</v>
      </c>
      <c r="F1063" s="545">
        <f>-'Foglio deposito bis'!$F$59*(C1063-sezione!$AM$31)*IF(ABS(L1063)&lt;'Sollecitazioni nel paramento'!$G$58,ABS(L1063)*'Sollecitazioni nel paramento'!$G$54,'Sollecitazioni nel paramento'!$G$53)</f>
        <v>5883985.2268299898</v>
      </c>
      <c r="G1063" s="545">
        <f>-'Foglio deposito bis'!$F$60*(C1063-sezione!$AN$31)*IF(ABS(M1063)&lt;'Sollecitazioni nel paramento'!$G$58,ABS(M1063)*'Sollecitazioni nel paramento'!$G$54,'Sollecitazioni nel paramento'!$G$53)</f>
        <v>0</v>
      </c>
      <c r="H1063" s="545">
        <f>-'Foglio deposito bis'!$F$61*(C1063-sezione!$AO$31)*IF(ABS(N1063)&lt;'Sollecitazioni nel paramento'!$G$58,ABS(N1063)*'Sollecitazioni nel paramento'!$G$54,'Sollecitazioni nel paramento'!$G$53)</f>
        <v>33320738.578853756</v>
      </c>
      <c r="I1063" s="472">
        <f>-'Foglio deposito bis'!$F$62*(C1063-sezione!$AP$31)*IF(ABS(O1063)&lt;'Sollecitazioni nel paramento'!$G$58,ABS(O1063)*'Sollecitazioni nel paramento'!$G$54,'Sollecitazioni nel paramento'!$G$53)</f>
        <v>133573799.84149361</v>
      </c>
      <c r="J1063" s="472">
        <f t="shared" si="76"/>
        <v>162293191.73594764</v>
      </c>
      <c r="K1063" s="550">
        <f>'Sollecitazioni nel paramento'!$G$60*(sezione!$AL$31-C1063)/C1063</f>
        <v>2.9489462453337108E-3</v>
      </c>
      <c r="L1063" s="550">
        <f>'Sollecitazioni nel paramento'!$G$60*(sezione!$AM$31-C1063)/C1063</f>
        <v>6.1734193680005661E-3</v>
      </c>
      <c r="M1063" s="551">
        <f>'Sollecitazioni nel paramento'!$G$60*(sezione!$AN$31-C1063)/C1063</f>
        <v>9.3978924906674213E-3</v>
      </c>
      <c r="N1063" s="551">
        <f>'Sollecitazioni nel paramento'!$G$60*(sezione!$AO$31-C1063)/C1063</f>
        <v>2.2295784981334846E-2</v>
      </c>
      <c r="O1063" s="551">
        <f>'Sollecitazioni nel paramento'!$G$60*(sezione!$AP$31-C1063)/C1063</f>
        <v>6.8429841633454211E-2</v>
      </c>
      <c r="P1063" s="545">
        <f>-'Sollecitazioni nel paramento'!$G$47*'Sollecitazioni nel paramento'!$G$41*IF(DATI!$G$211="dx",DATI!$E$61,DATI!$E$64*DATI!$E$63)*1000*C1063*sezione!$AD$5</f>
        <v>-827046.74486304459</v>
      </c>
      <c r="Q1063" s="545">
        <f>'Foglio deposito bis'!$F$58*IF(ABS(K1063)&lt;'Sollecitazioni nel paramento'!$G$58,ABS(K1063)*'Sollecitazioni nel paramento'!$G$54,'Sollecitazioni nel paramento'!$G$53)*IF(K1063&lt;0,-1,1)</f>
        <v>0</v>
      </c>
      <c r="R1063" s="545">
        <f>'Foglio deposito bis'!$F$59*IF(ABS(L1063)&lt;'Sollecitazioni nel paramento'!$G$58,ABS(L1063)*'Sollecitazioni nel paramento'!$G$54,'Sollecitazioni nel paramento'!$G$53)*IF(L1063&lt;0,-1,1)</f>
        <v>153664.85805602249</v>
      </c>
      <c r="S1063" s="545">
        <f>'Foglio deposito bis'!$F$60*IF(ABS(M1063)&lt;'Sollecitazioni nel paramento'!$G$58,ABS(M1063)*'Sollecitazioni nel paramento'!$G$54,'Sollecitazioni nel paramento'!$G$53)*IF(M1063&lt;0,-1,1)</f>
        <v>0</v>
      </c>
      <c r="T1063" s="545">
        <f>'Foglio deposito bis'!$F$61*IF(ABS(N1063)&lt;'Sollecitazioni nel paramento'!$G$58,ABS(N1063)*'Sollecitazioni nel paramento'!$G$54,'Sollecitazioni nel paramento'!$G$53)*IF(N1063&lt;0,-1,1)</f>
        <v>240946.49743184328</v>
      </c>
      <c r="U1063" s="545">
        <f>'Foglio deposito bis'!$F$62*IF(ABS(O1063)&lt;'Sollecitazioni nel paramento'!$G$58,ABS(O1063)*'Sollecitazioni nel paramento'!$G$54,'Sollecitazioni nel paramento'!$G$53)*IF(O1063&lt;0,-1,1)</f>
        <v>314705.62929873407</v>
      </c>
      <c r="V1063" s="472">
        <f t="shared" si="78"/>
        <v>-117729.76007644477</v>
      </c>
      <c r="W1063" s="551"/>
      <c r="X1063" s="551"/>
    </row>
    <row r="1064" spans="1:24" x14ac:dyDescent="0.25">
      <c r="A1064" s="545">
        <f t="shared" si="77"/>
        <v>130260.77136224852</v>
      </c>
      <c r="B1064" s="3">
        <f t="shared" si="79"/>
        <v>3.3499999999999961</v>
      </c>
      <c r="C1064" s="545">
        <f>'Foglio deposito bis'!$E$157/sezione!$B$247*B1064</f>
        <v>22.037896846178135</v>
      </c>
      <c r="D1064" s="603">
        <f>-'Sollecitazioni nel paramento'!$G$47*'Sollecitazioni nel paramento'!$G$41*IF(DATI!$G$211="dx",DATI!$E$61,DATI!$E$64*DATI!$E$63)*1000*C1064^2*sezione!$AD$5*(1-sezione!$AD$6)</f>
        <v>-10805476.342862749</v>
      </c>
      <c r="E1064" s="545">
        <f>-'Foglio deposito bis'!$F$58*(C1064-sezione!$AL$31)*IF(ABS(K1064)&lt;'Sollecitazioni nel paramento'!$G$58,ABS(K1064)*'Sollecitazioni nel paramento'!$G$54,'Sollecitazioni nel paramento'!$G$53)</f>
        <v>0</v>
      </c>
      <c r="F1064" s="545">
        <f>-'Foglio deposito bis'!$F$59*(C1064-sezione!$AM$31)*IF(ABS(L1064)&lt;'Sollecitazioni nel paramento'!$G$58,ABS(L1064)*'Sollecitazioni nel paramento'!$G$54,'Sollecitazioni nel paramento'!$G$53)</f>
        <v>5833441.1926401211</v>
      </c>
      <c r="G1064" s="545">
        <f>-'Foglio deposito bis'!$F$60*(C1064-sezione!$AN$31)*IF(ABS(M1064)&lt;'Sollecitazioni nel paramento'!$G$58,ABS(M1064)*'Sollecitazioni nel paramento'!$G$54,'Sollecitazioni nel paramento'!$G$53)</f>
        <v>0</v>
      </c>
      <c r="H1064" s="545">
        <f>-'Foglio deposito bis'!$F$61*(C1064-sezione!$AO$31)*IF(ABS(N1064)&lt;'Sollecitazioni nel paramento'!$G$58,ABS(N1064)*'Sollecitazioni nel paramento'!$G$54,'Sollecitazioni nel paramento'!$G$53)</f>
        <v>33241485.533244032</v>
      </c>
      <c r="I1064" s="472">
        <f>-'Foglio deposito bis'!$F$62*(C1064-sezione!$AP$31)*IF(ABS(O1064)&lt;'Sollecitazioni nel paramento'!$G$58,ABS(O1064)*'Sollecitazioni nel paramento'!$G$54,'Sollecitazioni nel paramento'!$G$53)</f>
        <v>133470285.65947276</v>
      </c>
      <c r="J1064" s="472">
        <f t="shared" si="76"/>
        <v>161739736.04249418</v>
      </c>
      <c r="K1064" s="550">
        <f>'Sollecitazioni nel paramento'!$G$60*(sezione!$AL$31-C1064)/C1064</f>
        <v>2.8526933162988793E-3</v>
      </c>
      <c r="L1064" s="550">
        <f>'Sollecitazioni nel paramento'!$G$60*(sezione!$AM$31-C1064)/C1064</f>
        <v>6.0290399744483206E-3</v>
      </c>
      <c r="M1064" s="551">
        <f>'Sollecitazioni nel paramento'!$G$60*(sezione!$AN$31-C1064)/C1064</f>
        <v>9.2053866325977583E-3</v>
      </c>
      <c r="N1064" s="551">
        <f>'Sollecitazioni nel paramento'!$G$60*(sezione!$AO$31-C1064)/C1064</f>
        <v>2.191077326519552E-2</v>
      </c>
      <c r="O1064" s="551">
        <f>'Sollecitazioni nel paramento'!$G$60*(sezione!$AP$31-C1064)/C1064</f>
        <v>6.735626190758176E-2</v>
      </c>
      <c r="P1064" s="545">
        <f>-'Sollecitazioni nel paramento'!$G$47*'Sollecitazioni nel paramento'!$G$41*IF(DATI!$G$211="dx",DATI!$E$61,DATI!$E$64*DATI!$E$63)*1000*C1064*sezione!$AD$5</f>
        <v>-839577.75614884833</v>
      </c>
      <c r="Q1064" s="545">
        <f>'Foglio deposito bis'!$F$58*IF(ABS(K1064)&lt;'Sollecitazioni nel paramento'!$G$58,ABS(K1064)*'Sollecitazioni nel paramento'!$G$54,'Sollecitazioni nel paramento'!$G$53)*IF(K1064&lt;0,-1,1)</f>
        <v>0</v>
      </c>
      <c r="R1064" s="545">
        <f>'Foglio deposito bis'!$F$59*IF(ABS(L1064)&lt;'Sollecitazioni nel paramento'!$G$58,ABS(L1064)*'Sollecitazioni nel paramento'!$G$54,'Sollecitazioni nel paramento'!$G$53)*IF(L1064&lt;0,-1,1)</f>
        <v>153664.85805602249</v>
      </c>
      <c r="S1064" s="545">
        <f>'Foglio deposito bis'!$F$60*IF(ABS(M1064)&lt;'Sollecitazioni nel paramento'!$G$58,ABS(M1064)*'Sollecitazioni nel paramento'!$G$54,'Sollecitazioni nel paramento'!$G$53)*IF(M1064&lt;0,-1,1)</f>
        <v>0</v>
      </c>
      <c r="T1064" s="545">
        <f>'Foglio deposito bis'!$F$61*IF(ABS(N1064)&lt;'Sollecitazioni nel paramento'!$G$58,ABS(N1064)*'Sollecitazioni nel paramento'!$G$54,'Sollecitazioni nel paramento'!$G$53)*IF(N1064&lt;0,-1,1)</f>
        <v>240946.49743184328</v>
      </c>
      <c r="U1064" s="545">
        <f>'Foglio deposito bis'!$F$62*IF(ABS(O1064)&lt;'Sollecitazioni nel paramento'!$G$58,ABS(O1064)*'Sollecitazioni nel paramento'!$G$54,'Sollecitazioni nel paramento'!$G$53)*IF(O1064&lt;0,-1,1)</f>
        <v>314705.62929873407</v>
      </c>
      <c r="V1064" s="472">
        <f t="shared" si="78"/>
        <v>-130260.77136224852</v>
      </c>
      <c r="W1064" s="551"/>
      <c r="X1064" s="551"/>
    </row>
    <row r="1065" spans="1:24" x14ac:dyDescent="0.25">
      <c r="A1065" s="545">
        <f t="shared" si="77"/>
        <v>142791.78264805203</v>
      </c>
      <c r="B1065" s="3">
        <f t="shared" si="79"/>
        <v>3.3999999999999959</v>
      </c>
      <c r="C1065" s="545">
        <f>'Foglio deposito bis'!$E$157/sezione!$B$247*B1065</f>
        <v>22.366820679703181</v>
      </c>
      <c r="D1065" s="603">
        <f>-'Sollecitazioni nel paramento'!$G$47*'Sollecitazioni nel paramento'!$G$41*IF(DATI!$G$211="dx",DATI!$E$61,DATI!$E$64*DATI!$E$63)*1000*C1065^2*sezione!$AD$5*(1-sezione!$AD$6)</f>
        <v>-11130434.976475239</v>
      </c>
      <c r="E1065" s="545">
        <f>-'Foglio deposito bis'!$F$58*(C1065-sezione!$AL$31)*IF(ABS(K1065)&lt;'Sollecitazioni nel paramento'!$G$58,ABS(K1065)*'Sollecitazioni nel paramento'!$G$54,'Sollecitazioni nel paramento'!$G$53)</f>
        <v>0</v>
      </c>
      <c r="F1065" s="545">
        <f>-'Foglio deposito bis'!$F$59*(C1065-sezione!$AM$31)*IF(ABS(L1065)&lt;'Sollecitazioni nel paramento'!$G$58,ABS(L1065)*'Sollecitazioni nel paramento'!$G$54,'Sollecitazioni nel paramento'!$G$53)</f>
        <v>5782897.1584502514</v>
      </c>
      <c r="G1065" s="545">
        <f>-'Foglio deposito bis'!$F$60*(C1065-sezione!$AN$31)*IF(ABS(M1065)&lt;'Sollecitazioni nel paramento'!$G$58,ABS(M1065)*'Sollecitazioni nel paramento'!$G$54,'Sollecitazioni nel paramento'!$G$53)</f>
        <v>0</v>
      </c>
      <c r="H1065" s="545">
        <f>-'Foglio deposito bis'!$F$61*(C1065-sezione!$AO$31)*IF(ABS(N1065)&lt;'Sollecitazioni nel paramento'!$G$58,ABS(N1065)*'Sollecitazioni nel paramento'!$G$54,'Sollecitazioni nel paramento'!$G$53)</f>
        <v>33162232.487634324</v>
      </c>
      <c r="I1065" s="472">
        <f>-'Foglio deposito bis'!$F$62*(C1065-sezione!$AP$31)*IF(ABS(O1065)&lt;'Sollecitazioni nel paramento'!$G$58,ABS(O1065)*'Sollecitazioni nel paramento'!$G$54,'Sollecitazioni nel paramento'!$G$53)</f>
        <v>133366771.47745189</v>
      </c>
      <c r="J1065" s="472">
        <f t="shared" si="76"/>
        <v>161181466.14706123</v>
      </c>
      <c r="K1065" s="550">
        <f>'Sollecitazioni nel paramento'!$G$60*(sezione!$AL$31-C1065)/C1065</f>
        <v>2.759271355765073E-3</v>
      </c>
      <c r="L1065" s="550">
        <f>'Sollecitazioni nel paramento'!$G$60*(sezione!$AM$31-C1065)/C1065</f>
        <v>5.8889070336476095E-3</v>
      </c>
      <c r="M1065" s="551">
        <f>'Sollecitazioni nel paramento'!$G$60*(sezione!$AN$31-C1065)/C1065</f>
        <v>9.0185427115301465E-3</v>
      </c>
      <c r="N1065" s="551">
        <f>'Sollecitazioni nel paramento'!$G$60*(sezione!$AO$31-C1065)/C1065</f>
        <v>2.1537085423060293E-2</v>
      </c>
      <c r="O1065" s="551">
        <f>'Sollecitazioni nel paramento'!$G$60*(sezione!$AP$31-C1065)/C1065</f>
        <v>6.6314258055999678E-2</v>
      </c>
      <c r="P1065" s="545">
        <f>-'Sollecitazioni nel paramento'!$G$47*'Sollecitazioni nel paramento'!$G$41*IF(DATI!$G$211="dx",DATI!$E$61,DATI!$E$64*DATI!$E$63)*1000*C1065*sezione!$AD$5</f>
        <v>-852108.76743465196</v>
      </c>
      <c r="Q1065" s="545">
        <f>'Foglio deposito bis'!$F$58*IF(ABS(K1065)&lt;'Sollecitazioni nel paramento'!$G$58,ABS(K1065)*'Sollecitazioni nel paramento'!$G$54,'Sollecitazioni nel paramento'!$G$53)*IF(K1065&lt;0,-1,1)</f>
        <v>0</v>
      </c>
      <c r="R1065" s="545">
        <f>'Foglio deposito bis'!$F$59*IF(ABS(L1065)&lt;'Sollecitazioni nel paramento'!$G$58,ABS(L1065)*'Sollecitazioni nel paramento'!$G$54,'Sollecitazioni nel paramento'!$G$53)*IF(L1065&lt;0,-1,1)</f>
        <v>153664.85805602249</v>
      </c>
      <c r="S1065" s="545">
        <f>'Foglio deposito bis'!$F$60*IF(ABS(M1065)&lt;'Sollecitazioni nel paramento'!$G$58,ABS(M1065)*'Sollecitazioni nel paramento'!$G$54,'Sollecitazioni nel paramento'!$G$53)*IF(M1065&lt;0,-1,1)</f>
        <v>0</v>
      </c>
      <c r="T1065" s="545">
        <f>'Foglio deposito bis'!$F$61*IF(ABS(N1065)&lt;'Sollecitazioni nel paramento'!$G$58,ABS(N1065)*'Sollecitazioni nel paramento'!$G$54,'Sollecitazioni nel paramento'!$G$53)*IF(N1065&lt;0,-1,1)</f>
        <v>240946.49743184328</v>
      </c>
      <c r="U1065" s="545">
        <f>'Foglio deposito bis'!$F$62*IF(ABS(O1065)&lt;'Sollecitazioni nel paramento'!$G$58,ABS(O1065)*'Sollecitazioni nel paramento'!$G$54,'Sollecitazioni nel paramento'!$G$53)*IF(O1065&lt;0,-1,1)</f>
        <v>314705.62929873407</v>
      </c>
      <c r="V1065" s="472">
        <f t="shared" si="78"/>
        <v>-142791.78264805203</v>
      </c>
      <c r="W1065" s="551"/>
      <c r="X1065" s="551"/>
    </row>
    <row r="1066" spans="1:24" x14ac:dyDescent="0.25">
      <c r="A1066" s="545">
        <f t="shared" si="77"/>
        <v>155322.79393385578</v>
      </c>
      <c r="B1066" s="3">
        <f t="shared" si="79"/>
        <v>3.4499999999999957</v>
      </c>
      <c r="C1066" s="545">
        <f>'Foglio deposito bis'!$E$157/sezione!$B$247*B1066</f>
        <v>22.695744513228227</v>
      </c>
      <c r="D1066" s="603">
        <f>-'Sollecitazioni nel paramento'!$G$47*'Sollecitazioni nel paramento'!$G$41*IF(DATI!$G$211="dx",DATI!$E$61,DATI!$E$64*DATI!$E$63)*1000*C1066^2*sezione!$AD$5*(1-sezione!$AD$6)</f>
        <v>-11460207.812067172</v>
      </c>
      <c r="E1066" s="545">
        <f>-'Foglio deposito bis'!$F$58*(C1066-sezione!$AL$31)*IF(ABS(K1066)&lt;'Sollecitazioni nel paramento'!$G$58,ABS(K1066)*'Sollecitazioni nel paramento'!$G$54,'Sollecitazioni nel paramento'!$G$53)</f>
        <v>0</v>
      </c>
      <c r="F1066" s="545">
        <f>-'Foglio deposito bis'!$F$59*(C1066-sezione!$AM$31)*IF(ABS(L1066)&lt;'Sollecitazioni nel paramento'!$G$58,ABS(L1066)*'Sollecitazioni nel paramento'!$G$54,'Sollecitazioni nel paramento'!$G$53)</f>
        <v>5732353.1242603827</v>
      </c>
      <c r="G1066" s="545">
        <f>-'Foglio deposito bis'!$F$60*(C1066-sezione!$AN$31)*IF(ABS(M1066)&lt;'Sollecitazioni nel paramento'!$G$58,ABS(M1066)*'Sollecitazioni nel paramento'!$G$54,'Sollecitazioni nel paramento'!$G$53)</f>
        <v>0</v>
      </c>
      <c r="H1066" s="545">
        <f>-'Foglio deposito bis'!$F$61*(C1066-sezione!$AO$31)*IF(ABS(N1066)&lt;'Sollecitazioni nel paramento'!$G$58,ABS(N1066)*'Sollecitazioni nel paramento'!$G$54,'Sollecitazioni nel paramento'!$G$53)</f>
        <v>33082979.442024611</v>
      </c>
      <c r="I1066" s="472">
        <f>-'Foglio deposito bis'!$F$62*(C1066-sezione!$AP$31)*IF(ABS(O1066)&lt;'Sollecitazioni nel paramento'!$G$58,ABS(O1066)*'Sollecitazioni nel paramento'!$G$54,'Sollecitazioni nel paramento'!$G$53)</f>
        <v>133263257.29543103</v>
      </c>
      <c r="J1066" s="472">
        <f t="shared" si="76"/>
        <v>160618382.04964885</v>
      </c>
      <c r="K1066" s="550">
        <f>'Sollecitazioni nel paramento'!$G$60*(sezione!$AL$31-C1066)/C1066</f>
        <v>2.6685572781452891E-3</v>
      </c>
      <c r="L1066" s="550">
        <f>'Sollecitazioni nel paramento'!$G$60*(sezione!$AM$31-C1066)/C1066</f>
        <v>5.752835917217934E-3</v>
      </c>
      <c r="M1066" s="551">
        <f>'Sollecitazioni nel paramento'!$G$60*(sezione!$AN$31-C1066)/C1066</f>
        <v>8.8371145562905797E-3</v>
      </c>
      <c r="N1066" s="551">
        <f>'Sollecitazioni nel paramento'!$G$60*(sezione!$AO$31-C1066)/C1066</f>
        <v>2.1174229112581159E-2</v>
      </c>
      <c r="O1066" s="551">
        <f>'Sollecitazioni nel paramento'!$G$60*(sezione!$AP$31-C1066)/C1066</f>
        <v>6.5302457214608381E-2</v>
      </c>
      <c r="P1066" s="545">
        <f>-'Sollecitazioni nel paramento'!$G$47*'Sollecitazioni nel paramento'!$G$41*IF(DATI!$G$211="dx",DATI!$E$61,DATI!$E$64*DATI!$E$63)*1000*C1066*sezione!$AD$5</f>
        <v>-864639.77872045559</v>
      </c>
      <c r="Q1066" s="545">
        <f>'Foglio deposito bis'!$F$58*IF(ABS(K1066)&lt;'Sollecitazioni nel paramento'!$G$58,ABS(K1066)*'Sollecitazioni nel paramento'!$G$54,'Sollecitazioni nel paramento'!$G$53)*IF(K1066&lt;0,-1,1)</f>
        <v>0</v>
      </c>
      <c r="R1066" s="545">
        <f>'Foglio deposito bis'!$F$59*IF(ABS(L1066)&lt;'Sollecitazioni nel paramento'!$G$58,ABS(L1066)*'Sollecitazioni nel paramento'!$G$54,'Sollecitazioni nel paramento'!$G$53)*IF(L1066&lt;0,-1,1)</f>
        <v>153664.85805602249</v>
      </c>
      <c r="S1066" s="545">
        <f>'Foglio deposito bis'!$F$60*IF(ABS(M1066)&lt;'Sollecitazioni nel paramento'!$G$58,ABS(M1066)*'Sollecitazioni nel paramento'!$G$54,'Sollecitazioni nel paramento'!$G$53)*IF(M1066&lt;0,-1,1)</f>
        <v>0</v>
      </c>
      <c r="T1066" s="545">
        <f>'Foglio deposito bis'!$F$61*IF(ABS(N1066)&lt;'Sollecitazioni nel paramento'!$G$58,ABS(N1066)*'Sollecitazioni nel paramento'!$G$54,'Sollecitazioni nel paramento'!$G$53)*IF(N1066&lt;0,-1,1)</f>
        <v>240946.49743184328</v>
      </c>
      <c r="U1066" s="545">
        <f>'Foglio deposito bis'!$F$62*IF(ABS(O1066)&lt;'Sollecitazioni nel paramento'!$G$58,ABS(O1066)*'Sollecitazioni nel paramento'!$G$54,'Sollecitazioni nel paramento'!$G$53)*IF(O1066&lt;0,-1,1)</f>
        <v>314705.62929873407</v>
      </c>
      <c r="V1066" s="472">
        <f t="shared" si="78"/>
        <v>-155322.79393385578</v>
      </c>
      <c r="W1066" s="551"/>
      <c r="X1066" s="551"/>
    </row>
    <row r="1067" spans="1:24" x14ac:dyDescent="0.25">
      <c r="A1067" s="545">
        <f t="shared" si="77"/>
        <v>167853.80521965929</v>
      </c>
      <c r="B1067" s="3">
        <f t="shared" si="79"/>
        <v>3.4999999999999956</v>
      </c>
      <c r="C1067" s="545">
        <f>'Foglio deposito bis'!$E$157/sezione!$B$247*B1067</f>
        <v>23.024668346753273</v>
      </c>
      <c r="D1067" s="603">
        <f>-'Sollecitazioni nel paramento'!$G$47*'Sollecitazioni nel paramento'!$G$41*IF(DATI!$G$211="dx",DATI!$E$61,DATI!$E$64*DATI!$E$63)*1000*C1067^2*sezione!$AD$5*(1-sezione!$AD$6)</f>
        <v>-11794794.849638551</v>
      </c>
      <c r="E1067" s="545">
        <f>-'Foglio deposito bis'!$F$58*(C1067-sezione!$AL$31)*IF(ABS(K1067)&lt;'Sollecitazioni nel paramento'!$G$58,ABS(K1067)*'Sollecitazioni nel paramento'!$G$54,'Sollecitazioni nel paramento'!$G$53)</f>
        <v>0</v>
      </c>
      <c r="F1067" s="545">
        <f>-'Foglio deposito bis'!$F$59*(C1067-sezione!$AM$31)*IF(ABS(L1067)&lt;'Sollecitazioni nel paramento'!$G$58,ABS(L1067)*'Sollecitazioni nel paramento'!$G$54,'Sollecitazioni nel paramento'!$G$53)</f>
        <v>5681809.090070514</v>
      </c>
      <c r="G1067" s="545">
        <f>-'Foglio deposito bis'!$F$60*(C1067-sezione!$AN$31)*IF(ABS(M1067)&lt;'Sollecitazioni nel paramento'!$G$58,ABS(M1067)*'Sollecitazioni nel paramento'!$G$54,'Sollecitazioni nel paramento'!$G$53)</f>
        <v>0</v>
      </c>
      <c r="H1067" s="545">
        <f>-'Foglio deposito bis'!$F$61*(C1067-sezione!$AO$31)*IF(ABS(N1067)&lt;'Sollecitazioni nel paramento'!$G$58,ABS(N1067)*'Sollecitazioni nel paramento'!$G$54,'Sollecitazioni nel paramento'!$G$53)</f>
        <v>33003726.396414891</v>
      </c>
      <c r="I1067" s="472">
        <f>-'Foglio deposito bis'!$F$62*(C1067-sezione!$AP$31)*IF(ABS(O1067)&lt;'Sollecitazioni nel paramento'!$G$58,ABS(O1067)*'Sollecitazioni nel paramento'!$G$54,'Sollecitazioni nel paramento'!$G$53)</f>
        <v>133159743.11341019</v>
      </c>
      <c r="J1067" s="472">
        <f t="shared" si="76"/>
        <v>160050483.75025705</v>
      </c>
      <c r="K1067" s="550">
        <f>'Sollecitazioni nel paramento'!$G$60*(sezione!$AL$31-C1067)/C1067</f>
        <v>2.5804350313146426E-3</v>
      </c>
      <c r="L1067" s="550">
        <f>'Sollecitazioni nel paramento'!$G$60*(sezione!$AM$31-C1067)/C1067</f>
        <v>5.6206525469719637E-3</v>
      </c>
      <c r="M1067" s="551">
        <f>'Sollecitazioni nel paramento'!$G$60*(sezione!$AN$31-C1067)/C1067</f>
        <v>8.6608700626292848E-3</v>
      </c>
      <c r="N1067" s="551">
        <f>'Sollecitazioni nel paramento'!$G$60*(sezione!$AO$31-C1067)/C1067</f>
        <v>2.0821740125258569E-2</v>
      </c>
      <c r="O1067" s="551">
        <f>'Sollecitazioni nel paramento'!$G$60*(sezione!$AP$31-C1067)/C1067</f>
        <v>6.4319564968685405E-2</v>
      </c>
      <c r="P1067" s="545">
        <f>-'Sollecitazioni nel paramento'!$G$47*'Sollecitazioni nel paramento'!$G$41*IF(DATI!$G$211="dx",DATI!$E$61,DATI!$E$64*DATI!$E$63)*1000*C1067*sezione!$AD$5</f>
        <v>-877170.79000625922</v>
      </c>
      <c r="Q1067" s="545">
        <f>'Foglio deposito bis'!$F$58*IF(ABS(K1067)&lt;'Sollecitazioni nel paramento'!$G$58,ABS(K1067)*'Sollecitazioni nel paramento'!$G$54,'Sollecitazioni nel paramento'!$G$53)*IF(K1067&lt;0,-1,1)</f>
        <v>0</v>
      </c>
      <c r="R1067" s="545">
        <f>'Foglio deposito bis'!$F$59*IF(ABS(L1067)&lt;'Sollecitazioni nel paramento'!$G$58,ABS(L1067)*'Sollecitazioni nel paramento'!$G$54,'Sollecitazioni nel paramento'!$G$53)*IF(L1067&lt;0,-1,1)</f>
        <v>153664.85805602249</v>
      </c>
      <c r="S1067" s="545">
        <f>'Foglio deposito bis'!$F$60*IF(ABS(M1067)&lt;'Sollecitazioni nel paramento'!$G$58,ABS(M1067)*'Sollecitazioni nel paramento'!$G$54,'Sollecitazioni nel paramento'!$G$53)*IF(M1067&lt;0,-1,1)</f>
        <v>0</v>
      </c>
      <c r="T1067" s="545">
        <f>'Foglio deposito bis'!$F$61*IF(ABS(N1067)&lt;'Sollecitazioni nel paramento'!$G$58,ABS(N1067)*'Sollecitazioni nel paramento'!$G$54,'Sollecitazioni nel paramento'!$G$53)*IF(N1067&lt;0,-1,1)</f>
        <v>240946.49743184328</v>
      </c>
      <c r="U1067" s="545">
        <f>'Foglio deposito bis'!$F$62*IF(ABS(O1067)&lt;'Sollecitazioni nel paramento'!$G$58,ABS(O1067)*'Sollecitazioni nel paramento'!$G$54,'Sollecitazioni nel paramento'!$G$53)*IF(O1067&lt;0,-1,1)</f>
        <v>314705.62929873407</v>
      </c>
      <c r="V1067" s="472">
        <f t="shared" si="78"/>
        <v>-167853.80521965929</v>
      </c>
      <c r="W1067" s="551"/>
      <c r="X1067" s="551"/>
    </row>
    <row r="1068" spans="1:24" x14ac:dyDescent="0.25">
      <c r="A1068" s="545">
        <f t="shared" si="77"/>
        <v>180384.81650546304</v>
      </c>
      <c r="B1068" s="3">
        <f t="shared" si="79"/>
        <v>3.5499999999999954</v>
      </c>
      <c r="C1068" s="545">
        <f>'Foglio deposito bis'!$E$157/sezione!$B$247*B1068</f>
        <v>23.353592180278319</v>
      </c>
      <c r="D1068" s="603">
        <f>-'Sollecitazioni nel paramento'!$G$47*'Sollecitazioni nel paramento'!$G$41*IF(DATI!$G$211="dx",DATI!$E$61,DATI!$E$64*DATI!$E$63)*1000*C1068^2*sezione!$AD$5*(1-sezione!$AD$6)</f>
        <v>-12134196.089189375</v>
      </c>
      <c r="E1068" s="545">
        <f>-'Foglio deposito bis'!$F$58*(C1068-sezione!$AL$31)*IF(ABS(K1068)&lt;'Sollecitazioni nel paramento'!$G$58,ABS(K1068)*'Sollecitazioni nel paramento'!$G$54,'Sollecitazioni nel paramento'!$G$53)</f>
        <v>0</v>
      </c>
      <c r="F1068" s="545">
        <f>-'Foglio deposito bis'!$F$59*(C1068-sezione!$AM$31)*IF(ABS(L1068)&lt;'Sollecitazioni nel paramento'!$G$58,ABS(L1068)*'Sollecitazioni nel paramento'!$G$54,'Sollecitazioni nel paramento'!$G$53)</f>
        <v>5631265.0558806444</v>
      </c>
      <c r="G1068" s="545">
        <f>-'Foglio deposito bis'!$F$60*(C1068-sezione!$AN$31)*IF(ABS(M1068)&lt;'Sollecitazioni nel paramento'!$G$58,ABS(M1068)*'Sollecitazioni nel paramento'!$G$54,'Sollecitazioni nel paramento'!$G$53)</f>
        <v>0</v>
      </c>
      <c r="H1068" s="545">
        <f>-'Foglio deposito bis'!$F$61*(C1068-sezione!$AO$31)*IF(ABS(N1068)&lt;'Sollecitazioni nel paramento'!$G$58,ABS(N1068)*'Sollecitazioni nel paramento'!$G$54,'Sollecitazioni nel paramento'!$G$53)</f>
        <v>32924473.350805178</v>
      </c>
      <c r="I1068" s="472">
        <f>-'Foglio deposito bis'!$F$62*(C1068-sezione!$AP$31)*IF(ABS(O1068)&lt;'Sollecitazioni nel paramento'!$G$58,ABS(O1068)*'Sollecitazioni nel paramento'!$G$54,'Sollecitazioni nel paramento'!$G$53)</f>
        <v>133056228.93138935</v>
      </c>
      <c r="J1068" s="472">
        <f t="shared" si="76"/>
        <v>159477771.24888581</v>
      </c>
      <c r="K1068" s="550">
        <f>'Sollecitazioni nel paramento'!$G$60*(sezione!$AL$31-C1068)/C1068</f>
        <v>2.4947951012961266E-3</v>
      </c>
      <c r="L1068" s="550">
        <f>'Sollecitazioni nel paramento'!$G$60*(sezione!$AM$31-C1068)/C1068</f>
        <v>5.4921926519441895E-3</v>
      </c>
      <c r="M1068" s="551">
        <f>'Sollecitazioni nel paramento'!$G$60*(sezione!$AN$31-C1068)/C1068</f>
        <v>8.4895902025922537E-3</v>
      </c>
      <c r="N1068" s="551">
        <f>'Sollecitazioni nel paramento'!$G$60*(sezione!$AO$31-C1068)/C1068</f>
        <v>2.0479180405184507E-2</v>
      </c>
      <c r="O1068" s="551">
        <f>'Sollecitazioni nel paramento'!$G$60*(sezione!$AP$31-C1068)/C1068</f>
        <v>6.3364359828281383E-2</v>
      </c>
      <c r="P1068" s="545">
        <f>-'Sollecitazioni nel paramento'!$G$47*'Sollecitazioni nel paramento'!$G$41*IF(DATI!$G$211="dx",DATI!$E$61,DATI!$E$64*DATI!$E$63)*1000*C1068*sezione!$AD$5</f>
        <v>-889701.80129206285</v>
      </c>
      <c r="Q1068" s="545">
        <f>'Foglio deposito bis'!$F$58*IF(ABS(K1068)&lt;'Sollecitazioni nel paramento'!$G$58,ABS(K1068)*'Sollecitazioni nel paramento'!$G$54,'Sollecitazioni nel paramento'!$G$53)*IF(K1068&lt;0,-1,1)</f>
        <v>0</v>
      </c>
      <c r="R1068" s="545">
        <f>'Foglio deposito bis'!$F$59*IF(ABS(L1068)&lt;'Sollecitazioni nel paramento'!$G$58,ABS(L1068)*'Sollecitazioni nel paramento'!$G$54,'Sollecitazioni nel paramento'!$G$53)*IF(L1068&lt;0,-1,1)</f>
        <v>153664.85805602249</v>
      </c>
      <c r="S1068" s="545">
        <f>'Foglio deposito bis'!$F$60*IF(ABS(M1068)&lt;'Sollecitazioni nel paramento'!$G$58,ABS(M1068)*'Sollecitazioni nel paramento'!$G$54,'Sollecitazioni nel paramento'!$G$53)*IF(M1068&lt;0,-1,1)</f>
        <v>0</v>
      </c>
      <c r="T1068" s="545">
        <f>'Foglio deposito bis'!$F$61*IF(ABS(N1068)&lt;'Sollecitazioni nel paramento'!$G$58,ABS(N1068)*'Sollecitazioni nel paramento'!$G$54,'Sollecitazioni nel paramento'!$G$53)*IF(N1068&lt;0,-1,1)</f>
        <v>240946.49743184328</v>
      </c>
      <c r="U1068" s="545">
        <f>'Foglio deposito bis'!$F$62*IF(ABS(O1068)&lt;'Sollecitazioni nel paramento'!$G$58,ABS(O1068)*'Sollecitazioni nel paramento'!$G$54,'Sollecitazioni nel paramento'!$G$53)*IF(O1068&lt;0,-1,1)</f>
        <v>314705.62929873407</v>
      </c>
      <c r="V1068" s="472">
        <f t="shared" si="78"/>
        <v>-180384.81650546304</v>
      </c>
      <c r="W1068" s="551"/>
      <c r="X1068" s="551"/>
    </row>
    <row r="1069" spans="1:24" x14ac:dyDescent="0.25">
      <c r="A1069" s="545">
        <f t="shared" si="77"/>
        <v>192915.82779126678</v>
      </c>
      <c r="B1069" s="3">
        <f t="shared" si="79"/>
        <v>3.5999999999999952</v>
      </c>
      <c r="C1069" s="545">
        <f>'Foglio deposito bis'!$E$157/sezione!$B$247*B1069</f>
        <v>23.682516013803365</v>
      </c>
      <c r="D1069" s="603">
        <f>-'Sollecitazioni nel paramento'!$G$47*'Sollecitazioni nel paramento'!$G$41*IF(DATI!$G$211="dx",DATI!$E$61,DATI!$E$64*DATI!$E$63)*1000*C1069^2*sezione!$AD$5*(1-sezione!$AD$6)</f>
        <v>-12478411.530719642</v>
      </c>
      <c r="E1069" s="545">
        <f>-'Foglio deposito bis'!$F$58*(C1069-sezione!$AL$31)*IF(ABS(K1069)&lt;'Sollecitazioni nel paramento'!$G$58,ABS(K1069)*'Sollecitazioni nel paramento'!$G$54,'Sollecitazioni nel paramento'!$G$53)</f>
        <v>0</v>
      </c>
      <c r="F1069" s="545">
        <f>-'Foglio deposito bis'!$F$59*(C1069-sezione!$AM$31)*IF(ABS(L1069)&lt;'Sollecitazioni nel paramento'!$G$58,ABS(L1069)*'Sollecitazioni nel paramento'!$G$54,'Sollecitazioni nel paramento'!$G$53)</f>
        <v>5580721.0216907756</v>
      </c>
      <c r="G1069" s="545">
        <f>-'Foglio deposito bis'!$F$60*(C1069-sezione!$AN$31)*IF(ABS(M1069)&lt;'Sollecitazioni nel paramento'!$G$58,ABS(M1069)*'Sollecitazioni nel paramento'!$G$54,'Sollecitazioni nel paramento'!$G$53)</f>
        <v>0</v>
      </c>
      <c r="H1069" s="545">
        <f>-'Foglio deposito bis'!$F$61*(C1069-sezione!$AO$31)*IF(ABS(N1069)&lt;'Sollecitazioni nel paramento'!$G$58,ABS(N1069)*'Sollecitazioni nel paramento'!$G$54,'Sollecitazioni nel paramento'!$G$53)</f>
        <v>32845220.305195462</v>
      </c>
      <c r="I1069" s="472">
        <f>-'Foglio deposito bis'!$F$62*(C1069-sezione!$AP$31)*IF(ABS(O1069)&lt;'Sollecitazioni nel paramento'!$G$58,ABS(O1069)*'Sollecitazioni nel paramento'!$G$54,'Sollecitazioni nel paramento'!$G$53)</f>
        <v>132952714.74936847</v>
      </c>
      <c r="J1069" s="472">
        <f t="shared" si="76"/>
        <v>158900244.54553506</v>
      </c>
      <c r="K1069" s="550">
        <f>'Sollecitazioni nel paramento'!$G$60*(sezione!$AL$31-C1069)/C1069</f>
        <v>2.4115340582225699E-3</v>
      </c>
      <c r="L1069" s="550">
        <f>'Sollecitazioni nel paramento'!$G$60*(sezione!$AM$31-C1069)/C1069</f>
        <v>5.3673010873338542E-3</v>
      </c>
      <c r="M1069" s="551">
        <f>'Sollecitazioni nel paramento'!$G$60*(sezione!$AN$31-C1069)/C1069</f>
        <v>8.3230681164451394E-3</v>
      </c>
      <c r="N1069" s="551">
        <f>'Sollecitazioni nel paramento'!$G$60*(sezione!$AO$31-C1069)/C1069</f>
        <v>2.0146136232890278E-2</v>
      </c>
      <c r="O1069" s="551">
        <f>'Sollecitazioni nel paramento'!$G$60*(sezione!$AP$31-C1069)/C1069</f>
        <v>6.2435688163999699E-2</v>
      </c>
      <c r="P1069" s="545">
        <f>-'Sollecitazioni nel paramento'!$G$47*'Sollecitazioni nel paramento'!$G$41*IF(DATI!$G$211="dx",DATI!$E$61,DATI!$E$64*DATI!$E$63)*1000*C1069*sezione!$AD$5</f>
        <v>-902232.81257786672</v>
      </c>
      <c r="Q1069" s="545">
        <f>'Foglio deposito bis'!$F$58*IF(ABS(K1069)&lt;'Sollecitazioni nel paramento'!$G$58,ABS(K1069)*'Sollecitazioni nel paramento'!$G$54,'Sollecitazioni nel paramento'!$G$53)*IF(K1069&lt;0,-1,1)</f>
        <v>0</v>
      </c>
      <c r="R1069" s="545">
        <f>'Foglio deposito bis'!$F$59*IF(ABS(L1069)&lt;'Sollecitazioni nel paramento'!$G$58,ABS(L1069)*'Sollecitazioni nel paramento'!$G$54,'Sollecitazioni nel paramento'!$G$53)*IF(L1069&lt;0,-1,1)</f>
        <v>153664.85805602249</v>
      </c>
      <c r="S1069" s="545">
        <f>'Foglio deposito bis'!$F$60*IF(ABS(M1069)&lt;'Sollecitazioni nel paramento'!$G$58,ABS(M1069)*'Sollecitazioni nel paramento'!$G$54,'Sollecitazioni nel paramento'!$G$53)*IF(M1069&lt;0,-1,1)</f>
        <v>0</v>
      </c>
      <c r="T1069" s="545">
        <f>'Foglio deposito bis'!$F$61*IF(ABS(N1069)&lt;'Sollecitazioni nel paramento'!$G$58,ABS(N1069)*'Sollecitazioni nel paramento'!$G$54,'Sollecitazioni nel paramento'!$G$53)*IF(N1069&lt;0,-1,1)</f>
        <v>240946.49743184328</v>
      </c>
      <c r="U1069" s="545">
        <f>'Foglio deposito bis'!$F$62*IF(ABS(O1069)&lt;'Sollecitazioni nel paramento'!$G$58,ABS(O1069)*'Sollecitazioni nel paramento'!$G$54,'Sollecitazioni nel paramento'!$G$53)*IF(O1069&lt;0,-1,1)</f>
        <v>314705.62929873407</v>
      </c>
      <c r="V1069" s="472">
        <f t="shared" si="78"/>
        <v>-192915.82779126678</v>
      </c>
      <c r="W1069" s="551"/>
      <c r="X1069" s="551"/>
    </row>
    <row r="1070" spans="1:24" x14ac:dyDescent="0.25">
      <c r="A1070" s="545">
        <f t="shared" si="77"/>
        <v>205446.83907707053</v>
      </c>
      <c r="B1070" s="3">
        <f t="shared" si="79"/>
        <v>3.649999999999995</v>
      </c>
      <c r="C1070" s="545">
        <f>'Foglio deposito bis'!$E$157/sezione!$B$247*B1070</f>
        <v>24.011439847328411</v>
      </c>
      <c r="D1070" s="603">
        <f>-'Sollecitazioni nel paramento'!$G$47*'Sollecitazioni nel paramento'!$G$41*IF(DATI!$G$211="dx",DATI!$E$61,DATI!$E$64*DATI!$E$63)*1000*C1070^2*sezione!$AD$5*(1-sezione!$AD$6)</f>
        <v>-12827441.174229352</v>
      </c>
      <c r="E1070" s="545">
        <f>-'Foglio deposito bis'!$F$58*(C1070-sezione!$AL$31)*IF(ABS(K1070)&lt;'Sollecitazioni nel paramento'!$G$58,ABS(K1070)*'Sollecitazioni nel paramento'!$G$54,'Sollecitazioni nel paramento'!$G$53)</f>
        <v>0</v>
      </c>
      <c r="F1070" s="545">
        <f>-'Foglio deposito bis'!$F$59*(C1070-sezione!$AM$31)*IF(ABS(L1070)&lt;'Sollecitazioni nel paramento'!$G$58,ABS(L1070)*'Sollecitazioni nel paramento'!$G$54,'Sollecitazioni nel paramento'!$G$53)</f>
        <v>5530176.9875009069</v>
      </c>
      <c r="G1070" s="545">
        <f>-'Foglio deposito bis'!$F$60*(C1070-sezione!$AN$31)*IF(ABS(M1070)&lt;'Sollecitazioni nel paramento'!$G$58,ABS(M1070)*'Sollecitazioni nel paramento'!$G$54,'Sollecitazioni nel paramento'!$G$53)</f>
        <v>0</v>
      </c>
      <c r="H1070" s="545">
        <f>-'Foglio deposito bis'!$F$61*(C1070-sezione!$AO$31)*IF(ABS(N1070)&lt;'Sollecitazioni nel paramento'!$G$58,ABS(N1070)*'Sollecitazioni nel paramento'!$G$54,'Sollecitazioni nel paramento'!$G$53)</f>
        <v>32765967.259585749</v>
      </c>
      <c r="I1070" s="472">
        <f>-'Foglio deposito bis'!$F$62*(C1070-sezione!$AP$31)*IF(ABS(O1070)&lt;'Sollecitazioni nel paramento'!$G$58,ABS(O1070)*'Sollecitazioni nel paramento'!$G$54,'Sollecitazioni nel paramento'!$G$53)</f>
        <v>132849200.56734765</v>
      </c>
      <c r="J1070" s="472">
        <f t="shared" si="76"/>
        <v>158317903.64020497</v>
      </c>
      <c r="K1070" s="550">
        <f>'Sollecitazioni nel paramento'!$G$60*(sezione!$AL$31-C1070)/C1070</f>
        <v>2.3305541396167811E-3</v>
      </c>
      <c r="L1070" s="550">
        <f>'Sollecitazioni nel paramento'!$G$60*(sezione!$AM$31-C1070)/C1070</f>
        <v>5.2458312094251719E-3</v>
      </c>
      <c r="M1070" s="551">
        <f>'Sollecitazioni nel paramento'!$G$60*(sezione!$AN$31-C1070)/C1070</f>
        <v>8.1611082792335619E-3</v>
      </c>
      <c r="N1070" s="551">
        <f>'Sollecitazioni nel paramento'!$G$60*(sezione!$AO$31-C1070)/C1070</f>
        <v>1.9822216558467127E-2</v>
      </c>
      <c r="O1070" s="551">
        <f>'Sollecitazioni nel paramento'!$G$60*(sezione!$AP$31-C1070)/C1070</f>
        <v>6.153245955901341E-2</v>
      </c>
      <c r="P1070" s="545">
        <f>-'Sollecitazioni nel paramento'!$G$47*'Sollecitazioni nel paramento'!$G$41*IF(DATI!$G$211="dx",DATI!$E$61,DATI!$E$64*DATI!$E$63)*1000*C1070*sezione!$AD$5</f>
        <v>-914763.82386367035</v>
      </c>
      <c r="Q1070" s="545">
        <f>'Foglio deposito bis'!$F$58*IF(ABS(K1070)&lt;'Sollecitazioni nel paramento'!$G$58,ABS(K1070)*'Sollecitazioni nel paramento'!$G$54,'Sollecitazioni nel paramento'!$G$53)*IF(K1070&lt;0,-1,1)</f>
        <v>0</v>
      </c>
      <c r="R1070" s="545">
        <f>'Foglio deposito bis'!$F$59*IF(ABS(L1070)&lt;'Sollecitazioni nel paramento'!$G$58,ABS(L1070)*'Sollecitazioni nel paramento'!$G$54,'Sollecitazioni nel paramento'!$G$53)*IF(L1070&lt;0,-1,1)</f>
        <v>153664.85805602249</v>
      </c>
      <c r="S1070" s="545">
        <f>'Foglio deposito bis'!$F$60*IF(ABS(M1070)&lt;'Sollecitazioni nel paramento'!$G$58,ABS(M1070)*'Sollecitazioni nel paramento'!$G$54,'Sollecitazioni nel paramento'!$G$53)*IF(M1070&lt;0,-1,1)</f>
        <v>0</v>
      </c>
      <c r="T1070" s="545">
        <f>'Foglio deposito bis'!$F$61*IF(ABS(N1070)&lt;'Sollecitazioni nel paramento'!$G$58,ABS(N1070)*'Sollecitazioni nel paramento'!$G$54,'Sollecitazioni nel paramento'!$G$53)*IF(N1070&lt;0,-1,1)</f>
        <v>240946.49743184328</v>
      </c>
      <c r="U1070" s="545">
        <f>'Foglio deposito bis'!$F$62*IF(ABS(O1070)&lt;'Sollecitazioni nel paramento'!$G$58,ABS(O1070)*'Sollecitazioni nel paramento'!$G$54,'Sollecitazioni nel paramento'!$G$53)*IF(O1070&lt;0,-1,1)</f>
        <v>314705.62929873407</v>
      </c>
      <c r="V1070" s="472">
        <f t="shared" si="78"/>
        <v>-205446.83907707053</v>
      </c>
      <c r="W1070" s="551"/>
      <c r="X1070" s="551"/>
    </row>
    <row r="1071" spans="1:24" x14ac:dyDescent="0.25">
      <c r="A1071" s="545">
        <f t="shared" si="77"/>
        <v>217977.85036287404</v>
      </c>
      <c r="B1071" s="3">
        <f t="shared" si="79"/>
        <v>3.6999999999999948</v>
      </c>
      <c r="C1071" s="545">
        <f>'Foglio deposito bis'!$E$157/sezione!$B$247*B1071</f>
        <v>24.340363680853457</v>
      </c>
      <c r="D1071" s="603">
        <f>-'Sollecitazioni nel paramento'!$G$47*'Sollecitazioni nel paramento'!$G$41*IF(DATI!$G$211="dx",DATI!$E$61,DATI!$E$64*DATI!$E$63)*1000*C1071^2*sezione!$AD$5*(1-sezione!$AD$6)</f>
        <v>-13181285.019718507</v>
      </c>
      <c r="E1071" s="545">
        <f>-'Foglio deposito bis'!$F$58*(C1071-sezione!$AL$31)*IF(ABS(K1071)&lt;'Sollecitazioni nel paramento'!$G$58,ABS(K1071)*'Sollecitazioni nel paramento'!$G$54,'Sollecitazioni nel paramento'!$G$53)</f>
        <v>0</v>
      </c>
      <c r="F1071" s="545">
        <f>-'Foglio deposito bis'!$F$59*(C1071-sezione!$AM$31)*IF(ABS(L1071)&lt;'Sollecitazioni nel paramento'!$G$58,ABS(L1071)*'Sollecitazioni nel paramento'!$G$54,'Sollecitazioni nel paramento'!$G$53)</f>
        <v>5479632.9533110382</v>
      </c>
      <c r="G1071" s="545">
        <f>-'Foglio deposito bis'!$F$60*(C1071-sezione!$AN$31)*IF(ABS(M1071)&lt;'Sollecitazioni nel paramento'!$G$58,ABS(M1071)*'Sollecitazioni nel paramento'!$G$54,'Sollecitazioni nel paramento'!$G$53)</f>
        <v>0</v>
      </c>
      <c r="H1071" s="545">
        <f>-'Foglio deposito bis'!$F$61*(C1071-sezione!$AO$31)*IF(ABS(N1071)&lt;'Sollecitazioni nel paramento'!$G$58,ABS(N1071)*'Sollecitazioni nel paramento'!$G$54,'Sollecitazioni nel paramento'!$G$53)</f>
        <v>32686714.213976037</v>
      </c>
      <c r="I1071" s="472">
        <f>-'Foglio deposito bis'!$F$62*(C1071-sezione!$AP$31)*IF(ABS(O1071)&lt;'Sollecitazioni nel paramento'!$G$58,ABS(O1071)*'Sollecitazioni nel paramento'!$G$54,'Sollecitazioni nel paramento'!$G$53)</f>
        <v>132745686.3853268</v>
      </c>
      <c r="J1071" s="472">
        <f t="shared" si="76"/>
        <v>157730748.53289539</v>
      </c>
      <c r="K1071" s="550">
        <f>'Sollecitazioni nel paramento'!$G$60*(sezione!$AL$31-C1071)/C1071</f>
        <v>2.251762867459798E-3</v>
      </c>
      <c r="L1071" s="550">
        <f>'Sollecitazioni nel paramento'!$G$60*(sezione!$AM$31-C1071)/C1071</f>
        <v>5.1276443011896971E-3</v>
      </c>
      <c r="M1071" s="551">
        <f>'Sollecitazioni nel paramento'!$G$60*(sezione!$AN$31-C1071)/C1071</f>
        <v>8.0035257349195966E-3</v>
      </c>
      <c r="N1071" s="551">
        <f>'Sollecitazioni nel paramento'!$G$60*(sezione!$AO$31-C1071)/C1071</f>
        <v>1.9507051469839193E-2</v>
      </c>
      <c r="O1071" s="551">
        <f>'Sollecitazioni nel paramento'!$G$60*(sezione!$AP$31-C1071)/C1071</f>
        <v>6.0653642537945668E-2</v>
      </c>
      <c r="P1071" s="545">
        <f>-'Sollecitazioni nel paramento'!$G$47*'Sollecitazioni nel paramento'!$G$41*IF(DATI!$G$211="dx",DATI!$E$61,DATI!$E$64*DATI!$E$63)*1000*C1071*sezione!$AD$5</f>
        <v>-927294.83514947398</v>
      </c>
      <c r="Q1071" s="545">
        <f>'Foglio deposito bis'!$F$58*IF(ABS(K1071)&lt;'Sollecitazioni nel paramento'!$G$58,ABS(K1071)*'Sollecitazioni nel paramento'!$G$54,'Sollecitazioni nel paramento'!$G$53)*IF(K1071&lt;0,-1,1)</f>
        <v>0</v>
      </c>
      <c r="R1071" s="545">
        <f>'Foglio deposito bis'!$F$59*IF(ABS(L1071)&lt;'Sollecitazioni nel paramento'!$G$58,ABS(L1071)*'Sollecitazioni nel paramento'!$G$54,'Sollecitazioni nel paramento'!$G$53)*IF(L1071&lt;0,-1,1)</f>
        <v>153664.85805602249</v>
      </c>
      <c r="S1071" s="545">
        <f>'Foglio deposito bis'!$F$60*IF(ABS(M1071)&lt;'Sollecitazioni nel paramento'!$G$58,ABS(M1071)*'Sollecitazioni nel paramento'!$G$54,'Sollecitazioni nel paramento'!$G$53)*IF(M1071&lt;0,-1,1)</f>
        <v>0</v>
      </c>
      <c r="T1071" s="545">
        <f>'Foglio deposito bis'!$F$61*IF(ABS(N1071)&lt;'Sollecitazioni nel paramento'!$G$58,ABS(N1071)*'Sollecitazioni nel paramento'!$G$54,'Sollecitazioni nel paramento'!$G$53)*IF(N1071&lt;0,-1,1)</f>
        <v>240946.49743184328</v>
      </c>
      <c r="U1071" s="545">
        <f>'Foglio deposito bis'!$F$62*IF(ABS(O1071)&lt;'Sollecitazioni nel paramento'!$G$58,ABS(O1071)*'Sollecitazioni nel paramento'!$G$54,'Sollecitazioni nel paramento'!$G$53)*IF(O1071&lt;0,-1,1)</f>
        <v>314705.62929873407</v>
      </c>
      <c r="V1071" s="472">
        <f t="shared" si="78"/>
        <v>-217977.85036287404</v>
      </c>
      <c r="W1071" s="551"/>
      <c r="X1071" s="551"/>
    </row>
    <row r="1072" spans="1:24" x14ac:dyDescent="0.25">
      <c r="A1072" s="545">
        <f t="shared" si="77"/>
        <v>230508.86164867779</v>
      </c>
      <c r="B1072" s="3">
        <f t="shared" si="79"/>
        <v>3.7499999999999947</v>
      </c>
      <c r="C1072" s="545">
        <f>'Foglio deposito bis'!$E$157/sezione!$B$247*B1072</f>
        <v>24.669287514378503</v>
      </c>
      <c r="D1072" s="603">
        <f>-'Sollecitazioni nel paramento'!$G$47*'Sollecitazioni nel paramento'!$G$41*IF(DATI!$G$211="dx",DATI!$E$61,DATI!$E$64*DATI!$E$63)*1000*C1072^2*sezione!$AD$5*(1-sezione!$AD$6)</f>
        <v>-13539943.067187108</v>
      </c>
      <c r="E1072" s="545">
        <f>-'Foglio deposito bis'!$F$58*(C1072-sezione!$AL$31)*IF(ABS(K1072)&lt;'Sollecitazioni nel paramento'!$G$58,ABS(K1072)*'Sollecitazioni nel paramento'!$G$54,'Sollecitazioni nel paramento'!$G$53)</f>
        <v>0</v>
      </c>
      <c r="F1072" s="545">
        <f>-'Foglio deposito bis'!$F$59*(C1072-sezione!$AM$31)*IF(ABS(L1072)&lt;'Sollecitazioni nel paramento'!$G$58,ABS(L1072)*'Sollecitazioni nel paramento'!$G$54,'Sollecitazioni nel paramento'!$G$53)</f>
        <v>5429088.9191211695</v>
      </c>
      <c r="G1072" s="545">
        <f>-'Foglio deposito bis'!$F$60*(C1072-sezione!$AN$31)*IF(ABS(M1072)&lt;'Sollecitazioni nel paramento'!$G$58,ABS(M1072)*'Sollecitazioni nel paramento'!$G$54,'Sollecitazioni nel paramento'!$G$53)</f>
        <v>0</v>
      </c>
      <c r="H1072" s="545">
        <f>-'Foglio deposito bis'!$F$61*(C1072-sezione!$AO$31)*IF(ABS(N1072)&lt;'Sollecitazioni nel paramento'!$G$58,ABS(N1072)*'Sollecitazioni nel paramento'!$G$54,'Sollecitazioni nel paramento'!$G$53)</f>
        <v>32607461.168366317</v>
      </c>
      <c r="I1072" s="472">
        <f>-'Foglio deposito bis'!$F$62*(C1072-sezione!$AP$31)*IF(ABS(O1072)&lt;'Sollecitazioni nel paramento'!$G$58,ABS(O1072)*'Sollecitazioni nel paramento'!$G$54,'Sollecitazioni nel paramento'!$G$53)</f>
        <v>132642172.20330593</v>
      </c>
      <c r="J1072" s="472">
        <f t="shared" si="76"/>
        <v>157138779.22360632</v>
      </c>
      <c r="K1072" s="550">
        <f>'Sollecitazioni nel paramento'!$G$60*(sezione!$AL$31-C1072)/C1072</f>
        <v>2.1750726958936675E-3</v>
      </c>
      <c r="L1072" s="550">
        <f>'Sollecitazioni nel paramento'!$G$60*(sezione!$AM$31-C1072)/C1072</f>
        <v>5.012609043840501E-3</v>
      </c>
      <c r="M1072" s="551">
        <f>'Sollecitazioni nel paramento'!$G$60*(sezione!$AN$31-C1072)/C1072</f>
        <v>7.8501453917873346E-3</v>
      </c>
      <c r="N1072" s="551">
        <f>'Sollecitazioni nel paramento'!$G$60*(sezione!$AO$31-C1072)/C1072</f>
        <v>1.9200290783574669E-2</v>
      </c>
      <c r="O1072" s="551">
        <f>'Sollecitazioni nel paramento'!$G$60*(sezione!$AP$31-C1072)/C1072</f>
        <v>5.9798260637439725E-2</v>
      </c>
      <c r="P1072" s="545">
        <f>-'Sollecitazioni nel paramento'!$G$47*'Sollecitazioni nel paramento'!$G$41*IF(DATI!$G$211="dx",DATI!$E$61,DATI!$E$64*DATI!$E$63)*1000*C1072*sezione!$AD$5</f>
        <v>-939825.84643527772</v>
      </c>
      <c r="Q1072" s="545">
        <f>'Foglio deposito bis'!$F$58*IF(ABS(K1072)&lt;'Sollecitazioni nel paramento'!$G$58,ABS(K1072)*'Sollecitazioni nel paramento'!$G$54,'Sollecitazioni nel paramento'!$G$53)*IF(K1072&lt;0,-1,1)</f>
        <v>0</v>
      </c>
      <c r="R1072" s="545">
        <f>'Foglio deposito bis'!$F$59*IF(ABS(L1072)&lt;'Sollecitazioni nel paramento'!$G$58,ABS(L1072)*'Sollecitazioni nel paramento'!$G$54,'Sollecitazioni nel paramento'!$G$53)*IF(L1072&lt;0,-1,1)</f>
        <v>153664.85805602249</v>
      </c>
      <c r="S1072" s="545">
        <f>'Foglio deposito bis'!$F$60*IF(ABS(M1072)&lt;'Sollecitazioni nel paramento'!$G$58,ABS(M1072)*'Sollecitazioni nel paramento'!$G$54,'Sollecitazioni nel paramento'!$G$53)*IF(M1072&lt;0,-1,1)</f>
        <v>0</v>
      </c>
      <c r="T1072" s="545">
        <f>'Foglio deposito bis'!$F$61*IF(ABS(N1072)&lt;'Sollecitazioni nel paramento'!$G$58,ABS(N1072)*'Sollecitazioni nel paramento'!$G$54,'Sollecitazioni nel paramento'!$G$53)*IF(N1072&lt;0,-1,1)</f>
        <v>240946.49743184328</v>
      </c>
      <c r="U1072" s="545">
        <f>'Foglio deposito bis'!$F$62*IF(ABS(O1072)&lt;'Sollecitazioni nel paramento'!$G$58,ABS(O1072)*'Sollecitazioni nel paramento'!$G$54,'Sollecitazioni nel paramento'!$G$53)*IF(O1072&lt;0,-1,1)</f>
        <v>314705.62929873407</v>
      </c>
      <c r="V1072" s="472">
        <f t="shared" si="78"/>
        <v>-230508.86164867779</v>
      </c>
      <c r="W1072" s="551"/>
      <c r="X1072" s="551"/>
    </row>
    <row r="1073" spans="1:24" x14ac:dyDescent="0.25">
      <c r="A1073" s="545">
        <f t="shared" si="77"/>
        <v>243039.87293448154</v>
      </c>
      <c r="B1073" s="3">
        <f t="shared" si="79"/>
        <v>3.7999999999999945</v>
      </c>
      <c r="C1073" s="545">
        <f>'Foglio deposito bis'!$E$157/sezione!$B$247*B1073</f>
        <v>24.998211347903549</v>
      </c>
      <c r="D1073" s="603">
        <f>-'Sollecitazioni nel paramento'!$G$47*'Sollecitazioni nel paramento'!$G$41*IF(DATI!$G$211="dx",DATI!$E$61,DATI!$E$64*DATI!$E$63)*1000*C1073^2*sezione!$AD$5*(1-sezione!$AD$6)</f>
        <v>-13903415.316635152</v>
      </c>
      <c r="E1073" s="545">
        <f>-'Foglio deposito bis'!$F$58*(C1073-sezione!$AL$31)*IF(ABS(K1073)&lt;'Sollecitazioni nel paramento'!$G$58,ABS(K1073)*'Sollecitazioni nel paramento'!$G$54,'Sollecitazioni nel paramento'!$G$53)</f>
        <v>0</v>
      </c>
      <c r="F1073" s="545">
        <f>-'Foglio deposito bis'!$F$59*(C1073-sezione!$AM$31)*IF(ABS(L1073)&lt;'Sollecitazioni nel paramento'!$G$58,ABS(L1073)*'Sollecitazioni nel paramento'!$G$54,'Sollecitazioni nel paramento'!$G$53)</f>
        <v>5378544.8849312998</v>
      </c>
      <c r="G1073" s="545">
        <f>-'Foglio deposito bis'!$F$60*(C1073-sezione!$AN$31)*IF(ABS(M1073)&lt;'Sollecitazioni nel paramento'!$G$58,ABS(M1073)*'Sollecitazioni nel paramento'!$G$54,'Sollecitazioni nel paramento'!$G$53)</f>
        <v>0</v>
      </c>
      <c r="H1073" s="545">
        <f>-'Foglio deposito bis'!$F$61*(C1073-sezione!$AO$31)*IF(ABS(N1073)&lt;'Sollecitazioni nel paramento'!$G$58,ABS(N1073)*'Sollecitazioni nel paramento'!$G$54,'Sollecitazioni nel paramento'!$G$53)</f>
        <v>32528208.122756608</v>
      </c>
      <c r="I1073" s="472">
        <f>-'Foglio deposito bis'!$F$62*(C1073-sezione!$AP$31)*IF(ABS(O1073)&lt;'Sollecitazioni nel paramento'!$G$58,ABS(O1073)*'Sollecitazioni nel paramento'!$G$54,'Sollecitazioni nel paramento'!$G$53)</f>
        <v>132538658.02128507</v>
      </c>
      <c r="J1073" s="472">
        <f t="shared" si="76"/>
        <v>156541995.71233782</v>
      </c>
      <c r="K1073" s="550">
        <f>'Sollecitazioni nel paramento'!$G$60*(sezione!$AL$31-C1073)/C1073</f>
        <v>2.100400686737172E-3</v>
      </c>
      <c r="L1073" s="550">
        <f>'Sollecitazioni nel paramento'!$G$60*(sezione!$AM$31-C1073)/C1073</f>
        <v>4.9006010301057574E-3</v>
      </c>
      <c r="M1073" s="551">
        <f>'Sollecitazioni nel paramento'!$G$60*(sezione!$AN$31-C1073)/C1073</f>
        <v>7.7008013734743436E-3</v>
      </c>
      <c r="N1073" s="551">
        <f>'Sollecitazioni nel paramento'!$G$60*(sezione!$AO$31-C1073)/C1073</f>
        <v>1.890160274694869E-2</v>
      </c>
      <c r="O1073" s="551">
        <f>'Sollecitazioni nel paramento'!$G$60*(sezione!$AP$31-C1073)/C1073</f>
        <v>5.8965388786947084E-2</v>
      </c>
      <c r="P1073" s="545">
        <f>-'Sollecitazioni nel paramento'!$G$47*'Sollecitazioni nel paramento'!$G$41*IF(DATI!$G$211="dx",DATI!$E$61,DATI!$E$64*DATI!$E$63)*1000*C1073*sezione!$AD$5</f>
        <v>-952356.85772108135</v>
      </c>
      <c r="Q1073" s="545">
        <f>'Foglio deposito bis'!$F$58*IF(ABS(K1073)&lt;'Sollecitazioni nel paramento'!$G$58,ABS(K1073)*'Sollecitazioni nel paramento'!$G$54,'Sollecitazioni nel paramento'!$G$53)*IF(K1073&lt;0,-1,1)</f>
        <v>0</v>
      </c>
      <c r="R1073" s="545">
        <f>'Foglio deposito bis'!$F$59*IF(ABS(L1073)&lt;'Sollecitazioni nel paramento'!$G$58,ABS(L1073)*'Sollecitazioni nel paramento'!$G$54,'Sollecitazioni nel paramento'!$G$53)*IF(L1073&lt;0,-1,1)</f>
        <v>153664.85805602249</v>
      </c>
      <c r="S1073" s="545">
        <f>'Foglio deposito bis'!$F$60*IF(ABS(M1073)&lt;'Sollecitazioni nel paramento'!$G$58,ABS(M1073)*'Sollecitazioni nel paramento'!$G$54,'Sollecitazioni nel paramento'!$G$53)*IF(M1073&lt;0,-1,1)</f>
        <v>0</v>
      </c>
      <c r="T1073" s="545">
        <f>'Foglio deposito bis'!$F$61*IF(ABS(N1073)&lt;'Sollecitazioni nel paramento'!$G$58,ABS(N1073)*'Sollecitazioni nel paramento'!$G$54,'Sollecitazioni nel paramento'!$G$53)*IF(N1073&lt;0,-1,1)</f>
        <v>240946.49743184328</v>
      </c>
      <c r="U1073" s="545">
        <f>'Foglio deposito bis'!$F$62*IF(ABS(O1073)&lt;'Sollecitazioni nel paramento'!$G$58,ABS(O1073)*'Sollecitazioni nel paramento'!$G$54,'Sollecitazioni nel paramento'!$G$53)*IF(O1073&lt;0,-1,1)</f>
        <v>314705.62929873407</v>
      </c>
      <c r="V1073" s="472">
        <f t="shared" si="78"/>
        <v>-243039.87293448154</v>
      </c>
      <c r="W1073" s="551"/>
      <c r="X1073" s="551"/>
    </row>
    <row r="1074" spans="1:24" x14ac:dyDescent="0.25">
      <c r="A1074" s="545">
        <f t="shared" si="77"/>
        <v>255570.88422028505</v>
      </c>
      <c r="B1074" s="3">
        <f t="shared" si="79"/>
        <v>3.8499999999999943</v>
      </c>
      <c r="C1074" s="545">
        <f>'Foglio deposito bis'!$E$157/sezione!$B$247*B1074</f>
        <v>25.327135181428595</v>
      </c>
      <c r="D1074" s="603">
        <f>-'Sollecitazioni nel paramento'!$G$47*'Sollecitazioni nel paramento'!$G$41*IF(DATI!$G$211="dx",DATI!$E$61,DATI!$E$64*DATI!$E$63)*1000*C1074^2*sezione!$AD$5*(1-sezione!$AD$6)</f>
        <v>-14271701.76806264</v>
      </c>
      <c r="E1074" s="545">
        <f>-'Foglio deposito bis'!$F$58*(C1074-sezione!$AL$31)*IF(ABS(K1074)&lt;'Sollecitazioni nel paramento'!$G$58,ABS(K1074)*'Sollecitazioni nel paramento'!$G$54,'Sollecitazioni nel paramento'!$G$53)</f>
        <v>0</v>
      </c>
      <c r="F1074" s="545">
        <f>-'Foglio deposito bis'!$F$59*(C1074-sezione!$AM$31)*IF(ABS(L1074)&lt;'Sollecitazioni nel paramento'!$G$58,ABS(L1074)*'Sollecitazioni nel paramento'!$G$54,'Sollecitazioni nel paramento'!$G$53)</f>
        <v>5328000.8507414311</v>
      </c>
      <c r="G1074" s="545">
        <f>-'Foglio deposito bis'!$F$60*(C1074-sezione!$AN$31)*IF(ABS(M1074)&lt;'Sollecitazioni nel paramento'!$G$58,ABS(M1074)*'Sollecitazioni nel paramento'!$G$54,'Sollecitazioni nel paramento'!$G$53)</f>
        <v>0</v>
      </c>
      <c r="H1074" s="545">
        <f>-'Foglio deposito bis'!$F$61*(C1074-sezione!$AO$31)*IF(ABS(N1074)&lt;'Sollecitazioni nel paramento'!$G$58,ABS(N1074)*'Sollecitazioni nel paramento'!$G$54,'Sollecitazioni nel paramento'!$G$53)</f>
        <v>32448955.077146895</v>
      </c>
      <c r="I1074" s="472">
        <f>-'Foglio deposito bis'!$F$62*(C1074-sezione!$AP$31)*IF(ABS(O1074)&lt;'Sollecitazioni nel paramento'!$G$58,ABS(O1074)*'Sollecitazioni nel paramento'!$G$54,'Sollecitazioni nel paramento'!$G$53)</f>
        <v>132435143.83926423</v>
      </c>
      <c r="J1074" s="472">
        <f t="shared" si="76"/>
        <v>155940397.99908993</v>
      </c>
      <c r="K1074" s="550">
        <f>'Sollecitazioni nel paramento'!$G$60*(sezione!$AL$31-C1074)/C1074</f>
        <v>2.0276682102860401E-3</v>
      </c>
      <c r="L1074" s="550">
        <f>'Sollecitazioni nel paramento'!$G$60*(sezione!$AM$31-C1074)/C1074</f>
        <v>4.79150231542906E-3</v>
      </c>
      <c r="M1074" s="551">
        <f>'Sollecitazioni nel paramento'!$G$60*(sezione!$AN$31-C1074)/C1074</f>
        <v>7.5553364205720799E-3</v>
      </c>
      <c r="N1074" s="551">
        <f>'Sollecitazioni nel paramento'!$G$60*(sezione!$AO$31-C1074)/C1074</f>
        <v>1.8610672841144163E-2</v>
      </c>
      <c r="O1074" s="551">
        <f>'Sollecitazioni nel paramento'!$G$60*(sezione!$AP$31-C1074)/C1074</f>
        <v>5.8154149971532197E-2</v>
      </c>
      <c r="P1074" s="545">
        <f>-'Sollecitazioni nel paramento'!$G$47*'Sollecitazioni nel paramento'!$G$41*IF(DATI!$G$211="dx",DATI!$E$61,DATI!$E$64*DATI!$E$63)*1000*C1074*sezione!$AD$5</f>
        <v>-964887.86900688498</v>
      </c>
      <c r="Q1074" s="545">
        <f>'Foglio deposito bis'!$F$58*IF(ABS(K1074)&lt;'Sollecitazioni nel paramento'!$G$58,ABS(K1074)*'Sollecitazioni nel paramento'!$G$54,'Sollecitazioni nel paramento'!$G$53)*IF(K1074&lt;0,-1,1)</f>
        <v>0</v>
      </c>
      <c r="R1074" s="545">
        <f>'Foglio deposito bis'!$F$59*IF(ABS(L1074)&lt;'Sollecitazioni nel paramento'!$G$58,ABS(L1074)*'Sollecitazioni nel paramento'!$G$54,'Sollecitazioni nel paramento'!$G$53)*IF(L1074&lt;0,-1,1)</f>
        <v>153664.85805602249</v>
      </c>
      <c r="S1074" s="545">
        <f>'Foglio deposito bis'!$F$60*IF(ABS(M1074)&lt;'Sollecitazioni nel paramento'!$G$58,ABS(M1074)*'Sollecitazioni nel paramento'!$G$54,'Sollecitazioni nel paramento'!$G$53)*IF(M1074&lt;0,-1,1)</f>
        <v>0</v>
      </c>
      <c r="T1074" s="545">
        <f>'Foglio deposito bis'!$F$61*IF(ABS(N1074)&lt;'Sollecitazioni nel paramento'!$G$58,ABS(N1074)*'Sollecitazioni nel paramento'!$G$54,'Sollecitazioni nel paramento'!$G$53)*IF(N1074&lt;0,-1,1)</f>
        <v>240946.49743184328</v>
      </c>
      <c r="U1074" s="545">
        <f>'Foglio deposito bis'!$F$62*IF(ABS(O1074)&lt;'Sollecitazioni nel paramento'!$G$58,ABS(O1074)*'Sollecitazioni nel paramento'!$G$54,'Sollecitazioni nel paramento'!$G$53)*IF(O1074&lt;0,-1,1)</f>
        <v>314705.62929873407</v>
      </c>
      <c r="V1074" s="472">
        <f t="shared" si="78"/>
        <v>-255570.88422028505</v>
      </c>
      <c r="W1074" s="551"/>
      <c r="X1074" s="551"/>
    </row>
    <row r="1075" spans="1:24" x14ac:dyDescent="0.25">
      <c r="A1075" s="545">
        <f t="shared" si="77"/>
        <v>268101.8955060888</v>
      </c>
      <c r="B1075" s="3">
        <f t="shared" si="79"/>
        <v>3.8999999999999941</v>
      </c>
      <c r="C1075" s="545">
        <f>'Foglio deposito bis'!$E$157/sezione!$B$247*B1075</f>
        <v>25.656059014953641</v>
      </c>
      <c r="D1075" s="603">
        <f>-'Sollecitazioni nel paramento'!$G$47*'Sollecitazioni nel paramento'!$G$41*IF(DATI!$G$211="dx",DATI!$E$61,DATI!$E$64*DATI!$E$63)*1000*C1075^2*sezione!$AD$5*(1-sezione!$AD$6)</f>
        <v>-14644802.421469573</v>
      </c>
      <c r="E1075" s="545">
        <f>-'Foglio deposito bis'!$F$58*(C1075-sezione!$AL$31)*IF(ABS(K1075)&lt;'Sollecitazioni nel paramento'!$G$58,ABS(K1075)*'Sollecitazioni nel paramento'!$G$54,'Sollecitazioni nel paramento'!$G$53)</f>
        <v>0</v>
      </c>
      <c r="F1075" s="545">
        <f>-'Foglio deposito bis'!$F$59*(C1075-sezione!$AM$31)*IF(ABS(L1075)&lt;'Sollecitazioni nel paramento'!$G$58,ABS(L1075)*'Sollecitazioni nel paramento'!$G$54,'Sollecitazioni nel paramento'!$G$53)</f>
        <v>5277456.8165515624</v>
      </c>
      <c r="G1075" s="545">
        <f>-'Foglio deposito bis'!$F$60*(C1075-sezione!$AN$31)*IF(ABS(M1075)&lt;'Sollecitazioni nel paramento'!$G$58,ABS(M1075)*'Sollecitazioni nel paramento'!$G$54,'Sollecitazioni nel paramento'!$G$53)</f>
        <v>0</v>
      </c>
      <c r="H1075" s="545">
        <f>-'Foglio deposito bis'!$F$61*(C1075-sezione!$AO$31)*IF(ABS(N1075)&lt;'Sollecitazioni nel paramento'!$G$58,ABS(N1075)*'Sollecitazioni nel paramento'!$G$54,'Sollecitazioni nel paramento'!$G$53)</f>
        <v>32369702.031537175</v>
      </c>
      <c r="I1075" s="472">
        <f>-'Foglio deposito bis'!$F$62*(C1075-sezione!$AP$31)*IF(ABS(O1075)&lt;'Sollecitazioni nel paramento'!$G$58,ABS(O1075)*'Sollecitazioni nel paramento'!$G$54,'Sollecitazioni nel paramento'!$G$53)</f>
        <v>132331629.65724336</v>
      </c>
      <c r="J1075" s="472">
        <f t="shared" si="76"/>
        <v>155333986.08386251</v>
      </c>
      <c r="K1075" s="550">
        <f>'Sollecitazioni nel paramento'!$G$60*(sezione!$AL$31-C1075)/C1075</f>
        <v>1.9568006691285268E-3</v>
      </c>
      <c r="L1075" s="550">
        <f>'Sollecitazioni nel paramento'!$G$60*(sezione!$AM$31-C1075)/C1075</f>
        <v>4.6852010036927899E-3</v>
      </c>
      <c r="M1075" s="551">
        <f>'Sollecitazioni nel paramento'!$G$60*(sezione!$AN$31-C1075)/C1075</f>
        <v>7.4136013382570531E-3</v>
      </c>
      <c r="N1075" s="551">
        <f>'Sollecitazioni nel paramento'!$G$60*(sezione!$AO$31-C1075)/C1075</f>
        <v>1.8327202676514106E-2</v>
      </c>
      <c r="O1075" s="551">
        <f>'Sollecitazioni nel paramento'!$G$60*(sezione!$AP$31-C1075)/C1075</f>
        <v>5.7363712151384354E-2</v>
      </c>
      <c r="P1075" s="545">
        <f>-'Sollecitazioni nel paramento'!$G$47*'Sollecitazioni nel paramento'!$G$41*IF(DATI!$G$211="dx",DATI!$E$61,DATI!$E$64*DATI!$E$63)*1000*C1075*sezione!$AD$5</f>
        <v>-977418.88029268861</v>
      </c>
      <c r="Q1075" s="545">
        <f>'Foglio deposito bis'!$F$58*IF(ABS(K1075)&lt;'Sollecitazioni nel paramento'!$G$58,ABS(K1075)*'Sollecitazioni nel paramento'!$G$54,'Sollecitazioni nel paramento'!$G$53)*IF(K1075&lt;0,-1,1)</f>
        <v>0</v>
      </c>
      <c r="R1075" s="545">
        <f>'Foglio deposito bis'!$F$59*IF(ABS(L1075)&lt;'Sollecitazioni nel paramento'!$G$58,ABS(L1075)*'Sollecitazioni nel paramento'!$G$54,'Sollecitazioni nel paramento'!$G$53)*IF(L1075&lt;0,-1,1)</f>
        <v>153664.85805602249</v>
      </c>
      <c r="S1075" s="545">
        <f>'Foglio deposito bis'!$F$60*IF(ABS(M1075)&lt;'Sollecitazioni nel paramento'!$G$58,ABS(M1075)*'Sollecitazioni nel paramento'!$G$54,'Sollecitazioni nel paramento'!$G$53)*IF(M1075&lt;0,-1,1)</f>
        <v>0</v>
      </c>
      <c r="T1075" s="545">
        <f>'Foglio deposito bis'!$F$61*IF(ABS(N1075)&lt;'Sollecitazioni nel paramento'!$G$58,ABS(N1075)*'Sollecitazioni nel paramento'!$G$54,'Sollecitazioni nel paramento'!$G$53)*IF(N1075&lt;0,-1,1)</f>
        <v>240946.49743184328</v>
      </c>
      <c r="U1075" s="545">
        <f>'Foglio deposito bis'!$F$62*IF(ABS(O1075)&lt;'Sollecitazioni nel paramento'!$G$58,ABS(O1075)*'Sollecitazioni nel paramento'!$G$54,'Sollecitazioni nel paramento'!$G$53)*IF(O1075&lt;0,-1,1)</f>
        <v>314705.62929873407</v>
      </c>
      <c r="V1075" s="472">
        <f t="shared" si="78"/>
        <v>-268101.8955060888</v>
      </c>
      <c r="W1075" s="551"/>
      <c r="X1075" s="551"/>
    </row>
    <row r="1076" spans="1:24" x14ac:dyDescent="0.25">
      <c r="A1076" s="545">
        <f t="shared" si="77"/>
        <v>280632.90679189231</v>
      </c>
      <c r="B1076" s="3">
        <f t="shared" si="79"/>
        <v>3.949999999999994</v>
      </c>
      <c r="C1076" s="545">
        <f>'Foglio deposito bis'!$E$157/sezione!$B$247*B1076</f>
        <v>25.984982848478687</v>
      </c>
      <c r="D1076" s="603">
        <f>-'Sollecitazioni nel paramento'!$G$47*'Sollecitazioni nel paramento'!$G$41*IF(DATI!$G$211="dx",DATI!$E$61,DATI!$E$64*DATI!$E$63)*1000*C1076^2*sezione!$AD$5*(1-sezione!$AD$6)</f>
        <v>-15022717.276855949</v>
      </c>
      <c r="E1076" s="545">
        <f>-'Foglio deposito bis'!$F$58*(C1076-sezione!$AL$31)*IF(ABS(K1076)&lt;'Sollecitazioni nel paramento'!$G$58,ABS(K1076)*'Sollecitazioni nel paramento'!$G$54,'Sollecitazioni nel paramento'!$G$53)</f>
        <v>0</v>
      </c>
      <c r="F1076" s="545">
        <f>-'Foglio deposito bis'!$F$59*(C1076-sezione!$AM$31)*IF(ABS(L1076)&lt;'Sollecitazioni nel paramento'!$G$58,ABS(L1076)*'Sollecitazioni nel paramento'!$G$54,'Sollecitazioni nel paramento'!$G$53)</f>
        <v>5226912.7823616927</v>
      </c>
      <c r="G1076" s="545">
        <f>-'Foglio deposito bis'!$F$60*(C1076-sezione!$AN$31)*IF(ABS(M1076)&lt;'Sollecitazioni nel paramento'!$G$58,ABS(M1076)*'Sollecitazioni nel paramento'!$G$54,'Sollecitazioni nel paramento'!$G$53)</f>
        <v>0</v>
      </c>
      <c r="H1076" s="545">
        <f>-'Foglio deposito bis'!$F$61*(C1076-sezione!$AO$31)*IF(ABS(N1076)&lt;'Sollecitazioni nel paramento'!$G$58,ABS(N1076)*'Sollecitazioni nel paramento'!$G$54,'Sollecitazioni nel paramento'!$G$53)</f>
        <v>32290448.985927463</v>
      </c>
      <c r="I1076" s="472">
        <f>-'Foglio deposito bis'!$F$62*(C1076-sezione!$AP$31)*IF(ABS(O1076)&lt;'Sollecitazioni nel paramento'!$G$58,ABS(O1076)*'Sollecitazioni nel paramento'!$G$54,'Sollecitazioni nel paramento'!$G$53)</f>
        <v>132228115.47522251</v>
      </c>
      <c r="J1076" s="472">
        <f t="shared" si="76"/>
        <v>154722759.96665573</v>
      </c>
      <c r="K1076" s="550">
        <f>'Sollecitazioni nel paramento'!$G$60*(sezione!$AL$31-C1076)/C1076</f>
        <v>1.8877272429370267E-3</v>
      </c>
      <c r="L1076" s="550">
        <f>'Sollecitazioni nel paramento'!$G$60*(sezione!$AM$31-C1076)/C1076</f>
        <v>4.5815908644055402E-3</v>
      </c>
      <c r="M1076" s="551">
        <f>'Sollecitazioni nel paramento'!$G$60*(sezione!$AN$31-C1076)/C1076</f>
        <v>7.2754544858740534E-3</v>
      </c>
      <c r="N1076" s="551">
        <f>'Sollecitazioni nel paramento'!$G$60*(sezione!$AO$31-C1076)/C1076</f>
        <v>1.8050908971748107E-2</v>
      </c>
      <c r="O1076" s="551">
        <f>'Sollecitazioni nel paramento'!$G$60*(sezione!$AP$31-C1076)/C1076</f>
        <v>5.6593285415290885E-2</v>
      </c>
      <c r="P1076" s="545">
        <f>-'Sollecitazioni nel paramento'!$G$47*'Sollecitazioni nel paramento'!$G$41*IF(DATI!$G$211="dx",DATI!$E$61,DATI!$E$64*DATI!$E$63)*1000*C1076*sezione!$AD$5</f>
        <v>-989949.89157849224</v>
      </c>
      <c r="Q1076" s="545">
        <f>'Foglio deposito bis'!$F$58*IF(ABS(K1076)&lt;'Sollecitazioni nel paramento'!$G$58,ABS(K1076)*'Sollecitazioni nel paramento'!$G$54,'Sollecitazioni nel paramento'!$G$53)*IF(K1076&lt;0,-1,1)</f>
        <v>0</v>
      </c>
      <c r="R1076" s="545">
        <f>'Foglio deposito bis'!$F$59*IF(ABS(L1076)&lt;'Sollecitazioni nel paramento'!$G$58,ABS(L1076)*'Sollecitazioni nel paramento'!$G$54,'Sollecitazioni nel paramento'!$G$53)*IF(L1076&lt;0,-1,1)</f>
        <v>153664.85805602249</v>
      </c>
      <c r="S1076" s="545">
        <f>'Foglio deposito bis'!$F$60*IF(ABS(M1076)&lt;'Sollecitazioni nel paramento'!$G$58,ABS(M1076)*'Sollecitazioni nel paramento'!$G$54,'Sollecitazioni nel paramento'!$G$53)*IF(M1076&lt;0,-1,1)</f>
        <v>0</v>
      </c>
      <c r="T1076" s="545">
        <f>'Foglio deposito bis'!$F$61*IF(ABS(N1076)&lt;'Sollecitazioni nel paramento'!$G$58,ABS(N1076)*'Sollecitazioni nel paramento'!$G$54,'Sollecitazioni nel paramento'!$G$53)*IF(N1076&lt;0,-1,1)</f>
        <v>240946.49743184328</v>
      </c>
      <c r="U1076" s="545">
        <f>'Foglio deposito bis'!$F$62*IF(ABS(O1076)&lt;'Sollecitazioni nel paramento'!$G$58,ABS(O1076)*'Sollecitazioni nel paramento'!$G$54,'Sollecitazioni nel paramento'!$G$53)*IF(O1076&lt;0,-1,1)</f>
        <v>314705.62929873407</v>
      </c>
      <c r="V1076" s="472">
        <f t="shared" si="78"/>
        <v>-280632.90679189231</v>
      </c>
      <c r="W1076" s="551"/>
      <c r="X1076" s="551"/>
    </row>
    <row r="1077" spans="1:24" x14ac:dyDescent="0.25">
      <c r="A1077" s="545">
        <f t="shared" si="77"/>
        <v>293163.91807769629</v>
      </c>
      <c r="B1077" s="3">
        <f t="shared" si="79"/>
        <v>3.9999999999999938</v>
      </c>
      <c r="C1077" s="545">
        <f>'Foglio deposito bis'!$E$157/sezione!$B$247*B1077</f>
        <v>26.313906682003733</v>
      </c>
      <c r="D1077" s="603">
        <f>-'Sollecitazioni nel paramento'!$G$47*'Sollecitazioni nel paramento'!$G$41*IF(DATI!$G$211="dx",DATI!$E$61,DATI!$E$64*DATI!$E$63)*1000*C1077^2*sezione!$AD$5*(1-sezione!$AD$6)</f>
        <v>-15405446.334221773</v>
      </c>
      <c r="E1077" s="545">
        <f>-'Foglio deposito bis'!$F$58*(C1077-sezione!$AL$31)*IF(ABS(K1077)&lt;'Sollecitazioni nel paramento'!$G$58,ABS(K1077)*'Sollecitazioni nel paramento'!$G$54,'Sollecitazioni nel paramento'!$G$53)</f>
        <v>0</v>
      </c>
      <c r="F1077" s="545">
        <f>-'Foglio deposito bis'!$F$59*(C1077-sezione!$AM$31)*IF(ABS(L1077)&lt;'Sollecitazioni nel paramento'!$G$58,ABS(L1077)*'Sollecitazioni nel paramento'!$G$54,'Sollecitazioni nel paramento'!$G$53)</f>
        <v>5176368.748171824</v>
      </c>
      <c r="G1077" s="545">
        <f>-'Foglio deposito bis'!$F$60*(C1077-sezione!$AN$31)*IF(ABS(M1077)&lt;'Sollecitazioni nel paramento'!$G$58,ABS(M1077)*'Sollecitazioni nel paramento'!$G$54,'Sollecitazioni nel paramento'!$G$53)</f>
        <v>0</v>
      </c>
      <c r="H1077" s="545">
        <f>-'Foglio deposito bis'!$F$61*(C1077-sezione!$AO$31)*IF(ABS(N1077)&lt;'Sollecitazioni nel paramento'!$G$58,ABS(N1077)*'Sollecitazioni nel paramento'!$G$54,'Sollecitazioni nel paramento'!$G$53)</f>
        <v>32211195.940317746</v>
      </c>
      <c r="I1077" s="472">
        <f>-'Foglio deposito bis'!$F$62*(C1077-sezione!$AP$31)*IF(ABS(O1077)&lt;'Sollecitazioni nel paramento'!$G$58,ABS(O1077)*'Sollecitazioni nel paramento'!$G$54,'Sollecitazioni nel paramento'!$G$53)</f>
        <v>132124601.29320168</v>
      </c>
      <c r="J1077" s="472">
        <f t="shared" si="76"/>
        <v>154106719.64746949</v>
      </c>
      <c r="K1077" s="550">
        <f>'Sollecitazioni nel paramento'!$G$60*(sezione!$AL$31-C1077)/C1077</f>
        <v>1.8203806524003138E-3</v>
      </c>
      <c r="L1077" s="550">
        <f>'Sollecitazioni nel paramento'!$G$60*(sezione!$AM$31-C1077)/C1077</f>
        <v>4.4805709786004712E-3</v>
      </c>
      <c r="M1077" s="551">
        <f>'Sollecitazioni nel paramento'!$G$60*(sezione!$AN$31-C1077)/C1077</f>
        <v>7.1407613048006281E-3</v>
      </c>
      <c r="N1077" s="551">
        <f>'Sollecitazioni nel paramento'!$G$60*(sezione!$AO$31-C1077)/C1077</f>
        <v>1.7781522609601256E-2</v>
      </c>
      <c r="O1077" s="551">
        <f>'Sollecitazioni nel paramento'!$G$60*(sezione!$AP$31-C1077)/C1077</f>
        <v>5.5842119347599743E-2</v>
      </c>
      <c r="P1077" s="545">
        <f>-'Sollecitazioni nel paramento'!$G$47*'Sollecitazioni nel paramento'!$G$41*IF(DATI!$G$211="dx",DATI!$E$61,DATI!$E$64*DATI!$E$63)*1000*C1077*sezione!$AD$5</f>
        <v>-1002480.9028642961</v>
      </c>
      <c r="Q1077" s="545">
        <f>'Foglio deposito bis'!$F$58*IF(ABS(K1077)&lt;'Sollecitazioni nel paramento'!$G$58,ABS(K1077)*'Sollecitazioni nel paramento'!$G$54,'Sollecitazioni nel paramento'!$G$53)*IF(K1077&lt;0,-1,1)</f>
        <v>0</v>
      </c>
      <c r="R1077" s="545">
        <f>'Foglio deposito bis'!$F$59*IF(ABS(L1077)&lt;'Sollecitazioni nel paramento'!$G$58,ABS(L1077)*'Sollecitazioni nel paramento'!$G$54,'Sollecitazioni nel paramento'!$G$53)*IF(L1077&lt;0,-1,1)</f>
        <v>153664.85805602249</v>
      </c>
      <c r="S1077" s="545">
        <f>'Foglio deposito bis'!$F$60*IF(ABS(M1077)&lt;'Sollecitazioni nel paramento'!$G$58,ABS(M1077)*'Sollecitazioni nel paramento'!$G$54,'Sollecitazioni nel paramento'!$G$53)*IF(M1077&lt;0,-1,1)</f>
        <v>0</v>
      </c>
      <c r="T1077" s="545">
        <f>'Foglio deposito bis'!$F$61*IF(ABS(N1077)&lt;'Sollecitazioni nel paramento'!$G$58,ABS(N1077)*'Sollecitazioni nel paramento'!$G$54,'Sollecitazioni nel paramento'!$G$53)*IF(N1077&lt;0,-1,1)</f>
        <v>240946.49743184328</v>
      </c>
      <c r="U1077" s="545">
        <f>'Foglio deposito bis'!$F$62*IF(ABS(O1077)&lt;'Sollecitazioni nel paramento'!$G$58,ABS(O1077)*'Sollecitazioni nel paramento'!$G$54,'Sollecitazioni nel paramento'!$G$53)*IF(O1077&lt;0,-1,1)</f>
        <v>314705.62929873407</v>
      </c>
      <c r="V1077" s="472">
        <f t="shared" si="78"/>
        <v>-293163.91807769629</v>
      </c>
      <c r="W1077" s="551"/>
      <c r="X1077" s="551"/>
    </row>
    <row r="1078" spans="1:24" x14ac:dyDescent="0.25">
      <c r="A1078" s="545">
        <f t="shared" si="77"/>
        <v>305694.9293634998</v>
      </c>
      <c r="B1078" s="3">
        <f t="shared" si="79"/>
        <v>4.0499999999999936</v>
      </c>
      <c r="C1078" s="545">
        <f>'Foglio deposito bis'!$E$157/sezione!$B$247*B1078</f>
        <v>26.642830515528782</v>
      </c>
      <c r="D1078" s="603">
        <f>-'Sollecitazioni nel paramento'!$G$47*'Sollecitazioni nel paramento'!$G$41*IF(DATI!$G$211="dx",DATI!$E$61,DATI!$E$64*DATI!$E$63)*1000*C1078^2*sezione!$AD$5*(1-sezione!$AD$6)</f>
        <v>-15792989.593567044</v>
      </c>
      <c r="E1078" s="545">
        <f>-'Foglio deposito bis'!$F$58*(C1078-sezione!$AL$31)*IF(ABS(K1078)&lt;'Sollecitazioni nel paramento'!$G$58,ABS(K1078)*'Sollecitazioni nel paramento'!$G$54,'Sollecitazioni nel paramento'!$G$53)</f>
        <v>0</v>
      </c>
      <c r="F1078" s="545">
        <f>-'Foglio deposito bis'!$F$59*(C1078-sezione!$AM$31)*IF(ABS(L1078)&lt;'Sollecitazioni nel paramento'!$G$58,ABS(L1078)*'Sollecitazioni nel paramento'!$G$54,'Sollecitazioni nel paramento'!$G$53)</f>
        <v>5125824.7139819544</v>
      </c>
      <c r="G1078" s="545">
        <f>-'Foglio deposito bis'!$F$60*(C1078-sezione!$AN$31)*IF(ABS(M1078)&lt;'Sollecitazioni nel paramento'!$G$58,ABS(M1078)*'Sollecitazioni nel paramento'!$G$54,'Sollecitazioni nel paramento'!$G$53)</f>
        <v>0</v>
      </c>
      <c r="H1078" s="545">
        <f>-'Foglio deposito bis'!$F$61*(C1078-sezione!$AO$31)*IF(ABS(N1078)&lt;'Sollecitazioni nel paramento'!$G$58,ABS(N1078)*'Sollecitazioni nel paramento'!$G$54,'Sollecitazioni nel paramento'!$G$53)</f>
        <v>32131942.894708034</v>
      </c>
      <c r="I1078" s="472">
        <f>-'Foglio deposito bis'!$F$62*(C1078-sezione!$AP$31)*IF(ABS(O1078)&lt;'Sollecitazioni nel paramento'!$G$58,ABS(O1078)*'Sollecitazioni nel paramento'!$G$54,'Sollecitazioni nel paramento'!$G$53)</f>
        <v>132021087.11118081</v>
      </c>
      <c r="J1078" s="472">
        <f t="shared" si="76"/>
        <v>153485865.12630376</v>
      </c>
      <c r="K1078" s="550">
        <f>'Sollecitazioni nel paramento'!$G$60*(sezione!$AL$31-C1078)/C1078</f>
        <v>1.7546969406422848E-3</v>
      </c>
      <c r="L1078" s="550">
        <f>'Sollecitazioni nel paramento'!$G$60*(sezione!$AM$31-C1078)/C1078</f>
        <v>4.3820454109634267E-3</v>
      </c>
      <c r="M1078" s="551">
        <f>'Sollecitazioni nel paramento'!$G$60*(sezione!$AN$31-C1078)/C1078</f>
        <v>7.0093938812845697E-3</v>
      </c>
      <c r="N1078" s="551">
        <f>'Sollecitazioni nel paramento'!$G$60*(sezione!$AO$31-C1078)/C1078</f>
        <v>1.7518787762569141E-2</v>
      </c>
      <c r="O1078" s="551">
        <f>'Sollecitazioni nel paramento'!$G$60*(sezione!$AP$31-C1078)/C1078</f>
        <v>5.5109500590221967E-2</v>
      </c>
      <c r="P1078" s="545">
        <f>-'Sollecitazioni nel paramento'!$G$47*'Sollecitazioni nel paramento'!$G$41*IF(DATI!$G$211="dx",DATI!$E$61,DATI!$E$64*DATI!$E$63)*1000*C1078*sezione!$AD$5</f>
        <v>-1015011.9141500997</v>
      </c>
      <c r="Q1078" s="545">
        <f>'Foglio deposito bis'!$F$58*IF(ABS(K1078)&lt;'Sollecitazioni nel paramento'!$G$58,ABS(K1078)*'Sollecitazioni nel paramento'!$G$54,'Sollecitazioni nel paramento'!$G$53)*IF(K1078&lt;0,-1,1)</f>
        <v>0</v>
      </c>
      <c r="R1078" s="545">
        <f>'Foglio deposito bis'!$F$59*IF(ABS(L1078)&lt;'Sollecitazioni nel paramento'!$G$58,ABS(L1078)*'Sollecitazioni nel paramento'!$G$54,'Sollecitazioni nel paramento'!$G$53)*IF(L1078&lt;0,-1,1)</f>
        <v>153664.85805602249</v>
      </c>
      <c r="S1078" s="545">
        <f>'Foglio deposito bis'!$F$60*IF(ABS(M1078)&lt;'Sollecitazioni nel paramento'!$G$58,ABS(M1078)*'Sollecitazioni nel paramento'!$G$54,'Sollecitazioni nel paramento'!$G$53)*IF(M1078&lt;0,-1,1)</f>
        <v>0</v>
      </c>
      <c r="T1078" s="545">
        <f>'Foglio deposito bis'!$F$61*IF(ABS(N1078)&lt;'Sollecitazioni nel paramento'!$G$58,ABS(N1078)*'Sollecitazioni nel paramento'!$G$54,'Sollecitazioni nel paramento'!$G$53)*IF(N1078&lt;0,-1,1)</f>
        <v>240946.49743184328</v>
      </c>
      <c r="U1078" s="545">
        <f>'Foglio deposito bis'!$F$62*IF(ABS(O1078)&lt;'Sollecitazioni nel paramento'!$G$58,ABS(O1078)*'Sollecitazioni nel paramento'!$G$54,'Sollecitazioni nel paramento'!$G$53)*IF(O1078&lt;0,-1,1)</f>
        <v>314705.62929873407</v>
      </c>
      <c r="V1078" s="472">
        <f t="shared" si="78"/>
        <v>-305694.9293634998</v>
      </c>
      <c r="W1078" s="551"/>
      <c r="X1078" s="551"/>
    </row>
    <row r="1079" spans="1:24" x14ac:dyDescent="0.25">
      <c r="A1079" s="545">
        <f t="shared" si="77"/>
        <v>318225.94064930355</v>
      </c>
      <c r="B1079" s="3">
        <f t="shared" si="79"/>
        <v>4.0999999999999934</v>
      </c>
      <c r="C1079" s="545">
        <f>'Foglio deposito bis'!$E$157/sezione!$B$247*B1079</f>
        <v>26.971754349053828</v>
      </c>
      <c r="D1079" s="603">
        <f>-'Sollecitazioni nel paramento'!$G$47*'Sollecitazioni nel paramento'!$G$41*IF(DATI!$G$211="dx",DATI!$E$61,DATI!$E$64*DATI!$E$63)*1000*C1079^2*sezione!$AD$5*(1-sezione!$AD$6)</f>
        <v>-16185347.054891752</v>
      </c>
      <c r="E1079" s="545">
        <f>-'Foglio deposito bis'!$F$58*(C1079-sezione!$AL$31)*IF(ABS(K1079)&lt;'Sollecitazioni nel paramento'!$G$58,ABS(K1079)*'Sollecitazioni nel paramento'!$G$54,'Sollecitazioni nel paramento'!$G$53)</f>
        <v>0</v>
      </c>
      <c r="F1079" s="545">
        <f>-'Foglio deposito bis'!$F$59*(C1079-sezione!$AM$31)*IF(ABS(L1079)&lt;'Sollecitazioni nel paramento'!$G$58,ABS(L1079)*'Sollecitazioni nel paramento'!$G$54,'Sollecitazioni nel paramento'!$G$53)</f>
        <v>5075280.6797920857</v>
      </c>
      <c r="G1079" s="545">
        <f>-'Foglio deposito bis'!$F$60*(C1079-sezione!$AN$31)*IF(ABS(M1079)&lt;'Sollecitazioni nel paramento'!$G$58,ABS(M1079)*'Sollecitazioni nel paramento'!$G$54,'Sollecitazioni nel paramento'!$G$53)</f>
        <v>0</v>
      </c>
      <c r="H1079" s="545">
        <f>-'Foglio deposito bis'!$F$61*(C1079-sezione!$AO$31)*IF(ABS(N1079)&lt;'Sollecitazioni nel paramento'!$G$58,ABS(N1079)*'Sollecitazioni nel paramento'!$G$54,'Sollecitazioni nel paramento'!$G$53)</f>
        <v>32052689.849098314</v>
      </c>
      <c r="I1079" s="472">
        <f>-'Foglio deposito bis'!$F$62*(C1079-sezione!$AP$31)*IF(ABS(O1079)&lt;'Sollecitazioni nel paramento'!$G$58,ABS(O1079)*'Sollecitazioni nel paramento'!$G$54,'Sollecitazioni nel paramento'!$G$53)</f>
        <v>131917572.92915997</v>
      </c>
      <c r="J1079" s="472">
        <f t="shared" si="76"/>
        <v>152860196.40315861</v>
      </c>
      <c r="K1079" s="550">
        <f>'Sollecitazioni nel paramento'!$G$60*(sezione!$AL$31-C1079)/C1079</f>
        <v>1.6906152706344523E-3</v>
      </c>
      <c r="L1079" s="550">
        <f>'Sollecitazioni nel paramento'!$G$60*(sezione!$AM$31-C1079)/C1079</f>
        <v>4.2859229059516793E-3</v>
      </c>
      <c r="M1079" s="551">
        <f>'Sollecitazioni nel paramento'!$G$60*(sezione!$AN$31-C1079)/C1079</f>
        <v>6.881230541268905E-3</v>
      </c>
      <c r="N1079" s="551">
        <f>'Sollecitazioni nel paramento'!$G$60*(sezione!$AO$31-C1079)/C1079</f>
        <v>1.7262461082537806E-2</v>
      </c>
      <c r="O1079" s="551">
        <f>'Sollecitazioni nel paramento'!$G$60*(sezione!$AP$31-C1079)/C1079</f>
        <v>5.4394750583024142E-2</v>
      </c>
      <c r="P1079" s="545">
        <f>-'Sollecitazioni nel paramento'!$G$47*'Sollecitazioni nel paramento'!$G$41*IF(DATI!$G$211="dx",DATI!$E$61,DATI!$E$64*DATI!$E$63)*1000*C1079*sezione!$AD$5</f>
        <v>-1027542.9254359034</v>
      </c>
      <c r="Q1079" s="545">
        <f>'Foglio deposito bis'!$F$58*IF(ABS(K1079)&lt;'Sollecitazioni nel paramento'!$G$58,ABS(K1079)*'Sollecitazioni nel paramento'!$G$54,'Sollecitazioni nel paramento'!$G$53)*IF(K1079&lt;0,-1,1)</f>
        <v>0</v>
      </c>
      <c r="R1079" s="545">
        <f>'Foglio deposito bis'!$F$59*IF(ABS(L1079)&lt;'Sollecitazioni nel paramento'!$G$58,ABS(L1079)*'Sollecitazioni nel paramento'!$G$54,'Sollecitazioni nel paramento'!$G$53)*IF(L1079&lt;0,-1,1)</f>
        <v>153664.85805602249</v>
      </c>
      <c r="S1079" s="545">
        <f>'Foglio deposito bis'!$F$60*IF(ABS(M1079)&lt;'Sollecitazioni nel paramento'!$G$58,ABS(M1079)*'Sollecitazioni nel paramento'!$G$54,'Sollecitazioni nel paramento'!$G$53)*IF(M1079&lt;0,-1,1)</f>
        <v>0</v>
      </c>
      <c r="T1079" s="545">
        <f>'Foglio deposito bis'!$F$61*IF(ABS(N1079)&lt;'Sollecitazioni nel paramento'!$G$58,ABS(N1079)*'Sollecitazioni nel paramento'!$G$54,'Sollecitazioni nel paramento'!$G$53)*IF(N1079&lt;0,-1,1)</f>
        <v>240946.49743184328</v>
      </c>
      <c r="U1079" s="545">
        <f>'Foglio deposito bis'!$F$62*IF(ABS(O1079)&lt;'Sollecitazioni nel paramento'!$G$58,ABS(O1079)*'Sollecitazioni nel paramento'!$G$54,'Sollecitazioni nel paramento'!$G$53)*IF(O1079&lt;0,-1,1)</f>
        <v>314705.62929873407</v>
      </c>
      <c r="V1079" s="472">
        <f t="shared" si="78"/>
        <v>-318225.94064930355</v>
      </c>
      <c r="W1079" s="551"/>
      <c r="X1079" s="551"/>
    </row>
    <row r="1080" spans="1:24" x14ac:dyDescent="0.25">
      <c r="A1080" s="545">
        <f t="shared" si="77"/>
        <v>330756.9519351073</v>
      </c>
      <c r="B1080" s="3">
        <f t="shared" si="79"/>
        <v>4.1499999999999932</v>
      </c>
      <c r="C1080" s="545">
        <f>'Foglio deposito bis'!$E$157/sezione!$B$247*B1080</f>
        <v>27.300678182578874</v>
      </c>
      <c r="D1080" s="603">
        <f>-'Sollecitazioni nel paramento'!$G$47*'Sollecitazioni nel paramento'!$G$41*IF(DATI!$G$211="dx",DATI!$E$61,DATI!$E$64*DATI!$E$63)*1000*C1080^2*sezione!$AD$5*(1-sezione!$AD$6)</f>
        <v>-16582518.718195908</v>
      </c>
      <c r="E1080" s="545">
        <f>-'Foglio deposito bis'!$F$58*(C1080-sezione!$AL$31)*IF(ABS(K1080)&lt;'Sollecitazioni nel paramento'!$G$58,ABS(K1080)*'Sollecitazioni nel paramento'!$G$54,'Sollecitazioni nel paramento'!$G$53)</f>
        <v>0</v>
      </c>
      <c r="F1080" s="545">
        <f>-'Foglio deposito bis'!$F$59*(C1080-sezione!$AM$31)*IF(ABS(L1080)&lt;'Sollecitazioni nel paramento'!$G$58,ABS(L1080)*'Sollecitazioni nel paramento'!$G$54,'Sollecitazioni nel paramento'!$G$53)</f>
        <v>5024736.645602216</v>
      </c>
      <c r="G1080" s="545">
        <f>-'Foglio deposito bis'!$F$60*(C1080-sezione!$AN$31)*IF(ABS(M1080)&lt;'Sollecitazioni nel paramento'!$G$58,ABS(M1080)*'Sollecitazioni nel paramento'!$G$54,'Sollecitazioni nel paramento'!$G$53)</f>
        <v>0</v>
      </c>
      <c r="H1080" s="545">
        <f>-'Foglio deposito bis'!$F$61*(C1080-sezione!$AO$31)*IF(ABS(N1080)&lt;'Sollecitazioni nel paramento'!$G$58,ABS(N1080)*'Sollecitazioni nel paramento'!$G$54,'Sollecitazioni nel paramento'!$G$53)</f>
        <v>31973436.803488601</v>
      </c>
      <c r="I1080" s="472">
        <f>-'Foglio deposito bis'!$F$62*(C1080-sezione!$AP$31)*IF(ABS(O1080)&lt;'Sollecitazioni nel paramento'!$G$58,ABS(O1080)*'Sollecitazioni nel paramento'!$G$54,'Sollecitazioni nel paramento'!$G$53)</f>
        <v>131814058.74713913</v>
      </c>
      <c r="J1080" s="472">
        <f t="shared" si="76"/>
        <v>152229713.47803402</v>
      </c>
      <c r="K1080" s="550">
        <f>'Sollecitazioni nel paramento'!$G$60*(sezione!$AL$31-C1080)/C1080</f>
        <v>1.6280777372533145E-3</v>
      </c>
      <c r="L1080" s="550">
        <f>'Sollecitazioni nel paramento'!$G$60*(sezione!$AM$31-C1080)/C1080</f>
        <v>4.1921166058799713E-3</v>
      </c>
      <c r="M1080" s="551">
        <f>'Sollecitazioni nel paramento'!$G$60*(sezione!$AN$31-C1080)/C1080</f>
        <v>6.7561554745066282E-3</v>
      </c>
      <c r="N1080" s="551">
        <f>'Sollecitazioni nel paramento'!$G$60*(sezione!$AO$31-C1080)/C1080</f>
        <v>1.7012310949013256E-2</v>
      </c>
      <c r="O1080" s="551">
        <f>'Sollecitazioni nel paramento'!$G$60*(sezione!$AP$31-C1080)/C1080</f>
        <v>5.3697223467566023E-2</v>
      </c>
      <c r="P1080" s="545">
        <f>-'Sollecitazioni nel paramento'!$G$47*'Sollecitazioni nel paramento'!$G$41*IF(DATI!$G$211="dx",DATI!$E$61,DATI!$E$64*DATI!$E$63)*1000*C1080*sezione!$AD$5</f>
        <v>-1040073.9367217072</v>
      </c>
      <c r="Q1080" s="545">
        <f>'Foglio deposito bis'!$F$58*IF(ABS(K1080)&lt;'Sollecitazioni nel paramento'!$G$58,ABS(K1080)*'Sollecitazioni nel paramento'!$G$54,'Sollecitazioni nel paramento'!$G$53)*IF(K1080&lt;0,-1,1)</f>
        <v>0</v>
      </c>
      <c r="R1080" s="545">
        <f>'Foglio deposito bis'!$F$59*IF(ABS(L1080)&lt;'Sollecitazioni nel paramento'!$G$58,ABS(L1080)*'Sollecitazioni nel paramento'!$G$54,'Sollecitazioni nel paramento'!$G$53)*IF(L1080&lt;0,-1,1)</f>
        <v>153664.85805602249</v>
      </c>
      <c r="S1080" s="545">
        <f>'Foglio deposito bis'!$F$60*IF(ABS(M1080)&lt;'Sollecitazioni nel paramento'!$G$58,ABS(M1080)*'Sollecitazioni nel paramento'!$G$54,'Sollecitazioni nel paramento'!$G$53)*IF(M1080&lt;0,-1,1)</f>
        <v>0</v>
      </c>
      <c r="T1080" s="545">
        <f>'Foglio deposito bis'!$F$61*IF(ABS(N1080)&lt;'Sollecitazioni nel paramento'!$G$58,ABS(N1080)*'Sollecitazioni nel paramento'!$G$54,'Sollecitazioni nel paramento'!$G$53)*IF(N1080&lt;0,-1,1)</f>
        <v>240946.49743184328</v>
      </c>
      <c r="U1080" s="545">
        <f>'Foglio deposito bis'!$F$62*IF(ABS(O1080)&lt;'Sollecitazioni nel paramento'!$G$58,ABS(O1080)*'Sollecitazioni nel paramento'!$G$54,'Sollecitazioni nel paramento'!$G$53)*IF(O1080&lt;0,-1,1)</f>
        <v>314705.62929873407</v>
      </c>
      <c r="V1080" s="472">
        <f t="shared" si="78"/>
        <v>-330756.9519351073</v>
      </c>
      <c r="W1080" s="551"/>
      <c r="X1080" s="551"/>
    </row>
    <row r="1081" spans="1:24" x14ac:dyDescent="0.25">
      <c r="A1081" s="545">
        <f t="shared" si="77"/>
        <v>343287.96322091104</v>
      </c>
      <c r="B1081" s="3">
        <f t="shared" si="79"/>
        <v>4.1999999999999931</v>
      </c>
      <c r="C1081" s="545">
        <f>'Foglio deposito bis'!$E$157/sezione!$B$247*B1081</f>
        <v>27.62960201610392</v>
      </c>
      <c r="D1081" s="603">
        <f>-'Sollecitazioni nel paramento'!$G$47*'Sollecitazioni nel paramento'!$G$41*IF(DATI!$G$211="dx",DATI!$E$61,DATI!$E$64*DATI!$E$63)*1000*C1081^2*sezione!$AD$5*(1-sezione!$AD$6)</f>
        <v>-16984504.583479501</v>
      </c>
      <c r="E1081" s="545">
        <f>-'Foglio deposito bis'!$F$58*(C1081-sezione!$AL$31)*IF(ABS(K1081)&lt;'Sollecitazioni nel paramento'!$G$58,ABS(K1081)*'Sollecitazioni nel paramento'!$G$54,'Sollecitazioni nel paramento'!$G$53)</f>
        <v>0</v>
      </c>
      <c r="F1081" s="545">
        <f>-'Foglio deposito bis'!$F$59*(C1081-sezione!$AM$31)*IF(ABS(L1081)&lt;'Sollecitazioni nel paramento'!$G$58,ABS(L1081)*'Sollecitazioni nel paramento'!$G$54,'Sollecitazioni nel paramento'!$G$53)</f>
        <v>4974192.6114123482</v>
      </c>
      <c r="G1081" s="545">
        <f>-'Foglio deposito bis'!$F$60*(C1081-sezione!$AN$31)*IF(ABS(M1081)&lt;'Sollecitazioni nel paramento'!$G$58,ABS(M1081)*'Sollecitazioni nel paramento'!$G$54,'Sollecitazioni nel paramento'!$G$53)</f>
        <v>0</v>
      </c>
      <c r="H1081" s="545">
        <f>-'Foglio deposito bis'!$F$61*(C1081-sezione!$AO$31)*IF(ABS(N1081)&lt;'Sollecitazioni nel paramento'!$G$58,ABS(N1081)*'Sollecitazioni nel paramento'!$G$54,'Sollecitazioni nel paramento'!$G$53)</f>
        <v>31894183.757878888</v>
      </c>
      <c r="I1081" s="472">
        <f>-'Foglio deposito bis'!$F$62*(C1081-sezione!$AP$31)*IF(ABS(O1081)&lt;'Sollecitazioni nel paramento'!$G$58,ABS(O1081)*'Sollecitazioni nel paramento'!$G$54,'Sollecitazioni nel paramento'!$G$53)</f>
        <v>131710544.56511827</v>
      </c>
      <c r="J1081" s="472">
        <f t="shared" si="76"/>
        <v>151594416.35093001</v>
      </c>
      <c r="K1081" s="550">
        <f>'Sollecitazioni nel paramento'!$G$60*(sezione!$AL$31-C1081)/C1081</f>
        <v>1.5670291927622037E-3</v>
      </c>
      <c r="L1081" s="550">
        <f>'Sollecitazioni nel paramento'!$G$60*(sezione!$AM$31-C1081)/C1081</f>
        <v>4.1005437891433062E-3</v>
      </c>
      <c r="M1081" s="551">
        <f>'Sollecitazioni nel paramento'!$G$60*(sezione!$AN$31-C1081)/C1081</f>
        <v>6.6340583855244075E-3</v>
      </c>
      <c r="N1081" s="551">
        <f>'Sollecitazioni nel paramento'!$G$60*(sezione!$AO$31-C1081)/C1081</f>
        <v>1.6768116771048815E-2</v>
      </c>
      <c r="O1081" s="551">
        <f>'Sollecitazioni nel paramento'!$G$60*(sezione!$AP$31-C1081)/C1081</f>
        <v>5.3016304140571187E-2</v>
      </c>
      <c r="P1081" s="545">
        <f>-'Sollecitazioni nel paramento'!$G$47*'Sollecitazioni nel paramento'!$G$41*IF(DATI!$G$211="dx",DATI!$E$61,DATI!$E$64*DATI!$E$63)*1000*C1081*sezione!$AD$5</f>
        <v>-1052604.948007511</v>
      </c>
      <c r="Q1081" s="545">
        <f>'Foglio deposito bis'!$F$58*IF(ABS(K1081)&lt;'Sollecitazioni nel paramento'!$G$58,ABS(K1081)*'Sollecitazioni nel paramento'!$G$54,'Sollecitazioni nel paramento'!$G$53)*IF(K1081&lt;0,-1,1)</f>
        <v>0</v>
      </c>
      <c r="R1081" s="545">
        <f>'Foglio deposito bis'!$F$59*IF(ABS(L1081)&lt;'Sollecitazioni nel paramento'!$G$58,ABS(L1081)*'Sollecitazioni nel paramento'!$G$54,'Sollecitazioni nel paramento'!$G$53)*IF(L1081&lt;0,-1,1)</f>
        <v>153664.85805602249</v>
      </c>
      <c r="S1081" s="545">
        <f>'Foglio deposito bis'!$F$60*IF(ABS(M1081)&lt;'Sollecitazioni nel paramento'!$G$58,ABS(M1081)*'Sollecitazioni nel paramento'!$G$54,'Sollecitazioni nel paramento'!$G$53)*IF(M1081&lt;0,-1,1)</f>
        <v>0</v>
      </c>
      <c r="T1081" s="545">
        <f>'Foglio deposito bis'!$F$61*IF(ABS(N1081)&lt;'Sollecitazioni nel paramento'!$G$58,ABS(N1081)*'Sollecitazioni nel paramento'!$G$54,'Sollecitazioni nel paramento'!$G$53)*IF(N1081&lt;0,-1,1)</f>
        <v>240946.49743184328</v>
      </c>
      <c r="U1081" s="545">
        <f>'Foglio deposito bis'!$F$62*IF(ABS(O1081)&lt;'Sollecitazioni nel paramento'!$G$58,ABS(O1081)*'Sollecitazioni nel paramento'!$G$54,'Sollecitazioni nel paramento'!$G$53)*IF(O1081&lt;0,-1,1)</f>
        <v>314705.62929873407</v>
      </c>
      <c r="V1081" s="472">
        <f t="shared" si="78"/>
        <v>-343287.96322091104</v>
      </c>
      <c r="W1081" s="551"/>
      <c r="X1081" s="551"/>
    </row>
    <row r="1082" spans="1:24" x14ac:dyDescent="0.25">
      <c r="A1082" s="545">
        <f t="shared" si="77"/>
        <v>355818.97450671456</v>
      </c>
      <c r="B1082" s="3">
        <f t="shared" si="79"/>
        <v>4.2499999999999929</v>
      </c>
      <c r="C1082" s="545">
        <f>'Foglio deposito bis'!$E$157/sezione!$B$247*B1082</f>
        <v>27.958525849628966</v>
      </c>
      <c r="D1082" s="603">
        <f>-'Sollecitazioni nel paramento'!$G$47*'Sollecitazioni nel paramento'!$G$41*IF(DATI!$G$211="dx",DATI!$E$61,DATI!$E$64*DATI!$E$63)*1000*C1082^2*sezione!$AD$5*(1-sezione!$AD$6)</f>
        <v>-17391304.650742546</v>
      </c>
      <c r="E1082" s="545">
        <f>-'Foglio deposito bis'!$F$58*(C1082-sezione!$AL$31)*IF(ABS(K1082)&lt;'Sollecitazioni nel paramento'!$G$58,ABS(K1082)*'Sollecitazioni nel paramento'!$G$54,'Sollecitazioni nel paramento'!$G$53)</f>
        <v>0</v>
      </c>
      <c r="F1082" s="545">
        <f>-'Foglio deposito bis'!$F$59*(C1082-sezione!$AM$31)*IF(ABS(L1082)&lt;'Sollecitazioni nel paramento'!$G$58,ABS(L1082)*'Sollecitazioni nel paramento'!$G$54,'Sollecitazioni nel paramento'!$G$53)</f>
        <v>4923648.5772224786</v>
      </c>
      <c r="G1082" s="545">
        <f>-'Foglio deposito bis'!$F$60*(C1082-sezione!$AN$31)*IF(ABS(M1082)&lt;'Sollecitazioni nel paramento'!$G$58,ABS(M1082)*'Sollecitazioni nel paramento'!$G$54,'Sollecitazioni nel paramento'!$G$53)</f>
        <v>0</v>
      </c>
      <c r="H1082" s="545">
        <f>-'Foglio deposito bis'!$F$61*(C1082-sezione!$AO$31)*IF(ABS(N1082)&lt;'Sollecitazioni nel paramento'!$G$58,ABS(N1082)*'Sollecitazioni nel paramento'!$G$54,'Sollecitazioni nel paramento'!$G$53)</f>
        <v>31814930.71226918</v>
      </c>
      <c r="I1082" s="472">
        <f>-'Foglio deposito bis'!$F$62*(C1082-sezione!$AP$31)*IF(ABS(O1082)&lt;'Sollecitazioni nel paramento'!$G$58,ABS(O1082)*'Sollecitazioni nel paramento'!$G$54,'Sollecitazioni nel paramento'!$G$53)</f>
        <v>131607030.3830974</v>
      </c>
      <c r="J1082" s="472">
        <f t="shared" si="76"/>
        <v>150954305.0218465</v>
      </c>
      <c r="K1082" s="550">
        <f>'Sollecitazioni nel paramento'!$G$60*(sezione!$AL$31-C1082)/C1082</f>
        <v>1.50741708461206E-3</v>
      </c>
      <c r="L1082" s="550">
        <f>'Sollecitazioni nel paramento'!$G$60*(sezione!$AM$31-C1082)/C1082</f>
        <v>4.0111256269180903E-3</v>
      </c>
      <c r="M1082" s="551">
        <f>'Sollecitazioni nel paramento'!$G$60*(sezione!$AN$31-C1082)/C1082</f>
        <v>6.5148341692241206E-3</v>
      </c>
      <c r="N1082" s="551">
        <f>'Sollecitazioni nel paramento'!$G$60*(sezione!$AO$31-C1082)/C1082</f>
        <v>1.6529668338448242E-2</v>
      </c>
      <c r="O1082" s="551">
        <f>'Sollecitazioni nel paramento'!$G$60*(sezione!$AP$31-C1082)/C1082</f>
        <v>5.2351406444799756E-2</v>
      </c>
      <c r="P1082" s="545">
        <f>-'Sollecitazioni nel paramento'!$G$47*'Sollecitazioni nel paramento'!$G$41*IF(DATI!$G$211="dx",DATI!$E$61,DATI!$E$64*DATI!$E$63)*1000*C1082*sezione!$AD$5</f>
        <v>-1065135.9592933145</v>
      </c>
      <c r="Q1082" s="545">
        <f>'Foglio deposito bis'!$F$58*IF(ABS(K1082)&lt;'Sollecitazioni nel paramento'!$G$58,ABS(K1082)*'Sollecitazioni nel paramento'!$G$54,'Sollecitazioni nel paramento'!$G$53)*IF(K1082&lt;0,-1,1)</f>
        <v>0</v>
      </c>
      <c r="R1082" s="545">
        <f>'Foglio deposito bis'!$F$59*IF(ABS(L1082)&lt;'Sollecitazioni nel paramento'!$G$58,ABS(L1082)*'Sollecitazioni nel paramento'!$G$54,'Sollecitazioni nel paramento'!$G$53)*IF(L1082&lt;0,-1,1)</f>
        <v>153664.85805602249</v>
      </c>
      <c r="S1082" s="545">
        <f>'Foglio deposito bis'!$F$60*IF(ABS(M1082)&lt;'Sollecitazioni nel paramento'!$G$58,ABS(M1082)*'Sollecitazioni nel paramento'!$G$54,'Sollecitazioni nel paramento'!$G$53)*IF(M1082&lt;0,-1,1)</f>
        <v>0</v>
      </c>
      <c r="T1082" s="545">
        <f>'Foglio deposito bis'!$F$61*IF(ABS(N1082)&lt;'Sollecitazioni nel paramento'!$G$58,ABS(N1082)*'Sollecitazioni nel paramento'!$G$54,'Sollecitazioni nel paramento'!$G$53)*IF(N1082&lt;0,-1,1)</f>
        <v>240946.49743184328</v>
      </c>
      <c r="U1082" s="545">
        <f>'Foglio deposito bis'!$F$62*IF(ABS(O1082)&lt;'Sollecitazioni nel paramento'!$G$58,ABS(O1082)*'Sollecitazioni nel paramento'!$G$54,'Sollecitazioni nel paramento'!$G$53)*IF(O1082&lt;0,-1,1)</f>
        <v>314705.62929873407</v>
      </c>
      <c r="V1082" s="472">
        <f t="shared" si="78"/>
        <v>-355818.97450671456</v>
      </c>
      <c r="W1082" s="551"/>
      <c r="X1082" s="551"/>
    </row>
    <row r="1083" spans="1:24" x14ac:dyDescent="0.25">
      <c r="A1083" s="545">
        <f t="shared" si="77"/>
        <v>368349.9857925183</v>
      </c>
      <c r="B1083" s="3">
        <f t="shared" si="79"/>
        <v>4.2999999999999927</v>
      </c>
      <c r="C1083" s="545">
        <f>'Foglio deposito bis'!$E$157/sezione!$B$247*B1083</f>
        <v>28.287449683154012</v>
      </c>
      <c r="D1083" s="603">
        <f>-'Sollecitazioni nel paramento'!$G$47*'Sollecitazioni nel paramento'!$G$41*IF(DATI!$G$211="dx",DATI!$E$61,DATI!$E$64*DATI!$E$63)*1000*C1083^2*sezione!$AD$5*(1-sezione!$AD$6)</f>
        <v>-17802918.919985034</v>
      </c>
      <c r="E1083" s="545">
        <f>-'Foglio deposito bis'!$F$58*(C1083-sezione!$AL$31)*IF(ABS(K1083)&lt;'Sollecitazioni nel paramento'!$G$58,ABS(K1083)*'Sollecitazioni nel paramento'!$G$54,'Sollecitazioni nel paramento'!$G$53)</f>
        <v>0</v>
      </c>
      <c r="F1083" s="545">
        <f>-'Foglio deposito bis'!$F$59*(C1083-sezione!$AM$31)*IF(ABS(L1083)&lt;'Sollecitazioni nel paramento'!$G$58,ABS(L1083)*'Sollecitazioni nel paramento'!$G$54,'Sollecitazioni nel paramento'!$G$53)</f>
        <v>4873104.5430326099</v>
      </c>
      <c r="G1083" s="545">
        <f>-'Foglio deposito bis'!$F$60*(C1083-sezione!$AN$31)*IF(ABS(M1083)&lt;'Sollecitazioni nel paramento'!$G$58,ABS(M1083)*'Sollecitazioni nel paramento'!$G$54,'Sollecitazioni nel paramento'!$G$53)</f>
        <v>0</v>
      </c>
      <c r="H1083" s="545">
        <f>-'Foglio deposito bis'!$F$61*(C1083-sezione!$AO$31)*IF(ABS(N1083)&lt;'Sollecitazioni nel paramento'!$G$58,ABS(N1083)*'Sollecitazioni nel paramento'!$G$54,'Sollecitazioni nel paramento'!$G$53)</f>
        <v>31735677.666659459</v>
      </c>
      <c r="I1083" s="472">
        <f>-'Foglio deposito bis'!$F$62*(C1083-sezione!$AP$31)*IF(ABS(O1083)&lt;'Sollecitazioni nel paramento'!$G$58,ABS(O1083)*'Sollecitazioni nel paramento'!$G$54,'Sollecitazioni nel paramento'!$G$53)</f>
        <v>131503516.20107655</v>
      </c>
      <c r="J1083" s="472">
        <f t="shared" si="76"/>
        <v>150309379.49078357</v>
      </c>
      <c r="K1083" s="550">
        <f>'Sollecitazioni nel paramento'!$G$60*(sezione!$AL$31-C1083)/C1083</f>
        <v>1.4491913045584317E-3</v>
      </c>
      <c r="L1083" s="550">
        <f>'Sollecitazioni nel paramento'!$G$60*(sezione!$AM$31-C1083)/C1083</f>
        <v>3.9237869568376476E-3</v>
      </c>
      <c r="M1083" s="551">
        <f>'Sollecitazioni nel paramento'!$G$60*(sezione!$AN$31-C1083)/C1083</f>
        <v>6.3983826091168639E-3</v>
      </c>
      <c r="N1083" s="551">
        <f>'Sollecitazioni nel paramento'!$G$60*(sezione!$AO$31-C1083)/C1083</f>
        <v>1.6296765218233727E-2</v>
      </c>
      <c r="O1083" s="551">
        <f>'Sollecitazioni nel paramento'!$G$60*(sezione!$AP$31-C1083)/C1083</f>
        <v>5.1701971486139295E-2</v>
      </c>
      <c r="P1083" s="545">
        <f>-'Sollecitazioni nel paramento'!$G$47*'Sollecitazioni nel paramento'!$G$41*IF(DATI!$G$211="dx",DATI!$E$61,DATI!$E$64*DATI!$E$63)*1000*C1083*sezione!$AD$5</f>
        <v>-1077666.9705791182</v>
      </c>
      <c r="Q1083" s="545">
        <f>'Foglio deposito bis'!$F$58*IF(ABS(K1083)&lt;'Sollecitazioni nel paramento'!$G$58,ABS(K1083)*'Sollecitazioni nel paramento'!$G$54,'Sollecitazioni nel paramento'!$G$53)*IF(K1083&lt;0,-1,1)</f>
        <v>0</v>
      </c>
      <c r="R1083" s="545">
        <f>'Foglio deposito bis'!$F$59*IF(ABS(L1083)&lt;'Sollecitazioni nel paramento'!$G$58,ABS(L1083)*'Sollecitazioni nel paramento'!$G$54,'Sollecitazioni nel paramento'!$G$53)*IF(L1083&lt;0,-1,1)</f>
        <v>153664.85805602249</v>
      </c>
      <c r="S1083" s="545">
        <f>'Foglio deposito bis'!$F$60*IF(ABS(M1083)&lt;'Sollecitazioni nel paramento'!$G$58,ABS(M1083)*'Sollecitazioni nel paramento'!$G$54,'Sollecitazioni nel paramento'!$G$53)*IF(M1083&lt;0,-1,1)</f>
        <v>0</v>
      </c>
      <c r="T1083" s="545">
        <f>'Foglio deposito bis'!$F$61*IF(ABS(N1083)&lt;'Sollecitazioni nel paramento'!$G$58,ABS(N1083)*'Sollecitazioni nel paramento'!$G$54,'Sollecitazioni nel paramento'!$G$53)*IF(N1083&lt;0,-1,1)</f>
        <v>240946.49743184328</v>
      </c>
      <c r="U1083" s="545">
        <f>'Foglio deposito bis'!$F$62*IF(ABS(O1083)&lt;'Sollecitazioni nel paramento'!$G$58,ABS(O1083)*'Sollecitazioni nel paramento'!$G$54,'Sollecitazioni nel paramento'!$G$53)*IF(O1083&lt;0,-1,1)</f>
        <v>314705.62929873407</v>
      </c>
      <c r="V1083" s="472">
        <f t="shared" si="78"/>
        <v>-368349.9857925183</v>
      </c>
      <c r="W1083" s="551"/>
      <c r="X1083" s="551"/>
    </row>
    <row r="1084" spans="1:24" x14ac:dyDescent="0.25">
      <c r="A1084" s="545">
        <f t="shared" si="77"/>
        <v>380880.99707832182</v>
      </c>
      <c r="B1084" s="3">
        <f t="shared" si="79"/>
        <v>4.3499999999999925</v>
      </c>
      <c r="C1084" s="545">
        <f>'Foglio deposito bis'!$E$157/sezione!$B$247*B1084</f>
        <v>28.616373516679058</v>
      </c>
      <c r="D1084" s="603">
        <f>-'Sollecitazioni nel paramento'!$G$47*'Sollecitazioni nel paramento'!$G$41*IF(DATI!$G$211="dx",DATI!$E$61,DATI!$E$64*DATI!$E$63)*1000*C1084^2*sezione!$AD$5*(1-sezione!$AD$6)</f>
        <v>-18219347.391206965</v>
      </c>
      <c r="E1084" s="545">
        <f>-'Foglio deposito bis'!$F$58*(C1084-sezione!$AL$31)*IF(ABS(K1084)&lt;'Sollecitazioni nel paramento'!$G$58,ABS(K1084)*'Sollecitazioni nel paramento'!$G$54,'Sollecitazioni nel paramento'!$G$53)</f>
        <v>0</v>
      </c>
      <c r="F1084" s="545">
        <f>-'Foglio deposito bis'!$F$59*(C1084-sezione!$AM$31)*IF(ABS(L1084)&lt;'Sollecitazioni nel paramento'!$G$58,ABS(L1084)*'Sollecitazioni nel paramento'!$G$54,'Sollecitazioni nel paramento'!$G$53)</f>
        <v>4822560.5088427411</v>
      </c>
      <c r="G1084" s="545">
        <f>-'Foglio deposito bis'!$F$60*(C1084-sezione!$AN$31)*IF(ABS(M1084)&lt;'Sollecitazioni nel paramento'!$G$58,ABS(M1084)*'Sollecitazioni nel paramento'!$G$54,'Sollecitazioni nel paramento'!$G$53)</f>
        <v>0</v>
      </c>
      <c r="H1084" s="545">
        <f>-'Foglio deposito bis'!$F$61*(C1084-sezione!$AO$31)*IF(ABS(N1084)&lt;'Sollecitazioni nel paramento'!$G$58,ABS(N1084)*'Sollecitazioni nel paramento'!$G$54,'Sollecitazioni nel paramento'!$G$53)</f>
        <v>31656424.621049747</v>
      </c>
      <c r="I1084" s="472">
        <f>-'Foglio deposito bis'!$F$62*(C1084-sezione!$AP$31)*IF(ABS(O1084)&lt;'Sollecitazioni nel paramento'!$G$58,ABS(O1084)*'Sollecitazioni nel paramento'!$G$54,'Sollecitazioni nel paramento'!$G$53)</f>
        <v>131400002.01905572</v>
      </c>
      <c r="J1084" s="472">
        <f t="shared" si="76"/>
        <v>149659639.75774124</v>
      </c>
      <c r="K1084" s="550">
        <f>'Sollecitazioni nel paramento'!$G$60*(sezione!$AL$31-C1084)/C1084</f>
        <v>1.3923040481841971E-3</v>
      </c>
      <c r="L1084" s="550">
        <f>'Sollecitazioni nel paramento'!$G$60*(sezione!$AM$31-C1084)/C1084</f>
        <v>3.8384560722762957E-3</v>
      </c>
      <c r="M1084" s="551">
        <f>'Sollecitazioni nel paramento'!$G$60*(sezione!$AN$31-C1084)/C1084</f>
        <v>6.2846080963683939E-3</v>
      </c>
      <c r="N1084" s="551">
        <f>'Sollecitazioni nel paramento'!$G$60*(sezione!$AO$31-C1084)/C1084</f>
        <v>1.6069216192736789E-2</v>
      </c>
      <c r="O1084" s="551">
        <f>'Sollecitazioni nel paramento'!$G$60*(sezione!$AP$31-C1084)/C1084</f>
        <v>5.1067466066758389E-2</v>
      </c>
      <c r="P1084" s="545">
        <f>-'Sollecitazioni nel paramento'!$G$47*'Sollecitazioni nel paramento'!$G$41*IF(DATI!$G$211="dx",DATI!$E$61,DATI!$E$64*DATI!$E$63)*1000*C1084*sezione!$AD$5</f>
        <v>-1090197.9818649217</v>
      </c>
      <c r="Q1084" s="545">
        <f>'Foglio deposito bis'!$F$58*IF(ABS(K1084)&lt;'Sollecitazioni nel paramento'!$G$58,ABS(K1084)*'Sollecitazioni nel paramento'!$G$54,'Sollecitazioni nel paramento'!$G$53)*IF(K1084&lt;0,-1,1)</f>
        <v>0</v>
      </c>
      <c r="R1084" s="545">
        <f>'Foglio deposito bis'!$F$59*IF(ABS(L1084)&lt;'Sollecitazioni nel paramento'!$G$58,ABS(L1084)*'Sollecitazioni nel paramento'!$G$54,'Sollecitazioni nel paramento'!$G$53)*IF(L1084&lt;0,-1,1)</f>
        <v>153664.85805602249</v>
      </c>
      <c r="S1084" s="545">
        <f>'Foglio deposito bis'!$F$60*IF(ABS(M1084)&lt;'Sollecitazioni nel paramento'!$G$58,ABS(M1084)*'Sollecitazioni nel paramento'!$G$54,'Sollecitazioni nel paramento'!$G$53)*IF(M1084&lt;0,-1,1)</f>
        <v>0</v>
      </c>
      <c r="T1084" s="545">
        <f>'Foglio deposito bis'!$F$61*IF(ABS(N1084)&lt;'Sollecitazioni nel paramento'!$G$58,ABS(N1084)*'Sollecitazioni nel paramento'!$G$54,'Sollecitazioni nel paramento'!$G$53)*IF(N1084&lt;0,-1,1)</f>
        <v>240946.49743184328</v>
      </c>
      <c r="U1084" s="545">
        <f>'Foglio deposito bis'!$F$62*IF(ABS(O1084)&lt;'Sollecitazioni nel paramento'!$G$58,ABS(O1084)*'Sollecitazioni nel paramento'!$G$54,'Sollecitazioni nel paramento'!$G$53)*IF(O1084&lt;0,-1,1)</f>
        <v>314705.62929873407</v>
      </c>
      <c r="V1084" s="472">
        <f t="shared" si="78"/>
        <v>-380880.99707832182</v>
      </c>
      <c r="W1084" s="551"/>
      <c r="X1084" s="551"/>
    </row>
    <row r="1085" spans="1:24" x14ac:dyDescent="0.25">
      <c r="A1085" s="545">
        <f t="shared" si="77"/>
        <v>393412.00836412556</v>
      </c>
      <c r="B1085" s="3">
        <f t="shared" si="79"/>
        <v>4.3999999999999924</v>
      </c>
      <c r="C1085" s="545">
        <f>'Foglio deposito bis'!$E$157/sezione!$B$247*B1085</f>
        <v>28.945297350204104</v>
      </c>
      <c r="D1085" s="603">
        <f>-'Sollecitazioni nel paramento'!$G$47*'Sollecitazioni nel paramento'!$G$41*IF(DATI!$G$211="dx",DATI!$E$61,DATI!$E$64*DATI!$E$63)*1000*C1085^2*sezione!$AD$5*(1-sezione!$AD$6)</f>
        <v>-18640590.06440834</v>
      </c>
      <c r="E1085" s="545">
        <f>-'Foglio deposito bis'!$F$58*(C1085-sezione!$AL$31)*IF(ABS(K1085)&lt;'Sollecitazioni nel paramento'!$G$58,ABS(K1085)*'Sollecitazioni nel paramento'!$G$54,'Sollecitazioni nel paramento'!$G$53)</f>
        <v>0</v>
      </c>
      <c r="F1085" s="545">
        <f>-'Foglio deposito bis'!$F$59*(C1085-sezione!$AM$31)*IF(ABS(L1085)&lt;'Sollecitazioni nel paramento'!$G$58,ABS(L1085)*'Sollecitazioni nel paramento'!$G$54,'Sollecitazioni nel paramento'!$G$53)</f>
        <v>4772016.4746528715</v>
      </c>
      <c r="G1085" s="545">
        <f>-'Foglio deposito bis'!$F$60*(C1085-sezione!$AN$31)*IF(ABS(M1085)&lt;'Sollecitazioni nel paramento'!$G$58,ABS(M1085)*'Sollecitazioni nel paramento'!$G$54,'Sollecitazioni nel paramento'!$G$53)</f>
        <v>0</v>
      </c>
      <c r="H1085" s="545">
        <f>-'Foglio deposito bis'!$F$61*(C1085-sezione!$AO$31)*IF(ABS(N1085)&lt;'Sollecitazioni nel paramento'!$G$58,ABS(N1085)*'Sollecitazioni nel paramento'!$G$54,'Sollecitazioni nel paramento'!$G$53)</f>
        <v>31577171.575440031</v>
      </c>
      <c r="I1085" s="472">
        <f>-'Foglio deposito bis'!$F$62*(C1085-sezione!$AP$31)*IF(ABS(O1085)&lt;'Sollecitazioni nel paramento'!$G$58,ABS(O1085)*'Sollecitazioni nel paramento'!$G$54,'Sollecitazioni nel paramento'!$G$53)</f>
        <v>131296487.83703485</v>
      </c>
      <c r="J1085" s="472">
        <f t="shared" si="76"/>
        <v>149005085.82271942</v>
      </c>
      <c r="K1085" s="550">
        <f>'Sollecitazioni nel paramento'!$G$60*(sezione!$AL$31-C1085)/C1085</f>
        <v>1.3367096840002856E-3</v>
      </c>
      <c r="L1085" s="550">
        <f>'Sollecitazioni nel paramento'!$G$60*(sezione!$AM$31-C1085)/C1085</f>
        <v>3.7550645260004288E-3</v>
      </c>
      <c r="M1085" s="551">
        <f>'Sollecitazioni nel paramento'!$G$60*(sezione!$AN$31-C1085)/C1085</f>
        <v>6.1734193680005722E-3</v>
      </c>
      <c r="N1085" s="551">
        <f>'Sollecitazioni nel paramento'!$G$60*(sezione!$AO$31-C1085)/C1085</f>
        <v>1.5846838736001144E-2</v>
      </c>
      <c r="O1085" s="551">
        <f>'Sollecitazioni nel paramento'!$G$60*(sezione!$AP$31-C1085)/C1085</f>
        <v>5.0447381225090689E-2</v>
      </c>
      <c r="P1085" s="545">
        <f>-'Sollecitazioni nel paramento'!$G$47*'Sollecitazioni nel paramento'!$G$41*IF(DATI!$G$211="dx",DATI!$E$61,DATI!$E$64*DATI!$E$63)*1000*C1085*sezione!$AD$5</f>
        <v>-1102728.9931507255</v>
      </c>
      <c r="Q1085" s="545">
        <f>'Foglio deposito bis'!$F$58*IF(ABS(K1085)&lt;'Sollecitazioni nel paramento'!$G$58,ABS(K1085)*'Sollecitazioni nel paramento'!$G$54,'Sollecitazioni nel paramento'!$G$53)*IF(K1085&lt;0,-1,1)</f>
        <v>0</v>
      </c>
      <c r="R1085" s="545">
        <f>'Foglio deposito bis'!$F$59*IF(ABS(L1085)&lt;'Sollecitazioni nel paramento'!$G$58,ABS(L1085)*'Sollecitazioni nel paramento'!$G$54,'Sollecitazioni nel paramento'!$G$53)*IF(L1085&lt;0,-1,1)</f>
        <v>153664.85805602249</v>
      </c>
      <c r="S1085" s="545">
        <f>'Foglio deposito bis'!$F$60*IF(ABS(M1085)&lt;'Sollecitazioni nel paramento'!$G$58,ABS(M1085)*'Sollecitazioni nel paramento'!$G$54,'Sollecitazioni nel paramento'!$G$53)*IF(M1085&lt;0,-1,1)</f>
        <v>0</v>
      </c>
      <c r="T1085" s="545">
        <f>'Foglio deposito bis'!$F$61*IF(ABS(N1085)&lt;'Sollecitazioni nel paramento'!$G$58,ABS(N1085)*'Sollecitazioni nel paramento'!$G$54,'Sollecitazioni nel paramento'!$G$53)*IF(N1085&lt;0,-1,1)</f>
        <v>240946.49743184328</v>
      </c>
      <c r="U1085" s="545">
        <f>'Foglio deposito bis'!$F$62*IF(ABS(O1085)&lt;'Sollecitazioni nel paramento'!$G$58,ABS(O1085)*'Sollecitazioni nel paramento'!$G$54,'Sollecitazioni nel paramento'!$G$53)*IF(O1085&lt;0,-1,1)</f>
        <v>314705.62929873407</v>
      </c>
      <c r="V1085" s="472">
        <f t="shared" si="78"/>
        <v>-393412.00836412556</v>
      </c>
      <c r="W1085" s="551"/>
      <c r="X1085" s="551"/>
    </row>
    <row r="1086" spans="1:24" x14ac:dyDescent="0.25">
      <c r="A1086" s="545">
        <f t="shared" si="77"/>
        <v>405943.01964992931</v>
      </c>
      <c r="B1086" s="3">
        <f t="shared" si="79"/>
        <v>4.4499999999999922</v>
      </c>
      <c r="C1086" s="545">
        <f>'Foglio deposito bis'!$E$157/sezione!$B$247*B1086</f>
        <v>29.27422118372915</v>
      </c>
      <c r="D1086" s="603">
        <f>-'Sollecitazioni nel paramento'!$G$47*'Sollecitazioni nel paramento'!$G$41*IF(DATI!$G$211="dx",DATI!$E$61,DATI!$E$64*DATI!$E$63)*1000*C1086^2*sezione!$AD$5*(1-sezione!$AD$6)</f>
        <v>-19066646.939589158</v>
      </c>
      <c r="E1086" s="545">
        <f>-'Foglio deposito bis'!$F$58*(C1086-sezione!$AL$31)*IF(ABS(K1086)&lt;'Sollecitazioni nel paramento'!$G$58,ABS(K1086)*'Sollecitazioni nel paramento'!$G$54,'Sollecitazioni nel paramento'!$G$53)</f>
        <v>0</v>
      </c>
      <c r="F1086" s="545">
        <f>-'Foglio deposito bis'!$F$59*(C1086-sezione!$AM$31)*IF(ABS(L1086)&lt;'Sollecitazioni nel paramento'!$G$58,ABS(L1086)*'Sollecitazioni nel paramento'!$G$54,'Sollecitazioni nel paramento'!$G$53)</f>
        <v>4721472.4404630028</v>
      </c>
      <c r="G1086" s="545">
        <f>-'Foglio deposito bis'!$F$60*(C1086-sezione!$AN$31)*IF(ABS(M1086)&lt;'Sollecitazioni nel paramento'!$G$58,ABS(M1086)*'Sollecitazioni nel paramento'!$G$54,'Sollecitazioni nel paramento'!$G$53)</f>
        <v>0</v>
      </c>
      <c r="H1086" s="545">
        <f>-'Foglio deposito bis'!$F$61*(C1086-sezione!$AO$31)*IF(ABS(N1086)&lt;'Sollecitazioni nel paramento'!$G$58,ABS(N1086)*'Sollecitazioni nel paramento'!$G$54,'Sollecitazioni nel paramento'!$G$53)</f>
        <v>31497918.529830318</v>
      </c>
      <c r="I1086" s="472">
        <f>-'Foglio deposito bis'!$F$62*(C1086-sezione!$AP$31)*IF(ABS(O1086)&lt;'Sollecitazioni nel paramento'!$G$58,ABS(O1086)*'Sollecitazioni nel paramento'!$G$54,'Sollecitazioni nel paramento'!$G$53)</f>
        <v>131192973.65501401</v>
      </c>
      <c r="J1086" s="472">
        <f t="shared" si="76"/>
        <v>148345717.68571818</v>
      </c>
      <c r="K1086" s="550">
        <f>'Sollecitazioni nel paramento'!$G$60*(sezione!$AL$31-C1086)/C1086</f>
        <v>1.2823646313710692E-3</v>
      </c>
      <c r="L1086" s="550">
        <f>'Sollecitazioni nel paramento'!$G$60*(sezione!$AM$31-C1086)/C1086</f>
        <v>3.6735469470566039E-3</v>
      </c>
      <c r="M1086" s="551">
        <f>'Sollecitazioni nel paramento'!$G$60*(sezione!$AN$31-C1086)/C1086</f>
        <v>6.0647292627421375E-3</v>
      </c>
      <c r="N1086" s="551">
        <f>'Sollecitazioni nel paramento'!$G$60*(sezione!$AO$31-C1086)/C1086</f>
        <v>1.562945852548428E-2</v>
      </c>
      <c r="O1086" s="551">
        <f>'Sollecitazioni nel paramento'!$G$60*(sezione!$AP$31-C1086)/C1086</f>
        <v>4.9841230874246967E-2</v>
      </c>
      <c r="P1086" s="545">
        <f>-'Sollecitazioni nel paramento'!$G$47*'Sollecitazioni nel paramento'!$G$41*IF(DATI!$G$211="dx",DATI!$E$61,DATI!$E$64*DATI!$E$63)*1000*C1086*sezione!$AD$5</f>
        <v>-1115260.0044365292</v>
      </c>
      <c r="Q1086" s="545">
        <f>'Foglio deposito bis'!$F$58*IF(ABS(K1086)&lt;'Sollecitazioni nel paramento'!$G$58,ABS(K1086)*'Sollecitazioni nel paramento'!$G$54,'Sollecitazioni nel paramento'!$G$53)*IF(K1086&lt;0,-1,1)</f>
        <v>0</v>
      </c>
      <c r="R1086" s="545">
        <f>'Foglio deposito bis'!$F$59*IF(ABS(L1086)&lt;'Sollecitazioni nel paramento'!$G$58,ABS(L1086)*'Sollecitazioni nel paramento'!$G$54,'Sollecitazioni nel paramento'!$G$53)*IF(L1086&lt;0,-1,1)</f>
        <v>153664.85805602249</v>
      </c>
      <c r="S1086" s="545">
        <f>'Foglio deposito bis'!$F$60*IF(ABS(M1086)&lt;'Sollecitazioni nel paramento'!$G$58,ABS(M1086)*'Sollecitazioni nel paramento'!$G$54,'Sollecitazioni nel paramento'!$G$53)*IF(M1086&lt;0,-1,1)</f>
        <v>0</v>
      </c>
      <c r="T1086" s="545">
        <f>'Foglio deposito bis'!$F$61*IF(ABS(N1086)&lt;'Sollecitazioni nel paramento'!$G$58,ABS(N1086)*'Sollecitazioni nel paramento'!$G$54,'Sollecitazioni nel paramento'!$G$53)*IF(N1086&lt;0,-1,1)</f>
        <v>240946.49743184328</v>
      </c>
      <c r="U1086" s="545">
        <f>'Foglio deposito bis'!$F$62*IF(ABS(O1086)&lt;'Sollecitazioni nel paramento'!$G$58,ABS(O1086)*'Sollecitazioni nel paramento'!$G$54,'Sollecitazioni nel paramento'!$G$53)*IF(O1086&lt;0,-1,1)</f>
        <v>314705.62929873407</v>
      </c>
      <c r="V1086" s="472">
        <f t="shared" si="78"/>
        <v>-405943.01964992931</v>
      </c>
      <c r="W1086" s="551"/>
      <c r="X1086" s="551"/>
    </row>
    <row r="1087" spans="1:24" x14ac:dyDescent="0.25">
      <c r="A1087" s="545">
        <f t="shared" si="77"/>
        <v>418474.03093573306</v>
      </c>
      <c r="B1087" s="3">
        <f t="shared" si="79"/>
        <v>4.499999999999992</v>
      </c>
      <c r="C1087" s="545">
        <f>'Foglio deposito bis'!$E$157/sezione!$B$247*B1087</f>
        <v>29.603145017254196</v>
      </c>
      <c r="D1087" s="603">
        <f>-'Sollecitazioni nel paramento'!$G$47*'Sollecitazioni nel paramento'!$G$41*IF(DATI!$G$211="dx",DATI!$E$61,DATI!$E$64*DATI!$E$63)*1000*C1087^2*sezione!$AD$5*(1-sezione!$AD$6)</f>
        <v>-19497518.016749427</v>
      </c>
      <c r="E1087" s="545">
        <f>-'Foglio deposito bis'!$F$58*(C1087-sezione!$AL$31)*IF(ABS(K1087)&lt;'Sollecitazioni nel paramento'!$G$58,ABS(K1087)*'Sollecitazioni nel paramento'!$G$54,'Sollecitazioni nel paramento'!$G$53)</f>
        <v>0</v>
      </c>
      <c r="F1087" s="545">
        <f>-'Foglio deposito bis'!$F$59*(C1087-sezione!$AM$31)*IF(ABS(L1087)&lt;'Sollecitazioni nel paramento'!$G$58,ABS(L1087)*'Sollecitazioni nel paramento'!$G$54,'Sollecitazioni nel paramento'!$G$53)</f>
        <v>4670928.4062731341</v>
      </c>
      <c r="G1087" s="545">
        <f>-'Foglio deposito bis'!$F$60*(C1087-sezione!$AN$31)*IF(ABS(M1087)&lt;'Sollecitazioni nel paramento'!$G$58,ABS(M1087)*'Sollecitazioni nel paramento'!$G$54,'Sollecitazioni nel paramento'!$G$53)</f>
        <v>0</v>
      </c>
      <c r="H1087" s="545">
        <f>-'Foglio deposito bis'!$F$61*(C1087-sezione!$AO$31)*IF(ABS(N1087)&lt;'Sollecitazioni nel paramento'!$G$58,ABS(N1087)*'Sollecitazioni nel paramento'!$G$54,'Sollecitazioni nel paramento'!$G$53)</f>
        <v>31418665.484220598</v>
      </c>
      <c r="I1087" s="472">
        <f>-'Foglio deposito bis'!$F$62*(C1087-sezione!$AP$31)*IF(ABS(O1087)&lt;'Sollecitazioni nel paramento'!$G$58,ABS(O1087)*'Sollecitazioni nel paramento'!$G$54,'Sollecitazioni nel paramento'!$G$53)</f>
        <v>131089459.47299317</v>
      </c>
      <c r="J1087" s="472">
        <f t="shared" si="76"/>
        <v>147681535.34673747</v>
      </c>
      <c r="K1087" s="550">
        <f>'Sollecitazioni nel paramento'!$G$60*(sezione!$AL$31-C1087)/C1087</f>
        <v>1.2292272465780575E-3</v>
      </c>
      <c r="L1087" s="550">
        <f>'Sollecitazioni nel paramento'!$G$60*(sezione!$AM$31-C1087)/C1087</f>
        <v>3.5938408698670864E-3</v>
      </c>
      <c r="M1087" s="551">
        <f>'Sollecitazioni nel paramento'!$G$60*(sezione!$AN$31-C1087)/C1087</f>
        <v>5.958454493156116E-3</v>
      </c>
      <c r="N1087" s="551">
        <f>'Sollecitazioni nel paramento'!$G$60*(sezione!$AO$31-C1087)/C1087</f>
        <v>1.5416908986312228E-2</v>
      </c>
      <c r="O1087" s="551">
        <f>'Sollecitazioni nel paramento'!$G$60*(sezione!$AP$31-C1087)/C1087</f>
        <v>4.9248550531199781E-2</v>
      </c>
      <c r="P1087" s="545">
        <f>-'Sollecitazioni nel paramento'!$G$47*'Sollecitazioni nel paramento'!$G$41*IF(DATI!$G$211="dx",DATI!$E$61,DATI!$E$64*DATI!$E$63)*1000*C1087*sezione!$AD$5</f>
        <v>-1127791.015722333</v>
      </c>
      <c r="Q1087" s="545">
        <f>'Foglio deposito bis'!$F$58*IF(ABS(K1087)&lt;'Sollecitazioni nel paramento'!$G$58,ABS(K1087)*'Sollecitazioni nel paramento'!$G$54,'Sollecitazioni nel paramento'!$G$53)*IF(K1087&lt;0,-1,1)</f>
        <v>0</v>
      </c>
      <c r="R1087" s="545">
        <f>'Foglio deposito bis'!$F$59*IF(ABS(L1087)&lt;'Sollecitazioni nel paramento'!$G$58,ABS(L1087)*'Sollecitazioni nel paramento'!$G$54,'Sollecitazioni nel paramento'!$G$53)*IF(L1087&lt;0,-1,1)</f>
        <v>153664.85805602249</v>
      </c>
      <c r="S1087" s="545">
        <f>'Foglio deposito bis'!$F$60*IF(ABS(M1087)&lt;'Sollecitazioni nel paramento'!$G$58,ABS(M1087)*'Sollecitazioni nel paramento'!$G$54,'Sollecitazioni nel paramento'!$G$53)*IF(M1087&lt;0,-1,1)</f>
        <v>0</v>
      </c>
      <c r="T1087" s="545">
        <f>'Foglio deposito bis'!$F$61*IF(ABS(N1087)&lt;'Sollecitazioni nel paramento'!$G$58,ABS(N1087)*'Sollecitazioni nel paramento'!$G$54,'Sollecitazioni nel paramento'!$G$53)*IF(N1087&lt;0,-1,1)</f>
        <v>240946.49743184328</v>
      </c>
      <c r="U1087" s="545">
        <f>'Foglio deposito bis'!$F$62*IF(ABS(O1087)&lt;'Sollecitazioni nel paramento'!$G$58,ABS(O1087)*'Sollecitazioni nel paramento'!$G$54,'Sollecitazioni nel paramento'!$G$53)*IF(O1087&lt;0,-1,1)</f>
        <v>314705.62929873407</v>
      </c>
      <c r="V1087" s="472">
        <f t="shared" si="78"/>
        <v>-418474.03093573306</v>
      </c>
      <c r="W1087" s="551"/>
      <c r="X1087" s="551"/>
    </row>
    <row r="1088" spans="1:24" x14ac:dyDescent="0.25">
      <c r="A1088" s="545">
        <f t="shared" si="77"/>
        <v>431005.0422215368</v>
      </c>
      <c r="B1088" s="3">
        <f t="shared" si="79"/>
        <v>4.5499999999999918</v>
      </c>
      <c r="C1088" s="545">
        <f>'Foglio deposito bis'!$E$157/sezione!$B$247*B1088</f>
        <v>29.932068850779242</v>
      </c>
      <c r="D1088" s="603">
        <f>-'Sollecitazioni nel paramento'!$G$47*'Sollecitazioni nel paramento'!$G$41*IF(DATI!$G$211="dx",DATI!$E$61,DATI!$E$64*DATI!$E$63)*1000*C1088^2*sezione!$AD$5*(1-sezione!$AD$6)</f>
        <v>-19933203.295889135</v>
      </c>
      <c r="E1088" s="545">
        <f>-'Foglio deposito bis'!$F$58*(C1088-sezione!$AL$31)*IF(ABS(K1088)&lt;'Sollecitazioni nel paramento'!$G$58,ABS(K1088)*'Sollecitazioni nel paramento'!$G$54,'Sollecitazioni nel paramento'!$G$53)</f>
        <v>0</v>
      </c>
      <c r="F1088" s="545">
        <f>-'Foglio deposito bis'!$F$59*(C1088-sezione!$AM$31)*IF(ABS(L1088)&lt;'Sollecitazioni nel paramento'!$G$58,ABS(L1088)*'Sollecitazioni nel paramento'!$G$54,'Sollecitazioni nel paramento'!$G$53)</f>
        <v>4620384.3720832653</v>
      </c>
      <c r="G1088" s="545">
        <f>-'Foglio deposito bis'!$F$60*(C1088-sezione!$AN$31)*IF(ABS(M1088)&lt;'Sollecitazioni nel paramento'!$G$58,ABS(M1088)*'Sollecitazioni nel paramento'!$G$54,'Sollecitazioni nel paramento'!$G$53)</f>
        <v>0</v>
      </c>
      <c r="H1088" s="545">
        <f>-'Foglio deposito bis'!$F$61*(C1088-sezione!$AO$31)*IF(ABS(N1088)&lt;'Sollecitazioni nel paramento'!$G$58,ABS(N1088)*'Sollecitazioni nel paramento'!$G$54,'Sollecitazioni nel paramento'!$G$53)</f>
        <v>31339412.438610885</v>
      </c>
      <c r="I1088" s="472">
        <f>-'Foglio deposito bis'!$F$62*(C1088-sezione!$AP$31)*IF(ABS(O1088)&lt;'Sollecitazioni nel paramento'!$G$58,ABS(O1088)*'Sollecitazioni nel paramento'!$G$54,'Sollecitazioni nel paramento'!$G$53)</f>
        <v>130985945.29097231</v>
      </c>
      <c r="J1088" s="472">
        <f t="shared" si="76"/>
        <v>147012538.80577731</v>
      </c>
      <c r="K1088" s="550">
        <f>'Sollecitazioni nel paramento'!$G$60*(sezione!$AL$31-C1088)/C1088</f>
        <v>1.1772577163958811E-3</v>
      </c>
      <c r="L1088" s="550">
        <f>'Sollecitazioni nel paramento'!$G$60*(sezione!$AM$31-C1088)/C1088</f>
        <v>3.5158865745938215E-3</v>
      </c>
      <c r="M1088" s="551">
        <f>'Sollecitazioni nel paramento'!$G$60*(sezione!$AN$31-C1088)/C1088</f>
        <v>5.8545154327917619E-3</v>
      </c>
      <c r="N1088" s="551">
        <f>'Sollecitazioni nel paramento'!$G$60*(sezione!$AO$31-C1088)/C1088</f>
        <v>1.5209030865583523E-2</v>
      </c>
      <c r="O1088" s="551">
        <f>'Sollecitazioni nel paramento'!$G$60*(sezione!$AP$31-C1088)/C1088</f>
        <v>4.8668896129758027E-2</v>
      </c>
      <c r="P1088" s="545">
        <f>-'Sollecitazioni nel paramento'!$G$47*'Sollecitazioni nel paramento'!$G$41*IF(DATI!$G$211="dx",DATI!$E$61,DATI!$E$64*DATI!$E$63)*1000*C1088*sezione!$AD$5</f>
        <v>-1140322.0270081367</v>
      </c>
      <c r="Q1088" s="545">
        <f>'Foglio deposito bis'!$F$58*IF(ABS(K1088)&lt;'Sollecitazioni nel paramento'!$G$58,ABS(K1088)*'Sollecitazioni nel paramento'!$G$54,'Sollecitazioni nel paramento'!$G$53)*IF(K1088&lt;0,-1,1)</f>
        <v>0</v>
      </c>
      <c r="R1088" s="545">
        <f>'Foglio deposito bis'!$F$59*IF(ABS(L1088)&lt;'Sollecitazioni nel paramento'!$G$58,ABS(L1088)*'Sollecitazioni nel paramento'!$G$54,'Sollecitazioni nel paramento'!$G$53)*IF(L1088&lt;0,-1,1)</f>
        <v>153664.85805602249</v>
      </c>
      <c r="S1088" s="545">
        <f>'Foglio deposito bis'!$F$60*IF(ABS(M1088)&lt;'Sollecitazioni nel paramento'!$G$58,ABS(M1088)*'Sollecitazioni nel paramento'!$G$54,'Sollecitazioni nel paramento'!$G$53)*IF(M1088&lt;0,-1,1)</f>
        <v>0</v>
      </c>
      <c r="T1088" s="545">
        <f>'Foglio deposito bis'!$F$61*IF(ABS(N1088)&lt;'Sollecitazioni nel paramento'!$G$58,ABS(N1088)*'Sollecitazioni nel paramento'!$G$54,'Sollecitazioni nel paramento'!$G$53)*IF(N1088&lt;0,-1,1)</f>
        <v>240946.49743184328</v>
      </c>
      <c r="U1088" s="545">
        <f>'Foglio deposito bis'!$F$62*IF(ABS(O1088)&lt;'Sollecitazioni nel paramento'!$G$58,ABS(O1088)*'Sollecitazioni nel paramento'!$G$54,'Sollecitazioni nel paramento'!$G$53)*IF(O1088&lt;0,-1,1)</f>
        <v>314705.62929873407</v>
      </c>
      <c r="V1088" s="472">
        <f t="shared" si="78"/>
        <v>-431005.0422215368</v>
      </c>
      <c r="W1088" s="551"/>
      <c r="X1088" s="551"/>
    </row>
    <row r="1089" spans="1:24" x14ac:dyDescent="0.25">
      <c r="A1089" s="545">
        <f t="shared" si="77"/>
        <v>443536.05350734032</v>
      </c>
      <c r="B1089" s="3">
        <f t="shared" si="79"/>
        <v>4.5999999999999917</v>
      </c>
      <c r="C1089" s="545">
        <f>'Foglio deposito bis'!$E$157/sezione!$B$247*B1089</f>
        <v>30.260992684304288</v>
      </c>
      <c r="D1089" s="603">
        <f>-'Sollecitazioni nel paramento'!$G$47*'Sollecitazioni nel paramento'!$G$41*IF(DATI!$G$211="dx",DATI!$E$61,DATI!$E$64*DATI!$E$63)*1000*C1089^2*sezione!$AD$5*(1-sezione!$AD$6)</f>
        <v>-20373702.777008288</v>
      </c>
      <c r="E1089" s="545">
        <f>-'Foglio deposito bis'!$F$58*(C1089-sezione!$AL$31)*IF(ABS(K1089)&lt;'Sollecitazioni nel paramento'!$G$58,ABS(K1089)*'Sollecitazioni nel paramento'!$G$54,'Sollecitazioni nel paramento'!$G$53)</f>
        <v>0</v>
      </c>
      <c r="F1089" s="545">
        <f>-'Foglio deposito bis'!$F$59*(C1089-sezione!$AM$31)*IF(ABS(L1089)&lt;'Sollecitazioni nel paramento'!$G$58,ABS(L1089)*'Sollecitazioni nel paramento'!$G$54,'Sollecitazioni nel paramento'!$G$53)</f>
        <v>4569840.3378933966</v>
      </c>
      <c r="G1089" s="545">
        <f>-'Foglio deposito bis'!$F$60*(C1089-sezione!$AN$31)*IF(ABS(M1089)&lt;'Sollecitazioni nel paramento'!$G$58,ABS(M1089)*'Sollecitazioni nel paramento'!$G$54,'Sollecitazioni nel paramento'!$G$53)</f>
        <v>0</v>
      </c>
      <c r="H1089" s="545">
        <f>-'Foglio deposito bis'!$F$61*(C1089-sezione!$AO$31)*IF(ABS(N1089)&lt;'Sollecitazioni nel paramento'!$G$58,ABS(N1089)*'Sollecitazioni nel paramento'!$G$54,'Sollecitazioni nel paramento'!$G$53)</f>
        <v>31260159.393001173</v>
      </c>
      <c r="I1089" s="472">
        <f>-'Foglio deposito bis'!$F$62*(C1089-sezione!$AP$31)*IF(ABS(O1089)&lt;'Sollecitazioni nel paramento'!$G$58,ABS(O1089)*'Sollecitazioni nel paramento'!$G$54,'Sollecitazioni nel paramento'!$G$53)</f>
        <v>130882431.10895143</v>
      </c>
      <c r="J1089" s="472">
        <f t="shared" si="76"/>
        <v>146338728.06283772</v>
      </c>
      <c r="K1089" s="550">
        <f>'Sollecitazioni nel paramento'!$G$60*(sezione!$AL$31-C1089)/C1089</f>
        <v>1.1264179586089693E-3</v>
      </c>
      <c r="L1089" s="550">
        <f>'Sollecitazioni nel paramento'!$G$60*(sezione!$AM$31-C1089)/C1089</f>
        <v>3.4396269379134538E-3</v>
      </c>
      <c r="M1089" s="551">
        <f>'Sollecitazioni nel paramento'!$G$60*(sezione!$AN$31-C1089)/C1089</f>
        <v>5.7528359172179392E-3</v>
      </c>
      <c r="N1089" s="551">
        <f>'Sollecitazioni nel paramento'!$G$60*(sezione!$AO$31-C1089)/C1089</f>
        <v>1.5005671834435878E-2</v>
      </c>
      <c r="O1089" s="551">
        <f>'Sollecitazioni nel paramento'!$G$60*(sezione!$AP$31-C1089)/C1089</f>
        <v>4.8101842910956309E-2</v>
      </c>
      <c r="P1089" s="545">
        <f>-'Sollecitazioni nel paramento'!$G$47*'Sollecitazioni nel paramento'!$G$41*IF(DATI!$G$211="dx",DATI!$E$61,DATI!$E$64*DATI!$E$63)*1000*C1089*sezione!$AD$5</f>
        <v>-1152853.0382939402</v>
      </c>
      <c r="Q1089" s="545">
        <f>'Foglio deposito bis'!$F$58*IF(ABS(K1089)&lt;'Sollecitazioni nel paramento'!$G$58,ABS(K1089)*'Sollecitazioni nel paramento'!$G$54,'Sollecitazioni nel paramento'!$G$53)*IF(K1089&lt;0,-1,1)</f>
        <v>0</v>
      </c>
      <c r="R1089" s="545">
        <f>'Foglio deposito bis'!$F$59*IF(ABS(L1089)&lt;'Sollecitazioni nel paramento'!$G$58,ABS(L1089)*'Sollecitazioni nel paramento'!$G$54,'Sollecitazioni nel paramento'!$G$53)*IF(L1089&lt;0,-1,1)</f>
        <v>153664.85805602249</v>
      </c>
      <c r="S1089" s="545">
        <f>'Foglio deposito bis'!$F$60*IF(ABS(M1089)&lt;'Sollecitazioni nel paramento'!$G$58,ABS(M1089)*'Sollecitazioni nel paramento'!$G$54,'Sollecitazioni nel paramento'!$G$53)*IF(M1089&lt;0,-1,1)</f>
        <v>0</v>
      </c>
      <c r="T1089" s="545">
        <f>'Foglio deposito bis'!$F$61*IF(ABS(N1089)&lt;'Sollecitazioni nel paramento'!$G$58,ABS(N1089)*'Sollecitazioni nel paramento'!$G$54,'Sollecitazioni nel paramento'!$G$53)*IF(N1089&lt;0,-1,1)</f>
        <v>240946.49743184328</v>
      </c>
      <c r="U1089" s="545">
        <f>'Foglio deposito bis'!$F$62*IF(ABS(O1089)&lt;'Sollecitazioni nel paramento'!$G$58,ABS(O1089)*'Sollecitazioni nel paramento'!$G$54,'Sollecitazioni nel paramento'!$G$53)*IF(O1089&lt;0,-1,1)</f>
        <v>314705.62929873407</v>
      </c>
      <c r="V1089" s="472">
        <f t="shared" si="78"/>
        <v>-443536.05350734032</v>
      </c>
      <c r="W1089" s="551"/>
      <c r="X1089" s="551"/>
    </row>
    <row r="1090" spans="1:24" x14ac:dyDescent="0.25">
      <c r="A1090" s="545">
        <f t="shared" si="77"/>
        <v>456067.06479314406</v>
      </c>
      <c r="B1090" s="3">
        <f t="shared" si="79"/>
        <v>4.6499999999999915</v>
      </c>
      <c r="C1090" s="545">
        <f>'Foglio deposito bis'!$E$157/sezione!$B$247*B1090</f>
        <v>30.589916517829334</v>
      </c>
      <c r="D1090" s="603">
        <f>-'Sollecitazioni nel paramento'!$G$47*'Sollecitazioni nel paramento'!$G$41*IF(DATI!$G$211="dx",DATI!$E$61,DATI!$E$64*DATI!$E$63)*1000*C1090^2*sezione!$AD$5*(1-sezione!$AD$6)</f>
        <v>-20819016.460106887</v>
      </c>
      <c r="E1090" s="545">
        <f>-'Foglio deposito bis'!$F$58*(C1090-sezione!$AL$31)*IF(ABS(K1090)&lt;'Sollecitazioni nel paramento'!$G$58,ABS(K1090)*'Sollecitazioni nel paramento'!$G$54,'Sollecitazioni nel paramento'!$G$53)</f>
        <v>0</v>
      </c>
      <c r="F1090" s="545">
        <f>-'Foglio deposito bis'!$F$59*(C1090-sezione!$AM$31)*IF(ABS(L1090)&lt;'Sollecitazioni nel paramento'!$G$58,ABS(L1090)*'Sollecitazioni nel paramento'!$G$54,'Sollecitazioni nel paramento'!$G$53)</f>
        <v>4519296.303703527</v>
      </c>
      <c r="G1090" s="545">
        <f>-'Foglio deposito bis'!$F$60*(C1090-sezione!$AN$31)*IF(ABS(M1090)&lt;'Sollecitazioni nel paramento'!$G$58,ABS(M1090)*'Sollecitazioni nel paramento'!$G$54,'Sollecitazioni nel paramento'!$G$53)</f>
        <v>0</v>
      </c>
      <c r="H1090" s="545">
        <f>-'Foglio deposito bis'!$F$61*(C1090-sezione!$AO$31)*IF(ABS(N1090)&lt;'Sollecitazioni nel paramento'!$G$58,ABS(N1090)*'Sollecitazioni nel paramento'!$G$54,'Sollecitazioni nel paramento'!$G$53)</f>
        <v>31180906.347391456</v>
      </c>
      <c r="I1090" s="472">
        <f>-'Foglio deposito bis'!$F$62*(C1090-sezione!$AP$31)*IF(ABS(O1090)&lt;'Sollecitazioni nel paramento'!$G$58,ABS(O1090)*'Sollecitazioni nel paramento'!$G$54,'Sollecitazioni nel paramento'!$G$53)</f>
        <v>130778916.92693059</v>
      </c>
      <c r="J1090" s="472">
        <f t="shared" si="76"/>
        <v>145660103.1179187</v>
      </c>
      <c r="K1090" s="550">
        <f>'Sollecitazioni nel paramento'!$G$60*(sezione!$AL$31-C1090)/C1090</f>
        <v>1.0766715289465074E-3</v>
      </c>
      <c r="L1090" s="550">
        <f>'Sollecitazioni nel paramento'!$G$60*(sezione!$AM$31-C1090)/C1090</f>
        <v>3.3650072934197613E-3</v>
      </c>
      <c r="M1090" s="551">
        <f>'Sollecitazioni nel paramento'!$G$60*(sezione!$AN$31-C1090)/C1090</f>
        <v>5.6533430578930141E-3</v>
      </c>
      <c r="N1090" s="551">
        <f>'Sollecitazioni nel paramento'!$G$60*(sezione!$AO$31-C1090)/C1090</f>
        <v>1.4806686115786031E-2</v>
      </c>
      <c r="O1090" s="551">
        <f>'Sollecitazioni nel paramento'!$G$60*(sezione!$AP$31-C1090)/C1090</f>
        <v>4.7546984385032048E-2</v>
      </c>
      <c r="P1090" s="545">
        <f>-'Sollecitazioni nel paramento'!$G$47*'Sollecitazioni nel paramento'!$G$41*IF(DATI!$G$211="dx",DATI!$E$61,DATI!$E$64*DATI!$E$63)*1000*C1090*sezione!$AD$5</f>
        <v>-1165384.049579744</v>
      </c>
      <c r="Q1090" s="545">
        <f>'Foglio deposito bis'!$F$58*IF(ABS(K1090)&lt;'Sollecitazioni nel paramento'!$G$58,ABS(K1090)*'Sollecitazioni nel paramento'!$G$54,'Sollecitazioni nel paramento'!$G$53)*IF(K1090&lt;0,-1,1)</f>
        <v>0</v>
      </c>
      <c r="R1090" s="545">
        <f>'Foglio deposito bis'!$F$59*IF(ABS(L1090)&lt;'Sollecitazioni nel paramento'!$G$58,ABS(L1090)*'Sollecitazioni nel paramento'!$G$54,'Sollecitazioni nel paramento'!$G$53)*IF(L1090&lt;0,-1,1)</f>
        <v>153664.85805602249</v>
      </c>
      <c r="S1090" s="545">
        <f>'Foglio deposito bis'!$F$60*IF(ABS(M1090)&lt;'Sollecitazioni nel paramento'!$G$58,ABS(M1090)*'Sollecitazioni nel paramento'!$G$54,'Sollecitazioni nel paramento'!$G$53)*IF(M1090&lt;0,-1,1)</f>
        <v>0</v>
      </c>
      <c r="T1090" s="545">
        <f>'Foglio deposito bis'!$F$61*IF(ABS(N1090)&lt;'Sollecitazioni nel paramento'!$G$58,ABS(N1090)*'Sollecitazioni nel paramento'!$G$54,'Sollecitazioni nel paramento'!$G$53)*IF(N1090&lt;0,-1,1)</f>
        <v>240946.49743184328</v>
      </c>
      <c r="U1090" s="545">
        <f>'Foglio deposito bis'!$F$62*IF(ABS(O1090)&lt;'Sollecitazioni nel paramento'!$G$58,ABS(O1090)*'Sollecitazioni nel paramento'!$G$54,'Sollecitazioni nel paramento'!$G$53)*IF(O1090&lt;0,-1,1)</f>
        <v>314705.62929873407</v>
      </c>
      <c r="V1090" s="472">
        <f t="shared" si="78"/>
        <v>-456067.06479314406</v>
      </c>
      <c r="W1090" s="551"/>
      <c r="X1090" s="551"/>
    </row>
    <row r="1091" spans="1:24" x14ac:dyDescent="0.25">
      <c r="A1091" s="545">
        <f t="shared" si="77"/>
        <v>468598.07607894758</v>
      </c>
      <c r="B1091" s="3">
        <f t="shared" si="79"/>
        <v>4.6999999999999913</v>
      </c>
      <c r="C1091" s="545">
        <f>'Foglio deposito bis'!$E$157/sezione!$B$247*B1091</f>
        <v>30.91884035135438</v>
      </c>
      <c r="D1091" s="603">
        <f>-'Sollecitazioni nel paramento'!$G$47*'Sollecitazioni nel paramento'!$G$41*IF(DATI!$G$211="dx",DATI!$E$61,DATI!$E$64*DATI!$E$63)*1000*C1091^2*sezione!$AD$5*(1-sezione!$AD$6)</f>
        <v>-21269144.345184922</v>
      </c>
      <c r="E1091" s="545">
        <f>-'Foglio deposito bis'!$F$58*(C1091-sezione!$AL$31)*IF(ABS(K1091)&lt;'Sollecitazioni nel paramento'!$G$58,ABS(K1091)*'Sollecitazioni nel paramento'!$G$54,'Sollecitazioni nel paramento'!$G$53)</f>
        <v>0</v>
      </c>
      <c r="F1091" s="545">
        <f>-'Foglio deposito bis'!$F$59*(C1091-sezione!$AM$31)*IF(ABS(L1091)&lt;'Sollecitazioni nel paramento'!$G$58,ABS(L1091)*'Sollecitazioni nel paramento'!$G$54,'Sollecitazioni nel paramento'!$G$53)</f>
        <v>4468752.2695136582</v>
      </c>
      <c r="G1091" s="545">
        <f>-'Foglio deposito bis'!$F$60*(C1091-sezione!$AN$31)*IF(ABS(M1091)&lt;'Sollecitazioni nel paramento'!$G$58,ABS(M1091)*'Sollecitazioni nel paramento'!$G$54,'Sollecitazioni nel paramento'!$G$53)</f>
        <v>0</v>
      </c>
      <c r="H1091" s="545">
        <f>-'Foglio deposito bis'!$F$61*(C1091-sezione!$AO$31)*IF(ABS(N1091)&lt;'Sollecitazioni nel paramento'!$G$58,ABS(N1091)*'Sollecitazioni nel paramento'!$G$54,'Sollecitazioni nel paramento'!$G$53)</f>
        <v>31101653.301781736</v>
      </c>
      <c r="I1091" s="472">
        <f>-'Foglio deposito bis'!$F$62*(C1091-sezione!$AP$31)*IF(ABS(O1091)&lt;'Sollecitazioni nel paramento'!$G$58,ABS(O1091)*'Sollecitazioni nel paramento'!$G$54,'Sollecitazioni nel paramento'!$G$53)</f>
        <v>130675402.74490976</v>
      </c>
      <c r="J1091" s="472">
        <f t="shared" si="76"/>
        <v>144976663.97102022</v>
      </c>
      <c r="K1091" s="550">
        <f>'Sollecitazioni nel paramento'!$G$60*(sezione!$AL$31-C1091)/C1091</f>
        <v>1.027983533957715E-3</v>
      </c>
      <c r="L1091" s="550">
        <f>'Sollecitazioni nel paramento'!$G$60*(sezione!$AM$31-C1091)/C1091</f>
        <v>3.2919753009365725E-3</v>
      </c>
      <c r="M1091" s="551">
        <f>'Sollecitazioni nel paramento'!$G$60*(sezione!$AN$31-C1091)/C1091</f>
        <v>5.5559670679154304E-3</v>
      </c>
      <c r="N1091" s="551">
        <f>'Sollecitazioni nel paramento'!$G$60*(sezione!$AO$31-C1091)/C1091</f>
        <v>1.4611934135830859E-2</v>
      </c>
      <c r="O1091" s="551">
        <f>'Sollecitazioni nel paramento'!$G$60*(sezione!$AP$31-C1091)/C1091</f>
        <v>4.7003931359659364E-2</v>
      </c>
      <c r="P1091" s="545">
        <f>-'Sollecitazioni nel paramento'!$G$47*'Sollecitazioni nel paramento'!$G$41*IF(DATI!$G$211="dx",DATI!$E$61,DATI!$E$64*DATI!$E$63)*1000*C1091*sezione!$AD$5</f>
        <v>-1177915.0608655475</v>
      </c>
      <c r="Q1091" s="545">
        <f>'Foglio deposito bis'!$F$58*IF(ABS(K1091)&lt;'Sollecitazioni nel paramento'!$G$58,ABS(K1091)*'Sollecitazioni nel paramento'!$G$54,'Sollecitazioni nel paramento'!$G$53)*IF(K1091&lt;0,-1,1)</f>
        <v>0</v>
      </c>
      <c r="R1091" s="545">
        <f>'Foglio deposito bis'!$F$59*IF(ABS(L1091)&lt;'Sollecitazioni nel paramento'!$G$58,ABS(L1091)*'Sollecitazioni nel paramento'!$G$54,'Sollecitazioni nel paramento'!$G$53)*IF(L1091&lt;0,-1,1)</f>
        <v>153664.85805602249</v>
      </c>
      <c r="S1091" s="545">
        <f>'Foglio deposito bis'!$F$60*IF(ABS(M1091)&lt;'Sollecitazioni nel paramento'!$G$58,ABS(M1091)*'Sollecitazioni nel paramento'!$G$54,'Sollecitazioni nel paramento'!$G$53)*IF(M1091&lt;0,-1,1)</f>
        <v>0</v>
      </c>
      <c r="T1091" s="545">
        <f>'Foglio deposito bis'!$F$61*IF(ABS(N1091)&lt;'Sollecitazioni nel paramento'!$G$58,ABS(N1091)*'Sollecitazioni nel paramento'!$G$54,'Sollecitazioni nel paramento'!$G$53)*IF(N1091&lt;0,-1,1)</f>
        <v>240946.49743184328</v>
      </c>
      <c r="U1091" s="545">
        <f>'Foglio deposito bis'!$F$62*IF(ABS(O1091)&lt;'Sollecitazioni nel paramento'!$G$58,ABS(O1091)*'Sollecitazioni nel paramento'!$G$54,'Sollecitazioni nel paramento'!$G$53)*IF(O1091&lt;0,-1,1)</f>
        <v>314705.62929873407</v>
      </c>
      <c r="V1091" s="472">
        <f t="shared" si="78"/>
        <v>-468598.07607894758</v>
      </c>
      <c r="W1091" s="551"/>
      <c r="X1091" s="551"/>
    </row>
    <row r="1092" spans="1:24" x14ac:dyDescent="0.25">
      <c r="A1092" s="545">
        <f t="shared" si="77"/>
        <v>481129.08736475132</v>
      </c>
      <c r="B1092" s="3">
        <f t="shared" si="79"/>
        <v>4.7499999999999911</v>
      </c>
      <c r="C1092" s="545">
        <f>'Foglio deposito bis'!$E$157/sezione!$B$247*B1092</f>
        <v>31.247764184879426</v>
      </c>
      <c r="D1092" s="603">
        <f>-'Sollecitazioni nel paramento'!$G$47*'Sollecitazioni nel paramento'!$G$41*IF(DATI!$G$211="dx",DATI!$E$61,DATI!$E$64*DATI!$E$63)*1000*C1092^2*sezione!$AD$5*(1-sezione!$AD$6)</f>
        <v>-21724086.432242408</v>
      </c>
      <c r="E1092" s="545">
        <f>-'Foglio deposito bis'!$F$58*(C1092-sezione!$AL$31)*IF(ABS(K1092)&lt;'Sollecitazioni nel paramento'!$G$58,ABS(K1092)*'Sollecitazioni nel paramento'!$G$54,'Sollecitazioni nel paramento'!$G$53)</f>
        <v>0</v>
      </c>
      <c r="F1092" s="545">
        <f>-'Foglio deposito bis'!$F$59*(C1092-sezione!$AM$31)*IF(ABS(L1092)&lt;'Sollecitazioni nel paramento'!$G$58,ABS(L1092)*'Sollecitazioni nel paramento'!$G$54,'Sollecitazioni nel paramento'!$G$53)</f>
        <v>4418208.2353237895</v>
      </c>
      <c r="G1092" s="545">
        <f>-'Foglio deposito bis'!$F$60*(C1092-sezione!$AN$31)*IF(ABS(M1092)&lt;'Sollecitazioni nel paramento'!$G$58,ABS(M1092)*'Sollecitazioni nel paramento'!$G$54,'Sollecitazioni nel paramento'!$G$53)</f>
        <v>0</v>
      </c>
      <c r="H1092" s="545">
        <f>-'Foglio deposito bis'!$F$61*(C1092-sezione!$AO$31)*IF(ABS(N1092)&lt;'Sollecitazioni nel paramento'!$G$58,ABS(N1092)*'Sollecitazioni nel paramento'!$G$54,'Sollecitazioni nel paramento'!$G$53)</f>
        <v>31022400.256172031</v>
      </c>
      <c r="I1092" s="472">
        <f>-'Foglio deposito bis'!$F$62*(C1092-sezione!$AP$31)*IF(ABS(O1092)&lt;'Sollecitazioni nel paramento'!$G$58,ABS(O1092)*'Sollecitazioni nel paramento'!$G$54,'Sollecitazioni nel paramento'!$G$53)</f>
        <v>130571888.56288889</v>
      </c>
      <c r="J1092" s="472">
        <f t="shared" si="76"/>
        <v>144288410.62214231</v>
      </c>
      <c r="K1092" s="550">
        <f>'Sollecitazioni nel paramento'!$G$60*(sezione!$AL$31-C1092)/C1092</f>
        <v>9.8032054938973902E-4</v>
      </c>
      <c r="L1092" s="550">
        <f>'Sollecitazioni nel paramento'!$G$60*(sezione!$AM$31-C1092)/C1092</f>
        <v>3.2204808240846087E-3</v>
      </c>
      <c r="M1092" s="551">
        <f>'Sollecitazioni nel paramento'!$G$60*(sezione!$AN$31-C1092)/C1092</f>
        <v>5.4606410987794781E-3</v>
      </c>
      <c r="N1092" s="551">
        <f>'Sollecitazioni nel paramento'!$G$60*(sezione!$AO$31-C1092)/C1092</f>
        <v>1.4421282197558956E-2</v>
      </c>
      <c r="O1092" s="551">
        <f>'Sollecitazioni nel paramento'!$G$60*(sezione!$AP$31-C1092)/C1092</f>
        <v>4.6472311029557692E-2</v>
      </c>
      <c r="P1092" s="545">
        <f>-'Sollecitazioni nel paramento'!$G$47*'Sollecitazioni nel paramento'!$G$41*IF(DATI!$G$211="dx",DATI!$E$61,DATI!$E$64*DATI!$E$63)*1000*C1092*sezione!$AD$5</f>
        <v>-1190446.0721513513</v>
      </c>
      <c r="Q1092" s="545">
        <f>'Foglio deposito bis'!$F$58*IF(ABS(K1092)&lt;'Sollecitazioni nel paramento'!$G$58,ABS(K1092)*'Sollecitazioni nel paramento'!$G$54,'Sollecitazioni nel paramento'!$G$53)*IF(K1092&lt;0,-1,1)</f>
        <v>0</v>
      </c>
      <c r="R1092" s="545">
        <f>'Foglio deposito bis'!$F$59*IF(ABS(L1092)&lt;'Sollecitazioni nel paramento'!$G$58,ABS(L1092)*'Sollecitazioni nel paramento'!$G$54,'Sollecitazioni nel paramento'!$G$53)*IF(L1092&lt;0,-1,1)</f>
        <v>153664.85805602249</v>
      </c>
      <c r="S1092" s="545">
        <f>'Foglio deposito bis'!$F$60*IF(ABS(M1092)&lt;'Sollecitazioni nel paramento'!$G$58,ABS(M1092)*'Sollecitazioni nel paramento'!$G$54,'Sollecitazioni nel paramento'!$G$53)*IF(M1092&lt;0,-1,1)</f>
        <v>0</v>
      </c>
      <c r="T1092" s="545">
        <f>'Foglio deposito bis'!$F$61*IF(ABS(N1092)&lt;'Sollecitazioni nel paramento'!$G$58,ABS(N1092)*'Sollecitazioni nel paramento'!$G$54,'Sollecitazioni nel paramento'!$G$53)*IF(N1092&lt;0,-1,1)</f>
        <v>240946.49743184328</v>
      </c>
      <c r="U1092" s="545">
        <f>'Foglio deposito bis'!$F$62*IF(ABS(O1092)&lt;'Sollecitazioni nel paramento'!$G$58,ABS(O1092)*'Sollecitazioni nel paramento'!$G$54,'Sollecitazioni nel paramento'!$G$53)*IF(O1092&lt;0,-1,1)</f>
        <v>314705.62929873407</v>
      </c>
      <c r="V1092" s="472">
        <f t="shared" si="78"/>
        <v>-481129.08736475132</v>
      </c>
      <c r="W1092" s="551"/>
      <c r="X1092" s="551"/>
    </row>
    <row r="1093" spans="1:24" x14ac:dyDescent="0.25">
      <c r="A1093" s="545">
        <f t="shared" si="77"/>
        <v>493660.09865055484</v>
      </c>
      <c r="B1093" s="3">
        <f t="shared" si="79"/>
        <v>4.7999999999999909</v>
      </c>
      <c r="C1093" s="545">
        <f>'Foglio deposito bis'!$E$157/sezione!$B$247*B1093</f>
        <v>31.576688018404472</v>
      </c>
      <c r="D1093" s="603">
        <f>-'Sollecitazioni nel paramento'!$G$47*'Sollecitazioni nel paramento'!$G$41*IF(DATI!$G$211="dx",DATI!$E$61,DATI!$E$64*DATI!$E$63)*1000*C1093^2*sezione!$AD$5*(1-sezione!$AD$6)</f>
        <v>-22183842.721279342</v>
      </c>
      <c r="E1093" s="545">
        <f>-'Foglio deposito bis'!$F$58*(C1093-sezione!$AL$31)*IF(ABS(K1093)&lt;'Sollecitazioni nel paramento'!$G$58,ABS(K1093)*'Sollecitazioni nel paramento'!$G$54,'Sollecitazioni nel paramento'!$G$53)</f>
        <v>0</v>
      </c>
      <c r="F1093" s="545">
        <f>-'Foglio deposito bis'!$F$59*(C1093-sezione!$AM$31)*IF(ABS(L1093)&lt;'Sollecitazioni nel paramento'!$G$58,ABS(L1093)*'Sollecitazioni nel paramento'!$G$54,'Sollecitazioni nel paramento'!$G$53)</f>
        <v>4367664.2011339199</v>
      </c>
      <c r="G1093" s="545">
        <f>-'Foglio deposito bis'!$F$60*(C1093-sezione!$AN$31)*IF(ABS(M1093)&lt;'Sollecitazioni nel paramento'!$G$58,ABS(M1093)*'Sollecitazioni nel paramento'!$G$54,'Sollecitazioni nel paramento'!$G$53)</f>
        <v>0</v>
      </c>
      <c r="H1093" s="545">
        <f>-'Foglio deposito bis'!$F$61*(C1093-sezione!$AO$31)*IF(ABS(N1093)&lt;'Sollecitazioni nel paramento'!$G$58,ABS(N1093)*'Sollecitazioni nel paramento'!$G$54,'Sollecitazioni nel paramento'!$G$53)</f>
        <v>30943147.210562315</v>
      </c>
      <c r="I1093" s="472">
        <f>-'Foglio deposito bis'!$F$62*(C1093-sezione!$AP$31)*IF(ABS(O1093)&lt;'Sollecitazioni nel paramento'!$G$58,ABS(O1093)*'Sollecitazioni nel paramento'!$G$54,'Sollecitazioni nel paramento'!$G$53)</f>
        <v>130468374.38086805</v>
      </c>
      <c r="J1093" s="472">
        <f t="shared" si="76"/>
        <v>143595343.07128495</v>
      </c>
      <c r="K1093" s="550">
        <f>'Sollecitazioni nel paramento'!$G$60*(sezione!$AL$31-C1093)/C1093</f>
        <v>9.3365054366692946E-4</v>
      </c>
      <c r="L1093" s="550">
        <f>'Sollecitazioni nel paramento'!$G$60*(sezione!$AM$31-C1093)/C1093</f>
        <v>3.150475815500394E-3</v>
      </c>
      <c r="M1093" s="551">
        <f>'Sollecitazioni nel paramento'!$G$60*(sezione!$AN$31-C1093)/C1093</f>
        <v>5.3673010873338594E-3</v>
      </c>
      <c r="N1093" s="551">
        <f>'Sollecitazioni nel paramento'!$G$60*(sezione!$AO$31-C1093)/C1093</f>
        <v>1.4234602174667717E-2</v>
      </c>
      <c r="O1093" s="551">
        <f>'Sollecitazioni nel paramento'!$G$60*(sezione!$AP$31-C1093)/C1093</f>
        <v>4.5951766122999803E-2</v>
      </c>
      <c r="P1093" s="545">
        <f>-'Sollecitazioni nel paramento'!$G$47*'Sollecitazioni nel paramento'!$G$41*IF(DATI!$G$211="dx",DATI!$E$61,DATI!$E$64*DATI!$E$63)*1000*C1093*sezione!$AD$5</f>
        <v>-1202977.0834371548</v>
      </c>
      <c r="Q1093" s="545">
        <f>'Foglio deposito bis'!$F$58*IF(ABS(K1093)&lt;'Sollecitazioni nel paramento'!$G$58,ABS(K1093)*'Sollecitazioni nel paramento'!$G$54,'Sollecitazioni nel paramento'!$G$53)*IF(K1093&lt;0,-1,1)</f>
        <v>0</v>
      </c>
      <c r="R1093" s="545">
        <f>'Foglio deposito bis'!$F$59*IF(ABS(L1093)&lt;'Sollecitazioni nel paramento'!$G$58,ABS(L1093)*'Sollecitazioni nel paramento'!$G$54,'Sollecitazioni nel paramento'!$G$53)*IF(L1093&lt;0,-1,1)</f>
        <v>153664.85805602249</v>
      </c>
      <c r="S1093" s="545">
        <f>'Foglio deposito bis'!$F$60*IF(ABS(M1093)&lt;'Sollecitazioni nel paramento'!$G$58,ABS(M1093)*'Sollecitazioni nel paramento'!$G$54,'Sollecitazioni nel paramento'!$G$53)*IF(M1093&lt;0,-1,1)</f>
        <v>0</v>
      </c>
      <c r="T1093" s="545">
        <f>'Foglio deposito bis'!$F$61*IF(ABS(N1093)&lt;'Sollecitazioni nel paramento'!$G$58,ABS(N1093)*'Sollecitazioni nel paramento'!$G$54,'Sollecitazioni nel paramento'!$G$53)*IF(N1093&lt;0,-1,1)</f>
        <v>240946.49743184328</v>
      </c>
      <c r="U1093" s="545">
        <f>'Foglio deposito bis'!$F$62*IF(ABS(O1093)&lt;'Sollecitazioni nel paramento'!$G$58,ABS(O1093)*'Sollecitazioni nel paramento'!$G$54,'Sollecitazioni nel paramento'!$G$53)*IF(O1093&lt;0,-1,1)</f>
        <v>314705.62929873407</v>
      </c>
      <c r="V1093" s="472">
        <f t="shared" si="78"/>
        <v>-493660.09865055484</v>
      </c>
      <c r="W1093" s="551"/>
      <c r="X1093" s="551"/>
    </row>
    <row r="1094" spans="1:24" x14ac:dyDescent="0.25">
      <c r="A1094" s="545">
        <f t="shared" si="77"/>
        <v>506191.10993635858</v>
      </c>
      <c r="B1094" s="3">
        <f t="shared" si="79"/>
        <v>4.8499999999999908</v>
      </c>
      <c r="C1094" s="545">
        <f>'Foglio deposito bis'!$E$157/sezione!$B$247*B1094</f>
        <v>31.905611851929518</v>
      </c>
      <c r="D1094" s="603">
        <f>-'Sollecitazioni nel paramento'!$G$47*'Sollecitazioni nel paramento'!$G$41*IF(DATI!$G$211="dx",DATI!$E$61,DATI!$E$64*DATI!$E$63)*1000*C1094^2*sezione!$AD$5*(1-sezione!$AD$6)</f>
        <v>-22648413.212295715</v>
      </c>
      <c r="E1094" s="545">
        <f>-'Foglio deposito bis'!$F$58*(C1094-sezione!$AL$31)*IF(ABS(K1094)&lt;'Sollecitazioni nel paramento'!$G$58,ABS(K1094)*'Sollecitazioni nel paramento'!$G$54,'Sollecitazioni nel paramento'!$G$53)</f>
        <v>0</v>
      </c>
      <c r="F1094" s="545">
        <f>-'Foglio deposito bis'!$F$59*(C1094-sezione!$AM$31)*IF(ABS(L1094)&lt;'Sollecitazioni nel paramento'!$G$58,ABS(L1094)*'Sollecitazioni nel paramento'!$G$54,'Sollecitazioni nel paramento'!$G$53)</f>
        <v>4317120.1669440512</v>
      </c>
      <c r="G1094" s="545">
        <f>-'Foglio deposito bis'!$F$60*(C1094-sezione!$AN$31)*IF(ABS(M1094)&lt;'Sollecitazioni nel paramento'!$G$58,ABS(M1094)*'Sollecitazioni nel paramento'!$G$54,'Sollecitazioni nel paramento'!$G$53)</f>
        <v>0</v>
      </c>
      <c r="H1094" s="545">
        <f>-'Foglio deposito bis'!$F$61*(C1094-sezione!$AO$31)*IF(ABS(N1094)&lt;'Sollecitazioni nel paramento'!$G$58,ABS(N1094)*'Sollecitazioni nel paramento'!$G$54,'Sollecitazioni nel paramento'!$G$53)</f>
        <v>30863894.164952602</v>
      </c>
      <c r="I1094" s="472">
        <f>-'Foglio deposito bis'!$F$62*(C1094-sezione!$AP$31)*IF(ABS(O1094)&lt;'Sollecitazioni nel paramento'!$G$58,ABS(O1094)*'Sollecitazioni nel paramento'!$G$54,'Sollecitazioni nel paramento'!$G$53)</f>
        <v>130364860.1988472</v>
      </c>
      <c r="J1094" s="472">
        <f t="shared" si="76"/>
        <v>142897461.31844816</v>
      </c>
      <c r="K1094" s="550">
        <f>'Sollecitazioni nel paramento'!$G$60*(sezione!$AL$31-C1094)/C1094</f>
        <v>8.8794280610335287E-4</v>
      </c>
      <c r="L1094" s="550">
        <f>'Sollecitazioni nel paramento'!$G$60*(sezione!$AM$31-C1094)/C1094</f>
        <v>3.0819142091550291E-3</v>
      </c>
      <c r="M1094" s="551">
        <f>'Sollecitazioni nel paramento'!$G$60*(sezione!$AN$31-C1094)/C1094</f>
        <v>5.2758856122067056E-3</v>
      </c>
      <c r="N1094" s="551">
        <f>'Sollecitazioni nel paramento'!$G$60*(sezione!$AO$31-C1094)/C1094</f>
        <v>1.4051771224413413E-2</v>
      </c>
      <c r="O1094" s="551">
        <f>'Sollecitazioni nel paramento'!$G$60*(sezione!$AP$31-C1094)/C1094</f>
        <v>4.5441954101113208E-2</v>
      </c>
      <c r="P1094" s="545">
        <f>-'Sollecitazioni nel paramento'!$G$47*'Sollecitazioni nel paramento'!$G$41*IF(DATI!$G$211="dx",DATI!$E$61,DATI!$E$64*DATI!$E$63)*1000*C1094*sezione!$AD$5</f>
        <v>-1215508.0947229585</v>
      </c>
      <c r="Q1094" s="545">
        <f>'Foglio deposito bis'!$F$58*IF(ABS(K1094)&lt;'Sollecitazioni nel paramento'!$G$58,ABS(K1094)*'Sollecitazioni nel paramento'!$G$54,'Sollecitazioni nel paramento'!$G$53)*IF(K1094&lt;0,-1,1)</f>
        <v>0</v>
      </c>
      <c r="R1094" s="545">
        <f>'Foglio deposito bis'!$F$59*IF(ABS(L1094)&lt;'Sollecitazioni nel paramento'!$G$58,ABS(L1094)*'Sollecitazioni nel paramento'!$G$54,'Sollecitazioni nel paramento'!$G$53)*IF(L1094&lt;0,-1,1)</f>
        <v>153664.85805602249</v>
      </c>
      <c r="S1094" s="545">
        <f>'Foglio deposito bis'!$F$60*IF(ABS(M1094)&lt;'Sollecitazioni nel paramento'!$G$58,ABS(M1094)*'Sollecitazioni nel paramento'!$G$54,'Sollecitazioni nel paramento'!$G$53)*IF(M1094&lt;0,-1,1)</f>
        <v>0</v>
      </c>
      <c r="T1094" s="545">
        <f>'Foglio deposito bis'!$F$61*IF(ABS(N1094)&lt;'Sollecitazioni nel paramento'!$G$58,ABS(N1094)*'Sollecitazioni nel paramento'!$G$54,'Sollecitazioni nel paramento'!$G$53)*IF(N1094&lt;0,-1,1)</f>
        <v>240946.49743184328</v>
      </c>
      <c r="U1094" s="545">
        <f>'Foglio deposito bis'!$F$62*IF(ABS(O1094)&lt;'Sollecitazioni nel paramento'!$G$58,ABS(O1094)*'Sollecitazioni nel paramento'!$G$54,'Sollecitazioni nel paramento'!$G$53)*IF(O1094&lt;0,-1,1)</f>
        <v>314705.62929873407</v>
      </c>
      <c r="V1094" s="472">
        <f t="shared" si="78"/>
        <v>-506191.10993635858</v>
      </c>
      <c r="W1094" s="551"/>
      <c r="X1094" s="551"/>
    </row>
    <row r="1095" spans="1:24" x14ac:dyDescent="0.25">
      <c r="A1095" s="545">
        <f t="shared" si="77"/>
        <v>518722.12122216233</v>
      </c>
      <c r="B1095" s="3">
        <f t="shared" si="79"/>
        <v>4.8999999999999906</v>
      </c>
      <c r="C1095" s="545">
        <f>'Foglio deposito bis'!$E$157/sezione!$B$247*B1095</f>
        <v>32.23453568545456</v>
      </c>
      <c r="D1095" s="603">
        <f>-'Sollecitazioni nel paramento'!$G$47*'Sollecitazioni nel paramento'!$G$41*IF(DATI!$G$211="dx",DATI!$E$61,DATI!$E$64*DATI!$E$63)*1000*C1095^2*sezione!$AD$5*(1-sezione!$AD$6)</f>
        <v>-23117797.905291524</v>
      </c>
      <c r="E1095" s="545">
        <f>-'Foglio deposito bis'!$F$58*(C1095-sezione!$AL$31)*IF(ABS(K1095)&lt;'Sollecitazioni nel paramento'!$G$58,ABS(K1095)*'Sollecitazioni nel paramento'!$G$54,'Sollecitazioni nel paramento'!$G$53)</f>
        <v>0</v>
      </c>
      <c r="F1095" s="545">
        <f>-'Foglio deposito bis'!$F$59*(C1095-sezione!$AM$31)*IF(ABS(L1095)&lt;'Sollecitazioni nel paramento'!$G$58,ABS(L1095)*'Sollecitazioni nel paramento'!$G$54,'Sollecitazioni nel paramento'!$G$53)</f>
        <v>4266576.1327541824</v>
      </c>
      <c r="G1095" s="545">
        <f>-'Foglio deposito bis'!$F$60*(C1095-sezione!$AN$31)*IF(ABS(M1095)&lt;'Sollecitazioni nel paramento'!$G$58,ABS(M1095)*'Sollecitazioni nel paramento'!$G$54,'Sollecitazioni nel paramento'!$G$53)</f>
        <v>0</v>
      </c>
      <c r="H1095" s="545">
        <f>-'Foglio deposito bis'!$F$61*(C1095-sezione!$AO$31)*IF(ABS(N1095)&lt;'Sollecitazioni nel paramento'!$G$58,ABS(N1095)*'Sollecitazioni nel paramento'!$G$54,'Sollecitazioni nel paramento'!$G$53)</f>
        <v>30784641.119342882</v>
      </c>
      <c r="I1095" s="472">
        <f>-'Foglio deposito bis'!$F$62*(C1095-sezione!$AP$31)*IF(ABS(O1095)&lt;'Sollecitazioni nel paramento'!$G$58,ABS(O1095)*'Sollecitazioni nel paramento'!$G$54,'Sollecitazioni nel paramento'!$G$53)</f>
        <v>130261346.01682635</v>
      </c>
      <c r="J1095" s="472">
        <f t="shared" si="76"/>
        <v>142194765.36363187</v>
      </c>
      <c r="K1095" s="550">
        <f>'Sollecitazioni nel paramento'!$G$60*(sezione!$AL$31-C1095)/C1095</f>
        <v>8.431678795104621E-4</v>
      </c>
      <c r="L1095" s="550">
        <f>'Sollecitazioni nel paramento'!$G$60*(sezione!$AM$31-C1095)/C1095</f>
        <v>3.014751819265693E-3</v>
      </c>
      <c r="M1095" s="551">
        <f>'Sollecitazioni nel paramento'!$G$60*(sezione!$AN$31-C1095)/C1095</f>
        <v>5.1863357590209245E-3</v>
      </c>
      <c r="N1095" s="551">
        <f>'Sollecitazioni nel paramento'!$G$60*(sezione!$AO$31-C1095)/C1095</f>
        <v>1.3872671518041849E-2</v>
      </c>
      <c r="O1095" s="551">
        <f>'Sollecitazioni nel paramento'!$G$60*(sezione!$AP$31-C1095)/C1095</f>
        <v>4.494254640620389E-2</v>
      </c>
      <c r="P1095" s="545">
        <f>-'Sollecitazioni nel paramento'!$G$47*'Sollecitazioni nel paramento'!$G$41*IF(DATI!$G$211="dx",DATI!$E$61,DATI!$E$64*DATI!$E$63)*1000*C1095*sezione!$AD$5</f>
        <v>-1228039.1060087623</v>
      </c>
      <c r="Q1095" s="545">
        <f>'Foglio deposito bis'!$F$58*IF(ABS(K1095)&lt;'Sollecitazioni nel paramento'!$G$58,ABS(K1095)*'Sollecitazioni nel paramento'!$G$54,'Sollecitazioni nel paramento'!$G$53)*IF(K1095&lt;0,-1,1)</f>
        <v>0</v>
      </c>
      <c r="R1095" s="545">
        <f>'Foglio deposito bis'!$F$59*IF(ABS(L1095)&lt;'Sollecitazioni nel paramento'!$G$58,ABS(L1095)*'Sollecitazioni nel paramento'!$G$54,'Sollecitazioni nel paramento'!$G$53)*IF(L1095&lt;0,-1,1)</f>
        <v>153664.85805602249</v>
      </c>
      <c r="S1095" s="545">
        <f>'Foglio deposito bis'!$F$60*IF(ABS(M1095)&lt;'Sollecitazioni nel paramento'!$G$58,ABS(M1095)*'Sollecitazioni nel paramento'!$G$54,'Sollecitazioni nel paramento'!$G$53)*IF(M1095&lt;0,-1,1)</f>
        <v>0</v>
      </c>
      <c r="T1095" s="545">
        <f>'Foglio deposito bis'!$F$61*IF(ABS(N1095)&lt;'Sollecitazioni nel paramento'!$G$58,ABS(N1095)*'Sollecitazioni nel paramento'!$G$54,'Sollecitazioni nel paramento'!$G$53)*IF(N1095&lt;0,-1,1)</f>
        <v>240946.49743184328</v>
      </c>
      <c r="U1095" s="545">
        <f>'Foglio deposito bis'!$F$62*IF(ABS(O1095)&lt;'Sollecitazioni nel paramento'!$G$58,ABS(O1095)*'Sollecitazioni nel paramento'!$G$54,'Sollecitazioni nel paramento'!$G$53)*IF(O1095&lt;0,-1,1)</f>
        <v>314705.62929873407</v>
      </c>
      <c r="V1095" s="472">
        <f t="shared" si="78"/>
        <v>-518722.12122216233</v>
      </c>
      <c r="W1095" s="551"/>
      <c r="X1095" s="551"/>
    </row>
    <row r="1096" spans="1:24" x14ac:dyDescent="0.25">
      <c r="A1096" s="545">
        <f t="shared" si="77"/>
        <v>531253.1325079659</v>
      </c>
      <c r="B1096" s="3">
        <f t="shared" si="79"/>
        <v>4.9499999999999904</v>
      </c>
      <c r="C1096" s="545">
        <f>'Foglio deposito bis'!$E$157/sezione!$B$247*B1096</f>
        <v>32.563459518979606</v>
      </c>
      <c r="D1096" s="603">
        <f>-'Sollecitazioni nel paramento'!$G$47*'Sollecitazioni nel paramento'!$G$41*IF(DATI!$G$211="dx",DATI!$E$61,DATI!$E$64*DATI!$E$63)*1000*C1096^2*sezione!$AD$5*(1-sezione!$AD$6)</f>
        <v>-23591996.800266791</v>
      </c>
      <c r="E1096" s="545">
        <f>-'Foglio deposito bis'!$F$58*(C1096-sezione!$AL$31)*IF(ABS(K1096)&lt;'Sollecitazioni nel paramento'!$G$58,ABS(K1096)*'Sollecitazioni nel paramento'!$G$54,'Sollecitazioni nel paramento'!$G$53)</f>
        <v>0</v>
      </c>
      <c r="F1096" s="545">
        <f>-'Foglio deposito bis'!$F$59*(C1096-sezione!$AM$31)*IF(ABS(L1096)&lt;'Sollecitazioni nel paramento'!$G$58,ABS(L1096)*'Sollecitazioni nel paramento'!$G$54,'Sollecitazioni nel paramento'!$G$53)</f>
        <v>4216032.0985643137</v>
      </c>
      <c r="G1096" s="545">
        <f>-'Foglio deposito bis'!$F$60*(C1096-sezione!$AN$31)*IF(ABS(M1096)&lt;'Sollecitazioni nel paramento'!$G$58,ABS(M1096)*'Sollecitazioni nel paramento'!$G$54,'Sollecitazioni nel paramento'!$G$53)</f>
        <v>0</v>
      </c>
      <c r="H1096" s="545">
        <f>-'Foglio deposito bis'!$F$61*(C1096-sezione!$AO$31)*IF(ABS(N1096)&lt;'Sollecitazioni nel paramento'!$G$58,ABS(N1096)*'Sollecitazioni nel paramento'!$G$54,'Sollecitazioni nel paramento'!$G$53)</f>
        <v>30705388.07373317</v>
      </c>
      <c r="I1096" s="472">
        <f>-'Foglio deposito bis'!$F$62*(C1096-sezione!$AP$31)*IF(ABS(O1096)&lt;'Sollecitazioni nel paramento'!$G$58,ABS(O1096)*'Sollecitazioni nel paramento'!$G$54,'Sollecitazioni nel paramento'!$G$53)</f>
        <v>130157831.8348055</v>
      </c>
      <c r="J1096" s="472">
        <f t="shared" si="76"/>
        <v>141487255.20683619</v>
      </c>
      <c r="K1096" s="550">
        <f>'Sollecitazioni nel paramento'!$G$60*(sezione!$AL$31-C1096)/C1096</f>
        <v>7.9929749688914444E-4</v>
      </c>
      <c r="L1096" s="550">
        <f>'Sollecitazioni nel paramento'!$G$60*(sezione!$AM$31-C1096)/C1096</f>
        <v>2.9489462453337165E-3</v>
      </c>
      <c r="M1096" s="551">
        <f>'Sollecitazioni nel paramento'!$G$60*(sezione!$AN$31-C1096)/C1096</f>
        <v>5.0985949937782885E-3</v>
      </c>
      <c r="N1096" s="551">
        <f>'Sollecitazioni nel paramento'!$G$60*(sezione!$AO$31-C1096)/C1096</f>
        <v>1.3697189987556577E-2</v>
      </c>
      <c r="O1096" s="551">
        <f>'Sollecitazioni nel paramento'!$G$60*(sezione!$AP$31-C1096)/C1096</f>
        <v>4.4453227755636184E-2</v>
      </c>
      <c r="P1096" s="545">
        <f>-'Sollecitazioni nel paramento'!$G$47*'Sollecitazioni nel paramento'!$G$41*IF(DATI!$G$211="dx",DATI!$E$61,DATI!$E$64*DATI!$E$63)*1000*C1096*sezione!$AD$5</f>
        <v>-1240570.1172945658</v>
      </c>
      <c r="Q1096" s="545">
        <f>'Foglio deposito bis'!$F$58*IF(ABS(K1096)&lt;'Sollecitazioni nel paramento'!$G$58,ABS(K1096)*'Sollecitazioni nel paramento'!$G$54,'Sollecitazioni nel paramento'!$G$53)*IF(K1096&lt;0,-1,1)</f>
        <v>0</v>
      </c>
      <c r="R1096" s="545">
        <f>'Foglio deposito bis'!$F$59*IF(ABS(L1096)&lt;'Sollecitazioni nel paramento'!$G$58,ABS(L1096)*'Sollecitazioni nel paramento'!$G$54,'Sollecitazioni nel paramento'!$G$53)*IF(L1096&lt;0,-1,1)</f>
        <v>153664.85805602249</v>
      </c>
      <c r="S1096" s="545">
        <f>'Foglio deposito bis'!$F$60*IF(ABS(M1096)&lt;'Sollecitazioni nel paramento'!$G$58,ABS(M1096)*'Sollecitazioni nel paramento'!$G$54,'Sollecitazioni nel paramento'!$G$53)*IF(M1096&lt;0,-1,1)</f>
        <v>0</v>
      </c>
      <c r="T1096" s="545">
        <f>'Foglio deposito bis'!$F$61*IF(ABS(N1096)&lt;'Sollecitazioni nel paramento'!$G$58,ABS(N1096)*'Sollecitazioni nel paramento'!$G$54,'Sollecitazioni nel paramento'!$G$53)*IF(N1096&lt;0,-1,1)</f>
        <v>240946.49743184328</v>
      </c>
      <c r="U1096" s="545">
        <f>'Foglio deposito bis'!$F$62*IF(ABS(O1096)&lt;'Sollecitazioni nel paramento'!$G$58,ABS(O1096)*'Sollecitazioni nel paramento'!$G$54,'Sollecitazioni nel paramento'!$G$53)*IF(O1096&lt;0,-1,1)</f>
        <v>314705.62929873407</v>
      </c>
      <c r="V1096" s="472">
        <f t="shared" si="78"/>
        <v>-531253.1325079659</v>
      </c>
      <c r="W1096" s="551"/>
      <c r="X1096" s="551"/>
    </row>
    <row r="1097" spans="1:24" x14ac:dyDescent="0.25">
      <c r="A1097" s="545">
        <f t="shared" si="77"/>
        <v>543784.14379376965</v>
      </c>
      <c r="B1097" s="3">
        <f t="shared" si="79"/>
        <v>4.9999999999999902</v>
      </c>
      <c r="C1097" s="545">
        <f>'Foglio deposito bis'!$E$157/sezione!$B$247*B1097</f>
        <v>32.892383352504652</v>
      </c>
      <c r="D1097" s="603">
        <f>-'Sollecitazioni nel paramento'!$G$47*'Sollecitazioni nel paramento'!$G$41*IF(DATI!$G$211="dx",DATI!$E$61,DATI!$E$64*DATI!$E$63)*1000*C1097^2*sezione!$AD$5*(1-sezione!$AD$6)</f>
        <v>-24071009.897221498</v>
      </c>
      <c r="E1097" s="545">
        <f>-'Foglio deposito bis'!$F$58*(C1097-sezione!$AL$31)*IF(ABS(K1097)&lt;'Sollecitazioni nel paramento'!$G$58,ABS(K1097)*'Sollecitazioni nel paramento'!$G$54,'Sollecitazioni nel paramento'!$G$53)</f>
        <v>0</v>
      </c>
      <c r="F1097" s="545">
        <f>-'Foglio deposito bis'!$F$59*(C1097-sezione!$AM$31)*IF(ABS(L1097)&lt;'Sollecitazioni nel paramento'!$G$58,ABS(L1097)*'Sollecitazioni nel paramento'!$G$54,'Sollecitazioni nel paramento'!$G$53)</f>
        <v>4165488.0643744445</v>
      </c>
      <c r="G1097" s="545">
        <f>-'Foglio deposito bis'!$F$60*(C1097-sezione!$AN$31)*IF(ABS(M1097)&lt;'Sollecitazioni nel paramento'!$G$58,ABS(M1097)*'Sollecitazioni nel paramento'!$G$54,'Sollecitazioni nel paramento'!$G$53)</f>
        <v>0</v>
      </c>
      <c r="H1097" s="545">
        <f>-'Foglio deposito bis'!$F$61*(C1097-sezione!$AO$31)*IF(ABS(N1097)&lt;'Sollecitazioni nel paramento'!$G$58,ABS(N1097)*'Sollecitazioni nel paramento'!$G$54,'Sollecitazioni nel paramento'!$G$53)</f>
        <v>30626135.028123457</v>
      </c>
      <c r="I1097" s="472">
        <f>-'Foglio deposito bis'!$F$62*(C1097-sezione!$AP$31)*IF(ABS(O1097)&lt;'Sollecitazioni nel paramento'!$G$58,ABS(O1097)*'Sollecitazioni nel paramento'!$G$54,'Sollecitazioni nel paramento'!$G$53)</f>
        <v>130054317.65278466</v>
      </c>
      <c r="J1097" s="472">
        <f t="shared" si="76"/>
        <v>140774930.84806105</v>
      </c>
      <c r="K1097" s="550">
        <f>'Sollecitazioni nel paramento'!$G$60*(sezione!$AL$31-C1097)/C1097</f>
        <v>7.5630452192025296E-4</v>
      </c>
      <c r="L1097" s="550">
        <f>'Sollecitazioni nel paramento'!$G$60*(sezione!$AM$31-C1097)/C1097</f>
        <v>2.8844567828803795E-3</v>
      </c>
      <c r="M1097" s="551">
        <f>'Sollecitazioni nel paramento'!$G$60*(sezione!$AN$31-C1097)/C1097</f>
        <v>5.0126090438405053E-3</v>
      </c>
      <c r="N1097" s="551">
        <f>'Sollecitazioni nel paramento'!$G$60*(sezione!$AO$31-C1097)/C1097</f>
        <v>1.3525218087681012E-2</v>
      </c>
      <c r="O1097" s="551">
        <f>'Sollecitazioni nel paramento'!$G$60*(sezione!$AP$31-C1097)/C1097</f>
        <v>4.3973695478079819E-2</v>
      </c>
      <c r="P1097" s="545">
        <f>-'Sollecitazioni nel paramento'!$G$47*'Sollecitazioni nel paramento'!$G$41*IF(DATI!$G$211="dx",DATI!$E$61,DATI!$E$64*DATI!$E$63)*1000*C1097*sezione!$AD$5</f>
        <v>-1253101.1285803695</v>
      </c>
      <c r="Q1097" s="545">
        <f>'Foglio deposito bis'!$F$58*IF(ABS(K1097)&lt;'Sollecitazioni nel paramento'!$G$58,ABS(K1097)*'Sollecitazioni nel paramento'!$G$54,'Sollecitazioni nel paramento'!$G$53)*IF(K1097&lt;0,-1,1)</f>
        <v>0</v>
      </c>
      <c r="R1097" s="545">
        <f>'Foglio deposito bis'!$F$59*IF(ABS(L1097)&lt;'Sollecitazioni nel paramento'!$G$58,ABS(L1097)*'Sollecitazioni nel paramento'!$G$54,'Sollecitazioni nel paramento'!$G$53)*IF(L1097&lt;0,-1,1)</f>
        <v>153664.85805602249</v>
      </c>
      <c r="S1097" s="545">
        <f>'Foglio deposito bis'!$F$60*IF(ABS(M1097)&lt;'Sollecitazioni nel paramento'!$G$58,ABS(M1097)*'Sollecitazioni nel paramento'!$G$54,'Sollecitazioni nel paramento'!$G$53)*IF(M1097&lt;0,-1,1)</f>
        <v>0</v>
      </c>
      <c r="T1097" s="545">
        <f>'Foglio deposito bis'!$F$61*IF(ABS(N1097)&lt;'Sollecitazioni nel paramento'!$G$58,ABS(N1097)*'Sollecitazioni nel paramento'!$G$54,'Sollecitazioni nel paramento'!$G$53)*IF(N1097&lt;0,-1,1)</f>
        <v>240946.49743184328</v>
      </c>
      <c r="U1097" s="545">
        <f>'Foglio deposito bis'!$F$62*IF(ABS(O1097)&lt;'Sollecitazioni nel paramento'!$G$58,ABS(O1097)*'Sollecitazioni nel paramento'!$G$54,'Sollecitazioni nel paramento'!$G$53)*IF(O1097&lt;0,-1,1)</f>
        <v>314705.62929873407</v>
      </c>
      <c r="V1097" s="472">
        <f t="shared" si="78"/>
        <v>-543784.14379376965</v>
      </c>
      <c r="W1097" s="551"/>
      <c r="X1097" s="551"/>
    </row>
    <row r="1098" spans="1:24" x14ac:dyDescent="0.25">
      <c r="A1098" s="545">
        <f t="shared" si="77"/>
        <v>556315.15507957316</v>
      </c>
      <c r="B1098" s="3">
        <f t="shared" si="79"/>
        <v>5.0499999999999901</v>
      </c>
      <c r="C1098" s="545">
        <f>'Foglio deposito bis'!$E$157/sezione!$B$247*B1098</f>
        <v>33.221307186029698</v>
      </c>
      <c r="D1098" s="603">
        <f>-'Sollecitazioni nel paramento'!$G$47*'Sollecitazioni nel paramento'!$G$41*IF(DATI!$G$211="dx",DATI!$E$61,DATI!$E$64*DATI!$E$63)*1000*C1098^2*sezione!$AD$5*(1-sezione!$AD$6)</f>
        <v>-24554837.196155649</v>
      </c>
      <c r="E1098" s="545">
        <f>-'Foglio deposito bis'!$F$58*(C1098-sezione!$AL$31)*IF(ABS(K1098)&lt;'Sollecitazioni nel paramento'!$G$58,ABS(K1098)*'Sollecitazioni nel paramento'!$G$54,'Sollecitazioni nel paramento'!$G$53)</f>
        <v>0</v>
      </c>
      <c r="F1098" s="545">
        <f>-'Foglio deposito bis'!$F$59*(C1098-sezione!$AM$31)*IF(ABS(L1098)&lt;'Sollecitazioni nel paramento'!$G$58,ABS(L1098)*'Sollecitazioni nel paramento'!$G$54,'Sollecitazioni nel paramento'!$G$53)</f>
        <v>4114944.0301845763</v>
      </c>
      <c r="G1098" s="545">
        <f>-'Foglio deposito bis'!$F$60*(C1098-sezione!$AN$31)*IF(ABS(M1098)&lt;'Sollecitazioni nel paramento'!$G$58,ABS(M1098)*'Sollecitazioni nel paramento'!$G$54,'Sollecitazioni nel paramento'!$G$53)</f>
        <v>0</v>
      </c>
      <c r="H1098" s="545">
        <f>-'Foglio deposito bis'!$F$61*(C1098-sezione!$AO$31)*IF(ABS(N1098)&lt;'Sollecitazioni nel paramento'!$G$58,ABS(N1098)*'Sollecitazioni nel paramento'!$G$54,'Sollecitazioni nel paramento'!$G$53)</f>
        <v>30546881.982513741</v>
      </c>
      <c r="I1098" s="472">
        <f>-'Foglio deposito bis'!$F$62*(C1098-sezione!$AP$31)*IF(ABS(O1098)&lt;'Sollecitazioni nel paramento'!$G$58,ABS(O1098)*'Sollecitazioni nel paramento'!$G$54,'Sollecitazioni nel paramento'!$G$53)</f>
        <v>129950803.47076377</v>
      </c>
      <c r="J1098" s="472">
        <f t="shared" si="76"/>
        <v>140057792.28730643</v>
      </c>
      <c r="K1098" s="550">
        <f>'Sollecitazioni nel paramento'!$G$60*(sezione!$AL$31-C1098)/C1098</f>
        <v>7.1416289299034959E-4</v>
      </c>
      <c r="L1098" s="550">
        <f>'Sollecitazioni nel paramento'!$G$60*(sezione!$AM$31-C1098)/C1098</f>
        <v>2.8212443394855244E-3</v>
      </c>
      <c r="M1098" s="551">
        <f>'Sollecitazioni nel paramento'!$G$60*(sezione!$AN$31-C1098)/C1098</f>
        <v>4.9283257859806997E-3</v>
      </c>
      <c r="N1098" s="551">
        <f>'Sollecitazioni nel paramento'!$G$60*(sezione!$AO$31-C1098)/C1098</f>
        <v>1.3356651571961399E-2</v>
      </c>
      <c r="O1098" s="551">
        <f>'Sollecitazioni nel paramento'!$G$60*(sezione!$AP$31-C1098)/C1098</f>
        <v>4.3503658889187939E-2</v>
      </c>
      <c r="P1098" s="545">
        <f>-'Sollecitazioni nel paramento'!$G$47*'Sollecitazioni nel paramento'!$G$41*IF(DATI!$G$211="dx",DATI!$E$61,DATI!$E$64*DATI!$E$63)*1000*C1098*sezione!$AD$5</f>
        <v>-1265632.139866173</v>
      </c>
      <c r="Q1098" s="545">
        <f>'Foglio deposito bis'!$F$58*IF(ABS(K1098)&lt;'Sollecitazioni nel paramento'!$G$58,ABS(K1098)*'Sollecitazioni nel paramento'!$G$54,'Sollecitazioni nel paramento'!$G$53)*IF(K1098&lt;0,-1,1)</f>
        <v>0</v>
      </c>
      <c r="R1098" s="545">
        <f>'Foglio deposito bis'!$F$59*IF(ABS(L1098)&lt;'Sollecitazioni nel paramento'!$G$58,ABS(L1098)*'Sollecitazioni nel paramento'!$G$54,'Sollecitazioni nel paramento'!$G$53)*IF(L1098&lt;0,-1,1)</f>
        <v>153664.85805602249</v>
      </c>
      <c r="S1098" s="545">
        <f>'Foglio deposito bis'!$F$60*IF(ABS(M1098)&lt;'Sollecitazioni nel paramento'!$G$58,ABS(M1098)*'Sollecitazioni nel paramento'!$G$54,'Sollecitazioni nel paramento'!$G$53)*IF(M1098&lt;0,-1,1)</f>
        <v>0</v>
      </c>
      <c r="T1098" s="545">
        <f>'Foglio deposito bis'!$F$61*IF(ABS(N1098)&lt;'Sollecitazioni nel paramento'!$G$58,ABS(N1098)*'Sollecitazioni nel paramento'!$G$54,'Sollecitazioni nel paramento'!$G$53)*IF(N1098&lt;0,-1,1)</f>
        <v>240946.49743184328</v>
      </c>
      <c r="U1098" s="545">
        <f>'Foglio deposito bis'!$F$62*IF(ABS(O1098)&lt;'Sollecitazioni nel paramento'!$G$58,ABS(O1098)*'Sollecitazioni nel paramento'!$G$54,'Sollecitazioni nel paramento'!$G$53)*IF(O1098&lt;0,-1,1)</f>
        <v>314705.62929873407</v>
      </c>
      <c r="V1098" s="472">
        <f t="shared" si="78"/>
        <v>-556315.15507957316</v>
      </c>
      <c r="W1098" s="551"/>
      <c r="X1098" s="551"/>
    </row>
    <row r="1099" spans="1:24" x14ac:dyDescent="0.25">
      <c r="A1099" s="545">
        <f t="shared" si="77"/>
        <v>568846.16636537691</v>
      </c>
      <c r="B1099" s="3">
        <f t="shared" si="79"/>
        <v>5.0999999999999899</v>
      </c>
      <c r="C1099" s="545">
        <f>'Foglio deposito bis'!$E$157/sezione!$B$247*B1099</f>
        <v>33.550231019554744</v>
      </c>
      <c r="D1099" s="603">
        <f>-'Sollecitazioni nel paramento'!$G$47*'Sollecitazioni nel paramento'!$G$41*IF(DATI!$G$211="dx",DATI!$E$61,DATI!$E$64*DATI!$E$63)*1000*C1099^2*sezione!$AD$5*(1-sezione!$AD$6)</f>
        <v>-25043478.697069243</v>
      </c>
      <c r="E1099" s="545">
        <f>-'Foglio deposito bis'!$F$58*(C1099-sezione!$AL$31)*IF(ABS(K1099)&lt;'Sollecitazioni nel paramento'!$G$58,ABS(K1099)*'Sollecitazioni nel paramento'!$G$54,'Sollecitazioni nel paramento'!$G$53)</f>
        <v>0</v>
      </c>
      <c r="F1099" s="545">
        <f>-'Foglio deposito bis'!$F$59*(C1099-sezione!$AM$31)*IF(ABS(L1099)&lt;'Sollecitazioni nel paramento'!$G$58,ABS(L1099)*'Sollecitazioni nel paramento'!$G$54,'Sollecitazioni nel paramento'!$G$53)</f>
        <v>4064399.9959947076</v>
      </c>
      <c r="G1099" s="545">
        <f>-'Foglio deposito bis'!$F$60*(C1099-sezione!$AN$31)*IF(ABS(M1099)&lt;'Sollecitazioni nel paramento'!$G$58,ABS(M1099)*'Sollecitazioni nel paramento'!$G$54,'Sollecitazioni nel paramento'!$G$53)</f>
        <v>0</v>
      </c>
      <c r="H1099" s="545">
        <f>-'Foglio deposito bis'!$F$61*(C1099-sezione!$AO$31)*IF(ABS(N1099)&lt;'Sollecitazioni nel paramento'!$G$58,ABS(N1099)*'Sollecitazioni nel paramento'!$G$54,'Sollecitazioni nel paramento'!$G$53)</f>
        <v>30467628.936904028</v>
      </c>
      <c r="I1099" s="472">
        <f>-'Foglio deposito bis'!$F$62*(C1099-sezione!$AP$31)*IF(ABS(O1099)&lt;'Sollecitazioni nel paramento'!$G$58,ABS(O1099)*'Sollecitazioni nel paramento'!$G$54,'Sollecitazioni nel paramento'!$G$53)</f>
        <v>129847289.28874293</v>
      </c>
      <c r="J1099" s="472">
        <f t="shared" si="76"/>
        <v>139335839.52457243</v>
      </c>
      <c r="K1099" s="550">
        <f>'Sollecitazioni nel paramento'!$G$60*(sezione!$AL$31-C1099)/C1099</f>
        <v>6.7284757051005203E-4</v>
      </c>
      <c r="L1099" s="550">
        <f>'Sollecitazioni nel paramento'!$G$60*(sezione!$AM$31-C1099)/C1099</f>
        <v>2.7592713557650782E-3</v>
      </c>
      <c r="M1099" s="551">
        <f>'Sollecitazioni nel paramento'!$G$60*(sezione!$AN$31-C1099)/C1099</f>
        <v>4.8456951410201041E-3</v>
      </c>
      <c r="N1099" s="551">
        <f>'Sollecitazioni nel paramento'!$G$60*(sezione!$AO$31-C1099)/C1099</f>
        <v>1.3191390282040208E-2</v>
      </c>
      <c r="O1099" s="551">
        <f>'Sollecitazioni nel paramento'!$G$60*(sezione!$AP$31-C1099)/C1099</f>
        <v>4.3042838703999817E-2</v>
      </c>
      <c r="P1099" s="545">
        <f>-'Sollecitazioni nel paramento'!$G$47*'Sollecitazioni nel paramento'!$G$41*IF(DATI!$G$211="dx",DATI!$E$61,DATI!$E$64*DATI!$E$63)*1000*C1099*sezione!$AD$5</f>
        <v>-1278163.1511519768</v>
      </c>
      <c r="Q1099" s="545">
        <f>'Foglio deposito bis'!$F$58*IF(ABS(K1099)&lt;'Sollecitazioni nel paramento'!$G$58,ABS(K1099)*'Sollecitazioni nel paramento'!$G$54,'Sollecitazioni nel paramento'!$G$53)*IF(K1099&lt;0,-1,1)</f>
        <v>0</v>
      </c>
      <c r="R1099" s="545">
        <f>'Foglio deposito bis'!$F$59*IF(ABS(L1099)&lt;'Sollecitazioni nel paramento'!$G$58,ABS(L1099)*'Sollecitazioni nel paramento'!$G$54,'Sollecitazioni nel paramento'!$G$53)*IF(L1099&lt;0,-1,1)</f>
        <v>153664.85805602249</v>
      </c>
      <c r="S1099" s="545">
        <f>'Foglio deposito bis'!$F$60*IF(ABS(M1099)&lt;'Sollecitazioni nel paramento'!$G$58,ABS(M1099)*'Sollecitazioni nel paramento'!$G$54,'Sollecitazioni nel paramento'!$G$53)*IF(M1099&lt;0,-1,1)</f>
        <v>0</v>
      </c>
      <c r="T1099" s="545">
        <f>'Foglio deposito bis'!$F$61*IF(ABS(N1099)&lt;'Sollecitazioni nel paramento'!$G$58,ABS(N1099)*'Sollecitazioni nel paramento'!$G$54,'Sollecitazioni nel paramento'!$G$53)*IF(N1099&lt;0,-1,1)</f>
        <v>240946.49743184328</v>
      </c>
      <c r="U1099" s="545">
        <f>'Foglio deposito bis'!$F$62*IF(ABS(O1099)&lt;'Sollecitazioni nel paramento'!$G$58,ABS(O1099)*'Sollecitazioni nel paramento'!$G$54,'Sollecitazioni nel paramento'!$G$53)*IF(O1099&lt;0,-1,1)</f>
        <v>314705.62929873407</v>
      </c>
      <c r="V1099" s="472">
        <f t="shared" si="78"/>
        <v>-568846.16636537691</v>
      </c>
      <c r="W1099" s="551"/>
      <c r="X1099" s="551"/>
    </row>
    <row r="1100" spans="1:24" x14ac:dyDescent="0.25">
      <c r="A1100" s="545">
        <f t="shared" si="77"/>
        <v>618970.21150859189</v>
      </c>
      <c r="B1100" s="3">
        <f>B1099+0.2</f>
        <v>5.2999999999999901</v>
      </c>
      <c r="C1100" s="545">
        <f>'Foglio deposito bis'!$E$157/sezione!$B$247*B1100</f>
        <v>34.865926353654935</v>
      </c>
      <c r="D1100" s="603">
        <f>-'Sollecitazioni nel paramento'!$G$47*'Sollecitazioni nel paramento'!$G$41*IF(DATI!$G$211="dx",DATI!$E$61,DATI!$E$64*DATI!$E$63)*1000*C1100^2*sezione!$AD$5*(1-sezione!$AD$6)</f>
        <v>-27046186.720518079</v>
      </c>
      <c r="E1100" s="545">
        <f>-'Foglio deposito bis'!$F$58*(C1100-sezione!$AL$31)*IF(ABS(K1100)&lt;'Sollecitazioni nel paramento'!$G$58,ABS(K1100)*'Sollecitazioni nel paramento'!$G$54,'Sollecitazioni nel paramento'!$G$53)</f>
        <v>0</v>
      </c>
      <c r="F1100" s="545">
        <f>-'Foglio deposito bis'!$F$59*(C1100-sezione!$AM$31)*IF(ABS(L1100)&lt;'Sollecitazioni nel paramento'!$G$58,ABS(L1100)*'Sollecitazioni nel paramento'!$G$54,'Sollecitazioni nel paramento'!$G$53)</f>
        <v>3862223.8592352304</v>
      </c>
      <c r="G1100" s="545">
        <f>-'Foglio deposito bis'!$F$60*(C1100-sezione!$AN$31)*IF(ABS(M1100)&lt;'Sollecitazioni nel paramento'!$G$58,ABS(M1100)*'Sollecitazioni nel paramento'!$G$54,'Sollecitazioni nel paramento'!$G$53)</f>
        <v>0</v>
      </c>
      <c r="H1100" s="545">
        <f>-'Foglio deposito bis'!$F$61*(C1100-sezione!$AO$31)*IF(ABS(N1100)&lt;'Sollecitazioni nel paramento'!$G$58,ABS(N1100)*'Sollecitazioni nel paramento'!$G$54,'Sollecitazioni nel paramento'!$G$53)</f>
        <v>30150616.754465166</v>
      </c>
      <c r="I1100" s="472">
        <f>-'Foglio deposito bis'!$F$62*(C1100-sezione!$AP$31)*IF(ABS(O1100)&lt;'Sollecitazioni nel paramento'!$G$58,ABS(O1100)*'Sollecitazioni nel paramento'!$G$54,'Sollecitazioni nel paramento'!$G$53)</f>
        <v>129433232.56065954</v>
      </c>
      <c r="J1100" s="472">
        <f t="shared" si="76"/>
        <v>136399886.45384187</v>
      </c>
      <c r="K1100" s="550">
        <f>'Sollecitazioni nel paramento'!$G$60*(sezione!$AL$31-C1100)/C1100</f>
        <v>5.1538162445306844E-4</v>
      </c>
      <c r="L1100" s="550">
        <f>'Sollecitazioni nel paramento'!$G$60*(sezione!$AM$31-C1100)/C1100</f>
        <v>2.523072436679603E-3</v>
      </c>
      <c r="M1100" s="551">
        <f>'Sollecitazioni nel paramento'!$G$60*(sezione!$AN$31-C1100)/C1100</f>
        <v>4.5307632489061372E-3</v>
      </c>
      <c r="N1100" s="551">
        <f>'Sollecitazioni nel paramento'!$G$60*(sezione!$AO$31-C1100)/C1100</f>
        <v>1.2561526497812272E-2</v>
      </c>
      <c r="O1100" s="551">
        <f>'Sollecitazioni nel paramento'!$G$60*(sezione!$AP$31-C1100)/C1100</f>
        <v>4.1286505167999824E-2</v>
      </c>
      <c r="P1100" s="545">
        <f>-'Sollecitazioni nel paramento'!$G$47*'Sollecitazioni nel paramento'!$G$41*IF(DATI!$G$211="dx",DATI!$E$61,DATI!$E$64*DATI!$E$63)*1000*C1100*sezione!$AD$5</f>
        <v>-1328287.1962951918</v>
      </c>
      <c r="Q1100" s="545">
        <f>'Foglio deposito bis'!$F$58*IF(ABS(K1100)&lt;'Sollecitazioni nel paramento'!$G$58,ABS(K1100)*'Sollecitazioni nel paramento'!$G$54,'Sollecitazioni nel paramento'!$G$53)*IF(K1100&lt;0,-1,1)</f>
        <v>0</v>
      </c>
      <c r="R1100" s="545">
        <f>'Foglio deposito bis'!$F$59*IF(ABS(L1100)&lt;'Sollecitazioni nel paramento'!$G$58,ABS(L1100)*'Sollecitazioni nel paramento'!$G$54,'Sollecitazioni nel paramento'!$G$53)*IF(L1100&lt;0,-1,1)</f>
        <v>153664.85805602249</v>
      </c>
      <c r="S1100" s="545">
        <f>'Foglio deposito bis'!$F$60*IF(ABS(M1100)&lt;'Sollecitazioni nel paramento'!$G$58,ABS(M1100)*'Sollecitazioni nel paramento'!$G$54,'Sollecitazioni nel paramento'!$G$53)*IF(M1100&lt;0,-1,1)</f>
        <v>0</v>
      </c>
      <c r="T1100" s="545">
        <f>'Foglio deposito bis'!$F$61*IF(ABS(N1100)&lt;'Sollecitazioni nel paramento'!$G$58,ABS(N1100)*'Sollecitazioni nel paramento'!$G$54,'Sollecitazioni nel paramento'!$G$53)*IF(N1100&lt;0,-1,1)</f>
        <v>240946.49743184328</v>
      </c>
      <c r="U1100" s="545">
        <f>'Foglio deposito bis'!$F$62*IF(ABS(O1100)&lt;'Sollecitazioni nel paramento'!$G$58,ABS(O1100)*'Sollecitazioni nel paramento'!$G$54,'Sollecitazioni nel paramento'!$G$53)*IF(O1100&lt;0,-1,1)</f>
        <v>314705.62929873407</v>
      </c>
      <c r="V1100" s="472">
        <f t="shared" si="78"/>
        <v>-618970.21150859189</v>
      </c>
      <c r="W1100" s="551"/>
      <c r="X1100" s="551"/>
    </row>
    <row r="1101" spans="1:24" x14ac:dyDescent="0.25">
      <c r="A1101" s="545">
        <f t="shared" si="77"/>
        <v>669094.25665180688</v>
      </c>
      <c r="B1101" s="3">
        <f t="shared" ref="B1101:B1164" si="80">B1100+0.2</f>
        <v>5.4999999999999902</v>
      </c>
      <c r="C1101" s="545">
        <f>'Foglio deposito bis'!$E$157/sezione!$B$247*B1101</f>
        <v>36.181621687755126</v>
      </c>
      <c r="D1101" s="603">
        <f>-'Sollecitazioni nel paramento'!$G$47*'Sollecitazioni nel paramento'!$G$41*IF(DATI!$G$211="dx",DATI!$E$61,DATI!$E$64*DATI!$E$63)*1000*C1101^2*sezione!$AD$5*(1-sezione!$AD$6)</f>
        <v>-29125921.975638025</v>
      </c>
      <c r="E1101" s="545">
        <f>-'Foglio deposito bis'!$F$58*(C1101-sezione!$AL$31)*IF(ABS(K1101)&lt;'Sollecitazioni nel paramento'!$G$58,ABS(K1101)*'Sollecitazioni nel paramento'!$G$54,'Sollecitazioni nel paramento'!$G$53)</f>
        <v>0</v>
      </c>
      <c r="F1101" s="545">
        <f>-'Foglio deposito bis'!$F$59*(C1101-sezione!$AM$31)*IF(ABS(L1101)&lt;'Sollecitazioni nel paramento'!$G$58,ABS(L1101)*'Sollecitazioni nel paramento'!$G$54,'Sollecitazioni nel paramento'!$G$53)</f>
        <v>3660047.7224757532</v>
      </c>
      <c r="G1101" s="545">
        <f>-'Foglio deposito bis'!$F$60*(C1101-sezione!$AN$31)*IF(ABS(M1101)&lt;'Sollecitazioni nel paramento'!$G$58,ABS(M1101)*'Sollecitazioni nel paramento'!$G$54,'Sollecitazioni nel paramento'!$G$53)</f>
        <v>0</v>
      </c>
      <c r="H1101" s="545">
        <f>-'Foglio deposito bis'!$F$61*(C1101-sezione!$AO$31)*IF(ABS(N1101)&lt;'Sollecitazioni nel paramento'!$G$58,ABS(N1101)*'Sollecitazioni nel paramento'!$G$54,'Sollecitazioni nel paramento'!$G$53)</f>
        <v>29833604.572026309</v>
      </c>
      <c r="I1101" s="472">
        <f>-'Foglio deposito bis'!$F$62*(C1101-sezione!$AP$31)*IF(ABS(O1101)&lt;'Sollecitazioni nel paramento'!$G$58,ABS(O1101)*'Sollecitazioni nel paramento'!$G$54,'Sollecitazioni nel paramento'!$G$53)</f>
        <v>129019175.83257613</v>
      </c>
      <c r="J1101" s="472">
        <f t="shared" si="76"/>
        <v>133386906.15144016</v>
      </c>
      <c r="K1101" s="550">
        <f>'Sollecitazioni nel paramento'!$G$60*(sezione!$AL$31-C1101)/C1101</f>
        <v>3.693677472002291E-4</v>
      </c>
      <c r="L1101" s="550">
        <f>'Sollecitazioni nel paramento'!$G$60*(sezione!$AM$31-C1101)/C1101</f>
        <v>2.3040516208003435E-3</v>
      </c>
      <c r="M1101" s="551">
        <f>'Sollecitazioni nel paramento'!$G$60*(sezione!$AN$31-C1101)/C1101</f>
        <v>4.2387354944004576E-3</v>
      </c>
      <c r="N1101" s="551">
        <f>'Sollecitazioni nel paramento'!$G$60*(sezione!$AO$31-C1101)/C1101</f>
        <v>1.1977470988800917E-2</v>
      </c>
      <c r="O1101" s="551">
        <f>'Sollecitazioni nel paramento'!$G$60*(sezione!$AP$31-C1101)/C1101</f>
        <v>3.9657904980072552E-2</v>
      </c>
      <c r="P1101" s="545">
        <f>-'Sollecitazioni nel paramento'!$G$47*'Sollecitazioni nel paramento'!$G$41*IF(DATI!$G$211="dx",DATI!$E$61,DATI!$E$64*DATI!$E$63)*1000*C1101*sezione!$AD$5</f>
        <v>-1378411.2414384068</v>
      </c>
      <c r="Q1101" s="545">
        <f>'Foglio deposito bis'!$F$58*IF(ABS(K1101)&lt;'Sollecitazioni nel paramento'!$G$58,ABS(K1101)*'Sollecitazioni nel paramento'!$G$54,'Sollecitazioni nel paramento'!$G$53)*IF(K1101&lt;0,-1,1)</f>
        <v>0</v>
      </c>
      <c r="R1101" s="545">
        <f>'Foglio deposito bis'!$F$59*IF(ABS(L1101)&lt;'Sollecitazioni nel paramento'!$G$58,ABS(L1101)*'Sollecitazioni nel paramento'!$G$54,'Sollecitazioni nel paramento'!$G$53)*IF(L1101&lt;0,-1,1)</f>
        <v>153664.85805602249</v>
      </c>
      <c r="S1101" s="545">
        <f>'Foglio deposito bis'!$F$60*IF(ABS(M1101)&lt;'Sollecitazioni nel paramento'!$G$58,ABS(M1101)*'Sollecitazioni nel paramento'!$G$54,'Sollecitazioni nel paramento'!$G$53)*IF(M1101&lt;0,-1,1)</f>
        <v>0</v>
      </c>
      <c r="T1101" s="545">
        <f>'Foglio deposito bis'!$F$61*IF(ABS(N1101)&lt;'Sollecitazioni nel paramento'!$G$58,ABS(N1101)*'Sollecitazioni nel paramento'!$G$54,'Sollecitazioni nel paramento'!$G$53)*IF(N1101&lt;0,-1,1)</f>
        <v>240946.49743184328</v>
      </c>
      <c r="U1101" s="545">
        <f>'Foglio deposito bis'!$F$62*IF(ABS(O1101)&lt;'Sollecitazioni nel paramento'!$G$58,ABS(O1101)*'Sollecitazioni nel paramento'!$G$54,'Sollecitazioni nel paramento'!$G$53)*IF(O1101&lt;0,-1,1)</f>
        <v>314705.62929873407</v>
      </c>
      <c r="V1101" s="472">
        <f t="shared" si="78"/>
        <v>-669094.25665180688</v>
      </c>
      <c r="W1101" s="551"/>
      <c r="X1101" s="551"/>
    </row>
    <row r="1102" spans="1:24" x14ac:dyDescent="0.25">
      <c r="A1102" s="545">
        <f t="shared" si="77"/>
        <v>719218.30179502186</v>
      </c>
      <c r="B1102" s="3">
        <f t="shared" si="80"/>
        <v>5.6999999999999904</v>
      </c>
      <c r="C1102" s="545">
        <f>'Foglio deposito bis'!$E$157/sezione!$B$247*B1102</f>
        <v>37.497317021855316</v>
      </c>
      <c r="D1102" s="603">
        <f>-'Sollecitazioni nel paramento'!$G$47*'Sollecitazioni nel paramento'!$G$41*IF(DATI!$G$211="dx",DATI!$E$61,DATI!$E$64*DATI!$E$63)*1000*C1102^2*sezione!$AD$5*(1-sezione!$AD$6)</f>
        <v>-31282684.46242908</v>
      </c>
      <c r="E1102" s="545">
        <f>-'Foglio deposito bis'!$F$58*(C1102-sezione!$AL$31)*IF(ABS(K1102)&lt;'Sollecitazioni nel paramento'!$G$58,ABS(K1102)*'Sollecitazioni nel paramento'!$G$54,'Sollecitazioni nel paramento'!$G$53)</f>
        <v>0</v>
      </c>
      <c r="F1102" s="545">
        <f>-'Foglio deposito bis'!$F$59*(C1102-sezione!$AM$31)*IF(ABS(L1102)&lt;'Sollecitazioni nel paramento'!$G$58,ABS(L1102)*'Sollecitazioni nel paramento'!$G$54,'Sollecitazioni nel paramento'!$G$53)</f>
        <v>3457871.585716276</v>
      </c>
      <c r="G1102" s="545">
        <f>-'Foglio deposito bis'!$F$60*(C1102-sezione!$AN$31)*IF(ABS(M1102)&lt;'Sollecitazioni nel paramento'!$G$58,ABS(M1102)*'Sollecitazioni nel paramento'!$G$54,'Sollecitazioni nel paramento'!$G$53)</f>
        <v>0</v>
      </c>
      <c r="H1102" s="545">
        <f>-'Foglio deposito bis'!$F$61*(C1102-sezione!$AO$31)*IF(ABS(N1102)&lt;'Sollecitazioni nel paramento'!$G$58,ABS(N1102)*'Sollecitazioni nel paramento'!$G$54,'Sollecitazioni nel paramento'!$G$53)</f>
        <v>29516592.389587451</v>
      </c>
      <c r="I1102" s="472">
        <f>-'Foglio deposito bis'!$F$62*(C1102-sezione!$AP$31)*IF(ABS(O1102)&lt;'Sollecitazioni nel paramento'!$G$58,ABS(O1102)*'Sollecitazioni nel paramento'!$G$54,'Sollecitazioni nel paramento'!$G$53)</f>
        <v>128605119.10449269</v>
      </c>
      <c r="J1102" s="472">
        <f t="shared" si="76"/>
        <v>130296898.61736734</v>
      </c>
      <c r="K1102" s="550">
        <f>'Sollecitazioni nel paramento'!$G$60*(sezione!$AL$31-C1102)/C1102</f>
        <v>2.3360045782478198E-4</v>
      </c>
      <c r="L1102" s="550">
        <f>'Sollecitazioni nel paramento'!$G$60*(sezione!$AM$31-C1102)/C1102</f>
        <v>2.1004006867371729E-3</v>
      </c>
      <c r="M1102" s="551">
        <f>'Sollecitazioni nel paramento'!$G$60*(sezione!$AN$31-C1102)/C1102</f>
        <v>3.9672009156495637E-3</v>
      </c>
      <c r="N1102" s="551">
        <f>'Sollecitazioni nel paramento'!$G$60*(sezione!$AO$31-C1102)/C1102</f>
        <v>1.1434401831299129E-2</v>
      </c>
      <c r="O1102" s="551">
        <f>'Sollecitazioni nel paramento'!$G$60*(sezione!$AP$31-C1102)/C1102</f>
        <v>3.8143592524631405E-2</v>
      </c>
      <c r="P1102" s="545">
        <f>-'Sollecitazioni nel paramento'!$G$47*'Sollecitazioni nel paramento'!$G$41*IF(DATI!$G$211="dx",DATI!$E$61,DATI!$E$64*DATI!$E$63)*1000*C1102*sezione!$AD$5</f>
        <v>-1428535.2865816217</v>
      </c>
      <c r="Q1102" s="545">
        <f>'Foglio deposito bis'!$F$58*IF(ABS(K1102)&lt;'Sollecitazioni nel paramento'!$G$58,ABS(K1102)*'Sollecitazioni nel paramento'!$G$54,'Sollecitazioni nel paramento'!$G$53)*IF(K1102&lt;0,-1,1)</f>
        <v>0</v>
      </c>
      <c r="R1102" s="545">
        <f>'Foglio deposito bis'!$F$59*IF(ABS(L1102)&lt;'Sollecitazioni nel paramento'!$G$58,ABS(L1102)*'Sollecitazioni nel paramento'!$G$54,'Sollecitazioni nel paramento'!$G$53)*IF(L1102&lt;0,-1,1)</f>
        <v>153664.85805602249</v>
      </c>
      <c r="S1102" s="545">
        <f>'Foglio deposito bis'!$F$60*IF(ABS(M1102)&lt;'Sollecitazioni nel paramento'!$G$58,ABS(M1102)*'Sollecitazioni nel paramento'!$G$54,'Sollecitazioni nel paramento'!$G$53)*IF(M1102&lt;0,-1,1)</f>
        <v>0</v>
      </c>
      <c r="T1102" s="545">
        <f>'Foglio deposito bis'!$F$61*IF(ABS(N1102)&lt;'Sollecitazioni nel paramento'!$G$58,ABS(N1102)*'Sollecitazioni nel paramento'!$G$54,'Sollecitazioni nel paramento'!$G$53)*IF(N1102&lt;0,-1,1)</f>
        <v>240946.49743184328</v>
      </c>
      <c r="U1102" s="545">
        <f>'Foglio deposito bis'!$F$62*IF(ABS(O1102)&lt;'Sollecitazioni nel paramento'!$G$58,ABS(O1102)*'Sollecitazioni nel paramento'!$G$54,'Sollecitazioni nel paramento'!$G$53)*IF(O1102&lt;0,-1,1)</f>
        <v>314705.62929873407</v>
      </c>
      <c r="V1102" s="472">
        <f t="shared" si="78"/>
        <v>-719218.30179502186</v>
      </c>
      <c r="W1102" s="551"/>
      <c r="X1102" s="551"/>
    </row>
    <row r="1103" spans="1:24" x14ac:dyDescent="0.25">
      <c r="A1103" s="545">
        <f t="shared" si="77"/>
        <v>769342.34693823685</v>
      </c>
      <c r="B1103" s="3">
        <f t="shared" si="80"/>
        <v>5.8999999999999906</v>
      </c>
      <c r="C1103" s="545">
        <f>'Foglio deposito bis'!$E$157/sezione!$B$247*B1103</f>
        <v>38.813012355955507</v>
      </c>
      <c r="D1103" s="603">
        <f>-'Sollecitazioni nel paramento'!$G$47*'Sollecitazioni nel paramento'!$G$41*IF(DATI!$G$211="dx",DATI!$E$61,DATI!$E$64*DATI!$E$63)*1000*C1103^2*sezione!$AD$5*(1-sezione!$AD$6)</f>
        <v>-33516474.180891246</v>
      </c>
      <c r="E1103" s="545">
        <f>-'Foglio deposito bis'!$F$58*(C1103-sezione!$AL$31)*IF(ABS(K1103)&lt;'Sollecitazioni nel paramento'!$G$58,ABS(K1103)*'Sollecitazioni nel paramento'!$G$54,'Sollecitazioni nel paramento'!$G$53)</f>
        <v>0</v>
      </c>
      <c r="F1103" s="545">
        <f>-'Foglio deposito bis'!$F$59*(C1103-sezione!$AM$31)*IF(ABS(L1103)&lt;'Sollecitazioni nel paramento'!$G$58,ABS(L1103)*'Sollecitazioni nel paramento'!$G$54,'Sollecitazioni nel paramento'!$G$53)</f>
        <v>3255695.4489567992</v>
      </c>
      <c r="G1103" s="545">
        <f>-'Foglio deposito bis'!$F$60*(C1103-sezione!$AN$31)*IF(ABS(M1103)&lt;'Sollecitazioni nel paramento'!$G$58,ABS(M1103)*'Sollecitazioni nel paramento'!$G$54,'Sollecitazioni nel paramento'!$G$53)</f>
        <v>0</v>
      </c>
      <c r="H1103" s="545">
        <f>-'Foglio deposito bis'!$F$61*(C1103-sezione!$AO$31)*IF(ABS(N1103)&lt;'Sollecitazioni nel paramento'!$G$58,ABS(N1103)*'Sollecitazioni nel paramento'!$G$54,'Sollecitazioni nel paramento'!$G$53)</f>
        <v>29199580.207148593</v>
      </c>
      <c r="I1103" s="472">
        <f>-'Foglio deposito bis'!$F$62*(C1103-sezione!$AP$31)*IF(ABS(O1103)&lt;'Sollecitazioni nel paramento'!$G$58,ABS(O1103)*'Sollecitazioni nel paramento'!$G$54,'Sollecitazioni nel paramento'!$G$53)</f>
        <v>128191062.37640931</v>
      </c>
      <c r="J1103" s="472">
        <f t="shared" si="76"/>
        <v>127129863.85162345</v>
      </c>
      <c r="K1103" s="550">
        <f>'Sollecitazioni nel paramento'!$G$60*(sezione!$AL$31-C1103)/C1103</f>
        <v>1.0703773044089066E-4</v>
      </c>
      <c r="L1103" s="550">
        <f>'Sollecitazioni nel paramento'!$G$60*(sezione!$AM$31-C1103)/C1103</f>
        <v>1.9105565956613361E-3</v>
      </c>
      <c r="M1103" s="551">
        <f>'Sollecitazioni nel paramento'!$G$60*(sezione!$AN$31-C1103)/C1103</f>
        <v>3.7140754608817814E-3</v>
      </c>
      <c r="N1103" s="551">
        <f>'Sollecitazioni nel paramento'!$G$60*(sezione!$AO$31-C1103)/C1103</f>
        <v>1.0928150921763564E-2</v>
      </c>
      <c r="O1103" s="551">
        <f>'Sollecitazioni nel paramento'!$G$60*(sezione!$AP$31-C1103)/C1103</f>
        <v>3.6731945320406606E-2</v>
      </c>
      <c r="P1103" s="545">
        <f>-'Sollecitazioni nel paramento'!$G$47*'Sollecitazioni nel paramento'!$G$41*IF(DATI!$G$211="dx",DATI!$E$61,DATI!$E$64*DATI!$E$63)*1000*C1103*sezione!$AD$5</f>
        <v>-1478659.3317248367</v>
      </c>
      <c r="Q1103" s="545">
        <f>'Foglio deposito bis'!$F$58*IF(ABS(K1103)&lt;'Sollecitazioni nel paramento'!$G$58,ABS(K1103)*'Sollecitazioni nel paramento'!$G$54,'Sollecitazioni nel paramento'!$G$53)*IF(K1103&lt;0,-1,1)</f>
        <v>0</v>
      </c>
      <c r="R1103" s="545">
        <f>'Foglio deposito bis'!$F$59*IF(ABS(L1103)&lt;'Sollecitazioni nel paramento'!$G$58,ABS(L1103)*'Sollecitazioni nel paramento'!$G$54,'Sollecitazioni nel paramento'!$G$53)*IF(L1103&lt;0,-1,1)</f>
        <v>153664.85805602249</v>
      </c>
      <c r="S1103" s="545">
        <f>'Foglio deposito bis'!$F$60*IF(ABS(M1103)&lt;'Sollecitazioni nel paramento'!$G$58,ABS(M1103)*'Sollecitazioni nel paramento'!$G$54,'Sollecitazioni nel paramento'!$G$53)*IF(M1103&lt;0,-1,1)</f>
        <v>0</v>
      </c>
      <c r="T1103" s="545">
        <f>'Foglio deposito bis'!$F$61*IF(ABS(N1103)&lt;'Sollecitazioni nel paramento'!$G$58,ABS(N1103)*'Sollecitazioni nel paramento'!$G$54,'Sollecitazioni nel paramento'!$G$53)*IF(N1103&lt;0,-1,1)</f>
        <v>240946.49743184328</v>
      </c>
      <c r="U1103" s="545">
        <f>'Foglio deposito bis'!$F$62*IF(ABS(O1103)&lt;'Sollecitazioni nel paramento'!$G$58,ABS(O1103)*'Sollecitazioni nel paramento'!$G$54,'Sollecitazioni nel paramento'!$G$53)*IF(O1103&lt;0,-1,1)</f>
        <v>314705.62929873407</v>
      </c>
      <c r="V1103" s="472">
        <f t="shared" si="78"/>
        <v>-769342.34693823685</v>
      </c>
      <c r="W1103" s="551"/>
      <c r="X1103" s="551"/>
    </row>
    <row r="1104" spans="1:24" x14ac:dyDescent="0.25">
      <c r="A1104" s="545">
        <f t="shared" si="77"/>
        <v>832925.41504950309</v>
      </c>
      <c r="B1104" s="3">
        <f t="shared" si="80"/>
        <v>6.0999999999999908</v>
      </c>
      <c r="C1104" s="545">
        <f>'Foglio deposito bis'!$E$157/sezione!$B$247*B1104</f>
        <v>40.128707690055698</v>
      </c>
      <c r="D1104" s="603">
        <f>-'Sollecitazioni nel paramento'!$G$47*'Sollecitazioni nel paramento'!$G$41*IF(DATI!$G$211="dx",DATI!$E$61,DATI!$E$64*DATI!$E$63)*1000*C1104^2*sezione!$AD$5*(1-sezione!$AD$6)</f>
        <v>-35827291.131024517</v>
      </c>
      <c r="E1104" s="545">
        <f>-'Foglio deposito bis'!$F$58*(C1104-sezione!$AL$31)*IF(ABS(K1104)&lt;'Sollecitazioni nel paramento'!$G$58,ABS(K1104)*'Sollecitazioni nel paramento'!$G$54,'Sollecitazioni nel paramento'!$G$53)</f>
        <v>0</v>
      </c>
      <c r="F1104" s="545">
        <f>-'Foglio deposito bis'!$F$59*(C1104-sezione!$AM$31)*IF(ABS(L1104)&lt;'Sollecitazioni nel paramento'!$G$58,ABS(L1104)*'Sollecitazioni nel paramento'!$G$54,'Sollecitazioni nel paramento'!$G$53)</f>
        <v>2786071.1325929225</v>
      </c>
      <c r="G1104" s="545">
        <f>-'Foglio deposito bis'!$F$60*(C1104-sezione!$AN$31)*IF(ABS(M1104)&lt;'Sollecitazioni nel paramento'!$G$58,ABS(M1104)*'Sollecitazioni nel paramento'!$G$54,'Sollecitazioni nel paramento'!$G$53)</f>
        <v>0</v>
      </c>
      <c r="H1104" s="545">
        <f>-'Foglio deposito bis'!$F$61*(C1104-sezione!$AO$31)*IF(ABS(N1104)&lt;'Sollecitazioni nel paramento'!$G$58,ABS(N1104)*'Sollecitazioni nel paramento'!$G$54,'Sollecitazioni nel paramento'!$G$53)</f>
        <v>28882568.024709724</v>
      </c>
      <c r="I1104" s="472">
        <f>-'Foglio deposito bis'!$F$62*(C1104-sezione!$AP$31)*IF(ABS(O1104)&lt;'Sollecitazioni nel paramento'!$G$58,ABS(O1104)*'Sollecitazioni nel paramento'!$G$54,'Sollecitazioni nel paramento'!$G$53)</f>
        <v>127777005.64832589</v>
      </c>
      <c r="J1104" s="472">
        <f t="shared" si="76"/>
        <v>123618353.67460403</v>
      </c>
      <c r="K1104" s="550">
        <f>'Sollecitazioni nel paramento'!$G$60*(sezione!$AL$31-C1104)/C1104</f>
        <v>-1.1225801704712675E-5</v>
      </c>
      <c r="L1104" s="550">
        <f>'Sollecitazioni nel paramento'!$G$60*(sezione!$AM$31-C1104)/C1104</f>
        <v>1.733161297442931E-3</v>
      </c>
      <c r="M1104" s="551">
        <f>'Sollecitazioni nel paramento'!$G$60*(sezione!$AN$31-C1104)/C1104</f>
        <v>3.4775483965905746E-3</v>
      </c>
      <c r="N1104" s="551">
        <f>'Sollecitazioni nel paramento'!$G$60*(sezione!$AO$31-C1104)/C1104</f>
        <v>1.0455096793181148E-2</v>
      </c>
      <c r="O1104" s="551">
        <f>'Sollecitazioni nel paramento'!$G$60*(sezione!$AP$31-C1104)/C1104</f>
        <v>3.5412865145967039E-2</v>
      </c>
      <c r="P1104" s="545">
        <f>-'Sollecitazioni nel paramento'!$G$47*'Sollecitazioni nel paramento'!$G$41*IF(DATI!$G$211="dx",DATI!$E$61,DATI!$E$64*DATI!$E$63)*1000*C1104*sezione!$AD$5</f>
        <v>-1528783.3768680517</v>
      </c>
      <c r="Q1104" s="545">
        <f>'Foglio deposito bis'!$F$58*IF(ABS(K1104)&lt;'Sollecitazioni nel paramento'!$G$58,ABS(K1104)*'Sollecitazioni nel paramento'!$G$54,'Sollecitazioni nel paramento'!$G$53)*IF(K1104&lt;0,-1,1)</f>
        <v>0</v>
      </c>
      <c r="R1104" s="545">
        <f>'Foglio deposito bis'!$F$59*IF(ABS(L1104)&lt;'Sollecitazioni nel paramento'!$G$58,ABS(L1104)*'Sollecitazioni nel paramento'!$G$54,'Sollecitazioni nel paramento'!$G$53)*IF(L1104&lt;0,-1,1)</f>
        <v>140205.8350879713</v>
      </c>
      <c r="S1104" s="545">
        <f>'Foglio deposito bis'!$F$60*IF(ABS(M1104)&lt;'Sollecitazioni nel paramento'!$G$58,ABS(M1104)*'Sollecitazioni nel paramento'!$G$54,'Sollecitazioni nel paramento'!$G$53)*IF(M1104&lt;0,-1,1)</f>
        <v>0</v>
      </c>
      <c r="T1104" s="545">
        <f>'Foglio deposito bis'!$F$61*IF(ABS(N1104)&lt;'Sollecitazioni nel paramento'!$G$58,ABS(N1104)*'Sollecitazioni nel paramento'!$G$54,'Sollecitazioni nel paramento'!$G$53)*IF(N1104&lt;0,-1,1)</f>
        <v>240946.49743184328</v>
      </c>
      <c r="U1104" s="545">
        <f>'Foglio deposito bis'!$F$62*IF(ABS(O1104)&lt;'Sollecitazioni nel paramento'!$G$58,ABS(O1104)*'Sollecitazioni nel paramento'!$G$54,'Sollecitazioni nel paramento'!$G$53)*IF(O1104&lt;0,-1,1)</f>
        <v>314705.62929873407</v>
      </c>
      <c r="V1104" s="472">
        <f t="shared" si="78"/>
        <v>-832925.41504950309</v>
      </c>
      <c r="W1104" s="551"/>
      <c r="X1104" s="551"/>
    </row>
    <row r="1105" spans="1:24" x14ac:dyDescent="0.25">
      <c r="A1105" s="545">
        <f t="shared" si="77"/>
        <v>896488.8847321705</v>
      </c>
      <c r="B1105" s="3">
        <f t="shared" si="80"/>
        <v>6.2999999999999909</v>
      </c>
      <c r="C1105" s="545">
        <f>'Foglio deposito bis'!$E$157/sezione!$B$247*B1105</f>
        <v>41.444403024155889</v>
      </c>
      <c r="D1105" s="603">
        <f>-'Sollecitazioni nel paramento'!$G$47*'Sollecitazioni nel paramento'!$G$41*IF(DATI!$G$211="dx",DATI!$E$61,DATI!$E$64*DATI!$E$63)*1000*C1105^2*sezione!$AD$5*(1-sezione!$AD$6)</f>
        <v>-38215135.312828906</v>
      </c>
      <c r="E1105" s="545">
        <f>-'Foglio deposito bis'!$F$58*(C1105-sezione!$AL$31)*IF(ABS(K1105)&lt;'Sollecitazioni nel paramento'!$G$58,ABS(K1105)*'Sollecitazioni nel paramento'!$G$54,'Sollecitazioni nel paramento'!$G$53)</f>
        <v>0</v>
      </c>
      <c r="F1105" s="545">
        <f>-'Foglio deposito bis'!$F$59*(C1105-sezione!$AM$31)*IF(ABS(L1105)&lt;'Sollecitazioni nel paramento'!$G$58,ABS(L1105)*'Sollecitazioni nel paramento'!$G$54,'Sollecitazioni nel paramento'!$G$53)</f>
        <v>2352226.4242127091</v>
      </c>
      <c r="G1105" s="545">
        <f>-'Foglio deposito bis'!$F$60*(C1105-sezione!$AN$31)*IF(ABS(M1105)&lt;'Sollecitazioni nel paramento'!$G$58,ABS(M1105)*'Sollecitazioni nel paramento'!$G$54,'Sollecitazioni nel paramento'!$G$53)</f>
        <v>0</v>
      </c>
      <c r="H1105" s="545">
        <f>-'Foglio deposito bis'!$F$61*(C1105-sezione!$AO$31)*IF(ABS(N1105)&lt;'Sollecitazioni nel paramento'!$G$58,ABS(N1105)*'Sollecitazioni nel paramento'!$G$54,'Sollecitazioni nel paramento'!$G$53)</f>
        <v>28565555.84227087</v>
      </c>
      <c r="I1105" s="472">
        <f>-'Foglio deposito bis'!$F$62*(C1105-sezione!$AP$31)*IF(ABS(O1105)&lt;'Sollecitazioni nel paramento'!$G$58,ABS(O1105)*'Sollecitazioni nel paramento'!$G$54,'Sollecitazioni nel paramento'!$G$53)</f>
        <v>127362948.9202425</v>
      </c>
      <c r="J1105" s="472">
        <f t="shared" si="76"/>
        <v>120065595.87389718</v>
      </c>
      <c r="K1105" s="550">
        <f>'Sollecitazioni nel paramento'!$G$60*(sezione!$AL$31-C1105)/C1105</f>
        <v>-1.2198053815853166E-4</v>
      </c>
      <c r="L1105" s="550">
        <f>'Sollecitazioni nel paramento'!$G$60*(sezione!$AM$31-C1105)/C1105</f>
        <v>1.5670291927622026E-3</v>
      </c>
      <c r="M1105" s="551">
        <f>'Sollecitazioni nel paramento'!$G$60*(sezione!$AN$31-C1105)/C1105</f>
        <v>3.2560389236829367E-3</v>
      </c>
      <c r="N1105" s="551">
        <f>'Sollecitazioni nel paramento'!$G$60*(sezione!$AO$31-C1105)/C1105</f>
        <v>1.0012077847365875E-2</v>
      </c>
      <c r="O1105" s="551">
        <f>'Sollecitazioni nel paramento'!$G$60*(sezione!$AP$31-C1105)/C1105</f>
        <v>3.4177536093714121E-2</v>
      </c>
      <c r="P1105" s="545">
        <f>-'Sollecitazioni nel paramento'!$G$47*'Sollecitazioni nel paramento'!$G$41*IF(DATI!$G$211="dx",DATI!$E$61,DATI!$E$64*DATI!$E$63)*1000*C1105*sezione!$AD$5</f>
        <v>-1578907.4220112667</v>
      </c>
      <c r="Q1105" s="545">
        <f>'Foglio deposito bis'!$F$58*IF(ABS(K1105)&lt;'Sollecitazioni nel paramento'!$G$58,ABS(K1105)*'Sollecitazioni nel paramento'!$G$54,'Sollecitazioni nel paramento'!$G$53)*IF(K1105&lt;0,-1,1)</f>
        <v>0</v>
      </c>
      <c r="R1105" s="545">
        <f>'Foglio deposito bis'!$F$59*IF(ABS(L1105)&lt;'Sollecitazioni nel paramento'!$G$58,ABS(L1105)*'Sollecitazioni nel paramento'!$G$54,'Sollecitazioni nel paramento'!$G$53)*IF(L1105&lt;0,-1,1)</f>
        <v>126766.41054851883</v>
      </c>
      <c r="S1105" s="545">
        <f>'Foglio deposito bis'!$F$60*IF(ABS(M1105)&lt;'Sollecitazioni nel paramento'!$G$58,ABS(M1105)*'Sollecitazioni nel paramento'!$G$54,'Sollecitazioni nel paramento'!$G$53)*IF(M1105&lt;0,-1,1)</f>
        <v>0</v>
      </c>
      <c r="T1105" s="545">
        <f>'Foglio deposito bis'!$F$61*IF(ABS(N1105)&lt;'Sollecitazioni nel paramento'!$G$58,ABS(N1105)*'Sollecitazioni nel paramento'!$G$54,'Sollecitazioni nel paramento'!$G$53)*IF(N1105&lt;0,-1,1)</f>
        <v>240946.49743184328</v>
      </c>
      <c r="U1105" s="545">
        <f>'Foglio deposito bis'!$F$62*IF(ABS(O1105)&lt;'Sollecitazioni nel paramento'!$G$58,ABS(O1105)*'Sollecitazioni nel paramento'!$G$54,'Sollecitazioni nel paramento'!$G$53)*IF(O1105&lt;0,-1,1)</f>
        <v>314705.62929873407</v>
      </c>
      <c r="V1105" s="472">
        <f t="shared" si="78"/>
        <v>-896488.8847321705</v>
      </c>
      <c r="W1105" s="551"/>
      <c r="X1105" s="551"/>
    </row>
    <row r="1106" spans="1:24" x14ac:dyDescent="0.25">
      <c r="A1106" s="545">
        <f t="shared" si="77"/>
        <v>959225.31290471787</v>
      </c>
      <c r="B1106" s="3">
        <f t="shared" si="80"/>
        <v>6.4999999999999911</v>
      </c>
      <c r="C1106" s="545">
        <f>'Foglio deposito bis'!$E$157/sezione!$B$247*B1106</f>
        <v>42.76009835825608</v>
      </c>
      <c r="D1106" s="603">
        <f>-'Sollecitazioni nel paramento'!$G$47*'Sollecitazioni nel paramento'!$G$41*IF(DATI!$G$211="dx",DATI!$E$61,DATI!$E$64*DATI!$E$63)*1000*C1106^2*sezione!$AD$5*(1-sezione!$AD$6)</f>
        <v>-40680006.72630439</v>
      </c>
      <c r="E1106" s="545">
        <f>-'Foglio deposito bis'!$F$58*(C1106-sezione!$AL$31)*IF(ABS(K1106)&lt;'Sollecitazioni nel paramento'!$G$58,ABS(K1106)*'Sollecitazioni nel paramento'!$G$54,'Sollecitazioni nel paramento'!$G$53)</f>
        <v>0</v>
      </c>
      <c r="F1106" s="545">
        <f>-'Foglio deposito bis'!$F$59*(C1106-sezione!$AM$31)*IF(ABS(L1106)&lt;'Sollecitazioni nel paramento'!$G$58,ABS(L1106)*'Sollecitazioni nel paramento'!$G$54,'Sollecitazioni nel paramento'!$G$53)</f>
        <v>1968004.2064397044</v>
      </c>
      <c r="G1106" s="545">
        <f>-'Foglio deposito bis'!$F$60*(C1106-sezione!$AN$31)*IF(ABS(M1106)&lt;'Sollecitazioni nel paramento'!$G$58,ABS(M1106)*'Sollecitazioni nel paramento'!$G$54,'Sollecitazioni nel paramento'!$G$53)</f>
        <v>0</v>
      </c>
      <c r="H1106" s="545">
        <f>-'Foglio deposito bis'!$F$61*(C1106-sezione!$AO$31)*IF(ABS(N1106)&lt;'Sollecitazioni nel paramento'!$G$58,ABS(N1106)*'Sollecitazioni nel paramento'!$G$54,'Sollecitazioni nel paramento'!$G$53)</f>
        <v>28248543.659832008</v>
      </c>
      <c r="I1106" s="472">
        <f>-'Foglio deposito bis'!$F$62*(C1106-sezione!$AP$31)*IF(ABS(O1106)&lt;'Sollecitazioni nel paramento'!$G$58,ABS(O1106)*'Sollecitazioni nel paramento'!$G$54,'Sollecitazioni nel paramento'!$G$53)</f>
        <v>126948892.19215909</v>
      </c>
      <c r="J1106" s="472">
        <f t="shared" si="76"/>
        <v>116485433.33212641</v>
      </c>
      <c r="K1106" s="550">
        <f>'Sollecitazioni nel paramento'!$G$60*(sezione!$AL$31-C1106)/C1106</f>
        <v>-2.2591959852288483E-4</v>
      </c>
      <c r="L1106" s="550">
        <f>'Sollecitazioni nel paramento'!$G$60*(sezione!$AM$31-C1106)/C1106</f>
        <v>1.4111206022156728E-3</v>
      </c>
      <c r="M1106" s="551">
        <f>'Sollecitazioni nel paramento'!$G$60*(sezione!$AN$31-C1106)/C1106</f>
        <v>3.0481608029542307E-3</v>
      </c>
      <c r="N1106" s="551">
        <f>'Sollecitazioni nel paramento'!$G$60*(sezione!$AO$31-C1106)/C1106</f>
        <v>9.596321605908462E-3</v>
      </c>
      <c r="O1106" s="551">
        <f>'Sollecitazioni nel paramento'!$G$60*(sezione!$AP$31-C1106)/C1106</f>
        <v>3.30182272908306E-2</v>
      </c>
      <c r="P1106" s="545">
        <f>-'Sollecitazioni nel paramento'!$G$47*'Sollecitazioni nel paramento'!$G$41*IF(DATI!$G$211="dx",DATI!$E$61,DATI!$E$64*DATI!$E$63)*1000*C1106*sezione!$AD$5</f>
        <v>-1629031.4671544817</v>
      </c>
      <c r="Q1106" s="545">
        <f>'Foglio deposito bis'!$F$58*IF(ABS(K1106)&lt;'Sollecitazioni nel paramento'!$G$58,ABS(K1106)*'Sollecitazioni nel paramento'!$G$54,'Sollecitazioni nel paramento'!$G$53)*IF(K1106&lt;0,-1,1)</f>
        <v>0</v>
      </c>
      <c r="R1106" s="545">
        <f>'Foglio deposito bis'!$F$59*IF(ABS(L1106)&lt;'Sollecitazioni nel paramento'!$G$58,ABS(L1106)*'Sollecitazioni nel paramento'!$G$54,'Sollecitazioni nel paramento'!$G$53)*IF(L1106&lt;0,-1,1)</f>
        <v>114154.02751918652</v>
      </c>
      <c r="S1106" s="545">
        <f>'Foglio deposito bis'!$F$60*IF(ABS(M1106)&lt;'Sollecitazioni nel paramento'!$G$58,ABS(M1106)*'Sollecitazioni nel paramento'!$G$54,'Sollecitazioni nel paramento'!$G$53)*IF(M1106&lt;0,-1,1)</f>
        <v>0</v>
      </c>
      <c r="T1106" s="545">
        <f>'Foglio deposito bis'!$F$61*IF(ABS(N1106)&lt;'Sollecitazioni nel paramento'!$G$58,ABS(N1106)*'Sollecitazioni nel paramento'!$G$54,'Sollecitazioni nel paramento'!$G$53)*IF(N1106&lt;0,-1,1)</f>
        <v>240946.49743184328</v>
      </c>
      <c r="U1106" s="545">
        <f>'Foglio deposito bis'!$F$62*IF(ABS(O1106)&lt;'Sollecitazioni nel paramento'!$G$58,ABS(O1106)*'Sollecitazioni nel paramento'!$G$54,'Sollecitazioni nel paramento'!$G$53)*IF(O1106&lt;0,-1,1)</f>
        <v>314705.62929873407</v>
      </c>
      <c r="V1106" s="472">
        <f t="shared" si="78"/>
        <v>-959225.31290471787</v>
      </c>
      <c r="W1106" s="551"/>
      <c r="X1106" s="551"/>
    </row>
    <row r="1107" spans="1:24" x14ac:dyDescent="0.25">
      <c r="A1107" s="545">
        <f t="shared" si="77"/>
        <v>1021208.7629859613</v>
      </c>
      <c r="B1107" s="3">
        <f t="shared" si="80"/>
        <v>6.6999999999999913</v>
      </c>
      <c r="C1107" s="545">
        <f>'Foglio deposito bis'!$E$157/sezione!$B$247*B1107</f>
        <v>44.075793692356264</v>
      </c>
      <c r="D1107" s="603">
        <f>-'Sollecitazioni nel paramento'!$G$47*'Sollecitazioni nel paramento'!$G$41*IF(DATI!$G$211="dx",DATI!$E$61,DATI!$E$64*DATI!$E$63)*1000*C1107^2*sezione!$AD$5*(1-sezione!$AD$6)</f>
        <v>-43221905.371450976</v>
      </c>
      <c r="E1107" s="545">
        <f>-'Foglio deposito bis'!$F$58*(C1107-sezione!$AL$31)*IF(ABS(K1107)&lt;'Sollecitazioni nel paramento'!$G$58,ABS(K1107)*'Sollecitazioni nel paramento'!$G$54,'Sollecitazioni nel paramento'!$G$53)</f>
        <v>0</v>
      </c>
      <c r="F1107" s="545">
        <f>-'Foglio deposito bis'!$F$59*(C1107-sezione!$AM$31)*IF(ABS(L1107)&lt;'Sollecitazioni nel paramento'!$G$58,ABS(L1107)*'Sollecitazioni nel paramento'!$G$54,'Sollecitazioni nel paramento'!$G$53)</f>
        <v>1628960.6741449069</v>
      </c>
      <c r="G1107" s="545">
        <f>-'Foglio deposito bis'!$F$60*(C1107-sezione!$AN$31)*IF(ABS(M1107)&lt;'Sollecitazioni nel paramento'!$G$58,ABS(M1107)*'Sollecitazioni nel paramento'!$G$54,'Sollecitazioni nel paramento'!$G$53)</f>
        <v>0</v>
      </c>
      <c r="H1107" s="545">
        <f>-'Foglio deposito bis'!$F$61*(C1107-sezione!$AO$31)*IF(ABS(N1107)&lt;'Sollecitazioni nel paramento'!$G$58,ABS(N1107)*'Sollecitazioni nel paramento'!$G$54,'Sollecitazioni nel paramento'!$G$53)</f>
        <v>27931531.477393154</v>
      </c>
      <c r="I1107" s="472">
        <f>-'Foglio deposito bis'!$F$62*(C1107-sezione!$AP$31)*IF(ABS(O1107)&lt;'Sollecitazioni nel paramento'!$G$58,ABS(O1107)*'Sollecitazioni nel paramento'!$G$54,'Sollecitazioni nel paramento'!$G$53)</f>
        <v>126534835.46407565</v>
      </c>
      <c r="J1107" s="472">
        <f t="shared" si="76"/>
        <v>112873422.24416274</v>
      </c>
      <c r="K1107" s="550">
        <f>'Sollecitazioni nel paramento'!$G$60*(sezione!$AL$31-C1107)/C1107</f>
        <v>-3.2365334185055966E-4</v>
      </c>
      <c r="L1107" s="550">
        <f>'Sollecitazioni nel paramento'!$G$60*(sezione!$AM$31-C1107)/C1107</f>
        <v>1.2645199872241605E-3</v>
      </c>
      <c r="M1107" s="551">
        <f>'Sollecitazioni nel paramento'!$G$60*(sezione!$AN$31-C1107)/C1107</f>
        <v>2.8526933162988806E-3</v>
      </c>
      <c r="N1107" s="551">
        <f>'Sollecitazioni nel paramento'!$G$60*(sezione!$AO$31-C1107)/C1107</f>
        <v>9.2053866325977618E-3</v>
      </c>
      <c r="O1107" s="551">
        <f>'Sollecitazioni nel paramento'!$G$60*(sezione!$AP$31-C1107)/C1107</f>
        <v>3.1928130953790879E-2</v>
      </c>
      <c r="P1107" s="545">
        <f>-'Sollecitazioni nel paramento'!$G$47*'Sollecitazioni nel paramento'!$G$41*IF(DATI!$G$211="dx",DATI!$E$61,DATI!$E$64*DATI!$E$63)*1000*C1107*sezione!$AD$5</f>
        <v>-1679155.5122976962</v>
      </c>
      <c r="Q1107" s="545">
        <f>'Foglio deposito bis'!$F$58*IF(ABS(K1107)&lt;'Sollecitazioni nel paramento'!$G$58,ABS(K1107)*'Sollecitazioni nel paramento'!$G$54,'Sollecitazioni nel paramento'!$G$53)*IF(K1107&lt;0,-1,1)</f>
        <v>0</v>
      </c>
      <c r="R1107" s="545">
        <f>'Foglio deposito bis'!$F$59*IF(ABS(L1107)&lt;'Sollecitazioni nel paramento'!$G$58,ABS(L1107)*'Sollecitazioni nel paramento'!$G$54,'Sollecitazioni nel paramento'!$G$53)*IF(L1107&lt;0,-1,1)</f>
        <v>102294.6225811577</v>
      </c>
      <c r="S1107" s="545">
        <f>'Foglio deposito bis'!$F$60*IF(ABS(M1107)&lt;'Sollecitazioni nel paramento'!$G$58,ABS(M1107)*'Sollecitazioni nel paramento'!$G$54,'Sollecitazioni nel paramento'!$G$53)*IF(M1107&lt;0,-1,1)</f>
        <v>0</v>
      </c>
      <c r="T1107" s="545">
        <f>'Foglio deposito bis'!$F$61*IF(ABS(N1107)&lt;'Sollecitazioni nel paramento'!$G$58,ABS(N1107)*'Sollecitazioni nel paramento'!$G$54,'Sollecitazioni nel paramento'!$G$53)*IF(N1107&lt;0,-1,1)</f>
        <v>240946.49743184328</v>
      </c>
      <c r="U1107" s="545">
        <f>'Foglio deposito bis'!$F$62*IF(ABS(O1107)&lt;'Sollecitazioni nel paramento'!$G$58,ABS(O1107)*'Sollecitazioni nel paramento'!$G$54,'Sollecitazioni nel paramento'!$G$53)*IF(O1107&lt;0,-1,1)</f>
        <v>314705.62929873407</v>
      </c>
      <c r="V1107" s="472">
        <f t="shared" si="78"/>
        <v>-1021208.7629859613</v>
      </c>
      <c r="W1107" s="551"/>
      <c r="X1107" s="551"/>
    </row>
    <row r="1108" spans="1:24" x14ac:dyDescent="0.25">
      <c r="A1108" s="545">
        <f t="shared" si="77"/>
        <v>1082504.7113316671</v>
      </c>
      <c r="B1108" s="3">
        <f t="shared" si="80"/>
        <v>6.8999999999999915</v>
      </c>
      <c r="C1108" s="545">
        <f>'Foglio deposito bis'!$E$157/sezione!$B$247*B1108</f>
        <v>45.391489026456455</v>
      </c>
      <c r="D1108" s="603">
        <f>-'Sollecitazioni nel paramento'!$G$47*'Sollecitazioni nel paramento'!$G$41*IF(DATI!$G$211="dx",DATI!$E$61,DATI!$E$64*DATI!$E$63)*1000*C1108^2*sezione!$AD$5*(1-sezione!$AD$6)</f>
        <v>-45840831.248268686</v>
      </c>
      <c r="E1108" s="545">
        <f>-'Foglio deposito bis'!$F$58*(C1108-sezione!$AL$31)*IF(ABS(K1108)&lt;'Sollecitazioni nel paramento'!$G$58,ABS(K1108)*'Sollecitazioni nel paramento'!$G$54,'Sollecitazioni nel paramento'!$G$53)</f>
        <v>0</v>
      </c>
      <c r="F1108" s="545">
        <f>-'Foglio deposito bis'!$F$59*(C1108-sezione!$AM$31)*IF(ABS(L1108)&lt;'Sollecitazioni nel paramento'!$G$58,ABS(L1108)*'Sollecitazioni nel paramento'!$G$54,'Sollecitazioni nel paramento'!$G$53)</f>
        <v>1331167.2459823815</v>
      </c>
      <c r="G1108" s="545">
        <f>-'Foglio deposito bis'!$F$60*(C1108-sezione!$AN$31)*IF(ABS(M1108)&lt;'Sollecitazioni nel paramento'!$G$58,ABS(M1108)*'Sollecitazioni nel paramento'!$G$54,'Sollecitazioni nel paramento'!$G$53)</f>
        <v>0</v>
      </c>
      <c r="H1108" s="545">
        <f>-'Foglio deposito bis'!$F$61*(C1108-sezione!$AO$31)*IF(ABS(N1108)&lt;'Sollecitazioni nel paramento'!$G$58,ABS(N1108)*'Sollecitazioni nel paramento'!$G$54,'Sollecitazioni nel paramento'!$G$53)</f>
        <v>27614519.294954292</v>
      </c>
      <c r="I1108" s="472">
        <f>-'Foglio deposito bis'!$F$62*(C1108-sezione!$AP$31)*IF(ABS(O1108)&lt;'Sollecitazioni nel paramento'!$G$58,ABS(O1108)*'Sollecitazioni nel paramento'!$G$54,'Sollecitazioni nel paramento'!$G$53)</f>
        <v>126120778.73599227</v>
      </c>
      <c r="J1108" s="472">
        <f t="shared" si="76"/>
        <v>109225634.02866025</v>
      </c>
      <c r="K1108" s="550">
        <f>'Sollecitazioni nel paramento'!$G$60*(sezione!$AL$31-C1108)/C1108</f>
        <v>-4.1572136092735536E-4</v>
      </c>
      <c r="L1108" s="550">
        <f>'Sollecitazioni nel paramento'!$G$60*(sezione!$AM$31-C1108)/C1108</f>
        <v>1.1264179586089669E-3</v>
      </c>
      <c r="M1108" s="551">
        <f>'Sollecitazioni nel paramento'!$G$60*(sezione!$AN$31-C1108)/C1108</f>
        <v>2.6685572781452891E-3</v>
      </c>
      <c r="N1108" s="551">
        <f>'Sollecitazioni nel paramento'!$G$60*(sezione!$AO$31-C1108)/C1108</f>
        <v>8.8371145562905797E-3</v>
      </c>
      <c r="O1108" s="551">
        <f>'Sollecitazioni nel paramento'!$G$60*(sezione!$AP$31-C1108)/C1108</f>
        <v>3.0901228607304189E-2</v>
      </c>
      <c r="P1108" s="545">
        <f>-'Sollecitazioni nel paramento'!$G$47*'Sollecitazioni nel paramento'!$G$41*IF(DATI!$G$211="dx",DATI!$E$61,DATI!$E$64*DATI!$E$63)*1000*C1108*sezione!$AD$5</f>
        <v>-1729279.5574409112</v>
      </c>
      <c r="Q1108" s="545">
        <f>'Foglio deposito bis'!$F$58*IF(ABS(K1108)&lt;'Sollecitazioni nel paramento'!$G$58,ABS(K1108)*'Sollecitazioni nel paramento'!$G$54,'Sollecitazioni nel paramento'!$G$53)*IF(K1108&lt;0,-1,1)</f>
        <v>0</v>
      </c>
      <c r="R1108" s="545">
        <f>'Foglio deposito bis'!$F$59*IF(ABS(L1108)&lt;'Sollecitazioni nel paramento'!$G$58,ABS(L1108)*'Sollecitazioni nel paramento'!$G$54,'Sollecitazioni nel paramento'!$G$53)*IF(L1108&lt;0,-1,1)</f>
        <v>91122.719378666705</v>
      </c>
      <c r="S1108" s="545">
        <f>'Foglio deposito bis'!$F$60*IF(ABS(M1108)&lt;'Sollecitazioni nel paramento'!$G$58,ABS(M1108)*'Sollecitazioni nel paramento'!$G$54,'Sollecitazioni nel paramento'!$G$53)*IF(M1108&lt;0,-1,1)</f>
        <v>0</v>
      </c>
      <c r="T1108" s="545">
        <f>'Foglio deposito bis'!$F$61*IF(ABS(N1108)&lt;'Sollecitazioni nel paramento'!$G$58,ABS(N1108)*'Sollecitazioni nel paramento'!$G$54,'Sollecitazioni nel paramento'!$G$53)*IF(N1108&lt;0,-1,1)</f>
        <v>240946.49743184328</v>
      </c>
      <c r="U1108" s="545">
        <f>'Foglio deposito bis'!$F$62*IF(ABS(O1108)&lt;'Sollecitazioni nel paramento'!$G$58,ABS(O1108)*'Sollecitazioni nel paramento'!$G$54,'Sollecitazioni nel paramento'!$G$53)*IF(O1108&lt;0,-1,1)</f>
        <v>314705.62929873407</v>
      </c>
      <c r="V1108" s="472">
        <f t="shared" si="78"/>
        <v>-1082504.7113316671</v>
      </c>
      <c r="W1108" s="551"/>
      <c r="X1108" s="551"/>
    </row>
    <row r="1109" spans="1:24" x14ac:dyDescent="0.25">
      <c r="A1109" s="545">
        <f t="shared" si="77"/>
        <v>1143171.2566800497</v>
      </c>
      <c r="B1109" s="3">
        <f t="shared" si="80"/>
        <v>7.0999999999999917</v>
      </c>
      <c r="C1109" s="545">
        <f>'Foglio deposito bis'!$E$157/sezione!$B$247*B1109</f>
        <v>46.707184360556646</v>
      </c>
      <c r="D1109" s="603">
        <f>-'Sollecitazioni nel paramento'!$G$47*'Sollecitazioni nel paramento'!$G$41*IF(DATI!$G$211="dx",DATI!$E$61,DATI!$E$64*DATI!$E$63)*1000*C1109^2*sezione!$AD$5*(1-sezione!$AD$6)</f>
        <v>-48536784.356757507</v>
      </c>
      <c r="E1109" s="545">
        <f>-'Foglio deposito bis'!$F$58*(C1109-sezione!$AL$31)*IF(ABS(K1109)&lt;'Sollecitazioni nel paramento'!$G$58,ABS(K1109)*'Sollecitazioni nel paramento'!$G$54,'Sollecitazioni nel paramento'!$G$53)</f>
        <v>0</v>
      </c>
      <c r="F1109" s="545">
        <f>-'Foglio deposito bis'!$F$59*(C1109-sezione!$AM$31)*IF(ABS(L1109)&lt;'Sollecitazioni nel paramento'!$G$58,ABS(L1109)*'Sollecitazioni nel paramento'!$G$54,'Sollecitazioni nel paramento'!$G$53)</f>
        <v>1071137.9976592632</v>
      </c>
      <c r="G1109" s="545">
        <f>-'Foglio deposito bis'!$F$60*(C1109-sezione!$AN$31)*IF(ABS(M1109)&lt;'Sollecitazioni nel paramento'!$G$58,ABS(M1109)*'Sollecitazioni nel paramento'!$G$54,'Sollecitazioni nel paramento'!$G$53)</f>
        <v>0</v>
      </c>
      <c r="H1109" s="545">
        <f>-'Foglio deposito bis'!$F$61*(C1109-sezione!$AO$31)*IF(ABS(N1109)&lt;'Sollecitazioni nel paramento'!$G$58,ABS(N1109)*'Sollecitazioni nel paramento'!$G$54,'Sollecitazioni nel paramento'!$G$53)</f>
        <v>27297507.112515427</v>
      </c>
      <c r="I1109" s="472">
        <f>-'Foglio deposito bis'!$F$62*(C1109-sezione!$AP$31)*IF(ABS(O1109)&lt;'Sollecitazioni nel paramento'!$G$58,ABS(O1109)*'Sollecitazioni nel paramento'!$G$54,'Sollecitazioni nel paramento'!$G$53)</f>
        <v>125706722.00790885</v>
      </c>
      <c r="J1109" s="472">
        <f t="shared" si="76"/>
        <v>105538582.76132604</v>
      </c>
      <c r="K1109" s="550">
        <f>'Sollecitazioni nel paramento'!$G$60*(sezione!$AL$31-C1109)/C1109</f>
        <v>-5.0260244935193717E-4</v>
      </c>
      <c r="L1109" s="550">
        <f>'Sollecitazioni nel paramento'!$G$60*(sezione!$AM$31-C1109)/C1109</f>
        <v>9.960963259720945E-4</v>
      </c>
      <c r="M1109" s="551">
        <f>'Sollecitazioni nel paramento'!$G$60*(sezione!$AN$31-C1109)/C1109</f>
        <v>2.4947951012961257E-3</v>
      </c>
      <c r="N1109" s="551">
        <f>'Sollecitazioni nel paramento'!$G$60*(sezione!$AO$31-C1109)/C1109</f>
        <v>8.4895902025922503E-3</v>
      </c>
      <c r="O1109" s="551">
        <f>'Sollecitazioni nel paramento'!$G$60*(sezione!$AP$31-C1109)/C1109</f>
        <v>2.9932179914140686E-2</v>
      </c>
      <c r="P1109" s="545">
        <f>-'Sollecitazioni nel paramento'!$G$47*'Sollecitazioni nel paramento'!$G$41*IF(DATI!$G$211="dx",DATI!$E$61,DATI!$E$64*DATI!$E$63)*1000*C1109*sezione!$AD$5</f>
        <v>-1779403.6025841262</v>
      </c>
      <c r="Q1109" s="545">
        <f>'Foglio deposito bis'!$F$58*IF(ABS(K1109)&lt;'Sollecitazioni nel paramento'!$G$58,ABS(K1109)*'Sollecitazioni nel paramento'!$G$54,'Sollecitazioni nel paramento'!$G$53)*IF(K1109&lt;0,-1,1)</f>
        <v>0</v>
      </c>
      <c r="R1109" s="545">
        <f>'Foglio deposito bis'!$F$59*IF(ABS(L1109)&lt;'Sollecitazioni nel paramento'!$G$58,ABS(L1109)*'Sollecitazioni nel paramento'!$G$54,'Sollecitazioni nel paramento'!$G$53)*IF(L1109&lt;0,-1,1)</f>
        <v>80580.219173499179</v>
      </c>
      <c r="S1109" s="545">
        <f>'Foglio deposito bis'!$F$60*IF(ABS(M1109)&lt;'Sollecitazioni nel paramento'!$G$58,ABS(M1109)*'Sollecitazioni nel paramento'!$G$54,'Sollecitazioni nel paramento'!$G$53)*IF(M1109&lt;0,-1,1)</f>
        <v>0</v>
      </c>
      <c r="T1109" s="545">
        <f>'Foglio deposito bis'!$F$61*IF(ABS(N1109)&lt;'Sollecitazioni nel paramento'!$G$58,ABS(N1109)*'Sollecitazioni nel paramento'!$G$54,'Sollecitazioni nel paramento'!$G$53)*IF(N1109&lt;0,-1,1)</f>
        <v>240946.49743184328</v>
      </c>
      <c r="U1109" s="545">
        <f>'Foglio deposito bis'!$F$62*IF(ABS(O1109)&lt;'Sollecitazioni nel paramento'!$G$58,ABS(O1109)*'Sollecitazioni nel paramento'!$G$54,'Sollecitazioni nel paramento'!$G$53)*IF(O1109&lt;0,-1,1)</f>
        <v>314705.62929873407</v>
      </c>
      <c r="V1109" s="472">
        <f t="shared" si="78"/>
        <v>-1143171.2566800497</v>
      </c>
      <c r="W1109" s="551"/>
      <c r="X1109" s="551"/>
    </row>
    <row r="1110" spans="1:24" x14ac:dyDescent="0.25">
      <c r="A1110" s="545">
        <f t="shared" si="77"/>
        <v>1203260.1307843134</v>
      </c>
      <c r="B1110" s="3">
        <f t="shared" si="80"/>
        <v>7.2999999999999918</v>
      </c>
      <c r="C1110" s="545">
        <f>'Foglio deposito bis'!$E$157/sezione!$B$247*B1110</f>
        <v>48.022879694656837</v>
      </c>
      <c r="D1110" s="603">
        <f>-'Sollecitazioni nel paramento'!$G$47*'Sollecitazioni nel paramento'!$G$41*IF(DATI!$G$211="dx",DATI!$E$61,DATI!$E$64*DATI!$E$63)*1000*C1110^2*sezione!$AD$5*(1-sezione!$AD$6)</f>
        <v>-51309764.696917437</v>
      </c>
      <c r="E1110" s="545">
        <f>-'Foglio deposito bis'!$F$58*(C1110-sezione!$AL$31)*IF(ABS(K1110)&lt;'Sollecitazioni nel paramento'!$G$58,ABS(K1110)*'Sollecitazioni nel paramento'!$G$54,'Sollecitazioni nel paramento'!$G$53)</f>
        <v>0</v>
      </c>
      <c r="F1110" s="545">
        <f>-'Foglio deposito bis'!$F$59*(C1110-sezione!$AM$31)*IF(ABS(L1110)&lt;'Sollecitazioni nel paramento'!$G$58,ABS(L1110)*'Sollecitazioni nel paramento'!$G$54,'Sollecitazioni nel paramento'!$G$53)</f>
        <v>845769.02398327051</v>
      </c>
      <c r="G1110" s="545">
        <f>-'Foglio deposito bis'!$F$60*(C1110-sezione!$AN$31)*IF(ABS(M1110)&lt;'Sollecitazioni nel paramento'!$G$58,ABS(M1110)*'Sollecitazioni nel paramento'!$G$54,'Sollecitazioni nel paramento'!$G$53)</f>
        <v>0</v>
      </c>
      <c r="H1110" s="545">
        <f>-'Foglio deposito bis'!$F$61*(C1110-sezione!$AO$31)*IF(ABS(N1110)&lt;'Sollecitazioni nel paramento'!$G$58,ABS(N1110)*'Sollecitazioni nel paramento'!$G$54,'Sollecitazioni nel paramento'!$G$53)</f>
        <v>26980494.930076573</v>
      </c>
      <c r="I1110" s="472">
        <f>-'Foglio deposito bis'!$F$62*(C1110-sezione!$AP$31)*IF(ABS(O1110)&lt;'Sollecitazioni nel paramento'!$G$58,ABS(O1110)*'Sollecitazioni nel paramento'!$G$54,'Sollecitazioni nel paramento'!$G$53)</f>
        <v>125292665.27982543</v>
      </c>
      <c r="J1110" s="472">
        <f t="shared" si="76"/>
        <v>101809164.53696784</v>
      </c>
      <c r="K1110" s="550">
        <f>'Sollecitazioni nel paramento'!$G$60*(sezione!$AL$31-C1110)/C1110</f>
        <v>-5.8472293019161024E-4</v>
      </c>
      <c r="L1110" s="550">
        <f>'Sollecitazioni nel paramento'!$G$60*(sezione!$AM$31-C1110)/C1110</f>
        <v>8.7291560471258463E-4</v>
      </c>
      <c r="M1110" s="551">
        <f>'Sollecitazioni nel paramento'!$G$60*(sezione!$AN$31-C1110)/C1110</f>
        <v>2.3305541396167794E-3</v>
      </c>
      <c r="N1110" s="551">
        <f>'Sollecitazioni nel paramento'!$G$60*(sezione!$AO$31-C1110)/C1110</f>
        <v>8.1611082792335601E-3</v>
      </c>
      <c r="O1110" s="551">
        <f>'Sollecitazioni nel paramento'!$G$60*(sezione!$AP$31-C1110)/C1110</f>
        <v>2.9016229779506693E-2</v>
      </c>
      <c r="P1110" s="545">
        <f>-'Sollecitazioni nel paramento'!$G$47*'Sollecitazioni nel paramento'!$G$41*IF(DATI!$G$211="dx",DATI!$E$61,DATI!$E$64*DATI!$E$63)*1000*C1110*sezione!$AD$5</f>
        <v>-1829527.6477273412</v>
      </c>
      <c r="Q1110" s="545">
        <f>'Foglio deposito bis'!$F$58*IF(ABS(K1110)&lt;'Sollecitazioni nel paramento'!$G$58,ABS(K1110)*'Sollecitazioni nel paramento'!$G$54,'Sollecitazioni nel paramento'!$G$53)*IF(K1110&lt;0,-1,1)</f>
        <v>0</v>
      </c>
      <c r="R1110" s="545">
        <f>'Foglio deposito bis'!$F$59*IF(ABS(L1110)&lt;'Sollecitazioni nel paramento'!$G$58,ABS(L1110)*'Sollecitazioni nel paramento'!$G$54,'Sollecitazioni nel paramento'!$G$53)*IF(L1110&lt;0,-1,1)</f>
        <v>70615.390212450395</v>
      </c>
      <c r="S1110" s="545">
        <f>'Foglio deposito bis'!$F$60*IF(ABS(M1110)&lt;'Sollecitazioni nel paramento'!$G$58,ABS(M1110)*'Sollecitazioni nel paramento'!$G$54,'Sollecitazioni nel paramento'!$G$53)*IF(M1110&lt;0,-1,1)</f>
        <v>0</v>
      </c>
      <c r="T1110" s="545">
        <f>'Foglio deposito bis'!$F$61*IF(ABS(N1110)&lt;'Sollecitazioni nel paramento'!$G$58,ABS(N1110)*'Sollecitazioni nel paramento'!$G$54,'Sollecitazioni nel paramento'!$G$53)*IF(N1110&lt;0,-1,1)</f>
        <v>240946.49743184328</v>
      </c>
      <c r="U1110" s="545">
        <f>'Foglio deposito bis'!$F$62*IF(ABS(O1110)&lt;'Sollecitazioni nel paramento'!$G$58,ABS(O1110)*'Sollecitazioni nel paramento'!$G$54,'Sollecitazioni nel paramento'!$G$53)*IF(O1110&lt;0,-1,1)</f>
        <v>314705.62929873407</v>
      </c>
      <c r="V1110" s="472">
        <f t="shared" si="78"/>
        <v>-1203260.1307843134</v>
      </c>
      <c r="W1110" s="551"/>
      <c r="X1110" s="551"/>
    </row>
    <row r="1111" spans="1:24" x14ac:dyDescent="0.25">
      <c r="A1111" s="545">
        <f t="shared" si="77"/>
        <v>1262817.547343988</v>
      </c>
      <c r="B1111" s="3">
        <f t="shared" si="80"/>
        <v>7.499999999999992</v>
      </c>
      <c r="C1111" s="545">
        <f>'Foglio deposito bis'!$E$157/sezione!$B$247*B1111</f>
        <v>49.338575028757027</v>
      </c>
      <c r="D1111" s="603">
        <f>-'Sollecitazioni nel paramento'!$G$47*'Sollecitazioni nel paramento'!$G$41*IF(DATI!$G$211="dx",DATI!$E$61,DATI!$E$64*DATI!$E$63)*1000*C1111^2*sezione!$AD$5*(1-sezione!$AD$6)</f>
        <v>-54159772.268748477</v>
      </c>
      <c r="E1111" s="545">
        <f>-'Foglio deposito bis'!$F$58*(C1111-sezione!$AL$31)*IF(ABS(K1111)&lt;'Sollecitazioni nel paramento'!$G$58,ABS(K1111)*'Sollecitazioni nel paramento'!$G$54,'Sollecitazioni nel paramento'!$G$53)</f>
        <v>0</v>
      </c>
      <c r="F1111" s="545">
        <f>-'Foglio deposito bis'!$F$59*(C1111-sezione!$AM$31)*IF(ABS(L1111)&lt;'Sollecitazioni nel paramento'!$G$58,ABS(L1111)*'Sollecitazioni nel paramento'!$G$54,'Sollecitazioni nel paramento'!$G$53)</f>
        <v>652287.50298263424</v>
      </c>
      <c r="G1111" s="545">
        <f>-'Foglio deposito bis'!$F$60*(C1111-sezione!$AN$31)*IF(ABS(M1111)&lt;'Sollecitazioni nel paramento'!$G$58,ABS(M1111)*'Sollecitazioni nel paramento'!$G$54,'Sollecitazioni nel paramento'!$G$53)</f>
        <v>0</v>
      </c>
      <c r="H1111" s="545">
        <f>-'Foglio deposito bis'!$F$61*(C1111-sezione!$AO$31)*IF(ABS(N1111)&lt;'Sollecitazioni nel paramento'!$G$58,ABS(N1111)*'Sollecitazioni nel paramento'!$G$54,'Sollecitazioni nel paramento'!$G$53)</f>
        <v>26663482.747637711</v>
      </c>
      <c r="I1111" s="472">
        <f>-'Foglio deposito bis'!$F$62*(C1111-sezione!$AP$31)*IF(ABS(O1111)&lt;'Sollecitazioni nel paramento'!$G$58,ABS(O1111)*'Sollecitazioni nel paramento'!$G$54,'Sollecitazioni nel paramento'!$G$53)</f>
        <v>124878608.55174205</v>
      </c>
      <c r="J1111" s="472">
        <f t="shared" si="76"/>
        <v>98034606.53361392</v>
      </c>
      <c r="K1111" s="550">
        <f>'Sollecitazioni nel paramento'!$G$60*(sezione!$AL$31-C1111)/C1111</f>
        <v>-6.6246365205316761E-4</v>
      </c>
      <c r="L1111" s="550">
        <f>'Sollecitazioni nel paramento'!$G$60*(sezione!$AM$31-C1111)/C1111</f>
        <v>7.5630452192024873E-4</v>
      </c>
      <c r="M1111" s="551">
        <f>'Sollecitazioni nel paramento'!$G$60*(sezione!$AN$31-C1111)/C1111</f>
        <v>2.1750726958936649E-3</v>
      </c>
      <c r="N1111" s="551">
        <f>'Sollecitazioni nel paramento'!$G$60*(sezione!$AO$31-C1111)/C1111</f>
        <v>7.8501453917873311E-3</v>
      </c>
      <c r="O1111" s="551">
        <f>'Sollecitazioni nel paramento'!$G$60*(sezione!$AP$31-C1111)/C1111</f>
        <v>2.8149130318719847E-2</v>
      </c>
      <c r="P1111" s="545">
        <f>-'Sollecitazioni nel paramento'!$G$47*'Sollecitazioni nel paramento'!$G$41*IF(DATI!$G$211="dx",DATI!$E$61,DATI!$E$64*DATI!$E$63)*1000*C1111*sezione!$AD$5</f>
        <v>-1879651.6928705561</v>
      </c>
      <c r="Q1111" s="545">
        <f>'Foglio deposito bis'!$F$58*IF(ABS(K1111)&lt;'Sollecitazioni nel paramento'!$G$58,ABS(K1111)*'Sollecitazioni nel paramento'!$G$54,'Sollecitazioni nel paramento'!$G$53)*IF(K1111&lt;0,-1,1)</f>
        <v>0</v>
      </c>
      <c r="R1111" s="545">
        <f>'Foglio deposito bis'!$F$59*IF(ABS(L1111)&lt;'Sollecitazioni nel paramento'!$G$58,ABS(L1111)*'Sollecitazioni nel paramento'!$G$54,'Sollecitazioni nel paramento'!$G$53)*IF(L1111&lt;0,-1,1)</f>
        <v>61182.018795990894</v>
      </c>
      <c r="S1111" s="545">
        <f>'Foglio deposito bis'!$F$60*IF(ABS(M1111)&lt;'Sollecitazioni nel paramento'!$G$58,ABS(M1111)*'Sollecitazioni nel paramento'!$G$54,'Sollecitazioni nel paramento'!$G$53)*IF(M1111&lt;0,-1,1)</f>
        <v>0</v>
      </c>
      <c r="T1111" s="545">
        <f>'Foglio deposito bis'!$F$61*IF(ABS(N1111)&lt;'Sollecitazioni nel paramento'!$G$58,ABS(N1111)*'Sollecitazioni nel paramento'!$G$54,'Sollecitazioni nel paramento'!$G$53)*IF(N1111&lt;0,-1,1)</f>
        <v>240946.49743184328</v>
      </c>
      <c r="U1111" s="545">
        <f>'Foglio deposito bis'!$F$62*IF(ABS(O1111)&lt;'Sollecitazioni nel paramento'!$G$58,ABS(O1111)*'Sollecitazioni nel paramento'!$G$54,'Sollecitazioni nel paramento'!$G$53)*IF(O1111&lt;0,-1,1)</f>
        <v>314705.62929873407</v>
      </c>
      <c r="V1111" s="472">
        <f t="shared" si="78"/>
        <v>-1262817.547343988</v>
      </c>
      <c r="W1111" s="551"/>
      <c r="X1111" s="551"/>
    </row>
    <row r="1112" spans="1:24" x14ac:dyDescent="0.25">
      <c r="A1112" s="545">
        <f t="shared" si="77"/>
        <v>1321884.918635275</v>
      </c>
      <c r="B1112" s="3">
        <f t="shared" si="80"/>
        <v>7.6999999999999922</v>
      </c>
      <c r="C1112" s="545">
        <f>'Foglio deposito bis'!$E$157/sezione!$B$247*B1112</f>
        <v>50.654270362857218</v>
      </c>
      <c r="D1112" s="603">
        <f>-'Sollecitazioni nel paramento'!$G$47*'Sollecitazioni nel paramento'!$G$41*IF(DATI!$G$211="dx",DATI!$E$61,DATI!$E$64*DATI!$E$63)*1000*C1112^2*sezione!$AD$5*(1-sezione!$AD$6)</f>
        <v>-57086807.072250634</v>
      </c>
      <c r="E1112" s="545">
        <f>-'Foglio deposito bis'!$F$58*(C1112-sezione!$AL$31)*IF(ABS(K1112)&lt;'Sollecitazioni nel paramento'!$G$58,ABS(K1112)*'Sollecitazioni nel paramento'!$G$54,'Sollecitazioni nel paramento'!$G$53)</f>
        <v>0</v>
      </c>
      <c r="F1112" s="545">
        <f>-'Foglio deposito bis'!$F$59*(C1112-sezione!$AM$31)*IF(ABS(L1112)&lt;'Sollecitazioni nel paramento'!$G$58,ABS(L1112)*'Sollecitazioni nel paramento'!$G$54,'Sollecitazioni nel paramento'!$G$53)</f>
        <v>488208.69808524835</v>
      </c>
      <c r="G1112" s="545">
        <f>-'Foglio deposito bis'!$F$60*(C1112-sezione!$AN$31)*IF(ABS(M1112)&lt;'Sollecitazioni nel paramento'!$G$58,ABS(M1112)*'Sollecitazioni nel paramento'!$G$54,'Sollecitazioni nel paramento'!$G$53)</f>
        <v>0</v>
      </c>
      <c r="H1112" s="545">
        <f>-'Foglio deposito bis'!$F$61*(C1112-sezione!$AO$31)*IF(ABS(N1112)&lt;'Sollecitazioni nel paramento'!$G$58,ABS(N1112)*'Sollecitazioni nel paramento'!$G$54,'Sollecitazioni nel paramento'!$G$53)</f>
        <v>26346470.56519885</v>
      </c>
      <c r="I1112" s="472">
        <f>-'Foglio deposito bis'!$F$62*(C1112-sezione!$AP$31)*IF(ABS(O1112)&lt;'Sollecitazioni nel paramento'!$G$58,ABS(O1112)*'Sollecitazioni nel paramento'!$G$54,'Sollecitazioni nel paramento'!$G$53)</f>
        <v>124464551.82365862</v>
      </c>
      <c r="J1112" s="472">
        <f t="shared" si="76"/>
        <v>94212424.014692083</v>
      </c>
      <c r="K1112" s="550">
        <f>'Sollecitazioni nel paramento'!$G$60*(sezione!$AL$31-C1112)/C1112</f>
        <v>-7.3616589485698148E-4</v>
      </c>
      <c r="L1112" s="550">
        <f>'Sollecitazioni nel paramento'!$G$60*(sezione!$AM$31-C1112)/C1112</f>
        <v>6.4575115771452771E-4</v>
      </c>
      <c r="M1112" s="551">
        <f>'Sollecitazioni nel paramento'!$G$60*(sezione!$AN$31-C1112)/C1112</f>
        <v>2.0276682102860371E-3</v>
      </c>
      <c r="N1112" s="551">
        <f>'Sollecitazioni nel paramento'!$G$60*(sezione!$AO$31-C1112)/C1112</f>
        <v>7.5553364205720739E-3</v>
      </c>
      <c r="O1112" s="551">
        <f>'Sollecitazioni nel paramento'!$G$60*(sezione!$AP$31-C1112)/C1112</f>
        <v>2.7327074985766083E-2</v>
      </c>
      <c r="P1112" s="545">
        <f>-'Sollecitazioni nel paramento'!$G$47*'Sollecitazioni nel paramento'!$G$41*IF(DATI!$G$211="dx",DATI!$E$61,DATI!$E$64*DATI!$E$63)*1000*C1112*sezione!$AD$5</f>
        <v>-1929775.7380137711</v>
      </c>
      <c r="Q1112" s="545">
        <f>'Foglio deposito bis'!$F$58*IF(ABS(K1112)&lt;'Sollecitazioni nel paramento'!$G$58,ABS(K1112)*'Sollecitazioni nel paramento'!$G$54,'Sollecitazioni nel paramento'!$G$53)*IF(K1112&lt;0,-1,1)</f>
        <v>0</v>
      </c>
      <c r="R1112" s="545">
        <f>'Foglio deposito bis'!$F$59*IF(ABS(L1112)&lt;'Sollecitazioni nel paramento'!$G$58,ABS(L1112)*'Sollecitazioni nel paramento'!$G$54,'Sollecitazioni nel paramento'!$G$53)*IF(L1112&lt;0,-1,1)</f>
        <v>52238.692647918899</v>
      </c>
      <c r="S1112" s="545">
        <f>'Foglio deposito bis'!$F$60*IF(ABS(M1112)&lt;'Sollecitazioni nel paramento'!$G$58,ABS(M1112)*'Sollecitazioni nel paramento'!$G$54,'Sollecitazioni nel paramento'!$G$53)*IF(M1112&lt;0,-1,1)</f>
        <v>0</v>
      </c>
      <c r="T1112" s="545">
        <f>'Foglio deposito bis'!$F$61*IF(ABS(N1112)&lt;'Sollecitazioni nel paramento'!$G$58,ABS(N1112)*'Sollecitazioni nel paramento'!$G$54,'Sollecitazioni nel paramento'!$G$53)*IF(N1112&lt;0,-1,1)</f>
        <v>240946.49743184328</v>
      </c>
      <c r="U1112" s="545">
        <f>'Foglio deposito bis'!$F$62*IF(ABS(O1112)&lt;'Sollecitazioni nel paramento'!$G$58,ABS(O1112)*'Sollecitazioni nel paramento'!$G$54,'Sollecitazioni nel paramento'!$G$53)*IF(O1112&lt;0,-1,1)</f>
        <v>314705.62929873407</v>
      </c>
      <c r="V1112" s="472">
        <f t="shared" si="78"/>
        <v>-1321884.918635275</v>
      </c>
      <c r="W1112" s="551"/>
      <c r="X1112" s="551"/>
    </row>
    <row r="1113" spans="1:24" x14ac:dyDescent="0.25">
      <c r="A1113" s="545">
        <f t="shared" si="77"/>
        <v>1380499.4632861533</v>
      </c>
      <c r="B1113" s="3">
        <f t="shared" si="80"/>
        <v>7.8999999999999924</v>
      </c>
      <c r="C1113" s="545">
        <f>'Foglio deposito bis'!$E$157/sezione!$B$247*B1113</f>
        <v>51.969965696957409</v>
      </c>
      <c r="D1113" s="603">
        <f>-'Sollecitazioni nel paramento'!$G$47*'Sollecitazioni nel paramento'!$G$41*IF(DATI!$G$211="dx",DATI!$E$61,DATI!$E$64*DATI!$E$63)*1000*C1113^2*sezione!$AD$5*(1-sezione!$AD$6)</f>
        <v>-60090869.107423887</v>
      </c>
      <c r="E1113" s="545">
        <f>-'Foglio deposito bis'!$F$58*(C1113-sezione!$AL$31)*IF(ABS(K1113)&lt;'Sollecitazioni nel paramento'!$G$58,ABS(K1113)*'Sollecitazioni nel paramento'!$G$54,'Sollecitazioni nel paramento'!$G$53)</f>
        <v>0</v>
      </c>
      <c r="F1113" s="545">
        <f>-'Foglio deposito bis'!$F$59*(C1113-sezione!$AM$31)*IF(ABS(L1113)&lt;'Sollecitazioni nel paramento'!$G$58,ABS(L1113)*'Sollecitazioni nel paramento'!$G$54,'Sollecitazioni nel paramento'!$G$53)</f>
        <v>351299.49161238509</v>
      </c>
      <c r="G1113" s="545">
        <f>-'Foglio deposito bis'!$F$60*(C1113-sezione!$AN$31)*IF(ABS(M1113)&lt;'Sollecitazioni nel paramento'!$G$58,ABS(M1113)*'Sollecitazioni nel paramento'!$G$54,'Sollecitazioni nel paramento'!$G$53)</f>
        <v>0</v>
      </c>
      <c r="H1113" s="545">
        <f>-'Foglio deposito bis'!$F$61*(C1113-sezione!$AO$31)*IF(ABS(N1113)&lt;'Sollecitazioni nel paramento'!$G$58,ABS(N1113)*'Sollecitazioni nel paramento'!$G$54,'Sollecitazioni nel paramento'!$G$53)</f>
        <v>26029458.382759992</v>
      </c>
      <c r="I1113" s="472">
        <f>-'Foglio deposito bis'!$F$62*(C1113-sezione!$AP$31)*IF(ABS(O1113)&lt;'Sollecitazioni nel paramento'!$G$58,ABS(O1113)*'Sollecitazioni nel paramento'!$G$54,'Sollecitazioni nel paramento'!$G$53)</f>
        <v>124050495.09557523</v>
      </c>
      <c r="J1113" s="472">
        <f t="shared" si="76"/>
        <v>90340383.86252372</v>
      </c>
      <c r="K1113" s="550">
        <f>'Sollecitazioni nel paramento'!$G$60*(sezione!$AL$31-C1113)/C1113</f>
        <v>-8.0613637853148854E-4</v>
      </c>
      <c r="L1113" s="550">
        <f>'Sollecitazioni nel paramento'!$G$60*(sezione!$AM$31-C1113)/C1113</f>
        <v>5.4079543220276723E-4</v>
      </c>
      <c r="M1113" s="551">
        <f>'Sollecitazioni nel paramento'!$G$60*(sezione!$AN$31-C1113)/C1113</f>
        <v>1.887727242937023E-3</v>
      </c>
      <c r="N1113" s="551">
        <f>'Sollecitazioni nel paramento'!$G$60*(sezione!$AO$31-C1113)/C1113</f>
        <v>7.2754544858740456E-3</v>
      </c>
      <c r="O1113" s="551">
        <f>'Sollecitazioni nel paramento'!$G$60*(sezione!$AP$31-C1113)/C1113</f>
        <v>2.654664270764542E-2</v>
      </c>
      <c r="P1113" s="545">
        <f>-'Sollecitazioni nel paramento'!$G$47*'Sollecitazioni nel paramento'!$G$41*IF(DATI!$G$211="dx",DATI!$E$61,DATI!$E$64*DATI!$E$63)*1000*C1113*sezione!$AD$5</f>
        <v>-1979899.7831569861</v>
      </c>
      <c r="Q1113" s="545">
        <f>'Foglio deposito bis'!$F$58*IF(ABS(K1113)&lt;'Sollecitazioni nel paramento'!$G$58,ABS(K1113)*'Sollecitazioni nel paramento'!$G$54,'Sollecitazioni nel paramento'!$G$53)*IF(K1113&lt;0,-1,1)</f>
        <v>0</v>
      </c>
      <c r="R1113" s="545">
        <f>'Foglio deposito bis'!$F$59*IF(ABS(L1113)&lt;'Sollecitazioni nel paramento'!$G$58,ABS(L1113)*'Sollecitazioni nel paramento'!$G$54,'Sollecitazioni nel paramento'!$G$53)*IF(L1113&lt;0,-1,1)</f>
        <v>43748.193140255607</v>
      </c>
      <c r="S1113" s="545">
        <f>'Foglio deposito bis'!$F$60*IF(ABS(M1113)&lt;'Sollecitazioni nel paramento'!$G$58,ABS(M1113)*'Sollecitazioni nel paramento'!$G$54,'Sollecitazioni nel paramento'!$G$53)*IF(M1113&lt;0,-1,1)</f>
        <v>0</v>
      </c>
      <c r="T1113" s="545">
        <f>'Foglio deposito bis'!$F$61*IF(ABS(N1113)&lt;'Sollecitazioni nel paramento'!$G$58,ABS(N1113)*'Sollecitazioni nel paramento'!$G$54,'Sollecitazioni nel paramento'!$G$53)*IF(N1113&lt;0,-1,1)</f>
        <v>240946.49743184328</v>
      </c>
      <c r="U1113" s="545">
        <f>'Foglio deposito bis'!$F$62*IF(ABS(O1113)&lt;'Sollecitazioni nel paramento'!$G$58,ABS(O1113)*'Sollecitazioni nel paramento'!$G$54,'Sollecitazioni nel paramento'!$G$53)*IF(O1113&lt;0,-1,1)</f>
        <v>314705.62929873407</v>
      </c>
      <c r="V1113" s="472">
        <f t="shared" si="78"/>
        <v>-1380499.4632861533</v>
      </c>
      <c r="W1113" s="551"/>
      <c r="X1113" s="551"/>
    </row>
    <row r="1114" spans="1:24" x14ac:dyDescent="0.25">
      <c r="A1114" s="545">
        <f t="shared" si="77"/>
        <v>1438694.7240107267</v>
      </c>
      <c r="B1114" s="3">
        <f t="shared" si="80"/>
        <v>8.0999999999999925</v>
      </c>
      <c r="C1114" s="545">
        <f>'Foglio deposito bis'!$E$157/sezione!$B$247*B1114</f>
        <v>53.285661031057593</v>
      </c>
      <c r="D1114" s="603">
        <f>-'Sollecitazioni nel paramento'!$G$47*'Sollecitazioni nel paramento'!$G$41*IF(DATI!$G$211="dx",DATI!$E$61,DATI!$E$64*DATI!$E$63)*1000*C1114^2*sezione!$AD$5*(1-sezione!$AD$6)</f>
        <v>-63171958.374268226</v>
      </c>
      <c r="E1114" s="545">
        <f>-'Foglio deposito bis'!$F$58*(C1114-sezione!$AL$31)*IF(ABS(K1114)&lt;'Sollecitazioni nel paramento'!$G$58,ABS(K1114)*'Sollecitazioni nel paramento'!$G$54,'Sollecitazioni nel paramento'!$G$53)</f>
        <v>0</v>
      </c>
      <c r="F1114" s="545">
        <f>-'Foglio deposito bis'!$F$59*(C1114-sezione!$AM$31)*IF(ABS(L1114)&lt;'Sollecitazioni nel paramento'!$G$58,ABS(L1114)*'Sollecitazioni nel paramento'!$G$54,'Sollecitazioni nel paramento'!$G$53)</f>
        <v>239547.32071778402</v>
      </c>
      <c r="G1114" s="545">
        <f>-'Foglio deposito bis'!$F$60*(C1114-sezione!$AN$31)*IF(ABS(M1114)&lt;'Sollecitazioni nel paramento'!$G$58,ABS(M1114)*'Sollecitazioni nel paramento'!$G$54,'Sollecitazioni nel paramento'!$G$53)</f>
        <v>0</v>
      </c>
      <c r="H1114" s="545">
        <f>-'Foglio deposito bis'!$F$61*(C1114-sezione!$AO$31)*IF(ABS(N1114)&lt;'Sollecitazioni nel paramento'!$G$58,ABS(N1114)*'Sollecitazioni nel paramento'!$G$54,'Sollecitazioni nel paramento'!$G$53)</f>
        <v>25712446.20032113</v>
      </c>
      <c r="I1114" s="472">
        <f>-'Foglio deposito bis'!$F$62*(C1114-sezione!$AP$31)*IF(ABS(O1114)&lt;'Sollecitazioni nel paramento'!$G$58,ABS(O1114)*'Sollecitazioni nel paramento'!$G$54,'Sollecitazioni nel paramento'!$G$53)</f>
        <v>123636438.36749181</v>
      </c>
      <c r="J1114" s="472">
        <f t="shared" si="76"/>
        <v>86416473.514262497</v>
      </c>
      <c r="K1114" s="550">
        <f>'Sollecitazioni nel paramento'!$G$60*(sezione!$AL$31-C1114)/C1114</f>
        <v>-8.7265152967885905E-4</v>
      </c>
      <c r="L1114" s="550">
        <f>'Sollecitazioni nel paramento'!$G$60*(sezione!$AM$31-C1114)/C1114</f>
        <v>4.4102270548171147E-4</v>
      </c>
      <c r="M1114" s="551">
        <f>'Sollecitazioni nel paramento'!$G$60*(sezione!$AN$31-C1114)/C1114</f>
        <v>1.754696940642282E-3</v>
      </c>
      <c r="N1114" s="551">
        <f>'Sollecitazioni nel paramento'!$G$60*(sezione!$AO$31-C1114)/C1114</f>
        <v>7.0093938812845636E-3</v>
      </c>
      <c r="O1114" s="551">
        <f>'Sollecitazioni nel paramento'!$G$60*(sezione!$AP$31-C1114)/C1114</f>
        <v>2.5804750295110968E-2</v>
      </c>
      <c r="P1114" s="545">
        <f>-'Sollecitazioni nel paramento'!$G$47*'Sollecitazioni nel paramento'!$G$41*IF(DATI!$G$211="dx",DATI!$E$61,DATI!$E$64*DATI!$E$63)*1000*C1114*sezione!$AD$5</f>
        <v>-2030023.8283002006</v>
      </c>
      <c r="Q1114" s="545">
        <f>'Foglio deposito bis'!$F$58*IF(ABS(K1114)&lt;'Sollecitazioni nel paramento'!$G$58,ABS(K1114)*'Sollecitazioni nel paramento'!$G$54,'Sollecitazioni nel paramento'!$G$53)*IF(K1114&lt;0,-1,1)</f>
        <v>0</v>
      </c>
      <c r="R1114" s="545">
        <f>'Foglio deposito bis'!$F$59*IF(ABS(L1114)&lt;'Sollecitazioni nel paramento'!$G$58,ABS(L1114)*'Sollecitazioni nel paramento'!$G$54,'Sollecitazioni nel paramento'!$G$53)*IF(L1114&lt;0,-1,1)</f>
        <v>35676.977558896724</v>
      </c>
      <c r="S1114" s="545">
        <f>'Foglio deposito bis'!$F$60*IF(ABS(M1114)&lt;'Sollecitazioni nel paramento'!$G$58,ABS(M1114)*'Sollecitazioni nel paramento'!$G$54,'Sollecitazioni nel paramento'!$G$53)*IF(M1114&lt;0,-1,1)</f>
        <v>0</v>
      </c>
      <c r="T1114" s="545">
        <f>'Foglio deposito bis'!$F$61*IF(ABS(N1114)&lt;'Sollecitazioni nel paramento'!$G$58,ABS(N1114)*'Sollecitazioni nel paramento'!$G$54,'Sollecitazioni nel paramento'!$G$53)*IF(N1114&lt;0,-1,1)</f>
        <v>240946.49743184328</v>
      </c>
      <c r="U1114" s="545">
        <f>'Foglio deposito bis'!$F$62*IF(ABS(O1114)&lt;'Sollecitazioni nel paramento'!$G$58,ABS(O1114)*'Sollecitazioni nel paramento'!$G$54,'Sollecitazioni nel paramento'!$G$53)*IF(O1114&lt;0,-1,1)</f>
        <v>314705.62929873407</v>
      </c>
      <c r="V1114" s="472">
        <f t="shared" si="78"/>
        <v>-1438694.7240107267</v>
      </c>
      <c r="W1114" s="551"/>
      <c r="X1114" s="551"/>
    </row>
    <row r="1115" spans="1:24" x14ac:dyDescent="0.25">
      <c r="A1115" s="545">
        <f t="shared" si="77"/>
        <v>1496501.0104904152</v>
      </c>
      <c r="B1115" s="3">
        <f t="shared" si="80"/>
        <v>8.2999999999999918</v>
      </c>
      <c r="C1115" s="545">
        <f>'Foglio deposito bis'!$E$157/sezione!$B$247*B1115</f>
        <v>54.601356365157777</v>
      </c>
      <c r="D1115" s="603">
        <f>-'Sollecitazioni nel paramento'!$G$47*'Sollecitazioni nel paramento'!$G$41*IF(DATI!$G$211="dx",DATI!$E$61,DATI!$E$64*DATI!$E$63)*1000*C1115^2*sezione!$AD$5*(1-sezione!$AD$6)</f>
        <v>-66330074.872783683</v>
      </c>
      <c r="E1115" s="545">
        <f>-'Foglio deposito bis'!$F$58*(C1115-sezione!$AL$31)*IF(ABS(K1115)&lt;'Sollecitazioni nel paramento'!$G$58,ABS(K1115)*'Sollecitazioni nel paramento'!$G$54,'Sollecitazioni nel paramento'!$G$53)</f>
        <v>0</v>
      </c>
      <c r="F1115" s="545">
        <f>-'Foglio deposito bis'!$F$59*(C1115-sezione!$AM$31)*IF(ABS(L1115)&lt;'Sollecitazioni nel paramento'!$G$58,ABS(L1115)*'Sollecitazioni nel paramento'!$G$54,'Sollecitazioni nel paramento'!$G$53)</f>
        <v>151133.6045162688</v>
      </c>
      <c r="G1115" s="545">
        <f>-'Foglio deposito bis'!$F$60*(C1115-sezione!$AN$31)*IF(ABS(M1115)&lt;'Sollecitazioni nel paramento'!$G$58,ABS(M1115)*'Sollecitazioni nel paramento'!$G$54,'Sollecitazioni nel paramento'!$G$53)</f>
        <v>0</v>
      </c>
      <c r="H1115" s="545">
        <f>-'Foglio deposito bis'!$F$61*(C1115-sezione!$AO$31)*IF(ABS(N1115)&lt;'Sollecitazioni nel paramento'!$G$58,ABS(N1115)*'Sollecitazioni nel paramento'!$G$54,'Sollecitazioni nel paramento'!$G$53)</f>
        <v>25395434.017882276</v>
      </c>
      <c r="I1115" s="472">
        <f>-'Foglio deposito bis'!$F$62*(C1115-sezione!$AP$31)*IF(ABS(O1115)&lt;'Sollecitazioni nel paramento'!$G$58,ABS(O1115)*'Sollecitazioni nel paramento'!$G$54,'Sollecitazioni nel paramento'!$G$53)</f>
        <v>123222381.63940842</v>
      </c>
      <c r="J1115" s="472">
        <f t="shared" si="76"/>
        <v>82438874.389023289</v>
      </c>
      <c r="K1115" s="550">
        <f>'Sollecitazioni nel paramento'!$G$60*(sezione!$AL$31-C1115)/C1115</f>
        <v>-9.3596113137334419E-4</v>
      </c>
      <c r="L1115" s="550">
        <f>'Sollecitazioni nel paramento'!$G$60*(sezione!$AM$31-C1115)/C1115</f>
        <v>3.4605830293998375E-4</v>
      </c>
      <c r="M1115" s="551">
        <f>'Sollecitazioni nel paramento'!$G$60*(sezione!$AN$31-C1115)/C1115</f>
        <v>1.6280777372533119E-3</v>
      </c>
      <c r="N1115" s="551">
        <f>'Sollecitazioni nel paramento'!$G$60*(sezione!$AO$31-C1115)/C1115</f>
        <v>6.7561554745066239E-3</v>
      </c>
      <c r="O1115" s="551">
        <f>'Sollecitazioni nel paramento'!$G$60*(sezione!$AP$31-C1115)/C1115</f>
        <v>2.5098611733782996E-2</v>
      </c>
      <c r="P1115" s="545">
        <f>-'Sollecitazioni nel paramento'!$G$47*'Sollecitazioni nel paramento'!$G$41*IF(DATI!$G$211="dx",DATI!$E$61,DATI!$E$64*DATI!$E$63)*1000*C1115*sezione!$AD$5</f>
        <v>-2080147.8734434152</v>
      </c>
      <c r="Q1115" s="545">
        <f>'Foglio deposito bis'!$F$58*IF(ABS(K1115)&lt;'Sollecitazioni nel paramento'!$G$58,ABS(K1115)*'Sollecitazioni nel paramento'!$G$54,'Sollecitazioni nel paramento'!$G$53)*IF(K1115&lt;0,-1,1)</f>
        <v>0</v>
      </c>
      <c r="R1115" s="545">
        <f>'Foglio deposito bis'!$F$59*IF(ABS(L1115)&lt;'Sollecitazioni nel paramento'!$G$58,ABS(L1115)*'Sollecitazioni nel paramento'!$G$54,'Sollecitazioni nel paramento'!$G$53)*IF(L1115&lt;0,-1,1)</f>
        <v>27994.736222422602</v>
      </c>
      <c r="S1115" s="545">
        <f>'Foglio deposito bis'!$F$60*IF(ABS(M1115)&lt;'Sollecitazioni nel paramento'!$G$58,ABS(M1115)*'Sollecitazioni nel paramento'!$G$54,'Sollecitazioni nel paramento'!$G$53)*IF(M1115&lt;0,-1,1)</f>
        <v>0</v>
      </c>
      <c r="T1115" s="545">
        <f>'Foglio deposito bis'!$F$61*IF(ABS(N1115)&lt;'Sollecitazioni nel paramento'!$G$58,ABS(N1115)*'Sollecitazioni nel paramento'!$G$54,'Sollecitazioni nel paramento'!$G$53)*IF(N1115&lt;0,-1,1)</f>
        <v>240946.49743184328</v>
      </c>
      <c r="U1115" s="545">
        <f>'Foglio deposito bis'!$F$62*IF(ABS(O1115)&lt;'Sollecitazioni nel paramento'!$G$58,ABS(O1115)*'Sollecitazioni nel paramento'!$G$54,'Sollecitazioni nel paramento'!$G$53)*IF(O1115&lt;0,-1,1)</f>
        <v>314705.62929873407</v>
      </c>
      <c r="V1115" s="472">
        <f t="shared" si="78"/>
        <v>-1496501.0104904152</v>
      </c>
      <c r="W1115" s="551"/>
      <c r="X1115" s="551"/>
    </row>
    <row r="1116" spans="1:24" x14ac:dyDescent="0.25">
      <c r="A1116" s="545">
        <f t="shared" si="77"/>
        <v>1553945.7797307412</v>
      </c>
      <c r="B1116" s="3">
        <f t="shared" si="80"/>
        <v>8.4999999999999911</v>
      </c>
      <c r="C1116" s="545">
        <f>'Foglio deposito bis'!$E$157/sezione!$B$247*B1116</f>
        <v>55.917051699257968</v>
      </c>
      <c r="D1116" s="603">
        <f>-'Sollecitazioni nel paramento'!$G$47*'Sollecitazioni nel paramento'!$G$41*IF(DATI!$G$211="dx",DATI!$E$61,DATI!$E$64*DATI!$E$63)*1000*C1116^2*sezione!$AD$5*(1-sezione!$AD$6)</f>
        <v>-69565218.602970272</v>
      </c>
      <c r="E1116" s="545">
        <f>-'Foglio deposito bis'!$F$58*(C1116-sezione!$AL$31)*IF(ABS(K1116)&lt;'Sollecitazioni nel paramento'!$G$58,ABS(K1116)*'Sollecitazioni nel paramento'!$G$54,'Sollecitazioni nel paramento'!$G$53)</f>
        <v>0</v>
      </c>
      <c r="F1116" s="545">
        <f>-'Foglio deposito bis'!$F$59*(C1116-sezione!$AM$31)*IF(ABS(L1116)&lt;'Sollecitazioni nel paramento'!$G$58,ABS(L1116)*'Sollecitazioni nel paramento'!$G$54,'Sollecitazioni nel paramento'!$G$53)</f>
        <v>84410.922676562535</v>
      </c>
      <c r="G1116" s="545">
        <f>-'Foglio deposito bis'!$F$60*(C1116-sezione!$AN$31)*IF(ABS(M1116)&lt;'Sollecitazioni nel paramento'!$G$58,ABS(M1116)*'Sollecitazioni nel paramento'!$G$54,'Sollecitazioni nel paramento'!$G$53)</f>
        <v>0</v>
      </c>
      <c r="H1116" s="545">
        <f>-'Foglio deposito bis'!$F$61*(C1116-sezione!$AO$31)*IF(ABS(N1116)&lt;'Sollecitazioni nel paramento'!$G$58,ABS(N1116)*'Sollecitazioni nel paramento'!$G$54,'Sollecitazioni nel paramento'!$G$53)</f>
        <v>25078421.835443418</v>
      </c>
      <c r="I1116" s="472">
        <f>-'Foglio deposito bis'!$F$62*(C1116-sezione!$AP$31)*IF(ABS(O1116)&lt;'Sollecitazioni nel paramento'!$G$58,ABS(O1116)*'Sollecitazioni nel paramento'!$G$54,'Sollecitazioni nel paramento'!$G$53)</f>
        <v>122808324.91132498</v>
      </c>
      <c r="J1116" s="472">
        <f t="shared" si="76"/>
        <v>78405939.066474691</v>
      </c>
      <c r="K1116" s="550">
        <f>'Sollecitazioni nel paramento'!$G$60*(sezione!$AL$31-C1116)/C1116</f>
        <v>-9.9629145769397154E-4</v>
      </c>
      <c r="L1116" s="550">
        <f>'Sollecitazioni nel paramento'!$G$60*(sezione!$AM$31-C1116)/C1116</f>
        <v>2.5556281345904272E-4</v>
      </c>
      <c r="M1116" s="551">
        <f>'Sollecitazioni nel paramento'!$G$60*(sezione!$AN$31-C1116)/C1116</f>
        <v>1.507417084612057E-3</v>
      </c>
      <c r="N1116" s="551">
        <f>'Sollecitazioni nel paramento'!$G$60*(sezione!$AO$31-C1116)/C1116</f>
        <v>6.5148341692241145E-3</v>
      </c>
      <c r="O1116" s="551">
        <f>'Sollecitazioni nel paramento'!$G$60*(sezione!$AP$31-C1116)/C1116</f>
        <v>2.4425703222399862E-2</v>
      </c>
      <c r="P1116" s="545">
        <f>-'Sollecitazioni nel paramento'!$G$47*'Sollecitazioni nel paramento'!$G$41*IF(DATI!$G$211="dx",DATI!$E$61,DATI!$E$64*DATI!$E$63)*1000*C1116*sezione!$AD$5</f>
        <v>-2130271.9185866304</v>
      </c>
      <c r="Q1116" s="545">
        <f>'Foglio deposito bis'!$F$58*IF(ABS(K1116)&lt;'Sollecitazioni nel paramento'!$G$58,ABS(K1116)*'Sollecitazioni nel paramento'!$G$54,'Sollecitazioni nel paramento'!$G$53)*IF(K1116&lt;0,-1,1)</f>
        <v>0</v>
      </c>
      <c r="R1116" s="545">
        <f>'Foglio deposito bis'!$F$59*IF(ABS(L1116)&lt;'Sollecitazioni nel paramento'!$G$58,ABS(L1116)*'Sollecitazioni nel paramento'!$G$54,'Sollecitazioni nel paramento'!$G$53)*IF(L1116&lt;0,-1,1)</f>
        <v>20674.012125311932</v>
      </c>
      <c r="S1116" s="545">
        <f>'Foglio deposito bis'!$F$60*IF(ABS(M1116)&lt;'Sollecitazioni nel paramento'!$G$58,ABS(M1116)*'Sollecitazioni nel paramento'!$G$54,'Sollecitazioni nel paramento'!$G$53)*IF(M1116&lt;0,-1,1)</f>
        <v>0</v>
      </c>
      <c r="T1116" s="545">
        <f>'Foglio deposito bis'!$F$61*IF(ABS(N1116)&lt;'Sollecitazioni nel paramento'!$G$58,ABS(N1116)*'Sollecitazioni nel paramento'!$G$54,'Sollecitazioni nel paramento'!$G$53)*IF(N1116&lt;0,-1,1)</f>
        <v>240946.49743184328</v>
      </c>
      <c r="U1116" s="545">
        <f>'Foglio deposito bis'!$F$62*IF(ABS(O1116)&lt;'Sollecitazioni nel paramento'!$G$58,ABS(O1116)*'Sollecitazioni nel paramento'!$G$54,'Sollecitazioni nel paramento'!$G$53)*IF(O1116&lt;0,-1,1)</f>
        <v>314705.62929873407</v>
      </c>
      <c r="V1116" s="472">
        <f t="shared" si="78"/>
        <v>-1553945.7797307412</v>
      </c>
      <c r="W1116" s="551"/>
      <c r="X1116" s="551"/>
    </row>
    <row r="1117" spans="1:24" x14ac:dyDescent="0.25">
      <c r="A1117" s="545">
        <f t="shared" si="77"/>
        <v>1611053.9639551078</v>
      </c>
      <c r="B1117" s="3">
        <f t="shared" si="80"/>
        <v>8.6999999999999904</v>
      </c>
      <c r="C1117" s="545">
        <f>'Foglio deposito bis'!$E$157/sezione!$B$247*B1117</f>
        <v>57.232747033358152</v>
      </c>
      <c r="D1117" s="603">
        <f>-'Sollecitazioni nel paramento'!$G$47*'Sollecitazioni nel paramento'!$G$41*IF(DATI!$G$211="dx",DATI!$E$61,DATI!$E$64*DATI!$E$63)*1000*C1117^2*sezione!$AD$5*(1-sezione!$AD$6)</f>
        <v>-72877389.564827964</v>
      </c>
      <c r="E1117" s="545">
        <f>-'Foglio deposito bis'!$F$58*(C1117-sezione!$AL$31)*IF(ABS(K1117)&lt;'Sollecitazioni nel paramento'!$G$58,ABS(K1117)*'Sollecitazioni nel paramento'!$G$54,'Sollecitazioni nel paramento'!$G$53)</f>
        <v>0</v>
      </c>
      <c r="F1117" s="545">
        <f>-'Foglio deposito bis'!$F$59*(C1117-sezione!$AM$31)*IF(ABS(L1117)&lt;'Sollecitazioni nel paramento'!$G$58,ABS(L1117)*'Sollecitazioni nel paramento'!$G$54,'Sollecitazioni nel paramento'!$G$53)</f>
        <v>37883.341794403168</v>
      </c>
      <c r="G1117" s="545">
        <f>-'Foglio deposito bis'!$F$60*(C1117-sezione!$AN$31)*IF(ABS(M1117)&lt;'Sollecitazioni nel paramento'!$G$58,ABS(M1117)*'Sollecitazioni nel paramento'!$G$54,'Sollecitazioni nel paramento'!$G$53)</f>
        <v>0</v>
      </c>
      <c r="H1117" s="545">
        <f>-'Foglio deposito bis'!$F$61*(C1117-sezione!$AO$31)*IF(ABS(N1117)&lt;'Sollecitazioni nel paramento'!$G$58,ABS(N1117)*'Sollecitazioni nel paramento'!$G$54,'Sollecitazioni nel paramento'!$G$53)</f>
        <v>24761409.653004557</v>
      </c>
      <c r="I1117" s="472">
        <f>-'Foglio deposito bis'!$F$62*(C1117-sezione!$AP$31)*IF(ABS(O1117)&lt;'Sollecitazioni nel paramento'!$G$58,ABS(O1117)*'Sollecitazioni nel paramento'!$G$54,'Sollecitazioni nel paramento'!$G$53)</f>
        <v>122394268.18324158</v>
      </c>
      <c r="J1117" s="472">
        <f t="shared" si="76"/>
        <v>74316171.613212571</v>
      </c>
      <c r="K1117" s="550">
        <f>'Sollecitazioni nel paramento'!$G$60*(sezione!$AL$31-C1117)/C1117</f>
        <v>-1.053847975907903E-3</v>
      </c>
      <c r="L1117" s="550">
        <f>'Sollecitazioni nel paramento'!$G$60*(sezione!$AM$31-C1117)/C1117</f>
        <v>1.6922803613814543E-4</v>
      </c>
      <c r="M1117" s="551">
        <f>'Sollecitazioni nel paramento'!$G$60*(sezione!$AN$31-C1117)/C1117</f>
        <v>1.3923040481841941E-3</v>
      </c>
      <c r="N1117" s="551">
        <f>'Sollecitazioni nel paramento'!$G$60*(sezione!$AO$31-C1117)/C1117</f>
        <v>6.2846080963683878E-3</v>
      </c>
      <c r="O1117" s="551">
        <f>'Sollecitazioni nel paramento'!$G$60*(sezione!$AP$31-C1117)/C1117</f>
        <v>2.3783733033379176E-2</v>
      </c>
      <c r="P1117" s="545">
        <f>-'Sollecitazioni nel paramento'!$G$47*'Sollecitazioni nel paramento'!$G$41*IF(DATI!$G$211="dx",DATI!$E$61,DATI!$E$64*DATI!$E$63)*1000*C1117*sezione!$AD$5</f>
        <v>-2180395.9637298454</v>
      </c>
      <c r="Q1117" s="545">
        <f>'Foglio deposito bis'!$F$58*IF(ABS(K1117)&lt;'Sollecitazioni nel paramento'!$G$58,ABS(K1117)*'Sollecitazioni nel paramento'!$G$54,'Sollecitazioni nel paramento'!$G$53)*IF(K1117&lt;0,-1,1)</f>
        <v>0</v>
      </c>
      <c r="R1117" s="545">
        <f>'Foglio deposito bis'!$F$59*IF(ABS(L1117)&lt;'Sollecitazioni nel paramento'!$G$58,ABS(L1117)*'Sollecitazioni nel paramento'!$G$54,'Sollecitazioni nel paramento'!$G$53)*IF(L1117&lt;0,-1,1)</f>
        <v>13689.873044160411</v>
      </c>
      <c r="S1117" s="545">
        <f>'Foglio deposito bis'!$F$60*IF(ABS(M1117)&lt;'Sollecitazioni nel paramento'!$G$58,ABS(M1117)*'Sollecitazioni nel paramento'!$G$54,'Sollecitazioni nel paramento'!$G$53)*IF(M1117&lt;0,-1,1)</f>
        <v>0</v>
      </c>
      <c r="T1117" s="545">
        <f>'Foglio deposito bis'!$F$61*IF(ABS(N1117)&lt;'Sollecitazioni nel paramento'!$G$58,ABS(N1117)*'Sollecitazioni nel paramento'!$G$54,'Sollecitazioni nel paramento'!$G$53)*IF(N1117&lt;0,-1,1)</f>
        <v>240946.49743184328</v>
      </c>
      <c r="U1117" s="545">
        <f>'Foglio deposito bis'!$F$62*IF(ABS(O1117)&lt;'Sollecitazioni nel paramento'!$G$58,ABS(O1117)*'Sollecitazioni nel paramento'!$G$54,'Sollecitazioni nel paramento'!$G$53)*IF(O1117&lt;0,-1,1)</f>
        <v>314705.62929873407</v>
      </c>
      <c r="V1117" s="472">
        <f t="shared" si="78"/>
        <v>-1611053.9639551078</v>
      </c>
      <c r="W1117" s="551"/>
      <c r="X1117" s="551"/>
    </row>
    <row r="1118" spans="1:24" x14ac:dyDescent="0.25">
      <c r="A1118" s="545">
        <f t="shared" si="77"/>
        <v>1667848.2542881861</v>
      </c>
      <c r="B1118" s="3">
        <f t="shared" si="80"/>
        <v>8.8999999999999897</v>
      </c>
      <c r="C1118" s="545">
        <f>'Foglio deposito bis'!$E$157/sezione!$B$247*B1118</f>
        <v>58.548442367458335</v>
      </c>
      <c r="D1118" s="603">
        <f>-'Sollecitazioni nel paramento'!$G$47*'Sollecitazioni nel paramento'!$G$41*IF(DATI!$G$211="dx",DATI!$E$61,DATI!$E$64*DATI!$E$63)*1000*C1118^2*sezione!$AD$5*(1-sezione!$AD$6)</f>
        <v>-76266587.758356735</v>
      </c>
      <c r="E1118" s="545">
        <f>-'Foglio deposito bis'!$F$58*(C1118-sezione!$AL$31)*IF(ABS(K1118)&lt;'Sollecitazioni nel paramento'!$G$58,ABS(K1118)*'Sollecitazioni nel paramento'!$G$54,'Sollecitazioni nel paramento'!$G$53)</f>
        <v>0</v>
      </c>
      <c r="F1118" s="545">
        <f>-'Foglio deposito bis'!$F$59*(C1118-sezione!$AM$31)*IF(ABS(L1118)&lt;'Sollecitazioni nel paramento'!$G$58,ABS(L1118)*'Sollecitazioni nel paramento'!$G$54,'Sollecitazioni nel paramento'!$G$53)</f>
        <v>10189.394389506293</v>
      </c>
      <c r="G1118" s="545">
        <f>-'Foglio deposito bis'!$F$60*(C1118-sezione!$AN$31)*IF(ABS(M1118)&lt;'Sollecitazioni nel paramento'!$G$58,ABS(M1118)*'Sollecitazioni nel paramento'!$G$54,'Sollecitazioni nel paramento'!$G$53)</f>
        <v>0</v>
      </c>
      <c r="H1118" s="545">
        <f>-'Foglio deposito bis'!$F$61*(C1118-sezione!$AO$31)*IF(ABS(N1118)&lt;'Sollecitazioni nel paramento'!$G$58,ABS(N1118)*'Sollecitazioni nel paramento'!$G$54,'Sollecitazioni nel paramento'!$G$53)</f>
        <v>24444397.470565699</v>
      </c>
      <c r="I1118" s="472">
        <f>-'Foglio deposito bis'!$F$62*(C1118-sezione!$AP$31)*IF(ABS(O1118)&lt;'Sollecitazioni nel paramento'!$G$58,ABS(O1118)*'Sollecitazioni nel paramento'!$G$54,'Sollecitazioni nel paramento'!$G$53)</f>
        <v>121980211.45515819</v>
      </c>
      <c r="J1118" s="472">
        <f t="shared" si="76"/>
        <v>70168210.56175667</v>
      </c>
      <c r="K1118" s="550">
        <f>'Sollecitazioni nel paramento'!$G$60*(sezione!$AL$31-C1118)/C1118</f>
        <v>-1.1088176843144669E-3</v>
      </c>
      <c r="L1118" s="550">
        <f>'Sollecitazioni nel paramento'!$G$60*(sezione!$AM$31-C1118)/C1118</f>
        <v>8.6773473528299692E-5</v>
      </c>
      <c r="M1118" s="551">
        <f>'Sollecitazioni nel paramento'!$G$60*(sezione!$AN$31-C1118)/C1118</f>
        <v>1.2823646313710661E-3</v>
      </c>
      <c r="N1118" s="551">
        <f>'Sollecitazioni nel paramento'!$G$60*(sezione!$AO$31-C1118)/C1118</f>
        <v>6.0647292627421332E-3</v>
      </c>
      <c r="O1118" s="551">
        <f>'Sollecitazioni nel paramento'!$G$60*(sezione!$AP$31-C1118)/C1118</f>
        <v>2.3170615437123468E-2</v>
      </c>
      <c r="P1118" s="545">
        <f>-'Sollecitazioni nel paramento'!$G$47*'Sollecitazioni nel paramento'!$G$41*IF(DATI!$G$211="dx",DATI!$E$61,DATI!$E$64*DATI!$E$63)*1000*C1118*sezione!$AD$5</f>
        <v>-2230520.0088730599</v>
      </c>
      <c r="Q1118" s="545">
        <f>'Foglio deposito bis'!$F$58*IF(ABS(K1118)&lt;'Sollecitazioni nel paramento'!$G$58,ABS(K1118)*'Sollecitazioni nel paramento'!$G$54,'Sollecitazioni nel paramento'!$G$53)*IF(K1118&lt;0,-1,1)</f>
        <v>0</v>
      </c>
      <c r="R1118" s="545">
        <f>'Foglio deposito bis'!$F$59*IF(ABS(L1118)&lt;'Sollecitazioni nel paramento'!$G$58,ABS(L1118)*'Sollecitazioni nel paramento'!$G$54,'Sollecitazioni nel paramento'!$G$53)*IF(L1118&lt;0,-1,1)</f>
        <v>7019.6278542965974</v>
      </c>
      <c r="S1118" s="545">
        <f>'Foglio deposito bis'!$F$60*IF(ABS(M1118)&lt;'Sollecitazioni nel paramento'!$G$58,ABS(M1118)*'Sollecitazioni nel paramento'!$G$54,'Sollecitazioni nel paramento'!$G$53)*IF(M1118&lt;0,-1,1)</f>
        <v>0</v>
      </c>
      <c r="T1118" s="545">
        <f>'Foglio deposito bis'!$F$61*IF(ABS(N1118)&lt;'Sollecitazioni nel paramento'!$G$58,ABS(N1118)*'Sollecitazioni nel paramento'!$G$54,'Sollecitazioni nel paramento'!$G$53)*IF(N1118&lt;0,-1,1)</f>
        <v>240946.49743184328</v>
      </c>
      <c r="U1118" s="545">
        <f>'Foglio deposito bis'!$F$62*IF(ABS(O1118)&lt;'Sollecitazioni nel paramento'!$G$58,ABS(O1118)*'Sollecitazioni nel paramento'!$G$54,'Sollecitazioni nel paramento'!$G$53)*IF(O1118&lt;0,-1,1)</f>
        <v>314705.62929873407</v>
      </c>
      <c r="V1118" s="472">
        <f t="shared" si="78"/>
        <v>-1667848.2542881861</v>
      </c>
      <c r="W1118" s="551"/>
      <c r="X1118" s="551"/>
    </row>
    <row r="1119" spans="1:24" x14ac:dyDescent="0.25">
      <c r="A1119" s="545">
        <f t="shared" si="77"/>
        <v>1724349.3470305011</v>
      </c>
      <c r="B1119" s="3">
        <f t="shared" si="80"/>
        <v>9.099999999999989</v>
      </c>
      <c r="C1119" s="545">
        <f>'Foglio deposito bis'!$E$157/sezione!$B$247*B1119</f>
        <v>59.864137701558519</v>
      </c>
      <c r="D1119" s="603">
        <f>-'Sollecitazioni nel paramento'!$G$47*'Sollecitazioni nel paramento'!$G$41*IF(DATI!$G$211="dx",DATI!$E$61,DATI!$E$64*DATI!$E$63)*1000*C1119^2*sezione!$AD$5*(1-sezione!$AD$6)</f>
        <v>-79732813.183556616</v>
      </c>
      <c r="E1119" s="545">
        <f>-'Foglio deposito bis'!$F$58*(C1119-sezione!$AL$31)*IF(ABS(K1119)&lt;'Sollecitazioni nel paramento'!$G$58,ABS(K1119)*'Sollecitazioni nel paramento'!$G$54,'Sollecitazioni nel paramento'!$G$53)</f>
        <v>0</v>
      </c>
      <c r="F1119" s="545">
        <f>-'Foglio deposito bis'!$F$59*(C1119-sezione!$AM$31)*IF(ABS(L1119)&lt;'Sollecitazioni nel paramento'!$G$58,ABS(L1119)*'Sollecitazioni nel paramento'!$G$54,'Sollecitazioni nel paramento'!$G$53)</f>
        <v>87.302430404045694</v>
      </c>
      <c r="G1119" s="545">
        <f>-'Foglio deposito bis'!$F$60*(C1119-sezione!$AN$31)*IF(ABS(M1119)&lt;'Sollecitazioni nel paramento'!$G$58,ABS(M1119)*'Sollecitazioni nel paramento'!$G$54,'Sollecitazioni nel paramento'!$G$53)</f>
        <v>0</v>
      </c>
      <c r="H1119" s="545">
        <f>-'Foglio deposito bis'!$F$61*(C1119-sezione!$AO$31)*IF(ABS(N1119)&lt;'Sollecitazioni nel paramento'!$G$58,ABS(N1119)*'Sollecitazioni nel paramento'!$G$54,'Sollecitazioni nel paramento'!$G$53)</f>
        <v>24127385.288126841</v>
      </c>
      <c r="I1119" s="472">
        <f>-'Foglio deposito bis'!$F$62*(C1119-sezione!$AP$31)*IF(ABS(O1119)&lt;'Sollecitazioni nel paramento'!$G$58,ABS(O1119)*'Sollecitazioni nel paramento'!$G$54,'Sollecitazioni nel paramento'!$G$53)</f>
        <v>121566154.72707479</v>
      </c>
      <c r="J1119" s="472">
        <f t="shared" si="76"/>
        <v>65960814.134075418</v>
      </c>
      <c r="K1119" s="550">
        <f>'Sollecitazioni nel paramento'!$G$60*(sezione!$AL$31-C1119)/C1119</f>
        <v>-1.161371141802061E-3</v>
      </c>
      <c r="L1119" s="550">
        <f>'Sollecitazioni nel paramento'!$G$60*(sezione!$AM$31-C1119)/C1119</f>
        <v>7.9432872969086973E-6</v>
      </c>
      <c r="M1119" s="551">
        <f>'Sollecitazioni nel paramento'!$G$60*(sezione!$AN$31-C1119)/C1119</f>
        <v>1.1772577163958783E-3</v>
      </c>
      <c r="N1119" s="551">
        <f>'Sollecitazioni nel paramento'!$G$60*(sezione!$AO$31-C1119)/C1119</f>
        <v>5.8545154327917567E-3</v>
      </c>
      <c r="O1119" s="551">
        <f>'Sollecitazioni nel paramento'!$G$60*(sezione!$AP$31-C1119)/C1119</f>
        <v>2.2584448064878998E-2</v>
      </c>
      <c r="P1119" s="545">
        <f>-'Sollecitazioni nel paramento'!$G$47*'Sollecitazioni nel paramento'!$G$41*IF(DATI!$G$211="dx",DATI!$E$61,DATI!$E$64*DATI!$E$63)*1000*C1119*sezione!$AD$5</f>
        <v>-2280644.0540162744</v>
      </c>
      <c r="Q1119" s="545">
        <f>'Foglio deposito bis'!$F$58*IF(ABS(K1119)&lt;'Sollecitazioni nel paramento'!$G$58,ABS(K1119)*'Sollecitazioni nel paramento'!$G$54,'Sollecitazioni nel paramento'!$G$53)*IF(K1119&lt;0,-1,1)</f>
        <v>0</v>
      </c>
      <c r="R1119" s="545">
        <f>'Foglio deposito bis'!$F$59*IF(ABS(L1119)&lt;'Sollecitazioni nel paramento'!$G$58,ABS(L1119)*'Sollecitazioni nel paramento'!$G$54,'Sollecitazioni nel paramento'!$G$53)*IF(L1119&lt;0,-1,1)</f>
        <v>642.58025519602836</v>
      </c>
      <c r="S1119" s="545">
        <f>'Foglio deposito bis'!$F$60*IF(ABS(M1119)&lt;'Sollecitazioni nel paramento'!$G$58,ABS(M1119)*'Sollecitazioni nel paramento'!$G$54,'Sollecitazioni nel paramento'!$G$53)*IF(M1119&lt;0,-1,1)</f>
        <v>0</v>
      </c>
      <c r="T1119" s="545">
        <f>'Foglio deposito bis'!$F$61*IF(ABS(N1119)&lt;'Sollecitazioni nel paramento'!$G$58,ABS(N1119)*'Sollecitazioni nel paramento'!$G$54,'Sollecitazioni nel paramento'!$G$53)*IF(N1119&lt;0,-1,1)</f>
        <v>240946.49743184328</v>
      </c>
      <c r="U1119" s="545">
        <f>'Foglio deposito bis'!$F$62*IF(ABS(O1119)&lt;'Sollecitazioni nel paramento'!$G$58,ABS(O1119)*'Sollecitazioni nel paramento'!$G$54,'Sollecitazioni nel paramento'!$G$53)*IF(O1119&lt;0,-1,1)</f>
        <v>314705.62929873407</v>
      </c>
      <c r="V1119" s="472">
        <f t="shared" si="78"/>
        <v>-1724349.3470305011</v>
      </c>
      <c r="W1119" s="551"/>
      <c r="X1119" s="551"/>
    </row>
    <row r="1120" spans="1:24" x14ac:dyDescent="0.25">
      <c r="A1120" s="545">
        <f t="shared" si="77"/>
        <v>1780576.1581556506</v>
      </c>
      <c r="B1120" s="3">
        <f t="shared" si="80"/>
        <v>9.2999999999999883</v>
      </c>
      <c r="C1120" s="545">
        <f>'Foglio deposito bis'!$E$157/sezione!$B$247*B1120</f>
        <v>61.179833035658703</v>
      </c>
      <c r="D1120" s="603">
        <f>-'Sollecitazioni nel paramento'!$G$47*'Sollecitazioni nel paramento'!$G$41*IF(DATI!$G$211="dx",DATI!$E$61,DATI!$E$64*DATI!$E$63)*1000*C1120^2*sezione!$AD$5*(1-sezione!$AD$6)</f>
        <v>-83276065.840427622</v>
      </c>
      <c r="E1120" s="545">
        <f>-'Foglio deposito bis'!$F$58*(C1120-sezione!$AL$31)*IF(ABS(K1120)&lt;'Sollecitazioni nel paramento'!$G$58,ABS(K1120)*'Sollecitazioni nel paramento'!$G$54,'Sollecitazioni nel paramento'!$G$53)</f>
        <v>0</v>
      </c>
      <c r="F1120" s="545">
        <f>-'Foglio deposito bis'!$F$59*(C1120-sezione!$AM$31)*IF(ABS(L1120)&lt;'Sollecitazioni nel paramento'!$G$58,ABS(L1120)*'Sollecitazioni nel paramento'!$G$54,'Sollecitazioni nel paramento'!$G$53)</f>
        <v>-6442.1075012387091</v>
      </c>
      <c r="G1120" s="545">
        <f>-'Foglio deposito bis'!$F$60*(C1120-sezione!$AN$31)*IF(ABS(M1120)&lt;'Sollecitazioni nel paramento'!$G$58,ABS(M1120)*'Sollecitazioni nel paramento'!$G$54,'Sollecitazioni nel paramento'!$G$53)</f>
        <v>0</v>
      </c>
      <c r="H1120" s="545">
        <f>-'Foglio deposito bis'!$F$61*(C1120-sezione!$AO$31)*IF(ABS(N1120)&lt;'Sollecitazioni nel paramento'!$G$58,ABS(N1120)*'Sollecitazioni nel paramento'!$G$54,'Sollecitazioni nel paramento'!$G$53)</f>
        <v>23810373.105687983</v>
      </c>
      <c r="I1120" s="472">
        <f>-'Foglio deposito bis'!$F$62*(C1120-sezione!$AP$31)*IF(ABS(O1120)&lt;'Sollecitazioni nel paramento'!$G$58,ABS(O1120)*'Sollecitazioni nel paramento'!$G$54,'Sollecitazioni nel paramento'!$G$53)</f>
        <v>121152097.99899139</v>
      </c>
      <c r="J1120" s="472">
        <f t="shared" si="76"/>
        <v>61679963.156750508</v>
      </c>
      <c r="K1120" s="550">
        <f>'Sollecitazioni nel paramento'!$G$60*(sezione!$AL$31-C1120)/C1120</f>
        <v>-1.2116642355267475E-3</v>
      </c>
      <c r="L1120" s="550">
        <f>'Sollecitazioni nel paramento'!$G$60*(sezione!$AM$31-C1120)/C1120</f>
        <v>-6.7496353290121406E-5</v>
      </c>
      <c r="M1120" s="551">
        <f>'Sollecitazioni nel paramento'!$G$60*(sezione!$AN$31-C1120)/C1120</f>
        <v>1.0766715289465048E-3</v>
      </c>
      <c r="N1120" s="551">
        <f>'Sollecitazioni nel paramento'!$G$60*(sezione!$AO$31-C1120)/C1120</f>
        <v>5.6533430578930097E-3</v>
      </c>
      <c r="O1120" s="551">
        <f>'Sollecitazioni nel paramento'!$G$60*(sezione!$AP$31-C1120)/C1120</f>
        <v>2.2023492192516012E-2</v>
      </c>
      <c r="P1120" s="545">
        <f>-'Sollecitazioni nel paramento'!$G$47*'Sollecitazioni nel paramento'!$G$41*IF(DATI!$G$211="dx",DATI!$E$61,DATI!$E$64*DATI!$E$63)*1000*C1120*sezione!$AD$5</f>
        <v>-2330768.0991594889</v>
      </c>
      <c r="Q1120" s="545">
        <f>'Foglio deposito bis'!$F$58*IF(ABS(K1120)&lt;'Sollecitazioni nel paramento'!$G$58,ABS(K1120)*'Sollecitazioni nel paramento'!$G$54,'Sollecitazioni nel paramento'!$G$53)*IF(K1120&lt;0,-1,1)</f>
        <v>0</v>
      </c>
      <c r="R1120" s="545">
        <f>'Foglio deposito bis'!$F$59*IF(ABS(L1120)&lt;'Sollecitazioni nel paramento'!$G$58,ABS(L1120)*'Sollecitazioni nel paramento'!$G$54,'Sollecitazioni nel paramento'!$G$53)*IF(L1120&lt;0,-1,1)</f>
        <v>-5460.1857267389269</v>
      </c>
      <c r="S1120" s="545">
        <f>'Foglio deposito bis'!$F$60*IF(ABS(M1120)&lt;'Sollecitazioni nel paramento'!$G$58,ABS(M1120)*'Sollecitazioni nel paramento'!$G$54,'Sollecitazioni nel paramento'!$G$53)*IF(M1120&lt;0,-1,1)</f>
        <v>0</v>
      </c>
      <c r="T1120" s="545">
        <f>'Foglio deposito bis'!$F$61*IF(ABS(N1120)&lt;'Sollecitazioni nel paramento'!$G$58,ABS(N1120)*'Sollecitazioni nel paramento'!$G$54,'Sollecitazioni nel paramento'!$G$53)*IF(N1120&lt;0,-1,1)</f>
        <v>240946.49743184328</v>
      </c>
      <c r="U1120" s="545">
        <f>'Foglio deposito bis'!$F$62*IF(ABS(O1120)&lt;'Sollecitazioni nel paramento'!$G$58,ABS(O1120)*'Sollecitazioni nel paramento'!$G$54,'Sollecitazioni nel paramento'!$G$53)*IF(O1120&lt;0,-1,1)</f>
        <v>314705.62929873407</v>
      </c>
      <c r="V1120" s="472">
        <f t="shared" si="78"/>
        <v>-1780576.1581556506</v>
      </c>
      <c r="W1120" s="551"/>
      <c r="X1120" s="551"/>
    </row>
    <row r="1121" spans="1:24" x14ac:dyDescent="0.25">
      <c r="A1121" s="545">
        <f t="shared" si="77"/>
        <v>1836546.0107131405</v>
      </c>
      <c r="B1121" s="3">
        <f t="shared" si="80"/>
        <v>9.4999999999999876</v>
      </c>
      <c r="C1121" s="545">
        <f>'Foglio deposito bis'!$E$157/sezione!$B$247*B1121</f>
        <v>62.495528369758887</v>
      </c>
      <c r="D1121" s="603">
        <f>-'Sollecitazioni nel paramento'!$G$47*'Sollecitazioni nel paramento'!$G$41*IF(DATI!$G$211="dx",DATI!$E$61,DATI!$E$64*DATI!$E$63)*1000*C1121^2*sezione!$AD$5*(1-sezione!$AD$6)</f>
        <v>-86896345.728969738</v>
      </c>
      <c r="E1121" s="545">
        <f>-'Foglio deposito bis'!$F$58*(C1121-sezione!$AL$31)*IF(ABS(K1121)&lt;'Sollecitazioni nel paramento'!$G$58,ABS(K1121)*'Sollecitazioni nel paramento'!$G$54,'Sollecitazioni nel paramento'!$G$53)</f>
        <v>0</v>
      </c>
      <c r="F1121" s="545">
        <f>-'Foglio deposito bis'!$F$59*(C1121-sezione!$AM$31)*IF(ABS(L1121)&lt;'Sollecitazioni nel paramento'!$G$58,ABS(L1121)*'Sollecitazioni nel paramento'!$G$54,'Sollecitazioni nel paramento'!$G$53)</f>
        <v>-28214.426631698487</v>
      </c>
      <c r="G1121" s="545">
        <f>-'Foglio deposito bis'!$F$60*(C1121-sezione!$AN$31)*IF(ABS(M1121)&lt;'Sollecitazioni nel paramento'!$G$58,ABS(M1121)*'Sollecitazioni nel paramento'!$G$54,'Sollecitazioni nel paramento'!$G$53)</f>
        <v>0</v>
      </c>
      <c r="H1121" s="545">
        <f>-'Foglio deposito bis'!$F$61*(C1121-sezione!$AO$31)*IF(ABS(N1121)&lt;'Sollecitazioni nel paramento'!$G$58,ABS(N1121)*'Sollecitazioni nel paramento'!$G$54,'Sollecitazioni nel paramento'!$G$53)</f>
        <v>23493360.923249125</v>
      </c>
      <c r="I1121" s="472">
        <f>-'Foglio deposito bis'!$F$62*(C1121-sezione!$AP$31)*IF(ABS(O1121)&lt;'Sollecitazioni nel paramento'!$G$58,ABS(O1121)*'Sollecitazioni nel paramento'!$G$54,'Sollecitazioni nel paramento'!$G$53)</f>
        <v>120738041.27090794</v>
      </c>
      <c r="J1121" s="472">
        <f t="shared" si="76"/>
        <v>57306842.038555622</v>
      </c>
      <c r="K1121" s="550">
        <f>'Sollecitazioni nel paramento'!$G$60*(sezione!$AL$31-C1121)/C1121</f>
        <v>-1.2598397253051319E-3</v>
      </c>
      <c r="L1121" s="550">
        <f>'Sollecitazioni nel paramento'!$G$60*(sezione!$AM$31-C1121)/C1121</f>
        <v>-1.3975958795769763E-4</v>
      </c>
      <c r="M1121" s="551">
        <f>'Sollecitazioni nel paramento'!$G$60*(sezione!$AN$31-C1121)/C1121</f>
        <v>9.8032054938973641E-4</v>
      </c>
      <c r="N1121" s="551">
        <f>'Sollecitazioni nel paramento'!$G$60*(sezione!$AO$31-C1121)/C1121</f>
        <v>5.4606410987794729E-3</v>
      </c>
      <c r="O1121" s="551">
        <f>'Sollecitazioni nel paramento'!$G$60*(sezione!$AP$31-C1121)/C1121</f>
        <v>2.1486155514778831E-2</v>
      </c>
      <c r="P1121" s="545">
        <f>-'Sollecitazioni nel paramento'!$G$47*'Sollecitazioni nel paramento'!$G$41*IF(DATI!$G$211="dx",DATI!$E$61,DATI!$E$64*DATI!$E$63)*1000*C1121*sezione!$AD$5</f>
        <v>-2380892.1443027039</v>
      </c>
      <c r="Q1121" s="545">
        <f>'Foglio deposito bis'!$F$58*IF(ABS(K1121)&lt;'Sollecitazioni nel paramento'!$G$58,ABS(K1121)*'Sollecitazioni nel paramento'!$G$54,'Sollecitazioni nel paramento'!$G$53)*IF(K1121&lt;0,-1,1)</f>
        <v>0</v>
      </c>
      <c r="R1121" s="545">
        <f>'Foglio deposito bis'!$F$59*IF(ABS(L1121)&lt;'Sollecitazioni nel paramento'!$G$58,ABS(L1121)*'Sollecitazioni nel paramento'!$G$54,'Sollecitazioni nel paramento'!$G$53)*IF(L1121&lt;0,-1,1)</f>
        <v>-11305.993141013463</v>
      </c>
      <c r="S1121" s="545">
        <f>'Foglio deposito bis'!$F$60*IF(ABS(M1121)&lt;'Sollecitazioni nel paramento'!$G$58,ABS(M1121)*'Sollecitazioni nel paramento'!$G$54,'Sollecitazioni nel paramento'!$G$53)*IF(M1121&lt;0,-1,1)</f>
        <v>0</v>
      </c>
      <c r="T1121" s="545">
        <f>'Foglio deposito bis'!$F$61*IF(ABS(N1121)&lt;'Sollecitazioni nel paramento'!$G$58,ABS(N1121)*'Sollecitazioni nel paramento'!$G$54,'Sollecitazioni nel paramento'!$G$53)*IF(N1121&lt;0,-1,1)</f>
        <v>240946.49743184328</v>
      </c>
      <c r="U1121" s="545">
        <f>'Foglio deposito bis'!$F$62*IF(ABS(O1121)&lt;'Sollecitazioni nel paramento'!$G$58,ABS(O1121)*'Sollecitazioni nel paramento'!$G$54,'Sollecitazioni nel paramento'!$G$53)*IF(O1121&lt;0,-1,1)</f>
        <v>314705.62929873407</v>
      </c>
      <c r="V1121" s="472">
        <f t="shared" si="78"/>
        <v>-1836546.0107131405</v>
      </c>
      <c r="W1121" s="551"/>
      <c r="X1121" s="551"/>
    </row>
    <row r="1122" spans="1:24" x14ac:dyDescent="0.25">
      <c r="A1122" s="545">
        <f t="shared" si="77"/>
        <v>1892274.7990473602</v>
      </c>
      <c r="B1122" s="3">
        <f t="shared" si="80"/>
        <v>9.6999999999999869</v>
      </c>
      <c r="C1122" s="545">
        <f>'Foglio deposito bis'!$E$157/sezione!$B$247*B1122</f>
        <v>63.811223703859071</v>
      </c>
      <c r="D1122" s="603">
        <f>-'Sollecitazioni nel paramento'!$G$47*'Sollecitazioni nel paramento'!$G$41*IF(DATI!$G$211="dx",DATI!$E$61,DATI!$E$64*DATI!$E$63)*1000*C1122^2*sezione!$AD$5*(1-sezione!$AD$6)</f>
        <v>-90593652.849182963</v>
      </c>
      <c r="E1122" s="545">
        <f>-'Foglio deposito bis'!$F$58*(C1122-sezione!$AL$31)*IF(ABS(K1122)&lt;'Sollecitazioni nel paramento'!$G$58,ABS(K1122)*'Sollecitazioni nel paramento'!$G$54,'Sollecitazioni nel paramento'!$G$53)</f>
        <v>0</v>
      </c>
      <c r="F1122" s="545">
        <f>-'Foglio deposito bis'!$F$59*(C1122-sezione!$AM$31)*IF(ABS(L1122)&lt;'Sollecitazioni nel paramento'!$G$58,ABS(L1122)*'Sollecitazioni nel paramento'!$G$54,'Sollecitazioni nel paramento'!$G$53)</f>
        <v>-64450.599158301397</v>
      </c>
      <c r="G1122" s="545">
        <f>-'Foglio deposito bis'!$F$60*(C1122-sezione!$AN$31)*IF(ABS(M1122)&lt;'Sollecitazioni nel paramento'!$G$58,ABS(M1122)*'Sollecitazioni nel paramento'!$G$54,'Sollecitazioni nel paramento'!$G$53)</f>
        <v>0</v>
      </c>
      <c r="H1122" s="545">
        <f>-'Foglio deposito bis'!$F$61*(C1122-sezione!$AO$31)*IF(ABS(N1122)&lt;'Sollecitazioni nel paramento'!$G$58,ABS(N1122)*'Sollecitazioni nel paramento'!$G$54,'Sollecitazioni nel paramento'!$G$53)</f>
        <v>23176348.740810268</v>
      </c>
      <c r="I1122" s="472">
        <f>-'Foglio deposito bis'!$F$62*(C1122-sezione!$AP$31)*IF(ABS(O1122)&lt;'Sollecitazioni nel paramento'!$G$58,ABS(O1122)*'Sollecitazioni nel paramento'!$G$54,'Sollecitazioni nel paramento'!$G$53)</f>
        <v>120323984.54282455</v>
      </c>
      <c r="J1122" s="472">
        <f t="shared" si="76"/>
        <v>52842229.835293546</v>
      </c>
      <c r="K1122" s="550">
        <f>'Sollecitazioni nel paramento'!$G$60*(sezione!$AL$31-C1122)/C1122</f>
        <v>-1.3060285969483248E-3</v>
      </c>
      <c r="L1122" s="550">
        <f>'Sollecitazioni nel paramento'!$G$60*(sezione!$AM$31-C1122)/C1122</f>
        <v>-2.0904289542248718E-4</v>
      </c>
      <c r="M1122" s="551">
        <f>'Sollecitazioni nel paramento'!$G$60*(sezione!$AN$31-C1122)/C1122</f>
        <v>8.8794280610335037E-4</v>
      </c>
      <c r="N1122" s="551">
        <f>'Sollecitazioni nel paramento'!$G$60*(sezione!$AO$31-C1122)/C1122</f>
        <v>5.2758856122067004E-3</v>
      </c>
      <c r="O1122" s="551">
        <f>'Sollecitazioni nel paramento'!$G$60*(sezione!$AP$31-C1122)/C1122</f>
        <v>2.0970977050556588E-2</v>
      </c>
      <c r="P1122" s="545">
        <f>-'Sollecitazioni nel paramento'!$G$47*'Sollecitazioni nel paramento'!$G$41*IF(DATI!$G$211="dx",DATI!$E$61,DATI!$E$64*DATI!$E$63)*1000*C1122*sezione!$AD$5</f>
        <v>-2431016.1894459184</v>
      </c>
      <c r="Q1122" s="545">
        <f>'Foglio deposito bis'!$F$58*IF(ABS(K1122)&lt;'Sollecitazioni nel paramento'!$G$58,ABS(K1122)*'Sollecitazioni nel paramento'!$G$54,'Sollecitazioni nel paramento'!$G$53)*IF(K1122&lt;0,-1,1)</f>
        <v>0</v>
      </c>
      <c r="R1122" s="545">
        <f>'Foglio deposito bis'!$F$59*IF(ABS(L1122)&lt;'Sollecitazioni nel paramento'!$G$58,ABS(L1122)*'Sollecitazioni nel paramento'!$G$54,'Sollecitazioni nel paramento'!$G$53)*IF(L1122&lt;0,-1,1)</f>
        <v>-16910.736332018947</v>
      </c>
      <c r="S1122" s="545">
        <f>'Foglio deposito bis'!$F$60*IF(ABS(M1122)&lt;'Sollecitazioni nel paramento'!$G$58,ABS(M1122)*'Sollecitazioni nel paramento'!$G$54,'Sollecitazioni nel paramento'!$G$53)*IF(M1122&lt;0,-1,1)</f>
        <v>0</v>
      </c>
      <c r="T1122" s="545">
        <f>'Foglio deposito bis'!$F$61*IF(ABS(N1122)&lt;'Sollecitazioni nel paramento'!$G$58,ABS(N1122)*'Sollecitazioni nel paramento'!$G$54,'Sollecitazioni nel paramento'!$G$53)*IF(N1122&lt;0,-1,1)</f>
        <v>240946.49743184328</v>
      </c>
      <c r="U1122" s="545">
        <f>'Foglio deposito bis'!$F$62*IF(ABS(O1122)&lt;'Sollecitazioni nel paramento'!$G$58,ABS(O1122)*'Sollecitazioni nel paramento'!$G$54,'Sollecitazioni nel paramento'!$G$53)*IF(O1122&lt;0,-1,1)</f>
        <v>314705.62929873407</v>
      </c>
      <c r="V1122" s="472">
        <f t="shared" si="78"/>
        <v>-1892274.7990473602</v>
      </c>
      <c r="W1122" s="551"/>
      <c r="X1122" s="551"/>
    </row>
    <row r="1123" spans="1:24" x14ac:dyDescent="0.25">
      <c r="A1123" s="545">
        <f t="shared" si="77"/>
        <v>1947777.1331112366</v>
      </c>
      <c r="B1123" s="3">
        <f t="shared" si="80"/>
        <v>9.8999999999999861</v>
      </c>
      <c r="C1123" s="545">
        <f>'Foglio deposito bis'!$E$157/sezione!$B$247*B1123</f>
        <v>65.126919037959254</v>
      </c>
      <c r="D1123" s="603">
        <f>-'Sollecitazioni nel paramento'!$G$47*'Sollecitazioni nel paramento'!$G$41*IF(DATI!$G$211="dx",DATI!$E$61,DATI!$E$64*DATI!$E$63)*1000*C1123^2*sezione!$AD$5*(1-sezione!$AD$6)</f>
        <v>-94367987.201067284</v>
      </c>
      <c r="E1123" s="545">
        <f>-'Foglio deposito bis'!$F$58*(C1123-sezione!$AL$31)*IF(ABS(K1123)&lt;'Sollecitazioni nel paramento'!$G$58,ABS(K1123)*'Sollecitazioni nel paramento'!$G$54,'Sollecitazioni nel paramento'!$G$53)</f>
        <v>0</v>
      </c>
      <c r="F1123" s="545">
        <f>-'Foglio deposito bis'!$F$59*(C1123-sezione!$AM$31)*IF(ABS(L1123)&lt;'Sollecitazioni nel paramento'!$G$58,ABS(L1123)*'Sollecitazioni nel paramento'!$G$54,'Sollecitazioni nel paramento'!$G$53)</f>
        <v>-114274.02790552365</v>
      </c>
      <c r="G1123" s="545">
        <f>-'Foglio deposito bis'!$F$60*(C1123-sezione!$AN$31)*IF(ABS(M1123)&lt;'Sollecitazioni nel paramento'!$G$58,ABS(M1123)*'Sollecitazioni nel paramento'!$G$54,'Sollecitazioni nel paramento'!$G$53)</f>
        <v>0</v>
      </c>
      <c r="H1123" s="545">
        <f>-'Foglio deposito bis'!$F$61*(C1123-sezione!$AO$31)*IF(ABS(N1123)&lt;'Sollecitazioni nel paramento'!$G$58,ABS(N1123)*'Sollecitazioni nel paramento'!$G$54,'Sollecitazioni nel paramento'!$G$53)</f>
        <v>22859336.55837141</v>
      </c>
      <c r="I1123" s="472">
        <f>-'Foglio deposito bis'!$F$62*(C1123-sezione!$AP$31)*IF(ABS(O1123)&lt;'Sollecitazioni nel paramento'!$G$58,ABS(O1123)*'Sollecitazioni nel paramento'!$G$54,'Sollecitazioni nel paramento'!$G$53)</f>
        <v>119909927.81474116</v>
      </c>
      <c r="J1123" s="472">
        <f t="shared" si="76"/>
        <v>48287003.144139767</v>
      </c>
      <c r="K1123" s="550">
        <f>'Sollecitazioni nel paramento'!$G$60*(sezione!$AL$31-C1123)/C1123</f>
        <v>-1.3503512515554293E-3</v>
      </c>
      <c r="L1123" s="550">
        <f>'Sollecitazioni nel paramento'!$G$60*(sezione!$AM$31-C1123)/C1123</f>
        <v>-2.7552687733314386E-4</v>
      </c>
      <c r="M1123" s="551">
        <f>'Sollecitazioni nel paramento'!$G$60*(sezione!$AN$31-C1123)/C1123</f>
        <v>7.9929749688914151E-4</v>
      </c>
      <c r="N1123" s="551">
        <f>'Sollecitazioni nel paramento'!$G$60*(sezione!$AO$31-C1123)/C1123</f>
        <v>5.0985949937782833E-3</v>
      </c>
      <c r="O1123" s="551">
        <f>'Sollecitazioni nel paramento'!$G$60*(sezione!$AP$31-C1123)/C1123</f>
        <v>2.0476613877818076E-2</v>
      </c>
      <c r="P1123" s="545">
        <f>-'Sollecitazioni nel paramento'!$G$47*'Sollecitazioni nel paramento'!$G$41*IF(DATI!$G$211="dx",DATI!$E$61,DATI!$E$64*DATI!$E$63)*1000*C1123*sezione!$AD$5</f>
        <v>-2481140.2345891329</v>
      </c>
      <c r="Q1123" s="545">
        <f>'Foglio deposito bis'!$F$58*IF(ABS(K1123)&lt;'Sollecitazioni nel paramento'!$G$58,ABS(K1123)*'Sollecitazioni nel paramento'!$G$54,'Sollecitazioni nel paramento'!$G$53)*IF(K1123&lt;0,-1,1)</f>
        <v>0</v>
      </c>
      <c r="R1123" s="545">
        <f>'Foglio deposito bis'!$F$59*IF(ABS(L1123)&lt;'Sollecitazioni nel paramento'!$G$58,ABS(L1123)*'Sollecitazioni nel paramento'!$G$54,'Sollecitazioni nel paramento'!$G$53)*IF(L1123&lt;0,-1,1)</f>
        <v>-22289.025252680774</v>
      </c>
      <c r="S1123" s="545">
        <f>'Foglio deposito bis'!$F$60*IF(ABS(M1123)&lt;'Sollecitazioni nel paramento'!$G$58,ABS(M1123)*'Sollecitazioni nel paramento'!$G$54,'Sollecitazioni nel paramento'!$G$53)*IF(M1123&lt;0,-1,1)</f>
        <v>0</v>
      </c>
      <c r="T1123" s="545">
        <f>'Foglio deposito bis'!$F$61*IF(ABS(N1123)&lt;'Sollecitazioni nel paramento'!$G$58,ABS(N1123)*'Sollecitazioni nel paramento'!$G$54,'Sollecitazioni nel paramento'!$G$53)*IF(N1123&lt;0,-1,1)</f>
        <v>240946.49743184328</v>
      </c>
      <c r="U1123" s="545">
        <f>'Foglio deposito bis'!$F$62*IF(ABS(O1123)&lt;'Sollecitazioni nel paramento'!$G$58,ABS(O1123)*'Sollecitazioni nel paramento'!$G$54,'Sollecitazioni nel paramento'!$G$53)*IF(O1123&lt;0,-1,1)</f>
        <v>314705.62929873407</v>
      </c>
      <c r="V1123" s="472">
        <f t="shared" si="78"/>
        <v>-1947777.1331112366</v>
      </c>
      <c r="W1123" s="551"/>
      <c r="X1123" s="551"/>
    </row>
    <row r="1124" spans="1:24" x14ac:dyDescent="0.25">
      <c r="A1124" s="545">
        <f t="shared" si="77"/>
        <v>2003066.4656337011</v>
      </c>
      <c r="B1124" s="3">
        <f t="shared" si="80"/>
        <v>10.099999999999985</v>
      </c>
      <c r="C1124" s="545">
        <f>'Foglio deposito bis'!$E$157/sezione!$B$247*B1124</f>
        <v>66.442614372059438</v>
      </c>
      <c r="D1124" s="603">
        <f>-'Sollecitazioni nel paramento'!$G$47*'Sollecitazioni nel paramento'!$G$41*IF(DATI!$G$211="dx",DATI!$E$61,DATI!$E$64*DATI!$E$63)*1000*C1124^2*sezione!$AD$5*(1-sezione!$AD$6)</f>
        <v>-98219348.784622744</v>
      </c>
      <c r="E1124" s="545">
        <f>-'Foglio deposito bis'!$F$58*(C1124-sezione!$AL$31)*IF(ABS(K1124)&lt;'Sollecitazioni nel paramento'!$G$58,ABS(K1124)*'Sollecitazioni nel paramento'!$G$54,'Sollecitazioni nel paramento'!$G$53)</f>
        <v>0</v>
      </c>
      <c r="F1124" s="545">
        <f>-'Foglio deposito bis'!$F$59*(C1124-sezione!$AM$31)*IF(ABS(L1124)&lt;'Sollecitazioni nel paramento'!$G$58,ABS(L1124)*'Sollecitazioni nel paramento'!$G$54,'Sollecitazioni nel paramento'!$G$53)</f>
        <v>-176877.54913748681</v>
      </c>
      <c r="G1124" s="545">
        <f>-'Foglio deposito bis'!$F$60*(C1124-sezione!$AN$31)*IF(ABS(M1124)&lt;'Sollecitazioni nel paramento'!$G$58,ABS(M1124)*'Sollecitazioni nel paramento'!$G$54,'Sollecitazioni nel paramento'!$G$53)</f>
        <v>0</v>
      </c>
      <c r="H1124" s="545">
        <f>-'Foglio deposito bis'!$F$61*(C1124-sezione!$AO$31)*IF(ABS(N1124)&lt;'Sollecitazioni nel paramento'!$G$58,ABS(N1124)*'Sollecitazioni nel paramento'!$G$54,'Sollecitazioni nel paramento'!$G$53)</f>
        <v>22542324.375932552</v>
      </c>
      <c r="I1124" s="472">
        <f>-'Foglio deposito bis'!$F$62*(C1124-sezione!$AP$31)*IF(ABS(O1124)&lt;'Sollecitazioni nel paramento'!$G$58,ABS(O1124)*'Sollecitazioni nel paramento'!$G$54,'Sollecitazioni nel paramento'!$G$53)</f>
        <v>119495871.08665775</v>
      </c>
      <c r="J1124" s="472">
        <f t="shared" si="76"/>
        <v>43641969.12883006</v>
      </c>
      <c r="K1124" s="550">
        <f>'Sollecitazioni nel paramento'!$G$60*(sezione!$AL$31-C1124)/C1124</f>
        <v>-1.3929185535048265E-3</v>
      </c>
      <c r="L1124" s="550">
        <f>'Sollecitazioni nel paramento'!$G$60*(sezione!$AM$31-C1124)/C1124</f>
        <v>-3.3937783025723983E-4</v>
      </c>
      <c r="M1124" s="551">
        <f>'Sollecitazioni nel paramento'!$G$60*(sezione!$AN$31-C1124)/C1124</f>
        <v>7.1416289299034688E-4</v>
      </c>
      <c r="N1124" s="551">
        <f>'Sollecitazioni nel paramento'!$G$60*(sezione!$AO$31-C1124)/C1124</f>
        <v>4.9283257859806936E-3</v>
      </c>
      <c r="O1124" s="551">
        <f>'Sollecitazioni nel paramento'!$G$60*(sezione!$AP$31-C1124)/C1124</f>
        <v>2.0001829444593954E-2</v>
      </c>
      <c r="P1124" s="545">
        <f>-'Sollecitazioni nel paramento'!$G$47*'Sollecitazioni nel paramento'!$G$41*IF(DATI!$G$211="dx",DATI!$E$61,DATI!$E$64*DATI!$E$63)*1000*C1124*sezione!$AD$5</f>
        <v>-2531264.2797323479</v>
      </c>
      <c r="Q1124" s="545">
        <f>'Foglio deposito bis'!$F$58*IF(ABS(K1124)&lt;'Sollecitazioni nel paramento'!$G$58,ABS(K1124)*'Sollecitazioni nel paramento'!$G$54,'Sollecitazioni nel paramento'!$G$53)*IF(K1124&lt;0,-1,1)</f>
        <v>0</v>
      </c>
      <c r="R1124" s="545">
        <f>'Foglio deposito bis'!$F$59*IF(ABS(L1124)&lt;'Sollecitazioni nel paramento'!$G$58,ABS(L1124)*'Sollecitazioni nel paramento'!$G$54,'Sollecitazioni nel paramento'!$G$53)*IF(L1124&lt;0,-1,1)</f>
        <v>-27454.312631930254</v>
      </c>
      <c r="S1124" s="545">
        <f>'Foglio deposito bis'!$F$60*IF(ABS(M1124)&lt;'Sollecitazioni nel paramento'!$G$58,ABS(M1124)*'Sollecitazioni nel paramento'!$G$54,'Sollecitazioni nel paramento'!$G$53)*IF(M1124&lt;0,-1,1)</f>
        <v>0</v>
      </c>
      <c r="T1124" s="545">
        <f>'Foglio deposito bis'!$F$61*IF(ABS(N1124)&lt;'Sollecitazioni nel paramento'!$G$58,ABS(N1124)*'Sollecitazioni nel paramento'!$G$54,'Sollecitazioni nel paramento'!$G$53)*IF(N1124&lt;0,-1,1)</f>
        <v>240946.49743184328</v>
      </c>
      <c r="U1124" s="545">
        <f>'Foglio deposito bis'!$F$62*IF(ABS(O1124)&lt;'Sollecitazioni nel paramento'!$G$58,ABS(O1124)*'Sollecitazioni nel paramento'!$G$54,'Sollecitazioni nel paramento'!$G$53)*IF(O1124&lt;0,-1,1)</f>
        <v>314705.62929873407</v>
      </c>
      <c r="V1124" s="472">
        <f t="shared" si="78"/>
        <v>-2003066.4656337011</v>
      </c>
      <c r="W1124" s="551"/>
      <c r="X1124" s="551"/>
    </row>
    <row r="1125" spans="1:24" x14ac:dyDescent="0.25">
      <c r="A1125" s="545">
        <f t="shared" si="77"/>
        <v>2058155.2044715346</v>
      </c>
      <c r="B1125" s="3">
        <f t="shared" si="80"/>
        <v>10.299999999999985</v>
      </c>
      <c r="C1125" s="545">
        <f>'Foglio deposito bis'!$E$157/sezione!$B$247*B1125</f>
        <v>67.758309706159622</v>
      </c>
      <c r="D1125" s="603">
        <f>-'Sollecitazioni nel paramento'!$G$47*'Sollecitazioni nel paramento'!$G$41*IF(DATI!$G$211="dx",DATI!$E$61,DATI!$E$64*DATI!$E$63)*1000*C1125^2*sezione!$AD$5*(1-sezione!$AD$6)</f>
        <v>-102147737.59984927</v>
      </c>
      <c r="E1125" s="545">
        <f>-'Foglio deposito bis'!$F$58*(C1125-sezione!$AL$31)*IF(ABS(K1125)&lt;'Sollecitazioni nel paramento'!$G$58,ABS(K1125)*'Sollecitazioni nel paramento'!$G$54,'Sollecitazioni nel paramento'!$G$53)</f>
        <v>0</v>
      </c>
      <c r="F1125" s="545">
        <f>-'Foglio deposito bis'!$F$59*(C1125-sezione!$AM$31)*IF(ABS(L1125)&lt;'Sollecitazioni nel paramento'!$G$58,ABS(L1125)*'Sollecitazioni nel paramento'!$G$54,'Sollecitazioni nel paramento'!$G$53)</f>
        <v>-251516.69144731286</v>
      </c>
      <c r="G1125" s="545">
        <f>-'Foglio deposito bis'!$F$60*(C1125-sezione!$AN$31)*IF(ABS(M1125)&lt;'Sollecitazioni nel paramento'!$G$58,ABS(M1125)*'Sollecitazioni nel paramento'!$G$54,'Sollecitazioni nel paramento'!$G$53)</f>
        <v>0</v>
      </c>
      <c r="H1125" s="545">
        <f>-'Foglio deposito bis'!$F$61*(C1125-sezione!$AO$31)*IF(ABS(N1125)&lt;'Sollecitazioni nel paramento'!$G$58,ABS(N1125)*'Sollecitazioni nel paramento'!$G$54,'Sollecitazioni nel paramento'!$G$53)</f>
        <v>22225312.193493694</v>
      </c>
      <c r="I1125" s="472">
        <f>-'Foglio deposito bis'!$F$62*(C1125-sezione!$AP$31)*IF(ABS(O1125)&lt;'Sollecitazioni nel paramento'!$G$58,ABS(O1125)*'Sollecitazioni nel paramento'!$G$54,'Sollecitazioni nel paramento'!$G$53)</f>
        <v>119081814.35857432</v>
      </c>
      <c r="J1125" s="472">
        <f t="shared" ref="J1125:J1188" si="81">D1125+E1125+F1125+G1125+H1125+I1125</f>
        <v>38907872.260771424</v>
      </c>
      <c r="K1125" s="550">
        <f>'Sollecitazioni nel paramento'!$G$60*(sezione!$AL$31-C1125)/C1125</f>
        <v>-1.433832756349393E-3</v>
      </c>
      <c r="L1125" s="550">
        <f>'Sollecitazioni nel paramento'!$G$60*(sezione!$AM$31-C1125)/C1125</f>
        <v>-4.007491345240894E-4</v>
      </c>
      <c r="M1125" s="551">
        <f>'Sollecitazioni nel paramento'!$G$60*(sezione!$AN$31-C1125)/C1125</f>
        <v>6.3233448730121405E-4</v>
      </c>
      <c r="N1125" s="551">
        <f>'Sollecitazioni nel paramento'!$G$60*(sezione!$AO$31-C1125)/C1125</f>
        <v>4.764668974602428E-3</v>
      </c>
      <c r="O1125" s="551">
        <f>'Sollecitazioni nel paramento'!$G$60*(sezione!$AP$31-C1125)/C1125</f>
        <v>1.9545483241786305E-2</v>
      </c>
      <c r="P1125" s="545">
        <f>-'Sollecitazioni nel paramento'!$G$47*'Sollecitazioni nel paramento'!$G$41*IF(DATI!$G$211="dx",DATI!$E$61,DATI!$E$64*DATI!$E$63)*1000*C1125*sezione!$AD$5</f>
        <v>-2581388.3248755629</v>
      </c>
      <c r="Q1125" s="545">
        <f>'Foglio deposito bis'!$F$58*IF(ABS(K1125)&lt;'Sollecitazioni nel paramento'!$G$58,ABS(K1125)*'Sollecitazioni nel paramento'!$G$54,'Sollecitazioni nel paramento'!$G$53)*IF(K1125&lt;0,-1,1)</f>
        <v>0</v>
      </c>
      <c r="R1125" s="545">
        <f>'Foglio deposito bis'!$F$59*IF(ABS(L1125)&lt;'Sollecitazioni nel paramento'!$G$58,ABS(L1125)*'Sollecitazioni nel paramento'!$G$54,'Sollecitazioni nel paramento'!$G$53)*IF(L1125&lt;0,-1,1)</f>
        <v>-32419.006326548682</v>
      </c>
      <c r="S1125" s="545">
        <f>'Foglio deposito bis'!$F$60*IF(ABS(M1125)&lt;'Sollecitazioni nel paramento'!$G$58,ABS(M1125)*'Sollecitazioni nel paramento'!$G$54,'Sollecitazioni nel paramento'!$G$53)*IF(M1125&lt;0,-1,1)</f>
        <v>0</v>
      </c>
      <c r="T1125" s="545">
        <f>'Foglio deposito bis'!$F$61*IF(ABS(N1125)&lt;'Sollecitazioni nel paramento'!$G$58,ABS(N1125)*'Sollecitazioni nel paramento'!$G$54,'Sollecitazioni nel paramento'!$G$53)*IF(N1125&lt;0,-1,1)</f>
        <v>240946.49743184328</v>
      </c>
      <c r="U1125" s="545">
        <f>'Foglio deposito bis'!$F$62*IF(ABS(O1125)&lt;'Sollecitazioni nel paramento'!$G$58,ABS(O1125)*'Sollecitazioni nel paramento'!$G$54,'Sollecitazioni nel paramento'!$G$53)*IF(O1125&lt;0,-1,1)</f>
        <v>314705.62929873407</v>
      </c>
      <c r="V1125" s="472">
        <f t="shared" si="78"/>
        <v>-2058155.2044715346</v>
      </c>
      <c r="W1125" s="551"/>
      <c r="X1125" s="551"/>
    </row>
    <row r="1126" spans="1:24" x14ac:dyDescent="0.25">
      <c r="A1126" s="545">
        <f t="shared" ref="A1126:A1189" si="82">ABS(V1126)</f>
        <v>2113054.8121210011</v>
      </c>
      <c r="B1126" s="3">
        <f t="shared" si="80"/>
        <v>10.499999999999984</v>
      </c>
      <c r="C1126" s="545">
        <f>'Foglio deposito bis'!$E$157/sezione!$B$247*B1126</f>
        <v>69.074005040259806</v>
      </c>
      <c r="D1126" s="603">
        <f>-'Sollecitazioni nel paramento'!$G$47*'Sollecitazioni nel paramento'!$G$41*IF(DATI!$G$211="dx",DATI!$E$61,DATI!$E$64*DATI!$E$63)*1000*C1126^2*sezione!$AD$5*(1-sezione!$AD$6)</f>
        <v>-106153153.6467469</v>
      </c>
      <c r="E1126" s="545">
        <f>-'Foglio deposito bis'!$F$58*(C1126-sezione!$AL$31)*IF(ABS(K1126)&lt;'Sollecitazioni nel paramento'!$G$58,ABS(K1126)*'Sollecitazioni nel paramento'!$G$54,'Sollecitazioni nel paramento'!$G$53)</f>
        <v>0</v>
      </c>
      <c r="F1126" s="545">
        <f>-'Foglio deposito bis'!$F$59*(C1126-sezione!$AM$31)*IF(ABS(L1126)&lt;'Sollecitazioni nel paramento'!$G$58,ABS(L1126)*'Sollecitazioni nel paramento'!$G$54,'Sollecitazioni nel paramento'!$G$53)</f>
        <v>-337503.70505912381</v>
      </c>
      <c r="G1126" s="545">
        <f>-'Foglio deposito bis'!$F$60*(C1126-sezione!$AN$31)*IF(ABS(M1126)&lt;'Sollecitazioni nel paramento'!$G$58,ABS(M1126)*'Sollecitazioni nel paramento'!$G$54,'Sollecitazioni nel paramento'!$G$53)</f>
        <v>0</v>
      </c>
      <c r="H1126" s="545">
        <f>-'Foglio deposito bis'!$F$61*(C1126-sezione!$AO$31)*IF(ABS(N1126)&lt;'Sollecitazioni nel paramento'!$G$58,ABS(N1126)*'Sollecitazioni nel paramento'!$G$54,'Sollecitazioni nel paramento'!$G$53)</f>
        <v>21908300.011054832</v>
      </c>
      <c r="I1126" s="472">
        <f>-'Foglio deposito bis'!$F$62*(C1126-sezione!$AP$31)*IF(ABS(O1126)&lt;'Sollecitazioni nel paramento'!$G$58,ABS(O1126)*'Sollecitazioni nel paramento'!$G$54,'Sollecitazioni nel paramento'!$G$53)</f>
        <v>118667757.63049093</v>
      </c>
      <c r="J1126" s="472">
        <f t="shared" si="81"/>
        <v>34085400.289739728</v>
      </c>
      <c r="K1126" s="550">
        <f>'Sollecitazioni nel paramento'!$G$60*(sezione!$AL$31-C1126)/C1126</f>
        <v>-1.4731883228951187E-3</v>
      </c>
      <c r="L1126" s="550">
        <f>'Sollecitazioni nel paramento'!$G$60*(sezione!$AM$31-C1126)/C1126</f>
        <v>-4.5978248434267805E-4</v>
      </c>
      <c r="M1126" s="551">
        <f>'Sollecitazioni nel paramento'!$G$60*(sezione!$AN$31-C1126)/C1126</f>
        <v>5.5362335420976259E-4</v>
      </c>
      <c r="N1126" s="551">
        <f>'Sollecitazioni nel paramento'!$G$60*(sezione!$AO$31-C1126)/C1126</f>
        <v>4.6072467084195259E-3</v>
      </c>
      <c r="O1126" s="551">
        <f>'Sollecitazioni nel paramento'!$G$60*(sezione!$AP$31-C1126)/C1126</f>
        <v>1.9106521656228472E-2</v>
      </c>
      <c r="P1126" s="545">
        <f>-'Sollecitazioni nel paramento'!$G$47*'Sollecitazioni nel paramento'!$G$41*IF(DATI!$G$211="dx",DATI!$E$61,DATI!$E$64*DATI!$E$63)*1000*C1126*sezione!$AD$5</f>
        <v>-2631512.3700187774</v>
      </c>
      <c r="Q1126" s="545">
        <f>'Foglio deposito bis'!$F$58*IF(ABS(K1126)&lt;'Sollecitazioni nel paramento'!$G$58,ABS(K1126)*'Sollecitazioni nel paramento'!$G$54,'Sollecitazioni nel paramento'!$G$53)*IF(K1126&lt;0,-1,1)</f>
        <v>0</v>
      </c>
      <c r="R1126" s="545">
        <f>'Foglio deposito bis'!$F$59*IF(ABS(L1126)&lt;'Sollecitazioni nel paramento'!$G$58,ABS(L1126)*'Sollecitazioni nel paramento'!$G$54,'Sollecitazioni nel paramento'!$G$53)*IF(L1126&lt;0,-1,1)</f>
        <v>-37194.568832800695</v>
      </c>
      <c r="S1126" s="545">
        <f>'Foglio deposito bis'!$F$60*IF(ABS(M1126)&lt;'Sollecitazioni nel paramento'!$G$58,ABS(M1126)*'Sollecitazioni nel paramento'!$G$54,'Sollecitazioni nel paramento'!$G$53)*IF(M1126&lt;0,-1,1)</f>
        <v>0</v>
      </c>
      <c r="T1126" s="545">
        <f>'Foglio deposito bis'!$F$61*IF(ABS(N1126)&lt;'Sollecitazioni nel paramento'!$G$58,ABS(N1126)*'Sollecitazioni nel paramento'!$G$54,'Sollecitazioni nel paramento'!$G$53)*IF(N1126&lt;0,-1,1)</f>
        <v>240946.49743184328</v>
      </c>
      <c r="U1126" s="545">
        <f>'Foglio deposito bis'!$F$62*IF(ABS(O1126)&lt;'Sollecitazioni nel paramento'!$G$58,ABS(O1126)*'Sollecitazioni nel paramento'!$G$54,'Sollecitazioni nel paramento'!$G$53)*IF(O1126&lt;0,-1,1)</f>
        <v>314705.62929873407</v>
      </c>
      <c r="V1126" s="472">
        <f t="shared" ref="V1126:V1189" si="83">P1126+Q1126+R1126+S1126+T1126+U1126</f>
        <v>-2113054.8121210011</v>
      </c>
      <c r="W1126" s="551"/>
      <c r="X1126" s="551"/>
    </row>
    <row r="1127" spans="1:24" x14ac:dyDescent="0.25">
      <c r="A1127" s="545">
        <f t="shared" si="82"/>
        <v>2167775.8940692991</v>
      </c>
      <c r="B1127" s="3">
        <f t="shared" si="80"/>
        <v>10.699999999999983</v>
      </c>
      <c r="C1127" s="545">
        <f>'Foglio deposito bis'!$E$157/sezione!$B$247*B1127</f>
        <v>70.38970037435999</v>
      </c>
      <c r="D1127" s="603">
        <f>-'Sollecitazioni nel paramento'!$G$47*'Sollecitazioni nel paramento'!$G$41*IF(DATI!$G$211="dx",DATI!$E$61,DATI!$E$64*DATI!$E$63)*1000*C1127^2*sezione!$AD$5*(1-sezione!$AD$6)</f>
        <v>-110235596.92531568</v>
      </c>
      <c r="E1127" s="545">
        <f>-'Foglio deposito bis'!$F$58*(C1127-sezione!$AL$31)*IF(ABS(K1127)&lt;'Sollecitazioni nel paramento'!$G$58,ABS(K1127)*'Sollecitazioni nel paramento'!$G$54,'Sollecitazioni nel paramento'!$G$53)</f>
        <v>0</v>
      </c>
      <c r="F1127" s="545">
        <f>-'Foglio deposito bis'!$F$59*(C1127-sezione!$AM$31)*IF(ABS(L1127)&lt;'Sollecitazioni nel paramento'!$G$58,ABS(L1127)*'Sollecitazioni nel paramento'!$G$54,'Sollecitazioni nel paramento'!$G$53)</f>
        <v>-434202.26074103278</v>
      </c>
      <c r="G1127" s="545">
        <f>-'Foglio deposito bis'!$F$60*(C1127-sezione!$AN$31)*IF(ABS(M1127)&lt;'Sollecitazioni nel paramento'!$G$58,ABS(M1127)*'Sollecitazioni nel paramento'!$G$54,'Sollecitazioni nel paramento'!$G$53)</f>
        <v>0</v>
      </c>
      <c r="H1127" s="545">
        <f>-'Foglio deposito bis'!$F$61*(C1127-sezione!$AO$31)*IF(ABS(N1127)&lt;'Sollecitazioni nel paramento'!$G$58,ABS(N1127)*'Sollecitazioni nel paramento'!$G$54,'Sollecitazioni nel paramento'!$G$53)</f>
        <v>21591287.828615975</v>
      </c>
      <c r="I1127" s="472">
        <f>-'Foglio deposito bis'!$F$62*(C1127-sezione!$AP$31)*IF(ABS(O1127)&lt;'Sollecitazioni nel paramento'!$G$58,ABS(O1127)*'Sollecitazioni nel paramento'!$G$54,'Sollecitazioni nel paramento'!$G$53)</f>
        <v>118253700.90240754</v>
      </c>
      <c r="J1127" s="472">
        <f t="shared" si="81"/>
        <v>29175189.544966802</v>
      </c>
      <c r="K1127" s="550">
        <f>'Sollecitazioni nel paramento'!$G$60*(sezione!$AL$31-C1127)/C1127</f>
        <v>-1.511072653308294E-3</v>
      </c>
      <c r="L1127" s="550">
        <f>'Sollecitazioni nel paramento'!$G$60*(sezione!$AM$31-C1127)/C1127</f>
        <v>-5.1660897996244094E-4</v>
      </c>
      <c r="M1127" s="551">
        <f>'Sollecitazioni nel paramento'!$G$60*(sezione!$AN$31-C1127)/C1127</f>
        <v>4.7785469338341204E-4</v>
      </c>
      <c r="N1127" s="551">
        <f>'Sollecitazioni nel paramento'!$G$60*(sezione!$AO$31-C1127)/C1127</f>
        <v>4.4557093867668238E-3</v>
      </c>
      <c r="O1127" s="551">
        <f>'Sollecitazioni nel paramento'!$G$60*(sezione!$AP$31-C1127)/C1127</f>
        <v>1.8683969849569999E-2</v>
      </c>
      <c r="P1127" s="545">
        <f>-'Sollecitazioni nel paramento'!$G$47*'Sollecitazioni nel paramento'!$G$41*IF(DATI!$G$211="dx",DATI!$E$61,DATI!$E$64*DATI!$E$63)*1000*C1127*sezione!$AD$5</f>
        <v>-2681636.415161992</v>
      </c>
      <c r="Q1127" s="545">
        <f>'Foglio deposito bis'!$F$58*IF(ABS(K1127)&lt;'Sollecitazioni nel paramento'!$G$58,ABS(K1127)*'Sollecitazioni nel paramento'!$G$54,'Sollecitazioni nel paramento'!$G$53)*IF(K1127&lt;0,-1,1)</f>
        <v>0</v>
      </c>
      <c r="R1127" s="545">
        <f>'Foglio deposito bis'!$F$59*IF(ABS(L1127)&lt;'Sollecitazioni nel paramento'!$G$58,ABS(L1127)*'Sollecitazioni nel paramento'!$G$54,'Sollecitazioni nel paramento'!$G$53)*IF(L1127&lt;0,-1,1)</f>
        <v>-41791.605637884415</v>
      </c>
      <c r="S1127" s="545">
        <f>'Foglio deposito bis'!$F$60*IF(ABS(M1127)&lt;'Sollecitazioni nel paramento'!$G$58,ABS(M1127)*'Sollecitazioni nel paramento'!$G$54,'Sollecitazioni nel paramento'!$G$53)*IF(M1127&lt;0,-1,1)</f>
        <v>0</v>
      </c>
      <c r="T1127" s="545">
        <f>'Foglio deposito bis'!$F$61*IF(ABS(N1127)&lt;'Sollecitazioni nel paramento'!$G$58,ABS(N1127)*'Sollecitazioni nel paramento'!$G$54,'Sollecitazioni nel paramento'!$G$53)*IF(N1127&lt;0,-1,1)</f>
        <v>240946.49743184328</v>
      </c>
      <c r="U1127" s="545">
        <f>'Foglio deposito bis'!$F$62*IF(ABS(O1127)&lt;'Sollecitazioni nel paramento'!$G$58,ABS(O1127)*'Sollecitazioni nel paramento'!$G$54,'Sollecitazioni nel paramento'!$G$53)*IF(O1127&lt;0,-1,1)</f>
        <v>314705.62929873407</v>
      </c>
      <c r="V1127" s="472">
        <f t="shared" si="83"/>
        <v>-2167775.8940692991</v>
      </c>
      <c r="W1127" s="551"/>
      <c r="X1127" s="551"/>
    </row>
    <row r="1128" spans="1:24" x14ac:dyDescent="0.25">
      <c r="A1128" s="545">
        <f t="shared" si="82"/>
        <v>2222328.2774192458</v>
      </c>
      <c r="B1128" s="3">
        <f t="shared" si="80"/>
        <v>10.899999999999983</v>
      </c>
      <c r="C1128" s="545">
        <f>'Foglio deposito bis'!$E$157/sezione!$B$247*B1128</f>
        <v>71.705395708460173</v>
      </c>
      <c r="D1128" s="603">
        <f>-'Sollecitazioni nel paramento'!$G$47*'Sollecitazioni nel paramento'!$G$41*IF(DATI!$G$211="dx",DATI!$E$61,DATI!$E$64*DATI!$E$63)*1000*C1128^2*sezione!$AD$5*(1-sezione!$AD$6)</f>
        <v>-114395067.43555555</v>
      </c>
      <c r="E1128" s="545">
        <f>-'Foglio deposito bis'!$F$58*(C1128-sezione!$AL$31)*IF(ABS(K1128)&lt;'Sollecitazioni nel paramento'!$G$58,ABS(K1128)*'Sollecitazioni nel paramento'!$G$54,'Sollecitazioni nel paramento'!$G$53)</f>
        <v>0</v>
      </c>
      <c r="F1128" s="545">
        <f>-'Foglio deposito bis'!$F$59*(C1128-sezione!$AM$31)*IF(ABS(L1128)&lt;'Sollecitazioni nel paramento'!$G$58,ABS(L1128)*'Sollecitazioni nel paramento'!$G$54,'Sollecitazioni nel paramento'!$G$53)</f>
        <v>-541022.73232404352</v>
      </c>
      <c r="G1128" s="545">
        <f>-'Foglio deposito bis'!$F$60*(C1128-sezione!$AN$31)*IF(ABS(M1128)&lt;'Sollecitazioni nel paramento'!$G$58,ABS(M1128)*'Sollecitazioni nel paramento'!$G$54,'Sollecitazioni nel paramento'!$G$53)</f>
        <v>0</v>
      </c>
      <c r="H1128" s="545">
        <f>-'Foglio deposito bis'!$F$61*(C1128-sezione!$AO$31)*IF(ABS(N1128)&lt;'Sollecitazioni nel paramento'!$G$58,ABS(N1128)*'Sollecitazioni nel paramento'!$G$54,'Sollecitazioni nel paramento'!$G$53)</f>
        <v>21274275.646177117</v>
      </c>
      <c r="I1128" s="472">
        <f>-'Foglio deposito bis'!$F$62*(C1128-sezione!$AP$31)*IF(ABS(O1128)&lt;'Sollecitazioni nel paramento'!$G$58,ABS(O1128)*'Sollecitazioni nel paramento'!$G$54,'Sollecitazioni nel paramento'!$G$53)</f>
        <v>117839644.17432413</v>
      </c>
      <c r="J1128" s="472">
        <f t="shared" si="81"/>
        <v>24177829.652621642</v>
      </c>
      <c r="K1128" s="550">
        <f>'Sollecitazioni nel paramento'!$G$60*(sezione!$AL$31-C1128)/C1128</f>
        <v>-1.5475667330641051E-3</v>
      </c>
      <c r="L1128" s="550">
        <f>'Sollecitazioni nel paramento'!$G$60*(sezione!$AM$31-C1128)/C1128</f>
        <v>-5.7135009959615748E-4</v>
      </c>
      <c r="M1128" s="551">
        <f>'Sollecitazioni nel paramento'!$G$60*(sezione!$AN$31-C1128)/C1128</f>
        <v>4.0486653387178997E-4</v>
      </c>
      <c r="N1128" s="551">
        <f>'Sollecitazioni nel paramento'!$G$60*(sezione!$AO$31-C1128)/C1128</f>
        <v>4.3097330677435795E-3</v>
      </c>
      <c r="O1128" s="551">
        <f>'Sollecitazioni nel paramento'!$G$60*(sezione!$AP$31-C1128)/C1128</f>
        <v>1.8276924531229262E-2</v>
      </c>
      <c r="P1128" s="545">
        <f>-'Sollecitazioni nel paramento'!$G$47*'Sollecitazioni nel paramento'!$G$41*IF(DATI!$G$211="dx",DATI!$E$61,DATI!$E$64*DATI!$E$63)*1000*C1128*sezione!$AD$5</f>
        <v>-2731760.4603052065</v>
      </c>
      <c r="Q1128" s="545">
        <f>'Foglio deposito bis'!$F$58*IF(ABS(K1128)&lt;'Sollecitazioni nel paramento'!$G$58,ABS(K1128)*'Sollecitazioni nel paramento'!$G$54,'Sollecitazioni nel paramento'!$G$53)*IF(K1128&lt;0,-1,1)</f>
        <v>0</v>
      </c>
      <c r="R1128" s="545">
        <f>'Foglio deposito bis'!$F$59*IF(ABS(L1128)&lt;'Sollecitazioni nel paramento'!$G$58,ABS(L1128)*'Sollecitazioni nel paramento'!$G$54,'Sollecitazioni nel paramento'!$G$53)*IF(L1128&lt;0,-1,1)</f>
        <v>-46219.943844616435</v>
      </c>
      <c r="S1128" s="545">
        <f>'Foglio deposito bis'!$F$60*IF(ABS(M1128)&lt;'Sollecitazioni nel paramento'!$G$58,ABS(M1128)*'Sollecitazioni nel paramento'!$G$54,'Sollecitazioni nel paramento'!$G$53)*IF(M1128&lt;0,-1,1)</f>
        <v>0</v>
      </c>
      <c r="T1128" s="545">
        <f>'Foglio deposito bis'!$F$61*IF(ABS(N1128)&lt;'Sollecitazioni nel paramento'!$G$58,ABS(N1128)*'Sollecitazioni nel paramento'!$G$54,'Sollecitazioni nel paramento'!$G$53)*IF(N1128&lt;0,-1,1)</f>
        <v>240946.49743184328</v>
      </c>
      <c r="U1128" s="545">
        <f>'Foglio deposito bis'!$F$62*IF(ABS(O1128)&lt;'Sollecitazioni nel paramento'!$G$58,ABS(O1128)*'Sollecitazioni nel paramento'!$G$54,'Sollecitazioni nel paramento'!$G$53)*IF(O1128&lt;0,-1,1)</f>
        <v>314705.62929873407</v>
      </c>
      <c r="V1128" s="472">
        <f t="shared" si="83"/>
        <v>-2222328.2774192458</v>
      </c>
      <c r="W1128" s="551"/>
      <c r="X1128" s="551"/>
    </row>
    <row r="1129" spans="1:24" x14ac:dyDescent="0.25">
      <c r="A1129" s="545">
        <f t="shared" si="82"/>
        <v>2276721.0810139952</v>
      </c>
      <c r="B1129" s="3">
        <f t="shared" si="80"/>
        <v>11.099999999999982</v>
      </c>
      <c r="C1129" s="545">
        <f>'Foglio deposito bis'!$E$157/sezione!$B$247*B1129</f>
        <v>73.021091042560357</v>
      </c>
      <c r="D1129" s="603">
        <f>-'Sollecitazioni nel paramento'!$G$47*'Sollecitazioni nel paramento'!$G$41*IF(DATI!$G$211="dx",DATI!$E$61,DATI!$E$64*DATI!$E$63)*1000*C1129^2*sezione!$AD$5*(1-sezione!$AD$6)</f>
        <v>-118631565.17746653</v>
      </c>
      <c r="E1129" s="545">
        <f>-'Foglio deposito bis'!$F$58*(C1129-sezione!$AL$31)*IF(ABS(K1129)&lt;'Sollecitazioni nel paramento'!$G$58,ABS(K1129)*'Sollecitazioni nel paramento'!$G$54,'Sollecitazioni nel paramento'!$G$53)</f>
        <v>0</v>
      </c>
      <c r="F1129" s="545">
        <f>-'Foglio deposito bis'!$F$59*(C1129-sezione!$AM$31)*IF(ABS(L1129)&lt;'Sollecitazioni nel paramento'!$G$58,ABS(L1129)*'Sollecitazioni nel paramento'!$G$54,'Sollecitazioni nel paramento'!$G$53)</f>
        <v>-657417.98921890708</v>
      </c>
      <c r="G1129" s="545">
        <f>-'Foglio deposito bis'!$F$60*(C1129-sezione!$AN$31)*IF(ABS(M1129)&lt;'Sollecitazioni nel paramento'!$G$58,ABS(M1129)*'Sollecitazioni nel paramento'!$G$54,'Sollecitazioni nel paramento'!$G$53)</f>
        <v>0</v>
      </c>
      <c r="H1129" s="545">
        <f>-'Foglio deposito bis'!$F$61*(C1129-sezione!$AO$31)*IF(ABS(N1129)&lt;'Sollecitazioni nel paramento'!$G$58,ABS(N1129)*'Sollecitazioni nel paramento'!$G$54,'Sollecitazioni nel paramento'!$G$53)</f>
        <v>20957263.463738259</v>
      </c>
      <c r="I1129" s="472">
        <f>-'Foglio deposito bis'!$F$62*(C1129-sezione!$AP$31)*IF(ABS(O1129)&lt;'Sollecitazioni nel paramento'!$G$58,ABS(O1129)*'Sollecitazioni nel paramento'!$G$54,'Sollecitazioni nel paramento'!$G$53)</f>
        <v>117425587.44624071</v>
      </c>
      <c r="J1129" s="472">
        <f t="shared" si="81"/>
        <v>19093867.743293539</v>
      </c>
      <c r="K1129" s="550">
        <f>'Sollecitazioni nel paramento'!$G$60*(sezione!$AL$31-C1129)/C1129</f>
        <v>-1.5827457108467337E-3</v>
      </c>
      <c r="L1129" s="550">
        <f>'Sollecitazioni nel paramento'!$G$60*(sezione!$AM$31-C1129)/C1129</f>
        <v>-6.2411856627010048E-4</v>
      </c>
      <c r="M1129" s="551">
        <f>'Sollecitazioni nel paramento'!$G$60*(sezione!$AN$31-C1129)/C1129</f>
        <v>3.3450857830653267E-4</v>
      </c>
      <c r="N1129" s="551">
        <f>'Sollecitazioni nel paramento'!$G$60*(sezione!$AO$31-C1129)/C1129</f>
        <v>4.169017156613066E-3</v>
      </c>
      <c r="O1129" s="551">
        <f>'Sollecitazioni nel paramento'!$G$60*(sezione!$AP$31-C1129)/C1129</f>
        <v>1.7884547512648556E-2</v>
      </c>
      <c r="P1129" s="545">
        <f>-'Sollecitazioni nel paramento'!$G$47*'Sollecitazioni nel paramento'!$G$41*IF(DATI!$G$211="dx",DATI!$E$61,DATI!$E$64*DATI!$E$63)*1000*C1129*sezione!$AD$5</f>
        <v>-2781884.5054484215</v>
      </c>
      <c r="Q1129" s="545">
        <f>'Foglio deposito bis'!$F$58*IF(ABS(K1129)&lt;'Sollecitazioni nel paramento'!$G$58,ABS(K1129)*'Sollecitazioni nel paramento'!$G$54,'Sollecitazioni nel paramento'!$G$53)*IF(K1129&lt;0,-1,1)</f>
        <v>0</v>
      </c>
      <c r="R1129" s="545">
        <f>'Foglio deposito bis'!$F$59*IF(ABS(L1129)&lt;'Sollecitazioni nel paramento'!$G$58,ABS(L1129)*'Sollecitazioni nel paramento'!$G$54,'Sollecitazioni nel paramento'!$G$53)*IF(L1129&lt;0,-1,1)</f>
        <v>-50488.702296150906</v>
      </c>
      <c r="S1129" s="545">
        <f>'Foglio deposito bis'!$F$60*IF(ABS(M1129)&lt;'Sollecitazioni nel paramento'!$G$58,ABS(M1129)*'Sollecitazioni nel paramento'!$G$54,'Sollecitazioni nel paramento'!$G$53)*IF(M1129&lt;0,-1,1)</f>
        <v>0</v>
      </c>
      <c r="T1129" s="545">
        <f>'Foglio deposito bis'!$F$61*IF(ABS(N1129)&lt;'Sollecitazioni nel paramento'!$G$58,ABS(N1129)*'Sollecitazioni nel paramento'!$G$54,'Sollecitazioni nel paramento'!$G$53)*IF(N1129&lt;0,-1,1)</f>
        <v>240946.49743184328</v>
      </c>
      <c r="U1129" s="545">
        <f>'Foglio deposito bis'!$F$62*IF(ABS(O1129)&lt;'Sollecitazioni nel paramento'!$G$58,ABS(O1129)*'Sollecitazioni nel paramento'!$G$54,'Sollecitazioni nel paramento'!$G$53)*IF(O1129&lt;0,-1,1)</f>
        <v>314705.62929873407</v>
      </c>
      <c r="V1129" s="472">
        <f t="shared" si="83"/>
        <v>-2276721.0810139952</v>
      </c>
      <c r="W1129" s="551"/>
      <c r="X1129" s="551"/>
    </row>
    <row r="1130" spans="1:24" x14ac:dyDescent="0.25">
      <c r="A1130" s="545">
        <f t="shared" si="82"/>
        <v>2330962.7781148846</v>
      </c>
      <c r="B1130" s="3">
        <f t="shared" si="80"/>
        <v>11.299999999999981</v>
      </c>
      <c r="C1130" s="545">
        <f>'Foglio deposito bis'!$E$157/sezione!$B$247*B1130</f>
        <v>74.336786376660541</v>
      </c>
      <c r="D1130" s="603">
        <f>-'Sollecitazioni nel paramento'!$G$47*'Sollecitazioni nel paramento'!$G$41*IF(DATI!$G$211="dx",DATI!$E$61,DATI!$E$64*DATI!$E$63)*1000*C1130^2*sezione!$AD$5*(1-sezione!$AD$6)</f>
        <v>-122945090.1510486</v>
      </c>
      <c r="E1130" s="545">
        <f>-'Foglio deposito bis'!$F$58*(C1130-sezione!$AL$31)*IF(ABS(K1130)&lt;'Sollecitazioni nel paramento'!$G$58,ABS(K1130)*'Sollecitazioni nel paramento'!$G$54,'Sollecitazioni nel paramento'!$G$53)</f>
        <v>0</v>
      </c>
      <c r="F1130" s="545">
        <f>-'Foglio deposito bis'!$F$59*(C1130-sezione!$AM$31)*IF(ABS(L1130)&lt;'Sollecitazioni nel paramento'!$G$58,ABS(L1130)*'Sollecitazioni nel paramento'!$G$54,'Sollecitazioni nel paramento'!$G$53)</f>
        <v>-782879.63574534853</v>
      </c>
      <c r="G1130" s="545">
        <f>-'Foglio deposito bis'!$F$60*(C1130-sezione!$AN$31)*IF(ABS(M1130)&lt;'Sollecitazioni nel paramento'!$G$58,ABS(M1130)*'Sollecitazioni nel paramento'!$G$54,'Sollecitazioni nel paramento'!$G$53)</f>
        <v>0</v>
      </c>
      <c r="H1130" s="545">
        <f>-'Foglio deposito bis'!$F$61*(C1130-sezione!$AO$31)*IF(ABS(N1130)&lt;'Sollecitazioni nel paramento'!$G$58,ABS(N1130)*'Sollecitazioni nel paramento'!$G$54,'Sollecitazioni nel paramento'!$G$53)</f>
        <v>20640251.281299401</v>
      </c>
      <c r="I1130" s="472">
        <f>-'Foglio deposito bis'!$F$62*(C1130-sezione!$AP$31)*IF(ABS(O1130)&lt;'Sollecitazioni nel paramento'!$G$58,ABS(O1130)*'Sollecitazioni nel paramento'!$G$54,'Sollecitazioni nel paramento'!$G$53)</f>
        <v>117011530.71815731</v>
      </c>
      <c r="J1130" s="472">
        <f t="shared" si="81"/>
        <v>13923812.212662756</v>
      </c>
      <c r="K1130" s="550">
        <f>'Sollecitazioni nel paramento'!$G$60*(sezione!$AL$31-C1130)/C1130</f>
        <v>-1.6166794150795348E-3</v>
      </c>
      <c r="L1130" s="550">
        <f>'Sollecitazioni nel paramento'!$G$60*(sezione!$AM$31-C1130)/C1130</f>
        <v>-6.750191226193022E-4</v>
      </c>
      <c r="M1130" s="551">
        <f>'Sollecitazioni nel paramento'!$G$60*(sezione!$AN$31-C1130)/C1130</f>
        <v>2.6664116984093041E-4</v>
      </c>
      <c r="N1130" s="551">
        <f>'Sollecitazioni nel paramento'!$G$60*(sezione!$AO$31-C1130)/C1130</f>
        <v>4.0332823396818608E-3</v>
      </c>
      <c r="O1130" s="551">
        <f>'Sollecitazioni nel paramento'!$G$60*(sezione!$AP$31-C1130)/C1130</f>
        <v>1.7506059946053008E-2</v>
      </c>
      <c r="P1130" s="545">
        <f>-'Sollecitazioni nel paramento'!$G$47*'Sollecitazioni nel paramento'!$G$41*IF(DATI!$G$211="dx",DATI!$E$61,DATI!$E$64*DATI!$E$63)*1000*C1130*sezione!$AD$5</f>
        <v>-2832008.550591636</v>
      </c>
      <c r="Q1130" s="545">
        <f>'Foglio deposito bis'!$F$58*IF(ABS(K1130)&lt;'Sollecitazioni nel paramento'!$G$58,ABS(K1130)*'Sollecitazioni nel paramento'!$G$54,'Sollecitazioni nel paramento'!$G$53)*IF(K1130&lt;0,-1,1)</f>
        <v>0</v>
      </c>
      <c r="R1130" s="545">
        <f>'Foglio deposito bis'!$F$59*IF(ABS(L1130)&lt;'Sollecitazioni nel paramento'!$G$58,ABS(L1130)*'Sollecitazioni nel paramento'!$G$54,'Sollecitazioni nel paramento'!$G$53)*IF(L1130&lt;0,-1,1)</f>
        <v>-54606.354253825753</v>
      </c>
      <c r="S1130" s="545">
        <f>'Foglio deposito bis'!$F$60*IF(ABS(M1130)&lt;'Sollecitazioni nel paramento'!$G$58,ABS(M1130)*'Sollecitazioni nel paramento'!$G$54,'Sollecitazioni nel paramento'!$G$53)*IF(M1130&lt;0,-1,1)</f>
        <v>0</v>
      </c>
      <c r="T1130" s="545">
        <f>'Foglio deposito bis'!$F$61*IF(ABS(N1130)&lt;'Sollecitazioni nel paramento'!$G$58,ABS(N1130)*'Sollecitazioni nel paramento'!$G$54,'Sollecitazioni nel paramento'!$G$53)*IF(N1130&lt;0,-1,1)</f>
        <v>240946.49743184328</v>
      </c>
      <c r="U1130" s="545">
        <f>'Foglio deposito bis'!$F$62*IF(ABS(O1130)&lt;'Sollecitazioni nel paramento'!$G$58,ABS(O1130)*'Sollecitazioni nel paramento'!$G$54,'Sollecitazioni nel paramento'!$G$53)*IF(O1130&lt;0,-1,1)</f>
        <v>314705.62929873407</v>
      </c>
      <c r="V1130" s="472">
        <f t="shared" si="83"/>
        <v>-2330962.7781148846</v>
      </c>
      <c r="W1130" s="551"/>
      <c r="X1130" s="551"/>
    </row>
    <row r="1131" spans="1:24" x14ac:dyDescent="0.25">
      <c r="A1131" s="545">
        <f t="shared" si="82"/>
        <v>2385061.2525389851</v>
      </c>
      <c r="B1131" s="3">
        <f t="shared" si="80"/>
        <v>11.49999999999998</v>
      </c>
      <c r="C1131" s="545">
        <f>'Foglio deposito bis'!$E$157/sezione!$B$247*B1131</f>
        <v>75.652481710760725</v>
      </c>
      <c r="D1131" s="603">
        <f>-'Sollecitazioni nel paramento'!$G$47*'Sollecitazioni nel paramento'!$G$41*IF(DATI!$G$211="dx",DATI!$E$61,DATI!$E$64*DATI!$E$63)*1000*C1131^2*sezione!$AD$5*(1-sezione!$AD$6)</f>
        <v>-127335642.35630181</v>
      </c>
      <c r="E1131" s="545">
        <f>-'Foglio deposito bis'!$F$58*(C1131-sezione!$AL$31)*IF(ABS(K1131)&lt;'Sollecitazioni nel paramento'!$G$58,ABS(K1131)*'Sollecitazioni nel paramento'!$G$54,'Sollecitazioni nel paramento'!$G$53)</f>
        <v>0</v>
      </c>
      <c r="F1131" s="545">
        <f>-'Foglio deposito bis'!$F$59*(C1131-sezione!$AM$31)*IF(ABS(L1131)&lt;'Sollecitazioni nel paramento'!$G$58,ABS(L1131)*'Sollecitazioni nel paramento'!$G$54,'Sollecitazioni nel paramento'!$G$53)</f>
        <v>-916934.64287911111</v>
      </c>
      <c r="G1131" s="545">
        <f>-'Foglio deposito bis'!$F$60*(C1131-sezione!$AN$31)*IF(ABS(M1131)&lt;'Sollecitazioni nel paramento'!$G$58,ABS(M1131)*'Sollecitazioni nel paramento'!$G$54,'Sollecitazioni nel paramento'!$G$53)</f>
        <v>0</v>
      </c>
      <c r="H1131" s="545">
        <f>-'Foglio deposito bis'!$F$61*(C1131-sezione!$AO$31)*IF(ABS(N1131)&lt;'Sollecitazioni nel paramento'!$G$58,ABS(N1131)*'Sollecitazioni nel paramento'!$G$54,'Sollecitazioni nel paramento'!$G$53)</f>
        <v>20323239.098860543</v>
      </c>
      <c r="I1131" s="472">
        <f>-'Foglio deposito bis'!$F$62*(C1131-sezione!$AP$31)*IF(ABS(O1131)&lt;'Sollecitazioni nel paramento'!$G$58,ABS(O1131)*'Sollecitazioni nel paramento'!$G$54,'Sollecitazioni nel paramento'!$G$53)</f>
        <v>116597473.9900739</v>
      </c>
      <c r="J1131" s="472">
        <f t="shared" si="81"/>
        <v>8668136.0897535235</v>
      </c>
      <c r="K1131" s="550">
        <f>'Sollecitazioni nel paramento'!$G$60*(sezione!$AL$31-C1131)/C1131</f>
        <v>-1.6494328165564125E-3</v>
      </c>
      <c r="L1131" s="550">
        <f>'Sollecitazioni nel paramento'!$G$60*(sezione!$AM$31-C1131)/C1131</f>
        <v>-7.2414922483461858E-4</v>
      </c>
      <c r="M1131" s="551">
        <f>'Sollecitazioni nel paramento'!$G$60*(sezione!$AN$31-C1131)/C1131</f>
        <v>2.0113436688717527E-4</v>
      </c>
      <c r="N1131" s="551">
        <f>'Sollecitazioni nel paramento'!$G$60*(sezione!$AO$31-C1131)/C1131</f>
        <v>3.9022687337743503E-3</v>
      </c>
      <c r="O1131" s="551">
        <f>'Sollecitazioni nel paramento'!$G$60*(sezione!$AP$31-C1131)/C1131</f>
        <v>1.7140737164382521E-2</v>
      </c>
      <c r="P1131" s="545">
        <f>-'Sollecitazioni nel paramento'!$G$47*'Sollecitazioni nel paramento'!$G$41*IF(DATI!$G$211="dx",DATI!$E$61,DATI!$E$64*DATI!$E$63)*1000*C1131*sezione!$AD$5</f>
        <v>-2882132.5957348505</v>
      </c>
      <c r="Q1131" s="545">
        <f>'Foglio deposito bis'!$F$58*IF(ABS(K1131)&lt;'Sollecitazioni nel paramento'!$G$58,ABS(K1131)*'Sollecitazioni nel paramento'!$G$54,'Sollecitazioni nel paramento'!$G$53)*IF(K1131&lt;0,-1,1)</f>
        <v>0</v>
      </c>
      <c r="R1131" s="545">
        <f>'Foglio deposito bis'!$F$59*IF(ABS(L1131)&lt;'Sollecitazioni nel paramento'!$G$58,ABS(L1131)*'Sollecitazioni nel paramento'!$G$54,'Sollecitazioni nel paramento'!$G$53)*IF(L1131&lt;0,-1,1)</f>
        <v>-58580.783534711903</v>
      </c>
      <c r="S1131" s="545">
        <f>'Foglio deposito bis'!$F$60*IF(ABS(M1131)&lt;'Sollecitazioni nel paramento'!$G$58,ABS(M1131)*'Sollecitazioni nel paramento'!$G$54,'Sollecitazioni nel paramento'!$G$53)*IF(M1131&lt;0,-1,1)</f>
        <v>0</v>
      </c>
      <c r="T1131" s="545">
        <f>'Foglio deposito bis'!$F$61*IF(ABS(N1131)&lt;'Sollecitazioni nel paramento'!$G$58,ABS(N1131)*'Sollecitazioni nel paramento'!$G$54,'Sollecitazioni nel paramento'!$G$53)*IF(N1131&lt;0,-1,1)</f>
        <v>240946.49743184328</v>
      </c>
      <c r="U1131" s="545">
        <f>'Foglio deposito bis'!$F$62*IF(ABS(O1131)&lt;'Sollecitazioni nel paramento'!$G$58,ABS(O1131)*'Sollecitazioni nel paramento'!$G$54,'Sollecitazioni nel paramento'!$G$53)*IF(O1131&lt;0,-1,1)</f>
        <v>314705.62929873407</v>
      </c>
      <c r="V1131" s="472">
        <f t="shared" si="83"/>
        <v>-2385061.2525389851</v>
      </c>
      <c r="W1131" s="551"/>
      <c r="X1131" s="551"/>
    </row>
    <row r="1132" spans="1:24" x14ac:dyDescent="0.25">
      <c r="A1132" s="545">
        <f t="shared" si="82"/>
        <v>2439023.8490389534</v>
      </c>
      <c r="B1132" s="3">
        <f t="shared" si="80"/>
        <v>11.69999999999998</v>
      </c>
      <c r="C1132" s="545">
        <f>'Foglio deposito bis'!$E$157/sezione!$B$247*B1132</f>
        <v>76.968177044860909</v>
      </c>
      <c r="D1132" s="603">
        <f>-'Sollecitazioni nel paramento'!$G$47*'Sollecitazioni nel paramento'!$G$41*IF(DATI!$G$211="dx",DATI!$E$61,DATI!$E$64*DATI!$E$63)*1000*C1132^2*sezione!$AD$5*(1-sezione!$AD$6)</f>
        <v>-131803221.79322611</v>
      </c>
      <c r="E1132" s="545">
        <f>-'Foglio deposito bis'!$F$58*(C1132-sezione!$AL$31)*IF(ABS(K1132)&lt;'Sollecitazioni nel paramento'!$G$58,ABS(K1132)*'Sollecitazioni nel paramento'!$G$54,'Sollecitazioni nel paramento'!$G$53)</f>
        <v>0</v>
      </c>
      <c r="F1132" s="545">
        <f>-'Foglio deposito bis'!$F$59*(C1132-sezione!$AM$31)*IF(ABS(L1132)&lt;'Sollecitazioni nel paramento'!$G$58,ABS(L1132)*'Sollecitazioni nel paramento'!$G$54,'Sollecitazioni nel paramento'!$G$53)</f>
        <v>-1059142.3254608454</v>
      </c>
      <c r="G1132" s="545">
        <f>-'Foglio deposito bis'!$F$60*(C1132-sezione!$AN$31)*IF(ABS(M1132)&lt;'Sollecitazioni nel paramento'!$G$58,ABS(M1132)*'Sollecitazioni nel paramento'!$G$54,'Sollecitazioni nel paramento'!$G$53)</f>
        <v>0</v>
      </c>
      <c r="H1132" s="545">
        <f>-'Foglio deposito bis'!$F$61*(C1132-sezione!$AO$31)*IF(ABS(N1132)&lt;'Sollecitazioni nel paramento'!$G$58,ABS(N1132)*'Sollecitazioni nel paramento'!$G$54,'Sollecitazioni nel paramento'!$G$53)</f>
        <v>20006226.916421685</v>
      </c>
      <c r="I1132" s="472">
        <f>-'Foglio deposito bis'!$F$62*(C1132-sezione!$AP$31)*IF(ABS(O1132)&lt;'Sollecitazioni nel paramento'!$G$58,ABS(O1132)*'Sollecitazioni nel paramento'!$G$54,'Sollecitazioni nel paramento'!$G$53)</f>
        <v>116183417.2619905</v>
      </c>
      <c r="J1132" s="472">
        <f t="shared" si="81"/>
        <v>3327280.059725225</v>
      </c>
      <c r="K1132" s="550">
        <f>'Sollecitazioni nel paramento'!$G$60*(sezione!$AL$31-C1132)/C1132</f>
        <v>-1.681066443623824E-3</v>
      </c>
      <c r="L1132" s="550">
        <f>'Sollecitazioni nel paramento'!$G$60*(sezione!$AM$31-C1132)/C1132</f>
        <v>-7.7159966543573612E-4</v>
      </c>
      <c r="M1132" s="551">
        <f>'Sollecitazioni nel paramento'!$G$60*(sezione!$AN$31-C1132)/C1132</f>
        <v>1.3786711275235188E-4</v>
      </c>
      <c r="N1132" s="551">
        <f>'Sollecitazioni nel paramento'!$G$60*(sezione!$AO$31-C1132)/C1132</f>
        <v>3.7757342255047041E-3</v>
      </c>
      <c r="O1132" s="551">
        <f>'Sollecitazioni nel paramento'!$G$60*(sezione!$AP$31-C1132)/C1132</f>
        <v>1.6787904050461454E-2</v>
      </c>
      <c r="P1132" s="545">
        <f>-'Sollecitazioni nel paramento'!$G$47*'Sollecitazioni nel paramento'!$G$41*IF(DATI!$G$211="dx",DATI!$E$61,DATI!$E$64*DATI!$E$63)*1000*C1132*sezione!$AD$5</f>
        <v>-2932256.6408780655</v>
      </c>
      <c r="Q1132" s="545">
        <f>'Foglio deposito bis'!$F$58*IF(ABS(K1132)&lt;'Sollecitazioni nel paramento'!$G$58,ABS(K1132)*'Sollecitazioni nel paramento'!$G$54,'Sollecitazioni nel paramento'!$G$53)*IF(K1132&lt;0,-1,1)</f>
        <v>0</v>
      </c>
      <c r="R1132" s="545">
        <f>'Foglio deposito bis'!$F$59*IF(ABS(L1132)&lt;'Sollecitazioni nel paramento'!$G$58,ABS(L1132)*'Sollecitazioni nel paramento'!$G$54,'Sollecitazioni nel paramento'!$G$53)*IF(L1132&lt;0,-1,1)</f>
        <v>-62419.334891465202</v>
      </c>
      <c r="S1132" s="545">
        <f>'Foglio deposito bis'!$F$60*IF(ABS(M1132)&lt;'Sollecitazioni nel paramento'!$G$58,ABS(M1132)*'Sollecitazioni nel paramento'!$G$54,'Sollecitazioni nel paramento'!$G$53)*IF(M1132&lt;0,-1,1)</f>
        <v>0</v>
      </c>
      <c r="T1132" s="545">
        <f>'Foglio deposito bis'!$F$61*IF(ABS(N1132)&lt;'Sollecitazioni nel paramento'!$G$58,ABS(N1132)*'Sollecitazioni nel paramento'!$G$54,'Sollecitazioni nel paramento'!$G$53)*IF(N1132&lt;0,-1,1)</f>
        <v>240946.49743184328</v>
      </c>
      <c r="U1132" s="545">
        <f>'Foglio deposito bis'!$F$62*IF(ABS(O1132)&lt;'Sollecitazioni nel paramento'!$G$58,ABS(O1132)*'Sollecitazioni nel paramento'!$G$54,'Sollecitazioni nel paramento'!$G$53)*IF(O1132&lt;0,-1,1)</f>
        <v>314705.62929873407</v>
      </c>
      <c r="V1132" s="472">
        <f t="shared" si="83"/>
        <v>-2439023.8490389534</v>
      </c>
      <c r="W1132" s="551"/>
      <c r="X1132" s="551"/>
    </row>
    <row r="1133" spans="1:24" x14ac:dyDescent="0.25">
      <c r="A1133" s="545">
        <f t="shared" si="82"/>
        <v>2492857.4186025606</v>
      </c>
      <c r="B1133" s="3">
        <f t="shared" si="80"/>
        <v>11.899999999999979</v>
      </c>
      <c r="C1133" s="545">
        <f>'Foglio deposito bis'!$E$157/sezione!$B$247*B1133</f>
        <v>78.283872378961092</v>
      </c>
      <c r="D1133" s="603">
        <f>-'Sollecitazioni nel paramento'!$G$47*'Sollecitazioni nel paramento'!$G$41*IF(DATI!$G$211="dx",DATI!$E$61,DATI!$E$64*DATI!$E$63)*1000*C1133^2*sezione!$AD$5*(1-sezione!$AD$6)</f>
        <v>-136347828.46182153</v>
      </c>
      <c r="E1133" s="545">
        <f>-'Foglio deposito bis'!$F$58*(C1133-sezione!$AL$31)*IF(ABS(K1133)&lt;'Sollecitazioni nel paramento'!$G$58,ABS(K1133)*'Sollecitazioni nel paramento'!$G$54,'Sollecitazioni nel paramento'!$G$53)</f>
        <v>0</v>
      </c>
      <c r="F1133" s="545">
        <f>-'Foglio deposito bis'!$F$59*(C1133-sezione!$AM$31)*IF(ABS(L1133)&lt;'Sollecitazioni nel paramento'!$G$58,ABS(L1133)*'Sollecitazioni nel paramento'!$G$54,'Sollecitazioni nel paramento'!$G$53)</f>
        <v>-1209091.624224267</v>
      </c>
      <c r="G1133" s="545">
        <f>-'Foglio deposito bis'!$F$60*(C1133-sezione!$AN$31)*IF(ABS(M1133)&lt;'Sollecitazioni nel paramento'!$G$58,ABS(M1133)*'Sollecitazioni nel paramento'!$G$54,'Sollecitazioni nel paramento'!$G$53)</f>
        <v>0</v>
      </c>
      <c r="H1133" s="545">
        <f>-'Foglio deposito bis'!$F$61*(C1133-sezione!$AO$31)*IF(ABS(N1133)&lt;'Sollecitazioni nel paramento'!$G$58,ABS(N1133)*'Sollecitazioni nel paramento'!$G$54,'Sollecitazioni nel paramento'!$G$53)</f>
        <v>19689214.733982828</v>
      </c>
      <c r="I1133" s="472">
        <f>-'Foglio deposito bis'!$F$62*(C1133-sezione!$AP$31)*IF(ABS(O1133)&lt;'Sollecitazioni nel paramento'!$G$58,ABS(O1133)*'Sollecitazioni nel paramento'!$G$54,'Sollecitazioni nel paramento'!$G$53)</f>
        <v>115769360.53390709</v>
      </c>
      <c r="J1133" s="472">
        <f t="shared" si="81"/>
        <v>-2098344.8181558847</v>
      </c>
      <c r="K1133" s="550">
        <f>'Sollecitazioni nel paramento'!$G$60*(sezione!$AL$31-C1133)/C1133</f>
        <v>-1.7116367554956928E-3</v>
      </c>
      <c r="L1133" s="550">
        <f>'Sollecitazioni nel paramento'!$G$60*(sezione!$AM$31-C1133)/C1133</f>
        <v>-8.1745513324353873E-4</v>
      </c>
      <c r="M1133" s="551">
        <f>'Sollecitazioni nel paramento'!$G$60*(sezione!$AN$31-C1133)/C1133</f>
        <v>7.6726489008614984E-5</v>
      </c>
      <c r="N1133" s="551">
        <f>'Sollecitazioni nel paramento'!$G$60*(sezione!$AO$31-C1133)/C1133</f>
        <v>3.6534529780172299E-3</v>
      </c>
      <c r="O1133" s="551">
        <f>'Sollecitazioni nel paramento'!$G$60*(sezione!$AP$31-C1133)/C1133</f>
        <v>1.6446930873142775E-2</v>
      </c>
      <c r="P1133" s="545">
        <f>-'Sollecitazioni nel paramento'!$G$47*'Sollecitazioni nel paramento'!$G$41*IF(DATI!$G$211="dx",DATI!$E$61,DATI!$E$64*DATI!$E$63)*1000*C1133*sezione!$AD$5</f>
        <v>-2982380.6860212805</v>
      </c>
      <c r="Q1133" s="545">
        <f>'Foglio deposito bis'!$F$58*IF(ABS(K1133)&lt;'Sollecitazioni nel paramento'!$G$58,ABS(K1133)*'Sollecitazioni nel paramento'!$G$54,'Sollecitazioni nel paramento'!$G$53)*IF(K1133&lt;0,-1,1)</f>
        <v>0</v>
      </c>
      <c r="R1133" s="545">
        <f>'Foglio deposito bis'!$F$59*IF(ABS(L1133)&lt;'Sollecitazioni nel paramento'!$G$58,ABS(L1133)*'Sollecitazioni nel paramento'!$G$54,'Sollecitazioni nel paramento'!$G$53)*IF(L1133&lt;0,-1,1)</f>
        <v>-66128.859311857042</v>
      </c>
      <c r="S1133" s="545">
        <f>'Foglio deposito bis'!$F$60*IF(ABS(M1133)&lt;'Sollecitazioni nel paramento'!$G$58,ABS(M1133)*'Sollecitazioni nel paramento'!$G$54,'Sollecitazioni nel paramento'!$G$53)*IF(M1133&lt;0,-1,1)</f>
        <v>0</v>
      </c>
      <c r="T1133" s="545">
        <f>'Foglio deposito bis'!$F$61*IF(ABS(N1133)&lt;'Sollecitazioni nel paramento'!$G$58,ABS(N1133)*'Sollecitazioni nel paramento'!$G$54,'Sollecitazioni nel paramento'!$G$53)*IF(N1133&lt;0,-1,1)</f>
        <v>240946.49743184328</v>
      </c>
      <c r="U1133" s="545">
        <f>'Foglio deposito bis'!$F$62*IF(ABS(O1133)&lt;'Sollecitazioni nel paramento'!$G$58,ABS(O1133)*'Sollecitazioni nel paramento'!$G$54,'Sollecitazioni nel paramento'!$G$53)*IF(O1133&lt;0,-1,1)</f>
        <v>314705.62929873407</v>
      </c>
      <c r="V1133" s="472">
        <f t="shared" si="83"/>
        <v>-2492857.4186025606</v>
      </c>
      <c r="W1133" s="551"/>
      <c r="X1133" s="551"/>
    </row>
    <row r="1134" spans="1:24" x14ac:dyDescent="0.25">
      <c r="A1134" s="545">
        <f t="shared" si="82"/>
        <v>2546568.3592597074</v>
      </c>
      <c r="B1134" s="3">
        <f t="shared" si="80"/>
        <v>12.099999999999978</v>
      </c>
      <c r="C1134" s="545">
        <f>'Foglio deposito bis'!$E$157/sezione!$B$247*B1134</f>
        <v>79.599567713061276</v>
      </c>
      <c r="D1134" s="603">
        <f>-'Sollecitazioni nel paramento'!$G$47*'Sollecitazioni nel paramento'!$G$41*IF(DATI!$G$211="dx",DATI!$E$61,DATI!$E$64*DATI!$E$63)*1000*C1134^2*sezione!$AD$5*(1-sezione!$AD$6)</f>
        <v>-140969462.36208805</v>
      </c>
      <c r="E1134" s="545">
        <f>-'Foglio deposito bis'!$F$58*(C1134-sezione!$AL$31)*IF(ABS(K1134)&lt;'Sollecitazioni nel paramento'!$G$58,ABS(K1134)*'Sollecitazioni nel paramento'!$G$54,'Sollecitazioni nel paramento'!$G$53)</f>
        <v>0</v>
      </c>
      <c r="F1134" s="545">
        <f>-'Foglio deposito bis'!$F$59*(C1134-sezione!$AM$31)*IF(ABS(L1134)&lt;'Sollecitazioni nel paramento'!$G$58,ABS(L1134)*'Sollecitazioni nel paramento'!$G$54,'Sollecitazioni nel paramento'!$G$53)</f>
        <v>-1366398.6573752428</v>
      </c>
      <c r="G1134" s="545">
        <f>-'Foglio deposito bis'!$F$60*(C1134-sezione!$AN$31)*IF(ABS(M1134)&lt;'Sollecitazioni nel paramento'!$G$58,ABS(M1134)*'Sollecitazioni nel paramento'!$G$54,'Sollecitazioni nel paramento'!$G$53)</f>
        <v>0</v>
      </c>
      <c r="H1134" s="545">
        <f>-'Foglio deposito bis'!$F$61*(C1134-sezione!$AO$31)*IF(ABS(N1134)&lt;'Sollecitazioni nel paramento'!$G$58,ABS(N1134)*'Sollecitazioni nel paramento'!$G$54,'Sollecitazioni nel paramento'!$G$53)</f>
        <v>19372202.55154397</v>
      </c>
      <c r="I1134" s="472">
        <f>-'Foglio deposito bis'!$F$62*(C1134-sezione!$AP$31)*IF(ABS(O1134)&lt;'Sollecitazioni nel paramento'!$G$58,ABS(O1134)*'Sollecitazioni nel paramento'!$G$54,'Sollecitazioni nel paramento'!$G$53)</f>
        <v>115355303.80582367</v>
      </c>
      <c r="J1134" s="472">
        <f t="shared" si="81"/>
        <v>-7608354.6620956659</v>
      </c>
      <c r="K1134" s="550">
        <f>'Sollecitazioni nel paramento'!$G$60*(sezione!$AL$31-C1134)/C1134</f>
        <v>-1.7411964785453505E-3</v>
      </c>
      <c r="L1134" s="550">
        <f>'Sollecitazioni nel paramento'!$G$60*(sezione!$AM$31-C1134)/C1134</f>
        <v>-8.6179471781802565E-4</v>
      </c>
      <c r="M1134" s="551">
        <f>'Sollecitazioni nel paramento'!$G$60*(sezione!$AN$31-C1134)/C1134</f>
        <v>1.7607042909299153E-5</v>
      </c>
      <c r="N1134" s="551">
        <f>'Sollecitazioni nel paramento'!$G$60*(sezione!$AO$31-C1134)/C1134</f>
        <v>3.5352140858185988E-3</v>
      </c>
      <c r="O1134" s="551">
        <f>'Sollecitazioni nel paramento'!$G$60*(sezione!$AP$31-C1134)/C1134</f>
        <v>1.6117229536396615E-2</v>
      </c>
      <c r="P1134" s="545">
        <f>-'Sollecitazioni nel paramento'!$G$47*'Sollecitazioni nel paramento'!$G$41*IF(DATI!$G$211="dx",DATI!$E$61,DATI!$E$64*DATI!$E$63)*1000*C1134*sezione!$AD$5</f>
        <v>-3032504.731164495</v>
      </c>
      <c r="Q1134" s="545">
        <f>'Foglio deposito bis'!$F$58*IF(ABS(K1134)&lt;'Sollecitazioni nel paramento'!$G$58,ABS(K1134)*'Sollecitazioni nel paramento'!$G$54,'Sollecitazioni nel paramento'!$G$53)*IF(K1134&lt;0,-1,1)</f>
        <v>0</v>
      </c>
      <c r="R1134" s="545">
        <f>'Foglio deposito bis'!$F$59*IF(ABS(L1134)&lt;'Sollecitazioni nel paramento'!$G$58,ABS(L1134)*'Sollecitazioni nel paramento'!$G$54,'Sollecitazioni nel paramento'!$G$53)*IF(L1134&lt;0,-1,1)</f>
        <v>-69715.754825789656</v>
      </c>
      <c r="S1134" s="545">
        <f>'Foglio deposito bis'!$F$60*IF(ABS(M1134)&lt;'Sollecitazioni nel paramento'!$G$58,ABS(M1134)*'Sollecitazioni nel paramento'!$G$54,'Sollecitazioni nel paramento'!$G$53)*IF(M1134&lt;0,-1,1)</f>
        <v>0</v>
      </c>
      <c r="T1134" s="545">
        <f>'Foglio deposito bis'!$F$61*IF(ABS(N1134)&lt;'Sollecitazioni nel paramento'!$G$58,ABS(N1134)*'Sollecitazioni nel paramento'!$G$54,'Sollecitazioni nel paramento'!$G$53)*IF(N1134&lt;0,-1,1)</f>
        <v>240946.49743184328</v>
      </c>
      <c r="U1134" s="545">
        <f>'Foglio deposito bis'!$F$62*IF(ABS(O1134)&lt;'Sollecitazioni nel paramento'!$G$58,ABS(O1134)*'Sollecitazioni nel paramento'!$G$54,'Sollecitazioni nel paramento'!$G$53)*IF(O1134&lt;0,-1,1)</f>
        <v>314705.62929873407</v>
      </c>
      <c r="V1134" s="472">
        <f t="shared" si="83"/>
        <v>-2546568.3592597074</v>
      </c>
      <c r="W1134" s="551"/>
      <c r="X1134" s="551"/>
    </row>
    <row r="1135" spans="1:24" x14ac:dyDescent="0.25">
      <c r="A1135" s="545">
        <f t="shared" si="82"/>
        <v>2600162.6529082716</v>
      </c>
      <c r="B1135" s="3">
        <f t="shared" si="80"/>
        <v>12.299999999999978</v>
      </c>
      <c r="C1135" s="545">
        <f>'Foglio deposito bis'!$E$157/sezione!$B$247*B1135</f>
        <v>80.91526304716146</v>
      </c>
      <c r="D1135" s="603">
        <f>-'Sollecitazioni nel paramento'!$G$47*'Sollecitazioni nel paramento'!$G$41*IF(DATI!$G$211="dx",DATI!$E$61,DATI!$E$64*DATI!$E$63)*1000*C1135^2*sezione!$AD$5*(1-sezione!$AD$6)</f>
        <v>-145668123.49402565</v>
      </c>
      <c r="E1135" s="545">
        <f>-'Foglio deposito bis'!$F$58*(C1135-sezione!$AL$31)*IF(ABS(K1135)&lt;'Sollecitazioni nel paramento'!$G$58,ABS(K1135)*'Sollecitazioni nel paramento'!$G$54,'Sollecitazioni nel paramento'!$G$53)</f>
        <v>0</v>
      </c>
      <c r="F1135" s="545">
        <f>-'Foglio deposito bis'!$F$59*(C1135-sezione!$AM$31)*IF(ABS(L1135)&lt;'Sollecitazioni nel paramento'!$G$58,ABS(L1135)*'Sollecitazioni nel paramento'!$G$54,'Sollecitazioni nel paramento'!$G$53)</f>
        <v>-1530704.5110412084</v>
      </c>
      <c r="G1135" s="545">
        <f>-'Foglio deposito bis'!$F$60*(C1135-sezione!$AN$31)*IF(ABS(M1135)&lt;'Sollecitazioni nel paramento'!$G$58,ABS(M1135)*'Sollecitazioni nel paramento'!$G$54,'Sollecitazioni nel paramento'!$G$53)</f>
        <v>0</v>
      </c>
      <c r="H1135" s="545">
        <f>-'Foglio deposito bis'!$F$61*(C1135-sezione!$AO$31)*IF(ABS(N1135)&lt;'Sollecitazioni nel paramento'!$G$58,ABS(N1135)*'Sollecitazioni nel paramento'!$G$54,'Sollecitazioni nel paramento'!$G$53)</f>
        <v>19055190.369105112</v>
      </c>
      <c r="I1135" s="472">
        <f>-'Foglio deposito bis'!$F$62*(C1135-sezione!$AP$31)*IF(ABS(O1135)&lt;'Sollecitazioni nel paramento'!$G$58,ABS(O1135)*'Sollecitazioni nel paramento'!$G$54,'Sollecitazioni nel paramento'!$G$53)</f>
        <v>114941247.07774028</v>
      </c>
      <c r="J1135" s="472">
        <f t="shared" si="81"/>
        <v>-13202390.558221444</v>
      </c>
      <c r="K1135" s="550">
        <f>'Sollecitazioni nel paramento'!$G$60*(sezione!$AL$31-C1135)/C1135</f>
        <v>-1.7697949097885155E-3</v>
      </c>
      <c r="L1135" s="550">
        <f>'Sollecitazioni nel paramento'!$G$60*(sezione!$AM$31-C1135)/C1135</f>
        <v>-9.0469236468277304E-4</v>
      </c>
      <c r="M1135" s="551">
        <f>'Sollecitazioni nel paramento'!$G$60*(sezione!$AN$31-C1135)/C1135</f>
        <v>-3.9589819577030804E-5</v>
      </c>
      <c r="N1135" s="551">
        <f>'Sollecitazioni nel paramento'!$G$60*(sezione!$AO$31-C1135)/C1135</f>
        <v>3.4208203608459384E-3</v>
      </c>
      <c r="O1135" s="551">
        <f>'Sollecitazioni nel paramento'!$G$60*(sezione!$AP$31-C1135)/C1135</f>
        <v>1.5798250194341387E-2</v>
      </c>
      <c r="P1135" s="545">
        <f>-'Sollecitazioni nel paramento'!$G$47*'Sollecitazioni nel paramento'!$G$41*IF(DATI!$G$211="dx",DATI!$E$61,DATI!$E$64*DATI!$E$63)*1000*C1135*sezione!$AD$5</f>
        <v>-3082628.7763077095</v>
      </c>
      <c r="Q1135" s="545">
        <f>'Foglio deposito bis'!$F$58*IF(ABS(K1135)&lt;'Sollecitazioni nel paramento'!$G$58,ABS(K1135)*'Sollecitazioni nel paramento'!$G$54,'Sollecitazioni nel paramento'!$G$53)*IF(K1135&lt;0,-1,1)</f>
        <v>0</v>
      </c>
      <c r="R1135" s="545">
        <f>'Foglio deposito bis'!$F$59*IF(ABS(L1135)&lt;'Sollecitazioni nel paramento'!$G$58,ABS(L1135)*'Sollecitazioni nel paramento'!$G$54,'Sollecitazioni nel paramento'!$G$53)*IF(L1135&lt;0,-1,1)</f>
        <v>-73186.003331139073</v>
      </c>
      <c r="S1135" s="545">
        <f>'Foglio deposito bis'!$F$60*IF(ABS(M1135)&lt;'Sollecitazioni nel paramento'!$G$58,ABS(M1135)*'Sollecitazioni nel paramento'!$G$54,'Sollecitazioni nel paramento'!$G$53)*IF(M1135&lt;0,-1,1)</f>
        <v>0</v>
      </c>
      <c r="T1135" s="545">
        <f>'Foglio deposito bis'!$F$61*IF(ABS(N1135)&lt;'Sollecitazioni nel paramento'!$G$58,ABS(N1135)*'Sollecitazioni nel paramento'!$G$54,'Sollecitazioni nel paramento'!$G$53)*IF(N1135&lt;0,-1,1)</f>
        <v>240946.49743184328</v>
      </c>
      <c r="U1135" s="545">
        <f>'Foglio deposito bis'!$F$62*IF(ABS(O1135)&lt;'Sollecitazioni nel paramento'!$G$58,ABS(O1135)*'Sollecitazioni nel paramento'!$G$54,'Sollecitazioni nel paramento'!$G$53)*IF(O1135&lt;0,-1,1)</f>
        <v>314705.62929873407</v>
      </c>
      <c r="V1135" s="472">
        <f t="shared" si="83"/>
        <v>-2600162.6529082716</v>
      </c>
      <c r="W1135" s="551"/>
      <c r="X1135" s="551"/>
    </row>
    <row r="1136" spans="1:24" x14ac:dyDescent="0.25">
      <c r="A1136" s="545">
        <f t="shared" si="82"/>
        <v>2653645.8986046645</v>
      </c>
      <c r="B1136" s="3">
        <f t="shared" si="80"/>
        <v>12.499999999999977</v>
      </c>
      <c r="C1136" s="545">
        <f>'Foglio deposito bis'!$E$157/sezione!$B$247*B1136</f>
        <v>82.230958381261644</v>
      </c>
      <c r="D1136" s="603">
        <f>-'Sollecitazioni nel paramento'!$G$47*'Sollecitazioni nel paramento'!$G$41*IF(DATI!$G$211="dx",DATI!$E$61,DATI!$E$64*DATI!$E$63)*1000*C1136^2*sezione!$AD$5*(1-sezione!$AD$6)</f>
        <v>-150443811.85763443</v>
      </c>
      <c r="E1136" s="545">
        <f>-'Foglio deposito bis'!$F$58*(C1136-sezione!$AL$31)*IF(ABS(K1136)&lt;'Sollecitazioni nel paramento'!$G$58,ABS(K1136)*'Sollecitazioni nel paramento'!$G$54,'Sollecitazioni nel paramento'!$G$53)</f>
        <v>0</v>
      </c>
      <c r="F1136" s="545">
        <f>-'Foglio deposito bis'!$F$59*(C1136-sezione!$AM$31)*IF(ABS(L1136)&lt;'Sollecitazioni nel paramento'!$G$58,ABS(L1136)*'Sollecitazioni nel paramento'!$G$54,'Sollecitazioni nel paramento'!$G$53)</f>
        <v>-1701673.2418374459</v>
      </c>
      <c r="G1136" s="545">
        <f>-'Foglio deposito bis'!$F$60*(C1136-sezione!$AN$31)*IF(ABS(M1136)&lt;'Sollecitazioni nel paramento'!$G$58,ABS(M1136)*'Sollecitazioni nel paramento'!$G$54,'Sollecitazioni nel paramento'!$G$53)</f>
        <v>0</v>
      </c>
      <c r="H1136" s="545">
        <f>-'Foglio deposito bis'!$F$61*(C1136-sezione!$AO$31)*IF(ABS(N1136)&lt;'Sollecitazioni nel paramento'!$G$58,ABS(N1136)*'Sollecitazioni nel paramento'!$G$54,'Sollecitazioni nel paramento'!$G$53)</f>
        <v>18738178.186666254</v>
      </c>
      <c r="I1136" s="472">
        <f>-'Foglio deposito bis'!$F$62*(C1136-sezione!$AP$31)*IF(ABS(O1136)&lt;'Sollecitazioni nel paramento'!$G$58,ABS(O1136)*'Sollecitazioni nel paramento'!$G$54,'Sollecitazioni nel paramento'!$G$53)</f>
        <v>114527190.34965687</v>
      </c>
      <c r="J1136" s="472">
        <f t="shared" si="81"/>
        <v>-18880116.563148752</v>
      </c>
      <c r="K1136" s="550">
        <f>'Sollecitazioni nel paramento'!$G$60*(sezione!$AL$31-C1136)/C1136</f>
        <v>-1.7974781912318989E-3</v>
      </c>
      <c r="L1136" s="550">
        <f>'Sollecitazioni nel paramento'!$G$60*(sezione!$AM$31-C1136)/C1136</f>
        <v>-9.4621728684784871E-4</v>
      </c>
      <c r="M1136" s="551">
        <f>'Sollecitazioni nel paramento'!$G$60*(sezione!$AN$31-C1136)/C1136</f>
        <v>-9.4956382463798212E-5</v>
      </c>
      <c r="N1136" s="551">
        <f>'Sollecitazioni nel paramento'!$G$60*(sezione!$AO$31-C1136)/C1136</f>
        <v>3.3100872350724036E-3</v>
      </c>
      <c r="O1136" s="551">
        <f>'Sollecitazioni nel paramento'!$G$60*(sezione!$AP$31-C1136)/C1136</f>
        <v>1.5489478191231924E-2</v>
      </c>
      <c r="P1136" s="545">
        <f>-'Sollecitazioni nel paramento'!$G$47*'Sollecitazioni nel paramento'!$G$41*IF(DATI!$G$211="dx",DATI!$E$61,DATI!$E$64*DATI!$E$63)*1000*C1136*sezione!$AD$5</f>
        <v>-3132752.821450924</v>
      </c>
      <c r="Q1136" s="545">
        <f>'Foglio deposito bis'!$F$58*IF(ABS(K1136)&lt;'Sollecitazioni nel paramento'!$G$58,ABS(K1136)*'Sollecitazioni nel paramento'!$G$54,'Sollecitazioni nel paramento'!$G$53)*IF(K1136&lt;0,-1,1)</f>
        <v>0</v>
      </c>
      <c r="R1136" s="545">
        <f>'Foglio deposito bis'!$F$59*IF(ABS(L1136)&lt;'Sollecitazioni nel paramento'!$G$58,ABS(L1136)*'Sollecitazioni nel paramento'!$G$54,'Sollecitazioni nel paramento'!$G$53)*IF(L1136&lt;0,-1,1)</f>
        <v>-76545.203884317336</v>
      </c>
      <c r="S1136" s="545">
        <f>'Foglio deposito bis'!$F$60*IF(ABS(M1136)&lt;'Sollecitazioni nel paramento'!$G$58,ABS(M1136)*'Sollecitazioni nel paramento'!$G$54,'Sollecitazioni nel paramento'!$G$53)*IF(M1136&lt;0,-1,1)</f>
        <v>0</v>
      </c>
      <c r="T1136" s="545">
        <f>'Foglio deposito bis'!$F$61*IF(ABS(N1136)&lt;'Sollecitazioni nel paramento'!$G$58,ABS(N1136)*'Sollecitazioni nel paramento'!$G$54,'Sollecitazioni nel paramento'!$G$53)*IF(N1136&lt;0,-1,1)</f>
        <v>240946.49743184328</v>
      </c>
      <c r="U1136" s="545">
        <f>'Foglio deposito bis'!$F$62*IF(ABS(O1136)&lt;'Sollecitazioni nel paramento'!$G$58,ABS(O1136)*'Sollecitazioni nel paramento'!$G$54,'Sollecitazioni nel paramento'!$G$53)*IF(O1136&lt;0,-1,1)</f>
        <v>314705.62929873407</v>
      </c>
      <c r="V1136" s="472">
        <f t="shared" si="83"/>
        <v>-2653645.8986046645</v>
      </c>
      <c r="W1136" s="551"/>
      <c r="X1136" s="551"/>
    </row>
    <row r="1137" spans="1:24" x14ac:dyDescent="0.25">
      <c r="A1137" s="545">
        <f t="shared" si="82"/>
        <v>2707023.3427088317</v>
      </c>
      <c r="B1137" s="3">
        <f t="shared" si="80"/>
        <v>12.699999999999976</v>
      </c>
      <c r="C1137" s="545">
        <f>'Foglio deposito bis'!$E$157/sezione!$B$247*B1137</f>
        <v>83.546653715361828</v>
      </c>
      <c r="D1137" s="603">
        <f>-'Sollecitazioni nel paramento'!$G$47*'Sollecitazioni nel paramento'!$G$41*IF(DATI!$G$211="dx",DATI!$E$61,DATI!$E$64*DATI!$E$63)*1000*C1137^2*sezione!$AD$5*(1-sezione!$AD$6)</f>
        <v>-155296527.45291427</v>
      </c>
      <c r="E1137" s="545">
        <f>-'Foglio deposito bis'!$F$58*(C1137-sezione!$AL$31)*IF(ABS(K1137)&lt;'Sollecitazioni nel paramento'!$G$58,ABS(K1137)*'Sollecitazioni nel paramento'!$G$54,'Sollecitazioni nel paramento'!$G$53)</f>
        <v>0</v>
      </c>
      <c r="F1137" s="545">
        <f>-'Foglio deposito bis'!$F$59*(C1137-sezione!$AM$31)*IF(ABS(L1137)&lt;'Sollecitazioni nel paramento'!$G$58,ABS(L1137)*'Sollecitazioni nel paramento'!$G$54,'Sollecitazioni nel paramento'!$G$53)</f>
        <v>-1878990.0681672478</v>
      </c>
      <c r="G1137" s="545">
        <f>-'Foglio deposito bis'!$F$60*(C1137-sezione!$AN$31)*IF(ABS(M1137)&lt;'Sollecitazioni nel paramento'!$G$58,ABS(M1137)*'Sollecitazioni nel paramento'!$G$54,'Sollecitazioni nel paramento'!$G$53)</f>
        <v>0</v>
      </c>
      <c r="H1137" s="545">
        <f>-'Foglio deposito bis'!$F$61*(C1137-sezione!$AO$31)*IF(ABS(N1137)&lt;'Sollecitazioni nel paramento'!$G$58,ABS(N1137)*'Sollecitazioni nel paramento'!$G$54,'Sollecitazioni nel paramento'!$G$53)</f>
        <v>18421166.004227396</v>
      </c>
      <c r="I1137" s="472">
        <f>-'Foglio deposito bis'!$F$62*(C1137-sezione!$AP$31)*IF(ABS(O1137)&lt;'Sollecitazioni nel paramento'!$G$58,ABS(O1137)*'Sollecitazioni nel paramento'!$G$54,'Sollecitazioni nel paramento'!$G$53)</f>
        <v>114113133.62157346</v>
      </c>
      <c r="J1137" s="472">
        <f t="shared" si="81"/>
        <v>-24641217.895280644</v>
      </c>
      <c r="K1137" s="550">
        <f>'Sollecitazioni nel paramento'!$G$60*(sezione!$AL$31-C1137)/C1137</f>
        <v>-1.8242895582991135E-3</v>
      </c>
      <c r="L1137" s="550">
        <f>'Sollecitazioni nel paramento'!$G$60*(sezione!$AM$31-C1137)/C1137</f>
        <v>-9.8643433744866993E-4</v>
      </c>
      <c r="M1137" s="551">
        <f>'Sollecitazioni nel paramento'!$G$60*(sezione!$AN$31-C1137)/C1137</f>
        <v>-1.4857911659822649E-4</v>
      </c>
      <c r="N1137" s="551">
        <f>'Sollecitazioni nel paramento'!$G$60*(sezione!$AO$31-C1137)/C1137</f>
        <v>3.2028417668035474E-3</v>
      </c>
      <c r="O1137" s="551">
        <f>'Sollecitazioni nel paramento'!$G$60*(sezione!$AP$31-C1137)/C1137</f>
        <v>1.51904312905826E-2</v>
      </c>
      <c r="P1137" s="545">
        <f>-'Sollecitazioni nel paramento'!$G$47*'Sollecitazioni nel paramento'!$G$41*IF(DATI!$G$211="dx",DATI!$E$61,DATI!$E$64*DATI!$E$63)*1000*C1137*sezione!$AD$5</f>
        <v>-3182876.866594139</v>
      </c>
      <c r="Q1137" s="545">
        <f>'Foglio deposito bis'!$F$58*IF(ABS(K1137)&lt;'Sollecitazioni nel paramento'!$G$58,ABS(K1137)*'Sollecitazioni nel paramento'!$G$54,'Sollecitazioni nel paramento'!$G$53)*IF(K1137&lt;0,-1,1)</f>
        <v>0</v>
      </c>
      <c r="R1137" s="545">
        <f>'Foglio deposito bis'!$F$59*IF(ABS(L1137)&lt;'Sollecitazioni nel paramento'!$G$58,ABS(L1137)*'Sollecitazioni nel paramento'!$G$54,'Sollecitazioni nel paramento'!$G$53)*IF(L1137&lt;0,-1,1)</f>
        <v>-79798.602845269503</v>
      </c>
      <c r="S1137" s="545">
        <f>'Foglio deposito bis'!$F$60*IF(ABS(M1137)&lt;'Sollecitazioni nel paramento'!$G$58,ABS(M1137)*'Sollecitazioni nel paramento'!$G$54,'Sollecitazioni nel paramento'!$G$53)*IF(M1137&lt;0,-1,1)</f>
        <v>0</v>
      </c>
      <c r="T1137" s="545">
        <f>'Foglio deposito bis'!$F$61*IF(ABS(N1137)&lt;'Sollecitazioni nel paramento'!$G$58,ABS(N1137)*'Sollecitazioni nel paramento'!$G$54,'Sollecitazioni nel paramento'!$G$53)*IF(N1137&lt;0,-1,1)</f>
        <v>240946.49743184328</v>
      </c>
      <c r="U1137" s="545">
        <f>'Foglio deposito bis'!$F$62*IF(ABS(O1137)&lt;'Sollecitazioni nel paramento'!$G$58,ABS(O1137)*'Sollecitazioni nel paramento'!$G$54,'Sollecitazioni nel paramento'!$G$53)*IF(O1137&lt;0,-1,1)</f>
        <v>314705.62929873407</v>
      </c>
      <c r="V1137" s="472">
        <f t="shared" si="83"/>
        <v>-2707023.3427088317</v>
      </c>
      <c r="W1137" s="551"/>
      <c r="X1137" s="551"/>
    </row>
    <row r="1138" spans="1:24" x14ac:dyDescent="0.25">
      <c r="A1138" s="545">
        <f t="shared" si="82"/>
        <v>2760299.9062250615</v>
      </c>
      <c r="B1138" s="3">
        <f t="shared" si="80"/>
        <v>12.899999999999975</v>
      </c>
      <c r="C1138" s="545">
        <f>'Foglio deposito bis'!$E$157/sezione!$B$247*B1138</f>
        <v>84.862349049462011</v>
      </c>
      <c r="D1138" s="603">
        <f>-'Sollecitazioni nel paramento'!$G$47*'Sollecitazioni nel paramento'!$G$41*IF(DATI!$G$211="dx",DATI!$E$61,DATI!$E$64*DATI!$E$63)*1000*C1138^2*sezione!$AD$5*(1-sezione!$AD$6)</f>
        <v>-160226270.27986524</v>
      </c>
      <c r="E1138" s="545">
        <f>-'Foglio deposito bis'!$F$58*(C1138-sezione!$AL$31)*IF(ABS(K1138)&lt;'Sollecitazioni nel paramento'!$G$58,ABS(K1138)*'Sollecitazioni nel paramento'!$G$54,'Sollecitazioni nel paramento'!$G$53)</f>
        <v>0</v>
      </c>
      <c r="F1138" s="545">
        <f>-'Foglio deposito bis'!$F$59*(C1138-sezione!$AM$31)*IF(ABS(L1138)&lt;'Sollecitazioni nel paramento'!$G$58,ABS(L1138)*'Sollecitazioni nel paramento'!$G$54,'Sollecitazioni nel paramento'!$G$53)</f>
        <v>-2062359.7297732404</v>
      </c>
      <c r="G1138" s="545">
        <f>-'Foglio deposito bis'!$F$60*(C1138-sezione!$AN$31)*IF(ABS(M1138)&lt;'Sollecitazioni nel paramento'!$G$58,ABS(M1138)*'Sollecitazioni nel paramento'!$G$54,'Sollecitazioni nel paramento'!$G$53)</f>
        <v>0</v>
      </c>
      <c r="H1138" s="545">
        <f>-'Foglio deposito bis'!$F$61*(C1138-sezione!$AO$31)*IF(ABS(N1138)&lt;'Sollecitazioni nel paramento'!$G$58,ABS(N1138)*'Sollecitazioni nel paramento'!$G$54,'Sollecitazioni nel paramento'!$G$53)</f>
        <v>18104153.821788538</v>
      </c>
      <c r="I1138" s="472">
        <f>-'Foglio deposito bis'!$F$62*(C1138-sezione!$AP$31)*IF(ABS(O1138)&lt;'Sollecitazioni nel paramento'!$G$58,ABS(O1138)*'Sollecitazioni nel paramento'!$G$54,'Sollecitazioni nel paramento'!$G$53)</f>
        <v>113699076.89349005</v>
      </c>
      <c r="J1138" s="472">
        <f t="shared" si="81"/>
        <v>-30485399.294359893</v>
      </c>
      <c r="K1138" s="550">
        <f>'Sollecitazioni nel paramento'!$G$60*(sezione!$AL$31-C1138)/C1138</f>
        <v>-1.8502695651471891E-3</v>
      </c>
      <c r="L1138" s="550">
        <f>'Sollecitazioni nel paramento'!$G$60*(sezione!$AM$31-C1138)/C1138</f>
        <v>-1.0254043477207835E-3</v>
      </c>
      <c r="M1138" s="551">
        <f>'Sollecitazioni nel paramento'!$G$60*(sezione!$AN$31-C1138)/C1138</f>
        <v>-2.0053913029437792E-4</v>
      </c>
      <c r="N1138" s="551">
        <f>'Sollecitazioni nel paramento'!$G$60*(sezione!$AO$31-C1138)/C1138</f>
        <v>3.0989217394112442E-3</v>
      </c>
      <c r="O1138" s="551">
        <f>'Sollecitazioni nel paramento'!$G$60*(sezione!$AP$31-C1138)/C1138</f>
        <v>1.4900657162046438E-2</v>
      </c>
      <c r="P1138" s="545">
        <f>-'Sollecitazioni nel paramento'!$G$47*'Sollecitazioni nel paramento'!$G$41*IF(DATI!$G$211="dx",DATI!$E$61,DATI!$E$64*DATI!$E$63)*1000*C1138*sezione!$AD$5</f>
        <v>-3233000.9117373535</v>
      </c>
      <c r="Q1138" s="545">
        <f>'Foglio deposito bis'!$F$58*IF(ABS(K1138)&lt;'Sollecitazioni nel paramento'!$G$58,ABS(K1138)*'Sollecitazioni nel paramento'!$G$54,'Sollecitazioni nel paramento'!$G$53)*IF(K1138&lt;0,-1,1)</f>
        <v>0</v>
      </c>
      <c r="R1138" s="545">
        <f>'Foglio deposito bis'!$F$59*IF(ABS(L1138)&lt;'Sollecitazioni nel paramento'!$G$58,ABS(L1138)*'Sollecitazioni nel paramento'!$G$54,'Sollecitazioni nel paramento'!$G$53)*IF(L1138&lt;0,-1,1)</f>
        <v>-82951.121218285174</v>
      </c>
      <c r="S1138" s="545">
        <f>'Foglio deposito bis'!$F$60*IF(ABS(M1138)&lt;'Sollecitazioni nel paramento'!$G$58,ABS(M1138)*'Sollecitazioni nel paramento'!$G$54,'Sollecitazioni nel paramento'!$G$53)*IF(M1138&lt;0,-1,1)</f>
        <v>0</v>
      </c>
      <c r="T1138" s="545">
        <f>'Foglio deposito bis'!$F$61*IF(ABS(N1138)&lt;'Sollecitazioni nel paramento'!$G$58,ABS(N1138)*'Sollecitazioni nel paramento'!$G$54,'Sollecitazioni nel paramento'!$G$53)*IF(N1138&lt;0,-1,1)</f>
        <v>240946.49743184328</v>
      </c>
      <c r="U1138" s="545">
        <f>'Foglio deposito bis'!$F$62*IF(ABS(O1138)&lt;'Sollecitazioni nel paramento'!$G$58,ABS(O1138)*'Sollecitazioni nel paramento'!$G$54,'Sollecitazioni nel paramento'!$G$53)*IF(O1138&lt;0,-1,1)</f>
        <v>314705.62929873407</v>
      </c>
      <c r="V1138" s="472">
        <f t="shared" si="83"/>
        <v>-2760299.9062250615</v>
      </c>
      <c r="W1138" s="551"/>
      <c r="X1138" s="551"/>
    </row>
    <row r="1139" spans="1:24" x14ac:dyDescent="0.25">
      <c r="A1139" s="545">
        <f t="shared" si="82"/>
        <v>2813480.209638299</v>
      </c>
      <c r="B1139" s="3">
        <f t="shared" si="80"/>
        <v>13.099999999999975</v>
      </c>
      <c r="C1139" s="545">
        <f>'Foglio deposito bis'!$E$157/sezione!$B$247*B1139</f>
        <v>86.178044383562195</v>
      </c>
      <c r="D1139" s="603">
        <f>-'Sollecitazioni nel paramento'!$G$47*'Sollecitazioni nel paramento'!$G$41*IF(DATI!$G$211="dx",DATI!$E$61,DATI!$E$64*DATI!$E$63)*1000*C1139^2*sezione!$AD$5*(1-sezione!$AD$6)</f>
        <v>-165233040.33848727</v>
      </c>
      <c r="E1139" s="545">
        <f>-'Foglio deposito bis'!$F$58*(C1139-sezione!$AL$31)*IF(ABS(K1139)&lt;'Sollecitazioni nel paramento'!$G$58,ABS(K1139)*'Sollecitazioni nel paramento'!$G$54,'Sollecitazioni nel paramento'!$G$53)</f>
        <v>0</v>
      </c>
      <c r="F1139" s="545">
        <f>-'Foglio deposito bis'!$F$59*(C1139-sezione!$AM$31)*IF(ABS(L1139)&lt;'Sollecitazioni nel paramento'!$G$58,ABS(L1139)*'Sollecitazioni nel paramento'!$G$54,'Sollecitazioni nel paramento'!$G$53)</f>
        <v>-2251504.9975588033</v>
      </c>
      <c r="G1139" s="545">
        <f>-'Foglio deposito bis'!$F$60*(C1139-sezione!$AN$31)*IF(ABS(M1139)&lt;'Sollecitazioni nel paramento'!$G$58,ABS(M1139)*'Sollecitazioni nel paramento'!$G$54,'Sollecitazioni nel paramento'!$G$53)</f>
        <v>0</v>
      </c>
      <c r="H1139" s="545">
        <f>-'Foglio deposito bis'!$F$61*(C1139-sezione!$AO$31)*IF(ABS(N1139)&lt;'Sollecitazioni nel paramento'!$G$58,ABS(N1139)*'Sollecitazioni nel paramento'!$G$54,'Sollecitazioni nel paramento'!$G$53)</f>
        <v>17787141.63934968</v>
      </c>
      <c r="I1139" s="472">
        <f>-'Foglio deposito bis'!$F$62*(C1139-sezione!$AP$31)*IF(ABS(O1139)&lt;'Sollecitazioni nel paramento'!$G$58,ABS(O1139)*'Sollecitazioni nel paramento'!$G$54,'Sollecitazioni nel paramento'!$G$53)</f>
        <v>113285020.16540666</v>
      </c>
      <c r="J1139" s="472">
        <f t="shared" si="81"/>
        <v>-36412383.531289741</v>
      </c>
      <c r="K1139" s="550">
        <f>'Sollecitazioni nel paramento'!$G$60*(sezione!$AL$31-C1139)/C1139</f>
        <v>-1.8754562893434151E-3</v>
      </c>
      <c r="L1139" s="550">
        <f>'Sollecitazioni nel paramento'!$G$60*(sezione!$AM$31-C1139)/C1139</f>
        <v>-1.0631844340151227E-3</v>
      </c>
      <c r="M1139" s="551">
        <f>'Sollecitazioni nel paramento'!$G$60*(sezione!$AN$31-C1139)/C1139</f>
        <v>-2.5091257868683006E-4</v>
      </c>
      <c r="N1139" s="551">
        <f>'Sollecitazioni nel paramento'!$G$60*(sezione!$AO$31-C1139)/C1139</f>
        <v>2.9981748426263395E-3</v>
      </c>
      <c r="O1139" s="551">
        <f>'Sollecitazioni nel paramento'!$G$60*(sezione!$AP$31-C1139)/C1139</f>
        <v>1.4619731098503745E-2</v>
      </c>
      <c r="P1139" s="545">
        <f>-'Sollecitazioni nel paramento'!$G$47*'Sollecitazioni nel paramento'!$G$41*IF(DATI!$G$211="dx",DATI!$E$61,DATI!$E$64*DATI!$E$63)*1000*C1139*sezione!$AD$5</f>
        <v>-3283124.9568805681</v>
      </c>
      <c r="Q1139" s="545">
        <f>'Foglio deposito bis'!$F$58*IF(ABS(K1139)&lt;'Sollecitazioni nel paramento'!$G$58,ABS(K1139)*'Sollecitazioni nel paramento'!$G$54,'Sollecitazioni nel paramento'!$G$53)*IF(K1139&lt;0,-1,1)</f>
        <v>0</v>
      </c>
      <c r="R1139" s="545">
        <f>'Foglio deposito bis'!$F$59*IF(ABS(L1139)&lt;'Sollecitazioni nel paramento'!$G$58,ABS(L1139)*'Sollecitazioni nel paramento'!$G$54,'Sollecitazioni nel paramento'!$G$53)*IF(L1139&lt;0,-1,1)</f>
        <v>-86007.379488307983</v>
      </c>
      <c r="S1139" s="545">
        <f>'Foglio deposito bis'!$F$60*IF(ABS(M1139)&lt;'Sollecitazioni nel paramento'!$G$58,ABS(M1139)*'Sollecitazioni nel paramento'!$G$54,'Sollecitazioni nel paramento'!$G$53)*IF(M1139&lt;0,-1,1)</f>
        <v>0</v>
      </c>
      <c r="T1139" s="545">
        <f>'Foglio deposito bis'!$F$61*IF(ABS(N1139)&lt;'Sollecitazioni nel paramento'!$G$58,ABS(N1139)*'Sollecitazioni nel paramento'!$G$54,'Sollecitazioni nel paramento'!$G$53)*IF(N1139&lt;0,-1,1)</f>
        <v>240946.49743184328</v>
      </c>
      <c r="U1139" s="545">
        <f>'Foglio deposito bis'!$F$62*IF(ABS(O1139)&lt;'Sollecitazioni nel paramento'!$G$58,ABS(O1139)*'Sollecitazioni nel paramento'!$G$54,'Sollecitazioni nel paramento'!$G$53)*IF(O1139&lt;0,-1,1)</f>
        <v>314705.62929873407</v>
      </c>
      <c r="V1139" s="472">
        <f t="shared" si="83"/>
        <v>-2813480.209638299</v>
      </c>
      <c r="W1139" s="551"/>
      <c r="X1139" s="551"/>
    </row>
    <row r="1140" spans="1:24" x14ac:dyDescent="0.25">
      <c r="A1140" s="545">
        <f t="shared" si="82"/>
        <v>2866568.5955095813</v>
      </c>
      <c r="B1140" s="3">
        <f t="shared" si="80"/>
        <v>13.299999999999974</v>
      </c>
      <c r="C1140" s="545">
        <f>'Foglio deposito bis'!$E$157/sezione!$B$247*B1140</f>
        <v>87.493739717662379</v>
      </c>
      <c r="D1140" s="603">
        <f>-'Sollecitazioni nel paramento'!$G$47*'Sollecitazioni nel paramento'!$G$41*IF(DATI!$G$211="dx",DATI!$E$61,DATI!$E$64*DATI!$E$63)*1000*C1140^2*sezione!$AD$5*(1-sezione!$AD$6)</f>
        <v>-170316837.62878042</v>
      </c>
      <c r="E1140" s="545">
        <f>-'Foglio deposito bis'!$F$58*(C1140-sezione!$AL$31)*IF(ABS(K1140)&lt;'Sollecitazioni nel paramento'!$G$58,ABS(K1140)*'Sollecitazioni nel paramento'!$G$54,'Sollecitazioni nel paramento'!$G$53)</f>
        <v>0</v>
      </c>
      <c r="F1140" s="545">
        <f>-'Foglio deposito bis'!$F$59*(C1140-sezione!$AM$31)*IF(ABS(L1140)&lt;'Sollecitazioni nel paramento'!$G$58,ABS(L1140)*'Sollecitazioni nel paramento'!$G$54,'Sollecitazioni nel paramento'!$G$53)</f>
        <v>-2446165.3178617</v>
      </c>
      <c r="G1140" s="545">
        <f>-'Foglio deposito bis'!$F$60*(C1140-sezione!$AN$31)*IF(ABS(M1140)&lt;'Sollecitazioni nel paramento'!$G$58,ABS(M1140)*'Sollecitazioni nel paramento'!$G$54,'Sollecitazioni nel paramento'!$G$53)</f>
        <v>0</v>
      </c>
      <c r="H1140" s="545">
        <f>-'Foglio deposito bis'!$F$61*(C1140-sezione!$AO$31)*IF(ABS(N1140)&lt;'Sollecitazioni nel paramento'!$G$58,ABS(N1140)*'Sollecitazioni nel paramento'!$G$54,'Sollecitazioni nel paramento'!$G$53)</f>
        <v>17470129.456910823</v>
      </c>
      <c r="I1140" s="472">
        <f>-'Foglio deposito bis'!$F$62*(C1140-sezione!$AP$31)*IF(ABS(O1140)&lt;'Sollecitazioni nel paramento'!$G$58,ABS(O1140)*'Sollecitazioni nel paramento'!$G$54,'Sollecitazioni nel paramento'!$G$53)</f>
        <v>112870963.43732324</v>
      </c>
      <c r="J1140" s="472">
        <f t="shared" si="81"/>
        <v>-42421910.052408069</v>
      </c>
      <c r="K1140" s="550">
        <f>'Sollecitazioni nel paramento'!$G$60*(sezione!$AL$31-C1140)/C1140</f>
        <v>-1.8998855180750928E-3</v>
      </c>
      <c r="L1140" s="550">
        <f>'Sollecitazioni nel paramento'!$G$60*(sezione!$AM$31-C1140)/C1140</f>
        <v>-1.0998282771126394E-3</v>
      </c>
      <c r="M1140" s="551">
        <f>'Sollecitazioni nel paramento'!$G$60*(sezione!$AN$31-C1140)/C1140</f>
        <v>-2.9977103615018593E-4</v>
      </c>
      <c r="N1140" s="551">
        <f>'Sollecitazioni nel paramento'!$G$60*(sezione!$AO$31-C1140)/C1140</f>
        <v>2.9004579276996284E-3</v>
      </c>
      <c r="O1140" s="551">
        <f>'Sollecitazioni nel paramento'!$G$60*(sezione!$AP$31-C1140)/C1140</f>
        <v>1.4347253939127749E-2</v>
      </c>
      <c r="P1140" s="545">
        <f>-'Sollecitazioni nel paramento'!$G$47*'Sollecitazioni nel paramento'!$G$41*IF(DATI!$G$211="dx",DATI!$E$61,DATI!$E$64*DATI!$E$63)*1000*C1140*sezione!$AD$5</f>
        <v>-3333249.002023783</v>
      </c>
      <c r="Q1140" s="545">
        <f>'Foglio deposito bis'!$F$58*IF(ABS(K1140)&lt;'Sollecitazioni nel paramento'!$G$58,ABS(K1140)*'Sollecitazioni nel paramento'!$G$54,'Sollecitazioni nel paramento'!$G$53)*IF(K1140&lt;0,-1,1)</f>
        <v>0</v>
      </c>
      <c r="R1140" s="545">
        <f>'Foglio deposito bis'!$F$59*IF(ABS(L1140)&lt;'Sollecitazioni nel paramento'!$G$58,ABS(L1140)*'Sollecitazioni nel paramento'!$G$54,'Sollecitazioni nel paramento'!$G$53)*IF(L1140&lt;0,-1,1)</f>
        <v>-88971.720216375208</v>
      </c>
      <c r="S1140" s="545">
        <f>'Foglio deposito bis'!$F$60*IF(ABS(M1140)&lt;'Sollecitazioni nel paramento'!$G$58,ABS(M1140)*'Sollecitazioni nel paramento'!$G$54,'Sollecitazioni nel paramento'!$G$53)*IF(M1140&lt;0,-1,1)</f>
        <v>0</v>
      </c>
      <c r="T1140" s="545">
        <f>'Foglio deposito bis'!$F$61*IF(ABS(N1140)&lt;'Sollecitazioni nel paramento'!$G$58,ABS(N1140)*'Sollecitazioni nel paramento'!$G$54,'Sollecitazioni nel paramento'!$G$53)*IF(N1140&lt;0,-1,1)</f>
        <v>240946.49743184328</v>
      </c>
      <c r="U1140" s="545">
        <f>'Foglio deposito bis'!$F$62*IF(ABS(O1140)&lt;'Sollecitazioni nel paramento'!$G$58,ABS(O1140)*'Sollecitazioni nel paramento'!$G$54,'Sollecitazioni nel paramento'!$G$53)*IF(O1140&lt;0,-1,1)</f>
        <v>314705.62929873407</v>
      </c>
      <c r="V1140" s="472">
        <f t="shared" si="83"/>
        <v>-2866568.5955095813</v>
      </c>
      <c r="W1140" s="551"/>
      <c r="X1140" s="551"/>
    </row>
    <row r="1141" spans="1:24" x14ac:dyDescent="0.25">
      <c r="A1141" s="545">
        <f t="shared" si="82"/>
        <v>2919569.1490629949</v>
      </c>
      <c r="B1141" s="3">
        <f t="shared" si="80"/>
        <v>13.499999999999973</v>
      </c>
      <c r="C1141" s="545">
        <f>'Foglio deposito bis'!$E$157/sezione!$B$247*B1141</f>
        <v>88.809435051762563</v>
      </c>
      <c r="D1141" s="603">
        <f>-'Sollecitazioni nel paramento'!$G$47*'Sollecitazioni nel paramento'!$G$41*IF(DATI!$G$211="dx",DATI!$E$61,DATI!$E$64*DATI!$E$63)*1000*C1141^2*sezione!$AD$5*(1-sezione!$AD$6)</f>
        <v>-175477662.15074474</v>
      </c>
      <c r="E1141" s="545">
        <f>-'Foglio deposito bis'!$F$58*(C1141-sezione!$AL$31)*IF(ABS(K1141)&lt;'Sollecitazioni nel paramento'!$G$58,ABS(K1141)*'Sollecitazioni nel paramento'!$G$54,'Sollecitazioni nel paramento'!$G$53)</f>
        <v>0</v>
      </c>
      <c r="F1141" s="545">
        <f>-'Foglio deposito bis'!$F$59*(C1141-sezione!$AM$31)*IF(ABS(L1141)&lt;'Sollecitazioni nel paramento'!$G$58,ABS(L1141)*'Sollecitazioni nel paramento'!$G$54,'Sollecitazioni nel paramento'!$G$53)</f>
        <v>-2646095.5772367171</v>
      </c>
      <c r="G1141" s="545">
        <f>-'Foglio deposito bis'!$F$60*(C1141-sezione!$AN$31)*IF(ABS(M1141)&lt;'Sollecitazioni nel paramento'!$G$58,ABS(M1141)*'Sollecitazioni nel paramento'!$G$54,'Sollecitazioni nel paramento'!$G$53)</f>
        <v>0</v>
      </c>
      <c r="H1141" s="545">
        <f>-'Foglio deposito bis'!$F$61*(C1141-sezione!$AO$31)*IF(ABS(N1141)&lt;'Sollecitazioni nel paramento'!$G$58,ABS(N1141)*'Sollecitazioni nel paramento'!$G$54,'Sollecitazioni nel paramento'!$G$53)</f>
        <v>17153117.274471965</v>
      </c>
      <c r="I1141" s="472">
        <f>-'Foglio deposito bis'!$F$62*(C1141-sezione!$AP$31)*IF(ABS(O1141)&lt;'Sollecitazioni nel paramento'!$G$58,ABS(O1141)*'Sollecitazioni nel paramento'!$G$54,'Sollecitazioni nel paramento'!$G$53)</f>
        <v>112456906.70923983</v>
      </c>
      <c r="J1141" s="472">
        <f t="shared" si="81"/>
        <v>-48513733.744269654</v>
      </c>
      <c r="K1141" s="550">
        <f>'Sollecitazioni nel paramento'!$G$60*(sezione!$AL$31-C1141)/C1141</f>
        <v>-1.9235909178073139E-3</v>
      </c>
      <c r="L1141" s="550">
        <f>'Sollecitazioni nel paramento'!$G$60*(sezione!$AM$31-C1141)/C1141</f>
        <v>-1.1353863767109707E-3</v>
      </c>
      <c r="M1141" s="551">
        <f>'Sollecitazioni nel paramento'!$G$60*(sezione!$AN$31-C1141)/C1141</f>
        <v>-3.4718183561462752E-4</v>
      </c>
      <c r="N1141" s="551">
        <f>'Sollecitazioni nel paramento'!$G$60*(sezione!$AO$31-C1141)/C1141</f>
        <v>2.8056363287707448E-3</v>
      </c>
      <c r="O1141" s="551">
        <f>'Sollecitazioni nel paramento'!$G$60*(sezione!$AP$31-C1141)/C1141</f>
        <v>1.4082850177066598E-2</v>
      </c>
      <c r="P1141" s="545">
        <f>-'Sollecitazioni nel paramento'!$G$47*'Sollecitazioni nel paramento'!$G$41*IF(DATI!$G$211="dx",DATI!$E$61,DATI!$E$64*DATI!$E$63)*1000*C1141*sezione!$AD$5</f>
        <v>-3383373.047166998</v>
      </c>
      <c r="Q1141" s="545">
        <f>'Foglio deposito bis'!$F$58*IF(ABS(K1141)&lt;'Sollecitazioni nel paramento'!$G$58,ABS(K1141)*'Sollecitazioni nel paramento'!$G$54,'Sollecitazioni nel paramento'!$G$53)*IF(K1141&lt;0,-1,1)</f>
        <v>0</v>
      </c>
      <c r="R1141" s="545">
        <f>'Foglio deposito bis'!$F$59*IF(ABS(L1141)&lt;'Sollecitazioni nel paramento'!$G$58,ABS(L1141)*'Sollecitazioni nel paramento'!$G$54,'Sollecitazioni nel paramento'!$G$53)*IF(L1141&lt;0,-1,1)</f>
        <v>-91848.228626573808</v>
      </c>
      <c r="S1141" s="545">
        <f>'Foglio deposito bis'!$F$60*IF(ABS(M1141)&lt;'Sollecitazioni nel paramento'!$G$58,ABS(M1141)*'Sollecitazioni nel paramento'!$G$54,'Sollecitazioni nel paramento'!$G$53)*IF(M1141&lt;0,-1,1)</f>
        <v>0</v>
      </c>
      <c r="T1141" s="545">
        <f>'Foglio deposito bis'!$F$61*IF(ABS(N1141)&lt;'Sollecitazioni nel paramento'!$G$58,ABS(N1141)*'Sollecitazioni nel paramento'!$G$54,'Sollecitazioni nel paramento'!$G$53)*IF(N1141&lt;0,-1,1)</f>
        <v>240946.49743184328</v>
      </c>
      <c r="U1141" s="545">
        <f>'Foglio deposito bis'!$F$62*IF(ABS(O1141)&lt;'Sollecitazioni nel paramento'!$G$58,ABS(O1141)*'Sollecitazioni nel paramento'!$G$54,'Sollecitazioni nel paramento'!$G$53)*IF(O1141&lt;0,-1,1)</f>
        <v>314705.62929873407</v>
      </c>
      <c r="V1141" s="472">
        <f t="shared" si="83"/>
        <v>-2919569.1490629949</v>
      </c>
      <c r="W1141" s="551"/>
      <c r="X1141" s="551"/>
    </row>
    <row r="1142" spans="1:24" x14ac:dyDescent="0.25">
      <c r="A1142" s="545">
        <f t="shared" si="82"/>
        <v>2972485.7169693941</v>
      </c>
      <c r="B1142" s="3">
        <f t="shared" si="80"/>
        <v>13.699999999999973</v>
      </c>
      <c r="C1142" s="545">
        <f>'Foglio deposito bis'!$E$157/sezione!$B$247*B1142</f>
        <v>90.125130385862747</v>
      </c>
      <c r="D1142" s="603">
        <f>-'Sollecitazioni nel paramento'!$G$47*'Sollecitazioni nel paramento'!$G$41*IF(DATI!$G$211="dx",DATI!$E$61,DATI!$E$64*DATI!$E$63)*1000*C1142^2*sezione!$AD$5*(1-sezione!$AD$6)</f>
        <v>-180715513.90438011</v>
      </c>
      <c r="E1142" s="545">
        <f>-'Foglio deposito bis'!$F$58*(C1142-sezione!$AL$31)*IF(ABS(K1142)&lt;'Sollecitazioni nel paramento'!$G$58,ABS(K1142)*'Sollecitazioni nel paramento'!$G$54,'Sollecitazioni nel paramento'!$G$53)</f>
        <v>0</v>
      </c>
      <c r="F1142" s="545">
        <f>-'Foglio deposito bis'!$F$59*(C1142-sezione!$AM$31)*IF(ABS(L1142)&lt;'Sollecitazioni nel paramento'!$G$58,ABS(L1142)*'Sollecitazioni nel paramento'!$G$54,'Sollecitazioni nel paramento'!$G$53)</f>
        <v>-2851064.9754325193</v>
      </c>
      <c r="G1142" s="545">
        <f>-'Foglio deposito bis'!$F$60*(C1142-sezione!$AN$31)*IF(ABS(M1142)&lt;'Sollecitazioni nel paramento'!$G$58,ABS(M1142)*'Sollecitazioni nel paramento'!$G$54,'Sollecitazioni nel paramento'!$G$53)</f>
        <v>0</v>
      </c>
      <c r="H1142" s="545">
        <f>-'Foglio deposito bis'!$F$61*(C1142-sezione!$AO$31)*IF(ABS(N1142)&lt;'Sollecitazioni nel paramento'!$G$58,ABS(N1142)*'Sollecitazioni nel paramento'!$G$54,'Sollecitazioni nel paramento'!$G$53)</f>
        <v>16836105.092033107</v>
      </c>
      <c r="I1142" s="472">
        <f>-'Foglio deposito bis'!$F$62*(C1142-sezione!$AP$31)*IF(ABS(O1142)&lt;'Sollecitazioni nel paramento'!$G$58,ABS(O1142)*'Sollecitazioni nel paramento'!$G$54,'Sollecitazioni nel paramento'!$G$53)</f>
        <v>112042849.98115642</v>
      </c>
      <c r="J1142" s="472">
        <f t="shared" si="81"/>
        <v>-54687623.806623086</v>
      </c>
      <c r="K1142" s="550">
        <f>'Sollecitazioni nel paramento'!$G$60*(sezione!$AL$31-C1142)/C1142</f>
        <v>-1.9466041890801996E-3</v>
      </c>
      <c r="L1142" s="550">
        <f>'Sollecitazioni nel paramento'!$G$60*(sezione!$AM$31-C1142)/C1142</f>
        <v>-1.1699062836202994E-3</v>
      </c>
      <c r="M1142" s="551">
        <f>'Sollecitazioni nel paramento'!$G$60*(sezione!$AN$31-C1142)/C1142</f>
        <v>-3.932083781603993E-4</v>
      </c>
      <c r="N1142" s="551">
        <f>'Sollecitazioni nel paramento'!$G$60*(sezione!$AO$31-C1142)/C1142</f>
        <v>2.7135832436792013E-3</v>
      </c>
      <c r="O1142" s="551">
        <f>'Sollecitazioni nel paramento'!$G$60*(sezione!$AP$31-C1142)/C1142</f>
        <v>1.3826166232875846E-2</v>
      </c>
      <c r="P1142" s="545">
        <f>-'Sollecitazioni nel paramento'!$G$47*'Sollecitazioni nel paramento'!$G$41*IF(DATI!$G$211="dx",DATI!$E$61,DATI!$E$64*DATI!$E$63)*1000*C1142*sezione!$AD$5</f>
        <v>-3433497.0923102121</v>
      </c>
      <c r="Q1142" s="545">
        <f>'Foglio deposito bis'!$F$58*IF(ABS(K1142)&lt;'Sollecitazioni nel paramento'!$G$58,ABS(K1142)*'Sollecitazioni nel paramento'!$G$54,'Sollecitazioni nel paramento'!$G$53)*IF(K1142&lt;0,-1,1)</f>
        <v>0</v>
      </c>
      <c r="R1142" s="545">
        <f>'Foglio deposito bis'!$F$59*IF(ABS(L1142)&lt;'Sollecitazioni nel paramento'!$G$58,ABS(L1142)*'Sollecitazioni nel paramento'!$G$54,'Sollecitazioni nel paramento'!$G$53)*IF(L1142&lt;0,-1,1)</f>
        <v>-94640.751389759287</v>
      </c>
      <c r="S1142" s="545">
        <f>'Foglio deposito bis'!$F$60*IF(ABS(M1142)&lt;'Sollecitazioni nel paramento'!$G$58,ABS(M1142)*'Sollecitazioni nel paramento'!$G$54,'Sollecitazioni nel paramento'!$G$53)*IF(M1142&lt;0,-1,1)</f>
        <v>0</v>
      </c>
      <c r="T1142" s="545">
        <f>'Foglio deposito bis'!$F$61*IF(ABS(N1142)&lt;'Sollecitazioni nel paramento'!$G$58,ABS(N1142)*'Sollecitazioni nel paramento'!$G$54,'Sollecitazioni nel paramento'!$G$53)*IF(N1142&lt;0,-1,1)</f>
        <v>240946.49743184328</v>
      </c>
      <c r="U1142" s="545">
        <f>'Foglio deposito bis'!$F$62*IF(ABS(O1142)&lt;'Sollecitazioni nel paramento'!$G$58,ABS(O1142)*'Sollecitazioni nel paramento'!$G$54,'Sollecitazioni nel paramento'!$G$53)*IF(O1142&lt;0,-1,1)</f>
        <v>314705.62929873407</v>
      </c>
      <c r="V1142" s="472">
        <f t="shared" si="83"/>
        <v>-2972485.7169693941</v>
      </c>
      <c r="W1142" s="551"/>
      <c r="X1142" s="551"/>
    </row>
    <row r="1143" spans="1:24" x14ac:dyDescent="0.25">
      <c r="A1143" s="545">
        <f t="shared" si="82"/>
        <v>3025321.9245085092</v>
      </c>
      <c r="B1143" s="3">
        <f t="shared" si="80"/>
        <v>13.899999999999972</v>
      </c>
      <c r="C1143" s="545">
        <f>'Foglio deposito bis'!$E$157/sezione!$B$247*B1143</f>
        <v>91.44082571996293</v>
      </c>
      <c r="D1143" s="603">
        <f>-'Sollecitazioni nel paramento'!$G$47*'Sollecitazioni nel paramento'!$G$41*IF(DATI!$G$211="dx",DATI!$E$61,DATI!$E$64*DATI!$E$63)*1000*C1143^2*sezione!$AD$5*(1-sezione!$AD$6)</f>
        <v>-186030392.88968661</v>
      </c>
      <c r="E1143" s="545">
        <f>-'Foglio deposito bis'!$F$58*(C1143-sezione!$AL$31)*IF(ABS(K1143)&lt;'Sollecitazioni nel paramento'!$G$58,ABS(K1143)*'Sollecitazioni nel paramento'!$G$54,'Sollecitazioni nel paramento'!$G$53)</f>
        <v>0</v>
      </c>
      <c r="F1143" s="545">
        <f>-'Foglio deposito bis'!$F$59*(C1143-sezione!$AM$31)*IF(ABS(L1143)&lt;'Sollecitazioni nel paramento'!$G$58,ABS(L1143)*'Sollecitazioni nel paramento'!$G$54,'Sollecitazioni nel paramento'!$G$53)</f>
        <v>-3060855.9956654771</v>
      </c>
      <c r="G1143" s="545">
        <f>-'Foglio deposito bis'!$F$60*(C1143-sezione!$AN$31)*IF(ABS(M1143)&lt;'Sollecitazioni nel paramento'!$G$58,ABS(M1143)*'Sollecitazioni nel paramento'!$G$54,'Sollecitazioni nel paramento'!$G$53)</f>
        <v>0</v>
      </c>
      <c r="H1143" s="545">
        <f>-'Foglio deposito bis'!$F$61*(C1143-sezione!$AO$31)*IF(ABS(N1143)&lt;'Sollecitazioni nel paramento'!$G$58,ABS(N1143)*'Sollecitazioni nel paramento'!$G$54,'Sollecitazioni nel paramento'!$G$53)</f>
        <v>16519092.909594249</v>
      </c>
      <c r="I1143" s="472">
        <f>-'Foglio deposito bis'!$F$62*(C1143-sezione!$AP$31)*IF(ABS(O1143)&lt;'Sollecitazioni nel paramento'!$G$58,ABS(O1143)*'Sollecitazioni nel paramento'!$G$54,'Sollecitazioni nel paramento'!$G$53)</f>
        <v>111628793.25307302</v>
      </c>
      <c r="J1143" s="472">
        <f t="shared" si="81"/>
        <v>-60943362.722684845</v>
      </c>
      <c r="K1143" s="550">
        <f>'Sollecitazioni nel paramento'!$G$60*(sezione!$AL$31-C1143)/C1143</f>
        <v>-1.9689552079423548E-3</v>
      </c>
      <c r="L1143" s="550">
        <f>'Sollecitazioni nel paramento'!$G$60*(sezione!$AM$31-C1143)/C1143</f>
        <v>-1.2034328119135327E-3</v>
      </c>
      <c r="M1143" s="551">
        <f>'Sollecitazioni nel paramento'!$G$60*(sezione!$AN$31-C1143)/C1143</f>
        <v>-4.3791041588471004E-4</v>
      </c>
      <c r="N1143" s="551">
        <f>'Sollecitazioni nel paramento'!$G$60*(sezione!$AO$31-C1143)/C1143</f>
        <v>2.62417916823058E-3</v>
      </c>
      <c r="O1143" s="551">
        <f>'Sollecitazioni nel paramento'!$G$60*(sezione!$AP$31-C1143)/C1143</f>
        <v>1.3576868877007131E-2</v>
      </c>
      <c r="P1143" s="545">
        <f>-'Sollecitazioni nel paramento'!$G$47*'Sollecitazioni nel paramento'!$G$41*IF(DATI!$G$211="dx",DATI!$E$61,DATI!$E$64*DATI!$E$63)*1000*C1143*sezione!$AD$5</f>
        <v>-3483621.1374534275</v>
      </c>
      <c r="Q1143" s="545">
        <f>'Foglio deposito bis'!$F$58*IF(ABS(K1143)&lt;'Sollecitazioni nel paramento'!$G$58,ABS(K1143)*'Sollecitazioni nel paramento'!$G$54,'Sollecitazioni nel paramento'!$G$53)*IF(K1143&lt;0,-1,1)</f>
        <v>0</v>
      </c>
      <c r="R1143" s="545">
        <f>'Foglio deposito bis'!$F$59*IF(ABS(L1143)&lt;'Sollecitazioni nel paramento'!$G$58,ABS(L1143)*'Sollecitazioni nel paramento'!$G$54,'Sollecitazioni nel paramento'!$G$53)*IF(L1143&lt;0,-1,1)</f>
        <v>-97352.913785658879</v>
      </c>
      <c r="S1143" s="545">
        <f>'Foglio deposito bis'!$F$60*IF(ABS(M1143)&lt;'Sollecitazioni nel paramento'!$G$58,ABS(M1143)*'Sollecitazioni nel paramento'!$G$54,'Sollecitazioni nel paramento'!$G$53)*IF(M1143&lt;0,-1,1)</f>
        <v>0</v>
      </c>
      <c r="T1143" s="545">
        <f>'Foglio deposito bis'!$F$61*IF(ABS(N1143)&lt;'Sollecitazioni nel paramento'!$G$58,ABS(N1143)*'Sollecitazioni nel paramento'!$G$54,'Sollecitazioni nel paramento'!$G$53)*IF(N1143&lt;0,-1,1)</f>
        <v>240946.49743184328</v>
      </c>
      <c r="U1143" s="545">
        <f>'Foglio deposito bis'!$F$62*IF(ABS(O1143)&lt;'Sollecitazioni nel paramento'!$G$58,ABS(O1143)*'Sollecitazioni nel paramento'!$G$54,'Sollecitazioni nel paramento'!$G$53)*IF(O1143&lt;0,-1,1)</f>
        <v>314705.62929873407</v>
      </c>
      <c r="V1143" s="472">
        <f t="shared" si="83"/>
        <v>-3025321.9245085092</v>
      </c>
      <c r="W1143" s="551"/>
      <c r="X1143" s="551"/>
    </row>
    <row r="1144" spans="1:24" x14ac:dyDescent="0.25">
      <c r="A1144" s="545">
        <f t="shared" si="82"/>
        <v>3078081.1912704348</v>
      </c>
      <c r="B1144" s="3">
        <f t="shared" si="80"/>
        <v>14.099999999999971</v>
      </c>
      <c r="C1144" s="545">
        <f>'Foglio deposito bis'!$E$157/sezione!$B$247*B1144</f>
        <v>92.756521054063114</v>
      </c>
      <c r="D1144" s="603">
        <f>-'Sollecitazioni nel paramento'!$G$47*'Sollecitazioni nel paramento'!$G$41*IF(DATI!$G$211="dx",DATI!$E$61,DATI!$E$64*DATI!$E$63)*1000*C1144^2*sezione!$AD$5*(1-sezione!$AD$6)</f>
        <v>-191422299.10666421</v>
      </c>
      <c r="E1144" s="545">
        <f>-'Foglio deposito bis'!$F$58*(C1144-sezione!$AL$31)*IF(ABS(K1144)&lt;'Sollecitazioni nel paramento'!$G$58,ABS(K1144)*'Sollecitazioni nel paramento'!$G$54,'Sollecitazioni nel paramento'!$G$53)</f>
        <v>0</v>
      </c>
      <c r="F1144" s="545">
        <f>-'Foglio deposito bis'!$F$59*(C1144-sezione!$AM$31)*IF(ABS(L1144)&lt;'Sollecitazioni nel paramento'!$G$58,ABS(L1144)*'Sollecitazioni nel paramento'!$G$54,'Sollecitazioni nel paramento'!$G$53)</f>
        <v>-3275263.4625297529</v>
      </c>
      <c r="G1144" s="545">
        <f>-'Foglio deposito bis'!$F$60*(C1144-sezione!$AN$31)*IF(ABS(M1144)&lt;'Sollecitazioni nel paramento'!$G$58,ABS(M1144)*'Sollecitazioni nel paramento'!$G$54,'Sollecitazioni nel paramento'!$G$53)</f>
        <v>0</v>
      </c>
      <c r="H1144" s="545">
        <f>-'Foglio deposito bis'!$F$61*(C1144-sezione!$AO$31)*IF(ABS(N1144)&lt;'Sollecitazioni nel paramento'!$G$58,ABS(N1144)*'Sollecitazioni nel paramento'!$G$54,'Sollecitazioni nel paramento'!$G$53)</f>
        <v>16202080.727155391</v>
      </c>
      <c r="I1144" s="472">
        <f>-'Foglio deposito bis'!$F$62*(C1144-sezione!$AP$31)*IF(ABS(O1144)&lt;'Sollecitazioni nel paramento'!$G$58,ABS(O1144)*'Sollecitazioni nel paramento'!$G$54,'Sollecitazioni nel paramento'!$G$53)</f>
        <v>111214736.52498962</v>
      </c>
      <c r="J1144" s="472">
        <f t="shared" si="81"/>
        <v>-67280745.317048952</v>
      </c>
      <c r="K1144" s="550">
        <f>'Sollecitazioni nel paramento'!$G$60*(sezione!$AL$31-C1144)/C1144</f>
        <v>-1.9906721553474278E-3</v>
      </c>
      <c r="L1144" s="550">
        <f>'Sollecitazioni nel paramento'!$G$60*(sezione!$AM$31-C1144)/C1144</f>
        <v>-1.2360082330211419E-3</v>
      </c>
      <c r="M1144" s="551">
        <f>'Sollecitazioni nel paramento'!$G$60*(sezione!$AN$31-C1144)/C1144</f>
        <v>-4.8134431069485589E-4</v>
      </c>
      <c r="N1144" s="551">
        <f>'Sollecitazioni nel paramento'!$G$60*(sezione!$AO$31-C1144)/C1144</f>
        <v>2.5373113786102881E-3</v>
      </c>
      <c r="O1144" s="551">
        <f>'Sollecitazioni nel paramento'!$G$60*(sezione!$AP$31-C1144)/C1144</f>
        <v>1.3334643786553128E-2</v>
      </c>
      <c r="P1144" s="545">
        <f>-'Sollecitazioni nel paramento'!$G$47*'Sollecitazioni nel paramento'!$G$41*IF(DATI!$G$211="dx",DATI!$E$61,DATI!$E$64*DATI!$E$63)*1000*C1144*sezione!$AD$5</f>
        <v>-3533745.1825966421</v>
      </c>
      <c r="Q1144" s="545">
        <f>'Foglio deposito bis'!$F$58*IF(ABS(K1144)&lt;'Sollecitazioni nel paramento'!$G$58,ABS(K1144)*'Sollecitazioni nel paramento'!$G$54,'Sollecitazioni nel paramento'!$G$53)*IF(K1144&lt;0,-1,1)</f>
        <v>0</v>
      </c>
      <c r="R1144" s="545">
        <f>'Foglio deposito bis'!$F$59*IF(ABS(L1144)&lt;'Sollecitazioni nel paramento'!$G$58,ABS(L1144)*'Sollecitazioni nel paramento'!$G$54,'Sollecitazioni nel paramento'!$G$53)*IF(L1144&lt;0,-1,1)</f>
        <v>-99988.135404369808</v>
      </c>
      <c r="S1144" s="545">
        <f>'Foglio deposito bis'!$F$60*IF(ABS(M1144)&lt;'Sollecitazioni nel paramento'!$G$58,ABS(M1144)*'Sollecitazioni nel paramento'!$G$54,'Sollecitazioni nel paramento'!$G$53)*IF(M1144&lt;0,-1,1)</f>
        <v>0</v>
      </c>
      <c r="T1144" s="545">
        <f>'Foglio deposito bis'!$F$61*IF(ABS(N1144)&lt;'Sollecitazioni nel paramento'!$G$58,ABS(N1144)*'Sollecitazioni nel paramento'!$G$54,'Sollecitazioni nel paramento'!$G$53)*IF(N1144&lt;0,-1,1)</f>
        <v>240946.49743184328</v>
      </c>
      <c r="U1144" s="545">
        <f>'Foglio deposito bis'!$F$62*IF(ABS(O1144)&lt;'Sollecitazioni nel paramento'!$G$58,ABS(O1144)*'Sollecitazioni nel paramento'!$G$54,'Sollecitazioni nel paramento'!$G$53)*IF(O1144&lt;0,-1,1)</f>
        <v>314705.62929873407</v>
      </c>
      <c r="V1144" s="472">
        <f t="shared" si="83"/>
        <v>-3078081.1912704348</v>
      </c>
      <c r="W1144" s="551"/>
      <c r="X1144" s="551"/>
    </row>
    <row r="1145" spans="1:24" x14ac:dyDescent="0.25">
      <c r="A1145" s="545">
        <f t="shared" si="82"/>
        <v>3130766.7455395292</v>
      </c>
      <c r="B1145" s="3">
        <f t="shared" si="80"/>
        <v>14.299999999999971</v>
      </c>
      <c r="C1145" s="545">
        <f>'Foglio deposito bis'!$E$157/sezione!$B$247*B1145</f>
        <v>94.072216388163298</v>
      </c>
      <c r="D1145" s="603">
        <f>-'Sollecitazioni nel paramento'!$G$47*'Sollecitazioni nel paramento'!$G$41*IF(DATI!$G$211="dx",DATI!$E$61,DATI!$E$64*DATI!$E$63)*1000*C1145^2*sezione!$AD$5*(1-sezione!$AD$6)</f>
        <v>-196891232.55531296</v>
      </c>
      <c r="E1145" s="545">
        <f>-'Foglio deposito bis'!$F$58*(C1145-sezione!$AL$31)*IF(ABS(K1145)&lt;'Sollecitazioni nel paramento'!$G$58,ABS(K1145)*'Sollecitazioni nel paramento'!$G$54,'Sollecitazioni nel paramento'!$G$53)</f>
        <v>0</v>
      </c>
      <c r="F1145" s="545">
        <f>-'Foglio deposito bis'!$F$59*(C1145-sezione!$AM$31)*IF(ABS(L1145)&lt;'Sollecitazioni nel paramento'!$G$58,ABS(L1145)*'Sollecitazioni nel paramento'!$G$54,'Sollecitazioni nel paramento'!$G$53)</f>
        <v>-3494093.6789638936</v>
      </c>
      <c r="G1145" s="545">
        <f>-'Foglio deposito bis'!$F$60*(C1145-sezione!$AN$31)*IF(ABS(M1145)&lt;'Sollecitazioni nel paramento'!$G$58,ABS(M1145)*'Sollecitazioni nel paramento'!$G$54,'Sollecitazioni nel paramento'!$G$53)</f>
        <v>0</v>
      </c>
      <c r="H1145" s="545">
        <f>-'Foglio deposito bis'!$F$61*(C1145-sezione!$AO$31)*IF(ABS(N1145)&lt;'Sollecitazioni nel paramento'!$G$58,ABS(N1145)*'Sollecitazioni nel paramento'!$G$54,'Sollecitazioni nel paramento'!$G$53)</f>
        <v>15885068.54471653</v>
      </c>
      <c r="I1145" s="472">
        <f>-'Foglio deposito bis'!$F$62*(C1145-sezione!$AP$31)*IF(ABS(O1145)&lt;'Sollecitazioni nel paramento'!$G$58,ABS(O1145)*'Sollecitazioni nel paramento'!$G$54,'Sollecitazioni nel paramento'!$G$53)</f>
        <v>110800679.7969062</v>
      </c>
      <c r="J1145" s="472">
        <f t="shared" si="81"/>
        <v>-73699577.892654121</v>
      </c>
      <c r="K1145" s="550">
        <f>'Sollecitazioni nel paramento'!$G$60*(sezione!$AL$31-C1145)/C1145</f>
        <v>-2.0117816356922192E-3</v>
      </c>
      <c r="L1145" s="550">
        <f>'Sollecitazioni nel paramento'!$G$60*(sezione!$AM$31-C1145)/C1145</f>
        <v>-1.2676724535383287E-3</v>
      </c>
      <c r="M1145" s="551">
        <f>'Sollecitazioni nel paramento'!$G$60*(sezione!$AN$31-C1145)/C1145</f>
        <v>-5.2356327138443825E-4</v>
      </c>
      <c r="N1145" s="551">
        <f>'Sollecitazioni nel paramento'!$G$60*(sezione!$AO$31-C1145)/C1145</f>
        <v>2.4528734572311236E-3</v>
      </c>
      <c r="O1145" s="551">
        <f>'Sollecitazioni nel paramento'!$G$60*(sezione!$AP$31-C1145)/C1145</f>
        <v>1.3099194223104831E-2</v>
      </c>
      <c r="P1145" s="545">
        <f>-'Sollecitazioni nel paramento'!$G$47*'Sollecitazioni nel paramento'!$G$41*IF(DATI!$G$211="dx",DATI!$E$61,DATI!$E$64*DATI!$E$63)*1000*C1145*sezione!$AD$5</f>
        <v>-3583869.2277398566</v>
      </c>
      <c r="Q1145" s="545">
        <f>'Foglio deposito bis'!$F$58*IF(ABS(K1145)&lt;'Sollecitazioni nel paramento'!$G$58,ABS(K1145)*'Sollecitazioni nel paramento'!$G$54,'Sollecitazioni nel paramento'!$G$53)*IF(K1145&lt;0,-1,1)</f>
        <v>0</v>
      </c>
      <c r="R1145" s="545">
        <f>'Foglio deposito bis'!$F$59*IF(ABS(L1145)&lt;'Sollecitazioni nel paramento'!$G$58,ABS(L1145)*'Sollecitazioni nel paramento'!$G$54,'Sollecitazioni nel paramento'!$G$53)*IF(L1145&lt;0,-1,1)</f>
        <v>-102549.64453024967</v>
      </c>
      <c r="S1145" s="545">
        <f>'Foglio deposito bis'!$F$60*IF(ABS(M1145)&lt;'Sollecitazioni nel paramento'!$G$58,ABS(M1145)*'Sollecitazioni nel paramento'!$G$54,'Sollecitazioni nel paramento'!$G$53)*IF(M1145&lt;0,-1,1)</f>
        <v>0</v>
      </c>
      <c r="T1145" s="545">
        <f>'Foglio deposito bis'!$F$61*IF(ABS(N1145)&lt;'Sollecitazioni nel paramento'!$G$58,ABS(N1145)*'Sollecitazioni nel paramento'!$G$54,'Sollecitazioni nel paramento'!$G$53)*IF(N1145&lt;0,-1,1)</f>
        <v>240946.49743184328</v>
      </c>
      <c r="U1145" s="545">
        <f>'Foglio deposito bis'!$F$62*IF(ABS(O1145)&lt;'Sollecitazioni nel paramento'!$G$58,ABS(O1145)*'Sollecitazioni nel paramento'!$G$54,'Sollecitazioni nel paramento'!$G$53)*IF(O1145&lt;0,-1,1)</f>
        <v>314705.62929873407</v>
      </c>
      <c r="V1145" s="472">
        <f t="shared" si="83"/>
        <v>-3130766.7455395292</v>
      </c>
      <c r="W1145" s="551"/>
      <c r="X1145" s="551"/>
    </row>
    <row r="1146" spans="1:24" x14ac:dyDescent="0.25">
      <c r="A1146" s="545">
        <f t="shared" si="82"/>
        <v>3183381.6374879098</v>
      </c>
      <c r="B1146" s="3">
        <f t="shared" si="80"/>
        <v>14.49999999999997</v>
      </c>
      <c r="C1146" s="545">
        <f>'Foglio deposito bis'!$E$157/sezione!$B$247*B1146</f>
        <v>95.387911722263482</v>
      </c>
      <c r="D1146" s="603">
        <f>-'Sollecitazioni nel paramento'!$G$47*'Sollecitazioni nel paramento'!$G$41*IF(DATI!$G$211="dx",DATI!$E$61,DATI!$E$64*DATI!$E$63)*1000*C1146^2*sezione!$AD$5*(1-sezione!$AD$6)</f>
        <v>-202437193.23563275</v>
      </c>
      <c r="E1146" s="545">
        <f>-'Foglio deposito bis'!$F$58*(C1146-sezione!$AL$31)*IF(ABS(K1146)&lt;'Sollecitazioni nel paramento'!$G$58,ABS(K1146)*'Sollecitazioni nel paramento'!$G$54,'Sollecitazioni nel paramento'!$G$53)</f>
        <v>0</v>
      </c>
      <c r="F1146" s="545">
        <f>-'Foglio deposito bis'!$F$59*(C1146-sezione!$AM$31)*IF(ABS(L1146)&lt;'Sollecitazioni nel paramento'!$G$58,ABS(L1146)*'Sollecitazioni nel paramento'!$G$54,'Sollecitazioni nel paramento'!$G$53)</f>
        <v>-3717163.6346408692</v>
      </c>
      <c r="G1146" s="545">
        <f>-'Foglio deposito bis'!$F$60*(C1146-sezione!$AN$31)*IF(ABS(M1146)&lt;'Sollecitazioni nel paramento'!$G$58,ABS(M1146)*'Sollecitazioni nel paramento'!$G$54,'Sollecitazioni nel paramento'!$G$53)</f>
        <v>0</v>
      </c>
      <c r="H1146" s="545">
        <f>-'Foglio deposito bis'!$F$61*(C1146-sezione!$AO$31)*IF(ABS(N1146)&lt;'Sollecitazioni nel paramento'!$G$58,ABS(N1146)*'Sollecitazioni nel paramento'!$G$54,'Sollecitazioni nel paramento'!$G$53)</f>
        <v>15568056.362277672</v>
      </c>
      <c r="I1146" s="472">
        <f>-'Foglio deposito bis'!$F$62*(C1146-sezione!$AP$31)*IF(ABS(O1146)&lt;'Sollecitazioni nel paramento'!$G$58,ABS(O1146)*'Sollecitazioni nel paramento'!$G$54,'Sollecitazioni nel paramento'!$G$53)</f>
        <v>110386623.06882279</v>
      </c>
      <c r="J1146" s="472">
        <f t="shared" si="81"/>
        <v>-80199677.439173177</v>
      </c>
      <c r="K1146" s="550">
        <f>'Sollecitazioni nel paramento'!$G$60*(sezione!$AL$31-C1146)/C1146</f>
        <v>-2.0323087855447404E-3</v>
      </c>
      <c r="L1146" s="550">
        <f>'Sollecitazioni nel paramento'!$G$60*(sezione!$AM$31-C1146)/C1146</f>
        <v>-1.2984631783171103E-3</v>
      </c>
      <c r="M1146" s="551">
        <f>'Sollecitazioni nel paramento'!$G$60*(sezione!$AN$31-C1146)/C1146</f>
        <v>-5.646175710894804E-4</v>
      </c>
      <c r="N1146" s="551">
        <f>'Sollecitazioni nel paramento'!$G$60*(sezione!$AO$31-C1146)/C1146</f>
        <v>2.3707648578210391E-3</v>
      </c>
      <c r="O1146" s="551">
        <f>'Sollecitazioni nel paramento'!$G$60*(sezione!$AP$31-C1146)/C1146</f>
        <v>1.2870239820027525E-2</v>
      </c>
      <c r="P1146" s="545">
        <f>-'Sollecitazioni nel paramento'!$G$47*'Sollecitazioni nel paramento'!$G$41*IF(DATI!$G$211="dx",DATI!$E$61,DATI!$E$64*DATI!$E$63)*1000*C1146*sezione!$AD$5</f>
        <v>-3633993.2728830711</v>
      </c>
      <c r="Q1146" s="545">
        <f>'Foglio deposito bis'!$F$58*IF(ABS(K1146)&lt;'Sollecitazioni nel paramento'!$G$58,ABS(K1146)*'Sollecitazioni nel paramento'!$G$54,'Sollecitazioni nel paramento'!$G$53)*IF(K1146&lt;0,-1,1)</f>
        <v>0</v>
      </c>
      <c r="R1146" s="545">
        <f>'Foglio deposito bis'!$F$59*IF(ABS(L1146)&lt;'Sollecitazioni nel paramento'!$G$58,ABS(L1146)*'Sollecitazioni nel paramento'!$G$54,'Sollecitazioni nel paramento'!$G$53)*IF(L1146&lt;0,-1,1)</f>
        <v>-105040.49133541559</v>
      </c>
      <c r="S1146" s="545">
        <f>'Foglio deposito bis'!$F$60*IF(ABS(M1146)&lt;'Sollecitazioni nel paramento'!$G$58,ABS(M1146)*'Sollecitazioni nel paramento'!$G$54,'Sollecitazioni nel paramento'!$G$53)*IF(M1146&lt;0,-1,1)</f>
        <v>0</v>
      </c>
      <c r="T1146" s="545">
        <f>'Foglio deposito bis'!$F$61*IF(ABS(N1146)&lt;'Sollecitazioni nel paramento'!$G$58,ABS(N1146)*'Sollecitazioni nel paramento'!$G$54,'Sollecitazioni nel paramento'!$G$53)*IF(N1146&lt;0,-1,1)</f>
        <v>240946.49743184328</v>
      </c>
      <c r="U1146" s="545">
        <f>'Foglio deposito bis'!$F$62*IF(ABS(O1146)&lt;'Sollecitazioni nel paramento'!$G$58,ABS(O1146)*'Sollecitazioni nel paramento'!$G$54,'Sollecitazioni nel paramento'!$G$53)*IF(O1146&lt;0,-1,1)</f>
        <v>314705.62929873407</v>
      </c>
      <c r="V1146" s="472">
        <f t="shared" si="83"/>
        <v>-3183381.6374879098</v>
      </c>
      <c r="W1146" s="551"/>
      <c r="X1146" s="551"/>
    </row>
    <row r="1147" spans="1:24" x14ac:dyDescent="0.25">
      <c r="A1147" s="545">
        <f t="shared" si="82"/>
        <v>3235928.7512919316</v>
      </c>
      <c r="B1147" s="3">
        <f t="shared" si="80"/>
        <v>14.699999999999969</v>
      </c>
      <c r="C1147" s="545">
        <f>'Foglio deposito bis'!$E$157/sezione!$B$247*B1147</f>
        <v>96.703607056363666</v>
      </c>
      <c r="D1147" s="603">
        <f>-'Sollecitazioni nel paramento'!$G$47*'Sollecitazioni nel paramento'!$G$41*IF(DATI!$G$211="dx",DATI!$E$61,DATI!$E$64*DATI!$E$63)*1000*C1147^2*sezione!$AD$5*(1-sezione!$AD$6)</f>
        <v>-208060181.14762366</v>
      </c>
      <c r="E1147" s="545">
        <f>-'Foglio deposito bis'!$F$58*(C1147-sezione!$AL$31)*IF(ABS(K1147)&lt;'Sollecitazioni nel paramento'!$G$58,ABS(K1147)*'Sollecitazioni nel paramento'!$G$54,'Sollecitazioni nel paramento'!$G$53)</f>
        <v>0</v>
      </c>
      <c r="F1147" s="545">
        <f>-'Foglio deposito bis'!$F$59*(C1147-sezione!$AM$31)*IF(ABS(L1147)&lt;'Sollecitazioni nel paramento'!$G$58,ABS(L1147)*'Sollecitazioni nel paramento'!$G$54,'Sollecitazioni nel paramento'!$G$53)</f>
        <v>-3944300.2789793401</v>
      </c>
      <c r="G1147" s="545">
        <f>-'Foglio deposito bis'!$F$60*(C1147-sezione!$AN$31)*IF(ABS(M1147)&lt;'Sollecitazioni nel paramento'!$G$58,ABS(M1147)*'Sollecitazioni nel paramento'!$G$54,'Sollecitazioni nel paramento'!$G$53)</f>
        <v>0</v>
      </c>
      <c r="H1147" s="545">
        <f>-'Foglio deposito bis'!$F$61*(C1147-sezione!$AO$31)*IF(ABS(N1147)&lt;'Sollecitazioni nel paramento'!$G$58,ABS(N1147)*'Sollecitazioni nel paramento'!$G$54,'Sollecitazioni nel paramento'!$G$53)</f>
        <v>15251044.179838814</v>
      </c>
      <c r="I1147" s="472">
        <f>-'Foglio deposito bis'!$F$62*(C1147-sezione!$AP$31)*IF(ABS(O1147)&lt;'Sollecitazioni nel paramento'!$G$58,ABS(O1147)*'Sollecitazioni nel paramento'!$G$54,'Sollecitazioni nel paramento'!$G$53)</f>
        <v>109972566.3407394</v>
      </c>
      <c r="J1147" s="472">
        <f t="shared" si="81"/>
        <v>-86780870.906024784</v>
      </c>
      <c r="K1147" s="550">
        <f>'Sollecitazioni nel paramento'!$G$60*(sezione!$AL$31-C1147)/C1147</f>
        <v>-2.0522773734965123E-3</v>
      </c>
      <c r="L1147" s="550">
        <f>'Sollecitazioni nel paramento'!$G$60*(sezione!$AM$31-C1147)/C1147</f>
        <v>-1.3284160602447686E-3</v>
      </c>
      <c r="M1147" s="551">
        <f>'Sollecitazioni nel paramento'!$G$60*(sezione!$AN$31-C1147)/C1147</f>
        <v>-6.0455474699302482E-4</v>
      </c>
      <c r="N1147" s="551">
        <f>'Sollecitazioni nel paramento'!$G$60*(sezione!$AO$31-C1147)/C1147</f>
        <v>2.2908905060139502E-3</v>
      </c>
      <c r="O1147" s="551">
        <f>'Sollecitazioni nel paramento'!$G$60*(sezione!$AP$31-C1147)/C1147</f>
        <v>1.2647515468734634E-2</v>
      </c>
      <c r="P1147" s="545">
        <f>-'Sollecitazioni nel paramento'!$G$47*'Sollecitazioni nel paramento'!$G$41*IF(DATI!$G$211="dx",DATI!$E$61,DATI!$E$64*DATI!$E$63)*1000*C1147*sezione!$AD$5</f>
        <v>-3684117.3180262856</v>
      </c>
      <c r="Q1147" s="545">
        <f>'Foglio deposito bis'!$F$58*IF(ABS(K1147)&lt;'Sollecitazioni nel paramento'!$G$58,ABS(K1147)*'Sollecitazioni nel paramento'!$G$54,'Sollecitazioni nel paramento'!$G$53)*IF(K1147&lt;0,-1,1)</f>
        <v>0</v>
      </c>
      <c r="R1147" s="545">
        <f>'Foglio deposito bis'!$F$59*IF(ABS(L1147)&lt;'Sollecitazioni nel paramento'!$G$58,ABS(L1147)*'Sollecitazioni nel paramento'!$G$54,'Sollecitazioni nel paramento'!$G$53)*IF(L1147&lt;0,-1,1)</f>
        <v>-107463.55999622327</v>
      </c>
      <c r="S1147" s="545">
        <f>'Foglio deposito bis'!$F$60*IF(ABS(M1147)&lt;'Sollecitazioni nel paramento'!$G$58,ABS(M1147)*'Sollecitazioni nel paramento'!$G$54,'Sollecitazioni nel paramento'!$G$53)*IF(M1147&lt;0,-1,1)</f>
        <v>0</v>
      </c>
      <c r="T1147" s="545">
        <f>'Foglio deposito bis'!$F$61*IF(ABS(N1147)&lt;'Sollecitazioni nel paramento'!$G$58,ABS(N1147)*'Sollecitazioni nel paramento'!$G$54,'Sollecitazioni nel paramento'!$G$53)*IF(N1147&lt;0,-1,1)</f>
        <v>240946.49743184328</v>
      </c>
      <c r="U1147" s="545">
        <f>'Foglio deposito bis'!$F$62*IF(ABS(O1147)&lt;'Sollecitazioni nel paramento'!$G$58,ABS(O1147)*'Sollecitazioni nel paramento'!$G$54,'Sollecitazioni nel paramento'!$G$53)*IF(O1147&lt;0,-1,1)</f>
        <v>314705.62929873407</v>
      </c>
      <c r="V1147" s="472">
        <f t="shared" si="83"/>
        <v>-3235928.7512919316</v>
      </c>
      <c r="W1147" s="551"/>
      <c r="X1147" s="551"/>
    </row>
    <row r="1148" spans="1:24" x14ac:dyDescent="0.25">
      <c r="A1148" s="545">
        <f t="shared" si="82"/>
        <v>3288410.816272845</v>
      </c>
      <c r="B1148" s="3">
        <f t="shared" si="80"/>
        <v>14.899999999999968</v>
      </c>
      <c r="C1148" s="545">
        <f>'Foglio deposito bis'!$E$157/sezione!$B$247*B1148</f>
        <v>98.019302390463849</v>
      </c>
      <c r="D1148" s="603">
        <f>-'Sollecitazioni nel paramento'!$G$47*'Sollecitazioni nel paramento'!$G$41*IF(DATI!$G$211="dx",DATI!$E$61,DATI!$E$64*DATI!$E$63)*1000*C1148^2*sezione!$AD$5*(1-sezione!$AD$6)</f>
        <v>-213760196.29128569</v>
      </c>
      <c r="E1148" s="545">
        <f>-'Foglio deposito bis'!$F$58*(C1148-sezione!$AL$31)*IF(ABS(K1148)&lt;'Sollecitazioni nel paramento'!$G$58,ABS(K1148)*'Sollecitazioni nel paramento'!$G$54,'Sollecitazioni nel paramento'!$G$53)</f>
        <v>0</v>
      </c>
      <c r="F1148" s="545">
        <f>-'Foglio deposito bis'!$F$59*(C1148-sezione!$AM$31)*IF(ABS(L1148)&lt;'Sollecitazioni nel paramento'!$G$58,ABS(L1148)*'Sollecitazioni nel paramento'!$G$54,'Sollecitazioni nel paramento'!$G$53)</f>
        <v>-4175339.8527043485</v>
      </c>
      <c r="G1148" s="545">
        <f>-'Foglio deposito bis'!$F$60*(C1148-sezione!$AN$31)*IF(ABS(M1148)&lt;'Sollecitazioni nel paramento'!$G$58,ABS(M1148)*'Sollecitazioni nel paramento'!$G$54,'Sollecitazioni nel paramento'!$G$53)</f>
        <v>0</v>
      </c>
      <c r="H1148" s="545">
        <f>-'Foglio deposito bis'!$F$61*(C1148-sezione!$AO$31)*IF(ABS(N1148)&lt;'Sollecitazioni nel paramento'!$G$58,ABS(N1148)*'Sollecitazioni nel paramento'!$G$54,'Sollecitazioni nel paramento'!$G$53)</f>
        <v>14934031.997399956</v>
      </c>
      <c r="I1148" s="472">
        <f>-'Foglio deposito bis'!$F$62*(C1148-sezione!$AP$31)*IF(ABS(O1148)&lt;'Sollecitazioni nel paramento'!$G$58,ABS(O1148)*'Sollecitazioni nel paramento'!$G$54,'Sollecitazioni nel paramento'!$G$53)</f>
        <v>109558509.61265598</v>
      </c>
      <c r="J1148" s="472">
        <f t="shared" si="81"/>
        <v>-93442994.533934101</v>
      </c>
      <c r="K1148" s="550">
        <f>'Sollecitazioni nel paramento'!$G$60*(sezione!$AL$31-C1148)/C1148</f>
        <v>-2.0717098919730693E-3</v>
      </c>
      <c r="L1148" s="550">
        <f>'Sollecitazioni nel paramento'!$G$60*(sezione!$AM$31-C1148)/C1148</f>
        <v>-1.357564837959604E-3</v>
      </c>
      <c r="M1148" s="551">
        <f>'Sollecitazioni nel paramento'!$G$60*(sezione!$AN$31-C1148)/C1148</f>
        <v>-6.4341978394613858E-4</v>
      </c>
      <c r="N1148" s="551">
        <f>'Sollecitazioni nel paramento'!$G$60*(sezione!$AO$31-C1148)/C1148</f>
        <v>2.2131604321077229E-3</v>
      </c>
      <c r="O1148" s="551">
        <f>'Sollecitazioni nel paramento'!$G$60*(sezione!$AP$31-C1148)/C1148</f>
        <v>1.2430770294657658E-2</v>
      </c>
      <c r="P1148" s="545">
        <f>-'Sollecitazioni nel paramento'!$G$47*'Sollecitazioni nel paramento'!$G$41*IF(DATI!$G$211="dx",DATI!$E$61,DATI!$E$64*DATI!$E$63)*1000*C1148*sezione!$AD$5</f>
        <v>-3734241.3631695001</v>
      </c>
      <c r="Q1148" s="545">
        <f>'Foglio deposito bis'!$F$58*IF(ABS(K1148)&lt;'Sollecitazioni nel paramento'!$G$58,ABS(K1148)*'Sollecitazioni nel paramento'!$G$54,'Sollecitazioni nel paramento'!$G$53)*IF(K1148&lt;0,-1,1)</f>
        <v>0</v>
      </c>
      <c r="R1148" s="545">
        <f>'Foglio deposito bis'!$F$59*IF(ABS(L1148)&lt;'Sollecitazioni nel paramento'!$G$58,ABS(L1148)*'Sollecitazioni nel paramento'!$G$54,'Sollecitazioni nel paramento'!$G$53)*IF(L1148&lt;0,-1,1)</f>
        <v>-109821.57983392203</v>
      </c>
      <c r="S1148" s="545">
        <f>'Foglio deposito bis'!$F$60*IF(ABS(M1148)&lt;'Sollecitazioni nel paramento'!$G$58,ABS(M1148)*'Sollecitazioni nel paramento'!$G$54,'Sollecitazioni nel paramento'!$G$53)*IF(M1148&lt;0,-1,1)</f>
        <v>0</v>
      </c>
      <c r="T1148" s="545">
        <f>'Foglio deposito bis'!$F$61*IF(ABS(N1148)&lt;'Sollecitazioni nel paramento'!$G$58,ABS(N1148)*'Sollecitazioni nel paramento'!$G$54,'Sollecitazioni nel paramento'!$G$53)*IF(N1148&lt;0,-1,1)</f>
        <v>240946.49743184328</v>
      </c>
      <c r="U1148" s="545">
        <f>'Foglio deposito bis'!$F$62*IF(ABS(O1148)&lt;'Sollecitazioni nel paramento'!$G$58,ABS(O1148)*'Sollecitazioni nel paramento'!$G$54,'Sollecitazioni nel paramento'!$G$53)*IF(O1148&lt;0,-1,1)</f>
        <v>314705.62929873407</v>
      </c>
      <c r="V1148" s="472">
        <f t="shared" si="83"/>
        <v>-3288410.816272845</v>
      </c>
      <c r="W1148" s="551"/>
      <c r="X1148" s="551"/>
    </row>
    <row r="1149" spans="1:24" x14ac:dyDescent="0.25">
      <c r="A1149" s="545">
        <f t="shared" si="82"/>
        <v>3340830.4171520979</v>
      </c>
      <c r="B1149" s="3">
        <f t="shared" si="80"/>
        <v>15.099999999999968</v>
      </c>
      <c r="C1149" s="545">
        <f>'Foglio deposito bis'!$E$157/sezione!$B$247*B1149</f>
        <v>99.334997724564033</v>
      </c>
      <c r="D1149" s="603">
        <f>-'Sollecitazioni nel paramento'!$G$47*'Sollecitazioni nel paramento'!$G$41*IF(DATI!$G$211="dx",DATI!$E$61,DATI!$E$64*DATI!$E$63)*1000*C1149^2*sezione!$AD$5*(1-sezione!$AD$6)</f>
        <v>-219537238.66661888</v>
      </c>
      <c r="E1149" s="545">
        <f>-'Foglio deposito bis'!$F$58*(C1149-sezione!$AL$31)*IF(ABS(K1149)&lt;'Sollecitazioni nel paramento'!$G$58,ABS(K1149)*'Sollecitazioni nel paramento'!$G$54,'Sollecitazioni nel paramento'!$G$53)</f>
        <v>0</v>
      </c>
      <c r="F1149" s="545">
        <f>-'Foglio deposito bis'!$F$59*(C1149-sezione!$AM$31)*IF(ABS(L1149)&lt;'Sollecitazioni nel paramento'!$G$58,ABS(L1149)*'Sollecitazioni nel paramento'!$G$54,'Sollecitazioni nel paramento'!$G$53)</f>
        <v>-4410127.2725290088</v>
      </c>
      <c r="G1149" s="545">
        <f>-'Foglio deposito bis'!$F$60*(C1149-sezione!$AN$31)*IF(ABS(M1149)&lt;'Sollecitazioni nel paramento'!$G$58,ABS(M1149)*'Sollecitazioni nel paramento'!$G$54,'Sollecitazioni nel paramento'!$G$53)</f>
        <v>0</v>
      </c>
      <c r="H1149" s="545">
        <f>-'Foglio deposito bis'!$F$61*(C1149-sezione!$AO$31)*IF(ABS(N1149)&lt;'Sollecitazioni nel paramento'!$G$58,ABS(N1149)*'Sollecitazioni nel paramento'!$G$54,'Sollecitazioni nel paramento'!$G$53)</f>
        <v>14617019.814961098</v>
      </c>
      <c r="I1149" s="472">
        <f>-'Foglio deposito bis'!$F$62*(C1149-sezione!$AP$31)*IF(ABS(O1149)&lt;'Sollecitazioni nel paramento'!$G$58,ABS(O1149)*'Sollecitazioni nel paramento'!$G$54,'Sollecitazioni nel paramento'!$G$53)</f>
        <v>109144452.88457258</v>
      </c>
      <c r="J1149" s="472">
        <f t="shared" si="81"/>
        <v>-100185893.2396142</v>
      </c>
      <c r="K1149" s="550">
        <f>'Sollecitazioni nel paramento'!$G$60*(sezione!$AL$31-C1149)/C1149</f>
        <v>-2.0906276417482603E-3</v>
      </c>
      <c r="L1149" s="550">
        <f>'Sollecitazioni nel paramento'!$G$60*(sezione!$AM$31-C1149)/C1149</f>
        <v>-1.3859414626223906E-3</v>
      </c>
      <c r="M1149" s="551">
        <f>'Sollecitazioni nel paramento'!$G$60*(sezione!$AN$31-C1149)/C1149</f>
        <v>-6.8125528349652071E-4</v>
      </c>
      <c r="N1149" s="551">
        <f>'Sollecitazioni nel paramento'!$G$60*(sezione!$AO$31-C1149)/C1149</f>
        <v>2.1374894330069586E-3</v>
      </c>
      <c r="O1149" s="551">
        <f>'Sollecitazioni nel paramento'!$G$60*(sezione!$AP$31-C1149)/C1149</f>
        <v>1.2219766714595967E-2</v>
      </c>
      <c r="P1149" s="545">
        <f>-'Sollecitazioni nel paramento'!$G$47*'Sollecitazioni nel paramento'!$G$41*IF(DATI!$G$211="dx",DATI!$E$61,DATI!$E$64*DATI!$E$63)*1000*C1149*sezione!$AD$5</f>
        <v>-3784365.4083127151</v>
      </c>
      <c r="Q1149" s="545">
        <f>'Foglio deposito bis'!$F$58*IF(ABS(K1149)&lt;'Sollecitazioni nel paramento'!$G$58,ABS(K1149)*'Sollecitazioni nel paramento'!$G$54,'Sollecitazioni nel paramento'!$G$53)*IF(K1149&lt;0,-1,1)</f>
        <v>0</v>
      </c>
      <c r="R1149" s="545">
        <f>'Foglio deposito bis'!$F$59*IF(ABS(L1149)&lt;'Sollecitazioni nel paramento'!$G$58,ABS(L1149)*'Sollecitazioni nel paramento'!$G$54,'Sollecitazioni nel paramento'!$G$53)*IF(L1149&lt;0,-1,1)</f>
        <v>-112117.13556995988</v>
      </c>
      <c r="S1149" s="545">
        <f>'Foglio deposito bis'!$F$60*IF(ABS(M1149)&lt;'Sollecitazioni nel paramento'!$G$58,ABS(M1149)*'Sollecitazioni nel paramento'!$G$54,'Sollecitazioni nel paramento'!$G$53)*IF(M1149&lt;0,-1,1)</f>
        <v>0</v>
      </c>
      <c r="T1149" s="545">
        <f>'Foglio deposito bis'!$F$61*IF(ABS(N1149)&lt;'Sollecitazioni nel paramento'!$G$58,ABS(N1149)*'Sollecitazioni nel paramento'!$G$54,'Sollecitazioni nel paramento'!$G$53)*IF(N1149&lt;0,-1,1)</f>
        <v>240946.49743184328</v>
      </c>
      <c r="U1149" s="545">
        <f>'Foglio deposito bis'!$F$62*IF(ABS(O1149)&lt;'Sollecitazioni nel paramento'!$G$58,ABS(O1149)*'Sollecitazioni nel paramento'!$G$54,'Sollecitazioni nel paramento'!$G$53)*IF(O1149&lt;0,-1,1)</f>
        <v>314705.62929873407</v>
      </c>
      <c r="V1149" s="472">
        <f t="shared" si="83"/>
        <v>-3340830.4171520979</v>
      </c>
      <c r="W1149" s="551"/>
      <c r="X1149" s="551"/>
    </row>
    <row r="1150" spans="1:24" x14ac:dyDescent="0.25">
      <c r="A1150" s="545">
        <f t="shared" si="82"/>
        <v>3393190.0035023042</v>
      </c>
      <c r="B1150" s="3">
        <f t="shared" si="80"/>
        <v>15.299999999999967</v>
      </c>
      <c r="C1150" s="545">
        <f>'Foglio deposito bis'!$E$157/sezione!$B$247*B1150</f>
        <v>100.65069305866422</v>
      </c>
      <c r="D1150" s="603">
        <f>-'Sollecitazioni nel paramento'!$G$47*'Sollecitazioni nel paramento'!$G$41*IF(DATI!$G$211="dx",DATI!$E$61,DATI!$E$64*DATI!$E$63)*1000*C1150^2*sezione!$AD$5*(1-sezione!$AD$6)</f>
        <v>-225391308.27362311</v>
      </c>
      <c r="E1150" s="545">
        <f>-'Foglio deposito bis'!$F$58*(C1150-sezione!$AL$31)*IF(ABS(K1150)&lt;'Sollecitazioni nel paramento'!$G$58,ABS(K1150)*'Sollecitazioni nel paramento'!$G$54,'Sollecitazioni nel paramento'!$G$53)</f>
        <v>0</v>
      </c>
      <c r="F1150" s="545">
        <f>-'Foglio deposito bis'!$F$59*(C1150-sezione!$AM$31)*IF(ABS(L1150)&lt;'Sollecitazioni nel paramento'!$G$58,ABS(L1150)*'Sollecitazioni nel paramento'!$G$54,'Sollecitazioni nel paramento'!$G$53)</f>
        <v>-4648515.5640964741</v>
      </c>
      <c r="G1150" s="545">
        <f>-'Foglio deposito bis'!$F$60*(C1150-sezione!$AN$31)*IF(ABS(M1150)&lt;'Sollecitazioni nel paramento'!$G$58,ABS(M1150)*'Sollecitazioni nel paramento'!$G$54,'Sollecitazioni nel paramento'!$G$53)</f>
        <v>0</v>
      </c>
      <c r="H1150" s="545">
        <f>-'Foglio deposito bis'!$F$61*(C1150-sezione!$AO$31)*IF(ABS(N1150)&lt;'Sollecitazioni nel paramento'!$G$58,ABS(N1150)*'Sollecitazioni nel paramento'!$G$54,'Sollecitazioni nel paramento'!$G$53)</f>
        <v>14300007.63252224</v>
      </c>
      <c r="I1150" s="472">
        <f>-'Foglio deposito bis'!$F$62*(C1150-sezione!$AP$31)*IF(ABS(O1150)&lt;'Sollecitazioni nel paramento'!$G$58,ABS(O1150)*'Sollecitazioni nel paramento'!$G$54,'Sollecitazioni nel paramento'!$G$53)</f>
        <v>108730396.15648918</v>
      </c>
      <c r="J1150" s="472">
        <f t="shared" si="81"/>
        <v>-107009420.04870816</v>
      </c>
      <c r="K1150" s="550">
        <f>'Sollecitazioni nel paramento'!$G$60*(sezione!$AL$31-C1150)/C1150</f>
        <v>-2.1090508098299825E-3</v>
      </c>
      <c r="L1150" s="550">
        <f>'Sollecitazioni nel paramento'!$G$60*(sezione!$AM$31-C1150)/C1150</f>
        <v>-1.4135762147449737E-3</v>
      </c>
      <c r="M1150" s="551">
        <f>'Sollecitazioni nel paramento'!$G$60*(sezione!$AN$31-C1150)/C1150</f>
        <v>-7.181016196599649E-4</v>
      </c>
      <c r="N1150" s="551">
        <f>'Sollecitazioni nel paramento'!$G$60*(sezione!$AO$31-C1150)/C1150</f>
        <v>2.0637967606800703E-3</v>
      </c>
      <c r="O1150" s="551">
        <f>'Sollecitazioni nel paramento'!$G$60*(sezione!$AP$31-C1150)/C1150</f>
        <v>1.2014279567999943E-2</v>
      </c>
      <c r="P1150" s="545">
        <f>-'Sollecitazioni nel paramento'!$G$47*'Sollecitazioni nel paramento'!$G$41*IF(DATI!$G$211="dx",DATI!$E$61,DATI!$E$64*DATI!$E$63)*1000*C1150*sezione!$AD$5</f>
        <v>-3834489.4534559301</v>
      </c>
      <c r="Q1150" s="545">
        <f>'Foglio deposito bis'!$F$58*IF(ABS(K1150)&lt;'Sollecitazioni nel paramento'!$G$58,ABS(K1150)*'Sollecitazioni nel paramento'!$G$54,'Sollecitazioni nel paramento'!$G$53)*IF(K1150&lt;0,-1,1)</f>
        <v>0</v>
      </c>
      <c r="R1150" s="545">
        <f>'Foglio deposito bis'!$F$59*IF(ABS(L1150)&lt;'Sollecitazioni nel paramento'!$G$58,ABS(L1150)*'Sollecitazioni nel paramento'!$G$54,'Sollecitazioni nel paramento'!$G$53)*IF(L1150&lt;0,-1,1)</f>
        <v>-114352.67677695099</v>
      </c>
      <c r="S1150" s="545">
        <f>'Foglio deposito bis'!$F$60*IF(ABS(M1150)&lt;'Sollecitazioni nel paramento'!$G$58,ABS(M1150)*'Sollecitazioni nel paramento'!$G$54,'Sollecitazioni nel paramento'!$G$53)*IF(M1150&lt;0,-1,1)</f>
        <v>0</v>
      </c>
      <c r="T1150" s="545">
        <f>'Foglio deposito bis'!$F$61*IF(ABS(N1150)&lt;'Sollecitazioni nel paramento'!$G$58,ABS(N1150)*'Sollecitazioni nel paramento'!$G$54,'Sollecitazioni nel paramento'!$G$53)*IF(N1150&lt;0,-1,1)</f>
        <v>240946.49743184328</v>
      </c>
      <c r="U1150" s="545">
        <f>'Foglio deposito bis'!$F$62*IF(ABS(O1150)&lt;'Sollecitazioni nel paramento'!$G$58,ABS(O1150)*'Sollecitazioni nel paramento'!$G$54,'Sollecitazioni nel paramento'!$G$53)*IF(O1150&lt;0,-1,1)</f>
        <v>314705.62929873407</v>
      </c>
      <c r="V1150" s="472">
        <f t="shared" si="83"/>
        <v>-3393190.0035023042</v>
      </c>
      <c r="W1150" s="551"/>
      <c r="X1150" s="551"/>
    </row>
    <row r="1151" spans="1:24" x14ac:dyDescent="0.25">
      <c r="A1151" s="545">
        <f t="shared" si="82"/>
        <v>3445491.8984665233</v>
      </c>
      <c r="B1151" s="3">
        <f t="shared" si="80"/>
        <v>15.499999999999966</v>
      </c>
      <c r="C1151" s="545">
        <f>'Foglio deposito bis'!$E$157/sezione!$B$247*B1151</f>
        <v>101.96638839276442</v>
      </c>
      <c r="D1151" s="603">
        <f>-'Sollecitazioni nel paramento'!$G$47*'Sollecitazioni nel paramento'!$G$41*IF(DATI!$G$211="dx",DATI!$E$61,DATI!$E$64*DATI!$E$63)*1000*C1151^2*sezione!$AD$5*(1-sezione!$AD$6)</f>
        <v>-231322405.11229858</v>
      </c>
      <c r="E1151" s="545">
        <f>-'Foglio deposito bis'!$F$58*(C1151-sezione!$AL$31)*IF(ABS(K1151)&lt;'Sollecitazioni nel paramento'!$G$58,ABS(K1151)*'Sollecitazioni nel paramento'!$G$54,'Sollecitazioni nel paramento'!$G$53)</f>
        <v>0</v>
      </c>
      <c r="F1151" s="545">
        <f>-'Foglio deposito bis'!$F$59*(C1151-sezione!$AM$31)*IF(ABS(L1151)&lt;'Sollecitazioni nel paramento'!$G$58,ABS(L1151)*'Sollecitazioni nel paramento'!$G$54,'Sollecitazioni nel paramento'!$G$53)</f>
        <v>-4890365.3388231536</v>
      </c>
      <c r="G1151" s="545">
        <f>-'Foglio deposito bis'!$F$60*(C1151-sezione!$AN$31)*IF(ABS(M1151)&lt;'Sollecitazioni nel paramento'!$G$58,ABS(M1151)*'Sollecitazioni nel paramento'!$G$54,'Sollecitazioni nel paramento'!$G$53)</f>
        <v>0</v>
      </c>
      <c r="H1151" s="545">
        <f>-'Foglio deposito bis'!$F$61*(C1151-sezione!$AO$31)*IF(ABS(N1151)&lt;'Sollecitazioni nel paramento'!$G$58,ABS(N1151)*'Sollecitazioni nel paramento'!$G$54,'Sollecitazioni nel paramento'!$G$53)</f>
        <v>13982995.450083381</v>
      </c>
      <c r="I1151" s="472">
        <f>-'Foglio deposito bis'!$F$62*(C1151-sezione!$AP$31)*IF(ABS(O1151)&lt;'Sollecitazioni nel paramento'!$G$58,ABS(O1151)*'Sollecitazioni nel paramento'!$G$54,'Sollecitazioni nel paramento'!$G$53)</f>
        <v>108316339.42840575</v>
      </c>
      <c r="J1151" s="472">
        <f t="shared" si="81"/>
        <v>-113913435.5726326</v>
      </c>
      <c r="K1151" s="550">
        <f>'Sollecitazioni nel paramento'!$G$60*(sezione!$AL$31-C1151)/C1151</f>
        <v>-2.1269985413160473E-3</v>
      </c>
      <c r="L1151" s="550">
        <f>'Sollecitazioni nel paramento'!$G$60*(sezione!$AM$31-C1151)/C1151</f>
        <v>-1.4404978119740709E-3</v>
      </c>
      <c r="M1151" s="551">
        <f>'Sollecitazioni nel paramento'!$G$60*(sezione!$AN$31-C1151)/C1151</f>
        <v>-7.539970826320947E-4</v>
      </c>
      <c r="N1151" s="551">
        <f>'Sollecitazioni nel paramento'!$G$60*(sezione!$AO$31-C1151)/C1151</f>
        <v>1.9920058347358107E-3</v>
      </c>
      <c r="O1151" s="551">
        <f>'Sollecitazioni nel paramento'!$G$60*(sezione!$AP$31-C1151)/C1151</f>
        <v>1.1814095315509619E-2</v>
      </c>
      <c r="P1151" s="545">
        <f>-'Sollecitazioni nel paramento'!$G$47*'Sollecitazioni nel paramento'!$G$41*IF(DATI!$G$211="dx",DATI!$E$61,DATI!$E$64*DATI!$E$63)*1000*C1151*sezione!$AD$5</f>
        <v>-3884613.4985991451</v>
      </c>
      <c r="Q1151" s="545">
        <f>'Foglio deposito bis'!$F$58*IF(ABS(K1151)&lt;'Sollecitazioni nel paramento'!$G$58,ABS(K1151)*'Sollecitazioni nel paramento'!$G$54,'Sollecitazioni nel paramento'!$G$53)*IF(K1151&lt;0,-1,1)</f>
        <v>0</v>
      </c>
      <c r="R1151" s="545">
        <f>'Foglio deposito bis'!$F$59*IF(ABS(L1151)&lt;'Sollecitazioni nel paramento'!$G$58,ABS(L1151)*'Sollecitazioni nel paramento'!$G$54,'Sollecitazioni nel paramento'!$G$53)*IF(L1151&lt;0,-1,1)</f>
        <v>-116530.52659795524</v>
      </c>
      <c r="S1151" s="545">
        <f>'Foglio deposito bis'!$F$60*IF(ABS(M1151)&lt;'Sollecitazioni nel paramento'!$G$58,ABS(M1151)*'Sollecitazioni nel paramento'!$G$54,'Sollecitazioni nel paramento'!$G$53)*IF(M1151&lt;0,-1,1)</f>
        <v>0</v>
      </c>
      <c r="T1151" s="545">
        <f>'Foglio deposito bis'!$F$61*IF(ABS(N1151)&lt;'Sollecitazioni nel paramento'!$G$58,ABS(N1151)*'Sollecitazioni nel paramento'!$G$54,'Sollecitazioni nel paramento'!$G$53)*IF(N1151&lt;0,-1,1)</f>
        <v>240946.49743184328</v>
      </c>
      <c r="U1151" s="545">
        <f>'Foglio deposito bis'!$F$62*IF(ABS(O1151)&lt;'Sollecitazioni nel paramento'!$G$58,ABS(O1151)*'Sollecitazioni nel paramento'!$G$54,'Sollecitazioni nel paramento'!$G$53)*IF(O1151&lt;0,-1,1)</f>
        <v>314705.62929873407</v>
      </c>
      <c r="V1151" s="472">
        <f t="shared" si="83"/>
        <v>-3445491.8984665233</v>
      </c>
      <c r="W1151" s="551"/>
      <c r="X1151" s="551"/>
    </row>
    <row r="1152" spans="1:24" x14ac:dyDescent="0.25">
      <c r="A1152" s="545">
        <f t="shared" si="82"/>
        <v>3497738.3068110985</v>
      </c>
      <c r="B1152" s="3">
        <f t="shared" si="80"/>
        <v>15.699999999999966</v>
      </c>
      <c r="C1152" s="545">
        <f>'Foglio deposito bis'!$E$157/sezione!$B$247*B1152</f>
        <v>103.2820837268646</v>
      </c>
      <c r="D1152" s="603">
        <f>-'Sollecitazioni nel paramento'!$G$47*'Sollecitazioni nel paramento'!$G$41*IF(DATI!$G$211="dx",DATI!$E$61,DATI!$E$64*DATI!$E$63)*1000*C1152^2*sezione!$AD$5*(1-sezione!$AD$6)</f>
        <v>-237330529.18264505</v>
      </c>
      <c r="E1152" s="545">
        <f>-'Foglio deposito bis'!$F$58*(C1152-sezione!$AL$31)*IF(ABS(K1152)&lt;'Sollecitazioni nel paramento'!$G$58,ABS(K1152)*'Sollecitazioni nel paramento'!$G$54,'Sollecitazioni nel paramento'!$G$53)</f>
        <v>0</v>
      </c>
      <c r="F1152" s="545">
        <f>-'Foglio deposito bis'!$F$59*(C1152-sezione!$AM$31)*IF(ABS(L1152)&lt;'Sollecitazioni nel paramento'!$G$58,ABS(L1152)*'Sollecitazioni nel paramento'!$G$54,'Sollecitazioni nel paramento'!$G$53)</f>
        <v>-5135544.3107284373</v>
      </c>
      <c r="G1152" s="545">
        <f>-'Foglio deposito bis'!$F$60*(C1152-sezione!$AN$31)*IF(ABS(M1152)&lt;'Sollecitazioni nel paramento'!$G$58,ABS(M1152)*'Sollecitazioni nel paramento'!$G$54,'Sollecitazioni nel paramento'!$G$53)</f>
        <v>0</v>
      </c>
      <c r="H1152" s="545">
        <f>-'Foglio deposito bis'!$F$61*(C1152-sezione!$AO$31)*IF(ABS(N1152)&lt;'Sollecitazioni nel paramento'!$G$58,ABS(N1152)*'Sollecitazioni nel paramento'!$G$54,'Sollecitazioni nel paramento'!$G$53)</f>
        <v>13665983.267644519</v>
      </c>
      <c r="I1152" s="472">
        <f>-'Foglio deposito bis'!$F$62*(C1152-sezione!$AP$31)*IF(ABS(O1152)&lt;'Sollecitazioni nel paramento'!$G$58,ABS(O1152)*'Sollecitazioni nel paramento'!$G$54,'Sollecitazioni nel paramento'!$G$53)</f>
        <v>107902282.70032236</v>
      </c>
      <c r="J1152" s="472">
        <f t="shared" si="81"/>
        <v>-120897807.5254066</v>
      </c>
      <c r="K1152" s="550">
        <f>'Sollecitazioni nel paramento'!$G$60*(sezione!$AL$31-C1152)/C1152</f>
        <v>-2.144489005757881E-3</v>
      </c>
      <c r="L1152" s="550">
        <f>'Sollecitazioni nel paramento'!$G$60*(sezione!$AM$31-C1152)/C1152</f>
        <v>-1.4667335086368219E-3</v>
      </c>
      <c r="M1152" s="551">
        <f>'Sollecitazioni nel paramento'!$G$60*(sezione!$AN$31-C1152)/C1152</f>
        <v>-7.8897801151576216E-4</v>
      </c>
      <c r="N1152" s="551">
        <f>'Sollecitazioni nel paramento'!$G$60*(sezione!$AO$31-C1152)/C1152</f>
        <v>1.9220439769684758E-3</v>
      </c>
      <c r="O1152" s="551">
        <f>'Sollecitazioni nel paramento'!$G$60*(sezione!$AP$31-C1152)/C1152</f>
        <v>1.1619011298751534E-2</v>
      </c>
      <c r="P1152" s="545">
        <f>-'Sollecitazioni nel paramento'!$G$47*'Sollecitazioni nel paramento'!$G$41*IF(DATI!$G$211="dx",DATI!$E$61,DATI!$E$64*DATI!$E$63)*1000*C1152*sezione!$AD$5</f>
        <v>-3934737.5437423596</v>
      </c>
      <c r="Q1152" s="545">
        <f>'Foglio deposito bis'!$F$58*IF(ABS(K1152)&lt;'Sollecitazioni nel paramento'!$G$58,ABS(K1152)*'Sollecitazioni nel paramento'!$G$54,'Sollecitazioni nel paramento'!$G$53)*IF(K1152&lt;0,-1,1)</f>
        <v>0</v>
      </c>
      <c r="R1152" s="545">
        <f>'Foglio deposito bis'!$F$59*IF(ABS(L1152)&lt;'Sollecitazioni nel paramento'!$G$58,ABS(L1152)*'Sollecitazioni nel paramento'!$G$54,'Sollecitazioni nel paramento'!$G$53)*IF(L1152&lt;0,-1,1)</f>
        <v>-118652.88979931609</v>
      </c>
      <c r="S1152" s="545">
        <f>'Foglio deposito bis'!$F$60*IF(ABS(M1152)&lt;'Sollecitazioni nel paramento'!$G$58,ABS(M1152)*'Sollecitazioni nel paramento'!$G$54,'Sollecitazioni nel paramento'!$G$53)*IF(M1152&lt;0,-1,1)</f>
        <v>0</v>
      </c>
      <c r="T1152" s="545">
        <f>'Foglio deposito bis'!$F$61*IF(ABS(N1152)&lt;'Sollecitazioni nel paramento'!$G$58,ABS(N1152)*'Sollecitazioni nel paramento'!$G$54,'Sollecitazioni nel paramento'!$G$53)*IF(N1152&lt;0,-1,1)</f>
        <v>240946.49743184328</v>
      </c>
      <c r="U1152" s="545">
        <f>'Foglio deposito bis'!$F$62*IF(ABS(O1152)&lt;'Sollecitazioni nel paramento'!$G$58,ABS(O1152)*'Sollecitazioni nel paramento'!$G$54,'Sollecitazioni nel paramento'!$G$53)*IF(O1152&lt;0,-1,1)</f>
        <v>314705.62929873407</v>
      </c>
      <c r="V1152" s="472">
        <f t="shared" si="83"/>
        <v>-3497738.3068110985</v>
      </c>
      <c r="W1152" s="551"/>
      <c r="X1152" s="551"/>
    </row>
    <row r="1153" spans="1:24" x14ac:dyDescent="0.25">
      <c r="A1153" s="545">
        <f t="shared" si="82"/>
        <v>3555727.3122601542</v>
      </c>
      <c r="B1153" s="3">
        <f t="shared" si="80"/>
        <v>15.899999999999965</v>
      </c>
      <c r="C1153" s="545">
        <f>'Foglio deposito bis'!$E$157/sezione!$B$247*B1153</f>
        <v>104.59777906096478</v>
      </c>
      <c r="D1153" s="603">
        <f>-'Sollecitazioni nel paramento'!$G$47*'Sollecitazioni nel paramento'!$G$41*IF(DATI!$G$211="dx",DATI!$E$61,DATI!$E$64*DATI!$E$63)*1000*C1153^2*sezione!$AD$5*(1-sezione!$AD$6)</f>
        <v>-243415680.48466259</v>
      </c>
      <c r="E1153" s="545">
        <f>-'Foglio deposito bis'!$F$58*(C1153-sezione!$AL$31)*IF(ABS(K1153)&lt;'Sollecitazioni nel paramento'!$G$58,ABS(K1153)*'Sollecitazioni nel paramento'!$G$54,'Sollecitazioni nel paramento'!$G$53)</f>
        <v>0</v>
      </c>
      <c r="F1153" s="545">
        <f>-'Foglio deposito bis'!$F$59*(C1153-sezione!$AM$31)*IF(ABS(L1153)&lt;'Sollecitazioni nel paramento'!$G$58,ABS(L1153)*'Sollecitazioni nel paramento'!$G$54,'Sollecitazioni nel paramento'!$G$53)</f>
        <v>-5383926.8497301135</v>
      </c>
      <c r="G1153" s="545">
        <f>-'Foglio deposito bis'!$F$60*(C1153-sezione!$AN$31)*IF(ABS(M1153)&lt;'Sollecitazioni nel paramento'!$G$58,ABS(M1153)*'Sollecitazioni nel paramento'!$G$54,'Sollecitazioni nel paramento'!$G$53)</f>
        <v>0</v>
      </c>
      <c r="H1153" s="545">
        <f>-'Foglio deposito bis'!$F$61*(C1153-sezione!$AO$31)*IF(ABS(N1153)&lt;'Sollecitazioni nel paramento'!$G$58,ABS(N1153)*'Sollecitazioni nel paramento'!$G$54,'Sollecitazioni nel paramento'!$G$53)</f>
        <v>13027860.372791624</v>
      </c>
      <c r="I1153" s="472">
        <f>-'Foglio deposito bis'!$F$62*(C1153-sezione!$AP$31)*IF(ABS(O1153)&lt;'Sollecitazioni nel paramento'!$G$58,ABS(O1153)*'Sollecitazioni nel paramento'!$G$54,'Sollecitazioni nel paramento'!$G$53)</f>
        <v>107488225.97223894</v>
      </c>
      <c r="J1153" s="472">
        <f t="shared" si="81"/>
        <v>-128283520.98936214</v>
      </c>
      <c r="K1153" s="550">
        <f>'Sollecitazioni nel paramento'!$G$60*(sezione!$AL$31-C1153)/C1153</f>
        <v>-2.1615394585156439E-3</v>
      </c>
      <c r="L1153" s="550">
        <f>'Sollecitazioni nel paramento'!$G$60*(sezione!$AM$31-C1153)/C1153</f>
        <v>-1.4923091877734654E-3</v>
      </c>
      <c r="M1153" s="551">
        <f>'Sollecitazioni nel paramento'!$G$60*(sezione!$AN$31-C1153)/C1153</f>
        <v>-8.2307891703128715E-4</v>
      </c>
      <c r="N1153" s="551">
        <f>'Sollecitazioni nel paramento'!$G$60*(sezione!$AO$31-C1153)/C1153</f>
        <v>1.8538421659374256E-3</v>
      </c>
      <c r="O1153" s="551">
        <f>'Sollecitazioni nel paramento'!$G$60*(sezione!$AP$31-C1153)/C1153</f>
        <v>1.1428835055999944E-2</v>
      </c>
      <c r="P1153" s="545">
        <f>-'Sollecitazioni nel paramento'!$G$47*'Sollecitazioni nel paramento'!$G$41*IF(DATI!$G$211="dx",DATI!$E$61,DATI!$E$64*DATI!$E$63)*1000*C1153*sezione!$AD$5</f>
        <v>-3984861.5888855751</v>
      </c>
      <c r="Q1153" s="545">
        <f>'Foglio deposito bis'!$F$58*IF(ABS(K1153)&lt;'Sollecitazioni nel paramento'!$G$58,ABS(K1153)*'Sollecitazioni nel paramento'!$G$54,'Sollecitazioni nel paramento'!$G$53)*IF(K1153&lt;0,-1,1)</f>
        <v>0</v>
      </c>
      <c r="R1153" s="545">
        <f>'Foglio deposito bis'!$F$59*IF(ABS(L1153)&lt;'Sollecitazioni nel paramento'!$G$58,ABS(L1153)*'Sollecitazioni nel paramento'!$G$54,'Sollecitazioni nel paramento'!$G$53)*IF(L1153&lt;0,-1,1)</f>
        <v>-120721.860215737</v>
      </c>
      <c r="S1153" s="545">
        <f>'Foglio deposito bis'!$F$60*IF(ABS(M1153)&lt;'Sollecitazioni nel paramento'!$G$58,ABS(M1153)*'Sollecitazioni nel paramento'!$G$54,'Sollecitazioni nel paramento'!$G$53)*IF(M1153&lt;0,-1,1)</f>
        <v>0</v>
      </c>
      <c r="T1153" s="545">
        <f>'Foglio deposito bis'!$F$61*IF(ABS(N1153)&lt;'Sollecitazioni nel paramento'!$G$58,ABS(N1153)*'Sollecitazioni nel paramento'!$G$54,'Sollecitazioni nel paramento'!$G$53)*IF(N1153&lt;0,-1,1)</f>
        <v>235150.50754242367</v>
      </c>
      <c r="U1153" s="545">
        <f>'Foglio deposito bis'!$F$62*IF(ABS(O1153)&lt;'Sollecitazioni nel paramento'!$G$58,ABS(O1153)*'Sollecitazioni nel paramento'!$G$54,'Sollecitazioni nel paramento'!$G$53)*IF(O1153&lt;0,-1,1)</f>
        <v>314705.62929873407</v>
      </c>
      <c r="V1153" s="472">
        <f t="shared" si="83"/>
        <v>-3555727.3122601542</v>
      </c>
      <c r="W1153" s="551"/>
      <c r="X1153" s="551"/>
    </row>
    <row r="1154" spans="1:24" x14ac:dyDescent="0.25">
      <c r="A1154" s="545">
        <f t="shared" si="82"/>
        <v>3616305.0467532589</v>
      </c>
      <c r="B1154" s="3">
        <f t="shared" si="80"/>
        <v>16.099999999999966</v>
      </c>
      <c r="C1154" s="545">
        <f>'Foglio deposito bis'!$E$157/sezione!$B$247*B1154</f>
        <v>105.91347439506497</v>
      </c>
      <c r="D1154" s="603">
        <f>-'Sollecitazioni nel paramento'!$G$47*'Sollecitazioni nel paramento'!$G$41*IF(DATI!$G$211="dx",DATI!$E$61,DATI!$E$64*DATI!$E$63)*1000*C1154^2*sezione!$AD$5*(1-sezione!$AD$6)</f>
        <v>-249577859.01835132</v>
      </c>
      <c r="E1154" s="545">
        <f>-'Foglio deposito bis'!$F$58*(C1154-sezione!$AL$31)*IF(ABS(K1154)&lt;'Sollecitazioni nel paramento'!$G$58,ABS(K1154)*'Sollecitazioni nel paramento'!$G$54,'Sollecitazioni nel paramento'!$G$53)</f>
        <v>0</v>
      </c>
      <c r="F1154" s="545">
        <f>-'Foglio deposito bis'!$F$59*(C1154-sezione!$AM$31)*IF(ABS(L1154)&lt;'Sollecitazioni nel paramento'!$G$58,ABS(L1154)*'Sollecitazioni nel paramento'!$G$54,'Sollecitazioni nel paramento'!$G$53)</f>
        <v>-5635393.5682345284</v>
      </c>
      <c r="G1154" s="545">
        <f>-'Foglio deposito bis'!$F$60*(C1154-sezione!$AN$31)*IF(ABS(M1154)&lt;'Sollecitazioni nel paramento'!$G$58,ABS(M1154)*'Sollecitazioni nel paramento'!$G$54,'Sollecitazioni nel paramento'!$G$53)</f>
        <v>0</v>
      </c>
      <c r="H1154" s="545">
        <f>-'Foglio deposito bis'!$F$61*(C1154-sezione!$AO$31)*IF(ABS(N1154)&lt;'Sollecitazioni nel paramento'!$G$58,ABS(N1154)*'Sollecitazioni nel paramento'!$G$54,'Sollecitazioni nel paramento'!$G$53)</f>
        <v>12262193.42269408</v>
      </c>
      <c r="I1154" s="472">
        <f>-'Foglio deposito bis'!$F$62*(C1154-sezione!$AP$31)*IF(ABS(O1154)&lt;'Sollecitazioni nel paramento'!$G$58,ABS(O1154)*'Sollecitazioni nel paramento'!$G$54,'Sollecitazioni nel paramento'!$G$53)</f>
        <v>107074169.24415556</v>
      </c>
      <c r="J1154" s="472">
        <f t="shared" si="81"/>
        <v>-135876889.91973621</v>
      </c>
      <c r="K1154" s="550">
        <f>'Sollecitazioni nel paramento'!$G$60*(sezione!$AL$31-C1154)/C1154</f>
        <v>-2.1781662975402941E-3</v>
      </c>
      <c r="L1154" s="550">
        <f>'Sollecitazioni nel paramento'!$G$60*(sezione!$AM$31-C1154)/C1154</f>
        <v>-1.5172494463104409E-3</v>
      </c>
      <c r="M1154" s="551">
        <f>'Sollecitazioni nel paramento'!$G$60*(sezione!$AN$31-C1154)/C1154</f>
        <v>-8.5633259508058801E-4</v>
      </c>
      <c r="N1154" s="551">
        <f>'Sollecitazioni nel paramento'!$G$60*(sezione!$AO$31-C1154)/C1154</f>
        <v>1.7873348098388243E-3</v>
      </c>
      <c r="O1154" s="551">
        <f>'Sollecitazioni nel paramento'!$G$60*(sezione!$AP$31-C1154)/C1154</f>
        <v>1.1243383688844666E-2</v>
      </c>
      <c r="P1154" s="545">
        <f>-'Sollecitazioni nel paramento'!$G$47*'Sollecitazioni nel paramento'!$G$41*IF(DATI!$G$211="dx",DATI!$E$61,DATI!$E$64*DATI!$E$63)*1000*C1154*sezione!$AD$5</f>
        <v>-4034985.6340287896</v>
      </c>
      <c r="Q1154" s="545">
        <f>'Foglio deposito bis'!$F$58*IF(ABS(K1154)&lt;'Sollecitazioni nel paramento'!$G$58,ABS(K1154)*'Sollecitazioni nel paramento'!$G$54,'Sollecitazioni nel paramento'!$G$53)*IF(K1154&lt;0,-1,1)</f>
        <v>0</v>
      </c>
      <c r="R1154" s="545">
        <f>'Foglio deposito bis'!$F$59*IF(ABS(L1154)&lt;'Sollecitazioni nel paramento'!$G$58,ABS(L1154)*'Sollecitazioni nel paramento'!$G$54,'Sollecitazioni nel paramento'!$G$53)*IF(L1154&lt;0,-1,1)</f>
        <v>-122739.4276404456</v>
      </c>
      <c r="S1154" s="545">
        <f>'Foglio deposito bis'!$F$60*IF(ABS(M1154)&lt;'Sollecitazioni nel paramento'!$G$58,ABS(M1154)*'Sollecitazioni nel paramento'!$G$54,'Sollecitazioni nel paramento'!$G$53)*IF(M1154&lt;0,-1,1)</f>
        <v>0</v>
      </c>
      <c r="T1154" s="545">
        <f>'Foglio deposito bis'!$F$61*IF(ABS(N1154)&lt;'Sollecitazioni nel paramento'!$G$58,ABS(N1154)*'Sollecitazioni nel paramento'!$G$54,'Sollecitazioni nel paramento'!$G$53)*IF(N1154&lt;0,-1,1)</f>
        <v>226714.38561724211</v>
      </c>
      <c r="U1154" s="545">
        <f>'Foglio deposito bis'!$F$62*IF(ABS(O1154)&lt;'Sollecitazioni nel paramento'!$G$58,ABS(O1154)*'Sollecitazioni nel paramento'!$G$54,'Sollecitazioni nel paramento'!$G$53)*IF(O1154&lt;0,-1,1)</f>
        <v>314705.62929873407</v>
      </c>
      <c r="V1154" s="472">
        <f t="shared" si="83"/>
        <v>-3616305.0467532589</v>
      </c>
      <c r="W1154" s="551"/>
      <c r="X1154" s="551"/>
    </row>
    <row r="1155" spans="1:24" x14ac:dyDescent="0.25">
      <c r="A1155" s="545">
        <f t="shared" si="82"/>
        <v>3676626.2489923793</v>
      </c>
      <c r="B1155" s="3">
        <f t="shared" si="80"/>
        <v>16.299999999999965</v>
      </c>
      <c r="C1155" s="545">
        <f>'Foglio deposito bis'!$E$157/sezione!$B$247*B1155</f>
        <v>107.22916972916515</v>
      </c>
      <c r="D1155" s="603">
        <f>-'Sollecitazioni nel paramento'!$G$47*'Sollecitazioni nel paramento'!$G$41*IF(DATI!$G$211="dx",DATI!$E$61,DATI!$E$64*DATI!$E$63)*1000*C1155^2*sezione!$AD$5*(1-sezione!$AD$6)</f>
        <v>-255817064.78371117</v>
      </c>
      <c r="E1155" s="545">
        <f>-'Foglio deposito bis'!$F$58*(C1155-sezione!$AL$31)*IF(ABS(K1155)&lt;'Sollecitazioni nel paramento'!$G$58,ABS(K1155)*'Sollecitazioni nel paramento'!$G$54,'Sollecitazioni nel paramento'!$G$53)</f>
        <v>0</v>
      </c>
      <c r="F1155" s="545">
        <f>-'Foglio deposito bis'!$F$59*(C1155-sezione!$AM$31)*IF(ABS(L1155)&lt;'Sollecitazioni nel paramento'!$G$58,ABS(L1155)*'Sollecitazioni nel paramento'!$G$54,'Sollecitazioni nel paramento'!$G$53)</f>
        <v>-5889830.9381618276</v>
      </c>
      <c r="G1155" s="545">
        <f>-'Foglio deposito bis'!$F$60*(C1155-sezione!$AN$31)*IF(ABS(M1155)&lt;'Sollecitazioni nel paramento'!$G$58,ABS(M1155)*'Sollecitazioni nel paramento'!$G$54,'Sollecitazioni nel paramento'!$G$53)</f>
        <v>0</v>
      </c>
      <c r="H1155" s="545">
        <f>-'Foglio deposito bis'!$F$61*(C1155-sezione!$AO$31)*IF(ABS(N1155)&lt;'Sollecitazioni nel paramento'!$G$58,ABS(N1155)*'Sollecitazioni nel paramento'!$G$54,'Sollecitazioni nel paramento'!$G$53)</f>
        <v>11529649.89610645</v>
      </c>
      <c r="I1155" s="472">
        <f>-'Foglio deposito bis'!$F$62*(C1155-sezione!$AP$31)*IF(ABS(O1155)&lt;'Sollecitazioni nel paramento'!$G$58,ABS(O1155)*'Sollecitazioni nel paramento'!$G$54,'Sollecitazioni nel paramento'!$G$53)</f>
        <v>106660112.51607212</v>
      </c>
      <c r="J1155" s="472">
        <f t="shared" si="81"/>
        <v>-143517133.30969441</v>
      </c>
      <c r="K1155" s="550">
        <f>'Sollecitazioni nel paramento'!$G$60*(sezione!$AL$31-C1155)/C1155</f>
        <v>-2.1943851159753822E-3</v>
      </c>
      <c r="L1155" s="550">
        <f>'Sollecitazioni nel paramento'!$G$60*(sezione!$AM$31-C1155)/C1155</f>
        <v>-1.5415776739630734E-3</v>
      </c>
      <c r="M1155" s="551">
        <f>'Sollecitazioni nel paramento'!$G$60*(sezione!$AN$31-C1155)/C1155</f>
        <v>-8.8877023195076468E-4</v>
      </c>
      <c r="N1155" s="551">
        <f>'Sollecitazioni nel paramento'!$G$60*(sezione!$AO$31-C1155)/C1155</f>
        <v>1.7224595360984707E-3</v>
      </c>
      <c r="O1155" s="551">
        <f>'Sollecitazioni nel paramento'!$G$60*(sezione!$AP$31-C1155)/C1155</f>
        <v>1.1062483275484609E-2</v>
      </c>
      <c r="P1155" s="545">
        <f>-'Sollecitazioni nel paramento'!$G$47*'Sollecitazioni nel paramento'!$G$41*IF(DATI!$G$211="dx",DATI!$E$61,DATI!$E$64*DATI!$E$63)*1000*C1155*sezione!$AD$5</f>
        <v>-4085109.6791720041</v>
      </c>
      <c r="Q1155" s="545">
        <f>'Foglio deposito bis'!$F$58*IF(ABS(K1155)&lt;'Sollecitazioni nel paramento'!$G$58,ABS(K1155)*'Sollecitazioni nel paramento'!$G$54,'Sollecitazioni nel paramento'!$G$53)*IF(K1155&lt;0,-1,1)</f>
        <v>0</v>
      </c>
      <c r="R1155" s="545">
        <f>'Foglio deposito bis'!$F$59*IF(ABS(L1155)&lt;'Sollecitazioni nel paramento'!$G$58,ABS(L1155)*'Sollecitazioni nel paramento'!$G$54,'Sollecitazioni nel paramento'!$G$53)*IF(L1155&lt;0,-1,1)</f>
        <v>-124707.48420810615</v>
      </c>
      <c r="S1155" s="545">
        <f>'Foglio deposito bis'!$F$60*IF(ABS(M1155)&lt;'Sollecitazioni nel paramento'!$G$58,ABS(M1155)*'Sollecitazioni nel paramento'!$G$54,'Sollecitazioni nel paramento'!$G$53)*IF(M1155&lt;0,-1,1)</f>
        <v>0</v>
      </c>
      <c r="T1155" s="545">
        <f>'Foglio deposito bis'!$F$61*IF(ABS(N1155)&lt;'Sollecitazioni nel paramento'!$G$58,ABS(N1155)*'Sollecitazioni nel paramento'!$G$54,'Sollecitazioni nel paramento'!$G$53)*IF(N1155&lt;0,-1,1)</f>
        <v>218485.28508899748</v>
      </c>
      <c r="U1155" s="545">
        <f>'Foglio deposito bis'!$F$62*IF(ABS(O1155)&lt;'Sollecitazioni nel paramento'!$G$58,ABS(O1155)*'Sollecitazioni nel paramento'!$G$54,'Sollecitazioni nel paramento'!$G$53)*IF(O1155&lt;0,-1,1)</f>
        <v>314705.62929873407</v>
      </c>
      <c r="V1155" s="472">
        <f t="shared" si="83"/>
        <v>-3676626.2489923793</v>
      </c>
      <c r="W1155" s="551"/>
      <c r="X1155" s="551"/>
    </row>
    <row r="1156" spans="1:24" x14ac:dyDescent="0.25">
      <c r="A1156" s="545">
        <f t="shared" si="82"/>
        <v>3736700.2474231129</v>
      </c>
      <c r="B1156" s="3">
        <f t="shared" si="80"/>
        <v>16.499999999999964</v>
      </c>
      <c r="C1156" s="545">
        <f>'Foglio deposito bis'!$E$157/sezione!$B$247*B1156</f>
        <v>108.54486506326533</v>
      </c>
      <c r="D1156" s="603">
        <f>-'Sollecitazioni nel paramento'!$G$47*'Sollecitazioni nel paramento'!$G$41*IF(DATI!$G$211="dx",DATI!$E$61,DATI!$E$64*DATI!$E$63)*1000*C1156^2*sezione!$AD$5*(1-sezione!$AD$6)</f>
        <v>-262133297.78074202</v>
      </c>
      <c r="E1156" s="545">
        <f>-'Foglio deposito bis'!$F$58*(C1156-sezione!$AL$31)*IF(ABS(K1156)&lt;'Sollecitazioni nel paramento'!$G$58,ABS(K1156)*'Sollecitazioni nel paramento'!$G$54,'Sollecitazioni nel paramento'!$G$53)</f>
        <v>0</v>
      </c>
      <c r="F1156" s="545">
        <f>-'Foglio deposito bis'!$F$59*(C1156-sezione!$AM$31)*IF(ABS(L1156)&lt;'Sollecitazioni nel paramento'!$G$58,ABS(L1156)*'Sollecitazioni nel paramento'!$G$54,'Sollecitazioni nel paramento'!$G$53)</f>
        <v>-6147130.9358239062</v>
      </c>
      <c r="G1156" s="545">
        <f>-'Foglio deposito bis'!$F$60*(C1156-sezione!$AN$31)*IF(ABS(M1156)&lt;'Sollecitazioni nel paramento'!$G$58,ABS(M1156)*'Sollecitazioni nel paramento'!$G$54,'Sollecitazioni nel paramento'!$G$53)</f>
        <v>0</v>
      </c>
      <c r="H1156" s="545">
        <f>-'Foglio deposito bis'!$F$61*(C1156-sezione!$AO$31)*IF(ABS(N1156)&lt;'Sollecitazioni nel paramento'!$G$58,ABS(N1156)*'Sollecitazioni nel paramento'!$G$54,'Sollecitazioni nel paramento'!$G$53)</f>
        <v>10829025.304901103</v>
      </c>
      <c r="I1156" s="472">
        <f>-'Foglio deposito bis'!$F$62*(C1156-sezione!$AP$31)*IF(ABS(O1156)&lt;'Sollecitazioni nel paramento'!$G$58,ABS(O1156)*'Sollecitazioni nel paramento'!$G$54,'Sollecitazioni nel paramento'!$G$53)</f>
        <v>106246055.78798874</v>
      </c>
      <c r="J1156" s="472">
        <f t="shared" si="81"/>
        <v>-151205347.62367612</v>
      </c>
      <c r="K1156" s="550">
        <f>'Sollecitazioni nel paramento'!$G$60*(sezione!$AL$31-C1156)/C1156</f>
        <v>-2.2102107509332563E-3</v>
      </c>
      <c r="L1156" s="550">
        <f>'Sollecitazioni nel paramento'!$G$60*(sezione!$AM$31-C1156)/C1156</f>
        <v>-1.5653161263998849E-3</v>
      </c>
      <c r="M1156" s="551">
        <f>'Sollecitazioni nel paramento'!$G$60*(sezione!$AN$31-C1156)/C1156</f>
        <v>-9.2042150186651302E-4</v>
      </c>
      <c r="N1156" s="551">
        <f>'Sollecitazioni nel paramento'!$G$60*(sezione!$AO$31-C1156)/C1156</f>
        <v>1.659156996266974E-3</v>
      </c>
      <c r="O1156" s="551">
        <f>'Sollecitazioni nel paramento'!$G$60*(sezione!$AP$31-C1156)/C1156</f>
        <v>1.0885968326690856E-2</v>
      </c>
      <c r="P1156" s="545">
        <f>-'Sollecitazioni nel paramento'!$G$47*'Sollecitazioni nel paramento'!$G$41*IF(DATI!$G$211="dx",DATI!$E$61,DATI!$E$64*DATI!$E$63)*1000*C1156*sezione!$AD$5</f>
        <v>-4135233.7243152186</v>
      </c>
      <c r="Q1156" s="545">
        <f>'Foglio deposito bis'!$F$58*IF(ABS(K1156)&lt;'Sollecitazioni nel paramento'!$G$58,ABS(K1156)*'Sollecitazioni nel paramento'!$G$54,'Sollecitazioni nel paramento'!$G$53)*IF(K1156&lt;0,-1,1)</f>
        <v>0</v>
      </c>
      <c r="R1156" s="545">
        <f>'Foglio deposito bis'!$F$59*IF(ABS(L1156)&lt;'Sollecitazioni nel paramento'!$G$58,ABS(L1156)*'Sollecitazioni nel paramento'!$G$54,'Sollecitazioni nel paramento'!$G$53)*IF(L1156&lt;0,-1,1)</f>
        <v>-126627.83031352038</v>
      </c>
      <c r="S1156" s="545">
        <f>'Foglio deposito bis'!$F$60*IF(ABS(M1156)&lt;'Sollecitazioni nel paramento'!$G$58,ABS(M1156)*'Sollecitazioni nel paramento'!$G$54,'Sollecitazioni nel paramento'!$G$53)*IF(M1156&lt;0,-1,1)</f>
        <v>0</v>
      </c>
      <c r="T1156" s="545">
        <f>'Foglio deposito bis'!$F$61*IF(ABS(N1156)&lt;'Sollecitazioni nel paramento'!$G$58,ABS(N1156)*'Sollecitazioni nel paramento'!$G$54,'Sollecitazioni nel paramento'!$G$53)*IF(N1156&lt;0,-1,1)</f>
        <v>210455.67790689212</v>
      </c>
      <c r="U1156" s="545">
        <f>'Foglio deposito bis'!$F$62*IF(ABS(O1156)&lt;'Sollecitazioni nel paramento'!$G$58,ABS(O1156)*'Sollecitazioni nel paramento'!$G$54,'Sollecitazioni nel paramento'!$G$53)*IF(O1156&lt;0,-1,1)</f>
        <v>314705.62929873407</v>
      </c>
      <c r="V1156" s="472">
        <f t="shared" si="83"/>
        <v>-3736700.2474231129</v>
      </c>
      <c r="W1156" s="551"/>
      <c r="X1156" s="551"/>
    </row>
    <row r="1157" spans="1:24" x14ac:dyDescent="0.25">
      <c r="A1157" s="545">
        <f t="shared" si="82"/>
        <v>3796535.9236194156</v>
      </c>
      <c r="B1157" s="3">
        <f t="shared" si="80"/>
        <v>16.699999999999964</v>
      </c>
      <c r="C1157" s="545">
        <f>'Foglio deposito bis'!$E$157/sezione!$B$247*B1157</f>
        <v>109.86056039736552</v>
      </c>
      <c r="D1157" s="603">
        <f>-'Sollecitazioni nel paramento'!$G$47*'Sollecitazioni nel paramento'!$G$41*IF(DATI!$G$211="dx",DATI!$E$61,DATI!$E$64*DATI!$E$63)*1000*C1157^2*sezione!$AD$5*(1-sezione!$AD$6)</f>
        <v>-268526558.00944406</v>
      </c>
      <c r="E1157" s="545">
        <f>-'Foglio deposito bis'!$F$58*(C1157-sezione!$AL$31)*IF(ABS(K1157)&lt;'Sollecitazioni nel paramento'!$G$58,ABS(K1157)*'Sollecitazioni nel paramento'!$G$54,'Sollecitazioni nel paramento'!$G$53)</f>
        <v>0</v>
      </c>
      <c r="F1157" s="545">
        <f>-'Foglio deposito bis'!$F$59*(C1157-sezione!$AM$31)*IF(ABS(L1157)&lt;'Sollecitazioni nel paramento'!$G$58,ABS(L1157)*'Sollecitazioni nel paramento'!$G$54,'Sollecitazioni nel paramento'!$G$53)</f>
        <v>-6407190.7123201136</v>
      </c>
      <c r="G1157" s="545">
        <f>-'Foglio deposito bis'!$F$60*(C1157-sezione!$AN$31)*IF(ABS(M1157)&lt;'Sollecitazioni nel paramento'!$G$58,ABS(M1157)*'Sollecitazioni nel paramento'!$G$54,'Sollecitazioni nel paramento'!$G$53)</f>
        <v>0</v>
      </c>
      <c r="H1157" s="545">
        <f>-'Foglio deposito bis'!$F$61*(C1157-sezione!$AO$31)*IF(ABS(N1157)&lt;'Sollecitazioni nel paramento'!$G$58,ABS(N1157)*'Sollecitazioni nel paramento'!$G$54,'Sollecitazioni nel paramento'!$G$53)</f>
        <v>10159172.860980472</v>
      </c>
      <c r="I1157" s="472">
        <f>-'Foglio deposito bis'!$F$62*(C1157-sezione!$AP$31)*IF(ABS(O1157)&lt;'Sollecitazioni nel paramento'!$G$58,ABS(O1157)*'Sollecitazioni nel paramento'!$G$54,'Sollecitazioni nel paramento'!$G$53)</f>
        <v>105831999.05990532</v>
      </c>
      <c r="J1157" s="472">
        <f t="shared" si="81"/>
        <v>-158942576.80087835</v>
      </c>
      <c r="K1157" s="550">
        <f>'Sollecitazioni nel paramento'!$G$60*(sezione!$AL$31-C1157)/C1157</f>
        <v>-2.2256573287663911E-3</v>
      </c>
      <c r="L1157" s="550">
        <f>'Sollecitazioni nel paramento'!$G$60*(sezione!$AM$31-C1157)/C1157</f>
        <v>-1.5884859931495868E-3</v>
      </c>
      <c r="M1157" s="551">
        <f>'Sollecitazioni nel paramento'!$G$60*(sezione!$AN$31-C1157)/C1157</f>
        <v>-9.5131465753278222E-4</v>
      </c>
      <c r="N1157" s="551">
        <f>'Sollecitazioni nel paramento'!$G$60*(sezione!$AO$31-C1157)/C1157</f>
        <v>1.5973706849344356E-3</v>
      </c>
      <c r="O1157" s="551">
        <f>'Sollecitazioni nel paramento'!$G$60*(sezione!$AP$31-C1157)/C1157</f>
        <v>1.0713681280862223E-2</v>
      </c>
      <c r="P1157" s="545">
        <f>-'Sollecitazioni nel paramento'!$G$47*'Sollecitazioni nel paramento'!$G$41*IF(DATI!$G$211="dx",DATI!$E$61,DATI!$E$64*DATI!$E$63)*1000*C1157*sezione!$AD$5</f>
        <v>-4185357.7694584331</v>
      </c>
      <c r="Q1157" s="545">
        <f>'Foglio deposito bis'!$F$58*IF(ABS(K1157)&lt;'Sollecitazioni nel paramento'!$G$58,ABS(K1157)*'Sollecitazioni nel paramento'!$G$54,'Sollecitazioni nel paramento'!$G$53)*IF(K1157&lt;0,-1,1)</f>
        <v>0</v>
      </c>
      <c r="R1157" s="545">
        <f>'Foglio deposito bis'!$F$59*IF(ABS(L1157)&lt;'Sollecitazioni nel paramento'!$G$58,ABS(L1157)*'Sollecitazioni nel paramento'!$G$54,'Sollecitazioni nel paramento'!$G$53)*IF(L1157&lt;0,-1,1)</f>
        <v>-128502.18010503247</v>
      </c>
      <c r="S1157" s="545">
        <f>'Foglio deposito bis'!$F$60*IF(ABS(M1157)&lt;'Sollecitazioni nel paramento'!$G$58,ABS(M1157)*'Sollecitazioni nel paramento'!$G$54,'Sollecitazioni nel paramento'!$G$53)*IF(M1157&lt;0,-1,1)</f>
        <v>0</v>
      </c>
      <c r="T1157" s="545">
        <f>'Foglio deposito bis'!$F$61*IF(ABS(N1157)&lt;'Sollecitazioni nel paramento'!$G$58,ABS(N1157)*'Sollecitazioni nel paramento'!$G$54,'Sollecitazioni nel paramento'!$G$53)*IF(N1157&lt;0,-1,1)</f>
        <v>202618.39664531624</v>
      </c>
      <c r="U1157" s="545">
        <f>'Foglio deposito bis'!$F$62*IF(ABS(O1157)&lt;'Sollecitazioni nel paramento'!$G$58,ABS(O1157)*'Sollecitazioni nel paramento'!$G$54,'Sollecitazioni nel paramento'!$G$53)*IF(O1157&lt;0,-1,1)</f>
        <v>314705.62929873407</v>
      </c>
      <c r="V1157" s="472">
        <f t="shared" si="83"/>
        <v>-3796535.9236194156</v>
      </c>
      <c r="W1157" s="551"/>
      <c r="X1157" s="551"/>
    </row>
    <row r="1158" spans="1:24" x14ac:dyDescent="0.25">
      <c r="A1158" s="545">
        <f t="shared" si="82"/>
        <v>3856141.7387257037</v>
      </c>
      <c r="B1158" s="3">
        <f t="shared" si="80"/>
        <v>16.899999999999963</v>
      </c>
      <c r="C1158" s="545">
        <f>'Foglio deposito bis'!$E$157/sezione!$B$247*B1158</f>
        <v>111.1762557314657</v>
      </c>
      <c r="D1158" s="603">
        <f>-'Sollecitazioni nel paramento'!$G$47*'Sollecitazioni nel paramento'!$G$41*IF(DATI!$G$211="dx",DATI!$E$61,DATI!$E$64*DATI!$E$63)*1000*C1158^2*sezione!$AD$5*(1-sezione!$AD$6)</f>
        <v>-274996845.46981716</v>
      </c>
      <c r="E1158" s="545">
        <f>-'Foglio deposito bis'!$F$58*(C1158-sezione!$AL$31)*IF(ABS(K1158)&lt;'Sollecitazioni nel paramento'!$G$58,ABS(K1158)*'Sollecitazioni nel paramento'!$G$54,'Sollecitazioni nel paramento'!$G$53)</f>
        <v>0</v>
      </c>
      <c r="F1158" s="545">
        <f>-'Foglio deposito bis'!$F$59*(C1158-sezione!$AM$31)*IF(ABS(L1158)&lt;'Sollecitazioni nel paramento'!$G$58,ABS(L1158)*'Sollecitazioni nel paramento'!$G$54,'Sollecitazioni nel paramento'!$G$53)</f>
        <v>-6669912.2873368096</v>
      </c>
      <c r="G1158" s="545">
        <f>-'Foglio deposito bis'!$F$60*(C1158-sezione!$AN$31)*IF(ABS(M1158)&lt;'Sollecitazioni nel paramento'!$G$58,ABS(M1158)*'Sollecitazioni nel paramento'!$G$54,'Sollecitazioni nel paramento'!$G$53)</f>
        <v>0</v>
      </c>
      <c r="H1158" s="545">
        <f>-'Foglio deposito bis'!$F$61*(C1158-sezione!$AO$31)*IF(ABS(N1158)&lt;'Sollecitazioni nel paramento'!$G$58,ABS(N1158)*'Sollecitazioni nel paramento'!$G$54,'Sollecitazioni nel paramento'!$G$53)</f>
        <v>9519000.0620740913</v>
      </c>
      <c r="I1158" s="472">
        <f>-'Foglio deposito bis'!$F$62*(C1158-sezione!$AP$31)*IF(ABS(O1158)&lt;'Sollecitazioni nel paramento'!$G$58,ABS(O1158)*'Sollecitazioni nel paramento'!$G$54,'Sollecitazioni nel paramento'!$G$53)</f>
        <v>105417942.33182193</v>
      </c>
      <c r="J1158" s="472">
        <f t="shared" si="81"/>
        <v>-166729815.363258</v>
      </c>
      <c r="K1158" s="550">
        <f>'Sollecitazioni nel paramento'!$G$60*(sezione!$AL$31-C1158)/C1158</f>
        <v>-2.2407383071241854E-3</v>
      </c>
      <c r="L1158" s="550">
        <f>'Sollecitazioni nel paramento'!$G$60*(sezione!$AM$31-C1158)/C1158</f>
        <v>-1.6111074606862778E-3</v>
      </c>
      <c r="M1158" s="551">
        <f>'Sollecitazioni nel paramento'!$G$60*(sezione!$AN$31-C1158)/C1158</f>
        <v>-9.8147661424837049E-4</v>
      </c>
      <c r="N1158" s="551">
        <f>'Sollecitazioni nel paramento'!$G$60*(sezione!$AO$31-C1158)/C1158</f>
        <v>1.5370467715032591E-3</v>
      </c>
      <c r="O1158" s="551">
        <f>'Sollecitazioni nel paramento'!$G$60*(sezione!$AP$31-C1158)/C1158</f>
        <v>1.0545472034934861E-2</v>
      </c>
      <c r="P1158" s="545">
        <f>-'Sollecitazioni nel paramento'!$G$47*'Sollecitazioni nel paramento'!$G$41*IF(DATI!$G$211="dx",DATI!$E$61,DATI!$E$64*DATI!$E$63)*1000*C1158*sezione!$AD$5</f>
        <v>-4235481.8146016477</v>
      </c>
      <c r="Q1158" s="545">
        <f>'Foglio deposito bis'!$F$58*IF(ABS(K1158)&lt;'Sollecitazioni nel paramento'!$G$58,ABS(K1158)*'Sollecitazioni nel paramento'!$G$54,'Sollecitazioni nel paramento'!$G$53)*IF(K1158&lt;0,-1,1)</f>
        <v>0</v>
      </c>
      <c r="R1158" s="545">
        <f>'Foglio deposito bis'!$F$59*IF(ABS(L1158)&lt;'Sollecitazioni nel paramento'!$G$58,ABS(L1158)*'Sollecitazioni nel paramento'!$G$54,'Sollecitazioni nel paramento'!$G$53)*IF(L1158&lt;0,-1,1)</f>
        <v>-130332.16658786969</v>
      </c>
      <c r="S1158" s="545">
        <f>'Foglio deposito bis'!$F$60*IF(ABS(M1158)&lt;'Sollecitazioni nel paramento'!$G$58,ABS(M1158)*'Sollecitazioni nel paramento'!$G$54,'Sollecitazioni nel paramento'!$G$53)*IF(M1158&lt;0,-1,1)</f>
        <v>0</v>
      </c>
      <c r="T1158" s="545">
        <f>'Foglio deposito bis'!$F$61*IF(ABS(N1158)&lt;'Sollecitazioni nel paramento'!$G$58,ABS(N1158)*'Sollecitazioni nel paramento'!$G$54,'Sollecitazioni nel paramento'!$G$53)*IF(N1158&lt;0,-1,1)</f>
        <v>194966.61316507944</v>
      </c>
      <c r="U1158" s="545">
        <f>'Foglio deposito bis'!$F$62*IF(ABS(O1158)&lt;'Sollecitazioni nel paramento'!$G$58,ABS(O1158)*'Sollecitazioni nel paramento'!$G$54,'Sollecitazioni nel paramento'!$G$53)*IF(O1158&lt;0,-1,1)</f>
        <v>314705.62929873407</v>
      </c>
      <c r="V1158" s="472">
        <f t="shared" si="83"/>
        <v>-3856141.7387257037</v>
      </c>
      <c r="W1158" s="551"/>
      <c r="X1158" s="551"/>
    </row>
    <row r="1159" spans="1:24" x14ac:dyDescent="0.25">
      <c r="A1159" s="545">
        <f t="shared" si="82"/>
        <v>3915525.7580433828</v>
      </c>
      <c r="B1159" s="3">
        <f t="shared" si="80"/>
        <v>17.099999999999962</v>
      </c>
      <c r="C1159" s="545">
        <f>'Foglio deposito bis'!$E$157/sezione!$B$247*B1159</f>
        <v>112.49195106556589</v>
      </c>
      <c r="D1159" s="603">
        <f>-'Sollecitazioni nel paramento'!$G$47*'Sollecitazioni nel paramento'!$G$41*IF(DATI!$G$211="dx",DATI!$E$61,DATI!$E$64*DATI!$E$63)*1000*C1159^2*sezione!$AD$5*(1-sezione!$AD$6)</f>
        <v>-281544160.16186142</v>
      </c>
      <c r="E1159" s="545">
        <f>-'Foglio deposito bis'!$F$58*(C1159-sezione!$AL$31)*IF(ABS(K1159)&lt;'Sollecitazioni nel paramento'!$G$58,ABS(K1159)*'Sollecitazioni nel paramento'!$G$54,'Sollecitazioni nel paramento'!$G$53)</f>
        <v>0</v>
      </c>
      <c r="F1159" s="545">
        <f>-'Foglio deposito bis'!$F$59*(C1159-sezione!$AM$31)*IF(ABS(L1159)&lt;'Sollecitazioni nel paramento'!$G$58,ABS(L1159)*'Sollecitazioni nel paramento'!$G$54,'Sollecitazioni nel paramento'!$G$53)</f>
        <v>-6935202.2644346822</v>
      </c>
      <c r="G1159" s="545">
        <f>-'Foglio deposito bis'!$F$60*(C1159-sezione!$AN$31)*IF(ABS(M1159)&lt;'Sollecitazioni nel paramento'!$G$58,ABS(M1159)*'Sollecitazioni nel paramento'!$G$54,'Sollecitazioni nel paramento'!$G$53)</f>
        <v>0</v>
      </c>
      <c r="H1159" s="545">
        <f>-'Foglio deposito bis'!$F$61*(C1159-sezione!$AO$31)*IF(ABS(N1159)&lt;'Sollecitazioni nel paramento'!$G$58,ABS(N1159)*'Sollecitazioni nel paramento'!$G$54,'Sollecitazioni nel paramento'!$G$53)</f>
        <v>8907465.5171288308</v>
      </c>
      <c r="I1159" s="472">
        <f>-'Foglio deposito bis'!$F$62*(C1159-sezione!$AP$31)*IF(ABS(O1159)&lt;'Sollecitazioni nel paramento'!$G$58,ABS(O1159)*'Sollecitazioni nel paramento'!$G$54,'Sollecitazioni nel paramento'!$G$53)</f>
        <v>105003885.60373852</v>
      </c>
      <c r="J1159" s="472">
        <f t="shared" si="81"/>
        <v>-174568011.30542877</v>
      </c>
      <c r="K1159" s="550">
        <f>'Sollecitazioni nel paramento'!$G$60*(sezione!$AL$31-C1159)/C1159</f>
        <v>-2.2554665140584055E-3</v>
      </c>
      <c r="L1159" s="550">
        <f>'Sollecitazioni nel paramento'!$G$60*(sezione!$AM$31-C1159)/C1159</f>
        <v>-1.6331997710876079E-3</v>
      </c>
      <c r="M1159" s="551">
        <f>'Sollecitazioni nel paramento'!$G$60*(sezione!$AN$31-C1159)/C1159</f>
        <v>-1.0109330281168106E-3</v>
      </c>
      <c r="N1159" s="551">
        <f>'Sollecitazioni nel paramento'!$G$60*(sezione!$AO$31-C1159)/C1159</f>
        <v>1.478133943766379E-3</v>
      </c>
      <c r="O1159" s="551">
        <f>'Sollecitazioni nel paramento'!$G$60*(sezione!$AP$31-C1159)/C1159</f>
        <v>1.0381197508210475E-2</v>
      </c>
      <c r="P1159" s="545">
        <f>-'Sollecitazioni nel paramento'!$G$47*'Sollecitazioni nel paramento'!$G$41*IF(DATI!$G$211="dx",DATI!$E$61,DATI!$E$64*DATI!$E$63)*1000*C1159*sezione!$AD$5</f>
        <v>-4285605.8597448627</v>
      </c>
      <c r="Q1159" s="545">
        <f>'Foglio deposito bis'!$F$58*IF(ABS(K1159)&lt;'Sollecitazioni nel paramento'!$G$58,ABS(K1159)*'Sollecitazioni nel paramento'!$G$54,'Sollecitazioni nel paramento'!$G$53)*IF(K1159&lt;0,-1,1)</f>
        <v>0</v>
      </c>
      <c r="R1159" s="545">
        <f>'Foglio deposito bis'!$F$59*IF(ABS(L1159)&lt;'Sollecitazioni nel paramento'!$G$58,ABS(L1159)*'Sollecitazioni nel paramento'!$G$54,'Sollecitazioni nel paramento'!$G$53)*IF(L1159&lt;0,-1,1)</f>
        <v>-132119.34636935403</v>
      </c>
      <c r="S1159" s="545">
        <f>'Foglio deposito bis'!$F$60*IF(ABS(M1159)&lt;'Sollecitazioni nel paramento'!$G$58,ABS(M1159)*'Sollecitazioni nel paramento'!$G$54,'Sollecitazioni nel paramento'!$G$53)*IF(M1159&lt;0,-1,1)</f>
        <v>0</v>
      </c>
      <c r="T1159" s="545">
        <f>'Foglio deposito bis'!$F$61*IF(ABS(N1159)&lt;'Sollecitazioni nel paramento'!$G$58,ABS(N1159)*'Sollecitazioni nel paramento'!$G$54,'Sollecitazioni nel paramento'!$G$53)*IF(N1159&lt;0,-1,1)</f>
        <v>187493.81877209962</v>
      </c>
      <c r="U1159" s="545">
        <f>'Foglio deposito bis'!$F$62*IF(ABS(O1159)&lt;'Sollecitazioni nel paramento'!$G$58,ABS(O1159)*'Sollecitazioni nel paramento'!$G$54,'Sollecitazioni nel paramento'!$G$53)*IF(O1159&lt;0,-1,1)</f>
        <v>314705.62929873407</v>
      </c>
      <c r="V1159" s="472">
        <f t="shared" si="83"/>
        <v>-3915525.7580433828</v>
      </c>
      <c r="W1159" s="551"/>
      <c r="X1159" s="551"/>
    </row>
    <row r="1160" spans="1:24" x14ac:dyDescent="0.25">
      <c r="A1160" s="545">
        <f t="shared" si="82"/>
        <v>3974695.6739119417</v>
      </c>
      <c r="B1160" s="3">
        <f t="shared" si="80"/>
        <v>17.299999999999962</v>
      </c>
      <c r="C1160" s="545">
        <f>'Foglio deposito bis'!$E$157/sezione!$B$247*B1160</f>
        <v>113.80764639966608</v>
      </c>
      <c r="D1160" s="603">
        <f>-'Sollecitazioni nel paramento'!$G$47*'Sollecitazioni nel paramento'!$G$41*IF(DATI!$G$211="dx",DATI!$E$61,DATI!$E$64*DATI!$E$63)*1000*C1160^2*sezione!$AD$5*(1-sezione!$AD$6)</f>
        <v>-288168502.08557677</v>
      </c>
      <c r="E1160" s="545">
        <f>-'Foglio deposito bis'!$F$58*(C1160-sezione!$AL$31)*IF(ABS(K1160)&lt;'Sollecitazioni nel paramento'!$G$58,ABS(K1160)*'Sollecitazioni nel paramento'!$G$54,'Sollecitazioni nel paramento'!$G$53)</f>
        <v>0</v>
      </c>
      <c r="F1160" s="545">
        <f>-'Foglio deposito bis'!$F$59*(C1160-sezione!$AM$31)*IF(ABS(L1160)&lt;'Sollecitazioni nel paramento'!$G$58,ABS(L1160)*'Sollecitazioni nel paramento'!$G$54,'Sollecitazioni nel paramento'!$G$53)</f>
        <v>-7202971.5660849055</v>
      </c>
      <c r="G1160" s="545">
        <f>-'Foglio deposito bis'!$F$60*(C1160-sezione!$AN$31)*IF(ABS(M1160)&lt;'Sollecitazioni nel paramento'!$G$58,ABS(M1160)*'Sollecitazioni nel paramento'!$G$54,'Sollecitazioni nel paramento'!$G$53)</f>
        <v>0</v>
      </c>
      <c r="H1160" s="545">
        <f>-'Foglio deposito bis'!$F$61*(C1160-sezione!$AO$31)*IF(ABS(N1160)&lt;'Sollecitazioni nel paramento'!$G$58,ABS(N1160)*'Sollecitazioni nel paramento'!$G$54,'Sollecitazioni nel paramento'!$G$53)</f>
        <v>8323575.9919032585</v>
      </c>
      <c r="I1160" s="472">
        <f>-'Foglio deposito bis'!$F$62*(C1160-sezione!$AP$31)*IF(ABS(O1160)&lt;'Sollecitazioni nel paramento'!$G$58,ABS(O1160)*'Sollecitazioni nel paramento'!$G$54,'Sollecitazioni nel paramento'!$G$53)</f>
        <v>104589828.87565508</v>
      </c>
      <c r="J1160" s="472">
        <f t="shared" si="81"/>
        <v>-182458068.78410336</v>
      </c>
      <c r="K1160" s="550">
        <f>'Sollecitazioni nel paramento'!$G$60*(sezione!$AL$31-C1160)/C1160</f>
        <v>-2.2698541844161117E-3</v>
      </c>
      <c r="L1160" s="550">
        <f>'Sollecitazioni nel paramento'!$G$60*(sezione!$AM$31-C1160)/C1160</f>
        <v>-1.6547812766241675E-3</v>
      </c>
      <c r="M1160" s="551">
        <f>'Sollecitazioni nel paramento'!$G$60*(sezione!$AN$31-C1160)/C1160</f>
        <v>-1.0397083688322235E-3</v>
      </c>
      <c r="N1160" s="551">
        <f>'Sollecitazioni nel paramento'!$G$60*(sezione!$AO$31-C1160)/C1160</f>
        <v>1.4205832623355532E-3</v>
      </c>
      <c r="O1160" s="551">
        <f>'Sollecitazioni nel paramento'!$G$60*(sezione!$AP$31-C1160)/C1160</f>
        <v>1.0220721236439254E-2</v>
      </c>
      <c r="P1160" s="545">
        <f>-'Sollecitazioni nel paramento'!$G$47*'Sollecitazioni nel paramento'!$G$41*IF(DATI!$G$211="dx",DATI!$E$61,DATI!$E$64*DATI!$E$63)*1000*C1160*sezione!$AD$5</f>
        <v>-4335729.9048880776</v>
      </c>
      <c r="Q1160" s="545">
        <f>'Foglio deposito bis'!$F$58*IF(ABS(K1160)&lt;'Sollecitazioni nel paramento'!$G$58,ABS(K1160)*'Sollecitazioni nel paramento'!$G$54,'Sollecitazioni nel paramento'!$G$53)*IF(K1160&lt;0,-1,1)</f>
        <v>0</v>
      </c>
      <c r="R1160" s="545">
        <f>'Foglio deposito bis'!$F$59*IF(ABS(L1160)&lt;'Sollecitazioni nel paramento'!$G$58,ABS(L1160)*'Sollecitazioni nel paramento'!$G$54,'Sollecitazioni nel paramento'!$G$53)*IF(L1160&lt;0,-1,1)</f>
        <v>-133865.20407496591</v>
      </c>
      <c r="S1160" s="545">
        <f>'Foglio deposito bis'!$F$60*IF(ABS(M1160)&lt;'Sollecitazioni nel paramento'!$G$58,ABS(M1160)*'Sollecitazioni nel paramento'!$G$54,'Sollecitazioni nel paramento'!$G$53)*IF(M1160&lt;0,-1,1)</f>
        <v>0</v>
      </c>
      <c r="T1160" s="545">
        <f>'Foglio deposito bis'!$F$61*IF(ABS(N1160)&lt;'Sollecitazioni nel paramento'!$G$58,ABS(N1160)*'Sollecitazioni nel paramento'!$G$54,'Sollecitazioni nel paramento'!$G$53)*IF(N1160&lt;0,-1,1)</f>
        <v>180193.80575236783</v>
      </c>
      <c r="U1160" s="545">
        <f>'Foglio deposito bis'!$F$62*IF(ABS(O1160)&lt;'Sollecitazioni nel paramento'!$G$58,ABS(O1160)*'Sollecitazioni nel paramento'!$G$54,'Sollecitazioni nel paramento'!$G$53)*IF(O1160&lt;0,-1,1)</f>
        <v>314705.62929873407</v>
      </c>
      <c r="V1160" s="472">
        <f t="shared" si="83"/>
        <v>-3974695.6739119417</v>
      </c>
      <c r="W1160" s="551"/>
      <c r="X1160" s="551"/>
    </row>
    <row r="1161" spans="1:24" x14ac:dyDescent="0.25">
      <c r="A1161" s="545">
        <f t="shared" si="82"/>
        <v>4033658.8270210647</v>
      </c>
      <c r="B1161" s="3">
        <f t="shared" si="80"/>
        <v>17.499999999999961</v>
      </c>
      <c r="C1161" s="545">
        <f>'Foglio deposito bis'!$E$157/sezione!$B$247*B1161</f>
        <v>115.12334173376627</v>
      </c>
      <c r="D1161" s="603">
        <f>-'Sollecitazioni nel paramento'!$G$47*'Sollecitazioni nel paramento'!$G$41*IF(DATI!$G$211="dx",DATI!$E$61,DATI!$E$64*DATI!$E$63)*1000*C1161^2*sezione!$AD$5*(1-sezione!$AD$6)</f>
        <v>-294869871.24096328</v>
      </c>
      <c r="E1161" s="545">
        <f>-'Foglio deposito bis'!$F$58*(C1161-sezione!$AL$31)*IF(ABS(K1161)&lt;'Sollecitazioni nel paramento'!$G$58,ABS(K1161)*'Sollecitazioni nel paramento'!$G$54,'Sollecitazioni nel paramento'!$G$53)</f>
        <v>0</v>
      </c>
      <c r="F1161" s="545">
        <f>-'Foglio deposito bis'!$F$59*(C1161-sezione!$AM$31)*IF(ABS(L1161)&lt;'Sollecitazioni nel paramento'!$G$58,ABS(L1161)*'Sollecitazioni nel paramento'!$G$54,'Sollecitazioni nel paramento'!$G$53)</f>
        <v>-7473135.1868742518</v>
      </c>
      <c r="G1161" s="545">
        <f>-'Foglio deposito bis'!$F$60*(C1161-sezione!$AN$31)*IF(ABS(M1161)&lt;'Sollecitazioni nel paramento'!$G$58,ABS(M1161)*'Sollecitazioni nel paramento'!$G$54,'Sollecitazioni nel paramento'!$G$53)</f>
        <v>0</v>
      </c>
      <c r="H1161" s="545">
        <f>-'Foglio deposito bis'!$F$61*(C1161-sezione!$AO$31)*IF(ABS(N1161)&lt;'Sollecitazioni nel paramento'!$G$58,ABS(N1161)*'Sollecitazioni nel paramento'!$G$54,'Sollecitazioni nel paramento'!$G$53)</f>
        <v>7766383.6571498532</v>
      </c>
      <c r="I1161" s="472">
        <f>-'Foglio deposito bis'!$F$62*(C1161-sezione!$AP$31)*IF(ABS(O1161)&lt;'Sollecitazioni nel paramento'!$G$58,ABS(O1161)*'Sollecitazioni nel paramento'!$G$54,'Sollecitazioni nel paramento'!$G$53)</f>
        <v>104175772.1475717</v>
      </c>
      <c r="J1161" s="472">
        <f t="shared" si="81"/>
        <v>-190400850.62311602</v>
      </c>
      <c r="K1161" s="550">
        <f>'Sollecitazioni nel paramento'!$G$60*(sezione!$AL$31-C1161)/C1161</f>
        <v>-2.2839129937370704E-3</v>
      </c>
      <c r="L1161" s="550">
        <f>'Sollecitazioni nel paramento'!$G$60*(sezione!$AM$31-C1161)/C1161</f>
        <v>-1.6758694906056058E-3</v>
      </c>
      <c r="M1161" s="551">
        <f>'Sollecitazioni nel paramento'!$G$60*(sezione!$AN$31-C1161)/C1161</f>
        <v>-1.067825987474141E-3</v>
      </c>
      <c r="N1161" s="551">
        <f>'Sollecitazioni nel paramento'!$G$60*(sezione!$AO$31-C1161)/C1161</f>
        <v>1.3643480250517183E-3</v>
      </c>
      <c r="O1161" s="551">
        <f>'Sollecitazioni nel paramento'!$G$60*(sezione!$AP$31-C1161)/C1161</f>
        <v>1.0063912993737092E-2</v>
      </c>
      <c r="P1161" s="545">
        <f>-'Sollecitazioni nel paramento'!$G$47*'Sollecitazioni nel paramento'!$G$41*IF(DATI!$G$211="dx",DATI!$E$61,DATI!$E$64*DATI!$E$63)*1000*C1161*sezione!$AD$5</f>
        <v>-4385853.9500312926</v>
      </c>
      <c r="Q1161" s="545">
        <f>'Foglio deposito bis'!$F$58*IF(ABS(K1161)&lt;'Sollecitazioni nel paramento'!$G$58,ABS(K1161)*'Sollecitazioni nel paramento'!$G$54,'Sollecitazioni nel paramento'!$G$53)*IF(K1161&lt;0,-1,1)</f>
        <v>0</v>
      </c>
      <c r="R1161" s="545">
        <f>'Foglio deposito bis'!$F$59*IF(ABS(L1161)&lt;'Sollecitazioni nel paramento'!$G$58,ABS(L1161)*'Sollecitazioni nel paramento'!$G$54,'Sollecitazioni nel paramento'!$G$53)*IF(L1161&lt;0,-1,1)</f>
        <v>-135571.15646159239</v>
      </c>
      <c r="S1161" s="545">
        <f>'Foglio deposito bis'!$F$60*IF(ABS(M1161)&lt;'Sollecitazioni nel paramento'!$G$58,ABS(M1161)*'Sollecitazioni nel paramento'!$G$54,'Sollecitazioni nel paramento'!$G$53)*IF(M1161&lt;0,-1,1)</f>
        <v>0</v>
      </c>
      <c r="T1161" s="545">
        <f>'Foglio deposito bis'!$F$61*IF(ABS(N1161)&lt;'Sollecitazioni nel paramento'!$G$58,ABS(N1161)*'Sollecitazioni nel paramento'!$G$54,'Sollecitazioni nel paramento'!$G$53)*IF(N1161&lt;0,-1,1)</f>
        <v>173060.65017308711</v>
      </c>
      <c r="U1161" s="545">
        <f>'Foglio deposito bis'!$F$62*IF(ABS(O1161)&lt;'Sollecitazioni nel paramento'!$G$58,ABS(O1161)*'Sollecitazioni nel paramento'!$G$54,'Sollecitazioni nel paramento'!$G$53)*IF(O1161&lt;0,-1,1)</f>
        <v>314705.62929873407</v>
      </c>
      <c r="V1161" s="472">
        <f t="shared" si="83"/>
        <v>-4033658.8270210647</v>
      </c>
      <c r="W1161" s="551"/>
      <c r="X1161" s="551"/>
    </row>
    <row r="1162" spans="1:24" x14ac:dyDescent="0.25">
      <c r="A1162" s="545">
        <f t="shared" si="82"/>
        <v>4092422.2262778482</v>
      </c>
      <c r="B1162" s="3">
        <f t="shared" si="80"/>
        <v>17.69999999999996</v>
      </c>
      <c r="C1162" s="545">
        <f>'Foglio deposito bis'!$E$157/sezione!$B$247*B1162</f>
        <v>116.43903706786645</v>
      </c>
      <c r="D1162" s="603">
        <f>-'Sollecitazioni nel paramento'!$G$47*'Sollecitazioni nel paramento'!$G$41*IF(DATI!$G$211="dx",DATI!$E$61,DATI!$E$64*DATI!$E$63)*1000*C1162^2*sezione!$AD$5*(1-sezione!$AD$6)</f>
        <v>-301648267.62802082</v>
      </c>
      <c r="E1162" s="545">
        <f>-'Foglio deposito bis'!$F$58*(C1162-sezione!$AL$31)*IF(ABS(K1162)&lt;'Sollecitazioni nel paramento'!$G$58,ABS(K1162)*'Sollecitazioni nel paramento'!$G$54,'Sollecitazioni nel paramento'!$G$53)</f>
        <v>0</v>
      </c>
      <c r="F1162" s="545">
        <f>-'Foglio deposito bis'!$F$59*(C1162-sezione!$AM$31)*IF(ABS(L1162)&lt;'Sollecitazioni nel paramento'!$G$58,ABS(L1162)*'Sollecitazioni nel paramento'!$G$54,'Sollecitazioni nel paramento'!$G$53)</f>
        <v>-7745611.9634420713</v>
      </c>
      <c r="G1162" s="545">
        <f>-'Foglio deposito bis'!$F$60*(C1162-sezione!$AN$31)*IF(ABS(M1162)&lt;'Sollecitazioni nel paramento'!$G$58,ABS(M1162)*'Sollecitazioni nel paramento'!$G$54,'Sollecitazioni nel paramento'!$G$53)</f>
        <v>0</v>
      </c>
      <c r="H1162" s="545">
        <f>-'Foglio deposito bis'!$F$61*(C1162-sezione!$AO$31)*IF(ABS(N1162)&lt;'Sollecitazioni nel paramento'!$G$58,ABS(N1162)*'Sollecitazioni nel paramento'!$G$54,'Sollecitazioni nel paramento'!$G$53)</f>
        <v>7234983.5233610803</v>
      </c>
      <c r="I1162" s="472">
        <f>-'Foglio deposito bis'!$F$62*(C1162-sezione!$AP$31)*IF(ABS(O1162)&lt;'Sollecitazioni nel paramento'!$G$58,ABS(O1162)*'Sollecitazioni nel paramento'!$G$54,'Sollecitazioni nel paramento'!$G$53)</f>
        <v>103761715.4194883</v>
      </c>
      <c r="J1162" s="472">
        <f t="shared" si="81"/>
        <v>-198397180.64861351</v>
      </c>
      <c r="K1162" s="550">
        <f>'Sollecitazioni nel paramento'!$G$60*(sezione!$AL$31-C1162)/C1162</f>
        <v>-2.2976540898530357E-3</v>
      </c>
      <c r="L1162" s="550">
        <f>'Sollecitazioni nel paramento'!$G$60*(sezione!$AM$31-C1162)/C1162</f>
        <v>-1.6964811347795535E-3</v>
      </c>
      <c r="M1162" s="551">
        <f>'Sollecitazioni nel paramento'!$G$60*(sezione!$AN$31-C1162)/C1162</f>
        <v>-1.0953081797060713E-3</v>
      </c>
      <c r="N1162" s="551">
        <f>'Sollecitazioni nel paramento'!$G$60*(sezione!$AO$31-C1162)/C1162</f>
        <v>1.3093836405878572E-3</v>
      </c>
      <c r="O1162" s="551">
        <f>'Sollecitazioni nel paramento'!$G$60*(sezione!$AP$31-C1162)/C1162</f>
        <v>9.9106484401355437E-3</v>
      </c>
      <c r="P1162" s="545">
        <f>-'Sollecitazioni nel paramento'!$G$47*'Sollecitazioni nel paramento'!$G$41*IF(DATI!$G$211="dx",DATI!$E$61,DATI!$E$64*DATI!$E$63)*1000*C1162*sezione!$AD$5</f>
        <v>-4435977.9951745067</v>
      </c>
      <c r="Q1162" s="545">
        <f>'Foglio deposito bis'!$F$58*IF(ABS(K1162)&lt;'Sollecitazioni nel paramento'!$G$58,ABS(K1162)*'Sollecitazioni nel paramento'!$G$54,'Sollecitazioni nel paramento'!$G$53)*IF(K1162&lt;0,-1,1)</f>
        <v>0</v>
      </c>
      <c r="R1162" s="545">
        <f>'Foglio deposito bis'!$F$59*IF(ABS(L1162)&lt;'Sollecitazioni nel paramento'!$G$58,ABS(L1162)*'Sollecitazioni nel paramento'!$G$54,'Sollecitazioni nel paramento'!$G$53)*IF(L1162&lt;0,-1,1)</f>
        <v>-137238.55625191084</v>
      </c>
      <c r="S1162" s="545">
        <f>'Foglio deposito bis'!$F$60*IF(ABS(M1162)&lt;'Sollecitazioni nel paramento'!$G$58,ABS(M1162)*'Sollecitazioni nel paramento'!$G$54,'Sollecitazioni nel paramento'!$G$53)*IF(M1162&lt;0,-1,1)</f>
        <v>0</v>
      </c>
      <c r="T1162" s="545">
        <f>'Foglio deposito bis'!$F$61*IF(ABS(N1162)&lt;'Sollecitazioni nel paramento'!$G$58,ABS(N1162)*'Sollecitazioni nel paramento'!$G$54,'Sollecitazioni nel paramento'!$G$53)*IF(N1162&lt;0,-1,1)</f>
        <v>166088.69584983535</v>
      </c>
      <c r="U1162" s="545">
        <f>'Foglio deposito bis'!$F$62*IF(ABS(O1162)&lt;'Sollecitazioni nel paramento'!$G$58,ABS(O1162)*'Sollecitazioni nel paramento'!$G$54,'Sollecitazioni nel paramento'!$G$53)*IF(O1162&lt;0,-1,1)</f>
        <v>314705.62929873407</v>
      </c>
      <c r="V1162" s="472">
        <f t="shared" si="83"/>
        <v>-4092422.2262778482</v>
      </c>
      <c r="W1162" s="551"/>
      <c r="X1162" s="551"/>
    </row>
    <row r="1163" spans="1:24" x14ac:dyDescent="0.25">
      <c r="A1163" s="545">
        <f t="shared" si="82"/>
        <v>4150992.5673421524</v>
      </c>
      <c r="B1163" s="3">
        <f t="shared" si="80"/>
        <v>17.899999999999959</v>
      </c>
      <c r="C1163" s="545">
        <f>'Foglio deposito bis'!$E$157/sezione!$B$247*B1163</f>
        <v>117.75473240196663</v>
      </c>
      <c r="D1163" s="603">
        <f>-'Sollecitazioni nel paramento'!$G$47*'Sollecitazioni nel paramento'!$G$41*IF(DATI!$G$211="dx",DATI!$E$61,DATI!$E$64*DATI!$E$63)*1000*C1163^2*sezione!$AD$5*(1-sezione!$AD$6)</f>
        <v>-308503691.24674952</v>
      </c>
      <c r="E1163" s="545">
        <f>-'Foglio deposito bis'!$F$58*(C1163-sezione!$AL$31)*IF(ABS(K1163)&lt;'Sollecitazioni nel paramento'!$G$58,ABS(K1163)*'Sollecitazioni nel paramento'!$G$54,'Sollecitazioni nel paramento'!$G$53)</f>
        <v>0</v>
      </c>
      <c r="F1163" s="545">
        <f>-'Foglio deposito bis'!$F$59*(C1163-sezione!$AM$31)*IF(ABS(L1163)&lt;'Sollecitazioni nel paramento'!$G$58,ABS(L1163)*'Sollecitazioni nel paramento'!$G$54,'Sollecitazioni nel paramento'!$G$53)</f>
        <v>-8020324.3598404881</v>
      </c>
      <c r="G1163" s="545">
        <f>-'Foglio deposito bis'!$F$60*(C1163-sezione!$AN$31)*IF(ABS(M1163)&lt;'Sollecitazioni nel paramento'!$G$58,ABS(M1163)*'Sollecitazioni nel paramento'!$G$54,'Sollecitazioni nel paramento'!$G$53)</f>
        <v>0</v>
      </c>
      <c r="H1163" s="545">
        <f>-'Foglio deposito bis'!$F$61*(C1163-sezione!$AO$31)*IF(ABS(N1163)&lt;'Sollecitazioni nel paramento'!$G$58,ABS(N1163)*'Sollecitazioni nel paramento'!$G$54,'Sollecitazioni nel paramento'!$G$53)</f>
        <v>6728511.0474878438</v>
      </c>
      <c r="I1163" s="472">
        <f>-'Foglio deposito bis'!$F$62*(C1163-sezione!$AP$31)*IF(ABS(O1163)&lt;'Sollecitazioni nel paramento'!$G$58,ABS(O1163)*'Sollecitazioni nel paramento'!$G$54,'Sollecitazioni nel paramento'!$G$53)</f>
        <v>103347658.69140489</v>
      </c>
      <c r="J1163" s="472">
        <f t="shared" si="81"/>
        <v>-206447845.8676973</v>
      </c>
      <c r="K1163" s="550">
        <f>'Sollecitazioni nel paramento'!$G$60*(sezione!$AL$31-C1163)/C1163</f>
        <v>-2.3110881223686441E-3</v>
      </c>
      <c r="L1163" s="550">
        <f>'Sollecitazioni nel paramento'!$G$60*(sezione!$AM$31-C1163)/C1163</f>
        <v>-1.7166321835529663E-3</v>
      </c>
      <c r="M1163" s="551">
        <f>'Sollecitazioni nel paramento'!$G$60*(sezione!$AN$31-C1163)/C1163</f>
        <v>-1.1221762447372883E-3</v>
      </c>
      <c r="N1163" s="551">
        <f>'Sollecitazioni nel paramento'!$G$60*(sezione!$AO$31-C1163)/C1163</f>
        <v>1.2556475105254231E-3</v>
      </c>
      <c r="O1163" s="551">
        <f>'Sollecitazioni nel paramento'!$G$60*(sezione!$AP$31-C1163)/C1163</f>
        <v>9.7608087927597287E-3</v>
      </c>
      <c r="P1163" s="545">
        <f>-'Sollecitazioni nel paramento'!$G$47*'Sollecitazioni nel paramento'!$G$41*IF(DATI!$G$211="dx",DATI!$E$61,DATI!$E$64*DATI!$E$63)*1000*C1163*sezione!$AD$5</f>
        <v>-4486102.0403177226</v>
      </c>
      <c r="Q1163" s="545">
        <f>'Foglio deposito bis'!$F$58*IF(ABS(K1163)&lt;'Sollecitazioni nel paramento'!$G$58,ABS(K1163)*'Sollecitazioni nel paramento'!$G$54,'Sollecitazioni nel paramento'!$G$53)*IF(K1163&lt;0,-1,1)</f>
        <v>0</v>
      </c>
      <c r="R1163" s="545">
        <f>'Foglio deposito bis'!$F$59*IF(ABS(L1163)&lt;'Sollecitazioni nel paramento'!$G$58,ABS(L1163)*'Sollecitazioni nel paramento'!$G$54,'Sollecitazioni nel paramento'!$G$53)*IF(L1163&lt;0,-1,1)</f>
        <v>-138868.69571171945</v>
      </c>
      <c r="S1163" s="545">
        <f>'Foglio deposito bis'!$F$60*IF(ABS(M1163)&lt;'Sollecitazioni nel paramento'!$G$58,ABS(M1163)*'Sollecitazioni nel paramento'!$G$54,'Sollecitazioni nel paramento'!$G$53)*IF(M1163&lt;0,-1,1)</f>
        <v>0</v>
      </c>
      <c r="T1163" s="545">
        <f>'Foglio deposito bis'!$F$61*IF(ABS(N1163)&lt;'Sollecitazioni nel paramento'!$G$58,ABS(N1163)*'Sollecitazioni nel paramento'!$G$54,'Sollecitazioni nel paramento'!$G$53)*IF(N1163&lt;0,-1,1)</f>
        <v>159272.53938855568</v>
      </c>
      <c r="U1163" s="545">
        <f>'Foglio deposito bis'!$F$62*IF(ABS(O1163)&lt;'Sollecitazioni nel paramento'!$G$58,ABS(O1163)*'Sollecitazioni nel paramento'!$G$54,'Sollecitazioni nel paramento'!$G$53)*IF(O1163&lt;0,-1,1)</f>
        <v>314705.62929873407</v>
      </c>
      <c r="V1163" s="472">
        <f t="shared" si="83"/>
        <v>-4150992.5673421524</v>
      </c>
      <c r="W1163" s="551"/>
      <c r="X1163" s="551"/>
    </row>
    <row r="1164" spans="1:24" x14ac:dyDescent="0.25">
      <c r="A1164" s="545">
        <f t="shared" si="82"/>
        <v>4209376.2499330603</v>
      </c>
      <c r="B1164" s="3">
        <f t="shared" si="80"/>
        <v>18.099999999999959</v>
      </c>
      <c r="C1164" s="545">
        <f>'Foglio deposito bis'!$E$157/sezione!$B$247*B1164</f>
        <v>119.07042773606682</v>
      </c>
      <c r="D1164" s="603">
        <f>-'Sollecitazioni nel paramento'!$G$47*'Sollecitazioni nel paramento'!$G$41*IF(DATI!$G$211="dx",DATI!$E$61,DATI!$E$64*DATI!$E$63)*1000*C1164^2*sezione!$AD$5*(1-sezione!$AD$6)</f>
        <v>-315436142.09714925</v>
      </c>
      <c r="E1164" s="545">
        <f>-'Foglio deposito bis'!$F$58*(C1164-sezione!$AL$31)*IF(ABS(K1164)&lt;'Sollecitazioni nel paramento'!$G$58,ABS(K1164)*'Sollecitazioni nel paramento'!$G$54,'Sollecitazioni nel paramento'!$G$53)</f>
        <v>0</v>
      </c>
      <c r="F1164" s="545">
        <f>-'Foglio deposito bis'!$F$59*(C1164-sezione!$AM$31)*IF(ABS(L1164)&lt;'Sollecitazioni nel paramento'!$G$58,ABS(L1164)*'Sollecitazioni nel paramento'!$G$54,'Sollecitazioni nel paramento'!$G$53)</f>
        <v>-8297198.2671248401</v>
      </c>
      <c r="G1164" s="545">
        <f>-'Foglio deposito bis'!$F$60*(C1164-sezione!$AN$31)*IF(ABS(M1164)&lt;'Sollecitazioni nel paramento'!$G$58,ABS(M1164)*'Sollecitazioni nel paramento'!$G$54,'Sollecitazioni nel paramento'!$G$53)</f>
        <v>0</v>
      </c>
      <c r="H1164" s="545">
        <f>-'Foglio deposito bis'!$F$61*(C1164-sezione!$AO$31)*IF(ABS(N1164)&lt;'Sollecitazioni nel paramento'!$G$58,ABS(N1164)*'Sollecitazioni nel paramento'!$G$54,'Sollecitazioni nel paramento'!$G$53)</f>
        <v>6246139.898328525</v>
      </c>
      <c r="I1164" s="472">
        <f>-'Foglio deposito bis'!$F$62*(C1164-sezione!$AP$31)*IF(ABS(O1164)&lt;'Sollecitazioni nel paramento'!$G$58,ABS(O1164)*'Sollecitazioni nel paramento'!$G$54,'Sollecitazioni nel paramento'!$G$53)</f>
        <v>102933601.96332145</v>
      </c>
      <c r="J1164" s="472">
        <f t="shared" si="81"/>
        <v>-214553598.50262409</v>
      </c>
      <c r="K1164" s="550">
        <f>'Sollecitazioni nel paramento'!$G$60*(sezione!$AL$31-C1164)/C1164</f>
        <v>-2.3242252701877754E-3</v>
      </c>
      <c r="L1164" s="550">
        <f>'Sollecitazioni nel paramento'!$G$60*(sezione!$AM$31-C1164)/C1164</f>
        <v>-1.7363379052816629E-3</v>
      </c>
      <c r="M1164" s="551">
        <f>'Sollecitazioni nel paramento'!$G$60*(sezione!$AN$31-C1164)/C1164</f>
        <v>-1.1484505403755506E-3</v>
      </c>
      <c r="N1164" s="551">
        <f>'Sollecitazioni nel paramento'!$G$60*(sezione!$AO$31-C1164)/C1164</f>
        <v>1.2030989192488991E-3</v>
      </c>
      <c r="O1164" s="551">
        <f>'Sollecitazioni nel paramento'!$G$60*(sezione!$AP$31-C1164)/C1164</f>
        <v>9.6142805188065821E-3</v>
      </c>
      <c r="P1164" s="545">
        <f>-'Sollecitazioni nel paramento'!$G$47*'Sollecitazioni nel paramento'!$G$41*IF(DATI!$G$211="dx",DATI!$E$61,DATI!$E$64*DATI!$E$63)*1000*C1164*sezione!$AD$5</f>
        <v>-4536226.0854609367</v>
      </c>
      <c r="Q1164" s="545">
        <f>'Foglio deposito bis'!$F$58*IF(ABS(K1164)&lt;'Sollecitazioni nel paramento'!$G$58,ABS(K1164)*'Sollecitazioni nel paramento'!$G$54,'Sollecitazioni nel paramento'!$G$53)*IF(K1164&lt;0,-1,1)</f>
        <v>0</v>
      </c>
      <c r="R1164" s="545">
        <f>'Foglio deposito bis'!$F$59*IF(ABS(L1164)&lt;'Sollecitazioni nel paramento'!$G$58,ABS(L1164)*'Sollecitazioni nel paramento'!$G$54,'Sollecitazioni nel paramento'!$G$53)*IF(L1164&lt;0,-1,1)</f>
        <v>-140462.80999009582</v>
      </c>
      <c r="S1164" s="545">
        <f>'Foglio deposito bis'!$F$60*IF(ABS(M1164)&lt;'Sollecitazioni nel paramento'!$G$58,ABS(M1164)*'Sollecitazioni nel paramento'!$G$54,'Sollecitazioni nel paramento'!$G$53)*IF(M1164&lt;0,-1,1)</f>
        <v>0</v>
      </c>
      <c r="T1164" s="545">
        <f>'Foglio deposito bis'!$F$61*IF(ABS(N1164)&lt;'Sollecitazioni nel paramento'!$G$58,ABS(N1164)*'Sollecitazioni nel paramento'!$G$54,'Sollecitazioni nel paramento'!$G$53)*IF(N1164&lt;0,-1,1)</f>
        <v>152607.01621923799</v>
      </c>
      <c r="U1164" s="545">
        <f>'Foglio deposito bis'!$F$62*IF(ABS(O1164)&lt;'Sollecitazioni nel paramento'!$G$58,ABS(O1164)*'Sollecitazioni nel paramento'!$G$54,'Sollecitazioni nel paramento'!$G$53)*IF(O1164&lt;0,-1,1)</f>
        <v>314705.62929873407</v>
      </c>
      <c r="V1164" s="472">
        <f t="shared" si="83"/>
        <v>-4209376.2499330603</v>
      </c>
      <c r="W1164" s="551"/>
      <c r="X1164" s="551"/>
    </row>
    <row r="1165" spans="1:24" x14ac:dyDescent="0.25">
      <c r="A1165" s="545">
        <f t="shared" si="82"/>
        <v>4267579.3940005228</v>
      </c>
      <c r="B1165" s="3">
        <f t="shared" ref="B1165:B1188" si="84">B1164+0.2</f>
        <v>18.299999999999958</v>
      </c>
      <c r="C1165" s="545">
        <f>'Foglio deposito bis'!$E$157/sezione!$B$247*B1165</f>
        <v>120.386123070167</v>
      </c>
      <c r="D1165" s="603">
        <f>-'Sollecitazioni nel paramento'!$G$47*'Sollecitazioni nel paramento'!$G$41*IF(DATI!$G$211="dx",DATI!$E$61,DATI!$E$64*DATI!$E$63)*1000*C1165^2*sezione!$AD$5*(1-sezione!$AD$6)</f>
        <v>-322445620.17922014</v>
      </c>
      <c r="E1165" s="545">
        <f>-'Foglio deposito bis'!$F$58*(C1165-sezione!$AL$31)*IF(ABS(K1165)&lt;'Sollecitazioni nel paramento'!$G$58,ABS(K1165)*'Sollecitazioni nel paramento'!$G$54,'Sollecitazioni nel paramento'!$G$53)</f>
        <v>0</v>
      </c>
      <c r="F1165" s="545">
        <f>-'Foglio deposito bis'!$F$59*(C1165-sezione!$AM$31)*IF(ABS(L1165)&lt;'Sollecitazioni nel paramento'!$G$58,ABS(L1165)*'Sollecitazioni nel paramento'!$G$54,'Sollecitazioni nel paramento'!$G$53)</f>
        <v>-8576162.8160857484</v>
      </c>
      <c r="G1165" s="545">
        <f>-'Foglio deposito bis'!$F$60*(C1165-sezione!$AN$31)*IF(ABS(M1165)&lt;'Sollecitazioni nel paramento'!$G$58,ABS(M1165)*'Sollecitazioni nel paramento'!$G$54,'Sollecitazioni nel paramento'!$G$53)</f>
        <v>0</v>
      </c>
      <c r="H1165" s="545">
        <f>-'Foglio deposito bis'!$F$61*(C1165-sezione!$AO$31)*IF(ABS(N1165)&lt;'Sollecitazioni nel paramento'!$G$58,ABS(N1165)*'Sollecitazioni nel paramento'!$G$54,'Sollecitazioni nel paramento'!$G$53)</f>
        <v>5787079.8684498798</v>
      </c>
      <c r="I1165" s="472">
        <f>-'Foglio deposito bis'!$F$62*(C1165-sezione!$AP$31)*IF(ABS(O1165)&lt;'Sollecitazioni nel paramento'!$G$58,ABS(O1165)*'Sollecitazioni nel paramento'!$G$54,'Sollecitazioni nel paramento'!$G$53)</f>
        <v>102519545.23523806</v>
      </c>
      <c r="J1165" s="472">
        <f t="shared" si="81"/>
        <v>-222715157.89161795</v>
      </c>
      <c r="K1165" s="550">
        <f>'Sollecitazioni nel paramento'!$G$60*(sezione!$AL$31-C1165)/C1165</f>
        <v>-2.3370752672349031E-3</v>
      </c>
      <c r="L1165" s="550">
        <f>'Sollecitazioni nel paramento'!$G$60*(sezione!$AM$31-C1165)/C1165</f>
        <v>-1.7556129008523551E-3</v>
      </c>
      <c r="M1165" s="551">
        <f>'Sollecitazioni nel paramento'!$G$60*(sezione!$AN$31-C1165)/C1165</f>
        <v>-1.1741505344698066E-3</v>
      </c>
      <c r="N1165" s="551">
        <f>'Sollecitazioni nel paramento'!$G$60*(sezione!$AO$31-C1165)/C1165</f>
        <v>1.1516989310603866E-3</v>
      </c>
      <c r="O1165" s="551">
        <f>'Sollecitazioni nel paramento'!$G$60*(sezione!$AP$31-C1165)/C1165</f>
        <v>9.4709550486556902E-3</v>
      </c>
      <c r="P1165" s="545">
        <f>-'Sollecitazioni nel paramento'!$G$47*'Sollecitazioni nel paramento'!$G$41*IF(DATI!$G$211="dx",DATI!$E$61,DATI!$E$64*DATI!$E$63)*1000*C1165*sezione!$AD$5</f>
        <v>-4586350.1306041516</v>
      </c>
      <c r="Q1165" s="545">
        <f>'Foglio deposito bis'!$F$58*IF(ABS(K1165)&lt;'Sollecitazioni nel paramento'!$G$58,ABS(K1165)*'Sollecitazioni nel paramento'!$G$54,'Sollecitazioni nel paramento'!$G$53)*IF(K1165&lt;0,-1,1)</f>
        <v>0</v>
      </c>
      <c r="R1165" s="545">
        <f>'Foglio deposito bis'!$F$59*IF(ABS(L1165)&lt;'Sollecitazioni nel paramento'!$G$58,ABS(L1165)*'Sollecitazioni nel paramento'!$G$54,'Sollecitazioni nel paramento'!$G$53)*IF(L1165&lt;0,-1,1)</f>
        <v>-142022.08024052953</v>
      </c>
      <c r="S1165" s="545">
        <f>'Foglio deposito bis'!$F$60*IF(ABS(M1165)&lt;'Sollecitazioni nel paramento'!$G$58,ABS(M1165)*'Sollecitazioni nel paramento'!$G$54,'Sollecitazioni nel paramento'!$G$53)*IF(M1165&lt;0,-1,1)</f>
        <v>0</v>
      </c>
      <c r="T1165" s="545">
        <f>'Foglio deposito bis'!$F$61*IF(ABS(N1165)&lt;'Sollecitazioni nel paramento'!$G$58,ABS(N1165)*'Sollecitazioni nel paramento'!$G$54,'Sollecitazioni nel paramento'!$G$53)*IF(N1165&lt;0,-1,1)</f>
        <v>146087.18754542453</v>
      </c>
      <c r="U1165" s="545">
        <f>'Foglio deposito bis'!$F$62*IF(ABS(O1165)&lt;'Sollecitazioni nel paramento'!$G$58,ABS(O1165)*'Sollecitazioni nel paramento'!$G$54,'Sollecitazioni nel paramento'!$G$53)*IF(O1165&lt;0,-1,1)</f>
        <v>314705.62929873407</v>
      </c>
      <c r="V1165" s="472">
        <f t="shared" si="83"/>
        <v>-4267579.3940005228</v>
      </c>
      <c r="W1165" s="551"/>
      <c r="X1165" s="551"/>
    </row>
    <row r="1166" spans="1:24" x14ac:dyDescent="0.25">
      <c r="A1166" s="545">
        <f t="shared" si="82"/>
        <v>4325607.8548480002</v>
      </c>
      <c r="B1166" s="3">
        <f t="shared" si="84"/>
        <v>18.499999999999957</v>
      </c>
      <c r="C1166" s="545">
        <f>'Foglio deposito bis'!$E$157/sezione!$B$247*B1166</f>
        <v>121.70181840426719</v>
      </c>
      <c r="D1166" s="603">
        <f>-'Sollecitazioni nel paramento'!$G$47*'Sollecitazioni nel paramento'!$G$41*IF(DATI!$G$211="dx",DATI!$E$61,DATI!$E$64*DATI!$E$63)*1000*C1166^2*sezione!$AD$5*(1-sezione!$AD$6)</f>
        <v>-329532125.49296218</v>
      </c>
      <c r="E1166" s="545">
        <f>-'Foglio deposito bis'!$F$58*(C1166-sezione!$AL$31)*IF(ABS(K1166)&lt;'Sollecitazioni nel paramento'!$G$58,ABS(K1166)*'Sollecitazioni nel paramento'!$G$54,'Sollecitazioni nel paramento'!$G$53)</f>
        <v>0</v>
      </c>
      <c r="F1166" s="545">
        <f>-'Foglio deposito bis'!$F$59*(C1166-sezione!$AM$31)*IF(ABS(L1166)&lt;'Sollecitazioni nel paramento'!$G$58,ABS(L1166)*'Sollecitazioni nel paramento'!$G$54,'Sollecitazioni nel paramento'!$G$53)</f>
        <v>-8857150.2021283023</v>
      </c>
      <c r="G1166" s="545">
        <f>-'Foglio deposito bis'!$F$60*(C1166-sezione!$AN$31)*IF(ABS(M1166)&lt;'Sollecitazioni nel paramento'!$G$58,ABS(M1166)*'Sollecitazioni nel paramento'!$G$54,'Sollecitazioni nel paramento'!$G$53)</f>
        <v>0</v>
      </c>
      <c r="H1166" s="545">
        <f>-'Foglio deposito bis'!$F$61*(C1166-sezione!$AO$31)*IF(ABS(N1166)&lt;'Sollecitazioni nel paramento'!$G$58,ABS(N1166)*'Sollecitazioni nel paramento'!$G$54,'Sollecitazioni nel paramento'!$G$53)</f>
        <v>5350574.9215509128</v>
      </c>
      <c r="I1166" s="472">
        <f>-'Foglio deposito bis'!$F$62*(C1166-sezione!$AP$31)*IF(ABS(O1166)&lt;'Sollecitazioni nel paramento'!$G$58,ABS(O1166)*'Sollecitazioni nel paramento'!$G$54,'Sollecitazioni nel paramento'!$G$53)</f>
        <v>102105488.50715467</v>
      </c>
      <c r="J1166" s="472">
        <f t="shared" si="81"/>
        <v>-230933212.26638487</v>
      </c>
      <c r="K1166" s="550">
        <f>'Sollecitazioni nel paramento'!$G$60*(sezione!$AL$31-C1166)/C1166</f>
        <v>-2.3496474265080397E-3</v>
      </c>
      <c r="L1166" s="550">
        <f>'Sollecitazioni nel paramento'!$G$60*(sezione!$AM$31-C1166)/C1166</f>
        <v>-1.7744711397620593E-3</v>
      </c>
      <c r="M1166" s="551">
        <f>'Sollecitazioni nel paramento'!$G$60*(sezione!$AN$31-C1166)/C1166</f>
        <v>-1.1992948530160791E-3</v>
      </c>
      <c r="N1166" s="551">
        <f>'Sollecitazioni nel paramento'!$G$60*(sezione!$AO$31-C1166)/C1166</f>
        <v>1.101410293967842E-3</v>
      </c>
      <c r="O1166" s="551">
        <f>'Sollecitazioni nel paramento'!$G$60*(sezione!$AP$31-C1166)/C1166</f>
        <v>9.3307285075891443E-3</v>
      </c>
      <c r="P1166" s="545">
        <f>-'Sollecitazioni nel paramento'!$G$47*'Sollecitazioni nel paramento'!$G$41*IF(DATI!$G$211="dx",DATI!$E$61,DATI!$E$64*DATI!$E$63)*1000*C1166*sezione!$AD$5</f>
        <v>-4636474.1757473657</v>
      </c>
      <c r="Q1166" s="545">
        <f>'Foglio deposito bis'!$F$58*IF(ABS(K1166)&lt;'Sollecitazioni nel paramento'!$G$58,ABS(K1166)*'Sollecitazioni nel paramento'!$G$54,'Sollecitazioni nel paramento'!$G$53)*IF(K1166&lt;0,-1,1)</f>
        <v>0</v>
      </c>
      <c r="R1166" s="545">
        <f>'Foglio deposito bis'!$F$59*IF(ABS(L1166)&lt;'Sollecitazioni nel paramento'!$G$58,ABS(L1166)*'Sollecitazioni nel paramento'!$G$54,'Sollecitazioni nel paramento'!$G$53)*IF(L1166&lt;0,-1,1)</f>
        <v>-143547.63653960251</v>
      </c>
      <c r="S1166" s="545">
        <f>'Foglio deposito bis'!$F$60*IF(ABS(M1166)&lt;'Sollecitazioni nel paramento'!$G$58,ABS(M1166)*'Sollecitazioni nel paramento'!$G$54,'Sollecitazioni nel paramento'!$G$53)*IF(M1166&lt;0,-1,1)</f>
        <v>0</v>
      </c>
      <c r="T1166" s="545">
        <f>'Foglio deposito bis'!$F$61*IF(ABS(N1166)&lt;'Sollecitazioni nel paramento'!$G$58,ABS(N1166)*'Sollecitazioni nel paramento'!$G$54,'Sollecitazioni nel paramento'!$G$53)*IF(N1166&lt;0,-1,1)</f>
        <v>139708.32814023405</v>
      </c>
      <c r="U1166" s="545">
        <f>'Foglio deposito bis'!$F$62*IF(ABS(O1166)&lt;'Sollecitazioni nel paramento'!$G$58,ABS(O1166)*'Sollecitazioni nel paramento'!$G$54,'Sollecitazioni nel paramento'!$G$53)*IF(O1166&lt;0,-1,1)</f>
        <v>314705.62929873407</v>
      </c>
      <c r="V1166" s="472">
        <f t="shared" si="83"/>
        <v>-4325607.8548480002</v>
      </c>
      <c r="W1166" s="551"/>
      <c r="X1166" s="551"/>
    </row>
    <row r="1167" spans="1:24" x14ac:dyDescent="0.25">
      <c r="A1167" s="545">
        <f t="shared" si="82"/>
        <v>4383467.237284692</v>
      </c>
      <c r="B1167" s="3">
        <f t="shared" si="84"/>
        <v>18.699999999999957</v>
      </c>
      <c r="C1167" s="545">
        <f>'Foglio deposito bis'!$E$157/sezione!$B$247*B1167</f>
        <v>123.01751373836737</v>
      </c>
      <c r="D1167" s="603">
        <f>-'Sollecitazioni nel paramento'!$G$47*'Sollecitazioni nel paramento'!$G$41*IF(DATI!$G$211="dx",DATI!$E$61,DATI!$E$64*DATI!$E$63)*1000*C1167^2*sezione!$AD$5*(1-sezione!$AD$6)</f>
        <v>-336695658.03837526</v>
      </c>
      <c r="E1167" s="545">
        <f>-'Foglio deposito bis'!$F$58*(C1167-sezione!$AL$31)*IF(ABS(K1167)&lt;'Sollecitazioni nel paramento'!$G$58,ABS(K1167)*'Sollecitazioni nel paramento'!$G$54,'Sollecitazioni nel paramento'!$G$53)</f>
        <v>0</v>
      </c>
      <c r="F1167" s="545">
        <f>-'Foglio deposito bis'!$F$59*(C1167-sezione!$AM$31)*IF(ABS(L1167)&lt;'Sollecitazioni nel paramento'!$G$58,ABS(L1167)*'Sollecitazioni nel paramento'!$G$54,'Sollecitazioni nel paramento'!$G$53)</f>
        <v>-9140095.5213889163</v>
      </c>
      <c r="G1167" s="545">
        <f>-'Foglio deposito bis'!$F$60*(C1167-sezione!$AN$31)*IF(ABS(M1167)&lt;'Sollecitazioni nel paramento'!$G$58,ABS(M1167)*'Sollecitazioni nel paramento'!$G$54,'Sollecitazioni nel paramento'!$G$53)</f>
        <v>0</v>
      </c>
      <c r="H1167" s="545">
        <f>-'Foglio deposito bis'!$F$61*(C1167-sezione!$AO$31)*IF(ABS(N1167)&lt;'Sollecitazioni nel paramento'!$G$58,ABS(N1167)*'Sollecitazioni nel paramento'!$G$54,'Sollecitazioni nel paramento'!$G$53)</f>
        <v>4935901.3651296049</v>
      </c>
      <c r="I1167" s="472">
        <f>-'Foglio deposito bis'!$F$62*(C1167-sezione!$AP$31)*IF(ABS(O1167)&lt;'Sollecitazioni nel paramento'!$G$58,ABS(O1167)*'Sollecitazioni nel paramento'!$G$54,'Sollecitazioni nel paramento'!$G$53)</f>
        <v>101691431.77907126</v>
      </c>
      <c r="J1167" s="472">
        <f t="shared" si="81"/>
        <v>-239208420.41556329</v>
      </c>
      <c r="K1167" s="550">
        <f>'Sollecitazioni nel paramento'!$G$60*(sezione!$AL$31-C1167)/C1167</f>
        <v>-2.3619506625881677E-3</v>
      </c>
      <c r="L1167" s="550">
        <f>'Sollecitazioni nel paramento'!$G$60*(sezione!$AM$31-C1167)/C1167</f>
        <v>-1.7929259938822511E-3</v>
      </c>
      <c r="M1167" s="551">
        <f>'Sollecitazioni nel paramento'!$G$60*(sezione!$AN$31-C1167)/C1167</f>
        <v>-1.223901325176335E-3</v>
      </c>
      <c r="N1167" s="551">
        <f>'Sollecitazioni nel paramento'!$G$60*(sezione!$AO$31-C1167)/C1167</f>
        <v>1.0521973496473306E-3</v>
      </c>
      <c r="O1167" s="551">
        <f>'Sollecitazioni nel paramento'!$G$60*(sezione!$AP$31-C1167)/C1167</f>
        <v>9.1935014647272269E-3</v>
      </c>
      <c r="P1167" s="545">
        <f>-'Sollecitazioni nel paramento'!$G$47*'Sollecitazioni nel paramento'!$G$41*IF(DATI!$G$211="dx",DATI!$E$61,DATI!$E$64*DATI!$E$63)*1000*C1167*sezione!$AD$5</f>
        <v>-4686598.2208905807</v>
      </c>
      <c r="Q1167" s="545">
        <f>'Foglio deposito bis'!$F$58*IF(ABS(K1167)&lt;'Sollecitazioni nel paramento'!$G$58,ABS(K1167)*'Sollecitazioni nel paramento'!$G$54,'Sollecitazioni nel paramento'!$G$53)*IF(K1167&lt;0,-1,1)</f>
        <v>0</v>
      </c>
      <c r="R1167" s="545">
        <f>'Foglio deposito bis'!$F$59*IF(ABS(L1167)&lt;'Sollecitazioni nel paramento'!$G$58,ABS(L1167)*'Sollecitazioni nel paramento'!$G$54,'Sollecitazioni nel paramento'!$G$53)*IF(L1167&lt;0,-1,1)</f>
        <v>-145040.56061837444</v>
      </c>
      <c r="S1167" s="545">
        <f>'Foglio deposito bis'!$F$60*IF(ABS(M1167)&lt;'Sollecitazioni nel paramento'!$G$58,ABS(M1167)*'Sollecitazioni nel paramento'!$G$54,'Sollecitazioni nel paramento'!$G$53)*IF(M1167&lt;0,-1,1)</f>
        <v>0</v>
      </c>
      <c r="T1167" s="545">
        <f>'Foglio deposito bis'!$F$61*IF(ABS(N1167)&lt;'Sollecitazioni nel paramento'!$G$58,ABS(N1167)*'Sollecitazioni nel paramento'!$G$54,'Sollecitazioni nel paramento'!$G$53)*IF(N1167&lt;0,-1,1)</f>
        <v>133465.91492552898</v>
      </c>
      <c r="U1167" s="545">
        <f>'Foglio deposito bis'!$F$62*IF(ABS(O1167)&lt;'Sollecitazioni nel paramento'!$G$58,ABS(O1167)*'Sollecitazioni nel paramento'!$G$54,'Sollecitazioni nel paramento'!$G$53)*IF(O1167&lt;0,-1,1)</f>
        <v>314705.62929873407</v>
      </c>
      <c r="V1167" s="472">
        <f t="shared" si="83"/>
        <v>-4383467.237284692</v>
      </c>
      <c r="W1167" s="551"/>
      <c r="X1167" s="551"/>
    </row>
    <row r="1168" spans="1:24" x14ac:dyDescent="0.25">
      <c r="A1168" s="545">
        <f t="shared" si="82"/>
        <v>4441162.9088791935</v>
      </c>
      <c r="B1168" s="3">
        <f t="shared" si="84"/>
        <v>18.899999999999956</v>
      </c>
      <c r="C1168" s="545">
        <f>'Foglio deposito bis'!$E$157/sezione!$B$247*B1168</f>
        <v>124.33320907246755</v>
      </c>
      <c r="D1168" s="603">
        <f>-'Sollecitazioni nel paramento'!$G$47*'Sollecitazioni nel paramento'!$G$41*IF(DATI!$G$211="dx",DATI!$E$61,DATI!$E$64*DATI!$E$63)*1000*C1168^2*sezione!$AD$5*(1-sezione!$AD$6)</f>
        <v>-343936217.81545943</v>
      </c>
      <c r="E1168" s="545">
        <f>-'Foglio deposito bis'!$F$58*(C1168-sezione!$AL$31)*IF(ABS(K1168)&lt;'Sollecitazioni nel paramento'!$G$58,ABS(K1168)*'Sollecitazioni nel paramento'!$G$54,'Sollecitazioni nel paramento'!$G$53)</f>
        <v>0</v>
      </c>
      <c r="F1168" s="545">
        <f>-'Foglio deposito bis'!$F$59*(C1168-sezione!$AM$31)*IF(ABS(L1168)&lt;'Sollecitazioni nel paramento'!$G$58,ABS(L1168)*'Sollecitazioni nel paramento'!$G$54,'Sollecitazioni nel paramento'!$G$53)</f>
        <v>-9424936.6172574963</v>
      </c>
      <c r="G1168" s="545">
        <f>-'Foglio deposito bis'!$F$60*(C1168-sezione!$AN$31)*IF(ABS(M1168)&lt;'Sollecitazioni nel paramento'!$G$58,ABS(M1168)*'Sollecitazioni nel paramento'!$G$54,'Sollecitazioni nel paramento'!$G$53)</f>
        <v>0</v>
      </c>
      <c r="H1168" s="545">
        <f>-'Foglio deposito bis'!$F$61*(C1168-sezione!$AO$31)*IF(ABS(N1168)&lt;'Sollecitazioni nel paramento'!$G$58,ABS(N1168)*'Sollecitazioni nel paramento'!$G$54,'Sollecitazioni nel paramento'!$G$53)</f>
        <v>4542366.1391707882</v>
      </c>
      <c r="I1168" s="472">
        <f>-'Foglio deposito bis'!$F$62*(C1168-sezione!$AP$31)*IF(ABS(O1168)&lt;'Sollecitazioni nel paramento'!$G$58,ABS(O1168)*'Sollecitazioni nel paramento'!$G$54,'Sollecitazioni nel paramento'!$G$53)</f>
        <v>101277375.05098784</v>
      </c>
      <c r="J1168" s="472">
        <f t="shared" si="81"/>
        <v>-247541413.2425583</v>
      </c>
      <c r="K1168" s="550">
        <f>'Sollecitazioni nel paramento'!$G$60*(sezione!$AL$31-C1168)/C1168</f>
        <v>-2.3739935127195097E-3</v>
      </c>
      <c r="L1168" s="550">
        <f>'Sollecitazioni nel paramento'!$G$60*(sezione!$AM$31-C1168)/C1168</f>
        <v>-1.8109902690792645E-3</v>
      </c>
      <c r="M1168" s="551">
        <f>'Sollecitazioni nel paramento'!$G$60*(sezione!$AN$31-C1168)/C1168</f>
        <v>-1.247987025439019E-3</v>
      </c>
      <c r="N1168" s="551">
        <f>'Sollecitazioni nel paramento'!$G$60*(sezione!$AO$31-C1168)/C1168</f>
        <v>1.004025949121962E-3</v>
      </c>
      <c r="O1168" s="551">
        <f>'Sollecitazioni nel paramento'!$G$60*(sezione!$AP$31-C1168)/C1168</f>
        <v>9.059178697904716E-3</v>
      </c>
      <c r="P1168" s="545">
        <f>-'Sollecitazioni nel paramento'!$G$47*'Sollecitazioni nel paramento'!$G$41*IF(DATI!$G$211="dx",DATI!$E$61,DATI!$E$64*DATI!$E$63)*1000*C1168*sezione!$AD$5</f>
        <v>-4736722.2660337957</v>
      </c>
      <c r="Q1168" s="545">
        <f>'Foglio deposito bis'!$F$58*IF(ABS(K1168)&lt;'Sollecitazioni nel paramento'!$G$58,ABS(K1168)*'Sollecitazioni nel paramento'!$G$54,'Sollecitazioni nel paramento'!$G$53)*IF(K1168&lt;0,-1,1)</f>
        <v>0</v>
      </c>
      <c r="R1168" s="545">
        <f>'Foglio deposito bis'!$F$59*IF(ABS(L1168)&lt;'Sollecitazioni nel paramento'!$G$58,ABS(L1168)*'Sollecitazioni nel paramento'!$G$54,'Sollecitazioni nel paramento'!$G$53)*IF(L1168&lt;0,-1,1)</f>
        <v>-146501.88842034701</v>
      </c>
      <c r="S1168" s="545">
        <f>'Foglio deposito bis'!$F$60*IF(ABS(M1168)&lt;'Sollecitazioni nel paramento'!$G$58,ABS(M1168)*'Sollecitazioni nel paramento'!$G$54,'Sollecitazioni nel paramento'!$G$53)*IF(M1168&lt;0,-1,1)</f>
        <v>0</v>
      </c>
      <c r="T1168" s="545">
        <f>'Foglio deposito bis'!$F$61*IF(ABS(N1168)&lt;'Sollecitazioni nel paramento'!$G$58,ABS(N1168)*'Sollecitazioni nel paramento'!$G$54,'Sollecitazioni nel paramento'!$G$53)*IF(N1168&lt;0,-1,1)</f>
        <v>127355.61627621442</v>
      </c>
      <c r="U1168" s="545">
        <f>'Foglio deposito bis'!$F$62*IF(ABS(O1168)&lt;'Sollecitazioni nel paramento'!$G$58,ABS(O1168)*'Sollecitazioni nel paramento'!$G$54,'Sollecitazioni nel paramento'!$G$53)*IF(O1168&lt;0,-1,1)</f>
        <v>314705.62929873407</v>
      </c>
      <c r="V1168" s="472">
        <f t="shared" si="83"/>
        <v>-4441162.9088791935</v>
      </c>
      <c r="W1168" s="551"/>
      <c r="X1168" s="551"/>
    </row>
    <row r="1169" spans="1:24" x14ac:dyDescent="0.25">
      <c r="A1169" s="545">
        <f t="shared" si="82"/>
        <v>4498700.0123804742</v>
      </c>
      <c r="B1169" s="3">
        <f t="shared" si="84"/>
        <v>19.099999999999955</v>
      </c>
      <c r="C1169" s="545">
        <f>'Foglio deposito bis'!$E$157/sezione!$B$247*B1169</f>
        <v>125.64890440656774</v>
      </c>
      <c r="D1169" s="603">
        <f>-'Sollecitazioni nel paramento'!$G$47*'Sollecitazioni nel paramento'!$G$41*IF(DATI!$G$211="dx",DATI!$E$61,DATI!$E$64*DATI!$E$63)*1000*C1169^2*sezione!$AD$5*(1-sezione!$AD$6)</f>
        <v>-351253804.82421482</v>
      </c>
      <c r="E1169" s="545">
        <f>-'Foglio deposito bis'!$F$58*(C1169-sezione!$AL$31)*IF(ABS(K1169)&lt;'Sollecitazioni nel paramento'!$G$58,ABS(K1169)*'Sollecitazioni nel paramento'!$G$54,'Sollecitazioni nel paramento'!$G$53)</f>
        <v>0</v>
      </c>
      <c r="F1169" s="545">
        <f>-'Foglio deposito bis'!$F$59*(C1169-sezione!$AM$31)*IF(ABS(L1169)&lt;'Sollecitazioni nel paramento'!$G$58,ABS(L1169)*'Sollecitazioni nel paramento'!$G$54,'Sollecitazioni nel paramento'!$G$53)</f>
        <v>-9711613.9365421664</v>
      </c>
      <c r="G1169" s="545">
        <f>-'Foglio deposito bis'!$F$60*(C1169-sezione!$AN$31)*IF(ABS(M1169)&lt;'Sollecitazioni nel paramento'!$G$58,ABS(M1169)*'Sollecitazioni nel paramento'!$G$54,'Sollecitazioni nel paramento'!$G$53)</f>
        <v>0</v>
      </c>
      <c r="H1169" s="545">
        <f>-'Foglio deposito bis'!$F$61*(C1169-sezione!$AO$31)*IF(ABS(N1169)&lt;'Sollecitazioni nel paramento'!$G$58,ABS(N1169)*'Sollecitazioni nel paramento'!$G$54,'Sollecitazioni nel paramento'!$G$53)</f>
        <v>4169305.2123510372</v>
      </c>
      <c r="I1169" s="472">
        <f>-'Foglio deposito bis'!$F$62*(C1169-sezione!$AP$31)*IF(ABS(O1169)&lt;'Sollecitazioni nel paramento'!$G$58,ABS(O1169)*'Sollecitazioni nel paramento'!$G$54,'Sollecitazioni nel paramento'!$G$53)</f>
        <v>100863318.32290444</v>
      </c>
      <c r="J1169" s="472">
        <f t="shared" si="81"/>
        <v>-255932795.22550151</v>
      </c>
      <c r="K1169" s="550">
        <f>'Sollecitazioni nel paramento'!$G$60*(sezione!$AL$31-C1169)/C1169</f>
        <v>-2.3857841565653785E-3</v>
      </c>
      <c r="L1169" s="550">
        <f>'Sollecitazioni nel paramento'!$G$60*(sezione!$AM$31-C1169)/C1169</f>
        <v>-1.8286762348480679E-3</v>
      </c>
      <c r="M1169" s="551">
        <f>'Sollecitazioni nel paramento'!$G$60*(sezione!$AN$31-C1169)/C1169</f>
        <v>-1.271568313130757E-3</v>
      </c>
      <c r="N1169" s="551">
        <f>'Sollecitazioni nel paramento'!$G$60*(sezione!$AO$31-C1169)/C1169</f>
        <v>9.5686337373848598E-4</v>
      </c>
      <c r="O1169" s="551">
        <f>'Sollecitazioni nel paramento'!$G$60*(sezione!$AP$31-C1169)/C1169</f>
        <v>8.9276689733193276E-3</v>
      </c>
      <c r="P1169" s="545">
        <f>-'Sollecitazioni nel paramento'!$G$47*'Sollecitazioni nel paramento'!$G$41*IF(DATI!$G$211="dx",DATI!$E$61,DATI!$E$64*DATI!$E$63)*1000*C1169*sezione!$AD$5</f>
        <v>-4786846.3111770097</v>
      </c>
      <c r="Q1169" s="545">
        <f>'Foglio deposito bis'!$F$58*IF(ABS(K1169)&lt;'Sollecitazioni nel paramento'!$G$58,ABS(K1169)*'Sollecitazioni nel paramento'!$G$54,'Sollecitazioni nel paramento'!$G$53)*IF(K1169&lt;0,-1,1)</f>
        <v>0</v>
      </c>
      <c r="R1169" s="545">
        <f>'Foglio deposito bis'!$F$59*IF(ABS(L1169)&lt;'Sollecitazioni nel paramento'!$G$58,ABS(L1169)*'Sollecitazioni nel paramento'!$G$54,'Sollecitazioni nel paramento'!$G$53)*IF(L1169&lt;0,-1,1)</f>
        <v>-147932.61249871802</v>
      </c>
      <c r="S1169" s="545">
        <f>'Foglio deposito bis'!$F$60*IF(ABS(M1169)&lt;'Sollecitazioni nel paramento'!$G$58,ABS(M1169)*'Sollecitazioni nel paramento'!$G$54,'Sollecitazioni nel paramento'!$G$53)*IF(M1169&lt;0,-1,1)</f>
        <v>0</v>
      </c>
      <c r="T1169" s="545">
        <f>'Foglio deposito bis'!$F$61*IF(ABS(N1169)&lt;'Sollecitazioni nel paramento'!$G$58,ABS(N1169)*'Sollecitazioni nel paramento'!$G$54,'Sollecitazioni nel paramento'!$G$53)*IF(N1169&lt;0,-1,1)</f>
        <v>121373.28199651904</v>
      </c>
      <c r="U1169" s="545">
        <f>'Foglio deposito bis'!$F$62*IF(ABS(O1169)&lt;'Sollecitazioni nel paramento'!$G$58,ABS(O1169)*'Sollecitazioni nel paramento'!$G$54,'Sollecitazioni nel paramento'!$G$53)*IF(O1169&lt;0,-1,1)</f>
        <v>314705.62929873407</v>
      </c>
      <c r="V1169" s="472">
        <f t="shared" si="83"/>
        <v>-4498700.0123804742</v>
      </c>
      <c r="W1169" s="551"/>
      <c r="X1169" s="551"/>
    </row>
    <row r="1170" spans="1:24" x14ac:dyDescent="0.25">
      <c r="A1170" s="545">
        <f t="shared" si="82"/>
        <v>4556083.477366562</v>
      </c>
      <c r="B1170" s="3">
        <f t="shared" si="84"/>
        <v>19.299999999999955</v>
      </c>
      <c r="C1170" s="545">
        <f>'Foglio deposito bis'!$E$157/sezione!$B$247*B1170</f>
        <v>126.96459974066792</v>
      </c>
      <c r="D1170" s="603">
        <f>-'Sollecitazioni nel paramento'!$G$47*'Sollecitazioni nel paramento'!$G$41*IF(DATI!$G$211="dx",DATI!$E$61,DATI!$E$64*DATI!$E$63)*1000*C1170^2*sezione!$AD$5*(1-sezione!$AD$6)</f>
        <v>-358648419.06464124</v>
      </c>
      <c r="E1170" s="545">
        <f>-'Foglio deposito bis'!$F$58*(C1170-sezione!$AL$31)*IF(ABS(K1170)&lt;'Sollecitazioni nel paramento'!$G$58,ABS(K1170)*'Sollecitazioni nel paramento'!$G$54,'Sollecitazioni nel paramento'!$G$53)</f>
        <v>0</v>
      </c>
      <c r="F1170" s="545">
        <f>-'Foglio deposito bis'!$F$59*(C1170-sezione!$AM$31)*IF(ABS(L1170)&lt;'Sollecitazioni nel paramento'!$G$58,ABS(L1170)*'Sollecitazioni nel paramento'!$G$54,'Sollecitazioni nel paramento'!$G$53)</f>
        <v>-10000070.394577144</v>
      </c>
      <c r="G1170" s="545">
        <f>-'Foglio deposito bis'!$F$60*(C1170-sezione!$AN$31)*IF(ABS(M1170)&lt;'Sollecitazioni nel paramento'!$G$58,ABS(M1170)*'Sollecitazioni nel paramento'!$G$54,'Sollecitazioni nel paramento'!$G$53)</f>
        <v>0</v>
      </c>
      <c r="H1170" s="545">
        <f>-'Foglio deposito bis'!$F$61*(C1170-sezione!$AO$31)*IF(ABS(N1170)&lt;'Sollecitazioni nel paramento'!$G$58,ABS(N1170)*'Sollecitazioni nel paramento'!$G$54,'Sollecitazioni nel paramento'!$G$53)</f>
        <v>3816082.0779613629</v>
      </c>
      <c r="I1170" s="472">
        <f>-'Foglio deposito bis'!$F$62*(C1170-sezione!$AP$31)*IF(ABS(O1170)&lt;'Sollecitazioni nel paramento'!$G$58,ABS(O1170)*'Sollecitazioni nel paramento'!$G$54,'Sollecitazioni nel paramento'!$G$53)</f>
        <v>100449261.59482105</v>
      </c>
      <c r="J1170" s="472">
        <f t="shared" si="81"/>
        <v>-264383145.78643596</v>
      </c>
      <c r="K1170" s="550">
        <f>'Sollecitazioni nel paramento'!$G$60*(sezione!$AL$31-C1170)/C1170</f>
        <v>-2.3973304347356854E-3</v>
      </c>
      <c r="L1170" s="550">
        <f>'Sollecitazioni nel paramento'!$G$60*(sezione!$AM$31-C1170)/C1170</f>
        <v>-1.8459956521035281E-3</v>
      </c>
      <c r="M1170" s="551">
        <f>'Sollecitazioni nel paramento'!$G$60*(sezione!$AN$31-C1170)/C1170</f>
        <v>-1.2946608694713708E-3</v>
      </c>
      <c r="N1170" s="551">
        <f>'Sollecitazioni nel paramento'!$G$60*(sezione!$AO$31-C1170)/C1170</f>
        <v>9.1067826105725822E-4</v>
      </c>
      <c r="O1170" s="551">
        <f>'Sollecitazioni nel paramento'!$G$60*(sezione!$AP$31-C1170)/C1170</f>
        <v>8.7988848388807859E-3</v>
      </c>
      <c r="P1170" s="545">
        <f>-'Sollecitazioni nel paramento'!$G$47*'Sollecitazioni nel paramento'!$G$41*IF(DATI!$G$211="dx",DATI!$E$61,DATI!$E$64*DATI!$E$63)*1000*C1170*sezione!$AD$5</f>
        <v>-4836970.3563202247</v>
      </c>
      <c r="Q1170" s="545">
        <f>'Foglio deposito bis'!$F$58*IF(ABS(K1170)&lt;'Sollecitazioni nel paramento'!$G$58,ABS(K1170)*'Sollecitazioni nel paramento'!$G$54,'Sollecitazioni nel paramento'!$G$53)*IF(K1170&lt;0,-1,1)</f>
        <v>0</v>
      </c>
      <c r="R1170" s="545">
        <f>'Foglio deposito bis'!$F$59*IF(ABS(L1170)&lt;'Sollecitazioni nel paramento'!$G$58,ABS(L1170)*'Sollecitazioni nel paramento'!$G$54,'Sollecitazioni nel paramento'!$G$53)*IF(L1170&lt;0,-1,1)</f>
        <v>-149333.68426458395</v>
      </c>
      <c r="S1170" s="545">
        <f>'Foglio deposito bis'!$F$60*IF(ABS(M1170)&lt;'Sollecitazioni nel paramento'!$G$58,ABS(M1170)*'Sollecitazioni nel paramento'!$G$54,'Sollecitazioni nel paramento'!$G$53)*IF(M1170&lt;0,-1,1)</f>
        <v>0</v>
      </c>
      <c r="T1170" s="545">
        <f>'Foglio deposito bis'!$F$61*IF(ABS(N1170)&lt;'Sollecitazioni nel paramento'!$G$58,ABS(N1170)*'Sollecitazioni nel paramento'!$G$54,'Sollecitazioni nel paramento'!$G$53)*IF(N1170&lt;0,-1,1)</f>
        <v>115514.93391951165</v>
      </c>
      <c r="U1170" s="545">
        <f>'Foglio deposito bis'!$F$62*IF(ABS(O1170)&lt;'Sollecitazioni nel paramento'!$G$58,ABS(O1170)*'Sollecitazioni nel paramento'!$G$54,'Sollecitazioni nel paramento'!$G$53)*IF(O1170&lt;0,-1,1)</f>
        <v>314705.62929873407</v>
      </c>
      <c r="V1170" s="472">
        <f t="shared" si="83"/>
        <v>-4556083.477366562</v>
      </c>
      <c r="W1170" s="551"/>
      <c r="X1170" s="551"/>
    </row>
    <row r="1171" spans="1:24" x14ac:dyDescent="0.25">
      <c r="A1171" s="545">
        <f t="shared" si="82"/>
        <v>4613318.0311763873</v>
      </c>
      <c r="B1171" s="3">
        <f t="shared" si="84"/>
        <v>19.499999999999954</v>
      </c>
      <c r="C1171" s="545">
        <f>'Foglio deposito bis'!$E$157/sezione!$B$247*B1171</f>
        <v>128.28029507476811</v>
      </c>
      <c r="D1171" s="603">
        <f>-'Sollecitazioni nel paramento'!$G$47*'Sollecitazioni nel paramento'!$G$41*IF(DATI!$G$211="dx",DATI!$E$61,DATI!$E$64*DATI!$E$63)*1000*C1171^2*sezione!$AD$5*(1-sezione!$AD$6)</f>
        <v>-366120060.53673875</v>
      </c>
      <c r="E1171" s="545">
        <f>-'Foglio deposito bis'!$F$58*(C1171-sezione!$AL$31)*IF(ABS(K1171)&lt;'Sollecitazioni nel paramento'!$G$58,ABS(K1171)*'Sollecitazioni nel paramento'!$G$54,'Sollecitazioni nel paramento'!$G$53)</f>
        <v>0</v>
      </c>
      <c r="F1171" s="545">
        <f>-'Foglio deposito bis'!$F$59*(C1171-sezione!$AM$31)*IF(ABS(L1171)&lt;'Sollecitazioni nel paramento'!$G$58,ABS(L1171)*'Sollecitazioni nel paramento'!$G$54,'Sollecitazioni nel paramento'!$G$53)</f>
        <v>-10290251.248631647</v>
      </c>
      <c r="G1171" s="545">
        <f>-'Foglio deposito bis'!$F$60*(C1171-sezione!$AN$31)*IF(ABS(M1171)&lt;'Sollecitazioni nel paramento'!$G$58,ABS(M1171)*'Sollecitazioni nel paramento'!$G$54,'Sollecitazioni nel paramento'!$G$53)</f>
        <v>0</v>
      </c>
      <c r="H1171" s="545">
        <f>-'Foglio deposito bis'!$F$61*(C1171-sezione!$AO$31)*IF(ABS(N1171)&lt;'Sollecitazioni nel paramento'!$G$58,ABS(N1171)*'Sollecitazioni nel paramento'!$G$54,'Sollecitazioni nel paramento'!$G$53)</f>
        <v>3482086.342388534</v>
      </c>
      <c r="I1171" s="472">
        <f>-'Foglio deposito bis'!$F$62*(C1171-sezione!$AP$31)*IF(ABS(O1171)&lt;'Sollecitazioni nel paramento'!$G$58,ABS(O1171)*'Sollecitazioni nel paramento'!$G$54,'Sollecitazioni nel paramento'!$G$53)</f>
        <v>100035204.86673762</v>
      </c>
      <c r="J1171" s="472">
        <f t="shared" si="81"/>
        <v>-272893020.57624429</v>
      </c>
      <c r="K1171" s="550">
        <f>'Sollecitazioni nel paramento'!$G$60*(sezione!$AL$31-C1171)/C1171</f>
        <v>-2.4086398661742939E-3</v>
      </c>
      <c r="L1171" s="550">
        <f>'Sollecitazioni nel paramento'!$G$60*(sezione!$AM$31-C1171)/C1171</f>
        <v>-1.8629597992614406E-3</v>
      </c>
      <c r="M1171" s="551">
        <f>'Sollecitazioni nel paramento'!$G$60*(sezione!$AN$31-C1171)/C1171</f>
        <v>-1.3172797323485878E-3</v>
      </c>
      <c r="N1171" s="551">
        <f>'Sollecitazioni nel paramento'!$G$60*(sezione!$AO$31-C1171)/C1171</f>
        <v>8.6544053530282483E-4</v>
      </c>
      <c r="O1171" s="551">
        <f>'Sollecitazioni nel paramento'!$G$60*(sezione!$AP$31-C1171)/C1171</f>
        <v>8.672742430276879E-3</v>
      </c>
      <c r="P1171" s="545">
        <f>-'Sollecitazioni nel paramento'!$G$47*'Sollecitazioni nel paramento'!$G$41*IF(DATI!$G$211="dx",DATI!$E$61,DATI!$E$64*DATI!$E$63)*1000*C1171*sezione!$AD$5</f>
        <v>-4887094.4014634397</v>
      </c>
      <c r="Q1171" s="545">
        <f>'Foglio deposito bis'!$F$58*IF(ABS(K1171)&lt;'Sollecitazioni nel paramento'!$G$58,ABS(K1171)*'Sollecitazioni nel paramento'!$G$54,'Sollecitazioni nel paramento'!$G$53)*IF(K1171&lt;0,-1,1)</f>
        <v>0</v>
      </c>
      <c r="R1171" s="545">
        <f>'Foglio deposito bis'!$F$59*IF(ABS(L1171)&lt;'Sollecitazioni nel paramento'!$G$58,ABS(L1171)*'Sollecitazioni nel paramento'!$G$54,'Sollecitazioni nel paramento'!$G$53)*IF(L1171&lt;0,-1,1)</f>
        <v>-150706.01609679108</v>
      </c>
      <c r="S1171" s="545">
        <f>'Foglio deposito bis'!$F$60*IF(ABS(M1171)&lt;'Sollecitazioni nel paramento'!$G$58,ABS(M1171)*'Sollecitazioni nel paramento'!$G$54,'Sollecitazioni nel paramento'!$G$53)*IF(M1171&lt;0,-1,1)</f>
        <v>0</v>
      </c>
      <c r="T1171" s="545">
        <f>'Foglio deposito bis'!$F$61*IF(ABS(N1171)&lt;'Sollecitazioni nel paramento'!$G$58,ABS(N1171)*'Sollecitazioni nel paramento'!$G$54,'Sollecitazioni nel paramento'!$G$53)*IF(N1171&lt;0,-1,1)</f>
        <v>109776.75708510952</v>
      </c>
      <c r="U1171" s="545">
        <f>'Foglio deposito bis'!$F$62*IF(ABS(O1171)&lt;'Sollecitazioni nel paramento'!$G$58,ABS(O1171)*'Sollecitazioni nel paramento'!$G$54,'Sollecitazioni nel paramento'!$G$53)*IF(O1171&lt;0,-1,1)</f>
        <v>314705.62929873407</v>
      </c>
      <c r="V1171" s="472">
        <f t="shared" si="83"/>
        <v>-4613318.0311763873</v>
      </c>
      <c r="W1171" s="551"/>
      <c r="X1171" s="551"/>
    </row>
    <row r="1172" spans="1:24" x14ac:dyDescent="0.25">
      <c r="A1172" s="545">
        <f t="shared" si="82"/>
        <v>4672022.5839084759</v>
      </c>
      <c r="B1172" s="3">
        <f t="shared" si="84"/>
        <v>19.699999999999953</v>
      </c>
      <c r="C1172" s="545">
        <f>'Foglio deposito bis'!$E$157/sezione!$B$247*B1172</f>
        <v>129.59599040886829</v>
      </c>
      <c r="D1172" s="603">
        <f>-'Sollecitazioni nel paramento'!$G$47*'Sollecitazioni nel paramento'!$G$41*IF(DATI!$G$211="dx",DATI!$E$61,DATI!$E$64*DATI!$E$63)*1000*C1172^2*sezione!$AD$5*(1-sezione!$AD$6)</f>
        <v>-373668729.24050736</v>
      </c>
      <c r="E1172" s="545">
        <f>-'Foglio deposito bis'!$F$58*(C1172-sezione!$AL$31)*IF(ABS(K1172)&lt;'Sollecitazioni nel paramento'!$G$58,ABS(K1172)*'Sollecitazioni nel paramento'!$G$54,'Sollecitazioni nel paramento'!$G$53)</f>
        <v>0</v>
      </c>
      <c r="F1172" s="545">
        <f>-'Foglio deposito bis'!$F$59*(C1172-sezione!$AM$31)*IF(ABS(L1172)&lt;'Sollecitazioni nel paramento'!$G$58,ABS(L1172)*'Sollecitazioni nel paramento'!$G$54,'Sollecitazioni nel paramento'!$G$53)</f>
        <v>-10694457.987447048</v>
      </c>
      <c r="G1172" s="545">
        <f>-'Foglio deposito bis'!$F$60*(C1172-sezione!$AN$31)*IF(ABS(M1172)&lt;'Sollecitazioni nel paramento'!$G$58,ABS(M1172)*'Sollecitazioni nel paramento'!$G$54,'Sollecitazioni nel paramento'!$G$53)</f>
        <v>0</v>
      </c>
      <c r="H1172" s="545">
        <f>-'Foglio deposito bis'!$F$61*(C1172-sezione!$AO$31)*IF(ABS(N1172)&lt;'Sollecitazioni nel paramento'!$G$58,ABS(N1172)*'Sollecitazioni nel paramento'!$G$54,'Sollecitazioni nel paramento'!$G$53)</f>
        <v>3166732.3995772153</v>
      </c>
      <c r="I1172" s="472">
        <f>-'Foglio deposito bis'!$F$62*(C1172-sezione!$AP$31)*IF(ABS(O1172)&lt;'Sollecitazioni nel paramento'!$G$58,ABS(O1172)*'Sollecitazioni nel paramento'!$G$54,'Sollecitazioni nel paramento'!$G$53)</f>
        <v>99621148.138654202</v>
      </c>
      <c r="J1172" s="472">
        <f t="shared" si="81"/>
        <v>-281575306.68972301</v>
      </c>
      <c r="K1172" s="550">
        <f>'Sollecitazioni nel paramento'!$G$60*(sezione!$AL$31-C1172)/C1172</f>
        <v>-2.4197196644872455E-3</v>
      </c>
      <c r="L1172" s="550">
        <f>'Sollecitazioni nel paramento'!$G$60*(sezione!$AM$31-C1172)/C1172</f>
        <v>-1.8795794967308677E-3</v>
      </c>
      <c r="M1172" s="551">
        <f>'Sollecitazioni nel paramento'!$G$60*(sezione!$AN$31-C1172)/C1172</f>
        <v>-1.3394393289744902E-3</v>
      </c>
      <c r="N1172" s="551">
        <f>'Sollecitazioni nel paramento'!$G$60*(sezione!$AO$31-C1172)/C1172</f>
        <v>8.2112134205101963E-4</v>
      </c>
      <c r="O1172" s="551">
        <f>'Sollecitazioni nel paramento'!$G$60*(sezione!$AP$31-C1172)/C1172</f>
        <v>8.5491612888527468E-3</v>
      </c>
      <c r="P1172" s="545">
        <f>-'Sollecitazioni nel paramento'!$G$47*'Sollecitazioni nel paramento'!$G$41*IF(DATI!$G$211="dx",DATI!$E$61,DATI!$E$64*DATI!$E$63)*1000*C1172*sezione!$AD$5</f>
        <v>-4937218.4466066547</v>
      </c>
      <c r="Q1172" s="545">
        <f>'Foglio deposito bis'!$F$58*IF(ABS(K1172)&lt;'Sollecitazioni nel paramento'!$G$58,ABS(K1172)*'Sollecitazioni nel paramento'!$G$54,'Sollecitazioni nel paramento'!$G$53)*IF(K1172&lt;0,-1,1)</f>
        <v>0</v>
      </c>
      <c r="R1172" s="545">
        <f>'Foglio deposito bis'!$F$59*IF(ABS(L1172)&lt;'Sollecitazioni nel paramento'!$G$58,ABS(L1172)*'Sollecitazioni nel paramento'!$G$54,'Sollecitazioni nel paramento'!$G$53)*IF(L1172&lt;0,-1,1)</f>
        <v>-153664.85805602249</v>
      </c>
      <c r="S1172" s="545">
        <f>'Foglio deposito bis'!$F$60*IF(ABS(M1172)&lt;'Sollecitazioni nel paramento'!$G$58,ABS(M1172)*'Sollecitazioni nel paramento'!$G$54,'Sollecitazioni nel paramento'!$G$53)*IF(M1172&lt;0,-1,1)</f>
        <v>0</v>
      </c>
      <c r="T1172" s="545">
        <f>'Foglio deposito bis'!$F$61*IF(ABS(N1172)&lt;'Sollecitazioni nel paramento'!$G$58,ABS(N1172)*'Sollecitazioni nel paramento'!$G$54,'Sollecitazioni nel paramento'!$G$53)*IF(N1172&lt;0,-1,1)</f>
        <v>104155.09145546687</v>
      </c>
      <c r="U1172" s="545">
        <f>'Foglio deposito bis'!$F$62*IF(ABS(O1172)&lt;'Sollecitazioni nel paramento'!$G$58,ABS(O1172)*'Sollecitazioni nel paramento'!$G$54,'Sollecitazioni nel paramento'!$G$53)*IF(O1172&lt;0,-1,1)</f>
        <v>314705.62929873407</v>
      </c>
      <c r="V1172" s="472">
        <f t="shared" si="83"/>
        <v>-4672022.5839084759</v>
      </c>
      <c r="W1172" s="551"/>
      <c r="X1172" s="551"/>
    </row>
    <row r="1173" spans="1:24" x14ac:dyDescent="0.25">
      <c r="A1173" s="545">
        <f t="shared" si="82"/>
        <v>4727655.2963772193</v>
      </c>
      <c r="B1173" s="3">
        <f t="shared" si="84"/>
        <v>19.899999999999952</v>
      </c>
      <c r="C1173" s="545">
        <f>'Foglio deposito bis'!$E$157/sezione!$B$247*B1173</f>
        <v>130.91168574296847</v>
      </c>
      <c r="D1173" s="603">
        <f>-'Sollecitazioni nel paramento'!$G$47*'Sollecitazioni nel paramento'!$G$41*IF(DATI!$G$211="dx",DATI!$E$61,DATI!$E$64*DATI!$E$63)*1000*C1173^2*sezione!$AD$5*(1-sezione!$AD$6)</f>
        <v>-381294425.17594713</v>
      </c>
      <c r="E1173" s="545">
        <f>-'Foglio deposito bis'!$F$58*(C1173-sezione!$AL$31)*IF(ABS(K1173)&lt;'Sollecitazioni nel paramento'!$G$58,ABS(K1173)*'Sollecitazioni nel paramento'!$G$54,'Sollecitazioni nel paramento'!$G$53)</f>
        <v>0</v>
      </c>
      <c r="F1173" s="545">
        <f>-'Foglio deposito bis'!$F$59*(C1173-sezione!$AM$31)*IF(ABS(L1173)&lt;'Sollecitazioni nel paramento'!$G$58,ABS(L1173)*'Sollecitazioni nel paramento'!$G$54,'Sollecitazioni nel paramento'!$G$53)</f>
        <v>-10896634.124206524</v>
      </c>
      <c r="G1173" s="545">
        <f>-'Foglio deposito bis'!$F$60*(C1173-sezione!$AN$31)*IF(ABS(M1173)&lt;'Sollecitazioni nel paramento'!$G$58,ABS(M1173)*'Sollecitazioni nel paramento'!$G$54,'Sollecitazioni nel paramento'!$G$53)</f>
        <v>0</v>
      </c>
      <c r="H1173" s="545">
        <f>-'Foglio deposito bis'!$F$61*(C1173-sezione!$AO$31)*IF(ABS(N1173)&lt;'Sollecitazioni nel paramento'!$G$58,ABS(N1173)*'Sollecitazioni nel paramento'!$G$54,'Sollecitazioni nel paramento'!$G$53)</f>
        <v>2869458.1854240429</v>
      </c>
      <c r="I1173" s="472">
        <f>-'Foglio deposito bis'!$F$62*(C1173-sezione!$AP$31)*IF(ABS(O1173)&lt;'Sollecitazioni nel paramento'!$G$58,ABS(O1173)*'Sollecitazioni nel paramento'!$G$54,'Sollecitazioni nel paramento'!$G$53)</f>
        <v>99207091.410570815</v>
      </c>
      <c r="J1173" s="472">
        <f t="shared" si="81"/>
        <v>-290114509.70415884</v>
      </c>
      <c r="K1173" s="550">
        <f>'Sollecitazioni nel paramento'!$G$60*(sezione!$AL$31-C1173)/C1173</f>
        <v>-2.430576753286368E-3</v>
      </c>
      <c r="L1173" s="550">
        <f>'Sollecitazioni nel paramento'!$G$60*(sezione!$AM$31-C1173)/C1173</f>
        <v>-1.8958651299295524E-3</v>
      </c>
      <c r="M1173" s="551">
        <f>'Sollecitazioni nel paramento'!$G$60*(sezione!$AN$31-C1173)/C1173</f>
        <v>-1.3611535065727366E-3</v>
      </c>
      <c r="N1173" s="551">
        <f>'Sollecitazioni nel paramento'!$G$60*(sezione!$AO$31-C1173)/C1173</f>
        <v>7.7769298685452699E-4</v>
      </c>
      <c r="O1173" s="551">
        <f>'Sollecitazioni nel paramento'!$G$60*(sezione!$AP$31-C1173)/C1173</f>
        <v>8.4280641904723192E-3</v>
      </c>
      <c r="P1173" s="545">
        <f>-'Sollecitazioni nel paramento'!$G$47*'Sollecitazioni nel paramento'!$G$41*IF(DATI!$G$211="dx",DATI!$E$61,DATI!$E$64*DATI!$E$63)*1000*C1173*sezione!$AD$5</f>
        <v>-4987342.4917498687</v>
      </c>
      <c r="Q1173" s="545">
        <f>'Foglio deposito bis'!$F$58*IF(ABS(K1173)&lt;'Sollecitazioni nel paramento'!$G$58,ABS(K1173)*'Sollecitazioni nel paramento'!$G$54,'Sollecitazioni nel paramento'!$G$53)*IF(K1173&lt;0,-1,1)</f>
        <v>0</v>
      </c>
      <c r="R1173" s="545">
        <f>'Foglio deposito bis'!$F$59*IF(ABS(L1173)&lt;'Sollecitazioni nel paramento'!$G$58,ABS(L1173)*'Sollecitazioni nel paramento'!$G$54,'Sollecitazioni nel paramento'!$G$53)*IF(L1173&lt;0,-1,1)</f>
        <v>-153664.85805602249</v>
      </c>
      <c r="S1173" s="545">
        <f>'Foglio deposito bis'!$F$60*IF(ABS(M1173)&lt;'Sollecitazioni nel paramento'!$G$58,ABS(M1173)*'Sollecitazioni nel paramento'!$G$54,'Sollecitazioni nel paramento'!$G$53)*IF(M1173&lt;0,-1,1)</f>
        <v>0</v>
      </c>
      <c r="T1173" s="545">
        <f>'Foglio deposito bis'!$F$61*IF(ABS(N1173)&lt;'Sollecitazioni nel paramento'!$G$58,ABS(N1173)*'Sollecitazioni nel paramento'!$G$54,'Sollecitazioni nel paramento'!$G$53)*IF(N1173&lt;0,-1,1)</f>
        <v>98646.424129937601</v>
      </c>
      <c r="U1173" s="545">
        <f>'Foglio deposito bis'!$F$62*IF(ABS(O1173)&lt;'Sollecitazioni nel paramento'!$G$58,ABS(O1173)*'Sollecitazioni nel paramento'!$G$54,'Sollecitazioni nel paramento'!$G$53)*IF(O1173&lt;0,-1,1)</f>
        <v>314705.62929873407</v>
      </c>
      <c r="V1173" s="472">
        <f t="shared" si="83"/>
        <v>-4727655.2963772193</v>
      </c>
      <c r="W1173" s="551"/>
      <c r="X1173" s="551"/>
    </row>
    <row r="1174" spans="1:24" x14ac:dyDescent="0.25">
      <c r="A1174" s="545">
        <f t="shared" si="82"/>
        <v>4783178.3836255549</v>
      </c>
      <c r="B1174" s="3">
        <f t="shared" si="84"/>
        <v>20.099999999999952</v>
      </c>
      <c r="C1174" s="545">
        <f>'Foglio deposito bis'!$E$157/sezione!$B$247*B1174</f>
        <v>132.22738107706866</v>
      </c>
      <c r="D1174" s="603">
        <f>-'Sollecitazioni nel paramento'!$G$47*'Sollecitazioni nel paramento'!$G$41*IF(DATI!$G$211="dx",DATI!$E$61,DATI!$E$64*DATI!$E$63)*1000*C1174^2*sezione!$AD$5*(1-sezione!$AD$6)</f>
        <v>-388997148.34305805</v>
      </c>
      <c r="E1174" s="545">
        <f>-'Foglio deposito bis'!$F$58*(C1174-sezione!$AL$31)*IF(ABS(K1174)&lt;'Sollecitazioni nel paramento'!$G$58,ABS(K1174)*'Sollecitazioni nel paramento'!$G$54,'Sollecitazioni nel paramento'!$G$53)</f>
        <v>0</v>
      </c>
      <c r="F1174" s="545">
        <f>-'Foglio deposito bis'!$F$59*(C1174-sezione!$AM$31)*IF(ABS(L1174)&lt;'Sollecitazioni nel paramento'!$G$58,ABS(L1174)*'Sollecitazioni nel paramento'!$G$54,'Sollecitazioni nel paramento'!$G$53)</f>
        <v>-11098810.260966001</v>
      </c>
      <c r="G1174" s="545">
        <f>-'Foglio deposito bis'!$F$60*(C1174-sezione!$AN$31)*IF(ABS(M1174)&lt;'Sollecitazioni nel paramento'!$G$58,ABS(M1174)*'Sollecitazioni nel paramento'!$G$54,'Sollecitazioni nel paramento'!$G$53)</f>
        <v>0</v>
      </c>
      <c r="H1174" s="545">
        <f>-'Foglio deposito bis'!$F$61*(C1174-sezione!$AO$31)*IF(ABS(N1174)&lt;'Sollecitazioni nel paramento'!$G$58,ABS(N1174)*'Sollecitazioni nel paramento'!$G$54,'Sollecitazioni nel paramento'!$G$53)</f>
        <v>2589724.0065362374</v>
      </c>
      <c r="I1174" s="472">
        <f>-'Foglio deposito bis'!$F$62*(C1174-sezione!$AP$31)*IF(ABS(O1174)&lt;'Sollecitazioni nel paramento'!$G$58,ABS(O1174)*'Sollecitazioni nel paramento'!$G$54,'Sollecitazioni nel paramento'!$G$53)</f>
        <v>98793034.682487413</v>
      </c>
      <c r="J1174" s="472">
        <f t="shared" si="81"/>
        <v>-298713199.91500038</v>
      </c>
      <c r="K1174" s="550">
        <f>'Sollecitazioni nel paramento'!$G$60*(sezione!$AL$31-C1174)/C1174</f>
        <v>-2.4412177806168523E-3</v>
      </c>
      <c r="L1174" s="550">
        <f>'Sollecitazioni nel paramento'!$G$60*(sezione!$AM$31-C1174)/C1174</f>
        <v>-1.9118266709252782E-3</v>
      </c>
      <c r="M1174" s="551">
        <f>'Sollecitazioni nel paramento'!$G$60*(sezione!$AN$31-C1174)/C1174</f>
        <v>-1.3824355612337043E-3</v>
      </c>
      <c r="N1174" s="551">
        <f>'Sollecitazioni nel paramento'!$G$60*(sezione!$AO$31-C1174)/C1174</f>
        <v>7.3512887753259145E-4</v>
      </c>
      <c r="O1174" s="551">
        <f>'Sollecitazioni nel paramento'!$G$60*(sezione!$AP$31-C1174)/C1174</f>
        <v>8.3093769845969737E-3</v>
      </c>
      <c r="P1174" s="545">
        <f>-'Sollecitazioni nel paramento'!$G$47*'Sollecitazioni nel paramento'!$G$41*IF(DATI!$G$211="dx",DATI!$E$61,DATI!$E$64*DATI!$E$63)*1000*C1174*sezione!$AD$5</f>
        <v>-5037466.5368930837</v>
      </c>
      <c r="Q1174" s="545">
        <f>'Foglio deposito bis'!$F$58*IF(ABS(K1174)&lt;'Sollecitazioni nel paramento'!$G$58,ABS(K1174)*'Sollecitazioni nel paramento'!$G$54,'Sollecitazioni nel paramento'!$G$53)*IF(K1174&lt;0,-1,1)</f>
        <v>0</v>
      </c>
      <c r="R1174" s="545">
        <f>'Foglio deposito bis'!$F$59*IF(ABS(L1174)&lt;'Sollecitazioni nel paramento'!$G$58,ABS(L1174)*'Sollecitazioni nel paramento'!$G$54,'Sollecitazioni nel paramento'!$G$53)*IF(L1174&lt;0,-1,1)</f>
        <v>-153664.85805602249</v>
      </c>
      <c r="S1174" s="545">
        <f>'Foglio deposito bis'!$F$60*IF(ABS(M1174)&lt;'Sollecitazioni nel paramento'!$G$58,ABS(M1174)*'Sollecitazioni nel paramento'!$G$54,'Sollecitazioni nel paramento'!$G$53)*IF(M1174&lt;0,-1,1)</f>
        <v>0</v>
      </c>
      <c r="T1174" s="545">
        <f>'Foglio deposito bis'!$F$61*IF(ABS(N1174)&lt;'Sollecitazioni nel paramento'!$G$58,ABS(N1174)*'Sollecitazioni nel paramento'!$G$54,'Sollecitazioni nel paramento'!$G$53)*IF(N1174&lt;0,-1,1)</f>
        <v>93247.382024816878</v>
      </c>
      <c r="U1174" s="545">
        <f>'Foglio deposito bis'!$F$62*IF(ABS(O1174)&lt;'Sollecitazioni nel paramento'!$G$58,ABS(O1174)*'Sollecitazioni nel paramento'!$G$54,'Sollecitazioni nel paramento'!$G$53)*IF(O1174&lt;0,-1,1)</f>
        <v>314705.62929873407</v>
      </c>
      <c r="V1174" s="472">
        <f t="shared" si="83"/>
        <v>-4783178.3836255549</v>
      </c>
      <c r="W1174" s="551"/>
      <c r="X1174" s="551"/>
    </row>
    <row r="1175" spans="1:24" x14ac:dyDescent="0.25">
      <c r="A1175" s="545">
        <f t="shared" si="82"/>
        <v>4838595.0858077798</v>
      </c>
      <c r="B1175" s="3">
        <f t="shared" si="84"/>
        <v>20.299999999999951</v>
      </c>
      <c r="C1175" s="545">
        <f>'Foglio deposito bis'!$E$157/sezione!$B$247*B1175</f>
        <v>133.54307641116884</v>
      </c>
      <c r="D1175" s="603">
        <f>-'Sollecitazioni nel paramento'!$G$47*'Sollecitazioni nel paramento'!$G$41*IF(DATI!$G$211="dx",DATI!$E$61,DATI!$E$64*DATI!$E$63)*1000*C1175^2*sezione!$AD$5*(1-sezione!$AD$6)</f>
        <v>-396776898.74184</v>
      </c>
      <c r="E1175" s="545">
        <f>-'Foglio deposito bis'!$F$58*(C1175-sezione!$AL$31)*IF(ABS(K1175)&lt;'Sollecitazioni nel paramento'!$G$58,ABS(K1175)*'Sollecitazioni nel paramento'!$G$54,'Sollecitazioni nel paramento'!$G$53)</f>
        <v>0</v>
      </c>
      <c r="F1175" s="545">
        <f>-'Foglio deposito bis'!$F$59*(C1175-sezione!$AM$31)*IF(ABS(L1175)&lt;'Sollecitazioni nel paramento'!$G$58,ABS(L1175)*'Sollecitazioni nel paramento'!$G$54,'Sollecitazioni nel paramento'!$G$53)</f>
        <v>-11300986.397725476</v>
      </c>
      <c r="G1175" s="545">
        <f>-'Foglio deposito bis'!$F$60*(C1175-sezione!$AN$31)*IF(ABS(M1175)&lt;'Sollecitazioni nel paramento'!$G$58,ABS(M1175)*'Sollecitazioni nel paramento'!$G$54,'Sollecitazioni nel paramento'!$G$53)</f>
        <v>0</v>
      </c>
      <c r="H1175" s="545">
        <f>-'Foglio deposito bis'!$F$61*(C1175-sezione!$AO$31)*IF(ABS(N1175)&lt;'Sollecitazioni nel paramento'!$G$58,ABS(N1175)*'Sollecitazioni nel paramento'!$G$54,'Sollecitazioni nel paramento'!$G$53)</f>
        <v>2327011.4382261522</v>
      </c>
      <c r="I1175" s="472">
        <f>-'Foglio deposito bis'!$F$62*(C1175-sezione!$AP$31)*IF(ABS(O1175)&lt;'Sollecitazioni nel paramento'!$G$58,ABS(O1175)*'Sollecitazioni nel paramento'!$G$54,'Sollecitazioni nel paramento'!$G$53)</f>
        <v>98378977.954404011</v>
      </c>
      <c r="J1175" s="472">
        <f t="shared" si="81"/>
        <v>-307371895.74693531</v>
      </c>
      <c r="K1175" s="550">
        <f>'Sollecitazioni nel paramento'!$G$60*(sezione!$AL$31-C1175)/C1175</f>
        <v>-2.4516491325319574E-3</v>
      </c>
      <c r="L1175" s="550">
        <f>'Sollecitazioni nel paramento'!$G$60*(sezione!$AM$31-C1175)/C1175</f>
        <v>-1.9274736987979356E-3</v>
      </c>
      <c r="M1175" s="551">
        <f>'Sollecitazioni nel paramento'!$G$60*(sezione!$AN$31-C1175)/C1175</f>
        <v>-1.4032982650639143E-3</v>
      </c>
      <c r="N1175" s="551">
        <f>'Sollecitazioni nel paramento'!$G$60*(sezione!$AO$31-C1175)/C1175</f>
        <v>6.9340346987217187E-4</v>
      </c>
      <c r="O1175" s="551">
        <f>'Sollecitazioni nel paramento'!$G$60*(sezione!$AP$31-C1175)/C1175</f>
        <v>8.1930284428768062E-3</v>
      </c>
      <c r="P1175" s="545">
        <f>-'Sollecitazioni nel paramento'!$G$47*'Sollecitazioni nel paramento'!$G$41*IF(DATI!$G$211="dx",DATI!$E$61,DATI!$E$64*DATI!$E$63)*1000*C1175*sezione!$AD$5</f>
        <v>-5087590.5820362987</v>
      </c>
      <c r="Q1175" s="545">
        <f>'Foglio deposito bis'!$F$58*IF(ABS(K1175)&lt;'Sollecitazioni nel paramento'!$G$58,ABS(K1175)*'Sollecitazioni nel paramento'!$G$54,'Sollecitazioni nel paramento'!$G$53)*IF(K1175&lt;0,-1,1)</f>
        <v>0</v>
      </c>
      <c r="R1175" s="545">
        <f>'Foglio deposito bis'!$F$59*IF(ABS(L1175)&lt;'Sollecitazioni nel paramento'!$G$58,ABS(L1175)*'Sollecitazioni nel paramento'!$G$54,'Sollecitazioni nel paramento'!$G$53)*IF(L1175&lt;0,-1,1)</f>
        <v>-153664.85805602249</v>
      </c>
      <c r="S1175" s="545">
        <f>'Foglio deposito bis'!$F$60*IF(ABS(M1175)&lt;'Sollecitazioni nel paramento'!$G$58,ABS(M1175)*'Sollecitazioni nel paramento'!$G$54,'Sollecitazioni nel paramento'!$G$53)*IF(M1175&lt;0,-1,1)</f>
        <v>0</v>
      </c>
      <c r="T1175" s="545">
        <f>'Foglio deposito bis'!$F$61*IF(ABS(N1175)&lt;'Sollecitazioni nel paramento'!$G$58,ABS(N1175)*'Sollecitazioni nel paramento'!$G$54,'Sollecitazioni nel paramento'!$G$53)*IF(N1175&lt;0,-1,1)</f>
        <v>87954.724985806912</v>
      </c>
      <c r="U1175" s="545">
        <f>'Foglio deposito bis'!$F$62*IF(ABS(O1175)&lt;'Sollecitazioni nel paramento'!$G$58,ABS(O1175)*'Sollecitazioni nel paramento'!$G$54,'Sollecitazioni nel paramento'!$G$53)*IF(O1175&lt;0,-1,1)</f>
        <v>314705.62929873407</v>
      </c>
      <c r="V1175" s="472">
        <f t="shared" si="83"/>
        <v>-4838595.0858077798</v>
      </c>
      <c r="W1175" s="551"/>
      <c r="X1175" s="551"/>
    </row>
    <row r="1176" spans="1:24" x14ac:dyDescent="0.25">
      <c r="A1176" s="545">
        <f t="shared" si="82"/>
        <v>4893908.5166331455</v>
      </c>
      <c r="B1176" s="3">
        <f t="shared" si="84"/>
        <v>20.49999999999995</v>
      </c>
      <c r="C1176" s="545">
        <f>'Foglio deposito bis'!$E$157/sezione!$B$247*B1176</f>
        <v>134.85877174526902</v>
      </c>
      <c r="D1176" s="603">
        <f>-'Sollecitazioni nel paramento'!$G$47*'Sollecitazioni nel paramento'!$G$41*IF(DATI!$G$211="dx",DATI!$E$61,DATI!$E$64*DATI!$E$63)*1000*C1176^2*sezione!$AD$5*(1-sezione!$AD$6)</f>
        <v>-404633676.37229306</v>
      </c>
      <c r="E1176" s="545">
        <f>-'Foglio deposito bis'!$F$58*(C1176-sezione!$AL$31)*IF(ABS(K1176)&lt;'Sollecitazioni nel paramento'!$G$58,ABS(K1176)*'Sollecitazioni nel paramento'!$G$54,'Sollecitazioni nel paramento'!$G$53)</f>
        <v>0</v>
      </c>
      <c r="F1176" s="545">
        <f>-'Foglio deposito bis'!$F$59*(C1176-sezione!$AM$31)*IF(ABS(L1176)&lt;'Sollecitazioni nel paramento'!$G$58,ABS(L1176)*'Sollecitazioni nel paramento'!$G$54,'Sollecitazioni nel paramento'!$G$53)</f>
        <v>-11503162.534484951</v>
      </c>
      <c r="G1176" s="545">
        <f>-'Foglio deposito bis'!$F$60*(C1176-sezione!$AN$31)*IF(ABS(M1176)&lt;'Sollecitazioni nel paramento'!$G$58,ABS(M1176)*'Sollecitazioni nel paramento'!$G$54,'Sollecitazioni nel paramento'!$G$53)</f>
        <v>0</v>
      </c>
      <c r="H1176" s="545">
        <f>-'Foglio deposito bis'!$F$61*(C1176-sezione!$AO$31)*IF(ABS(N1176)&lt;'Sollecitazioni nel paramento'!$G$58,ABS(N1176)*'Sollecitazioni nel paramento'!$G$54,'Sollecitazioni nel paramento'!$G$53)</f>
        <v>2080822.2870134646</v>
      </c>
      <c r="I1176" s="472">
        <f>-'Foglio deposito bis'!$F$62*(C1176-sezione!$AP$31)*IF(ABS(O1176)&lt;'Sollecitazioni nel paramento'!$G$58,ABS(O1176)*'Sollecitazioni nel paramento'!$G$54,'Sollecitazioni nel paramento'!$G$53)</f>
        <v>97964921.22632058</v>
      </c>
      <c r="J1176" s="472">
        <f t="shared" si="81"/>
        <v>-316091095.39344394</v>
      </c>
      <c r="K1176" s="550">
        <f>'Sollecitazioni nel paramento'!$G$60*(sezione!$AL$31-C1176)/C1176</f>
        <v>-2.4618769458731086E-3</v>
      </c>
      <c r="L1176" s="550">
        <f>'Sollecitazioni nel paramento'!$G$60*(sezione!$AM$31-C1176)/C1176</f>
        <v>-1.9428154188096628E-3</v>
      </c>
      <c r="M1176" s="551">
        <f>'Sollecitazioni nel paramento'!$G$60*(sezione!$AN$31-C1176)/C1176</f>
        <v>-1.4237538917462173E-3</v>
      </c>
      <c r="N1176" s="551">
        <f>'Sollecitazioni nel paramento'!$G$60*(sezione!$AO$31-C1176)/C1176</f>
        <v>6.5249221650756542E-4</v>
      </c>
      <c r="O1176" s="551">
        <f>'Sollecitazioni nel paramento'!$G$60*(sezione!$AP$31-C1176)/C1176</f>
        <v>8.0789501166048366E-3</v>
      </c>
      <c r="P1176" s="545">
        <f>-'Sollecitazioni nel paramento'!$G$47*'Sollecitazioni nel paramento'!$G$41*IF(DATI!$G$211="dx",DATI!$E$61,DATI!$E$64*DATI!$E$63)*1000*C1176*sezione!$AD$5</f>
        <v>-5137714.6271795128</v>
      </c>
      <c r="Q1176" s="545">
        <f>'Foglio deposito bis'!$F$58*IF(ABS(K1176)&lt;'Sollecitazioni nel paramento'!$G$58,ABS(K1176)*'Sollecitazioni nel paramento'!$G$54,'Sollecitazioni nel paramento'!$G$53)*IF(K1176&lt;0,-1,1)</f>
        <v>0</v>
      </c>
      <c r="R1176" s="545">
        <f>'Foglio deposito bis'!$F$59*IF(ABS(L1176)&lt;'Sollecitazioni nel paramento'!$G$58,ABS(L1176)*'Sollecitazioni nel paramento'!$G$54,'Sollecitazioni nel paramento'!$G$53)*IF(L1176&lt;0,-1,1)</f>
        <v>-153664.85805602249</v>
      </c>
      <c r="S1176" s="545">
        <f>'Foglio deposito bis'!$F$60*IF(ABS(M1176)&lt;'Sollecitazioni nel paramento'!$G$58,ABS(M1176)*'Sollecitazioni nel paramento'!$G$54,'Sollecitazioni nel paramento'!$G$53)*IF(M1176&lt;0,-1,1)</f>
        <v>0</v>
      </c>
      <c r="T1176" s="545">
        <f>'Foglio deposito bis'!$F$61*IF(ABS(N1176)&lt;'Sollecitazioni nel paramento'!$G$58,ABS(N1176)*'Sollecitazioni nel paramento'!$G$54,'Sollecitazioni nel paramento'!$G$53)*IF(N1176&lt;0,-1,1)</f>
        <v>82765.339303655695</v>
      </c>
      <c r="U1176" s="545">
        <f>'Foglio deposito bis'!$F$62*IF(ABS(O1176)&lt;'Sollecitazioni nel paramento'!$G$58,ABS(O1176)*'Sollecitazioni nel paramento'!$G$54,'Sollecitazioni nel paramento'!$G$53)*IF(O1176&lt;0,-1,1)</f>
        <v>314705.62929873407</v>
      </c>
      <c r="V1176" s="472">
        <f t="shared" si="83"/>
        <v>-4893908.5166331455</v>
      </c>
      <c r="W1176" s="551"/>
      <c r="X1176" s="551"/>
    </row>
    <row r="1177" spans="1:24" x14ac:dyDescent="0.25">
      <c r="A1177" s="545">
        <f t="shared" si="82"/>
        <v>4949121.6694743158</v>
      </c>
      <c r="B1177" s="3">
        <f t="shared" si="84"/>
        <v>20.69999999999995</v>
      </c>
      <c r="C1177" s="545">
        <f>'Foglio deposito bis'!$E$157/sezione!$B$247*B1177</f>
        <v>136.17446707936921</v>
      </c>
      <c r="D1177" s="603">
        <f>-'Sollecitazioni nel paramento'!$G$47*'Sollecitazioni nel paramento'!$G$41*IF(DATI!$G$211="dx",DATI!$E$61,DATI!$E$64*DATI!$E$63)*1000*C1177^2*sezione!$AD$5*(1-sezione!$AD$6)</f>
        <v>-412567481.23441726</v>
      </c>
      <c r="E1177" s="545">
        <f>-'Foglio deposito bis'!$F$58*(C1177-sezione!$AL$31)*IF(ABS(K1177)&lt;'Sollecitazioni nel paramento'!$G$58,ABS(K1177)*'Sollecitazioni nel paramento'!$G$54,'Sollecitazioni nel paramento'!$G$53)</f>
        <v>0</v>
      </c>
      <c r="F1177" s="545">
        <f>-'Foglio deposito bis'!$F$59*(C1177-sezione!$AM$31)*IF(ABS(L1177)&lt;'Sollecitazioni nel paramento'!$G$58,ABS(L1177)*'Sollecitazioni nel paramento'!$G$54,'Sollecitazioni nel paramento'!$G$53)</f>
        <v>-11705338.671244428</v>
      </c>
      <c r="G1177" s="545">
        <f>-'Foglio deposito bis'!$F$60*(C1177-sezione!$AN$31)*IF(ABS(M1177)&lt;'Sollecitazioni nel paramento'!$G$58,ABS(M1177)*'Sollecitazioni nel paramento'!$G$54,'Sollecitazioni nel paramento'!$G$53)</f>
        <v>0</v>
      </c>
      <c r="H1177" s="545">
        <f>-'Foglio deposito bis'!$F$61*(C1177-sezione!$AO$31)*IF(ABS(N1177)&lt;'Sollecitazioni nel paramento'!$G$58,ABS(N1177)*'Sollecitazioni nel paramento'!$G$54,'Sollecitazioni nel paramento'!$G$53)</f>
        <v>1850677.6132721619</v>
      </c>
      <c r="I1177" s="472">
        <f>-'Foglio deposito bis'!$F$62*(C1177-sezione!$AP$31)*IF(ABS(O1177)&lt;'Sollecitazioni nel paramento'!$G$58,ABS(O1177)*'Sollecitazioni nel paramento'!$G$54,'Sollecitazioni nel paramento'!$G$53)</f>
        <v>97550864.498237193</v>
      </c>
      <c r="J1177" s="472">
        <f t="shared" si="81"/>
        <v>-324871277.79415232</v>
      </c>
      <c r="K1177" s="550">
        <f>'Sollecitazioni nel paramento'!$G$60*(sezione!$AL$31-C1177)/C1177</f>
        <v>-2.4719071203091175E-3</v>
      </c>
      <c r="L1177" s="550">
        <f>'Sollecitazioni nel paramento'!$G$60*(sezione!$AM$31-C1177)/C1177</f>
        <v>-1.9578606804636759E-3</v>
      </c>
      <c r="M1177" s="551">
        <f>'Sollecitazioni nel paramento'!$G$60*(sezione!$AN$31-C1177)/C1177</f>
        <v>-1.4438142406182344E-3</v>
      </c>
      <c r="N1177" s="551">
        <f>'Sollecitazioni nel paramento'!$G$60*(sezione!$AO$31-C1177)/C1177</f>
        <v>6.1237151876353095E-4</v>
      </c>
      <c r="O1177" s="551">
        <f>'Sollecitazioni nel paramento'!$G$60*(sezione!$AP$31-C1177)/C1177</f>
        <v>7.9670762024347426E-3</v>
      </c>
      <c r="P1177" s="545">
        <f>-'Sollecitazioni nel paramento'!$G$47*'Sollecitazioni nel paramento'!$G$41*IF(DATI!$G$211="dx",DATI!$E$61,DATI!$E$64*DATI!$E$63)*1000*C1177*sezione!$AD$5</f>
        <v>-5187838.6723227277</v>
      </c>
      <c r="Q1177" s="545">
        <f>'Foglio deposito bis'!$F$58*IF(ABS(K1177)&lt;'Sollecitazioni nel paramento'!$G$58,ABS(K1177)*'Sollecitazioni nel paramento'!$G$54,'Sollecitazioni nel paramento'!$G$53)*IF(K1177&lt;0,-1,1)</f>
        <v>0</v>
      </c>
      <c r="R1177" s="545">
        <f>'Foglio deposito bis'!$F$59*IF(ABS(L1177)&lt;'Sollecitazioni nel paramento'!$G$58,ABS(L1177)*'Sollecitazioni nel paramento'!$G$54,'Sollecitazioni nel paramento'!$G$53)*IF(L1177&lt;0,-1,1)</f>
        <v>-153664.85805602249</v>
      </c>
      <c r="S1177" s="545">
        <f>'Foglio deposito bis'!$F$60*IF(ABS(M1177)&lt;'Sollecitazioni nel paramento'!$G$58,ABS(M1177)*'Sollecitazioni nel paramento'!$G$54,'Sollecitazioni nel paramento'!$G$53)*IF(M1177&lt;0,-1,1)</f>
        <v>0</v>
      </c>
      <c r="T1177" s="545">
        <f>'Foglio deposito bis'!$F$61*IF(ABS(N1177)&lt;'Sollecitazioni nel paramento'!$G$58,ABS(N1177)*'Sollecitazioni nel paramento'!$G$54,'Sollecitazioni nel paramento'!$G$53)*IF(N1177&lt;0,-1,1)</f>
        <v>77676.23160570061</v>
      </c>
      <c r="U1177" s="545">
        <f>'Foglio deposito bis'!$F$62*IF(ABS(O1177)&lt;'Sollecitazioni nel paramento'!$G$58,ABS(O1177)*'Sollecitazioni nel paramento'!$G$54,'Sollecitazioni nel paramento'!$G$53)*IF(O1177&lt;0,-1,1)</f>
        <v>314705.62929873407</v>
      </c>
      <c r="V1177" s="472">
        <f t="shared" si="83"/>
        <v>-4949121.6694743158</v>
      </c>
      <c r="W1177" s="551"/>
      <c r="X1177" s="551"/>
    </row>
    <row r="1178" spans="1:24" x14ac:dyDescent="0.25">
      <c r="A1178" s="545">
        <f t="shared" si="82"/>
        <v>5004237.4231250929</v>
      </c>
      <c r="B1178" s="3">
        <f t="shared" si="84"/>
        <v>20.899999999999949</v>
      </c>
      <c r="C1178" s="545">
        <f>'Foglio deposito bis'!$E$157/sezione!$B$247*B1178</f>
        <v>137.49016241346939</v>
      </c>
      <c r="D1178" s="603">
        <f>-'Sollecitazioni nel paramento'!$G$47*'Sollecitazioni nel paramento'!$G$41*IF(DATI!$G$211="dx",DATI!$E$61,DATI!$E$64*DATI!$E$63)*1000*C1178^2*sezione!$AD$5*(1-sezione!$AD$6)</f>
        <v>-420578313.32821262</v>
      </c>
      <c r="E1178" s="545">
        <f>-'Foglio deposito bis'!$F$58*(C1178-sezione!$AL$31)*IF(ABS(K1178)&lt;'Sollecitazioni nel paramento'!$G$58,ABS(K1178)*'Sollecitazioni nel paramento'!$G$54,'Sollecitazioni nel paramento'!$G$53)</f>
        <v>0</v>
      </c>
      <c r="F1178" s="545">
        <f>-'Foglio deposito bis'!$F$59*(C1178-sezione!$AM$31)*IF(ABS(L1178)&lt;'Sollecitazioni nel paramento'!$G$58,ABS(L1178)*'Sollecitazioni nel paramento'!$G$54,'Sollecitazioni nel paramento'!$G$53)</f>
        <v>-11907514.808003904</v>
      </c>
      <c r="G1178" s="545">
        <f>-'Foglio deposito bis'!$F$60*(C1178-sezione!$AN$31)*IF(ABS(M1178)&lt;'Sollecitazioni nel paramento'!$G$58,ABS(M1178)*'Sollecitazioni nel paramento'!$G$54,'Sollecitazioni nel paramento'!$G$53)</f>
        <v>0</v>
      </c>
      <c r="H1178" s="545">
        <f>-'Foglio deposito bis'!$F$61*(C1178-sezione!$AO$31)*IF(ABS(N1178)&lt;'Sollecitazioni nel paramento'!$G$58,ABS(N1178)*'Sollecitazioni nel paramento'!$G$54,'Sollecitazioni nel paramento'!$G$53)</f>
        <v>1636116.8099934969</v>
      </c>
      <c r="I1178" s="472">
        <f>-'Foglio deposito bis'!$F$62*(C1178-sezione!$AP$31)*IF(ABS(O1178)&lt;'Sollecitazioni nel paramento'!$G$58,ABS(O1178)*'Sollecitazioni nel paramento'!$G$54,'Sollecitazioni nel paramento'!$G$53)</f>
        <v>97136807.770153791</v>
      </c>
      <c r="J1178" s="472">
        <f t="shared" si="81"/>
        <v>-333712903.55606925</v>
      </c>
      <c r="K1178" s="550">
        <f>'Sollecitazioni nel paramento'!$G$60*(sezione!$AL$31-C1178)/C1178</f>
        <v>-2.4817453296841498E-3</v>
      </c>
      <c r="L1178" s="550">
        <f>'Sollecitazioni nel paramento'!$G$60*(sezione!$AM$31-C1178)/C1178</f>
        <v>-1.9726179945262247E-3</v>
      </c>
      <c r="M1178" s="551">
        <f>'Sollecitazioni nel paramento'!$G$60*(sezione!$AN$31-C1178)/C1178</f>
        <v>-1.4634906593682991E-3</v>
      </c>
      <c r="N1178" s="551">
        <f>'Sollecitazioni nel paramento'!$G$60*(sezione!$AO$31-C1178)/C1178</f>
        <v>5.730186812634016E-4</v>
      </c>
      <c r="O1178" s="551">
        <f>'Sollecitazioni nel paramento'!$G$60*(sezione!$AP$31-C1178)/C1178</f>
        <v>7.8573434158085743E-3</v>
      </c>
      <c r="P1178" s="545">
        <f>-'Sollecitazioni nel paramento'!$G$47*'Sollecitazioni nel paramento'!$G$41*IF(DATI!$G$211="dx",DATI!$E$61,DATI!$E$64*DATI!$E$63)*1000*C1178*sezione!$AD$5</f>
        <v>-5237962.7174659418</v>
      </c>
      <c r="Q1178" s="545">
        <f>'Foglio deposito bis'!$F$58*IF(ABS(K1178)&lt;'Sollecitazioni nel paramento'!$G$58,ABS(K1178)*'Sollecitazioni nel paramento'!$G$54,'Sollecitazioni nel paramento'!$G$53)*IF(K1178&lt;0,-1,1)</f>
        <v>0</v>
      </c>
      <c r="R1178" s="545">
        <f>'Foglio deposito bis'!$F$59*IF(ABS(L1178)&lt;'Sollecitazioni nel paramento'!$G$58,ABS(L1178)*'Sollecitazioni nel paramento'!$G$54,'Sollecitazioni nel paramento'!$G$53)*IF(L1178&lt;0,-1,1)</f>
        <v>-153664.85805602249</v>
      </c>
      <c r="S1178" s="545">
        <f>'Foglio deposito bis'!$F$60*IF(ABS(M1178)&lt;'Sollecitazioni nel paramento'!$G$58,ABS(M1178)*'Sollecitazioni nel paramento'!$G$54,'Sollecitazioni nel paramento'!$G$53)*IF(M1178&lt;0,-1,1)</f>
        <v>0</v>
      </c>
      <c r="T1178" s="545">
        <f>'Foglio deposito bis'!$F$61*IF(ABS(N1178)&lt;'Sollecitazioni nel paramento'!$G$58,ABS(N1178)*'Sollecitazioni nel paramento'!$G$54,'Sollecitazioni nel paramento'!$G$53)*IF(N1178&lt;0,-1,1)</f>
        <v>72684.523098137026</v>
      </c>
      <c r="U1178" s="545">
        <f>'Foglio deposito bis'!$F$62*IF(ABS(O1178)&lt;'Sollecitazioni nel paramento'!$G$58,ABS(O1178)*'Sollecitazioni nel paramento'!$G$54,'Sollecitazioni nel paramento'!$G$53)*IF(O1178&lt;0,-1,1)</f>
        <v>314705.62929873407</v>
      </c>
      <c r="V1178" s="472">
        <f t="shared" si="83"/>
        <v>-5004237.4231250929</v>
      </c>
      <c r="W1178" s="551"/>
      <c r="X1178" s="551"/>
    </row>
    <row r="1179" spans="1:24" x14ac:dyDescent="0.25">
      <c r="A1179" s="545">
        <f t="shared" si="82"/>
        <v>5059258.5472307056</v>
      </c>
      <c r="B1179" s="3">
        <f t="shared" si="84"/>
        <v>21.099999999999948</v>
      </c>
      <c r="C1179" s="545">
        <f>'Foglio deposito bis'!$E$157/sezione!$B$247*B1179</f>
        <v>138.80585774756958</v>
      </c>
      <c r="D1179" s="603">
        <f>-'Sollecitazioni nel paramento'!$G$47*'Sollecitazioni nel paramento'!$G$41*IF(DATI!$G$211="dx",DATI!$E$61,DATI!$E$64*DATI!$E$63)*1000*C1179^2*sezione!$AD$5*(1-sezione!$AD$6)</f>
        <v>-428666172.65367895</v>
      </c>
      <c r="E1179" s="545">
        <f>-'Foglio deposito bis'!$F$58*(C1179-sezione!$AL$31)*IF(ABS(K1179)&lt;'Sollecitazioni nel paramento'!$G$58,ABS(K1179)*'Sollecitazioni nel paramento'!$G$54,'Sollecitazioni nel paramento'!$G$53)</f>
        <v>0</v>
      </c>
      <c r="F1179" s="545">
        <f>-'Foglio deposito bis'!$F$59*(C1179-sezione!$AM$31)*IF(ABS(L1179)&lt;'Sollecitazioni nel paramento'!$G$58,ABS(L1179)*'Sollecitazioni nel paramento'!$G$54,'Sollecitazioni nel paramento'!$G$53)</f>
        <v>-12109690.944763379</v>
      </c>
      <c r="G1179" s="545">
        <f>-'Foglio deposito bis'!$F$60*(C1179-sezione!$AN$31)*IF(ABS(M1179)&lt;'Sollecitazioni nel paramento'!$G$58,ABS(M1179)*'Sollecitazioni nel paramento'!$G$54,'Sollecitazioni nel paramento'!$G$53)</f>
        <v>0</v>
      </c>
      <c r="H1179" s="545">
        <f>-'Foglio deposito bis'!$F$61*(C1179-sezione!$AO$31)*IF(ABS(N1179)&lt;'Sollecitazioni nel paramento'!$G$58,ABS(N1179)*'Sollecitazioni nel paramento'!$G$54,'Sollecitazioni nel paramento'!$G$53)</f>
        <v>1436696.733941565</v>
      </c>
      <c r="I1179" s="472">
        <f>-'Foglio deposito bis'!$F$62*(C1179-sezione!$AP$31)*IF(ABS(O1179)&lt;'Sollecitazioni nel paramento'!$G$58,ABS(O1179)*'Sollecitazioni nel paramento'!$G$54,'Sollecitazioni nel paramento'!$G$53)</f>
        <v>96722751.042070374</v>
      </c>
      <c r="J1179" s="472">
        <f t="shared" si="81"/>
        <v>-342616415.82243037</v>
      </c>
      <c r="K1179" s="550">
        <f>'Sollecitazioni nel paramento'!$G$60*(sezione!$AL$31-C1179)/C1179</f>
        <v>-2.4913970327203189E-3</v>
      </c>
      <c r="L1179" s="550">
        <f>'Sollecitazioni nel paramento'!$G$60*(sezione!$AM$31-C1179)/C1179</f>
        <v>-1.9870955490804781E-3</v>
      </c>
      <c r="M1179" s="551">
        <f>'Sollecitazioni nel paramento'!$G$60*(sezione!$AN$31-C1179)/C1179</f>
        <v>-1.4827940654406377E-3</v>
      </c>
      <c r="N1179" s="551">
        <f>'Sollecitazioni nel paramento'!$G$60*(sezione!$AO$31-C1179)/C1179</f>
        <v>5.3441186911872484E-4</v>
      </c>
      <c r="O1179" s="551">
        <f>'Sollecitazioni nel paramento'!$G$60*(sezione!$AP$31-C1179)/C1179</f>
        <v>7.7496908715828997E-3</v>
      </c>
      <c r="P1179" s="545">
        <f>-'Sollecitazioni nel paramento'!$G$47*'Sollecitazioni nel paramento'!$G$41*IF(DATI!$G$211="dx",DATI!$E$61,DATI!$E$64*DATI!$E$63)*1000*C1179*sezione!$AD$5</f>
        <v>-5288086.7626091577</v>
      </c>
      <c r="Q1179" s="545">
        <f>'Foglio deposito bis'!$F$58*IF(ABS(K1179)&lt;'Sollecitazioni nel paramento'!$G$58,ABS(K1179)*'Sollecitazioni nel paramento'!$G$54,'Sollecitazioni nel paramento'!$G$53)*IF(K1179&lt;0,-1,1)</f>
        <v>0</v>
      </c>
      <c r="R1179" s="545">
        <f>'Foglio deposito bis'!$F$59*IF(ABS(L1179)&lt;'Sollecitazioni nel paramento'!$G$58,ABS(L1179)*'Sollecitazioni nel paramento'!$G$54,'Sollecitazioni nel paramento'!$G$53)*IF(L1179&lt;0,-1,1)</f>
        <v>-153664.85805602249</v>
      </c>
      <c r="S1179" s="545">
        <f>'Foglio deposito bis'!$F$60*IF(ABS(M1179)&lt;'Sollecitazioni nel paramento'!$G$58,ABS(M1179)*'Sollecitazioni nel paramento'!$G$54,'Sollecitazioni nel paramento'!$G$53)*IF(M1179&lt;0,-1,1)</f>
        <v>0</v>
      </c>
      <c r="T1179" s="545">
        <f>'Foglio deposito bis'!$F$61*IF(ABS(N1179)&lt;'Sollecitazioni nel paramento'!$G$58,ABS(N1179)*'Sollecitazioni nel paramento'!$G$54,'Sollecitazioni nel paramento'!$G$53)*IF(N1179&lt;0,-1,1)</f>
        <v>67787.444135740516</v>
      </c>
      <c r="U1179" s="545">
        <f>'Foglio deposito bis'!$F$62*IF(ABS(O1179)&lt;'Sollecitazioni nel paramento'!$G$58,ABS(O1179)*'Sollecitazioni nel paramento'!$G$54,'Sollecitazioni nel paramento'!$G$53)*IF(O1179&lt;0,-1,1)</f>
        <v>314705.62929873407</v>
      </c>
      <c r="V1179" s="472">
        <f t="shared" si="83"/>
        <v>-5059258.5472307056</v>
      </c>
      <c r="W1179" s="551"/>
      <c r="X1179" s="551"/>
    </row>
    <row r="1180" spans="1:24" x14ac:dyDescent="0.25">
      <c r="A1180" s="545">
        <f t="shared" si="82"/>
        <v>5114187.7074121395</v>
      </c>
      <c r="B1180" s="3">
        <f t="shared" si="84"/>
        <v>21.299999999999947</v>
      </c>
      <c r="C1180" s="545">
        <f>'Foglio deposito bis'!$E$157/sezione!$B$247*B1180</f>
        <v>140.12155308166976</v>
      </c>
      <c r="D1180" s="603">
        <f>-'Sollecitazioni nel paramento'!$G$47*'Sollecitazioni nel paramento'!$G$41*IF(DATI!$G$211="dx",DATI!$E$61,DATI!$E$64*DATI!$E$63)*1000*C1180^2*sezione!$AD$5*(1-sezione!$AD$6)</f>
        <v>-436831059.2108165</v>
      </c>
      <c r="E1180" s="545">
        <f>-'Foglio deposito bis'!$F$58*(C1180-sezione!$AL$31)*IF(ABS(K1180)&lt;'Sollecitazioni nel paramento'!$G$58,ABS(K1180)*'Sollecitazioni nel paramento'!$G$54,'Sollecitazioni nel paramento'!$G$53)</f>
        <v>0</v>
      </c>
      <c r="F1180" s="545">
        <f>-'Foglio deposito bis'!$F$59*(C1180-sezione!$AM$31)*IF(ABS(L1180)&lt;'Sollecitazioni nel paramento'!$G$58,ABS(L1180)*'Sollecitazioni nel paramento'!$G$54,'Sollecitazioni nel paramento'!$G$53)</f>
        <v>-12311867.081522856</v>
      </c>
      <c r="G1180" s="545">
        <f>-'Foglio deposito bis'!$F$60*(C1180-sezione!$AN$31)*IF(ABS(M1180)&lt;'Sollecitazioni nel paramento'!$G$58,ABS(M1180)*'Sollecitazioni nel paramento'!$G$54,'Sollecitazioni nel paramento'!$G$53)</f>
        <v>0</v>
      </c>
      <c r="H1180" s="545">
        <f>-'Foglio deposito bis'!$F$61*(C1180-sezione!$AO$31)*IF(ABS(N1180)&lt;'Sollecitazioni nel paramento'!$G$58,ABS(N1180)*'Sollecitazioni nel paramento'!$G$54,'Sollecitazioni nel paramento'!$G$53)</f>
        <v>1251990.8857578665</v>
      </c>
      <c r="I1180" s="472">
        <f>-'Foglio deposito bis'!$F$62*(C1180-sezione!$AP$31)*IF(ABS(O1180)&lt;'Sollecitazioni nel paramento'!$G$58,ABS(O1180)*'Sollecitazioni nel paramento'!$G$54,'Sollecitazioni nel paramento'!$G$53)</f>
        <v>96308694.313986957</v>
      </c>
      <c r="J1180" s="472">
        <f t="shared" si="81"/>
        <v>-351582241.09259456</v>
      </c>
      <c r="K1180" s="550">
        <f>'Sollecitazioni nel paramento'!$G$60*(sezione!$AL$31-C1180)/C1180</f>
        <v>-2.5008674831173113E-3</v>
      </c>
      <c r="L1180" s="550">
        <f>'Sollecitazioni nel paramento'!$G$60*(sezione!$AM$31-C1180)/C1180</f>
        <v>-2.0013012246759667E-3</v>
      </c>
      <c r="M1180" s="551">
        <f>'Sollecitazioni nel paramento'!$G$60*(sezione!$AN$31-C1180)/C1180</f>
        <v>-1.5017349662346223E-3</v>
      </c>
      <c r="N1180" s="551">
        <f>'Sollecitazioni nel paramento'!$G$60*(sezione!$AO$31-C1180)/C1180</f>
        <v>4.9653006753075553E-4</v>
      </c>
      <c r="O1180" s="551">
        <f>'Sollecitazioni nel paramento'!$G$60*(sezione!$AP$31-C1180)/C1180</f>
        <v>7.6440599713802427E-3</v>
      </c>
      <c r="P1180" s="545">
        <f>-'Sollecitazioni nel paramento'!$G$47*'Sollecitazioni nel paramento'!$G$41*IF(DATI!$G$211="dx",DATI!$E$61,DATI!$E$64*DATI!$E$63)*1000*C1180*sezione!$AD$5</f>
        <v>-5338210.8077523718</v>
      </c>
      <c r="Q1180" s="545">
        <f>'Foglio deposito bis'!$F$58*IF(ABS(K1180)&lt;'Sollecitazioni nel paramento'!$G$58,ABS(K1180)*'Sollecitazioni nel paramento'!$G$54,'Sollecitazioni nel paramento'!$G$53)*IF(K1180&lt;0,-1,1)</f>
        <v>0</v>
      </c>
      <c r="R1180" s="545">
        <f>'Foglio deposito bis'!$F$59*IF(ABS(L1180)&lt;'Sollecitazioni nel paramento'!$G$58,ABS(L1180)*'Sollecitazioni nel paramento'!$G$54,'Sollecitazioni nel paramento'!$G$53)*IF(L1180&lt;0,-1,1)</f>
        <v>-153664.85805602249</v>
      </c>
      <c r="S1180" s="545">
        <f>'Foglio deposito bis'!$F$60*IF(ABS(M1180)&lt;'Sollecitazioni nel paramento'!$G$58,ABS(M1180)*'Sollecitazioni nel paramento'!$G$54,'Sollecitazioni nel paramento'!$G$53)*IF(M1180&lt;0,-1,1)</f>
        <v>0</v>
      </c>
      <c r="T1180" s="545">
        <f>'Foglio deposito bis'!$F$61*IF(ABS(N1180)&lt;'Sollecitazioni nel paramento'!$G$58,ABS(N1180)*'Sollecitazioni nel paramento'!$G$54,'Sollecitazioni nel paramento'!$G$53)*IF(N1180&lt;0,-1,1)</f>
        <v>62982.329097520451</v>
      </c>
      <c r="U1180" s="545">
        <f>'Foglio deposito bis'!$F$62*IF(ABS(O1180)&lt;'Sollecitazioni nel paramento'!$G$58,ABS(O1180)*'Sollecitazioni nel paramento'!$G$54,'Sollecitazioni nel paramento'!$G$53)*IF(O1180&lt;0,-1,1)</f>
        <v>314705.62929873407</v>
      </c>
      <c r="V1180" s="472">
        <f t="shared" si="83"/>
        <v>-5114187.7074121395</v>
      </c>
      <c r="W1180" s="551"/>
      <c r="X1180" s="551"/>
    </row>
    <row r="1181" spans="1:24" x14ac:dyDescent="0.25">
      <c r="A1181" s="545">
        <f t="shared" si="82"/>
        <v>5169027.4701044913</v>
      </c>
      <c r="B1181" s="3">
        <f t="shared" si="84"/>
        <v>21.499999999999947</v>
      </c>
      <c r="C1181" s="545">
        <f>'Foglio deposito bis'!$E$157/sezione!$B$247*B1181</f>
        <v>141.43724841576994</v>
      </c>
      <c r="D1181" s="603">
        <f>-'Sollecitazioni nel paramento'!$G$47*'Sollecitazioni nel paramento'!$G$41*IF(DATI!$G$211="dx",DATI!$E$61,DATI!$E$64*DATI!$E$63)*1000*C1181^2*sezione!$AD$5*(1-sezione!$AD$6)</f>
        <v>-445072972.99962509</v>
      </c>
      <c r="E1181" s="545">
        <f>-'Foglio deposito bis'!$F$58*(C1181-sezione!$AL$31)*IF(ABS(K1181)&lt;'Sollecitazioni nel paramento'!$G$58,ABS(K1181)*'Sollecitazioni nel paramento'!$G$54,'Sollecitazioni nel paramento'!$G$53)</f>
        <v>0</v>
      </c>
      <c r="F1181" s="545">
        <f>-'Foglio deposito bis'!$F$59*(C1181-sezione!$AM$31)*IF(ABS(L1181)&lt;'Sollecitazioni nel paramento'!$G$58,ABS(L1181)*'Sollecitazioni nel paramento'!$G$54,'Sollecitazioni nel paramento'!$G$53)</f>
        <v>-12514043.218282331</v>
      </c>
      <c r="G1181" s="545">
        <f>-'Foglio deposito bis'!$F$60*(C1181-sezione!$AN$31)*IF(ABS(M1181)&lt;'Sollecitazioni nel paramento'!$G$58,ABS(M1181)*'Sollecitazioni nel paramento'!$G$54,'Sollecitazioni nel paramento'!$G$53)</f>
        <v>0</v>
      </c>
      <c r="H1181" s="545">
        <f>-'Foglio deposito bis'!$F$61*(C1181-sezione!$AO$31)*IF(ABS(N1181)&lt;'Sollecitazioni nel paramento'!$G$58,ABS(N1181)*'Sollecitazioni nel paramento'!$G$54,'Sollecitazioni nel paramento'!$G$53)</f>
        <v>1081588.6358274748</v>
      </c>
      <c r="I1181" s="472">
        <f>-'Foglio deposito bis'!$F$62*(C1181-sezione!$AP$31)*IF(ABS(O1181)&lt;'Sollecitazioni nel paramento'!$G$58,ABS(O1181)*'Sollecitazioni nel paramento'!$G$54,'Sollecitazioni nel paramento'!$G$53)</f>
        <v>95894637.58590357</v>
      </c>
      <c r="J1181" s="472">
        <f t="shared" si="81"/>
        <v>-360610789.99617636</v>
      </c>
      <c r="K1181" s="550">
        <f>'Sollecitazioni nel paramento'!$G$60*(sezione!$AL$31-C1181)/C1181</f>
        <v>-2.5101617390883126E-3</v>
      </c>
      <c r="L1181" s="550">
        <f>'Sollecitazioni nel paramento'!$G$60*(sezione!$AM$31-C1181)/C1181</f>
        <v>-2.0152426086324695E-3</v>
      </c>
      <c r="M1181" s="551">
        <f>'Sollecitazioni nel paramento'!$G$60*(sezione!$AN$31-C1181)/C1181</f>
        <v>-1.5203234781766258E-3</v>
      </c>
      <c r="N1181" s="551">
        <f>'Sollecitazioni nel paramento'!$G$60*(sezione!$AO$31-C1181)/C1181</f>
        <v>4.5935304364674867E-4</v>
      </c>
      <c r="O1181" s="551">
        <f>'Sollecitazioni nel paramento'!$G$60*(sezione!$AP$31-C1181)/C1181</f>
        <v>7.5403942972278688E-3</v>
      </c>
      <c r="P1181" s="545">
        <f>-'Sollecitazioni nel paramento'!$G$47*'Sollecitazioni nel paramento'!$G$41*IF(DATI!$G$211="dx",DATI!$E$61,DATI!$E$64*DATI!$E$63)*1000*C1181*sezione!$AD$5</f>
        <v>-5388334.8528955868</v>
      </c>
      <c r="Q1181" s="545">
        <f>'Foglio deposito bis'!$F$58*IF(ABS(K1181)&lt;'Sollecitazioni nel paramento'!$G$58,ABS(K1181)*'Sollecitazioni nel paramento'!$G$54,'Sollecitazioni nel paramento'!$G$53)*IF(K1181&lt;0,-1,1)</f>
        <v>0</v>
      </c>
      <c r="R1181" s="545">
        <f>'Foglio deposito bis'!$F$59*IF(ABS(L1181)&lt;'Sollecitazioni nel paramento'!$G$58,ABS(L1181)*'Sollecitazioni nel paramento'!$G$54,'Sollecitazioni nel paramento'!$G$53)*IF(L1181&lt;0,-1,1)</f>
        <v>-153664.85805602249</v>
      </c>
      <c r="S1181" s="545">
        <f>'Foglio deposito bis'!$F$60*IF(ABS(M1181)&lt;'Sollecitazioni nel paramento'!$G$58,ABS(M1181)*'Sollecitazioni nel paramento'!$G$54,'Sollecitazioni nel paramento'!$G$53)*IF(M1181&lt;0,-1,1)</f>
        <v>0</v>
      </c>
      <c r="T1181" s="545">
        <f>'Foglio deposito bis'!$F$61*IF(ABS(N1181)&lt;'Sollecitazioni nel paramento'!$G$58,ABS(N1181)*'Sollecitazioni nel paramento'!$G$54,'Sollecitazioni nel paramento'!$G$53)*IF(N1181&lt;0,-1,1)</f>
        <v>58266.611548383589</v>
      </c>
      <c r="U1181" s="545">
        <f>'Foglio deposito bis'!$F$62*IF(ABS(O1181)&lt;'Sollecitazioni nel paramento'!$G$58,ABS(O1181)*'Sollecitazioni nel paramento'!$G$54,'Sollecitazioni nel paramento'!$G$53)*IF(O1181&lt;0,-1,1)</f>
        <v>314705.62929873407</v>
      </c>
      <c r="V1181" s="472">
        <f t="shared" si="83"/>
        <v>-5169027.4701044913</v>
      </c>
      <c r="W1181" s="551"/>
      <c r="X1181" s="551"/>
    </row>
    <row r="1182" spans="1:24" x14ac:dyDescent="0.25">
      <c r="A1182" s="545">
        <f t="shared" si="82"/>
        <v>5223780.3071277337</v>
      </c>
      <c r="B1182" s="3">
        <f t="shared" si="84"/>
        <v>21.699999999999946</v>
      </c>
      <c r="C1182" s="545">
        <f>'Foglio deposito bis'!$E$157/sezione!$B$247*B1182</f>
        <v>142.75294374987013</v>
      </c>
      <c r="D1182" s="603">
        <f>-'Sollecitazioni nel paramento'!$G$47*'Sollecitazioni nel paramento'!$G$41*IF(DATI!$G$211="dx",DATI!$E$61,DATI!$E$64*DATI!$E$63)*1000*C1182^2*sezione!$AD$5*(1-sezione!$AD$6)</f>
        <v>-453391914.02010483</v>
      </c>
      <c r="E1182" s="545">
        <f>-'Foglio deposito bis'!$F$58*(C1182-sezione!$AL$31)*IF(ABS(K1182)&lt;'Sollecitazioni nel paramento'!$G$58,ABS(K1182)*'Sollecitazioni nel paramento'!$G$54,'Sollecitazioni nel paramento'!$G$53)</f>
        <v>0</v>
      </c>
      <c r="F1182" s="545">
        <f>-'Foglio deposito bis'!$F$59*(C1182-sezione!$AM$31)*IF(ABS(L1182)&lt;'Sollecitazioni nel paramento'!$G$58,ABS(L1182)*'Sollecitazioni nel paramento'!$G$54,'Sollecitazioni nel paramento'!$G$53)</f>
        <v>-12716219.355041808</v>
      </c>
      <c r="G1182" s="545">
        <f>-'Foglio deposito bis'!$F$60*(C1182-sezione!$AN$31)*IF(ABS(M1182)&lt;'Sollecitazioni nel paramento'!$G$58,ABS(M1182)*'Sollecitazioni nel paramento'!$G$54,'Sollecitazioni nel paramento'!$G$53)</f>
        <v>0</v>
      </c>
      <c r="H1182" s="545">
        <f>-'Foglio deposito bis'!$F$61*(C1182-sezione!$AO$31)*IF(ABS(N1182)&lt;'Sollecitazioni nel paramento'!$G$58,ABS(N1182)*'Sollecitazioni nel paramento'!$G$54,'Sollecitazioni nel paramento'!$G$53)</f>
        <v>925094.49295444496</v>
      </c>
      <c r="I1182" s="472">
        <f>-'Foglio deposito bis'!$F$62*(C1182-sezione!$AP$31)*IF(ABS(O1182)&lt;'Sollecitazioni nel paramento'!$G$58,ABS(O1182)*'Sollecitazioni nel paramento'!$G$54,'Sollecitazioni nel paramento'!$G$53)</f>
        <v>95480580.857820168</v>
      </c>
      <c r="J1182" s="472">
        <f t="shared" si="81"/>
        <v>-369702458.02437204</v>
      </c>
      <c r="K1182" s="550">
        <f>'Sollecitazioni nel paramento'!$G$60*(sezione!$AL$31-C1182)/C1182</f>
        <v>-2.5192846723686049E-3</v>
      </c>
      <c r="L1182" s="550">
        <f>'Sollecitazioni nel paramento'!$G$60*(sezione!$AM$31-C1182)/C1182</f>
        <v>-2.0289270085529073E-3</v>
      </c>
      <c r="M1182" s="551">
        <f>'Sollecitazioni nel paramento'!$G$60*(sezione!$AN$31-C1182)/C1182</f>
        <v>-1.53856934473721E-3</v>
      </c>
      <c r="N1182" s="551">
        <f>'Sollecitazioni nel paramento'!$G$60*(sezione!$AO$31-C1182)/C1182</f>
        <v>4.2286131052558053E-4</v>
      </c>
      <c r="O1182" s="551">
        <f>'Sollecitazioni nel paramento'!$G$60*(sezione!$AP$31-C1182)/C1182</f>
        <v>7.4386395110783042E-3</v>
      </c>
      <c r="P1182" s="545">
        <f>-'Sollecitazioni nel paramento'!$G$47*'Sollecitazioni nel paramento'!$G$41*IF(DATI!$G$211="dx",DATI!$E$61,DATI!$E$64*DATI!$E$63)*1000*C1182*sezione!$AD$5</f>
        <v>-5438458.8980388008</v>
      </c>
      <c r="Q1182" s="545">
        <f>'Foglio deposito bis'!$F$58*IF(ABS(K1182)&lt;'Sollecitazioni nel paramento'!$G$58,ABS(K1182)*'Sollecitazioni nel paramento'!$G$54,'Sollecitazioni nel paramento'!$G$53)*IF(K1182&lt;0,-1,1)</f>
        <v>0</v>
      </c>
      <c r="R1182" s="545">
        <f>'Foglio deposito bis'!$F$59*IF(ABS(L1182)&lt;'Sollecitazioni nel paramento'!$G$58,ABS(L1182)*'Sollecitazioni nel paramento'!$G$54,'Sollecitazioni nel paramento'!$G$53)*IF(L1182&lt;0,-1,1)</f>
        <v>-153664.85805602249</v>
      </c>
      <c r="S1182" s="545">
        <f>'Foglio deposito bis'!$F$60*IF(ABS(M1182)&lt;'Sollecitazioni nel paramento'!$G$58,ABS(M1182)*'Sollecitazioni nel paramento'!$G$54,'Sollecitazioni nel paramento'!$G$53)*IF(M1182&lt;0,-1,1)</f>
        <v>0</v>
      </c>
      <c r="T1182" s="545">
        <f>'Foglio deposito bis'!$F$61*IF(ABS(N1182)&lt;'Sollecitazioni nel paramento'!$G$58,ABS(N1182)*'Sollecitazioni nel paramento'!$G$54,'Sollecitazioni nel paramento'!$G$53)*IF(N1182&lt;0,-1,1)</f>
        <v>53637.819668355223</v>
      </c>
      <c r="U1182" s="545">
        <f>'Foglio deposito bis'!$F$62*IF(ABS(O1182)&lt;'Sollecitazioni nel paramento'!$G$58,ABS(O1182)*'Sollecitazioni nel paramento'!$G$54,'Sollecitazioni nel paramento'!$G$53)*IF(O1182&lt;0,-1,1)</f>
        <v>314705.62929873407</v>
      </c>
      <c r="V1182" s="472">
        <f t="shared" si="83"/>
        <v>-5223780.3071277337</v>
      </c>
      <c r="W1182" s="551"/>
      <c r="X1182" s="551"/>
    </row>
    <row r="1183" spans="1:24" x14ac:dyDescent="0.25">
      <c r="A1183" s="545">
        <f t="shared" si="82"/>
        <v>5278448.6000070497</v>
      </c>
      <c r="B1183" s="3">
        <f t="shared" si="84"/>
        <v>21.899999999999945</v>
      </c>
      <c r="C1183" s="545">
        <f>'Foglio deposito bis'!$E$157/sezione!$B$247*B1183</f>
        <v>144.06863908397031</v>
      </c>
      <c r="D1183" s="603">
        <f>-'Sollecitazioni nel paramento'!$G$47*'Sollecitazioni nel paramento'!$G$41*IF(DATI!$G$211="dx",DATI!$E$61,DATI!$E$64*DATI!$E$63)*1000*C1183^2*sezione!$AD$5*(1-sezione!$AD$6)</f>
        <v>-461787882.27225566</v>
      </c>
      <c r="E1183" s="545">
        <f>-'Foglio deposito bis'!$F$58*(C1183-sezione!$AL$31)*IF(ABS(K1183)&lt;'Sollecitazioni nel paramento'!$G$58,ABS(K1183)*'Sollecitazioni nel paramento'!$G$54,'Sollecitazioni nel paramento'!$G$53)</f>
        <v>0</v>
      </c>
      <c r="F1183" s="545">
        <f>-'Foglio deposito bis'!$F$59*(C1183-sezione!$AM$31)*IF(ABS(L1183)&lt;'Sollecitazioni nel paramento'!$G$58,ABS(L1183)*'Sollecitazioni nel paramento'!$G$54,'Sollecitazioni nel paramento'!$G$53)</f>
        <v>-12918395.491801282</v>
      </c>
      <c r="G1183" s="545">
        <f>-'Foglio deposito bis'!$F$60*(C1183-sezione!$AN$31)*IF(ABS(M1183)&lt;'Sollecitazioni nel paramento'!$G$58,ABS(M1183)*'Sollecitazioni nel paramento'!$G$54,'Sollecitazioni nel paramento'!$G$53)</f>
        <v>0</v>
      </c>
      <c r="H1183" s="545">
        <f>-'Foglio deposito bis'!$F$61*(C1183-sezione!$AO$31)*IF(ABS(N1183)&lt;'Sollecitazioni nel paramento'!$G$58,ABS(N1183)*'Sollecitazioni nel paramento'!$G$54,'Sollecitazioni nel paramento'!$G$53)</f>
        <v>782127.41310980835</v>
      </c>
      <c r="I1183" s="472">
        <f>-'Foglio deposito bis'!$F$62*(C1183-sezione!$AP$31)*IF(ABS(O1183)&lt;'Sollecitazioni nel paramento'!$G$58,ABS(O1183)*'Sollecitazioni nel paramento'!$G$54,'Sollecitazioni nel paramento'!$G$53)</f>
        <v>95066524.129736751</v>
      </c>
      <c r="J1183" s="472">
        <f t="shared" si="81"/>
        <v>-378857626.22121036</v>
      </c>
      <c r="K1183" s="550">
        <f>'Sollecitazioni nel paramento'!$G$60*(sezione!$AL$31-C1183)/C1183</f>
        <v>-2.5282409767305356E-3</v>
      </c>
      <c r="L1183" s="550">
        <f>'Sollecitazioni nel paramento'!$G$60*(sezione!$AM$31-C1183)/C1183</f>
        <v>-2.0423614650958034E-3</v>
      </c>
      <c r="M1183" s="551">
        <f>'Sollecitazioni nel paramento'!$G$60*(sezione!$AN$31-C1183)/C1183</f>
        <v>-1.5564819534610709E-3</v>
      </c>
      <c r="N1183" s="551">
        <f>'Sollecitazioni nel paramento'!$G$60*(sezione!$AO$31-C1183)/C1183</f>
        <v>3.8703609307785835E-4</v>
      </c>
      <c r="O1183" s="551">
        <f>'Sollecitazioni nel paramento'!$G$60*(sezione!$AP$31-C1183)/C1183</f>
        <v>7.3387432598355793E-3</v>
      </c>
      <c r="P1183" s="545">
        <f>-'Sollecitazioni nel paramento'!$G$47*'Sollecitazioni nel paramento'!$G$41*IF(DATI!$G$211="dx",DATI!$E$61,DATI!$E$64*DATI!$E$63)*1000*C1183*sezione!$AD$5</f>
        <v>-5488582.9431820158</v>
      </c>
      <c r="Q1183" s="545">
        <f>'Foglio deposito bis'!$F$58*IF(ABS(K1183)&lt;'Sollecitazioni nel paramento'!$G$58,ABS(K1183)*'Sollecitazioni nel paramento'!$G$54,'Sollecitazioni nel paramento'!$G$53)*IF(K1183&lt;0,-1,1)</f>
        <v>0</v>
      </c>
      <c r="R1183" s="545">
        <f>'Foglio deposito bis'!$F$59*IF(ABS(L1183)&lt;'Sollecitazioni nel paramento'!$G$58,ABS(L1183)*'Sollecitazioni nel paramento'!$G$54,'Sollecitazioni nel paramento'!$G$53)*IF(L1183&lt;0,-1,1)</f>
        <v>-153664.85805602249</v>
      </c>
      <c r="S1183" s="545">
        <f>'Foglio deposito bis'!$F$60*IF(ABS(M1183)&lt;'Sollecitazioni nel paramento'!$G$58,ABS(M1183)*'Sollecitazioni nel paramento'!$G$54,'Sollecitazioni nel paramento'!$G$53)*IF(M1183&lt;0,-1,1)</f>
        <v>0</v>
      </c>
      <c r="T1183" s="545">
        <f>'Foglio deposito bis'!$F$61*IF(ABS(N1183)&lt;'Sollecitazioni nel paramento'!$G$58,ABS(N1183)*'Sollecitazioni nel paramento'!$G$54,'Sollecitazioni nel paramento'!$G$53)*IF(N1183&lt;0,-1,1)</f>
        <v>49093.571932254308</v>
      </c>
      <c r="U1183" s="545">
        <f>'Foglio deposito bis'!$F$62*IF(ABS(O1183)&lt;'Sollecitazioni nel paramento'!$G$58,ABS(O1183)*'Sollecitazioni nel paramento'!$G$54,'Sollecitazioni nel paramento'!$G$53)*IF(O1183&lt;0,-1,1)</f>
        <v>314705.62929873407</v>
      </c>
      <c r="V1183" s="472">
        <f t="shared" si="83"/>
        <v>-5278448.6000070497</v>
      </c>
      <c r="W1183" s="551"/>
      <c r="X1183" s="551"/>
    </row>
    <row r="1184" spans="1:24" x14ac:dyDescent="0.25">
      <c r="A1184" s="545">
        <f t="shared" si="82"/>
        <v>5333034.6440585628</v>
      </c>
      <c r="B1184" s="3">
        <f t="shared" si="84"/>
        <v>22.099999999999945</v>
      </c>
      <c r="C1184" s="545">
        <f>'Foglio deposito bis'!$E$157/sezione!$B$247*B1184</f>
        <v>145.38433441807049</v>
      </c>
      <c r="D1184" s="603">
        <f>-'Sollecitazioni nel paramento'!$G$47*'Sollecitazioni nel paramento'!$G$41*IF(DATI!$G$211="dx",DATI!$E$61,DATI!$E$64*DATI!$E$63)*1000*C1184^2*sezione!$AD$5*(1-sezione!$AD$6)</f>
        <v>-470260877.75607759</v>
      </c>
      <c r="E1184" s="545">
        <f>-'Foglio deposito bis'!$F$58*(C1184-sezione!$AL$31)*IF(ABS(K1184)&lt;'Sollecitazioni nel paramento'!$G$58,ABS(K1184)*'Sollecitazioni nel paramento'!$G$54,'Sollecitazioni nel paramento'!$G$53)</f>
        <v>0</v>
      </c>
      <c r="F1184" s="545">
        <f>-'Foglio deposito bis'!$F$59*(C1184-sezione!$AM$31)*IF(ABS(L1184)&lt;'Sollecitazioni nel paramento'!$G$58,ABS(L1184)*'Sollecitazioni nel paramento'!$G$54,'Sollecitazioni nel paramento'!$G$53)</f>
        <v>-13120571.628560759</v>
      </c>
      <c r="G1184" s="545">
        <f>-'Foglio deposito bis'!$F$60*(C1184-sezione!$AN$31)*IF(ABS(M1184)&lt;'Sollecitazioni nel paramento'!$G$58,ABS(M1184)*'Sollecitazioni nel paramento'!$G$54,'Sollecitazioni nel paramento'!$G$53)</f>
        <v>0</v>
      </c>
      <c r="H1184" s="545">
        <f>-'Foglio deposito bis'!$F$61*(C1184-sezione!$AO$31)*IF(ABS(N1184)&lt;'Sollecitazioni nel paramento'!$G$58,ABS(N1184)*'Sollecitazioni nel paramento'!$G$54,'Sollecitazioni nel paramento'!$G$53)</f>
        <v>652320.14571360883</v>
      </c>
      <c r="I1184" s="472">
        <f>-'Foglio deposito bis'!$F$62*(C1184-sezione!$AP$31)*IF(ABS(O1184)&lt;'Sollecitazioni nel paramento'!$G$58,ABS(O1184)*'Sollecitazioni nel paramento'!$G$54,'Sollecitazioni nel paramento'!$G$53)</f>
        <v>94652467.401653334</v>
      </c>
      <c r="J1184" s="472">
        <f t="shared" si="81"/>
        <v>-388076661.83727139</v>
      </c>
      <c r="K1184" s="550">
        <f>'Sollecitazioni nel paramento'!$G$60*(sezione!$AL$31-C1184)/C1184</f>
        <v>-2.5370351760361414E-3</v>
      </c>
      <c r="L1184" s="550">
        <f>'Sollecitazioni nel paramento'!$G$60*(sezione!$AM$31-C1184)/C1184</f>
        <v>-2.0555527640542118E-3</v>
      </c>
      <c r="M1184" s="551">
        <f>'Sollecitazioni nel paramento'!$G$60*(sezione!$AN$31-C1184)/C1184</f>
        <v>-1.5740703520722829E-3</v>
      </c>
      <c r="N1184" s="551">
        <f>'Sollecitazioni nel paramento'!$G$60*(sezione!$AO$31-C1184)/C1184</f>
        <v>3.5185929585543433E-4</v>
      </c>
      <c r="O1184" s="551">
        <f>'Sollecitazioni nel paramento'!$G$60*(sezione!$AP$31-C1184)/C1184</f>
        <v>7.2406550855384239E-3</v>
      </c>
      <c r="P1184" s="545">
        <f>-'Sollecitazioni nel paramento'!$G$47*'Sollecitazioni nel paramento'!$G$41*IF(DATI!$G$211="dx",DATI!$E$61,DATI!$E$64*DATI!$E$63)*1000*C1184*sezione!$AD$5</f>
        <v>-5538706.9883252308</v>
      </c>
      <c r="Q1184" s="545">
        <f>'Foglio deposito bis'!$F$58*IF(ABS(K1184)&lt;'Sollecitazioni nel paramento'!$G$58,ABS(K1184)*'Sollecitazioni nel paramento'!$G$54,'Sollecitazioni nel paramento'!$G$53)*IF(K1184&lt;0,-1,1)</f>
        <v>0</v>
      </c>
      <c r="R1184" s="545">
        <f>'Foglio deposito bis'!$F$59*IF(ABS(L1184)&lt;'Sollecitazioni nel paramento'!$G$58,ABS(L1184)*'Sollecitazioni nel paramento'!$G$54,'Sollecitazioni nel paramento'!$G$53)*IF(L1184&lt;0,-1,1)</f>
        <v>-153664.85805602249</v>
      </c>
      <c r="S1184" s="545">
        <f>'Foglio deposito bis'!$F$60*IF(ABS(M1184)&lt;'Sollecitazioni nel paramento'!$G$58,ABS(M1184)*'Sollecitazioni nel paramento'!$G$54,'Sollecitazioni nel paramento'!$G$53)*IF(M1184&lt;0,-1,1)</f>
        <v>0</v>
      </c>
      <c r="T1184" s="545">
        <f>'Foglio deposito bis'!$F$61*IF(ABS(N1184)&lt;'Sollecitazioni nel paramento'!$G$58,ABS(N1184)*'Sollecitazioni nel paramento'!$G$54,'Sollecitazioni nel paramento'!$G$53)*IF(N1184&lt;0,-1,1)</f>
        <v>44631.573023956116</v>
      </c>
      <c r="U1184" s="545">
        <f>'Foglio deposito bis'!$F$62*IF(ABS(O1184)&lt;'Sollecitazioni nel paramento'!$G$58,ABS(O1184)*'Sollecitazioni nel paramento'!$G$54,'Sollecitazioni nel paramento'!$G$53)*IF(O1184&lt;0,-1,1)</f>
        <v>314705.62929873407</v>
      </c>
      <c r="V1184" s="472">
        <f t="shared" si="83"/>
        <v>-5333034.6440585628</v>
      </c>
      <c r="W1184" s="551"/>
      <c r="X1184" s="551"/>
    </row>
    <row r="1185" spans="1:24" x14ac:dyDescent="0.25">
      <c r="A1185" s="545">
        <f t="shared" si="82"/>
        <v>5387540.6522552175</v>
      </c>
      <c r="B1185" s="3">
        <f t="shared" si="84"/>
        <v>22.299999999999944</v>
      </c>
      <c r="C1185" s="545">
        <f>'Foglio deposito bis'!$E$157/sezione!$B$247*B1185</f>
        <v>146.70002975217068</v>
      </c>
      <c r="D1185" s="603">
        <f>-'Sollecitazioni nel paramento'!$G$47*'Sollecitazioni nel paramento'!$G$41*IF(DATI!$G$211="dx",DATI!$E$61,DATI!$E$64*DATI!$E$63)*1000*C1185^2*sezione!$AD$5*(1-sezione!$AD$6)</f>
        <v>-478810900.47157061</v>
      </c>
      <c r="E1185" s="545">
        <f>-'Foglio deposito bis'!$F$58*(C1185-sezione!$AL$31)*IF(ABS(K1185)&lt;'Sollecitazioni nel paramento'!$G$58,ABS(K1185)*'Sollecitazioni nel paramento'!$G$54,'Sollecitazioni nel paramento'!$G$53)</f>
        <v>0</v>
      </c>
      <c r="F1185" s="545">
        <f>-'Foglio deposito bis'!$F$59*(C1185-sezione!$AM$31)*IF(ABS(L1185)&lt;'Sollecitazioni nel paramento'!$G$58,ABS(L1185)*'Sollecitazioni nel paramento'!$G$54,'Sollecitazioni nel paramento'!$G$53)</f>
        <v>-13322747.765320236</v>
      </c>
      <c r="G1185" s="545">
        <f>-'Foglio deposito bis'!$F$60*(C1185-sezione!$AN$31)*IF(ABS(M1185)&lt;'Sollecitazioni nel paramento'!$G$58,ABS(M1185)*'Sollecitazioni nel paramento'!$G$54,'Sollecitazioni nel paramento'!$G$53)</f>
        <v>0</v>
      </c>
      <c r="H1185" s="545">
        <f>-'Foglio deposito bis'!$F$61*(C1185-sezione!$AO$31)*IF(ABS(N1185)&lt;'Sollecitazioni nel paramento'!$G$58,ABS(N1185)*'Sollecitazioni nel paramento'!$G$54,'Sollecitazioni nel paramento'!$G$53)</f>
        <v>535318.61509458802</v>
      </c>
      <c r="I1185" s="472">
        <f>-'Foglio deposito bis'!$F$62*(C1185-sezione!$AP$31)*IF(ABS(O1185)&lt;'Sollecitazioni nel paramento'!$G$58,ABS(O1185)*'Sollecitazioni nel paramento'!$G$54,'Sollecitazioni nel paramento'!$G$53)</f>
        <v>94238410.673569933</v>
      </c>
      <c r="J1185" s="472">
        <f t="shared" si="81"/>
        <v>-397359918.94822633</v>
      </c>
      <c r="K1185" s="550">
        <f>'Sollecitazioni nel paramento'!$G$60*(sezione!$AL$31-C1185)/C1185</f>
        <v>-2.545671631856445E-3</v>
      </c>
      <c r="L1185" s="550">
        <f>'Sollecitazioni nel paramento'!$G$60*(sezione!$AM$31-C1185)/C1185</f>
        <v>-2.0685074477846677E-3</v>
      </c>
      <c r="M1185" s="551">
        <f>'Sollecitazioni nel paramento'!$G$60*(sezione!$AN$31-C1185)/C1185</f>
        <v>-1.5913432637128901E-3</v>
      </c>
      <c r="N1185" s="551">
        <f>'Sollecitazioni nel paramento'!$G$60*(sezione!$AO$31-C1185)/C1185</f>
        <v>3.1731347257421972E-4</v>
      </c>
      <c r="O1185" s="551">
        <f>'Sollecitazioni nel paramento'!$G$60*(sezione!$AP$31-C1185)/C1185</f>
        <v>7.1443263403766465E-3</v>
      </c>
      <c r="P1185" s="545">
        <f>-'Sollecitazioni nel paramento'!$G$47*'Sollecitazioni nel paramento'!$G$41*IF(DATI!$G$211="dx",DATI!$E$61,DATI!$E$64*DATI!$E$63)*1000*C1185*sezione!$AD$5</f>
        <v>-5588831.0334684448</v>
      </c>
      <c r="Q1185" s="545">
        <f>'Foglio deposito bis'!$F$58*IF(ABS(K1185)&lt;'Sollecitazioni nel paramento'!$G$58,ABS(K1185)*'Sollecitazioni nel paramento'!$G$54,'Sollecitazioni nel paramento'!$G$53)*IF(K1185&lt;0,-1,1)</f>
        <v>0</v>
      </c>
      <c r="R1185" s="545">
        <f>'Foglio deposito bis'!$F$59*IF(ABS(L1185)&lt;'Sollecitazioni nel paramento'!$G$58,ABS(L1185)*'Sollecitazioni nel paramento'!$G$54,'Sollecitazioni nel paramento'!$G$53)*IF(L1185&lt;0,-1,1)</f>
        <v>-153664.85805602249</v>
      </c>
      <c r="S1185" s="545">
        <f>'Foglio deposito bis'!$F$60*IF(ABS(M1185)&lt;'Sollecitazioni nel paramento'!$G$58,ABS(M1185)*'Sollecitazioni nel paramento'!$G$54,'Sollecitazioni nel paramento'!$G$53)*IF(M1185&lt;0,-1,1)</f>
        <v>0</v>
      </c>
      <c r="T1185" s="545">
        <f>'Foglio deposito bis'!$F$61*IF(ABS(N1185)&lt;'Sollecitazioni nel paramento'!$G$58,ABS(N1185)*'Sollecitazioni nel paramento'!$G$54,'Sollecitazioni nel paramento'!$G$53)*IF(N1185&lt;0,-1,1)</f>
        <v>40249.60997051531</v>
      </c>
      <c r="U1185" s="545">
        <f>'Foglio deposito bis'!$F$62*IF(ABS(O1185)&lt;'Sollecitazioni nel paramento'!$G$58,ABS(O1185)*'Sollecitazioni nel paramento'!$G$54,'Sollecitazioni nel paramento'!$G$53)*IF(O1185&lt;0,-1,1)</f>
        <v>314705.62929873407</v>
      </c>
      <c r="V1185" s="472">
        <f t="shared" si="83"/>
        <v>-5387540.6522552175</v>
      </c>
      <c r="W1185" s="551"/>
      <c r="X1185" s="551"/>
    </row>
    <row r="1186" spans="1:24" x14ac:dyDescent="0.25">
      <c r="A1186" s="545">
        <f t="shared" si="82"/>
        <v>5441968.7588864788</v>
      </c>
      <c r="B1186" s="3">
        <f t="shared" si="84"/>
        <v>22.499999999999943</v>
      </c>
      <c r="C1186" s="545">
        <f>'Foglio deposito bis'!$E$157/sezione!$B$247*B1186</f>
        <v>148.01572508627086</v>
      </c>
      <c r="D1186" s="603">
        <f>-'Sollecitazioni nel paramento'!$G$47*'Sollecitazioni nel paramento'!$G$41*IF(DATI!$G$211="dx",DATI!$E$61,DATI!$E$64*DATI!$E$63)*1000*C1186^2*sezione!$AD$5*(1-sezione!$AD$6)</f>
        <v>-487437950.41873479</v>
      </c>
      <c r="E1186" s="545">
        <f>-'Foglio deposito bis'!$F$58*(C1186-sezione!$AL$31)*IF(ABS(K1186)&lt;'Sollecitazioni nel paramento'!$G$58,ABS(K1186)*'Sollecitazioni nel paramento'!$G$54,'Sollecitazioni nel paramento'!$G$53)</f>
        <v>0</v>
      </c>
      <c r="F1186" s="545">
        <f>-'Foglio deposito bis'!$F$59*(C1186-sezione!$AM$31)*IF(ABS(L1186)&lt;'Sollecitazioni nel paramento'!$G$58,ABS(L1186)*'Sollecitazioni nel paramento'!$G$54,'Sollecitazioni nel paramento'!$G$53)</f>
        <v>-13524923.902079711</v>
      </c>
      <c r="G1186" s="545">
        <f>-'Foglio deposito bis'!$F$60*(C1186-sezione!$AN$31)*IF(ABS(M1186)&lt;'Sollecitazioni nel paramento'!$G$58,ABS(M1186)*'Sollecitazioni nel paramento'!$G$54,'Sollecitazioni nel paramento'!$G$53)</f>
        <v>0</v>
      </c>
      <c r="H1186" s="545">
        <f>-'Foglio deposito bis'!$F$61*(C1186-sezione!$AO$31)*IF(ABS(N1186)&lt;'Sollecitazioni nel paramento'!$G$58,ABS(N1186)*'Sollecitazioni nel paramento'!$G$54,'Sollecitazioni nel paramento'!$G$53)</f>
        <v>430781.33493868768</v>
      </c>
      <c r="I1186" s="472">
        <f>-'Foglio deposito bis'!$F$62*(C1186-sezione!$AP$31)*IF(ABS(O1186)&lt;'Sollecitazioni nel paramento'!$G$58,ABS(O1186)*'Sollecitazioni nel paramento'!$G$54,'Sollecitazioni nel paramento'!$G$53)</f>
        <v>93824353.945486531</v>
      </c>
      <c r="J1186" s="472">
        <f t="shared" si="81"/>
        <v>-406707739.04038924</v>
      </c>
      <c r="K1186" s="550">
        <f>'Sollecitazioni nel paramento'!$G$60*(sezione!$AL$31-C1186)/C1186</f>
        <v>-2.5541545506843882E-3</v>
      </c>
      <c r="L1186" s="550">
        <f>'Sollecitazioni nel paramento'!$G$60*(sezione!$AM$31-C1186)/C1186</f>
        <v>-2.081231826026582E-3</v>
      </c>
      <c r="M1186" s="551">
        <f>'Sollecitazioni nel paramento'!$G$60*(sezione!$AN$31-C1186)/C1186</f>
        <v>-1.6083091013687756E-3</v>
      </c>
      <c r="N1186" s="551">
        <f>'Sollecitazioni nel paramento'!$G$60*(sezione!$AO$31-C1186)/C1186</f>
        <v>2.8338179726244891E-4</v>
      </c>
      <c r="O1186" s="551">
        <f>'Sollecitazioni nel paramento'!$G$60*(sezione!$AP$31-C1186)/C1186</f>
        <v>7.0497101062399654E-3</v>
      </c>
      <c r="P1186" s="545">
        <f>-'Sollecitazioni nel paramento'!$G$47*'Sollecitazioni nel paramento'!$G$41*IF(DATI!$G$211="dx",DATI!$E$61,DATI!$E$64*DATI!$E$63)*1000*C1186*sezione!$AD$5</f>
        <v>-5638955.0786116598</v>
      </c>
      <c r="Q1186" s="545">
        <f>'Foglio deposito bis'!$F$58*IF(ABS(K1186)&lt;'Sollecitazioni nel paramento'!$G$58,ABS(K1186)*'Sollecitazioni nel paramento'!$G$54,'Sollecitazioni nel paramento'!$G$53)*IF(K1186&lt;0,-1,1)</f>
        <v>0</v>
      </c>
      <c r="R1186" s="545">
        <f>'Foglio deposito bis'!$F$59*IF(ABS(L1186)&lt;'Sollecitazioni nel paramento'!$G$58,ABS(L1186)*'Sollecitazioni nel paramento'!$G$54,'Sollecitazioni nel paramento'!$G$53)*IF(L1186&lt;0,-1,1)</f>
        <v>-153664.85805602249</v>
      </c>
      <c r="S1186" s="545">
        <f>'Foglio deposito bis'!$F$60*IF(ABS(M1186)&lt;'Sollecitazioni nel paramento'!$G$58,ABS(M1186)*'Sollecitazioni nel paramento'!$G$54,'Sollecitazioni nel paramento'!$G$53)*IF(M1186&lt;0,-1,1)</f>
        <v>0</v>
      </c>
      <c r="T1186" s="545">
        <f>'Foglio deposito bis'!$F$61*IF(ABS(N1186)&lt;'Sollecitazioni nel paramento'!$G$58,ABS(N1186)*'Sollecitazioni nel paramento'!$G$54,'Sollecitazioni nel paramento'!$G$53)*IF(N1186&lt;0,-1,1)</f>
        <v>35945.548482468999</v>
      </c>
      <c r="U1186" s="545">
        <f>'Foglio deposito bis'!$F$62*IF(ABS(O1186)&lt;'Sollecitazioni nel paramento'!$G$58,ABS(O1186)*'Sollecitazioni nel paramento'!$G$54,'Sollecitazioni nel paramento'!$G$53)*IF(O1186&lt;0,-1,1)</f>
        <v>314705.62929873407</v>
      </c>
      <c r="V1186" s="472">
        <f t="shared" si="83"/>
        <v>-5441968.7588864788</v>
      </c>
      <c r="W1186" s="551"/>
      <c r="X1186" s="551"/>
    </row>
    <row r="1187" spans="1:24" x14ac:dyDescent="0.25">
      <c r="A1187" s="545">
        <f t="shared" si="82"/>
        <v>5496321.023024559</v>
      </c>
      <c r="B1187" s="3">
        <f t="shared" si="84"/>
        <v>22.699999999999942</v>
      </c>
      <c r="C1187" s="545">
        <f>'Foglio deposito bis'!$E$157/sezione!$B$247*B1187</f>
        <v>149.33142042037105</v>
      </c>
      <c r="D1187" s="603">
        <f>-'Sollecitazioni nel paramento'!$G$47*'Sollecitazioni nel paramento'!$G$41*IF(DATI!$G$211="dx",DATI!$E$61,DATI!$E$64*DATI!$E$63)*1000*C1187^2*sezione!$AD$5*(1-sezione!$AD$6)</f>
        <v>-496142027.59757012</v>
      </c>
      <c r="E1187" s="545">
        <f>-'Foglio deposito bis'!$F$58*(C1187-sezione!$AL$31)*IF(ABS(K1187)&lt;'Sollecitazioni nel paramento'!$G$58,ABS(K1187)*'Sollecitazioni nel paramento'!$G$54,'Sollecitazioni nel paramento'!$G$53)</f>
        <v>0</v>
      </c>
      <c r="F1187" s="545">
        <f>-'Foglio deposito bis'!$F$59*(C1187-sezione!$AM$31)*IF(ABS(L1187)&lt;'Sollecitazioni nel paramento'!$G$58,ABS(L1187)*'Sollecitazioni nel paramento'!$G$54,'Sollecitazioni nel paramento'!$G$53)</f>
        <v>-13727100.038839187</v>
      </c>
      <c r="G1187" s="545">
        <f>-'Foglio deposito bis'!$F$60*(C1187-sezione!$AN$31)*IF(ABS(M1187)&lt;'Sollecitazioni nel paramento'!$G$58,ABS(M1187)*'Sollecitazioni nel paramento'!$G$54,'Sollecitazioni nel paramento'!$G$53)</f>
        <v>0</v>
      </c>
      <c r="H1187" s="545">
        <f>-'Foglio deposito bis'!$F$61*(C1187-sezione!$AO$31)*IF(ABS(N1187)&lt;'Sollecitazioni nel paramento'!$G$58,ABS(N1187)*'Sollecitazioni nel paramento'!$G$54,'Sollecitazioni nel paramento'!$G$53)</f>
        <v>338378.85369181656</v>
      </c>
      <c r="I1187" s="472">
        <f>-'Foglio deposito bis'!$F$62*(C1187-sezione!$AP$31)*IF(ABS(O1187)&lt;'Sollecitazioni nel paramento'!$G$58,ABS(O1187)*'Sollecitazioni nel paramento'!$G$54,'Sollecitazioni nel paramento'!$G$53)</f>
        <v>93410297.217403129</v>
      </c>
      <c r="J1187" s="472">
        <f t="shared" si="81"/>
        <v>-416120451.56531435</v>
      </c>
      <c r="K1187" s="550">
        <f>'Sollecitazioni nel paramento'!$G$60*(sezione!$AL$31-C1187)/C1187</f>
        <v>-2.5624879907664637E-3</v>
      </c>
      <c r="L1187" s="550">
        <f>'Sollecitazioni nel paramento'!$G$60*(sezione!$AM$31-C1187)/C1187</f>
        <v>-2.0937319861496955E-3</v>
      </c>
      <c r="M1187" s="551">
        <f>'Sollecitazioni nel paramento'!$G$60*(sezione!$AN$31-C1187)/C1187</f>
        <v>-1.6249759815329273E-3</v>
      </c>
      <c r="N1187" s="551">
        <f>'Sollecitazioni nel paramento'!$G$60*(sezione!$AO$31-C1187)/C1187</f>
        <v>2.5004803693414541E-4</v>
      </c>
      <c r="O1187" s="551">
        <f>'Sollecitazioni nel paramento'!$G$60*(sezione!$AP$31-C1187)/C1187</f>
        <v>6.9567611185197891E-3</v>
      </c>
      <c r="P1187" s="545">
        <f>-'Sollecitazioni nel paramento'!$G$47*'Sollecitazioni nel paramento'!$G$41*IF(DATI!$G$211="dx",DATI!$E$61,DATI!$E$64*DATI!$E$63)*1000*C1187*sezione!$AD$5</f>
        <v>-5689079.1237548748</v>
      </c>
      <c r="Q1187" s="545">
        <f>'Foglio deposito bis'!$F$58*IF(ABS(K1187)&lt;'Sollecitazioni nel paramento'!$G$58,ABS(K1187)*'Sollecitazioni nel paramento'!$G$54,'Sollecitazioni nel paramento'!$G$53)*IF(K1187&lt;0,-1,1)</f>
        <v>0</v>
      </c>
      <c r="R1187" s="545">
        <f>'Foglio deposito bis'!$F$59*IF(ABS(L1187)&lt;'Sollecitazioni nel paramento'!$G$58,ABS(L1187)*'Sollecitazioni nel paramento'!$G$54,'Sollecitazioni nel paramento'!$G$53)*IF(L1187&lt;0,-1,1)</f>
        <v>-153664.85805602249</v>
      </c>
      <c r="S1187" s="545">
        <f>'Foglio deposito bis'!$F$60*IF(ABS(M1187)&lt;'Sollecitazioni nel paramento'!$G$58,ABS(M1187)*'Sollecitazioni nel paramento'!$G$54,'Sollecitazioni nel paramento'!$G$53)*IF(M1187&lt;0,-1,1)</f>
        <v>0</v>
      </c>
      <c r="T1187" s="545">
        <f>'Foglio deposito bis'!$F$61*IF(ABS(N1187)&lt;'Sollecitazioni nel paramento'!$G$58,ABS(N1187)*'Sollecitazioni nel paramento'!$G$54,'Sollecitazioni nel paramento'!$G$53)*IF(N1187&lt;0,-1,1)</f>
        <v>31717.329487604118</v>
      </c>
      <c r="U1187" s="545">
        <f>'Foglio deposito bis'!$F$62*IF(ABS(O1187)&lt;'Sollecitazioni nel paramento'!$G$58,ABS(O1187)*'Sollecitazioni nel paramento'!$G$54,'Sollecitazioni nel paramento'!$G$53)*IF(O1187&lt;0,-1,1)</f>
        <v>314705.62929873407</v>
      </c>
      <c r="V1187" s="472">
        <f t="shared" si="83"/>
        <v>-5496321.023024559</v>
      </c>
      <c r="W1187" s="551"/>
      <c r="X1187" s="551"/>
    </row>
    <row r="1188" spans="1:24" x14ac:dyDescent="0.25">
      <c r="A1188" s="545">
        <f t="shared" si="82"/>
        <v>5550599.4318090165</v>
      </c>
      <c r="B1188" s="3">
        <f t="shared" si="84"/>
        <v>22.899999999999942</v>
      </c>
      <c r="C1188" s="545">
        <f>'Foglio deposito bis'!$E$157/sezione!$B$247*B1188</f>
        <v>150.64711575447123</v>
      </c>
      <c r="D1188" s="603">
        <f>-'Sollecitazioni nel paramento'!$G$47*'Sollecitazioni nel paramento'!$G$41*IF(DATI!$G$211="dx",DATI!$E$61,DATI!$E$64*DATI!$E$63)*1000*C1188^2*sezione!$AD$5*(1-sezione!$AD$6)</f>
        <v>-504923132.00807643</v>
      </c>
      <c r="E1188" s="545">
        <f>-'Foglio deposito bis'!$F$58*(C1188-sezione!$AL$31)*IF(ABS(K1188)&lt;'Sollecitazioni nel paramento'!$G$58,ABS(K1188)*'Sollecitazioni nel paramento'!$G$54,'Sollecitazioni nel paramento'!$G$53)</f>
        <v>0</v>
      </c>
      <c r="F1188" s="545">
        <f>-'Foglio deposito bis'!$F$59*(C1188-sezione!$AM$31)*IF(ABS(L1188)&lt;'Sollecitazioni nel paramento'!$G$58,ABS(L1188)*'Sollecitazioni nel paramento'!$G$54,'Sollecitazioni nel paramento'!$G$53)</f>
        <v>-13929276.17559866</v>
      </c>
      <c r="G1188" s="545">
        <f>-'Foglio deposito bis'!$F$60*(C1188-sezione!$AN$31)*IF(ABS(M1188)&lt;'Sollecitazioni nel paramento'!$G$58,ABS(M1188)*'Sollecitazioni nel paramento'!$G$54,'Sollecitazioni nel paramento'!$G$53)</f>
        <v>0</v>
      </c>
      <c r="H1188" s="545">
        <f>-'Foglio deposito bis'!$F$61*(C1188-sezione!$AO$31)*IF(ABS(N1188)&lt;'Sollecitazioni nel paramento'!$G$58,ABS(N1188)*'Sollecitazioni nel paramento'!$G$54,'Sollecitazioni nel paramento'!$G$53)</f>
        <v>257793.22902448048</v>
      </c>
      <c r="I1188" s="472">
        <f>-'Foglio deposito bis'!$F$62*(C1188-sezione!$AP$31)*IF(ABS(O1188)&lt;'Sollecitazioni nel paramento'!$G$58,ABS(O1188)*'Sollecitazioni nel paramento'!$G$54,'Sollecitazioni nel paramento'!$G$53)</f>
        <v>92996240.489319712</v>
      </c>
      <c r="J1188" s="472">
        <f t="shared" si="81"/>
        <v>-425598374.46533096</v>
      </c>
      <c r="K1188" s="550">
        <f>'Sollecitazioni nel paramento'!$G$60*(sezione!$AL$31-C1188)/C1188</f>
        <v>-2.5706758685763637E-3</v>
      </c>
      <c r="L1188" s="550">
        <f>'Sollecitazioni nel paramento'!$G$60*(sezione!$AM$31-C1188)/C1188</f>
        <v>-2.1060138028645451E-3</v>
      </c>
      <c r="M1188" s="551">
        <f>'Sollecitazioni nel paramento'!$G$60*(sezione!$AN$31-C1188)/C1188</f>
        <v>-1.641351737152727E-3</v>
      </c>
      <c r="N1188" s="551">
        <f>'Sollecitazioni nel paramento'!$G$60*(sezione!$AO$31-C1188)/C1188</f>
        <v>2.1729652569454593E-4</v>
      </c>
      <c r="O1188" s="551">
        <f>'Sollecitazioni nel paramento'!$G$60*(sezione!$AP$31-C1188)/C1188</f>
        <v>6.8654356939038949E-3</v>
      </c>
      <c r="P1188" s="545">
        <f>-'Sollecitazioni nel paramento'!$G$47*'Sollecitazioni nel paramento'!$G$41*IF(DATI!$G$211="dx",DATI!$E$61,DATI!$E$64*DATI!$E$63)*1000*C1188*sezione!$AD$5</f>
        <v>-5739203.1688980898</v>
      </c>
      <c r="Q1188" s="545">
        <f>'Foglio deposito bis'!$F$58*IF(ABS(K1188)&lt;'Sollecitazioni nel paramento'!$G$58,ABS(K1188)*'Sollecitazioni nel paramento'!$G$54,'Sollecitazioni nel paramento'!$G$53)*IF(K1188&lt;0,-1,1)</f>
        <v>0</v>
      </c>
      <c r="R1188" s="545">
        <f>'Foglio deposito bis'!$F$59*IF(ABS(L1188)&lt;'Sollecitazioni nel paramento'!$G$58,ABS(L1188)*'Sollecitazioni nel paramento'!$G$54,'Sollecitazioni nel paramento'!$G$53)*IF(L1188&lt;0,-1,1)</f>
        <v>-153664.85805602249</v>
      </c>
      <c r="S1188" s="545">
        <f>'Foglio deposito bis'!$F$60*IF(ABS(M1188)&lt;'Sollecitazioni nel paramento'!$G$58,ABS(M1188)*'Sollecitazioni nel paramento'!$G$54,'Sollecitazioni nel paramento'!$G$53)*IF(M1188&lt;0,-1,1)</f>
        <v>0</v>
      </c>
      <c r="T1188" s="545">
        <f>'Foglio deposito bis'!$F$61*IF(ABS(N1188)&lt;'Sollecitazioni nel paramento'!$G$58,ABS(N1188)*'Sollecitazioni nel paramento'!$G$54,'Sollecitazioni nel paramento'!$G$53)*IF(N1188&lt;0,-1,1)</f>
        <v>27562.965846361334</v>
      </c>
      <c r="U1188" s="545">
        <f>'Foglio deposito bis'!$F$62*IF(ABS(O1188)&lt;'Sollecitazioni nel paramento'!$G$58,ABS(O1188)*'Sollecitazioni nel paramento'!$G$54,'Sollecitazioni nel paramento'!$G$53)*IF(O1188&lt;0,-1,1)</f>
        <v>314705.62929873407</v>
      </c>
      <c r="V1188" s="472">
        <f t="shared" si="83"/>
        <v>-5550599.4318090165</v>
      </c>
      <c r="W1188" s="551"/>
      <c r="X1188" s="551"/>
    </row>
    <row r="1189" spans="1:24" x14ac:dyDescent="0.25">
      <c r="A1189" s="545">
        <f t="shared" si="82"/>
        <v>5820948.5392523315</v>
      </c>
      <c r="B1189" s="3">
        <f t="shared" ref="B1189:B1239" si="85">B1188+1</f>
        <v>23.899999999999942</v>
      </c>
      <c r="C1189" s="545">
        <f>'Foglio deposito bis'!$E$157/sezione!$B$247*B1189</f>
        <v>157.22559242497218</v>
      </c>
      <c r="D1189" s="603">
        <f>-'Sollecitazioni nel paramento'!$G$47*'Sollecitazioni nel paramento'!$G$41*IF(DATI!$G$211="dx",DATI!$E$61,DATI!$E$64*DATI!$E$63)*1000*C1189^2*sezione!$AD$5*(1-sezione!$AD$6)</f>
        <v>-549984062.53567517</v>
      </c>
      <c r="E1189" s="545">
        <f>-'Foglio deposito bis'!$F$58*(C1189-sezione!$AL$31)*IF(ABS(K1189)&lt;'Sollecitazioni nel paramento'!$G$58,ABS(K1189)*'Sollecitazioni nel paramento'!$G$54,'Sollecitazioni nel paramento'!$G$53)</f>
        <v>0</v>
      </c>
      <c r="F1189" s="545">
        <f>-'Foglio deposito bis'!$F$59*(C1189-sezione!$AM$31)*IF(ABS(L1189)&lt;'Sollecitazioni nel paramento'!$G$58,ABS(L1189)*'Sollecitazioni nel paramento'!$G$54,'Sollecitazioni nel paramento'!$G$53)</f>
        <v>-14940156.859396044</v>
      </c>
      <c r="G1189" s="545">
        <f>-'Foglio deposito bis'!$F$60*(C1189-sezione!$AN$31)*IF(ABS(M1189)&lt;'Sollecitazioni nel paramento'!$G$58,ABS(M1189)*'Sollecitazioni nel paramento'!$G$54,'Sollecitazioni nel paramento'!$G$53)</f>
        <v>0</v>
      </c>
      <c r="H1189" s="545">
        <f>-'Foglio deposito bis'!$F$61*(C1189-sezione!$AO$31)*IF(ABS(N1189)&lt;'Sollecitazioni nel paramento'!$G$58,ABS(N1189)*'Sollecitazioni nel paramento'!$G$54,'Sollecitazioni nel paramento'!$G$53)</f>
        <v>21734.942323492862</v>
      </c>
      <c r="I1189" s="472">
        <f>-'Foglio deposito bis'!$F$62*(C1189-sezione!$AP$31)*IF(ABS(O1189)&lt;'Sollecitazioni nel paramento'!$G$58,ABS(O1189)*'Sollecitazioni nel paramento'!$G$54,'Sollecitazioni nel paramento'!$G$53)</f>
        <v>90925956.848902687</v>
      </c>
      <c r="J1189" s="472">
        <f t="shared" ref="J1189:J1239" si="86">D1189+E1189+F1189+G1189+H1189+I1189</f>
        <v>-473976527.60384512</v>
      </c>
      <c r="K1189" s="550">
        <f>'Sollecitazioni nel paramento'!$G$60*(sezione!$AL$31-C1189)/C1189</f>
        <v>-2.6095597234476456E-3</v>
      </c>
      <c r="L1189" s="550">
        <f>'Sollecitazioni nel paramento'!$G$60*(sezione!$AM$31-C1189)/C1189</f>
        <v>-2.1643395851714685E-3</v>
      </c>
      <c r="M1189" s="551">
        <f>'Sollecitazioni nel paramento'!$G$60*(sezione!$AN$31-C1189)/C1189</f>
        <v>-1.719119446895291E-3</v>
      </c>
      <c r="N1189" s="551">
        <f>'Sollecitazioni nel paramento'!$G$60*(sezione!$AO$31-C1189)/C1189</f>
        <v>6.1761106209418044E-5</v>
      </c>
      <c r="O1189" s="551">
        <f>'Sollecitazioni nel paramento'!$G$60*(sezione!$AP$31-C1189)/C1189</f>
        <v>6.4317354556652374E-3</v>
      </c>
      <c r="P1189" s="545">
        <f>-'Sollecitazioni nel paramento'!$G$47*'Sollecitazioni nel paramento'!$G$41*IF(DATI!$G$211="dx",DATI!$E$61,DATI!$E$64*DATI!$E$63)*1000*C1189*sezione!$AD$5</f>
        <v>-5989823.3946141638</v>
      </c>
      <c r="Q1189" s="545">
        <f>'Foglio deposito bis'!$F$58*IF(ABS(K1189)&lt;'Sollecitazioni nel paramento'!$G$58,ABS(K1189)*'Sollecitazioni nel paramento'!$G$54,'Sollecitazioni nel paramento'!$G$53)*IF(K1189&lt;0,-1,1)</f>
        <v>0</v>
      </c>
      <c r="R1189" s="545">
        <f>'Foglio deposito bis'!$F$59*IF(ABS(L1189)&lt;'Sollecitazioni nel paramento'!$G$58,ABS(L1189)*'Sollecitazioni nel paramento'!$G$54,'Sollecitazioni nel paramento'!$G$53)*IF(L1189&lt;0,-1,1)</f>
        <v>-153664.85805602249</v>
      </c>
      <c r="S1189" s="545">
        <f>'Foglio deposito bis'!$F$60*IF(ABS(M1189)&lt;'Sollecitazioni nel paramento'!$G$58,ABS(M1189)*'Sollecitazioni nel paramento'!$G$54,'Sollecitazioni nel paramento'!$G$53)*IF(M1189&lt;0,-1,1)</f>
        <v>0</v>
      </c>
      <c r="T1189" s="545">
        <f>'Foglio deposito bis'!$F$61*IF(ABS(N1189)&lt;'Sollecitazioni nel paramento'!$G$58,ABS(N1189)*'Sollecitazioni nel paramento'!$G$54,'Sollecitazioni nel paramento'!$G$53)*IF(N1189&lt;0,-1,1)</f>
        <v>7834.0841191204199</v>
      </c>
      <c r="U1189" s="545">
        <f>'Foglio deposito bis'!$F$62*IF(ABS(O1189)&lt;'Sollecitazioni nel paramento'!$G$58,ABS(O1189)*'Sollecitazioni nel paramento'!$G$54,'Sollecitazioni nel paramento'!$G$53)*IF(O1189&lt;0,-1,1)</f>
        <v>314705.62929873407</v>
      </c>
      <c r="V1189" s="472">
        <f t="shared" si="83"/>
        <v>-5820948.5392523315</v>
      </c>
      <c r="W1189" s="551"/>
      <c r="X1189" s="551"/>
    </row>
    <row r="1190" spans="1:24" x14ac:dyDescent="0.25">
      <c r="A1190" s="545">
        <f t="shared" ref="A1190:A1239" si="87">ABS(V1190)</f>
        <v>6089712.9975609295</v>
      </c>
      <c r="B1190" s="3">
        <f t="shared" si="85"/>
        <v>24.899999999999942</v>
      </c>
      <c r="C1190" s="545">
        <f>'Foglio deposito bis'!$E$157/sezione!$B$247*B1190</f>
        <v>163.80406909547312</v>
      </c>
      <c r="D1190" s="603">
        <f>-'Sollecitazioni nel paramento'!$G$47*'Sollecitazioni nel paramento'!$G$41*IF(DATI!$G$211="dx",DATI!$E$61,DATI!$E$64*DATI!$E$63)*1000*C1190^2*sezione!$AD$5*(1-sezione!$AD$6)</f>
        <v>-596970673.85505164</v>
      </c>
      <c r="E1190" s="545">
        <f>-'Foglio deposito bis'!$F$58*(C1190-sezione!$AL$31)*IF(ABS(K1190)&lt;'Sollecitazioni nel paramento'!$G$58,ABS(K1190)*'Sollecitazioni nel paramento'!$G$54,'Sollecitazioni nel paramento'!$G$53)</f>
        <v>0</v>
      </c>
      <c r="F1190" s="545">
        <f>-'Foglio deposito bis'!$F$59*(C1190-sezione!$AM$31)*IF(ABS(L1190)&lt;'Sollecitazioni nel paramento'!$G$58,ABS(L1190)*'Sollecitazioni nel paramento'!$G$54,'Sollecitazioni nel paramento'!$G$53)</f>
        <v>-15951037.543193428</v>
      </c>
      <c r="G1190" s="545">
        <f>-'Foglio deposito bis'!$F$60*(C1190-sezione!$AN$31)*IF(ABS(M1190)&lt;'Sollecitazioni nel paramento'!$G$58,ABS(M1190)*'Sollecitazioni nel paramento'!$G$54,'Sollecitazioni nel paramento'!$G$53)</f>
        <v>0</v>
      </c>
      <c r="H1190" s="545">
        <f>-'Foglio deposito bis'!$F$61*(C1190-sezione!$AO$31)*IF(ABS(N1190)&lt;'Sollecitazioni nel paramento'!$G$58,ABS(N1190)*'Sollecitazioni nel paramento'!$G$54,'Sollecitazioni nel paramento'!$G$53)</f>
        <v>-39220.517177409281</v>
      </c>
      <c r="I1190" s="472">
        <f>-'Foglio deposito bis'!$F$62*(C1190-sezione!$AP$31)*IF(ABS(O1190)&lt;'Sollecitazioni nel paramento'!$G$58,ABS(O1190)*'Sollecitazioni nel paramento'!$G$54,'Sollecitazioni nel paramento'!$G$53)</f>
        <v>88855673.208485618</v>
      </c>
      <c r="J1190" s="472">
        <f t="shared" si="86"/>
        <v>-524105258.70693696</v>
      </c>
      <c r="K1190" s="550">
        <f>'Sollecitazioni nel paramento'!$G$60*(sezione!$AL$31-C1190)/C1190</f>
        <v>-2.6453203771244472E-3</v>
      </c>
      <c r="L1190" s="550">
        <f>'Sollecitazioni nel paramento'!$G$60*(sezione!$AM$31-C1190)/C1190</f>
        <v>-2.2179805656866707E-3</v>
      </c>
      <c r="M1190" s="551">
        <f>'Sollecitazioni nel paramento'!$G$60*(sezione!$AN$31-C1190)/C1190</f>
        <v>-1.7906407542488941E-3</v>
      </c>
      <c r="N1190" s="551">
        <f>'Sollecitazioni nel paramento'!$G$60*(sezione!$AO$31-C1190)/C1190</f>
        <v>-8.1281508497787913E-5</v>
      </c>
      <c r="O1190" s="551">
        <f>'Sollecitazioni nel paramento'!$G$60*(sezione!$AP$31-C1190)/C1190</f>
        <v>6.0328705779276763E-3</v>
      </c>
      <c r="P1190" s="545">
        <f>-'Sollecitazioni nel paramento'!$G$47*'Sollecitazioni nel paramento'!$G$41*IF(DATI!$G$211="dx",DATI!$E$61,DATI!$E$64*DATI!$E$63)*1000*C1190*sezione!$AD$5</f>
        <v>-6240443.6203302387</v>
      </c>
      <c r="Q1190" s="545">
        <f>'Foglio deposito bis'!$F$58*IF(ABS(K1190)&lt;'Sollecitazioni nel paramento'!$G$58,ABS(K1190)*'Sollecitazioni nel paramento'!$G$54,'Sollecitazioni nel paramento'!$G$53)*IF(K1190&lt;0,-1,1)</f>
        <v>0</v>
      </c>
      <c r="R1190" s="545">
        <f>'Foglio deposito bis'!$F$59*IF(ABS(L1190)&lt;'Sollecitazioni nel paramento'!$G$58,ABS(L1190)*'Sollecitazioni nel paramento'!$G$54,'Sollecitazioni nel paramento'!$G$53)*IF(L1190&lt;0,-1,1)</f>
        <v>-153664.85805602249</v>
      </c>
      <c r="S1190" s="545">
        <f>'Foglio deposito bis'!$F$60*IF(ABS(M1190)&lt;'Sollecitazioni nel paramento'!$G$58,ABS(M1190)*'Sollecitazioni nel paramento'!$G$54,'Sollecitazioni nel paramento'!$G$53)*IF(M1190&lt;0,-1,1)</f>
        <v>0</v>
      </c>
      <c r="T1190" s="545">
        <f>'Foglio deposito bis'!$F$61*IF(ABS(N1190)&lt;'Sollecitazioni nel paramento'!$G$58,ABS(N1190)*'Sollecitazioni nel paramento'!$G$54,'Sollecitazioni nel paramento'!$G$53)*IF(N1190&lt;0,-1,1)</f>
        <v>-10310.148473402347</v>
      </c>
      <c r="U1190" s="545">
        <f>'Foglio deposito bis'!$F$62*IF(ABS(O1190)&lt;'Sollecitazioni nel paramento'!$G$58,ABS(O1190)*'Sollecitazioni nel paramento'!$G$54,'Sollecitazioni nel paramento'!$G$53)*IF(O1190&lt;0,-1,1)</f>
        <v>314705.62929873407</v>
      </c>
      <c r="V1190" s="472">
        <f t="shared" ref="V1190:V1239" si="88">P1190+Q1190+R1190+S1190+T1190+U1190</f>
        <v>-6089712.9975609295</v>
      </c>
      <c r="W1190" s="551"/>
      <c r="X1190" s="551"/>
    </row>
    <row r="1191" spans="1:24" x14ac:dyDescent="0.25">
      <c r="A1191" s="545">
        <f t="shared" si="87"/>
        <v>6357076.3568276325</v>
      </c>
      <c r="B1191" s="3">
        <f t="shared" si="85"/>
        <v>25.899999999999942</v>
      </c>
      <c r="C1191" s="545">
        <f>'Foglio deposito bis'!$E$157/sezione!$B$247*B1191</f>
        <v>170.38254576597407</v>
      </c>
      <c r="D1191" s="603">
        <f>-'Sollecitazioni nel paramento'!$G$47*'Sollecitazioni nel paramento'!$G$41*IF(DATI!$G$211="dx",DATI!$E$61,DATI!$E$64*DATI!$E$63)*1000*C1191^2*sezione!$AD$5*(1-sezione!$AD$6)</f>
        <v>-645882965.96620595</v>
      </c>
      <c r="E1191" s="545">
        <f>-'Foglio deposito bis'!$F$58*(C1191-sezione!$AL$31)*IF(ABS(K1191)&lt;'Sollecitazioni nel paramento'!$G$58,ABS(K1191)*'Sollecitazioni nel paramento'!$G$54,'Sollecitazioni nel paramento'!$G$53)</f>
        <v>0</v>
      </c>
      <c r="F1191" s="545">
        <f>-'Foglio deposito bis'!$F$59*(C1191-sezione!$AM$31)*IF(ABS(L1191)&lt;'Sollecitazioni nel paramento'!$G$58,ABS(L1191)*'Sollecitazioni nel paramento'!$G$54,'Sollecitazioni nel paramento'!$G$53)</f>
        <v>-16961918.226990812</v>
      </c>
      <c r="G1191" s="545">
        <f>-'Foglio deposito bis'!$F$60*(C1191-sezione!$AN$31)*IF(ABS(M1191)&lt;'Sollecitazioni nel paramento'!$G$58,ABS(M1191)*'Sollecitazioni nel paramento'!$G$54,'Sollecitazioni nel paramento'!$G$53)</f>
        <v>0</v>
      </c>
      <c r="H1191" s="545">
        <f>-'Foglio deposito bis'!$F$61*(C1191-sezione!$AO$31)*IF(ABS(N1191)&lt;'Sollecitazioni nel paramento'!$G$58,ABS(N1191)*'Sollecitazioni nel paramento'!$G$54,'Sollecitazioni nel paramento'!$G$53)</f>
        <v>-280881.93873431033</v>
      </c>
      <c r="I1191" s="472">
        <f>-'Foglio deposito bis'!$F$62*(C1191-sezione!$AP$31)*IF(ABS(O1191)&lt;'Sollecitazioni nel paramento'!$G$58,ABS(O1191)*'Sollecitazioni nel paramento'!$G$54,'Sollecitazioni nel paramento'!$G$53)</f>
        <v>86785389.568068594</v>
      </c>
      <c r="J1191" s="472">
        <f t="shared" si="86"/>
        <v>-576340376.56386244</v>
      </c>
      <c r="K1191" s="550">
        <f>'Sollecitazioni nel paramento'!$G$60*(sezione!$AL$31-C1191)/C1191</f>
        <v>-2.6783195903628855E-3</v>
      </c>
      <c r="L1191" s="550">
        <f>'Sollecitazioni nel paramento'!$G$60*(sezione!$AM$31-C1191)/C1191</f>
        <v>-2.267479385544328E-3</v>
      </c>
      <c r="M1191" s="551">
        <f>'Sollecitazioni nel paramento'!$G$60*(sezione!$AN$31-C1191)/C1191</f>
        <v>-1.8566391807257709E-3</v>
      </c>
      <c r="N1191" s="551">
        <f>'Sollecitazioni nel paramento'!$G$60*(sezione!$AO$31-C1191)/C1191</f>
        <v>-2.1327836145154164E-4</v>
      </c>
      <c r="O1191" s="551">
        <f>'Sollecitazioni nel paramento'!$G$60*(sezione!$AP$31-C1191)/C1191</f>
        <v>5.6648060768493876E-3</v>
      </c>
      <c r="P1191" s="545">
        <f>-'Sollecitazioni nel paramento'!$G$47*'Sollecitazioni nel paramento'!$G$41*IF(DATI!$G$211="dx",DATI!$E$61,DATI!$E$64*DATI!$E$63)*1000*C1191*sezione!$AD$5</f>
        <v>-6491063.8460463127</v>
      </c>
      <c r="Q1191" s="545">
        <f>'Foglio deposito bis'!$F$58*IF(ABS(K1191)&lt;'Sollecitazioni nel paramento'!$G$58,ABS(K1191)*'Sollecitazioni nel paramento'!$G$54,'Sollecitazioni nel paramento'!$G$53)*IF(K1191&lt;0,-1,1)</f>
        <v>0</v>
      </c>
      <c r="R1191" s="545">
        <f>'Foglio deposito bis'!$F$59*IF(ABS(L1191)&lt;'Sollecitazioni nel paramento'!$G$58,ABS(L1191)*'Sollecitazioni nel paramento'!$G$54,'Sollecitazioni nel paramento'!$G$53)*IF(L1191&lt;0,-1,1)</f>
        <v>-153664.85805602249</v>
      </c>
      <c r="S1191" s="545">
        <f>'Foglio deposito bis'!$F$60*IF(ABS(M1191)&lt;'Sollecitazioni nel paramento'!$G$58,ABS(M1191)*'Sollecitazioni nel paramento'!$G$54,'Sollecitazioni nel paramento'!$G$53)*IF(M1191&lt;0,-1,1)</f>
        <v>0</v>
      </c>
      <c r="T1191" s="545">
        <f>'Foglio deposito bis'!$F$61*IF(ABS(N1191)&lt;'Sollecitazioni nel paramento'!$G$58,ABS(N1191)*'Sollecitazioni nel paramento'!$G$54,'Sollecitazioni nel paramento'!$G$53)*IF(N1191&lt;0,-1,1)</f>
        <v>-27053.282024031461</v>
      </c>
      <c r="U1191" s="545">
        <f>'Foglio deposito bis'!$F$62*IF(ABS(O1191)&lt;'Sollecitazioni nel paramento'!$G$58,ABS(O1191)*'Sollecitazioni nel paramento'!$G$54,'Sollecitazioni nel paramento'!$G$53)*IF(O1191&lt;0,-1,1)</f>
        <v>314705.62929873407</v>
      </c>
      <c r="V1191" s="472">
        <f t="shared" si="88"/>
        <v>-6357076.3568276325</v>
      </c>
      <c r="W1191" s="551"/>
      <c r="X1191" s="551"/>
    </row>
    <row r="1192" spans="1:24" x14ac:dyDescent="0.25">
      <c r="A1192" s="545">
        <f t="shared" si="87"/>
        <v>6623194.8734511668</v>
      </c>
      <c r="B1192" s="3">
        <f t="shared" si="85"/>
        <v>26.899999999999942</v>
      </c>
      <c r="C1192" s="545">
        <f>'Foglio deposito bis'!$E$157/sezione!$B$247*B1192</f>
        <v>176.96102243647502</v>
      </c>
      <c r="D1192" s="603">
        <f>-'Sollecitazioni nel paramento'!$G$47*'Sollecitazioni nel paramento'!$G$41*IF(DATI!$G$211="dx",DATI!$E$61,DATI!$E$64*DATI!$E$63)*1000*C1192^2*sezione!$AD$5*(1-sezione!$AD$6)</f>
        <v>-696720938.86913788</v>
      </c>
      <c r="E1192" s="545">
        <f>-'Foglio deposito bis'!$F$58*(C1192-sezione!$AL$31)*IF(ABS(K1192)&lt;'Sollecitazioni nel paramento'!$G$58,ABS(K1192)*'Sollecitazioni nel paramento'!$G$54,'Sollecitazioni nel paramento'!$G$53)</f>
        <v>0</v>
      </c>
      <c r="F1192" s="545">
        <f>-'Foglio deposito bis'!$F$59*(C1192-sezione!$AM$31)*IF(ABS(L1192)&lt;'Sollecitazioni nel paramento'!$G$58,ABS(L1192)*'Sollecitazioni nel paramento'!$G$54,'Sollecitazioni nel paramento'!$G$53)</f>
        <v>-17972798.910788193</v>
      </c>
      <c r="G1192" s="545">
        <f>-'Foglio deposito bis'!$F$60*(C1192-sezione!$AN$31)*IF(ABS(M1192)&lt;'Sollecitazioni nel paramento'!$G$58,ABS(M1192)*'Sollecitazioni nel paramento'!$G$54,'Sollecitazioni nel paramento'!$G$53)</f>
        <v>0</v>
      </c>
      <c r="H1192" s="545">
        <f>-'Foglio deposito bis'!$F$61*(C1192-sezione!$AO$31)*IF(ABS(N1192)&lt;'Sollecitazioni nel paramento'!$G$58,ABS(N1192)*'Sollecitazioni nel paramento'!$G$54,'Sollecitazioni nel paramento'!$G$53)</f>
        <v>-721718.18319832382</v>
      </c>
      <c r="I1192" s="472">
        <f>-'Foglio deposito bis'!$F$62*(C1192-sezione!$AP$31)*IF(ABS(O1192)&lt;'Sollecitazioni nel paramento'!$G$58,ABS(O1192)*'Sollecitazioni nel paramento'!$G$54,'Sollecitazioni nel paramento'!$G$53)</f>
        <v>84715105.927651539</v>
      </c>
      <c r="J1192" s="472">
        <f t="shared" si="86"/>
        <v>-630700350.03547287</v>
      </c>
      <c r="K1192" s="550">
        <f>'Sollecitazioni nel paramento'!$G$60*(sezione!$AL$31-C1192)/C1192</f>
        <v>-2.7088653304980941E-3</v>
      </c>
      <c r="L1192" s="550">
        <f>'Sollecitazioni nel paramento'!$G$60*(sezione!$AM$31-C1192)/C1192</f>
        <v>-2.3132979957471416E-3</v>
      </c>
      <c r="M1192" s="551">
        <f>'Sollecitazioni nel paramento'!$G$60*(sezione!$AN$31-C1192)/C1192</f>
        <v>-1.9177306609961884E-3</v>
      </c>
      <c r="N1192" s="551">
        <f>'Sollecitazioni nel paramento'!$G$60*(sezione!$AO$31-C1192)/C1192</f>
        <v>-3.3546132199237683E-4</v>
      </c>
      <c r="O1192" s="551">
        <f>'Sollecitazioni nel paramento'!$G$60*(sezione!$AP$31-C1192)/C1192</f>
        <v>5.3241069661858391E-3</v>
      </c>
      <c r="P1192" s="545">
        <f>-'Sollecitazioni nel paramento'!$G$47*'Sollecitazioni nel paramento'!$G$41*IF(DATI!$G$211="dx",DATI!$E$61,DATI!$E$64*DATI!$E$63)*1000*C1192*sezione!$AD$5</f>
        <v>-6741684.0717623876</v>
      </c>
      <c r="Q1192" s="545">
        <f>'Foglio deposito bis'!$F$58*IF(ABS(K1192)&lt;'Sollecitazioni nel paramento'!$G$58,ABS(K1192)*'Sollecitazioni nel paramento'!$G$54,'Sollecitazioni nel paramento'!$G$53)*IF(K1192&lt;0,-1,1)</f>
        <v>0</v>
      </c>
      <c r="R1192" s="545">
        <f>'Foglio deposito bis'!$F$59*IF(ABS(L1192)&lt;'Sollecitazioni nel paramento'!$G$58,ABS(L1192)*'Sollecitazioni nel paramento'!$G$54,'Sollecitazioni nel paramento'!$G$53)*IF(L1192&lt;0,-1,1)</f>
        <v>-153664.85805602249</v>
      </c>
      <c r="S1192" s="545">
        <f>'Foglio deposito bis'!$F$60*IF(ABS(M1192)&lt;'Sollecitazioni nel paramento'!$G$58,ABS(M1192)*'Sollecitazioni nel paramento'!$G$54,'Sollecitazioni nel paramento'!$G$53)*IF(M1192&lt;0,-1,1)</f>
        <v>0</v>
      </c>
      <c r="T1192" s="545">
        <f>'Foglio deposito bis'!$F$61*IF(ABS(N1192)&lt;'Sollecitazioni nel paramento'!$G$58,ABS(N1192)*'Sollecitazioni nel paramento'!$G$54,'Sollecitazioni nel paramento'!$G$53)*IF(N1192&lt;0,-1,1)</f>
        <v>-42551.572931491115</v>
      </c>
      <c r="U1192" s="545">
        <f>'Foglio deposito bis'!$F$62*IF(ABS(O1192)&lt;'Sollecitazioni nel paramento'!$G$58,ABS(O1192)*'Sollecitazioni nel paramento'!$G$54,'Sollecitazioni nel paramento'!$G$53)*IF(O1192&lt;0,-1,1)</f>
        <v>314705.62929873407</v>
      </c>
      <c r="V1192" s="472">
        <f t="shared" si="88"/>
        <v>-6623194.8734511668</v>
      </c>
      <c r="W1192" s="551"/>
      <c r="X1192" s="551"/>
    </row>
    <row r="1193" spans="1:24" x14ac:dyDescent="0.25">
      <c r="A1193" s="545">
        <f t="shared" si="87"/>
        <v>6888202.4014791837</v>
      </c>
      <c r="B1193" s="3">
        <f t="shared" si="85"/>
        <v>27.899999999999942</v>
      </c>
      <c r="C1193" s="545">
        <f>'Foglio deposito bis'!$E$157/sezione!$B$247*B1193</f>
        <v>183.53949910697594</v>
      </c>
      <c r="D1193" s="603">
        <f>-'Sollecitazioni nel paramento'!$G$47*'Sollecitazioni nel paramento'!$G$41*IF(DATI!$G$211="dx",DATI!$E$61,DATI!$E$64*DATI!$E$63)*1000*C1193^2*sezione!$AD$5*(1-sezione!$AD$6)</f>
        <v>-749484592.56384742</v>
      </c>
      <c r="E1193" s="545">
        <f>-'Foglio deposito bis'!$F$58*(C1193-sezione!$AL$31)*IF(ABS(K1193)&lt;'Sollecitazioni nel paramento'!$G$58,ABS(K1193)*'Sollecitazioni nel paramento'!$G$54,'Sollecitazioni nel paramento'!$G$53)</f>
        <v>0</v>
      </c>
      <c r="F1193" s="545">
        <f>-'Foglio deposito bis'!$F$59*(C1193-sezione!$AM$31)*IF(ABS(L1193)&lt;'Sollecitazioni nel paramento'!$G$58,ABS(L1193)*'Sollecitazioni nel paramento'!$G$54,'Sollecitazioni nel paramento'!$G$53)</f>
        <v>-18983679.594585575</v>
      </c>
      <c r="G1193" s="545">
        <f>-'Foglio deposito bis'!$F$60*(C1193-sezione!$AN$31)*IF(ABS(M1193)&lt;'Sollecitazioni nel paramento'!$G$58,ABS(M1193)*'Sollecitazioni nel paramento'!$G$54,'Sollecitazioni nel paramento'!$G$53)</f>
        <v>0</v>
      </c>
      <c r="H1193" s="545">
        <f>-'Foglio deposito bis'!$F$61*(C1193-sezione!$AO$31)*IF(ABS(N1193)&lt;'Sollecitazioni nel paramento'!$G$58,ABS(N1193)*'Sollecitazioni nel paramento'!$G$54,'Sollecitazioni nel paramento'!$G$53)</f>
        <v>-1340312.6029450265</v>
      </c>
      <c r="I1193" s="472">
        <f>-'Foglio deposito bis'!$F$62*(C1193-sezione!$AP$31)*IF(ABS(O1193)&lt;'Sollecitazioni nel paramento'!$G$58,ABS(O1193)*'Sollecitazioni nel paramento'!$G$54,'Sollecitazioni nel paramento'!$G$53)</f>
        <v>82644822.287234515</v>
      </c>
      <c r="J1193" s="472">
        <f t="shared" si="86"/>
        <v>-687163762.47414339</v>
      </c>
      <c r="K1193" s="550">
        <f>'Sollecitazioni nel paramento'!$G$60*(sezione!$AL$31-C1193)/C1193</f>
        <v>-2.7372214118422484E-3</v>
      </c>
      <c r="L1193" s="550">
        <f>'Sollecitazioni nel paramento'!$G$60*(sezione!$AM$31-C1193)/C1193</f>
        <v>-2.3558321177633728E-3</v>
      </c>
      <c r="M1193" s="551">
        <f>'Sollecitazioni nel paramento'!$G$60*(sezione!$AN$31-C1193)/C1193</f>
        <v>-1.9744428236844972E-3</v>
      </c>
      <c r="N1193" s="551">
        <f>'Sollecitazioni nel paramento'!$G$60*(sezione!$AO$31-C1193)/C1193</f>
        <v>-4.4888564736899396E-4</v>
      </c>
      <c r="O1193" s="551">
        <f>'Sollecitazioni nel paramento'!$G$60*(sezione!$AP$31-C1193)/C1193</f>
        <v>5.0078307308386782E-3</v>
      </c>
      <c r="P1193" s="545">
        <f>-'Sollecitazioni nel paramento'!$G$47*'Sollecitazioni nel paramento'!$G$41*IF(DATI!$G$211="dx",DATI!$E$61,DATI!$E$64*DATI!$E$63)*1000*C1193*sezione!$AD$5</f>
        <v>-6992304.2974784616</v>
      </c>
      <c r="Q1193" s="545">
        <f>'Foglio deposito bis'!$F$58*IF(ABS(K1193)&lt;'Sollecitazioni nel paramento'!$G$58,ABS(K1193)*'Sollecitazioni nel paramento'!$G$54,'Sollecitazioni nel paramento'!$G$53)*IF(K1193&lt;0,-1,1)</f>
        <v>0</v>
      </c>
      <c r="R1193" s="545">
        <f>'Foglio deposito bis'!$F$59*IF(ABS(L1193)&lt;'Sollecitazioni nel paramento'!$G$58,ABS(L1193)*'Sollecitazioni nel paramento'!$G$54,'Sollecitazioni nel paramento'!$G$53)*IF(L1193&lt;0,-1,1)</f>
        <v>-153664.85805602249</v>
      </c>
      <c r="S1193" s="545">
        <f>'Foglio deposito bis'!$F$60*IF(ABS(M1193)&lt;'Sollecitazioni nel paramento'!$G$58,ABS(M1193)*'Sollecitazioni nel paramento'!$G$54,'Sollecitazioni nel paramento'!$G$53)*IF(M1193&lt;0,-1,1)</f>
        <v>0</v>
      </c>
      <c r="T1193" s="545">
        <f>'Foglio deposito bis'!$F$61*IF(ABS(N1193)&lt;'Sollecitazioni nel paramento'!$G$58,ABS(N1193)*'Sollecitazioni nel paramento'!$G$54,'Sollecitazioni nel paramento'!$G$53)*IF(N1193&lt;0,-1,1)</f>
        <v>-56938.875243433889</v>
      </c>
      <c r="U1193" s="545">
        <f>'Foglio deposito bis'!$F$62*IF(ABS(O1193)&lt;'Sollecitazioni nel paramento'!$G$58,ABS(O1193)*'Sollecitazioni nel paramento'!$G$54,'Sollecitazioni nel paramento'!$G$53)*IF(O1193&lt;0,-1,1)</f>
        <v>314705.62929873407</v>
      </c>
      <c r="V1193" s="472">
        <f t="shared" si="88"/>
        <v>-6888202.4014791837</v>
      </c>
      <c r="W1193" s="551"/>
      <c r="X1193" s="551"/>
    </row>
    <row r="1194" spans="1:24" x14ac:dyDescent="0.25">
      <c r="A1194" s="545">
        <f t="shared" si="87"/>
        <v>7152214.2684475509</v>
      </c>
      <c r="B1194" s="3">
        <f t="shared" si="85"/>
        <v>28.899999999999942</v>
      </c>
      <c r="C1194" s="545">
        <f>'Foglio deposito bis'!$E$157/sezione!$B$247*B1194</f>
        <v>190.11797577747689</v>
      </c>
      <c r="D1194" s="603">
        <f>-'Sollecitazioni nel paramento'!$G$47*'Sollecitazioni nel paramento'!$G$41*IF(DATI!$G$211="dx",DATI!$E$61,DATI!$E$64*DATI!$E$63)*1000*C1194^2*sezione!$AD$5*(1-sezione!$AD$6)</f>
        <v>-804173927.05033469</v>
      </c>
      <c r="E1194" s="545">
        <f>-'Foglio deposito bis'!$F$58*(C1194-sezione!$AL$31)*IF(ABS(K1194)&lt;'Sollecitazioni nel paramento'!$G$58,ABS(K1194)*'Sollecitazioni nel paramento'!$G$54,'Sollecitazioni nel paramento'!$G$53)</f>
        <v>0</v>
      </c>
      <c r="F1194" s="545">
        <f>-'Foglio deposito bis'!$F$59*(C1194-sezione!$AM$31)*IF(ABS(L1194)&lt;'Sollecitazioni nel paramento'!$G$58,ABS(L1194)*'Sollecitazioni nel paramento'!$G$54,'Sollecitazioni nel paramento'!$G$53)</f>
        <v>-19994560.278382961</v>
      </c>
      <c r="G1194" s="545">
        <f>-'Foglio deposito bis'!$F$60*(C1194-sezione!$AN$31)*IF(ABS(M1194)&lt;'Sollecitazioni nel paramento'!$G$58,ABS(M1194)*'Sollecitazioni nel paramento'!$G$54,'Sollecitazioni nel paramento'!$G$53)</f>
        <v>0</v>
      </c>
      <c r="H1194" s="545">
        <f>-'Foglio deposito bis'!$F$61*(C1194-sezione!$AO$31)*IF(ABS(N1194)&lt;'Sollecitazioni nel paramento'!$G$58,ABS(N1194)*'Sollecitazioni nel paramento'!$G$54,'Sollecitazioni nel paramento'!$G$53)</f>
        <v>-2118212.7922357358</v>
      </c>
      <c r="I1194" s="472">
        <f>-'Foglio deposito bis'!$F$62*(C1194-sezione!$AP$31)*IF(ABS(O1194)&lt;'Sollecitazioni nel paramento'!$G$58,ABS(O1194)*'Sollecitazioni nel paramento'!$G$54,'Sollecitazioni nel paramento'!$G$53)</f>
        <v>80574538.646817476</v>
      </c>
      <c r="J1194" s="472">
        <f t="shared" si="86"/>
        <v>-745712161.47413599</v>
      </c>
      <c r="K1194" s="550">
        <f>'Sollecitazioni nel paramento'!$G$60*(sezione!$AL$31-C1194)/C1194</f>
        <v>-2.7636151346158728E-3</v>
      </c>
      <c r="L1194" s="550">
        <f>'Sollecitazioni nel paramento'!$G$60*(sezione!$AM$31-C1194)/C1194</f>
        <v>-2.3954227019238098E-3</v>
      </c>
      <c r="M1194" s="551">
        <f>'Sollecitazioni nel paramento'!$G$60*(sezione!$AN$31-C1194)/C1194</f>
        <v>-2.0272302692317464E-3</v>
      </c>
      <c r="N1194" s="551">
        <f>'Sollecitazioni nel paramento'!$G$60*(sezione!$AO$31-C1194)/C1194</f>
        <v>-5.5446053846349276E-4</v>
      </c>
      <c r="O1194" s="551">
        <f>'Sollecitazioni nel paramento'!$G$60*(sezione!$AP$31-C1194)/C1194</f>
        <v>4.7134421242352627E-3</v>
      </c>
      <c r="P1194" s="545">
        <f>-'Sollecitazioni nel paramento'!$G$47*'Sollecitazioni nel paramento'!$G$41*IF(DATI!$G$211="dx",DATI!$E$61,DATI!$E$64*DATI!$E$63)*1000*C1194*sezione!$AD$5</f>
        <v>-7242924.5231945356</v>
      </c>
      <c r="Q1194" s="545">
        <f>'Foglio deposito bis'!$F$58*IF(ABS(K1194)&lt;'Sollecitazioni nel paramento'!$G$58,ABS(K1194)*'Sollecitazioni nel paramento'!$G$54,'Sollecitazioni nel paramento'!$G$53)*IF(K1194&lt;0,-1,1)</f>
        <v>0</v>
      </c>
      <c r="R1194" s="545">
        <f>'Foglio deposito bis'!$F$59*IF(ABS(L1194)&lt;'Sollecitazioni nel paramento'!$G$58,ABS(L1194)*'Sollecitazioni nel paramento'!$G$54,'Sollecitazioni nel paramento'!$G$53)*IF(L1194&lt;0,-1,1)</f>
        <v>-153664.85805602249</v>
      </c>
      <c r="S1194" s="545">
        <f>'Foglio deposito bis'!$F$60*IF(ABS(M1194)&lt;'Sollecitazioni nel paramento'!$G$58,ABS(M1194)*'Sollecitazioni nel paramento'!$G$54,'Sollecitazioni nel paramento'!$G$53)*IF(M1194&lt;0,-1,1)</f>
        <v>0</v>
      </c>
      <c r="T1194" s="545">
        <f>'Foglio deposito bis'!$F$61*IF(ABS(N1194)&lt;'Sollecitazioni nel paramento'!$G$58,ABS(N1194)*'Sollecitazioni nel paramento'!$G$54,'Sollecitazioni nel paramento'!$G$53)*IF(N1194&lt;0,-1,1)</f>
        <v>-70330.516495726712</v>
      </c>
      <c r="U1194" s="545">
        <f>'Foglio deposito bis'!$F$62*IF(ABS(O1194)&lt;'Sollecitazioni nel paramento'!$G$58,ABS(O1194)*'Sollecitazioni nel paramento'!$G$54,'Sollecitazioni nel paramento'!$G$53)*IF(O1194&lt;0,-1,1)</f>
        <v>314705.62929873407</v>
      </c>
      <c r="V1194" s="472">
        <f t="shared" si="88"/>
        <v>-7152214.2684475509</v>
      </c>
      <c r="W1194" s="551"/>
      <c r="X1194" s="551"/>
    </row>
    <row r="1195" spans="1:24" x14ac:dyDescent="0.25">
      <c r="A1195" s="545">
        <f t="shared" si="87"/>
        <v>7415330.3734592432</v>
      </c>
      <c r="B1195" s="3">
        <f t="shared" si="85"/>
        <v>29.899999999999942</v>
      </c>
      <c r="C1195" s="545">
        <f>'Foglio deposito bis'!$E$157/sezione!$B$247*B1195</f>
        <v>196.69645244797783</v>
      </c>
      <c r="D1195" s="603">
        <f>-'Sollecitazioni nel paramento'!$G$47*'Sollecitazioni nel paramento'!$G$41*IF(DATI!$G$211="dx",DATI!$E$61,DATI!$E$64*DATI!$E$63)*1000*C1195^2*sezione!$AD$5*(1-sezione!$AD$6)</f>
        <v>-860788942.32859969</v>
      </c>
      <c r="E1195" s="545">
        <f>-'Foglio deposito bis'!$F$58*(C1195-sezione!$AL$31)*IF(ABS(K1195)&lt;'Sollecitazioni nel paramento'!$G$58,ABS(K1195)*'Sollecitazioni nel paramento'!$G$54,'Sollecitazioni nel paramento'!$G$53)</f>
        <v>0</v>
      </c>
      <c r="F1195" s="545">
        <f>-'Foglio deposito bis'!$F$59*(C1195-sezione!$AM$31)*IF(ABS(L1195)&lt;'Sollecitazioni nel paramento'!$G$58,ABS(L1195)*'Sollecitazioni nel paramento'!$G$54,'Sollecitazioni nel paramento'!$G$53)</f>
        <v>-21005440.962180343</v>
      </c>
      <c r="G1195" s="545">
        <f>-'Foglio deposito bis'!$F$60*(C1195-sezione!$AN$31)*IF(ABS(M1195)&lt;'Sollecitazioni nel paramento'!$G$58,ABS(M1195)*'Sollecitazioni nel paramento'!$G$54,'Sollecitazioni nel paramento'!$G$53)</f>
        <v>0</v>
      </c>
      <c r="H1195" s="545">
        <f>-'Foglio deposito bis'!$F$61*(C1195-sezione!$AO$31)*IF(ABS(N1195)&lt;'Sollecitazioni nel paramento'!$G$58,ABS(N1195)*'Sollecitazioni nel paramento'!$G$54,'Sollecitazioni nel paramento'!$G$53)</f>
        <v>-3039434.8945944617</v>
      </c>
      <c r="I1195" s="472">
        <f>-'Foglio deposito bis'!$F$62*(C1195-sezione!$AP$31)*IF(ABS(O1195)&lt;'Sollecitazioni nel paramento'!$G$58,ABS(O1195)*'Sollecitazioni nel paramento'!$G$54,'Sollecitazioni nel paramento'!$G$53)</f>
        <v>78504255.006400421</v>
      </c>
      <c r="J1195" s="472">
        <f t="shared" si="86"/>
        <v>-806329563.17897403</v>
      </c>
      <c r="K1195" s="550">
        <f>'Sollecitazioni nel paramento'!$G$60*(sezione!$AL$31-C1195)/C1195</f>
        <v>-2.7882433909832351E-3</v>
      </c>
      <c r="L1195" s="550">
        <f>'Sollecitazioni nel paramento'!$G$60*(sezione!$AM$31-C1195)/C1195</f>
        <v>-2.432365086474853E-3</v>
      </c>
      <c r="M1195" s="551">
        <f>'Sollecitazioni nel paramento'!$G$60*(sezione!$AN$31-C1195)/C1195</f>
        <v>-2.0764867819664705E-3</v>
      </c>
      <c r="N1195" s="551">
        <f>'Sollecitazioni nel paramento'!$G$60*(sezione!$AO$31-C1195)/C1195</f>
        <v>-6.5297356393294141E-4</v>
      </c>
      <c r="O1195" s="551">
        <f>'Sollecitazioni nel paramento'!$G$60*(sezione!$AP$31-C1195)/C1195</f>
        <v>4.4387450632240493E-3</v>
      </c>
      <c r="P1195" s="545">
        <f>-'Sollecitazioni nel paramento'!$G$47*'Sollecitazioni nel paramento'!$G$41*IF(DATI!$G$211="dx",DATI!$E$61,DATI!$E$64*DATI!$E$63)*1000*C1195*sezione!$AD$5</f>
        <v>-7493544.7489106106</v>
      </c>
      <c r="Q1195" s="545">
        <f>'Foglio deposito bis'!$F$58*IF(ABS(K1195)&lt;'Sollecitazioni nel paramento'!$G$58,ABS(K1195)*'Sollecitazioni nel paramento'!$G$54,'Sollecitazioni nel paramento'!$G$53)*IF(K1195&lt;0,-1,1)</f>
        <v>0</v>
      </c>
      <c r="R1195" s="545">
        <f>'Foglio deposito bis'!$F$59*IF(ABS(L1195)&lt;'Sollecitazioni nel paramento'!$G$58,ABS(L1195)*'Sollecitazioni nel paramento'!$G$54,'Sollecitazioni nel paramento'!$G$53)*IF(L1195&lt;0,-1,1)</f>
        <v>-153664.85805602249</v>
      </c>
      <c r="S1195" s="545">
        <f>'Foglio deposito bis'!$F$60*IF(ABS(M1195)&lt;'Sollecitazioni nel paramento'!$G$58,ABS(M1195)*'Sollecitazioni nel paramento'!$G$54,'Sollecitazioni nel paramento'!$G$53)*IF(M1195&lt;0,-1,1)</f>
        <v>0</v>
      </c>
      <c r="T1195" s="545">
        <f>'Foglio deposito bis'!$F$61*IF(ABS(N1195)&lt;'Sollecitazioni nel paramento'!$G$58,ABS(N1195)*'Sollecitazioni nel paramento'!$G$54,'Sollecitazioni nel paramento'!$G$53)*IF(N1195&lt;0,-1,1)</f>
        <v>-82826.395791344403</v>
      </c>
      <c r="U1195" s="545">
        <f>'Foglio deposito bis'!$F$62*IF(ABS(O1195)&lt;'Sollecitazioni nel paramento'!$G$58,ABS(O1195)*'Sollecitazioni nel paramento'!$G$54,'Sollecitazioni nel paramento'!$G$53)*IF(O1195&lt;0,-1,1)</f>
        <v>314705.62929873407</v>
      </c>
      <c r="V1195" s="472">
        <f t="shared" si="88"/>
        <v>-7415330.3734592432</v>
      </c>
      <c r="W1195" s="551"/>
      <c r="X1195" s="551"/>
    </row>
    <row r="1196" spans="1:24" x14ac:dyDescent="0.25">
      <c r="A1196" s="545">
        <f t="shared" si="87"/>
        <v>7677637.68369452</v>
      </c>
      <c r="B1196" s="3">
        <f t="shared" si="85"/>
        <v>30.899999999999942</v>
      </c>
      <c r="C1196" s="545">
        <f>'Foglio deposito bis'!$E$157/sezione!$B$247*B1196</f>
        <v>203.27492911847878</v>
      </c>
      <c r="D1196" s="603">
        <f>-'Sollecitazioni nel paramento'!$G$47*'Sollecitazioni nel paramento'!$G$41*IF(DATI!$G$211="dx",DATI!$E$61,DATI!$E$64*DATI!$E$63)*1000*C1196^2*sezione!$AD$5*(1-sezione!$AD$6)</f>
        <v>-919329638.39864254</v>
      </c>
      <c r="E1196" s="545">
        <f>-'Foglio deposito bis'!$F$58*(C1196-sezione!$AL$31)*IF(ABS(K1196)&lt;'Sollecitazioni nel paramento'!$G$58,ABS(K1196)*'Sollecitazioni nel paramento'!$G$54,'Sollecitazioni nel paramento'!$G$53)</f>
        <v>0</v>
      </c>
      <c r="F1196" s="545">
        <f>-'Foglio deposito bis'!$F$59*(C1196-sezione!$AM$31)*IF(ABS(L1196)&lt;'Sollecitazioni nel paramento'!$G$58,ABS(L1196)*'Sollecitazioni nel paramento'!$G$54,'Sollecitazioni nel paramento'!$G$53)</f>
        <v>-22016321.645977728</v>
      </c>
      <c r="G1196" s="545">
        <f>-'Foglio deposito bis'!$F$60*(C1196-sezione!$AN$31)*IF(ABS(M1196)&lt;'Sollecitazioni nel paramento'!$G$58,ABS(M1196)*'Sollecitazioni nel paramento'!$G$54,'Sollecitazioni nel paramento'!$G$53)</f>
        <v>0</v>
      </c>
      <c r="H1196" s="545">
        <f>-'Foglio deposito bis'!$F$61*(C1196-sezione!$AO$31)*IF(ABS(N1196)&lt;'Sollecitazioni nel paramento'!$G$58,ABS(N1196)*'Sollecitazioni nel paramento'!$G$54,'Sollecitazioni nel paramento'!$G$53)</f>
        <v>-4090064.1611796501</v>
      </c>
      <c r="I1196" s="472">
        <f>-'Foglio deposito bis'!$F$62*(C1196-sezione!$AP$31)*IF(ABS(O1196)&lt;'Sollecitazioni nel paramento'!$G$58,ABS(O1196)*'Sollecitazioni nel paramento'!$G$54,'Sollecitazioni nel paramento'!$G$53)</f>
        <v>76433971.365983382</v>
      </c>
      <c r="J1196" s="472">
        <f t="shared" si="86"/>
        <v>-869002052.83981657</v>
      </c>
      <c r="K1196" s="550">
        <f>'Sollecitazioni nel paramento'!$G$60*(sezione!$AL$31-C1196)/C1196</f>
        <v>-2.8112775854497972E-3</v>
      </c>
      <c r="L1196" s="550">
        <f>'Sollecitazioni nel paramento'!$G$60*(sezione!$AM$31-C1196)/C1196</f>
        <v>-2.466916378174696E-3</v>
      </c>
      <c r="M1196" s="551">
        <f>'Sollecitazioni nel paramento'!$G$60*(sezione!$AN$31-C1196)/C1196</f>
        <v>-2.1225551708995948E-3</v>
      </c>
      <c r="N1196" s="551">
        <f>'Sollecitazioni nel paramento'!$G$60*(sezione!$AO$31-C1196)/C1196</f>
        <v>-7.4511034179918954E-4</v>
      </c>
      <c r="O1196" s="551">
        <f>'Sollecitazioni nel paramento'!$G$60*(sezione!$AP$31-C1196)/C1196</f>
        <v>4.1818277472621054E-3</v>
      </c>
      <c r="P1196" s="545">
        <f>-'Sollecitazioni nel paramento'!$G$47*'Sollecitazioni nel paramento'!$G$41*IF(DATI!$G$211="dx",DATI!$E$61,DATI!$E$64*DATI!$E$63)*1000*C1196*sezione!$AD$5</f>
        <v>-7744164.9746266846</v>
      </c>
      <c r="Q1196" s="545">
        <f>'Foglio deposito bis'!$F$58*IF(ABS(K1196)&lt;'Sollecitazioni nel paramento'!$G$58,ABS(K1196)*'Sollecitazioni nel paramento'!$G$54,'Sollecitazioni nel paramento'!$G$53)*IF(K1196&lt;0,-1,1)</f>
        <v>0</v>
      </c>
      <c r="R1196" s="545">
        <f>'Foglio deposito bis'!$F$59*IF(ABS(L1196)&lt;'Sollecitazioni nel paramento'!$G$58,ABS(L1196)*'Sollecitazioni nel paramento'!$G$54,'Sollecitazioni nel paramento'!$G$53)*IF(L1196&lt;0,-1,1)</f>
        <v>-153664.85805602249</v>
      </c>
      <c r="S1196" s="545">
        <f>'Foglio deposito bis'!$F$60*IF(ABS(M1196)&lt;'Sollecitazioni nel paramento'!$G$58,ABS(M1196)*'Sollecitazioni nel paramento'!$G$54,'Sollecitazioni nel paramento'!$G$53)*IF(M1196&lt;0,-1,1)</f>
        <v>0</v>
      </c>
      <c r="T1196" s="545">
        <f>'Foglio deposito bis'!$F$61*IF(ABS(N1196)&lt;'Sollecitazioni nel paramento'!$G$58,ABS(N1196)*'Sollecitazioni nel paramento'!$G$54,'Sollecitazioni nel paramento'!$G$53)*IF(N1196&lt;0,-1,1)</f>
        <v>-94513.480310546744</v>
      </c>
      <c r="U1196" s="545">
        <f>'Foglio deposito bis'!$F$62*IF(ABS(O1196)&lt;'Sollecitazioni nel paramento'!$G$58,ABS(O1196)*'Sollecitazioni nel paramento'!$G$54,'Sollecitazioni nel paramento'!$G$53)*IF(O1196&lt;0,-1,1)</f>
        <v>314705.62929873407</v>
      </c>
      <c r="V1196" s="472">
        <f t="shared" si="88"/>
        <v>-7677637.68369452</v>
      </c>
      <c r="W1196" s="551"/>
      <c r="X1196" s="551"/>
    </row>
    <row r="1197" spans="1:24" x14ac:dyDescent="0.25">
      <c r="A1197" s="545">
        <f t="shared" si="87"/>
        <v>7939212.2613580599</v>
      </c>
      <c r="B1197" s="3">
        <f t="shared" si="85"/>
        <v>31.899999999999942</v>
      </c>
      <c r="C1197" s="545">
        <f>'Foglio deposito bis'!$E$157/sezione!$B$247*B1197</f>
        <v>209.85340578897973</v>
      </c>
      <c r="D1197" s="603">
        <f>-'Sollecitazioni nel paramento'!$G$47*'Sollecitazioni nel paramento'!$G$41*IF(DATI!$G$211="dx",DATI!$E$61,DATI!$E$64*DATI!$E$63)*1000*C1197^2*sezione!$AD$5*(1-sezione!$AD$6)</f>
        <v>-979796015.26046312</v>
      </c>
      <c r="E1197" s="545">
        <f>-'Foglio deposito bis'!$F$58*(C1197-sezione!$AL$31)*IF(ABS(K1197)&lt;'Sollecitazioni nel paramento'!$G$58,ABS(K1197)*'Sollecitazioni nel paramento'!$G$54,'Sollecitazioni nel paramento'!$G$53)</f>
        <v>0</v>
      </c>
      <c r="F1197" s="545">
        <f>-'Foglio deposito bis'!$F$59*(C1197-sezione!$AM$31)*IF(ABS(L1197)&lt;'Sollecitazioni nel paramento'!$G$58,ABS(L1197)*'Sollecitazioni nel paramento'!$G$54,'Sollecitazioni nel paramento'!$G$53)</f>
        <v>-23027202.32977511</v>
      </c>
      <c r="G1197" s="545">
        <f>-'Foglio deposito bis'!$F$60*(C1197-sezione!$AN$31)*IF(ABS(M1197)&lt;'Sollecitazioni nel paramento'!$G$58,ABS(M1197)*'Sollecitazioni nel paramento'!$G$54,'Sollecitazioni nel paramento'!$G$53)</f>
        <v>0</v>
      </c>
      <c r="H1197" s="545">
        <f>-'Foglio deposito bis'!$F$61*(C1197-sezione!$AO$31)*IF(ABS(N1197)&lt;'Sollecitazioni nel paramento'!$G$58,ABS(N1197)*'Sollecitazioni nel paramento'!$G$54,'Sollecitazioni nel paramento'!$G$53)</f>
        <v>-5257930.639242731</v>
      </c>
      <c r="I1197" s="472">
        <f>-'Foglio deposito bis'!$F$62*(C1197-sezione!$AP$31)*IF(ABS(O1197)&lt;'Sollecitazioni nel paramento'!$G$58,ABS(O1197)*'Sollecitazioni nel paramento'!$G$54,'Sollecitazioni nel paramento'!$G$53)</f>
        <v>74363687.725566342</v>
      </c>
      <c r="J1197" s="472">
        <f t="shared" si="86"/>
        <v>-933717460.50391459</v>
      </c>
      <c r="K1197" s="550">
        <f>'Sollecitazioni nel paramento'!$G$60*(sezione!$AL$31-C1197)/C1197</f>
        <v>-2.8328676297930638E-3</v>
      </c>
      <c r="L1197" s="550">
        <f>'Sollecitazioni nel paramento'!$G$60*(sezione!$AM$31-C1197)/C1197</f>
        <v>-2.4993014446895961E-3</v>
      </c>
      <c r="M1197" s="551">
        <f>'Sollecitazioni nel paramento'!$G$60*(sezione!$AN$31-C1197)/C1197</f>
        <v>-2.165735259586128E-3</v>
      </c>
      <c r="N1197" s="551">
        <f>'Sollecitazioni nel paramento'!$G$60*(sezione!$AO$31-C1197)/C1197</f>
        <v>-8.3147051917225592E-4</v>
      </c>
      <c r="O1197" s="551">
        <f>'Sollecitazioni nel paramento'!$G$60*(sezione!$AP$31-C1197)/C1197</f>
        <v>3.9410181000125088E-3</v>
      </c>
      <c r="P1197" s="545">
        <f>-'Sollecitazioni nel paramento'!$G$47*'Sollecitazioni nel paramento'!$G$41*IF(DATI!$G$211="dx",DATI!$E$61,DATI!$E$64*DATI!$E$63)*1000*C1197*sezione!$AD$5</f>
        <v>-7994785.2003427595</v>
      </c>
      <c r="Q1197" s="545">
        <f>'Foglio deposito bis'!$F$58*IF(ABS(K1197)&lt;'Sollecitazioni nel paramento'!$G$58,ABS(K1197)*'Sollecitazioni nel paramento'!$G$54,'Sollecitazioni nel paramento'!$G$53)*IF(K1197&lt;0,-1,1)</f>
        <v>0</v>
      </c>
      <c r="R1197" s="545">
        <f>'Foglio deposito bis'!$F$59*IF(ABS(L1197)&lt;'Sollecitazioni nel paramento'!$G$58,ABS(L1197)*'Sollecitazioni nel paramento'!$G$54,'Sollecitazioni nel paramento'!$G$53)*IF(L1197&lt;0,-1,1)</f>
        <v>-153664.85805602249</v>
      </c>
      <c r="S1197" s="545">
        <f>'Foglio deposito bis'!$F$60*IF(ABS(M1197)&lt;'Sollecitazioni nel paramento'!$G$58,ABS(M1197)*'Sollecitazioni nel paramento'!$G$54,'Sollecitazioni nel paramento'!$G$53)*IF(M1197&lt;0,-1,1)</f>
        <v>0</v>
      </c>
      <c r="T1197" s="545">
        <f>'Foglio deposito bis'!$F$61*IF(ABS(N1197)&lt;'Sollecitazioni nel paramento'!$G$58,ABS(N1197)*'Sollecitazioni nel paramento'!$G$54,'Sollecitazioni nel paramento'!$G$53)*IF(N1197&lt;0,-1,1)</f>
        <v>-105467.83225801225</v>
      </c>
      <c r="U1197" s="545">
        <f>'Foglio deposito bis'!$F$62*IF(ABS(O1197)&lt;'Sollecitazioni nel paramento'!$G$58,ABS(O1197)*'Sollecitazioni nel paramento'!$G$54,'Sollecitazioni nel paramento'!$G$53)*IF(O1197&lt;0,-1,1)</f>
        <v>314705.62929873407</v>
      </c>
      <c r="V1197" s="472">
        <f t="shared" si="88"/>
        <v>-7939212.2613580599</v>
      </c>
      <c r="W1197" s="551"/>
      <c r="X1197" s="551"/>
    </row>
    <row r="1198" spans="1:24" x14ac:dyDescent="0.25">
      <c r="A1198" s="545">
        <f t="shared" si="87"/>
        <v>8200120.9209700814</v>
      </c>
      <c r="B1198" s="3">
        <f t="shared" si="85"/>
        <v>32.899999999999942</v>
      </c>
      <c r="C1198" s="545">
        <f>'Foglio deposito bis'!$E$157/sezione!$B$247*B1198</f>
        <v>216.43188245948068</v>
      </c>
      <c r="D1198" s="603">
        <f>-'Sollecitazioni nel paramento'!$G$47*'Sollecitazioni nel paramento'!$G$41*IF(DATI!$G$211="dx",DATI!$E$61,DATI!$E$64*DATI!$E$63)*1000*C1198^2*sezione!$AD$5*(1-sezione!$AD$6)</f>
        <v>-1042188072.9140615</v>
      </c>
      <c r="E1198" s="545">
        <f>-'Foglio deposito bis'!$F$58*(C1198-sezione!$AL$31)*IF(ABS(K1198)&lt;'Sollecitazioni nel paramento'!$G$58,ABS(K1198)*'Sollecitazioni nel paramento'!$G$54,'Sollecitazioni nel paramento'!$G$53)</f>
        <v>0</v>
      </c>
      <c r="F1198" s="545">
        <f>-'Foglio deposito bis'!$F$59*(C1198-sezione!$AM$31)*IF(ABS(L1198)&lt;'Sollecitazioni nel paramento'!$G$58,ABS(L1198)*'Sollecitazioni nel paramento'!$G$54,'Sollecitazioni nel paramento'!$G$53)</f>
        <v>-24038083.013572495</v>
      </c>
      <c r="G1198" s="545">
        <f>-'Foglio deposito bis'!$F$60*(C1198-sezione!$AN$31)*IF(ABS(M1198)&lt;'Sollecitazioni nel paramento'!$G$58,ABS(M1198)*'Sollecitazioni nel paramento'!$G$54,'Sollecitazioni nel paramento'!$G$53)</f>
        <v>0</v>
      </c>
      <c r="H1198" s="545">
        <f>-'Foglio deposito bis'!$F$61*(C1198-sezione!$AO$31)*IF(ABS(N1198)&lt;'Sollecitazioni nel paramento'!$G$58,ABS(N1198)*'Sollecitazioni nel paramento'!$G$54,'Sollecitazioni nel paramento'!$G$53)</f>
        <v>-6532344.0055486364</v>
      </c>
      <c r="I1198" s="472">
        <f>-'Foglio deposito bis'!$F$62*(C1198-sezione!$AP$31)*IF(ABS(O1198)&lt;'Sollecitazioni nel paramento'!$G$58,ABS(O1198)*'Sollecitazioni nel paramento'!$G$54,'Sollecitazioni nel paramento'!$G$53)</f>
        <v>72293404.085149303</v>
      </c>
      <c r="J1198" s="472">
        <f t="shared" si="86"/>
        <v>-1000465095.8480333</v>
      </c>
      <c r="K1198" s="550">
        <f>'Sollecitazioni nel paramento'!$G$60*(sezione!$AL$31-C1198)/C1198</f>
        <v>-2.8531452094346121E-3</v>
      </c>
      <c r="L1198" s="550">
        <f>'Sollecitazioni nel paramento'!$G$60*(sezione!$AM$31-C1198)/C1198</f>
        <v>-2.5297178141519185E-3</v>
      </c>
      <c r="M1198" s="551">
        <f>'Sollecitazioni nel paramento'!$G$60*(sezione!$AN$31-C1198)/C1198</f>
        <v>-2.2062904188692245E-3</v>
      </c>
      <c r="N1198" s="551">
        <f>'Sollecitazioni nel paramento'!$G$60*(sezione!$AO$31-C1198)/C1198</f>
        <v>-9.1258083773844889E-4</v>
      </c>
      <c r="O1198" s="551">
        <f>'Sollecitazioni nel paramento'!$G$60*(sezione!$AP$31-C1198)/C1198</f>
        <v>3.7148473370941949E-3</v>
      </c>
      <c r="P1198" s="545">
        <f>-'Sollecitazioni nel paramento'!$G$47*'Sollecitazioni nel paramento'!$G$41*IF(DATI!$G$211="dx",DATI!$E$61,DATI!$E$64*DATI!$E$63)*1000*C1198*sezione!$AD$5</f>
        <v>-8245405.4260588335</v>
      </c>
      <c r="Q1198" s="545">
        <f>'Foglio deposito bis'!$F$58*IF(ABS(K1198)&lt;'Sollecitazioni nel paramento'!$G$58,ABS(K1198)*'Sollecitazioni nel paramento'!$G$54,'Sollecitazioni nel paramento'!$G$53)*IF(K1198&lt;0,-1,1)</f>
        <v>0</v>
      </c>
      <c r="R1198" s="545">
        <f>'Foglio deposito bis'!$F$59*IF(ABS(L1198)&lt;'Sollecitazioni nel paramento'!$G$58,ABS(L1198)*'Sollecitazioni nel paramento'!$G$54,'Sollecitazioni nel paramento'!$G$53)*IF(L1198&lt;0,-1,1)</f>
        <v>-153664.85805602249</v>
      </c>
      <c r="S1198" s="545">
        <f>'Foglio deposito bis'!$F$60*IF(ABS(M1198)&lt;'Sollecitazioni nel paramento'!$G$58,ABS(M1198)*'Sollecitazioni nel paramento'!$G$54,'Sollecitazioni nel paramento'!$G$53)*IF(M1198&lt;0,-1,1)</f>
        <v>0</v>
      </c>
      <c r="T1198" s="545">
        <f>'Foglio deposito bis'!$F$61*IF(ABS(N1198)&lt;'Sollecitazioni nel paramento'!$G$58,ABS(N1198)*'Sollecitazioni nel paramento'!$G$54,'Sollecitazioni nel paramento'!$G$53)*IF(N1198&lt;0,-1,1)</f>
        <v>-115756.26615396007</v>
      </c>
      <c r="U1198" s="545">
        <f>'Foglio deposito bis'!$F$62*IF(ABS(O1198)&lt;'Sollecitazioni nel paramento'!$G$58,ABS(O1198)*'Sollecitazioni nel paramento'!$G$54,'Sollecitazioni nel paramento'!$G$53)*IF(O1198&lt;0,-1,1)</f>
        <v>314705.62929873407</v>
      </c>
      <c r="V1198" s="472">
        <f t="shared" si="88"/>
        <v>-8200120.9209700814</v>
      </c>
      <c r="W1198" s="551"/>
      <c r="X1198" s="551"/>
    </row>
    <row r="1199" spans="1:24" x14ac:dyDescent="0.25">
      <c r="A1199" s="545">
        <f t="shared" si="87"/>
        <v>8460422.5933316052</v>
      </c>
      <c r="B1199" s="3">
        <f t="shared" si="85"/>
        <v>33.899999999999942</v>
      </c>
      <c r="C1199" s="545">
        <f>'Foglio deposito bis'!$E$157/sezione!$B$247*B1199</f>
        <v>223.01035912998162</v>
      </c>
      <c r="D1199" s="603">
        <f>-'Sollecitazioni nel paramento'!$G$47*'Sollecitazioni nel paramento'!$G$41*IF(DATI!$G$211="dx",DATI!$E$61,DATI!$E$64*DATI!$E$63)*1000*C1199^2*sezione!$AD$5*(1-sezione!$AD$6)</f>
        <v>-1106505811.3594375</v>
      </c>
      <c r="E1199" s="545">
        <f>-'Foglio deposito bis'!$F$58*(C1199-sezione!$AL$31)*IF(ABS(K1199)&lt;'Sollecitazioni nel paramento'!$G$58,ABS(K1199)*'Sollecitazioni nel paramento'!$G$54,'Sollecitazioni nel paramento'!$G$53)</f>
        <v>0</v>
      </c>
      <c r="F1199" s="545">
        <f>-'Foglio deposito bis'!$F$59*(C1199-sezione!$AM$31)*IF(ABS(L1199)&lt;'Sollecitazioni nel paramento'!$G$58,ABS(L1199)*'Sollecitazioni nel paramento'!$G$54,'Sollecitazioni nel paramento'!$G$53)</f>
        <v>-25048963.697369877</v>
      </c>
      <c r="G1199" s="545">
        <f>-'Foglio deposito bis'!$F$60*(C1199-sezione!$AN$31)*IF(ABS(M1199)&lt;'Sollecitazioni nel paramento'!$G$58,ABS(M1199)*'Sollecitazioni nel paramento'!$G$54,'Sollecitazioni nel paramento'!$G$53)</f>
        <v>0</v>
      </c>
      <c r="H1199" s="545">
        <f>-'Foglio deposito bis'!$F$61*(C1199-sezione!$AO$31)*IF(ABS(N1199)&lt;'Sollecitazioni nel paramento'!$G$58,ABS(N1199)*'Sollecitazioni nel paramento'!$G$54,'Sollecitazioni nel paramento'!$G$53)</f>
        <v>-7903875.3319342844</v>
      </c>
      <c r="I1199" s="472">
        <f>-'Foglio deposito bis'!$F$62*(C1199-sezione!$AP$31)*IF(ABS(O1199)&lt;'Sollecitazioni nel paramento'!$G$58,ABS(O1199)*'Sollecitazioni nel paramento'!$G$54,'Sollecitazioni nel paramento'!$G$53)</f>
        <v>70223120.444732264</v>
      </c>
      <c r="J1199" s="472">
        <f t="shared" si="86"/>
        <v>-1069235529.9440092</v>
      </c>
      <c r="K1199" s="550">
        <f>'Sollecitazioni nel paramento'!$G$60*(sezione!$AL$31-C1199)/C1199</f>
        <v>-2.8722264716931783E-3</v>
      </c>
      <c r="L1199" s="550">
        <f>'Sollecitazioni nel paramento'!$G$60*(sezione!$AM$31-C1199)/C1199</f>
        <v>-2.5583397075397674E-3</v>
      </c>
      <c r="M1199" s="551">
        <f>'Sollecitazioni nel paramento'!$G$60*(sezione!$AN$31-C1199)/C1199</f>
        <v>-2.2444529433863565E-3</v>
      </c>
      <c r="N1199" s="551">
        <f>'Sollecitazioni nel paramento'!$G$60*(sezione!$AO$31-C1199)/C1199</f>
        <v>-9.8890588677271298E-4</v>
      </c>
      <c r="O1199" s="551">
        <f>'Sollecitazioni nel paramento'!$G$60*(sezione!$AP$31-C1199)/C1199</f>
        <v>3.5020199820176698E-3</v>
      </c>
      <c r="P1199" s="545">
        <f>-'Sollecitazioni nel paramento'!$G$47*'Sollecitazioni nel paramento'!$G$41*IF(DATI!$G$211="dx",DATI!$E$61,DATI!$E$64*DATI!$E$63)*1000*C1199*sezione!$AD$5</f>
        <v>-8496025.6517749075</v>
      </c>
      <c r="Q1199" s="545">
        <f>'Foglio deposito bis'!$F$58*IF(ABS(K1199)&lt;'Sollecitazioni nel paramento'!$G$58,ABS(K1199)*'Sollecitazioni nel paramento'!$G$54,'Sollecitazioni nel paramento'!$G$53)*IF(K1199&lt;0,-1,1)</f>
        <v>0</v>
      </c>
      <c r="R1199" s="545">
        <f>'Foglio deposito bis'!$F$59*IF(ABS(L1199)&lt;'Sollecitazioni nel paramento'!$G$58,ABS(L1199)*'Sollecitazioni nel paramento'!$G$54,'Sollecitazioni nel paramento'!$G$53)*IF(L1199&lt;0,-1,1)</f>
        <v>-153664.85805602249</v>
      </c>
      <c r="S1199" s="545">
        <f>'Foglio deposito bis'!$F$60*IF(ABS(M1199)&lt;'Sollecitazioni nel paramento'!$G$58,ABS(M1199)*'Sollecitazioni nel paramento'!$G$54,'Sollecitazioni nel paramento'!$G$53)*IF(M1199&lt;0,-1,1)</f>
        <v>0</v>
      </c>
      <c r="T1199" s="545">
        <f>'Foglio deposito bis'!$F$61*IF(ABS(N1199)&lt;'Sollecitazioni nel paramento'!$G$58,ABS(N1199)*'Sollecitazioni nel paramento'!$G$54,'Sollecitazioni nel paramento'!$G$53)*IF(N1199&lt;0,-1,1)</f>
        <v>-125437.71279940948</v>
      </c>
      <c r="U1199" s="545">
        <f>'Foglio deposito bis'!$F$62*IF(ABS(O1199)&lt;'Sollecitazioni nel paramento'!$G$58,ABS(O1199)*'Sollecitazioni nel paramento'!$G$54,'Sollecitazioni nel paramento'!$G$53)*IF(O1199&lt;0,-1,1)</f>
        <v>314705.62929873407</v>
      </c>
      <c r="V1199" s="472">
        <f t="shared" si="88"/>
        <v>-8460422.5933316052</v>
      </c>
      <c r="W1199" s="551"/>
      <c r="X1199" s="551"/>
    </row>
    <row r="1200" spans="1:24" x14ac:dyDescent="0.25">
      <c r="A1200" s="545">
        <f t="shared" si="87"/>
        <v>8720169.4549971148</v>
      </c>
      <c r="B1200" s="3">
        <f t="shared" si="85"/>
        <v>34.899999999999942</v>
      </c>
      <c r="C1200" s="545">
        <f>'Foglio deposito bis'!$E$157/sezione!$B$247*B1200</f>
        <v>229.58883580048257</v>
      </c>
      <c r="D1200" s="603">
        <f>-'Sollecitazioni nel paramento'!$G$47*'Sollecitazioni nel paramento'!$G$41*IF(DATI!$G$211="dx",DATI!$E$61,DATI!$E$64*DATI!$E$63)*1000*C1200^2*sezione!$AD$5*(1-sezione!$AD$6)</f>
        <v>-1172749230.5965915</v>
      </c>
      <c r="E1200" s="545">
        <f>-'Foglio deposito bis'!$F$58*(C1200-sezione!$AL$31)*IF(ABS(K1200)&lt;'Sollecitazioni nel paramento'!$G$58,ABS(K1200)*'Sollecitazioni nel paramento'!$G$54,'Sollecitazioni nel paramento'!$G$53)</f>
        <v>0</v>
      </c>
      <c r="F1200" s="545">
        <f>-'Foglio deposito bis'!$F$59*(C1200-sezione!$AM$31)*IF(ABS(L1200)&lt;'Sollecitazioni nel paramento'!$G$58,ABS(L1200)*'Sollecitazioni nel paramento'!$G$54,'Sollecitazioni nel paramento'!$G$53)</f>
        <v>-26059844.381167259</v>
      </c>
      <c r="G1200" s="545">
        <f>-'Foglio deposito bis'!$F$60*(C1200-sezione!$AN$31)*IF(ABS(M1200)&lt;'Sollecitazioni nel paramento'!$G$58,ABS(M1200)*'Sollecitazioni nel paramento'!$G$54,'Sollecitazioni nel paramento'!$G$53)</f>
        <v>0</v>
      </c>
      <c r="H1200" s="545">
        <f>-'Foglio deposito bis'!$F$61*(C1200-sezione!$AO$31)*IF(ABS(N1200)&lt;'Sollecitazioni nel paramento'!$G$58,ABS(N1200)*'Sollecitazioni nel paramento'!$G$54,'Sollecitazioni nel paramento'!$G$53)</f>
        <v>-9364176.3696822207</v>
      </c>
      <c r="I1200" s="472">
        <f>-'Foglio deposito bis'!$F$62*(C1200-sezione!$AP$31)*IF(ABS(O1200)&lt;'Sollecitazioni nel paramento'!$G$58,ABS(O1200)*'Sollecitazioni nel paramento'!$G$54,'Sollecitazioni nel paramento'!$G$53)</f>
        <v>68152836.804315224</v>
      </c>
      <c r="J1200" s="472">
        <f t="shared" si="86"/>
        <v>-1140020414.5431256</v>
      </c>
      <c r="K1200" s="550">
        <f>'Sollecitazioni nel paramento'!$G$60*(sezione!$AL$31-C1200)/C1200</f>
        <v>-2.8902142518738893E-3</v>
      </c>
      <c r="L1200" s="550">
        <f>'Sollecitazioni nel paramento'!$G$60*(sezione!$AM$31-C1200)/C1200</f>
        <v>-2.5853213778108345E-3</v>
      </c>
      <c r="M1200" s="551">
        <f>'Sollecitazioni nel paramento'!$G$60*(sezione!$AN$31-C1200)/C1200</f>
        <v>-2.2804285037477789E-3</v>
      </c>
      <c r="N1200" s="551">
        <f>'Sollecitazioni nel paramento'!$G$60*(sezione!$AO$31-C1200)/C1200</f>
        <v>-1.0608570074955581E-3</v>
      </c>
      <c r="O1200" s="551">
        <f>'Sollecitazioni nel paramento'!$G$60*(sezione!$AP$31-C1200)/C1200</f>
        <v>3.3013890369741829E-3</v>
      </c>
      <c r="P1200" s="545">
        <f>-'Sollecitazioni nel paramento'!$G$47*'Sollecitazioni nel paramento'!$G$41*IF(DATI!$G$211="dx",DATI!$E$61,DATI!$E$64*DATI!$E$63)*1000*C1200*sezione!$AD$5</f>
        <v>-8746645.8774909824</v>
      </c>
      <c r="Q1200" s="545">
        <f>'Foglio deposito bis'!$F$58*IF(ABS(K1200)&lt;'Sollecitazioni nel paramento'!$G$58,ABS(K1200)*'Sollecitazioni nel paramento'!$G$54,'Sollecitazioni nel paramento'!$G$53)*IF(K1200&lt;0,-1,1)</f>
        <v>0</v>
      </c>
      <c r="R1200" s="545">
        <f>'Foglio deposito bis'!$F$59*IF(ABS(L1200)&lt;'Sollecitazioni nel paramento'!$G$58,ABS(L1200)*'Sollecitazioni nel paramento'!$G$54,'Sollecitazioni nel paramento'!$G$53)*IF(L1200&lt;0,-1,1)</f>
        <v>-153664.85805602249</v>
      </c>
      <c r="S1200" s="545">
        <f>'Foglio deposito bis'!$F$60*IF(ABS(M1200)&lt;'Sollecitazioni nel paramento'!$G$58,ABS(M1200)*'Sollecitazioni nel paramento'!$G$54,'Sollecitazioni nel paramento'!$G$53)*IF(M1200&lt;0,-1,1)</f>
        <v>0</v>
      </c>
      <c r="T1200" s="545">
        <f>'Foglio deposito bis'!$F$61*IF(ABS(N1200)&lt;'Sollecitazioni nel paramento'!$G$58,ABS(N1200)*'Sollecitazioni nel paramento'!$G$54,'Sollecitazioni nel paramento'!$G$53)*IF(N1200&lt;0,-1,1)</f>
        <v>-134564.34874884464</v>
      </c>
      <c r="U1200" s="545">
        <f>'Foglio deposito bis'!$F$62*IF(ABS(O1200)&lt;'Sollecitazioni nel paramento'!$G$58,ABS(O1200)*'Sollecitazioni nel paramento'!$G$54,'Sollecitazioni nel paramento'!$G$53)*IF(O1200&lt;0,-1,1)</f>
        <v>314705.62929873407</v>
      </c>
      <c r="V1200" s="472">
        <f t="shared" si="88"/>
        <v>-8720169.4549971148</v>
      </c>
      <c r="W1200" s="551"/>
      <c r="X1200" s="551"/>
    </row>
    <row r="1201" spans="1:24" x14ac:dyDescent="0.25">
      <c r="A1201" s="545">
        <f t="shared" si="87"/>
        <v>8979407.8689774182</v>
      </c>
      <c r="B1201" s="3">
        <f t="shared" si="85"/>
        <v>35.899999999999942</v>
      </c>
      <c r="C1201" s="545">
        <f>'Foglio deposito bis'!$E$157/sezione!$B$247*B1201</f>
        <v>236.16731247098349</v>
      </c>
      <c r="D1201" s="603">
        <f>-'Sollecitazioni nel paramento'!$G$47*'Sollecitazioni nel paramento'!$G$41*IF(DATI!$G$211="dx",DATI!$E$61,DATI!$E$64*DATI!$E$63)*1000*C1201^2*sezione!$AD$5*(1-sezione!$AD$6)</f>
        <v>-1240918330.6255224</v>
      </c>
      <c r="E1201" s="545">
        <f>-'Foglio deposito bis'!$F$58*(C1201-sezione!$AL$31)*IF(ABS(K1201)&lt;'Sollecitazioni nel paramento'!$G$58,ABS(K1201)*'Sollecitazioni nel paramento'!$G$54,'Sollecitazioni nel paramento'!$G$53)</f>
        <v>0</v>
      </c>
      <c r="F1201" s="545">
        <f>-'Foglio deposito bis'!$F$59*(C1201-sezione!$AM$31)*IF(ABS(L1201)&lt;'Sollecitazioni nel paramento'!$G$58,ABS(L1201)*'Sollecitazioni nel paramento'!$G$54,'Sollecitazioni nel paramento'!$G$53)</f>
        <v>-27070725.064964637</v>
      </c>
      <c r="G1201" s="545">
        <f>-'Foglio deposito bis'!$F$60*(C1201-sezione!$AN$31)*IF(ABS(M1201)&lt;'Sollecitazioni nel paramento'!$G$58,ABS(M1201)*'Sollecitazioni nel paramento'!$G$54,'Sollecitazioni nel paramento'!$G$53)</f>
        <v>0</v>
      </c>
      <c r="H1201" s="545">
        <f>-'Foglio deposito bis'!$F$61*(C1201-sezione!$AO$31)*IF(ABS(N1201)&lt;'Sollecitazioni nel paramento'!$G$58,ABS(N1201)*'Sollecitazioni nel paramento'!$G$54,'Sollecitazioni nel paramento'!$G$53)</f>
        <v>-10905829.037062997</v>
      </c>
      <c r="I1201" s="472">
        <f>-'Foglio deposito bis'!$F$62*(C1201-sezione!$AP$31)*IF(ABS(O1201)&lt;'Sollecitazioni nel paramento'!$G$58,ABS(O1201)*'Sollecitazioni nel paramento'!$G$54,'Sollecitazioni nel paramento'!$G$53)</f>
        <v>66082553.163898185</v>
      </c>
      <c r="J1201" s="472">
        <f t="shared" si="86"/>
        <v>-1212812331.5636516</v>
      </c>
      <c r="K1201" s="550">
        <f>'Sollecitazioni nel paramento'!$G$60*(sezione!$AL$31-C1201)/C1201</f>
        <v>-2.907199927309157E-3</v>
      </c>
      <c r="L1201" s="550">
        <f>'Sollecitazioni nel paramento'!$G$60*(sezione!$AM$31-C1201)/C1201</f>
        <v>-2.610799890963736E-3</v>
      </c>
      <c r="M1201" s="551">
        <f>'Sollecitazioni nel paramento'!$G$60*(sezione!$AN$31-C1201)/C1201</f>
        <v>-2.314399854618314E-3</v>
      </c>
      <c r="N1201" s="551">
        <f>'Sollecitazioni nel paramento'!$G$60*(sezione!$AO$31-C1201)/C1201</f>
        <v>-1.1287997092366286E-3</v>
      </c>
      <c r="O1201" s="551">
        <f>'Sollecitazioni nel paramento'!$G$60*(sezione!$AP$31-C1201)/C1201</f>
        <v>3.1119353033537325E-3</v>
      </c>
      <c r="P1201" s="545">
        <f>-'Sollecitazioni nel paramento'!$G$47*'Sollecitazioni nel paramento'!$G$41*IF(DATI!$G$211="dx",DATI!$E$61,DATI!$E$64*DATI!$E$63)*1000*C1201*sezione!$AD$5</f>
        <v>-8997266.1032070555</v>
      </c>
      <c r="Q1201" s="545">
        <f>'Foglio deposito bis'!$F$58*IF(ABS(K1201)&lt;'Sollecitazioni nel paramento'!$G$58,ABS(K1201)*'Sollecitazioni nel paramento'!$G$54,'Sollecitazioni nel paramento'!$G$53)*IF(K1201&lt;0,-1,1)</f>
        <v>0</v>
      </c>
      <c r="R1201" s="545">
        <f>'Foglio deposito bis'!$F$59*IF(ABS(L1201)&lt;'Sollecitazioni nel paramento'!$G$58,ABS(L1201)*'Sollecitazioni nel paramento'!$G$54,'Sollecitazioni nel paramento'!$G$53)*IF(L1201&lt;0,-1,1)</f>
        <v>-153664.85805602249</v>
      </c>
      <c r="S1201" s="545">
        <f>'Foglio deposito bis'!$F$60*IF(ABS(M1201)&lt;'Sollecitazioni nel paramento'!$G$58,ABS(M1201)*'Sollecitazioni nel paramento'!$G$54,'Sollecitazioni nel paramento'!$G$53)*IF(M1201&lt;0,-1,1)</f>
        <v>0</v>
      </c>
      <c r="T1201" s="545">
        <f>'Foglio deposito bis'!$F$61*IF(ABS(N1201)&lt;'Sollecitazioni nel paramento'!$G$58,ABS(N1201)*'Sollecitazioni nel paramento'!$G$54,'Sollecitazioni nel paramento'!$G$53)*IF(N1201&lt;0,-1,1)</f>
        <v>-143182.53701307441</v>
      </c>
      <c r="U1201" s="545">
        <f>'Foglio deposito bis'!$F$62*IF(ABS(O1201)&lt;'Sollecitazioni nel paramento'!$G$58,ABS(O1201)*'Sollecitazioni nel paramento'!$G$54,'Sollecitazioni nel paramento'!$G$53)*IF(O1201&lt;0,-1,1)</f>
        <v>314705.62929873407</v>
      </c>
      <c r="V1201" s="472">
        <f t="shared" si="88"/>
        <v>-8979407.8689774182</v>
      </c>
      <c r="W1201" s="551"/>
      <c r="X1201" s="551"/>
    </row>
    <row r="1202" spans="1:24" x14ac:dyDescent="0.25">
      <c r="A1202" s="545">
        <f t="shared" si="87"/>
        <v>9238179.1724826973</v>
      </c>
      <c r="B1202" s="3">
        <f t="shared" si="85"/>
        <v>36.899999999999942</v>
      </c>
      <c r="C1202" s="545">
        <f>'Foglio deposito bis'!$E$157/sezione!$B$247*B1202</f>
        <v>242.74578914148444</v>
      </c>
      <c r="D1202" s="603">
        <f>-'Sollecitazioni nel paramento'!$G$47*'Sollecitazioni nel paramento'!$G$41*IF(DATI!$G$211="dx",DATI!$E$61,DATI!$E$64*DATI!$E$63)*1000*C1202^2*sezione!$AD$5*(1-sezione!$AD$6)</f>
        <v>-1311013111.4462318</v>
      </c>
      <c r="E1202" s="545">
        <f>-'Foglio deposito bis'!$F$58*(C1202-sezione!$AL$31)*IF(ABS(K1202)&lt;'Sollecitazioni nel paramento'!$G$58,ABS(K1202)*'Sollecitazioni nel paramento'!$G$54,'Sollecitazioni nel paramento'!$G$53)</f>
        <v>0</v>
      </c>
      <c r="F1202" s="545">
        <f>-'Foglio deposito bis'!$F$59*(C1202-sezione!$AM$31)*IF(ABS(L1202)&lt;'Sollecitazioni nel paramento'!$G$58,ABS(L1202)*'Sollecitazioni nel paramento'!$G$54,'Sollecitazioni nel paramento'!$G$53)</f>
        <v>-28081605.748762026</v>
      </c>
      <c r="G1202" s="545">
        <f>-'Foglio deposito bis'!$F$60*(C1202-sezione!$AN$31)*IF(ABS(M1202)&lt;'Sollecitazioni nel paramento'!$G$58,ABS(M1202)*'Sollecitazioni nel paramento'!$G$54,'Sollecitazioni nel paramento'!$G$53)</f>
        <v>0</v>
      </c>
      <c r="H1202" s="545">
        <f>-'Foglio deposito bis'!$F$61*(C1202-sezione!$AO$31)*IF(ABS(N1202)&lt;'Sollecitazioni nel paramento'!$G$58,ABS(N1202)*'Sollecitazioni nel paramento'!$G$54,'Sollecitazioni nel paramento'!$G$53)</f>
        <v>-12522219.380447945</v>
      </c>
      <c r="I1202" s="472">
        <f>-'Foglio deposito bis'!$F$62*(C1202-sezione!$AP$31)*IF(ABS(O1202)&lt;'Sollecitazioni nel paramento'!$G$58,ABS(O1202)*'Sollecitazioni nel paramento'!$G$54,'Sollecitazioni nel paramento'!$G$53)</f>
        <v>64012269.523481146</v>
      </c>
      <c r="J1202" s="472">
        <f t="shared" si="86"/>
        <v>-1287604667.0519607</v>
      </c>
      <c r="K1202" s="550">
        <f>'Sollecitazioni nel paramento'!$G$60*(sezione!$AL$31-C1202)/C1202</f>
        <v>-2.9232649699295053E-3</v>
      </c>
      <c r="L1202" s="550">
        <f>'Sollecitazioni nel paramento'!$G$60*(sezione!$AM$31-C1202)/C1202</f>
        <v>-2.6348974548942579E-3</v>
      </c>
      <c r="M1202" s="551">
        <f>'Sollecitazioni nel paramento'!$G$60*(sezione!$AN$31-C1202)/C1202</f>
        <v>-2.3465299398590105E-3</v>
      </c>
      <c r="N1202" s="551">
        <f>'Sollecitazioni nel paramento'!$G$60*(sezione!$AO$31-C1202)/C1202</f>
        <v>-1.1930598797180211E-3</v>
      </c>
      <c r="O1202" s="551">
        <f>'Sollecitazioni nel paramento'!$G$60*(sezione!$AP$31-C1202)/C1202</f>
        <v>2.9327500647804601E-3</v>
      </c>
      <c r="P1202" s="545">
        <f>-'Sollecitazioni nel paramento'!$G$47*'Sollecitazioni nel paramento'!$G$41*IF(DATI!$G$211="dx",DATI!$E$61,DATI!$E$64*DATI!$E$63)*1000*C1202*sezione!$AD$5</f>
        <v>-9247886.3289231304</v>
      </c>
      <c r="Q1202" s="545">
        <f>'Foglio deposito bis'!$F$58*IF(ABS(K1202)&lt;'Sollecitazioni nel paramento'!$G$58,ABS(K1202)*'Sollecitazioni nel paramento'!$G$54,'Sollecitazioni nel paramento'!$G$53)*IF(K1202&lt;0,-1,1)</f>
        <v>0</v>
      </c>
      <c r="R1202" s="545">
        <f>'Foglio deposito bis'!$F$59*IF(ABS(L1202)&lt;'Sollecitazioni nel paramento'!$G$58,ABS(L1202)*'Sollecitazioni nel paramento'!$G$54,'Sollecitazioni nel paramento'!$G$53)*IF(L1202&lt;0,-1,1)</f>
        <v>-153664.85805602249</v>
      </c>
      <c r="S1202" s="545">
        <f>'Foglio deposito bis'!$F$60*IF(ABS(M1202)&lt;'Sollecitazioni nel paramento'!$G$58,ABS(M1202)*'Sollecitazioni nel paramento'!$G$54,'Sollecitazioni nel paramento'!$G$53)*IF(M1202&lt;0,-1,1)</f>
        <v>0</v>
      </c>
      <c r="T1202" s="545">
        <f>'Foglio deposito bis'!$F$61*IF(ABS(N1202)&lt;'Sollecitazioni nel paramento'!$G$58,ABS(N1202)*'Sollecitazioni nel paramento'!$G$54,'Sollecitazioni nel paramento'!$G$53)*IF(N1202&lt;0,-1,1)</f>
        <v>-151333.61480227826</v>
      </c>
      <c r="U1202" s="545">
        <f>'Foglio deposito bis'!$F$62*IF(ABS(O1202)&lt;'Sollecitazioni nel paramento'!$G$58,ABS(O1202)*'Sollecitazioni nel paramento'!$G$54,'Sollecitazioni nel paramento'!$G$53)*IF(O1202&lt;0,-1,1)</f>
        <v>314705.62929873407</v>
      </c>
      <c r="V1202" s="472">
        <f t="shared" si="88"/>
        <v>-9238179.1724826973</v>
      </c>
      <c r="W1202" s="551"/>
      <c r="X1202" s="551"/>
    </row>
    <row r="1203" spans="1:24" x14ac:dyDescent="0.25">
      <c r="A1203" s="545">
        <f t="shared" si="87"/>
        <v>9496520.3399568833</v>
      </c>
      <c r="B1203" s="3">
        <f t="shared" si="85"/>
        <v>37.899999999999942</v>
      </c>
      <c r="C1203" s="545">
        <f>'Foglio deposito bis'!$E$157/sezione!$B$247*B1203</f>
        <v>249.32426581198538</v>
      </c>
      <c r="D1203" s="603">
        <f>-'Sollecitazioni nel paramento'!$G$47*'Sollecitazioni nel paramento'!$G$41*IF(DATI!$G$211="dx",DATI!$E$61,DATI!$E$64*DATI!$E$63)*1000*C1203^2*sezione!$AD$5*(1-sezione!$AD$6)</f>
        <v>-1383033573.0587184</v>
      </c>
      <c r="E1203" s="545">
        <f>-'Foglio deposito bis'!$F$58*(C1203-sezione!$AL$31)*IF(ABS(K1203)&lt;'Sollecitazioni nel paramento'!$G$58,ABS(K1203)*'Sollecitazioni nel paramento'!$G$54,'Sollecitazioni nel paramento'!$G$53)</f>
        <v>0</v>
      </c>
      <c r="F1203" s="545">
        <f>-'Foglio deposito bis'!$F$59*(C1203-sezione!$AM$31)*IF(ABS(L1203)&lt;'Sollecitazioni nel paramento'!$G$58,ABS(L1203)*'Sollecitazioni nel paramento'!$G$54,'Sollecitazioni nel paramento'!$G$53)</f>
        <v>-29092486.432559405</v>
      </c>
      <c r="G1203" s="545">
        <f>-'Foglio deposito bis'!$F$60*(C1203-sezione!$AN$31)*IF(ABS(M1203)&lt;'Sollecitazioni nel paramento'!$G$58,ABS(M1203)*'Sollecitazioni nel paramento'!$G$54,'Sollecitazioni nel paramento'!$G$53)</f>
        <v>0</v>
      </c>
      <c r="H1203" s="545">
        <f>-'Foglio deposito bis'!$F$61*(C1203-sezione!$AO$31)*IF(ABS(N1203)&lt;'Sollecitazioni nel paramento'!$G$58,ABS(N1203)*'Sollecitazioni nel paramento'!$G$54,'Sollecitazioni nel paramento'!$G$53)</f>
        <v>-14207431.488807699</v>
      </c>
      <c r="I1203" s="472">
        <f>-'Foglio deposito bis'!$F$62*(C1203-sezione!$AP$31)*IF(ABS(O1203)&lt;'Sollecitazioni nel paramento'!$G$58,ABS(O1203)*'Sollecitazioni nel paramento'!$G$54,'Sollecitazioni nel paramento'!$G$53)</f>
        <v>61941985.883064106</v>
      </c>
      <c r="J1203" s="472">
        <f t="shared" si="86"/>
        <v>-1364391505.0970216</v>
      </c>
      <c r="K1203" s="550">
        <f>'Sollecitazioni nel paramento'!$G$60*(sezione!$AL$31-C1203)/C1203</f>
        <v>-2.9384822530448217E-3</v>
      </c>
      <c r="L1203" s="550">
        <f>'Sollecitazioni nel paramento'!$G$60*(sezione!$AM$31-C1203)/C1203</f>
        <v>-2.657723379567233E-3</v>
      </c>
      <c r="M1203" s="551">
        <f>'Sollecitazioni nel paramento'!$G$60*(sezione!$AN$31-C1203)/C1203</f>
        <v>-2.3769645060896434E-3</v>
      </c>
      <c r="N1203" s="551">
        <f>'Sollecitazioni nel paramento'!$G$60*(sezione!$AO$31-C1203)/C1203</f>
        <v>-1.2539290121792871E-3</v>
      </c>
      <c r="O1203" s="551">
        <f>'Sollecitazioni nel paramento'!$G$60*(sezione!$AP$31-C1203)/C1203</f>
        <v>2.7630205116200256E-3</v>
      </c>
      <c r="P1203" s="545">
        <f>-'Sollecitazioni nel paramento'!$G$47*'Sollecitazioni nel paramento'!$G$41*IF(DATI!$G$211="dx",DATI!$E$61,DATI!$E$64*DATI!$E$63)*1000*C1203*sezione!$AD$5</f>
        <v>-9498506.5546392053</v>
      </c>
      <c r="Q1203" s="545">
        <f>'Foglio deposito bis'!$F$58*IF(ABS(K1203)&lt;'Sollecitazioni nel paramento'!$G$58,ABS(K1203)*'Sollecitazioni nel paramento'!$G$54,'Sollecitazioni nel paramento'!$G$53)*IF(K1203&lt;0,-1,1)</f>
        <v>0</v>
      </c>
      <c r="R1203" s="545">
        <f>'Foglio deposito bis'!$F$59*IF(ABS(L1203)&lt;'Sollecitazioni nel paramento'!$G$58,ABS(L1203)*'Sollecitazioni nel paramento'!$G$54,'Sollecitazioni nel paramento'!$G$53)*IF(L1203&lt;0,-1,1)</f>
        <v>-153664.85805602249</v>
      </c>
      <c r="S1203" s="545">
        <f>'Foglio deposito bis'!$F$60*IF(ABS(M1203)&lt;'Sollecitazioni nel paramento'!$G$58,ABS(M1203)*'Sollecitazioni nel paramento'!$G$54,'Sollecitazioni nel paramento'!$G$53)*IF(M1203&lt;0,-1,1)</f>
        <v>0</v>
      </c>
      <c r="T1203" s="545">
        <f>'Foglio deposito bis'!$F$61*IF(ABS(N1203)&lt;'Sollecitazioni nel paramento'!$G$58,ABS(N1203)*'Sollecitazioni nel paramento'!$G$54,'Sollecitazioni nel paramento'!$G$53)*IF(N1203&lt;0,-1,1)</f>
        <v>-159054.55656038955</v>
      </c>
      <c r="U1203" s="545">
        <f>'Foglio deposito bis'!$F$62*IF(ABS(O1203)&lt;'Sollecitazioni nel paramento'!$G$58,ABS(O1203)*'Sollecitazioni nel paramento'!$G$54,'Sollecitazioni nel paramento'!$G$53)*IF(O1203&lt;0,-1,1)</f>
        <v>314705.62929873407</v>
      </c>
      <c r="V1203" s="472">
        <f t="shared" si="88"/>
        <v>-9496520.3399568833</v>
      </c>
      <c r="W1203" s="551"/>
      <c r="X1203" s="551"/>
    </row>
    <row r="1204" spans="1:24" x14ac:dyDescent="0.25">
      <c r="A1204" s="545">
        <f t="shared" si="87"/>
        <v>9754464.5438445322</v>
      </c>
      <c r="B1204" s="3">
        <f t="shared" si="85"/>
        <v>38.899999999999942</v>
      </c>
      <c r="C1204" s="545">
        <f>'Foglio deposito bis'!$E$157/sezione!$B$247*B1204</f>
        <v>255.90274248248633</v>
      </c>
      <c r="D1204" s="603">
        <f>-'Sollecitazioni nel paramento'!$G$47*'Sollecitazioni nel paramento'!$G$41*IF(DATI!$G$211="dx",DATI!$E$61,DATI!$E$64*DATI!$E$63)*1000*C1204^2*sezione!$AD$5*(1-sezione!$AD$6)</f>
        <v>-1456979715.4629831</v>
      </c>
      <c r="E1204" s="545">
        <f>-'Foglio deposito bis'!$F$58*(C1204-sezione!$AL$31)*IF(ABS(K1204)&lt;'Sollecitazioni nel paramento'!$G$58,ABS(K1204)*'Sollecitazioni nel paramento'!$G$54,'Sollecitazioni nel paramento'!$G$53)</f>
        <v>0</v>
      </c>
      <c r="F1204" s="545">
        <f>-'Foglio deposito bis'!$F$59*(C1204-sezione!$AM$31)*IF(ABS(L1204)&lt;'Sollecitazioni nel paramento'!$G$58,ABS(L1204)*'Sollecitazioni nel paramento'!$G$54,'Sollecitazioni nel paramento'!$G$53)</f>
        <v>-30103367.116356794</v>
      </c>
      <c r="G1204" s="545">
        <f>-'Foglio deposito bis'!$F$60*(C1204-sezione!$AN$31)*IF(ABS(M1204)&lt;'Sollecitazioni nel paramento'!$G$58,ABS(M1204)*'Sollecitazioni nel paramento'!$G$54,'Sollecitazioni nel paramento'!$G$53)</f>
        <v>0</v>
      </c>
      <c r="H1204" s="545">
        <f>-'Foglio deposito bis'!$F$61*(C1204-sezione!$AO$31)*IF(ABS(N1204)&lt;'Sollecitazioni nel paramento'!$G$58,ABS(N1204)*'Sollecitazioni nel paramento'!$G$54,'Sollecitazioni nel paramento'!$G$53)</f>
        <v>-15956157.771013098</v>
      </c>
      <c r="I1204" s="472">
        <f>-'Foglio deposito bis'!$F$62*(C1204-sezione!$AP$31)*IF(ABS(O1204)&lt;'Sollecitazioni nel paramento'!$G$58,ABS(O1204)*'Sollecitazioni nel paramento'!$G$54,'Sollecitazioni nel paramento'!$G$53)</f>
        <v>59871702.242647067</v>
      </c>
      <c r="J1204" s="472">
        <f t="shared" si="86"/>
        <v>-1443167538.1077058</v>
      </c>
      <c r="K1204" s="550">
        <f>'Sollecitazioni nel paramento'!$G$60*(sezione!$AL$31-C1204)/C1204</f>
        <v>-2.9529171565655203E-3</v>
      </c>
      <c r="L1204" s="550">
        <f>'Sollecitazioni nel paramento'!$G$60*(sezione!$AM$31-C1204)/C1204</f>
        <v>-2.6793757348482806E-3</v>
      </c>
      <c r="M1204" s="551">
        <f>'Sollecitazioni nel paramento'!$G$60*(sezione!$AN$31-C1204)/C1204</f>
        <v>-2.405834313131041E-3</v>
      </c>
      <c r="N1204" s="551">
        <f>'Sollecitazioni nel paramento'!$G$60*(sezione!$AO$31-C1204)/C1204</f>
        <v>-1.3116686262620819E-3</v>
      </c>
      <c r="O1204" s="551">
        <f>'Sollecitazioni nel paramento'!$G$60*(sezione!$AP$31-C1204)/C1204</f>
        <v>2.6020174136349348E-3</v>
      </c>
      <c r="P1204" s="545">
        <f>-'Sollecitazioni nel paramento'!$G$47*'Sollecitazioni nel paramento'!$G$41*IF(DATI!$G$211="dx",DATI!$E$61,DATI!$E$64*DATI!$E$63)*1000*C1204*sezione!$AD$5</f>
        <v>-9749126.7803552784</v>
      </c>
      <c r="Q1204" s="545">
        <f>'Foglio deposito bis'!$F$58*IF(ABS(K1204)&lt;'Sollecitazioni nel paramento'!$G$58,ABS(K1204)*'Sollecitazioni nel paramento'!$G$54,'Sollecitazioni nel paramento'!$G$53)*IF(K1204&lt;0,-1,1)</f>
        <v>0</v>
      </c>
      <c r="R1204" s="545">
        <f>'Foglio deposito bis'!$F$59*IF(ABS(L1204)&lt;'Sollecitazioni nel paramento'!$G$58,ABS(L1204)*'Sollecitazioni nel paramento'!$G$54,'Sollecitazioni nel paramento'!$G$53)*IF(L1204&lt;0,-1,1)</f>
        <v>-153664.85805602249</v>
      </c>
      <c r="S1204" s="545">
        <f>'Foglio deposito bis'!$F$60*IF(ABS(M1204)&lt;'Sollecitazioni nel paramento'!$G$58,ABS(M1204)*'Sollecitazioni nel paramento'!$G$54,'Sollecitazioni nel paramento'!$G$53)*IF(M1204&lt;0,-1,1)</f>
        <v>0</v>
      </c>
      <c r="T1204" s="545">
        <f>'Foglio deposito bis'!$F$61*IF(ABS(N1204)&lt;'Sollecitazioni nel paramento'!$G$58,ABS(N1204)*'Sollecitazioni nel paramento'!$G$54,'Sollecitazioni nel paramento'!$G$53)*IF(N1204&lt;0,-1,1)</f>
        <v>-166378.53473196554</v>
      </c>
      <c r="U1204" s="545">
        <f>'Foglio deposito bis'!$F$62*IF(ABS(O1204)&lt;'Sollecitazioni nel paramento'!$G$58,ABS(O1204)*'Sollecitazioni nel paramento'!$G$54,'Sollecitazioni nel paramento'!$G$53)*IF(O1204&lt;0,-1,1)</f>
        <v>314705.62929873407</v>
      </c>
      <c r="V1204" s="472">
        <f t="shared" si="88"/>
        <v>-9754464.5438445322</v>
      </c>
      <c r="W1204" s="551"/>
      <c r="X1204" s="551"/>
    </row>
    <row r="1205" spans="1:24" x14ac:dyDescent="0.25">
      <c r="A1205" s="545">
        <f t="shared" si="87"/>
        <v>10012041.631031854</v>
      </c>
      <c r="B1205" s="3">
        <f t="shared" si="85"/>
        <v>39.899999999999942</v>
      </c>
      <c r="C1205" s="545">
        <f>'Foglio deposito bis'!$E$157/sezione!$B$247*B1205</f>
        <v>262.48121915298725</v>
      </c>
      <c r="D1205" s="603">
        <f>-'Sollecitazioni nel paramento'!$G$47*'Sollecitazioni nel paramento'!$G$41*IF(DATI!$G$211="dx",DATI!$E$61,DATI!$E$64*DATI!$E$63)*1000*C1205^2*sezione!$AD$5*(1-sezione!$AD$6)</f>
        <v>-1532851538.6590254</v>
      </c>
      <c r="E1205" s="545">
        <f>-'Foglio deposito bis'!$F$58*(C1205-sezione!$AL$31)*IF(ABS(K1205)&lt;'Sollecitazioni nel paramento'!$G$58,ABS(K1205)*'Sollecitazioni nel paramento'!$G$54,'Sollecitazioni nel paramento'!$G$53)</f>
        <v>0</v>
      </c>
      <c r="F1205" s="545">
        <f>-'Foglio deposito bis'!$F$59*(C1205-sezione!$AM$31)*IF(ABS(L1205)&lt;'Sollecitazioni nel paramento'!$G$58,ABS(L1205)*'Sollecitazioni nel paramento'!$G$54,'Sollecitazioni nel paramento'!$G$53)</f>
        <v>-31114247.800154168</v>
      </c>
      <c r="G1205" s="545">
        <f>-'Foglio deposito bis'!$F$60*(C1205-sezione!$AN$31)*IF(ABS(M1205)&lt;'Sollecitazioni nel paramento'!$G$58,ABS(M1205)*'Sollecitazioni nel paramento'!$G$54,'Sollecitazioni nel paramento'!$G$53)</f>
        <v>0</v>
      </c>
      <c r="H1205" s="545">
        <f>-'Foglio deposito bis'!$F$61*(C1205-sezione!$AO$31)*IF(ABS(N1205)&lt;'Sollecitazioni nel paramento'!$G$58,ABS(N1205)*'Sollecitazioni nel paramento'!$G$54,'Sollecitazioni nel paramento'!$G$53)</f>
        <v>-17763622.725271232</v>
      </c>
      <c r="I1205" s="472">
        <f>-'Foglio deposito bis'!$F$62*(C1205-sezione!$AP$31)*IF(ABS(O1205)&lt;'Sollecitazioni nel paramento'!$G$58,ABS(O1205)*'Sollecitazioni nel paramento'!$G$54,'Sollecitazioni nel paramento'!$G$53)</f>
        <v>57801418.602230035</v>
      </c>
      <c r="J1205" s="472">
        <f t="shared" si="86"/>
        <v>-1523927990.5822208</v>
      </c>
      <c r="K1205" s="550">
        <f>'Sollecitazioni nel paramento'!$G$60*(sezione!$AL$31-C1205)/C1205</f>
        <v>-2.9666285060250311E-3</v>
      </c>
      <c r="L1205" s="550">
        <f>'Sollecitazioni nel paramento'!$G$60*(sezione!$AM$31-C1205)/C1205</f>
        <v>-2.6999427590375471E-3</v>
      </c>
      <c r="M1205" s="551">
        <f>'Sollecitazioni nel paramento'!$G$60*(sezione!$AN$31-C1205)/C1205</f>
        <v>-2.4332570120500626E-3</v>
      </c>
      <c r="N1205" s="551">
        <f>'Sollecitazioni nel paramento'!$G$60*(sezione!$AO$31-C1205)/C1205</f>
        <v>-1.3665140241001248E-3</v>
      </c>
      <c r="O1205" s="551">
        <f>'Sollecitazioni nel paramento'!$G$60*(sezione!$AP$31-C1205)/C1205</f>
        <v>2.449084646375914E-3</v>
      </c>
      <c r="P1205" s="545">
        <f>-'Sollecitazioni nel paramento'!$G$47*'Sollecitazioni nel paramento'!$G$41*IF(DATI!$G$211="dx",DATI!$E$61,DATI!$E$64*DATI!$E$63)*1000*C1205*sezione!$AD$5</f>
        <v>-9999747.0060713533</v>
      </c>
      <c r="Q1205" s="545">
        <f>'Foglio deposito bis'!$F$58*IF(ABS(K1205)&lt;'Sollecitazioni nel paramento'!$G$58,ABS(K1205)*'Sollecitazioni nel paramento'!$G$54,'Sollecitazioni nel paramento'!$G$53)*IF(K1205&lt;0,-1,1)</f>
        <v>0</v>
      </c>
      <c r="R1205" s="545">
        <f>'Foglio deposito bis'!$F$59*IF(ABS(L1205)&lt;'Sollecitazioni nel paramento'!$G$58,ABS(L1205)*'Sollecitazioni nel paramento'!$G$54,'Sollecitazioni nel paramento'!$G$53)*IF(L1205&lt;0,-1,1)</f>
        <v>-153664.85805602249</v>
      </c>
      <c r="S1205" s="545">
        <f>'Foglio deposito bis'!$F$60*IF(ABS(M1205)&lt;'Sollecitazioni nel paramento'!$G$58,ABS(M1205)*'Sollecitazioni nel paramento'!$G$54,'Sollecitazioni nel paramento'!$G$53)*IF(M1205&lt;0,-1,1)</f>
        <v>0</v>
      </c>
      <c r="T1205" s="545">
        <f>'Foglio deposito bis'!$F$61*IF(ABS(N1205)&lt;'Sollecitazioni nel paramento'!$G$58,ABS(N1205)*'Sollecitazioni nel paramento'!$G$54,'Sollecitazioni nel paramento'!$G$53)*IF(N1205&lt;0,-1,1)</f>
        <v>-173335.39620321189</v>
      </c>
      <c r="U1205" s="545">
        <f>'Foglio deposito bis'!$F$62*IF(ABS(O1205)&lt;'Sollecitazioni nel paramento'!$G$58,ABS(O1205)*'Sollecitazioni nel paramento'!$G$54,'Sollecitazioni nel paramento'!$G$53)*IF(O1205&lt;0,-1,1)</f>
        <v>314705.62929873407</v>
      </c>
      <c r="V1205" s="472">
        <f t="shared" si="88"/>
        <v>-10012041.631031854</v>
      </c>
      <c r="W1205" s="551"/>
      <c r="X1205" s="551"/>
    </row>
    <row r="1206" spans="1:24" x14ac:dyDescent="0.25">
      <c r="A1206" s="545">
        <f t="shared" si="87"/>
        <v>10269278.529394176</v>
      </c>
      <c r="B1206" s="3">
        <f t="shared" si="85"/>
        <v>40.899999999999942</v>
      </c>
      <c r="C1206" s="545">
        <f>'Foglio deposito bis'!$E$157/sezione!$B$247*B1206</f>
        <v>269.0596958234882</v>
      </c>
      <c r="D1206" s="603">
        <f>-'Sollecitazioni nel paramento'!$G$47*'Sollecitazioni nel paramento'!$G$41*IF(DATI!$G$211="dx",DATI!$E$61,DATI!$E$64*DATI!$E$63)*1000*C1206^2*sezione!$AD$5*(1-sezione!$AD$6)</f>
        <v>-1610649042.6468453</v>
      </c>
      <c r="E1206" s="545">
        <f>-'Foglio deposito bis'!$F$58*(C1206-sezione!$AL$31)*IF(ABS(K1206)&lt;'Sollecitazioni nel paramento'!$G$58,ABS(K1206)*'Sollecitazioni nel paramento'!$G$54,'Sollecitazioni nel paramento'!$G$53)</f>
        <v>0</v>
      </c>
      <c r="F1206" s="545">
        <f>-'Foglio deposito bis'!$F$59*(C1206-sezione!$AM$31)*IF(ABS(L1206)&lt;'Sollecitazioni nel paramento'!$G$58,ABS(L1206)*'Sollecitazioni nel paramento'!$G$54,'Sollecitazioni nel paramento'!$G$53)</f>
        <v>-32125128.483951554</v>
      </c>
      <c r="G1206" s="545">
        <f>-'Foglio deposito bis'!$F$60*(C1206-sezione!$AN$31)*IF(ABS(M1206)&lt;'Sollecitazioni nel paramento'!$G$58,ABS(M1206)*'Sollecitazioni nel paramento'!$G$54,'Sollecitazioni nel paramento'!$G$53)</f>
        <v>0</v>
      </c>
      <c r="H1206" s="545">
        <f>-'Foglio deposito bis'!$F$61*(C1206-sezione!$AO$31)*IF(ABS(N1206)&lt;'Sollecitazioni nel paramento'!$G$58,ABS(N1206)*'Sollecitazioni nel paramento'!$G$54,'Sollecitazioni nel paramento'!$G$53)</f>
        <v>-19625517.89152934</v>
      </c>
      <c r="I1206" s="472">
        <f>-'Foglio deposito bis'!$F$62*(C1206-sezione!$AP$31)*IF(ABS(O1206)&lt;'Sollecitazioni nel paramento'!$G$58,ABS(O1206)*'Sollecitazioni nel paramento'!$G$54,'Sollecitazioni nel paramento'!$G$53)</f>
        <v>55731134.961812995</v>
      </c>
      <c r="J1206" s="472">
        <f t="shared" si="86"/>
        <v>-1606668554.0605133</v>
      </c>
      <c r="K1206" s="550">
        <f>'Sollecitazioni nel paramento'!$G$60*(sezione!$AL$31-C1206)/C1206</f>
        <v>-2.9796693738483801E-3</v>
      </c>
      <c r="L1206" s="550">
        <f>'Sollecitazioni nel paramento'!$G$60*(sezione!$AM$31-C1206)/C1206</f>
        <v>-2.7195040607725703E-3</v>
      </c>
      <c r="M1206" s="551">
        <f>'Sollecitazioni nel paramento'!$G$60*(sezione!$AN$31-C1206)/C1206</f>
        <v>-2.4593387476967606E-3</v>
      </c>
      <c r="N1206" s="551">
        <f>'Sollecitazioni nel paramento'!$G$60*(sezione!$AO$31-C1206)/C1206</f>
        <v>-1.4186774953935204E-3</v>
      </c>
      <c r="O1206" s="551">
        <f>'Sollecitazioni nel paramento'!$G$60*(sezione!$AP$31-C1206)/C1206</f>
        <v>2.3036302540439843E-3</v>
      </c>
      <c r="P1206" s="545">
        <f>-'Sollecitazioni nel paramento'!$G$47*'Sollecitazioni nel paramento'!$G$41*IF(DATI!$G$211="dx",DATI!$E$61,DATI!$E$64*DATI!$E$63)*1000*C1206*sezione!$AD$5</f>
        <v>-10250367.231787428</v>
      </c>
      <c r="Q1206" s="545">
        <f>'Foglio deposito bis'!$F$58*IF(ABS(K1206)&lt;'Sollecitazioni nel paramento'!$G$58,ABS(K1206)*'Sollecitazioni nel paramento'!$G$54,'Sollecitazioni nel paramento'!$G$53)*IF(K1206&lt;0,-1,1)</f>
        <v>0</v>
      </c>
      <c r="R1206" s="545">
        <f>'Foglio deposito bis'!$F$59*IF(ABS(L1206)&lt;'Sollecitazioni nel paramento'!$G$58,ABS(L1206)*'Sollecitazioni nel paramento'!$G$54,'Sollecitazioni nel paramento'!$G$53)*IF(L1206&lt;0,-1,1)</f>
        <v>-153664.85805602249</v>
      </c>
      <c r="S1206" s="545">
        <f>'Foglio deposito bis'!$F$60*IF(ABS(M1206)&lt;'Sollecitazioni nel paramento'!$G$58,ABS(M1206)*'Sollecitazioni nel paramento'!$G$54,'Sollecitazioni nel paramento'!$G$53)*IF(M1206&lt;0,-1,1)</f>
        <v>0</v>
      </c>
      <c r="T1206" s="545">
        <f>'Foglio deposito bis'!$F$61*IF(ABS(N1206)&lt;'Sollecitazioni nel paramento'!$G$58,ABS(N1206)*'Sollecitazioni nel paramento'!$G$54,'Sollecitazioni nel paramento'!$G$53)*IF(N1206&lt;0,-1,1)</f>
        <v>-179952.06884945842</v>
      </c>
      <c r="U1206" s="545">
        <f>'Foglio deposito bis'!$F$62*IF(ABS(O1206)&lt;'Sollecitazioni nel paramento'!$G$58,ABS(O1206)*'Sollecitazioni nel paramento'!$G$54,'Sollecitazioni nel paramento'!$G$53)*IF(O1206&lt;0,-1,1)</f>
        <v>314705.62929873407</v>
      </c>
      <c r="V1206" s="472">
        <f t="shared" si="88"/>
        <v>-10269278.529394176</v>
      </c>
      <c r="W1206" s="551"/>
      <c r="X1206" s="551"/>
    </row>
    <row r="1207" spans="1:24" x14ac:dyDescent="0.25">
      <c r="A1207" s="545">
        <f t="shared" si="87"/>
        <v>10526199.596126605</v>
      </c>
      <c r="B1207" s="3">
        <f t="shared" si="85"/>
        <v>41.899999999999942</v>
      </c>
      <c r="C1207" s="545">
        <f>'Foglio deposito bis'!$E$157/sezione!$B$247*B1207</f>
        <v>275.63817249398915</v>
      </c>
      <c r="D1207" s="603">
        <f>-'Sollecitazioni nel paramento'!$G$47*'Sollecitazioni nel paramento'!$G$41*IF(DATI!$G$211="dx",DATI!$E$61,DATI!$E$64*DATI!$E$63)*1000*C1207^2*sezione!$AD$5*(1-sezione!$AD$6)</f>
        <v>-1690372227.4264431</v>
      </c>
      <c r="E1207" s="545">
        <f>-'Foglio deposito bis'!$F$58*(C1207-sezione!$AL$31)*IF(ABS(K1207)&lt;'Sollecitazioni nel paramento'!$G$58,ABS(K1207)*'Sollecitazioni nel paramento'!$G$54,'Sollecitazioni nel paramento'!$G$53)</f>
        <v>0</v>
      </c>
      <c r="F1207" s="545">
        <f>-'Foglio deposito bis'!$F$59*(C1207-sezione!$AM$31)*IF(ABS(L1207)&lt;'Sollecitazioni nel paramento'!$G$58,ABS(L1207)*'Sollecitazioni nel paramento'!$G$54,'Sollecitazioni nel paramento'!$G$53)</f>
        <v>-33136009.167748936</v>
      </c>
      <c r="G1207" s="545">
        <f>-'Foglio deposito bis'!$F$60*(C1207-sezione!$AN$31)*IF(ABS(M1207)&lt;'Sollecitazioni nel paramento'!$G$58,ABS(M1207)*'Sollecitazioni nel paramento'!$G$54,'Sollecitazioni nel paramento'!$G$53)</f>
        <v>0</v>
      </c>
      <c r="H1207" s="545">
        <f>-'Foglio deposito bis'!$F$61*(C1207-sezione!$AO$31)*IF(ABS(N1207)&lt;'Sollecitazioni nel paramento'!$G$58,ABS(N1207)*'Sollecitazioni nel paramento'!$G$54,'Sollecitazioni nel paramento'!$G$53)</f>
        <v>-21537946.118570242</v>
      </c>
      <c r="I1207" s="472">
        <f>-'Foglio deposito bis'!$F$62*(C1207-sezione!$AP$31)*IF(ABS(O1207)&lt;'Sollecitazioni nel paramento'!$G$58,ABS(O1207)*'Sollecitazioni nel paramento'!$G$54,'Sollecitazioni nel paramento'!$G$53)</f>
        <v>53660851.321395956</v>
      </c>
      <c r="J1207" s="472">
        <f t="shared" si="86"/>
        <v>-1691385331.3913665</v>
      </c>
      <c r="K1207" s="550">
        <f>'Sollecitazioni nel paramento'!$G$60*(sezione!$AL$31-C1207)/C1207</f>
        <v>-2.9920877658806385E-3</v>
      </c>
      <c r="L1207" s="550">
        <f>'Sollecitazioni nel paramento'!$G$60*(sezione!$AM$31-C1207)/C1207</f>
        <v>-2.7381316488209574E-3</v>
      </c>
      <c r="M1207" s="551">
        <f>'Sollecitazioni nel paramento'!$G$60*(sezione!$AN$31-C1207)/C1207</f>
        <v>-2.4841755317612764E-3</v>
      </c>
      <c r="N1207" s="551">
        <f>'Sollecitazioni nel paramento'!$G$60*(sezione!$AO$31-C1207)/C1207</f>
        <v>-1.4683510635225534E-3</v>
      </c>
      <c r="O1207" s="551">
        <f>'Sollecitazioni nel paramento'!$G$60*(sezione!$AP$31-C1207)/C1207</f>
        <v>2.1651187921336267E-3</v>
      </c>
      <c r="P1207" s="545">
        <f>-'Sollecitazioni nel paramento'!$G$47*'Sollecitazioni nel paramento'!$G$41*IF(DATI!$G$211="dx",DATI!$E$61,DATI!$E$64*DATI!$E$63)*1000*C1207*sezione!$AD$5</f>
        <v>-10500987.457503503</v>
      </c>
      <c r="Q1207" s="545">
        <f>'Foglio deposito bis'!$F$58*IF(ABS(K1207)&lt;'Sollecitazioni nel paramento'!$G$58,ABS(K1207)*'Sollecitazioni nel paramento'!$G$54,'Sollecitazioni nel paramento'!$G$53)*IF(K1207&lt;0,-1,1)</f>
        <v>0</v>
      </c>
      <c r="R1207" s="545">
        <f>'Foglio deposito bis'!$F$59*IF(ABS(L1207)&lt;'Sollecitazioni nel paramento'!$G$58,ABS(L1207)*'Sollecitazioni nel paramento'!$G$54,'Sollecitazioni nel paramento'!$G$53)*IF(L1207&lt;0,-1,1)</f>
        <v>-153664.85805602249</v>
      </c>
      <c r="S1207" s="545">
        <f>'Foglio deposito bis'!$F$60*IF(ABS(M1207)&lt;'Sollecitazioni nel paramento'!$G$58,ABS(M1207)*'Sollecitazioni nel paramento'!$G$54,'Sollecitazioni nel paramento'!$G$53)*IF(M1207&lt;0,-1,1)</f>
        <v>0</v>
      </c>
      <c r="T1207" s="545">
        <f>'Foglio deposito bis'!$F$61*IF(ABS(N1207)&lt;'Sollecitazioni nel paramento'!$G$58,ABS(N1207)*'Sollecitazioni nel paramento'!$G$54,'Sollecitazioni nel paramento'!$G$53)*IF(N1207&lt;0,-1,1)</f>
        <v>-186252.90986581251</v>
      </c>
      <c r="U1207" s="545">
        <f>'Foglio deposito bis'!$F$62*IF(ABS(O1207)&lt;'Sollecitazioni nel paramento'!$G$58,ABS(O1207)*'Sollecitazioni nel paramento'!$G$54,'Sollecitazioni nel paramento'!$G$53)*IF(O1207&lt;0,-1,1)</f>
        <v>314705.62929873407</v>
      </c>
      <c r="V1207" s="472">
        <f t="shared" si="88"/>
        <v>-10526199.596126605</v>
      </c>
      <c r="W1207" s="551"/>
      <c r="X1207" s="551"/>
    </row>
    <row r="1208" spans="1:24" x14ac:dyDescent="0.25">
      <c r="A1208" s="545">
        <f t="shared" si="87"/>
        <v>10782826.917357106</v>
      </c>
      <c r="B1208" s="3">
        <f t="shared" si="85"/>
        <v>42.899999999999942</v>
      </c>
      <c r="C1208" s="545">
        <f>'Foglio deposito bis'!$E$157/sezione!$B$247*B1208</f>
        <v>282.21664916449009</v>
      </c>
      <c r="D1208" s="603">
        <f>-'Sollecitazioni nel paramento'!$G$47*'Sollecitazioni nel paramento'!$G$41*IF(DATI!$G$211="dx",DATI!$E$61,DATI!$E$64*DATI!$E$63)*1000*C1208^2*sezione!$AD$5*(1-sezione!$AD$6)</f>
        <v>-1772021092.9978189</v>
      </c>
      <c r="E1208" s="545">
        <f>-'Foglio deposito bis'!$F$58*(C1208-sezione!$AL$31)*IF(ABS(K1208)&lt;'Sollecitazioni nel paramento'!$G$58,ABS(K1208)*'Sollecitazioni nel paramento'!$G$54,'Sollecitazioni nel paramento'!$G$53)</f>
        <v>0</v>
      </c>
      <c r="F1208" s="545">
        <f>-'Foglio deposito bis'!$F$59*(C1208-sezione!$AM$31)*IF(ABS(L1208)&lt;'Sollecitazioni nel paramento'!$G$58,ABS(L1208)*'Sollecitazioni nel paramento'!$G$54,'Sollecitazioni nel paramento'!$G$53)</f>
        <v>-34146889.851546317</v>
      </c>
      <c r="G1208" s="545">
        <f>-'Foglio deposito bis'!$F$60*(C1208-sezione!$AN$31)*IF(ABS(M1208)&lt;'Sollecitazioni nel paramento'!$G$58,ABS(M1208)*'Sollecitazioni nel paramento'!$G$54,'Sollecitazioni nel paramento'!$G$53)</f>
        <v>0</v>
      </c>
      <c r="H1208" s="545">
        <f>-'Foglio deposito bis'!$F$61*(C1208-sezione!$AO$31)*IF(ABS(N1208)&lt;'Sollecitazioni nel paramento'!$G$58,ABS(N1208)*'Sollecitazioni nel paramento'!$G$54,'Sollecitazioni nel paramento'!$G$53)</f>
        <v>-23497373.625919614</v>
      </c>
      <c r="I1208" s="472">
        <f>-'Foglio deposito bis'!$F$62*(C1208-sezione!$AP$31)*IF(ABS(O1208)&lt;'Sollecitazioni nel paramento'!$G$58,ABS(O1208)*'Sollecitazioni nel paramento'!$G$54,'Sollecitazioni nel paramento'!$G$53)</f>
        <v>51590567.680978902</v>
      </c>
      <c r="J1208" s="472">
        <f t="shared" si="86"/>
        <v>-1778074788.7943058</v>
      </c>
      <c r="K1208" s="550">
        <f>'Sollecitazioni nel paramento'!$G$60*(sezione!$AL$31-C1208)/C1208</f>
        <v>-3.0039272118974067E-3</v>
      </c>
      <c r="L1208" s="550">
        <f>'Sollecitazioni nel paramento'!$G$60*(sezione!$AM$31-C1208)/C1208</f>
        <v>-2.7558908178461103E-3</v>
      </c>
      <c r="M1208" s="551">
        <f>'Sollecitazioni nel paramento'!$G$60*(sezione!$AN$31-C1208)/C1208</f>
        <v>-2.5078544237948134E-3</v>
      </c>
      <c r="N1208" s="551">
        <f>'Sollecitazioni nel paramento'!$G$60*(sezione!$AO$31-C1208)/C1208</f>
        <v>-1.5157088475896269E-3</v>
      </c>
      <c r="O1208" s="551">
        <f>'Sollecitazioni nel paramento'!$G$60*(sezione!$AP$31-C1208)/C1208</f>
        <v>2.0330647410349402E-3</v>
      </c>
      <c r="P1208" s="545">
        <f>-'Sollecitazioni nel paramento'!$G$47*'Sollecitazioni nel paramento'!$G$41*IF(DATI!$G$211="dx",DATI!$E$61,DATI!$E$64*DATI!$E$63)*1000*C1208*sezione!$AD$5</f>
        <v>-10751607.683219578</v>
      </c>
      <c r="Q1208" s="545">
        <f>'Foglio deposito bis'!$F$58*IF(ABS(K1208)&lt;'Sollecitazioni nel paramento'!$G$58,ABS(K1208)*'Sollecitazioni nel paramento'!$G$54,'Sollecitazioni nel paramento'!$G$53)*IF(K1208&lt;0,-1,1)</f>
        <v>0</v>
      </c>
      <c r="R1208" s="545">
        <f>'Foglio deposito bis'!$F$59*IF(ABS(L1208)&lt;'Sollecitazioni nel paramento'!$G$58,ABS(L1208)*'Sollecitazioni nel paramento'!$G$54,'Sollecitazioni nel paramento'!$G$53)*IF(L1208&lt;0,-1,1)</f>
        <v>-153664.85805602249</v>
      </c>
      <c r="S1208" s="545">
        <f>'Foglio deposito bis'!$F$60*IF(ABS(M1208)&lt;'Sollecitazioni nel paramento'!$G$58,ABS(M1208)*'Sollecitazioni nel paramento'!$G$54,'Sollecitazioni nel paramento'!$G$53)*IF(M1208&lt;0,-1,1)</f>
        <v>0</v>
      </c>
      <c r="T1208" s="545">
        <f>'Foglio deposito bis'!$F$61*IF(ABS(N1208)&lt;'Sollecitazioni nel paramento'!$G$58,ABS(N1208)*'Sollecitazioni nel paramento'!$G$54,'Sollecitazioni nel paramento'!$G$53)*IF(N1208&lt;0,-1,1)</f>
        <v>-192260.00538023873</v>
      </c>
      <c r="U1208" s="545">
        <f>'Foglio deposito bis'!$F$62*IF(ABS(O1208)&lt;'Sollecitazioni nel paramento'!$G$58,ABS(O1208)*'Sollecitazioni nel paramento'!$G$54,'Sollecitazioni nel paramento'!$G$53)*IF(O1208&lt;0,-1,1)</f>
        <v>314705.62929873407</v>
      </c>
      <c r="V1208" s="472">
        <f t="shared" si="88"/>
        <v>-10782826.917357106</v>
      </c>
      <c r="W1208" s="551"/>
      <c r="X1208" s="551"/>
    </row>
    <row r="1209" spans="1:24" x14ac:dyDescent="0.25">
      <c r="A1209" s="545">
        <f t="shared" si="87"/>
        <v>11039180.566810181</v>
      </c>
      <c r="B1209" s="3">
        <f t="shared" si="85"/>
        <v>43.899999999999942</v>
      </c>
      <c r="C1209" s="545">
        <f>'Foglio deposito bis'!$E$157/sezione!$B$247*B1209</f>
        <v>288.79512583499104</v>
      </c>
      <c r="D1209" s="603">
        <f>-'Sollecitazioni nel paramento'!$G$47*'Sollecitazioni nel paramento'!$G$41*IF(DATI!$G$211="dx",DATI!$E$61,DATI!$E$64*DATI!$E$63)*1000*C1209^2*sezione!$AD$5*(1-sezione!$AD$6)</f>
        <v>-1855595639.3609722</v>
      </c>
      <c r="E1209" s="545">
        <f>-'Foglio deposito bis'!$F$58*(C1209-sezione!$AL$31)*IF(ABS(K1209)&lt;'Sollecitazioni nel paramento'!$G$58,ABS(K1209)*'Sollecitazioni nel paramento'!$G$54,'Sollecitazioni nel paramento'!$G$53)</f>
        <v>0</v>
      </c>
      <c r="F1209" s="545">
        <f>-'Foglio deposito bis'!$F$59*(C1209-sezione!$AM$31)*IF(ABS(L1209)&lt;'Sollecitazioni nel paramento'!$G$58,ABS(L1209)*'Sollecitazioni nel paramento'!$G$54,'Sollecitazioni nel paramento'!$G$53)</f>
        <v>-35157770.535343699</v>
      </c>
      <c r="G1209" s="545">
        <f>-'Foglio deposito bis'!$F$60*(C1209-sezione!$AN$31)*IF(ABS(M1209)&lt;'Sollecitazioni nel paramento'!$G$58,ABS(M1209)*'Sollecitazioni nel paramento'!$G$54,'Sollecitazioni nel paramento'!$G$53)</f>
        <v>0</v>
      </c>
      <c r="H1209" s="545">
        <f>-'Foglio deposito bis'!$F$61*(C1209-sezione!$AO$31)*IF(ABS(N1209)&lt;'Sollecitazioni nel paramento'!$G$58,ABS(N1209)*'Sollecitazioni nel paramento'!$G$54,'Sollecitazioni nel paramento'!$G$53)</f>
        <v>-25500588.6176566</v>
      </c>
      <c r="I1209" s="472">
        <f>-'Foglio deposito bis'!$F$62*(C1209-sezione!$AP$31)*IF(ABS(O1209)&lt;'Sollecitazioni nel paramento'!$G$58,ABS(O1209)*'Sollecitazioni nel paramento'!$G$54,'Sollecitazioni nel paramento'!$G$53)</f>
        <v>49520284.04056187</v>
      </c>
      <c r="J1209" s="472">
        <f t="shared" si="86"/>
        <v>-1866733714.4734106</v>
      </c>
      <c r="K1209" s="550">
        <f>'Sollecitazioni nel paramento'!$G$60*(sezione!$AL$31-C1209)/C1209</f>
        <v>-3.0152272754077163E-3</v>
      </c>
      <c r="L1209" s="550">
        <f>'Sollecitazioni nel paramento'!$G$60*(sezione!$AM$31-C1209)/C1209</f>
        <v>-2.7728409131115746E-3</v>
      </c>
      <c r="M1209" s="551">
        <f>'Sollecitazioni nel paramento'!$G$60*(sezione!$AN$31-C1209)/C1209</f>
        <v>-2.5304545508154329E-3</v>
      </c>
      <c r="N1209" s="551">
        <f>'Sollecitazioni nel paramento'!$G$60*(sezione!$AO$31-C1209)/C1209</f>
        <v>-1.5609091016308655E-3</v>
      </c>
      <c r="O1209" s="551">
        <f>'Sollecitazioni nel paramento'!$G$60*(sezione!$AP$31-C1209)/C1209</f>
        <v>1.9070268198268549E-3</v>
      </c>
      <c r="P1209" s="545">
        <f>-'Sollecitazioni nel paramento'!$G$47*'Sollecitazioni nel paramento'!$G$41*IF(DATI!$G$211="dx",DATI!$E$61,DATI!$E$64*DATI!$E$63)*1000*C1209*sezione!$AD$5</f>
        <v>-11002227.908935651</v>
      </c>
      <c r="Q1209" s="545">
        <f>'Foglio deposito bis'!$F$58*IF(ABS(K1209)&lt;'Sollecitazioni nel paramento'!$G$58,ABS(K1209)*'Sollecitazioni nel paramento'!$G$54,'Sollecitazioni nel paramento'!$G$53)*IF(K1209&lt;0,-1,1)</f>
        <v>0</v>
      </c>
      <c r="R1209" s="545">
        <f>'Foglio deposito bis'!$F$59*IF(ABS(L1209)&lt;'Sollecitazioni nel paramento'!$G$58,ABS(L1209)*'Sollecitazioni nel paramento'!$G$54,'Sollecitazioni nel paramento'!$G$53)*IF(L1209&lt;0,-1,1)</f>
        <v>-153664.85805602249</v>
      </c>
      <c r="S1209" s="545">
        <f>'Foglio deposito bis'!$F$60*IF(ABS(M1209)&lt;'Sollecitazioni nel paramento'!$G$58,ABS(M1209)*'Sollecitazioni nel paramento'!$G$54,'Sollecitazioni nel paramento'!$G$53)*IF(M1209&lt;0,-1,1)</f>
        <v>0</v>
      </c>
      <c r="T1209" s="545">
        <f>'Foglio deposito bis'!$F$61*IF(ABS(N1209)&lt;'Sollecitazioni nel paramento'!$G$58,ABS(N1209)*'Sollecitazioni nel paramento'!$G$54,'Sollecitazioni nel paramento'!$G$53)*IF(N1209&lt;0,-1,1)</f>
        <v>-197993.42911724228</v>
      </c>
      <c r="U1209" s="545">
        <f>'Foglio deposito bis'!$F$62*IF(ABS(O1209)&lt;'Sollecitazioni nel paramento'!$G$58,ABS(O1209)*'Sollecitazioni nel paramento'!$G$54,'Sollecitazioni nel paramento'!$G$53)*IF(O1209&lt;0,-1,1)</f>
        <v>314705.62929873407</v>
      </c>
      <c r="V1209" s="472">
        <f t="shared" si="88"/>
        <v>-11039180.566810181</v>
      </c>
      <c r="W1209" s="551"/>
      <c r="X1209" s="551"/>
    </row>
    <row r="1210" spans="1:24" x14ac:dyDescent="0.25">
      <c r="A1210" s="545">
        <f t="shared" si="87"/>
        <v>11313988.94333262</v>
      </c>
      <c r="B1210" s="3">
        <f t="shared" si="85"/>
        <v>44.899999999999942</v>
      </c>
      <c r="C1210" s="545">
        <f>'Foglio deposito bis'!$E$157/sezione!$B$247*B1210</f>
        <v>295.37360250549199</v>
      </c>
      <c r="D1210" s="603">
        <f>-'Sollecitazioni nel paramento'!$G$47*'Sollecitazioni nel paramento'!$G$41*IF(DATI!$G$211="dx",DATI!$E$61,DATI!$E$64*DATI!$E$63)*1000*C1210^2*sezione!$AD$5*(1-sezione!$AD$6)</f>
        <v>-1941095866.515903</v>
      </c>
      <c r="E1210" s="545">
        <f>-'Foglio deposito bis'!$F$58*(C1210-sezione!$AL$31)*IF(ABS(K1210)&lt;'Sollecitazioni nel paramento'!$G$58,ABS(K1210)*'Sollecitazioni nel paramento'!$G$54,'Sollecitazioni nel paramento'!$G$53)</f>
        <v>0</v>
      </c>
      <c r="F1210" s="545">
        <f>-'Foglio deposito bis'!$F$59*(C1210-sezione!$AM$31)*IF(ABS(L1210)&lt;'Sollecitazioni nel paramento'!$G$58,ABS(L1210)*'Sollecitazioni nel paramento'!$G$54,'Sollecitazioni nel paramento'!$G$53)</f>
        <v>-36168651.219141088</v>
      </c>
      <c r="G1210" s="545">
        <f>-'Foglio deposito bis'!$F$60*(C1210-sezione!$AN$31)*IF(ABS(M1210)&lt;'Sollecitazioni nel paramento'!$G$58,ABS(M1210)*'Sollecitazioni nel paramento'!$G$54,'Sollecitazioni nel paramento'!$G$53)</f>
        <v>0</v>
      </c>
      <c r="H1210" s="545">
        <f>-'Foglio deposito bis'!$F$61*(C1210-sezione!$AO$31)*IF(ABS(N1210)&lt;'Sollecitazioni nel paramento'!$G$58,ABS(N1210)*'Sollecitazioni nel paramento'!$G$54,'Sollecitazioni nel paramento'!$G$53)</f>
        <v>-27544665.426672902</v>
      </c>
      <c r="I1210" s="472">
        <f>-'Foglio deposito bis'!$F$62*(C1210-sezione!$AP$31)*IF(ABS(O1210)&lt;'Sollecitazioni nel paramento'!$G$58,ABS(O1210)*'Sollecitazioni nel paramento'!$G$54,'Sollecitazioni nel paramento'!$G$53)</f>
        <v>44628967.64139457</v>
      </c>
      <c r="J1210" s="472">
        <f t="shared" si="86"/>
        <v>-1960180215.5203223</v>
      </c>
      <c r="K1210" s="550">
        <f>'Sollecitazioni nel paramento'!$G$60*(sezione!$AL$31-C1210)/C1210</f>
        <v>-3.0260239953318205E-3</v>
      </c>
      <c r="L1210" s="550">
        <f>'Sollecitazioni nel paramento'!$G$60*(sezione!$AM$31-C1210)/C1210</f>
        <v>-2.7890359929977314E-3</v>
      </c>
      <c r="M1210" s="551">
        <f>'Sollecitazioni nel paramento'!$G$60*(sezione!$AN$31-C1210)/C1210</f>
        <v>-2.5520479906636414E-3</v>
      </c>
      <c r="N1210" s="551">
        <f>'Sollecitazioni nel paramento'!$G$60*(sezione!$AO$31-C1210)/C1210</f>
        <v>-1.6040959813272829E-3</v>
      </c>
      <c r="O1210" s="551">
        <f>'Sollecitazioni nel paramento'!$G$60*(sezione!$AP$31-C1210)/C1210</f>
        <v>1.7866030599197977E-3</v>
      </c>
      <c r="P1210" s="545">
        <f>-'Sollecitazioni nel paramento'!$G$47*'Sollecitazioni nel paramento'!$G$41*IF(DATI!$G$211="dx",DATI!$E$61,DATI!$E$64*DATI!$E$63)*1000*C1210*sezione!$AD$5</f>
        <v>-11252848.134651726</v>
      </c>
      <c r="Q1210" s="545">
        <f>'Foglio deposito bis'!$F$58*IF(ABS(K1210)&lt;'Sollecitazioni nel paramento'!$G$58,ABS(K1210)*'Sollecitazioni nel paramento'!$G$54,'Sollecitazioni nel paramento'!$G$53)*IF(K1210&lt;0,-1,1)</f>
        <v>0</v>
      </c>
      <c r="R1210" s="545">
        <f>'Foglio deposito bis'!$F$59*IF(ABS(L1210)&lt;'Sollecitazioni nel paramento'!$G$58,ABS(L1210)*'Sollecitazioni nel paramento'!$G$54,'Sollecitazioni nel paramento'!$G$53)*IF(L1210&lt;0,-1,1)</f>
        <v>-153664.85805602249</v>
      </c>
      <c r="S1210" s="545">
        <f>'Foglio deposito bis'!$F$60*IF(ABS(M1210)&lt;'Sollecitazioni nel paramento'!$G$58,ABS(M1210)*'Sollecitazioni nel paramento'!$G$54,'Sollecitazioni nel paramento'!$G$53)*IF(M1210&lt;0,-1,1)</f>
        <v>0</v>
      </c>
      <c r="T1210" s="545">
        <f>'Foglio deposito bis'!$F$61*IF(ABS(N1210)&lt;'Sollecitazioni nel paramento'!$G$58,ABS(N1210)*'Sollecitazioni nel paramento'!$G$54,'Sollecitazioni nel paramento'!$G$53)*IF(N1210&lt;0,-1,1)</f>
        <v>-203471.46649625018</v>
      </c>
      <c r="U1210" s="545">
        <f>'Foglio deposito bis'!$F$62*IF(ABS(O1210)&lt;'Sollecitazioni nel paramento'!$G$58,ABS(O1210)*'Sollecitazioni nel paramento'!$G$54,'Sollecitazioni nel paramento'!$G$53)*IF(O1210&lt;0,-1,1)</f>
        <v>295995.51587137714</v>
      </c>
      <c r="V1210" s="472">
        <f t="shared" si="88"/>
        <v>-11313988.94333262</v>
      </c>
      <c r="W1210" s="551"/>
      <c r="X1210" s="551"/>
    </row>
    <row r="1211" spans="1:24" x14ac:dyDescent="0.25">
      <c r="A1211" s="545">
        <f t="shared" si="87"/>
        <v>11588930.388273941</v>
      </c>
      <c r="B1211" s="3">
        <f t="shared" si="85"/>
        <v>45.899999999999942</v>
      </c>
      <c r="C1211" s="545">
        <f>'Foglio deposito bis'!$E$157/sezione!$B$247*B1211</f>
        <v>301.95207917599294</v>
      </c>
      <c r="D1211" s="603">
        <f>-'Sollecitazioni nel paramento'!$G$47*'Sollecitazioni nel paramento'!$G$41*IF(DATI!$G$211="dx",DATI!$E$61,DATI!$E$64*DATI!$E$63)*1000*C1211^2*sezione!$AD$5*(1-sezione!$AD$6)</f>
        <v>-2028521774.4626117</v>
      </c>
      <c r="E1211" s="545">
        <f>-'Foglio deposito bis'!$F$58*(C1211-sezione!$AL$31)*IF(ABS(K1211)&lt;'Sollecitazioni nel paramento'!$G$58,ABS(K1211)*'Sollecitazioni nel paramento'!$G$54,'Sollecitazioni nel paramento'!$G$53)</f>
        <v>0</v>
      </c>
      <c r="F1211" s="545">
        <f>-'Foglio deposito bis'!$F$59*(C1211-sezione!$AM$31)*IF(ABS(L1211)&lt;'Sollecitazioni nel paramento'!$G$58,ABS(L1211)*'Sollecitazioni nel paramento'!$G$54,'Sollecitazioni nel paramento'!$G$53)</f>
        <v>-37179531.90293847</v>
      </c>
      <c r="G1211" s="545">
        <f>-'Foglio deposito bis'!$F$60*(C1211-sezione!$AN$31)*IF(ABS(M1211)&lt;'Sollecitazioni nel paramento'!$G$58,ABS(M1211)*'Sollecitazioni nel paramento'!$G$54,'Sollecitazioni nel paramento'!$G$53)</f>
        <v>0</v>
      </c>
      <c r="H1211" s="545">
        <f>-'Foglio deposito bis'!$F$61*(C1211-sezione!$AO$31)*IF(ABS(N1211)&lt;'Sollecitazioni nel paramento'!$G$58,ABS(N1211)*'Sollecitazioni nel paramento'!$G$54,'Sollecitazioni nel paramento'!$G$53)</f>
        <v>-29626933.345956795</v>
      </c>
      <c r="I1211" s="472">
        <f>-'Foglio deposito bis'!$F$62*(C1211-sezione!$AP$31)*IF(ABS(O1211)&lt;'Sollecitazioni nel paramento'!$G$58,ABS(O1211)*'Sollecitazioni nel paramento'!$G$54,'Sollecitazioni nel paramento'!$G$53)</f>
        <v>39930212.11383532</v>
      </c>
      <c r="J1211" s="472">
        <f t="shared" si="86"/>
        <v>-2055398027.5976715</v>
      </c>
      <c r="K1211" s="550">
        <f>'Sollecitazioni nel paramento'!$G$60*(sezione!$AL$31-C1211)/C1211</f>
        <v>-3.0363502699433278E-3</v>
      </c>
      <c r="L1211" s="550">
        <f>'Sollecitazioni nel paramento'!$G$60*(sezione!$AM$31-C1211)/C1211</f>
        <v>-2.8045254049149921E-3</v>
      </c>
      <c r="M1211" s="551">
        <f>'Sollecitazioni nel paramento'!$G$60*(sezione!$AN$31-C1211)/C1211</f>
        <v>-2.5727005398866556E-3</v>
      </c>
      <c r="N1211" s="551">
        <f>'Sollecitazioni nel paramento'!$G$60*(sezione!$AO$31-C1211)/C1211</f>
        <v>-1.6454010797733118E-3</v>
      </c>
      <c r="O1211" s="551">
        <f>'Sollecitazioni nel paramento'!$G$60*(sezione!$AP$31-C1211)/C1211</f>
        <v>1.6714265226666428E-3</v>
      </c>
      <c r="P1211" s="545">
        <f>-'Sollecitazioni nel paramento'!$G$47*'Sollecitazioni nel paramento'!$G$41*IF(DATI!$G$211="dx",DATI!$E$61,DATI!$E$64*DATI!$E$63)*1000*C1211*sezione!$AD$5</f>
        <v>-11503468.360367801</v>
      </c>
      <c r="Q1211" s="545">
        <f>'Foglio deposito bis'!$F$58*IF(ABS(K1211)&lt;'Sollecitazioni nel paramento'!$G$58,ABS(K1211)*'Sollecitazioni nel paramento'!$G$54,'Sollecitazioni nel paramento'!$G$53)*IF(K1211&lt;0,-1,1)</f>
        <v>0</v>
      </c>
      <c r="R1211" s="545">
        <f>'Foglio deposito bis'!$F$59*IF(ABS(L1211)&lt;'Sollecitazioni nel paramento'!$G$58,ABS(L1211)*'Sollecitazioni nel paramento'!$G$54,'Sollecitazioni nel paramento'!$G$53)*IF(L1211&lt;0,-1,1)</f>
        <v>-153664.85805602249</v>
      </c>
      <c r="S1211" s="545">
        <f>'Foglio deposito bis'!$F$60*IF(ABS(M1211)&lt;'Sollecitazioni nel paramento'!$G$58,ABS(M1211)*'Sollecitazioni nel paramento'!$G$54,'Sollecitazioni nel paramento'!$G$53)*IF(M1211&lt;0,-1,1)</f>
        <v>0</v>
      </c>
      <c r="T1211" s="545">
        <f>'Foglio deposito bis'!$F$61*IF(ABS(N1211)&lt;'Sollecitazioni nel paramento'!$G$58,ABS(N1211)*'Sollecitazioni nel paramento'!$G$54,'Sollecitazioni nel paramento'!$G$53)*IF(N1211&lt;0,-1,1)</f>
        <v>-208710.8094360856</v>
      </c>
      <c r="U1211" s="545">
        <f>'Foglio deposito bis'!$F$62*IF(ABS(O1211)&lt;'Sollecitazioni nel paramento'!$G$58,ABS(O1211)*'Sollecitazioni nel paramento'!$G$54,'Sollecitazioni nel paramento'!$G$53)*IF(O1211&lt;0,-1,1)</f>
        <v>276913.63958596601</v>
      </c>
      <c r="V1211" s="472">
        <f t="shared" si="88"/>
        <v>-11588930.388273941</v>
      </c>
      <c r="W1211" s="551"/>
      <c r="X1211" s="551"/>
    </row>
    <row r="1212" spans="1:24" x14ac:dyDescent="0.25">
      <c r="A1212" s="545">
        <f t="shared" si="87"/>
        <v>11862834.681009496</v>
      </c>
      <c r="B1212" s="3">
        <f t="shared" si="85"/>
        <v>46.899999999999942</v>
      </c>
      <c r="C1212" s="545">
        <f>'Foglio deposito bis'!$E$157/sezione!$B$247*B1212</f>
        <v>308.53055584649388</v>
      </c>
      <c r="D1212" s="603">
        <f>-'Sollecitazioni nel paramento'!$G$47*'Sollecitazioni nel paramento'!$G$41*IF(DATI!$G$211="dx",DATI!$E$61,DATI!$E$64*DATI!$E$63)*1000*C1212^2*sezione!$AD$5*(1-sezione!$AD$6)</f>
        <v>-2117873363.2010987</v>
      </c>
      <c r="E1212" s="545">
        <f>-'Foglio deposito bis'!$F$58*(C1212-sezione!$AL$31)*IF(ABS(K1212)&lt;'Sollecitazioni nel paramento'!$G$58,ABS(K1212)*'Sollecitazioni nel paramento'!$G$54,'Sollecitazioni nel paramento'!$G$53)</f>
        <v>0</v>
      </c>
      <c r="F1212" s="545">
        <f>-'Foglio deposito bis'!$F$59*(C1212-sezione!$AM$31)*IF(ABS(L1212)&lt;'Sollecitazioni nel paramento'!$G$58,ABS(L1212)*'Sollecitazioni nel paramento'!$G$54,'Sollecitazioni nel paramento'!$G$53)</f>
        <v>-38190412.586735852</v>
      </c>
      <c r="G1212" s="545">
        <f>-'Foglio deposito bis'!$F$60*(C1212-sezione!$AN$31)*IF(ABS(M1212)&lt;'Sollecitazioni nel paramento'!$G$58,ABS(M1212)*'Sollecitazioni nel paramento'!$G$54,'Sollecitazioni nel paramento'!$G$53)</f>
        <v>0</v>
      </c>
      <c r="H1212" s="545">
        <f>-'Foglio deposito bis'!$F$61*(C1212-sezione!$AO$31)*IF(ABS(N1212)&lt;'Sollecitazioni nel paramento'!$G$58,ABS(N1212)*'Sollecitazioni nel paramento'!$G$54,'Sollecitazioni nel paramento'!$G$53)</f>
        <v>-31744949.447346181</v>
      </c>
      <c r="I1212" s="472">
        <f>-'Foglio deposito bis'!$F$62*(C1212-sezione!$AP$31)*IF(ABS(O1212)&lt;'Sollecitazioni nel paramento'!$G$58,ABS(O1212)*'Sollecitazioni nel paramento'!$G$54,'Sollecitazioni nel paramento'!$G$53)</f>
        <v>35594500.004220031</v>
      </c>
      <c r="J1212" s="472">
        <f t="shared" si="86"/>
        <v>-2152214225.2309608</v>
      </c>
      <c r="K1212" s="550">
        <f>'Sollecitazioni nel paramento'!$G$60*(sezione!$AL$31-C1212)/C1212</f>
        <v>-3.046236191692937E-3</v>
      </c>
      <c r="L1212" s="550">
        <f>'Sollecitazioni nel paramento'!$G$60*(sezione!$AM$31-C1212)/C1212</f>
        <v>-2.819354287539406E-3</v>
      </c>
      <c r="M1212" s="551">
        <f>'Sollecitazioni nel paramento'!$G$60*(sezione!$AN$31-C1212)/C1212</f>
        <v>-2.592472383385874E-3</v>
      </c>
      <c r="N1212" s="551">
        <f>'Sollecitazioni nel paramento'!$G$60*(sezione!$AO$31-C1212)/C1212</f>
        <v>-1.6849447667717488E-3</v>
      </c>
      <c r="O1212" s="551">
        <f>'Sollecitazioni nel paramento'!$G$60*(sezione!$AP$31-C1212)/C1212</f>
        <v>1.5611615648272687E-3</v>
      </c>
      <c r="P1212" s="545">
        <f>-'Sollecitazioni nel paramento'!$G$47*'Sollecitazioni nel paramento'!$G$41*IF(DATI!$G$211="dx",DATI!$E$61,DATI!$E$64*DATI!$E$63)*1000*C1212*sezione!$AD$5</f>
        <v>-11754088.586083876</v>
      </c>
      <c r="Q1212" s="545">
        <f>'Foglio deposito bis'!$F$58*IF(ABS(K1212)&lt;'Sollecitazioni nel paramento'!$G$58,ABS(K1212)*'Sollecitazioni nel paramento'!$G$54,'Sollecitazioni nel paramento'!$G$53)*IF(K1212&lt;0,-1,1)</f>
        <v>0</v>
      </c>
      <c r="R1212" s="545">
        <f>'Foglio deposito bis'!$F$59*IF(ABS(L1212)&lt;'Sollecitazioni nel paramento'!$G$58,ABS(L1212)*'Sollecitazioni nel paramento'!$G$54,'Sollecitazioni nel paramento'!$G$53)*IF(L1212&lt;0,-1,1)</f>
        <v>-153664.85805602249</v>
      </c>
      <c r="S1212" s="545">
        <f>'Foglio deposito bis'!$F$60*IF(ABS(M1212)&lt;'Sollecitazioni nel paramento'!$G$58,ABS(M1212)*'Sollecitazioni nel paramento'!$G$54,'Sollecitazioni nel paramento'!$G$53)*IF(M1212&lt;0,-1,1)</f>
        <v>0</v>
      </c>
      <c r="T1212" s="545">
        <f>'Foglio deposito bis'!$F$61*IF(ABS(N1212)&lt;'Sollecitazioni nel paramento'!$G$58,ABS(N1212)*'Sollecitazioni nel paramento'!$G$54,'Sollecitazioni nel paramento'!$G$53)*IF(N1212&lt;0,-1,1)</f>
        <v>-213726.72623776173</v>
      </c>
      <c r="U1212" s="545">
        <f>'Foglio deposito bis'!$F$62*IF(ABS(O1212)&lt;'Sollecitazioni nel paramento'!$G$58,ABS(O1212)*'Sollecitazioni nel paramento'!$G$54,'Sollecitazioni nel paramento'!$G$53)*IF(O1212&lt;0,-1,1)</f>
        <v>258645.48936816311</v>
      </c>
      <c r="V1212" s="472">
        <f t="shared" si="88"/>
        <v>-11862834.681009496</v>
      </c>
      <c r="W1212" s="551"/>
      <c r="X1212" s="551"/>
    </row>
    <row r="1213" spans="1:24" x14ac:dyDescent="0.25">
      <c r="A1213" s="545">
        <f t="shared" si="87"/>
        <v>12135766.778879935</v>
      </c>
      <c r="B1213" s="3">
        <f t="shared" si="85"/>
        <v>47.899999999999942</v>
      </c>
      <c r="C1213" s="545">
        <f>'Foglio deposito bis'!$E$157/sezione!$B$247*B1213</f>
        <v>315.10903251699483</v>
      </c>
      <c r="D1213" s="603">
        <f>-'Sollecitazioni nel paramento'!$G$47*'Sollecitazioni nel paramento'!$G$41*IF(DATI!$G$211="dx",DATI!$E$61,DATI!$E$64*DATI!$E$63)*1000*C1213^2*sezione!$AD$5*(1-sezione!$AD$6)</f>
        <v>-2209150632.7313628</v>
      </c>
      <c r="E1213" s="545">
        <f>-'Foglio deposito bis'!$F$58*(C1213-sezione!$AL$31)*IF(ABS(K1213)&lt;'Sollecitazioni nel paramento'!$G$58,ABS(K1213)*'Sollecitazioni nel paramento'!$G$54,'Sollecitazioni nel paramento'!$G$53)</f>
        <v>0</v>
      </c>
      <c r="F1213" s="545">
        <f>-'Foglio deposito bis'!$F$59*(C1213-sezione!$AM$31)*IF(ABS(L1213)&lt;'Sollecitazioni nel paramento'!$G$58,ABS(L1213)*'Sollecitazioni nel paramento'!$G$54,'Sollecitazioni nel paramento'!$G$53)</f>
        <v>-39201293.270533234</v>
      </c>
      <c r="G1213" s="545">
        <f>-'Foglio deposito bis'!$F$60*(C1213-sezione!$AN$31)*IF(ABS(M1213)&lt;'Sollecitazioni nel paramento'!$G$58,ABS(M1213)*'Sollecitazioni nel paramento'!$G$54,'Sollecitazioni nel paramento'!$G$53)</f>
        <v>0</v>
      </c>
      <c r="H1213" s="545">
        <f>-'Foglio deposito bis'!$F$61*(C1213-sezione!$AO$31)*IF(ABS(N1213)&lt;'Sollecitazioni nel paramento'!$G$58,ABS(N1213)*'Sollecitazioni nel paramento'!$G$54,'Sollecitazioni nel paramento'!$G$53)</f>
        <v>-33896474.805030681</v>
      </c>
      <c r="I1213" s="472">
        <f>-'Foglio deposito bis'!$F$62*(C1213-sezione!$AP$31)*IF(ABS(O1213)&lt;'Sollecitazioni nel paramento'!$G$58,ABS(O1213)*'Sollecitazioni nel paramento'!$G$54,'Sollecitazioni nel paramento'!$G$53)</f>
        <v>31599093.728961371</v>
      </c>
      <c r="J1213" s="472">
        <f t="shared" si="86"/>
        <v>-2250649307.0779653</v>
      </c>
      <c r="K1213" s="550">
        <f>'Sollecitazioni nel paramento'!$G$60*(sezione!$AL$31-C1213)/C1213</f>
        <v>-3.0557093400918321E-3</v>
      </c>
      <c r="L1213" s="550">
        <f>'Sollecitazioni nel paramento'!$G$60*(sezione!$AM$31-C1213)/C1213</f>
        <v>-2.8335640101377481E-3</v>
      </c>
      <c r="M1213" s="551">
        <f>'Sollecitazioni nel paramento'!$G$60*(sezione!$AN$31-C1213)/C1213</f>
        <v>-2.6114186801836641E-3</v>
      </c>
      <c r="N1213" s="551">
        <f>'Sollecitazioni nel paramento'!$G$60*(sezione!$AO$31-C1213)/C1213</f>
        <v>-1.7228373603673283E-3</v>
      </c>
      <c r="O1213" s="551">
        <f>'Sollecitazioni nel paramento'!$G$60*(sezione!$AP$31-C1213)/C1213</f>
        <v>1.4555005718246115E-3</v>
      </c>
      <c r="P1213" s="545">
        <f>-'Sollecitazioni nel paramento'!$G$47*'Sollecitazioni nel paramento'!$G$41*IF(DATI!$G$211="dx",DATI!$E$61,DATI!$E$64*DATI!$E$63)*1000*C1213*sezione!$AD$5</f>
        <v>-12004708.811799949</v>
      </c>
      <c r="Q1213" s="545">
        <f>'Foglio deposito bis'!$F$58*IF(ABS(K1213)&lt;'Sollecitazioni nel paramento'!$G$58,ABS(K1213)*'Sollecitazioni nel paramento'!$G$54,'Sollecitazioni nel paramento'!$G$53)*IF(K1213&lt;0,-1,1)</f>
        <v>0</v>
      </c>
      <c r="R1213" s="545">
        <f>'Foglio deposito bis'!$F$59*IF(ABS(L1213)&lt;'Sollecitazioni nel paramento'!$G$58,ABS(L1213)*'Sollecitazioni nel paramento'!$G$54,'Sollecitazioni nel paramento'!$G$53)*IF(L1213&lt;0,-1,1)</f>
        <v>-153664.85805602249</v>
      </c>
      <c r="S1213" s="545">
        <f>'Foglio deposito bis'!$F$60*IF(ABS(M1213)&lt;'Sollecitazioni nel paramento'!$G$58,ABS(M1213)*'Sollecitazioni nel paramento'!$G$54,'Sollecitazioni nel paramento'!$G$53)*IF(M1213&lt;0,-1,1)</f>
        <v>0</v>
      </c>
      <c r="T1213" s="545">
        <f>'Foglio deposito bis'!$F$61*IF(ABS(N1213)&lt;'Sollecitazioni nel paramento'!$G$58,ABS(N1213)*'Sollecitazioni nel paramento'!$G$54,'Sollecitazioni nel paramento'!$G$53)*IF(N1213&lt;0,-1,1)</f>
        <v>-218533.21018759333</v>
      </c>
      <c r="U1213" s="545">
        <f>'Foglio deposito bis'!$F$62*IF(ABS(O1213)&lt;'Sollecitazioni nel paramento'!$G$58,ABS(O1213)*'Sollecitazioni nel paramento'!$G$54,'Sollecitazioni nel paramento'!$G$53)*IF(O1213&lt;0,-1,1)</f>
        <v>241140.10116362959</v>
      </c>
      <c r="V1213" s="472">
        <f t="shared" si="88"/>
        <v>-12135766.778879935</v>
      </c>
      <c r="W1213" s="551"/>
      <c r="X1213" s="551"/>
    </row>
    <row r="1214" spans="1:24" x14ac:dyDescent="0.25">
      <c r="A1214" s="545">
        <f t="shared" si="87"/>
        <v>12407786.325742016</v>
      </c>
      <c r="B1214" s="3">
        <f t="shared" si="85"/>
        <v>48.899999999999942</v>
      </c>
      <c r="C1214" s="545">
        <f>'Foglio deposito bis'!$E$157/sezione!$B$247*B1214</f>
        <v>321.68750918749578</v>
      </c>
      <c r="D1214" s="603">
        <f>-'Sollecitazioni nel paramento'!$G$47*'Sollecitazioni nel paramento'!$G$41*IF(DATI!$G$211="dx",DATI!$E$61,DATI!$E$64*DATI!$E$63)*1000*C1214^2*sezione!$AD$5*(1-sezione!$AD$6)</f>
        <v>-2302353583.0534048</v>
      </c>
      <c r="E1214" s="545">
        <f>-'Foglio deposito bis'!$F$58*(C1214-sezione!$AL$31)*IF(ABS(K1214)&lt;'Sollecitazioni nel paramento'!$G$58,ABS(K1214)*'Sollecitazioni nel paramento'!$G$54,'Sollecitazioni nel paramento'!$G$53)</f>
        <v>0</v>
      </c>
      <c r="F1214" s="545">
        <f>-'Foglio deposito bis'!$F$59*(C1214-sezione!$AM$31)*IF(ABS(L1214)&lt;'Sollecitazioni nel paramento'!$G$58,ABS(L1214)*'Sollecitazioni nel paramento'!$G$54,'Sollecitazioni nel paramento'!$G$53)</f>
        <v>-40212173.954330623</v>
      </c>
      <c r="G1214" s="545">
        <f>-'Foglio deposito bis'!$F$60*(C1214-sezione!$AN$31)*IF(ABS(M1214)&lt;'Sollecitazioni nel paramento'!$G$58,ABS(M1214)*'Sollecitazioni nel paramento'!$G$54,'Sollecitazioni nel paramento'!$G$53)</f>
        <v>0</v>
      </c>
      <c r="H1214" s="545">
        <f>-'Foglio deposito bis'!$F$61*(C1214-sezione!$AO$31)*IF(ABS(N1214)&lt;'Sollecitazioni nel paramento'!$G$58,ABS(N1214)*'Sollecitazioni nel paramento'!$G$54,'Sollecitazioni nel paramento'!$G$53)</f>
        <v>-36079453.636415511</v>
      </c>
      <c r="I1214" s="472">
        <f>-'Foglio deposito bis'!$F$62*(C1214-sezione!$AP$31)*IF(ABS(O1214)&lt;'Sollecitazioni nel paramento'!$G$58,ABS(O1214)*'Sollecitazioni nel paramento'!$G$54,'Sollecitazioni nel paramento'!$G$53)</f>
        <v>27923115.629509859</v>
      </c>
      <c r="J1214" s="472">
        <f t="shared" si="86"/>
        <v>-2350722095.0146408</v>
      </c>
      <c r="K1214" s="550">
        <f>'Sollecitazioni nel paramento'!$G$60*(sezione!$AL$31-C1214)/C1214</f>
        <v>-3.0647950386584613E-3</v>
      </c>
      <c r="L1214" s="550">
        <f>'Sollecitazioni nel paramento'!$G$60*(sezione!$AM$31-C1214)/C1214</f>
        <v>-2.8471925579876918E-3</v>
      </c>
      <c r="M1214" s="551">
        <f>'Sollecitazioni nel paramento'!$G$60*(sezione!$AN$31-C1214)/C1214</f>
        <v>-2.6295900773169222E-3</v>
      </c>
      <c r="N1214" s="551">
        <f>'Sollecitazioni nel paramento'!$G$60*(sezione!$AO$31-C1214)/C1214</f>
        <v>-1.7591801546338452E-3</v>
      </c>
      <c r="O1214" s="551">
        <f>'Sollecitazioni nel paramento'!$G$60*(sezione!$AP$31-C1214)/C1214</f>
        <v>1.3541610918281978E-3</v>
      </c>
      <c r="P1214" s="545">
        <f>-'Sollecitazioni nel paramento'!$G$47*'Sollecitazioni nel paramento'!$G$41*IF(DATI!$G$211="dx",DATI!$E$61,DATI!$E$64*DATI!$E$63)*1000*C1214*sezione!$AD$5</f>
        <v>-12255329.037516024</v>
      </c>
      <c r="Q1214" s="545">
        <f>'Foglio deposito bis'!$F$58*IF(ABS(K1214)&lt;'Sollecitazioni nel paramento'!$G$58,ABS(K1214)*'Sollecitazioni nel paramento'!$G$54,'Sollecitazioni nel paramento'!$G$53)*IF(K1214&lt;0,-1,1)</f>
        <v>0</v>
      </c>
      <c r="R1214" s="545">
        <f>'Foglio deposito bis'!$F$59*IF(ABS(L1214)&lt;'Sollecitazioni nel paramento'!$G$58,ABS(L1214)*'Sollecitazioni nel paramento'!$G$54,'Sollecitazioni nel paramento'!$G$53)*IF(L1214&lt;0,-1,1)</f>
        <v>-153664.85805602249</v>
      </c>
      <c r="S1214" s="545">
        <f>'Foglio deposito bis'!$F$60*IF(ABS(M1214)&lt;'Sollecitazioni nel paramento'!$G$58,ABS(M1214)*'Sollecitazioni nel paramento'!$G$54,'Sollecitazioni nel paramento'!$G$53)*IF(M1214&lt;0,-1,1)</f>
        <v>0</v>
      </c>
      <c r="T1214" s="545">
        <f>'Foglio deposito bis'!$F$61*IF(ABS(N1214)&lt;'Sollecitazioni nel paramento'!$G$58,ABS(N1214)*'Sollecitazioni nel paramento'!$G$54,'Sollecitazioni nel paramento'!$G$53)*IF(N1214&lt;0,-1,1)</f>
        <v>-223143.10992679789</v>
      </c>
      <c r="U1214" s="545">
        <f>'Foglio deposito bis'!$F$62*IF(ABS(O1214)&lt;'Sollecitazioni nel paramento'!$G$58,ABS(O1214)*'Sollecitazioni nel paramento'!$G$54,'Sollecitazioni nel paramento'!$G$53)*IF(O1214&lt;0,-1,1)</f>
        <v>224350.67975682751</v>
      </c>
      <c r="V1214" s="472">
        <f t="shared" si="88"/>
        <v>-12407786.325742016</v>
      </c>
      <c r="W1214" s="551"/>
      <c r="X1214" s="551"/>
    </row>
    <row r="1215" spans="1:24" x14ac:dyDescent="0.25">
      <c r="A1215" s="545">
        <f t="shared" si="87"/>
        <v>12678948.184381813</v>
      </c>
      <c r="B1215" s="3">
        <f t="shared" si="85"/>
        <v>49.899999999999942</v>
      </c>
      <c r="C1215" s="545">
        <f>'Foglio deposito bis'!$E$157/sezione!$B$247*B1215</f>
        <v>328.26598585799672</v>
      </c>
      <c r="D1215" s="603">
        <f>-'Sollecitazioni nel paramento'!$G$47*'Sollecitazioni nel paramento'!$G$41*IF(DATI!$G$211="dx",DATI!$E$61,DATI!$E$64*DATI!$E$63)*1000*C1215^2*sezione!$AD$5*(1-sezione!$AD$6)</f>
        <v>-2397482214.1672244</v>
      </c>
      <c r="E1215" s="545">
        <f>-'Foglio deposito bis'!$F$58*(C1215-sezione!$AL$31)*IF(ABS(K1215)&lt;'Sollecitazioni nel paramento'!$G$58,ABS(K1215)*'Sollecitazioni nel paramento'!$G$54,'Sollecitazioni nel paramento'!$G$53)</f>
        <v>0</v>
      </c>
      <c r="F1215" s="545">
        <f>-'Foglio deposito bis'!$F$59*(C1215-sezione!$AM$31)*IF(ABS(L1215)&lt;'Sollecitazioni nel paramento'!$G$58,ABS(L1215)*'Sollecitazioni nel paramento'!$G$54,'Sollecitazioni nel paramento'!$G$53)</f>
        <v>-41223054.638128005</v>
      </c>
      <c r="G1215" s="545">
        <f>-'Foglio deposito bis'!$F$60*(C1215-sezione!$AN$31)*IF(ABS(M1215)&lt;'Sollecitazioni nel paramento'!$G$58,ABS(M1215)*'Sollecitazioni nel paramento'!$G$54,'Sollecitazioni nel paramento'!$G$53)</f>
        <v>0</v>
      </c>
      <c r="H1215" s="545">
        <f>-'Foglio deposito bis'!$F$61*(C1215-sezione!$AO$31)*IF(ABS(N1215)&lt;'Sollecitazioni nel paramento'!$G$58,ABS(N1215)*'Sollecitazioni nel paramento'!$G$54,'Sollecitazioni nel paramento'!$G$53)</f>
        <v>-38291994.951097846</v>
      </c>
      <c r="I1215" s="472">
        <f>-'Foglio deposito bis'!$F$62*(C1215-sezione!$AP$31)*IF(ABS(O1215)&lt;'Sollecitazioni nel paramento'!$G$58,ABS(O1215)*'Sollecitazioni nel paramento'!$G$54,'Sollecitazioni nel paramento'!$G$53)</f>
        <v>24547361.607119586</v>
      </c>
      <c r="J1215" s="472">
        <f t="shared" si="86"/>
        <v>-2452449902.1493306</v>
      </c>
      <c r="K1215" s="550">
        <f>'Sollecitazioni nel paramento'!$G$60*(sezione!$AL$31-C1215)/C1215</f>
        <v>-3.0735165809699151E-3</v>
      </c>
      <c r="L1215" s="550">
        <f>'Sollecitazioni nel paramento'!$G$60*(sezione!$AM$31-C1215)/C1215</f>
        <v>-2.8602748714548726E-3</v>
      </c>
      <c r="M1215" s="551">
        <f>'Sollecitazioni nel paramento'!$G$60*(sezione!$AN$31-C1215)/C1215</f>
        <v>-2.6470331619398296E-3</v>
      </c>
      <c r="N1215" s="551">
        <f>'Sollecitazioni nel paramento'!$G$60*(sezione!$AO$31-C1215)/C1215</f>
        <v>-1.7940663238796598E-3</v>
      </c>
      <c r="O1215" s="551">
        <f>'Sollecitazioni nel paramento'!$G$60*(sezione!$AP$31-C1215)/C1215</f>
        <v>1.256883314436851E-3</v>
      </c>
      <c r="P1215" s="545">
        <f>-'Sollecitazioni nel paramento'!$G$47*'Sollecitazioni nel paramento'!$G$41*IF(DATI!$G$211="dx",DATI!$E$61,DATI!$E$64*DATI!$E$63)*1000*C1215*sezione!$AD$5</f>
        <v>-12505949.263232099</v>
      </c>
      <c r="Q1215" s="545">
        <f>'Foglio deposito bis'!$F$58*IF(ABS(K1215)&lt;'Sollecitazioni nel paramento'!$G$58,ABS(K1215)*'Sollecitazioni nel paramento'!$G$54,'Sollecitazioni nel paramento'!$G$53)*IF(K1215&lt;0,-1,1)</f>
        <v>0</v>
      </c>
      <c r="R1215" s="545">
        <f>'Foglio deposito bis'!$F$59*IF(ABS(L1215)&lt;'Sollecitazioni nel paramento'!$G$58,ABS(L1215)*'Sollecitazioni nel paramento'!$G$54,'Sollecitazioni nel paramento'!$G$53)*IF(L1215&lt;0,-1,1)</f>
        <v>-153664.85805602249</v>
      </c>
      <c r="S1215" s="545">
        <f>'Foglio deposito bis'!$F$60*IF(ABS(M1215)&lt;'Sollecitazioni nel paramento'!$G$58,ABS(M1215)*'Sollecitazioni nel paramento'!$G$54,'Sollecitazioni nel paramento'!$G$53)*IF(M1215&lt;0,-1,1)</f>
        <v>0</v>
      </c>
      <c r="T1215" s="545">
        <f>'Foglio deposito bis'!$F$61*IF(ABS(N1215)&lt;'Sollecitazioni nel paramento'!$G$58,ABS(N1215)*'Sollecitazioni nel paramento'!$G$54,'Sollecitazioni nel paramento'!$G$53)*IF(N1215&lt;0,-1,1)</f>
        <v>-227568.24414539299</v>
      </c>
      <c r="U1215" s="545">
        <f>'Foglio deposito bis'!$F$62*IF(ABS(O1215)&lt;'Sollecitazioni nel paramento'!$G$58,ABS(O1215)*'Sollecitazioni nel paramento'!$G$54,'Sollecitazioni nel paramento'!$G$53)*IF(O1215&lt;0,-1,1)</f>
        <v>208234.18105170087</v>
      </c>
      <c r="V1215" s="472">
        <f t="shared" si="88"/>
        <v>-12678948.184381813</v>
      </c>
      <c r="W1215" s="551"/>
      <c r="X1215" s="551"/>
    </row>
    <row r="1216" spans="1:24" x14ac:dyDescent="0.25">
      <c r="A1216" s="545">
        <f t="shared" si="87"/>
        <v>12949302.906168025</v>
      </c>
      <c r="B1216" s="3">
        <f t="shared" si="85"/>
        <v>50.899999999999942</v>
      </c>
      <c r="C1216" s="545">
        <f>'Foglio deposito bis'!$E$157/sezione!$B$247*B1216</f>
        <v>334.84446252849767</v>
      </c>
      <c r="D1216" s="603">
        <f>-'Sollecitazioni nel paramento'!$G$47*'Sollecitazioni nel paramento'!$G$41*IF(DATI!$G$211="dx",DATI!$E$61,DATI!$E$64*DATI!$E$63)*1000*C1216^2*sezione!$AD$5*(1-sezione!$AD$6)</f>
        <v>-2494536526.0728216</v>
      </c>
      <c r="E1216" s="545">
        <f>-'Foglio deposito bis'!$F$58*(C1216-sezione!$AL$31)*IF(ABS(K1216)&lt;'Sollecitazioni nel paramento'!$G$58,ABS(K1216)*'Sollecitazioni nel paramento'!$G$54,'Sollecitazioni nel paramento'!$G$53)</f>
        <v>0</v>
      </c>
      <c r="F1216" s="545">
        <f>-'Foglio deposito bis'!$F$59*(C1216-sezione!$AM$31)*IF(ABS(L1216)&lt;'Sollecitazioni nel paramento'!$G$58,ABS(L1216)*'Sollecitazioni nel paramento'!$G$54,'Sollecitazioni nel paramento'!$G$53)</f>
        <v>-42233935.321925387</v>
      </c>
      <c r="G1216" s="545">
        <f>-'Foglio deposito bis'!$F$60*(C1216-sezione!$AN$31)*IF(ABS(M1216)&lt;'Sollecitazioni nel paramento'!$G$58,ABS(M1216)*'Sollecitazioni nel paramento'!$G$54,'Sollecitazioni nel paramento'!$G$53)</f>
        <v>0</v>
      </c>
      <c r="H1216" s="545">
        <f>-'Foglio deposito bis'!$F$61*(C1216-sezione!$AO$31)*IF(ABS(N1216)&lt;'Sollecitazioni nel paramento'!$G$58,ABS(N1216)*'Sollecitazioni nel paramento'!$G$54,'Sollecitazioni nel paramento'!$G$53)</f>
        <v>-40532356.363028713</v>
      </c>
      <c r="I1216" s="472">
        <f>-'Foglio deposito bis'!$F$62*(C1216-sezione!$AP$31)*IF(ABS(O1216)&lt;'Sollecitazioni nel paramento'!$G$58,ABS(O1216)*'Sollecitazioni nel paramento'!$G$54,'Sollecitazioni nel paramento'!$G$53)</f>
        <v>21454136.726010904</v>
      </c>
      <c r="J1216" s="472">
        <f t="shared" si="86"/>
        <v>-2555848681.0317645</v>
      </c>
      <c r="K1216" s="550">
        <f>'Sollecitazioni nel paramento'!$G$60*(sezione!$AL$31-C1216)/C1216</f>
        <v>-3.0818954300667733E-3</v>
      </c>
      <c r="L1216" s="550">
        <f>'Sollecitazioni nel paramento'!$G$60*(sezione!$AM$31-C1216)/C1216</f>
        <v>-2.8728431451001601E-3</v>
      </c>
      <c r="M1216" s="551">
        <f>'Sollecitazioni nel paramento'!$G$60*(sezione!$AN$31-C1216)/C1216</f>
        <v>-2.6637908601335465E-3</v>
      </c>
      <c r="N1216" s="551">
        <f>'Sollecitazioni nel paramento'!$G$60*(sezione!$AO$31-C1216)/C1216</f>
        <v>-1.8275817202670927E-3</v>
      </c>
      <c r="O1216" s="551">
        <f>'Sollecitazioni nel paramento'!$G$60*(sezione!$AP$31-C1216)/C1216</f>
        <v>1.1634278465697222E-3</v>
      </c>
      <c r="P1216" s="545">
        <f>-'Sollecitazioni nel paramento'!$G$47*'Sollecitazioni nel paramento'!$G$41*IF(DATI!$G$211="dx",DATI!$E$61,DATI!$E$64*DATI!$E$63)*1000*C1216*sezione!$AD$5</f>
        <v>-12756569.488948174</v>
      </c>
      <c r="Q1216" s="545">
        <f>'Foglio deposito bis'!$F$58*IF(ABS(K1216)&lt;'Sollecitazioni nel paramento'!$G$58,ABS(K1216)*'Sollecitazioni nel paramento'!$G$54,'Sollecitazioni nel paramento'!$G$53)*IF(K1216&lt;0,-1,1)</f>
        <v>0</v>
      </c>
      <c r="R1216" s="545">
        <f>'Foglio deposito bis'!$F$59*IF(ABS(L1216)&lt;'Sollecitazioni nel paramento'!$G$58,ABS(L1216)*'Sollecitazioni nel paramento'!$G$54,'Sollecitazioni nel paramento'!$G$53)*IF(L1216&lt;0,-1,1)</f>
        <v>-153664.85805602249</v>
      </c>
      <c r="S1216" s="545">
        <f>'Foglio deposito bis'!$F$60*IF(ABS(M1216)&lt;'Sollecitazioni nel paramento'!$G$58,ABS(M1216)*'Sollecitazioni nel paramento'!$G$54,'Sollecitazioni nel paramento'!$G$53)*IF(M1216&lt;0,-1,1)</f>
        <v>0</v>
      </c>
      <c r="T1216" s="545">
        <f>'Foglio deposito bis'!$F$61*IF(ABS(N1216)&lt;'Sollecitazioni nel paramento'!$G$58,ABS(N1216)*'Sollecitazioni nel paramento'!$G$54,'Sollecitazioni nel paramento'!$G$53)*IF(N1216&lt;0,-1,1)</f>
        <v>-231819.50275618478</v>
      </c>
      <c r="U1216" s="545">
        <f>'Foglio deposito bis'!$F$62*IF(ABS(O1216)&lt;'Sollecitazioni nel paramento'!$G$58,ABS(O1216)*'Sollecitazioni nel paramento'!$G$54,'Sollecitazioni nel paramento'!$G$53)*IF(O1216&lt;0,-1,1)</f>
        <v>192750.94359235527</v>
      </c>
      <c r="V1216" s="472">
        <f t="shared" si="88"/>
        <v>-12949302.906168025</v>
      </c>
      <c r="W1216" s="551"/>
      <c r="X1216" s="551"/>
    </row>
    <row r="1217" spans="1:24" x14ac:dyDescent="0.25">
      <c r="A1217" s="545">
        <f t="shared" si="87"/>
        <v>13218897.146410108</v>
      </c>
      <c r="B1217" s="3">
        <f t="shared" si="85"/>
        <v>51.899999999999942</v>
      </c>
      <c r="C1217" s="545">
        <f>'Foglio deposito bis'!$E$157/sezione!$B$247*B1217</f>
        <v>341.42293919899862</v>
      </c>
      <c r="D1217" s="603">
        <f>-'Sollecitazioni nel paramento'!$G$47*'Sollecitazioni nel paramento'!$G$41*IF(DATI!$G$211="dx",DATI!$E$61,DATI!$E$64*DATI!$E$63)*1000*C1217^2*sezione!$AD$5*(1-sezione!$AD$6)</f>
        <v>-2593516518.7701974</v>
      </c>
      <c r="E1217" s="545">
        <f>-'Foglio deposito bis'!$F$58*(C1217-sezione!$AL$31)*IF(ABS(K1217)&lt;'Sollecitazioni nel paramento'!$G$58,ABS(K1217)*'Sollecitazioni nel paramento'!$G$54,'Sollecitazioni nel paramento'!$G$53)</f>
        <v>0</v>
      </c>
      <c r="F1217" s="545">
        <f>-'Foglio deposito bis'!$F$59*(C1217-sezione!$AM$31)*IF(ABS(L1217)&lt;'Sollecitazioni nel paramento'!$G$58,ABS(L1217)*'Sollecitazioni nel paramento'!$G$54,'Sollecitazioni nel paramento'!$G$53)</f>
        <v>-43244816.005722769</v>
      </c>
      <c r="G1217" s="545">
        <f>-'Foglio deposito bis'!$F$60*(C1217-sezione!$AN$31)*IF(ABS(M1217)&lt;'Sollecitazioni nel paramento'!$G$58,ABS(M1217)*'Sollecitazioni nel paramento'!$G$54,'Sollecitazioni nel paramento'!$G$53)</f>
        <v>0</v>
      </c>
      <c r="H1217" s="545">
        <f>-'Foglio deposito bis'!$F$61*(C1217-sezione!$AO$31)*IF(ABS(N1217)&lt;'Sollecitazioni nel paramento'!$G$58,ABS(N1217)*'Sollecitazioni nel paramento'!$G$54,'Sollecitazioni nel paramento'!$G$53)</f>
        <v>-42798929.774101265</v>
      </c>
      <c r="I1217" s="472">
        <f>-'Foglio deposito bis'!$F$62*(C1217-sezione!$AP$31)*IF(ABS(O1217)&lt;'Sollecitazioni nel paramento'!$G$58,ABS(O1217)*'Sollecitazioni nel paramento'!$G$54,'Sollecitazioni nel paramento'!$G$53)</f>
        <v>18627109.82194788</v>
      </c>
      <c r="J1217" s="472">
        <f t="shared" si="86"/>
        <v>-2660933154.7280736</v>
      </c>
      <c r="K1217" s="550">
        <f>'Sollecitazioni nel paramento'!$G$60*(sezione!$AL$31-C1217)/C1217</f>
        <v>-3.0899513948053712E-3</v>
      </c>
      <c r="L1217" s="550">
        <f>'Sollecitazioni nel paramento'!$G$60*(sezione!$AM$31-C1217)/C1217</f>
        <v>-2.8849270922080565E-3</v>
      </c>
      <c r="M1217" s="551">
        <f>'Sollecitazioni nel paramento'!$G$60*(sezione!$AN$31-C1217)/C1217</f>
        <v>-2.6799027896107419E-3</v>
      </c>
      <c r="N1217" s="551">
        <f>'Sollecitazioni nel paramento'!$G$60*(sezione!$AO$31-C1217)/C1217</f>
        <v>-1.8598055792214839E-3</v>
      </c>
      <c r="O1217" s="551">
        <f>'Sollecitazioni nel paramento'!$G$60*(sezione!$AP$31-C1217)/C1217</f>
        <v>1.0735737454797467E-3</v>
      </c>
      <c r="P1217" s="545">
        <f>-'Sollecitazioni nel paramento'!$G$47*'Sollecitazioni nel paramento'!$G$41*IF(DATI!$G$211="dx",DATI!$E$61,DATI!$E$64*DATI!$E$63)*1000*C1217*sezione!$AD$5</f>
        <v>-13007189.714664247</v>
      </c>
      <c r="Q1217" s="545">
        <f>'Foglio deposito bis'!$F$58*IF(ABS(K1217)&lt;'Sollecitazioni nel paramento'!$G$58,ABS(K1217)*'Sollecitazioni nel paramento'!$G$54,'Sollecitazioni nel paramento'!$G$53)*IF(K1217&lt;0,-1,1)</f>
        <v>0</v>
      </c>
      <c r="R1217" s="545">
        <f>'Foglio deposito bis'!$F$59*IF(ABS(L1217)&lt;'Sollecitazioni nel paramento'!$G$58,ABS(L1217)*'Sollecitazioni nel paramento'!$G$54,'Sollecitazioni nel paramento'!$G$53)*IF(L1217&lt;0,-1,1)</f>
        <v>-153664.85805602249</v>
      </c>
      <c r="S1217" s="545">
        <f>'Foglio deposito bis'!$F$60*IF(ABS(M1217)&lt;'Sollecitazioni nel paramento'!$G$58,ABS(M1217)*'Sollecitazioni nel paramento'!$G$54,'Sollecitazioni nel paramento'!$G$53)*IF(M1217&lt;0,-1,1)</f>
        <v>0</v>
      </c>
      <c r="T1217" s="545">
        <f>'Foglio deposito bis'!$F$61*IF(ABS(N1217)&lt;'Sollecitazioni nel paramento'!$G$58,ABS(N1217)*'Sollecitazioni nel paramento'!$G$54,'Sollecitazioni nel paramento'!$G$53)*IF(N1217&lt;0,-1,1)</f>
        <v>-235906.93637234104</v>
      </c>
      <c r="U1217" s="545">
        <f>'Foglio deposito bis'!$F$62*IF(ABS(O1217)&lt;'Sollecitazioni nel paramento'!$G$58,ABS(O1217)*'Sollecitazioni nel paramento'!$G$54,'Sollecitazioni nel paramento'!$G$53)*IF(O1217&lt;0,-1,1)</f>
        <v>177864.36268250275</v>
      </c>
      <c r="V1217" s="472">
        <f t="shared" si="88"/>
        <v>-13218897.146410108</v>
      </c>
      <c r="W1217" s="551"/>
      <c r="X1217" s="551"/>
    </row>
    <row r="1218" spans="1:24" x14ac:dyDescent="0.25">
      <c r="A1218" s="545">
        <f t="shared" si="87"/>
        <v>13488880.694401402</v>
      </c>
      <c r="B1218" s="3">
        <f t="shared" si="85"/>
        <v>52.899999999999942</v>
      </c>
      <c r="C1218" s="545">
        <f>'Foglio deposito bis'!$E$157/sezione!$B$247*B1218</f>
        <v>348.00141586949957</v>
      </c>
      <c r="D1218" s="603">
        <f>-'Sollecitazioni nel paramento'!$G$47*'Sollecitazioni nel paramento'!$G$41*IF(DATI!$G$211="dx",DATI!$E$61,DATI!$E$64*DATI!$E$63)*1000*C1218^2*sezione!$AD$5*(1-sezione!$AD$6)</f>
        <v>-2694422192.2593503</v>
      </c>
      <c r="E1218" s="545">
        <f>-'Foglio deposito bis'!$F$58*(C1218-sezione!$AL$31)*IF(ABS(K1218)&lt;'Sollecitazioni nel paramento'!$G$58,ABS(K1218)*'Sollecitazioni nel paramento'!$G$54,'Sollecitazioni nel paramento'!$G$53)</f>
        <v>0</v>
      </c>
      <c r="F1218" s="545">
        <f>-'Foglio deposito bis'!$F$59*(C1218-sezione!$AM$31)*IF(ABS(L1218)&lt;'Sollecitazioni nel paramento'!$G$58,ABS(L1218)*'Sollecitazioni nel paramento'!$G$54,'Sollecitazioni nel paramento'!$G$53)</f>
        <v>-44255696.689520158</v>
      </c>
      <c r="G1218" s="545">
        <f>-'Foglio deposito bis'!$F$60*(C1218-sezione!$AN$31)*IF(ABS(M1218)&lt;'Sollecitazioni nel paramento'!$G$58,ABS(M1218)*'Sollecitazioni nel paramento'!$G$54,'Sollecitazioni nel paramento'!$G$53)</f>
        <v>0</v>
      </c>
      <c r="H1218" s="545">
        <f>-'Foglio deposito bis'!$F$61*(C1218-sezione!$AO$31)*IF(ABS(N1218)&lt;'Sollecitazioni nel paramento'!$G$58,ABS(N1218)*'Sollecitazioni nel paramento'!$G$54,'Sollecitazioni nel paramento'!$G$53)</f>
        <v>-45298282.665983282</v>
      </c>
      <c r="I1218" s="472">
        <f>-'Foglio deposito bis'!$F$62*(C1218-sezione!$AP$31)*IF(ABS(O1218)&lt;'Sollecitazioni nel paramento'!$G$58,ABS(O1218)*'Sollecitazioni nel paramento'!$G$54,'Sollecitazioni nel paramento'!$G$53)</f>
        <v>16051184.601336246</v>
      </c>
      <c r="J1218" s="472">
        <f t="shared" si="86"/>
        <v>-2767924987.0135174</v>
      </c>
      <c r="K1218" s="550">
        <f>'Sollecitazioni nel paramento'!$G$60*(sezione!$AL$31-C1218)/C1218</f>
        <v>-3.097702786207916E-3</v>
      </c>
      <c r="L1218" s="550">
        <f>'Sollecitazioni nel paramento'!$G$60*(sezione!$AM$31-C1218)/C1218</f>
        <v>-2.8965541793118739E-3</v>
      </c>
      <c r="M1218" s="551">
        <f>'Sollecitazioni nel paramento'!$G$60*(sezione!$AN$31-C1218)/C1218</f>
        <v>-2.6954055724158319E-3</v>
      </c>
      <c r="N1218" s="551">
        <f>'Sollecitazioni nel paramento'!$G$60*(sezione!$AO$31-C1218)/C1218</f>
        <v>-1.8908111448316639E-3</v>
      </c>
      <c r="O1218" s="551">
        <f>'Sollecitazioni nel paramento'!$G$60*(sezione!$AP$31-C1218)/C1218</f>
        <v>9.871167748657626E-4</v>
      </c>
      <c r="P1218" s="545">
        <f>-'Sollecitazioni nel paramento'!$G$47*'Sollecitazioni nel paramento'!$G$41*IF(DATI!$G$211="dx",DATI!$E$61,DATI!$E$64*DATI!$E$63)*1000*C1218*sezione!$AD$5</f>
        <v>-13257809.940380322</v>
      </c>
      <c r="Q1218" s="545">
        <f>'Foglio deposito bis'!$F$58*IF(ABS(K1218)&lt;'Sollecitazioni nel paramento'!$G$58,ABS(K1218)*'Sollecitazioni nel paramento'!$G$54,'Sollecitazioni nel paramento'!$G$53)*IF(K1218&lt;0,-1,1)</f>
        <v>0</v>
      </c>
      <c r="R1218" s="545">
        <f>'Foglio deposito bis'!$F$59*IF(ABS(L1218)&lt;'Sollecitazioni nel paramento'!$G$58,ABS(L1218)*'Sollecitazioni nel paramento'!$G$54,'Sollecitazioni nel paramento'!$G$53)*IF(L1218&lt;0,-1,1)</f>
        <v>-153664.85805602249</v>
      </c>
      <c r="S1218" s="545">
        <f>'Foglio deposito bis'!$F$60*IF(ABS(M1218)&lt;'Sollecitazioni nel paramento'!$G$58,ABS(M1218)*'Sollecitazioni nel paramento'!$G$54,'Sollecitazioni nel paramento'!$G$53)*IF(M1218&lt;0,-1,1)</f>
        <v>0</v>
      </c>
      <c r="T1218" s="545">
        <f>'Foglio deposito bis'!$F$61*IF(ABS(N1218)&lt;'Sollecitazioni nel paramento'!$G$58,ABS(N1218)*'Sollecitazioni nel paramento'!$G$54,'Sollecitazioni nel paramento'!$G$53)*IF(N1218&lt;0,-1,1)</f>
        <v>-240946.49743184328</v>
      </c>
      <c r="U1218" s="545">
        <f>'Foglio deposito bis'!$F$62*IF(ABS(O1218)&lt;'Sollecitazioni nel paramento'!$G$58,ABS(O1218)*'Sollecitazioni nel paramento'!$G$54,'Sollecitazioni nel paramento'!$G$53)*IF(O1218&lt;0,-1,1)</f>
        <v>163540.60146678454</v>
      </c>
      <c r="V1218" s="472">
        <f t="shared" si="88"/>
        <v>-13488880.694401402</v>
      </c>
      <c r="W1218" s="551"/>
      <c r="X1218" s="551"/>
    </row>
    <row r="1219" spans="1:24" x14ac:dyDescent="0.25">
      <c r="A1219" s="545">
        <f t="shared" si="87"/>
        <v>13753293.187410533</v>
      </c>
      <c r="B1219" s="3">
        <f t="shared" si="85"/>
        <v>53.899999999999942</v>
      </c>
      <c r="C1219" s="545">
        <f>'Foglio deposito bis'!$E$157/sezione!$B$247*B1219</f>
        <v>354.57989254000051</v>
      </c>
      <c r="D1219" s="603">
        <f>-'Sollecitazioni nel paramento'!$G$47*'Sollecitazioni nel paramento'!$G$41*IF(DATI!$G$211="dx",DATI!$E$61,DATI!$E$64*DATI!$E$63)*1000*C1219^2*sezione!$AD$5*(1-sezione!$AD$6)</f>
        <v>-2797253546.5402808</v>
      </c>
      <c r="E1219" s="545">
        <f>-'Foglio deposito bis'!$F$58*(C1219-sezione!$AL$31)*IF(ABS(K1219)&lt;'Sollecitazioni nel paramento'!$G$58,ABS(K1219)*'Sollecitazioni nel paramento'!$G$54,'Sollecitazioni nel paramento'!$G$53)</f>
        <v>0</v>
      </c>
      <c r="F1219" s="545">
        <f>-'Foglio deposito bis'!$F$59*(C1219-sezione!$AM$31)*IF(ABS(L1219)&lt;'Sollecitazioni nel paramento'!$G$58,ABS(L1219)*'Sollecitazioni nel paramento'!$G$54,'Sollecitazioni nel paramento'!$G$53)</f>
        <v>-45266577.37331754</v>
      </c>
      <c r="G1219" s="545">
        <f>-'Foglio deposito bis'!$F$60*(C1219-sezione!$AN$31)*IF(ABS(M1219)&lt;'Sollecitazioni nel paramento'!$G$58,ABS(M1219)*'Sollecitazioni nel paramento'!$G$54,'Sollecitazioni nel paramento'!$G$53)</f>
        <v>0</v>
      </c>
      <c r="H1219" s="545">
        <f>-'Foglio deposito bis'!$F$61*(C1219-sezione!$AO$31)*IF(ABS(N1219)&lt;'Sollecitazioni nel paramento'!$G$58,ABS(N1219)*'Sollecitazioni nel paramento'!$G$54,'Sollecitazioni nel paramento'!$G$53)</f>
        <v>-46883343.578177579</v>
      </c>
      <c r="I1219" s="472">
        <f>-'Foglio deposito bis'!$F$62*(C1219-sezione!$AP$31)*IF(ABS(O1219)&lt;'Sollecitazioni nel paramento'!$G$58,ABS(O1219)*'Sollecitazioni nel paramento'!$G$54,'Sollecitazioni nel paramento'!$G$53)</f>
        <v>13712385.089215813</v>
      </c>
      <c r="J1219" s="472">
        <f t="shared" si="86"/>
        <v>-2875691082.4025602</v>
      </c>
      <c r="K1219" s="550">
        <f>'Sollecitazioni nel paramento'!$G$60*(sezione!$AL$31-C1219)/C1219</f>
        <v>-3.1051665564081404E-3</v>
      </c>
      <c r="L1219" s="550">
        <f>'Sollecitazioni nel paramento'!$G$60*(sezione!$AM$31-C1219)/C1219</f>
        <v>-2.9077498346122103E-3</v>
      </c>
      <c r="M1219" s="551">
        <f>'Sollecitazioni nel paramento'!$G$60*(sezione!$AN$31-C1219)/C1219</f>
        <v>-2.7103331128162803E-3</v>
      </c>
      <c r="N1219" s="551">
        <f>'Sollecitazioni nel paramento'!$G$60*(sezione!$AO$31-C1219)/C1219</f>
        <v>-1.9206662256325607E-3</v>
      </c>
      <c r="O1219" s="551">
        <f>'Sollecitazioni nel paramento'!$G$60*(sezione!$AP$31-C1219)/C1219</f>
        <v>9.0386785510944043E-4</v>
      </c>
      <c r="P1219" s="545">
        <f>-'Sollecitazioni nel paramento'!$G$47*'Sollecitazioni nel paramento'!$G$41*IF(DATI!$G$211="dx",DATI!$E$61,DATI!$E$64*DATI!$E$63)*1000*C1219*sezione!$AD$5</f>
        <v>-13508430.166096397</v>
      </c>
      <c r="Q1219" s="545">
        <f>'Foglio deposito bis'!$F$58*IF(ABS(K1219)&lt;'Sollecitazioni nel paramento'!$G$58,ABS(K1219)*'Sollecitazioni nel paramento'!$G$54,'Sollecitazioni nel paramento'!$G$53)*IF(K1219&lt;0,-1,1)</f>
        <v>0</v>
      </c>
      <c r="R1219" s="545">
        <f>'Foglio deposito bis'!$F$59*IF(ABS(L1219)&lt;'Sollecitazioni nel paramento'!$G$58,ABS(L1219)*'Sollecitazioni nel paramento'!$G$54,'Sollecitazioni nel paramento'!$G$53)*IF(L1219&lt;0,-1,1)</f>
        <v>-153664.85805602249</v>
      </c>
      <c r="S1219" s="545">
        <f>'Foglio deposito bis'!$F$60*IF(ABS(M1219)&lt;'Sollecitazioni nel paramento'!$G$58,ABS(M1219)*'Sollecitazioni nel paramento'!$G$54,'Sollecitazioni nel paramento'!$G$53)*IF(M1219&lt;0,-1,1)</f>
        <v>0</v>
      </c>
      <c r="T1219" s="545">
        <f>'Foglio deposito bis'!$F$61*IF(ABS(N1219)&lt;'Sollecitazioni nel paramento'!$G$58,ABS(N1219)*'Sollecitazioni nel paramento'!$G$54,'Sollecitazioni nel paramento'!$G$53)*IF(N1219&lt;0,-1,1)</f>
        <v>-240946.49743184328</v>
      </c>
      <c r="U1219" s="545">
        <f>'Foglio deposito bis'!$F$62*IF(ABS(O1219)&lt;'Sollecitazioni nel paramento'!$G$58,ABS(O1219)*'Sollecitazioni nel paramento'!$G$54,'Sollecitazioni nel paramento'!$G$53)*IF(O1219&lt;0,-1,1)</f>
        <v>149748.33417372749</v>
      </c>
      <c r="V1219" s="472">
        <f t="shared" si="88"/>
        <v>-13753293.187410533</v>
      </c>
      <c r="W1219" s="551"/>
      <c r="X1219" s="551"/>
    </row>
    <row r="1220" spans="1:24" x14ac:dyDescent="0.25">
      <c r="A1220" s="545">
        <f t="shared" si="87"/>
        <v>14017203.229880756</v>
      </c>
      <c r="B1220" s="3">
        <f t="shared" si="85"/>
        <v>54.899999999999942</v>
      </c>
      <c r="C1220" s="545">
        <f>'Foglio deposito bis'!$E$157/sezione!$B$247*B1220</f>
        <v>361.15836921050146</v>
      </c>
      <c r="D1220" s="603">
        <f>-'Sollecitazioni nel paramento'!$G$47*'Sollecitazioni nel paramento'!$G$41*IF(DATI!$G$211="dx",DATI!$E$61,DATI!$E$64*DATI!$E$63)*1000*C1220^2*sezione!$AD$5*(1-sezione!$AD$6)</f>
        <v>-2902010581.6129885</v>
      </c>
      <c r="E1220" s="545">
        <f>-'Foglio deposito bis'!$F$58*(C1220-sezione!$AL$31)*IF(ABS(K1220)&lt;'Sollecitazioni nel paramento'!$G$58,ABS(K1220)*'Sollecitazioni nel paramento'!$G$54,'Sollecitazioni nel paramento'!$G$53)</f>
        <v>0</v>
      </c>
      <c r="F1220" s="545">
        <f>-'Foglio deposito bis'!$F$59*(C1220-sezione!$AM$31)*IF(ABS(L1220)&lt;'Sollecitazioni nel paramento'!$G$58,ABS(L1220)*'Sollecitazioni nel paramento'!$G$54,'Sollecitazioni nel paramento'!$G$53)</f>
        <v>-46277458.057114922</v>
      </c>
      <c r="G1220" s="545">
        <f>-'Foglio deposito bis'!$F$60*(C1220-sezione!$AN$31)*IF(ABS(M1220)&lt;'Sollecitazioni nel paramento'!$G$58,ABS(M1220)*'Sollecitazioni nel paramento'!$G$54,'Sollecitazioni nel paramento'!$G$53)</f>
        <v>0</v>
      </c>
      <c r="H1220" s="545">
        <f>-'Foglio deposito bis'!$F$61*(C1220-sezione!$AO$31)*IF(ABS(N1220)&lt;'Sollecitazioni nel paramento'!$G$58,ABS(N1220)*'Sollecitazioni nel paramento'!$G$54,'Sollecitazioni nel paramento'!$G$53)</f>
        <v>-48468404.490371875</v>
      </c>
      <c r="I1220" s="472">
        <f>-'Foglio deposito bis'!$F$62*(C1220-sezione!$AP$31)*IF(ABS(O1220)&lt;'Sollecitazioni nel paramento'!$G$58,ABS(O1220)*'Sollecitazioni nel paramento'!$G$54,'Sollecitazioni nel paramento'!$G$53)</f>
        <v>11597753.596597988</v>
      </c>
      <c r="J1220" s="472">
        <f t="shared" si="86"/>
        <v>-2985158690.5638771</v>
      </c>
      <c r="K1220" s="550">
        <f>'Sollecitazioni nel paramento'!$G$60*(sezione!$AL$31-C1220)/C1220</f>
        <v>-3.1123584224116351E-3</v>
      </c>
      <c r="L1220" s="550">
        <f>'Sollecitazioni nel paramento'!$G$60*(sezione!$AM$31-C1220)/C1220</f>
        <v>-2.918537633617452E-3</v>
      </c>
      <c r="M1220" s="551">
        <f>'Sollecitazioni nel paramento'!$G$60*(sezione!$AN$31-C1220)/C1220</f>
        <v>-2.7247168448232698E-3</v>
      </c>
      <c r="N1220" s="551">
        <f>'Sollecitazioni nel paramento'!$G$60*(sezione!$AO$31-C1220)/C1220</f>
        <v>-1.9494336896465397E-3</v>
      </c>
      <c r="O1220" s="551">
        <f>'Sollecitazioni nel paramento'!$G$60*(sezione!$AP$31-C1220)/C1220</f>
        <v>8.2365168288522461E-4</v>
      </c>
      <c r="P1220" s="545">
        <f>-'Sollecitazioni nel paramento'!$G$47*'Sollecitazioni nel paramento'!$G$41*IF(DATI!$G$211="dx",DATI!$E$61,DATI!$E$64*DATI!$E$63)*1000*C1220*sezione!$AD$5</f>
        <v>-13759050.391812472</v>
      </c>
      <c r="Q1220" s="545">
        <f>'Foglio deposito bis'!$F$58*IF(ABS(K1220)&lt;'Sollecitazioni nel paramento'!$G$58,ABS(K1220)*'Sollecitazioni nel paramento'!$G$54,'Sollecitazioni nel paramento'!$G$53)*IF(K1220&lt;0,-1,1)</f>
        <v>0</v>
      </c>
      <c r="R1220" s="545">
        <f>'Foglio deposito bis'!$F$59*IF(ABS(L1220)&lt;'Sollecitazioni nel paramento'!$G$58,ABS(L1220)*'Sollecitazioni nel paramento'!$G$54,'Sollecitazioni nel paramento'!$G$53)*IF(L1220&lt;0,-1,1)</f>
        <v>-153664.85805602249</v>
      </c>
      <c r="S1220" s="545">
        <f>'Foglio deposito bis'!$F$60*IF(ABS(M1220)&lt;'Sollecitazioni nel paramento'!$G$58,ABS(M1220)*'Sollecitazioni nel paramento'!$G$54,'Sollecitazioni nel paramento'!$G$53)*IF(M1220&lt;0,-1,1)</f>
        <v>0</v>
      </c>
      <c r="T1220" s="545">
        <f>'Foglio deposito bis'!$F$61*IF(ABS(N1220)&lt;'Sollecitazioni nel paramento'!$G$58,ABS(N1220)*'Sollecitazioni nel paramento'!$G$54,'Sollecitazioni nel paramento'!$G$53)*IF(N1220&lt;0,-1,1)</f>
        <v>-240946.49743184328</v>
      </c>
      <c r="U1220" s="545">
        <f>'Foglio deposito bis'!$F$62*IF(ABS(O1220)&lt;'Sollecitazioni nel paramento'!$G$58,ABS(O1220)*'Sollecitazioni nel paramento'!$G$54,'Sollecitazioni nel paramento'!$G$53)*IF(O1220&lt;0,-1,1)</f>
        <v>136458.51741957961</v>
      </c>
      <c r="V1220" s="472">
        <f t="shared" si="88"/>
        <v>-14017203.229880756</v>
      </c>
      <c r="W1220" s="551"/>
      <c r="X1220" s="551"/>
    </row>
    <row r="1221" spans="1:24" x14ac:dyDescent="0.25">
      <c r="A1221" s="545">
        <f t="shared" si="87"/>
        <v>14280637.786957268</v>
      </c>
      <c r="B1221" s="3">
        <f t="shared" si="85"/>
        <v>55.899999999999942</v>
      </c>
      <c r="C1221" s="545">
        <f>'Foglio deposito bis'!$E$157/sezione!$B$247*B1221</f>
        <v>367.73684588100235</v>
      </c>
      <c r="D1221" s="603">
        <f>-'Sollecitazioni nel paramento'!$G$47*'Sollecitazioni nel paramento'!$G$41*IF(DATI!$G$211="dx",DATI!$E$61,DATI!$E$64*DATI!$E$63)*1000*C1221^2*sezione!$AD$5*(1-sezione!$AD$6)</f>
        <v>-3008693297.4774742</v>
      </c>
      <c r="E1221" s="545">
        <f>-'Foglio deposito bis'!$F$58*(C1221-sezione!$AL$31)*IF(ABS(K1221)&lt;'Sollecitazioni nel paramento'!$G$58,ABS(K1221)*'Sollecitazioni nel paramento'!$G$54,'Sollecitazioni nel paramento'!$G$53)</f>
        <v>0</v>
      </c>
      <c r="F1221" s="545">
        <f>-'Foglio deposito bis'!$F$59*(C1221-sezione!$AM$31)*IF(ABS(L1221)&lt;'Sollecitazioni nel paramento'!$G$58,ABS(L1221)*'Sollecitazioni nel paramento'!$G$54,'Sollecitazioni nel paramento'!$G$53)</f>
        <v>-47288338.740912296</v>
      </c>
      <c r="G1221" s="545">
        <f>-'Foglio deposito bis'!$F$60*(C1221-sezione!$AN$31)*IF(ABS(M1221)&lt;'Sollecitazioni nel paramento'!$G$58,ABS(M1221)*'Sollecitazioni nel paramento'!$G$54,'Sollecitazioni nel paramento'!$G$53)</f>
        <v>0</v>
      </c>
      <c r="H1221" s="545">
        <f>-'Foglio deposito bis'!$F$61*(C1221-sezione!$AO$31)*IF(ABS(N1221)&lt;'Sollecitazioni nel paramento'!$G$58,ABS(N1221)*'Sollecitazioni nel paramento'!$G$54,'Sollecitazioni nel paramento'!$G$53)</f>
        <v>-50053465.402566157</v>
      </c>
      <c r="I1221" s="472">
        <f>-'Foglio deposito bis'!$F$62*(C1221-sezione!$AP$31)*IF(ABS(O1221)&lt;'Sollecitazioni nel paramento'!$G$58,ABS(O1221)*'Sollecitazioni nel paramento'!$G$54,'Sollecitazioni nel paramento'!$G$53)</f>
        <v>9695259.6394307707</v>
      </c>
      <c r="J1221" s="472">
        <f t="shared" si="86"/>
        <v>-3096339841.9815216</v>
      </c>
      <c r="K1221" s="550">
        <f>'Sollecitazioni nel paramento'!$G$60*(sezione!$AL$31-C1221)/C1221</f>
        <v>-3.1192929765724289E-3</v>
      </c>
      <c r="L1221" s="550">
        <f>'Sollecitazioni nel paramento'!$G$60*(sezione!$AM$31-C1221)/C1221</f>
        <v>-2.9289394648586431E-3</v>
      </c>
      <c r="M1221" s="551">
        <f>'Sollecitazioni nel paramento'!$G$60*(sezione!$AN$31-C1221)/C1221</f>
        <v>-2.7385859531448569E-3</v>
      </c>
      <c r="N1221" s="551">
        <f>'Sollecitazioni nel paramento'!$G$60*(sezione!$AO$31-C1221)/C1221</f>
        <v>-1.9771719062897145E-3</v>
      </c>
      <c r="O1221" s="551">
        <f>'Sollecitazioni nel paramento'!$G$60*(sezione!$AP$31-C1221)/C1221</f>
        <v>7.4630549893378996E-4</v>
      </c>
      <c r="P1221" s="545">
        <f>-'Sollecitazioni nel paramento'!$G$47*'Sollecitazioni nel paramento'!$G$41*IF(DATI!$G$211="dx",DATI!$E$61,DATI!$E$64*DATI!$E$63)*1000*C1221*sezione!$AD$5</f>
        <v>-14009670.617528543</v>
      </c>
      <c r="Q1221" s="545">
        <f>'Foglio deposito bis'!$F$58*IF(ABS(K1221)&lt;'Sollecitazioni nel paramento'!$G$58,ABS(K1221)*'Sollecitazioni nel paramento'!$G$54,'Sollecitazioni nel paramento'!$G$53)*IF(K1221&lt;0,-1,1)</f>
        <v>0</v>
      </c>
      <c r="R1221" s="545">
        <f>'Foglio deposito bis'!$F$59*IF(ABS(L1221)&lt;'Sollecitazioni nel paramento'!$G$58,ABS(L1221)*'Sollecitazioni nel paramento'!$G$54,'Sollecitazioni nel paramento'!$G$53)*IF(L1221&lt;0,-1,1)</f>
        <v>-153664.85805602249</v>
      </c>
      <c r="S1221" s="545">
        <f>'Foglio deposito bis'!$F$60*IF(ABS(M1221)&lt;'Sollecitazioni nel paramento'!$G$58,ABS(M1221)*'Sollecitazioni nel paramento'!$G$54,'Sollecitazioni nel paramento'!$G$53)*IF(M1221&lt;0,-1,1)</f>
        <v>0</v>
      </c>
      <c r="T1221" s="545">
        <f>'Foglio deposito bis'!$F$61*IF(ABS(N1221)&lt;'Sollecitazioni nel paramento'!$G$58,ABS(N1221)*'Sollecitazioni nel paramento'!$G$54,'Sollecitazioni nel paramento'!$G$53)*IF(N1221&lt;0,-1,1)</f>
        <v>-240946.49743184328</v>
      </c>
      <c r="U1221" s="545">
        <f>'Foglio deposito bis'!$F$62*IF(ABS(O1221)&lt;'Sollecitazioni nel paramento'!$G$58,ABS(O1221)*'Sollecitazioni nel paramento'!$G$54,'Sollecitazioni nel paramento'!$G$53)*IF(O1221&lt;0,-1,1)</f>
        <v>123644.18605914016</v>
      </c>
      <c r="V1221" s="472">
        <f t="shared" si="88"/>
        <v>-14280637.786957268</v>
      </c>
      <c r="W1221" s="551"/>
      <c r="X1221" s="551"/>
    </row>
    <row r="1222" spans="1:24" x14ac:dyDescent="0.25">
      <c r="A1222" s="545">
        <f t="shared" si="87"/>
        <v>14543621.92816874</v>
      </c>
      <c r="B1222" s="3">
        <f t="shared" si="85"/>
        <v>56.899999999999942</v>
      </c>
      <c r="C1222" s="545">
        <f>'Foglio deposito bis'!$E$157/sezione!$B$247*B1222</f>
        <v>374.3153225515033</v>
      </c>
      <c r="D1222" s="603">
        <f>-'Sollecitazioni nel paramento'!$G$47*'Sollecitazioni nel paramento'!$G$41*IF(DATI!$G$211="dx",DATI!$E$61,DATI!$E$64*DATI!$E$63)*1000*C1222^2*sezione!$AD$5*(1-sezione!$AD$6)</f>
        <v>-3117301694.1337371</v>
      </c>
      <c r="E1222" s="545">
        <f>-'Foglio deposito bis'!$F$58*(C1222-sezione!$AL$31)*IF(ABS(K1222)&lt;'Sollecitazioni nel paramento'!$G$58,ABS(K1222)*'Sollecitazioni nel paramento'!$G$54,'Sollecitazioni nel paramento'!$G$53)</f>
        <v>0</v>
      </c>
      <c r="F1222" s="545">
        <f>-'Foglio deposito bis'!$F$59*(C1222-sezione!$AM$31)*IF(ABS(L1222)&lt;'Sollecitazioni nel paramento'!$G$58,ABS(L1222)*'Sollecitazioni nel paramento'!$G$54,'Sollecitazioni nel paramento'!$G$53)</f>
        <v>-48299219.424709678</v>
      </c>
      <c r="G1222" s="545">
        <f>-'Foglio deposito bis'!$F$60*(C1222-sezione!$AN$31)*IF(ABS(M1222)&lt;'Sollecitazioni nel paramento'!$G$58,ABS(M1222)*'Sollecitazioni nel paramento'!$G$54,'Sollecitazioni nel paramento'!$G$53)</f>
        <v>0</v>
      </c>
      <c r="H1222" s="545">
        <f>-'Foglio deposito bis'!$F$61*(C1222-sezione!$AO$31)*IF(ABS(N1222)&lt;'Sollecitazioni nel paramento'!$G$58,ABS(N1222)*'Sollecitazioni nel paramento'!$G$54,'Sollecitazioni nel paramento'!$G$53)</f>
        <v>-51638526.314760454</v>
      </c>
      <c r="I1222" s="472">
        <f>-'Foglio deposito bis'!$F$62*(C1222-sezione!$AP$31)*IF(ABS(O1222)&lt;'Sollecitazioni nel paramento'!$G$58,ABS(O1222)*'Sollecitazioni nel paramento'!$G$54,'Sollecitazioni nel paramento'!$G$53)</f>
        <v>7993718.4618907236</v>
      </c>
      <c r="J1222" s="472">
        <f t="shared" si="86"/>
        <v>-3209245721.4113169</v>
      </c>
      <c r="K1222" s="550">
        <f>'Sollecitazioni nel paramento'!$G$60*(sezione!$AL$31-C1222)/C1222</f>
        <v>-3.1259837854200135E-3</v>
      </c>
      <c r="L1222" s="550">
        <f>'Sollecitazioni nel paramento'!$G$60*(sezione!$AM$31-C1222)/C1222</f>
        <v>-2.9389756781300199E-3</v>
      </c>
      <c r="M1222" s="551">
        <f>'Sollecitazioni nel paramento'!$G$60*(sezione!$AN$31-C1222)/C1222</f>
        <v>-2.7519675708400269E-3</v>
      </c>
      <c r="N1222" s="551">
        <f>'Sollecitazioni nel paramento'!$G$60*(sezione!$AO$31-C1222)/C1222</f>
        <v>-2.0039351416800532E-3</v>
      </c>
      <c r="O1222" s="551">
        <f>'Sollecitazioni nel paramento'!$G$60*(sezione!$AP$31-C1222)/C1222</f>
        <v>6.7167798577150888E-4</v>
      </c>
      <c r="P1222" s="545">
        <f>-'Sollecitazioni nel paramento'!$G$47*'Sollecitazioni nel paramento'!$G$41*IF(DATI!$G$211="dx",DATI!$E$61,DATI!$E$64*DATI!$E$63)*1000*C1222*sezione!$AD$5</f>
        <v>-14260290.843244618</v>
      </c>
      <c r="Q1222" s="545">
        <f>'Foglio deposito bis'!$F$58*IF(ABS(K1222)&lt;'Sollecitazioni nel paramento'!$G$58,ABS(K1222)*'Sollecitazioni nel paramento'!$G$54,'Sollecitazioni nel paramento'!$G$53)*IF(K1222&lt;0,-1,1)</f>
        <v>0</v>
      </c>
      <c r="R1222" s="545">
        <f>'Foglio deposito bis'!$F$59*IF(ABS(L1222)&lt;'Sollecitazioni nel paramento'!$G$58,ABS(L1222)*'Sollecitazioni nel paramento'!$G$54,'Sollecitazioni nel paramento'!$G$53)*IF(L1222&lt;0,-1,1)</f>
        <v>-153664.85805602249</v>
      </c>
      <c r="S1222" s="545">
        <f>'Foglio deposito bis'!$F$60*IF(ABS(M1222)&lt;'Sollecitazioni nel paramento'!$G$58,ABS(M1222)*'Sollecitazioni nel paramento'!$G$54,'Sollecitazioni nel paramento'!$G$53)*IF(M1222&lt;0,-1,1)</f>
        <v>0</v>
      </c>
      <c r="T1222" s="545">
        <f>'Foglio deposito bis'!$F$61*IF(ABS(N1222)&lt;'Sollecitazioni nel paramento'!$G$58,ABS(N1222)*'Sollecitazioni nel paramento'!$G$54,'Sollecitazioni nel paramento'!$G$53)*IF(N1222&lt;0,-1,1)</f>
        <v>-240946.49743184328</v>
      </c>
      <c r="U1222" s="545">
        <f>'Foglio deposito bis'!$F$62*IF(ABS(O1222)&lt;'Sollecitazioni nel paramento'!$G$58,ABS(O1222)*'Sollecitazioni nel paramento'!$G$54,'Sollecitazioni nel paramento'!$G$53)*IF(O1222&lt;0,-1,1)</f>
        <v>111280.27056374245</v>
      </c>
      <c r="V1222" s="472">
        <f t="shared" si="88"/>
        <v>-14543621.92816874</v>
      </c>
      <c r="W1222" s="551"/>
      <c r="X1222" s="551"/>
    </row>
    <row r="1223" spans="1:24" x14ac:dyDescent="0.25">
      <c r="A1223" s="545">
        <f t="shared" si="87"/>
        <v>14806178.991124757</v>
      </c>
      <c r="B1223" s="3">
        <f t="shared" si="85"/>
        <v>57.899999999999942</v>
      </c>
      <c r="C1223" s="545">
        <f>'Foglio deposito bis'!$E$157/sezione!$B$247*B1223</f>
        <v>380.89379922200425</v>
      </c>
      <c r="D1223" s="603">
        <f>-'Sollecitazioni nel paramento'!$G$47*'Sollecitazioni nel paramento'!$G$41*IF(DATI!$G$211="dx",DATI!$E$61,DATI!$E$64*DATI!$E$63)*1000*C1223^2*sezione!$AD$5*(1-sezione!$AD$6)</f>
        <v>-3227835771.581779</v>
      </c>
      <c r="E1223" s="545">
        <f>-'Foglio deposito bis'!$F$58*(C1223-sezione!$AL$31)*IF(ABS(K1223)&lt;'Sollecitazioni nel paramento'!$G$58,ABS(K1223)*'Sollecitazioni nel paramento'!$G$54,'Sollecitazioni nel paramento'!$G$53)</f>
        <v>0</v>
      </c>
      <c r="F1223" s="545">
        <f>-'Foglio deposito bis'!$F$59*(C1223-sezione!$AM$31)*IF(ABS(L1223)&lt;'Sollecitazioni nel paramento'!$G$58,ABS(L1223)*'Sollecitazioni nel paramento'!$G$54,'Sollecitazioni nel paramento'!$G$53)</f>
        <v>-49310100.108507067</v>
      </c>
      <c r="G1223" s="545">
        <f>-'Foglio deposito bis'!$F$60*(C1223-sezione!$AN$31)*IF(ABS(M1223)&lt;'Sollecitazioni nel paramento'!$G$58,ABS(M1223)*'Sollecitazioni nel paramento'!$G$54,'Sollecitazioni nel paramento'!$G$53)</f>
        <v>0</v>
      </c>
      <c r="H1223" s="545">
        <f>-'Foglio deposito bis'!$F$61*(C1223-sezione!$AO$31)*IF(ABS(N1223)&lt;'Sollecitazioni nel paramento'!$G$58,ABS(N1223)*'Sollecitazioni nel paramento'!$G$54,'Sollecitazioni nel paramento'!$G$53)</f>
        <v>-53223587.226954758</v>
      </c>
      <c r="I1223" s="472">
        <f>-'Foglio deposito bis'!$F$62*(C1223-sezione!$AP$31)*IF(ABS(O1223)&lt;'Sollecitazioni nel paramento'!$G$58,ABS(O1223)*'Sollecitazioni nel paramento'!$G$54,'Sollecitazioni nel paramento'!$G$53)</f>
        <v>6482718.0028572818</v>
      </c>
      <c r="J1223" s="472">
        <f t="shared" si="86"/>
        <v>-3323886740.9143839</v>
      </c>
      <c r="K1223" s="550">
        <f>'Sollecitazioni nel paramento'!$G$60*(sezione!$AL$31-C1223)/C1223</f>
        <v>-3.1324434782452294E-3</v>
      </c>
      <c r="L1223" s="550">
        <f>'Sollecitazioni nel paramento'!$G$60*(sezione!$AM$31-C1223)/C1223</f>
        <v>-2.9486652173678434E-3</v>
      </c>
      <c r="M1223" s="551">
        <f>'Sollecitazioni nel paramento'!$G$60*(sezione!$AN$31-C1223)/C1223</f>
        <v>-2.7648869564904578E-3</v>
      </c>
      <c r="N1223" s="551">
        <f>'Sollecitazioni nel paramento'!$G$60*(sezione!$AO$31-C1223)/C1223</f>
        <v>-2.029773912980916E-3</v>
      </c>
      <c r="O1223" s="551">
        <f>'Sollecitazioni nel paramento'!$G$60*(sezione!$AP$31-C1223)/C1223</f>
        <v>5.9962827962692312E-4</v>
      </c>
      <c r="P1223" s="545">
        <f>-'Sollecitazioni nel paramento'!$G$47*'Sollecitazioni nel paramento'!$G$41*IF(DATI!$G$211="dx",DATI!$E$61,DATI!$E$64*DATI!$E$63)*1000*C1223*sezione!$AD$5</f>
        <v>-14510911.068960691</v>
      </c>
      <c r="Q1223" s="545">
        <f>'Foglio deposito bis'!$F$58*IF(ABS(K1223)&lt;'Sollecitazioni nel paramento'!$G$58,ABS(K1223)*'Sollecitazioni nel paramento'!$G$54,'Sollecitazioni nel paramento'!$G$53)*IF(K1223&lt;0,-1,1)</f>
        <v>0</v>
      </c>
      <c r="R1223" s="545">
        <f>'Foglio deposito bis'!$F$59*IF(ABS(L1223)&lt;'Sollecitazioni nel paramento'!$G$58,ABS(L1223)*'Sollecitazioni nel paramento'!$G$54,'Sollecitazioni nel paramento'!$G$53)*IF(L1223&lt;0,-1,1)</f>
        <v>-153664.85805602249</v>
      </c>
      <c r="S1223" s="545">
        <f>'Foglio deposito bis'!$F$60*IF(ABS(M1223)&lt;'Sollecitazioni nel paramento'!$G$58,ABS(M1223)*'Sollecitazioni nel paramento'!$G$54,'Sollecitazioni nel paramento'!$G$53)*IF(M1223&lt;0,-1,1)</f>
        <v>0</v>
      </c>
      <c r="T1223" s="545">
        <f>'Foglio deposito bis'!$F$61*IF(ABS(N1223)&lt;'Sollecitazioni nel paramento'!$G$58,ABS(N1223)*'Sollecitazioni nel paramento'!$G$54,'Sollecitazioni nel paramento'!$G$53)*IF(N1223&lt;0,-1,1)</f>
        <v>-240946.49743184328</v>
      </c>
      <c r="U1223" s="545">
        <f>'Foglio deposito bis'!$F$62*IF(ABS(O1223)&lt;'Sollecitazioni nel paramento'!$G$58,ABS(O1223)*'Sollecitazioni nel paramento'!$G$54,'Sollecitazioni nel paramento'!$G$53)*IF(O1223&lt;0,-1,1)</f>
        <v>99343.433323798876</v>
      </c>
      <c r="V1223" s="472">
        <f t="shared" si="88"/>
        <v>-14806178.991124757</v>
      </c>
      <c r="W1223" s="551"/>
      <c r="X1223" s="551"/>
    </row>
    <row r="1224" spans="1:24" x14ac:dyDescent="0.25">
      <c r="A1224" s="545">
        <f t="shared" si="87"/>
        <v>15068330.728537822</v>
      </c>
      <c r="B1224" s="3">
        <f t="shared" si="85"/>
        <v>58.899999999999942</v>
      </c>
      <c r="C1224" s="545">
        <f>'Foglio deposito bis'!$E$157/sezione!$B$247*B1224</f>
        <v>387.47227589250519</v>
      </c>
      <c r="D1224" s="603">
        <f>-'Sollecitazioni nel paramento'!$G$47*'Sollecitazioni nel paramento'!$G$41*IF(DATI!$G$211="dx",DATI!$E$61,DATI!$E$64*DATI!$E$63)*1000*C1224^2*sezione!$AD$5*(1-sezione!$AD$6)</f>
        <v>-3340295529.8215985</v>
      </c>
      <c r="E1224" s="545">
        <f>-'Foglio deposito bis'!$F$58*(C1224-sezione!$AL$31)*IF(ABS(K1224)&lt;'Sollecitazioni nel paramento'!$G$58,ABS(K1224)*'Sollecitazioni nel paramento'!$G$54,'Sollecitazioni nel paramento'!$G$53)</f>
        <v>0</v>
      </c>
      <c r="F1224" s="545">
        <f>-'Foglio deposito bis'!$F$59*(C1224-sezione!$AM$31)*IF(ABS(L1224)&lt;'Sollecitazioni nel paramento'!$G$58,ABS(L1224)*'Sollecitazioni nel paramento'!$G$54,'Sollecitazioni nel paramento'!$G$53)</f>
        <v>-50320980.792304449</v>
      </c>
      <c r="G1224" s="545">
        <f>-'Foglio deposito bis'!$F$60*(C1224-sezione!$AN$31)*IF(ABS(M1224)&lt;'Sollecitazioni nel paramento'!$G$58,ABS(M1224)*'Sollecitazioni nel paramento'!$G$54,'Sollecitazioni nel paramento'!$G$53)</f>
        <v>0</v>
      </c>
      <c r="H1224" s="545">
        <f>-'Foglio deposito bis'!$F$61*(C1224-sezione!$AO$31)*IF(ABS(N1224)&lt;'Sollecitazioni nel paramento'!$G$58,ABS(N1224)*'Sollecitazioni nel paramento'!$G$54,'Sollecitazioni nel paramento'!$G$53)</f>
        <v>-54808648.139149055</v>
      </c>
      <c r="I1224" s="472">
        <f>-'Foglio deposito bis'!$F$62*(C1224-sezione!$AP$31)*IF(ABS(O1224)&lt;'Sollecitazioni nel paramento'!$G$58,ABS(O1224)*'Sollecitazioni nel paramento'!$G$54,'Sollecitazioni nel paramento'!$G$53)</f>
        <v>5152553.3021348622</v>
      </c>
      <c r="J1224" s="472">
        <f t="shared" si="86"/>
        <v>-3440272605.4509172</v>
      </c>
      <c r="K1224" s="550">
        <f>'Sollecitazioni nel paramento'!$G$60*(sezione!$AL$31-C1224)/C1224</f>
        <v>-3.1386838266621183E-3</v>
      </c>
      <c r="L1224" s="550">
        <f>'Sollecitazioni nel paramento'!$G$60*(sezione!$AM$31-C1224)/C1224</f>
        <v>-2.958025739993177E-3</v>
      </c>
      <c r="M1224" s="551">
        <f>'Sollecitazioni nel paramento'!$G$60*(sezione!$AN$31-C1224)/C1224</f>
        <v>-2.7773676533242365E-3</v>
      </c>
      <c r="N1224" s="551">
        <f>'Sollecitazioni nel paramento'!$G$60*(sezione!$AO$31-C1224)/C1224</f>
        <v>-2.0547353066484725E-3</v>
      </c>
      <c r="O1224" s="551">
        <f>'Sollecitazioni nel paramento'!$G$60*(sezione!$AP$31-C1224)/C1224</f>
        <v>5.3002508302884275E-4</v>
      </c>
      <c r="P1224" s="545">
        <f>-'Sollecitazioni nel paramento'!$G$47*'Sollecitazioni nel paramento'!$G$41*IF(DATI!$G$211="dx",DATI!$E$61,DATI!$E$64*DATI!$E$63)*1000*C1224*sezione!$AD$5</f>
        <v>-14761531.294676766</v>
      </c>
      <c r="Q1224" s="545">
        <f>'Foglio deposito bis'!$F$58*IF(ABS(K1224)&lt;'Sollecitazioni nel paramento'!$G$58,ABS(K1224)*'Sollecitazioni nel paramento'!$G$54,'Sollecitazioni nel paramento'!$G$53)*IF(K1224&lt;0,-1,1)</f>
        <v>0</v>
      </c>
      <c r="R1224" s="545">
        <f>'Foglio deposito bis'!$F$59*IF(ABS(L1224)&lt;'Sollecitazioni nel paramento'!$G$58,ABS(L1224)*'Sollecitazioni nel paramento'!$G$54,'Sollecitazioni nel paramento'!$G$53)*IF(L1224&lt;0,-1,1)</f>
        <v>-153664.85805602249</v>
      </c>
      <c r="S1224" s="545">
        <f>'Foglio deposito bis'!$F$60*IF(ABS(M1224)&lt;'Sollecitazioni nel paramento'!$G$58,ABS(M1224)*'Sollecitazioni nel paramento'!$G$54,'Sollecitazioni nel paramento'!$G$53)*IF(M1224&lt;0,-1,1)</f>
        <v>0</v>
      </c>
      <c r="T1224" s="545">
        <f>'Foglio deposito bis'!$F$61*IF(ABS(N1224)&lt;'Sollecitazioni nel paramento'!$G$58,ABS(N1224)*'Sollecitazioni nel paramento'!$G$54,'Sollecitazioni nel paramento'!$G$53)*IF(N1224&lt;0,-1,1)</f>
        <v>-240946.49743184328</v>
      </c>
      <c r="U1224" s="545">
        <f>'Foglio deposito bis'!$F$62*IF(ABS(O1224)&lt;'Sollecitazioni nel paramento'!$G$58,ABS(O1224)*'Sollecitazioni nel paramento'!$G$54,'Sollecitazioni nel paramento'!$G$53)*IF(O1224&lt;0,-1,1)</f>
        <v>87811.921626807525</v>
      </c>
      <c r="V1224" s="472">
        <f t="shared" si="88"/>
        <v>-15068330.728537822</v>
      </c>
      <c r="W1224" s="551"/>
      <c r="X1224" s="551"/>
    </row>
    <row r="1225" spans="1:24" x14ac:dyDescent="0.25">
      <c r="A1225" s="545">
        <f t="shared" si="87"/>
        <v>15330097.440518603</v>
      </c>
      <c r="B1225" s="3">
        <f t="shared" si="85"/>
        <v>59.899999999999942</v>
      </c>
      <c r="C1225" s="545">
        <f>'Foglio deposito bis'!$E$157/sezione!$B$247*B1225</f>
        <v>394.05075256300614</v>
      </c>
      <c r="D1225" s="603">
        <f>-'Sollecitazioni nel paramento'!$G$47*'Sollecitazioni nel paramento'!$G$41*IF(DATI!$G$211="dx",DATI!$E$61,DATI!$E$64*DATI!$E$63)*1000*C1225^2*sezione!$AD$5*(1-sezione!$AD$6)</f>
        <v>-3454680968.8531957</v>
      </c>
      <c r="E1225" s="545">
        <f>-'Foglio deposito bis'!$F$58*(C1225-sezione!$AL$31)*IF(ABS(K1225)&lt;'Sollecitazioni nel paramento'!$G$58,ABS(K1225)*'Sollecitazioni nel paramento'!$G$54,'Sollecitazioni nel paramento'!$G$53)</f>
        <v>0</v>
      </c>
      <c r="F1225" s="545">
        <f>-'Foglio deposito bis'!$F$59*(C1225-sezione!$AM$31)*IF(ABS(L1225)&lt;'Sollecitazioni nel paramento'!$G$58,ABS(L1225)*'Sollecitazioni nel paramento'!$G$54,'Sollecitazioni nel paramento'!$G$53)</f>
        <v>-51331861.476101831</v>
      </c>
      <c r="G1225" s="545">
        <f>-'Foglio deposito bis'!$F$60*(C1225-sezione!$AN$31)*IF(ABS(M1225)&lt;'Sollecitazioni nel paramento'!$G$58,ABS(M1225)*'Sollecitazioni nel paramento'!$G$54,'Sollecitazioni nel paramento'!$G$53)</f>
        <v>0</v>
      </c>
      <c r="H1225" s="545">
        <f>-'Foglio deposito bis'!$F$61*(C1225-sezione!$AO$31)*IF(ABS(N1225)&lt;'Sollecitazioni nel paramento'!$G$58,ABS(N1225)*'Sollecitazioni nel paramento'!$G$54,'Sollecitazioni nel paramento'!$G$53)</f>
        <v>-56393709.051343352</v>
      </c>
      <c r="I1225" s="472">
        <f>-'Foglio deposito bis'!$F$62*(C1225-sezione!$AP$31)*IF(ABS(O1225)&lt;'Sollecitazioni nel paramento'!$G$58,ABS(O1225)*'Sollecitazioni nel paramento'!$G$54,'Sollecitazioni nel paramento'!$G$53)</f>
        <v>3994167.4770033839</v>
      </c>
      <c r="J1225" s="472">
        <f t="shared" si="86"/>
        <v>-3558412371.9036374</v>
      </c>
      <c r="K1225" s="550">
        <f>'Sollecitazioni nel paramento'!$G$60*(sezione!$AL$31-C1225)/C1225</f>
        <v>-3.1447158162003132E-3</v>
      </c>
      <c r="L1225" s="550">
        <f>'Sollecitazioni nel paramento'!$G$60*(sezione!$AM$31-C1225)/C1225</f>
        <v>-2.9670737243004701E-3</v>
      </c>
      <c r="M1225" s="551">
        <f>'Sollecitazioni nel paramento'!$G$60*(sezione!$AN$31-C1225)/C1225</f>
        <v>-2.7894316324006264E-3</v>
      </c>
      <c r="N1225" s="551">
        <f>'Sollecitazioni nel paramento'!$G$60*(sezione!$AO$31-C1225)/C1225</f>
        <v>-2.0788632648012528E-3</v>
      </c>
      <c r="O1225" s="551">
        <f>'Sollecitazioni nel paramento'!$G$60*(sezione!$AP$31-C1225)/C1225</f>
        <v>4.6274586628378687E-4</v>
      </c>
      <c r="P1225" s="545">
        <f>-'Sollecitazioni nel paramento'!$G$47*'Sollecitazioni nel paramento'!$G$41*IF(DATI!$G$211="dx",DATI!$E$61,DATI!$E$64*DATI!$E$63)*1000*C1225*sezione!$AD$5</f>
        <v>-15012151.520392841</v>
      </c>
      <c r="Q1225" s="545">
        <f>'Foglio deposito bis'!$F$58*IF(ABS(K1225)&lt;'Sollecitazioni nel paramento'!$G$58,ABS(K1225)*'Sollecitazioni nel paramento'!$G$54,'Sollecitazioni nel paramento'!$G$53)*IF(K1225&lt;0,-1,1)</f>
        <v>0</v>
      </c>
      <c r="R1225" s="545">
        <f>'Foglio deposito bis'!$F$59*IF(ABS(L1225)&lt;'Sollecitazioni nel paramento'!$G$58,ABS(L1225)*'Sollecitazioni nel paramento'!$G$54,'Sollecitazioni nel paramento'!$G$53)*IF(L1225&lt;0,-1,1)</f>
        <v>-153664.85805602249</v>
      </c>
      <c r="S1225" s="545">
        <f>'Foglio deposito bis'!$F$60*IF(ABS(M1225)&lt;'Sollecitazioni nel paramento'!$G$58,ABS(M1225)*'Sollecitazioni nel paramento'!$G$54,'Sollecitazioni nel paramento'!$G$53)*IF(M1225&lt;0,-1,1)</f>
        <v>0</v>
      </c>
      <c r="T1225" s="545">
        <f>'Foglio deposito bis'!$F$61*IF(ABS(N1225)&lt;'Sollecitazioni nel paramento'!$G$58,ABS(N1225)*'Sollecitazioni nel paramento'!$G$54,'Sollecitazioni nel paramento'!$G$53)*IF(N1225&lt;0,-1,1)</f>
        <v>-240946.49743184328</v>
      </c>
      <c r="U1225" s="545">
        <f>'Foglio deposito bis'!$F$62*IF(ABS(O1225)&lt;'Sollecitazioni nel paramento'!$G$58,ABS(O1225)*'Sollecitazioni nel paramento'!$G$54,'Sollecitazioni nel paramento'!$G$53)*IF(O1225&lt;0,-1,1)</f>
        <v>76665.435362103046</v>
      </c>
      <c r="V1225" s="472">
        <f t="shared" si="88"/>
        <v>-15330097.440518603</v>
      </c>
      <c r="W1225" s="551"/>
      <c r="X1225" s="551"/>
    </row>
    <row r="1226" spans="1:24" x14ac:dyDescent="0.25">
      <c r="A1226" s="545">
        <f t="shared" si="87"/>
        <v>15591498.093837159</v>
      </c>
      <c r="B1226" s="3">
        <f t="shared" si="85"/>
        <v>60.899999999999942</v>
      </c>
      <c r="C1226" s="545">
        <f>'Foglio deposito bis'!$E$157/sezione!$B$247*B1226</f>
        <v>400.62922923350709</v>
      </c>
      <c r="D1226" s="603">
        <f>-'Sollecitazioni nel paramento'!$G$47*'Sollecitazioni nel paramento'!$G$41*IF(DATI!$G$211="dx",DATI!$E$61,DATI!$E$64*DATI!$E$63)*1000*C1226^2*sezione!$AD$5*(1-sezione!$AD$6)</f>
        <v>-3570992088.6765699</v>
      </c>
      <c r="E1226" s="545">
        <f>-'Foglio deposito bis'!$F$58*(C1226-sezione!$AL$31)*IF(ABS(K1226)&lt;'Sollecitazioni nel paramento'!$G$58,ABS(K1226)*'Sollecitazioni nel paramento'!$G$54,'Sollecitazioni nel paramento'!$G$53)</f>
        <v>0</v>
      </c>
      <c r="F1226" s="545">
        <f>-'Foglio deposito bis'!$F$59*(C1226-sezione!$AM$31)*IF(ABS(L1226)&lt;'Sollecitazioni nel paramento'!$G$58,ABS(L1226)*'Sollecitazioni nel paramento'!$G$54,'Sollecitazioni nel paramento'!$G$53)</f>
        <v>-52342742.15989922</v>
      </c>
      <c r="G1226" s="545">
        <f>-'Foglio deposito bis'!$F$60*(C1226-sezione!$AN$31)*IF(ABS(M1226)&lt;'Sollecitazioni nel paramento'!$G$58,ABS(M1226)*'Sollecitazioni nel paramento'!$G$54,'Sollecitazioni nel paramento'!$G$53)</f>
        <v>0</v>
      </c>
      <c r="H1226" s="545">
        <f>-'Foglio deposito bis'!$F$61*(C1226-sezione!$AO$31)*IF(ABS(N1226)&lt;'Sollecitazioni nel paramento'!$G$58,ABS(N1226)*'Sollecitazioni nel paramento'!$G$54,'Sollecitazioni nel paramento'!$G$53)</f>
        <v>-57978769.963537648</v>
      </c>
      <c r="I1226" s="472">
        <f>-'Foglio deposito bis'!$F$62*(C1226-sezione!$AP$31)*IF(ABS(O1226)&lt;'Sollecitazioni nel paramento'!$G$58,ABS(O1226)*'Sollecitazioni nel paramento'!$G$54,'Sollecitazioni nel paramento'!$G$53)</f>
        <v>2999098.5138869355</v>
      </c>
      <c r="J1226" s="472">
        <f t="shared" si="86"/>
        <v>-3678314502.2861199</v>
      </c>
      <c r="K1226" s="550">
        <f>'Sollecitazioni nel paramento'!$G$60*(sezione!$AL$31-C1226)/C1226</f>
        <v>-3.150549710843986E-3</v>
      </c>
      <c r="L1226" s="550">
        <f>'Sollecitazioni nel paramento'!$G$60*(sezione!$AM$31-C1226)/C1226</f>
        <v>-2.9758245662659792E-3</v>
      </c>
      <c r="M1226" s="551">
        <f>'Sollecitazioni nel paramento'!$G$60*(sezione!$AN$31-C1226)/C1226</f>
        <v>-2.8010994216879728E-3</v>
      </c>
      <c r="N1226" s="551">
        <f>'Sollecitazioni nel paramento'!$G$60*(sezione!$AO$31-C1226)/C1226</f>
        <v>-2.102198843375945E-3</v>
      </c>
      <c r="O1226" s="551">
        <f>'Sollecitazioni nel paramento'!$G$60*(sezione!$AP$31-C1226)/C1226</f>
        <v>3.976761476255965E-4</v>
      </c>
      <c r="P1226" s="545">
        <f>-'Sollecitazioni nel paramento'!$G$47*'Sollecitazioni nel paramento'!$G$41*IF(DATI!$G$211="dx",DATI!$E$61,DATI!$E$64*DATI!$E$63)*1000*C1226*sezione!$AD$5</f>
        <v>-15262771.746108916</v>
      </c>
      <c r="Q1226" s="545">
        <f>'Foglio deposito bis'!$F$58*IF(ABS(K1226)&lt;'Sollecitazioni nel paramento'!$G$58,ABS(K1226)*'Sollecitazioni nel paramento'!$G$54,'Sollecitazioni nel paramento'!$G$53)*IF(K1226&lt;0,-1,1)</f>
        <v>0</v>
      </c>
      <c r="R1226" s="545">
        <f>'Foglio deposito bis'!$F$59*IF(ABS(L1226)&lt;'Sollecitazioni nel paramento'!$G$58,ABS(L1226)*'Sollecitazioni nel paramento'!$G$54,'Sollecitazioni nel paramento'!$G$53)*IF(L1226&lt;0,-1,1)</f>
        <v>-153664.85805602249</v>
      </c>
      <c r="S1226" s="545">
        <f>'Foglio deposito bis'!$F$60*IF(ABS(M1226)&lt;'Sollecitazioni nel paramento'!$G$58,ABS(M1226)*'Sollecitazioni nel paramento'!$G$54,'Sollecitazioni nel paramento'!$G$53)*IF(M1226&lt;0,-1,1)</f>
        <v>0</v>
      </c>
      <c r="T1226" s="545">
        <f>'Foglio deposito bis'!$F$61*IF(ABS(N1226)&lt;'Sollecitazioni nel paramento'!$G$58,ABS(N1226)*'Sollecitazioni nel paramento'!$G$54,'Sollecitazioni nel paramento'!$G$53)*IF(N1226&lt;0,-1,1)</f>
        <v>-240946.49743184328</v>
      </c>
      <c r="U1226" s="545">
        <f>'Foglio deposito bis'!$F$62*IF(ABS(O1226)&lt;'Sollecitazioni nel paramento'!$G$58,ABS(O1226)*'Sollecitazioni nel paramento'!$G$54,'Sollecitazioni nel paramento'!$G$53)*IF(O1226&lt;0,-1,1)</f>
        <v>65885.007759622036</v>
      </c>
      <c r="V1226" s="472">
        <f t="shared" si="88"/>
        <v>-15591498.093837159</v>
      </c>
      <c r="W1226" s="551"/>
      <c r="X1226" s="551"/>
    </row>
    <row r="1227" spans="1:24" x14ac:dyDescent="0.25">
      <c r="A1227" s="545">
        <f t="shared" si="87"/>
        <v>15852550.429624131</v>
      </c>
      <c r="B1227" s="3">
        <f t="shared" si="85"/>
        <v>61.899999999999942</v>
      </c>
      <c r="C1227" s="545">
        <f>'Foglio deposito bis'!$E$157/sezione!$B$247*B1227</f>
        <v>407.20770590400804</v>
      </c>
      <c r="D1227" s="603">
        <f>-'Sollecitazioni nel paramento'!$G$47*'Sollecitazioni nel paramento'!$G$41*IF(DATI!$G$211="dx",DATI!$E$61,DATI!$E$64*DATI!$E$63)*1000*C1227^2*sezione!$AD$5*(1-sezione!$AD$6)</f>
        <v>-3689228889.2917228</v>
      </c>
      <c r="E1227" s="545">
        <f>-'Foglio deposito bis'!$F$58*(C1227-sezione!$AL$31)*IF(ABS(K1227)&lt;'Sollecitazioni nel paramento'!$G$58,ABS(K1227)*'Sollecitazioni nel paramento'!$G$54,'Sollecitazioni nel paramento'!$G$53)</f>
        <v>0</v>
      </c>
      <c r="F1227" s="545">
        <f>-'Foglio deposito bis'!$F$59*(C1227-sezione!$AM$31)*IF(ABS(L1227)&lt;'Sollecitazioni nel paramento'!$G$58,ABS(L1227)*'Sollecitazioni nel paramento'!$G$54,'Sollecitazioni nel paramento'!$G$53)</f>
        <v>-53353622.843696594</v>
      </c>
      <c r="G1227" s="545">
        <f>-'Foglio deposito bis'!$F$60*(C1227-sezione!$AN$31)*IF(ABS(M1227)&lt;'Sollecitazioni nel paramento'!$G$58,ABS(M1227)*'Sollecitazioni nel paramento'!$G$54,'Sollecitazioni nel paramento'!$G$53)</f>
        <v>0</v>
      </c>
      <c r="H1227" s="545">
        <f>-'Foglio deposito bis'!$F$61*(C1227-sezione!$AO$31)*IF(ABS(N1227)&lt;'Sollecitazioni nel paramento'!$G$58,ABS(N1227)*'Sollecitazioni nel paramento'!$G$54,'Sollecitazioni nel paramento'!$G$53)</f>
        <v>-59563830.87573193</v>
      </c>
      <c r="I1227" s="472">
        <f>-'Foglio deposito bis'!$F$62*(C1227-sezione!$AP$31)*IF(ABS(O1227)&lt;'Sollecitazioni nel paramento'!$G$58,ABS(O1227)*'Sollecitazioni nel paramento'!$G$54,'Sollecitazioni nel paramento'!$G$53)</f>
        <v>2159431.2175343861</v>
      </c>
      <c r="J1227" s="472">
        <f t="shared" si="86"/>
        <v>-3799986911.7936168</v>
      </c>
      <c r="K1227" s="550">
        <f>'Sollecitazioni nel paramento'!$G$60*(sezione!$AL$31-C1227)/C1227</f>
        <v>-3.1561951113150046E-3</v>
      </c>
      <c r="L1227" s="550">
        <f>'Sollecitazioni nel paramento'!$G$60*(sezione!$AM$31-C1227)/C1227</f>
        <v>-2.9842926669725062E-3</v>
      </c>
      <c r="M1227" s="551">
        <f>'Sollecitazioni nel paramento'!$G$60*(sezione!$AN$31-C1227)/C1227</f>
        <v>-2.8123902226300083E-3</v>
      </c>
      <c r="N1227" s="551">
        <f>'Sollecitazioni nel paramento'!$G$60*(sezione!$AO$31-C1227)/C1227</f>
        <v>-2.1247804452600165E-3</v>
      </c>
      <c r="O1227" s="551">
        <f>'Sollecitazioni nel paramento'!$G$60*(sezione!$AP$31-C1227)/C1227</f>
        <v>3.3470884314053023E-4</v>
      </c>
      <c r="P1227" s="545">
        <f>-'Sollecitazioni nel paramento'!$G$47*'Sollecitazioni nel paramento'!$G$41*IF(DATI!$G$211="dx",DATI!$E$61,DATI!$E$64*DATI!$E$63)*1000*C1227*sezione!$AD$5</f>
        <v>-15513391.971824991</v>
      </c>
      <c r="Q1227" s="545">
        <f>'Foglio deposito bis'!$F$58*IF(ABS(K1227)&lt;'Sollecitazioni nel paramento'!$G$58,ABS(K1227)*'Sollecitazioni nel paramento'!$G$54,'Sollecitazioni nel paramento'!$G$53)*IF(K1227&lt;0,-1,1)</f>
        <v>0</v>
      </c>
      <c r="R1227" s="545">
        <f>'Foglio deposito bis'!$F$59*IF(ABS(L1227)&lt;'Sollecitazioni nel paramento'!$G$58,ABS(L1227)*'Sollecitazioni nel paramento'!$G$54,'Sollecitazioni nel paramento'!$G$53)*IF(L1227&lt;0,-1,1)</f>
        <v>-153664.85805602249</v>
      </c>
      <c r="S1227" s="545">
        <f>'Foglio deposito bis'!$F$60*IF(ABS(M1227)&lt;'Sollecitazioni nel paramento'!$G$58,ABS(M1227)*'Sollecitazioni nel paramento'!$G$54,'Sollecitazioni nel paramento'!$G$53)*IF(M1227&lt;0,-1,1)</f>
        <v>0</v>
      </c>
      <c r="T1227" s="545">
        <f>'Foglio deposito bis'!$F$61*IF(ABS(N1227)&lt;'Sollecitazioni nel paramento'!$G$58,ABS(N1227)*'Sollecitazioni nel paramento'!$G$54,'Sollecitazioni nel paramento'!$G$53)*IF(N1227&lt;0,-1,1)</f>
        <v>-240946.49743184328</v>
      </c>
      <c r="U1227" s="545">
        <f>'Foglio deposito bis'!$F$62*IF(ABS(O1227)&lt;'Sollecitazioni nel paramento'!$G$58,ABS(O1227)*'Sollecitazioni nel paramento'!$G$54,'Sollecitazioni nel paramento'!$G$53)*IF(O1227&lt;0,-1,1)</f>
        <v>55452.897688723613</v>
      </c>
      <c r="V1227" s="472">
        <f t="shared" si="88"/>
        <v>-15852550.429624131</v>
      </c>
      <c r="W1227" s="551"/>
      <c r="X1227" s="551"/>
    </row>
    <row r="1228" spans="1:24" x14ac:dyDescent="0.25">
      <c r="A1228" s="545">
        <f t="shared" si="87"/>
        <v>16113271.06079836</v>
      </c>
      <c r="B1228" s="3">
        <f t="shared" si="85"/>
        <v>62.899999999999942</v>
      </c>
      <c r="C1228" s="545">
        <f>'Foglio deposito bis'!$E$157/sezione!$B$247*B1228</f>
        <v>413.78618257450898</v>
      </c>
      <c r="D1228" s="603">
        <f>-'Sollecitazioni nel paramento'!$G$47*'Sollecitazioni nel paramento'!$G$41*IF(DATI!$G$211="dx",DATI!$E$61,DATI!$E$64*DATI!$E$63)*1000*C1228^2*sezione!$AD$5*(1-sezione!$AD$6)</f>
        <v>-3809391370.6986527</v>
      </c>
      <c r="E1228" s="545">
        <f>-'Foglio deposito bis'!$F$58*(C1228-sezione!$AL$31)*IF(ABS(K1228)&lt;'Sollecitazioni nel paramento'!$G$58,ABS(K1228)*'Sollecitazioni nel paramento'!$G$54,'Sollecitazioni nel paramento'!$G$53)</f>
        <v>0</v>
      </c>
      <c r="F1228" s="545">
        <f>-'Foglio deposito bis'!$F$59*(C1228-sezione!$AM$31)*IF(ABS(L1228)&lt;'Sollecitazioni nel paramento'!$G$58,ABS(L1228)*'Sollecitazioni nel paramento'!$G$54,'Sollecitazioni nel paramento'!$G$53)</f>
        <v>-54364503.527493984</v>
      </c>
      <c r="G1228" s="545">
        <f>-'Foglio deposito bis'!$F$60*(C1228-sezione!$AN$31)*IF(ABS(M1228)&lt;'Sollecitazioni nel paramento'!$G$58,ABS(M1228)*'Sollecitazioni nel paramento'!$G$54,'Sollecitazioni nel paramento'!$G$53)</f>
        <v>0</v>
      </c>
      <c r="H1228" s="545">
        <f>-'Foglio deposito bis'!$F$61*(C1228-sezione!$AO$31)*IF(ABS(N1228)&lt;'Sollecitazioni nel paramento'!$G$58,ABS(N1228)*'Sollecitazioni nel paramento'!$G$54,'Sollecitazioni nel paramento'!$G$53)</f>
        <v>-61148891.787926234</v>
      </c>
      <c r="I1228" s="472">
        <f>-'Foglio deposito bis'!$F$62*(C1228-sezione!$AP$31)*IF(ABS(O1228)&lt;'Sollecitazioni nel paramento'!$G$58,ABS(O1228)*'Sollecitazioni nel paramento'!$G$54,'Sollecitazioni nel paramento'!$G$53)</f>
        <v>1467753.7437439584</v>
      </c>
      <c r="J1228" s="472">
        <f t="shared" si="86"/>
        <v>-3923437012.270329</v>
      </c>
      <c r="K1228" s="550">
        <f>'Sollecitazioni nel paramento'!$G$60*(sezione!$AL$31-C1228)/C1228</f>
        <v>-3.1616610077964827E-3</v>
      </c>
      <c r="L1228" s="550">
        <f>'Sollecitazioni nel paramento'!$G$60*(sezione!$AM$31-C1228)/C1228</f>
        <v>-2.9924915116947238E-3</v>
      </c>
      <c r="M1228" s="551">
        <f>'Sollecitazioni nel paramento'!$G$60*(sezione!$AN$31-C1228)/C1228</f>
        <v>-2.8233220155929654E-3</v>
      </c>
      <c r="N1228" s="551">
        <f>'Sollecitazioni nel paramento'!$G$60*(sezione!$AO$31-C1228)/C1228</f>
        <v>-2.1466440311859306E-3</v>
      </c>
      <c r="O1228" s="551">
        <f>'Sollecitazioni nel paramento'!$G$60*(sezione!$AP$31-C1228)/C1228</f>
        <v>2.7374367870268385E-4</v>
      </c>
      <c r="P1228" s="545">
        <f>-'Sollecitazioni nel paramento'!$G$47*'Sollecitazioni nel paramento'!$G$41*IF(DATI!$G$211="dx",DATI!$E$61,DATI!$E$64*DATI!$E$63)*1000*C1228*sezione!$AD$5</f>
        <v>-15764012.197541067</v>
      </c>
      <c r="Q1228" s="545">
        <f>'Foglio deposito bis'!$F$58*IF(ABS(K1228)&lt;'Sollecitazioni nel paramento'!$G$58,ABS(K1228)*'Sollecitazioni nel paramento'!$G$54,'Sollecitazioni nel paramento'!$G$53)*IF(K1228&lt;0,-1,1)</f>
        <v>0</v>
      </c>
      <c r="R1228" s="545">
        <f>'Foglio deposito bis'!$F$59*IF(ABS(L1228)&lt;'Sollecitazioni nel paramento'!$G$58,ABS(L1228)*'Sollecitazioni nel paramento'!$G$54,'Sollecitazioni nel paramento'!$G$53)*IF(L1228&lt;0,-1,1)</f>
        <v>-153664.85805602249</v>
      </c>
      <c r="S1228" s="545">
        <f>'Foglio deposito bis'!$F$60*IF(ABS(M1228)&lt;'Sollecitazioni nel paramento'!$G$58,ABS(M1228)*'Sollecitazioni nel paramento'!$G$54,'Sollecitazioni nel paramento'!$G$53)*IF(M1228&lt;0,-1,1)</f>
        <v>0</v>
      </c>
      <c r="T1228" s="545">
        <f>'Foglio deposito bis'!$F$61*IF(ABS(N1228)&lt;'Sollecitazioni nel paramento'!$G$58,ABS(N1228)*'Sollecitazioni nel paramento'!$G$54,'Sollecitazioni nel paramento'!$G$53)*IF(N1228&lt;0,-1,1)</f>
        <v>-240946.49743184328</v>
      </c>
      <c r="U1228" s="545">
        <f>'Foglio deposito bis'!$F$62*IF(ABS(O1228)&lt;'Sollecitazioni nel paramento'!$G$58,ABS(O1228)*'Sollecitazioni nel paramento'!$G$54,'Sollecitazioni nel paramento'!$G$53)*IF(O1228&lt;0,-1,1)</f>
        <v>45352.492230572345</v>
      </c>
      <c r="V1228" s="472">
        <f t="shared" si="88"/>
        <v>-16113271.06079836</v>
      </c>
      <c r="W1228" s="551"/>
      <c r="X1228" s="551"/>
    </row>
    <row r="1229" spans="1:24" x14ac:dyDescent="0.25">
      <c r="A1229" s="545">
        <f t="shared" si="87"/>
        <v>16373675.560346352</v>
      </c>
      <c r="B1229" s="3">
        <f t="shared" si="85"/>
        <v>63.899999999999942</v>
      </c>
      <c r="C1229" s="545">
        <f>'Foglio deposito bis'!$E$157/sezione!$B$247*B1229</f>
        <v>420.36465924500993</v>
      </c>
      <c r="D1229" s="603">
        <f>-'Sollecitazioni nel paramento'!$G$47*'Sollecitazioni nel paramento'!$G$41*IF(DATI!$G$211="dx",DATI!$E$61,DATI!$E$64*DATI!$E$63)*1000*C1229^2*sezione!$AD$5*(1-sezione!$AD$6)</f>
        <v>-3931479532.8973603</v>
      </c>
      <c r="E1229" s="545">
        <f>-'Foglio deposito bis'!$F$58*(C1229-sezione!$AL$31)*IF(ABS(K1229)&lt;'Sollecitazioni nel paramento'!$G$58,ABS(K1229)*'Sollecitazioni nel paramento'!$G$54,'Sollecitazioni nel paramento'!$G$53)</f>
        <v>0</v>
      </c>
      <c r="F1229" s="545">
        <f>-'Foglio deposito bis'!$F$59*(C1229-sezione!$AM$31)*IF(ABS(L1229)&lt;'Sollecitazioni nel paramento'!$G$58,ABS(L1229)*'Sollecitazioni nel paramento'!$G$54,'Sollecitazioni nel paramento'!$G$53)</f>
        <v>-55375384.211291365</v>
      </c>
      <c r="G1229" s="545">
        <f>-'Foglio deposito bis'!$F$60*(C1229-sezione!$AN$31)*IF(ABS(M1229)&lt;'Sollecitazioni nel paramento'!$G$58,ABS(M1229)*'Sollecitazioni nel paramento'!$G$54,'Sollecitazioni nel paramento'!$G$53)</f>
        <v>0</v>
      </c>
      <c r="H1229" s="545">
        <f>-'Foglio deposito bis'!$F$61*(C1229-sezione!$AO$31)*IF(ABS(N1229)&lt;'Sollecitazioni nel paramento'!$G$58,ABS(N1229)*'Sollecitazioni nel paramento'!$G$54,'Sollecitazioni nel paramento'!$G$53)</f>
        <v>-62733952.700120531</v>
      </c>
      <c r="I1229" s="472">
        <f>-'Foglio deposito bis'!$F$62*(C1229-sezione!$AP$31)*IF(ABS(O1229)&lt;'Sollecitazioni nel paramento'!$G$58,ABS(O1229)*'Sollecitazioni nel paramento'!$G$54,'Sollecitazioni nel paramento'!$G$53)</f>
        <v>917118.21352212713</v>
      </c>
      <c r="J1229" s="472">
        <f t="shared" si="86"/>
        <v>-4048671751.5952501</v>
      </c>
      <c r="K1229" s="550">
        <f>'Sollecitazioni nel paramento'!$G$60*(sezione!$AL$31-C1229)/C1229</f>
        <v>-3.1669558277057711E-3</v>
      </c>
      <c r="L1229" s="550">
        <f>'Sollecitazioni nel paramento'!$G$60*(sezione!$AM$31-C1229)/C1229</f>
        <v>-3.0004337415586563E-3</v>
      </c>
      <c r="M1229" s="551">
        <f>'Sollecitazioni nel paramento'!$G$60*(sezione!$AN$31-C1229)/C1229</f>
        <v>-2.8339116554115416E-3</v>
      </c>
      <c r="N1229" s="551">
        <f>'Sollecitazioni nel paramento'!$G$60*(sezione!$AO$31-C1229)/C1229</f>
        <v>-2.1678233108230836E-3</v>
      </c>
      <c r="O1229" s="551">
        <f>'Sollecitazioni nel paramento'!$G$60*(sezione!$AP$31-C1229)/C1229</f>
        <v>2.1468665712674195E-4</v>
      </c>
      <c r="P1229" s="545">
        <f>-'Sollecitazioni nel paramento'!$G$47*'Sollecitazioni nel paramento'!$G$41*IF(DATI!$G$211="dx",DATI!$E$61,DATI!$E$64*DATI!$E$63)*1000*C1229*sezione!$AD$5</f>
        <v>-16014632.423257142</v>
      </c>
      <c r="Q1229" s="545">
        <f>'Foglio deposito bis'!$F$58*IF(ABS(K1229)&lt;'Sollecitazioni nel paramento'!$G$58,ABS(K1229)*'Sollecitazioni nel paramento'!$G$54,'Sollecitazioni nel paramento'!$G$53)*IF(K1229&lt;0,-1,1)</f>
        <v>0</v>
      </c>
      <c r="R1229" s="545">
        <f>'Foglio deposito bis'!$F$59*IF(ABS(L1229)&lt;'Sollecitazioni nel paramento'!$G$58,ABS(L1229)*'Sollecitazioni nel paramento'!$G$54,'Sollecitazioni nel paramento'!$G$53)*IF(L1229&lt;0,-1,1)</f>
        <v>-153664.85805602249</v>
      </c>
      <c r="S1229" s="545">
        <f>'Foglio deposito bis'!$F$60*IF(ABS(M1229)&lt;'Sollecitazioni nel paramento'!$G$58,ABS(M1229)*'Sollecitazioni nel paramento'!$G$54,'Sollecitazioni nel paramento'!$G$53)*IF(M1229&lt;0,-1,1)</f>
        <v>0</v>
      </c>
      <c r="T1229" s="545">
        <f>'Foglio deposito bis'!$F$61*IF(ABS(N1229)&lt;'Sollecitazioni nel paramento'!$G$58,ABS(N1229)*'Sollecitazioni nel paramento'!$G$54,'Sollecitazioni nel paramento'!$G$53)*IF(N1229&lt;0,-1,1)</f>
        <v>-240946.49743184328</v>
      </c>
      <c r="U1229" s="545">
        <f>'Foglio deposito bis'!$F$62*IF(ABS(O1229)&lt;'Sollecitazioni nel paramento'!$G$58,ABS(O1229)*'Sollecitazioni nel paramento'!$G$54,'Sollecitazioni nel paramento'!$G$53)*IF(O1229&lt;0,-1,1)</f>
        <v>35568.21839865431</v>
      </c>
      <c r="V1229" s="472">
        <f t="shared" si="88"/>
        <v>-16373675.560346352</v>
      </c>
      <c r="W1229" s="551"/>
      <c r="X1229" s="551"/>
    </row>
    <row r="1230" spans="1:24" x14ac:dyDescent="0.25">
      <c r="A1230" s="545">
        <f t="shared" si="87"/>
        <v>16633778.541440355</v>
      </c>
      <c r="B1230" s="3">
        <f t="shared" si="85"/>
        <v>64.899999999999949</v>
      </c>
      <c r="C1230" s="545">
        <f>'Foglio deposito bis'!$E$157/sezione!$B$247*B1230</f>
        <v>426.94313591551094</v>
      </c>
      <c r="D1230" s="603">
        <f>-'Sollecitazioni nel paramento'!$G$47*'Sollecitazioni nel paramento'!$G$41*IF(DATI!$G$211="dx",DATI!$E$61,DATI!$E$64*DATI!$E$63)*1000*C1230^2*sezione!$AD$5*(1-sezione!$AD$6)</f>
        <v>-4055493375.8878474</v>
      </c>
      <c r="E1230" s="545">
        <f>-'Foglio deposito bis'!$F$58*(C1230-sezione!$AL$31)*IF(ABS(K1230)&lt;'Sollecitazioni nel paramento'!$G$58,ABS(K1230)*'Sollecitazioni nel paramento'!$G$54,'Sollecitazioni nel paramento'!$G$53)</f>
        <v>0</v>
      </c>
      <c r="F1230" s="545">
        <f>-'Foglio deposito bis'!$F$59*(C1230-sezione!$AM$31)*IF(ABS(L1230)&lt;'Sollecitazioni nel paramento'!$G$58,ABS(L1230)*'Sollecitazioni nel paramento'!$G$54,'Sollecitazioni nel paramento'!$G$53)</f>
        <v>-56386264.895088755</v>
      </c>
      <c r="G1230" s="545">
        <f>-'Foglio deposito bis'!$F$60*(C1230-sezione!$AN$31)*IF(ABS(M1230)&lt;'Sollecitazioni nel paramento'!$G$58,ABS(M1230)*'Sollecitazioni nel paramento'!$G$54,'Sollecitazioni nel paramento'!$G$53)</f>
        <v>0</v>
      </c>
      <c r="H1230" s="545">
        <f>-'Foglio deposito bis'!$F$61*(C1230-sezione!$AO$31)*IF(ABS(N1230)&lt;'Sollecitazioni nel paramento'!$G$58,ABS(N1230)*'Sollecitazioni nel paramento'!$G$54,'Sollecitazioni nel paramento'!$G$53)</f>
        <v>-64319013.61231485</v>
      </c>
      <c r="I1230" s="472">
        <f>-'Foglio deposito bis'!$F$62*(C1230-sezione!$AP$31)*IF(ABS(O1230)&lt;'Sollecitazioni nel paramento'!$G$58,ABS(O1230)*'Sollecitazioni nel paramento'!$G$54,'Sollecitazioni nel paramento'!$G$53)</f>
        <v>501004.96846047865</v>
      </c>
      <c r="J1230" s="472">
        <f t="shared" si="86"/>
        <v>-4175697649.4267902</v>
      </c>
      <c r="K1230" s="550">
        <f>'Sollecitazioni nel paramento'!$G$60*(sezione!$AL$31-C1230)/C1230</f>
        <v>-3.1720874790508286E-3</v>
      </c>
      <c r="L1230" s="550">
        <f>'Sollecitazioni nel paramento'!$G$60*(sezione!$AM$31-C1230)/C1230</f>
        <v>-3.0081312185762424E-3</v>
      </c>
      <c r="M1230" s="551">
        <f>'Sollecitazioni nel paramento'!$G$60*(sezione!$AN$31-C1230)/C1230</f>
        <v>-2.8441749581016571E-3</v>
      </c>
      <c r="N1230" s="551">
        <f>'Sollecitazioni nel paramento'!$G$60*(sezione!$AO$31-C1230)/C1230</f>
        <v>-2.1883499162033138E-3</v>
      </c>
      <c r="O1230" s="551">
        <f>'Sollecitazioni nel paramento'!$G$60*(sezione!$AP$31-C1230)/C1230</f>
        <v>1.5744957458241563E-4</v>
      </c>
      <c r="P1230" s="545">
        <f>-'Sollecitazioni nel paramento'!$G$47*'Sollecitazioni nel paramento'!$G$41*IF(DATI!$G$211="dx",DATI!$E$61,DATI!$E$64*DATI!$E$63)*1000*C1230*sezione!$AD$5</f>
        <v>-16265252.648973215</v>
      </c>
      <c r="Q1230" s="545">
        <f>'Foglio deposito bis'!$F$58*IF(ABS(K1230)&lt;'Sollecitazioni nel paramento'!$G$58,ABS(K1230)*'Sollecitazioni nel paramento'!$G$54,'Sollecitazioni nel paramento'!$G$53)*IF(K1230&lt;0,-1,1)</f>
        <v>0</v>
      </c>
      <c r="R1230" s="545">
        <f>'Foglio deposito bis'!$F$59*IF(ABS(L1230)&lt;'Sollecitazioni nel paramento'!$G$58,ABS(L1230)*'Sollecitazioni nel paramento'!$G$54,'Sollecitazioni nel paramento'!$G$53)*IF(L1230&lt;0,-1,1)</f>
        <v>-153664.85805602249</v>
      </c>
      <c r="S1230" s="545">
        <f>'Foglio deposito bis'!$F$60*IF(ABS(M1230)&lt;'Sollecitazioni nel paramento'!$G$58,ABS(M1230)*'Sollecitazioni nel paramento'!$G$54,'Sollecitazioni nel paramento'!$G$53)*IF(M1230&lt;0,-1,1)</f>
        <v>0</v>
      </c>
      <c r="T1230" s="545">
        <f>'Foglio deposito bis'!$F$61*IF(ABS(N1230)&lt;'Sollecitazioni nel paramento'!$G$58,ABS(N1230)*'Sollecitazioni nel paramento'!$G$54,'Sollecitazioni nel paramento'!$G$53)*IF(N1230&lt;0,-1,1)</f>
        <v>-240946.49743184328</v>
      </c>
      <c r="U1230" s="545">
        <f>'Foglio deposito bis'!$F$62*IF(ABS(O1230)&lt;'Sollecitazioni nel paramento'!$G$58,ABS(O1230)*'Sollecitazioni nel paramento'!$G$54,'Sollecitazioni nel paramento'!$G$53)*IF(O1230&lt;0,-1,1)</f>
        <v>26085.463020724419</v>
      </c>
      <c r="V1230" s="472">
        <f t="shared" si="88"/>
        <v>-16633778.541440355</v>
      </c>
      <c r="W1230" s="551"/>
      <c r="X1230" s="551"/>
    </row>
    <row r="1231" spans="1:24" x14ac:dyDescent="0.25">
      <c r="A1231" s="545">
        <f t="shared" si="87"/>
        <v>16893593.730261892</v>
      </c>
      <c r="B1231" s="3">
        <f t="shared" si="85"/>
        <v>65.899999999999949</v>
      </c>
      <c r="C1231" s="545">
        <f>'Foglio deposito bis'!$E$157/sezione!$B$247*B1231</f>
        <v>433.52161258601188</v>
      </c>
      <c r="D1231" s="603">
        <f>-'Sollecitazioni nel paramento'!$G$47*'Sollecitazioni nel paramento'!$G$41*IF(DATI!$G$211="dx",DATI!$E$61,DATI!$E$64*DATI!$E$63)*1000*C1231^2*sezione!$AD$5*(1-sezione!$AD$6)</f>
        <v>-4181432899.6701107</v>
      </c>
      <c r="E1231" s="545">
        <f>-'Foglio deposito bis'!$F$58*(C1231-sezione!$AL$31)*IF(ABS(K1231)&lt;'Sollecitazioni nel paramento'!$G$58,ABS(K1231)*'Sollecitazioni nel paramento'!$G$54,'Sollecitazioni nel paramento'!$G$53)</f>
        <v>0</v>
      </c>
      <c r="F1231" s="545">
        <f>-'Foglio deposito bis'!$F$59*(C1231-sezione!$AM$31)*IF(ABS(L1231)&lt;'Sollecitazioni nel paramento'!$G$58,ABS(L1231)*'Sollecitazioni nel paramento'!$G$54,'Sollecitazioni nel paramento'!$G$53)</f>
        <v>-57397145.578886136</v>
      </c>
      <c r="G1231" s="545">
        <f>-'Foglio deposito bis'!$F$60*(C1231-sezione!$AN$31)*IF(ABS(M1231)&lt;'Sollecitazioni nel paramento'!$G$58,ABS(M1231)*'Sollecitazioni nel paramento'!$G$54,'Sollecitazioni nel paramento'!$G$53)</f>
        <v>0</v>
      </c>
      <c r="H1231" s="545">
        <f>-'Foglio deposito bis'!$F$61*(C1231-sezione!$AO$31)*IF(ABS(N1231)&lt;'Sollecitazioni nel paramento'!$G$58,ABS(N1231)*'Sollecitazioni nel paramento'!$G$54,'Sollecitazioni nel paramento'!$G$53)</f>
        <v>-65904074.524509147</v>
      </c>
      <c r="I1231" s="472">
        <f>-'Foglio deposito bis'!$F$62*(C1231-sezione!$AP$31)*IF(ABS(O1231)&lt;'Sollecitazioni nel paramento'!$G$58,ABS(O1231)*'Sollecitazioni nel paramento'!$G$54,'Sollecitazioni nel paramento'!$G$53)</f>
        <v>213290.08055476288</v>
      </c>
      <c r="J1231" s="472">
        <f t="shared" si="86"/>
        <v>-4304520829.6929512</v>
      </c>
      <c r="K1231" s="550">
        <f>'Sollecitazioni nel paramento'!$G$60*(sezione!$AL$31-C1231)/C1231</f>
        <v>-3.1770633898391314E-3</v>
      </c>
      <c r="L1231" s="550">
        <f>'Sollecitazioni nel paramento'!$G$60*(sezione!$AM$31-C1231)/C1231</f>
        <v>-3.0155950847586973E-3</v>
      </c>
      <c r="M1231" s="551">
        <f>'Sollecitazioni nel paramento'!$G$60*(sezione!$AN$31-C1231)/C1231</f>
        <v>-2.8541267796782632E-3</v>
      </c>
      <c r="N1231" s="551">
        <f>'Sollecitazioni nel paramento'!$G$60*(sezione!$AO$31-C1231)/C1231</f>
        <v>-2.2082535593565258E-3</v>
      </c>
      <c r="O1231" s="551">
        <f>'Sollecitazioni nel paramento'!$G$60*(sezione!$AP$31-C1231)/C1231</f>
        <v>1.0194958103791758E-4</v>
      </c>
      <c r="P1231" s="545">
        <f>-'Sollecitazioni nel paramento'!$G$47*'Sollecitazioni nel paramento'!$G$41*IF(DATI!$G$211="dx",DATI!$E$61,DATI!$E$64*DATI!$E$63)*1000*C1231*sezione!$AD$5</f>
        <v>-16515872.87468929</v>
      </c>
      <c r="Q1231" s="545">
        <f>'Foglio deposito bis'!$F$58*IF(ABS(K1231)&lt;'Sollecitazioni nel paramento'!$G$58,ABS(K1231)*'Sollecitazioni nel paramento'!$G$54,'Sollecitazioni nel paramento'!$G$53)*IF(K1231&lt;0,-1,1)</f>
        <v>0</v>
      </c>
      <c r="R1231" s="545">
        <f>'Foglio deposito bis'!$F$59*IF(ABS(L1231)&lt;'Sollecitazioni nel paramento'!$G$58,ABS(L1231)*'Sollecitazioni nel paramento'!$G$54,'Sollecitazioni nel paramento'!$G$53)*IF(L1231&lt;0,-1,1)</f>
        <v>-153664.85805602249</v>
      </c>
      <c r="S1231" s="545">
        <f>'Foglio deposito bis'!$F$60*IF(ABS(M1231)&lt;'Sollecitazioni nel paramento'!$G$58,ABS(M1231)*'Sollecitazioni nel paramento'!$G$54,'Sollecitazioni nel paramento'!$G$53)*IF(M1231&lt;0,-1,1)</f>
        <v>0</v>
      </c>
      <c r="T1231" s="545">
        <f>'Foglio deposito bis'!$F$61*IF(ABS(N1231)&lt;'Sollecitazioni nel paramento'!$G$58,ABS(N1231)*'Sollecitazioni nel paramento'!$G$54,'Sollecitazioni nel paramento'!$G$53)*IF(N1231&lt;0,-1,1)</f>
        <v>-240946.49743184328</v>
      </c>
      <c r="U1231" s="545">
        <f>'Foglio deposito bis'!$F$62*IF(ABS(O1231)&lt;'Sollecitazioni nel paramento'!$G$58,ABS(O1231)*'Sollecitazioni nel paramento'!$G$54,'Sollecitazioni nel paramento'!$G$53)*IF(O1231&lt;0,-1,1)</f>
        <v>16890.499915265918</v>
      </c>
      <c r="V1231" s="472">
        <f t="shared" si="88"/>
        <v>-16893593.730261892</v>
      </c>
      <c r="W1231" s="551"/>
      <c r="X1231" s="551"/>
    </row>
    <row r="1232" spans="1:24" x14ac:dyDescent="0.25">
      <c r="A1232" s="545">
        <f t="shared" si="87"/>
        <v>17153134.032294024</v>
      </c>
      <c r="B1232" s="3">
        <f t="shared" si="85"/>
        <v>66.899999999999949</v>
      </c>
      <c r="C1232" s="545">
        <f>'Foglio deposito bis'!$E$157/sezione!$B$247*B1232</f>
        <v>440.10008925651283</v>
      </c>
      <c r="D1232" s="603">
        <f>-'Sollecitazioni nel paramento'!$G$47*'Sollecitazioni nel paramento'!$G$41*IF(DATI!$G$211="dx",DATI!$E$61,DATI!$E$64*DATI!$E$63)*1000*C1232^2*sezione!$AD$5*(1-sezione!$AD$6)</f>
        <v>-4309298104.2441511</v>
      </c>
      <c r="E1232" s="545">
        <f>-'Foglio deposito bis'!$F$58*(C1232-sezione!$AL$31)*IF(ABS(K1232)&lt;'Sollecitazioni nel paramento'!$G$58,ABS(K1232)*'Sollecitazioni nel paramento'!$G$54,'Sollecitazioni nel paramento'!$G$53)</f>
        <v>0</v>
      </c>
      <c r="F1232" s="545">
        <f>-'Foglio deposito bis'!$F$59*(C1232-sezione!$AM$31)*IF(ABS(L1232)&lt;'Sollecitazioni nel paramento'!$G$58,ABS(L1232)*'Sollecitazioni nel paramento'!$G$54,'Sollecitazioni nel paramento'!$G$53)</f>
        <v>-58408026.262683526</v>
      </c>
      <c r="G1232" s="545">
        <f>-'Foglio deposito bis'!$F$60*(C1232-sezione!$AN$31)*IF(ABS(M1232)&lt;'Sollecitazioni nel paramento'!$G$58,ABS(M1232)*'Sollecitazioni nel paramento'!$G$54,'Sollecitazioni nel paramento'!$G$53)</f>
        <v>0</v>
      </c>
      <c r="H1232" s="545">
        <f>-'Foglio deposito bis'!$F$61*(C1232-sezione!$AO$31)*IF(ABS(N1232)&lt;'Sollecitazioni nel paramento'!$G$58,ABS(N1232)*'Sollecitazioni nel paramento'!$G$54,'Sollecitazioni nel paramento'!$G$53)</f>
        <v>-67489135.436703444</v>
      </c>
      <c r="I1232" s="472">
        <f>-'Foglio deposito bis'!$F$62*(C1232-sezione!$AP$31)*IF(ABS(O1232)&lt;'Sollecitazioni nel paramento'!$G$58,ABS(O1232)*'Sollecitazioni nel paramento'!$G$54,'Sollecitazioni nel paramento'!$G$53)</f>
        <v>48215.775941481377</v>
      </c>
      <c r="J1232" s="472">
        <f t="shared" si="86"/>
        <v>-4435147050.1675968</v>
      </c>
      <c r="K1232" s="550">
        <f>'Sollecitazioni nel paramento'!$G$60*(sezione!$AL$31-C1232)/C1232</f>
        <v>-3.1818905439521491E-3</v>
      </c>
      <c r="L1232" s="550">
        <f>'Sollecitazioni nel paramento'!$G$60*(sezione!$AM$31-C1232)/C1232</f>
        <v>-3.0228358159282232E-3</v>
      </c>
      <c r="M1232" s="551">
        <f>'Sollecitazioni nel paramento'!$G$60*(sezione!$AN$31-C1232)/C1232</f>
        <v>-2.8637810879042977E-3</v>
      </c>
      <c r="N1232" s="551">
        <f>'Sollecitazioni nel paramento'!$G$60*(sezione!$AO$31-C1232)/C1232</f>
        <v>-2.2275621758085958E-3</v>
      </c>
      <c r="O1232" s="551">
        <f>'Sollecitazioni nel paramento'!$G$60*(sezione!$AP$31-C1232)/C1232</f>
        <v>4.8108780125542061E-5</v>
      </c>
      <c r="P1232" s="545">
        <f>-'Sollecitazioni nel paramento'!$G$47*'Sollecitazioni nel paramento'!$G$41*IF(DATI!$G$211="dx",DATI!$E$61,DATI!$E$64*DATI!$E$63)*1000*C1232*sezione!$AD$5</f>
        <v>-16766493.100405365</v>
      </c>
      <c r="Q1232" s="545">
        <f>'Foglio deposito bis'!$F$58*IF(ABS(K1232)&lt;'Sollecitazioni nel paramento'!$G$58,ABS(K1232)*'Sollecitazioni nel paramento'!$G$54,'Sollecitazioni nel paramento'!$G$53)*IF(K1232&lt;0,-1,1)</f>
        <v>0</v>
      </c>
      <c r="R1232" s="545">
        <f>'Foglio deposito bis'!$F$59*IF(ABS(L1232)&lt;'Sollecitazioni nel paramento'!$G$58,ABS(L1232)*'Sollecitazioni nel paramento'!$G$54,'Sollecitazioni nel paramento'!$G$53)*IF(L1232&lt;0,-1,1)</f>
        <v>-153664.85805602249</v>
      </c>
      <c r="S1232" s="545">
        <f>'Foglio deposito bis'!$F$60*IF(ABS(M1232)&lt;'Sollecitazioni nel paramento'!$G$58,ABS(M1232)*'Sollecitazioni nel paramento'!$G$54,'Sollecitazioni nel paramento'!$G$53)*IF(M1232&lt;0,-1,1)</f>
        <v>0</v>
      </c>
      <c r="T1232" s="545">
        <f>'Foglio deposito bis'!$F$61*IF(ABS(N1232)&lt;'Sollecitazioni nel paramento'!$G$58,ABS(N1232)*'Sollecitazioni nel paramento'!$G$54,'Sollecitazioni nel paramento'!$G$53)*IF(N1232&lt;0,-1,1)</f>
        <v>-240946.49743184328</v>
      </c>
      <c r="U1232" s="545">
        <f>'Foglio deposito bis'!$F$62*IF(ABS(O1232)&lt;'Sollecitazioni nel paramento'!$G$58,ABS(O1232)*'Sollecitazioni nel paramento'!$G$54,'Sollecitazioni nel paramento'!$G$53)*IF(O1232&lt;0,-1,1)</f>
        <v>7970.4235992082777</v>
      </c>
      <c r="V1232" s="472">
        <f t="shared" si="88"/>
        <v>-17153134.032294024</v>
      </c>
      <c r="W1232" s="551"/>
      <c r="X1232" s="551"/>
    </row>
    <row r="1233" spans="1:24" x14ac:dyDescent="0.25">
      <c r="A1233" s="545">
        <f t="shared" si="87"/>
        <v>17412411.592755727</v>
      </c>
      <c r="B1233" s="3">
        <f t="shared" si="85"/>
        <v>67.899999999999949</v>
      </c>
      <c r="C1233" s="545">
        <f>'Foglio deposito bis'!$E$157/sezione!$B$247*B1233</f>
        <v>446.67856592701378</v>
      </c>
      <c r="D1233" s="603">
        <f>-'Sollecitazioni nel paramento'!$G$47*'Sollecitazioni nel paramento'!$G$41*IF(DATI!$G$211="dx",DATI!$E$61,DATI!$E$64*DATI!$E$63)*1000*C1233^2*sezione!$AD$5*(1-sezione!$AD$6)</f>
        <v>-4439088989.6099701</v>
      </c>
      <c r="E1233" s="545">
        <f>-'Foglio deposito bis'!$F$58*(C1233-sezione!$AL$31)*IF(ABS(K1233)&lt;'Sollecitazioni nel paramento'!$G$58,ABS(K1233)*'Sollecitazioni nel paramento'!$G$54,'Sollecitazioni nel paramento'!$G$53)</f>
        <v>0</v>
      </c>
      <c r="F1233" s="545">
        <f>-'Foglio deposito bis'!$F$59*(C1233-sezione!$AM$31)*IF(ABS(L1233)&lt;'Sollecitazioni nel paramento'!$G$58,ABS(L1233)*'Sollecitazioni nel paramento'!$G$54,'Sollecitazioni nel paramento'!$G$53)</f>
        <v>-59418906.946480915</v>
      </c>
      <c r="G1233" s="545">
        <f>-'Foglio deposito bis'!$F$60*(C1233-sezione!$AN$31)*IF(ABS(M1233)&lt;'Sollecitazioni nel paramento'!$G$58,ABS(M1233)*'Sollecitazioni nel paramento'!$G$54,'Sollecitazioni nel paramento'!$G$53)</f>
        <v>0</v>
      </c>
      <c r="H1233" s="545">
        <f>-'Foglio deposito bis'!$F$61*(C1233-sezione!$AO$31)*IF(ABS(N1233)&lt;'Sollecitazioni nel paramento'!$G$58,ABS(N1233)*'Sollecitazioni nel paramento'!$G$54,'Sollecitazioni nel paramento'!$G$53)</f>
        <v>-69074196.34889774</v>
      </c>
      <c r="I1233" s="472">
        <f>-'Foglio deposito bis'!$F$62*(C1233-sezione!$AP$31)*IF(ABS(O1233)&lt;'Sollecitazioni nel paramento'!$G$58,ABS(O1233)*'Sollecitazioni nel paramento'!$G$54,'Sollecitazioni nel paramento'!$G$53)</f>
        <v>-363.47214821415741</v>
      </c>
      <c r="J1233" s="472">
        <f t="shared" si="86"/>
        <v>-4567582456.3774967</v>
      </c>
      <c r="K1233" s="550">
        <f>'Sollecitazioni nel paramento'!$G$60*(sezione!$AL$31-C1233)/C1233</f>
        <v>-3.1865755138497606E-3</v>
      </c>
      <c r="L1233" s="550">
        <f>'Sollecitazioni nel paramento'!$G$60*(sezione!$AM$31-C1233)/C1233</f>
        <v>-3.0298632707746417E-3</v>
      </c>
      <c r="M1233" s="551">
        <f>'Sollecitazioni nel paramento'!$G$60*(sezione!$AN$31-C1233)/C1233</f>
        <v>-2.8731510276995219E-3</v>
      </c>
      <c r="N1233" s="551">
        <f>'Sollecitazioni nel paramento'!$G$60*(sezione!$AO$31-C1233)/C1233</f>
        <v>-2.2463020553990434E-3</v>
      </c>
      <c r="O1233" s="551">
        <f>'Sollecitazioni nel paramento'!$G$60*(sezione!$AP$31-C1233)/C1233</f>
        <v>-4.1461356347752624E-6</v>
      </c>
      <c r="P1233" s="545">
        <f>-'Sollecitazioni nel paramento'!$G$47*'Sollecitazioni nel paramento'!$G$41*IF(DATI!$G$211="dx",DATI!$E$61,DATI!$E$64*DATI!$E$63)*1000*C1233*sezione!$AD$5</f>
        <v>-17017113.326121438</v>
      </c>
      <c r="Q1233" s="545">
        <f>'Foglio deposito bis'!$F$58*IF(ABS(K1233)&lt;'Sollecitazioni nel paramento'!$G$58,ABS(K1233)*'Sollecitazioni nel paramento'!$G$54,'Sollecitazioni nel paramento'!$G$53)*IF(K1233&lt;0,-1,1)</f>
        <v>0</v>
      </c>
      <c r="R1233" s="545">
        <f>'Foglio deposito bis'!$F$59*IF(ABS(L1233)&lt;'Sollecitazioni nel paramento'!$G$58,ABS(L1233)*'Sollecitazioni nel paramento'!$G$54,'Sollecitazioni nel paramento'!$G$53)*IF(L1233&lt;0,-1,1)</f>
        <v>-153664.85805602249</v>
      </c>
      <c r="S1233" s="545">
        <f>'Foglio deposito bis'!$F$60*IF(ABS(M1233)&lt;'Sollecitazioni nel paramento'!$G$58,ABS(M1233)*'Sollecitazioni nel paramento'!$G$54,'Sollecitazioni nel paramento'!$G$53)*IF(M1233&lt;0,-1,1)</f>
        <v>0</v>
      </c>
      <c r="T1233" s="545">
        <f>'Foglio deposito bis'!$F$61*IF(ABS(N1233)&lt;'Sollecitazioni nel paramento'!$G$58,ABS(N1233)*'Sollecitazioni nel paramento'!$G$54,'Sollecitazioni nel paramento'!$G$53)*IF(N1233&lt;0,-1,1)</f>
        <v>-240946.49743184328</v>
      </c>
      <c r="U1233" s="545">
        <f>'Foglio deposito bis'!$F$62*IF(ABS(O1233)&lt;'Sollecitazioni nel paramento'!$G$58,ABS(O1233)*'Sollecitazioni nel paramento'!$G$54,'Sollecitazioni nel paramento'!$G$53)*IF(O1233&lt;0,-1,1)</f>
        <v>-686.91114642056823</v>
      </c>
      <c r="V1233" s="472">
        <f t="shared" si="88"/>
        <v>-17412411.592755727</v>
      </c>
      <c r="W1233" s="551"/>
      <c r="X1233" s="551"/>
    </row>
    <row r="1234" spans="1:24" x14ac:dyDescent="0.25">
      <c r="A1234" s="545">
        <f t="shared" si="87"/>
        <v>17671437.851773437</v>
      </c>
      <c r="B1234" s="3">
        <f t="shared" si="85"/>
        <v>68.899999999999949</v>
      </c>
      <c r="C1234" s="545">
        <f>'Foglio deposito bis'!$E$157/sezione!$B$247*B1234</f>
        <v>453.25704259751467</v>
      </c>
      <c r="D1234" s="603">
        <f>-'Sollecitazioni nel paramento'!$G$47*'Sollecitazioni nel paramento'!$G$41*IF(DATI!$G$211="dx",DATI!$E$61,DATI!$E$64*DATI!$E$63)*1000*C1234^2*sezione!$AD$5*(1-sezione!$AD$6)</f>
        <v>-4570805555.7675657</v>
      </c>
      <c r="E1234" s="545">
        <f>-'Foglio deposito bis'!$F$58*(C1234-sezione!$AL$31)*IF(ABS(K1234)&lt;'Sollecitazioni nel paramento'!$G$58,ABS(K1234)*'Sollecitazioni nel paramento'!$G$54,'Sollecitazioni nel paramento'!$G$53)</f>
        <v>0</v>
      </c>
      <c r="F1234" s="545">
        <f>-'Foglio deposito bis'!$F$59*(C1234-sezione!$AM$31)*IF(ABS(L1234)&lt;'Sollecitazioni nel paramento'!$G$58,ABS(L1234)*'Sollecitazioni nel paramento'!$G$54,'Sollecitazioni nel paramento'!$G$53)</f>
        <v>-60429787.630278289</v>
      </c>
      <c r="G1234" s="545">
        <f>-'Foglio deposito bis'!$F$60*(C1234-sezione!$AN$31)*IF(ABS(M1234)&lt;'Sollecitazioni nel paramento'!$G$58,ABS(M1234)*'Sollecitazioni nel paramento'!$G$54,'Sollecitazioni nel paramento'!$G$53)</f>
        <v>0</v>
      </c>
      <c r="H1234" s="545">
        <f>-'Foglio deposito bis'!$F$61*(C1234-sezione!$AO$31)*IF(ABS(N1234)&lt;'Sollecitazioni nel paramento'!$G$58,ABS(N1234)*'Sollecitazioni nel paramento'!$G$54,'Sollecitazioni nel paramento'!$G$53)</f>
        <v>-70659257.261092022</v>
      </c>
      <c r="I1234" s="472">
        <f>-'Foglio deposito bis'!$F$62*(C1234-sezione!$AP$31)*IF(ABS(O1234)&lt;'Sollecitazioni nel paramento'!$G$58,ABS(O1234)*'Sollecitazioni nel paramento'!$G$54,'Sollecitazioni nel paramento'!$G$53)</f>
        <v>-64629.163333740449</v>
      </c>
      <c r="J1234" s="472">
        <f t="shared" si="86"/>
        <v>-4701959229.8222704</v>
      </c>
      <c r="K1234" s="550">
        <f>'Sollecitazioni nel paramento'!$G$60*(sezione!$AL$31-C1234)/C1234</f>
        <v>-3.1911244904266876E-3</v>
      </c>
      <c r="L1234" s="550">
        <f>'Sollecitazioni nel paramento'!$G$60*(sezione!$AM$31-C1234)/C1234</f>
        <v>-3.0366867356400309E-3</v>
      </c>
      <c r="M1234" s="551">
        <f>'Sollecitazioni nel paramento'!$G$60*(sezione!$AN$31-C1234)/C1234</f>
        <v>-2.8822489808533751E-3</v>
      </c>
      <c r="N1234" s="551">
        <f>'Sollecitazioni nel paramento'!$G$60*(sezione!$AO$31-C1234)/C1234</f>
        <v>-2.2644979617067497E-3</v>
      </c>
      <c r="O1234" s="551">
        <f>'Sollecitazioni nel paramento'!$G$60*(sezione!$AP$31-C1234)/C1234</f>
        <v>-5.4884217846171479E-5</v>
      </c>
      <c r="P1234" s="545">
        <f>-'Sollecitazioni nel paramento'!$G$47*'Sollecitazioni nel paramento'!$G$41*IF(DATI!$G$211="dx",DATI!$E$61,DATI!$E$64*DATI!$E$63)*1000*C1234*sezione!$AD$5</f>
        <v>-17267733.551837515</v>
      </c>
      <c r="Q1234" s="545">
        <f>'Foglio deposito bis'!$F$58*IF(ABS(K1234)&lt;'Sollecitazioni nel paramento'!$G$58,ABS(K1234)*'Sollecitazioni nel paramento'!$G$54,'Sollecitazioni nel paramento'!$G$53)*IF(K1234&lt;0,-1,1)</f>
        <v>0</v>
      </c>
      <c r="R1234" s="545">
        <f>'Foglio deposito bis'!$F$59*IF(ABS(L1234)&lt;'Sollecitazioni nel paramento'!$G$58,ABS(L1234)*'Sollecitazioni nel paramento'!$G$54,'Sollecitazioni nel paramento'!$G$53)*IF(L1234&lt;0,-1,1)</f>
        <v>-153664.85805602249</v>
      </c>
      <c r="S1234" s="545">
        <f>'Foglio deposito bis'!$F$60*IF(ABS(M1234)&lt;'Sollecitazioni nel paramento'!$G$58,ABS(M1234)*'Sollecitazioni nel paramento'!$G$54,'Sollecitazioni nel paramento'!$G$53)*IF(M1234&lt;0,-1,1)</f>
        <v>0</v>
      </c>
      <c r="T1234" s="545">
        <f>'Foglio deposito bis'!$F$61*IF(ABS(N1234)&lt;'Sollecitazioni nel paramento'!$G$58,ABS(N1234)*'Sollecitazioni nel paramento'!$G$54,'Sollecitazioni nel paramento'!$G$53)*IF(N1234&lt;0,-1,1)</f>
        <v>-240946.49743184328</v>
      </c>
      <c r="U1234" s="545">
        <f>'Foglio deposito bis'!$F$62*IF(ABS(O1234)&lt;'Sollecitazioni nel paramento'!$G$58,ABS(O1234)*'Sollecitazioni nel paramento'!$G$54,'Sollecitazioni nel paramento'!$G$53)*IF(O1234&lt;0,-1,1)</f>
        <v>-9092.9444480543098</v>
      </c>
      <c r="V1234" s="472">
        <f t="shared" si="88"/>
        <v>-17671437.851773437</v>
      </c>
      <c r="W1234" s="551"/>
      <c r="X1234" s="551"/>
    </row>
    <row r="1235" spans="1:24" x14ac:dyDescent="0.25">
      <c r="A1235" s="545">
        <f t="shared" si="87"/>
        <v>17930223.594816849</v>
      </c>
      <c r="B1235" s="3">
        <f t="shared" si="85"/>
        <v>69.899999999999949</v>
      </c>
      <c r="C1235" s="545">
        <f>'Foglio deposito bis'!$E$157/sezione!$B$247*B1235</f>
        <v>459.83551926801562</v>
      </c>
      <c r="D1235" s="603">
        <f>-'Sollecitazioni nel paramento'!$G$47*'Sollecitazioni nel paramento'!$G$41*IF(DATI!$G$211="dx",DATI!$E$61,DATI!$E$64*DATI!$E$63)*1000*C1235^2*sezione!$AD$5*(1-sezione!$AD$6)</f>
        <v>-4704447802.7169409</v>
      </c>
      <c r="E1235" s="545">
        <f>-'Foglio deposito bis'!$F$58*(C1235-sezione!$AL$31)*IF(ABS(K1235)&lt;'Sollecitazioni nel paramento'!$G$58,ABS(K1235)*'Sollecitazioni nel paramento'!$G$54,'Sollecitazioni nel paramento'!$G$53)</f>
        <v>0</v>
      </c>
      <c r="F1235" s="545">
        <f>-'Foglio deposito bis'!$F$59*(C1235-sezione!$AM$31)*IF(ABS(L1235)&lt;'Sollecitazioni nel paramento'!$G$58,ABS(L1235)*'Sollecitazioni nel paramento'!$G$54,'Sollecitazioni nel paramento'!$G$53)</f>
        <v>-61440668.314075664</v>
      </c>
      <c r="G1235" s="545">
        <f>-'Foglio deposito bis'!$F$60*(C1235-sezione!$AN$31)*IF(ABS(M1235)&lt;'Sollecitazioni nel paramento'!$G$58,ABS(M1235)*'Sollecitazioni nel paramento'!$G$54,'Sollecitazioni nel paramento'!$G$53)</f>
        <v>0</v>
      </c>
      <c r="H1235" s="545">
        <f>-'Foglio deposito bis'!$F$61*(C1235-sezione!$AO$31)*IF(ABS(N1235)&lt;'Sollecitazioni nel paramento'!$G$58,ABS(N1235)*'Sollecitazioni nel paramento'!$G$54,'Sollecitazioni nel paramento'!$G$53)</f>
        <v>-72244318.173286319</v>
      </c>
      <c r="I1235" s="472">
        <f>-'Foglio deposito bis'!$F$62*(C1235-sezione!$AP$31)*IF(ABS(O1235)&lt;'Sollecitazioni nel paramento'!$G$58,ABS(O1235)*'Sollecitazioni nel paramento'!$G$54,'Sollecitazioni nel paramento'!$G$53)</f>
        <v>-236200.91838309166</v>
      </c>
      <c r="J1235" s="472">
        <f t="shared" si="86"/>
        <v>-4838368990.1226854</v>
      </c>
      <c r="K1235" s="550">
        <f>'Sollecitazioni nel paramento'!$G$60*(sezione!$AL$31-C1235)/C1235</f>
        <v>-3.1955433103061344E-3</v>
      </c>
      <c r="L1235" s="550">
        <f>'Sollecitazioni nel paramento'!$G$60*(sezione!$AM$31-C1235)/C1235</f>
        <v>-3.043314965459201E-3</v>
      </c>
      <c r="M1235" s="551">
        <f>'Sollecitazioni nel paramento'!$G$60*(sezione!$AN$31-C1235)/C1235</f>
        <v>-2.8910866206122679E-3</v>
      </c>
      <c r="N1235" s="551">
        <f>'Sollecitazioni nel paramento'!$G$60*(sezione!$AO$31-C1235)/C1235</f>
        <v>-2.2821732412245358E-3</v>
      </c>
      <c r="O1235" s="551">
        <f>'Sollecitazioni nel paramento'!$G$60*(sezione!$AP$31-C1235)/C1235</f>
        <v>-1.0417056666096166E-4</v>
      </c>
      <c r="P1235" s="545">
        <f>-'Sollecitazioni nel paramento'!$G$47*'Sollecitazioni nel paramento'!$G$41*IF(DATI!$G$211="dx",DATI!$E$61,DATI!$E$64*DATI!$E$63)*1000*C1235*sezione!$AD$5</f>
        <v>-17518353.777553588</v>
      </c>
      <c r="Q1235" s="545">
        <f>'Foglio deposito bis'!$F$58*IF(ABS(K1235)&lt;'Sollecitazioni nel paramento'!$G$58,ABS(K1235)*'Sollecitazioni nel paramento'!$G$54,'Sollecitazioni nel paramento'!$G$53)*IF(K1235&lt;0,-1,1)</f>
        <v>0</v>
      </c>
      <c r="R1235" s="545">
        <f>'Foglio deposito bis'!$F$59*IF(ABS(L1235)&lt;'Sollecitazioni nel paramento'!$G$58,ABS(L1235)*'Sollecitazioni nel paramento'!$G$54,'Sollecitazioni nel paramento'!$G$53)*IF(L1235&lt;0,-1,1)</f>
        <v>-153664.85805602249</v>
      </c>
      <c r="S1235" s="545">
        <f>'Foglio deposito bis'!$F$60*IF(ABS(M1235)&lt;'Sollecitazioni nel paramento'!$G$58,ABS(M1235)*'Sollecitazioni nel paramento'!$G$54,'Sollecitazioni nel paramento'!$G$53)*IF(M1235&lt;0,-1,1)</f>
        <v>0</v>
      </c>
      <c r="T1235" s="545">
        <f>'Foglio deposito bis'!$F$61*IF(ABS(N1235)&lt;'Sollecitazioni nel paramento'!$G$58,ABS(N1235)*'Sollecitazioni nel paramento'!$G$54,'Sollecitazioni nel paramento'!$G$53)*IF(N1235&lt;0,-1,1)</f>
        <v>-240946.49743184328</v>
      </c>
      <c r="U1235" s="545">
        <f>'Foglio deposito bis'!$F$62*IF(ABS(O1235)&lt;'Sollecitazioni nel paramento'!$G$58,ABS(O1235)*'Sollecitazioni nel paramento'!$G$54,'Sollecitazioni nel paramento'!$G$53)*IF(O1235&lt;0,-1,1)</f>
        <v>-17258.461775392454</v>
      </c>
      <c r="V1235" s="472">
        <f t="shared" si="88"/>
        <v>-17930223.594816849</v>
      </c>
      <c r="W1235" s="551"/>
      <c r="X1235" s="551"/>
    </row>
    <row r="1236" spans="1:24" x14ac:dyDescent="0.25">
      <c r="A1236" s="545">
        <f t="shared" si="87"/>
        <v>18188778.998866543</v>
      </c>
      <c r="B1236" s="3">
        <f t="shared" si="85"/>
        <v>70.899999999999949</v>
      </c>
      <c r="C1236" s="545">
        <f>'Foglio deposito bis'!$E$157/sezione!$B$247*B1236</f>
        <v>466.41399593851656</v>
      </c>
      <c r="D1236" s="603">
        <f>-'Sollecitazioni nel paramento'!$G$47*'Sollecitazioni nel paramento'!$G$41*IF(DATI!$G$211="dx",DATI!$E$61,DATI!$E$64*DATI!$E$63)*1000*C1236^2*sezione!$AD$5*(1-sezione!$AD$6)</f>
        <v>-4840015730.4580927</v>
      </c>
      <c r="E1236" s="545">
        <f>-'Foglio deposito bis'!$F$58*(C1236-sezione!$AL$31)*IF(ABS(K1236)&lt;'Sollecitazioni nel paramento'!$G$58,ABS(K1236)*'Sollecitazioni nel paramento'!$G$54,'Sollecitazioni nel paramento'!$G$53)</f>
        <v>0</v>
      </c>
      <c r="F1236" s="545">
        <f>-'Foglio deposito bis'!$F$59*(C1236-sezione!$AM$31)*IF(ABS(L1236)&lt;'Sollecitazioni nel paramento'!$G$58,ABS(L1236)*'Sollecitazioni nel paramento'!$G$54,'Sollecitazioni nel paramento'!$G$53)</f>
        <v>-62451548.997873053</v>
      </c>
      <c r="G1236" s="545">
        <f>-'Foglio deposito bis'!$F$60*(C1236-sezione!$AN$31)*IF(ABS(M1236)&lt;'Sollecitazioni nel paramento'!$G$58,ABS(M1236)*'Sollecitazioni nel paramento'!$G$54,'Sollecitazioni nel paramento'!$G$53)</f>
        <v>0</v>
      </c>
      <c r="H1236" s="545">
        <f>-'Foglio deposito bis'!$F$61*(C1236-sezione!$AO$31)*IF(ABS(N1236)&lt;'Sollecitazioni nel paramento'!$G$58,ABS(N1236)*'Sollecitazioni nel paramento'!$G$54,'Sollecitazioni nel paramento'!$G$53)</f>
        <v>-73829379.085480615</v>
      </c>
      <c r="I1236" s="472">
        <f>-'Foglio deposito bis'!$F$62*(C1236-sezione!$AP$31)*IF(ABS(O1236)&lt;'Sollecitazioni nel paramento'!$G$58,ABS(O1236)*'Sollecitazioni nel paramento'!$G$54,'Sollecitazioni nel paramento'!$G$53)</f>
        <v>-510538.28325407486</v>
      </c>
      <c r="J1236" s="472">
        <f t="shared" si="86"/>
        <v>-4976807196.8247004</v>
      </c>
      <c r="K1236" s="550">
        <f>'Sollecitazioni nel paramento'!$G$60*(sezione!$AL$31-C1236)/C1236</f>
        <v>-3.1998374808236778E-3</v>
      </c>
      <c r="L1236" s="550">
        <f>'Sollecitazioni nel paramento'!$G$60*(sezione!$AM$31-C1236)/C1236</f>
        <v>-3.0497562212355167E-3</v>
      </c>
      <c r="M1236" s="551">
        <f>'Sollecitazioni nel paramento'!$G$60*(sezione!$AN$31-C1236)/C1236</f>
        <v>-2.899674961647356E-3</v>
      </c>
      <c r="N1236" s="551">
        <f>'Sollecitazioni nel paramento'!$G$60*(sezione!$AO$31-C1236)/C1236</f>
        <v>-2.299349923294712E-3</v>
      </c>
      <c r="O1236" s="551">
        <f>'Sollecitazioni nel paramento'!$G$60*(sezione!$AP$31-C1236)/C1236</f>
        <v>-1.5206660944430499E-4</v>
      </c>
      <c r="P1236" s="545">
        <f>-'Sollecitazioni nel paramento'!$G$47*'Sollecitazioni nel paramento'!$G$41*IF(DATI!$G$211="dx",DATI!$E$61,DATI!$E$64*DATI!$E$63)*1000*C1236*sezione!$AD$5</f>
        <v>-17768974.003269665</v>
      </c>
      <c r="Q1236" s="545">
        <f>'Foglio deposito bis'!$F$58*IF(ABS(K1236)&lt;'Sollecitazioni nel paramento'!$G$58,ABS(K1236)*'Sollecitazioni nel paramento'!$G$54,'Sollecitazioni nel paramento'!$G$53)*IF(K1236&lt;0,-1,1)</f>
        <v>0</v>
      </c>
      <c r="R1236" s="545">
        <f>'Foglio deposito bis'!$F$59*IF(ABS(L1236)&lt;'Sollecitazioni nel paramento'!$G$58,ABS(L1236)*'Sollecitazioni nel paramento'!$G$54,'Sollecitazioni nel paramento'!$G$53)*IF(L1236&lt;0,-1,1)</f>
        <v>-153664.85805602249</v>
      </c>
      <c r="S1236" s="545">
        <f>'Foglio deposito bis'!$F$60*IF(ABS(M1236)&lt;'Sollecitazioni nel paramento'!$G$58,ABS(M1236)*'Sollecitazioni nel paramento'!$G$54,'Sollecitazioni nel paramento'!$G$53)*IF(M1236&lt;0,-1,1)</f>
        <v>0</v>
      </c>
      <c r="T1236" s="545">
        <f>'Foglio deposito bis'!$F$61*IF(ABS(N1236)&lt;'Sollecitazioni nel paramento'!$G$58,ABS(N1236)*'Sollecitazioni nel paramento'!$G$54,'Sollecitazioni nel paramento'!$G$53)*IF(N1236&lt;0,-1,1)</f>
        <v>-240946.49743184328</v>
      </c>
      <c r="U1236" s="545">
        <f>'Foglio deposito bis'!$F$62*IF(ABS(O1236)&lt;'Sollecitazioni nel paramento'!$G$58,ABS(O1236)*'Sollecitazioni nel paramento'!$G$54,'Sollecitazioni nel paramento'!$G$53)*IF(O1236&lt;0,-1,1)</f>
        <v>-25193.640109011605</v>
      </c>
      <c r="V1236" s="472">
        <f t="shared" si="88"/>
        <v>-18188778.998866543</v>
      </c>
      <c r="W1236" s="551"/>
      <c r="X1236" s="551"/>
    </row>
    <row r="1237" spans="1:24" x14ac:dyDescent="0.25">
      <c r="A1237" s="545">
        <f t="shared" si="87"/>
        <v>18447113.67472893</v>
      </c>
      <c r="B1237" s="3">
        <f t="shared" si="85"/>
        <v>71.899999999999949</v>
      </c>
      <c r="C1237" s="545">
        <f>'Foglio deposito bis'!$E$157/sezione!$B$247*B1237</f>
        <v>472.99247260901751</v>
      </c>
      <c r="D1237" s="603">
        <f>-'Sollecitazioni nel paramento'!$G$47*'Sollecitazioni nel paramento'!$G$41*IF(DATI!$G$211="dx",DATI!$E$61,DATI!$E$64*DATI!$E$63)*1000*C1237^2*sezione!$AD$5*(1-sezione!$AD$6)</f>
        <v>-4977509338.9910221</v>
      </c>
      <c r="E1237" s="545">
        <f>-'Foglio deposito bis'!$F$58*(C1237-sezione!$AL$31)*IF(ABS(K1237)&lt;'Sollecitazioni nel paramento'!$G$58,ABS(K1237)*'Sollecitazioni nel paramento'!$G$54,'Sollecitazioni nel paramento'!$G$53)</f>
        <v>0</v>
      </c>
      <c r="F1237" s="545">
        <f>-'Foglio deposito bis'!$F$59*(C1237-sezione!$AM$31)*IF(ABS(L1237)&lt;'Sollecitazioni nel paramento'!$G$58,ABS(L1237)*'Sollecitazioni nel paramento'!$G$54,'Sollecitazioni nel paramento'!$G$53)</f>
        <v>-63462429.681670435</v>
      </c>
      <c r="G1237" s="545">
        <f>-'Foglio deposito bis'!$F$60*(C1237-sezione!$AN$31)*IF(ABS(M1237)&lt;'Sollecitazioni nel paramento'!$G$58,ABS(M1237)*'Sollecitazioni nel paramento'!$G$54,'Sollecitazioni nel paramento'!$G$53)</f>
        <v>0</v>
      </c>
      <c r="H1237" s="545">
        <f>-'Foglio deposito bis'!$F$61*(C1237-sezione!$AO$31)*IF(ABS(N1237)&lt;'Sollecitazioni nel paramento'!$G$58,ABS(N1237)*'Sollecitazioni nel paramento'!$G$54,'Sollecitazioni nel paramento'!$G$53)</f>
        <v>-75414439.997674912</v>
      </c>
      <c r="I1237" s="472">
        <f>-'Foglio deposito bis'!$F$62*(C1237-sezione!$AP$31)*IF(ABS(O1237)&lt;'Sollecitazioni nel paramento'!$G$58,ABS(O1237)*'Sollecitazioni nel paramento'!$G$54,'Sollecitazioni nel paramento'!$G$53)</f>
        <v>-883353.402182227</v>
      </c>
      <c r="J1237" s="472">
        <f t="shared" si="86"/>
        <v>-5117269562.0725498</v>
      </c>
      <c r="K1237" s="550">
        <f>'Sollecitazioni nel paramento'!$G$60*(sezione!$AL$31-C1237)/C1237</f>
        <v>-3.2040122029262695E-3</v>
      </c>
      <c r="L1237" s="550">
        <f>'Sollecitazioni nel paramento'!$G$60*(sezione!$AM$31-C1237)/C1237</f>
        <v>-3.0560183043894041E-3</v>
      </c>
      <c r="M1237" s="551">
        <f>'Sollecitazioni nel paramento'!$G$60*(sezione!$AN$31-C1237)/C1237</f>
        <v>-2.9080244058525386E-3</v>
      </c>
      <c r="N1237" s="551">
        <f>'Sollecitazioni nel paramento'!$G$60*(sezione!$AO$31-C1237)/C1237</f>
        <v>-2.3160488117050771E-3</v>
      </c>
      <c r="O1237" s="551">
        <f>'Sollecitazioni nel paramento'!$G$60*(sezione!$AP$31-C1237)/C1237</f>
        <v>-1.9863035618360541E-4</v>
      </c>
      <c r="P1237" s="545">
        <f>-'Sollecitazioni nel paramento'!$G$47*'Sollecitazioni nel paramento'!$G$41*IF(DATI!$G$211="dx",DATI!$E$61,DATI!$E$64*DATI!$E$63)*1000*C1237*sezione!$AD$5</f>
        <v>-18019594.228985738</v>
      </c>
      <c r="Q1237" s="545">
        <f>'Foglio deposito bis'!$F$58*IF(ABS(K1237)&lt;'Sollecitazioni nel paramento'!$G$58,ABS(K1237)*'Sollecitazioni nel paramento'!$G$54,'Sollecitazioni nel paramento'!$G$53)*IF(K1237&lt;0,-1,1)</f>
        <v>0</v>
      </c>
      <c r="R1237" s="545">
        <f>'Foglio deposito bis'!$F$59*IF(ABS(L1237)&lt;'Sollecitazioni nel paramento'!$G$58,ABS(L1237)*'Sollecitazioni nel paramento'!$G$54,'Sollecitazioni nel paramento'!$G$53)*IF(L1237&lt;0,-1,1)</f>
        <v>-153664.85805602249</v>
      </c>
      <c r="S1237" s="545">
        <f>'Foglio deposito bis'!$F$60*IF(ABS(M1237)&lt;'Sollecitazioni nel paramento'!$G$58,ABS(M1237)*'Sollecitazioni nel paramento'!$G$54,'Sollecitazioni nel paramento'!$G$53)*IF(M1237&lt;0,-1,1)</f>
        <v>0</v>
      </c>
      <c r="T1237" s="545">
        <f>'Foglio deposito bis'!$F$61*IF(ABS(N1237)&lt;'Sollecitazioni nel paramento'!$G$58,ABS(N1237)*'Sollecitazioni nel paramento'!$G$54,'Sollecitazioni nel paramento'!$G$53)*IF(N1237&lt;0,-1,1)</f>
        <v>-240946.49743184328</v>
      </c>
      <c r="U1237" s="545">
        <f>'Foglio deposito bis'!$F$62*IF(ABS(O1237)&lt;'Sollecitazioni nel paramento'!$G$58,ABS(O1237)*'Sollecitazioni nel paramento'!$G$54,'Sollecitazioni nel paramento'!$G$53)*IF(O1237&lt;0,-1,1)</f>
        <v>-32908.090255325638</v>
      </c>
      <c r="V1237" s="472">
        <f t="shared" si="88"/>
        <v>-18447113.67472893</v>
      </c>
      <c r="W1237" s="551"/>
      <c r="X1237" s="551"/>
    </row>
    <row r="1238" spans="1:24" x14ac:dyDescent="0.25">
      <c r="A1238" s="545">
        <f t="shared" si="87"/>
        <v>18705236.705868512</v>
      </c>
      <c r="B1238" s="3">
        <f t="shared" si="85"/>
        <v>72.899999999999949</v>
      </c>
      <c r="C1238" s="545">
        <f>'Foglio deposito bis'!$E$157/sezione!$B$247*B1238</f>
        <v>479.57094927951846</v>
      </c>
      <c r="D1238" s="603">
        <f>-'Sollecitazioni nel paramento'!$G$47*'Sollecitazioni nel paramento'!$G$41*IF(DATI!$G$211="dx",DATI!$E$61,DATI!$E$64*DATI!$E$63)*1000*C1238^2*sezione!$AD$5*(1-sezione!$AD$6)</f>
        <v>-5116928628.3157301</v>
      </c>
      <c r="E1238" s="545">
        <f>-'Foglio deposito bis'!$F$58*(C1238-sezione!$AL$31)*IF(ABS(K1238)&lt;'Sollecitazioni nel paramento'!$G$58,ABS(K1238)*'Sollecitazioni nel paramento'!$G$54,'Sollecitazioni nel paramento'!$G$53)</f>
        <v>0</v>
      </c>
      <c r="F1238" s="545">
        <f>-'Foglio deposito bis'!$F$59*(C1238-sezione!$AM$31)*IF(ABS(L1238)&lt;'Sollecitazioni nel paramento'!$G$58,ABS(L1238)*'Sollecitazioni nel paramento'!$G$54,'Sollecitazioni nel paramento'!$G$53)</f>
        <v>-64473310.365467824</v>
      </c>
      <c r="G1238" s="545">
        <f>-'Foglio deposito bis'!$F$60*(C1238-sezione!$AN$31)*IF(ABS(M1238)&lt;'Sollecitazioni nel paramento'!$G$58,ABS(M1238)*'Sollecitazioni nel paramento'!$G$54,'Sollecitazioni nel paramento'!$G$53)</f>
        <v>0</v>
      </c>
      <c r="H1238" s="545">
        <f>-'Foglio deposito bis'!$F$61*(C1238-sezione!$AO$31)*IF(ABS(N1238)&lt;'Sollecitazioni nel paramento'!$G$58,ABS(N1238)*'Sollecitazioni nel paramento'!$G$54,'Sollecitazioni nel paramento'!$G$53)</f>
        <v>-76999500.909869209</v>
      </c>
      <c r="I1238" s="472">
        <f>-'Foglio deposito bis'!$F$62*(C1238-sezione!$AP$31)*IF(ABS(O1238)&lt;'Sollecitazioni nel paramento'!$G$58,ABS(O1238)*'Sollecitazioni nel paramento'!$G$54,'Sollecitazioni nel paramento'!$G$53)</f>
        <v>-1350593.6926960594</v>
      </c>
      <c r="J1238" s="472">
        <f t="shared" si="86"/>
        <v>-5259752033.2837629</v>
      </c>
      <c r="K1238" s="550">
        <f>'Sollecitazioni nel paramento'!$G$60*(sezione!$AL$31-C1238)/C1238</f>
        <v>-3.2080723921865399E-3</v>
      </c>
      <c r="L1238" s="550">
        <f>'Sollecitazioni nel paramento'!$G$60*(sezione!$AM$31-C1238)/C1238</f>
        <v>-3.0621085882798099E-3</v>
      </c>
      <c r="M1238" s="551">
        <f>'Sollecitazioni nel paramento'!$G$60*(sezione!$AN$31-C1238)/C1238</f>
        <v>-2.9161447843730802E-3</v>
      </c>
      <c r="N1238" s="551">
        <f>'Sollecitazioni nel paramento'!$G$60*(sezione!$AO$31-C1238)/C1238</f>
        <v>-2.33228956874616E-3</v>
      </c>
      <c r="O1238" s="551">
        <f>'Sollecitazioni nel paramento'!$G$60*(sezione!$AP$31-C1238)/C1238</f>
        <v>-2.439166338765601E-4</v>
      </c>
      <c r="P1238" s="545">
        <f>-'Sollecitazioni nel paramento'!$G$47*'Sollecitazioni nel paramento'!$G$41*IF(DATI!$G$211="dx",DATI!$E$61,DATI!$E$64*DATI!$E$63)*1000*C1238*sezione!$AD$5</f>
        <v>-18270214.454701811</v>
      </c>
      <c r="Q1238" s="545">
        <f>'Foglio deposito bis'!$F$58*IF(ABS(K1238)&lt;'Sollecitazioni nel paramento'!$G$58,ABS(K1238)*'Sollecitazioni nel paramento'!$G$54,'Sollecitazioni nel paramento'!$G$53)*IF(K1238&lt;0,-1,1)</f>
        <v>0</v>
      </c>
      <c r="R1238" s="545">
        <f>'Foglio deposito bis'!$F$59*IF(ABS(L1238)&lt;'Sollecitazioni nel paramento'!$G$58,ABS(L1238)*'Sollecitazioni nel paramento'!$G$54,'Sollecitazioni nel paramento'!$G$53)*IF(L1238&lt;0,-1,1)</f>
        <v>-153664.85805602249</v>
      </c>
      <c r="S1238" s="545">
        <f>'Foglio deposito bis'!$F$60*IF(ABS(M1238)&lt;'Sollecitazioni nel paramento'!$G$58,ABS(M1238)*'Sollecitazioni nel paramento'!$G$54,'Sollecitazioni nel paramento'!$G$53)*IF(M1238&lt;0,-1,1)</f>
        <v>0</v>
      </c>
      <c r="T1238" s="545">
        <f>'Foglio deposito bis'!$F$61*IF(ABS(N1238)&lt;'Sollecitazioni nel paramento'!$G$58,ABS(N1238)*'Sollecitazioni nel paramento'!$G$54,'Sollecitazioni nel paramento'!$G$53)*IF(N1238&lt;0,-1,1)</f>
        <v>-240946.49743184328</v>
      </c>
      <c r="U1238" s="545">
        <f>'Foglio deposito bis'!$F$62*IF(ABS(O1238)&lt;'Sollecitazioni nel paramento'!$G$58,ABS(O1238)*'Sollecitazioni nel paramento'!$G$54,'Sollecitazioni nel paramento'!$G$53)*IF(O1238&lt;0,-1,1)</f>
        <v>-40410.89567883269</v>
      </c>
      <c r="V1238" s="472">
        <f t="shared" si="88"/>
        <v>-18705236.705868512</v>
      </c>
      <c r="W1238" s="551"/>
      <c r="X1238" s="551"/>
    </row>
    <row r="1239" spans="1:24" x14ac:dyDescent="0.25">
      <c r="A1239" s="545">
        <f t="shared" si="87"/>
        <v>18963156.684087299</v>
      </c>
      <c r="B1239" s="3">
        <f t="shared" si="85"/>
        <v>73.899999999999949</v>
      </c>
      <c r="C1239" s="545">
        <f>'Foglio deposito bis'!$E$157/sezione!$B$247*B1239</f>
        <v>486.14942595001941</v>
      </c>
      <c r="D1239" s="31">
        <f>-'Sollecitazioni nel paramento'!$G$47*'Sollecitazioni nel paramento'!$G$41*IF(DATI!$G$211="dx",DATI!$E$61,DATI!$E$64*DATI!$E$63)*1000*C1239^2*sezione!$AD$5*(1-sezione!$AD$6)</f>
        <v>-5258273598.4322147</v>
      </c>
      <c r="E1239" s="545">
        <f>-'Foglio deposito bis'!$F$58*(C1239-sezione!$AL$31)*IF(ABS(K1239)&lt;'Sollecitazioni nel paramento'!$G$58,ABS(K1239)*'Sollecitazioni nel paramento'!$G$54,'Sollecitazioni nel paramento'!$G$53)</f>
        <v>0</v>
      </c>
      <c r="F1239" s="545">
        <f>-'Foglio deposito bis'!$F$59*(C1239-sezione!$AM$31)*IF(ABS(L1239)&lt;'Sollecitazioni nel paramento'!$G$58,ABS(L1239)*'Sollecitazioni nel paramento'!$G$54,'Sollecitazioni nel paramento'!$G$53)</f>
        <v>-65484191.049265198</v>
      </c>
      <c r="G1239" s="545">
        <f>-'Foglio deposito bis'!$F$60*(C1239-sezione!$AN$31)*IF(ABS(M1239)&lt;'Sollecitazioni nel paramento'!$G$58,ABS(M1239)*'Sollecitazioni nel paramento'!$G$54,'Sollecitazioni nel paramento'!$G$53)</f>
        <v>0</v>
      </c>
      <c r="H1239" s="545">
        <f>-'Foglio deposito bis'!$F$61*(C1239-sezione!$AO$31)*IF(ABS(N1239)&lt;'Sollecitazioni nel paramento'!$G$58,ABS(N1239)*'Sollecitazioni nel paramento'!$G$54,'Sollecitazioni nel paramento'!$G$53)</f>
        <v>-78584561.822063506</v>
      </c>
      <c r="I1239" s="472">
        <f>-'Foglio deposito bis'!$F$62*(C1239-sezione!$AP$31)*IF(ABS(O1239)&lt;'Sollecitazioni nel paramento'!$G$58,ABS(O1239)*'Sollecitazioni nel paramento'!$G$54,'Sollecitazioni nel paramento'!$G$53)</f>
        <v>-1908425.9272616475</v>
      </c>
      <c r="J1239" s="472">
        <f t="shared" si="86"/>
        <v>-5404250777.2308044</v>
      </c>
      <c r="K1239" s="550">
        <f>'Sollecitazioni nel paramento'!$G$60*(sezione!$AL$31-C1239)/C1239</f>
        <v>-3.2120226981109438E-3</v>
      </c>
      <c r="L1239" s="550">
        <f>'Sollecitazioni nel paramento'!$G$60*(sezione!$AM$31-C1239)/C1239</f>
        <v>-3.068034047166416E-3</v>
      </c>
      <c r="M1239" s="551">
        <f>'Sollecitazioni nel paramento'!$G$60*(sezione!$AN$31-C1239)/C1239</f>
        <v>-2.9240453962218883E-3</v>
      </c>
      <c r="N1239" s="551">
        <f>'Sollecitazioni nel paramento'!$G$60*(sezione!$AO$31-C1239)/C1239</f>
        <v>-2.3480907924437761E-3</v>
      </c>
      <c r="O1239" s="551">
        <f>'Sollecitazioni nel paramento'!$G$60*(sezione!$AP$31-C1239)/C1239</f>
        <v>-2.8797730188905599E-4</v>
      </c>
      <c r="P1239" s="545">
        <f>-'Sollecitazioni nel paramento'!$G$47*'Sollecitazioni nel paramento'!$G$41*IF(DATI!$G$211="dx",DATI!$E$61,DATI!$E$64*DATI!$E$63)*1000*C1239*sezione!$AD$5</f>
        <v>-18520834.680417888</v>
      </c>
      <c r="Q1239" s="545">
        <f>'Foglio deposito bis'!$F$58*IF(ABS(K1239)&lt;'Sollecitazioni nel paramento'!$G$58,ABS(K1239)*'Sollecitazioni nel paramento'!$G$54,'Sollecitazioni nel paramento'!$G$53)*IF(K1239&lt;0,-1,1)</f>
        <v>0</v>
      </c>
      <c r="R1239" s="545">
        <f>'Foglio deposito bis'!$F$59*IF(ABS(L1239)&lt;'Sollecitazioni nel paramento'!$G$58,ABS(L1239)*'Sollecitazioni nel paramento'!$G$54,'Sollecitazioni nel paramento'!$G$53)*IF(L1239&lt;0,-1,1)</f>
        <v>-153664.85805602249</v>
      </c>
      <c r="S1239" s="545">
        <f>'Foglio deposito bis'!$F$60*IF(ABS(M1239)&lt;'Sollecitazioni nel paramento'!$G$58,ABS(M1239)*'Sollecitazioni nel paramento'!$G$54,'Sollecitazioni nel paramento'!$G$53)*IF(M1239&lt;0,-1,1)</f>
        <v>0</v>
      </c>
      <c r="T1239" s="545">
        <f>'Foglio deposito bis'!$F$61*IF(ABS(N1239)&lt;'Sollecitazioni nel paramento'!$G$58,ABS(N1239)*'Sollecitazioni nel paramento'!$G$54,'Sollecitazioni nel paramento'!$G$53)*IF(N1239&lt;0,-1,1)</f>
        <v>-240946.49743184328</v>
      </c>
      <c r="U1239" s="545">
        <f>'Foglio deposito bis'!$F$62*IF(ABS(O1239)&lt;'Sollecitazioni nel paramento'!$G$58,ABS(O1239)*'Sollecitazioni nel paramento'!$G$54,'Sollecitazioni nel paramento'!$G$53)*IF(O1239&lt;0,-1,1)</f>
        <v>-47710.64818154119</v>
      </c>
      <c r="V1239" s="472">
        <f t="shared" si="88"/>
        <v>-18963156.684087299</v>
      </c>
      <c r="W1239" s="551"/>
      <c r="X1239" s="551"/>
    </row>
    <row r="1240" spans="1:24" x14ac:dyDescent="0.25">
      <c r="P1240" s="545"/>
      <c r="Q1240" s="545"/>
      <c r="R1240" s="545"/>
      <c r="S1240" s="545"/>
      <c r="T1240" s="545"/>
      <c r="U1240" s="545"/>
      <c r="V1240" s="472"/>
    </row>
    <row r="1241" spans="1:24" x14ac:dyDescent="0.25">
      <c r="P1241" s="545"/>
      <c r="Q1241" s="545"/>
      <c r="R1241" s="545"/>
      <c r="S1241" s="545"/>
      <c r="T1241" s="545"/>
      <c r="U1241" s="545"/>
      <c r="V1241" s="472"/>
    </row>
    <row r="1242" spans="1:24" ht="15.75" x14ac:dyDescent="0.25">
      <c r="A1242" s="1035" t="s">
        <v>953</v>
      </c>
      <c r="B1242" s="1036"/>
      <c r="C1242" s="1036"/>
      <c r="D1242" s="1036"/>
      <c r="E1242" s="1036"/>
      <c r="F1242" s="1036"/>
      <c r="G1242" s="1036"/>
      <c r="H1242" s="1036"/>
      <c r="I1242" s="1036"/>
      <c r="J1242" s="1036"/>
      <c r="K1242" s="1036"/>
      <c r="L1242" s="1036"/>
      <c r="M1242" s="1036"/>
      <c r="N1242" s="1036"/>
      <c r="O1242" s="1037"/>
      <c r="P1242" s="545"/>
      <c r="Q1242" s="545"/>
      <c r="R1242" s="545"/>
      <c r="S1242" s="545"/>
      <c r="T1242" s="545"/>
      <c r="U1242" s="545"/>
      <c r="V1242" s="472"/>
      <c r="W1242" s="605"/>
      <c r="X1242" s="605"/>
    </row>
    <row r="1243" spans="1:24" x14ac:dyDescent="0.25">
      <c r="A1243" s="533">
        <v>1</v>
      </c>
      <c r="B1243" s="533">
        <v>2</v>
      </c>
      <c r="C1243" s="533">
        <v>3</v>
      </c>
      <c r="D1243" s="533">
        <v>4</v>
      </c>
      <c r="E1243" s="533">
        <v>5</v>
      </c>
      <c r="F1243" s="533">
        <v>6</v>
      </c>
      <c r="G1243" s="533">
        <v>7</v>
      </c>
      <c r="H1243" s="533">
        <v>8</v>
      </c>
      <c r="I1243" s="533">
        <v>9</v>
      </c>
      <c r="J1243" s="533">
        <v>10</v>
      </c>
      <c r="K1243" s="533">
        <v>11</v>
      </c>
      <c r="L1243" s="533">
        <v>12</v>
      </c>
      <c r="M1243" s="533">
        <v>13</v>
      </c>
      <c r="N1243" s="533">
        <v>14</v>
      </c>
      <c r="O1243" s="533">
        <v>15</v>
      </c>
      <c r="P1243" s="598">
        <v>4</v>
      </c>
      <c r="Q1243" s="598">
        <v>5</v>
      </c>
      <c r="R1243" s="598">
        <v>6</v>
      </c>
      <c r="S1243" s="598">
        <v>7</v>
      </c>
      <c r="T1243" s="598">
        <v>8</v>
      </c>
      <c r="U1243" s="598">
        <v>9</v>
      </c>
      <c r="V1243" s="598">
        <v>10</v>
      </c>
      <c r="W1243" s="46"/>
      <c r="X1243" s="46"/>
    </row>
    <row r="1244" spans="1:24" x14ac:dyDescent="0.25">
      <c r="A1244" s="553" t="s">
        <v>930</v>
      </c>
      <c r="B1244" s="80" t="s">
        <v>918</v>
      </c>
      <c r="C1244" s="533" t="s">
        <v>137</v>
      </c>
      <c r="D1244" s="533" t="s">
        <v>912</v>
      </c>
      <c r="E1244" s="533" t="s">
        <v>913</v>
      </c>
      <c r="F1244" s="533" t="s">
        <v>914</v>
      </c>
      <c r="G1244" s="533" t="s">
        <v>915</v>
      </c>
      <c r="H1244" s="533" t="s">
        <v>916</v>
      </c>
      <c r="I1244" s="533" t="s">
        <v>917</v>
      </c>
      <c r="J1244" s="554" t="s">
        <v>911</v>
      </c>
      <c r="K1244" s="553" t="s">
        <v>924</v>
      </c>
      <c r="L1244" s="553" t="s">
        <v>925</v>
      </c>
      <c r="M1244" s="553" t="s">
        <v>926</v>
      </c>
      <c r="N1244" s="553" t="s">
        <v>927</v>
      </c>
      <c r="O1244" s="553" t="s">
        <v>928</v>
      </c>
      <c r="P1244" s="598" t="s">
        <v>296</v>
      </c>
      <c r="Q1244" s="598" t="s">
        <v>969</v>
      </c>
      <c r="R1244" s="598" t="s">
        <v>970</v>
      </c>
      <c r="S1244" s="598" t="s">
        <v>971</v>
      </c>
      <c r="T1244" s="598" t="s">
        <v>972</v>
      </c>
      <c r="U1244" s="598" t="s">
        <v>973</v>
      </c>
      <c r="V1244" s="599" t="s">
        <v>1022</v>
      </c>
      <c r="W1244" s="57"/>
      <c r="X1244" s="57"/>
    </row>
    <row r="1245" spans="1:24" x14ac:dyDescent="0.25">
      <c r="A1245" s="545">
        <f>ABS(V1245)</f>
        <v>959717.06313402858</v>
      </c>
      <c r="B1245" s="3">
        <v>0</v>
      </c>
      <c r="C1245" s="41">
        <v>0.01</v>
      </c>
      <c r="D1245" s="603">
        <f>-'Sollecitazioni nel paramento'!$G$47*'Sollecitazioni nel paramento'!$G$41*IF(DATI!$G$211="dx",DATI!$E$61,DATI!$E$64*DATI!$E$63)*1000*C1245^2*sezione!$AD$5*(1-sezione!$AD$6)</f>
        <v>-2.2248647999999998</v>
      </c>
      <c r="E1245" s="545">
        <f>-'Foglio deposito bis'!$F$68*(C1245-sezione!$AL$32)*IF(ABS(K1245)&lt;'Sollecitazioni nel paramento'!$G$58,ABS(K1245)*'Sollecitazioni nel paramento'!$G$54,'Sollecitazioni nel paramento'!$G$53)</f>
        <v>0</v>
      </c>
      <c r="F1245" s="545">
        <f>-'Foglio deposito bis'!$F$69*(C1245-sezione!$AM$32)*IF(ABS(L1245)&lt;'Sollecitazioni nel paramento'!$G$58,ABS(L1245)*'Sollecitazioni nel paramento'!$G$54,'Sollecitazioni nel paramento'!$G$53)</f>
        <v>9218354.8347807899</v>
      </c>
      <c r="G1245" s="545">
        <f>-'Foglio deposito bis'!$F$70*(C1245-sezione!$AN$32)*IF(ABS(M1245)&lt;'Sollecitazioni nel paramento'!$G$58,ABS(M1245)*'Sollecitazioni nel paramento'!$G$54,'Sollecitazioni nel paramento'!$G$53)</f>
        <v>0</v>
      </c>
      <c r="H1245" s="545">
        <f>-'Foglio deposito bis'!$F$71*(C1245-sezione!$AO$32)*IF(ABS(N1245)&lt;'Sollecitazioni nel paramento'!$G$58,ABS(N1245)*'Sollecitazioni nel paramento'!$G$54,'Sollecitazioni nel paramento'!$G$53)</f>
        <v>50349753.631504469</v>
      </c>
      <c r="I1245" s="472">
        <f>-'Foglio deposito bis'!$F$72*(C1245-sezione!$AP$32)*IF(ABS(O1245)&lt;'Sollecitazioni nel paramento'!$G$58,ABS(O1245)*'Sollecitazioni nel paramento'!$G$54,'Sollecitazioni nel paramento'!$G$53)</f>
        <v>250276110.97109178</v>
      </c>
      <c r="J1245" s="472">
        <f t="shared" ref="J1245:J1308" si="89">D1245+E1245+F1245+G1245+H1245+I1245</f>
        <v>309844217.21251225</v>
      </c>
      <c r="K1245" s="550">
        <f>'Sollecitazioni nel paramento'!$G$60*(sezione!$AL$32-C1245)/C1245</f>
        <v>13.996500000000001</v>
      </c>
      <c r="L1245" s="550">
        <f>'Sollecitazioni nel paramento'!$G$60*(sezione!$AM$32-C1245)/C1245</f>
        <v>20.996500000000001</v>
      </c>
      <c r="M1245" s="551">
        <f>'Sollecitazioni nel paramento'!$G$60*(sezione!$AN$32-C1245)/C1245</f>
        <v>27.996499999999997</v>
      </c>
      <c r="N1245" s="551">
        <f>'Sollecitazioni nel paramento'!$G$60*(sezione!$AO$32-C1245)/C1245</f>
        <v>55.996500000000005</v>
      </c>
      <c r="O1245" s="551">
        <f>'Sollecitazioni nel paramento'!$G$60*(sezione!$AP$32-C1245)/C1245</f>
        <v>178.14059755603509</v>
      </c>
      <c r="P1245" s="545">
        <f>-'Sollecitazioni nel paramento'!$G$47*'Sollecitazioni nel paramento'!$G$41*IF(DATI!$G$211="dx",DATI!$E$61,DATI!$E$64*DATI!$E$63)*1000*C1245*sezione!$AD$5</f>
        <v>-380.96999999999991</v>
      </c>
      <c r="Q1245" s="545">
        <f>'Foglio deposito bis'!$F$68*IF(ABS(K1245)&lt;'Sollecitazioni nel paramento'!$G$58,ABS(K1245)*'Sollecitazioni nel paramento'!$G$54,'Sollecitazioni nel paramento'!$G$53)*IF(K1245&lt;0,-1,1)</f>
        <v>0</v>
      </c>
      <c r="R1245" s="545">
        <f>'Foglio deposito bis'!$F$69*IF(ABS(L1245)&lt;'Sollecitazioni nel paramento'!$G$58,ABS(L1245)*'Sollecitazioni nel paramento'!$G$54,'Sollecitazioni nel paramento'!$G$53)*IF(L1245&lt;0,-1,1)</f>
        <v>153664.85805602249</v>
      </c>
      <c r="S1245" s="545">
        <f>'Foglio deposito bis'!$F$70*IF(ABS(M1245)&lt;'Sollecitazioni nel paramento'!$G$58,ABS(M1245)*'Sollecitazioni nel paramento'!$G$54,'Sollecitazioni nel paramento'!$G$53)*IF(M1245&lt;0,-1,1)</f>
        <v>0</v>
      </c>
      <c r="T1245" s="545">
        <f>'Foglio deposito bis'!$F$71*IF(ABS(N1245)&lt;'Sollecitazioni nel paramento'!$G$58,ABS(N1245)*'Sollecitazioni nel paramento'!$G$54,'Sollecitazioni nel paramento'!$G$53)*IF(N1245&lt;0,-1,1)</f>
        <v>314705.62929873407</v>
      </c>
      <c r="U1245" s="545">
        <f>'Foglio deposito bis'!$F$72*IF(ABS(O1245)&lt;'Sollecitazioni nel paramento'!$G$58,ABS(O1245)*'Sollecitazioni nel paramento'!$G$54,'Sollecitazioni nel paramento'!$G$53)*IF(O1245&lt;0,-1,1)</f>
        <v>491727.54577927204</v>
      </c>
      <c r="V1245" s="472">
        <f>P1245+Q1245+R1245+S1245+T1245+U1245</f>
        <v>959717.06313402858</v>
      </c>
      <c r="W1245" s="551"/>
      <c r="X1245" s="551"/>
    </row>
    <row r="1246" spans="1:24" x14ac:dyDescent="0.25">
      <c r="A1246" s="545">
        <f t="shared" ref="A1246:A1309" si="90">ABS(V1246)</f>
        <v>945947.41708030296</v>
      </c>
      <c r="B1246" s="3">
        <f>B1245+0.05</f>
        <v>0.05</v>
      </c>
      <c r="C1246" s="545">
        <f>'Foglio deposito bis'!$E$158/sezione!$B$247*B1246</f>
        <v>0.37143649247252125</v>
      </c>
      <c r="D1246" s="603">
        <f>-'Sollecitazioni nel paramento'!$G$47*'Sollecitazioni nel paramento'!$G$41*IF(DATI!$G$211="dx",DATI!$E$61,DATI!$E$64*DATI!$E$63)*1000*C1246^2*sezione!$AD$5*(1-sezione!$AD$6)</f>
        <v>-3069.536232899582</v>
      </c>
      <c r="E1246" s="545">
        <f>-'Foglio deposito bis'!$F$68*(C1246-sezione!$AL$32)*IF(ABS(K1246)&lt;'Sollecitazioni nel paramento'!$G$58,ABS(K1246)*'Sollecitazioni nel paramento'!$G$54,'Sollecitazioni nel paramento'!$G$53)</f>
        <v>0</v>
      </c>
      <c r="F1246" s="545">
        <f>-'Foglio deposito bis'!$F$69*(C1246-sezione!$AM$32)*IF(ABS(L1246)&lt;'Sollecitazioni nel paramento'!$G$58,ABS(L1246)*'Sollecitazioni nel paramento'!$G$54,'Sollecitazioni nel paramento'!$G$53)</f>
        <v>9162814.7474687342</v>
      </c>
      <c r="G1246" s="545">
        <f>-'Foglio deposito bis'!$F$70*(C1246-sezione!$AN$32)*IF(ABS(M1246)&lt;'Sollecitazioni nel paramento'!$G$58,ABS(M1246)*'Sollecitazioni nel paramento'!$G$54,'Sollecitazioni nel paramento'!$G$53)</f>
        <v>0</v>
      </c>
      <c r="H1246" s="545">
        <f>-'Foglio deposito bis'!$F$71*(C1246-sezione!$AO$32)*IF(ABS(N1246)&lt;'Sollecitazioni nel paramento'!$G$58,ABS(N1246)*'Sollecitazioni nel paramento'!$G$54,'Sollecitazioni nel paramento'!$G$53)</f>
        <v>50236007.532689378</v>
      </c>
      <c r="I1246" s="472">
        <f>-'Foglio deposito bis'!$F$72*(C1246-sezione!$AP$32)*IF(ABS(O1246)&lt;'Sollecitazioni nel paramento'!$G$58,ABS(O1246)*'Sollecitazioni nel paramento'!$G$54,'Sollecitazioni nel paramento'!$G$53)</f>
        <v>250098382.69169322</v>
      </c>
      <c r="J1246" s="472">
        <f t="shared" si="89"/>
        <v>309494135.4356184</v>
      </c>
      <c r="K1246" s="550">
        <f>'Sollecitazioni nel paramento'!$G$60*(sezione!$AL$32-C1246)/C1246</f>
        <v>0.37341503887533933</v>
      </c>
      <c r="L1246" s="550">
        <f>'Sollecitazioni nel paramento'!$G$60*(sezione!$AM$32-C1246)/C1246</f>
        <v>0.56187255831300886</v>
      </c>
      <c r="M1246" s="551">
        <f>'Sollecitazioni nel paramento'!$G$60*(sezione!$AN$32-C1246)/C1246</f>
        <v>0.7503300777506785</v>
      </c>
      <c r="N1246" s="551">
        <f>'Sollecitazioni nel paramento'!$G$60*(sezione!$AO$32-C1246)/C1246</f>
        <v>1.5041601555013568</v>
      </c>
      <c r="O1246" s="551">
        <f>'Sollecitazioni nel paramento'!$G$60*(sezione!$AP$32-C1246)/C1246</f>
        <v>4.7925849611246569</v>
      </c>
      <c r="P1246" s="545">
        <f>-'Sollecitazioni nel paramento'!$G$47*'Sollecitazioni nel paramento'!$G$41*IF(DATI!$G$211="dx",DATI!$E$61,DATI!$E$64*DATI!$E$63)*1000*C1246*sezione!$AD$5</f>
        <v>-14150.616053725638</v>
      </c>
      <c r="Q1246" s="545">
        <f>'Foglio deposito bis'!$F$68*IF(ABS(K1246)&lt;'Sollecitazioni nel paramento'!$G$58,ABS(K1246)*'Sollecitazioni nel paramento'!$G$54,'Sollecitazioni nel paramento'!$G$53)*IF(K1246&lt;0,-1,1)</f>
        <v>0</v>
      </c>
      <c r="R1246" s="545">
        <f>'Foglio deposito bis'!$F$69*IF(ABS(L1246)&lt;'Sollecitazioni nel paramento'!$G$58,ABS(L1246)*'Sollecitazioni nel paramento'!$G$54,'Sollecitazioni nel paramento'!$G$53)*IF(L1246&lt;0,-1,1)</f>
        <v>153664.85805602249</v>
      </c>
      <c r="S1246" s="545">
        <f>'Foglio deposito bis'!$F$70*IF(ABS(M1246)&lt;'Sollecitazioni nel paramento'!$G$58,ABS(M1246)*'Sollecitazioni nel paramento'!$G$54,'Sollecitazioni nel paramento'!$G$53)*IF(M1246&lt;0,-1,1)</f>
        <v>0</v>
      </c>
      <c r="T1246" s="545">
        <f>'Foglio deposito bis'!$F$71*IF(ABS(N1246)&lt;'Sollecitazioni nel paramento'!$G$58,ABS(N1246)*'Sollecitazioni nel paramento'!$G$54,'Sollecitazioni nel paramento'!$G$53)*IF(N1246&lt;0,-1,1)</f>
        <v>314705.62929873407</v>
      </c>
      <c r="U1246" s="545">
        <f>'Foglio deposito bis'!$F$72*IF(ABS(O1246)&lt;'Sollecitazioni nel paramento'!$G$58,ABS(O1246)*'Sollecitazioni nel paramento'!$G$54,'Sollecitazioni nel paramento'!$G$53)*IF(O1246&lt;0,-1,1)</f>
        <v>491727.54577927204</v>
      </c>
      <c r="V1246" s="472">
        <f t="shared" ref="V1246:V1309" si="91">P1246+Q1246+R1246+S1246+T1246+U1246</f>
        <v>945947.41708030296</v>
      </c>
      <c r="W1246" s="551"/>
      <c r="X1246" s="551"/>
    </row>
    <row r="1247" spans="1:24" x14ac:dyDescent="0.25">
      <c r="A1247" s="545">
        <f t="shared" si="90"/>
        <v>931796.80102657736</v>
      </c>
      <c r="B1247" s="3">
        <f t="shared" ref="B1247:B1310" si="92">B1246+0.05</f>
        <v>0.1</v>
      </c>
      <c r="C1247" s="545">
        <f>'Foglio deposito bis'!$E$158/sezione!$B$247*B1247</f>
        <v>0.7428729849450425</v>
      </c>
      <c r="D1247" s="603">
        <f>-'Sollecitazioni nel paramento'!$G$47*'Sollecitazioni nel paramento'!$G$41*IF(DATI!$G$211="dx",DATI!$E$61,DATI!$E$64*DATI!$E$63)*1000*C1247^2*sezione!$AD$5*(1-sezione!$AD$6)</f>
        <v>-12278.144931598328</v>
      </c>
      <c r="E1247" s="545">
        <f>-'Foglio deposito bis'!$F$68*(C1247-sezione!$AL$32)*IF(ABS(K1247)&lt;'Sollecitazioni nel paramento'!$G$58,ABS(K1247)*'Sollecitazioni nel paramento'!$G$54,'Sollecitazioni nel paramento'!$G$53)</f>
        <v>0</v>
      </c>
      <c r="F1247" s="545">
        <f>-'Foglio deposito bis'!$F$69*(C1247-sezione!$AM$32)*IF(ABS(L1247)&lt;'Sollecitazioni nel paramento'!$G$58,ABS(L1247)*'Sollecitazioni nel paramento'!$G$54,'Sollecitazioni nel paramento'!$G$53)</f>
        <v>9105738.0115761161</v>
      </c>
      <c r="G1247" s="545">
        <f>-'Foglio deposito bis'!$F$70*(C1247-sezione!$AN$32)*IF(ABS(M1247)&lt;'Sollecitazioni nel paramento'!$G$58,ABS(M1247)*'Sollecitazioni nel paramento'!$G$54,'Sollecitazioni nel paramento'!$G$53)</f>
        <v>0</v>
      </c>
      <c r="H1247" s="545">
        <f>-'Foglio deposito bis'!$F$71*(C1247-sezione!$AO$32)*IF(ABS(N1247)&lt;'Sollecitazioni nel paramento'!$G$58,ABS(N1247)*'Sollecitazioni nel paramento'!$G$54,'Sollecitazioni nel paramento'!$G$53)</f>
        <v>50119114.377581291</v>
      </c>
      <c r="I1247" s="472">
        <f>-'Foglio deposito bis'!$F$72*(C1247-sezione!$AP$32)*IF(ABS(O1247)&lt;'Sollecitazioni nel paramento'!$G$58,ABS(O1247)*'Sollecitazioni nel paramento'!$G$54,'Sollecitazioni nel paramento'!$G$53)</f>
        <v>249915737.13683683</v>
      </c>
      <c r="J1247" s="472">
        <f t="shared" si="89"/>
        <v>309128311.38106263</v>
      </c>
      <c r="K1247" s="550">
        <f>'Sollecitazioni nel paramento'!$G$60*(sezione!$AL$32-C1247)/C1247</f>
        <v>0.18495751943766961</v>
      </c>
      <c r="L1247" s="550">
        <f>'Sollecitazioni nel paramento'!$G$60*(sezione!$AM$32-C1247)/C1247</f>
        <v>0.2791862791565044</v>
      </c>
      <c r="M1247" s="551">
        <f>'Sollecitazioni nel paramento'!$G$60*(sezione!$AN$32-C1247)/C1247</f>
        <v>0.37341503887533933</v>
      </c>
      <c r="N1247" s="551">
        <f>'Sollecitazioni nel paramento'!$G$60*(sezione!$AO$32-C1247)/C1247</f>
        <v>0.7503300777506785</v>
      </c>
      <c r="O1247" s="551">
        <f>'Sollecitazioni nel paramento'!$G$60*(sezione!$AP$32-C1247)/C1247</f>
        <v>2.3945424805623285</v>
      </c>
      <c r="P1247" s="545">
        <f>-'Sollecitazioni nel paramento'!$G$47*'Sollecitazioni nel paramento'!$G$41*IF(DATI!$G$211="dx",DATI!$E$61,DATI!$E$64*DATI!$E$63)*1000*C1247*sezione!$AD$5</f>
        <v>-28301.232107451277</v>
      </c>
      <c r="Q1247" s="545">
        <f>'Foglio deposito bis'!$F$68*IF(ABS(K1247)&lt;'Sollecitazioni nel paramento'!$G$58,ABS(K1247)*'Sollecitazioni nel paramento'!$G$54,'Sollecitazioni nel paramento'!$G$53)*IF(K1247&lt;0,-1,1)</f>
        <v>0</v>
      </c>
      <c r="R1247" s="545">
        <f>'Foglio deposito bis'!$F$69*IF(ABS(L1247)&lt;'Sollecitazioni nel paramento'!$G$58,ABS(L1247)*'Sollecitazioni nel paramento'!$G$54,'Sollecitazioni nel paramento'!$G$53)*IF(L1247&lt;0,-1,1)</f>
        <v>153664.85805602249</v>
      </c>
      <c r="S1247" s="545">
        <f>'Foglio deposito bis'!$F$70*IF(ABS(M1247)&lt;'Sollecitazioni nel paramento'!$G$58,ABS(M1247)*'Sollecitazioni nel paramento'!$G$54,'Sollecitazioni nel paramento'!$G$53)*IF(M1247&lt;0,-1,1)</f>
        <v>0</v>
      </c>
      <c r="T1247" s="545">
        <f>'Foglio deposito bis'!$F$71*IF(ABS(N1247)&lt;'Sollecitazioni nel paramento'!$G$58,ABS(N1247)*'Sollecitazioni nel paramento'!$G$54,'Sollecitazioni nel paramento'!$G$53)*IF(N1247&lt;0,-1,1)</f>
        <v>314705.62929873407</v>
      </c>
      <c r="U1247" s="545">
        <f>'Foglio deposito bis'!$F$72*IF(ABS(O1247)&lt;'Sollecitazioni nel paramento'!$G$58,ABS(O1247)*'Sollecitazioni nel paramento'!$G$54,'Sollecitazioni nel paramento'!$G$53)*IF(O1247&lt;0,-1,1)</f>
        <v>491727.54577927204</v>
      </c>
      <c r="V1247" s="472">
        <f t="shared" si="91"/>
        <v>931796.80102657736</v>
      </c>
      <c r="W1247" s="551"/>
      <c r="X1247" s="551"/>
    </row>
    <row r="1248" spans="1:24" x14ac:dyDescent="0.25">
      <c r="A1248" s="545">
        <f t="shared" si="90"/>
        <v>917646.18497285177</v>
      </c>
      <c r="B1248" s="3">
        <f t="shared" si="92"/>
        <v>0.15000000000000002</v>
      </c>
      <c r="C1248" s="545">
        <f>'Foglio deposito bis'!$E$158/sezione!$B$247*B1248</f>
        <v>1.1143094774175639</v>
      </c>
      <c r="D1248" s="603">
        <f>-'Sollecitazioni nel paramento'!$G$47*'Sollecitazioni nel paramento'!$G$41*IF(DATI!$G$211="dx",DATI!$E$61,DATI!$E$64*DATI!$E$63)*1000*C1248^2*sezione!$AD$5*(1-sezione!$AD$6)</f>
        <v>-27625.826096096251</v>
      </c>
      <c r="E1248" s="545">
        <f>-'Foglio deposito bis'!$F$68*(C1248-sezione!$AL$32)*IF(ABS(K1248)&lt;'Sollecitazioni nel paramento'!$G$58,ABS(K1248)*'Sollecitazioni nel paramento'!$G$54,'Sollecitazioni nel paramento'!$G$53)</f>
        <v>0</v>
      </c>
      <c r="F1248" s="545">
        <f>-'Foglio deposito bis'!$F$69*(C1248-sezione!$AM$32)*IF(ABS(L1248)&lt;'Sollecitazioni nel paramento'!$G$58,ABS(L1248)*'Sollecitazioni nel paramento'!$G$54,'Sollecitazioni nel paramento'!$G$53)</f>
        <v>9048661.2756834999</v>
      </c>
      <c r="G1248" s="545">
        <f>-'Foglio deposito bis'!$F$70*(C1248-sezione!$AN$32)*IF(ABS(M1248)&lt;'Sollecitazioni nel paramento'!$G$58,ABS(M1248)*'Sollecitazioni nel paramento'!$G$54,'Sollecitazioni nel paramento'!$G$53)</f>
        <v>0</v>
      </c>
      <c r="H1248" s="545">
        <f>-'Foglio deposito bis'!$F$71*(C1248-sezione!$AO$32)*IF(ABS(N1248)&lt;'Sollecitazioni nel paramento'!$G$58,ABS(N1248)*'Sollecitazioni nel paramento'!$G$54,'Sollecitazioni nel paramento'!$G$53)</f>
        <v>50002221.222473212</v>
      </c>
      <c r="I1248" s="472">
        <f>-'Foglio deposito bis'!$F$72*(C1248-sezione!$AP$32)*IF(ABS(O1248)&lt;'Sollecitazioni nel paramento'!$G$58,ABS(O1248)*'Sollecitazioni nel paramento'!$G$54,'Sollecitazioni nel paramento'!$G$53)</f>
        <v>249733091.58198044</v>
      </c>
      <c r="J1248" s="472">
        <f t="shared" si="89"/>
        <v>308756348.25404108</v>
      </c>
      <c r="K1248" s="550">
        <f>'Sollecitazioni nel paramento'!$G$60*(sezione!$AL$32-C1248)/C1248</f>
        <v>0.12213834629177972</v>
      </c>
      <c r="L1248" s="550">
        <f>'Sollecitazioni nel paramento'!$G$60*(sezione!$AM$32-C1248)/C1248</f>
        <v>0.18495751943766958</v>
      </c>
      <c r="M1248" s="551">
        <f>'Sollecitazioni nel paramento'!$G$60*(sezione!$AN$32-C1248)/C1248</f>
        <v>0.24777669258355944</v>
      </c>
      <c r="N1248" s="551">
        <f>'Sollecitazioni nel paramento'!$G$60*(sezione!$AO$32-C1248)/C1248</f>
        <v>0.49905338516711889</v>
      </c>
      <c r="O1248" s="551">
        <f>'Sollecitazioni nel paramento'!$G$60*(sezione!$AP$32-C1248)/C1248</f>
        <v>1.595194987041552</v>
      </c>
      <c r="P1248" s="545">
        <f>-'Sollecitazioni nel paramento'!$G$47*'Sollecitazioni nel paramento'!$G$41*IF(DATI!$G$211="dx",DATI!$E$61,DATI!$E$64*DATI!$E$63)*1000*C1248*sezione!$AD$5</f>
        <v>-42451.848161176924</v>
      </c>
      <c r="Q1248" s="545">
        <f>'Foglio deposito bis'!$F$68*IF(ABS(K1248)&lt;'Sollecitazioni nel paramento'!$G$58,ABS(K1248)*'Sollecitazioni nel paramento'!$G$54,'Sollecitazioni nel paramento'!$G$53)*IF(K1248&lt;0,-1,1)</f>
        <v>0</v>
      </c>
      <c r="R1248" s="545">
        <f>'Foglio deposito bis'!$F$69*IF(ABS(L1248)&lt;'Sollecitazioni nel paramento'!$G$58,ABS(L1248)*'Sollecitazioni nel paramento'!$G$54,'Sollecitazioni nel paramento'!$G$53)*IF(L1248&lt;0,-1,1)</f>
        <v>153664.85805602249</v>
      </c>
      <c r="S1248" s="545">
        <f>'Foglio deposito bis'!$F$70*IF(ABS(M1248)&lt;'Sollecitazioni nel paramento'!$G$58,ABS(M1248)*'Sollecitazioni nel paramento'!$G$54,'Sollecitazioni nel paramento'!$G$53)*IF(M1248&lt;0,-1,1)</f>
        <v>0</v>
      </c>
      <c r="T1248" s="545">
        <f>'Foglio deposito bis'!$F$71*IF(ABS(N1248)&lt;'Sollecitazioni nel paramento'!$G$58,ABS(N1248)*'Sollecitazioni nel paramento'!$G$54,'Sollecitazioni nel paramento'!$G$53)*IF(N1248&lt;0,-1,1)</f>
        <v>314705.62929873407</v>
      </c>
      <c r="U1248" s="545">
        <f>'Foglio deposito bis'!$F$72*IF(ABS(O1248)&lt;'Sollecitazioni nel paramento'!$G$58,ABS(O1248)*'Sollecitazioni nel paramento'!$G$54,'Sollecitazioni nel paramento'!$G$53)*IF(O1248&lt;0,-1,1)</f>
        <v>491727.54577927204</v>
      </c>
      <c r="V1248" s="472">
        <f t="shared" si="91"/>
        <v>917646.18497285177</v>
      </c>
      <c r="W1248" s="551"/>
      <c r="X1248" s="551"/>
    </row>
    <row r="1249" spans="1:24" x14ac:dyDescent="0.25">
      <c r="A1249" s="545">
        <f t="shared" si="90"/>
        <v>903495.56891912606</v>
      </c>
      <c r="B1249" s="3">
        <f t="shared" si="92"/>
        <v>0.2</v>
      </c>
      <c r="C1249" s="545">
        <f>'Foglio deposito bis'!$E$158/sezione!$B$247*B1249</f>
        <v>1.485745969890085</v>
      </c>
      <c r="D1249" s="603">
        <f>-'Sollecitazioni nel paramento'!$G$47*'Sollecitazioni nel paramento'!$G$41*IF(DATI!$G$211="dx",DATI!$E$61,DATI!$E$64*DATI!$E$63)*1000*C1249^2*sezione!$AD$5*(1-sezione!$AD$6)</f>
        <v>-49112.579726393313</v>
      </c>
      <c r="E1249" s="545">
        <f>-'Foglio deposito bis'!$F$68*(C1249-sezione!$AL$32)*IF(ABS(K1249)&lt;'Sollecitazioni nel paramento'!$G$58,ABS(K1249)*'Sollecitazioni nel paramento'!$G$54,'Sollecitazioni nel paramento'!$G$53)</f>
        <v>0</v>
      </c>
      <c r="F1249" s="545">
        <f>-'Foglio deposito bis'!$F$69*(C1249-sezione!$AM$32)*IF(ABS(L1249)&lt;'Sollecitazioni nel paramento'!$G$58,ABS(L1249)*'Sollecitazioni nel paramento'!$G$54,'Sollecitazioni nel paramento'!$G$53)</f>
        <v>8991584.5397908818</v>
      </c>
      <c r="G1249" s="545">
        <f>-'Foglio deposito bis'!$F$70*(C1249-sezione!$AN$32)*IF(ABS(M1249)&lt;'Sollecitazioni nel paramento'!$G$58,ABS(M1249)*'Sollecitazioni nel paramento'!$G$54,'Sollecitazioni nel paramento'!$G$53)</f>
        <v>0</v>
      </c>
      <c r="H1249" s="545">
        <f>-'Foglio deposito bis'!$F$71*(C1249-sezione!$AO$32)*IF(ABS(N1249)&lt;'Sollecitazioni nel paramento'!$G$58,ABS(N1249)*'Sollecitazioni nel paramento'!$G$54,'Sollecitazioni nel paramento'!$G$53)</f>
        <v>49885328.06736514</v>
      </c>
      <c r="I1249" s="472">
        <f>-'Foglio deposito bis'!$F$72*(C1249-sezione!$AP$32)*IF(ABS(O1249)&lt;'Sollecitazioni nel paramento'!$G$58,ABS(O1249)*'Sollecitazioni nel paramento'!$G$54,'Sollecitazioni nel paramento'!$G$53)</f>
        <v>249550446.02712408</v>
      </c>
      <c r="J1249" s="472">
        <f t="shared" si="89"/>
        <v>308378246.05455369</v>
      </c>
      <c r="K1249" s="550">
        <f>'Sollecitazioni nel paramento'!$G$60*(sezione!$AL$32-C1249)/C1249</f>
        <v>9.0728759718834817E-2</v>
      </c>
      <c r="L1249" s="550">
        <f>'Sollecitazioni nel paramento'!$G$60*(sezione!$AM$32-C1249)/C1249</f>
        <v>0.13784313957825223</v>
      </c>
      <c r="M1249" s="551">
        <f>'Sollecitazioni nel paramento'!$G$60*(sezione!$AN$32-C1249)/C1249</f>
        <v>0.18495751943766961</v>
      </c>
      <c r="N1249" s="551">
        <f>'Sollecitazioni nel paramento'!$G$60*(sezione!$AO$32-C1249)/C1249</f>
        <v>0.37341503887533933</v>
      </c>
      <c r="O1249" s="551">
        <f>'Sollecitazioni nel paramento'!$G$60*(sezione!$AP$32-C1249)/C1249</f>
        <v>1.1955212402811641</v>
      </c>
      <c r="P1249" s="545">
        <f>-'Sollecitazioni nel paramento'!$G$47*'Sollecitazioni nel paramento'!$G$41*IF(DATI!$G$211="dx",DATI!$E$61,DATI!$E$64*DATI!$E$63)*1000*C1249*sezione!$AD$5</f>
        <v>-56602.464214902553</v>
      </c>
      <c r="Q1249" s="545">
        <f>'Foglio deposito bis'!$F$68*IF(ABS(K1249)&lt;'Sollecitazioni nel paramento'!$G$58,ABS(K1249)*'Sollecitazioni nel paramento'!$G$54,'Sollecitazioni nel paramento'!$G$53)*IF(K1249&lt;0,-1,1)</f>
        <v>0</v>
      </c>
      <c r="R1249" s="545">
        <f>'Foglio deposito bis'!$F$69*IF(ABS(L1249)&lt;'Sollecitazioni nel paramento'!$G$58,ABS(L1249)*'Sollecitazioni nel paramento'!$G$54,'Sollecitazioni nel paramento'!$G$53)*IF(L1249&lt;0,-1,1)</f>
        <v>153664.85805602249</v>
      </c>
      <c r="S1249" s="545">
        <f>'Foglio deposito bis'!$F$70*IF(ABS(M1249)&lt;'Sollecitazioni nel paramento'!$G$58,ABS(M1249)*'Sollecitazioni nel paramento'!$G$54,'Sollecitazioni nel paramento'!$G$53)*IF(M1249&lt;0,-1,1)</f>
        <v>0</v>
      </c>
      <c r="T1249" s="545">
        <f>'Foglio deposito bis'!$F$71*IF(ABS(N1249)&lt;'Sollecitazioni nel paramento'!$G$58,ABS(N1249)*'Sollecitazioni nel paramento'!$G$54,'Sollecitazioni nel paramento'!$G$53)*IF(N1249&lt;0,-1,1)</f>
        <v>314705.62929873407</v>
      </c>
      <c r="U1249" s="545">
        <f>'Foglio deposito bis'!$F$72*IF(ABS(O1249)&lt;'Sollecitazioni nel paramento'!$G$58,ABS(O1249)*'Sollecitazioni nel paramento'!$G$54,'Sollecitazioni nel paramento'!$G$53)*IF(O1249&lt;0,-1,1)</f>
        <v>491727.54577927204</v>
      </c>
      <c r="V1249" s="472">
        <f t="shared" si="91"/>
        <v>903495.56891912606</v>
      </c>
      <c r="W1249" s="551"/>
      <c r="X1249" s="551"/>
    </row>
    <row r="1250" spans="1:24" x14ac:dyDescent="0.25">
      <c r="A1250" s="545">
        <f t="shared" si="90"/>
        <v>889344.95286540035</v>
      </c>
      <c r="B1250" s="3">
        <f t="shared" si="92"/>
        <v>0.25</v>
      </c>
      <c r="C1250" s="545">
        <f>'Foglio deposito bis'!$E$158/sezione!$B$247*B1250</f>
        <v>1.8571824623626061</v>
      </c>
      <c r="D1250" s="603">
        <f>-'Sollecitazioni nel paramento'!$G$47*'Sollecitazioni nel paramento'!$G$41*IF(DATI!$G$211="dx",DATI!$E$61,DATI!$E$64*DATI!$E$63)*1000*C1250^2*sezione!$AD$5*(1-sezione!$AD$6)</f>
        <v>-76738.405822489542</v>
      </c>
      <c r="E1250" s="545">
        <f>-'Foglio deposito bis'!$F$68*(C1250-sezione!$AL$32)*IF(ABS(K1250)&lt;'Sollecitazioni nel paramento'!$G$58,ABS(K1250)*'Sollecitazioni nel paramento'!$G$54,'Sollecitazioni nel paramento'!$G$53)</f>
        <v>0</v>
      </c>
      <c r="F1250" s="545">
        <f>-'Foglio deposito bis'!$F$69*(C1250-sezione!$AM$32)*IF(ABS(L1250)&lt;'Sollecitazioni nel paramento'!$G$58,ABS(L1250)*'Sollecitazioni nel paramento'!$G$54,'Sollecitazioni nel paramento'!$G$53)</f>
        <v>8934507.8038982656</v>
      </c>
      <c r="G1250" s="545">
        <f>-'Foglio deposito bis'!$F$70*(C1250-sezione!$AN$32)*IF(ABS(M1250)&lt;'Sollecitazioni nel paramento'!$G$58,ABS(M1250)*'Sollecitazioni nel paramento'!$G$54,'Sollecitazioni nel paramento'!$G$53)</f>
        <v>0</v>
      </c>
      <c r="H1250" s="545">
        <f>-'Foglio deposito bis'!$F$71*(C1250-sezione!$AO$32)*IF(ABS(N1250)&lt;'Sollecitazioni nel paramento'!$G$58,ABS(N1250)*'Sollecitazioni nel paramento'!$G$54,'Sollecitazioni nel paramento'!$G$53)</f>
        <v>49768434.91225706</v>
      </c>
      <c r="I1250" s="472">
        <f>-'Foglio deposito bis'!$F$72*(C1250-sezione!$AP$32)*IF(ABS(O1250)&lt;'Sollecitazioni nel paramento'!$G$58,ABS(O1250)*'Sollecitazioni nel paramento'!$G$54,'Sollecitazioni nel paramento'!$G$53)</f>
        <v>249367800.47226769</v>
      </c>
      <c r="J1250" s="472">
        <f t="shared" si="89"/>
        <v>307994004.78260052</v>
      </c>
      <c r="K1250" s="550">
        <f>'Sollecitazioni nel paramento'!$G$60*(sezione!$AL$32-C1250)/C1250</f>
        <v>7.1883007775067856E-2</v>
      </c>
      <c r="L1250" s="550">
        <f>'Sollecitazioni nel paramento'!$G$60*(sezione!$AM$32-C1250)/C1250</f>
        <v>0.10957451166260178</v>
      </c>
      <c r="M1250" s="551">
        <f>'Sollecitazioni nel paramento'!$G$60*(sezione!$AN$32-C1250)/C1250</f>
        <v>0.14726601555013571</v>
      </c>
      <c r="N1250" s="551">
        <f>'Sollecitazioni nel paramento'!$G$60*(sezione!$AO$32-C1250)/C1250</f>
        <v>0.29803203110027143</v>
      </c>
      <c r="O1250" s="551">
        <f>'Sollecitazioni nel paramento'!$G$60*(sezione!$AP$32-C1250)/C1250</f>
        <v>0.95571699222493145</v>
      </c>
      <c r="P1250" s="545">
        <f>-'Sollecitazioni nel paramento'!$G$47*'Sollecitazioni nel paramento'!$G$41*IF(DATI!$G$211="dx",DATI!$E$61,DATI!$E$64*DATI!$E$63)*1000*C1250*sezione!$AD$5</f>
        <v>-70753.080268628197</v>
      </c>
      <c r="Q1250" s="545">
        <f>'Foglio deposito bis'!$F$68*IF(ABS(K1250)&lt;'Sollecitazioni nel paramento'!$G$58,ABS(K1250)*'Sollecitazioni nel paramento'!$G$54,'Sollecitazioni nel paramento'!$G$53)*IF(K1250&lt;0,-1,1)</f>
        <v>0</v>
      </c>
      <c r="R1250" s="545">
        <f>'Foglio deposito bis'!$F$69*IF(ABS(L1250)&lt;'Sollecitazioni nel paramento'!$G$58,ABS(L1250)*'Sollecitazioni nel paramento'!$G$54,'Sollecitazioni nel paramento'!$G$53)*IF(L1250&lt;0,-1,1)</f>
        <v>153664.85805602249</v>
      </c>
      <c r="S1250" s="545">
        <f>'Foglio deposito bis'!$F$70*IF(ABS(M1250)&lt;'Sollecitazioni nel paramento'!$G$58,ABS(M1250)*'Sollecitazioni nel paramento'!$G$54,'Sollecitazioni nel paramento'!$G$53)*IF(M1250&lt;0,-1,1)</f>
        <v>0</v>
      </c>
      <c r="T1250" s="545">
        <f>'Foglio deposito bis'!$F$71*IF(ABS(N1250)&lt;'Sollecitazioni nel paramento'!$G$58,ABS(N1250)*'Sollecitazioni nel paramento'!$G$54,'Sollecitazioni nel paramento'!$G$53)*IF(N1250&lt;0,-1,1)</f>
        <v>314705.62929873407</v>
      </c>
      <c r="U1250" s="545">
        <f>'Foglio deposito bis'!$F$72*IF(ABS(O1250)&lt;'Sollecitazioni nel paramento'!$G$58,ABS(O1250)*'Sollecitazioni nel paramento'!$G$54,'Sollecitazioni nel paramento'!$G$53)*IF(O1250&lt;0,-1,1)</f>
        <v>491727.54577927204</v>
      </c>
      <c r="V1250" s="472">
        <f t="shared" si="91"/>
        <v>889344.95286540035</v>
      </c>
      <c r="W1250" s="551"/>
      <c r="X1250" s="551"/>
    </row>
    <row r="1251" spans="1:24" x14ac:dyDescent="0.25">
      <c r="A1251" s="545">
        <f t="shared" si="90"/>
        <v>875194.33681167476</v>
      </c>
      <c r="B1251" s="3">
        <f t="shared" si="92"/>
        <v>0.3</v>
      </c>
      <c r="C1251" s="545">
        <f>'Foglio deposito bis'!$E$158/sezione!$B$247*B1251</f>
        <v>2.2286189548351274</v>
      </c>
      <c r="D1251" s="603">
        <f>-'Sollecitazioni nel paramento'!$G$47*'Sollecitazioni nel paramento'!$G$41*IF(DATI!$G$211="dx",DATI!$E$61,DATI!$E$64*DATI!$E$63)*1000*C1251^2*sezione!$AD$5*(1-sezione!$AD$6)</f>
        <v>-110503.30438438494</v>
      </c>
      <c r="E1251" s="545">
        <f>-'Foglio deposito bis'!$F$68*(C1251-sezione!$AL$32)*IF(ABS(K1251)&lt;'Sollecitazioni nel paramento'!$G$58,ABS(K1251)*'Sollecitazioni nel paramento'!$G$54,'Sollecitazioni nel paramento'!$G$53)</f>
        <v>0</v>
      </c>
      <c r="F1251" s="545">
        <f>-'Foglio deposito bis'!$F$69*(C1251-sezione!$AM$32)*IF(ABS(L1251)&lt;'Sollecitazioni nel paramento'!$G$58,ABS(L1251)*'Sollecitazioni nel paramento'!$G$54,'Sollecitazioni nel paramento'!$G$53)</f>
        <v>8877431.0680056494</v>
      </c>
      <c r="G1251" s="545">
        <f>-'Foglio deposito bis'!$F$70*(C1251-sezione!$AN$32)*IF(ABS(M1251)&lt;'Sollecitazioni nel paramento'!$G$58,ABS(M1251)*'Sollecitazioni nel paramento'!$G$54,'Sollecitazioni nel paramento'!$G$53)</f>
        <v>0</v>
      </c>
      <c r="H1251" s="545">
        <f>-'Foglio deposito bis'!$F$71*(C1251-sezione!$AO$32)*IF(ABS(N1251)&lt;'Sollecitazioni nel paramento'!$G$58,ABS(N1251)*'Sollecitazioni nel paramento'!$G$54,'Sollecitazioni nel paramento'!$G$53)</f>
        <v>49651541.757148981</v>
      </c>
      <c r="I1251" s="472">
        <f>-'Foglio deposito bis'!$F$72*(C1251-sezione!$AP$32)*IF(ABS(O1251)&lt;'Sollecitazioni nel paramento'!$G$58,ABS(O1251)*'Sollecitazioni nel paramento'!$G$54,'Sollecitazioni nel paramento'!$G$53)</f>
        <v>249185154.91741133</v>
      </c>
      <c r="J1251" s="472">
        <f t="shared" si="89"/>
        <v>307603624.43818158</v>
      </c>
      <c r="K1251" s="550">
        <f>'Sollecitazioni nel paramento'!$G$60*(sezione!$AL$32-C1251)/C1251</f>
        <v>5.9319173145889879E-2</v>
      </c>
      <c r="L1251" s="550">
        <f>'Sollecitazioni nel paramento'!$G$60*(sezione!$AM$32-C1251)/C1251</f>
        <v>9.0728759718834817E-2</v>
      </c>
      <c r="M1251" s="551">
        <f>'Sollecitazioni nel paramento'!$G$60*(sezione!$AN$32-C1251)/C1251</f>
        <v>0.12213834629177975</v>
      </c>
      <c r="N1251" s="551">
        <f>'Sollecitazioni nel paramento'!$G$60*(sezione!$AO$32-C1251)/C1251</f>
        <v>0.2477766925835595</v>
      </c>
      <c r="O1251" s="551">
        <f>'Sollecitazioni nel paramento'!$G$60*(sezione!$AP$32-C1251)/C1251</f>
        <v>0.79584749352077611</v>
      </c>
      <c r="P1251" s="545">
        <f>-'Sollecitazioni nel paramento'!$G$47*'Sollecitazioni nel paramento'!$G$41*IF(DATI!$G$211="dx",DATI!$E$61,DATI!$E$64*DATI!$E$63)*1000*C1251*sezione!$AD$5</f>
        <v>-84903.696322353833</v>
      </c>
      <c r="Q1251" s="545">
        <f>'Foglio deposito bis'!$F$68*IF(ABS(K1251)&lt;'Sollecitazioni nel paramento'!$G$58,ABS(K1251)*'Sollecitazioni nel paramento'!$G$54,'Sollecitazioni nel paramento'!$G$53)*IF(K1251&lt;0,-1,1)</f>
        <v>0</v>
      </c>
      <c r="R1251" s="545">
        <f>'Foglio deposito bis'!$F$69*IF(ABS(L1251)&lt;'Sollecitazioni nel paramento'!$G$58,ABS(L1251)*'Sollecitazioni nel paramento'!$G$54,'Sollecitazioni nel paramento'!$G$53)*IF(L1251&lt;0,-1,1)</f>
        <v>153664.85805602249</v>
      </c>
      <c r="S1251" s="545">
        <f>'Foglio deposito bis'!$F$70*IF(ABS(M1251)&lt;'Sollecitazioni nel paramento'!$G$58,ABS(M1251)*'Sollecitazioni nel paramento'!$G$54,'Sollecitazioni nel paramento'!$G$53)*IF(M1251&lt;0,-1,1)</f>
        <v>0</v>
      </c>
      <c r="T1251" s="545">
        <f>'Foglio deposito bis'!$F$71*IF(ABS(N1251)&lt;'Sollecitazioni nel paramento'!$G$58,ABS(N1251)*'Sollecitazioni nel paramento'!$G$54,'Sollecitazioni nel paramento'!$G$53)*IF(N1251&lt;0,-1,1)</f>
        <v>314705.62929873407</v>
      </c>
      <c r="U1251" s="545">
        <f>'Foglio deposito bis'!$F$72*IF(ABS(O1251)&lt;'Sollecitazioni nel paramento'!$G$58,ABS(O1251)*'Sollecitazioni nel paramento'!$G$54,'Sollecitazioni nel paramento'!$G$53)*IF(O1251&lt;0,-1,1)</f>
        <v>491727.54577927204</v>
      </c>
      <c r="V1251" s="472">
        <f t="shared" si="91"/>
        <v>875194.33681167476</v>
      </c>
      <c r="W1251" s="551"/>
      <c r="X1251" s="551"/>
    </row>
    <row r="1252" spans="1:24" x14ac:dyDescent="0.25">
      <c r="A1252" s="545">
        <f t="shared" si="90"/>
        <v>861043.72075794917</v>
      </c>
      <c r="B1252" s="3">
        <f t="shared" si="92"/>
        <v>0.35</v>
      </c>
      <c r="C1252" s="545">
        <f>'Foglio deposito bis'!$E$158/sezione!$B$247*B1252</f>
        <v>2.6000554473076485</v>
      </c>
      <c r="D1252" s="603">
        <f>-'Sollecitazioni nel paramento'!$G$47*'Sollecitazioni nel paramento'!$G$41*IF(DATI!$G$211="dx",DATI!$E$61,DATI!$E$64*DATI!$E$63)*1000*C1252^2*sezione!$AD$5*(1-sezione!$AD$6)</f>
        <v>-150407.2754120795</v>
      </c>
      <c r="E1252" s="545">
        <f>-'Foglio deposito bis'!$F$68*(C1252-sezione!$AL$32)*IF(ABS(K1252)&lt;'Sollecitazioni nel paramento'!$G$58,ABS(K1252)*'Sollecitazioni nel paramento'!$G$54,'Sollecitazioni nel paramento'!$G$53)</f>
        <v>0</v>
      </c>
      <c r="F1252" s="545">
        <f>-'Foglio deposito bis'!$F$69*(C1252-sezione!$AM$32)*IF(ABS(L1252)&lt;'Sollecitazioni nel paramento'!$G$58,ABS(L1252)*'Sollecitazioni nel paramento'!$G$54,'Sollecitazioni nel paramento'!$G$53)</f>
        <v>8820354.3321130313</v>
      </c>
      <c r="G1252" s="545">
        <f>-'Foglio deposito bis'!$F$70*(C1252-sezione!$AN$32)*IF(ABS(M1252)&lt;'Sollecitazioni nel paramento'!$G$58,ABS(M1252)*'Sollecitazioni nel paramento'!$G$54,'Sollecitazioni nel paramento'!$G$53)</f>
        <v>0</v>
      </c>
      <c r="H1252" s="545">
        <f>-'Foglio deposito bis'!$F$71*(C1252-sezione!$AO$32)*IF(ABS(N1252)&lt;'Sollecitazioni nel paramento'!$G$58,ABS(N1252)*'Sollecitazioni nel paramento'!$G$54,'Sollecitazioni nel paramento'!$G$53)</f>
        <v>49534648.602040894</v>
      </c>
      <c r="I1252" s="472">
        <f>-'Foglio deposito bis'!$F$72*(C1252-sezione!$AP$32)*IF(ABS(O1252)&lt;'Sollecitazioni nel paramento'!$G$58,ABS(O1252)*'Sollecitazioni nel paramento'!$G$54,'Sollecitazioni nel paramento'!$G$53)</f>
        <v>249002509.362555</v>
      </c>
      <c r="J1252" s="472">
        <f t="shared" si="89"/>
        <v>307207105.02129686</v>
      </c>
      <c r="K1252" s="550">
        <f>'Sollecitazioni nel paramento'!$G$60*(sezione!$AL$32-C1252)/C1252</f>
        <v>5.0345005553619905E-2</v>
      </c>
      <c r="L1252" s="550">
        <f>'Sollecitazioni nel paramento'!$G$60*(sezione!$AM$32-C1252)/C1252</f>
        <v>7.7267508330429849E-2</v>
      </c>
      <c r="M1252" s="551">
        <f>'Sollecitazioni nel paramento'!$G$60*(sezione!$AN$32-C1252)/C1252</f>
        <v>0.10419001110723979</v>
      </c>
      <c r="N1252" s="551">
        <f>'Sollecitazioni nel paramento'!$G$60*(sezione!$AO$32-C1252)/C1252</f>
        <v>0.2118800222144796</v>
      </c>
      <c r="O1252" s="551">
        <f>'Sollecitazioni nel paramento'!$G$60*(sezione!$AP$32-C1252)/C1252</f>
        <v>0.68165499444637967</v>
      </c>
      <c r="P1252" s="545">
        <f>-'Sollecitazioni nel paramento'!$G$47*'Sollecitazioni nel paramento'!$G$41*IF(DATI!$G$211="dx",DATI!$E$61,DATI!$E$64*DATI!$E$63)*1000*C1252*sezione!$AD$5</f>
        <v>-99054.31237607947</v>
      </c>
      <c r="Q1252" s="545">
        <f>'Foglio deposito bis'!$F$68*IF(ABS(K1252)&lt;'Sollecitazioni nel paramento'!$G$58,ABS(K1252)*'Sollecitazioni nel paramento'!$G$54,'Sollecitazioni nel paramento'!$G$53)*IF(K1252&lt;0,-1,1)</f>
        <v>0</v>
      </c>
      <c r="R1252" s="545">
        <f>'Foglio deposito bis'!$F$69*IF(ABS(L1252)&lt;'Sollecitazioni nel paramento'!$G$58,ABS(L1252)*'Sollecitazioni nel paramento'!$G$54,'Sollecitazioni nel paramento'!$G$53)*IF(L1252&lt;0,-1,1)</f>
        <v>153664.85805602249</v>
      </c>
      <c r="S1252" s="545">
        <f>'Foglio deposito bis'!$F$70*IF(ABS(M1252)&lt;'Sollecitazioni nel paramento'!$G$58,ABS(M1252)*'Sollecitazioni nel paramento'!$G$54,'Sollecitazioni nel paramento'!$G$53)*IF(M1252&lt;0,-1,1)</f>
        <v>0</v>
      </c>
      <c r="T1252" s="545">
        <f>'Foglio deposito bis'!$F$71*IF(ABS(N1252)&lt;'Sollecitazioni nel paramento'!$G$58,ABS(N1252)*'Sollecitazioni nel paramento'!$G$54,'Sollecitazioni nel paramento'!$G$53)*IF(N1252&lt;0,-1,1)</f>
        <v>314705.62929873407</v>
      </c>
      <c r="U1252" s="545">
        <f>'Foglio deposito bis'!$F$72*IF(ABS(O1252)&lt;'Sollecitazioni nel paramento'!$G$58,ABS(O1252)*'Sollecitazioni nel paramento'!$G$54,'Sollecitazioni nel paramento'!$G$53)*IF(O1252&lt;0,-1,1)</f>
        <v>491727.54577927204</v>
      </c>
      <c r="V1252" s="472">
        <f t="shared" si="91"/>
        <v>861043.72075794917</v>
      </c>
      <c r="W1252" s="551"/>
      <c r="X1252" s="551"/>
    </row>
    <row r="1253" spans="1:24" x14ac:dyDescent="0.25">
      <c r="A1253" s="545">
        <f t="shared" si="90"/>
        <v>846893.10470422357</v>
      </c>
      <c r="B1253" s="3">
        <f t="shared" si="92"/>
        <v>0.39999999999999997</v>
      </c>
      <c r="C1253" s="545">
        <f>'Foglio deposito bis'!$E$158/sezione!$B$247*B1253</f>
        <v>2.9714919397801696</v>
      </c>
      <c r="D1253" s="603">
        <f>-'Sollecitazioni nel paramento'!$G$47*'Sollecitazioni nel paramento'!$G$41*IF(DATI!$G$211="dx",DATI!$E$61,DATI!$E$64*DATI!$E$63)*1000*C1253^2*sezione!$AD$5*(1-sezione!$AD$6)</f>
        <v>-196450.31890557319</v>
      </c>
      <c r="E1253" s="545">
        <f>-'Foglio deposito bis'!$F$68*(C1253-sezione!$AL$32)*IF(ABS(K1253)&lt;'Sollecitazioni nel paramento'!$G$58,ABS(K1253)*'Sollecitazioni nel paramento'!$G$54,'Sollecitazioni nel paramento'!$G$53)</f>
        <v>0</v>
      </c>
      <c r="F1253" s="545">
        <f>-'Foglio deposito bis'!$F$69*(C1253-sezione!$AM$32)*IF(ABS(L1253)&lt;'Sollecitazioni nel paramento'!$G$58,ABS(L1253)*'Sollecitazioni nel paramento'!$G$54,'Sollecitazioni nel paramento'!$G$53)</f>
        <v>8763277.5962204132</v>
      </c>
      <c r="G1253" s="545">
        <f>-'Foglio deposito bis'!$F$70*(C1253-sezione!$AN$32)*IF(ABS(M1253)&lt;'Sollecitazioni nel paramento'!$G$58,ABS(M1253)*'Sollecitazioni nel paramento'!$G$54,'Sollecitazioni nel paramento'!$G$53)</f>
        <v>0</v>
      </c>
      <c r="H1253" s="545">
        <f>-'Foglio deposito bis'!$F$71*(C1253-sezione!$AO$32)*IF(ABS(N1253)&lt;'Sollecitazioni nel paramento'!$G$58,ABS(N1253)*'Sollecitazioni nel paramento'!$G$54,'Sollecitazioni nel paramento'!$G$53)</f>
        <v>49417755.446932815</v>
      </c>
      <c r="I1253" s="472">
        <f>-'Foglio deposito bis'!$F$72*(C1253-sezione!$AP$32)*IF(ABS(O1253)&lt;'Sollecitazioni nel paramento'!$G$58,ABS(O1253)*'Sollecitazioni nel paramento'!$G$54,'Sollecitazioni nel paramento'!$G$53)</f>
        <v>248819863.80769861</v>
      </c>
      <c r="J1253" s="472">
        <f t="shared" si="89"/>
        <v>306804446.53194624</v>
      </c>
      <c r="K1253" s="550">
        <f>'Sollecitazioni nel paramento'!$G$60*(sezione!$AL$32-C1253)/C1253</f>
        <v>4.3614379859417414E-2</v>
      </c>
      <c r="L1253" s="550">
        <f>'Sollecitazioni nel paramento'!$G$60*(sezione!$AM$32-C1253)/C1253</f>
        <v>6.7171569789126126E-2</v>
      </c>
      <c r="M1253" s="551">
        <f>'Sollecitazioni nel paramento'!$G$60*(sezione!$AN$32-C1253)/C1253</f>
        <v>9.0728759718834831E-2</v>
      </c>
      <c r="N1253" s="551">
        <f>'Sollecitazioni nel paramento'!$G$60*(sezione!$AO$32-C1253)/C1253</f>
        <v>0.18495751943766964</v>
      </c>
      <c r="O1253" s="551">
        <f>'Sollecitazioni nel paramento'!$G$60*(sezione!$AP$32-C1253)/C1253</f>
        <v>0.59601062014058226</v>
      </c>
      <c r="P1253" s="545">
        <f>-'Sollecitazioni nel paramento'!$G$47*'Sollecitazioni nel paramento'!$G$41*IF(DATI!$G$211="dx",DATI!$E$61,DATI!$E$64*DATI!$E$63)*1000*C1253*sezione!$AD$5</f>
        <v>-113204.92842980511</v>
      </c>
      <c r="Q1253" s="545">
        <f>'Foglio deposito bis'!$F$68*IF(ABS(K1253)&lt;'Sollecitazioni nel paramento'!$G$58,ABS(K1253)*'Sollecitazioni nel paramento'!$G$54,'Sollecitazioni nel paramento'!$G$53)*IF(K1253&lt;0,-1,1)</f>
        <v>0</v>
      </c>
      <c r="R1253" s="545">
        <f>'Foglio deposito bis'!$F$69*IF(ABS(L1253)&lt;'Sollecitazioni nel paramento'!$G$58,ABS(L1253)*'Sollecitazioni nel paramento'!$G$54,'Sollecitazioni nel paramento'!$G$53)*IF(L1253&lt;0,-1,1)</f>
        <v>153664.85805602249</v>
      </c>
      <c r="S1253" s="545">
        <f>'Foglio deposito bis'!$F$70*IF(ABS(M1253)&lt;'Sollecitazioni nel paramento'!$G$58,ABS(M1253)*'Sollecitazioni nel paramento'!$G$54,'Sollecitazioni nel paramento'!$G$53)*IF(M1253&lt;0,-1,1)</f>
        <v>0</v>
      </c>
      <c r="T1253" s="545">
        <f>'Foglio deposito bis'!$F$71*IF(ABS(N1253)&lt;'Sollecitazioni nel paramento'!$G$58,ABS(N1253)*'Sollecitazioni nel paramento'!$G$54,'Sollecitazioni nel paramento'!$G$53)*IF(N1253&lt;0,-1,1)</f>
        <v>314705.62929873407</v>
      </c>
      <c r="U1253" s="545">
        <f>'Foglio deposito bis'!$F$72*IF(ABS(O1253)&lt;'Sollecitazioni nel paramento'!$G$58,ABS(O1253)*'Sollecitazioni nel paramento'!$G$54,'Sollecitazioni nel paramento'!$G$53)*IF(O1253&lt;0,-1,1)</f>
        <v>491727.54577927204</v>
      </c>
      <c r="V1253" s="472">
        <f t="shared" si="91"/>
        <v>846893.10470422357</v>
      </c>
      <c r="W1253" s="551"/>
      <c r="X1253" s="551"/>
    </row>
    <row r="1254" spans="1:24" x14ac:dyDescent="0.25">
      <c r="A1254" s="545">
        <f t="shared" si="90"/>
        <v>832742.48865049786</v>
      </c>
      <c r="B1254" s="3">
        <f t="shared" si="92"/>
        <v>0.44999999999999996</v>
      </c>
      <c r="C1254" s="545">
        <f>'Foglio deposito bis'!$E$158/sezione!$B$247*B1254</f>
        <v>3.3429284322526907</v>
      </c>
      <c r="D1254" s="603">
        <f>-'Sollecitazioni nel paramento'!$G$47*'Sollecitazioni nel paramento'!$G$41*IF(DATI!$G$211="dx",DATI!$E$61,DATI!$E$64*DATI!$E$63)*1000*C1254^2*sezione!$AD$5*(1-sezione!$AD$6)</f>
        <v>-248632.43486486608</v>
      </c>
      <c r="E1254" s="545">
        <f>-'Foglio deposito bis'!$F$68*(C1254-sezione!$AL$32)*IF(ABS(K1254)&lt;'Sollecitazioni nel paramento'!$G$58,ABS(K1254)*'Sollecitazioni nel paramento'!$G$54,'Sollecitazioni nel paramento'!$G$53)</f>
        <v>0</v>
      </c>
      <c r="F1254" s="545">
        <f>-'Foglio deposito bis'!$F$69*(C1254-sezione!$AM$32)*IF(ABS(L1254)&lt;'Sollecitazioni nel paramento'!$G$58,ABS(L1254)*'Sollecitazioni nel paramento'!$G$54,'Sollecitazioni nel paramento'!$G$53)</f>
        <v>8706200.8603277989</v>
      </c>
      <c r="G1254" s="545">
        <f>-'Foglio deposito bis'!$F$70*(C1254-sezione!$AN$32)*IF(ABS(M1254)&lt;'Sollecitazioni nel paramento'!$G$58,ABS(M1254)*'Sollecitazioni nel paramento'!$G$54,'Sollecitazioni nel paramento'!$G$53)</f>
        <v>0</v>
      </c>
      <c r="H1254" s="545">
        <f>-'Foglio deposito bis'!$F$71*(C1254-sezione!$AO$32)*IF(ABS(N1254)&lt;'Sollecitazioni nel paramento'!$G$58,ABS(N1254)*'Sollecitazioni nel paramento'!$G$54,'Sollecitazioni nel paramento'!$G$53)</f>
        <v>49300862.291824743</v>
      </c>
      <c r="I1254" s="472">
        <f>-'Foglio deposito bis'!$F$72*(C1254-sezione!$AP$32)*IF(ABS(O1254)&lt;'Sollecitazioni nel paramento'!$G$58,ABS(O1254)*'Sollecitazioni nel paramento'!$G$54,'Sollecitazioni nel paramento'!$G$53)</f>
        <v>248637218.25284222</v>
      </c>
      <c r="J1254" s="472">
        <f t="shared" si="89"/>
        <v>306395648.97012991</v>
      </c>
      <c r="K1254" s="550">
        <f>'Sollecitazioni nel paramento'!$G$60*(sezione!$AL$32-C1254)/C1254</f>
        <v>3.8379448763926592E-2</v>
      </c>
      <c r="L1254" s="550">
        <f>'Sollecitazioni nel paramento'!$G$60*(sezione!$AM$32-C1254)/C1254</f>
        <v>5.9319173145889886E-2</v>
      </c>
      <c r="M1254" s="551">
        <f>'Sollecitazioni nel paramento'!$G$60*(sezione!$AN$32-C1254)/C1254</f>
        <v>8.0258897527853174E-2</v>
      </c>
      <c r="N1254" s="551">
        <f>'Sollecitazioni nel paramento'!$G$60*(sezione!$AO$32-C1254)/C1254</f>
        <v>0.16401779505570638</v>
      </c>
      <c r="O1254" s="551">
        <f>'Sollecitazioni nel paramento'!$G$60*(sezione!$AP$32-C1254)/C1254</f>
        <v>0.52939832901385087</v>
      </c>
      <c r="P1254" s="545">
        <f>-'Sollecitazioni nel paramento'!$G$47*'Sollecitazioni nel paramento'!$G$41*IF(DATI!$G$211="dx",DATI!$E$61,DATI!$E$64*DATI!$E$63)*1000*C1254*sezione!$AD$5</f>
        <v>-127355.54448353073</v>
      </c>
      <c r="Q1254" s="545">
        <f>'Foglio deposito bis'!$F$68*IF(ABS(K1254)&lt;'Sollecitazioni nel paramento'!$G$58,ABS(K1254)*'Sollecitazioni nel paramento'!$G$54,'Sollecitazioni nel paramento'!$G$53)*IF(K1254&lt;0,-1,1)</f>
        <v>0</v>
      </c>
      <c r="R1254" s="545">
        <f>'Foglio deposito bis'!$F$69*IF(ABS(L1254)&lt;'Sollecitazioni nel paramento'!$G$58,ABS(L1254)*'Sollecitazioni nel paramento'!$G$54,'Sollecitazioni nel paramento'!$G$53)*IF(L1254&lt;0,-1,1)</f>
        <v>153664.85805602249</v>
      </c>
      <c r="S1254" s="545">
        <f>'Foglio deposito bis'!$F$70*IF(ABS(M1254)&lt;'Sollecitazioni nel paramento'!$G$58,ABS(M1254)*'Sollecitazioni nel paramento'!$G$54,'Sollecitazioni nel paramento'!$G$53)*IF(M1254&lt;0,-1,1)</f>
        <v>0</v>
      </c>
      <c r="T1254" s="545">
        <f>'Foglio deposito bis'!$F$71*IF(ABS(N1254)&lt;'Sollecitazioni nel paramento'!$G$58,ABS(N1254)*'Sollecitazioni nel paramento'!$G$54,'Sollecitazioni nel paramento'!$G$53)*IF(N1254&lt;0,-1,1)</f>
        <v>314705.62929873407</v>
      </c>
      <c r="U1254" s="545">
        <f>'Foglio deposito bis'!$F$72*IF(ABS(O1254)&lt;'Sollecitazioni nel paramento'!$G$58,ABS(O1254)*'Sollecitazioni nel paramento'!$G$54,'Sollecitazioni nel paramento'!$G$53)*IF(O1254&lt;0,-1,1)</f>
        <v>491727.54577927204</v>
      </c>
      <c r="V1254" s="472">
        <f t="shared" si="91"/>
        <v>832742.48865049786</v>
      </c>
      <c r="W1254" s="551"/>
      <c r="X1254" s="551"/>
    </row>
    <row r="1255" spans="1:24" x14ac:dyDescent="0.25">
      <c r="A1255" s="545">
        <f t="shared" si="90"/>
        <v>818591.87259677215</v>
      </c>
      <c r="B1255" s="3">
        <f t="shared" si="92"/>
        <v>0.49999999999999994</v>
      </c>
      <c r="C1255" s="545">
        <f>'Foglio deposito bis'!$E$158/sezione!$B$247*B1255</f>
        <v>3.7143649247252117</v>
      </c>
      <c r="D1255" s="603">
        <f>-'Sollecitazioni nel paramento'!$G$47*'Sollecitazioni nel paramento'!$G$41*IF(DATI!$G$211="dx",DATI!$E$61,DATI!$E$64*DATI!$E$63)*1000*C1255^2*sezione!$AD$5*(1-sezione!$AD$6)</f>
        <v>-306953.62328995811</v>
      </c>
      <c r="E1255" s="545">
        <f>-'Foglio deposito bis'!$F$68*(C1255-sezione!$AL$32)*IF(ABS(K1255)&lt;'Sollecitazioni nel paramento'!$G$58,ABS(K1255)*'Sollecitazioni nel paramento'!$G$54,'Sollecitazioni nel paramento'!$G$53)</f>
        <v>0</v>
      </c>
      <c r="F1255" s="545">
        <f>-'Foglio deposito bis'!$F$69*(C1255-sezione!$AM$32)*IF(ABS(L1255)&lt;'Sollecitazioni nel paramento'!$G$58,ABS(L1255)*'Sollecitazioni nel paramento'!$G$54,'Sollecitazioni nel paramento'!$G$53)</f>
        <v>8649124.1244351827</v>
      </c>
      <c r="G1255" s="545">
        <f>-'Foglio deposito bis'!$F$70*(C1255-sezione!$AN$32)*IF(ABS(M1255)&lt;'Sollecitazioni nel paramento'!$G$58,ABS(M1255)*'Sollecitazioni nel paramento'!$G$54,'Sollecitazioni nel paramento'!$G$53)</f>
        <v>0</v>
      </c>
      <c r="H1255" s="545">
        <f>-'Foglio deposito bis'!$F$71*(C1255-sezione!$AO$32)*IF(ABS(N1255)&lt;'Sollecitazioni nel paramento'!$G$58,ABS(N1255)*'Sollecitazioni nel paramento'!$G$54,'Sollecitazioni nel paramento'!$G$53)</f>
        <v>49183969.136716664</v>
      </c>
      <c r="I1255" s="472">
        <f>-'Foglio deposito bis'!$F$72*(C1255-sezione!$AP$32)*IF(ABS(O1255)&lt;'Sollecitazioni nel paramento'!$G$58,ABS(O1255)*'Sollecitazioni nel paramento'!$G$54,'Sollecitazioni nel paramento'!$G$53)</f>
        <v>248454572.69798583</v>
      </c>
      <c r="J1255" s="472">
        <f t="shared" si="89"/>
        <v>305980712.33584774</v>
      </c>
      <c r="K1255" s="550">
        <f>'Sollecitazioni nel paramento'!$G$60*(sezione!$AL$32-C1255)/C1255</f>
        <v>3.4191503887533933E-2</v>
      </c>
      <c r="L1255" s="550">
        <f>'Sollecitazioni nel paramento'!$G$60*(sezione!$AM$32-C1255)/C1255</f>
        <v>5.3037255831300902E-2</v>
      </c>
      <c r="M1255" s="551">
        <f>'Sollecitazioni nel paramento'!$G$60*(sezione!$AN$32-C1255)/C1255</f>
        <v>7.1883007775067856E-2</v>
      </c>
      <c r="N1255" s="551">
        <f>'Sollecitazioni nel paramento'!$G$60*(sezione!$AO$32-C1255)/C1255</f>
        <v>0.14726601555013574</v>
      </c>
      <c r="O1255" s="551">
        <f>'Sollecitazioni nel paramento'!$G$60*(sezione!$AP$32-C1255)/C1255</f>
        <v>0.47610849611246581</v>
      </c>
      <c r="P1255" s="545">
        <f>-'Sollecitazioni nel paramento'!$G$47*'Sollecitazioni nel paramento'!$G$41*IF(DATI!$G$211="dx",DATI!$E$61,DATI!$E$64*DATI!$E$63)*1000*C1255*sezione!$AD$5</f>
        <v>-141506.16053725636</v>
      </c>
      <c r="Q1255" s="545">
        <f>'Foglio deposito bis'!$F$68*IF(ABS(K1255)&lt;'Sollecitazioni nel paramento'!$G$58,ABS(K1255)*'Sollecitazioni nel paramento'!$G$54,'Sollecitazioni nel paramento'!$G$53)*IF(K1255&lt;0,-1,1)</f>
        <v>0</v>
      </c>
      <c r="R1255" s="545">
        <f>'Foglio deposito bis'!$F$69*IF(ABS(L1255)&lt;'Sollecitazioni nel paramento'!$G$58,ABS(L1255)*'Sollecitazioni nel paramento'!$G$54,'Sollecitazioni nel paramento'!$G$53)*IF(L1255&lt;0,-1,1)</f>
        <v>153664.85805602249</v>
      </c>
      <c r="S1255" s="545">
        <f>'Foglio deposito bis'!$F$70*IF(ABS(M1255)&lt;'Sollecitazioni nel paramento'!$G$58,ABS(M1255)*'Sollecitazioni nel paramento'!$G$54,'Sollecitazioni nel paramento'!$G$53)*IF(M1255&lt;0,-1,1)</f>
        <v>0</v>
      </c>
      <c r="T1255" s="545">
        <f>'Foglio deposito bis'!$F$71*IF(ABS(N1255)&lt;'Sollecitazioni nel paramento'!$G$58,ABS(N1255)*'Sollecitazioni nel paramento'!$G$54,'Sollecitazioni nel paramento'!$G$53)*IF(N1255&lt;0,-1,1)</f>
        <v>314705.62929873407</v>
      </c>
      <c r="U1255" s="545">
        <f>'Foglio deposito bis'!$F$72*IF(ABS(O1255)&lt;'Sollecitazioni nel paramento'!$G$58,ABS(O1255)*'Sollecitazioni nel paramento'!$G$54,'Sollecitazioni nel paramento'!$G$53)*IF(O1255&lt;0,-1,1)</f>
        <v>491727.54577927204</v>
      </c>
      <c r="V1255" s="472">
        <f t="shared" si="91"/>
        <v>818591.87259677215</v>
      </c>
      <c r="W1255" s="551"/>
      <c r="X1255" s="551"/>
    </row>
    <row r="1256" spans="1:24" x14ac:dyDescent="0.25">
      <c r="A1256" s="545">
        <f t="shared" si="90"/>
        <v>804441.25654304656</v>
      </c>
      <c r="B1256" s="3">
        <f t="shared" si="92"/>
        <v>0.54999999999999993</v>
      </c>
      <c r="C1256" s="545">
        <f>'Foglio deposito bis'!$E$158/sezione!$B$247*B1256</f>
        <v>4.0858014171977333</v>
      </c>
      <c r="D1256" s="603">
        <f>-'Sollecitazioni nel paramento'!$G$47*'Sollecitazioni nel paramento'!$G$41*IF(DATI!$G$211="dx",DATI!$E$61,DATI!$E$64*DATI!$E$63)*1000*C1256^2*sezione!$AD$5*(1-sezione!$AD$6)</f>
        <v>-371413.88418084942</v>
      </c>
      <c r="E1256" s="545">
        <f>-'Foglio deposito bis'!$F$68*(C1256-sezione!$AL$32)*IF(ABS(K1256)&lt;'Sollecitazioni nel paramento'!$G$58,ABS(K1256)*'Sollecitazioni nel paramento'!$G$54,'Sollecitazioni nel paramento'!$G$53)</f>
        <v>0</v>
      </c>
      <c r="F1256" s="545">
        <f>-'Foglio deposito bis'!$F$69*(C1256-sezione!$AM$32)*IF(ABS(L1256)&lt;'Sollecitazioni nel paramento'!$G$58,ABS(L1256)*'Sollecitazioni nel paramento'!$G$54,'Sollecitazioni nel paramento'!$G$53)</f>
        <v>8592047.3885425646</v>
      </c>
      <c r="G1256" s="545">
        <f>-'Foglio deposito bis'!$F$70*(C1256-sezione!$AN$32)*IF(ABS(M1256)&lt;'Sollecitazioni nel paramento'!$G$58,ABS(M1256)*'Sollecitazioni nel paramento'!$G$54,'Sollecitazioni nel paramento'!$G$53)</f>
        <v>0</v>
      </c>
      <c r="H1256" s="545">
        <f>-'Foglio deposito bis'!$F$71*(C1256-sezione!$AO$32)*IF(ABS(N1256)&lt;'Sollecitazioni nel paramento'!$G$58,ABS(N1256)*'Sollecitazioni nel paramento'!$G$54,'Sollecitazioni nel paramento'!$G$53)</f>
        <v>49067075.981608585</v>
      </c>
      <c r="I1256" s="472">
        <f>-'Foglio deposito bis'!$F$72*(C1256-sezione!$AP$32)*IF(ABS(O1256)&lt;'Sollecitazioni nel paramento'!$G$58,ABS(O1256)*'Sollecitazioni nel paramento'!$G$54,'Sollecitazioni nel paramento'!$G$53)</f>
        <v>248271927.1431295</v>
      </c>
      <c r="J1256" s="472">
        <f t="shared" si="89"/>
        <v>305559636.62909979</v>
      </c>
      <c r="K1256" s="550">
        <f>'Sollecitazioni nel paramento'!$G$60*(sezione!$AL$32-C1256)/C1256</f>
        <v>3.0765003534121753E-2</v>
      </c>
      <c r="L1256" s="550">
        <f>'Sollecitazioni nel paramento'!$G$60*(sezione!$AM$32-C1256)/C1256</f>
        <v>4.7897505301182634E-2</v>
      </c>
      <c r="M1256" s="551">
        <f>'Sollecitazioni nel paramento'!$G$60*(sezione!$AN$32-C1256)/C1256</f>
        <v>6.5030007068243509E-2</v>
      </c>
      <c r="N1256" s="551">
        <f>'Sollecitazioni nel paramento'!$G$60*(sezione!$AO$32-C1256)/C1256</f>
        <v>0.13356001413648702</v>
      </c>
      <c r="O1256" s="551">
        <f>'Sollecitazioni nel paramento'!$G$60*(sezione!$AP$32-C1256)/C1256</f>
        <v>0.43250772373860524</v>
      </c>
      <c r="P1256" s="545">
        <f>-'Sollecitazioni nel paramento'!$G$47*'Sollecitazioni nel paramento'!$G$41*IF(DATI!$G$211="dx",DATI!$E$61,DATI!$E$64*DATI!$E$63)*1000*C1256*sezione!$AD$5</f>
        <v>-155656.77659098202</v>
      </c>
      <c r="Q1256" s="545">
        <f>'Foglio deposito bis'!$F$68*IF(ABS(K1256)&lt;'Sollecitazioni nel paramento'!$G$58,ABS(K1256)*'Sollecitazioni nel paramento'!$G$54,'Sollecitazioni nel paramento'!$G$53)*IF(K1256&lt;0,-1,1)</f>
        <v>0</v>
      </c>
      <c r="R1256" s="545">
        <f>'Foglio deposito bis'!$F$69*IF(ABS(L1256)&lt;'Sollecitazioni nel paramento'!$G$58,ABS(L1256)*'Sollecitazioni nel paramento'!$G$54,'Sollecitazioni nel paramento'!$G$53)*IF(L1256&lt;0,-1,1)</f>
        <v>153664.85805602249</v>
      </c>
      <c r="S1256" s="545">
        <f>'Foglio deposito bis'!$F$70*IF(ABS(M1256)&lt;'Sollecitazioni nel paramento'!$G$58,ABS(M1256)*'Sollecitazioni nel paramento'!$G$54,'Sollecitazioni nel paramento'!$G$53)*IF(M1256&lt;0,-1,1)</f>
        <v>0</v>
      </c>
      <c r="T1256" s="545">
        <f>'Foglio deposito bis'!$F$71*IF(ABS(N1256)&lt;'Sollecitazioni nel paramento'!$G$58,ABS(N1256)*'Sollecitazioni nel paramento'!$G$54,'Sollecitazioni nel paramento'!$G$53)*IF(N1256&lt;0,-1,1)</f>
        <v>314705.62929873407</v>
      </c>
      <c r="U1256" s="545">
        <f>'Foglio deposito bis'!$F$72*IF(ABS(O1256)&lt;'Sollecitazioni nel paramento'!$G$58,ABS(O1256)*'Sollecitazioni nel paramento'!$G$54,'Sollecitazioni nel paramento'!$G$53)*IF(O1256&lt;0,-1,1)</f>
        <v>491727.54577927204</v>
      </c>
      <c r="V1256" s="472">
        <f t="shared" si="91"/>
        <v>804441.25654304656</v>
      </c>
      <c r="W1256" s="551"/>
      <c r="X1256" s="551"/>
    </row>
    <row r="1257" spans="1:24" x14ac:dyDescent="0.25">
      <c r="A1257" s="545">
        <f t="shared" si="90"/>
        <v>790290.64048932097</v>
      </c>
      <c r="B1257" s="3">
        <f t="shared" si="92"/>
        <v>0.6</v>
      </c>
      <c r="C1257" s="545">
        <f>'Foglio deposito bis'!$E$158/sezione!$B$247*B1257</f>
        <v>4.4572379096702548</v>
      </c>
      <c r="D1257" s="603">
        <f>-'Sollecitazioni nel paramento'!$G$47*'Sollecitazioni nel paramento'!$G$41*IF(DATI!$G$211="dx",DATI!$E$61,DATI!$E$64*DATI!$E$63)*1000*C1257^2*sezione!$AD$5*(1-sezione!$AD$6)</f>
        <v>-442013.21753753978</v>
      </c>
      <c r="E1257" s="545">
        <f>-'Foglio deposito bis'!$F$68*(C1257-sezione!$AL$32)*IF(ABS(K1257)&lt;'Sollecitazioni nel paramento'!$G$58,ABS(K1257)*'Sollecitazioni nel paramento'!$G$54,'Sollecitazioni nel paramento'!$G$53)</f>
        <v>0</v>
      </c>
      <c r="F1257" s="545">
        <f>-'Foglio deposito bis'!$F$69*(C1257-sezione!$AM$32)*IF(ABS(L1257)&lt;'Sollecitazioni nel paramento'!$G$58,ABS(L1257)*'Sollecitazioni nel paramento'!$G$54,'Sollecitazioni nel paramento'!$G$53)</f>
        <v>8534970.6526499465</v>
      </c>
      <c r="G1257" s="545">
        <f>-'Foglio deposito bis'!$F$70*(C1257-sezione!$AN$32)*IF(ABS(M1257)&lt;'Sollecitazioni nel paramento'!$G$58,ABS(M1257)*'Sollecitazioni nel paramento'!$G$54,'Sollecitazioni nel paramento'!$G$53)</f>
        <v>0</v>
      </c>
      <c r="H1257" s="545">
        <f>-'Foglio deposito bis'!$F$71*(C1257-sezione!$AO$32)*IF(ABS(N1257)&lt;'Sollecitazioni nel paramento'!$G$58,ABS(N1257)*'Sollecitazioni nel paramento'!$G$54,'Sollecitazioni nel paramento'!$G$53)</f>
        <v>48950182.826500505</v>
      </c>
      <c r="I1257" s="472">
        <f>-'Foglio deposito bis'!$F$72*(C1257-sezione!$AP$32)*IF(ABS(O1257)&lt;'Sollecitazioni nel paramento'!$G$58,ABS(O1257)*'Sollecitazioni nel paramento'!$G$54,'Sollecitazioni nel paramento'!$G$53)</f>
        <v>248089281.58827311</v>
      </c>
      <c r="J1257" s="472">
        <f t="shared" si="89"/>
        <v>305132421.849886</v>
      </c>
      <c r="K1257" s="550">
        <f>'Sollecitazioni nel paramento'!$G$60*(sezione!$AL$32-C1257)/C1257</f>
        <v>2.7909586572944938E-2</v>
      </c>
      <c r="L1257" s="550">
        <f>'Sollecitazioni nel paramento'!$G$60*(sezione!$AM$32-C1257)/C1257</f>
        <v>4.3614379859417407E-2</v>
      </c>
      <c r="M1257" s="551">
        <f>'Sollecitazioni nel paramento'!$G$60*(sezione!$AN$32-C1257)/C1257</f>
        <v>5.9319173145889879E-2</v>
      </c>
      <c r="N1257" s="551">
        <f>'Sollecitazioni nel paramento'!$G$60*(sezione!$AO$32-C1257)/C1257</f>
        <v>0.12213834629177975</v>
      </c>
      <c r="O1257" s="551">
        <f>'Sollecitazioni nel paramento'!$G$60*(sezione!$AP$32-C1257)/C1257</f>
        <v>0.39617374676038813</v>
      </c>
      <c r="P1257" s="545">
        <f>-'Sollecitazioni nel paramento'!$G$47*'Sollecitazioni nel paramento'!$G$41*IF(DATI!$G$211="dx",DATI!$E$61,DATI!$E$64*DATI!$E$63)*1000*C1257*sezione!$AD$5</f>
        <v>-169807.39264470767</v>
      </c>
      <c r="Q1257" s="545">
        <f>'Foglio deposito bis'!$F$68*IF(ABS(K1257)&lt;'Sollecitazioni nel paramento'!$G$58,ABS(K1257)*'Sollecitazioni nel paramento'!$G$54,'Sollecitazioni nel paramento'!$G$53)*IF(K1257&lt;0,-1,1)</f>
        <v>0</v>
      </c>
      <c r="R1257" s="545">
        <f>'Foglio deposito bis'!$F$69*IF(ABS(L1257)&lt;'Sollecitazioni nel paramento'!$G$58,ABS(L1257)*'Sollecitazioni nel paramento'!$G$54,'Sollecitazioni nel paramento'!$G$53)*IF(L1257&lt;0,-1,1)</f>
        <v>153664.85805602249</v>
      </c>
      <c r="S1257" s="545">
        <f>'Foglio deposito bis'!$F$70*IF(ABS(M1257)&lt;'Sollecitazioni nel paramento'!$G$58,ABS(M1257)*'Sollecitazioni nel paramento'!$G$54,'Sollecitazioni nel paramento'!$G$53)*IF(M1257&lt;0,-1,1)</f>
        <v>0</v>
      </c>
      <c r="T1257" s="545">
        <f>'Foglio deposito bis'!$F$71*IF(ABS(N1257)&lt;'Sollecitazioni nel paramento'!$G$58,ABS(N1257)*'Sollecitazioni nel paramento'!$G$54,'Sollecitazioni nel paramento'!$G$53)*IF(N1257&lt;0,-1,1)</f>
        <v>314705.62929873407</v>
      </c>
      <c r="U1257" s="545">
        <f>'Foglio deposito bis'!$F$72*IF(ABS(O1257)&lt;'Sollecitazioni nel paramento'!$G$58,ABS(O1257)*'Sollecitazioni nel paramento'!$G$54,'Sollecitazioni nel paramento'!$G$53)*IF(O1257&lt;0,-1,1)</f>
        <v>491727.54577927204</v>
      </c>
      <c r="V1257" s="472">
        <f t="shared" si="91"/>
        <v>790290.64048932097</v>
      </c>
      <c r="W1257" s="551"/>
      <c r="X1257" s="551"/>
    </row>
    <row r="1258" spans="1:24" x14ac:dyDescent="0.25">
      <c r="A1258" s="545">
        <f t="shared" si="90"/>
        <v>776140.02443559538</v>
      </c>
      <c r="B1258" s="3">
        <f t="shared" si="92"/>
        <v>0.65</v>
      </c>
      <c r="C1258" s="545">
        <f>'Foglio deposito bis'!$E$158/sezione!$B$247*B1258</f>
        <v>4.8286744021427763</v>
      </c>
      <c r="D1258" s="603">
        <f>-'Sollecitazioni nel paramento'!$G$47*'Sollecitazioni nel paramento'!$G$41*IF(DATI!$G$211="dx",DATI!$E$61,DATI!$E$64*DATI!$E$63)*1000*C1258^2*sezione!$AD$5*(1-sezione!$AD$6)</f>
        <v>-518751.62336002936</v>
      </c>
      <c r="E1258" s="545">
        <f>-'Foglio deposito bis'!$F$68*(C1258-sezione!$AL$32)*IF(ABS(K1258)&lt;'Sollecitazioni nel paramento'!$G$58,ABS(K1258)*'Sollecitazioni nel paramento'!$G$54,'Sollecitazioni nel paramento'!$G$53)</f>
        <v>0</v>
      </c>
      <c r="F1258" s="545">
        <f>-'Foglio deposito bis'!$F$69*(C1258-sezione!$AM$32)*IF(ABS(L1258)&lt;'Sollecitazioni nel paramento'!$G$58,ABS(L1258)*'Sollecitazioni nel paramento'!$G$54,'Sollecitazioni nel paramento'!$G$53)</f>
        <v>8477893.9167573303</v>
      </c>
      <c r="G1258" s="545">
        <f>-'Foglio deposito bis'!$F$70*(C1258-sezione!$AN$32)*IF(ABS(M1258)&lt;'Sollecitazioni nel paramento'!$G$58,ABS(M1258)*'Sollecitazioni nel paramento'!$G$54,'Sollecitazioni nel paramento'!$G$53)</f>
        <v>0</v>
      </c>
      <c r="H1258" s="545">
        <f>-'Foglio deposito bis'!$F$71*(C1258-sezione!$AO$32)*IF(ABS(N1258)&lt;'Sollecitazioni nel paramento'!$G$58,ABS(N1258)*'Sollecitazioni nel paramento'!$G$54,'Sollecitazioni nel paramento'!$G$53)</f>
        <v>48833289.671392418</v>
      </c>
      <c r="I1258" s="472">
        <f>-'Foglio deposito bis'!$F$72*(C1258-sezione!$AP$32)*IF(ABS(O1258)&lt;'Sollecitazioni nel paramento'!$G$58,ABS(O1258)*'Sollecitazioni nel paramento'!$G$54,'Sollecitazioni nel paramento'!$G$53)</f>
        <v>247906636.03341672</v>
      </c>
      <c r="J1258" s="472">
        <f t="shared" si="89"/>
        <v>304699067.99820644</v>
      </c>
      <c r="K1258" s="550">
        <f>'Sollecitazioni nel paramento'!$G$60*(sezione!$AL$32-C1258)/C1258</f>
        <v>2.5493464528872252E-2</v>
      </c>
      <c r="L1258" s="550">
        <f>'Sollecitazioni nel paramento'!$G$60*(sezione!$AM$32-C1258)/C1258</f>
        <v>3.9990196793308376E-2</v>
      </c>
      <c r="M1258" s="551">
        <f>'Sollecitazioni nel paramento'!$G$60*(sezione!$AN$32-C1258)/C1258</f>
        <v>5.4486929057744493E-2</v>
      </c>
      <c r="N1258" s="551">
        <f>'Sollecitazioni nel paramento'!$G$60*(sezione!$AO$32-C1258)/C1258</f>
        <v>0.112473858115489</v>
      </c>
      <c r="O1258" s="551">
        <f>'Sollecitazioni nel paramento'!$G$60*(sezione!$AP$32-C1258)/C1258</f>
        <v>0.36542961239420441</v>
      </c>
      <c r="P1258" s="545">
        <f>-'Sollecitazioni nel paramento'!$G$47*'Sollecitazioni nel paramento'!$G$41*IF(DATI!$G$211="dx",DATI!$E$61,DATI!$E$64*DATI!$E$63)*1000*C1258*sezione!$AD$5</f>
        <v>-183958.00869843332</v>
      </c>
      <c r="Q1258" s="545">
        <f>'Foglio deposito bis'!$F$68*IF(ABS(K1258)&lt;'Sollecitazioni nel paramento'!$G$58,ABS(K1258)*'Sollecitazioni nel paramento'!$G$54,'Sollecitazioni nel paramento'!$G$53)*IF(K1258&lt;0,-1,1)</f>
        <v>0</v>
      </c>
      <c r="R1258" s="545">
        <f>'Foglio deposito bis'!$F$69*IF(ABS(L1258)&lt;'Sollecitazioni nel paramento'!$G$58,ABS(L1258)*'Sollecitazioni nel paramento'!$G$54,'Sollecitazioni nel paramento'!$G$53)*IF(L1258&lt;0,-1,1)</f>
        <v>153664.85805602249</v>
      </c>
      <c r="S1258" s="545">
        <f>'Foglio deposito bis'!$F$70*IF(ABS(M1258)&lt;'Sollecitazioni nel paramento'!$G$58,ABS(M1258)*'Sollecitazioni nel paramento'!$G$54,'Sollecitazioni nel paramento'!$G$53)*IF(M1258&lt;0,-1,1)</f>
        <v>0</v>
      </c>
      <c r="T1258" s="545">
        <f>'Foglio deposito bis'!$F$71*IF(ABS(N1258)&lt;'Sollecitazioni nel paramento'!$G$58,ABS(N1258)*'Sollecitazioni nel paramento'!$G$54,'Sollecitazioni nel paramento'!$G$53)*IF(N1258&lt;0,-1,1)</f>
        <v>314705.62929873407</v>
      </c>
      <c r="U1258" s="545">
        <f>'Foglio deposito bis'!$F$72*IF(ABS(O1258)&lt;'Sollecitazioni nel paramento'!$G$58,ABS(O1258)*'Sollecitazioni nel paramento'!$G$54,'Sollecitazioni nel paramento'!$G$53)*IF(O1258&lt;0,-1,1)</f>
        <v>491727.54577927204</v>
      </c>
      <c r="V1258" s="472">
        <f t="shared" si="91"/>
        <v>776140.02443559538</v>
      </c>
      <c r="W1258" s="551"/>
      <c r="X1258" s="551"/>
    </row>
    <row r="1259" spans="1:24" x14ac:dyDescent="0.25">
      <c r="A1259" s="545">
        <f t="shared" si="90"/>
        <v>761989.40838186955</v>
      </c>
      <c r="B1259" s="3">
        <f t="shared" si="92"/>
        <v>0.70000000000000007</v>
      </c>
      <c r="C1259" s="545">
        <f>'Foglio deposito bis'!$E$158/sezione!$B$247*B1259</f>
        <v>5.2001108946152979</v>
      </c>
      <c r="D1259" s="603">
        <f>-'Sollecitazioni nel paramento'!$G$47*'Sollecitazioni nel paramento'!$G$41*IF(DATI!$G$211="dx",DATI!$E$61,DATI!$E$64*DATI!$E$63)*1000*C1259^2*sezione!$AD$5*(1-sezione!$AD$6)</f>
        <v>-601629.10164831823</v>
      </c>
      <c r="E1259" s="545">
        <f>-'Foglio deposito bis'!$F$68*(C1259-sezione!$AL$32)*IF(ABS(K1259)&lt;'Sollecitazioni nel paramento'!$G$58,ABS(K1259)*'Sollecitazioni nel paramento'!$G$54,'Sollecitazioni nel paramento'!$G$53)</f>
        <v>0</v>
      </c>
      <c r="F1259" s="545">
        <f>-'Foglio deposito bis'!$F$69*(C1259-sezione!$AM$32)*IF(ABS(L1259)&lt;'Sollecitazioni nel paramento'!$G$58,ABS(L1259)*'Sollecitazioni nel paramento'!$G$54,'Sollecitazioni nel paramento'!$G$53)</f>
        <v>8420817.1808647141</v>
      </c>
      <c r="G1259" s="545">
        <f>-'Foglio deposito bis'!$F$70*(C1259-sezione!$AN$32)*IF(ABS(M1259)&lt;'Sollecitazioni nel paramento'!$G$58,ABS(M1259)*'Sollecitazioni nel paramento'!$G$54,'Sollecitazioni nel paramento'!$G$53)</f>
        <v>0</v>
      </c>
      <c r="H1259" s="545">
        <f>-'Foglio deposito bis'!$F$71*(C1259-sezione!$AO$32)*IF(ABS(N1259)&lt;'Sollecitazioni nel paramento'!$G$58,ABS(N1259)*'Sollecitazioni nel paramento'!$G$54,'Sollecitazioni nel paramento'!$G$53)</f>
        <v>48716396.516284339</v>
      </c>
      <c r="I1259" s="472">
        <f>-'Foglio deposito bis'!$F$72*(C1259-sezione!$AP$32)*IF(ABS(O1259)&lt;'Sollecitazioni nel paramento'!$G$58,ABS(O1259)*'Sollecitazioni nel paramento'!$G$54,'Sollecitazioni nel paramento'!$G$53)</f>
        <v>247723990.47856033</v>
      </c>
      <c r="J1259" s="472">
        <f t="shared" si="89"/>
        <v>304259575.07406104</v>
      </c>
      <c r="K1259" s="550">
        <f>'Sollecitazioni nel paramento'!$G$60*(sezione!$AL$32-C1259)/C1259</f>
        <v>2.3422502776809944E-2</v>
      </c>
      <c r="L1259" s="550">
        <f>'Sollecitazioni nel paramento'!$G$60*(sezione!$AM$32-C1259)/C1259</f>
        <v>3.6883754165214916E-2</v>
      </c>
      <c r="M1259" s="551">
        <f>'Sollecitazioni nel paramento'!$G$60*(sezione!$AN$32-C1259)/C1259</f>
        <v>5.0345005553619891E-2</v>
      </c>
      <c r="N1259" s="551">
        <f>'Sollecitazioni nel paramento'!$G$60*(sezione!$AO$32-C1259)/C1259</f>
        <v>0.10419001110723977</v>
      </c>
      <c r="O1259" s="551">
        <f>'Sollecitazioni nel paramento'!$G$60*(sezione!$AP$32-C1259)/C1259</f>
        <v>0.33907749722318975</v>
      </c>
      <c r="P1259" s="545">
        <f>-'Sollecitazioni nel paramento'!$G$47*'Sollecitazioni nel paramento'!$G$41*IF(DATI!$G$211="dx",DATI!$E$61,DATI!$E$64*DATI!$E$63)*1000*C1259*sezione!$AD$5</f>
        <v>-198108.62475215897</v>
      </c>
      <c r="Q1259" s="545">
        <f>'Foglio deposito bis'!$F$68*IF(ABS(K1259)&lt;'Sollecitazioni nel paramento'!$G$58,ABS(K1259)*'Sollecitazioni nel paramento'!$G$54,'Sollecitazioni nel paramento'!$G$53)*IF(K1259&lt;0,-1,1)</f>
        <v>0</v>
      </c>
      <c r="R1259" s="545">
        <f>'Foglio deposito bis'!$F$69*IF(ABS(L1259)&lt;'Sollecitazioni nel paramento'!$G$58,ABS(L1259)*'Sollecitazioni nel paramento'!$G$54,'Sollecitazioni nel paramento'!$G$53)*IF(L1259&lt;0,-1,1)</f>
        <v>153664.85805602249</v>
      </c>
      <c r="S1259" s="545">
        <f>'Foglio deposito bis'!$F$70*IF(ABS(M1259)&lt;'Sollecitazioni nel paramento'!$G$58,ABS(M1259)*'Sollecitazioni nel paramento'!$G$54,'Sollecitazioni nel paramento'!$G$53)*IF(M1259&lt;0,-1,1)</f>
        <v>0</v>
      </c>
      <c r="T1259" s="545">
        <f>'Foglio deposito bis'!$F$71*IF(ABS(N1259)&lt;'Sollecitazioni nel paramento'!$G$58,ABS(N1259)*'Sollecitazioni nel paramento'!$G$54,'Sollecitazioni nel paramento'!$G$53)*IF(N1259&lt;0,-1,1)</f>
        <v>314705.62929873407</v>
      </c>
      <c r="U1259" s="545">
        <f>'Foglio deposito bis'!$F$72*IF(ABS(O1259)&lt;'Sollecitazioni nel paramento'!$G$58,ABS(O1259)*'Sollecitazioni nel paramento'!$G$54,'Sollecitazioni nel paramento'!$G$53)*IF(O1259&lt;0,-1,1)</f>
        <v>491727.54577927204</v>
      </c>
      <c r="V1259" s="472">
        <f t="shared" si="91"/>
        <v>761989.40838186955</v>
      </c>
      <c r="W1259" s="551"/>
      <c r="X1259" s="551"/>
    </row>
    <row r="1260" spans="1:24" x14ac:dyDescent="0.25">
      <c r="A1260" s="545">
        <f t="shared" si="90"/>
        <v>747838.79232814396</v>
      </c>
      <c r="B1260" s="3">
        <f t="shared" si="92"/>
        <v>0.75000000000000011</v>
      </c>
      <c r="C1260" s="545">
        <f>'Foglio deposito bis'!$E$158/sezione!$B$247*B1260</f>
        <v>5.5715473870878194</v>
      </c>
      <c r="D1260" s="603">
        <f>-'Sollecitazioni nel paramento'!$G$47*'Sollecitazioni nel paramento'!$G$41*IF(DATI!$G$211="dx",DATI!$E$61,DATI!$E$64*DATI!$E$63)*1000*C1260^2*sezione!$AD$5*(1-sezione!$AD$6)</f>
        <v>-690645.65240240621</v>
      </c>
      <c r="E1260" s="545">
        <f>-'Foglio deposito bis'!$F$68*(C1260-sezione!$AL$32)*IF(ABS(K1260)&lt;'Sollecitazioni nel paramento'!$G$58,ABS(K1260)*'Sollecitazioni nel paramento'!$G$54,'Sollecitazioni nel paramento'!$G$53)</f>
        <v>0</v>
      </c>
      <c r="F1260" s="545">
        <f>-'Foglio deposito bis'!$F$69*(C1260-sezione!$AM$32)*IF(ABS(L1260)&lt;'Sollecitazioni nel paramento'!$G$58,ABS(L1260)*'Sollecitazioni nel paramento'!$G$54,'Sollecitazioni nel paramento'!$G$53)</f>
        <v>8363740.4449720969</v>
      </c>
      <c r="G1260" s="545">
        <f>-'Foglio deposito bis'!$F$70*(C1260-sezione!$AN$32)*IF(ABS(M1260)&lt;'Sollecitazioni nel paramento'!$G$58,ABS(M1260)*'Sollecitazioni nel paramento'!$G$54,'Sollecitazioni nel paramento'!$G$53)</f>
        <v>0</v>
      </c>
      <c r="H1260" s="545">
        <f>-'Foglio deposito bis'!$F$71*(C1260-sezione!$AO$32)*IF(ABS(N1260)&lt;'Sollecitazioni nel paramento'!$G$58,ABS(N1260)*'Sollecitazioni nel paramento'!$G$54,'Sollecitazioni nel paramento'!$G$53)</f>
        <v>48599503.36117626</v>
      </c>
      <c r="I1260" s="472">
        <f>-'Foglio deposito bis'!$F$72*(C1260-sezione!$AP$32)*IF(ABS(O1260)&lt;'Sollecitazioni nel paramento'!$G$58,ABS(O1260)*'Sollecitazioni nel paramento'!$G$54,'Sollecitazioni nel paramento'!$G$53)</f>
        <v>247541344.92370394</v>
      </c>
      <c r="J1260" s="472">
        <f t="shared" si="89"/>
        <v>303813943.07744992</v>
      </c>
      <c r="K1260" s="550">
        <f>'Sollecitazioni nel paramento'!$G$60*(sezione!$AL$32-C1260)/C1260</f>
        <v>2.162766925835595E-2</v>
      </c>
      <c r="L1260" s="550">
        <f>'Sollecitazioni nel paramento'!$G$60*(sezione!$AM$32-C1260)/C1260</f>
        <v>3.4191503887533919E-2</v>
      </c>
      <c r="M1260" s="551">
        <f>'Sollecitazioni nel paramento'!$G$60*(sezione!$AN$32-C1260)/C1260</f>
        <v>4.6755338516711896E-2</v>
      </c>
      <c r="N1260" s="551">
        <f>'Sollecitazioni nel paramento'!$G$60*(sezione!$AO$32-C1260)/C1260</f>
        <v>9.7010677033423781E-2</v>
      </c>
      <c r="O1260" s="551">
        <f>'Sollecitazioni nel paramento'!$G$60*(sezione!$AP$32-C1260)/C1260</f>
        <v>0.31623899740831041</v>
      </c>
      <c r="P1260" s="545">
        <f>-'Sollecitazioni nel paramento'!$G$47*'Sollecitazioni nel paramento'!$G$41*IF(DATI!$G$211="dx",DATI!$E$61,DATI!$E$64*DATI!$E$63)*1000*C1260*sezione!$AD$5</f>
        <v>-212259.24080588462</v>
      </c>
      <c r="Q1260" s="545">
        <f>'Foglio deposito bis'!$F$68*IF(ABS(K1260)&lt;'Sollecitazioni nel paramento'!$G$58,ABS(K1260)*'Sollecitazioni nel paramento'!$G$54,'Sollecitazioni nel paramento'!$G$53)*IF(K1260&lt;0,-1,1)</f>
        <v>0</v>
      </c>
      <c r="R1260" s="545">
        <f>'Foglio deposito bis'!$F$69*IF(ABS(L1260)&lt;'Sollecitazioni nel paramento'!$G$58,ABS(L1260)*'Sollecitazioni nel paramento'!$G$54,'Sollecitazioni nel paramento'!$G$53)*IF(L1260&lt;0,-1,1)</f>
        <v>153664.85805602249</v>
      </c>
      <c r="S1260" s="545">
        <f>'Foglio deposito bis'!$F$70*IF(ABS(M1260)&lt;'Sollecitazioni nel paramento'!$G$58,ABS(M1260)*'Sollecitazioni nel paramento'!$G$54,'Sollecitazioni nel paramento'!$G$53)*IF(M1260&lt;0,-1,1)</f>
        <v>0</v>
      </c>
      <c r="T1260" s="545">
        <f>'Foglio deposito bis'!$F$71*IF(ABS(N1260)&lt;'Sollecitazioni nel paramento'!$G$58,ABS(N1260)*'Sollecitazioni nel paramento'!$G$54,'Sollecitazioni nel paramento'!$G$53)*IF(N1260&lt;0,-1,1)</f>
        <v>314705.62929873407</v>
      </c>
      <c r="U1260" s="545">
        <f>'Foglio deposito bis'!$F$72*IF(ABS(O1260)&lt;'Sollecitazioni nel paramento'!$G$58,ABS(O1260)*'Sollecitazioni nel paramento'!$G$54,'Sollecitazioni nel paramento'!$G$53)*IF(O1260&lt;0,-1,1)</f>
        <v>491727.54577927204</v>
      </c>
      <c r="V1260" s="472">
        <f t="shared" si="91"/>
        <v>747838.79232814396</v>
      </c>
      <c r="W1260" s="551"/>
      <c r="X1260" s="551"/>
    </row>
    <row r="1261" spans="1:24" x14ac:dyDescent="0.25">
      <c r="A1261" s="545">
        <f t="shared" si="90"/>
        <v>733688.17627441837</v>
      </c>
      <c r="B1261" s="3">
        <f t="shared" si="92"/>
        <v>0.80000000000000016</v>
      </c>
      <c r="C1261" s="545">
        <f>'Foglio deposito bis'!$E$158/sezione!$B$247*B1261</f>
        <v>5.9429838795603409</v>
      </c>
      <c r="D1261" s="603">
        <f>-'Sollecitazioni nel paramento'!$G$47*'Sollecitazioni nel paramento'!$G$41*IF(DATI!$G$211="dx",DATI!$E$61,DATI!$E$64*DATI!$E$63)*1000*C1261^2*sezione!$AD$5*(1-sezione!$AD$6)</f>
        <v>-785801.27562229335</v>
      </c>
      <c r="E1261" s="545">
        <f>-'Foglio deposito bis'!$F$68*(C1261-sezione!$AL$32)*IF(ABS(K1261)&lt;'Sollecitazioni nel paramento'!$G$58,ABS(K1261)*'Sollecitazioni nel paramento'!$G$54,'Sollecitazioni nel paramento'!$G$53)</f>
        <v>0</v>
      </c>
      <c r="F1261" s="545">
        <f>-'Foglio deposito bis'!$F$69*(C1261-sezione!$AM$32)*IF(ABS(L1261)&lt;'Sollecitazioni nel paramento'!$G$58,ABS(L1261)*'Sollecitazioni nel paramento'!$G$54,'Sollecitazioni nel paramento'!$G$53)</f>
        <v>8306663.7090794789</v>
      </c>
      <c r="G1261" s="545">
        <f>-'Foglio deposito bis'!$F$70*(C1261-sezione!$AN$32)*IF(ABS(M1261)&lt;'Sollecitazioni nel paramento'!$G$58,ABS(M1261)*'Sollecitazioni nel paramento'!$G$54,'Sollecitazioni nel paramento'!$G$53)</f>
        <v>0</v>
      </c>
      <c r="H1261" s="545">
        <f>-'Foglio deposito bis'!$F$71*(C1261-sezione!$AO$32)*IF(ABS(N1261)&lt;'Sollecitazioni nel paramento'!$G$58,ABS(N1261)*'Sollecitazioni nel paramento'!$G$54,'Sollecitazioni nel paramento'!$G$53)</f>
        <v>48482610.206068188</v>
      </c>
      <c r="I1261" s="472">
        <f>-'Foglio deposito bis'!$F$72*(C1261-sezione!$AP$32)*IF(ABS(O1261)&lt;'Sollecitazioni nel paramento'!$G$58,ABS(O1261)*'Sollecitazioni nel paramento'!$G$54,'Sollecitazioni nel paramento'!$G$53)</f>
        <v>247358699.36884761</v>
      </c>
      <c r="J1261" s="472">
        <f t="shared" si="89"/>
        <v>303362172.00837296</v>
      </c>
      <c r="K1261" s="550">
        <f>'Sollecitazioni nel paramento'!$G$60*(sezione!$AL$32-C1261)/C1261</f>
        <v>2.0057189929708698E-2</v>
      </c>
      <c r="L1261" s="550">
        <f>'Sollecitazioni nel paramento'!$G$60*(sezione!$AM$32-C1261)/C1261</f>
        <v>3.1835784894563048E-2</v>
      </c>
      <c r="M1261" s="551">
        <f>'Sollecitazioni nel paramento'!$G$60*(sezione!$AN$32-C1261)/C1261</f>
        <v>4.36143798594174E-2</v>
      </c>
      <c r="N1261" s="551">
        <f>'Sollecitazioni nel paramento'!$G$60*(sezione!$AO$32-C1261)/C1261</f>
        <v>9.0728759718834803E-2</v>
      </c>
      <c r="O1261" s="551">
        <f>'Sollecitazioni nel paramento'!$G$60*(sezione!$AP$32-C1261)/C1261</f>
        <v>0.29625531007029104</v>
      </c>
      <c r="P1261" s="545">
        <f>-'Sollecitazioni nel paramento'!$G$47*'Sollecitazioni nel paramento'!$G$41*IF(DATI!$G$211="dx",DATI!$E$61,DATI!$E$64*DATI!$E$63)*1000*C1261*sezione!$AD$5</f>
        <v>-226409.85685961027</v>
      </c>
      <c r="Q1261" s="545">
        <f>'Foglio deposito bis'!$F$68*IF(ABS(K1261)&lt;'Sollecitazioni nel paramento'!$G$58,ABS(K1261)*'Sollecitazioni nel paramento'!$G$54,'Sollecitazioni nel paramento'!$G$53)*IF(K1261&lt;0,-1,1)</f>
        <v>0</v>
      </c>
      <c r="R1261" s="545">
        <f>'Foglio deposito bis'!$F$69*IF(ABS(L1261)&lt;'Sollecitazioni nel paramento'!$G$58,ABS(L1261)*'Sollecitazioni nel paramento'!$G$54,'Sollecitazioni nel paramento'!$G$53)*IF(L1261&lt;0,-1,1)</f>
        <v>153664.85805602249</v>
      </c>
      <c r="S1261" s="545">
        <f>'Foglio deposito bis'!$F$70*IF(ABS(M1261)&lt;'Sollecitazioni nel paramento'!$G$58,ABS(M1261)*'Sollecitazioni nel paramento'!$G$54,'Sollecitazioni nel paramento'!$G$53)*IF(M1261&lt;0,-1,1)</f>
        <v>0</v>
      </c>
      <c r="T1261" s="545">
        <f>'Foglio deposito bis'!$F$71*IF(ABS(N1261)&lt;'Sollecitazioni nel paramento'!$G$58,ABS(N1261)*'Sollecitazioni nel paramento'!$G$54,'Sollecitazioni nel paramento'!$G$53)*IF(N1261&lt;0,-1,1)</f>
        <v>314705.62929873407</v>
      </c>
      <c r="U1261" s="545">
        <f>'Foglio deposito bis'!$F$72*IF(ABS(O1261)&lt;'Sollecitazioni nel paramento'!$G$58,ABS(O1261)*'Sollecitazioni nel paramento'!$G$54,'Sollecitazioni nel paramento'!$G$53)*IF(O1261&lt;0,-1,1)</f>
        <v>491727.54577927204</v>
      </c>
      <c r="V1261" s="472">
        <f t="shared" si="91"/>
        <v>733688.17627441837</v>
      </c>
      <c r="W1261" s="551"/>
      <c r="X1261" s="551"/>
    </row>
    <row r="1262" spans="1:24" x14ac:dyDescent="0.25">
      <c r="A1262" s="545">
        <f t="shared" si="90"/>
        <v>719537.56022069277</v>
      </c>
      <c r="B1262" s="3">
        <f t="shared" si="92"/>
        <v>0.8500000000000002</v>
      </c>
      <c r="C1262" s="545">
        <f>'Foglio deposito bis'!$E$158/sezione!$B$247*B1262</f>
        <v>6.3144203720328624</v>
      </c>
      <c r="D1262" s="603">
        <f>-'Sollecitazioni nel paramento'!$G$47*'Sollecitazioni nel paramento'!$G$41*IF(DATI!$G$211="dx",DATI!$E$61,DATI!$E$64*DATI!$E$63)*1000*C1262^2*sezione!$AD$5*(1-sezione!$AD$6)</f>
        <v>-887095.97130797966</v>
      </c>
      <c r="E1262" s="545">
        <f>-'Foglio deposito bis'!$F$68*(C1262-sezione!$AL$32)*IF(ABS(K1262)&lt;'Sollecitazioni nel paramento'!$G$58,ABS(K1262)*'Sollecitazioni nel paramento'!$G$54,'Sollecitazioni nel paramento'!$G$53)</f>
        <v>0</v>
      </c>
      <c r="F1262" s="545">
        <f>-'Foglio deposito bis'!$F$69*(C1262-sezione!$AM$32)*IF(ABS(L1262)&lt;'Sollecitazioni nel paramento'!$G$58,ABS(L1262)*'Sollecitazioni nel paramento'!$G$54,'Sollecitazioni nel paramento'!$G$53)</f>
        <v>8249586.9731868627</v>
      </c>
      <c r="G1262" s="545">
        <f>-'Foglio deposito bis'!$F$70*(C1262-sezione!$AN$32)*IF(ABS(M1262)&lt;'Sollecitazioni nel paramento'!$G$58,ABS(M1262)*'Sollecitazioni nel paramento'!$G$54,'Sollecitazioni nel paramento'!$G$53)</f>
        <v>0</v>
      </c>
      <c r="H1262" s="545">
        <f>-'Foglio deposito bis'!$F$71*(C1262-sezione!$AO$32)*IF(ABS(N1262)&lt;'Sollecitazioni nel paramento'!$G$58,ABS(N1262)*'Sollecitazioni nel paramento'!$G$54,'Sollecitazioni nel paramento'!$G$53)</f>
        <v>48365717.050960109</v>
      </c>
      <c r="I1262" s="472">
        <f>-'Foglio deposito bis'!$F$72*(C1262-sezione!$AP$32)*IF(ABS(O1262)&lt;'Sollecitazioni nel paramento'!$G$58,ABS(O1262)*'Sollecitazioni nel paramento'!$G$54,'Sollecitazioni nel paramento'!$G$53)</f>
        <v>247176053.81399122</v>
      </c>
      <c r="J1262" s="472">
        <f t="shared" si="89"/>
        <v>302904261.86683023</v>
      </c>
      <c r="K1262" s="550">
        <f>'Sollecitazioni nel paramento'!$G$60*(sezione!$AL$32-C1262)/C1262</f>
        <v>1.867147287501995E-2</v>
      </c>
      <c r="L1262" s="550">
        <f>'Sollecitazioni nel paramento'!$G$60*(sezione!$AM$32-C1262)/C1262</f>
        <v>2.9757209312529929E-2</v>
      </c>
      <c r="M1262" s="551">
        <f>'Sollecitazioni nel paramento'!$G$60*(sezione!$AN$32-C1262)/C1262</f>
        <v>4.0842945750039911E-2</v>
      </c>
      <c r="N1262" s="551">
        <f>'Sollecitazioni nel paramento'!$G$60*(sezione!$AO$32-C1262)/C1262</f>
        <v>8.5185891500079811E-2</v>
      </c>
      <c r="O1262" s="551">
        <f>'Sollecitazioni nel paramento'!$G$60*(sezione!$AP$32-C1262)/C1262</f>
        <v>0.27862264477203857</v>
      </c>
      <c r="P1262" s="545">
        <f>-'Sollecitazioni nel paramento'!$G$47*'Sollecitazioni nel paramento'!$G$41*IF(DATI!$G$211="dx",DATI!$E$61,DATI!$E$64*DATI!$E$63)*1000*C1262*sezione!$AD$5</f>
        <v>-240560.47291333589</v>
      </c>
      <c r="Q1262" s="545">
        <f>'Foglio deposito bis'!$F$68*IF(ABS(K1262)&lt;'Sollecitazioni nel paramento'!$G$58,ABS(K1262)*'Sollecitazioni nel paramento'!$G$54,'Sollecitazioni nel paramento'!$G$53)*IF(K1262&lt;0,-1,1)</f>
        <v>0</v>
      </c>
      <c r="R1262" s="545">
        <f>'Foglio deposito bis'!$F$69*IF(ABS(L1262)&lt;'Sollecitazioni nel paramento'!$G$58,ABS(L1262)*'Sollecitazioni nel paramento'!$G$54,'Sollecitazioni nel paramento'!$G$53)*IF(L1262&lt;0,-1,1)</f>
        <v>153664.85805602249</v>
      </c>
      <c r="S1262" s="545">
        <f>'Foglio deposito bis'!$F$70*IF(ABS(M1262)&lt;'Sollecitazioni nel paramento'!$G$58,ABS(M1262)*'Sollecitazioni nel paramento'!$G$54,'Sollecitazioni nel paramento'!$G$53)*IF(M1262&lt;0,-1,1)</f>
        <v>0</v>
      </c>
      <c r="T1262" s="545">
        <f>'Foglio deposito bis'!$F$71*IF(ABS(N1262)&lt;'Sollecitazioni nel paramento'!$G$58,ABS(N1262)*'Sollecitazioni nel paramento'!$G$54,'Sollecitazioni nel paramento'!$G$53)*IF(N1262&lt;0,-1,1)</f>
        <v>314705.62929873407</v>
      </c>
      <c r="U1262" s="545">
        <f>'Foglio deposito bis'!$F$72*IF(ABS(O1262)&lt;'Sollecitazioni nel paramento'!$G$58,ABS(O1262)*'Sollecitazioni nel paramento'!$G$54,'Sollecitazioni nel paramento'!$G$53)*IF(O1262&lt;0,-1,1)</f>
        <v>491727.54577927204</v>
      </c>
      <c r="V1262" s="472">
        <f t="shared" si="91"/>
        <v>719537.56022069277</v>
      </c>
      <c r="W1262" s="551"/>
      <c r="X1262" s="551"/>
    </row>
    <row r="1263" spans="1:24" x14ac:dyDescent="0.25">
      <c r="A1263" s="545">
        <f t="shared" si="90"/>
        <v>705386.94416696706</v>
      </c>
      <c r="B1263" s="3">
        <f t="shared" si="92"/>
        <v>0.90000000000000024</v>
      </c>
      <c r="C1263" s="545">
        <f>'Foglio deposito bis'!$E$158/sezione!$B$247*B1263</f>
        <v>6.685856864505384</v>
      </c>
      <c r="D1263" s="603">
        <f>-'Sollecitazioni nel paramento'!$G$47*'Sollecitazioni nel paramento'!$G$41*IF(DATI!$G$211="dx",DATI!$E$61,DATI!$E$64*DATI!$E$63)*1000*C1263^2*sezione!$AD$5*(1-sezione!$AD$6)</f>
        <v>-994529.73945946514</v>
      </c>
      <c r="E1263" s="545">
        <f>-'Foglio deposito bis'!$F$68*(C1263-sezione!$AL$32)*IF(ABS(K1263)&lt;'Sollecitazioni nel paramento'!$G$58,ABS(K1263)*'Sollecitazioni nel paramento'!$G$54,'Sollecitazioni nel paramento'!$G$53)</f>
        <v>0</v>
      </c>
      <c r="F1263" s="545">
        <f>-'Foglio deposito bis'!$F$69*(C1263-sezione!$AM$32)*IF(ABS(L1263)&lt;'Sollecitazioni nel paramento'!$G$58,ABS(L1263)*'Sollecitazioni nel paramento'!$G$54,'Sollecitazioni nel paramento'!$G$53)</f>
        <v>8192510.2372942474</v>
      </c>
      <c r="G1263" s="545">
        <f>-'Foglio deposito bis'!$F$70*(C1263-sezione!$AN$32)*IF(ABS(M1263)&lt;'Sollecitazioni nel paramento'!$G$58,ABS(M1263)*'Sollecitazioni nel paramento'!$G$54,'Sollecitazioni nel paramento'!$G$53)</f>
        <v>0</v>
      </c>
      <c r="H1263" s="545">
        <f>-'Foglio deposito bis'!$F$71*(C1263-sezione!$AO$32)*IF(ABS(N1263)&lt;'Sollecitazioni nel paramento'!$G$58,ABS(N1263)*'Sollecitazioni nel paramento'!$G$54,'Sollecitazioni nel paramento'!$G$53)</f>
        <v>48248823.895852022</v>
      </c>
      <c r="I1263" s="472">
        <f>-'Foglio deposito bis'!$F$72*(C1263-sezione!$AP$32)*IF(ABS(O1263)&lt;'Sollecitazioni nel paramento'!$G$58,ABS(O1263)*'Sollecitazioni nel paramento'!$G$54,'Sollecitazioni nel paramento'!$G$53)</f>
        <v>246993408.25913483</v>
      </c>
      <c r="J1263" s="472">
        <f t="shared" si="89"/>
        <v>302440212.65282166</v>
      </c>
      <c r="K1263" s="550">
        <f>'Sollecitazioni nel paramento'!$G$60*(sezione!$AL$32-C1263)/C1263</f>
        <v>1.7439724381963288E-2</v>
      </c>
      <c r="L1263" s="550">
        <f>'Sollecitazioni nel paramento'!$G$60*(sezione!$AM$32-C1263)/C1263</f>
        <v>2.7909586572944931E-2</v>
      </c>
      <c r="M1263" s="551">
        <f>'Sollecitazioni nel paramento'!$G$60*(sezione!$AN$32-C1263)/C1263</f>
        <v>3.8379448763926578E-2</v>
      </c>
      <c r="N1263" s="551">
        <f>'Sollecitazioni nel paramento'!$G$60*(sezione!$AO$32-C1263)/C1263</f>
        <v>8.0258897527853146E-2</v>
      </c>
      <c r="O1263" s="551">
        <f>'Sollecitazioni nel paramento'!$G$60*(sezione!$AP$32-C1263)/C1263</f>
        <v>0.26294916450692529</v>
      </c>
      <c r="P1263" s="545">
        <f>-'Sollecitazioni nel paramento'!$G$47*'Sollecitazioni nel paramento'!$G$41*IF(DATI!$G$211="dx",DATI!$E$61,DATI!$E$64*DATI!$E$63)*1000*C1263*sezione!$AD$5</f>
        <v>-254711.08896706154</v>
      </c>
      <c r="Q1263" s="545">
        <f>'Foglio deposito bis'!$F$68*IF(ABS(K1263)&lt;'Sollecitazioni nel paramento'!$G$58,ABS(K1263)*'Sollecitazioni nel paramento'!$G$54,'Sollecitazioni nel paramento'!$G$53)*IF(K1263&lt;0,-1,1)</f>
        <v>0</v>
      </c>
      <c r="R1263" s="545">
        <f>'Foglio deposito bis'!$F$69*IF(ABS(L1263)&lt;'Sollecitazioni nel paramento'!$G$58,ABS(L1263)*'Sollecitazioni nel paramento'!$G$54,'Sollecitazioni nel paramento'!$G$53)*IF(L1263&lt;0,-1,1)</f>
        <v>153664.85805602249</v>
      </c>
      <c r="S1263" s="545">
        <f>'Foglio deposito bis'!$F$70*IF(ABS(M1263)&lt;'Sollecitazioni nel paramento'!$G$58,ABS(M1263)*'Sollecitazioni nel paramento'!$G$54,'Sollecitazioni nel paramento'!$G$53)*IF(M1263&lt;0,-1,1)</f>
        <v>0</v>
      </c>
      <c r="T1263" s="545">
        <f>'Foglio deposito bis'!$F$71*IF(ABS(N1263)&lt;'Sollecitazioni nel paramento'!$G$58,ABS(N1263)*'Sollecitazioni nel paramento'!$G$54,'Sollecitazioni nel paramento'!$G$53)*IF(N1263&lt;0,-1,1)</f>
        <v>314705.62929873407</v>
      </c>
      <c r="U1263" s="545">
        <f>'Foglio deposito bis'!$F$72*IF(ABS(O1263)&lt;'Sollecitazioni nel paramento'!$G$58,ABS(O1263)*'Sollecitazioni nel paramento'!$G$54,'Sollecitazioni nel paramento'!$G$53)*IF(O1263&lt;0,-1,1)</f>
        <v>491727.54577927204</v>
      </c>
      <c r="V1263" s="472">
        <f t="shared" si="91"/>
        <v>705386.94416696706</v>
      </c>
      <c r="W1263" s="551"/>
      <c r="X1263" s="551"/>
    </row>
    <row r="1264" spans="1:24" x14ac:dyDescent="0.25">
      <c r="A1264" s="545">
        <f t="shared" si="90"/>
        <v>691236.32811324135</v>
      </c>
      <c r="B1264" s="3">
        <f t="shared" si="92"/>
        <v>0.95000000000000029</v>
      </c>
      <c r="C1264" s="545">
        <f>'Foglio deposito bis'!$E$158/sezione!$B$247*B1264</f>
        <v>7.0572933569779055</v>
      </c>
      <c r="D1264" s="603">
        <f>-'Sollecitazioni nel paramento'!$G$47*'Sollecitazioni nel paramento'!$G$41*IF(DATI!$G$211="dx",DATI!$E$61,DATI!$E$64*DATI!$E$63)*1000*C1264^2*sezione!$AD$5*(1-sezione!$AD$6)</f>
        <v>-1108102.5800767494</v>
      </c>
      <c r="E1264" s="545">
        <f>-'Foglio deposito bis'!$F$68*(C1264-sezione!$AL$32)*IF(ABS(K1264)&lt;'Sollecitazioni nel paramento'!$G$58,ABS(K1264)*'Sollecitazioni nel paramento'!$G$54,'Sollecitazioni nel paramento'!$G$53)</f>
        <v>0</v>
      </c>
      <c r="F1264" s="545">
        <f>-'Foglio deposito bis'!$F$69*(C1264-sezione!$AM$32)*IF(ABS(L1264)&lt;'Sollecitazioni nel paramento'!$G$58,ABS(L1264)*'Sollecitazioni nel paramento'!$G$54,'Sollecitazioni nel paramento'!$G$53)</f>
        <v>8135433.5014016293</v>
      </c>
      <c r="G1264" s="545">
        <f>-'Foglio deposito bis'!$F$70*(C1264-sezione!$AN$32)*IF(ABS(M1264)&lt;'Sollecitazioni nel paramento'!$G$58,ABS(M1264)*'Sollecitazioni nel paramento'!$G$54,'Sollecitazioni nel paramento'!$G$53)</f>
        <v>0</v>
      </c>
      <c r="H1264" s="545">
        <f>-'Foglio deposito bis'!$F$71*(C1264-sezione!$AO$32)*IF(ABS(N1264)&lt;'Sollecitazioni nel paramento'!$G$58,ABS(N1264)*'Sollecitazioni nel paramento'!$G$54,'Sollecitazioni nel paramento'!$G$53)</f>
        <v>48131930.740743943</v>
      </c>
      <c r="I1264" s="472">
        <f>-'Foglio deposito bis'!$F$72*(C1264-sezione!$AP$32)*IF(ABS(O1264)&lt;'Sollecitazioni nel paramento'!$G$58,ABS(O1264)*'Sollecitazioni nel paramento'!$G$54,'Sollecitazioni nel paramento'!$G$53)</f>
        <v>246810762.70427847</v>
      </c>
      <c r="J1264" s="472">
        <f t="shared" si="89"/>
        <v>301970024.36634731</v>
      </c>
      <c r="K1264" s="550">
        <f>'Sollecitazioni nel paramento'!$G$60*(sezione!$AL$32-C1264)/C1264</f>
        <v>1.6337633625017847E-2</v>
      </c>
      <c r="L1264" s="550">
        <f>'Sollecitazioni nel paramento'!$G$60*(sezione!$AM$32-C1264)/C1264</f>
        <v>2.6256450437526776E-2</v>
      </c>
      <c r="M1264" s="551">
        <f>'Sollecitazioni nel paramento'!$G$60*(sezione!$AN$32-C1264)/C1264</f>
        <v>3.6175267250035698E-2</v>
      </c>
      <c r="N1264" s="551">
        <f>'Sollecitazioni nel paramento'!$G$60*(sezione!$AO$32-C1264)/C1264</f>
        <v>7.5850534500071398E-2</v>
      </c>
      <c r="O1264" s="551">
        <f>'Sollecitazioni nel paramento'!$G$60*(sezione!$AP$32-C1264)/C1264</f>
        <v>0.24892552426971873</v>
      </c>
      <c r="P1264" s="545">
        <f>-'Sollecitazioni nel paramento'!$G$47*'Sollecitazioni nel paramento'!$G$41*IF(DATI!$G$211="dx",DATI!$E$61,DATI!$E$64*DATI!$E$63)*1000*C1264*sezione!$AD$5</f>
        <v>-268861.70502078725</v>
      </c>
      <c r="Q1264" s="545">
        <f>'Foglio deposito bis'!$F$68*IF(ABS(K1264)&lt;'Sollecitazioni nel paramento'!$G$58,ABS(K1264)*'Sollecitazioni nel paramento'!$G$54,'Sollecitazioni nel paramento'!$G$53)*IF(K1264&lt;0,-1,1)</f>
        <v>0</v>
      </c>
      <c r="R1264" s="545">
        <f>'Foglio deposito bis'!$F$69*IF(ABS(L1264)&lt;'Sollecitazioni nel paramento'!$G$58,ABS(L1264)*'Sollecitazioni nel paramento'!$G$54,'Sollecitazioni nel paramento'!$G$53)*IF(L1264&lt;0,-1,1)</f>
        <v>153664.85805602249</v>
      </c>
      <c r="S1264" s="545">
        <f>'Foglio deposito bis'!$F$70*IF(ABS(M1264)&lt;'Sollecitazioni nel paramento'!$G$58,ABS(M1264)*'Sollecitazioni nel paramento'!$G$54,'Sollecitazioni nel paramento'!$G$53)*IF(M1264&lt;0,-1,1)</f>
        <v>0</v>
      </c>
      <c r="T1264" s="545">
        <f>'Foglio deposito bis'!$F$71*IF(ABS(N1264)&lt;'Sollecitazioni nel paramento'!$G$58,ABS(N1264)*'Sollecitazioni nel paramento'!$G$54,'Sollecitazioni nel paramento'!$G$53)*IF(N1264&lt;0,-1,1)</f>
        <v>314705.62929873407</v>
      </c>
      <c r="U1264" s="545">
        <f>'Foglio deposito bis'!$F$72*IF(ABS(O1264)&lt;'Sollecitazioni nel paramento'!$G$58,ABS(O1264)*'Sollecitazioni nel paramento'!$G$54,'Sollecitazioni nel paramento'!$G$53)*IF(O1264&lt;0,-1,1)</f>
        <v>491727.54577927204</v>
      </c>
      <c r="V1264" s="472">
        <f t="shared" si="91"/>
        <v>691236.32811324135</v>
      </c>
      <c r="W1264" s="551"/>
      <c r="X1264" s="551"/>
    </row>
    <row r="1265" spans="1:24" x14ac:dyDescent="0.25">
      <c r="A1265" s="545">
        <f t="shared" si="90"/>
        <v>677085.71205951576</v>
      </c>
      <c r="B1265" s="3">
        <f t="shared" si="92"/>
        <v>1.0000000000000002</v>
      </c>
      <c r="C1265" s="545">
        <f>'Foglio deposito bis'!$E$158/sezione!$B$247*B1265</f>
        <v>7.4287298494504261</v>
      </c>
      <c r="D1265" s="603">
        <f>-'Sollecitazioni nel paramento'!$G$47*'Sollecitazioni nel paramento'!$G$41*IF(DATI!$G$211="dx",DATI!$E$61,DATI!$E$64*DATI!$E$63)*1000*C1265^2*sezione!$AD$5*(1-sezione!$AD$6)</f>
        <v>-1227814.4931598331</v>
      </c>
      <c r="E1265" s="545">
        <f>-'Foglio deposito bis'!$F$68*(C1265-sezione!$AL$32)*IF(ABS(K1265)&lt;'Sollecitazioni nel paramento'!$G$58,ABS(K1265)*'Sollecitazioni nel paramento'!$G$54,'Sollecitazioni nel paramento'!$G$53)</f>
        <v>0</v>
      </c>
      <c r="F1265" s="545">
        <f>-'Foglio deposito bis'!$F$69*(C1265-sezione!$AM$32)*IF(ABS(L1265)&lt;'Sollecitazioni nel paramento'!$G$58,ABS(L1265)*'Sollecitazioni nel paramento'!$G$54,'Sollecitazioni nel paramento'!$G$53)</f>
        <v>8078356.7655090122</v>
      </c>
      <c r="G1265" s="545">
        <f>-'Foglio deposito bis'!$F$70*(C1265-sezione!$AN$32)*IF(ABS(M1265)&lt;'Sollecitazioni nel paramento'!$G$58,ABS(M1265)*'Sollecitazioni nel paramento'!$G$54,'Sollecitazioni nel paramento'!$G$53)</f>
        <v>0</v>
      </c>
      <c r="H1265" s="545">
        <f>-'Foglio deposito bis'!$F$71*(C1265-sezione!$AO$32)*IF(ABS(N1265)&lt;'Sollecitazioni nel paramento'!$G$58,ABS(N1265)*'Sollecitazioni nel paramento'!$G$54,'Sollecitazioni nel paramento'!$G$53)</f>
        <v>48015037.585635871</v>
      </c>
      <c r="I1265" s="472">
        <f>-'Foglio deposito bis'!$F$72*(C1265-sezione!$AP$32)*IF(ABS(O1265)&lt;'Sollecitazioni nel paramento'!$G$58,ABS(O1265)*'Sollecitazioni nel paramento'!$G$54,'Sollecitazioni nel paramento'!$G$53)</f>
        <v>246628117.14942211</v>
      </c>
      <c r="J1265" s="472">
        <f t="shared" si="89"/>
        <v>301493697.00740719</v>
      </c>
      <c r="K1265" s="550">
        <f>'Sollecitazioni nel paramento'!$G$60*(sezione!$AL$32-C1265)/C1265</f>
        <v>1.534575194376696E-2</v>
      </c>
      <c r="L1265" s="550">
        <f>'Sollecitazioni nel paramento'!$G$60*(sezione!$AM$32-C1265)/C1265</f>
        <v>2.4768627915650439E-2</v>
      </c>
      <c r="M1265" s="551">
        <f>'Sollecitazioni nel paramento'!$G$60*(sezione!$AN$32-C1265)/C1265</f>
        <v>3.4191503887533926E-2</v>
      </c>
      <c r="N1265" s="551">
        <f>'Sollecitazioni nel paramento'!$G$60*(sezione!$AO$32-C1265)/C1265</f>
        <v>7.1883007775067828E-2</v>
      </c>
      <c r="O1265" s="551">
        <f>'Sollecitazioni nel paramento'!$G$60*(sezione!$AP$32-C1265)/C1265</f>
        <v>0.23630424805623282</v>
      </c>
      <c r="P1265" s="545">
        <f>-'Sollecitazioni nel paramento'!$G$47*'Sollecitazioni nel paramento'!$G$41*IF(DATI!$G$211="dx",DATI!$E$61,DATI!$E$64*DATI!$E$63)*1000*C1265*sezione!$AD$5</f>
        <v>-283012.32107451285</v>
      </c>
      <c r="Q1265" s="545">
        <f>'Foglio deposito bis'!$F$68*IF(ABS(K1265)&lt;'Sollecitazioni nel paramento'!$G$58,ABS(K1265)*'Sollecitazioni nel paramento'!$G$54,'Sollecitazioni nel paramento'!$G$53)*IF(K1265&lt;0,-1,1)</f>
        <v>0</v>
      </c>
      <c r="R1265" s="545">
        <f>'Foglio deposito bis'!$F$69*IF(ABS(L1265)&lt;'Sollecitazioni nel paramento'!$G$58,ABS(L1265)*'Sollecitazioni nel paramento'!$G$54,'Sollecitazioni nel paramento'!$G$53)*IF(L1265&lt;0,-1,1)</f>
        <v>153664.85805602249</v>
      </c>
      <c r="S1265" s="545">
        <f>'Foglio deposito bis'!$F$70*IF(ABS(M1265)&lt;'Sollecitazioni nel paramento'!$G$58,ABS(M1265)*'Sollecitazioni nel paramento'!$G$54,'Sollecitazioni nel paramento'!$G$53)*IF(M1265&lt;0,-1,1)</f>
        <v>0</v>
      </c>
      <c r="T1265" s="545">
        <f>'Foglio deposito bis'!$F$71*IF(ABS(N1265)&lt;'Sollecitazioni nel paramento'!$G$58,ABS(N1265)*'Sollecitazioni nel paramento'!$G$54,'Sollecitazioni nel paramento'!$G$53)*IF(N1265&lt;0,-1,1)</f>
        <v>314705.62929873407</v>
      </c>
      <c r="U1265" s="545">
        <f>'Foglio deposito bis'!$F$72*IF(ABS(O1265)&lt;'Sollecitazioni nel paramento'!$G$58,ABS(O1265)*'Sollecitazioni nel paramento'!$G$54,'Sollecitazioni nel paramento'!$G$53)*IF(O1265&lt;0,-1,1)</f>
        <v>491727.54577927204</v>
      </c>
      <c r="V1265" s="472">
        <f t="shared" si="91"/>
        <v>677085.71205951576</v>
      </c>
      <c r="W1265" s="551"/>
      <c r="X1265" s="551"/>
    </row>
    <row r="1266" spans="1:24" x14ac:dyDescent="0.25">
      <c r="A1266" s="545">
        <f t="shared" si="90"/>
        <v>662935.09600579017</v>
      </c>
      <c r="B1266" s="3">
        <f t="shared" si="92"/>
        <v>1.0500000000000003</v>
      </c>
      <c r="C1266" s="545">
        <f>'Foglio deposito bis'!$E$158/sezione!$B$247*B1266</f>
        <v>7.8001663419229477</v>
      </c>
      <c r="D1266" s="603">
        <f>-'Sollecitazioni nel paramento'!$G$47*'Sollecitazioni nel paramento'!$G$41*IF(DATI!$G$211="dx",DATI!$E$61,DATI!$E$64*DATI!$E$63)*1000*C1266^2*sezione!$AD$5*(1-sezione!$AD$6)</f>
        <v>-1353665.4787087163</v>
      </c>
      <c r="E1266" s="545">
        <f>-'Foglio deposito bis'!$F$68*(C1266-sezione!$AL$32)*IF(ABS(K1266)&lt;'Sollecitazioni nel paramento'!$G$58,ABS(K1266)*'Sollecitazioni nel paramento'!$G$54,'Sollecitazioni nel paramento'!$G$53)</f>
        <v>0</v>
      </c>
      <c r="F1266" s="545">
        <f>-'Foglio deposito bis'!$F$69*(C1266-sezione!$AM$32)*IF(ABS(L1266)&lt;'Sollecitazioni nel paramento'!$G$58,ABS(L1266)*'Sollecitazioni nel paramento'!$G$54,'Sollecitazioni nel paramento'!$G$53)</f>
        <v>8021280.0296163959</v>
      </c>
      <c r="G1266" s="545">
        <f>-'Foglio deposito bis'!$F$70*(C1266-sezione!$AN$32)*IF(ABS(M1266)&lt;'Sollecitazioni nel paramento'!$G$58,ABS(M1266)*'Sollecitazioni nel paramento'!$G$54,'Sollecitazioni nel paramento'!$G$53)</f>
        <v>0</v>
      </c>
      <c r="H1266" s="545">
        <f>-'Foglio deposito bis'!$F$71*(C1266-sezione!$AO$32)*IF(ABS(N1266)&lt;'Sollecitazioni nel paramento'!$G$58,ABS(N1266)*'Sollecitazioni nel paramento'!$G$54,'Sollecitazioni nel paramento'!$G$53)</f>
        <v>47898144.430527784</v>
      </c>
      <c r="I1266" s="472">
        <f>-'Foglio deposito bis'!$F$72*(C1266-sezione!$AP$32)*IF(ABS(O1266)&lt;'Sollecitazioni nel paramento'!$G$58,ABS(O1266)*'Sollecitazioni nel paramento'!$G$54,'Sollecitazioni nel paramento'!$G$53)</f>
        <v>246445471.59456575</v>
      </c>
      <c r="J1266" s="472">
        <f t="shared" si="89"/>
        <v>301011230.57600123</v>
      </c>
      <c r="K1266" s="550">
        <f>'Sollecitazioni nel paramento'!$G$60*(sezione!$AL$32-C1266)/C1266</f>
        <v>1.4448335184539963E-2</v>
      </c>
      <c r="L1266" s="550">
        <f>'Sollecitazioni nel paramento'!$G$60*(sezione!$AM$32-C1266)/C1266</f>
        <v>2.3422502776809944E-2</v>
      </c>
      <c r="M1266" s="551">
        <f>'Sollecitazioni nel paramento'!$G$60*(sezione!$AN$32-C1266)/C1266</f>
        <v>3.2396670369079922E-2</v>
      </c>
      <c r="N1266" s="551">
        <f>'Sollecitazioni nel paramento'!$G$60*(sezione!$AO$32-C1266)/C1266</f>
        <v>6.8293340738159847E-2</v>
      </c>
      <c r="O1266" s="551">
        <f>'Sollecitazioni nel paramento'!$G$60*(sezione!$AP$32-C1266)/C1266</f>
        <v>0.22488499814879317</v>
      </c>
      <c r="P1266" s="545">
        <f>-'Sollecitazioni nel paramento'!$G$47*'Sollecitazioni nel paramento'!$G$41*IF(DATI!$G$211="dx",DATI!$E$61,DATI!$E$64*DATI!$E$63)*1000*C1266*sezione!$AD$5</f>
        <v>-297162.9371282385</v>
      </c>
      <c r="Q1266" s="545">
        <f>'Foglio deposito bis'!$F$68*IF(ABS(K1266)&lt;'Sollecitazioni nel paramento'!$G$58,ABS(K1266)*'Sollecitazioni nel paramento'!$G$54,'Sollecitazioni nel paramento'!$G$53)*IF(K1266&lt;0,-1,1)</f>
        <v>0</v>
      </c>
      <c r="R1266" s="545">
        <f>'Foglio deposito bis'!$F$69*IF(ABS(L1266)&lt;'Sollecitazioni nel paramento'!$G$58,ABS(L1266)*'Sollecitazioni nel paramento'!$G$54,'Sollecitazioni nel paramento'!$G$53)*IF(L1266&lt;0,-1,1)</f>
        <v>153664.85805602249</v>
      </c>
      <c r="S1266" s="545">
        <f>'Foglio deposito bis'!$F$70*IF(ABS(M1266)&lt;'Sollecitazioni nel paramento'!$G$58,ABS(M1266)*'Sollecitazioni nel paramento'!$G$54,'Sollecitazioni nel paramento'!$G$53)*IF(M1266&lt;0,-1,1)</f>
        <v>0</v>
      </c>
      <c r="T1266" s="545">
        <f>'Foglio deposito bis'!$F$71*IF(ABS(N1266)&lt;'Sollecitazioni nel paramento'!$G$58,ABS(N1266)*'Sollecitazioni nel paramento'!$G$54,'Sollecitazioni nel paramento'!$G$53)*IF(N1266&lt;0,-1,1)</f>
        <v>314705.62929873407</v>
      </c>
      <c r="U1266" s="545">
        <f>'Foglio deposito bis'!$F$72*IF(ABS(O1266)&lt;'Sollecitazioni nel paramento'!$G$58,ABS(O1266)*'Sollecitazioni nel paramento'!$G$54,'Sollecitazioni nel paramento'!$G$53)*IF(O1266&lt;0,-1,1)</f>
        <v>491727.54577927204</v>
      </c>
      <c r="V1266" s="472">
        <f t="shared" si="91"/>
        <v>662935.09600579017</v>
      </c>
      <c r="W1266" s="551"/>
      <c r="X1266" s="551"/>
    </row>
    <row r="1267" spans="1:24" x14ac:dyDescent="0.25">
      <c r="A1267" s="545">
        <f t="shared" si="90"/>
        <v>648784.47995206458</v>
      </c>
      <c r="B1267" s="3">
        <f t="shared" si="92"/>
        <v>1.1000000000000003</v>
      </c>
      <c r="C1267" s="545">
        <f>'Foglio deposito bis'!$E$158/sezione!$B$247*B1267</f>
        <v>8.1716028343954683</v>
      </c>
      <c r="D1267" s="603">
        <f>-'Sollecitazioni nel paramento'!$G$47*'Sollecitazioni nel paramento'!$G$41*IF(DATI!$G$211="dx",DATI!$E$61,DATI!$E$64*DATI!$E$63)*1000*C1267^2*sezione!$AD$5*(1-sezione!$AD$6)</f>
        <v>-1485655.5367233981</v>
      </c>
      <c r="E1267" s="545">
        <f>-'Foglio deposito bis'!$F$68*(C1267-sezione!$AL$32)*IF(ABS(K1267)&lt;'Sollecitazioni nel paramento'!$G$58,ABS(K1267)*'Sollecitazioni nel paramento'!$G$54,'Sollecitazioni nel paramento'!$G$53)</f>
        <v>0</v>
      </c>
      <c r="F1267" s="545">
        <f>-'Foglio deposito bis'!$F$69*(C1267-sezione!$AM$32)*IF(ABS(L1267)&lt;'Sollecitazioni nel paramento'!$G$58,ABS(L1267)*'Sollecitazioni nel paramento'!$G$54,'Sollecitazioni nel paramento'!$G$53)</f>
        <v>7964203.2937237788</v>
      </c>
      <c r="G1267" s="545">
        <f>-'Foglio deposito bis'!$F$70*(C1267-sezione!$AN$32)*IF(ABS(M1267)&lt;'Sollecitazioni nel paramento'!$G$58,ABS(M1267)*'Sollecitazioni nel paramento'!$G$54,'Sollecitazioni nel paramento'!$G$53)</f>
        <v>0</v>
      </c>
      <c r="H1267" s="545">
        <f>-'Foglio deposito bis'!$F$71*(C1267-sezione!$AO$32)*IF(ABS(N1267)&lt;'Sollecitazioni nel paramento'!$G$58,ABS(N1267)*'Sollecitazioni nel paramento'!$G$54,'Sollecitazioni nel paramento'!$G$53)</f>
        <v>47781251.275419712</v>
      </c>
      <c r="I1267" s="472">
        <f>-'Foglio deposito bis'!$F$72*(C1267-sezione!$AP$32)*IF(ABS(O1267)&lt;'Sollecitazioni nel paramento'!$G$58,ABS(O1267)*'Sollecitazioni nel paramento'!$G$54,'Sollecitazioni nel paramento'!$G$53)</f>
        <v>246262826.03970936</v>
      </c>
      <c r="J1267" s="472">
        <f t="shared" si="89"/>
        <v>300522625.07212943</v>
      </c>
      <c r="K1267" s="550">
        <f>'Sollecitazioni nel paramento'!$G$60*(sezione!$AL$32-C1267)/C1267</f>
        <v>1.3632501767060873E-2</v>
      </c>
      <c r="L1267" s="550">
        <f>'Sollecitazioni nel paramento'!$G$60*(sezione!$AM$32-C1267)/C1267</f>
        <v>2.2198752650591309E-2</v>
      </c>
      <c r="M1267" s="551">
        <f>'Sollecitazioni nel paramento'!$G$60*(sezione!$AN$32-C1267)/C1267</f>
        <v>3.0765003534121746E-2</v>
      </c>
      <c r="N1267" s="551">
        <f>'Sollecitazioni nel paramento'!$G$60*(sezione!$AO$32-C1267)/C1267</f>
        <v>6.5030007068243495E-2</v>
      </c>
      <c r="O1267" s="551">
        <f>'Sollecitazioni nel paramento'!$G$60*(sezione!$AP$32-C1267)/C1267</f>
        <v>0.21450386186930256</v>
      </c>
      <c r="P1267" s="545">
        <f>-'Sollecitazioni nel paramento'!$G$47*'Sollecitazioni nel paramento'!$G$41*IF(DATI!$G$211="dx",DATI!$E$61,DATI!$E$64*DATI!$E$63)*1000*C1267*sezione!$AD$5</f>
        <v>-311313.55318196409</v>
      </c>
      <c r="Q1267" s="545">
        <f>'Foglio deposito bis'!$F$68*IF(ABS(K1267)&lt;'Sollecitazioni nel paramento'!$G$58,ABS(K1267)*'Sollecitazioni nel paramento'!$G$54,'Sollecitazioni nel paramento'!$G$53)*IF(K1267&lt;0,-1,1)</f>
        <v>0</v>
      </c>
      <c r="R1267" s="545">
        <f>'Foglio deposito bis'!$F$69*IF(ABS(L1267)&lt;'Sollecitazioni nel paramento'!$G$58,ABS(L1267)*'Sollecitazioni nel paramento'!$G$54,'Sollecitazioni nel paramento'!$G$53)*IF(L1267&lt;0,-1,1)</f>
        <v>153664.85805602249</v>
      </c>
      <c r="S1267" s="545">
        <f>'Foglio deposito bis'!$F$70*IF(ABS(M1267)&lt;'Sollecitazioni nel paramento'!$G$58,ABS(M1267)*'Sollecitazioni nel paramento'!$G$54,'Sollecitazioni nel paramento'!$G$53)*IF(M1267&lt;0,-1,1)</f>
        <v>0</v>
      </c>
      <c r="T1267" s="545">
        <f>'Foglio deposito bis'!$F$71*IF(ABS(N1267)&lt;'Sollecitazioni nel paramento'!$G$58,ABS(N1267)*'Sollecitazioni nel paramento'!$G$54,'Sollecitazioni nel paramento'!$G$53)*IF(N1267&lt;0,-1,1)</f>
        <v>314705.62929873407</v>
      </c>
      <c r="U1267" s="545">
        <f>'Foglio deposito bis'!$F$72*IF(ABS(O1267)&lt;'Sollecitazioni nel paramento'!$G$58,ABS(O1267)*'Sollecitazioni nel paramento'!$G$54,'Sollecitazioni nel paramento'!$G$53)*IF(O1267&lt;0,-1,1)</f>
        <v>491727.54577927204</v>
      </c>
      <c r="V1267" s="472">
        <f t="shared" si="91"/>
        <v>648784.47995206458</v>
      </c>
      <c r="W1267" s="551"/>
      <c r="X1267" s="551"/>
    </row>
    <row r="1268" spans="1:24" x14ac:dyDescent="0.25">
      <c r="A1268" s="545">
        <f t="shared" si="90"/>
        <v>634633.86389833875</v>
      </c>
      <c r="B1268" s="3">
        <f t="shared" si="92"/>
        <v>1.1500000000000004</v>
      </c>
      <c r="C1268" s="545">
        <f>'Foglio deposito bis'!$E$158/sezione!$B$247*B1268</f>
        <v>8.5430393268679907</v>
      </c>
      <c r="D1268" s="603">
        <f>-'Sollecitazioni nel paramento'!$G$47*'Sollecitazioni nel paramento'!$G$41*IF(DATI!$G$211="dx",DATI!$E$61,DATI!$E$64*DATI!$E$63)*1000*C1268^2*sezione!$AD$5*(1-sezione!$AD$6)</f>
        <v>-1623784.6672038797</v>
      </c>
      <c r="E1268" s="545">
        <f>-'Foglio deposito bis'!$F$68*(C1268-sezione!$AL$32)*IF(ABS(K1268)&lt;'Sollecitazioni nel paramento'!$G$58,ABS(K1268)*'Sollecitazioni nel paramento'!$G$54,'Sollecitazioni nel paramento'!$G$53)</f>
        <v>0</v>
      </c>
      <c r="F1268" s="545">
        <f>-'Foglio deposito bis'!$F$69*(C1268-sezione!$AM$32)*IF(ABS(L1268)&lt;'Sollecitazioni nel paramento'!$G$58,ABS(L1268)*'Sollecitazioni nel paramento'!$G$54,'Sollecitazioni nel paramento'!$G$53)</f>
        <v>7907126.5578311626</v>
      </c>
      <c r="G1268" s="545">
        <f>-'Foglio deposito bis'!$F$70*(C1268-sezione!$AN$32)*IF(ABS(M1268)&lt;'Sollecitazioni nel paramento'!$G$58,ABS(M1268)*'Sollecitazioni nel paramento'!$G$54,'Sollecitazioni nel paramento'!$G$53)</f>
        <v>0</v>
      </c>
      <c r="H1268" s="545">
        <f>-'Foglio deposito bis'!$F$71*(C1268-sezione!$AO$32)*IF(ABS(N1268)&lt;'Sollecitazioni nel paramento'!$G$58,ABS(N1268)*'Sollecitazioni nel paramento'!$G$54,'Sollecitazioni nel paramento'!$G$53)</f>
        <v>47664358.120311633</v>
      </c>
      <c r="I1268" s="472">
        <f>-'Foglio deposito bis'!$F$72*(C1268-sezione!$AP$32)*IF(ABS(O1268)&lt;'Sollecitazioni nel paramento'!$G$58,ABS(O1268)*'Sollecitazioni nel paramento'!$G$54,'Sollecitazioni nel paramento'!$G$53)</f>
        <v>246080180.48485297</v>
      </c>
      <c r="J1268" s="472">
        <f t="shared" si="89"/>
        <v>300027880.49579191</v>
      </c>
      <c r="K1268" s="550">
        <f>'Sollecitazioni nel paramento'!$G$60*(sezione!$AL$32-C1268)/C1268</f>
        <v>1.2887610385884311E-2</v>
      </c>
      <c r="L1268" s="550">
        <f>'Sollecitazioni nel paramento'!$G$60*(sezione!$AM$32-C1268)/C1268</f>
        <v>2.1081415578826465E-2</v>
      </c>
      <c r="M1268" s="551">
        <f>'Sollecitazioni nel paramento'!$G$60*(sezione!$AN$32-C1268)/C1268</f>
        <v>2.9275220771768629E-2</v>
      </c>
      <c r="N1268" s="551">
        <f>'Sollecitazioni nel paramento'!$G$60*(sezione!$AO$32-C1268)/C1268</f>
        <v>6.2050441543537255E-2</v>
      </c>
      <c r="O1268" s="551">
        <f>'Sollecitazioni nel paramento'!$G$60*(sezione!$AP$32-C1268)/C1268</f>
        <v>0.20502543309237634</v>
      </c>
      <c r="P1268" s="545">
        <f>-'Sollecitazioni nel paramento'!$G$47*'Sollecitazioni nel paramento'!$G$41*IF(DATI!$G$211="dx",DATI!$E$61,DATI!$E$64*DATI!$E$63)*1000*C1268*sezione!$AD$5</f>
        <v>-325464.1692356898</v>
      </c>
      <c r="Q1268" s="545">
        <f>'Foglio deposito bis'!$F$68*IF(ABS(K1268)&lt;'Sollecitazioni nel paramento'!$G$58,ABS(K1268)*'Sollecitazioni nel paramento'!$G$54,'Sollecitazioni nel paramento'!$G$53)*IF(K1268&lt;0,-1,1)</f>
        <v>0</v>
      </c>
      <c r="R1268" s="545">
        <f>'Foglio deposito bis'!$F$69*IF(ABS(L1268)&lt;'Sollecitazioni nel paramento'!$G$58,ABS(L1268)*'Sollecitazioni nel paramento'!$G$54,'Sollecitazioni nel paramento'!$G$53)*IF(L1268&lt;0,-1,1)</f>
        <v>153664.85805602249</v>
      </c>
      <c r="S1268" s="545">
        <f>'Foglio deposito bis'!$F$70*IF(ABS(M1268)&lt;'Sollecitazioni nel paramento'!$G$58,ABS(M1268)*'Sollecitazioni nel paramento'!$G$54,'Sollecitazioni nel paramento'!$G$53)*IF(M1268&lt;0,-1,1)</f>
        <v>0</v>
      </c>
      <c r="T1268" s="545">
        <f>'Foglio deposito bis'!$F$71*IF(ABS(N1268)&lt;'Sollecitazioni nel paramento'!$G$58,ABS(N1268)*'Sollecitazioni nel paramento'!$G$54,'Sollecitazioni nel paramento'!$G$53)*IF(N1268&lt;0,-1,1)</f>
        <v>314705.62929873407</v>
      </c>
      <c r="U1268" s="545">
        <f>'Foglio deposito bis'!$F$72*IF(ABS(O1268)&lt;'Sollecitazioni nel paramento'!$G$58,ABS(O1268)*'Sollecitazioni nel paramento'!$G$54,'Sollecitazioni nel paramento'!$G$53)*IF(O1268&lt;0,-1,1)</f>
        <v>491727.54577927204</v>
      </c>
      <c r="V1268" s="472">
        <f t="shared" si="91"/>
        <v>634633.86389833875</v>
      </c>
      <c r="W1268" s="551"/>
      <c r="X1268" s="551"/>
    </row>
    <row r="1269" spans="1:24" x14ac:dyDescent="0.25">
      <c r="A1269" s="545">
        <f t="shared" si="90"/>
        <v>620483.24784461316</v>
      </c>
      <c r="B1269" s="3">
        <f t="shared" si="92"/>
        <v>1.2000000000000004</v>
      </c>
      <c r="C1269" s="545">
        <f>'Foglio deposito bis'!$E$158/sezione!$B$247*B1269</f>
        <v>8.9144758193405114</v>
      </c>
      <c r="D1269" s="603">
        <f>-'Sollecitazioni nel paramento'!$G$47*'Sollecitazioni nel paramento'!$G$41*IF(DATI!$G$211="dx",DATI!$E$61,DATI!$E$64*DATI!$E$63)*1000*C1269^2*sezione!$AD$5*(1-sezione!$AD$6)</f>
        <v>-1768052.87015016</v>
      </c>
      <c r="E1269" s="545">
        <f>-'Foglio deposito bis'!$F$68*(C1269-sezione!$AL$32)*IF(ABS(K1269)&lt;'Sollecitazioni nel paramento'!$G$58,ABS(K1269)*'Sollecitazioni nel paramento'!$G$54,'Sollecitazioni nel paramento'!$G$53)</f>
        <v>0</v>
      </c>
      <c r="F1269" s="545">
        <f>-'Foglio deposito bis'!$F$69*(C1269-sezione!$AM$32)*IF(ABS(L1269)&lt;'Sollecitazioni nel paramento'!$G$58,ABS(L1269)*'Sollecitazioni nel paramento'!$G$54,'Sollecitazioni nel paramento'!$G$53)</f>
        <v>7850049.8219385454</v>
      </c>
      <c r="G1269" s="545">
        <f>-'Foglio deposito bis'!$F$70*(C1269-sezione!$AN$32)*IF(ABS(M1269)&lt;'Sollecitazioni nel paramento'!$G$58,ABS(M1269)*'Sollecitazioni nel paramento'!$G$54,'Sollecitazioni nel paramento'!$G$53)</f>
        <v>0</v>
      </c>
      <c r="H1269" s="545">
        <f>-'Foglio deposito bis'!$F$71*(C1269-sezione!$AO$32)*IF(ABS(N1269)&lt;'Sollecitazioni nel paramento'!$G$58,ABS(N1269)*'Sollecitazioni nel paramento'!$G$54,'Sollecitazioni nel paramento'!$G$53)</f>
        <v>47547464.965203546</v>
      </c>
      <c r="I1269" s="472">
        <f>-'Foglio deposito bis'!$F$72*(C1269-sezione!$AP$32)*IF(ABS(O1269)&lt;'Sollecitazioni nel paramento'!$G$58,ABS(O1269)*'Sollecitazioni nel paramento'!$G$54,'Sollecitazioni nel paramento'!$G$53)</f>
        <v>245897534.92999658</v>
      </c>
      <c r="J1269" s="472">
        <f t="shared" si="89"/>
        <v>299526996.8469885</v>
      </c>
      <c r="K1269" s="550">
        <f>'Sollecitazioni nel paramento'!$G$60*(sezione!$AL$32-C1269)/C1269</f>
        <v>1.2204793286472468E-2</v>
      </c>
      <c r="L1269" s="550">
        <f>'Sollecitazioni nel paramento'!$G$60*(sezione!$AM$32-C1269)/C1269</f>
        <v>2.0057189929708698E-2</v>
      </c>
      <c r="M1269" s="551">
        <f>'Sollecitazioni nel paramento'!$G$60*(sezione!$AN$32-C1269)/C1269</f>
        <v>2.7909586572944935E-2</v>
      </c>
      <c r="N1269" s="551">
        <f>'Sollecitazioni nel paramento'!$G$60*(sezione!$AO$32-C1269)/C1269</f>
        <v>5.9319173145889866E-2</v>
      </c>
      <c r="O1269" s="551">
        <f>'Sollecitazioni nel paramento'!$G$60*(sezione!$AP$32-C1269)/C1269</f>
        <v>0.19633687338019401</v>
      </c>
      <c r="P1269" s="545">
        <f>-'Sollecitazioni nel paramento'!$G$47*'Sollecitazioni nel paramento'!$G$41*IF(DATI!$G$211="dx",DATI!$E$61,DATI!$E$64*DATI!$E$63)*1000*C1269*sezione!$AD$5</f>
        <v>-339614.78528941539</v>
      </c>
      <c r="Q1269" s="545">
        <f>'Foglio deposito bis'!$F$68*IF(ABS(K1269)&lt;'Sollecitazioni nel paramento'!$G$58,ABS(K1269)*'Sollecitazioni nel paramento'!$G$54,'Sollecitazioni nel paramento'!$G$53)*IF(K1269&lt;0,-1,1)</f>
        <v>0</v>
      </c>
      <c r="R1269" s="545">
        <f>'Foglio deposito bis'!$F$69*IF(ABS(L1269)&lt;'Sollecitazioni nel paramento'!$G$58,ABS(L1269)*'Sollecitazioni nel paramento'!$G$54,'Sollecitazioni nel paramento'!$G$53)*IF(L1269&lt;0,-1,1)</f>
        <v>153664.85805602249</v>
      </c>
      <c r="S1269" s="545">
        <f>'Foglio deposito bis'!$F$70*IF(ABS(M1269)&lt;'Sollecitazioni nel paramento'!$G$58,ABS(M1269)*'Sollecitazioni nel paramento'!$G$54,'Sollecitazioni nel paramento'!$G$53)*IF(M1269&lt;0,-1,1)</f>
        <v>0</v>
      </c>
      <c r="T1269" s="545">
        <f>'Foglio deposito bis'!$F$71*IF(ABS(N1269)&lt;'Sollecitazioni nel paramento'!$G$58,ABS(N1269)*'Sollecitazioni nel paramento'!$G$54,'Sollecitazioni nel paramento'!$G$53)*IF(N1269&lt;0,-1,1)</f>
        <v>314705.62929873407</v>
      </c>
      <c r="U1269" s="545">
        <f>'Foglio deposito bis'!$F$72*IF(ABS(O1269)&lt;'Sollecitazioni nel paramento'!$G$58,ABS(O1269)*'Sollecitazioni nel paramento'!$G$54,'Sollecitazioni nel paramento'!$G$53)*IF(O1269&lt;0,-1,1)</f>
        <v>491727.54577927204</v>
      </c>
      <c r="V1269" s="472">
        <f t="shared" si="91"/>
        <v>620483.24784461316</v>
      </c>
      <c r="W1269" s="551"/>
      <c r="X1269" s="551"/>
    </row>
    <row r="1270" spans="1:24" x14ac:dyDescent="0.25">
      <c r="A1270" s="545">
        <f t="shared" si="90"/>
        <v>606332.63179088756</v>
      </c>
      <c r="B1270" s="3">
        <f t="shared" si="92"/>
        <v>1.2500000000000004</v>
      </c>
      <c r="C1270" s="545">
        <f>'Foglio deposito bis'!$E$158/sezione!$B$247*B1270</f>
        <v>9.2859123118130338</v>
      </c>
      <c r="D1270" s="603">
        <f>-'Sollecitazioni nel paramento'!$G$47*'Sollecitazioni nel paramento'!$G$41*IF(DATI!$G$211="dx",DATI!$E$61,DATI!$E$64*DATI!$E$63)*1000*C1270^2*sezione!$AD$5*(1-sezione!$AD$6)</f>
        <v>-1918460.1455622402</v>
      </c>
      <c r="E1270" s="545">
        <f>-'Foglio deposito bis'!$F$68*(C1270-sezione!$AL$32)*IF(ABS(K1270)&lt;'Sollecitazioni nel paramento'!$G$58,ABS(K1270)*'Sollecitazioni nel paramento'!$G$54,'Sollecitazioni nel paramento'!$G$53)</f>
        <v>0</v>
      </c>
      <c r="F1270" s="545">
        <f>-'Foglio deposito bis'!$F$69*(C1270-sezione!$AM$32)*IF(ABS(L1270)&lt;'Sollecitazioni nel paramento'!$G$58,ABS(L1270)*'Sollecitazioni nel paramento'!$G$54,'Sollecitazioni nel paramento'!$G$53)</f>
        <v>7792973.0860459274</v>
      </c>
      <c r="G1270" s="545">
        <f>-'Foglio deposito bis'!$F$70*(C1270-sezione!$AN$32)*IF(ABS(M1270)&lt;'Sollecitazioni nel paramento'!$G$58,ABS(M1270)*'Sollecitazioni nel paramento'!$G$54,'Sollecitazioni nel paramento'!$G$53)</f>
        <v>0</v>
      </c>
      <c r="H1270" s="545">
        <f>-'Foglio deposito bis'!$F$71*(C1270-sezione!$AO$32)*IF(ABS(N1270)&lt;'Sollecitazioni nel paramento'!$G$58,ABS(N1270)*'Sollecitazioni nel paramento'!$G$54,'Sollecitazioni nel paramento'!$G$53)</f>
        <v>47430571.810095474</v>
      </c>
      <c r="I1270" s="472">
        <f>-'Foglio deposito bis'!$F$72*(C1270-sezione!$AP$32)*IF(ABS(O1270)&lt;'Sollecitazioni nel paramento'!$G$58,ABS(O1270)*'Sollecitazioni nel paramento'!$G$54,'Sollecitazioni nel paramento'!$G$53)</f>
        <v>245714889.37514022</v>
      </c>
      <c r="J1270" s="472">
        <f t="shared" si="89"/>
        <v>299019974.12571937</v>
      </c>
      <c r="K1270" s="550">
        <f>'Sollecitazioni nel paramento'!$G$60*(sezione!$AL$32-C1270)/C1270</f>
        <v>1.1576601555013565E-2</v>
      </c>
      <c r="L1270" s="550">
        <f>'Sollecitazioni nel paramento'!$G$60*(sezione!$AM$32-C1270)/C1270</f>
        <v>1.9114902332520348E-2</v>
      </c>
      <c r="M1270" s="551">
        <f>'Sollecitazioni nel paramento'!$G$60*(sezione!$AN$32-C1270)/C1270</f>
        <v>2.665320311002713E-2</v>
      </c>
      <c r="N1270" s="551">
        <f>'Sollecitazioni nel paramento'!$G$60*(sezione!$AO$32-C1270)/C1270</f>
        <v>5.680640622005427E-2</v>
      </c>
      <c r="O1270" s="551">
        <f>'Sollecitazioni nel paramento'!$G$60*(sezione!$AP$32-C1270)/C1270</f>
        <v>0.18834339844498624</v>
      </c>
      <c r="P1270" s="545">
        <f>-'Sollecitazioni nel paramento'!$G$47*'Sollecitazioni nel paramento'!$G$41*IF(DATI!$G$211="dx",DATI!$E$61,DATI!$E$64*DATI!$E$63)*1000*C1270*sezione!$AD$5</f>
        <v>-353765.4013431411</v>
      </c>
      <c r="Q1270" s="545">
        <f>'Foglio deposito bis'!$F$68*IF(ABS(K1270)&lt;'Sollecitazioni nel paramento'!$G$58,ABS(K1270)*'Sollecitazioni nel paramento'!$G$54,'Sollecitazioni nel paramento'!$G$53)*IF(K1270&lt;0,-1,1)</f>
        <v>0</v>
      </c>
      <c r="R1270" s="545">
        <f>'Foglio deposito bis'!$F$69*IF(ABS(L1270)&lt;'Sollecitazioni nel paramento'!$G$58,ABS(L1270)*'Sollecitazioni nel paramento'!$G$54,'Sollecitazioni nel paramento'!$G$53)*IF(L1270&lt;0,-1,1)</f>
        <v>153664.85805602249</v>
      </c>
      <c r="S1270" s="545">
        <f>'Foglio deposito bis'!$F$70*IF(ABS(M1270)&lt;'Sollecitazioni nel paramento'!$G$58,ABS(M1270)*'Sollecitazioni nel paramento'!$G$54,'Sollecitazioni nel paramento'!$G$53)*IF(M1270&lt;0,-1,1)</f>
        <v>0</v>
      </c>
      <c r="T1270" s="545">
        <f>'Foglio deposito bis'!$F$71*IF(ABS(N1270)&lt;'Sollecitazioni nel paramento'!$G$58,ABS(N1270)*'Sollecitazioni nel paramento'!$G$54,'Sollecitazioni nel paramento'!$G$53)*IF(N1270&lt;0,-1,1)</f>
        <v>314705.62929873407</v>
      </c>
      <c r="U1270" s="545">
        <f>'Foglio deposito bis'!$F$72*IF(ABS(O1270)&lt;'Sollecitazioni nel paramento'!$G$58,ABS(O1270)*'Sollecitazioni nel paramento'!$G$54,'Sollecitazioni nel paramento'!$G$53)*IF(O1270&lt;0,-1,1)</f>
        <v>491727.54577927204</v>
      </c>
      <c r="V1270" s="472">
        <f t="shared" si="91"/>
        <v>606332.63179088756</v>
      </c>
      <c r="W1270" s="551"/>
      <c r="X1270" s="551"/>
    </row>
    <row r="1271" spans="1:24" x14ac:dyDescent="0.25">
      <c r="A1271" s="545">
        <f t="shared" si="90"/>
        <v>592182.01573716197</v>
      </c>
      <c r="B1271" s="3">
        <f t="shared" si="92"/>
        <v>1.3000000000000005</v>
      </c>
      <c r="C1271" s="545">
        <f>'Foglio deposito bis'!$E$158/sezione!$B$247*B1271</f>
        <v>9.6573488042855544</v>
      </c>
      <c r="D1271" s="603">
        <f>-'Sollecitazioni nel paramento'!$G$47*'Sollecitazioni nel paramento'!$G$41*IF(DATI!$G$211="dx",DATI!$E$61,DATI!$E$64*DATI!$E$63)*1000*C1271^2*sezione!$AD$5*(1-sezione!$AD$6)</f>
        <v>-2075006.4934401189</v>
      </c>
      <c r="E1271" s="545">
        <f>-'Foglio deposito bis'!$F$68*(C1271-sezione!$AL$32)*IF(ABS(K1271)&lt;'Sollecitazioni nel paramento'!$G$58,ABS(K1271)*'Sollecitazioni nel paramento'!$G$54,'Sollecitazioni nel paramento'!$G$53)</f>
        <v>0</v>
      </c>
      <c r="F1271" s="545">
        <f>-'Foglio deposito bis'!$F$69*(C1271-sezione!$AM$32)*IF(ABS(L1271)&lt;'Sollecitazioni nel paramento'!$G$58,ABS(L1271)*'Sollecitazioni nel paramento'!$G$54,'Sollecitazioni nel paramento'!$G$53)</f>
        <v>7735896.3501533121</v>
      </c>
      <c r="G1271" s="545">
        <f>-'Foglio deposito bis'!$F$70*(C1271-sezione!$AN$32)*IF(ABS(M1271)&lt;'Sollecitazioni nel paramento'!$G$58,ABS(M1271)*'Sollecitazioni nel paramento'!$G$54,'Sollecitazioni nel paramento'!$G$53)</f>
        <v>0</v>
      </c>
      <c r="H1271" s="545">
        <f>-'Foglio deposito bis'!$F$71*(C1271-sezione!$AO$32)*IF(ABS(N1271)&lt;'Sollecitazioni nel paramento'!$G$58,ABS(N1271)*'Sollecitazioni nel paramento'!$G$54,'Sollecitazioni nel paramento'!$G$53)</f>
        <v>47313678.654987387</v>
      </c>
      <c r="I1271" s="472">
        <f>-'Foglio deposito bis'!$F$72*(C1271-sezione!$AP$32)*IF(ABS(O1271)&lt;'Sollecitazioni nel paramento'!$G$58,ABS(O1271)*'Sollecitazioni nel paramento'!$G$54,'Sollecitazioni nel paramento'!$G$53)</f>
        <v>245532243.82028386</v>
      </c>
      <c r="J1271" s="472">
        <f t="shared" si="89"/>
        <v>298506812.33198446</v>
      </c>
      <c r="K1271" s="550">
        <f>'Sollecitazioni nel paramento'!$G$60*(sezione!$AL$32-C1271)/C1271</f>
        <v>1.0996732264436123E-2</v>
      </c>
      <c r="L1271" s="550">
        <f>'Sollecitazioni nel paramento'!$G$60*(sezione!$AM$32-C1271)/C1271</f>
        <v>1.8245098396654183E-2</v>
      </c>
      <c r="M1271" s="551">
        <f>'Sollecitazioni nel paramento'!$G$60*(sezione!$AN$32-C1271)/C1271</f>
        <v>2.5493464528872242E-2</v>
      </c>
      <c r="N1271" s="551">
        <f>'Sollecitazioni nel paramento'!$G$60*(sezione!$AO$32-C1271)/C1271</f>
        <v>5.4486929057744486E-2</v>
      </c>
      <c r="O1271" s="551">
        <f>'Sollecitazioni nel paramento'!$G$60*(sezione!$AP$32-C1271)/C1271</f>
        <v>0.18096480619710215</v>
      </c>
      <c r="P1271" s="545">
        <f>-'Sollecitazioni nel paramento'!$G$47*'Sollecitazioni nel paramento'!$G$41*IF(DATI!$G$211="dx",DATI!$E$61,DATI!$E$64*DATI!$E$63)*1000*C1271*sezione!$AD$5</f>
        <v>-367916.01739686669</v>
      </c>
      <c r="Q1271" s="545">
        <f>'Foglio deposito bis'!$F$68*IF(ABS(K1271)&lt;'Sollecitazioni nel paramento'!$G$58,ABS(K1271)*'Sollecitazioni nel paramento'!$G$54,'Sollecitazioni nel paramento'!$G$53)*IF(K1271&lt;0,-1,1)</f>
        <v>0</v>
      </c>
      <c r="R1271" s="545">
        <f>'Foglio deposito bis'!$F$69*IF(ABS(L1271)&lt;'Sollecitazioni nel paramento'!$G$58,ABS(L1271)*'Sollecitazioni nel paramento'!$G$54,'Sollecitazioni nel paramento'!$G$53)*IF(L1271&lt;0,-1,1)</f>
        <v>153664.85805602249</v>
      </c>
      <c r="S1271" s="545">
        <f>'Foglio deposito bis'!$F$70*IF(ABS(M1271)&lt;'Sollecitazioni nel paramento'!$G$58,ABS(M1271)*'Sollecitazioni nel paramento'!$G$54,'Sollecitazioni nel paramento'!$G$53)*IF(M1271&lt;0,-1,1)</f>
        <v>0</v>
      </c>
      <c r="T1271" s="545">
        <f>'Foglio deposito bis'!$F$71*IF(ABS(N1271)&lt;'Sollecitazioni nel paramento'!$G$58,ABS(N1271)*'Sollecitazioni nel paramento'!$G$54,'Sollecitazioni nel paramento'!$G$53)*IF(N1271&lt;0,-1,1)</f>
        <v>314705.62929873407</v>
      </c>
      <c r="U1271" s="545">
        <f>'Foglio deposito bis'!$F$72*IF(ABS(O1271)&lt;'Sollecitazioni nel paramento'!$G$58,ABS(O1271)*'Sollecitazioni nel paramento'!$G$54,'Sollecitazioni nel paramento'!$G$53)*IF(O1271&lt;0,-1,1)</f>
        <v>491727.54577927204</v>
      </c>
      <c r="V1271" s="472">
        <f t="shared" si="91"/>
        <v>592182.01573716197</v>
      </c>
      <c r="W1271" s="551"/>
      <c r="X1271" s="551"/>
    </row>
    <row r="1272" spans="1:24" x14ac:dyDescent="0.25">
      <c r="A1272" s="545">
        <f t="shared" si="90"/>
        <v>578031.39968343626</v>
      </c>
      <c r="B1272" s="3">
        <f t="shared" si="92"/>
        <v>1.3500000000000005</v>
      </c>
      <c r="C1272" s="545">
        <f>'Foglio deposito bis'!$E$158/sezione!$B$247*B1272</f>
        <v>10.028785296758077</v>
      </c>
      <c r="D1272" s="603">
        <f>-'Sollecitazioni nel paramento'!$G$47*'Sollecitazioni nel paramento'!$G$41*IF(DATI!$G$211="dx",DATI!$E$61,DATI!$E$64*DATI!$E$63)*1000*C1272^2*sezione!$AD$5*(1-sezione!$AD$6)</f>
        <v>-2237691.9137837971</v>
      </c>
      <c r="E1272" s="545">
        <f>-'Foglio deposito bis'!$F$68*(C1272-sezione!$AL$32)*IF(ABS(K1272)&lt;'Sollecitazioni nel paramento'!$G$58,ABS(K1272)*'Sollecitazioni nel paramento'!$G$54,'Sollecitazioni nel paramento'!$G$53)</f>
        <v>0</v>
      </c>
      <c r="F1272" s="545">
        <f>-'Foglio deposito bis'!$F$69*(C1272-sezione!$AM$32)*IF(ABS(L1272)&lt;'Sollecitazioni nel paramento'!$G$58,ABS(L1272)*'Sollecitazioni nel paramento'!$G$54,'Sollecitazioni nel paramento'!$G$53)</f>
        <v>7678819.6142606949</v>
      </c>
      <c r="G1272" s="545">
        <f>-'Foglio deposito bis'!$F$70*(C1272-sezione!$AN$32)*IF(ABS(M1272)&lt;'Sollecitazioni nel paramento'!$G$58,ABS(M1272)*'Sollecitazioni nel paramento'!$G$54,'Sollecitazioni nel paramento'!$G$53)</f>
        <v>0</v>
      </c>
      <c r="H1272" s="545">
        <f>-'Foglio deposito bis'!$F$71*(C1272-sezione!$AO$32)*IF(ABS(N1272)&lt;'Sollecitazioni nel paramento'!$G$58,ABS(N1272)*'Sollecitazioni nel paramento'!$G$54,'Sollecitazioni nel paramento'!$G$53)</f>
        <v>47196785.499879308</v>
      </c>
      <c r="I1272" s="472">
        <f>-'Foglio deposito bis'!$F$72*(C1272-sezione!$AP$32)*IF(ABS(O1272)&lt;'Sollecitazioni nel paramento'!$G$58,ABS(O1272)*'Sollecitazioni nel paramento'!$G$54,'Sollecitazioni nel paramento'!$G$53)</f>
        <v>245349598.26542747</v>
      </c>
      <c r="J1272" s="472">
        <f t="shared" si="89"/>
        <v>297987511.46578366</v>
      </c>
      <c r="K1272" s="550">
        <f>'Sollecitazioni nel paramento'!$G$60*(sezione!$AL$32-C1272)/C1272</f>
        <v>1.0459816254642191E-2</v>
      </c>
      <c r="L1272" s="550">
        <f>'Sollecitazioni nel paramento'!$G$60*(sezione!$AM$32-C1272)/C1272</f>
        <v>1.7439724381963288E-2</v>
      </c>
      <c r="M1272" s="551">
        <f>'Sollecitazioni nel paramento'!$G$60*(sezione!$AN$32-C1272)/C1272</f>
        <v>2.4419632509284382E-2</v>
      </c>
      <c r="N1272" s="551">
        <f>'Sollecitazioni nel paramento'!$G$60*(sezione!$AO$32-C1272)/C1272</f>
        <v>5.2339265018568761E-2</v>
      </c>
      <c r="O1272" s="551">
        <f>'Sollecitazioni nel paramento'!$G$60*(sezione!$AP$32-C1272)/C1272</f>
        <v>0.17413277633795018</v>
      </c>
      <c r="P1272" s="545">
        <f>-'Sollecitazioni nel paramento'!$G$47*'Sollecitazioni nel paramento'!$G$41*IF(DATI!$G$211="dx",DATI!$E$61,DATI!$E$64*DATI!$E$63)*1000*C1272*sezione!$AD$5</f>
        <v>-382066.63345059234</v>
      </c>
      <c r="Q1272" s="545">
        <f>'Foglio deposito bis'!$F$68*IF(ABS(K1272)&lt;'Sollecitazioni nel paramento'!$G$58,ABS(K1272)*'Sollecitazioni nel paramento'!$G$54,'Sollecitazioni nel paramento'!$G$53)*IF(K1272&lt;0,-1,1)</f>
        <v>0</v>
      </c>
      <c r="R1272" s="545">
        <f>'Foglio deposito bis'!$F$69*IF(ABS(L1272)&lt;'Sollecitazioni nel paramento'!$G$58,ABS(L1272)*'Sollecitazioni nel paramento'!$G$54,'Sollecitazioni nel paramento'!$G$53)*IF(L1272&lt;0,-1,1)</f>
        <v>153664.85805602249</v>
      </c>
      <c r="S1272" s="545">
        <f>'Foglio deposito bis'!$F$70*IF(ABS(M1272)&lt;'Sollecitazioni nel paramento'!$G$58,ABS(M1272)*'Sollecitazioni nel paramento'!$G$54,'Sollecitazioni nel paramento'!$G$53)*IF(M1272&lt;0,-1,1)</f>
        <v>0</v>
      </c>
      <c r="T1272" s="545">
        <f>'Foglio deposito bis'!$F$71*IF(ABS(N1272)&lt;'Sollecitazioni nel paramento'!$G$58,ABS(N1272)*'Sollecitazioni nel paramento'!$G$54,'Sollecitazioni nel paramento'!$G$53)*IF(N1272&lt;0,-1,1)</f>
        <v>314705.62929873407</v>
      </c>
      <c r="U1272" s="545">
        <f>'Foglio deposito bis'!$F$72*IF(ABS(O1272)&lt;'Sollecitazioni nel paramento'!$G$58,ABS(O1272)*'Sollecitazioni nel paramento'!$G$54,'Sollecitazioni nel paramento'!$G$53)*IF(O1272&lt;0,-1,1)</f>
        <v>491727.54577927204</v>
      </c>
      <c r="V1272" s="472">
        <f t="shared" si="91"/>
        <v>578031.39968343626</v>
      </c>
      <c r="W1272" s="551"/>
      <c r="X1272" s="551"/>
    </row>
    <row r="1273" spans="1:24" x14ac:dyDescent="0.25">
      <c r="A1273" s="545">
        <f t="shared" si="90"/>
        <v>563880.78362971055</v>
      </c>
      <c r="B1273" s="3">
        <f t="shared" si="92"/>
        <v>1.4000000000000006</v>
      </c>
      <c r="C1273" s="545">
        <f>'Foglio deposito bis'!$E$158/sezione!$B$247*B1273</f>
        <v>10.400221789230599</v>
      </c>
      <c r="D1273" s="603">
        <f>-'Sollecitazioni nel paramento'!$G$47*'Sollecitazioni nel paramento'!$G$41*IF(DATI!$G$211="dx",DATI!$E$61,DATI!$E$64*DATI!$E$63)*1000*C1273^2*sezione!$AD$5*(1-sezione!$AD$6)</f>
        <v>-2406516.4065932743</v>
      </c>
      <c r="E1273" s="545">
        <f>-'Foglio deposito bis'!$F$68*(C1273-sezione!$AL$32)*IF(ABS(K1273)&lt;'Sollecitazioni nel paramento'!$G$58,ABS(K1273)*'Sollecitazioni nel paramento'!$G$54,'Sollecitazioni nel paramento'!$G$53)</f>
        <v>0</v>
      </c>
      <c r="F1273" s="545">
        <f>-'Foglio deposito bis'!$F$69*(C1273-sezione!$AM$32)*IF(ABS(L1273)&lt;'Sollecitazioni nel paramento'!$G$58,ABS(L1273)*'Sollecitazioni nel paramento'!$G$54,'Sollecitazioni nel paramento'!$G$53)</f>
        <v>7621742.8783680769</v>
      </c>
      <c r="G1273" s="545">
        <f>-'Foglio deposito bis'!$F$70*(C1273-sezione!$AN$32)*IF(ABS(M1273)&lt;'Sollecitazioni nel paramento'!$G$58,ABS(M1273)*'Sollecitazioni nel paramento'!$G$54,'Sollecitazioni nel paramento'!$G$53)</f>
        <v>0</v>
      </c>
      <c r="H1273" s="545">
        <f>-'Foglio deposito bis'!$F$71*(C1273-sezione!$AO$32)*IF(ABS(N1273)&lt;'Sollecitazioni nel paramento'!$G$58,ABS(N1273)*'Sollecitazioni nel paramento'!$G$54,'Sollecitazioni nel paramento'!$G$53)</f>
        <v>47079892.344771229</v>
      </c>
      <c r="I1273" s="472">
        <f>-'Foglio deposito bis'!$F$72*(C1273-sezione!$AP$32)*IF(ABS(O1273)&lt;'Sollecitazioni nel paramento'!$G$58,ABS(O1273)*'Sollecitazioni nel paramento'!$G$54,'Sollecitazioni nel paramento'!$G$53)</f>
        <v>245166952.71057108</v>
      </c>
      <c r="J1273" s="472">
        <f t="shared" si="89"/>
        <v>297462071.52711713</v>
      </c>
      <c r="K1273" s="550">
        <f>'Sollecitazioni nel paramento'!$G$60*(sezione!$AL$32-C1273)/C1273</f>
        <v>9.9612513884049687E-3</v>
      </c>
      <c r="L1273" s="550">
        <f>'Sollecitazioni nel paramento'!$G$60*(sezione!$AM$32-C1273)/C1273</f>
        <v>1.6691877082607453E-2</v>
      </c>
      <c r="M1273" s="551">
        <f>'Sollecitazioni nel paramento'!$G$60*(sezione!$AN$32-C1273)/C1273</f>
        <v>2.3422502776809937E-2</v>
      </c>
      <c r="N1273" s="551">
        <f>'Sollecitazioni nel paramento'!$G$60*(sezione!$AO$32-C1273)/C1273</f>
        <v>5.0345005553619863E-2</v>
      </c>
      <c r="O1273" s="551">
        <f>'Sollecitazioni nel paramento'!$G$60*(sezione!$AP$32-C1273)/C1273</f>
        <v>0.16778874861159482</v>
      </c>
      <c r="P1273" s="545">
        <f>-'Sollecitazioni nel paramento'!$G$47*'Sollecitazioni nel paramento'!$G$41*IF(DATI!$G$211="dx",DATI!$E$61,DATI!$E$64*DATI!$E$63)*1000*C1273*sezione!$AD$5</f>
        <v>-396217.24950431805</v>
      </c>
      <c r="Q1273" s="545">
        <f>'Foglio deposito bis'!$F$68*IF(ABS(K1273)&lt;'Sollecitazioni nel paramento'!$G$58,ABS(K1273)*'Sollecitazioni nel paramento'!$G$54,'Sollecitazioni nel paramento'!$G$53)*IF(K1273&lt;0,-1,1)</f>
        <v>0</v>
      </c>
      <c r="R1273" s="545">
        <f>'Foglio deposito bis'!$F$69*IF(ABS(L1273)&lt;'Sollecitazioni nel paramento'!$G$58,ABS(L1273)*'Sollecitazioni nel paramento'!$G$54,'Sollecitazioni nel paramento'!$G$53)*IF(L1273&lt;0,-1,1)</f>
        <v>153664.85805602249</v>
      </c>
      <c r="S1273" s="545">
        <f>'Foglio deposito bis'!$F$70*IF(ABS(M1273)&lt;'Sollecitazioni nel paramento'!$G$58,ABS(M1273)*'Sollecitazioni nel paramento'!$G$54,'Sollecitazioni nel paramento'!$G$53)*IF(M1273&lt;0,-1,1)</f>
        <v>0</v>
      </c>
      <c r="T1273" s="545">
        <f>'Foglio deposito bis'!$F$71*IF(ABS(N1273)&lt;'Sollecitazioni nel paramento'!$G$58,ABS(N1273)*'Sollecitazioni nel paramento'!$G$54,'Sollecitazioni nel paramento'!$G$53)*IF(N1273&lt;0,-1,1)</f>
        <v>314705.62929873407</v>
      </c>
      <c r="U1273" s="545">
        <f>'Foglio deposito bis'!$F$72*IF(ABS(O1273)&lt;'Sollecitazioni nel paramento'!$G$58,ABS(O1273)*'Sollecitazioni nel paramento'!$G$54,'Sollecitazioni nel paramento'!$G$53)*IF(O1273&lt;0,-1,1)</f>
        <v>491727.54577927204</v>
      </c>
      <c r="V1273" s="472">
        <f t="shared" si="91"/>
        <v>563880.78362971055</v>
      </c>
      <c r="W1273" s="551"/>
      <c r="X1273" s="551"/>
    </row>
    <row r="1274" spans="1:24" x14ac:dyDescent="0.25">
      <c r="A1274" s="545">
        <f t="shared" si="90"/>
        <v>549730.16757598496</v>
      </c>
      <c r="B1274" s="3">
        <f t="shared" si="92"/>
        <v>1.4500000000000006</v>
      </c>
      <c r="C1274" s="545">
        <f>'Foglio deposito bis'!$E$158/sezione!$B$247*B1274</f>
        <v>10.77165828170312</v>
      </c>
      <c r="D1274" s="603">
        <f>-'Sollecitazioni nel paramento'!$G$47*'Sollecitazioni nel paramento'!$G$41*IF(DATI!$G$211="dx",DATI!$E$61,DATI!$E$64*DATI!$E$63)*1000*C1274^2*sezione!$AD$5*(1-sezione!$AD$6)</f>
        <v>-2581479.9718685504</v>
      </c>
      <c r="E1274" s="545">
        <f>-'Foglio deposito bis'!$F$68*(C1274-sezione!$AL$32)*IF(ABS(K1274)&lt;'Sollecitazioni nel paramento'!$G$58,ABS(K1274)*'Sollecitazioni nel paramento'!$G$54,'Sollecitazioni nel paramento'!$G$53)</f>
        <v>0</v>
      </c>
      <c r="F1274" s="545">
        <f>-'Foglio deposito bis'!$F$69*(C1274-sezione!$AM$32)*IF(ABS(L1274)&lt;'Sollecitazioni nel paramento'!$G$58,ABS(L1274)*'Sollecitazioni nel paramento'!$G$54,'Sollecitazioni nel paramento'!$G$53)</f>
        <v>7564666.1424754607</v>
      </c>
      <c r="G1274" s="545">
        <f>-'Foglio deposito bis'!$F$70*(C1274-sezione!$AN$32)*IF(ABS(M1274)&lt;'Sollecitazioni nel paramento'!$G$58,ABS(M1274)*'Sollecitazioni nel paramento'!$G$54,'Sollecitazioni nel paramento'!$G$53)</f>
        <v>0</v>
      </c>
      <c r="H1274" s="545">
        <f>-'Foglio deposito bis'!$F$71*(C1274-sezione!$AO$32)*IF(ABS(N1274)&lt;'Sollecitazioni nel paramento'!$G$58,ABS(N1274)*'Sollecitazioni nel paramento'!$G$54,'Sollecitazioni nel paramento'!$G$53)</f>
        <v>46962999.189663157</v>
      </c>
      <c r="I1274" s="472">
        <f>-'Foglio deposito bis'!$F$72*(C1274-sezione!$AP$32)*IF(ABS(O1274)&lt;'Sollecitazioni nel paramento'!$G$58,ABS(O1274)*'Sollecitazioni nel paramento'!$G$54,'Sollecitazioni nel paramento'!$G$53)</f>
        <v>244984307.15571469</v>
      </c>
      <c r="J1274" s="472">
        <f t="shared" si="89"/>
        <v>296930492.51598477</v>
      </c>
      <c r="K1274" s="550">
        <f>'Sollecitazioni nel paramento'!$G$60*(sezione!$AL$32-C1274)/C1274</f>
        <v>9.4970703060461761E-3</v>
      </c>
      <c r="L1274" s="550">
        <f>'Sollecitazioni nel paramento'!$G$60*(sezione!$AM$32-C1274)/C1274</f>
        <v>1.5995605459069265E-2</v>
      </c>
      <c r="M1274" s="551">
        <f>'Sollecitazioni nel paramento'!$G$60*(sezione!$AN$32-C1274)/C1274</f>
        <v>2.2494140612092352E-2</v>
      </c>
      <c r="N1274" s="551">
        <f>'Sollecitazioni nel paramento'!$G$60*(sezione!$AO$32-C1274)/C1274</f>
        <v>4.8488281224184707E-2</v>
      </c>
      <c r="O1274" s="551">
        <f>'Sollecitazioni nel paramento'!$G$60*(sezione!$AP$32-C1274)/C1274</f>
        <v>0.16188224003878121</v>
      </c>
      <c r="P1274" s="545">
        <f>-'Sollecitazioni nel paramento'!$G$47*'Sollecitazioni nel paramento'!$G$41*IF(DATI!$G$211="dx",DATI!$E$61,DATI!$E$64*DATI!$E$63)*1000*C1274*sezione!$AD$5</f>
        <v>-410367.8655580437</v>
      </c>
      <c r="Q1274" s="545">
        <f>'Foglio deposito bis'!$F$68*IF(ABS(K1274)&lt;'Sollecitazioni nel paramento'!$G$58,ABS(K1274)*'Sollecitazioni nel paramento'!$G$54,'Sollecitazioni nel paramento'!$G$53)*IF(K1274&lt;0,-1,1)</f>
        <v>0</v>
      </c>
      <c r="R1274" s="545">
        <f>'Foglio deposito bis'!$F$69*IF(ABS(L1274)&lt;'Sollecitazioni nel paramento'!$G$58,ABS(L1274)*'Sollecitazioni nel paramento'!$G$54,'Sollecitazioni nel paramento'!$G$53)*IF(L1274&lt;0,-1,1)</f>
        <v>153664.85805602249</v>
      </c>
      <c r="S1274" s="545">
        <f>'Foglio deposito bis'!$F$70*IF(ABS(M1274)&lt;'Sollecitazioni nel paramento'!$G$58,ABS(M1274)*'Sollecitazioni nel paramento'!$G$54,'Sollecitazioni nel paramento'!$G$53)*IF(M1274&lt;0,-1,1)</f>
        <v>0</v>
      </c>
      <c r="T1274" s="545">
        <f>'Foglio deposito bis'!$F$71*IF(ABS(N1274)&lt;'Sollecitazioni nel paramento'!$G$58,ABS(N1274)*'Sollecitazioni nel paramento'!$G$54,'Sollecitazioni nel paramento'!$G$53)*IF(N1274&lt;0,-1,1)</f>
        <v>314705.62929873407</v>
      </c>
      <c r="U1274" s="545">
        <f>'Foglio deposito bis'!$F$72*IF(ABS(O1274)&lt;'Sollecitazioni nel paramento'!$G$58,ABS(O1274)*'Sollecitazioni nel paramento'!$G$54,'Sollecitazioni nel paramento'!$G$53)*IF(O1274&lt;0,-1,1)</f>
        <v>491727.54577927204</v>
      </c>
      <c r="V1274" s="472">
        <f t="shared" si="91"/>
        <v>549730.16757598496</v>
      </c>
      <c r="W1274" s="551"/>
      <c r="X1274" s="551"/>
    </row>
    <row r="1275" spans="1:24" x14ac:dyDescent="0.25">
      <c r="A1275" s="545">
        <f t="shared" si="90"/>
        <v>535579.55152225913</v>
      </c>
      <c r="B1275" s="3">
        <f t="shared" si="92"/>
        <v>1.5000000000000007</v>
      </c>
      <c r="C1275" s="545">
        <f>'Foglio deposito bis'!$E$158/sezione!$B$247*B1275</f>
        <v>11.143094774175642</v>
      </c>
      <c r="D1275" s="603">
        <f>-'Sollecitazioni nel paramento'!$G$47*'Sollecitazioni nel paramento'!$G$41*IF(DATI!$G$211="dx",DATI!$E$61,DATI!$E$64*DATI!$E$63)*1000*C1275^2*sezione!$AD$5*(1-sezione!$AD$6)</f>
        <v>-2762582.6096096262</v>
      </c>
      <c r="E1275" s="545">
        <f>-'Foglio deposito bis'!$F$68*(C1275-sezione!$AL$32)*IF(ABS(K1275)&lt;'Sollecitazioni nel paramento'!$G$58,ABS(K1275)*'Sollecitazioni nel paramento'!$G$54,'Sollecitazioni nel paramento'!$G$53)</f>
        <v>0</v>
      </c>
      <c r="F1275" s="545">
        <f>-'Foglio deposito bis'!$F$69*(C1275-sezione!$AM$32)*IF(ABS(L1275)&lt;'Sollecitazioni nel paramento'!$G$58,ABS(L1275)*'Sollecitazioni nel paramento'!$G$54,'Sollecitazioni nel paramento'!$G$53)</f>
        <v>7507589.4065828435</v>
      </c>
      <c r="G1275" s="545">
        <f>-'Foglio deposito bis'!$F$70*(C1275-sezione!$AN$32)*IF(ABS(M1275)&lt;'Sollecitazioni nel paramento'!$G$58,ABS(M1275)*'Sollecitazioni nel paramento'!$G$54,'Sollecitazioni nel paramento'!$G$53)</f>
        <v>0</v>
      </c>
      <c r="H1275" s="545">
        <f>-'Foglio deposito bis'!$F$71*(C1275-sezione!$AO$32)*IF(ABS(N1275)&lt;'Sollecitazioni nel paramento'!$G$58,ABS(N1275)*'Sollecitazioni nel paramento'!$G$54,'Sollecitazioni nel paramento'!$G$53)</f>
        <v>46846106.034555078</v>
      </c>
      <c r="I1275" s="472">
        <f>-'Foglio deposito bis'!$F$72*(C1275-sezione!$AP$32)*IF(ABS(O1275)&lt;'Sollecitazioni nel paramento'!$G$58,ABS(O1275)*'Sollecitazioni nel paramento'!$G$54,'Sollecitazioni nel paramento'!$G$53)</f>
        <v>244801661.60085836</v>
      </c>
      <c r="J1275" s="472">
        <f t="shared" si="89"/>
        <v>296392774.43238664</v>
      </c>
      <c r="K1275" s="550">
        <f>'Sollecitazioni nel paramento'!$G$60*(sezione!$AL$32-C1275)/C1275</f>
        <v>9.0638346291779682E-3</v>
      </c>
      <c r="L1275" s="550">
        <f>'Sollecitazioni nel paramento'!$G$60*(sezione!$AM$32-C1275)/C1275</f>
        <v>1.5345751943766955E-2</v>
      </c>
      <c r="M1275" s="551">
        <f>'Sollecitazioni nel paramento'!$G$60*(sezione!$AN$32-C1275)/C1275</f>
        <v>2.1627669258355943E-2</v>
      </c>
      <c r="N1275" s="551">
        <f>'Sollecitazioni nel paramento'!$G$60*(sezione!$AO$32-C1275)/C1275</f>
        <v>4.6755338516711882E-2</v>
      </c>
      <c r="O1275" s="551">
        <f>'Sollecitazioni nel paramento'!$G$60*(sezione!$AP$32-C1275)/C1275</f>
        <v>0.15636949870415515</v>
      </c>
      <c r="P1275" s="545">
        <f>-'Sollecitazioni nel paramento'!$G$47*'Sollecitazioni nel paramento'!$G$41*IF(DATI!$G$211="dx",DATI!$E$61,DATI!$E$64*DATI!$E$63)*1000*C1275*sezione!$AD$5</f>
        <v>-424518.48161176941</v>
      </c>
      <c r="Q1275" s="545">
        <f>'Foglio deposito bis'!$F$68*IF(ABS(K1275)&lt;'Sollecitazioni nel paramento'!$G$58,ABS(K1275)*'Sollecitazioni nel paramento'!$G$54,'Sollecitazioni nel paramento'!$G$53)*IF(K1275&lt;0,-1,1)</f>
        <v>0</v>
      </c>
      <c r="R1275" s="545">
        <f>'Foglio deposito bis'!$F$69*IF(ABS(L1275)&lt;'Sollecitazioni nel paramento'!$G$58,ABS(L1275)*'Sollecitazioni nel paramento'!$G$54,'Sollecitazioni nel paramento'!$G$53)*IF(L1275&lt;0,-1,1)</f>
        <v>153664.85805602249</v>
      </c>
      <c r="S1275" s="545">
        <f>'Foglio deposito bis'!$F$70*IF(ABS(M1275)&lt;'Sollecitazioni nel paramento'!$G$58,ABS(M1275)*'Sollecitazioni nel paramento'!$G$54,'Sollecitazioni nel paramento'!$G$53)*IF(M1275&lt;0,-1,1)</f>
        <v>0</v>
      </c>
      <c r="T1275" s="545">
        <f>'Foglio deposito bis'!$F$71*IF(ABS(N1275)&lt;'Sollecitazioni nel paramento'!$G$58,ABS(N1275)*'Sollecitazioni nel paramento'!$G$54,'Sollecitazioni nel paramento'!$G$53)*IF(N1275&lt;0,-1,1)</f>
        <v>314705.62929873407</v>
      </c>
      <c r="U1275" s="545">
        <f>'Foglio deposito bis'!$F$72*IF(ABS(O1275)&lt;'Sollecitazioni nel paramento'!$G$58,ABS(O1275)*'Sollecitazioni nel paramento'!$G$54,'Sollecitazioni nel paramento'!$G$53)*IF(O1275&lt;0,-1,1)</f>
        <v>491727.54577927204</v>
      </c>
      <c r="V1275" s="472">
        <f t="shared" si="91"/>
        <v>535579.55152225913</v>
      </c>
      <c r="W1275" s="551"/>
      <c r="X1275" s="551"/>
    </row>
    <row r="1276" spans="1:24" x14ac:dyDescent="0.25">
      <c r="A1276" s="545">
        <f t="shared" si="90"/>
        <v>521428.9354685336</v>
      </c>
      <c r="B1276" s="3">
        <f t="shared" si="92"/>
        <v>1.5500000000000007</v>
      </c>
      <c r="C1276" s="545">
        <f>'Foglio deposito bis'!$E$158/sezione!$B$247*B1276</f>
        <v>11.514531266648163</v>
      </c>
      <c r="D1276" s="603">
        <f>-'Sollecitazioni nel paramento'!$G$47*'Sollecitazioni nel paramento'!$G$41*IF(DATI!$G$211="dx",DATI!$E$61,DATI!$E$64*DATI!$E$63)*1000*C1276^2*sezione!$AD$5*(1-sezione!$AD$6)</f>
        <v>-2949824.3198165009</v>
      </c>
      <c r="E1276" s="545">
        <f>-'Foglio deposito bis'!$F$68*(C1276-sezione!$AL$32)*IF(ABS(K1276)&lt;'Sollecitazioni nel paramento'!$G$58,ABS(K1276)*'Sollecitazioni nel paramento'!$G$54,'Sollecitazioni nel paramento'!$G$53)</f>
        <v>0</v>
      </c>
      <c r="F1276" s="545">
        <f>-'Foglio deposito bis'!$F$69*(C1276-sezione!$AM$32)*IF(ABS(L1276)&lt;'Sollecitazioni nel paramento'!$G$58,ABS(L1276)*'Sollecitazioni nel paramento'!$G$54,'Sollecitazioni nel paramento'!$G$53)</f>
        <v>7450512.6706902273</v>
      </c>
      <c r="G1276" s="545">
        <f>-'Foglio deposito bis'!$F$70*(C1276-sezione!$AN$32)*IF(ABS(M1276)&lt;'Sollecitazioni nel paramento'!$G$58,ABS(M1276)*'Sollecitazioni nel paramento'!$G$54,'Sollecitazioni nel paramento'!$G$53)</f>
        <v>0</v>
      </c>
      <c r="H1276" s="545">
        <f>-'Foglio deposito bis'!$F$71*(C1276-sezione!$AO$32)*IF(ABS(N1276)&lt;'Sollecitazioni nel paramento'!$G$58,ABS(N1276)*'Sollecitazioni nel paramento'!$G$54,'Sollecitazioni nel paramento'!$G$53)</f>
        <v>46729212.879446998</v>
      </c>
      <c r="I1276" s="472">
        <f>-'Foglio deposito bis'!$F$72*(C1276-sezione!$AP$32)*IF(ABS(O1276)&lt;'Sollecitazioni nel paramento'!$G$58,ABS(O1276)*'Sollecitazioni nel paramento'!$G$54,'Sollecitazioni nel paramento'!$G$53)</f>
        <v>244619016.04600197</v>
      </c>
      <c r="J1276" s="472">
        <f t="shared" si="89"/>
        <v>295848917.27632272</v>
      </c>
      <c r="K1276" s="550">
        <f>'Sollecitazioni nel paramento'!$G$60*(sezione!$AL$32-C1276)/C1276</f>
        <v>8.6585496411399707E-3</v>
      </c>
      <c r="L1276" s="550">
        <f>'Sollecitazioni nel paramento'!$G$60*(sezione!$AM$32-C1276)/C1276</f>
        <v>1.4737824461709957E-2</v>
      </c>
      <c r="M1276" s="551">
        <f>'Sollecitazioni nel paramento'!$G$60*(sezione!$AN$32-C1276)/C1276</f>
        <v>2.0817099282279945E-2</v>
      </c>
      <c r="N1276" s="551">
        <f>'Sollecitazioni nel paramento'!$G$60*(sezione!$AO$32-C1276)/C1276</f>
        <v>4.5134198564559878E-2</v>
      </c>
      <c r="O1276" s="551">
        <f>'Sollecitazioni nel paramento'!$G$60*(sezione!$AP$32-C1276)/C1276</f>
        <v>0.1512124181007953</v>
      </c>
      <c r="P1276" s="545">
        <f>-'Sollecitazioni nel paramento'!$G$47*'Sollecitazioni nel paramento'!$G$41*IF(DATI!$G$211="dx",DATI!$E$61,DATI!$E$64*DATI!$E$63)*1000*C1276*sezione!$AD$5</f>
        <v>-438669.09766549501</v>
      </c>
      <c r="Q1276" s="545">
        <f>'Foglio deposito bis'!$F$68*IF(ABS(K1276)&lt;'Sollecitazioni nel paramento'!$G$58,ABS(K1276)*'Sollecitazioni nel paramento'!$G$54,'Sollecitazioni nel paramento'!$G$53)*IF(K1276&lt;0,-1,1)</f>
        <v>0</v>
      </c>
      <c r="R1276" s="545">
        <f>'Foglio deposito bis'!$F$69*IF(ABS(L1276)&lt;'Sollecitazioni nel paramento'!$G$58,ABS(L1276)*'Sollecitazioni nel paramento'!$G$54,'Sollecitazioni nel paramento'!$G$53)*IF(L1276&lt;0,-1,1)</f>
        <v>153664.85805602249</v>
      </c>
      <c r="S1276" s="545">
        <f>'Foglio deposito bis'!$F$70*IF(ABS(M1276)&lt;'Sollecitazioni nel paramento'!$G$58,ABS(M1276)*'Sollecitazioni nel paramento'!$G$54,'Sollecitazioni nel paramento'!$G$53)*IF(M1276&lt;0,-1,1)</f>
        <v>0</v>
      </c>
      <c r="T1276" s="545">
        <f>'Foglio deposito bis'!$F$71*IF(ABS(N1276)&lt;'Sollecitazioni nel paramento'!$G$58,ABS(N1276)*'Sollecitazioni nel paramento'!$G$54,'Sollecitazioni nel paramento'!$G$53)*IF(N1276&lt;0,-1,1)</f>
        <v>314705.62929873407</v>
      </c>
      <c r="U1276" s="545">
        <f>'Foglio deposito bis'!$F$72*IF(ABS(O1276)&lt;'Sollecitazioni nel paramento'!$G$58,ABS(O1276)*'Sollecitazioni nel paramento'!$G$54,'Sollecitazioni nel paramento'!$G$53)*IF(O1276&lt;0,-1,1)</f>
        <v>491727.54577927204</v>
      </c>
      <c r="V1276" s="472">
        <f t="shared" si="91"/>
        <v>521428.9354685336</v>
      </c>
      <c r="W1276" s="551"/>
      <c r="X1276" s="551"/>
    </row>
    <row r="1277" spans="1:24" x14ac:dyDescent="0.25">
      <c r="A1277" s="545">
        <f t="shared" si="90"/>
        <v>507278.31941480801</v>
      </c>
      <c r="B1277" s="3">
        <f t="shared" si="92"/>
        <v>1.6000000000000008</v>
      </c>
      <c r="C1277" s="545">
        <f>'Foglio deposito bis'!$E$158/sezione!$B$247*B1277</f>
        <v>11.885967759120685</v>
      </c>
      <c r="D1277" s="603">
        <f>-'Sollecitazioni nel paramento'!$G$47*'Sollecitazioni nel paramento'!$G$41*IF(DATI!$G$211="dx",DATI!$E$61,DATI!$E$64*DATI!$E$63)*1000*C1277^2*sezione!$AD$5*(1-sezione!$AD$6)</f>
        <v>-3143205.1024891748</v>
      </c>
      <c r="E1277" s="545">
        <f>-'Foglio deposito bis'!$F$68*(C1277-sezione!$AL$32)*IF(ABS(K1277)&lt;'Sollecitazioni nel paramento'!$G$58,ABS(K1277)*'Sollecitazioni nel paramento'!$G$54,'Sollecitazioni nel paramento'!$G$53)</f>
        <v>0</v>
      </c>
      <c r="F1277" s="545">
        <f>-'Foglio deposito bis'!$F$69*(C1277-sezione!$AM$32)*IF(ABS(L1277)&lt;'Sollecitazioni nel paramento'!$G$58,ABS(L1277)*'Sollecitazioni nel paramento'!$G$54,'Sollecitazioni nel paramento'!$G$53)</f>
        <v>7393435.9347976092</v>
      </c>
      <c r="G1277" s="545">
        <f>-'Foglio deposito bis'!$F$70*(C1277-sezione!$AN$32)*IF(ABS(M1277)&lt;'Sollecitazioni nel paramento'!$G$58,ABS(M1277)*'Sollecitazioni nel paramento'!$G$54,'Sollecitazioni nel paramento'!$G$53)</f>
        <v>0</v>
      </c>
      <c r="H1277" s="545">
        <f>-'Foglio deposito bis'!$F$71*(C1277-sezione!$AO$32)*IF(ABS(N1277)&lt;'Sollecitazioni nel paramento'!$G$58,ABS(N1277)*'Sollecitazioni nel paramento'!$G$54,'Sollecitazioni nel paramento'!$G$53)</f>
        <v>46612319.724338911</v>
      </c>
      <c r="I1277" s="472">
        <f>-'Foglio deposito bis'!$F$72*(C1277-sezione!$AP$32)*IF(ABS(O1277)&lt;'Sollecitazioni nel paramento'!$G$58,ABS(O1277)*'Sollecitazioni nel paramento'!$G$54,'Sollecitazioni nel paramento'!$G$53)</f>
        <v>244436370.49114564</v>
      </c>
      <c r="J1277" s="472">
        <f t="shared" si="89"/>
        <v>295298921.04779297</v>
      </c>
      <c r="K1277" s="550">
        <f>'Sollecitazioni nel paramento'!$G$60*(sezione!$AL$32-C1277)/C1277</f>
        <v>8.278594964854346E-3</v>
      </c>
      <c r="L1277" s="550">
        <f>'Sollecitazioni nel paramento'!$G$60*(sezione!$AM$32-C1277)/C1277</f>
        <v>1.4167892447281519E-2</v>
      </c>
      <c r="M1277" s="551">
        <f>'Sollecitazioni nel paramento'!$G$60*(sezione!$AN$32-C1277)/C1277</f>
        <v>2.0057189929708692E-2</v>
      </c>
      <c r="N1277" s="551">
        <f>'Sollecitazioni nel paramento'!$G$60*(sezione!$AO$32-C1277)/C1277</f>
        <v>4.3614379859417386E-2</v>
      </c>
      <c r="O1277" s="551">
        <f>'Sollecitazioni nel paramento'!$G$60*(sezione!$AP$32-C1277)/C1277</f>
        <v>0.14637765503514547</v>
      </c>
      <c r="P1277" s="545">
        <f>-'Sollecitazioni nel paramento'!$G$47*'Sollecitazioni nel paramento'!$G$41*IF(DATI!$G$211="dx",DATI!$E$61,DATI!$E$64*DATI!$E$63)*1000*C1277*sezione!$AD$5</f>
        <v>-452819.7137192206</v>
      </c>
      <c r="Q1277" s="545">
        <f>'Foglio deposito bis'!$F$68*IF(ABS(K1277)&lt;'Sollecitazioni nel paramento'!$G$58,ABS(K1277)*'Sollecitazioni nel paramento'!$G$54,'Sollecitazioni nel paramento'!$G$53)*IF(K1277&lt;0,-1,1)</f>
        <v>0</v>
      </c>
      <c r="R1277" s="545">
        <f>'Foglio deposito bis'!$F$69*IF(ABS(L1277)&lt;'Sollecitazioni nel paramento'!$G$58,ABS(L1277)*'Sollecitazioni nel paramento'!$G$54,'Sollecitazioni nel paramento'!$G$53)*IF(L1277&lt;0,-1,1)</f>
        <v>153664.85805602249</v>
      </c>
      <c r="S1277" s="545">
        <f>'Foglio deposito bis'!$F$70*IF(ABS(M1277)&lt;'Sollecitazioni nel paramento'!$G$58,ABS(M1277)*'Sollecitazioni nel paramento'!$G$54,'Sollecitazioni nel paramento'!$G$53)*IF(M1277&lt;0,-1,1)</f>
        <v>0</v>
      </c>
      <c r="T1277" s="545">
        <f>'Foglio deposito bis'!$F$71*IF(ABS(N1277)&lt;'Sollecitazioni nel paramento'!$G$58,ABS(N1277)*'Sollecitazioni nel paramento'!$G$54,'Sollecitazioni nel paramento'!$G$53)*IF(N1277&lt;0,-1,1)</f>
        <v>314705.62929873407</v>
      </c>
      <c r="U1277" s="545">
        <f>'Foglio deposito bis'!$F$72*IF(ABS(O1277)&lt;'Sollecitazioni nel paramento'!$G$58,ABS(O1277)*'Sollecitazioni nel paramento'!$G$54,'Sollecitazioni nel paramento'!$G$53)*IF(O1277&lt;0,-1,1)</f>
        <v>491727.54577927204</v>
      </c>
      <c r="V1277" s="472">
        <f t="shared" si="91"/>
        <v>507278.31941480801</v>
      </c>
      <c r="W1277" s="551"/>
      <c r="X1277" s="551"/>
    </row>
    <row r="1278" spans="1:24" x14ac:dyDescent="0.25">
      <c r="A1278" s="545">
        <f t="shared" si="90"/>
        <v>493127.70336108236</v>
      </c>
      <c r="B1278" s="3">
        <f t="shared" si="92"/>
        <v>1.6500000000000008</v>
      </c>
      <c r="C1278" s="545">
        <f>'Foglio deposito bis'!$E$158/sezione!$B$247*B1278</f>
        <v>12.257404251593206</v>
      </c>
      <c r="D1278" s="603">
        <f>-'Sollecitazioni nel paramento'!$G$47*'Sollecitazioni nel paramento'!$G$41*IF(DATI!$G$211="dx",DATI!$E$61,DATI!$E$64*DATI!$E$63)*1000*C1278^2*sezione!$AD$5*(1-sezione!$AD$6)</f>
        <v>-3342724.957627648</v>
      </c>
      <c r="E1278" s="545">
        <f>-'Foglio deposito bis'!$F$68*(C1278-sezione!$AL$32)*IF(ABS(K1278)&lt;'Sollecitazioni nel paramento'!$G$58,ABS(K1278)*'Sollecitazioni nel paramento'!$G$54,'Sollecitazioni nel paramento'!$G$53)</f>
        <v>0</v>
      </c>
      <c r="F1278" s="545">
        <f>-'Foglio deposito bis'!$F$69*(C1278-sezione!$AM$32)*IF(ABS(L1278)&lt;'Sollecitazioni nel paramento'!$G$58,ABS(L1278)*'Sollecitazioni nel paramento'!$G$54,'Sollecitazioni nel paramento'!$G$53)</f>
        <v>7336359.1989049921</v>
      </c>
      <c r="G1278" s="545">
        <f>-'Foglio deposito bis'!$F$70*(C1278-sezione!$AN$32)*IF(ABS(M1278)&lt;'Sollecitazioni nel paramento'!$G$58,ABS(M1278)*'Sollecitazioni nel paramento'!$G$54,'Sollecitazioni nel paramento'!$G$53)</f>
        <v>0</v>
      </c>
      <c r="H1278" s="545">
        <f>-'Foglio deposito bis'!$F$71*(C1278-sezione!$AO$32)*IF(ABS(N1278)&lt;'Sollecitazioni nel paramento'!$G$58,ABS(N1278)*'Sollecitazioni nel paramento'!$G$54,'Sollecitazioni nel paramento'!$G$53)</f>
        <v>46495426.569230832</v>
      </c>
      <c r="I1278" s="472">
        <f>-'Foglio deposito bis'!$F$72*(C1278-sezione!$AP$32)*IF(ABS(O1278)&lt;'Sollecitazioni nel paramento'!$G$58,ABS(O1278)*'Sollecitazioni nel paramento'!$G$54,'Sollecitazioni nel paramento'!$G$53)</f>
        <v>244253724.93628925</v>
      </c>
      <c r="J1278" s="472">
        <f t="shared" si="89"/>
        <v>294742785.74679744</v>
      </c>
      <c r="K1278" s="550">
        <f>'Sollecitazioni nel paramento'!$G$60*(sezione!$AL$32-C1278)/C1278</f>
        <v>7.9216678447072454E-3</v>
      </c>
      <c r="L1278" s="550">
        <f>'Sollecitazioni nel paramento'!$G$60*(sezione!$AM$32-C1278)/C1278</f>
        <v>1.3632501767060868E-2</v>
      </c>
      <c r="M1278" s="551">
        <f>'Sollecitazioni nel paramento'!$G$60*(sezione!$AN$32-C1278)/C1278</f>
        <v>1.934333568941449E-2</v>
      </c>
      <c r="N1278" s="551">
        <f>'Sollecitazioni nel paramento'!$G$60*(sezione!$AO$32-C1278)/C1278</f>
        <v>4.2186671378828977E-2</v>
      </c>
      <c r="O1278" s="551">
        <f>'Sollecitazioni nel paramento'!$G$60*(sezione!$AP$32-C1278)/C1278</f>
        <v>0.14183590791286835</v>
      </c>
      <c r="P1278" s="545">
        <f>-'Sollecitazioni nel paramento'!$G$47*'Sollecitazioni nel paramento'!$G$41*IF(DATI!$G$211="dx",DATI!$E$61,DATI!$E$64*DATI!$E$63)*1000*C1278*sezione!$AD$5</f>
        <v>-466970.32977294625</v>
      </c>
      <c r="Q1278" s="545">
        <f>'Foglio deposito bis'!$F$68*IF(ABS(K1278)&lt;'Sollecitazioni nel paramento'!$G$58,ABS(K1278)*'Sollecitazioni nel paramento'!$G$54,'Sollecitazioni nel paramento'!$G$53)*IF(K1278&lt;0,-1,1)</f>
        <v>0</v>
      </c>
      <c r="R1278" s="545">
        <f>'Foglio deposito bis'!$F$69*IF(ABS(L1278)&lt;'Sollecitazioni nel paramento'!$G$58,ABS(L1278)*'Sollecitazioni nel paramento'!$G$54,'Sollecitazioni nel paramento'!$G$53)*IF(L1278&lt;0,-1,1)</f>
        <v>153664.85805602249</v>
      </c>
      <c r="S1278" s="545">
        <f>'Foglio deposito bis'!$F$70*IF(ABS(M1278)&lt;'Sollecitazioni nel paramento'!$G$58,ABS(M1278)*'Sollecitazioni nel paramento'!$G$54,'Sollecitazioni nel paramento'!$G$53)*IF(M1278&lt;0,-1,1)</f>
        <v>0</v>
      </c>
      <c r="T1278" s="545">
        <f>'Foglio deposito bis'!$F$71*IF(ABS(N1278)&lt;'Sollecitazioni nel paramento'!$G$58,ABS(N1278)*'Sollecitazioni nel paramento'!$G$54,'Sollecitazioni nel paramento'!$G$53)*IF(N1278&lt;0,-1,1)</f>
        <v>314705.62929873407</v>
      </c>
      <c r="U1278" s="545">
        <f>'Foglio deposito bis'!$F$72*IF(ABS(O1278)&lt;'Sollecitazioni nel paramento'!$G$58,ABS(O1278)*'Sollecitazioni nel paramento'!$G$54,'Sollecitazioni nel paramento'!$G$53)*IF(O1278&lt;0,-1,1)</f>
        <v>491727.54577927204</v>
      </c>
      <c r="V1278" s="472">
        <f t="shared" si="91"/>
        <v>493127.70336108236</v>
      </c>
      <c r="W1278" s="551"/>
      <c r="X1278" s="551"/>
    </row>
    <row r="1279" spans="1:24" x14ac:dyDescent="0.25">
      <c r="A1279" s="545">
        <f t="shared" si="90"/>
        <v>478977.08730735659</v>
      </c>
      <c r="B1279" s="3">
        <f t="shared" si="92"/>
        <v>1.7000000000000008</v>
      </c>
      <c r="C1279" s="545">
        <f>'Foglio deposito bis'!$E$158/sezione!$B$247*B1279</f>
        <v>12.628840744065728</v>
      </c>
      <c r="D1279" s="603">
        <f>-'Sollecitazioni nel paramento'!$G$47*'Sollecitazioni nel paramento'!$G$41*IF(DATI!$G$211="dx",DATI!$E$61,DATI!$E$64*DATI!$E$63)*1000*C1279^2*sezione!$AD$5*(1-sezione!$AD$6)</f>
        <v>-3548383.8852319205</v>
      </c>
      <c r="E1279" s="545">
        <f>-'Foglio deposito bis'!$F$68*(C1279-sezione!$AL$32)*IF(ABS(K1279)&lt;'Sollecitazioni nel paramento'!$G$58,ABS(K1279)*'Sollecitazioni nel paramento'!$G$54,'Sollecitazioni nel paramento'!$G$53)</f>
        <v>0</v>
      </c>
      <c r="F1279" s="545">
        <f>-'Foglio deposito bis'!$F$69*(C1279-sezione!$AM$32)*IF(ABS(L1279)&lt;'Sollecitazioni nel paramento'!$G$58,ABS(L1279)*'Sollecitazioni nel paramento'!$G$54,'Sollecitazioni nel paramento'!$G$53)</f>
        <v>7279282.4630123768</v>
      </c>
      <c r="G1279" s="545">
        <f>-'Foglio deposito bis'!$F$70*(C1279-sezione!$AN$32)*IF(ABS(M1279)&lt;'Sollecitazioni nel paramento'!$G$58,ABS(M1279)*'Sollecitazioni nel paramento'!$G$54,'Sollecitazioni nel paramento'!$G$53)</f>
        <v>0</v>
      </c>
      <c r="H1279" s="545">
        <f>-'Foglio deposito bis'!$F$71*(C1279-sezione!$AO$32)*IF(ABS(N1279)&lt;'Sollecitazioni nel paramento'!$G$58,ABS(N1279)*'Sollecitazioni nel paramento'!$G$54,'Sollecitazioni nel paramento'!$G$53)</f>
        <v>46378533.414122753</v>
      </c>
      <c r="I1279" s="472">
        <f>-'Foglio deposito bis'!$F$72*(C1279-sezione!$AP$32)*IF(ABS(O1279)&lt;'Sollecitazioni nel paramento'!$G$58,ABS(O1279)*'Sollecitazioni nel paramento'!$G$54,'Sollecitazioni nel paramento'!$G$53)</f>
        <v>244071079.38143286</v>
      </c>
      <c r="J1279" s="472">
        <f t="shared" si="89"/>
        <v>294180511.37333608</v>
      </c>
      <c r="K1279" s="550">
        <f>'Sollecitazioni nel paramento'!$G$60*(sezione!$AL$32-C1279)/C1279</f>
        <v>7.5857364375099736E-3</v>
      </c>
      <c r="L1279" s="550">
        <f>'Sollecitazioni nel paramento'!$G$60*(sezione!$AM$32-C1279)/C1279</f>
        <v>1.3128604656264961E-2</v>
      </c>
      <c r="M1279" s="551">
        <f>'Sollecitazioni nel paramento'!$G$60*(sezione!$AN$32-C1279)/C1279</f>
        <v>1.8671472875019947E-2</v>
      </c>
      <c r="N1279" s="551">
        <f>'Sollecitazioni nel paramento'!$G$60*(sezione!$AO$32-C1279)/C1279</f>
        <v>4.084294575003989E-2</v>
      </c>
      <c r="O1279" s="551">
        <f>'Sollecitazioni nel paramento'!$G$60*(sezione!$AP$32-C1279)/C1279</f>
        <v>0.13756132238601926</v>
      </c>
      <c r="P1279" s="545">
        <f>-'Sollecitazioni nel paramento'!$G$47*'Sollecitazioni nel paramento'!$G$41*IF(DATI!$G$211="dx",DATI!$E$61,DATI!$E$64*DATI!$E$63)*1000*C1279*sezione!$AD$5</f>
        <v>-481120.94582667202</v>
      </c>
      <c r="Q1279" s="545">
        <f>'Foglio deposito bis'!$F$68*IF(ABS(K1279)&lt;'Sollecitazioni nel paramento'!$G$58,ABS(K1279)*'Sollecitazioni nel paramento'!$G$54,'Sollecitazioni nel paramento'!$G$53)*IF(K1279&lt;0,-1,1)</f>
        <v>0</v>
      </c>
      <c r="R1279" s="545">
        <f>'Foglio deposito bis'!$F$69*IF(ABS(L1279)&lt;'Sollecitazioni nel paramento'!$G$58,ABS(L1279)*'Sollecitazioni nel paramento'!$G$54,'Sollecitazioni nel paramento'!$G$53)*IF(L1279&lt;0,-1,1)</f>
        <v>153664.85805602249</v>
      </c>
      <c r="S1279" s="545">
        <f>'Foglio deposito bis'!$F$70*IF(ABS(M1279)&lt;'Sollecitazioni nel paramento'!$G$58,ABS(M1279)*'Sollecitazioni nel paramento'!$G$54,'Sollecitazioni nel paramento'!$G$53)*IF(M1279&lt;0,-1,1)</f>
        <v>0</v>
      </c>
      <c r="T1279" s="545">
        <f>'Foglio deposito bis'!$F$71*IF(ABS(N1279)&lt;'Sollecitazioni nel paramento'!$G$58,ABS(N1279)*'Sollecitazioni nel paramento'!$G$54,'Sollecitazioni nel paramento'!$G$53)*IF(N1279&lt;0,-1,1)</f>
        <v>314705.62929873407</v>
      </c>
      <c r="U1279" s="545">
        <f>'Foglio deposito bis'!$F$72*IF(ABS(O1279)&lt;'Sollecitazioni nel paramento'!$G$58,ABS(O1279)*'Sollecitazioni nel paramento'!$G$54,'Sollecitazioni nel paramento'!$G$53)*IF(O1279&lt;0,-1,1)</f>
        <v>491727.54577927204</v>
      </c>
      <c r="V1279" s="472">
        <f t="shared" si="91"/>
        <v>478977.08730735659</v>
      </c>
      <c r="W1279" s="551"/>
      <c r="X1279" s="551"/>
    </row>
    <row r="1280" spans="1:24" x14ac:dyDescent="0.25">
      <c r="A1280" s="545">
        <f t="shared" si="90"/>
        <v>464826.47125363105</v>
      </c>
      <c r="B1280" s="3">
        <f t="shared" si="92"/>
        <v>1.7500000000000009</v>
      </c>
      <c r="C1280" s="545">
        <f>'Foglio deposito bis'!$E$158/sezione!$B$247*B1280</f>
        <v>13.000277236538249</v>
      </c>
      <c r="D1280" s="603">
        <f>-'Sollecitazioni nel paramento'!$G$47*'Sollecitazioni nel paramento'!$G$41*IF(DATI!$G$211="dx",DATI!$E$61,DATI!$E$64*DATI!$E$63)*1000*C1280^2*sezione!$AD$5*(1-sezione!$AD$6)</f>
        <v>-3760181.8853019914</v>
      </c>
      <c r="E1280" s="545">
        <f>-'Foglio deposito bis'!$F$68*(C1280-sezione!$AL$32)*IF(ABS(K1280)&lt;'Sollecitazioni nel paramento'!$G$58,ABS(K1280)*'Sollecitazioni nel paramento'!$G$54,'Sollecitazioni nel paramento'!$G$53)</f>
        <v>0</v>
      </c>
      <c r="F1280" s="545">
        <f>-'Foglio deposito bis'!$F$69*(C1280-sezione!$AM$32)*IF(ABS(L1280)&lt;'Sollecitazioni nel paramento'!$G$58,ABS(L1280)*'Sollecitazioni nel paramento'!$G$54,'Sollecitazioni nel paramento'!$G$53)</f>
        <v>7222205.7271197587</v>
      </c>
      <c r="G1280" s="545">
        <f>-'Foglio deposito bis'!$F$70*(C1280-sezione!$AN$32)*IF(ABS(M1280)&lt;'Sollecitazioni nel paramento'!$G$58,ABS(M1280)*'Sollecitazioni nel paramento'!$G$54,'Sollecitazioni nel paramento'!$G$53)</f>
        <v>0</v>
      </c>
      <c r="H1280" s="545">
        <f>-'Foglio deposito bis'!$F$71*(C1280-sezione!$AO$32)*IF(ABS(N1280)&lt;'Sollecitazioni nel paramento'!$G$58,ABS(N1280)*'Sollecitazioni nel paramento'!$G$54,'Sollecitazioni nel paramento'!$G$53)</f>
        <v>46261640.259014681</v>
      </c>
      <c r="I1280" s="472">
        <f>-'Foglio deposito bis'!$F$72*(C1280-sezione!$AP$32)*IF(ABS(O1280)&lt;'Sollecitazioni nel paramento'!$G$58,ABS(O1280)*'Sollecitazioni nel paramento'!$G$54,'Sollecitazioni nel paramento'!$G$53)</f>
        <v>243888433.82657647</v>
      </c>
      <c r="J1280" s="472">
        <f t="shared" si="89"/>
        <v>293612097.92740893</v>
      </c>
      <c r="K1280" s="550">
        <f>'Sollecitazioni nel paramento'!$G$60*(sezione!$AL$32-C1280)/C1280</f>
        <v>7.269001110723974E-3</v>
      </c>
      <c r="L1280" s="550">
        <f>'Sollecitazioni nel paramento'!$G$60*(sezione!$AM$32-C1280)/C1280</f>
        <v>1.2653501666085962E-2</v>
      </c>
      <c r="M1280" s="551">
        <f>'Sollecitazioni nel paramento'!$G$60*(sezione!$AN$32-C1280)/C1280</f>
        <v>1.8038002221447948E-2</v>
      </c>
      <c r="N1280" s="551">
        <f>'Sollecitazioni nel paramento'!$G$60*(sezione!$AO$32-C1280)/C1280</f>
        <v>3.9576004442895898E-2</v>
      </c>
      <c r="O1280" s="551">
        <f>'Sollecitazioni nel paramento'!$G$60*(sezione!$AP$32-C1280)/C1280</f>
        <v>0.13353099888927586</v>
      </c>
      <c r="P1280" s="545">
        <f>-'Sollecitazioni nel paramento'!$G$47*'Sollecitazioni nel paramento'!$G$41*IF(DATI!$G$211="dx",DATI!$E$61,DATI!$E$64*DATI!$E$63)*1000*C1280*sezione!$AD$5</f>
        <v>-495271.56188039755</v>
      </c>
      <c r="Q1280" s="545">
        <f>'Foglio deposito bis'!$F$68*IF(ABS(K1280)&lt;'Sollecitazioni nel paramento'!$G$58,ABS(K1280)*'Sollecitazioni nel paramento'!$G$54,'Sollecitazioni nel paramento'!$G$53)*IF(K1280&lt;0,-1,1)</f>
        <v>0</v>
      </c>
      <c r="R1280" s="545">
        <f>'Foglio deposito bis'!$F$69*IF(ABS(L1280)&lt;'Sollecitazioni nel paramento'!$G$58,ABS(L1280)*'Sollecitazioni nel paramento'!$G$54,'Sollecitazioni nel paramento'!$G$53)*IF(L1280&lt;0,-1,1)</f>
        <v>153664.85805602249</v>
      </c>
      <c r="S1280" s="545">
        <f>'Foglio deposito bis'!$F$70*IF(ABS(M1280)&lt;'Sollecitazioni nel paramento'!$G$58,ABS(M1280)*'Sollecitazioni nel paramento'!$G$54,'Sollecitazioni nel paramento'!$G$53)*IF(M1280&lt;0,-1,1)</f>
        <v>0</v>
      </c>
      <c r="T1280" s="545">
        <f>'Foglio deposito bis'!$F$71*IF(ABS(N1280)&lt;'Sollecitazioni nel paramento'!$G$58,ABS(N1280)*'Sollecitazioni nel paramento'!$G$54,'Sollecitazioni nel paramento'!$G$53)*IF(N1280&lt;0,-1,1)</f>
        <v>314705.62929873407</v>
      </c>
      <c r="U1280" s="545">
        <f>'Foglio deposito bis'!$F$72*IF(ABS(O1280)&lt;'Sollecitazioni nel paramento'!$G$58,ABS(O1280)*'Sollecitazioni nel paramento'!$G$54,'Sollecitazioni nel paramento'!$G$53)*IF(O1280&lt;0,-1,1)</f>
        <v>491727.54577927204</v>
      </c>
      <c r="V1280" s="472">
        <f t="shared" si="91"/>
        <v>464826.47125363105</v>
      </c>
      <c r="W1280" s="551"/>
      <c r="X1280" s="551"/>
    </row>
    <row r="1281" spans="1:24" x14ac:dyDescent="0.25">
      <c r="A1281" s="545">
        <f t="shared" si="90"/>
        <v>450675.85519990535</v>
      </c>
      <c r="B1281" s="3">
        <f t="shared" si="92"/>
        <v>1.8000000000000009</v>
      </c>
      <c r="C1281" s="545">
        <f>'Foglio deposito bis'!$E$158/sezione!$B$247*B1281</f>
        <v>13.371713729010771</v>
      </c>
      <c r="D1281" s="603">
        <f>-'Sollecitazioni nel paramento'!$G$47*'Sollecitazioni nel paramento'!$G$41*IF(DATI!$G$211="dx",DATI!$E$61,DATI!$E$64*DATI!$E$63)*1000*C1281^2*sezione!$AD$5*(1-sezione!$AD$6)</f>
        <v>-3978118.9578378624</v>
      </c>
      <c r="E1281" s="545">
        <f>-'Foglio deposito bis'!$F$68*(C1281-sezione!$AL$32)*IF(ABS(K1281)&lt;'Sollecitazioni nel paramento'!$G$58,ABS(K1281)*'Sollecitazioni nel paramento'!$G$54,'Sollecitazioni nel paramento'!$G$53)</f>
        <v>0</v>
      </c>
      <c r="F1281" s="545">
        <f>-'Foglio deposito bis'!$F$69*(C1281-sezione!$AM$32)*IF(ABS(L1281)&lt;'Sollecitazioni nel paramento'!$G$58,ABS(L1281)*'Sollecitazioni nel paramento'!$G$54,'Sollecitazioni nel paramento'!$G$53)</f>
        <v>7165128.9912271425</v>
      </c>
      <c r="G1281" s="545">
        <f>-'Foglio deposito bis'!$F$70*(C1281-sezione!$AN$32)*IF(ABS(M1281)&lt;'Sollecitazioni nel paramento'!$G$58,ABS(M1281)*'Sollecitazioni nel paramento'!$G$54,'Sollecitazioni nel paramento'!$G$53)</f>
        <v>0</v>
      </c>
      <c r="H1281" s="545">
        <f>-'Foglio deposito bis'!$F$71*(C1281-sezione!$AO$32)*IF(ABS(N1281)&lt;'Sollecitazioni nel paramento'!$G$58,ABS(N1281)*'Sollecitazioni nel paramento'!$G$54,'Sollecitazioni nel paramento'!$G$53)</f>
        <v>46144747.103906602</v>
      </c>
      <c r="I1281" s="472">
        <f>-'Foglio deposito bis'!$F$72*(C1281-sezione!$AP$32)*IF(ABS(O1281)&lt;'Sollecitazioni nel paramento'!$G$58,ABS(O1281)*'Sollecitazioni nel paramento'!$G$54,'Sollecitazioni nel paramento'!$G$53)</f>
        <v>243705788.27172014</v>
      </c>
      <c r="J1281" s="472">
        <f t="shared" si="89"/>
        <v>293037545.40901601</v>
      </c>
      <c r="K1281" s="550">
        <f>'Sollecitazioni nel paramento'!$G$60*(sezione!$AL$32-C1281)/C1281</f>
        <v>6.9698621909816405E-3</v>
      </c>
      <c r="L1281" s="550">
        <f>'Sollecitazioni nel paramento'!$G$60*(sezione!$AM$32-C1281)/C1281</f>
        <v>1.2204793286472461E-2</v>
      </c>
      <c r="M1281" s="551">
        <f>'Sollecitazioni nel paramento'!$G$60*(sezione!$AN$32-C1281)/C1281</f>
        <v>1.7439724381963284E-2</v>
      </c>
      <c r="N1281" s="551">
        <f>'Sollecitazioni nel paramento'!$G$60*(sezione!$AO$32-C1281)/C1281</f>
        <v>3.8379448763926564E-2</v>
      </c>
      <c r="O1281" s="551">
        <f>'Sollecitazioni nel paramento'!$G$60*(sezione!$AP$32-C1281)/C1281</f>
        <v>0.12972458225346262</v>
      </c>
      <c r="P1281" s="545">
        <f>-'Sollecitazioni nel paramento'!$G$47*'Sollecitazioni nel paramento'!$G$41*IF(DATI!$G$211="dx",DATI!$E$61,DATI!$E$64*DATI!$E$63)*1000*C1281*sezione!$AD$5</f>
        <v>-509422.17793412326</v>
      </c>
      <c r="Q1281" s="545">
        <f>'Foglio deposito bis'!$F$68*IF(ABS(K1281)&lt;'Sollecitazioni nel paramento'!$G$58,ABS(K1281)*'Sollecitazioni nel paramento'!$G$54,'Sollecitazioni nel paramento'!$G$53)*IF(K1281&lt;0,-1,1)</f>
        <v>0</v>
      </c>
      <c r="R1281" s="545">
        <f>'Foglio deposito bis'!$F$69*IF(ABS(L1281)&lt;'Sollecitazioni nel paramento'!$G$58,ABS(L1281)*'Sollecitazioni nel paramento'!$G$54,'Sollecitazioni nel paramento'!$G$53)*IF(L1281&lt;0,-1,1)</f>
        <v>153664.85805602249</v>
      </c>
      <c r="S1281" s="545">
        <f>'Foglio deposito bis'!$F$70*IF(ABS(M1281)&lt;'Sollecitazioni nel paramento'!$G$58,ABS(M1281)*'Sollecitazioni nel paramento'!$G$54,'Sollecitazioni nel paramento'!$G$53)*IF(M1281&lt;0,-1,1)</f>
        <v>0</v>
      </c>
      <c r="T1281" s="545">
        <f>'Foglio deposito bis'!$F$71*IF(ABS(N1281)&lt;'Sollecitazioni nel paramento'!$G$58,ABS(N1281)*'Sollecitazioni nel paramento'!$G$54,'Sollecitazioni nel paramento'!$G$53)*IF(N1281&lt;0,-1,1)</f>
        <v>314705.62929873407</v>
      </c>
      <c r="U1281" s="545">
        <f>'Foglio deposito bis'!$F$72*IF(ABS(O1281)&lt;'Sollecitazioni nel paramento'!$G$58,ABS(O1281)*'Sollecitazioni nel paramento'!$G$54,'Sollecitazioni nel paramento'!$G$53)*IF(O1281&lt;0,-1,1)</f>
        <v>491727.54577927204</v>
      </c>
      <c r="V1281" s="472">
        <f t="shared" si="91"/>
        <v>450675.85519990535</v>
      </c>
      <c r="W1281" s="551"/>
      <c r="X1281" s="551"/>
    </row>
    <row r="1282" spans="1:24" x14ac:dyDescent="0.25">
      <c r="A1282" s="545">
        <f t="shared" si="90"/>
        <v>436525.23914617969</v>
      </c>
      <c r="B1282" s="3">
        <f t="shared" si="92"/>
        <v>1.850000000000001</v>
      </c>
      <c r="C1282" s="545">
        <f>'Foglio deposito bis'!$E$158/sezione!$B$247*B1282</f>
        <v>13.743150221483292</v>
      </c>
      <c r="D1282" s="603">
        <f>-'Sollecitazioni nel paramento'!$G$47*'Sollecitazioni nel paramento'!$G$41*IF(DATI!$G$211="dx",DATI!$E$61,DATI!$E$64*DATI!$E$63)*1000*C1282^2*sezione!$AD$5*(1-sezione!$AD$6)</f>
        <v>-4202195.1028395314</v>
      </c>
      <c r="E1282" s="545">
        <f>-'Foglio deposito bis'!$F$68*(C1282-sezione!$AL$32)*IF(ABS(K1282)&lt;'Sollecitazioni nel paramento'!$G$58,ABS(K1282)*'Sollecitazioni nel paramento'!$G$54,'Sollecitazioni nel paramento'!$G$53)</f>
        <v>0</v>
      </c>
      <c r="F1282" s="545">
        <f>-'Foglio deposito bis'!$F$69*(C1282-sezione!$AM$32)*IF(ABS(L1282)&lt;'Sollecitazioni nel paramento'!$G$58,ABS(L1282)*'Sollecitazioni nel paramento'!$G$54,'Sollecitazioni nel paramento'!$G$53)</f>
        <v>7108052.2553345254</v>
      </c>
      <c r="G1282" s="545">
        <f>-'Foglio deposito bis'!$F$70*(C1282-sezione!$AN$32)*IF(ABS(M1282)&lt;'Sollecitazioni nel paramento'!$G$58,ABS(M1282)*'Sollecitazioni nel paramento'!$G$54,'Sollecitazioni nel paramento'!$G$53)</f>
        <v>0</v>
      </c>
      <c r="H1282" s="545">
        <f>-'Foglio deposito bis'!$F$71*(C1282-sezione!$AO$32)*IF(ABS(N1282)&lt;'Sollecitazioni nel paramento'!$G$58,ABS(N1282)*'Sollecitazioni nel paramento'!$G$54,'Sollecitazioni nel paramento'!$G$53)</f>
        <v>46027853.948798515</v>
      </c>
      <c r="I1282" s="472">
        <f>-'Foglio deposito bis'!$F$72*(C1282-sezione!$AP$32)*IF(ABS(O1282)&lt;'Sollecitazioni nel paramento'!$G$58,ABS(O1282)*'Sollecitazioni nel paramento'!$G$54,'Sollecitazioni nel paramento'!$G$53)</f>
        <v>243523142.71686375</v>
      </c>
      <c r="J1282" s="472">
        <f t="shared" si="89"/>
        <v>292456853.81815726</v>
      </c>
      <c r="K1282" s="550">
        <f>'Sollecitazioni nel paramento'!$G$60*(sezione!$AL$32-C1282)/C1282</f>
        <v>6.6868929425767326E-3</v>
      </c>
      <c r="L1282" s="550">
        <f>'Sollecitazioni nel paramento'!$G$60*(sezione!$AM$32-C1282)/C1282</f>
        <v>1.1780339413865097E-2</v>
      </c>
      <c r="M1282" s="551">
        <f>'Sollecitazioni nel paramento'!$G$60*(sezione!$AN$32-C1282)/C1282</f>
        <v>1.6873785885153463E-2</v>
      </c>
      <c r="N1282" s="551">
        <f>'Sollecitazioni nel paramento'!$G$60*(sezione!$AO$32-C1282)/C1282</f>
        <v>3.724757177030693E-2</v>
      </c>
      <c r="O1282" s="551">
        <f>'Sollecitazioni nel paramento'!$G$60*(sezione!$AP$32-C1282)/C1282</f>
        <v>0.12612391786823393</v>
      </c>
      <c r="P1282" s="545">
        <f>-'Sollecitazioni nel paramento'!$G$47*'Sollecitazioni nel paramento'!$G$41*IF(DATI!$G$211="dx",DATI!$E$61,DATI!$E$64*DATI!$E$63)*1000*C1282*sezione!$AD$5</f>
        <v>-523572.79398784891</v>
      </c>
      <c r="Q1282" s="545">
        <f>'Foglio deposito bis'!$F$68*IF(ABS(K1282)&lt;'Sollecitazioni nel paramento'!$G$58,ABS(K1282)*'Sollecitazioni nel paramento'!$G$54,'Sollecitazioni nel paramento'!$G$53)*IF(K1282&lt;0,-1,1)</f>
        <v>0</v>
      </c>
      <c r="R1282" s="545">
        <f>'Foglio deposito bis'!$F$69*IF(ABS(L1282)&lt;'Sollecitazioni nel paramento'!$G$58,ABS(L1282)*'Sollecitazioni nel paramento'!$G$54,'Sollecitazioni nel paramento'!$G$53)*IF(L1282&lt;0,-1,1)</f>
        <v>153664.85805602249</v>
      </c>
      <c r="S1282" s="545">
        <f>'Foglio deposito bis'!$F$70*IF(ABS(M1282)&lt;'Sollecitazioni nel paramento'!$G$58,ABS(M1282)*'Sollecitazioni nel paramento'!$G$54,'Sollecitazioni nel paramento'!$G$53)*IF(M1282&lt;0,-1,1)</f>
        <v>0</v>
      </c>
      <c r="T1282" s="545">
        <f>'Foglio deposito bis'!$F$71*IF(ABS(N1282)&lt;'Sollecitazioni nel paramento'!$G$58,ABS(N1282)*'Sollecitazioni nel paramento'!$G$54,'Sollecitazioni nel paramento'!$G$53)*IF(N1282&lt;0,-1,1)</f>
        <v>314705.62929873407</v>
      </c>
      <c r="U1282" s="545">
        <f>'Foglio deposito bis'!$F$72*IF(ABS(O1282)&lt;'Sollecitazioni nel paramento'!$G$58,ABS(O1282)*'Sollecitazioni nel paramento'!$G$54,'Sollecitazioni nel paramento'!$G$53)*IF(O1282&lt;0,-1,1)</f>
        <v>491727.54577927204</v>
      </c>
      <c r="V1282" s="472">
        <f t="shared" si="91"/>
        <v>436525.23914617969</v>
      </c>
      <c r="W1282" s="551"/>
      <c r="X1282" s="551"/>
    </row>
    <row r="1283" spans="1:24" x14ac:dyDescent="0.25">
      <c r="A1283" s="545">
        <f t="shared" si="90"/>
        <v>422374.62309245399</v>
      </c>
      <c r="B1283" s="3">
        <f t="shared" si="92"/>
        <v>1.900000000000001</v>
      </c>
      <c r="C1283" s="545">
        <f>'Foglio deposito bis'!$E$158/sezione!$B$247*B1283</f>
        <v>14.114586713955815</v>
      </c>
      <c r="D1283" s="603">
        <f>-'Sollecitazioni nel paramento'!$G$47*'Sollecitazioni nel paramento'!$G$41*IF(DATI!$G$211="dx",DATI!$E$61,DATI!$E$64*DATI!$E$63)*1000*C1283^2*sezione!$AD$5*(1-sezione!$AD$6)</f>
        <v>-4432410.3203070005</v>
      </c>
      <c r="E1283" s="545">
        <f>-'Foglio deposito bis'!$F$68*(C1283-sezione!$AL$32)*IF(ABS(K1283)&lt;'Sollecitazioni nel paramento'!$G$58,ABS(K1283)*'Sollecitazioni nel paramento'!$G$54,'Sollecitazioni nel paramento'!$G$53)</f>
        <v>0</v>
      </c>
      <c r="F1283" s="545">
        <f>-'Foglio deposito bis'!$F$69*(C1283-sezione!$AM$32)*IF(ABS(L1283)&lt;'Sollecitazioni nel paramento'!$G$58,ABS(L1283)*'Sollecitazioni nel paramento'!$G$54,'Sollecitazioni nel paramento'!$G$53)</f>
        <v>7050975.5194419092</v>
      </c>
      <c r="G1283" s="545">
        <f>-'Foglio deposito bis'!$F$70*(C1283-sezione!$AN$32)*IF(ABS(M1283)&lt;'Sollecitazioni nel paramento'!$G$58,ABS(M1283)*'Sollecitazioni nel paramento'!$G$54,'Sollecitazioni nel paramento'!$G$53)</f>
        <v>0</v>
      </c>
      <c r="H1283" s="545">
        <f>-'Foglio deposito bis'!$F$71*(C1283-sezione!$AO$32)*IF(ABS(N1283)&lt;'Sollecitazioni nel paramento'!$G$58,ABS(N1283)*'Sollecitazioni nel paramento'!$G$54,'Sollecitazioni nel paramento'!$G$53)</f>
        <v>45910960.793690436</v>
      </c>
      <c r="I1283" s="472">
        <f>-'Foglio deposito bis'!$F$72*(C1283-sezione!$AP$32)*IF(ABS(O1283)&lt;'Sollecitazioni nel paramento'!$G$58,ABS(O1283)*'Sollecitazioni nel paramento'!$G$54,'Sollecitazioni nel paramento'!$G$53)</f>
        <v>243340497.16200736</v>
      </c>
      <c r="J1283" s="472">
        <f t="shared" si="89"/>
        <v>291870023.15483272</v>
      </c>
      <c r="K1283" s="550">
        <f>'Sollecitazioni nel paramento'!$G$60*(sezione!$AL$32-C1283)/C1283</f>
        <v>6.4188168125089221E-3</v>
      </c>
      <c r="L1283" s="550">
        <f>'Sollecitazioni nel paramento'!$G$60*(sezione!$AM$32-C1283)/C1283</f>
        <v>1.1378225218763383E-2</v>
      </c>
      <c r="M1283" s="551">
        <f>'Sollecitazioni nel paramento'!$G$60*(sezione!$AN$32-C1283)/C1283</f>
        <v>1.6337633625017844E-2</v>
      </c>
      <c r="N1283" s="551">
        <f>'Sollecitazioni nel paramento'!$G$60*(sezione!$AO$32-C1283)/C1283</f>
        <v>3.6175267250035691E-2</v>
      </c>
      <c r="O1283" s="551">
        <f>'Sollecitazioni nel paramento'!$G$60*(sezione!$AP$32-C1283)/C1283</f>
        <v>0.12271276213485934</v>
      </c>
      <c r="P1283" s="545">
        <f>-'Sollecitazioni nel paramento'!$G$47*'Sollecitazioni nel paramento'!$G$41*IF(DATI!$G$211="dx",DATI!$E$61,DATI!$E$64*DATI!$E$63)*1000*C1283*sezione!$AD$5</f>
        <v>-537723.41004157462</v>
      </c>
      <c r="Q1283" s="545">
        <f>'Foglio deposito bis'!$F$68*IF(ABS(K1283)&lt;'Sollecitazioni nel paramento'!$G$58,ABS(K1283)*'Sollecitazioni nel paramento'!$G$54,'Sollecitazioni nel paramento'!$G$53)*IF(K1283&lt;0,-1,1)</f>
        <v>0</v>
      </c>
      <c r="R1283" s="545">
        <f>'Foglio deposito bis'!$F$69*IF(ABS(L1283)&lt;'Sollecitazioni nel paramento'!$G$58,ABS(L1283)*'Sollecitazioni nel paramento'!$G$54,'Sollecitazioni nel paramento'!$G$53)*IF(L1283&lt;0,-1,1)</f>
        <v>153664.85805602249</v>
      </c>
      <c r="S1283" s="545">
        <f>'Foglio deposito bis'!$F$70*IF(ABS(M1283)&lt;'Sollecitazioni nel paramento'!$G$58,ABS(M1283)*'Sollecitazioni nel paramento'!$G$54,'Sollecitazioni nel paramento'!$G$53)*IF(M1283&lt;0,-1,1)</f>
        <v>0</v>
      </c>
      <c r="T1283" s="545">
        <f>'Foglio deposito bis'!$F$71*IF(ABS(N1283)&lt;'Sollecitazioni nel paramento'!$G$58,ABS(N1283)*'Sollecitazioni nel paramento'!$G$54,'Sollecitazioni nel paramento'!$G$53)*IF(N1283&lt;0,-1,1)</f>
        <v>314705.62929873407</v>
      </c>
      <c r="U1283" s="545">
        <f>'Foglio deposito bis'!$F$72*IF(ABS(O1283)&lt;'Sollecitazioni nel paramento'!$G$58,ABS(O1283)*'Sollecitazioni nel paramento'!$G$54,'Sollecitazioni nel paramento'!$G$53)*IF(O1283&lt;0,-1,1)</f>
        <v>491727.54577927204</v>
      </c>
      <c r="V1283" s="472">
        <f t="shared" si="91"/>
        <v>422374.62309245399</v>
      </c>
      <c r="W1283" s="551"/>
      <c r="X1283" s="551"/>
    </row>
    <row r="1284" spans="1:24" x14ac:dyDescent="0.25">
      <c r="A1284" s="545">
        <f t="shared" si="90"/>
        <v>408224.00703872839</v>
      </c>
      <c r="B1284" s="3">
        <f t="shared" si="92"/>
        <v>1.9500000000000011</v>
      </c>
      <c r="C1284" s="545">
        <f>'Foglio deposito bis'!$E$158/sezione!$B$247*B1284</f>
        <v>14.486023206428335</v>
      </c>
      <c r="D1284" s="603">
        <f>-'Sollecitazioni nel paramento'!$G$47*'Sollecitazioni nel paramento'!$G$41*IF(DATI!$G$211="dx",DATI!$E$61,DATI!$E$64*DATI!$E$63)*1000*C1284^2*sezione!$AD$5*(1-sezione!$AD$6)</f>
        <v>-4668764.6102402685</v>
      </c>
      <c r="E1284" s="545">
        <f>-'Foglio deposito bis'!$F$68*(C1284-sezione!$AL$32)*IF(ABS(K1284)&lt;'Sollecitazioni nel paramento'!$G$58,ABS(K1284)*'Sollecitazioni nel paramento'!$G$54,'Sollecitazioni nel paramento'!$G$53)</f>
        <v>0</v>
      </c>
      <c r="F1284" s="545">
        <f>-'Foglio deposito bis'!$F$69*(C1284-sezione!$AM$32)*IF(ABS(L1284)&lt;'Sollecitazioni nel paramento'!$G$58,ABS(L1284)*'Sollecitazioni nel paramento'!$G$54,'Sollecitazioni nel paramento'!$G$53)</f>
        <v>6993898.783549292</v>
      </c>
      <c r="G1284" s="545">
        <f>-'Foglio deposito bis'!$F$70*(C1284-sezione!$AN$32)*IF(ABS(M1284)&lt;'Sollecitazioni nel paramento'!$G$58,ABS(M1284)*'Sollecitazioni nel paramento'!$G$54,'Sollecitazioni nel paramento'!$G$53)</f>
        <v>0</v>
      </c>
      <c r="H1284" s="545">
        <f>-'Foglio deposito bis'!$F$71*(C1284-sezione!$AO$32)*IF(ABS(N1284)&lt;'Sollecitazioni nel paramento'!$G$58,ABS(N1284)*'Sollecitazioni nel paramento'!$G$54,'Sollecitazioni nel paramento'!$G$53)</f>
        <v>45794067.638582356</v>
      </c>
      <c r="I1284" s="472">
        <f>-'Foglio deposito bis'!$F$72*(C1284-sezione!$AP$32)*IF(ABS(O1284)&lt;'Sollecitazioni nel paramento'!$G$58,ABS(O1284)*'Sollecitazioni nel paramento'!$G$54,'Sollecitazioni nel paramento'!$G$53)</f>
        <v>243157851.60715097</v>
      </c>
      <c r="J1284" s="472">
        <f t="shared" si="89"/>
        <v>291277053.41904235</v>
      </c>
      <c r="K1284" s="550">
        <f>'Sollecitazioni nel paramento'!$G$60*(sezione!$AL$32-C1284)/C1284</f>
        <v>6.164488176290746E-3</v>
      </c>
      <c r="L1284" s="550">
        <f>'Sollecitazioni nel paramento'!$G$60*(sezione!$AM$32-C1284)/C1284</f>
        <v>1.0996732264436117E-2</v>
      </c>
      <c r="M1284" s="551">
        <f>'Sollecitazioni nel paramento'!$G$60*(sezione!$AN$32-C1284)/C1284</f>
        <v>1.582897635258149E-2</v>
      </c>
      <c r="N1284" s="551">
        <f>'Sollecitazioni nel paramento'!$G$60*(sezione!$AO$32-C1284)/C1284</f>
        <v>3.5157952705162976E-2</v>
      </c>
      <c r="O1284" s="551">
        <f>'Sollecitazioni nel paramento'!$G$60*(sezione!$AP$32-C1284)/C1284</f>
        <v>0.11947653746473473</v>
      </c>
      <c r="P1284" s="545">
        <f>-'Sollecitazioni nel paramento'!$G$47*'Sollecitazioni nel paramento'!$G$41*IF(DATI!$G$211="dx",DATI!$E$61,DATI!$E$64*DATI!$E$63)*1000*C1284*sezione!$AD$5</f>
        <v>-551874.02609530021</v>
      </c>
      <c r="Q1284" s="545">
        <f>'Foglio deposito bis'!$F$68*IF(ABS(K1284)&lt;'Sollecitazioni nel paramento'!$G$58,ABS(K1284)*'Sollecitazioni nel paramento'!$G$54,'Sollecitazioni nel paramento'!$G$53)*IF(K1284&lt;0,-1,1)</f>
        <v>0</v>
      </c>
      <c r="R1284" s="545">
        <f>'Foglio deposito bis'!$F$69*IF(ABS(L1284)&lt;'Sollecitazioni nel paramento'!$G$58,ABS(L1284)*'Sollecitazioni nel paramento'!$G$54,'Sollecitazioni nel paramento'!$G$53)*IF(L1284&lt;0,-1,1)</f>
        <v>153664.85805602249</v>
      </c>
      <c r="S1284" s="545">
        <f>'Foglio deposito bis'!$F$70*IF(ABS(M1284)&lt;'Sollecitazioni nel paramento'!$G$58,ABS(M1284)*'Sollecitazioni nel paramento'!$G$54,'Sollecitazioni nel paramento'!$G$53)*IF(M1284&lt;0,-1,1)</f>
        <v>0</v>
      </c>
      <c r="T1284" s="545">
        <f>'Foglio deposito bis'!$F$71*IF(ABS(N1284)&lt;'Sollecitazioni nel paramento'!$G$58,ABS(N1284)*'Sollecitazioni nel paramento'!$G$54,'Sollecitazioni nel paramento'!$G$53)*IF(N1284&lt;0,-1,1)</f>
        <v>314705.62929873407</v>
      </c>
      <c r="U1284" s="545">
        <f>'Foglio deposito bis'!$F$72*IF(ABS(O1284)&lt;'Sollecitazioni nel paramento'!$G$58,ABS(O1284)*'Sollecitazioni nel paramento'!$G$54,'Sollecitazioni nel paramento'!$G$53)*IF(O1284&lt;0,-1,1)</f>
        <v>491727.54577927204</v>
      </c>
      <c r="V1284" s="472">
        <f t="shared" si="91"/>
        <v>408224.00703872839</v>
      </c>
      <c r="W1284" s="551"/>
      <c r="X1284" s="551"/>
    </row>
    <row r="1285" spans="1:24" x14ac:dyDescent="0.25">
      <c r="A1285" s="545">
        <f t="shared" si="90"/>
        <v>394073.3909850028</v>
      </c>
      <c r="B1285" s="3">
        <f t="shared" si="92"/>
        <v>2.0000000000000009</v>
      </c>
      <c r="C1285" s="545">
        <f>'Foglio deposito bis'!$E$158/sezione!$B$247*B1285</f>
        <v>14.857459698900856</v>
      </c>
      <c r="D1285" s="603">
        <f>-'Sollecitazioni nel paramento'!$G$47*'Sollecitazioni nel paramento'!$G$41*IF(DATI!$G$211="dx",DATI!$E$61,DATI!$E$64*DATI!$E$63)*1000*C1285^2*sezione!$AD$5*(1-sezione!$AD$6)</f>
        <v>-4911257.9726393363</v>
      </c>
      <c r="E1285" s="545">
        <f>-'Foglio deposito bis'!$F$68*(C1285-sezione!$AL$32)*IF(ABS(K1285)&lt;'Sollecitazioni nel paramento'!$G$58,ABS(K1285)*'Sollecitazioni nel paramento'!$G$54,'Sollecitazioni nel paramento'!$G$53)</f>
        <v>0</v>
      </c>
      <c r="F1285" s="545">
        <f>-'Foglio deposito bis'!$F$69*(C1285-sezione!$AM$32)*IF(ABS(L1285)&lt;'Sollecitazioni nel paramento'!$G$58,ABS(L1285)*'Sollecitazioni nel paramento'!$G$54,'Sollecitazioni nel paramento'!$G$53)</f>
        <v>6936822.0476566758</v>
      </c>
      <c r="G1285" s="545">
        <f>-'Foglio deposito bis'!$F$70*(C1285-sezione!$AN$32)*IF(ABS(M1285)&lt;'Sollecitazioni nel paramento'!$G$58,ABS(M1285)*'Sollecitazioni nel paramento'!$G$54,'Sollecitazioni nel paramento'!$G$53)</f>
        <v>0</v>
      </c>
      <c r="H1285" s="545">
        <f>-'Foglio deposito bis'!$F$71*(C1285-sezione!$AO$32)*IF(ABS(N1285)&lt;'Sollecitazioni nel paramento'!$G$58,ABS(N1285)*'Sollecitazioni nel paramento'!$G$54,'Sollecitazioni nel paramento'!$G$53)</f>
        <v>45677174.483474277</v>
      </c>
      <c r="I1285" s="472">
        <f>-'Foglio deposito bis'!$F$72*(C1285-sezione!$AP$32)*IF(ABS(O1285)&lt;'Sollecitazioni nel paramento'!$G$58,ABS(O1285)*'Sollecitazioni nel paramento'!$G$54,'Sollecitazioni nel paramento'!$G$53)</f>
        <v>242975206.05229464</v>
      </c>
      <c r="J1285" s="472">
        <f t="shared" si="89"/>
        <v>290677944.61078626</v>
      </c>
      <c r="K1285" s="550">
        <f>'Sollecitazioni nel paramento'!$G$60*(sezione!$AL$32-C1285)/C1285</f>
        <v>5.9228759718834775E-3</v>
      </c>
      <c r="L1285" s="550">
        <f>'Sollecitazioni nel paramento'!$G$60*(sezione!$AM$32-C1285)/C1285</f>
        <v>1.0634313957825216E-2</v>
      </c>
      <c r="M1285" s="551">
        <f>'Sollecitazioni nel paramento'!$G$60*(sezione!$AN$32-C1285)/C1285</f>
        <v>1.5345751943766956E-2</v>
      </c>
      <c r="N1285" s="551">
        <f>'Sollecitazioni nel paramento'!$G$60*(sezione!$AO$32-C1285)/C1285</f>
        <v>3.4191503887533906E-2</v>
      </c>
      <c r="O1285" s="551">
        <f>'Sollecitazioni nel paramento'!$G$60*(sezione!$AP$32-C1285)/C1285</f>
        <v>0.11640212402811637</v>
      </c>
      <c r="P1285" s="545">
        <f>-'Sollecitazioni nel paramento'!$G$47*'Sollecitazioni nel paramento'!$G$41*IF(DATI!$G$211="dx",DATI!$E$61,DATI!$E$64*DATI!$E$63)*1000*C1285*sezione!$AD$5</f>
        <v>-566024.64214902581</v>
      </c>
      <c r="Q1285" s="545">
        <f>'Foglio deposito bis'!$F$68*IF(ABS(K1285)&lt;'Sollecitazioni nel paramento'!$G$58,ABS(K1285)*'Sollecitazioni nel paramento'!$G$54,'Sollecitazioni nel paramento'!$G$53)*IF(K1285&lt;0,-1,1)</f>
        <v>0</v>
      </c>
      <c r="R1285" s="545">
        <f>'Foglio deposito bis'!$F$69*IF(ABS(L1285)&lt;'Sollecitazioni nel paramento'!$G$58,ABS(L1285)*'Sollecitazioni nel paramento'!$G$54,'Sollecitazioni nel paramento'!$G$53)*IF(L1285&lt;0,-1,1)</f>
        <v>153664.85805602249</v>
      </c>
      <c r="S1285" s="545">
        <f>'Foglio deposito bis'!$F$70*IF(ABS(M1285)&lt;'Sollecitazioni nel paramento'!$G$58,ABS(M1285)*'Sollecitazioni nel paramento'!$G$54,'Sollecitazioni nel paramento'!$G$53)*IF(M1285&lt;0,-1,1)</f>
        <v>0</v>
      </c>
      <c r="T1285" s="545">
        <f>'Foglio deposito bis'!$F$71*IF(ABS(N1285)&lt;'Sollecitazioni nel paramento'!$G$58,ABS(N1285)*'Sollecitazioni nel paramento'!$G$54,'Sollecitazioni nel paramento'!$G$53)*IF(N1285&lt;0,-1,1)</f>
        <v>314705.62929873407</v>
      </c>
      <c r="U1285" s="545">
        <f>'Foglio deposito bis'!$F$72*IF(ABS(O1285)&lt;'Sollecitazioni nel paramento'!$G$58,ABS(O1285)*'Sollecitazioni nel paramento'!$G$54,'Sollecitazioni nel paramento'!$G$53)*IF(O1285&lt;0,-1,1)</f>
        <v>491727.54577927204</v>
      </c>
      <c r="V1285" s="472">
        <f t="shared" si="91"/>
        <v>394073.3909850028</v>
      </c>
      <c r="W1285" s="551"/>
      <c r="X1285" s="551"/>
    </row>
    <row r="1286" spans="1:24" x14ac:dyDescent="0.25">
      <c r="A1286" s="545">
        <f t="shared" si="90"/>
        <v>379922.77493127732</v>
      </c>
      <c r="B1286" s="3">
        <f t="shared" si="92"/>
        <v>2.0500000000000007</v>
      </c>
      <c r="C1286" s="545">
        <f>'Foglio deposito bis'!$E$158/sezione!$B$247*B1286</f>
        <v>15.228896191373375</v>
      </c>
      <c r="D1286" s="603">
        <f>-'Sollecitazioni nel paramento'!$G$47*'Sollecitazioni nel paramento'!$G$41*IF(DATI!$G$211="dx",DATI!$E$61,DATI!$E$64*DATI!$E$63)*1000*C1286^2*sezione!$AD$5*(1-sezione!$AD$6)</f>
        <v>-5159890.4075042</v>
      </c>
      <c r="E1286" s="545">
        <f>-'Foglio deposito bis'!$F$68*(C1286-sezione!$AL$32)*IF(ABS(K1286)&lt;'Sollecitazioni nel paramento'!$G$58,ABS(K1286)*'Sollecitazioni nel paramento'!$G$54,'Sollecitazioni nel paramento'!$G$53)</f>
        <v>0</v>
      </c>
      <c r="F1286" s="545">
        <f>-'Foglio deposito bis'!$F$69*(C1286-sezione!$AM$32)*IF(ABS(L1286)&lt;'Sollecitazioni nel paramento'!$G$58,ABS(L1286)*'Sollecitazioni nel paramento'!$G$54,'Sollecitazioni nel paramento'!$G$53)</f>
        <v>6879745.3117640587</v>
      </c>
      <c r="G1286" s="545">
        <f>-'Foglio deposito bis'!$F$70*(C1286-sezione!$AN$32)*IF(ABS(M1286)&lt;'Sollecitazioni nel paramento'!$G$58,ABS(M1286)*'Sollecitazioni nel paramento'!$G$54,'Sollecitazioni nel paramento'!$G$53)</f>
        <v>0</v>
      </c>
      <c r="H1286" s="545">
        <f>-'Foglio deposito bis'!$F$71*(C1286-sezione!$AO$32)*IF(ABS(N1286)&lt;'Sollecitazioni nel paramento'!$G$58,ABS(N1286)*'Sollecitazioni nel paramento'!$G$54,'Sollecitazioni nel paramento'!$G$53)</f>
        <v>45560281.328366205</v>
      </c>
      <c r="I1286" s="472">
        <f>-'Foglio deposito bis'!$F$72*(C1286-sezione!$AP$32)*IF(ABS(O1286)&lt;'Sollecitazioni nel paramento'!$G$58,ABS(O1286)*'Sollecitazioni nel paramento'!$G$54,'Sollecitazioni nel paramento'!$G$53)</f>
        <v>242792560.49743825</v>
      </c>
      <c r="J1286" s="472">
        <f t="shared" si="89"/>
        <v>290072696.73006433</v>
      </c>
      <c r="K1286" s="550">
        <f>'Sollecitazioni nel paramento'!$G$60*(sezione!$AL$32-C1286)/C1286</f>
        <v>5.6930497286668087E-3</v>
      </c>
      <c r="L1286" s="550">
        <f>'Sollecitazioni nel paramento'!$G$60*(sezione!$AM$32-C1286)/C1286</f>
        <v>1.0289574593000214E-2</v>
      </c>
      <c r="M1286" s="551">
        <f>'Sollecitazioni nel paramento'!$G$60*(sezione!$AN$32-C1286)/C1286</f>
        <v>1.4886099457333617E-2</v>
      </c>
      <c r="N1286" s="551">
        <f>'Sollecitazioni nel paramento'!$G$60*(sezione!$AO$32-C1286)/C1286</f>
        <v>3.3272198914667234E-2</v>
      </c>
      <c r="O1286" s="551">
        <f>'Sollecitazioni nel paramento'!$G$60*(sezione!$AP$32-C1286)/C1286</f>
        <v>0.11347768197865014</v>
      </c>
      <c r="P1286" s="545">
        <f>-'Sollecitazioni nel paramento'!$G$47*'Sollecitazioni nel paramento'!$G$41*IF(DATI!$G$211="dx",DATI!$E$61,DATI!$E$64*DATI!$E$63)*1000*C1286*sezione!$AD$5</f>
        <v>-580175.25820275128</v>
      </c>
      <c r="Q1286" s="545">
        <f>'Foglio deposito bis'!$F$68*IF(ABS(K1286)&lt;'Sollecitazioni nel paramento'!$G$58,ABS(K1286)*'Sollecitazioni nel paramento'!$G$54,'Sollecitazioni nel paramento'!$G$53)*IF(K1286&lt;0,-1,1)</f>
        <v>0</v>
      </c>
      <c r="R1286" s="545">
        <f>'Foglio deposito bis'!$F$69*IF(ABS(L1286)&lt;'Sollecitazioni nel paramento'!$G$58,ABS(L1286)*'Sollecitazioni nel paramento'!$G$54,'Sollecitazioni nel paramento'!$G$53)*IF(L1286&lt;0,-1,1)</f>
        <v>153664.85805602249</v>
      </c>
      <c r="S1286" s="545">
        <f>'Foglio deposito bis'!$F$70*IF(ABS(M1286)&lt;'Sollecitazioni nel paramento'!$G$58,ABS(M1286)*'Sollecitazioni nel paramento'!$G$54,'Sollecitazioni nel paramento'!$G$53)*IF(M1286&lt;0,-1,1)</f>
        <v>0</v>
      </c>
      <c r="T1286" s="545">
        <f>'Foglio deposito bis'!$F$71*IF(ABS(N1286)&lt;'Sollecitazioni nel paramento'!$G$58,ABS(N1286)*'Sollecitazioni nel paramento'!$G$54,'Sollecitazioni nel paramento'!$G$53)*IF(N1286&lt;0,-1,1)</f>
        <v>314705.62929873407</v>
      </c>
      <c r="U1286" s="545">
        <f>'Foglio deposito bis'!$F$72*IF(ABS(O1286)&lt;'Sollecitazioni nel paramento'!$G$58,ABS(O1286)*'Sollecitazioni nel paramento'!$G$54,'Sollecitazioni nel paramento'!$G$53)*IF(O1286&lt;0,-1,1)</f>
        <v>491727.54577927204</v>
      </c>
      <c r="V1286" s="472">
        <f t="shared" si="91"/>
        <v>379922.77493127732</v>
      </c>
      <c r="W1286" s="551"/>
      <c r="X1286" s="551"/>
    </row>
    <row r="1287" spans="1:24" x14ac:dyDescent="0.25">
      <c r="A1287" s="545">
        <f t="shared" si="90"/>
        <v>365772.15887755161</v>
      </c>
      <c r="B1287" s="3">
        <f t="shared" si="92"/>
        <v>2.1000000000000005</v>
      </c>
      <c r="C1287" s="545">
        <f>'Foglio deposito bis'!$E$158/sezione!$B$247*B1287</f>
        <v>15.600332683845895</v>
      </c>
      <c r="D1287" s="603">
        <f>-'Sollecitazioni nel paramento'!$G$47*'Sollecitazioni nel paramento'!$G$41*IF(DATI!$G$211="dx",DATI!$E$61,DATI!$E$64*DATI!$E$63)*1000*C1287^2*sezione!$AD$5*(1-sezione!$AD$6)</f>
        <v>-5414661.9148348654</v>
      </c>
      <c r="E1287" s="545">
        <f>-'Foglio deposito bis'!$F$68*(C1287-sezione!$AL$32)*IF(ABS(K1287)&lt;'Sollecitazioni nel paramento'!$G$58,ABS(K1287)*'Sollecitazioni nel paramento'!$G$54,'Sollecitazioni nel paramento'!$G$53)</f>
        <v>0</v>
      </c>
      <c r="F1287" s="545">
        <f>-'Foglio deposito bis'!$F$69*(C1287-sezione!$AM$32)*IF(ABS(L1287)&lt;'Sollecitazioni nel paramento'!$G$58,ABS(L1287)*'Sollecitazioni nel paramento'!$G$54,'Sollecitazioni nel paramento'!$G$53)</f>
        <v>6822668.5758714424</v>
      </c>
      <c r="G1287" s="545">
        <f>-'Foglio deposito bis'!$F$70*(C1287-sezione!$AN$32)*IF(ABS(M1287)&lt;'Sollecitazioni nel paramento'!$G$58,ABS(M1287)*'Sollecitazioni nel paramento'!$G$54,'Sollecitazioni nel paramento'!$G$53)</f>
        <v>0</v>
      </c>
      <c r="H1287" s="545">
        <f>-'Foglio deposito bis'!$F$71*(C1287-sezione!$AO$32)*IF(ABS(N1287)&lt;'Sollecitazioni nel paramento'!$G$58,ABS(N1287)*'Sollecitazioni nel paramento'!$G$54,'Sollecitazioni nel paramento'!$G$53)</f>
        <v>45443388.173258126</v>
      </c>
      <c r="I1287" s="472">
        <f>-'Foglio deposito bis'!$F$72*(C1287-sezione!$AP$32)*IF(ABS(O1287)&lt;'Sollecitazioni nel paramento'!$G$58,ABS(O1287)*'Sollecitazioni nel paramento'!$G$54,'Sollecitazioni nel paramento'!$G$53)</f>
        <v>242609914.94258186</v>
      </c>
      <c r="J1287" s="472">
        <f t="shared" si="89"/>
        <v>289461309.77687657</v>
      </c>
      <c r="K1287" s="550">
        <f>'Sollecitazioni nel paramento'!$G$60*(sezione!$AL$32-C1287)/C1287</f>
        <v>5.4741675922699807E-3</v>
      </c>
      <c r="L1287" s="550">
        <f>'Sollecitazioni nel paramento'!$G$60*(sezione!$AM$32-C1287)/C1287</f>
        <v>9.9612513884049722E-3</v>
      </c>
      <c r="M1287" s="551">
        <f>'Sollecitazioni nel paramento'!$G$60*(sezione!$AN$32-C1287)/C1287</f>
        <v>1.4448335184539963E-2</v>
      </c>
      <c r="N1287" s="551">
        <f>'Sollecitazioni nel paramento'!$G$60*(sezione!$AO$32-C1287)/C1287</f>
        <v>3.2396670369079922E-2</v>
      </c>
      <c r="O1287" s="551">
        <f>'Sollecitazioni nel paramento'!$G$60*(sezione!$AP$32-C1287)/C1287</f>
        <v>0.11069249907439657</v>
      </c>
      <c r="P1287" s="545">
        <f>-'Sollecitazioni nel paramento'!$G$47*'Sollecitazioni nel paramento'!$G$41*IF(DATI!$G$211="dx",DATI!$E$61,DATI!$E$64*DATI!$E$63)*1000*C1287*sezione!$AD$5</f>
        <v>-594325.87425647699</v>
      </c>
      <c r="Q1287" s="545">
        <f>'Foglio deposito bis'!$F$68*IF(ABS(K1287)&lt;'Sollecitazioni nel paramento'!$G$58,ABS(K1287)*'Sollecitazioni nel paramento'!$G$54,'Sollecitazioni nel paramento'!$G$53)*IF(K1287&lt;0,-1,1)</f>
        <v>0</v>
      </c>
      <c r="R1287" s="545">
        <f>'Foglio deposito bis'!$F$69*IF(ABS(L1287)&lt;'Sollecitazioni nel paramento'!$G$58,ABS(L1287)*'Sollecitazioni nel paramento'!$G$54,'Sollecitazioni nel paramento'!$G$53)*IF(L1287&lt;0,-1,1)</f>
        <v>153664.85805602249</v>
      </c>
      <c r="S1287" s="545">
        <f>'Foglio deposito bis'!$F$70*IF(ABS(M1287)&lt;'Sollecitazioni nel paramento'!$G$58,ABS(M1287)*'Sollecitazioni nel paramento'!$G$54,'Sollecitazioni nel paramento'!$G$53)*IF(M1287&lt;0,-1,1)</f>
        <v>0</v>
      </c>
      <c r="T1287" s="545">
        <f>'Foglio deposito bis'!$F$71*IF(ABS(N1287)&lt;'Sollecitazioni nel paramento'!$G$58,ABS(N1287)*'Sollecitazioni nel paramento'!$G$54,'Sollecitazioni nel paramento'!$G$53)*IF(N1287&lt;0,-1,1)</f>
        <v>314705.62929873407</v>
      </c>
      <c r="U1287" s="545">
        <f>'Foglio deposito bis'!$F$72*IF(ABS(O1287)&lt;'Sollecitazioni nel paramento'!$G$58,ABS(O1287)*'Sollecitazioni nel paramento'!$G$54,'Sollecitazioni nel paramento'!$G$53)*IF(O1287&lt;0,-1,1)</f>
        <v>491727.54577927204</v>
      </c>
      <c r="V1287" s="472">
        <f t="shared" si="91"/>
        <v>365772.15887755161</v>
      </c>
      <c r="W1287" s="551"/>
      <c r="X1287" s="551"/>
    </row>
    <row r="1288" spans="1:24" x14ac:dyDescent="0.25">
      <c r="A1288" s="545">
        <f t="shared" si="90"/>
        <v>351621.54282382614</v>
      </c>
      <c r="B1288" s="3">
        <f t="shared" si="92"/>
        <v>2.1500000000000004</v>
      </c>
      <c r="C1288" s="545">
        <f>'Foglio deposito bis'!$E$158/sezione!$B$247*B1288</f>
        <v>15.971769176318414</v>
      </c>
      <c r="D1288" s="603">
        <f>-'Sollecitazioni nel paramento'!$G$47*'Sollecitazioni nel paramento'!$G$41*IF(DATI!$G$211="dx",DATI!$E$61,DATI!$E$64*DATI!$E$63)*1000*C1288^2*sezione!$AD$5*(1-sezione!$AD$6)</f>
        <v>-5675572.4946313277</v>
      </c>
      <c r="E1288" s="545">
        <f>-'Foglio deposito bis'!$F$68*(C1288-sezione!$AL$32)*IF(ABS(K1288)&lt;'Sollecitazioni nel paramento'!$G$58,ABS(K1288)*'Sollecitazioni nel paramento'!$G$54,'Sollecitazioni nel paramento'!$G$53)</f>
        <v>0</v>
      </c>
      <c r="F1288" s="545">
        <f>-'Foglio deposito bis'!$F$69*(C1288-sezione!$AM$32)*IF(ABS(L1288)&lt;'Sollecitazioni nel paramento'!$G$58,ABS(L1288)*'Sollecitazioni nel paramento'!$G$54,'Sollecitazioni nel paramento'!$G$53)</f>
        <v>6765591.8399788253</v>
      </c>
      <c r="G1288" s="545">
        <f>-'Foglio deposito bis'!$F$70*(C1288-sezione!$AN$32)*IF(ABS(M1288)&lt;'Sollecitazioni nel paramento'!$G$58,ABS(M1288)*'Sollecitazioni nel paramento'!$G$54,'Sollecitazioni nel paramento'!$G$53)</f>
        <v>0</v>
      </c>
      <c r="H1288" s="545">
        <f>-'Foglio deposito bis'!$F$71*(C1288-sezione!$AO$32)*IF(ABS(N1288)&lt;'Sollecitazioni nel paramento'!$G$58,ABS(N1288)*'Sollecitazioni nel paramento'!$G$54,'Sollecitazioni nel paramento'!$G$53)</f>
        <v>45326495.018150039</v>
      </c>
      <c r="I1288" s="472">
        <f>-'Foglio deposito bis'!$F$72*(C1288-sezione!$AP$32)*IF(ABS(O1288)&lt;'Sollecitazioni nel paramento'!$G$58,ABS(O1288)*'Sollecitazioni nel paramento'!$G$54,'Sollecitazioni nel paramento'!$G$53)</f>
        <v>242427269.3877255</v>
      </c>
      <c r="J1288" s="472">
        <f t="shared" si="89"/>
        <v>288843783.75122303</v>
      </c>
      <c r="K1288" s="550">
        <f>'Sollecitazioni nel paramento'!$G$60*(sezione!$AL$32-C1288)/C1288</f>
        <v>5.2654660203567266E-3</v>
      </c>
      <c r="L1288" s="550">
        <f>'Sollecitazioni nel paramento'!$G$60*(sezione!$AM$32-C1288)/C1288</f>
        <v>9.6481990305350897E-3</v>
      </c>
      <c r="M1288" s="551">
        <f>'Sollecitazioni nel paramento'!$G$60*(sezione!$AN$32-C1288)/C1288</f>
        <v>1.4030932040713453E-2</v>
      </c>
      <c r="N1288" s="551">
        <f>'Sollecitazioni nel paramento'!$G$60*(sezione!$AO$32-C1288)/C1288</f>
        <v>3.1561864081426902E-2</v>
      </c>
      <c r="O1288" s="551">
        <f>'Sollecitazioni nel paramento'!$G$60*(sezione!$AP$32-C1288)/C1288</f>
        <v>0.10803685956103853</v>
      </c>
      <c r="P1288" s="545">
        <f>-'Sollecitazioni nel paramento'!$G$47*'Sollecitazioni nel paramento'!$G$41*IF(DATI!$G$211="dx",DATI!$E$61,DATI!$E$64*DATI!$E$63)*1000*C1288*sezione!$AD$5</f>
        <v>-608476.49031020247</v>
      </c>
      <c r="Q1288" s="545">
        <f>'Foglio deposito bis'!$F$68*IF(ABS(K1288)&lt;'Sollecitazioni nel paramento'!$G$58,ABS(K1288)*'Sollecitazioni nel paramento'!$G$54,'Sollecitazioni nel paramento'!$G$53)*IF(K1288&lt;0,-1,1)</f>
        <v>0</v>
      </c>
      <c r="R1288" s="545">
        <f>'Foglio deposito bis'!$F$69*IF(ABS(L1288)&lt;'Sollecitazioni nel paramento'!$G$58,ABS(L1288)*'Sollecitazioni nel paramento'!$G$54,'Sollecitazioni nel paramento'!$G$53)*IF(L1288&lt;0,-1,1)</f>
        <v>153664.85805602249</v>
      </c>
      <c r="S1288" s="545">
        <f>'Foglio deposito bis'!$F$70*IF(ABS(M1288)&lt;'Sollecitazioni nel paramento'!$G$58,ABS(M1288)*'Sollecitazioni nel paramento'!$G$54,'Sollecitazioni nel paramento'!$G$53)*IF(M1288&lt;0,-1,1)</f>
        <v>0</v>
      </c>
      <c r="T1288" s="545">
        <f>'Foglio deposito bis'!$F$71*IF(ABS(N1288)&lt;'Sollecitazioni nel paramento'!$G$58,ABS(N1288)*'Sollecitazioni nel paramento'!$G$54,'Sollecitazioni nel paramento'!$G$53)*IF(N1288&lt;0,-1,1)</f>
        <v>314705.62929873407</v>
      </c>
      <c r="U1288" s="545">
        <f>'Foglio deposito bis'!$F$72*IF(ABS(O1288)&lt;'Sollecitazioni nel paramento'!$G$58,ABS(O1288)*'Sollecitazioni nel paramento'!$G$54,'Sollecitazioni nel paramento'!$G$53)*IF(O1288&lt;0,-1,1)</f>
        <v>491727.54577927204</v>
      </c>
      <c r="V1288" s="472">
        <f t="shared" si="91"/>
        <v>351621.54282382614</v>
      </c>
      <c r="W1288" s="551"/>
      <c r="X1288" s="551"/>
    </row>
    <row r="1289" spans="1:24" x14ac:dyDescent="0.25">
      <c r="A1289" s="545">
        <f t="shared" si="90"/>
        <v>337470.92677010043</v>
      </c>
      <c r="B1289" s="3">
        <f t="shared" si="92"/>
        <v>2.2000000000000002</v>
      </c>
      <c r="C1289" s="545">
        <f>'Foglio deposito bis'!$E$158/sezione!$B$247*B1289</f>
        <v>16.343205668790937</v>
      </c>
      <c r="D1289" s="603">
        <f>-'Sollecitazioni nel paramento'!$G$47*'Sollecitazioni nel paramento'!$G$41*IF(DATI!$G$211="dx",DATI!$E$61,DATI!$E$64*DATI!$E$63)*1000*C1289^2*sezione!$AD$5*(1-sezione!$AD$6)</f>
        <v>-5942622.1468935926</v>
      </c>
      <c r="E1289" s="545">
        <f>-'Foglio deposito bis'!$F$68*(C1289-sezione!$AL$32)*IF(ABS(K1289)&lt;'Sollecitazioni nel paramento'!$G$58,ABS(K1289)*'Sollecitazioni nel paramento'!$G$54,'Sollecitazioni nel paramento'!$G$53)</f>
        <v>0</v>
      </c>
      <c r="F1289" s="545">
        <f>-'Foglio deposito bis'!$F$69*(C1289-sezione!$AM$32)*IF(ABS(L1289)&lt;'Sollecitazioni nel paramento'!$G$58,ABS(L1289)*'Sollecitazioni nel paramento'!$G$54,'Sollecitazioni nel paramento'!$G$53)</f>
        <v>6708515.1040862082</v>
      </c>
      <c r="G1289" s="545">
        <f>-'Foglio deposito bis'!$F$70*(C1289-sezione!$AN$32)*IF(ABS(M1289)&lt;'Sollecitazioni nel paramento'!$G$58,ABS(M1289)*'Sollecitazioni nel paramento'!$G$54,'Sollecitazioni nel paramento'!$G$53)</f>
        <v>0</v>
      </c>
      <c r="H1289" s="545">
        <f>-'Foglio deposito bis'!$F$71*(C1289-sezione!$AO$32)*IF(ABS(N1289)&lt;'Sollecitazioni nel paramento'!$G$58,ABS(N1289)*'Sollecitazioni nel paramento'!$G$54,'Sollecitazioni nel paramento'!$G$53)</f>
        <v>45209601.86304196</v>
      </c>
      <c r="I1289" s="472">
        <f>-'Foglio deposito bis'!$F$72*(C1289-sezione!$AP$32)*IF(ABS(O1289)&lt;'Sollecitazioni nel paramento'!$G$58,ABS(O1289)*'Sollecitazioni nel paramento'!$G$54,'Sollecitazioni nel paramento'!$G$53)</f>
        <v>242244623.83286911</v>
      </c>
      <c r="J1289" s="472">
        <f t="shared" si="89"/>
        <v>288220118.65310371</v>
      </c>
      <c r="K1289" s="550">
        <f>'Sollecitazioni nel paramento'!$G$60*(sezione!$AL$32-C1289)/C1289</f>
        <v>5.0662508835304368E-3</v>
      </c>
      <c r="L1289" s="550">
        <f>'Sollecitazioni nel paramento'!$G$60*(sezione!$AM$32-C1289)/C1289</f>
        <v>9.3493763252956563E-3</v>
      </c>
      <c r="M1289" s="551">
        <f>'Sollecitazioni nel paramento'!$G$60*(sezione!$AN$32-C1289)/C1289</f>
        <v>1.3632501767060873E-2</v>
      </c>
      <c r="N1289" s="551">
        <f>'Sollecitazioni nel paramento'!$G$60*(sezione!$AO$32-C1289)/C1289</f>
        <v>3.0765003534121746E-2</v>
      </c>
      <c r="O1289" s="551">
        <f>'Sollecitazioni nel paramento'!$G$60*(sezione!$AP$32-C1289)/C1289</f>
        <v>0.10550193093465128</v>
      </c>
      <c r="P1289" s="545">
        <f>-'Sollecitazioni nel paramento'!$G$47*'Sollecitazioni nel paramento'!$G$41*IF(DATI!$G$211="dx",DATI!$E$61,DATI!$E$64*DATI!$E$63)*1000*C1289*sezione!$AD$5</f>
        <v>-622627.10636392818</v>
      </c>
      <c r="Q1289" s="545">
        <f>'Foglio deposito bis'!$F$68*IF(ABS(K1289)&lt;'Sollecitazioni nel paramento'!$G$58,ABS(K1289)*'Sollecitazioni nel paramento'!$G$54,'Sollecitazioni nel paramento'!$G$53)*IF(K1289&lt;0,-1,1)</f>
        <v>0</v>
      </c>
      <c r="R1289" s="545">
        <f>'Foglio deposito bis'!$F$69*IF(ABS(L1289)&lt;'Sollecitazioni nel paramento'!$G$58,ABS(L1289)*'Sollecitazioni nel paramento'!$G$54,'Sollecitazioni nel paramento'!$G$53)*IF(L1289&lt;0,-1,1)</f>
        <v>153664.85805602249</v>
      </c>
      <c r="S1289" s="545">
        <f>'Foglio deposito bis'!$F$70*IF(ABS(M1289)&lt;'Sollecitazioni nel paramento'!$G$58,ABS(M1289)*'Sollecitazioni nel paramento'!$G$54,'Sollecitazioni nel paramento'!$G$53)*IF(M1289&lt;0,-1,1)</f>
        <v>0</v>
      </c>
      <c r="T1289" s="545">
        <f>'Foglio deposito bis'!$F$71*IF(ABS(N1289)&lt;'Sollecitazioni nel paramento'!$G$58,ABS(N1289)*'Sollecitazioni nel paramento'!$G$54,'Sollecitazioni nel paramento'!$G$53)*IF(N1289&lt;0,-1,1)</f>
        <v>314705.62929873407</v>
      </c>
      <c r="U1289" s="545">
        <f>'Foglio deposito bis'!$F$72*IF(ABS(O1289)&lt;'Sollecitazioni nel paramento'!$G$58,ABS(O1289)*'Sollecitazioni nel paramento'!$G$54,'Sollecitazioni nel paramento'!$G$53)*IF(O1289&lt;0,-1,1)</f>
        <v>491727.54577927204</v>
      </c>
      <c r="V1289" s="472">
        <f t="shared" si="91"/>
        <v>337470.92677010043</v>
      </c>
      <c r="W1289" s="551"/>
      <c r="X1289" s="551"/>
    </row>
    <row r="1290" spans="1:24" x14ac:dyDescent="0.25">
      <c r="A1290" s="545">
        <f t="shared" si="90"/>
        <v>323320.31071637484</v>
      </c>
      <c r="B1290" s="3">
        <f t="shared" si="92"/>
        <v>2.25</v>
      </c>
      <c r="C1290" s="545">
        <f>'Foglio deposito bis'!$E$158/sezione!$B$247*B1290</f>
        <v>16.714642161263455</v>
      </c>
      <c r="D1290" s="603">
        <f>-'Sollecitazioni nel paramento'!$G$47*'Sollecitazioni nel paramento'!$G$41*IF(DATI!$G$211="dx",DATI!$E$61,DATI!$E$64*DATI!$E$63)*1000*C1290^2*sezione!$AD$5*(1-sezione!$AD$6)</f>
        <v>-6215810.8716216544</v>
      </c>
      <c r="E1290" s="545">
        <f>-'Foglio deposito bis'!$F$68*(C1290-sezione!$AL$32)*IF(ABS(K1290)&lt;'Sollecitazioni nel paramento'!$G$58,ABS(K1290)*'Sollecitazioni nel paramento'!$G$54,'Sollecitazioni nel paramento'!$G$53)</f>
        <v>0</v>
      </c>
      <c r="F1290" s="545">
        <f>-'Foglio deposito bis'!$F$69*(C1290-sezione!$AM$32)*IF(ABS(L1290)&lt;'Sollecitazioni nel paramento'!$G$58,ABS(L1290)*'Sollecitazioni nel paramento'!$G$54,'Sollecitazioni nel paramento'!$G$53)</f>
        <v>6651438.3681935919</v>
      </c>
      <c r="G1290" s="545">
        <f>-'Foglio deposito bis'!$F$70*(C1290-sezione!$AN$32)*IF(ABS(M1290)&lt;'Sollecitazioni nel paramento'!$G$58,ABS(M1290)*'Sollecitazioni nel paramento'!$G$54,'Sollecitazioni nel paramento'!$G$53)</f>
        <v>0</v>
      </c>
      <c r="H1290" s="545">
        <f>-'Foglio deposito bis'!$F$71*(C1290-sezione!$AO$32)*IF(ABS(N1290)&lt;'Sollecitazioni nel paramento'!$G$58,ABS(N1290)*'Sollecitazioni nel paramento'!$G$54,'Sollecitazioni nel paramento'!$G$53)</f>
        <v>45092708.707933888</v>
      </c>
      <c r="I1290" s="472">
        <f>-'Foglio deposito bis'!$F$72*(C1290-sezione!$AP$32)*IF(ABS(O1290)&lt;'Sollecitazioni nel paramento'!$G$58,ABS(O1290)*'Sollecitazioni nel paramento'!$G$54,'Sollecitazioni nel paramento'!$G$53)</f>
        <v>242061978.27801275</v>
      </c>
      <c r="J1290" s="472">
        <f t="shared" si="89"/>
        <v>287590314.48251855</v>
      </c>
      <c r="K1290" s="550">
        <f>'Sollecitazioni nel paramento'!$G$60*(sezione!$AL$32-C1290)/C1290</f>
        <v>4.8758897527853163E-3</v>
      </c>
      <c r="L1290" s="550">
        <f>'Sollecitazioni nel paramento'!$G$60*(sezione!$AM$32-C1290)/C1290</f>
        <v>9.0638346291779769E-3</v>
      </c>
      <c r="M1290" s="551">
        <f>'Sollecitazioni nel paramento'!$G$60*(sezione!$AN$32-C1290)/C1290</f>
        <v>1.3251779505570634E-2</v>
      </c>
      <c r="N1290" s="551">
        <f>'Sollecitazioni nel paramento'!$G$60*(sezione!$AO$32-C1290)/C1290</f>
        <v>3.0003559011141271E-2</v>
      </c>
      <c r="O1290" s="551">
        <f>'Sollecitazioni nel paramento'!$G$60*(sezione!$AP$32-C1290)/C1290</f>
        <v>0.10307966580277016</v>
      </c>
      <c r="P1290" s="545">
        <f>-'Sollecitazioni nel paramento'!$G$47*'Sollecitazioni nel paramento'!$G$41*IF(DATI!$G$211="dx",DATI!$E$61,DATI!$E$64*DATI!$E$63)*1000*C1290*sezione!$AD$5</f>
        <v>-636777.72241765377</v>
      </c>
      <c r="Q1290" s="545">
        <f>'Foglio deposito bis'!$F$68*IF(ABS(K1290)&lt;'Sollecitazioni nel paramento'!$G$58,ABS(K1290)*'Sollecitazioni nel paramento'!$G$54,'Sollecitazioni nel paramento'!$G$53)*IF(K1290&lt;0,-1,1)</f>
        <v>0</v>
      </c>
      <c r="R1290" s="545">
        <f>'Foglio deposito bis'!$F$69*IF(ABS(L1290)&lt;'Sollecitazioni nel paramento'!$G$58,ABS(L1290)*'Sollecitazioni nel paramento'!$G$54,'Sollecitazioni nel paramento'!$G$53)*IF(L1290&lt;0,-1,1)</f>
        <v>153664.85805602249</v>
      </c>
      <c r="S1290" s="545">
        <f>'Foglio deposito bis'!$F$70*IF(ABS(M1290)&lt;'Sollecitazioni nel paramento'!$G$58,ABS(M1290)*'Sollecitazioni nel paramento'!$G$54,'Sollecitazioni nel paramento'!$G$53)*IF(M1290&lt;0,-1,1)</f>
        <v>0</v>
      </c>
      <c r="T1290" s="545">
        <f>'Foglio deposito bis'!$F$71*IF(ABS(N1290)&lt;'Sollecitazioni nel paramento'!$G$58,ABS(N1290)*'Sollecitazioni nel paramento'!$G$54,'Sollecitazioni nel paramento'!$G$53)*IF(N1290&lt;0,-1,1)</f>
        <v>314705.62929873407</v>
      </c>
      <c r="U1290" s="545">
        <f>'Foglio deposito bis'!$F$72*IF(ABS(O1290)&lt;'Sollecitazioni nel paramento'!$G$58,ABS(O1290)*'Sollecitazioni nel paramento'!$G$54,'Sollecitazioni nel paramento'!$G$53)*IF(O1290&lt;0,-1,1)</f>
        <v>491727.54577927204</v>
      </c>
      <c r="V1290" s="472">
        <f t="shared" si="91"/>
        <v>323320.31071637484</v>
      </c>
      <c r="W1290" s="551"/>
      <c r="X1290" s="551"/>
    </row>
    <row r="1291" spans="1:24" x14ac:dyDescent="0.25">
      <c r="A1291" s="545">
        <f t="shared" si="90"/>
        <v>309169.69466264924</v>
      </c>
      <c r="B1291" s="3">
        <f t="shared" si="92"/>
        <v>2.2999999999999998</v>
      </c>
      <c r="C1291" s="545">
        <f>'Foglio deposito bis'!$E$158/sezione!$B$247*B1291</f>
        <v>17.086078653735974</v>
      </c>
      <c r="D1291" s="603">
        <f>-'Sollecitazioni nel paramento'!$G$47*'Sollecitazioni nel paramento'!$G$41*IF(DATI!$G$211="dx",DATI!$E$61,DATI!$E$64*DATI!$E$63)*1000*C1291^2*sezione!$AD$5*(1-sezione!$AD$6)</f>
        <v>-6495138.6688155141</v>
      </c>
      <c r="E1291" s="545">
        <f>-'Foglio deposito bis'!$F$68*(C1291-sezione!$AL$32)*IF(ABS(K1291)&lt;'Sollecitazioni nel paramento'!$G$58,ABS(K1291)*'Sollecitazioni nel paramento'!$G$54,'Sollecitazioni nel paramento'!$G$53)</f>
        <v>0</v>
      </c>
      <c r="F1291" s="545">
        <f>-'Foglio deposito bis'!$F$69*(C1291-sezione!$AM$32)*IF(ABS(L1291)&lt;'Sollecitazioni nel paramento'!$G$58,ABS(L1291)*'Sollecitazioni nel paramento'!$G$54,'Sollecitazioni nel paramento'!$G$53)</f>
        <v>6594361.6323009748</v>
      </c>
      <c r="G1291" s="545">
        <f>-'Foglio deposito bis'!$F$70*(C1291-sezione!$AN$32)*IF(ABS(M1291)&lt;'Sollecitazioni nel paramento'!$G$58,ABS(M1291)*'Sollecitazioni nel paramento'!$G$54,'Sollecitazioni nel paramento'!$G$53)</f>
        <v>0</v>
      </c>
      <c r="H1291" s="545">
        <f>-'Foglio deposito bis'!$F$71*(C1291-sezione!$AO$32)*IF(ABS(N1291)&lt;'Sollecitazioni nel paramento'!$G$58,ABS(N1291)*'Sollecitazioni nel paramento'!$G$54,'Sollecitazioni nel paramento'!$G$53)</f>
        <v>44975815.552825809</v>
      </c>
      <c r="I1291" s="472">
        <f>-'Foglio deposito bis'!$F$72*(C1291-sezione!$AP$32)*IF(ABS(O1291)&lt;'Sollecitazioni nel paramento'!$G$58,ABS(O1291)*'Sollecitazioni nel paramento'!$G$54,'Sollecitazioni nel paramento'!$G$53)</f>
        <v>241879332.72315639</v>
      </c>
      <c r="J1291" s="472">
        <f t="shared" si="89"/>
        <v>286954371.23946768</v>
      </c>
      <c r="K1291" s="550">
        <f>'Sollecitazioni nel paramento'!$G$60*(sezione!$AL$32-C1291)/C1291</f>
        <v>4.6938051929421593E-3</v>
      </c>
      <c r="L1291" s="550">
        <f>'Sollecitazioni nel paramento'!$G$60*(sezione!$AM$32-C1291)/C1291</f>
        <v>8.7907077894132379E-3</v>
      </c>
      <c r="M1291" s="551">
        <f>'Sollecitazioni nel paramento'!$G$60*(sezione!$AN$32-C1291)/C1291</f>
        <v>1.2887610385884318E-2</v>
      </c>
      <c r="N1291" s="551">
        <f>'Sollecitazioni nel paramento'!$G$60*(sezione!$AO$32-C1291)/C1291</f>
        <v>2.927522077176864E-2</v>
      </c>
      <c r="O1291" s="551">
        <f>'Sollecitazioni nel paramento'!$G$60*(sezione!$AP$32-C1291)/C1291</f>
        <v>0.10076271654618822</v>
      </c>
      <c r="P1291" s="545">
        <f>-'Sollecitazioni nel paramento'!$G$47*'Sollecitazioni nel paramento'!$G$41*IF(DATI!$G$211="dx",DATI!$E$61,DATI!$E$64*DATI!$E$63)*1000*C1291*sezione!$AD$5</f>
        <v>-650928.33847137936</v>
      </c>
      <c r="Q1291" s="545">
        <f>'Foglio deposito bis'!$F$68*IF(ABS(K1291)&lt;'Sollecitazioni nel paramento'!$G$58,ABS(K1291)*'Sollecitazioni nel paramento'!$G$54,'Sollecitazioni nel paramento'!$G$53)*IF(K1291&lt;0,-1,1)</f>
        <v>0</v>
      </c>
      <c r="R1291" s="545">
        <f>'Foglio deposito bis'!$F$69*IF(ABS(L1291)&lt;'Sollecitazioni nel paramento'!$G$58,ABS(L1291)*'Sollecitazioni nel paramento'!$G$54,'Sollecitazioni nel paramento'!$G$53)*IF(L1291&lt;0,-1,1)</f>
        <v>153664.85805602249</v>
      </c>
      <c r="S1291" s="545">
        <f>'Foglio deposito bis'!$F$70*IF(ABS(M1291)&lt;'Sollecitazioni nel paramento'!$G$58,ABS(M1291)*'Sollecitazioni nel paramento'!$G$54,'Sollecitazioni nel paramento'!$G$53)*IF(M1291&lt;0,-1,1)</f>
        <v>0</v>
      </c>
      <c r="T1291" s="545">
        <f>'Foglio deposito bis'!$F$71*IF(ABS(N1291)&lt;'Sollecitazioni nel paramento'!$G$58,ABS(N1291)*'Sollecitazioni nel paramento'!$G$54,'Sollecitazioni nel paramento'!$G$53)*IF(N1291&lt;0,-1,1)</f>
        <v>314705.62929873407</v>
      </c>
      <c r="U1291" s="545">
        <f>'Foglio deposito bis'!$F$72*IF(ABS(O1291)&lt;'Sollecitazioni nel paramento'!$G$58,ABS(O1291)*'Sollecitazioni nel paramento'!$G$54,'Sollecitazioni nel paramento'!$G$53)*IF(O1291&lt;0,-1,1)</f>
        <v>491727.54577927204</v>
      </c>
      <c r="V1291" s="472">
        <f t="shared" si="91"/>
        <v>309169.69466264924</v>
      </c>
      <c r="W1291" s="551"/>
      <c r="X1291" s="551"/>
    </row>
    <row r="1292" spans="1:24" x14ac:dyDescent="0.25">
      <c r="A1292" s="545">
        <f t="shared" si="90"/>
        <v>295019.07860892377</v>
      </c>
      <c r="B1292" s="3">
        <f t="shared" si="92"/>
        <v>2.3499999999999996</v>
      </c>
      <c r="C1292" s="545">
        <f>'Foglio deposito bis'!$E$158/sezione!$B$247*B1292</f>
        <v>17.457515146208493</v>
      </c>
      <c r="D1292" s="603">
        <f>-'Sollecitazioni nel paramento'!$G$47*'Sollecitazioni nel paramento'!$G$41*IF(DATI!$G$211="dx",DATI!$E$61,DATI!$E$64*DATI!$E$63)*1000*C1292^2*sezione!$AD$5*(1-sezione!$AD$6)</f>
        <v>-6780605.5384751735</v>
      </c>
      <c r="E1292" s="545">
        <f>-'Foglio deposito bis'!$F$68*(C1292-sezione!$AL$32)*IF(ABS(K1292)&lt;'Sollecitazioni nel paramento'!$G$58,ABS(K1292)*'Sollecitazioni nel paramento'!$G$54,'Sollecitazioni nel paramento'!$G$53)</f>
        <v>0</v>
      </c>
      <c r="F1292" s="545">
        <f>-'Foglio deposito bis'!$F$69*(C1292-sezione!$AM$32)*IF(ABS(L1292)&lt;'Sollecitazioni nel paramento'!$G$58,ABS(L1292)*'Sollecitazioni nel paramento'!$G$54,'Sollecitazioni nel paramento'!$G$53)</f>
        <v>6537284.8964083586</v>
      </c>
      <c r="G1292" s="545">
        <f>-'Foglio deposito bis'!$F$70*(C1292-sezione!$AN$32)*IF(ABS(M1292)&lt;'Sollecitazioni nel paramento'!$G$58,ABS(M1292)*'Sollecitazioni nel paramento'!$G$54,'Sollecitazioni nel paramento'!$G$53)</f>
        <v>0</v>
      </c>
      <c r="H1292" s="545">
        <f>-'Foglio deposito bis'!$F$71*(C1292-sezione!$AO$32)*IF(ABS(N1292)&lt;'Sollecitazioni nel paramento'!$G$58,ABS(N1292)*'Sollecitazioni nel paramento'!$G$54,'Sollecitazioni nel paramento'!$G$53)</f>
        <v>44858922.397717729</v>
      </c>
      <c r="I1292" s="472">
        <f>-'Foglio deposito bis'!$F$72*(C1292-sezione!$AP$32)*IF(ABS(O1292)&lt;'Sollecitazioni nel paramento'!$G$58,ABS(O1292)*'Sollecitazioni nel paramento'!$G$54,'Sollecitazioni nel paramento'!$G$53)</f>
        <v>241696687.1683</v>
      </c>
      <c r="J1292" s="472">
        <f t="shared" si="89"/>
        <v>286312288.92395091</v>
      </c>
      <c r="K1292" s="550">
        <f>'Sollecitazioni nel paramento'!$G$60*(sezione!$AL$32-C1292)/C1292</f>
        <v>4.519468912241263E-3</v>
      </c>
      <c r="L1292" s="550">
        <f>'Sollecitazioni nel paramento'!$G$60*(sezione!$AM$32-C1292)/C1292</f>
        <v>8.5292033683618939E-3</v>
      </c>
      <c r="M1292" s="551">
        <f>'Sollecitazioni nel paramento'!$G$60*(sezione!$AN$32-C1292)/C1292</f>
        <v>1.2538937824482526E-2</v>
      </c>
      <c r="N1292" s="551">
        <f>'Sollecitazioni nel paramento'!$G$60*(sezione!$AO$32-C1292)/C1292</f>
        <v>2.8577875648965051E-2</v>
      </c>
      <c r="O1292" s="551">
        <f>'Sollecitazioni nel paramento'!$G$60*(sezione!$AP$32-C1292)/C1292</f>
        <v>9.8544360874992729E-2</v>
      </c>
      <c r="P1292" s="545">
        <f>-'Sollecitazioni nel paramento'!$G$47*'Sollecitazioni nel paramento'!$G$41*IF(DATI!$G$211="dx",DATI!$E$61,DATI!$E$64*DATI!$E$63)*1000*C1292*sezione!$AD$5</f>
        <v>-665078.95452510484</v>
      </c>
      <c r="Q1292" s="545">
        <f>'Foglio deposito bis'!$F$68*IF(ABS(K1292)&lt;'Sollecitazioni nel paramento'!$G$58,ABS(K1292)*'Sollecitazioni nel paramento'!$G$54,'Sollecitazioni nel paramento'!$G$53)*IF(K1292&lt;0,-1,1)</f>
        <v>0</v>
      </c>
      <c r="R1292" s="545">
        <f>'Foglio deposito bis'!$F$69*IF(ABS(L1292)&lt;'Sollecitazioni nel paramento'!$G$58,ABS(L1292)*'Sollecitazioni nel paramento'!$G$54,'Sollecitazioni nel paramento'!$G$53)*IF(L1292&lt;0,-1,1)</f>
        <v>153664.85805602249</v>
      </c>
      <c r="S1292" s="545">
        <f>'Foglio deposito bis'!$F$70*IF(ABS(M1292)&lt;'Sollecitazioni nel paramento'!$G$58,ABS(M1292)*'Sollecitazioni nel paramento'!$G$54,'Sollecitazioni nel paramento'!$G$53)*IF(M1292&lt;0,-1,1)</f>
        <v>0</v>
      </c>
      <c r="T1292" s="545">
        <f>'Foglio deposito bis'!$F$71*IF(ABS(N1292)&lt;'Sollecitazioni nel paramento'!$G$58,ABS(N1292)*'Sollecitazioni nel paramento'!$G$54,'Sollecitazioni nel paramento'!$G$53)*IF(N1292&lt;0,-1,1)</f>
        <v>314705.62929873407</v>
      </c>
      <c r="U1292" s="545">
        <f>'Foglio deposito bis'!$F$72*IF(ABS(O1292)&lt;'Sollecitazioni nel paramento'!$G$58,ABS(O1292)*'Sollecitazioni nel paramento'!$G$54,'Sollecitazioni nel paramento'!$G$53)*IF(O1292&lt;0,-1,1)</f>
        <v>491727.54577927204</v>
      </c>
      <c r="V1292" s="472">
        <f t="shared" si="91"/>
        <v>295019.07860892377</v>
      </c>
      <c r="W1292" s="551"/>
      <c r="X1292" s="551"/>
    </row>
    <row r="1293" spans="1:24" x14ac:dyDescent="0.25">
      <c r="A1293" s="545">
        <f t="shared" si="90"/>
        <v>280868.46255519812</v>
      </c>
      <c r="B1293" s="3">
        <f t="shared" si="92"/>
        <v>2.3999999999999995</v>
      </c>
      <c r="C1293" s="545">
        <f>'Foglio deposito bis'!$E$158/sezione!$B$247*B1293</f>
        <v>17.828951638681016</v>
      </c>
      <c r="D1293" s="603">
        <f>-'Sollecitazioni nel paramento'!$G$47*'Sollecitazioni nel paramento'!$G$41*IF(DATI!$G$211="dx",DATI!$E$61,DATI!$E$64*DATI!$E$63)*1000*C1293^2*sezione!$AD$5*(1-sezione!$AD$6)</f>
        <v>-7072211.4806006337</v>
      </c>
      <c r="E1293" s="545">
        <f>-'Foglio deposito bis'!$F$68*(C1293-sezione!$AL$32)*IF(ABS(K1293)&lt;'Sollecitazioni nel paramento'!$G$58,ABS(K1293)*'Sollecitazioni nel paramento'!$G$54,'Sollecitazioni nel paramento'!$G$53)</f>
        <v>0</v>
      </c>
      <c r="F1293" s="545">
        <f>-'Foglio deposito bis'!$F$69*(C1293-sezione!$AM$32)*IF(ABS(L1293)&lt;'Sollecitazioni nel paramento'!$G$58,ABS(L1293)*'Sollecitazioni nel paramento'!$G$54,'Sollecitazioni nel paramento'!$G$53)</f>
        <v>6480208.1605157414</v>
      </c>
      <c r="G1293" s="545">
        <f>-'Foglio deposito bis'!$F$70*(C1293-sezione!$AN$32)*IF(ABS(M1293)&lt;'Sollecitazioni nel paramento'!$G$58,ABS(M1293)*'Sollecitazioni nel paramento'!$G$54,'Sollecitazioni nel paramento'!$G$53)</f>
        <v>0</v>
      </c>
      <c r="H1293" s="545">
        <f>-'Foglio deposito bis'!$F$71*(C1293-sezione!$AO$32)*IF(ABS(N1293)&lt;'Sollecitazioni nel paramento'!$G$58,ABS(N1293)*'Sollecitazioni nel paramento'!$G$54,'Sollecitazioni nel paramento'!$G$53)</f>
        <v>44742029.24260965</v>
      </c>
      <c r="I1293" s="472">
        <f>-'Foglio deposito bis'!$F$72*(C1293-sezione!$AP$32)*IF(ABS(O1293)&lt;'Sollecitazioni nel paramento'!$G$58,ABS(O1293)*'Sollecitazioni nel paramento'!$G$54,'Sollecitazioni nel paramento'!$G$53)</f>
        <v>241514041.61344361</v>
      </c>
      <c r="J1293" s="472">
        <f t="shared" si="89"/>
        <v>285664067.53596836</v>
      </c>
      <c r="K1293" s="550">
        <f>'Sollecitazioni nel paramento'!$G$60*(sezione!$AL$32-C1293)/C1293</f>
        <v>4.3523966432362365E-3</v>
      </c>
      <c r="L1293" s="550">
        <f>'Sollecitazioni nel paramento'!$G$60*(sezione!$AM$32-C1293)/C1293</f>
        <v>8.2785949648543529E-3</v>
      </c>
      <c r="M1293" s="551">
        <f>'Sollecitazioni nel paramento'!$G$60*(sezione!$AN$32-C1293)/C1293</f>
        <v>1.2204793286472471E-2</v>
      </c>
      <c r="N1293" s="551">
        <f>'Sollecitazioni nel paramento'!$G$60*(sezione!$AO$32-C1293)/C1293</f>
        <v>2.7909586572944945E-2</v>
      </c>
      <c r="O1293" s="551">
        <f>'Sollecitazioni nel paramento'!$G$60*(sezione!$AP$32-C1293)/C1293</f>
        <v>9.6418436690097045E-2</v>
      </c>
      <c r="P1293" s="545">
        <f>-'Sollecitazioni nel paramento'!$G$47*'Sollecitazioni nel paramento'!$G$41*IF(DATI!$G$211="dx",DATI!$E$61,DATI!$E$64*DATI!$E$63)*1000*C1293*sezione!$AD$5</f>
        <v>-679229.57057883055</v>
      </c>
      <c r="Q1293" s="545">
        <f>'Foglio deposito bis'!$F$68*IF(ABS(K1293)&lt;'Sollecitazioni nel paramento'!$G$58,ABS(K1293)*'Sollecitazioni nel paramento'!$G$54,'Sollecitazioni nel paramento'!$G$53)*IF(K1293&lt;0,-1,1)</f>
        <v>0</v>
      </c>
      <c r="R1293" s="545">
        <f>'Foglio deposito bis'!$F$69*IF(ABS(L1293)&lt;'Sollecitazioni nel paramento'!$G$58,ABS(L1293)*'Sollecitazioni nel paramento'!$G$54,'Sollecitazioni nel paramento'!$G$53)*IF(L1293&lt;0,-1,1)</f>
        <v>153664.85805602249</v>
      </c>
      <c r="S1293" s="545">
        <f>'Foglio deposito bis'!$F$70*IF(ABS(M1293)&lt;'Sollecitazioni nel paramento'!$G$58,ABS(M1293)*'Sollecitazioni nel paramento'!$G$54,'Sollecitazioni nel paramento'!$G$53)*IF(M1293&lt;0,-1,1)</f>
        <v>0</v>
      </c>
      <c r="T1293" s="545">
        <f>'Foglio deposito bis'!$F$71*IF(ABS(N1293)&lt;'Sollecitazioni nel paramento'!$G$58,ABS(N1293)*'Sollecitazioni nel paramento'!$G$54,'Sollecitazioni nel paramento'!$G$53)*IF(N1293&lt;0,-1,1)</f>
        <v>314705.62929873407</v>
      </c>
      <c r="U1293" s="545">
        <f>'Foglio deposito bis'!$F$72*IF(ABS(O1293)&lt;'Sollecitazioni nel paramento'!$G$58,ABS(O1293)*'Sollecitazioni nel paramento'!$G$54,'Sollecitazioni nel paramento'!$G$53)*IF(O1293&lt;0,-1,1)</f>
        <v>491727.54577927204</v>
      </c>
      <c r="V1293" s="472">
        <f t="shared" si="91"/>
        <v>280868.46255519812</v>
      </c>
      <c r="W1293" s="551"/>
      <c r="X1293" s="551"/>
    </row>
    <row r="1294" spans="1:24" x14ac:dyDescent="0.25">
      <c r="A1294" s="545">
        <f t="shared" si="90"/>
        <v>266717.84650147252</v>
      </c>
      <c r="B1294" s="3">
        <f t="shared" si="92"/>
        <v>2.4499999999999993</v>
      </c>
      <c r="C1294" s="545">
        <f>'Foglio deposito bis'!$E$158/sezione!$B$247*B1294</f>
        <v>18.200388131153534</v>
      </c>
      <c r="D1294" s="603">
        <f>-'Sollecitazioni nel paramento'!$G$47*'Sollecitazioni nel paramento'!$G$41*IF(DATI!$G$211="dx",DATI!$E$61,DATI!$E$64*DATI!$E$63)*1000*C1294^2*sezione!$AD$5*(1-sezione!$AD$6)</f>
        <v>-7369956.4951918917</v>
      </c>
      <c r="E1294" s="545">
        <f>-'Foglio deposito bis'!$F$68*(C1294-sezione!$AL$32)*IF(ABS(K1294)&lt;'Sollecitazioni nel paramento'!$G$58,ABS(K1294)*'Sollecitazioni nel paramento'!$G$54,'Sollecitazioni nel paramento'!$G$53)</f>
        <v>0</v>
      </c>
      <c r="F1294" s="545">
        <f>-'Foglio deposito bis'!$F$69*(C1294-sezione!$AM$32)*IF(ABS(L1294)&lt;'Sollecitazioni nel paramento'!$G$58,ABS(L1294)*'Sollecitazioni nel paramento'!$G$54,'Sollecitazioni nel paramento'!$G$53)</f>
        <v>6423131.4246231262</v>
      </c>
      <c r="G1294" s="545">
        <f>-'Foglio deposito bis'!$F$70*(C1294-sezione!$AN$32)*IF(ABS(M1294)&lt;'Sollecitazioni nel paramento'!$G$58,ABS(M1294)*'Sollecitazioni nel paramento'!$G$54,'Sollecitazioni nel paramento'!$G$53)</f>
        <v>0</v>
      </c>
      <c r="H1294" s="545">
        <f>-'Foglio deposito bis'!$F$71*(C1294-sezione!$AO$32)*IF(ABS(N1294)&lt;'Sollecitazioni nel paramento'!$G$58,ABS(N1294)*'Sollecitazioni nel paramento'!$G$54,'Sollecitazioni nel paramento'!$G$53)</f>
        <v>44625136.087501563</v>
      </c>
      <c r="I1294" s="472">
        <f>-'Foglio deposito bis'!$F$72*(C1294-sezione!$AP$32)*IF(ABS(O1294)&lt;'Sollecitazioni nel paramento'!$G$58,ABS(O1294)*'Sollecitazioni nel paramento'!$G$54,'Sollecitazioni nel paramento'!$G$53)</f>
        <v>241331396.05858722</v>
      </c>
      <c r="J1294" s="472">
        <f t="shared" si="89"/>
        <v>285009707.07552004</v>
      </c>
      <c r="K1294" s="550">
        <f>'Sollecitazioni nel paramento'!$G$60*(sezione!$AL$32-C1294)/C1294</f>
        <v>4.1921436505171304E-3</v>
      </c>
      <c r="L1294" s="550">
        <f>'Sollecitazioni nel paramento'!$G$60*(sezione!$AM$32-C1294)/C1294</f>
        <v>8.0382154757756962E-3</v>
      </c>
      <c r="M1294" s="551">
        <f>'Sollecitazioni nel paramento'!$G$60*(sezione!$AN$32-C1294)/C1294</f>
        <v>1.1884287301034262E-2</v>
      </c>
      <c r="N1294" s="551">
        <f>'Sollecitazioni nel paramento'!$G$60*(sezione!$AO$32-C1294)/C1294</f>
        <v>2.726857460206852E-2</v>
      </c>
      <c r="O1294" s="551">
        <f>'Sollecitazioni nel paramento'!$G$60*(sezione!$AP$32-C1294)/C1294</f>
        <v>9.4379284920911397E-2</v>
      </c>
      <c r="P1294" s="545">
        <f>-'Sollecitazioni nel paramento'!$G$47*'Sollecitazioni nel paramento'!$G$41*IF(DATI!$G$211="dx",DATI!$E$61,DATI!$E$64*DATI!$E$63)*1000*C1294*sezione!$AD$5</f>
        <v>-693380.18663255603</v>
      </c>
      <c r="Q1294" s="545">
        <f>'Foglio deposito bis'!$F$68*IF(ABS(K1294)&lt;'Sollecitazioni nel paramento'!$G$58,ABS(K1294)*'Sollecitazioni nel paramento'!$G$54,'Sollecitazioni nel paramento'!$G$53)*IF(K1294&lt;0,-1,1)</f>
        <v>0</v>
      </c>
      <c r="R1294" s="545">
        <f>'Foglio deposito bis'!$F$69*IF(ABS(L1294)&lt;'Sollecitazioni nel paramento'!$G$58,ABS(L1294)*'Sollecitazioni nel paramento'!$G$54,'Sollecitazioni nel paramento'!$G$53)*IF(L1294&lt;0,-1,1)</f>
        <v>153664.85805602249</v>
      </c>
      <c r="S1294" s="545">
        <f>'Foglio deposito bis'!$F$70*IF(ABS(M1294)&lt;'Sollecitazioni nel paramento'!$G$58,ABS(M1294)*'Sollecitazioni nel paramento'!$G$54,'Sollecitazioni nel paramento'!$G$53)*IF(M1294&lt;0,-1,1)</f>
        <v>0</v>
      </c>
      <c r="T1294" s="545">
        <f>'Foglio deposito bis'!$F$71*IF(ABS(N1294)&lt;'Sollecitazioni nel paramento'!$G$58,ABS(N1294)*'Sollecitazioni nel paramento'!$G$54,'Sollecitazioni nel paramento'!$G$53)*IF(N1294&lt;0,-1,1)</f>
        <v>314705.62929873407</v>
      </c>
      <c r="U1294" s="545">
        <f>'Foglio deposito bis'!$F$72*IF(ABS(O1294)&lt;'Sollecitazioni nel paramento'!$G$58,ABS(O1294)*'Sollecitazioni nel paramento'!$G$54,'Sollecitazioni nel paramento'!$G$53)*IF(O1294&lt;0,-1,1)</f>
        <v>491727.54577927204</v>
      </c>
      <c r="V1294" s="472">
        <f t="shared" si="91"/>
        <v>266717.84650147252</v>
      </c>
      <c r="W1294" s="551"/>
      <c r="X1294" s="551"/>
    </row>
    <row r="1295" spans="1:24" x14ac:dyDescent="0.25">
      <c r="A1295" s="545">
        <f t="shared" si="90"/>
        <v>252567.23044774693</v>
      </c>
      <c r="B1295" s="3">
        <f t="shared" si="92"/>
        <v>2.4999999999999991</v>
      </c>
      <c r="C1295" s="545">
        <f>'Foglio deposito bis'!$E$158/sezione!$B$247*B1295</f>
        <v>18.571824623626053</v>
      </c>
      <c r="D1295" s="603">
        <f>-'Sollecitazioni nel paramento'!$G$47*'Sollecitazioni nel paramento'!$G$41*IF(DATI!$G$211="dx",DATI!$E$61,DATI!$E$64*DATI!$E$63)*1000*C1295^2*sezione!$AD$5*(1-sezione!$AD$6)</f>
        <v>-7673840.5822489476</v>
      </c>
      <c r="E1295" s="545">
        <f>-'Foglio deposito bis'!$F$68*(C1295-sezione!$AL$32)*IF(ABS(K1295)&lt;'Sollecitazioni nel paramento'!$G$58,ABS(K1295)*'Sollecitazioni nel paramento'!$G$54,'Sollecitazioni nel paramento'!$G$53)</f>
        <v>0</v>
      </c>
      <c r="F1295" s="545">
        <f>-'Foglio deposito bis'!$F$69*(C1295-sezione!$AM$32)*IF(ABS(L1295)&lt;'Sollecitazioni nel paramento'!$G$58,ABS(L1295)*'Sollecitazioni nel paramento'!$G$54,'Sollecitazioni nel paramento'!$G$53)</f>
        <v>6366054.6887305081</v>
      </c>
      <c r="G1295" s="545">
        <f>-'Foglio deposito bis'!$F$70*(C1295-sezione!$AN$32)*IF(ABS(M1295)&lt;'Sollecitazioni nel paramento'!$G$58,ABS(M1295)*'Sollecitazioni nel paramento'!$G$54,'Sollecitazioni nel paramento'!$G$53)</f>
        <v>0</v>
      </c>
      <c r="H1295" s="545">
        <f>-'Foglio deposito bis'!$F$71*(C1295-sezione!$AO$32)*IF(ABS(N1295)&lt;'Sollecitazioni nel paramento'!$G$58,ABS(N1295)*'Sollecitazioni nel paramento'!$G$54,'Sollecitazioni nel paramento'!$G$53)</f>
        <v>44508242.932393491</v>
      </c>
      <c r="I1295" s="472">
        <f>-'Foglio deposito bis'!$F$72*(C1295-sezione!$AP$32)*IF(ABS(O1295)&lt;'Sollecitazioni nel paramento'!$G$58,ABS(O1295)*'Sollecitazioni nel paramento'!$G$54,'Sollecitazioni nel paramento'!$G$53)</f>
        <v>241148750.50373089</v>
      </c>
      <c r="J1295" s="472">
        <f t="shared" si="89"/>
        <v>284349207.54260594</v>
      </c>
      <c r="K1295" s="550">
        <f>'Sollecitazioni nel paramento'!$G$60*(sezione!$AL$32-C1295)/C1295</f>
        <v>4.038300777506788E-3</v>
      </c>
      <c r="L1295" s="550">
        <f>'Sollecitazioni nel paramento'!$G$60*(sezione!$AM$32-C1295)/C1295</f>
        <v>7.8074511662601827E-3</v>
      </c>
      <c r="M1295" s="551">
        <f>'Sollecitazioni nel paramento'!$G$60*(sezione!$AN$32-C1295)/C1295</f>
        <v>1.1576601555013577E-2</v>
      </c>
      <c r="N1295" s="551">
        <f>'Sollecitazioni nel paramento'!$G$60*(sezione!$AO$32-C1295)/C1295</f>
        <v>2.6653203110027158E-2</v>
      </c>
      <c r="O1295" s="551">
        <f>'Sollecitazioni nel paramento'!$G$60*(sezione!$AP$32-C1295)/C1295</f>
        <v>9.2421699222493187E-2</v>
      </c>
      <c r="P1295" s="545">
        <f>-'Sollecitazioni nel paramento'!$G$47*'Sollecitazioni nel paramento'!$G$41*IF(DATI!$G$211="dx",DATI!$E$61,DATI!$E$64*DATI!$E$63)*1000*C1295*sezione!$AD$5</f>
        <v>-707530.80268628162</v>
      </c>
      <c r="Q1295" s="545">
        <f>'Foglio deposito bis'!$F$68*IF(ABS(K1295)&lt;'Sollecitazioni nel paramento'!$G$58,ABS(K1295)*'Sollecitazioni nel paramento'!$G$54,'Sollecitazioni nel paramento'!$G$53)*IF(K1295&lt;0,-1,1)</f>
        <v>0</v>
      </c>
      <c r="R1295" s="545">
        <f>'Foglio deposito bis'!$F$69*IF(ABS(L1295)&lt;'Sollecitazioni nel paramento'!$G$58,ABS(L1295)*'Sollecitazioni nel paramento'!$G$54,'Sollecitazioni nel paramento'!$G$53)*IF(L1295&lt;0,-1,1)</f>
        <v>153664.85805602249</v>
      </c>
      <c r="S1295" s="545">
        <f>'Foglio deposito bis'!$F$70*IF(ABS(M1295)&lt;'Sollecitazioni nel paramento'!$G$58,ABS(M1295)*'Sollecitazioni nel paramento'!$G$54,'Sollecitazioni nel paramento'!$G$53)*IF(M1295&lt;0,-1,1)</f>
        <v>0</v>
      </c>
      <c r="T1295" s="545">
        <f>'Foglio deposito bis'!$F$71*IF(ABS(N1295)&lt;'Sollecitazioni nel paramento'!$G$58,ABS(N1295)*'Sollecitazioni nel paramento'!$G$54,'Sollecitazioni nel paramento'!$G$53)*IF(N1295&lt;0,-1,1)</f>
        <v>314705.62929873407</v>
      </c>
      <c r="U1295" s="545">
        <f>'Foglio deposito bis'!$F$72*IF(ABS(O1295)&lt;'Sollecitazioni nel paramento'!$G$58,ABS(O1295)*'Sollecitazioni nel paramento'!$G$54,'Sollecitazioni nel paramento'!$G$53)*IF(O1295&lt;0,-1,1)</f>
        <v>491727.54577927204</v>
      </c>
      <c r="V1295" s="472">
        <f t="shared" si="91"/>
        <v>252567.23044774693</v>
      </c>
      <c r="W1295" s="551"/>
      <c r="X1295" s="551"/>
    </row>
    <row r="1296" spans="1:24" x14ac:dyDescent="0.25">
      <c r="A1296" s="545">
        <f t="shared" si="90"/>
        <v>238416.61439402134</v>
      </c>
      <c r="B1296" s="3">
        <f t="shared" si="92"/>
        <v>2.5499999999999989</v>
      </c>
      <c r="C1296" s="545">
        <f>'Foglio deposito bis'!$E$158/sezione!$B$247*B1296</f>
        <v>18.943261116098576</v>
      </c>
      <c r="D1296" s="603">
        <f>-'Sollecitazioni nel paramento'!$G$47*'Sollecitazioni nel paramento'!$G$41*IF(DATI!$G$211="dx",DATI!$E$61,DATI!$E$64*DATI!$E$63)*1000*C1296^2*sezione!$AD$5*(1-sezione!$AD$6)</f>
        <v>-7983863.741771806</v>
      </c>
      <c r="E1296" s="545">
        <f>-'Foglio deposito bis'!$F$68*(C1296-sezione!$AL$32)*IF(ABS(K1296)&lt;'Sollecitazioni nel paramento'!$G$58,ABS(K1296)*'Sollecitazioni nel paramento'!$G$54,'Sollecitazioni nel paramento'!$G$53)</f>
        <v>0</v>
      </c>
      <c r="F1296" s="545">
        <f>-'Foglio deposito bis'!$F$69*(C1296-sezione!$AM$32)*IF(ABS(L1296)&lt;'Sollecitazioni nel paramento'!$G$58,ABS(L1296)*'Sollecitazioni nel paramento'!$G$54,'Sollecitazioni nel paramento'!$G$53)</f>
        <v>6308977.9528378919</v>
      </c>
      <c r="G1296" s="545">
        <f>-'Foglio deposito bis'!$F$70*(C1296-sezione!$AN$32)*IF(ABS(M1296)&lt;'Sollecitazioni nel paramento'!$G$58,ABS(M1296)*'Sollecitazioni nel paramento'!$G$54,'Sollecitazioni nel paramento'!$G$53)</f>
        <v>0</v>
      </c>
      <c r="H1296" s="545">
        <f>-'Foglio deposito bis'!$F$71*(C1296-sezione!$AO$32)*IF(ABS(N1296)&lt;'Sollecitazioni nel paramento'!$G$58,ABS(N1296)*'Sollecitazioni nel paramento'!$G$54,'Sollecitazioni nel paramento'!$G$53)</f>
        <v>44391349.777285419</v>
      </c>
      <c r="I1296" s="472">
        <f>-'Foglio deposito bis'!$F$72*(C1296-sezione!$AP$32)*IF(ABS(O1296)&lt;'Sollecitazioni nel paramento'!$G$58,ABS(O1296)*'Sollecitazioni nel paramento'!$G$54,'Sollecitazioni nel paramento'!$G$53)</f>
        <v>240966104.9488745</v>
      </c>
      <c r="J1296" s="472">
        <f t="shared" si="89"/>
        <v>283682568.937226</v>
      </c>
      <c r="K1296" s="550">
        <f>'Sollecitazioni nel paramento'!$G$60*(sezione!$AL$32-C1296)/C1296</f>
        <v>3.890490958339988E-3</v>
      </c>
      <c r="L1296" s="550">
        <f>'Sollecitazioni nel paramento'!$G$60*(sezione!$AM$32-C1296)/C1296</f>
        <v>7.5857364375099831E-3</v>
      </c>
      <c r="M1296" s="551">
        <f>'Sollecitazioni nel paramento'!$G$60*(sezione!$AN$32-C1296)/C1296</f>
        <v>1.1280981916679977E-2</v>
      </c>
      <c r="N1296" s="551">
        <f>'Sollecitazioni nel paramento'!$G$60*(sezione!$AO$32-C1296)/C1296</f>
        <v>2.6061963833359954E-2</v>
      </c>
      <c r="O1296" s="551">
        <f>'Sollecitazioni nel paramento'!$G$60*(sezione!$AP$32-C1296)/C1296</f>
        <v>9.0540881590679578E-2</v>
      </c>
      <c r="P1296" s="545">
        <f>-'Sollecitazioni nel paramento'!$G$47*'Sollecitazioni nel paramento'!$G$41*IF(DATI!$G$211="dx",DATI!$E$61,DATI!$E$64*DATI!$E$63)*1000*C1296*sezione!$AD$5</f>
        <v>-721681.41874000733</v>
      </c>
      <c r="Q1296" s="545">
        <f>'Foglio deposito bis'!$F$68*IF(ABS(K1296)&lt;'Sollecitazioni nel paramento'!$G$58,ABS(K1296)*'Sollecitazioni nel paramento'!$G$54,'Sollecitazioni nel paramento'!$G$53)*IF(K1296&lt;0,-1,1)</f>
        <v>0</v>
      </c>
      <c r="R1296" s="545">
        <f>'Foglio deposito bis'!$F$69*IF(ABS(L1296)&lt;'Sollecitazioni nel paramento'!$G$58,ABS(L1296)*'Sollecitazioni nel paramento'!$G$54,'Sollecitazioni nel paramento'!$G$53)*IF(L1296&lt;0,-1,1)</f>
        <v>153664.85805602249</v>
      </c>
      <c r="S1296" s="545">
        <f>'Foglio deposito bis'!$F$70*IF(ABS(M1296)&lt;'Sollecitazioni nel paramento'!$G$58,ABS(M1296)*'Sollecitazioni nel paramento'!$G$54,'Sollecitazioni nel paramento'!$G$53)*IF(M1296&lt;0,-1,1)</f>
        <v>0</v>
      </c>
      <c r="T1296" s="545">
        <f>'Foglio deposito bis'!$F$71*IF(ABS(N1296)&lt;'Sollecitazioni nel paramento'!$G$58,ABS(N1296)*'Sollecitazioni nel paramento'!$G$54,'Sollecitazioni nel paramento'!$G$53)*IF(N1296&lt;0,-1,1)</f>
        <v>314705.62929873407</v>
      </c>
      <c r="U1296" s="545">
        <f>'Foglio deposito bis'!$F$72*IF(ABS(O1296)&lt;'Sollecitazioni nel paramento'!$G$58,ABS(O1296)*'Sollecitazioni nel paramento'!$G$54,'Sollecitazioni nel paramento'!$G$53)*IF(O1296&lt;0,-1,1)</f>
        <v>491727.54577927204</v>
      </c>
      <c r="V1296" s="472">
        <f t="shared" si="91"/>
        <v>238416.61439402134</v>
      </c>
      <c r="W1296" s="551"/>
      <c r="X1296" s="551"/>
    </row>
    <row r="1297" spans="1:24" x14ac:dyDescent="0.25">
      <c r="A1297" s="545">
        <f t="shared" si="90"/>
        <v>224265.99834029574</v>
      </c>
      <c r="B1297" s="3">
        <f t="shared" si="92"/>
        <v>2.5999999999999988</v>
      </c>
      <c r="C1297" s="545">
        <f>'Foglio deposito bis'!$E$158/sezione!$B$247*B1297</f>
        <v>19.314697608571095</v>
      </c>
      <c r="D1297" s="603">
        <f>-'Sollecitazioni nel paramento'!$G$47*'Sollecitazioni nel paramento'!$G$41*IF(DATI!$G$211="dx",DATI!$E$61,DATI!$E$64*DATI!$E$63)*1000*C1297^2*sezione!$AD$5*(1-sezione!$AD$6)</f>
        <v>-8300025.9737604614</v>
      </c>
      <c r="E1297" s="545">
        <f>-'Foglio deposito bis'!$F$68*(C1297-sezione!$AL$32)*IF(ABS(K1297)&lt;'Sollecitazioni nel paramento'!$G$58,ABS(K1297)*'Sollecitazioni nel paramento'!$G$54,'Sollecitazioni nel paramento'!$G$53)</f>
        <v>0</v>
      </c>
      <c r="F1297" s="545">
        <f>-'Foglio deposito bis'!$F$69*(C1297-sezione!$AM$32)*IF(ABS(L1297)&lt;'Sollecitazioni nel paramento'!$G$58,ABS(L1297)*'Sollecitazioni nel paramento'!$G$54,'Sollecitazioni nel paramento'!$G$53)</f>
        <v>6251901.2169452747</v>
      </c>
      <c r="G1297" s="545">
        <f>-'Foglio deposito bis'!$F$70*(C1297-sezione!$AN$32)*IF(ABS(M1297)&lt;'Sollecitazioni nel paramento'!$G$58,ABS(M1297)*'Sollecitazioni nel paramento'!$G$54,'Sollecitazioni nel paramento'!$G$53)</f>
        <v>0</v>
      </c>
      <c r="H1297" s="545">
        <f>-'Foglio deposito bis'!$F$71*(C1297-sezione!$AO$32)*IF(ABS(N1297)&lt;'Sollecitazioni nel paramento'!$G$58,ABS(N1297)*'Sollecitazioni nel paramento'!$G$54,'Sollecitazioni nel paramento'!$G$53)</f>
        <v>44274456.622177333</v>
      </c>
      <c r="I1297" s="472">
        <f>-'Foglio deposito bis'!$F$72*(C1297-sezione!$AP$32)*IF(ABS(O1297)&lt;'Sollecitazioni nel paramento'!$G$58,ABS(O1297)*'Sollecitazioni nel paramento'!$G$54,'Sollecitazioni nel paramento'!$G$53)</f>
        <v>240783459.39401811</v>
      </c>
      <c r="J1297" s="472">
        <f t="shared" si="89"/>
        <v>283009791.25938028</v>
      </c>
      <c r="K1297" s="550">
        <f>'Sollecitazioni nel paramento'!$G$60*(sezione!$AL$32-C1297)/C1297</f>
        <v>3.7483661322180663E-3</v>
      </c>
      <c r="L1297" s="550">
        <f>'Sollecitazioni nel paramento'!$G$60*(sezione!$AM$32-C1297)/C1297</f>
        <v>7.3725491983270995E-3</v>
      </c>
      <c r="M1297" s="551">
        <f>'Sollecitazioni nel paramento'!$G$60*(sezione!$AN$32-C1297)/C1297</f>
        <v>1.0996732264436133E-2</v>
      </c>
      <c r="N1297" s="551">
        <f>'Sollecitazioni nel paramento'!$G$60*(sezione!$AO$32-C1297)/C1297</f>
        <v>2.5493464528872266E-2</v>
      </c>
      <c r="O1297" s="551">
        <f>'Sollecitazioni nel paramento'!$G$60*(sezione!$AP$32-C1297)/C1297</f>
        <v>8.8732403098551141E-2</v>
      </c>
      <c r="P1297" s="545">
        <f>-'Sollecitazioni nel paramento'!$G$47*'Sollecitazioni nel paramento'!$G$41*IF(DATI!$G$211="dx",DATI!$E$61,DATI!$E$64*DATI!$E$63)*1000*C1297*sezione!$AD$5</f>
        <v>-735832.03479373292</v>
      </c>
      <c r="Q1297" s="545">
        <f>'Foglio deposito bis'!$F$68*IF(ABS(K1297)&lt;'Sollecitazioni nel paramento'!$G$58,ABS(K1297)*'Sollecitazioni nel paramento'!$G$54,'Sollecitazioni nel paramento'!$G$53)*IF(K1297&lt;0,-1,1)</f>
        <v>0</v>
      </c>
      <c r="R1297" s="545">
        <f>'Foglio deposito bis'!$F$69*IF(ABS(L1297)&lt;'Sollecitazioni nel paramento'!$G$58,ABS(L1297)*'Sollecitazioni nel paramento'!$G$54,'Sollecitazioni nel paramento'!$G$53)*IF(L1297&lt;0,-1,1)</f>
        <v>153664.85805602249</v>
      </c>
      <c r="S1297" s="545">
        <f>'Foglio deposito bis'!$F$70*IF(ABS(M1297)&lt;'Sollecitazioni nel paramento'!$G$58,ABS(M1297)*'Sollecitazioni nel paramento'!$G$54,'Sollecitazioni nel paramento'!$G$53)*IF(M1297&lt;0,-1,1)</f>
        <v>0</v>
      </c>
      <c r="T1297" s="545">
        <f>'Foglio deposito bis'!$F$71*IF(ABS(N1297)&lt;'Sollecitazioni nel paramento'!$G$58,ABS(N1297)*'Sollecitazioni nel paramento'!$G$54,'Sollecitazioni nel paramento'!$G$53)*IF(N1297&lt;0,-1,1)</f>
        <v>314705.62929873407</v>
      </c>
      <c r="U1297" s="545">
        <f>'Foglio deposito bis'!$F$72*IF(ABS(O1297)&lt;'Sollecitazioni nel paramento'!$G$58,ABS(O1297)*'Sollecitazioni nel paramento'!$G$54,'Sollecitazioni nel paramento'!$G$53)*IF(O1297&lt;0,-1,1)</f>
        <v>491727.54577927204</v>
      </c>
      <c r="V1297" s="472">
        <f t="shared" si="91"/>
        <v>224265.99834029574</v>
      </c>
      <c r="W1297" s="551"/>
      <c r="X1297" s="551"/>
    </row>
    <row r="1298" spans="1:24" x14ac:dyDescent="0.25">
      <c r="A1298" s="545">
        <f t="shared" si="90"/>
        <v>210115.38228657015</v>
      </c>
      <c r="B1298" s="3">
        <f t="shared" si="92"/>
        <v>2.6499999999999986</v>
      </c>
      <c r="C1298" s="545">
        <f>'Foglio deposito bis'!$E$158/sezione!$B$247*B1298</f>
        <v>19.686134101043613</v>
      </c>
      <c r="D1298" s="603">
        <f>-'Sollecitazioni nel paramento'!$G$47*'Sollecitazioni nel paramento'!$G$41*IF(DATI!$G$211="dx",DATI!$E$61,DATI!$E$64*DATI!$E$63)*1000*C1298^2*sezione!$AD$5*(1-sezione!$AD$6)</f>
        <v>-8622327.2782149166</v>
      </c>
      <c r="E1298" s="545">
        <f>-'Foglio deposito bis'!$F$68*(C1298-sezione!$AL$32)*IF(ABS(K1298)&lt;'Sollecitazioni nel paramento'!$G$58,ABS(K1298)*'Sollecitazioni nel paramento'!$G$54,'Sollecitazioni nel paramento'!$G$53)</f>
        <v>0</v>
      </c>
      <c r="F1298" s="545">
        <f>-'Foglio deposito bis'!$F$69*(C1298-sezione!$AM$32)*IF(ABS(L1298)&lt;'Sollecitazioni nel paramento'!$G$58,ABS(L1298)*'Sollecitazioni nel paramento'!$G$54,'Sollecitazioni nel paramento'!$G$53)</f>
        <v>6194824.4810526595</v>
      </c>
      <c r="G1298" s="545">
        <f>-'Foglio deposito bis'!$F$70*(C1298-sezione!$AN$32)*IF(ABS(M1298)&lt;'Sollecitazioni nel paramento'!$G$58,ABS(M1298)*'Sollecitazioni nel paramento'!$G$54,'Sollecitazioni nel paramento'!$G$53)</f>
        <v>0</v>
      </c>
      <c r="H1298" s="545">
        <f>-'Foglio deposito bis'!$F$71*(C1298-sezione!$AO$32)*IF(ABS(N1298)&lt;'Sollecitazioni nel paramento'!$G$58,ABS(N1298)*'Sollecitazioni nel paramento'!$G$54,'Sollecitazioni nel paramento'!$G$53)</f>
        <v>44157563.467069253</v>
      </c>
      <c r="I1298" s="472">
        <f>-'Foglio deposito bis'!$F$72*(C1298-sezione!$AP$32)*IF(ABS(O1298)&lt;'Sollecitazioni nel paramento'!$G$58,ABS(O1298)*'Sollecitazioni nel paramento'!$G$54,'Sollecitazioni nel paramento'!$G$53)</f>
        <v>240600813.83916178</v>
      </c>
      <c r="J1298" s="472">
        <f t="shared" si="89"/>
        <v>282330874.50906879</v>
      </c>
      <c r="K1298" s="550">
        <f>'Sollecitazioni nel paramento'!$G$60*(sezione!$AL$32-C1298)/C1298</f>
        <v>3.6116045070818774E-3</v>
      </c>
      <c r="L1298" s="550">
        <f>'Sollecitazioni nel paramento'!$G$60*(sezione!$AM$32-C1298)/C1298</f>
        <v>7.1674067606228168E-3</v>
      </c>
      <c r="M1298" s="551">
        <f>'Sollecitazioni nel paramento'!$G$60*(sezione!$AN$32-C1298)/C1298</f>
        <v>1.0723209014163754E-2</v>
      </c>
      <c r="N1298" s="551">
        <f>'Sollecitazioni nel paramento'!$G$60*(sezione!$AO$32-C1298)/C1298</f>
        <v>2.4946418028327508E-2</v>
      </c>
      <c r="O1298" s="551">
        <f>'Sollecitazioni nel paramento'!$G$60*(sezione!$AP$32-C1298)/C1298</f>
        <v>8.6992169077823769E-2</v>
      </c>
      <c r="P1298" s="545">
        <f>-'Sollecitazioni nel paramento'!$G$47*'Sollecitazioni nel paramento'!$G$41*IF(DATI!$G$211="dx",DATI!$E$61,DATI!$E$64*DATI!$E$63)*1000*C1298*sezione!$AD$5</f>
        <v>-749982.6508474584</v>
      </c>
      <c r="Q1298" s="545">
        <f>'Foglio deposito bis'!$F$68*IF(ABS(K1298)&lt;'Sollecitazioni nel paramento'!$G$58,ABS(K1298)*'Sollecitazioni nel paramento'!$G$54,'Sollecitazioni nel paramento'!$G$53)*IF(K1298&lt;0,-1,1)</f>
        <v>0</v>
      </c>
      <c r="R1298" s="545">
        <f>'Foglio deposito bis'!$F$69*IF(ABS(L1298)&lt;'Sollecitazioni nel paramento'!$G$58,ABS(L1298)*'Sollecitazioni nel paramento'!$G$54,'Sollecitazioni nel paramento'!$G$53)*IF(L1298&lt;0,-1,1)</f>
        <v>153664.85805602249</v>
      </c>
      <c r="S1298" s="545">
        <f>'Foglio deposito bis'!$F$70*IF(ABS(M1298)&lt;'Sollecitazioni nel paramento'!$G$58,ABS(M1298)*'Sollecitazioni nel paramento'!$G$54,'Sollecitazioni nel paramento'!$G$53)*IF(M1298&lt;0,-1,1)</f>
        <v>0</v>
      </c>
      <c r="T1298" s="545">
        <f>'Foglio deposito bis'!$F$71*IF(ABS(N1298)&lt;'Sollecitazioni nel paramento'!$G$58,ABS(N1298)*'Sollecitazioni nel paramento'!$G$54,'Sollecitazioni nel paramento'!$G$53)*IF(N1298&lt;0,-1,1)</f>
        <v>314705.62929873407</v>
      </c>
      <c r="U1298" s="545">
        <f>'Foglio deposito bis'!$F$72*IF(ABS(O1298)&lt;'Sollecitazioni nel paramento'!$G$58,ABS(O1298)*'Sollecitazioni nel paramento'!$G$54,'Sollecitazioni nel paramento'!$G$53)*IF(O1298&lt;0,-1,1)</f>
        <v>491727.54577927204</v>
      </c>
      <c r="V1298" s="472">
        <f t="shared" si="91"/>
        <v>210115.38228657015</v>
      </c>
      <c r="W1298" s="551"/>
      <c r="X1298" s="551"/>
    </row>
    <row r="1299" spans="1:24" x14ac:dyDescent="0.25">
      <c r="A1299" s="545">
        <f t="shared" si="90"/>
        <v>195964.76623284456</v>
      </c>
      <c r="B1299" s="3">
        <f t="shared" si="92"/>
        <v>2.6999999999999984</v>
      </c>
      <c r="C1299" s="545">
        <f>'Foglio deposito bis'!$E$158/sezione!$B$247*B1299</f>
        <v>20.057570593516132</v>
      </c>
      <c r="D1299" s="603">
        <f>-'Sollecitazioni nel paramento'!$G$47*'Sollecitazioni nel paramento'!$G$41*IF(DATI!$G$211="dx",DATI!$E$61,DATI!$E$64*DATI!$E$63)*1000*C1299^2*sezione!$AD$5*(1-sezione!$AD$6)</f>
        <v>-8950767.6551351696</v>
      </c>
      <c r="E1299" s="545">
        <f>-'Foglio deposito bis'!$F$68*(C1299-sezione!$AL$32)*IF(ABS(K1299)&lt;'Sollecitazioni nel paramento'!$G$58,ABS(K1299)*'Sollecitazioni nel paramento'!$G$54,'Sollecitazioni nel paramento'!$G$53)</f>
        <v>0</v>
      </c>
      <c r="F1299" s="545">
        <f>-'Foglio deposito bis'!$F$69*(C1299-sezione!$AM$32)*IF(ABS(L1299)&lt;'Sollecitazioni nel paramento'!$G$58,ABS(L1299)*'Sollecitazioni nel paramento'!$G$54,'Sollecitazioni nel paramento'!$G$53)</f>
        <v>6137747.7451600423</v>
      </c>
      <c r="G1299" s="545">
        <f>-'Foglio deposito bis'!$F$70*(C1299-sezione!$AN$32)*IF(ABS(M1299)&lt;'Sollecitazioni nel paramento'!$G$58,ABS(M1299)*'Sollecitazioni nel paramento'!$G$54,'Sollecitazioni nel paramento'!$G$53)</f>
        <v>0</v>
      </c>
      <c r="H1299" s="545">
        <f>-'Foglio deposito bis'!$F$71*(C1299-sezione!$AO$32)*IF(ABS(N1299)&lt;'Sollecitazioni nel paramento'!$G$58,ABS(N1299)*'Sollecitazioni nel paramento'!$G$54,'Sollecitazioni nel paramento'!$G$53)</f>
        <v>44040670.311961181</v>
      </c>
      <c r="I1299" s="472">
        <f>-'Foglio deposito bis'!$F$72*(C1299-sezione!$AP$32)*IF(ABS(O1299)&lt;'Sollecitazioni nel paramento'!$G$58,ABS(O1299)*'Sollecitazioni nel paramento'!$G$54,'Sollecitazioni nel paramento'!$G$53)</f>
        <v>240418168.28430539</v>
      </c>
      <c r="J1299" s="472">
        <f t="shared" si="89"/>
        <v>281645818.68629146</v>
      </c>
      <c r="K1299" s="550">
        <f>'Sollecitazioni nel paramento'!$G$60*(sezione!$AL$32-C1299)/C1299</f>
        <v>3.4799081273211028E-3</v>
      </c>
      <c r="L1299" s="550">
        <f>'Sollecitazioni nel paramento'!$G$60*(sezione!$AM$32-C1299)/C1299</f>
        <v>6.9698621909816544E-3</v>
      </c>
      <c r="M1299" s="551">
        <f>'Sollecitazioni nel paramento'!$G$60*(sezione!$AN$32-C1299)/C1299</f>
        <v>1.0459816254642205E-2</v>
      </c>
      <c r="N1299" s="551">
        <f>'Sollecitazioni nel paramento'!$G$60*(sezione!$AO$32-C1299)/C1299</f>
        <v>2.4419632509284413E-2</v>
      </c>
      <c r="O1299" s="551">
        <f>'Sollecitazioni nel paramento'!$G$60*(sezione!$AP$32-C1299)/C1299</f>
        <v>8.5316388168975202E-2</v>
      </c>
      <c r="P1299" s="545">
        <f>-'Sollecitazioni nel paramento'!$G$47*'Sollecitazioni nel paramento'!$G$41*IF(DATI!$G$211="dx",DATI!$E$61,DATI!$E$64*DATI!$E$63)*1000*C1299*sezione!$AD$5</f>
        <v>-764133.26690118399</v>
      </c>
      <c r="Q1299" s="545">
        <f>'Foglio deposito bis'!$F$68*IF(ABS(K1299)&lt;'Sollecitazioni nel paramento'!$G$58,ABS(K1299)*'Sollecitazioni nel paramento'!$G$54,'Sollecitazioni nel paramento'!$G$53)*IF(K1299&lt;0,-1,1)</f>
        <v>0</v>
      </c>
      <c r="R1299" s="545">
        <f>'Foglio deposito bis'!$F$69*IF(ABS(L1299)&lt;'Sollecitazioni nel paramento'!$G$58,ABS(L1299)*'Sollecitazioni nel paramento'!$G$54,'Sollecitazioni nel paramento'!$G$53)*IF(L1299&lt;0,-1,1)</f>
        <v>153664.85805602249</v>
      </c>
      <c r="S1299" s="545">
        <f>'Foglio deposito bis'!$F$70*IF(ABS(M1299)&lt;'Sollecitazioni nel paramento'!$G$58,ABS(M1299)*'Sollecitazioni nel paramento'!$G$54,'Sollecitazioni nel paramento'!$G$53)*IF(M1299&lt;0,-1,1)</f>
        <v>0</v>
      </c>
      <c r="T1299" s="545">
        <f>'Foglio deposito bis'!$F$71*IF(ABS(N1299)&lt;'Sollecitazioni nel paramento'!$G$58,ABS(N1299)*'Sollecitazioni nel paramento'!$G$54,'Sollecitazioni nel paramento'!$G$53)*IF(N1299&lt;0,-1,1)</f>
        <v>314705.62929873407</v>
      </c>
      <c r="U1299" s="545">
        <f>'Foglio deposito bis'!$F$72*IF(ABS(O1299)&lt;'Sollecitazioni nel paramento'!$G$58,ABS(O1299)*'Sollecitazioni nel paramento'!$G$54,'Sollecitazioni nel paramento'!$G$53)*IF(O1299&lt;0,-1,1)</f>
        <v>491727.54577927204</v>
      </c>
      <c r="V1299" s="472">
        <f t="shared" si="91"/>
        <v>195964.76623284456</v>
      </c>
      <c r="W1299" s="551"/>
      <c r="X1299" s="551"/>
    </row>
    <row r="1300" spans="1:24" x14ac:dyDescent="0.25">
      <c r="A1300" s="545">
        <f t="shared" si="90"/>
        <v>181814.15017911897</v>
      </c>
      <c r="B1300" s="3">
        <f t="shared" si="92"/>
        <v>2.7499999999999982</v>
      </c>
      <c r="C1300" s="545">
        <f>'Foglio deposito bis'!$E$158/sezione!$B$247*B1300</f>
        <v>20.429007085988655</v>
      </c>
      <c r="D1300" s="603">
        <f>-'Sollecitazioni nel paramento'!$G$47*'Sollecitazioni nel paramento'!$G$41*IF(DATI!$G$211="dx",DATI!$E$61,DATI!$E$64*DATI!$E$63)*1000*C1300^2*sezione!$AD$5*(1-sezione!$AD$6)</f>
        <v>-9285347.1045212224</v>
      </c>
      <c r="E1300" s="545">
        <f>-'Foglio deposito bis'!$F$68*(C1300-sezione!$AL$32)*IF(ABS(K1300)&lt;'Sollecitazioni nel paramento'!$G$58,ABS(K1300)*'Sollecitazioni nel paramento'!$G$54,'Sollecitazioni nel paramento'!$G$53)</f>
        <v>0</v>
      </c>
      <c r="F1300" s="545">
        <f>-'Foglio deposito bis'!$F$69*(C1300-sezione!$AM$32)*IF(ABS(L1300)&lt;'Sollecitazioni nel paramento'!$G$58,ABS(L1300)*'Sollecitazioni nel paramento'!$G$54,'Sollecitazioni nel paramento'!$G$53)</f>
        <v>6080671.0092674252</v>
      </c>
      <c r="G1300" s="545">
        <f>-'Foglio deposito bis'!$F$70*(C1300-sezione!$AN$32)*IF(ABS(M1300)&lt;'Sollecitazioni nel paramento'!$G$58,ABS(M1300)*'Sollecitazioni nel paramento'!$G$54,'Sollecitazioni nel paramento'!$G$53)</f>
        <v>0</v>
      </c>
      <c r="H1300" s="545">
        <f>-'Foglio deposito bis'!$F$71*(C1300-sezione!$AO$32)*IF(ABS(N1300)&lt;'Sollecitazioni nel paramento'!$G$58,ABS(N1300)*'Sollecitazioni nel paramento'!$G$54,'Sollecitazioni nel paramento'!$G$53)</f>
        <v>43923777.156853095</v>
      </c>
      <c r="I1300" s="472">
        <f>-'Foglio deposito bis'!$F$72*(C1300-sezione!$AP$32)*IF(ABS(O1300)&lt;'Sollecitazioni nel paramento'!$G$58,ABS(O1300)*'Sollecitazioni nel paramento'!$G$54,'Sollecitazioni nel paramento'!$G$53)</f>
        <v>240235522.729449</v>
      </c>
      <c r="J1300" s="472">
        <f t="shared" si="89"/>
        <v>280954623.79104829</v>
      </c>
      <c r="K1300" s="550">
        <f>'Sollecitazioni nel paramento'!$G$60*(sezione!$AL$32-C1300)/C1300</f>
        <v>3.3530007068243543E-3</v>
      </c>
      <c r="L1300" s="550">
        <f>'Sollecitazioni nel paramento'!$G$60*(sezione!$AM$32-C1300)/C1300</f>
        <v>6.7795010602365322E-3</v>
      </c>
      <c r="M1300" s="551">
        <f>'Sollecitazioni nel paramento'!$G$60*(sezione!$AN$32-C1300)/C1300</f>
        <v>1.0206001413648708E-2</v>
      </c>
      <c r="N1300" s="551">
        <f>'Sollecitazioni nel paramento'!$G$60*(sezione!$AO$32-C1300)/C1300</f>
        <v>2.3912002827297423E-2</v>
      </c>
      <c r="O1300" s="551">
        <f>'Sollecitazioni nel paramento'!$G$60*(sezione!$AP$32-C1300)/C1300</f>
        <v>8.3701544747721096E-2</v>
      </c>
      <c r="P1300" s="545">
        <f>-'Sollecitazioni nel paramento'!$G$47*'Sollecitazioni nel paramento'!$G$41*IF(DATI!$G$211="dx",DATI!$E$61,DATI!$E$64*DATI!$E$63)*1000*C1300*sezione!$AD$5</f>
        <v>-778283.88295490958</v>
      </c>
      <c r="Q1300" s="545">
        <f>'Foglio deposito bis'!$F$68*IF(ABS(K1300)&lt;'Sollecitazioni nel paramento'!$G$58,ABS(K1300)*'Sollecitazioni nel paramento'!$G$54,'Sollecitazioni nel paramento'!$G$53)*IF(K1300&lt;0,-1,1)</f>
        <v>0</v>
      </c>
      <c r="R1300" s="545">
        <f>'Foglio deposito bis'!$F$69*IF(ABS(L1300)&lt;'Sollecitazioni nel paramento'!$G$58,ABS(L1300)*'Sollecitazioni nel paramento'!$G$54,'Sollecitazioni nel paramento'!$G$53)*IF(L1300&lt;0,-1,1)</f>
        <v>153664.85805602249</v>
      </c>
      <c r="S1300" s="545">
        <f>'Foglio deposito bis'!$F$70*IF(ABS(M1300)&lt;'Sollecitazioni nel paramento'!$G$58,ABS(M1300)*'Sollecitazioni nel paramento'!$G$54,'Sollecitazioni nel paramento'!$G$53)*IF(M1300&lt;0,-1,1)</f>
        <v>0</v>
      </c>
      <c r="T1300" s="545">
        <f>'Foglio deposito bis'!$F$71*IF(ABS(N1300)&lt;'Sollecitazioni nel paramento'!$G$58,ABS(N1300)*'Sollecitazioni nel paramento'!$G$54,'Sollecitazioni nel paramento'!$G$53)*IF(N1300&lt;0,-1,1)</f>
        <v>314705.62929873407</v>
      </c>
      <c r="U1300" s="545">
        <f>'Foglio deposito bis'!$F$72*IF(ABS(O1300)&lt;'Sollecitazioni nel paramento'!$G$58,ABS(O1300)*'Sollecitazioni nel paramento'!$G$54,'Sollecitazioni nel paramento'!$G$53)*IF(O1300&lt;0,-1,1)</f>
        <v>491727.54577927204</v>
      </c>
      <c r="V1300" s="472">
        <f t="shared" si="91"/>
        <v>181814.15017911897</v>
      </c>
      <c r="W1300" s="551"/>
      <c r="X1300" s="551"/>
    </row>
    <row r="1301" spans="1:24" x14ac:dyDescent="0.25">
      <c r="A1301" s="545">
        <f t="shared" si="90"/>
        <v>167663.53412539337</v>
      </c>
      <c r="B1301" s="3">
        <f t="shared" si="92"/>
        <v>2.799999999999998</v>
      </c>
      <c r="C1301" s="545">
        <f>'Foglio deposito bis'!$E$158/sezione!$B$247*B1301</f>
        <v>20.800443578461174</v>
      </c>
      <c r="D1301" s="603">
        <f>-'Sollecitazioni nel paramento'!$G$47*'Sollecitazioni nel paramento'!$G$41*IF(DATI!$G$211="dx",DATI!$E$61,DATI!$E$64*DATI!$E$63)*1000*C1301^2*sezione!$AD$5*(1-sezione!$AD$6)</f>
        <v>-9626065.6263730749</v>
      </c>
      <c r="E1301" s="545">
        <f>-'Foglio deposito bis'!$F$68*(C1301-sezione!$AL$32)*IF(ABS(K1301)&lt;'Sollecitazioni nel paramento'!$G$58,ABS(K1301)*'Sollecitazioni nel paramento'!$G$54,'Sollecitazioni nel paramento'!$G$53)</f>
        <v>0</v>
      </c>
      <c r="F1301" s="545">
        <f>-'Foglio deposito bis'!$F$69*(C1301-sezione!$AM$32)*IF(ABS(L1301)&lt;'Sollecitazioni nel paramento'!$G$58,ABS(L1301)*'Sollecitazioni nel paramento'!$G$54,'Sollecitazioni nel paramento'!$G$53)</f>
        <v>6023594.2733748099</v>
      </c>
      <c r="G1301" s="545">
        <f>-'Foglio deposito bis'!$F$70*(C1301-sezione!$AN$32)*IF(ABS(M1301)&lt;'Sollecitazioni nel paramento'!$G$58,ABS(M1301)*'Sollecitazioni nel paramento'!$G$54,'Sollecitazioni nel paramento'!$G$53)</f>
        <v>0</v>
      </c>
      <c r="H1301" s="545">
        <f>-'Foglio deposito bis'!$F$71*(C1301-sezione!$AO$32)*IF(ABS(N1301)&lt;'Sollecitazioni nel paramento'!$G$58,ABS(N1301)*'Sollecitazioni nel paramento'!$G$54,'Sollecitazioni nel paramento'!$G$53)</f>
        <v>43806884.001745023</v>
      </c>
      <c r="I1301" s="472">
        <f>-'Foglio deposito bis'!$F$72*(C1301-sezione!$AP$32)*IF(ABS(O1301)&lt;'Sollecitazioni nel paramento'!$G$58,ABS(O1301)*'Sollecitazioni nel paramento'!$G$54,'Sollecitazioni nel paramento'!$G$53)</f>
        <v>240052877.17459267</v>
      </c>
      <c r="J1301" s="472">
        <f t="shared" si="89"/>
        <v>280257289.82333946</v>
      </c>
      <c r="K1301" s="550">
        <f>'Sollecitazioni nel paramento'!$G$60*(sezione!$AL$32-C1301)/C1301</f>
        <v>3.2306256942024919E-3</v>
      </c>
      <c r="L1301" s="550">
        <f>'Sollecitazioni nel paramento'!$G$60*(sezione!$AM$32-C1301)/C1301</f>
        <v>6.5959385413037379E-3</v>
      </c>
      <c r="M1301" s="551">
        <f>'Sollecitazioni nel paramento'!$G$60*(sezione!$AN$32-C1301)/C1301</f>
        <v>9.9612513884049843E-3</v>
      </c>
      <c r="N1301" s="551">
        <f>'Sollecitazioni nel paramento'!$G$60*(sezione!$AO$32-C1301)/C1301</f>
        <v>2.3422502776809968E-2</v>
      </c>
      <c r="O1301" s="551">
        <f>'Sollecitazioni nel paramento'!$G$60*(sezione!$AP$32-C1301)/C1301</f>
        <v>8.2144374305797518E-2</v>
      </c>
      <c r="P1301" s="545">
        <f>-'Sollecitazioni nel paramento'!$G$47*'Sollecitazioni nel paramento'!$G$41*IF(DATI!$G$211="dx",DATI!$E$61,DATI!$E$64*DATI!$E$63)*1000*C1301*sezione!$AD$5</f>
        <v>-792434.49900863518</v>
      </c>
      <c r="Q1301" s="545">
        <f>'Foglio deposito bis'!$F$68*IF(ABS(K1301)&lt;'Sollecitazioni nel paramento'!$G$58,ABS(K1301)*'Sollecitazioni nel paramento'!$G$54,'Sollecitazioni nel paramento'!$G$53)*IF(K1301&lt;0,-1,1)</f>
        <v>0</v>
      </c>
      <c r="R1301" s="545">
        <f>'Foglio deposito bis'!$F$69*IF(ABS(L1301)&lt;'Sollecitazioni nel paramento'!$G$58,ABS(L1301)*'Sollecitazioni nel paramento'!$G$54,'Sollecitazioni nel paramento'!$G$53)*IF(L1301&lt;0,-1,1)</f>
        <v>153664.85805602249</v>
      </c>
      <c r="S1301" s="545">
        <f>'Foglio deposito bis'!$F$70*IF(ABS(M1301)&lt;'Sollecitazioni nel paramento'!$G$58,ABS(M1301)*'Sollecitazioni nel paramento'!$G$54,'Sollecitazioni nel paramento'!$G$53)*IF(M1301&lt;0,-1,1)</f>
        <v>0</v>
      </c>
      <c r="T1301" s="545">
        <f>'Foglio deposito bis'!$F$71*IF(ABS(N1301)&lt;'Sollecitazioni nel paramento'!$G$58,ABS(N1301)*'Sollecitazioni nel paramento'!$G$54,'Sollecitazioni nel paramento'!$G$53)*IF(N1301&lt;0,-1,1)</f>
        <v>314705.62929873407</v>
      </c>
      <c r="U1301" s="545">
        <f>'Foglio deposito bis'!$F$72*IF(ABS(O1301)&lt;'Sollecitazioni nel paramento'!$G$58,ABS(O1301)*'Sollecitazioni nel paramento'!$G$54,'Sollecitazioni nel paramento'!$G$53)*IF(O1301&lt;0,-1,1)</f>
        <v>491727.54577927204</v>
      </c>
      <c r="V1301" s="472">
        <f t="shared" si="91"/>
        <v>167663.53412539337</v>
      </c>
      <c r="W1301" s="551"/>
      <c r="X1301" s="551"/>
    </row>
    <row r="1302" spans="1:24" x14ac:dyDescent="0.25">
      <c r="A1302" s="545">
        <f t="shared" si="90"/>
        <v>153512.91807166778</v>
      </c>
      <c r="B1302" s="3">
        <f t="shared" si="92"/>
        <v>2.8499999999999979</v>
      </c>
      <c r="C1302" s="545">
        <f>'Foglio deposito bis'!$E$158/sezione!$B$247*B1302</f>
        <v>21.171880070933693</v>
      </c>
      <c r="D1302" s="603">
        <f>-'Sollecitazioni nel paramento'!$G$47*'Sollecitazioni nel paramento'!$G$41*IF(DATI!$G$211="dx",DATI!$E$61,DATI!$E$64*DATI!$E$63)*1000*C1302^2*sezione!$AD$5*(1-sezione!$AD$6)</f>
        <v>-9972923.2206907254</v>
      </c>
      <c r="E1302" s="545">
        <f>-'Foglio deposito bis'!$F$68*(C1302-sezione!$AL$32)*IF(ABS(K1302)&lt;'Sollecitazioni nel paramento'!$G$58,ABS(K1302)*'Sollecitazioni nel paramento'!$G$54,'Sollecitazioni nel paramento'!$G$53)</f>
        <v>0</v>
      </c>
      <c r="F1302" s="545">
        <f>-'Foglio deposito bis'!$F$69*(C1302-sezione!$AM$32)*IF(ABS(L1302)&lt;'Sollecitazioni nel paramento'!$G$58,ABS(L1302)*'Sollecitazioni nel paramento'!$G$54,'Sollecitazioni nel paramento'!$G$53)</f>
        <v>5966517.5374821918</v>
      </c>
      <c r="G1302" s="545">
        <f>-'Foglio deposito bis'!$F$70*(C1302-sezione!$AN$32)*IF(ABS(M1302)&lt;'Sollecitazioni nel paramento'!$G$58,ABS(M1302)*'Sollecitazioni nel paramento'!$G$54,'Sollecitazioni nel paramento'!$G$53)</f>
        <v>0</v>
      </c>
      <c r="H1302" s="545">
        <f>-'Foglio deposito bis'!$F$71*(C1302-sezione!$AO$32)*IF(ABS(N1302)&lt;'Sollecitazioni nel paramento'!$G$58,ABS(N1302)*'Sollecitazioni nel paramento'!$G$54,'Sollecitazioni nel paramento'!$G$53)</f>
        <v>43689990.846636944</v>
      </c>
      <c r="I1302" s="472">
        <f>-'Foglio deposito bis'!$F$72*(C1302-sezione!$AP$32)*IF(ABS(O1302)&lt;'Sollecitazioni nel paramento'!$G$58,ABS(O1302)*'Sollecitazioni nel paramento'!$G$54,'Sollecitazioni nel paramento'!$G$53)</f>
        <v>239870231.61973628</v>
      </c>
      <c r="J1302" s="472">
        <f t="shared" si="89"/>
        <v>279553816.78316468</v>
      </c>
      <c r="K1302" s="550">
        <f>'Sollecitazioni nel paramento'!$G$60*(sezione!$AL$32-C1302)/C1302</f>
        <v>3.1125445416726244E-3</v>
      </c>
      <c r="L1302" s="550">
        <f>'Sollecitazioni nel paramento'!$G$60*(sezione!$AM$32-C1302)/C1302</f>
        <v>6.4188168125089351E-3</v>
      </c>
      <c r="M1302" s="551">
        <f>'Sollecitazioni nel paramento'!$G$60*(sezione!$AN$32-C1302)/C1302</f>
        <v>9.7250890833452484E-3</v>
      </c>
      <c r="N1302" s="551">
        <f>'Sollecitazioni nel paramento'!$G$60*(sezione!$AO$32-C1302)/C1302</f>
        <v>2.2950178166690496E-2</v>
      </c>
      <c r="O1302" s="551">
        <f>'Sollecitazioni nel paramento'!$G$60*(sezione!$AP$32-C1302)/C1302</f>
        <v>8.0641841423239671E-2</v>
      </c>
      <c r="P1302" s="545">
        <f>-'Sollecitazioni nel paramento'!$G$47*'Sollecitazioni nel paramento'!$G$41*IF(DATI!$G$211="dx",DATI!$E$61,DATI!$E$64*DATI!$E$63)*1000*C1302*sezione!$AD$5</f>
        <v>-806585.11506236077</v>
      </c>
      <c r="Q1302" s="545">
        <f>'Foglio deposito bis'!$F$68*IF(ABS(K1302)&lt;'Sollecitazioni nel paramento'!$G$58,ABS(K1302)*'Sollecitazioni nel paramento'!$G$54,'Sollecitazioni nel paramento'!$G$53)*IF(K1302&lt;0,-1,1)</f>
        <v>0</v>
      </c>
      <c r="R1302" s="545">
        <f>'Foglio deposito bis'!$F$69*IF(ABS(L1302)&lt;'Sollecitazioni nel paramento'!$G$58,ABS(L1302)*'Sollecitazioni nel paramento'!$G$54,'Sollecitazioni nel paramento'!$G$53)*IF(L1302&lt;0,-1,1)</f>
        <v>153664.85805602249</v>
      </c>
      <c r="S1302" s="545">
        <f>'Foglio deposito bis'!$F$70*IF(ABS(M1302)&lt;'Sollecitazioni nel paramento'!$G$58,ABS(M1302)*'Sollecitazioni nel paramento'!$G$54,'Sollecitazioni nel paramento'!$G$53)*IF(M1302&lt;0,-1,1)</f>
        <v>0</v>
      </c>
      <c r="T1302" s="545">
        <f>'Foglio deposito bis'!$F$71*IF(ABS(N1302)&lt;'Sollecitazioni nel paramento'!$G$58,ABS(N1302)*'Sollecitazioni nel paramento'!$G$54,'Sollecitazioni nel paramento'!$G$53)*IF(N1302&lt;0,-1,1)</f>
        <v>314705.62929873407</v>
      </c>
      <c r="U1302" s="545">
        <f>'Foglio deposito bis'!$F$72*IF(ABS(O1302)&lt;'Sollecitazioni nel paramento'!$G$58,ABS(O1302)*'Sollecitazioni nel paramento'!$G$54,'Sollecitazioni nel paramento'!$G$53)*IF(O1302&lt;0,-1,1)</f>
        <v>491727.54577927204</v>
      </c>
      <c r="V1302" s="472">
        <f t="shared" si="91"/>
        <v>153512.91807166778</v>
      </c>
      <c r="W1302" s="551"/>
      <c r="X1302" s="551"/>
    </row>
    <row r="1303" spans="1:24" x14ac:dyDescent="0.25">
      <c r="A1303" s="545">
        <f t="shared" si="90"/>
        <v>139362.30201794219</v>
      </c>
      <c r="B1303" s="3">
        <f t="shared" si="92"/>
        <v>2.8999999999999977</v>
      </c>
      <c r="C1303" s="545">
        <f>'Foglio deposito bis'!$E$158/sezione!$B$247*B1303</f>
        <v>21.543316563406215</v>
      </c>
      <c r="D1303" s="603">
        <f>-'Sollecitazioni nel paramento'!$G$47*'Sollecitazioni nel paramento'!$G$41*IF(DATI!$G$211="dx",DATI!$E$61,DATI!$E$64*DATI!$E$63)*1000*C1303^2*sezione!$AD$5*(1-sezione!$AD$6)</f>
        <v>-10325919.887474179</v>
      </c>
      <c r="E1303" s="545">
        <f>-'Foglio deposito bis'!$F$68*(C1303-sezione!$AL$32)*IF(ABS(K1303)&lt;'Sollecitazioni nel paramento'!$G$58,ABS(K1303)*'Sollecitazioni nel paramento'!$G$54,'Sollecitazioni nel paramento'!$G$53)</f>
        <v>0</v>
      </c>
      <c r="F1303" s="545">
        <f>-'Foglio deposito bis'!$F$69*(C1303-sezione!$AM$32)*IF(ABS(L1303)&lt;'Sollecitazioni nel paramento'!$G$58,ABS(L1303)*'Sollecitazioni nel paramento'!$G$54,'Sollecitazioni nel paramento'!$G$53)</f>
        <v>5909440.8015895756</v>
      </c>
      <c r="G1303" s="545">
        <f>-'Foglio deposito bis'!$F$70*(C1303-sezione!$AN$32)*IF(ABS(M1303)&lt;'Sollecitazioni nel paramento'!$G$58,ABS(M1303)*'Sollecitazioni nel paramento'!$G$54,'Sollecitazioni nel paramento'!$G$53)</f>
        <v>0</v>
      </c>
      <c r="H1303" s="545">
        <f>-'Foglio deposito bis'!$F$71*(C1303-sezione!$AO$32)*IF(ABS(N1303)&lt;'Sollecitazioni nel paramento'!$G$58,ABS(N1303)*'Sollecitazioni nel paramento'!$G$54,'Sollecitazioni nel paramento'!$G$53)</f>
        <v>43573097.691528857</v>
      </c>
      <c r="I1303" s="472">
        <f>-'Foglio deposito bis'!$F$72*(C1303-sezione!$AP$32)*IF(ABS(O1303)&lt;'Sollecitazioni nel paramento'!$G$58,ABS(O1303)*'Sollecitazioni nel paramento'!$G$54,'Sollecitazioni nel paramento'!$G$53)</f>
        <v>239687586.06487989</v>
      </c>
      <c r="J1303" s="472">
        <f t="shared" si="89"/>
        <v>278844204.67052412</v>
      </c>
      <c r="K1303" s="550">
        <f>'Sollecitazioni nel paramento'!$G$60*(sezione!$AL$32-C1303)/C1303</f>
        <v>2.998535153023096E-3</v>
      </c>
      <c r="L1303" s="550">
        <f>'Sollecitazioni nel paramento'!$G$60*(sezione!$AM$32-C1303)/C1303</f>
        <v>6.2478027295346438E-3</v>
      </c>
      <c r="M1303" s="551">
        <f>'Sollecitazioni nel paramento'!$G$60*(sezione!$AN$32-C1303)/C1303</f>
        <v>9.4970703060461917E-3</v>
      </c>
      <c r="N1303" s="551">
        <f>'Sollecitazioni nel paramento'!$G$60*(sezione!$AO$32-C1303)/C1303</f>
        <v>2.2494140612092383E-2</v>
      </c>
      <c r="O1303" s="551">
        <f>'Sollecitazioni nel paramento'!$G$60*(sezione!$AP$32-C1303)/C1303</f>
        <v>7.9191120019390701E-2</v>
      </c>
      <c r="P1303" s="545">
        <f>-'Sollecitazioni nel paramento'!$G$47*'Sollecitazioni nel paramento'!$G$41*IF(DATI!$G$211="dx",DATI!$E$61,DATI!$E$64*DATI!$E$63)*1000*C1303*sezione!$AD$5</f>
        <v>-820735.73111608648</v>
      </c>
      <c r="Q1303" s="545">
        <f>'Foglio deposito bis'!$F$68*IF(ABS(K1303)&lt;'Sollecitazioni nel paramento'!$G$58,ABS(K1303)*'Sollecitazioni nel paramento'!$G$54,'Sollecitazioni nel paramento'!$G$53)*IF(K1303&lt;0,-1,1)</f>
        <v>0</v>
      </c>
      <c r="R1303" s="545">
        <f>'Foglio deposito bis'!$F$69*IF(ABS(L1303)&lt;'Sollecitazioni nel paramento'!$G$58,ABS(L1303)*'Sollecitazioni nel paramento'!$G$54,'Sollecitazioni nel paramento'!$G$53)*IF(L1303&lt;0,-1,1)</f>
        <v>153664.85805602249</v>
      </c>
      <c r="S1303" s="545">
        <f>'Foglio deposito bis'!$F$70*IF(ABS(M1303)&lt;'Sollecitazioni nel paramento'!$G$58,ABS(M1303)*'Sollecitazioni nel paramento'!$G$54,'Sollecitazioni nel paramento'!$G$53)*IF(M1303&lt;0,-1,1)</f>
        <v>0</v>
      </c>
      <c r="T1303" s="545">
        <f>'Foglio deposito bis'!$F$71*IF(ABS(N1303)&lt;'Sollecitazioni nel paramento'!$G$58,ABS(N1303)*'Sollecitazioni nel paramento'!$G$54,'Sollecitazioni nel paramento'!$G$53)*IF(N1303&lt;0,-1,1)</f>
        <v>314705.62929873407</v>
      </c>
      <c r="U1303" s="545">
        <f>'Foglio deposito bis'!$F$72*IF(ABS(O1303)&lt;'Sollecitazioni nel paramento'!$G$58,ABS(O1303)*'Sollecitazioni nel paramento'!$G$54,'Sollecitazioni nel paramento'!$G$53)*IF(O1303&lt;0,-1,1)</f>
        <v>491727.54577927204</v>
      </c>
      <c r="V1303" s="472">
        <f t="shared" si="91"/>
        <v>139362.30201794219</v>
      </c>
      <c r="W1303" s="551"/>
      <c r="X1303" s="551"/>
    </row>
    <row r="1304" spans="1:24" x14ac:dyDescent="0.25">
      <c r="A1304" s="545">
        <f t="shared" si="90"/>
        <v>125211.68596421659</v>
      </c>
      <c r="B1304" s="3">
        <f t="shared" si="92"/>
        <v>2.9499999999999975</v>
      </c>
      <c r="C1304" s="545">
        <f>'Foglio deposito bis'!$E$158/sezione!$B$247*B1304</f>
        <v>21.914753055878734</v>
      </c>
      <c r="D1304" s="603">
        <f>-'Sollecitazioni nel paramento'!$G$47*'Sollecitazioni nel paramento'!$G$41*IF(DATI!$G$211="dx",DATI!$E$61,DATI!$E$64*DATI!$E$63)*1000*C1304^2*sezione!$AD$5*(1-sezione!$AD$6)</f>
        <v>-10685055.626723427</v>
      </c>
      <c r="E1304" s="545">
        <f>-'Foglio deposito bis'!$F$68*(C1304-sezione!$AL$32)*IF(ABS(K1304)&lt;'Sollecitazioni nel paramento'!$G$58,ABS(K1304)*'Sollecitazioni nel paramento'!$G$54,'Sollecitazioni nel paramento'!$G$53)</f>
        <v>0</v>
      </c>
      <c r="F1304" s="545">
        <f>-'Foglio deposito bis'!$F$69*(C1304-sezione!$AM$32)*IF(ABS(L1304)&lt;'Sollecitazioni nel paramento'!$G$58,ABS(L1304)*'Sollecitazioni nel paramento'!$G$54,'Sollecitazioni nel paramento'!$G$53)</f>
        <v>5852364.0656969585</v>
      </c>
      <c r="G1304" s="545">
        <f>-'Foglio deposito bis'!$F$70*(C1304-sezione!$AN$32)*IF(ABS(M1304)&lt;'Sollecitazioni nel paramento'!$G$58,ABS(M1304)*'Sollecitazioni nel paramento'!$G$54,'Sollecitazioni nel paramento'!$G$53)</f>
        <v>0</v>
      </c>
      <c r="H1304" s="545">
        <f>-'Foglio deposito bis'!$F$71*(C1304-sezione!$AO$32)*IF(ABS(N1304)&lt;'Sollecitazioni nel paramento'!$G$58,ABS(N1304)*'Sollecitazioni nel paramento'!$G$54,'Sollecitazioni nel paramento'!$G$53)</f>
        <v>43456204.536420777</v>
      </c>
      <c r="I1304" s="472">
        <f>-'Foglio deposito bis'!$F$72*(C1304-sezione!$AP$32)*IF(ABS(O1304)&lt;'Sollecitazioni nel paramento'!$G$58,ABS(O1304)*'Sollecitazioni nel paramento'!$G$54,'Sollecitazioni nel paramento'!$G$53)</f>
        <v>239504940.5100235</v>
      </c>
      <c r="J1304" s="472">
        <f t="shared" si="89"/>
        <v>278128453.48541784</v>
      </c>
      <c r="K1304" s="550">
        <f>'Sollecitazioni nel paramento'!$G$60*(sezione!$AL$32-C1304)/C1304</f>
        <v>2.8883904894125359E-3</v>
      </c>
      <c r="L1304" s="550">
        <f>'Sollecitazioni nel paramento'!$G$60*(sezione!$AM$32-C1304)/C1304</f>
        <v>6.0825857341188028E-3</v>
      </c>
      <c r="M1304" s="551">
        <f>'Sollecitazioni nel paramento'!$G$60*(sezione!$AN$32-C1304)/C1304</f>
        <v>9.2767809788250714E-3</v>
      </c>
      <c r="N1304" s="551">
        <f>'Sollecitazioni nel paramento'!$G$60*(sezione!$AO$32-C1304)/C1304</f>
        <v>2.2053561957650139E-2</v>
      </c>
      <c r="O1304" s="551">
        <f>'Sollecitazioni nel paramento'!$G$60*(sezione!$AP$32-C1304)/C1304</f>
        <v>7.7789575612282391E-2</v>
      </c>
      <c r="P1304" s="545">
        <f>-'Sollecitazioni nel paramento'!$G$47*'Sollecitazioni nel paramento'!$G$41*IF(DATI!$G$211="dx",DATI!$E$61,DATI!$E$64*DATI!$E$63)*1000*C1304*sezione!$AD$5</f>
        <v>-834886.34716981195</v>
      </c>
      <c r="Q1304" s="545">
        <f>'Foglio deposito bis'!$F$68*IF(ABS(K1304)&lt;'Sollecitazioni nel paramento'!$G$58,ABS(K1304)*'Sollecitazioni nel paramento'!$G$54,'Sollecitazioni nel paramento'!$G$53)*IF(K1304&lt;0,-1,1)</f>
        <v>0</v>
      </c>
      <c r="R1304" s="545">
        <f>'Foglio deposito bis'!$F$69*IF(ABS(L1304)&lt;'Sollecitazioni nel paramento'!$G$58,ABS(L1304)*'Sollecitazioni nel paramento'!$G$54,'Sollecitazioni nel paramento'!$G$53)*IF(L1304&lt;0,-1,1)</f>
        <v>153664.85805602249</v>
      </c>
      <c r="S1304" s="545">
        <f>'Foglio deposito bis'!$F$70*IF(ABS(M1304)&lt;'Sollecitazioni nel paramento'!$G$58,ABS(M1304)*'Sollecitazioni nel paramento'!$G$54,'Sollecitazioni nel paramento'!$G$53)*IF(M1304&lt;0,-1,1)</f>
        <v>0</v>
      </c>
      <c r="T1304" s="545">
        <f>'Foglio deposito bis'!$F$71*IF(ABS(N1304)&lt;'Sollecitazioni nel paramento'!$G$58,ABS(N1304)*'Sollecitazioni nel paramento'!$G$54,'Sollecitazioni nel paramento'!$G$53)*IF(N1304&lt;0,-1,1)</f>
        <v>314705.62929873407</v>
      </c>
      <c r="U1304" s="545">
        <f>'Foglio deposito bis'!$F$72*IF(ABS(O1304)&lt;'Sollecitazioni nel paramento'!$G$58,ABS(O1304)*'Sollecitazioni nel paramento'!$G$54,'Sollecitazioni nel paramento'!$G$53)*IF(O1304&lt;0,-1,1)</f>
        <v>491727.54577927204</v>
      </c>
      <c r="V1304" s="472">
        <f t="shared" si="91"/>
        <v>125211.68596421659</v>
      </c>
      <c r="W1304" s="551"/>
      <c r="X1304" s="551"/>
    </row>
    <row r="1305" spans="1:24" x14ac:dyDescent="0.25">
      <c r="A1305" s="545">
        <f t="shared" si="90"/>
        <v>111061.069910491</v>
      </c>
      <c r="B1305" s="3">
        <f t="shared" si="92"/>
        <v>2.9999999999999973</v>
      </c>
      <c r="C1305" s="545">
        <f>'Foglio deposito bis'!$E$158/sezione!$B$247*B1305</f>
        <v>22.286189548351253</v>
      </c>
      <c r="D1305" s="603">
        <f>-'Sollecitazioni nel paramento'!$G$47*'Sollecitazioni nel paramento'!$G$41*IF(DATI!$G$211="dx",DATI!$E$61,DATI!$E$64*DATI!$E$63)*1000*C1305^2*sezione!$AD$5*(1-sezione!$AD$6)</f>
        <v>-11050330.438438473</v>
      </c>
      <c r="E1305" s="545">
        <f>-'Foglio deposito bis'!$F$68*(C1305-sezione!$AL$32)*IF(ABS(K1305)&lt;'Sollecitazioni nel paramento'!$G$58,ABS(K1305)*'Sollecitazioni nel paramento'!$G$54,'Sollecitazioni nel paramento'!$G$53)</f>
        <v>0</v>
      </c>
      <c r="F1305" s="545">
        <f>-'Foglio deposito bis'!$F$69*(C1305-sezione!$AM$32)*IF(ABS(L1305)&lt;'Sollecitazioni nel paramento'!$G$58,ABS(L1305)*'Sollecitazioni nel paramento'!$G$54,'Sollecitazioni nel paramento'!$G$53)</f>
        <v>5795287.3298043422</v>
      </c>
      <c r="G1305" s="545">
        <f>-'Foglio deposito bis'!$F$70*(C1305-sezione!$AN$32)*IF(ABS(M1305)&lt;'Sollecitazioni nel paramento'!$G$58,ABS(M1305)*'Sollecitazioni nel paramento'!$G$54,'Sollecitazioni nel paramento'!$G$53)</f>
        <v>0</v>
      </c>
      <c r="H1305" s="545">
        <f>-'Foglio deposito bis'!$F$71*(C1305-sezione!$AO$32)*IF(ABS(N1305)&lt;'Sollecitazioni nel paramento'!$G$58,ABS(N1305)*'Sollecitazioni nel paramento'!$G$54,'Sollecitazioni nel paramento'!$G$53)</f>
        <v>43339311.381312706</v>
      </c>
      <c r="I1305" s="472">
        <f>-'Foglio deposito bis'!$F$72*(C1305-sezione!$AP$32)*IF(ABS(O1305)&lt;'Sollecitazioni nel paramento'!$G$58,ABS(O1305)*'Sollecitazioni nel paramento'!$G$54,'Sollecitazioni nel paramento'!$G$53)</f>
        <v>239322294.95516714</v>
      </c>
      <c r="J1305" s="472">
        <f t="shared" si="89"/>
        <v>277406563.22784573</v>
      </c>
      <c r="K1305" s="550">
        <f>'Sollecitazioni nel paramento'!$G$60*(sezione!$AL$32-C1305)/C1305</f>
        <v>2.7819173145889938E-3</v>
      </c>
      <c r="L1305" s="550">
        <f>'Sollecitazioni nel paramento'!$G$60*(sezione!$AM$32-C1305)/C1305</f>
        <v>5.9228759718834905E-3</v>
      </c>
      <c r="M1305" s="551">
        <f>'Sollecitazioni nel paramento'!$G$60*(sezione!$AN$32-C1305)/C1305</f>
        <v>9.0638346291779873E-3</v>
      </c>
      <c r="N1305" s="551">
        <f>'Sollecitazioni nel paramento'!$G$60*(sezione!$AO$32-C1305)/C1305</f>
        <v>2.1627669258355974E-2</v>
      </c>
      <c r="O1305" s="551">
        <f>'Sollecitazioni nel paramento'!$G$60*(sezione!$AP$32-C1305)/C1305</f>
        <v>7.6434749352077697E-2</v>
      </c>
      <c r="P1305" s="545">
        <f>-'Sollecitazioni nel paramento'!$G$47*'Sollecitazioni nel paramento'!$G$41*IF(DATI!$G$211="dx",DATI!$E$61,DATI!$E$64*DATI!$E$63)*1000*C1305*sezione!$AD$5</f>
        <v>-849036.96322353755</v>
      </c>
      <c r="Q1305" s="545">
        <f>'Foglio deposito bis'!$F$68*IF(ABS(K1305)&lt;'Sollecitazioni nel paramento'!$G$58,ABS(K1305)*'Sollecitazioni nel paramento'!$G$54,'Sollecitazioni nel paramento'!$G$53)*IF(K1305&lt;0,-1,1)</f>
        <v>0</v>
      </c>
      <c r="R1305" s="545">
        <f>'Foglio deposito bis'!$F$69*IF(ABS(L1305)&lt;'Sollecitazioni nel paramento'!$G$58,ABS(L1305)*'Sollecitazioni nel paramento'!$G$54,'Sollecitazioni nel paramento'!$G$53)*IF(L1305&lt;0,-1,1)</f>
        <v>153664.85805602249</v>
      </c>
      <c r="S1305" s="545">
        <f>'Foglio deposito bis'!$F$70*IF(ABS(M1305)&lt;'Sollecitazioni nel paramento'!$G$58,ABS(M1305)*'Sollecitazioni nel paramento'!$G$54,'Sollecitazioni nel paramento'!$G$53)*IF(M1305&lt;0,-1,1)</f>
        <v>0</v>
      </c>
      <c r="T1305" s="545">
        <f>'Foglio deposito bis'!$F$71*IF(ABS(N1305)&lt;'Sollecitazioni nel paramento'!$G$58,ABS(N1305)*'Sollecitazioni nel paramento'!$G$54,'Sollecitazioni nel paramento'!$G$53)*IF(N1305&lt;0,-1,1)</f>
        <v>314705.62929873407</v>
      </c>
      <c r="U1305" s="545">
        <f>'Foglio deposito bis'!$F$72*IF(ABS(O1305)&lt;'Sollecitazioni nel paramento'!$G$58,ABS(O1305)*'Sollecitazioni nel paramento'!$G$54,'Sollecitazioni nel paramento'!$G$53)*IF(O1305&lt;0,-1,1)</f>
        <v>491727.54577927204</v>
      </c>
      <c r="V1305" s="472">
        <f t="shared" si="91"/>
        <v>111061.069910491</v>
      </c>
      <c r="W1305" s="551"/>
      <c r="X1305" s="551"/>
    </row>
    <row r="1306" spans="1:24" x14ac:dyDescent="0.25">
      <c r="A1306" s="545">
        <f t="shared" si="90"/>
        <v>96910.453856765409</v>
      </c>
      <c r="B1306" s="3">
        <f t="shared" si="92"/>
        <v>3.0499999999999972</v>
      </c>
      <c r="C1306" s="545">
        <f>'Foglio deposito bis'!$E$158/sezione!$B$247*B1306</f>
        <v>22.657626040823772</v>
      </c>
      <c r="D1306" s="603">
        <f>-'Sollecitazioni nel paramento'!$G$47*'Sollecitazioni nel paramento'!$G$41*IF(DATI!$G$211="dx",DATI!$E$61,DATI!$E$64*DATI!$E$63)*1000*C1306^2*sezione!$AD$5*(1-sezione!$AD$6)</f>
        <v>-11421744.322619321</v>
      </c>
      <c r="E1306" s="545">
        <f>-'Foglio deposito bis'!$F$68*(C1306-sezione!$AL$32)*IF(ABS(K1306)&lt;'Sollecitazioni nel paramento'!$G$58,ABS(K1306)*'Sollecitazioni nel paramento'!$G$54,'Sollecitazioni nel paramento'!$G$53)</f>
        <v>0</v>
      </c>
      <c r="F1306" s="545">
        <f>-'Foglio deposito bis'!$F$69*(C1306-sezione!$AM$32)*IF(ABS(L1306)&lt;'Sollecitazioni nel paramento'!$G$58,ABS(L1306)*'Sollecitazioni nel paramento'!$G$54,'Sollecitazioni nel paramento'!$G$53)</f>
        <v>5738210.593911726</v>
      </c>
      <c r="G1306" s="545">
        <f>-'Foglio deposito bis'!$F$70*(C1306-sezione!$AN$32)*IF(ABS(M1306)&lt;'Sollecitazioni nel paramento'!$G$58,ABS(M1306)*'Sollecitazioni nel paramento'!$G$54,'Sollecitazioni nel paramento'!$G$53)</f>
        <v>0</v>
      </c>
      <c r="H1306" s="545">
        <f>-'Foglio deposito bis'!$F$71*(C1306-sezione!$AO$32)*IF(ABS(N1306)&lt;'Sollecitazioni nel paramento'!$G$58,ABS(N1306)*'Sollecitazioni nel paramento'!$G$54,'Sollecitazioni nel paramento'!$G$53)</f>
        <v>43222418.226204626</v>
      </c>
      <c r="I1306" s="472">
        <f>-'Foglio deposito bis'!$F$72*(C1306-sezione!$AP$32)*IF(ABS(O1306)&lt;'Sollecitazioni nel paramento'!$G$58,ABS(O1306)*'Sollecitazioni nel paramento'!$G$54,'Sollecitazioni nel paramento'!$G$53)</f>
        <v>239139649.40031081</v>
      </c>
      <c r="J1306" s="472">
        <f t="shared" si="89"/>
        <v>276678533.89780784</v>
      </c>
      <c r="K1306" s="550">
        <f>'Sollecitazioni nel paramento'!$G$60*(sezione!$AL$32-C1306)/C1306</f>
        <v>2.6789350635301585E-3</v>
      </c>
      <c r="L1306" s="550">
        <f>'Sollecitazioni nel paramento'!$G$60*(sezione!$AM$32-C1306)/C1306</f>
        <v>5.7684025952952382E-3</v>
      </c>
      <c r="M1306" s="551">
        <f>'Sollecitazioni nel paramento'!$G$60*(sezione!$AN$32-C1306)/C1306</f>
        <v>8.8578701270603175E-3</v>
      </c>
      <c r="N1306" s="551">
        <f>'Sollecitazioni nel paramento'!$G$60*(sezione!$AO$32-C1306)/C1306</f>
        <v>2.1215740254120631E-2</v>
      </c>
      <c r="O1306" s="551">
        <f>'Sollecitazioni nel paramento'!$G$60*(sezione!$AP$32-C1306)/C1306</f>
        <v>7.5124343624994469E-2</v>
      </c>
      <c r="P1306" s="545">
        <f>-'Sollecitazioni nel paramento'!$G$47*'Sollecitazioni nel paramento'!$G$41*IF(DATI!$G$211="dx",DATI!$E$61,DATI!$E$64*DATI!$E$63)*1000*C1306*sezione!$AD$5</f>
        <v>-863187.57927726314</v>
      </c>
      <c r="Q1306" s="545">
        <f>'Foglio deposito bis'!$F$68*IF(ABS(K1306)&lt;'Sollecitazioni nel paramento'!$G$58,ABS(K1306)*'Sollecitazioni nel paramento'!$G$54,'Sollecitazioni nel paramento'!$G$53)*IF(K1306&lt;0,-1,1)</f>
        <v>0</v>
      </c>
      <c r="R1306" s="545">
        <f>'Foglio deposito bis'!$F$69*IF(ABS(L1306)&lt;'Sollecitazioni nel paramento'!$G$58,ABS(L1306)*'Sollecitazioni nel paramento'!$G$54,'Sollecitazioni nel paramento'!$G$53)*IF(L1306&lt;0,-1,1)</f>
        <v>153664.85805602249</v>
      </c>
      <c r="S1306" s="545">
        <f>'Foglio deposito bis'!$F$70*IF(ABS(M1306)&lt;'Sollecitazioni nel paramento'!$G$58,ABS(M1306)*'Sollecitazioni nel paramento'!$G$54,'Sollecitazioni nel paramento'!$G$53)*IF(M1306&lt;0,-1,1)</f>
        <v>0</v>
      </c>
      <c r="T1306" s="545">
        <f>'Foglio deposito bis'!$F$71*IF(ABS(N1306)&lt;'Sollecitazioni nel paramento'!$G$58,ABS(N1306)*'Sollecitazioni nel paramento'!$G$54,'Sollecitazioni nel paramento'!$G$53)*IF(N1306&lt;0,-1,1)</f>
        <v>314705.62929873407</v>
      </c>
      <c r="U1306" s="545">
        <f>'Foglio deposito bis'!$F$72*IF(ABS(O1306)&lt;'Sollecitazioni nel paramento'!$G$58,ABS(O1306)*'Sollecitazioni nel paramento'!$G$54,'Sollecitazioni nel paramento'!$G$53)*IF(O1306&lt;0,-1,1)</f>
        <v>491727.54577927204</v>
      </c>
      <c r="V1306" s="472">
        <f t="shared" si="91"/>
        <v>96910.453856765409</v>
      </c>
      <c r="W1306" s="551"/>
      <c r="X1306" s="551"/>
    </row>
    <row r="1307" spans="1:24" x14ac:dyDescent="0.25">
      <c r="A1307" s="545">
        <f t="shared" si="90"/>
        <v>82759.837803039816</v>
      </c>
      <c r="B1307" s="3">
        <f t="shared" si="92"/>
        <v>3.099999999999997</v>
      </c>
      <c r="C1307" s="545">
        <f>'Foglio deposito bis'!$E$158/sezione!$B$247*B1307</f>
        <v>23.029062533296294</v>
      </c>
      <c r="D1307" s="603">
        <f>-'Sollecitazioni nel paramento'!$G$47*'Sollecitazioni nel paramento'!$G$41*IF(DATI!$G$211="dx",DATI!$E$61,DATI!$E$64*DATI!$E$63)*1000*C1307^2*sezione!$AD$5*(1-sezione!$AD$6)</f>
        <v>-11799297.27926597</v>
      </c>
      <c r="E1307" s="545">
        <f>-'Foglio deposito bis'!$F$68*(C1307-sezione!$AL$32)*IF(ABS(K1307)&lt;'Sollecitazioni nel paramento'!$G$58,ABS(K1307)*'Sollecitazioni nel paramento'!$G$54,'Sollecitazioni nel paramento'!$G$53)</f>
        <v>0</v>
      </c>
      <c r="F1307" s="545">
        <f>-'Foglio deposito bis'!$F$69*(C1307-sezione!$AM$32)*IF(ABS(L1307)&lt;'Sollecitazioni nel paramento'!$G$58,ABS(L1307)*'Sollecitazioni nel paramento'!$G$54,'Sollecitazioni nel paramento'!$G$53)</f>
        <v>5681133.8580191089</v>
      </c>
      <c r="G1307" s="545">
        <f>-'Foglio deposito bis'!$F$70*(C1307-sezione!$AN$32)*IF(ABS(M1307)&lt;'Sollecitazioni nel paramento'!$G$58,ABS(M1307)*'Sollecitazioni nel paramento'!$G$54,'Sollecitazioni nel paramento'!$G$53)</f>
        <v>0</v>
      </c>
      <c r="H1307" s="545">
        <f>-'Foglio deposito bis'!$F$71*(C1307-sezione!$AO$32)*IF(ABS(N1307)&lt;'Sollecitazioni nel paramento'!$G$58,ABS(N1307)*'Sollecitazioni nel paramento'!$G$54,'Sollecitazioni nel paramento'!$G$53)</f>
        <v>43105525.071096547</v>
      </c>
      <c r="I1307" s="472">
        <f>-'Foglio deposito bis'!$F$72*(C1307-sezione!$AP$32)*IF(ABS(O1307)&lt;'Sollecitazioni nel paramento'!$G$58,ABS(O1307)*'Sollecitazioni nel paramento'!$G$54,'Sollecitazioni nel paramento'!$G$53)</f>
        <v>238957003.84545442</v>
      </c>
      <c r="J1307" s="472">
        <f t="shared" si="89"/>
        <v>275944365.49530411</v>
      </c>
      <c r="K1307" s="550">
        <f>'Sollecitazioni nel paramento'!$G$60*(sezione!$AL$32-C1307)/C1307</f>
        <v>2.5792748205699942E-3</v>
      </c>
      <c r="L1307" s="550">
        <f>'Sollecitazioni nel paramento'!$G$60*(sezione!$AM$32-C1307)/C1307</f>
        <v>5.6189122308549907E-3</v>
      </c>
      <c r="M1307" s="551">
        <f>'Sollecitazioni nel paramento'!$G$60*(sezione!$AN$32-C1307)/C1307</f>
        <v>8.6585496411399881E-3</v>
      </c>
      <c r="N1307" s="551">
        <f>'Sollecitazioni nel paramento'!$G$60*(sezione!$AO$32-C1307)/C1307</f>
        <v>2.0817099282279976E-2</v>
      </c>
      <c r="O1307" s="551">
        <f>'Sollecitazioni nel paramento'!$G$60*(sezione!$AP$32-C1307)/C1307</f>
        <v>7.3856209050397775E-2</v>
      </c>
      <c r="P1307" s="545">
        <f>-'Sollecitazioni nel paramento'!$G$47*'Sollecitazioni nel paramento'!$G$41*IF(DATI!$G$211="dx",DATI!$E$61,DATI!$E$64*DATI!$E$63)*1000*C1307*sezione!$AD$5</f>
        <v>-877338.19533098885</v>
      </c>
      <c r="Q1307" s="545">
        <f>'Foglio deposito bis'!$F$68*IF(ABS(K1307)&lt;'Sollecitazioni nel paramento'!$G$58,ABS(K1307)*'Sollecitazioni nel paramento'!$G$54,'Sollecitazioni nel paramento'!$G$53)*IF(K1307&lt;0,-1,1)</f>
        <v>0</v>
      </c>
      <c r="R1307" s="545">
        <f>'Foglio deposito bis'!$F$69*IF(ABS(L1307)&lt;'Sollecitazioni nel paramento'!$G$58,ABS(L1307)*'Sollecitazioni nel paramento'!$G$54,'Sollecitazioni nel paramento'!$G$53)*IF(L1307&lt;0,-1,1)</f>
        <v>153664.85805602249</v>
      </c>
      <c r="S1307" s="545">
        <f>'Foglio deposito bis'!$F$70*IF(ABS(M1307)&lt;'Sollecitazioni nel paramento'!$G$58,ABS(M1307)*'Sollecitazioni nel paramento'!$G$54,'Sollecitazioni nel paramento'!$G$53)*IF(M1307&lt;0,-1,1)</f>
        <v>0</v>
      </c>
      <c r="T1307" s="545">
        <f>'Foglio deposito bis'!$F$71*IF(ABS(N1307)&lt;'Sollecitazioni nel paramento'!$G$58,ABS(N1307)*'Sollecitazioni nel paramento'!$G$54,'Sollecitazioni nel paramento'!$G$53)*IF(N1307&lt;0,-1,1)</f>
        <v>314705.62929873407</v>
      </c>
      <c r="U1307" s="545">
        <f>'Foglio deposito bis'!$F$72*IF(ABS(O1307)&lt;'Sollecitazioni nel paramento'!$G$58,ABS(O1307)*'Sollecitazioni nel paramento'!$G$54,'Sollecitazioni nel paramento'!$G$53)*IF(O1307&lt;0,-1,1)</f>
        <v>491727.54577927204</v>
      </c>
      <c r="V1307" s="472">
        <f t="shared" si="91"/>
        <v>82759.837803039816</v>
      </c>
      <c r="W1307" s="551"/>
      <c r="X1307" s="551"/>
    </row>
    <row r="1308" spans="1:24" x14ac:dyDescent="0.25">
      <c r="A1308" s="545">
        <f t="shared" si="90"/>
        <v>68609.221749314223</v>
      </c>
      <c r="B1308" s="3">
        <f t="shared" si="92"/>
        <v>3.1499999999999968</v>
      </c>
      <c r="C1308" s="545">
        <f>'Foglio deposito bis'!$E$158/sezione!$B$247*B1308</f>
        <v>23.400499025768813</v>
      </c>
      <c r="D1308" s="603">
        <f>-'Sollecitazioni nel paramento'!$G$47*'Sollecitazioni nel paramento'!$G$41*IF(DATI!$G$211="dx",DATI!$E$61,DATI!$E$64*DATI!$E$63)*1000*C1308^2*sezione!$AD$5*(1-sezione!$AD$6)</f>
        <v>-12182989.308378413</v>
      </c>
      <c r="E1308" s="545">
        <f>-'Foglio deposito bis'!$F$68*(C1308-sezione!$AL$32)*IF(ABS(K1308)&lt;'Sollecitazioni nel paramento'!$G$58,ABS(K1308)*'Sollecitazioni nel paramento'!$G$54,'Sollecitazioni nel paramento'!$G$53)</f>
        <v>0</v>
      </c>
      <c r="F1308" s="545">
        <f>-'Foglio deposito bis'!$F$69*(C1308-sezione!$AM$32)*IF(ABS(L1308)&lt;'Sollecitazioni nel paramento'!$G$58,ABS(L1308)*'Sollecitazioni nel paramento'!$G$54,'Sollecitazioni nel paramento'!$G$53)</f>
        <v>5624057.1221264927</v>
      </c>
      <c r="G1308" s="545">
        <f>-'Foglio deposito bis'!$F$70*(C1308-sezione!$AN$32)*IF(ABS(M1308)&lt;'Sollecitazioni nel paramento'!$G$58,ABS(M1308)*'Sollecitazioni nel paramento'!$G$54,'Sollecitazioni nel paramento'!$G$53)</f>
        <v>0</v>
      </c>
      <c r="H1308" s="545">
        <f>-'Foglio deposito bis'!$F$71*(C1308-sezione!$AO$32)*IF(ABS(N1308)&lt;'Sollecitazioni nel paramento'!$G$58,ABS(N1308)*'Sollecitazioni nel paramento'!$G$54,'Sollecitazioni nel paramento'!$G$53)</f>
        <v>42988631.91598846</v>
      </c>
      <c r="I1308" s="472">
        <f>-'Foglio deposito bis'!$F$72*(C1308-sezione!$AP$32)*IF(ABS(O1308)&lt;'Sollecitazioni nel paramento'!$G$58,ABS(O1308)*'Sollecitazioni nel paramento'!$G$54,'Sollecitazioni nel paramento'!$G$53)</f>
        <v>238774358.29059803</v>
      </c>
      <c r="J1308" s="472">
        <f t="shared" si="89"/>
        <v>275204058.0203346</v>
      </c>
      <c r="K1308" s="550">
        <f>'Sollecitazioni nel paramento'!$G$60*(sezione!$AL$32-C1308)/C1308</f>
        <v>2.4827783948466612E-3</v>
      </c>
      <c r="L1308" s="550">
        <f>'Sollecitazioni nel paramento'!$G$60*(sezione!$AM$32-C1308)/C1308</f>
        <v>5.4741675922699929E-3</v>
      </c>
      <c r="M1308" s="551">
        <f>'Sollecitazioni nel paramento'!$G$60*(sezione!$AN$32-C1308)/C1308</f>
        <v>8.4655567896933237E-3</v>
      </c>
      <c r="N1308" s="551">
        <f>'Sollecitazioni nel paramento'!$G$60*(sezione!$AO$32-C1308)/C1308</f>
        <v>2.0431113579386644E-2</v>
      </c>
      <c r="O1308" s="551">
        <f>'Sollecitazioni nel paramento'!$G$60*(sezione!$AP$32-C1308)/C1308</f>
        <v>7.2628332716264482E-2</v>
      </c>
      <c r="P1308" s="545">
        <f>-'Sollecitazioni nel paramento'!$G$47*'Sollecitazioni nel paramento'!$G$41*IF(DATI!$G$211="dx",DATI!$E$61,DATI!$E$64*DATI!$E$63)*1000*C1308*sezione!$AD$5</f>
        <v>-891488.81138471432</v>
      </c>
      <c r="Q1308" s="545">
        <f>'Foglio deposito bis'!$F$68*IF(ABS(K1308)&lt;'Sollecitazioni nel paramento'!$G$58,ABS(K1308)*'Sollecitazioni nel paramento'!$G$54,'Sollecitazioni nel paramento'!$G$53)*IF(K1308&lt;0,-1,1)</f>
        <v>0</v>
      </c>
      <c r="R1308" s="545">
        <f>'Foglio deposito bis'!$F$69*IF(ABS(L1308)&lt;'Sollecitazioni nel paramento'!$G$58,ABS(L1308)*'Sollecitazioni nel paramento'!$G$54,'Sollecitazioni nel paramento'!$G$53)*IF(L1308&lt;0,-1,1)</f>
        <v>153664.85805602249</v>
      </c>
      <c r="S1308" s="545">
        <f>'Foglio deposito bis'!$F$70*IF(ABS(M1308)&lt;'Sollecitazioni nel paramento'!$G$58,ABS(M1308)*'Sollecitazioni nel paramento'!$G$54,'Sollecitazioni nel paramento'!$G$53)*IF(M1308&lt;0,-1,1)</f>
        <v>0</v>
      </c>
      <c r="T1308" s="545">
        <f>'Foglio deposito bis'!$F$71*IF(ABS(N1308)&lt;'Sollecitazioni nel paramento'!$G$58,ABS(N1308)*'Sollecitazioni nel paramento'!$G$54,'Sollecitazioni nel paramento'!$G$53)*IF(N1308&lt;0,-1,1)</f>
        <v>314705.62929873407</v>
      </c>
      <c r="U1308" s="545">
        <f>'Foglio deposito bis'!$F$72*IF(ABS(O1308)&lt;'Sollecitazioni nel paramento'!$G$58,ABS(O1308)*'Sollecitazioni nel paramento'!$G$54,'Sollecitazioni nel paramento'!$G$53)*IF(O1308&lt;0,-1,1)</f>
        <v>491727.54577927204</v>
      </c>
      <c r="V1308" s="472">
        <f t="shared" si="91"/>
        <v>68609.221749314223</v>
      </c>
      <c r="W1308" s="551"/>
      <c r="X1308" s="551"/>
    </row>
    <row r="1309" spans="1:24" x14ac:dyDescent="0.25">
      <c r="A1309" s="545">
        <f t="shared" si="90"/>
        <v>54458.605695588631</v>
      </c>
      <c r="B1309" s="3">
        <f t="shared" si="92"/>
        <v>3.1999999999999966</v>
      </c>
      <c r="C1309" s="545">
        <f>'Foglio deposito bis'!$E$158/sezione!$B$247*B1309</f>
        <v>23.771935518241332</v>
      </c>
      <c r="D1309" s="603">
        <f>-'Sollecitazioni nel paramento'!$G$47*'Sollecitazioni nel paramento'!$G$41*IF(DATI!$G$211="dx",DATI!$E$61,DATI!$E$64*DATI!$E$63)*1000*C1309^2*sezione!$AD$5*(1-sezione!$AD$6)</f>
        <v>-12572820.409956658</v>
      </c>
      <c r="E1309" s="545">
        <f>-'Foglio deposito bis'!$F$68*(C1309-sezione!$AL$32)*IF(ABS(K1309)&lt;'Sollecitazioni nel paramento'!$G$58,ABS(K1309)*'Sollecitazioni nel paramento'!$G$54,'Sollecitazioni nel paramento'!$G$53)</f>
        <v>0</v>
      </c>
      <c r="F1309" s="545">
        <f>-'Foglio deposito bis'!$F$69*(C1309-sezione!$AM$32)*IF(ABS(L1309)&lt;'Sollecitazioni nel paramento'!$G$58,ABS(L1309)*'Sollecitazioni nel paramento'!$G$54,'Sollecitazioni nel paramento'!$G$53)</f>
        <v>5566980.3862338755</v>
      </c>
      <c r="G1309" s="545">
        <f>-'Foglio deposito bis'!$F$70*(C1309-sezione!$AN$32)*IF(ABS(M1309)&lt;'Sollecitazioni nel paramento'!$G$58,ABS(M1309)*'Sollecitazioni nel paramento'!$G$54,'Sollecitazioni nel paramento'!$G$53)</f>
        <v>0</v>
      </c>
      <c r="H1309" s="545">
        <f>-'Foglio deposito bis'!$F$71*(C1309-sezione!$AO$32)*IF(ABS(N1309)&lt;'Sollecitazioni nel paramento'!$G$58,ABS(N1309)*'Sollecitazioni nel paramento'!$G$54,'Sollecitazioni nel paramento'!$G$53)</f>
        <v>42871738.760880396</v>
      </c>
      <c r="I1309" s="472">
        <f>-'Foglio deposito bis'!$F$72*(C1309-sezione!$AP$32)*IF(ABS(O1309)&lt;'Sollecitazioni nel paramento'!$G$58,ABS(O1309)*'Sollecitazioni nel paramento'!$G$54,'Sollecitazioni nel paramento'!$G$53)</f>
        <v>238591712.73574165</v>
      </c>
      <c r="J1309" s="472">
        <f t="shared" ref="J1309:J1372" si="93">D1309+E1309+F1309+G1309+H1309+I1309</f>
        <v>274457611.47289926</v>
      </c>
      <c r="K1309" s="550">
        <f>'Sollecitazioni nel paramento'!$G$60*(sezione!$AL$32-C1309)/C1309</f>
        <v>2.3892974824271827E-3</v>
      </c>
      <c r="L1309" s="550">
        <f>'Sollecitazioni nel paramento'!$G$60*(sezione!$AM$32-C1309)/C1309</f>
        <v>5.3339462236407743E-3</v>
      </c>
      <c r="M1309" s="551">
        <f>'Sollecitazioni nel paramento'!$G$60*(sezione!$AN$32-C1309)/C1309</f>
        <v>8.278594964854365E-3</v>
      </c>
      <c r="N1309" s="551">
        <f>'Sollecitazioni nel paramento'!$G$60*(sezione!$AO$32-C1309)/C1309</f>
        <v>2.0057189929708733E-2</v>
      </c>
      <c r="O1309" s="551">
        <f>'Sollecitazioni nel paramento'!$G$60*(sezione!$AP$32-C1309)/C1309</f>
        <v>7.1438827517572856E-2</v>
      </c>
      <c r="P1309" s="545">
        <f>-'Sollecitazioni nel paramento'!$G$47*'Sollecitazioni nel paramento'!$G$41*IF(DATI!$G$211="dx",DATI!$E$61,DATI!$E$64*DATI!$E$63)*1000*C1309*sezione!$AD$5</f>
        <v>-905639.42743843992</v>
      </c>
      <c r="Q1309" s="545">
        <f>'Foglio deposito bis'!$F$68*IF(ABS(K1309)&lt;'Sollecitazioni nel paramento'!$G$58,ABS(K1309)*'Sollecitazioni nel paramento'!$G$54,'Sollecitazioni nel paramento'!$G$53)*IF(K1309&lt;0,-1,1)</f>
        <v>0</v>
      </c>
      <c r="R1309" s="545">
        <f>'Foglio deposito bis'!$F$69*IF(ABS(L1309)&lt;'Sollecitazioni nel paramento'!$G$58,ABS(L1309)*'Sollecitazioni nel paramento'!$G$54,'Sollecitazioni nel paramento'!$G$53)*IF(L1309&lt;0,-1,1)</f>
        <v>153664.85805602249</v>
      </c>
      <c r="S1309" s="545">
        <f>'Foglio deposito bis'!$F$70*IF(ABS(M1309)&lt;'Sollecitazioni nel paramento'!$G$58,ABS(M1309)*'Sollecitazioni nel paramento'!$G$54,'Sollecitazioni nel paramento'!$G$53)*IF(M1309&lt;0,-1,1)</f>
        <v>0</v>
      </c>
      <c r="T1309" s="545">
        <f>'Foglio deposito bis'!$F$71*IF(ABS(N1309)&lt;'Sollecitazioni nel paramento'!$G$58,ABS(N1309)*'Sollecitazioni nel paramento'!$G$54,'Sollecitazioni nel paramento'!$G$53)*IF(N1309&lt;0,-1,1)</f>
        <v>314705.62929873407</v>
      </c>
      <c r="U1309" s="545">
        <f>'Foglio deposito bis'!$F$72*IF(ABS(O1309)&lt;'Sollecitazioni nel paramento'!$G$58,ABS(O1309)*'Sollecitazioni nel paramento'!$G$54,'Sollecitazioni nel paramento'!$G$53)*IF(O1309&lt;0,-1,1)</f>
        <v>491727.54577927204</v>
      </c>
      <c r="V1309" s="472">
        <f t="shared" si="91"/>
        <v>54458.605695588631</v>
      </c>
      <c r="W1309" s="551"/>
      <c r="X1309" s="551"/>
    </row>
    <row r="1310" spans="1:24" x14ac:dyDescent="0.25">
      <c r="A1310" s="545">
        <f t="shared" ref="A1310:A1373" si="94">ABS(V1310)</f>
        <v>40307.989641863038</v>
      </c>
      <c r="B1310" s="3">
        <f t="shared" si="92"/>
        <v>3.2499999999999964</v>
      </c>
      <c r="C1310" s="545">
        <f>'Foglio deposito bis'!$E$158/sezione!$B$247*B1310</f>
        <v>24.143372010713854</v>
      </c>
      <c r="D1310" s="603">
        <f>-'Sollecitazioni nel paramento'!$G$47*'Sollecitazioni nel paramento'!$G$41*IF(DATI!$G$211="dx",DATI!$E$61,DATI!$E$64*DATI!$E$63)*1000*C1310^2*sezione!$AD$5*(1-sezione!$AD$6)</f>
        <v>-12968790.584000703</v>
      </c>
      <c r="E1310" s="545">
        <f>-'Foglio deposito bis'!$F$68*(C1310-sezione!$AL$32)*IF(ABS(K1310)&lt;'Sollecitazioni nel paramento'!$G$58,ABS(K1310)*'Sollecitazioni nel paramento'!$G$54,'Sollecitazioni nel paramento'!$G$53)</f>
        <v>0</v>
      </c>
      <c r="F1310" s="545">
        <f>-'Foglio deposito bis'!$F$69*(C1310-sezione!$AM$32)*IF(ABS(L1310)&lt;'Sollecitazioni nel paramento'!$G$58,ABS(L1310)*'Sollecitazioni nel paramento'!$G$54,'Sollecitazioni nel paramento'!$G$53)</f>
        <v>5509903.6503412584</v>
      </c>
      <c r="G1310" s="545">
        <f>-'Foglio deposito bis'!$F$70*(C1310-sezione!$AN$32)*IF(ABS(M1310)&lt;'Sollecitazioni nel paramento'!$G$58,ABS(M1310)*'Sollecitazioni nel paramento'!$G$54,'Sollecitazioni nel paramento'!$G$53)</f>
        <v>0</v>
      </c>
      <c r="H1310" s="545">
        <f>-'Foglio deposito bis'!$F$71*(C1310-sezione!$AO$32)*IF(ABS(N1310)&lt;'Sollecitazioni nel paramento'!$G$58,ABS(N1310)*'Sollecitazioni nel paramento'!$G$54,'Sollecitazioni nel paramento'!$G$53)</f>
        <v>42754845.605772309</v>
      </c>
      <c r="I1310" s="472">
        <f>-'Foglio deposito bis'!$F$72*(C1310-sezione!$AP$32)*IF(ABS(O1310)&lt;'Sollecitazioni nel paramento'!$G$58,ABS(O1310)*'Sollecitazioni nel paramento'!$G$54,'Sollecitazioni nel paramento'!$G$53)</f>
        <v>238409067.18088526</v>
      </c>
      <c r="J1310" s="472">
        <f t="shared" si="93"/>
        <v>273705025.85299814</v>
      </c>
      <c r="K1310" s="550">
        <f>'Sollecitazioni nel paramento'!$G$60*(sezione!$AL$32-C1310)/C1310</f>
        <v>2.2986929057744565E-3</v>
      </c>
      <c r="L1310" s="550">
        <f>'Sollecitazioni nel paramento'!$G$60*(sezione!$AM$32-C1310)/C1310</f>
        <v>5.1980393586616843E-3</v>
      </c>
      <c r="M1310" s="551">
        <f>'Sollecitazioni nel paramento'!$G$60*(sezione!$AN$32-C1310)/C1310</f>
        <v>8.0973858115489135E-3</v>
      </c>
      <c r="N1310" s="551">
        <f>'Sollecitazioni nel paramento'!$G$60*(sezione!$AO$32-C1310)/C1310</f>
        <v>1.9694771623097827E-2</v>
      </c>
      <c r="O1310" s="551">
        <f>'Sollecitazioni nel paramento'!$G$60*(sezione!$AP$32-C1310)/C1310</f>
        <v>7.0285922478840954E-2</v>
      </c>
      <c r="P1310" s="545">
        <f>-'Sollecitazioni nel paramento'!$G$47*'Sollecitazioni nel paramento'!$G$41*IF(DATI!$G$211="dx",DATI!$E$61,DATI!$E$64*DATI!$E$63)*1000*C1310*sezione!$AD$5</f>
        <v>-919790.04349216551</v>
      </c>
      <c r="Q1310" s="545">
        <f>'Foglio deposito bis'!$F$68*IF(ABS(K1310)&lt;'Sollecitazioni nel paramento'!$G$58,ABS(K1310)*'Sollecitazioni nel paramento'!$G$54,'Sollecitazioni nel paramento'!$G$53)*IF(K1310&lt;0,-1,1)</f>
        <v>0</v>
      </c>
      <c r="R1310" s="545">
        <f>'Foglio deposito bis'!$F$69*IF(ABS(L1310)&lt;'Sollecitazioni nel paramento'!$G$58,ABS(L1310)*'Sollecitazioni nel paramento'!$G$54,'Sollecitazioni nel paramento'!$G$53)*IF(L1310&lt;0,-1,1)</f>
        <v>153664.85805602249</v>
      </c>
      <c r="S1310" s="545">
        <f>'Foglio deposito bis'!$F$70*IF(ABS(M1310)&lt;'Sollecitazioni nel paramento'!$G$58,ABS(M1310)*'Sollecitazioni nel paramento'!$G$54,'Sollecitazioni nel paramento'!$G$53)*IF(M1310&lt;0,-1,1)</f>
        <v>0</v>
      </c>
      <c r="T1310" s="545">
        <f>'Foglio deposito bis'!$F$71*IF(ABS(N1310)&lt;'Sollecitazioni nel paramento'!$G$58,ABS(N1310)*'Sollecitazioni nel paramento'!$G$54,'Sollecitazioni nel paramento'!$G$53)*IF(N1310&lt;0,-1,1)</f>
        <v>314705.62929873407</v>
      </c>
      <c r="U1310" s="545">
        <f>'Foglio deposito bis'!$F$72*IF(ABS(O1310)&lt;'Sollecitazioni nel paramento'!$G$58,ABS(O1310)*'Sollecitazioni nel paramento'!$G$54,'Sollecitazioni nel paramento'!$G$53)*IF(O1310&lt;0,-1,1)</f>
        <v>491727.54577927204</v>
      </c>
      <c r="V1310" s="472">
        <f t="shared" ref="V1310:V1373" si="95">P1310+Q1310+R1310+S1310+T1310+U1310</f>
        <v>40307.989641863038</v>
      </c>
      <c r="W1310" s="551"/>
      <c r="X1310" s="551"/>
    </row>
    <row r="1311" spans="1:24" x14ac:dyDescent="0.25">
      <c r="A1311" s="545">
        <f t="shared" si="94"/>
        <v>26157.373588137678</v>
      </c>
      <c r="B1311" s="3">
        <f t="shared" ref="B1311:B1347" si="96">B1310+0.05</f>
        <v>3.2999999999999963</v>
      </c>
      <c r="C1311" s="545">
        <f>'Foglio deposito bis'!$E$158/sezione!$B$247*B1311</f>
        <v>24.514808503186373</v>
      </c>
      <c r="D1311" s="603">
        <f>-'Sollecitazioni nel paramento'!$G$47*'Sollecitazioni nel paramento'!$G$41*IF(DATI!$G$211="dx",DATI!$E$61,DATI!$E$64*DATI!$E$63)*1000*C1311^2*sezione!$AD$5*(1-sezione!$AD$6)</f>
        <v>-13370899.830510546</v>
      </c>
      <c r="E1311" s="545">
        <f>-'Foglio deposito bis'!$F$68*(C1311-sezione!$AL$32)*IF(ABS(K1311)&lt;'Sollecitazioni nel paramento'!$G$58,ABS(K1311)*'Sollecitazioni nel paramento'!$G$54,'Sollecitazioni nel paramento'!$G$53)</f>
        <v>0</v>
      </c>
      <c r="F1311" s="545">
        <f>-'Foglio deposito bis'!$F$69*(C1311-sezione!$AM$32)*IF(ABS(L1311)&lt;'Sollecitazioni nel paramento'!$G$58,ABS(L1311)*'Sollecitazioni nel paramento'!$G$54,'Sollecitazioni nel paramento'!$G$53)</f>
        <v>5452826.9144486422</v>
      </c>
      <c r="G1311" s="545">
        <f>-'Foglio deposito bis'!$F$70*(C1311-sezione!$AN$32)*IF(ABS(M1311)&lt;'Sollecitazioni nel paramento'!$G$58,ABS(M1311)*'Sollecitazioni nel paramento'!$G$54,'Sollecitazioni nel paramento'!$G$53)</f>
        <v>0</v>
      </c>
      <c r="H1311" s="545">
        <f>-'Foglio deposito bis'!$F$71*(C1311-sezione!$AO$32)*IF(ABS(N1311)&lt;'Sollecitazioni nel paramento'!$G$58,ABS(N1311)*'Sollecitazioni nel paramento'!$G$54,'Sollecitazioni nel paramento'!$G$53)</f>
        <v>42637952.45066423</v>
      </c>
      <c r="I1311" s="472">
        <f>-'Foglio deposito bis'!$F$72*(C1311-sezione!$AP$32)*IF(ABS(O1311)&lt;'Sollecitazioni nel paramento'!$G$58,ABS(O1311)*'Sollecitazioni nel paramento'!$G$54,'Sollecitazioni nel paramento'!$G$53)</f>
        <v>238226421.62602893</v>
      </c>
      <c r="J1311" s="472">
        <f t="shared" si="93"/>
        <v>272946301.16063124</v>
      </c>
      <c r="K1311" s="550">
        <f>'Sollecitazioni nel paramento'!$G$60*(sezione!$AL$32-C1311)/C1311</f>
        <v>2.210833922353632E-3</v>
      </c>
      <c r="L1311" s="550">
        <f>'Sollecitazioni nel paramento'!$G$60*(sezione!$AM$32-C1311)/C1311</f>
        <v>5.066250883530448E-3</v>
      </c>
      <c r="M1311" s="551">
        <f>'Sollecitazioni nel paramento'!$G$60*(sezione!$AN$32-C1311)/C1311</f>
        <v>7.9216678447072645E-3</v>
      </c>
      <c r="N1311" s="551">
        <f>'Sollecitazioni nel paramento'!$G$60*(sezione!$AO$32-C1311)/C1311</f>
        <v>1.9343335689414529E-2</v>
      </c>
      <c r="O1311" s="551">
        <f>'Sollecitazioni nel paramento'!$G$60*(sezione!$AP$32-C1311)/C1311</f>
        <v>6.9167953956434283E-2</v>
      </c>
      <c r="P1311" s="545">
        <f>-'Sollecitazioni nel paramento'!$G$47*'Sollecitazioni nel paramento'!$G$41*IF(DATI!$G$211="dx",DATI!$E$61,DATI!$E$64*DATI!$E$63)*1000*C1311*sezione!$AD$5</f>
        <v>-933940.65954589099</v>
      </c>
      <c r="Q1311" s="545">
        <f>'Foglio deposito bis'!$F$68*IF(ABS(K1311)&lt;'Sollecitazioni nel paramento'!$G$58,ABS(K1311)*'Sollecitazioni nel paramento'!$G$54,'Sollecitazioni nel paramento'!$G$53)*IF(K1311&lt;0,-1,1)</f>
        <v>0</v>
      </c>
      <c r="R1311" s="545">
        <f>'Foglio deposito bis'!$F$69*IF(ABS(L1311)&lt;'Sollecitazioni nel paramento'!$G$58,ABS(L1311)*'Sollecitazioni nel paramento'!$G$54,'Sollecitazioni nel paramento'!$G$53)*IF(L1311&lt;0,-1,1)</f>
        <v>153664.85805602249</v>
      </c>
      <c r="S1311" s="545">
        <f>'Foglio deposito bis'!$F$70*IF(ABS(M1311)&lt;'Sollecitazioni nel paramento'!$G$58,ABS(M1311)*'Sollecitazioni nel paramento'!$G$54,'Sollecitazioni nel paramento'!$G$53)*IF(M1311&lt;0,-1,1)</f>
        <v>0</v>
      </c>
      <c r="T1311" s="545">
        <f>'Foglio deposito bis'!$F$71*IF(ABS(N1311)&lt;'Sollecitazioni nel paramento'!$G$58,ABS(N1311)*'Sollecitazioni nel paramento'!$G$54,'Sollecitazioni nel paramento'!$G$53)*IF(N1311&lt;0,-1,1)</f>
        <v>314705.62929873407</v>
      </c>
      <c r="U1311" s="545">
        <f>'Foglio deposito bis'!$F$72*IF(ABS(O1311)&lt;'Sollecitazioni nel paramento'!$G$58,ABS(O1311)*'Sollecitazioni nel paramento'!$G$54,'Sollecitazioni nel paramento'!$G$53)*IF(O1311&lt;0,-1,1)</f>
        <v>491727.54577927204</v>
      </c>
      <c r="V1311" s="472">
        <f t="shared" si="95"/>
        <v>26157.373588137678</v>
      </c>
      <c r="W1311" s="551"/>
      <c r="X1311" s="551"/>
    </row>
    <row r="1312" spans="1:24" x14ac:dyDescent="0.25">
      <c r="A1312" s="545">
        <f t="shared" si="94"/>
        <v>12006.757534412085</v>
      </c>
      <c r="B1312" s="3">
        <f t="shared" si="96"/>
        <v>3.3499999999999961</v>
      </c>
      <c r="C1312" s="545">
        <f>'Foglio deposito bis'!$E$158/sezione!$B$247*B1312</f>
        <v>24.886244995658892</v>
      </c>
      <c r="D1312" s="603">
        <f>-'Sollecitazioni nel paramento'!$G$47*'Sollecitazioni nel paramento'!$G$41*IF(DATI!$G$211="dx",DATI!$E$61,DATI!$E$64*DATI!$E$63)*1000*C1312^2*sezione!$AD$5*(1-sezione!$AD$6)</f>
        <v>-13779148.149486188</v>
      </c>
      <c r="E1312" s="545">
        <f>-'Foglio deposito bis'!$F$68*(C1312-sezione!$AL$32)*IF(ABS(K1312)&lt;'Sollecitazioni nel paramento'!$G$58,ABS(K1312)*'Sollecitazioni nel paramento'!$G$54,'Sollecitazioni nel paramento'!$G$53)</f>
        <v>0</v>
      </c>
      <c r="F1312" s="545">
        <f>-'Foglio deposito bis'!$F$69*(C1312-sezione!$AM$32)*IF(ABS(L1312)&lt;'Sollecitazioni nel paramento'!$G$58,ABS(L1312)*'Sollecitazioni nel paramento'!$G$54,'Sollecitazioni nel paramento'!$G$53)</f>
        <v>5395750.178556026</v>
      </c>
      <c r="G1312" s="545">
        <f>-'Foglio deposito bis'!$F$70*(C1312-sezione!$AN$32)*IF(ABS(M1312)&lt;'Sollecitazioni nel paramento'!$G$58,ABS(M1312)*'Sollecitazioni nel paramento'!$G$54,'Sollecitazioni nel paramento'!$G$53)</f>
        <v>0</v>
      </c>
      <c r="H1312" s="545">
        <f>-'Foglio deposito bis'!$F$71*(C1312-sezione!$AO$32)*IF(ABS(N1312)&lt;'Sollecitazioni nel paramento'!$G$58,ABS(N1312)*'Sollecitazioni nel paramento'!$G$54,'Sollecitazioni nel paramento'!$G$53)</f>
        <v>42521059.29555615</v>
      </c>
      <c r="I1312" s="472">
        <f>-'Foglio deposito bis'!$F$72*(C1312-sezione!$AP$32)*IF(ABS(O1312)&lt;'Sollecitazioni nel paramento'!$G$58,ABS(O1312)*'Sollecitazioni nel paramento'!$G$54,'Sollecitazioni nel paramento'!$G$53)</f>
        <v>238043776.07117254</v>
      </c>
      <c r="J1312" s="472">
        <f t="shared" si="93"/>
        <v>272181437.3957985</v>
      </c>
      <c r="K1312" s="550">
        <f>'Sollecitazioni nel paramento'!$G$60*(sezione!$AL$32-C1312)/C1312</f>
        <v>2.1255975951543246E-3</v>
      </c>
      <c r="L1312" s="550">
        <f>'Sollecitazioni nel paramento'!$G$60*(sezione!$AM$32-C1312)/C1312</f>
        <v>4.9383963927314865E-3</v>
      </c>
      <c r="M1312" s="551">
        <f>'Sollecitazioni nel paramento'!$G$60*(sezione!$AN$32-C1312)/C1312</f>
        <v>7.7511951903086488E-3</v>
      </c>
      <c r="N1312" s="551">
        <f>'Sollecitazioni nel paramento'!$G$60*(sezione!$AO$32-C1312)/C1312</f>
        <v>1.9002390380617296E-2</v>
      </c>
      <c r="O1312" s="551">
        <f>'Sollecitazioni nel paramento'!$G$60*(sezione!$AP$32-C1312)/C1312</f>
        <v>6.8083357628726318E-2</v>
      </c>
      <c r="P1312" s="545">
        <f>-'Sollecitazioni nel paramento'!$G$47*'Sollecitazioni nel paramento'!$G$41*IF(DATI!$G$211="dx",DATI!$E$61,DATI!$E$64*DATI!$E$63)*1000*C1312*sezione!$AD$5</f>
        <v>-948091.27559961658</v>
      </c>
      <c r="Q1312" s="545">
        <f>'Foglio deposito bis'!$F$68*IF(ABS(K1312)&lt;'Sollecitazioni nel paramento'!$G$58,ABS(K1312)*'Sollecitazioni nel paramento'!$G$54,'Sollecitazioni nel paramento'!$G$53)*IF(K1312&lt;0,-1,1)</f>
        <v>0</v>
      </c>
      <c r="R1312" s="545">
        <f>'Foglio deposito bis'!$F$69*IF(ABS(L1312)&lt;'Sollecitazioni nel paramento'!$G$58,ABS(L1312)*'Sollecitazioni nel paramento'!$G$54,'Sollecitazioni nel paramento'!$G$53)*IF(L1312&lt;0,-1,1)</f>
        <v>153664.85805602249</v>
      </c>
      <c r="S1312" s="545">
        <f>'Foglio deposito bis'!$F$70*IF(ABS(M1312)&lt;'Sollecitazioni nel paramento'!$G$58,ABS(M1312)*'Sollecitazioni nel paramento'!$G$54,'Sollecitazioni nel paramento'!$G$53)*IF(M1312&lt;0,-1,1)</f>
        <v>0</v>
      </c>
      <c r="T1312" s="545">
        <f>'Foglio deposito bis'!$F$71*IF(ABS(N1312)&lt;'Sollecitazioni nel paramento'!$G$58,ABS(N1312)*'Sollecitazioni nel paramento'!$G$54,'Sollecitazioni nel paramento'!$G$53)*IF(N1312&lt;0,-1,1)</f>
        <v>314705.62929873407</v>
      </c>
      <c r="U1312" s="545">
        <f>'Foglio deposito bis'!$F$72*IF(ABS(O1312)&lt;'Sollecitazioni nel paramento'!$G$58,ABS(O1312)*'Sollecitazioni nel paramento'!$G$54,'Sollecitazioni nel paramento'!$G$53)*IF(O1312&lt;0,-1,1)</f>
        <v>491727.54577927204</v>
      </c>
      <c r="V1312" s="472">
        <f t="shared" si="95"/>
        <v>12006.757534412085</v>
      </c>
      <c r="W1312" s="551"/>
      <c r="X1312" s="551"/>
    </row>
    <row r="1313" spans="1:24" x14ac:dyDescent="0.25">
      <c r="A1313" s="545">
        <f t="shared" si="94"/>
        <v>2143.8585193137405</v>
      </c>
      <c r="B1313" s="3">
        <f t="shared" si="96"/>
        <v>3.3999999999999959</v>
      </c>
      <c r="C1313" s="545">
        <f>'Foglio deposito bis'!$E$158/sezione!$B$247*B1313</f>
        <v>25.257681488131414</v>
      </c>
      <c r="D1313" s="603">
        <f>-'Sollecitazioni nel paramento'!$G$47*'Sollecitazioni nel paramento'!$G$41*IF(DATI!$G$211="dx",DATI!$E$61,DATI!$E$64*DATI!$E$63)*1000*C1313^2*sezione!$AD$5*(1-sezione!$AD$6)</f>
        <v>-14193535.540927634</v>
      </c>
      <c r="E1313" s="545">
        <f>-'Foglio deposito bis'!$F$68*(C1313-sezione!$AL$32)*IF(ABS(K1313)&lt;'Sollecitazioni nel paramento'!$G$58,ABS(K1313)*'Sollecitazioni nel paramento'!$G$54,'Sollecitazioni nel paramento'!$G$53)</f>
        <v>0</v>
      </c>
      <c r="F1313" s="545">
        <f>-'Foglio deposito bis'!$F$69*(C1313-sezione!$AM$32)*IF(ABS(L1313)&lt;'Sollecitazioni nel paramento'!$G$58,ABS(L1313)*'Sollecitazioni nel paramento'!$G$54,'Sollecitazioni nel paramento'!$G$53)</f>
        <v>5338673.4426634088</v>
      </c>
      <c r="G1313" s="545">
        <f>-'Foglio deposito bis'!$F$70*(C1313-sezione!$AN$32)*IF(ABS(M1313)&lt;'Sollecitazioni nel paramento'!$G$58,ABS(M1313)*'Sollecitazioni nel paramento'!$G$54,'Sollecitazioni nel paramento'!$G$53)</f>
        <v>0</v>
      </c>
      <c r="H1313" s="545">
        <f>-'Foglio deposito bis'!$F$71*(C1313-sezione!$AO$32)*IF(ABS(N1313)&lt;'Sollecitazioni nel paramento'!$G$58,ABS(N1313)*'Sollecitazioni nel paramento'!$G$54,'Sollecitazioni nel paramento'!$G$53)</f>
        <v>42404166.140448071</v>
      </c>
      <c r="I1313" s="472">
        <f>-'Foglio deposito bis'!$F$72*(C1313-sezione!$AP$32)*IF(ABS(O1313)&lt;'Sollecitazioni nel paramento'!$G$58,ABS(O1313)*'Sollecitazioni nel paramento'!$G$54,'Sollecitazioni nel paramento'!$G$53)</f>
        <v>237861130.51631615</v>
      </c>
      <c r="J1313" s="472">
        <f t="shared" si="93"/>
        <v>271410434.55849999</v>
      </c>
      <c r="K1313" s="550">
        <f>'Sollecitazioni nel paramento'!$G$60*(sezione!$AL$32-C1313)/C1313</f>
        <v>2.0428682187549957E-3</v>
      </c>
      <c r="L1313" s="550">
        <f>'Sollecitazioni nel paramento'!$G$60*(sezione!$AM$32-C1313)/C1313</f>
        <v>4.8143023281324937E-3</v>
      </c>
      <c r="M1313" s="551">
        <f>'Sollecitazioni nel paramento'!$G$60*(sezione!$AN$32-C1313)/C1313</f>
        <v>7.5857364375099918E-3</v>
      </c>
      <c r="N1313" s="551">
        <f>'Sollecitazioni nel paramento'!$G$60*(sezione!$AO$32-C1313)/C1313</f>
        <v>1.8671472875019982E-2</v>
      </c>
      <c r="O1313" s="551">
        <f>'Sollecitazioni nel paramento'!$G$60*(sezione!$AP$32-C1313)/C1313</f>
        <v>6.7030661193009752E-2</v>
      </c>
      <c r="P1313" s="545">
        <f>-'Sollecitazioni nel paramento'!$G$47*'Sollecitazioni nel paramento'!$G$41*IF(DATI!$G$211="dx",DATI!$E$61,DATI!$E$64*DATI!$E$63)*1000*C1313*sezione!$AD$5</f>
        <v>-962241.89165334229</v>
      </c>
      <c r="Q1313" s="545">
        <f>'Foglio deposito bis'!$F$68*IF(ABS(K1313)&lt;'Sollecitazioni nel paramento'!$G$58,ABS(K1313)*'Sollecitazioni nel paramento'!$G$54,'Sollecitazioni nel paramento'!$G$53)*IF(K1313&lt;0,-1,1)</f>
        <v>0</v>
      </c>
      <c r="R1313" s="545">
        <f>'Foglio deposito bis'!$F$69*IF(ABS(L1313)&lt;'Sollecitazioni nel paramento'!$G$58,ABS(L1313)*'Sollecitazioni nel paramento'!$G$54,'Sollecitazioni nel paramento'!$G$53)*IF(L1313&lt;0,-1,1)</f>
        <v>153664.85805602249</v>
      </c>
      <c r="S1313" s="545">
        <f>'Foglio deposito bis'!$F$70*IF(ABS(M1313)&lt;'Sollecitazioni nel paramento'!$G$58,ABS(M1313)*'Sollecitazioni nel paramento'!$G$54,'Sollecitazioni nel paramento'!$G$53)*IF(M1313&lt;0,-1,1)</f>
        <v>0</v>
      </c>
      <c r="T1313" s="545">
        <f>'Foglio deposito bis'!$F$71*IF(ABS(N1313)&lt;'Sollecitazioni nel paramento'!$G$58,ABS(N1313)*'Sollecitazioni nel paramento'!$G$54,'Sollecitazioni nel paramento'!$G$53)*IF(N1313&lt;0,-1,1)</f>
        <v>314705.62929873407</v>
      </c>
      <c r="U1313" s="545">
        <f>'Foglio deposito bis'!$F$72*IF(ABS(O1313)&lt;'Sollecitazioni nel paramento'!$G$58,ABS(O1313)*'Sollecitazioni nel paramento'!$G$54,'Sollecitazioni nel paramento'!$G$53)*IF(O1313&lt;0,-1,1)</f>
        <v>491727.54577927204</v>
      </c>
      <c r="V1313" s="472">
        <f t="shared" si="95"/>
        <v>-2143.8585193137405</v>
      </c>
      <c r="W1313" s="551"/>
      <c r="X1313" s="551"/>
    </row>
    <row r="1314" spans="1:24" x14ac:dyDescent="0.25">
      <c r="A1314" s="545">
        <f t="shared" si="94"/>
        <v>16294.474573039333</v>
      </c>
      <c r="B1314" s="3">
        <f t="shared" si="96"/>
        <v>3.4499999999999957</v>
      </c>
      <c r="C1314" s="545">
        <f>'Foglio deposito bis'!$E$158/sezione!$B$247*B1314</f>
        <v>25.629117980603933</v>
      </c>
      <c r="D1314" s="603">
        <f>-'Sollecitazioni nel paramento'!$G$47*'Sollecitazioni nel paramento'!$G$41*IF(DATI!$G$211="dx",DATI!$E$61,DATI!$E$64*DATI!$E$63)*1000*C1314^2*sezione!$AD$5*(1-sezione!$AD$6)</f>
        <v>-14614062.004834874</v>
      </c>
      <c r="E1314" s="545">
        <f>-'Foglio deposito bis'!$F$68*(C1314-sezione!$AL$32)*IF(ABS(K1314)&lt;'Sollecitazioni nel paramento'!$G$58,ABS(K1314)*'Sollecitazioni nel paramento'!$G$54,'Sollecitazioni nel paramento'!$G$53)</f>
        <v>0</v>
      </c>
      <c r="F1314" s="545">
        <f>-'Foglio deposito bis'!$F$69*(C1314-sezione!$AM$32)*IF(ABS(L1314)&lt;'Sollecitazioni nel paramento'!$G$58,ABS(L1314)*'Sollecitazioni nel paramento'!$G$54,'Sollecitazioni nel paramento'!$G$53)</f>
        <v>5281596.7067707917</v>
      </c>
      <c r="G1314" s="545">
        <f>-'Foglio deposito bis'!$F$70*(C1314-sezione!$AN$32)*IF(ABS(M1314)&lt;'Sollecitazioni nel paramento'!$G$58,ABS(M1314)*'Sollecitazioni nel paramento'!$G$54,'Sollecitazioni nel paramento'!$G$53)</f>
        <v>0</v>
      </c>
      <c r="H1314" s="545">
        <f>-'Foglio deposito bis'!$F$71*(C1314-sezione!$AO$32)*IF(ABS(N1314)&lt;'Sollecitazioni nel paramento'!$G$58,ABS(N1314)*'Sollecitazioni nel paramento'!$G$54,'Sollecitazioni nel paramento'!$G$53)</f>
        <v>42287272.985339999</v>
      </c>
      <c r="I1314" s="472">
        <f>-'Foglio deposito bis'!$F$72*(C1314-sezione!$AP$32)*IF(ABS(O1314)&lt;'Sollecitazioni nel paramento'!$G$58,ABS(O1314)*'Sollecitazioni nel paramento'!$G$54,'Sollecitazioni nel paramento'!$G$53)</f>
        <v>237678484.96145976</v>
      </c>
      <c r="J1314" s="472">
        <f t="shared" si="93"/>
        <v>270633292.64873564</v>
      </c>
      <c r="K1314" s="550">
        <f>'Sollecitazioni nel paramento'!$G$60*(sezione!$AL$32-C1314)/C1314</f>
        <v>1.9625367952947788E-3</v>
      </c>
      <c r="L1314" s="550">
        <f>'Sollecitazioni nel paramento'!$G$60*(sezione!$AM$32-C1314)/C1314</f>
        <v>4.693805192942168E-3</v>
      </c>
      <c r="M1314" s="551">
        <f>'Sollecitazioni nel paramento'!$G$60*(sezione!$AN$32-C1314)/C1314</f>
        <v>7.4250735905895572E-3</v>
      </c>
      <c r="N1314" s="551">
        <f>'Sollecitazioni nel paramento'!$G$60*(sezione!$AO$32-C1314)/C1314</f>
        <v>1.8350147181179118E-2</v>
      </c>
      <c r="O1314" s="551">
        <f>'Sollecitazioni nel paramento'!$G$60*(sezione!$AP$32-C1314)/C1314</f>
        <v>6.6008477697458878E-2</v>
      </c>
      <c r="P1314" s="545">
        <f>-'Sollecitazioni nel paramento'!$G$47*'Sollecitazioni nel paramento'!$G$41*IF(DATI!$G$211="dx",DATI!$E$61,DATI!$E$64*DATI!$E$63)*1000*C1314*sezione!$AD$5</f>
        <v>-976392.50770706788</v>
      </c>
      <c r="Q1314" s="545">
        <f>'Foglio deposito bis'!$F$68*IF(ABS(K1314)&lt;'Sollecitazioni nel paramento'!$G$58,ABS(K1314)*'Sollecitazioni nel paramento'!$G$54,'Sollecitazioni nel paramento'!$G$53)*IF(K1314&lt;0,-1,1)</f>
        <v>0</v>
      </c>
      <c r="R1314" s="545">
        <f>'Foglio deposito bis'!$F$69*IF(ABS(L1314)&lt;'Sollecitazioni nel paramento'!$G$58,ABS(L1314)*'Sollecitazioni nel paramento'!$G$54,'Sollecitazioni nel paramento'!$G$53)*IF(L1314&lt;0,-1,1)</f>
        <v>153664.85805602249</v>
      </c>
      <c r="S1314" s="545">
        <f>'Foglio deposito bis'!$F$70*IF(ABS(M1314)&lt;'Sollecitazioni nel paramento'!$G$58,ABS(M1314)*'Sollecitazioni nel paramento'!$G$54,'Sollecitazioni nel paramento'!$G$53)*IF(M1314&lt;0,-1,1)</f>
        <v>0</v>
      </c>
      <c r="T1314" s="545">
        <f>'Foglio deposito bis'!$F$71*IF(ABS(N1314)&lt;'Sollecitazioni nel paramento'!$G$58,ABS(N1314)*'Sollecitazioni nel paramento'!$G$54,'Sollecitazioni nel paramento'!$G$53)*IF(N1314&lt;0,-1,1)</f>
        <v>314705.62929873407</v>
      </c>
      <c r="U1314" s="545">
        <f>'Foglio deposito bis'!$F$72*IF(ABS(O1314)&lt;'Sollecitazioni nel paramento'!$G$58,ABS(O1314)*'Sollecitazioni nel paramento'!$G$54,'Sollecitazioni nel paramento'!$G$53)*IF(O1314&lt;0,-1,1)</f>
        <v>491727.54577927204</v>
      </c>
      <c r="V1314" s="472">
        <f t="shared" si="95"/>
        <v>-16294.474573039333</v>
      </c>
      <c r="W1314" s="551"/>
      <c r="X1314" s="551"/>
    </row>
    <row r="1315" spans="1:24" x14ac:dyDescent="0.25">
      <c r="A1315" s="545">
        <f t="shared" si="94"/>
        <v>30445.090626764693</v>
      </c>
      <c r="B1315" s="3">
        <f t="shared" si="96"/>
        <v>3.4999999999999956</v>
      </c>
      <c r="C1315" s="545">
        <f>'Foglio deposito bis'!$E$158/sezione!$B$247*B1315</f>
        <v>26.000554473076452</v>
      </c>
      <c r="D1315" s="603">
        <f>-'Sollecitazioni nel paramento'!$G$47*'Sollecitazioni nel paramento'!$G$41*IF(DATI!$G$211="dx",DATI!$E$61,DATI!$E$64*DATI!$E$63)*1000*C1315^2*sezione!$AD$5*(1-sezione!$AD$6)</f>
        <v>-15040727.541207911</v>
      </c>
      <c r="E1315" s="545">
        <f>-'Foglio deposito bis'!$F$68*(C1315-sezione!$AL$32)*IF(ABS(K1315)&lt;'Sollecitazioni nel paramento'!$G$58,ABS(K1315)*'Sollecitazioni nel paramento'!$G$54,'Sollecitazioni nel paramento'!$G$53)</f>
        <v>0</v>
      </c>
      <c r="F1315" s="545">
        <f>-'Foglio deposito bis'!$F$69*(C1315-sezione!$AM$32)*IF(ABS(L1315)&lt;'Sollecitazioni nel paramento'!$G$58,ABS(L1315)*'Sollecitazioni nel paramento'!$G$54,'Sollecitazioni nel paramento'!$G$53)</f>
        <v>5224519.9708781764</v>
      </c>
      <c r="G1315" s="545">
        <f>-'Foglio deposito bis'!$F$70*(C1315-sezione!$AN$32)*IF(ABS(M1315)&lt;'Sollecitazioni nel paramento'!$G$58,ABS(M1315)*'Sollecitazioni nel paramento'!$G$54,'Sollecitazioni nel paramento'!$G$53)</f>
        <v>0</v>
      </c>
      <c r="H1315" s="545">
        <f>-'Foglio deposito bis'!$F$71*(C1315-sezione!$AO$32)*IF(ABS(N1315)&lt;'Sollecitazioni nel paramento'!$G$58,ABS(N1315)*'Sollecitazioni nel paramento'!$G$54,'Sollecitazioni nel paramento'!$G$53)</f>
        <v>42170379.830231912</v>
      </c>
      <c r="I1315" s="472">
        <f>-'Foglio deposito bis'!$F$72*(C1315-sezione!$AP$32)*IF(ABS(O1315)&lt;'Sollecitazioni nel paramento'!$G$58,ABS(O1315)*'Sollecitazioni nel paramento'!$G$54,'Sollecitazioni nel paramento'!$G$53)</f>
        <v>237495839.40660343</v>
      </c>
      <c r="J1315" s="472">
        <f t="shared" si="93"/>
        <v>269850011.66650558</v>
      </c>
      <c r="K1315" s="550">
        <f>'Sollecitazioni nel paramento'!$G$60*(sezione!$AL$32-C1315)/C1315</f>
        <v>1.8845005553619965E-3</v>
      </c>
      <c r="L1315" s="550">
        <f>'Sollecitazioni nel paramento'!$G$60*(sezione!$AM$32-C1315)/C1315</f>
        <v>4.5767508330429958E-3</v>
      </c>
      <c r="M1315" s="551">
        <f>'Sollecitazioni nel paramento'!$G$60*(sezione!$AN$32-C1315)/C1315</f>
        <v>7.269001110723994E-3</v>
      </c>
      <c r="N1315" s="551">
        <f>'Sollecitazioni nel paramento'!$G$60*(sezione!$AO$32-C1315)/C1315</f>
        <v>1.8038002221447986E-2</v>
      </c>
      <c r="O1315" s="551">
        <f>'Sollecitazioni nel paramento'!$G$60*(sezione!$AP$32-C1315)/C1315</f>
        <v>6.5015499444638039E-2</v>
      </c>
      <c r="P1315" s="545">
        <f>-'Sollecitazioni nel paramento'!$G$47*'Sollecitazioni nel paramento'!$G$41*IF(DATI!$G$211="dx",DATI!$E$61,DATI!$E$64*DATI!$E$63)*1000*C1315*sezione!$AD$5</f>
        <v>-990543.12376079336</v>
      </c>
      <c r="Q1315" s="545">
        <f>'Foglio deposito bis'!$F$68*IF(ABS(K1315)&lt;'Sollecitazioni nel paramento'!$G$58,ABS(K1315)*'Sollecitazioni nel paramento'!$G$54,'Sollecitazioni nel paramento'!$G$53)*IF(K1315&lt;0,-1,1)</f>
        <v>0</v>
      </c>
      <c r="R1315" s="545">
        <f>'Foglio deposito bis'!$F$69*IF(ABS(L1315)&lt;'Sollecitazioni nel paramento'!$G$58,ABS(L1315)*'Sollecitazioni nel paramento'!$G$54,'Sollecitazioni nel paramento'!$G$53)*IF(L1315&lt;0,-1,1)</f>
        <v>153664.85805602249</v>
      </c>
      <c r="S1315" s="545">
        <f>'Foglio deposito bis'!$F$70*IF(ABS(M1315)&lt;'Sollecitazioni nel paramento'!$G$58,ABS(M1315)*'Sollecitazioni nel paramento'!$G$54,'Sollecitazioni nel paramento'!$G$53)*IF(M1315&lt;0,-1,1)</f>
        <v>0</v>
      </c>
      <c r="T1315" s="545">
        <f>'Foglio deposito bis'!$F$71*IF(ABS(N1315)&lt;'Sollecitazioni nel paramento'!$G$58,ABS(N1315)*'Sollecitazioni nel paramento'!$G$54,'Sollecitazioni nel paramento'!$G$53)*IF(N1315&lt;0,-1,1)</f>
        <v>314705.62929873407</v>
      </c>
      <c r="U1315" s="545">
        <f>'Foglio deposito bis'!$F$72*IF(ABS(O1315)&lt;'Sollecitazioni nel paramento'!$G$58,ABS(O1315)*'Sollecitazioni nel paramento'!$G$54,'Sollecitazioni nel paramento'!$G$53)*IF(O1315&lt;0,-1,1)</f>
        <v>491727.54577927204</v>
      </c>
      <c r="V1315" s="472">
        <f t="shared" si="95"/>
        <v>-30445.090626764693</v>
      </c>
      <c r="W1315" s="551"/>
      <c r="X1315" s="551"/>
    </row>
    <row r="1316" spans="1:24" x14ac:dyDescent="0.25">
      <c r="A1316" s="545">
        <f t="shared" si="94"/>
        <v>44595.706680490344</v>
      </c>
      <c r="B1316" s="3">
        <f t="shared" si="96"/>
        <v>3.5499999999999954</v>
      </c>
      <c r="C1316" s="545">
        <f>'Foglio deposito bis'!$E$158/sezione!$B$247*B1316</f>
        <v>26.371990965548971</v>
      </c>
      <c r="D1316" s="603">
        <f>-'Sollecitazioni nel paramento'!$G$47*'Sollecitazioni nel paramento'!$G$41*IF(DATI!$G$211="dx",DATI!$E$61,DATI!$E$64*DATI!$E$63)*1000*C1316^2*sezione!$AD$5*(1-sezione!$AD$6)</f>
        <v>-15473532.150046749</v>
      </c>
      <c r="E1316" s="545">
        <f>-'Foglio deposito bis'!$F$68*(C1316-sezione!$AL$32)*IF(ABS(K1316)&lt;'Sollecitazioni nel paramento'!$G$58,ABS(K1316)*'Sollecitazioni nel paramento'!$G$54,'Sollecitazioni nel paramento'!$G$53)</f>
        <v>0</v>
      </c>
      <c r="F1316" s="545">
        <f>-'Foglio deposito bis'!$F$69*(C1316-sezione!$AM$32)*IF(ABS(L1316)&lt;'Sollecitazioni nel paramento'!$G$58,ABS(L1316)*'Sollecitazioni nel paramento'!$G$54,'Sollecitazioni nel paramento'!$G$53)</f>
        <v>5167443.2349855592</v>
      </c>
      <c r="G1316" s="545">
        <f>-'Foglio deposito bis'!$F$70*(C1316-sezione!$AN$32)*IF(ABS(M1316)&lt;'Sollecitazioni nel paramento'!$G$58,ABS(M1316)*'Sollecitazioni nel paramento'!$G$54,'Sollecitazioni nel paramento'!$G$53)</f>
        <v>0</v>
      </c>
      <c r="H1316" s="545">
        <f>-'Foglio deposito bis'!$F$71*(C1316-sezione!$AO$32)*IF(ABS(N1316)&lt;'Sollecitazioni nel paramento'!$G$58,ABS(N1316)*'Sollecitazioni nel paramento'!$G$54,'Sollecitazioni nel paramento'!$G$53)</f>
        <v>42053486.675123833</v>
      </c>
      <c r="I1316" s="472">
        <f>-'Foglio deposito bis'!$F$72*(C1316-sezione!$AP$32)*IF(ABS(O1316)&lt;'Sollecitazioni nel paramento'!$G$58,ABS(O1316)*'Sollecitazioni nel paramento'!$G$54,'Sollecitazioni nel paramento'!$G$53)</f>
        <v>237313193.8517471</v>
      </c>
      <c r="J1316" s="472">
        <f t="shared" si="93"/>
        <v>269060591.61180973</v>
      </c>
      <c r="K1316" s="550">
        <f>'Sollecitazioni nel paramento'!$G$60*(sezione!$AL$32-C1316)/C1316</f>
        <v>1.808662519370983E-3</v>
      </c>
      <c r="L1316" s="550">
        <f>'Sollecitazioni nel paramento'!$G$60*(sezione!$AM$32-C1316)/C1316</f>
        <v>4.462993779056474E-3</v>
      </c>
      <c r="M1316" s="551">
        <f>'Sollecitazioni nel paramento'!$G$60*(sezione!$AN$32-C1316)/C1316</f>
        <v>7.1173250387419661E-3</v>
      </c>
      <c r="N1316" s="551">
        <f>'Sollecitazioni nel paramento'!$G$60*(sezione!$AO$32-C1316)/C1316</f>
        <v>1.773465007748393E-2</v>
      </c>
      <c r="O1316" s="551">
        <f>'Sollecitazioni nel paramento'!$G$60*(sezione!$AP$32-C1316)/C1316</f>
        <v>6.4050492410206536E-2</v>
      </c>
      <c r="P1316" s="545">
        <f>-'Sollecitazioni nel paramento'!$G$47*'Sollecitazioni nel paramento'!$G$41*IF(DATI!$G$211="dx",DATI!$E$61,DATI!$E$64*DATI!$E$63)*1000*C1316*sezione!$AD$5</f>
        <v>-1004693.739814519</v>
      </c>
      <c r="Q1316" s="545">
        <f>'Foglio deposito bis'!$F$68*IF(ABS(K1316)&lt;'Sollecitazioni nel paramento'!$G$58,ABS(K1316)*'Sollecitazioni nel paramento'!$G$54,'Sollecitazioni nel paramento'!$G$53)*IF(K1316&lt;0,-1,1)</f>
        <v>0</v>
      </c>
      <c r="R1316" s="545">
        <f>'Foglio deposito bis'!$F$69*IF(ABS(L1316)&lt;'Sollecitazioni nel paramento'!$G$58,ABS(L1316)*'Sollecitazioni nel paramento'!$G$54,'Sollecitazioni nel paramento'!$G$53)*IF(L1316&lt;0,-1,1)</f>
        <v>153664.85805602249</v>
      </c>
      <c r="S1316" s="545">
        <f>'Foglio deposito bis'!$F$70*IF(ABS(M1316)&lt;'Sollecitazioni nel paramento'!$G$58,ABS(M1316)*'Sollecitazioni nel paramento'!$G$54,'Sollecitazioni nel paramento'!$G$53)*IF(M1316&lt;0,-1,1)</f>
        <v>0</v>
      </c>
      <c r="T1316" s="545">
        <f>'Foglio deposito bis'!$F$71*IF(ABS(N1316)&lt;'Sollecitazioni nel paramento'!$G$58,ABS(N1316)*'Sollecitazioni nel paramento'!$G$54,'Sollecitazioni nel paramento'!$G$53)*IF(N1316&lt;0,-1,1)</f>
        <v>314705.62929873407</v>
      </c>
      <c r="U1316" s="545">
        <f>'Foglio deposito bis'!$F$72*IF(ABS(O1316)&lt;'Sollecitazioni nel paramento'!$G$58,ABS(O1316)*'Sollecitazioni nel paramento'!$G$54,'Sollecitazioni nel paramento'!$G$53)*IF(O1316&lt;0,-1,1)</f>
        <v>491727.54577927204</v>
      </c>
      <c r="V1316" s="472">
        <f t="shared" si="95"/>
        <v>-44595.706680490344</v>
      </c>
      <c r="W1316" s="551"/>
      <c r="X1316" s="551"/>
    </row>
    <row r="1317" spans="1:24" x14ac:dyDescent="0.25">
      <c r="A1317" s="545">
        <f t="shared" si="94"/>
        <v>58746.32273421617</v>
      </c>
      <c r="B1317" s="3">
        <f t="shared" si="96"/>
        <v>3.5999999999999952</v>
      </c>
      <c r="C1317" s="545">
        <f>'Foglio deposito bis'!$E$158/sezione!$B$247*B1317</f>
        <v>26.743427458021493</v>
      </c>
      <c r="D1317" s="603">
        <f>-'Sollecitazioni nel paramento'!$G$47*'Sollecitazioni nel paramento'!$G$41*IF(DATI!$G$211="dx",DATI!$E$61,DATI!$E$64*DATI!$E$63)*1000*C1317^2*sezione!$AD$5*(1-sezione!$AD$6)</f>
        <v>-15912475.83135139</v>
      </c>
      <c r="E1317" s="545">
        <f>-'Foglio deposito bis'!$F$68*(C1317-sezione!$AL$32)*IF(ABS(K1317)&lt;'Sollecitazioni nel paramento'!$G$58,ABS(K1317)*'Sollecitazioni nel paramento'!$G$54,'Sollecitazioni nel paramento'!$G$53)</f>
        <v>0</v>
      </c>
      <c r="F1317" s="545">
        <f>-'Foglio deposito bis'!$F$69*(C1317-sezione!$AM$32)*IF(ABS(L1317)&lt;'Sollecitazioni nel paramento'!$G$58,ABS(L1317)*'Sollecitazioni nel paramento'!$G$54,'Sollecitazioni nel paramento'!$G$53)</f>
        <v>5110366.4990929421</v>
      </c>
      <c r="G1317" s="545">
        <f>-'Foglio deposito bis'!$F$70*(C1317-sezione!$AN$32)*IF(ABS(M1317)&lt;'Sollecitazioni nel paramento'!$G$58,ABS(M1317)*'Sollecitazioni nel paramento'!$G$54,'Sollecitazioni nel paramento'!$G$53)</f>
        <v>0</v>
      </c>
      <c r="H1317" s="545">
        <f>-'Foglio deposito bis'!$F$71*(C1317-sezione!$AO$32)*IF(ABS(N1317)&lt;'Sollecitazioni nel paramento'!$G$58,ABS(N1317)*'Sollecitazioni nel paramento'!$G$54,'Sollecitazioni nel paramento'!$G$53)</f>
        <v>41936593.520015754</v>
      </c>
      <c r="I1317" s="472">
        <f>-'Foglio deposito bis'!$F$72*(C1317-sezione!$AP$32)*IF(ABS(O1317)&lt;'Sollecitazioni nel paramento'!$G$58,ABS(O1317)*'Sollecitazioni nel paramento'!$G$54,'Sollecitazioni nel paramento'!$G$53)</f>
        <v>237130548.29689071</v>
      </c>
      <c r="J1317" s="472">
        <f t="shared" si="93"/>
        <v>268265032.48464802</v>
      </c>
      <c r="K1317" s="550">
        <f>'Sollecitazioni nel paramento'!$G$60*(sezione!$AL$32-C1317)/C1317</f>
        <v>1.7349310954908302E-3</v>
      </c>
      <c r="L1317" s="550">
        <f>'Sollecitazioni nel paramento'!$G$60*(sezione!$AM$32-C1317)/C1317</f>
        <v>4.3523966432362452E-3</v>
      </c>
      <c r="M1317" s="551">
        <f>'Sollecitazioni nel paramento'!$G$60*(sezione!$AN$32-C1317)/C1317</f>
        <v>6.9698621909816605E-3</v>
      </c>
      <c r="N1317" s="551">
        <f>'Sollecitazioni nel paramento'!$G$60*(sezione!$AO$32-C1317)/C1317</f>
        <v>1.7439724381963319E-2</v>
      </c>
      <c r="O1317" s="551">
        <f>'Sollecitazioni nel paramento'!$G$60*(sezione!$AP$32-C1317)/C1317</f>
        <v>6.3112291126731446E-2</v>
      </c>
      <c r="P1317" s="545">
        <f>-'Sollecitazioni nel paramento'!$G$47*'Sollecitazioni nel paramento'!$G$41*IF(DATI!$G$211="dx",DATI!$E$61,DATI!$E$64*DATI!$E$63)*1000*C1317*sezione!$AD$5</f>
        <v>-1018844.3558682447</v>
      </c>
      <c r="Q1317" s="545">
        <f>'Foglio deposito bis'!$F$68*IF(ABS(K1317)&lt;'Sollecitazioni nel paramento'!$G$58,ABS(K1317)*'Sollecitazioni nel paramento'!$G$54,'Sollecitazioni nel paramento'!$G$53)*IF(K1317&lt;0,-1,1)</f>
        <v>0</v>
      </c>
      <c r="R1317" s="545">
        <f>'Foglio deposito bis'!$F$69*IF(ABS(L1317)&lt;'Sollecitazioni nel paramento'!$G$58,ABS(L1317)*'Sollecitazioni nel paramento'!$G$54,'Sollecitazioni nel paramento'!$G$53)*IF(L1317&lt;0,-1,1)</f>
        <v>153664.85805602249</v>
      </c>
      <c r="S1317" s="545">
        <f>'Foglio deposito bis'!$F$70*IF(ABS(M1317)&lt;'Sollecitazioni nel paramento'!$G$58,ABS(M1317)*'Sollecitazioni nel paramento'!$G$54,'Sollecitazioni nel paramento'!$G$53)*IF(M1317&lt;0,-1,1)</f>
        <v>0</v>
      </c>
      <c r="T1317" s="545">
        <f>'Foglio deposito bis'!$F$71*IF(ABS(N1317)&lt;'Sollecitazioni nel paramento'!$G$58,ABS(N1317)*'Sollecitazioni nel paramento'!$G$54,'Sollecitazioni nel paramento'!$G$53)*IF(N1317&lt;0,-1,1)</f>
        <v>314705.62929873407</v>
      </c>
      <c r="U1317" s="545">
        <f>'Foglio deposito bis'!$F$72*IF(ABS(O1317)&lt;'Sollecitazioni nel paramento'!$G$58,ABS(O1317)*'Sollecitazioni nel paramento'!$G$54,'Sollecitazioni nel paramento'!$G$53)*IF(O1317&lt;0,-1,1)</f>
        <v>491727.54577927204</v>
      </c>
      <c r="V1317" s="472">
        <f t="shared" si="95"/>
        <v>-58746.32273421617</v>
      </c>
      <c r="W1317" s="551"/>
      <c r="X1317" s="551"/>
    </row>
    <row r="1318" spans="1:24" x14ac:dyDescent="0.25">
      <c r="A1318" s="545">
        <f t="shared" si="94"/>
        <v>72896.938787941763</v>
      </c>
      <c r="B1318" s="3">
        <f t="shared" si="96"/>
        <v>3.649999999999995</v>
      </c>
      <c r="C1318" s="545">
        <f>'Foglio deposito bis'!$E$158/sezione!$B$247*B1318</f>
        <v>27.114863950494012</v>
      </c>
      <c r="D1318" s="603">
        <f>-'Sollecitazioni nel paramento'!$G$47*'Sollecitazioni nel paramento'!$G$41*IF(DATI!$G$211="dx",DATI!$E$61,DATI!$E$64*DATI!$E$63)*1000*C1318^2*sezione!$AD$5*(1-sezione!$AD$6)</f>
        <v>-16357558.585121827</v>
      </c>
      <c r="E1318" s="545">
        <f>-'Foglio deposito bis'!$F$68*(C1318-sezione!$AL$32)*IF(ABS(K1318)&lt;'Sollecitazioni nel paramento'!$G$58,ABS(K1318)*'Sollecitazioni nel paramento'!$G$54,'Sollecitazioni nel paramento'!$G$53)</f>
        <v>0</v>
      </c>
      <c r="F1318" s="545">
        <f>-'Foglio deposito bis'!$F$69*(C1318-sezione!$AM$32)*IF(ABS(L1318)&lt;'Sollecitazioni nel paramento'!$G$58,ABS(L1318)*'Sollecitazioni nel paramento'!$G$54,'Sollecitazioni nel paramento'!$G$53)</f>
        <v>5053289.7632003259</v>
      </c>
      <c r="G1318" s="545">
        <f>-'Foglio deposito bis'!$F$70*(C1318-sezione!$AN$32)*IF(ABS(M1318)&lt;'Sollecitazioni nel paramento'!$G$58,ABS(M1318)*'Sollecitazioni nel paramento'!$G$54,'Sollecitazioni nel paramento'!$G$53)</f>
        <v>0</v>
      </c>
      <c r="H1318" s="545">
        <f>-'Foglio deposito bis'!$F$71*(C1318-sezione!$AO$32)*IF(ABS(N1318)&lt;'Sollecitazioni nel paramento'!$G$58,ABS(N1318)*'Sollecitazioni nel paramento'!$G$54,'Sollecitazioni nel paramento'!$G$53)</f>
        <v>41819700.364907682</v>
      </c>
      <c r="I1318" s="472">
        <f>-'Foglio deposito bis'!$F$72*(C1318-sezione!$AP$32)*IF(ABS(O1318)&lt;'Sollecitazioni nel paramento'!$G$58,ABS(O1318)*'Sollecitazioni nel paramento'!$G$54,'Sollecitazioni nel paramento'!$G$53)</f>
        <v>236947902.74203432</v>
      </c>
      <c r="J1318" s="472">
        <f t="shared" si="93"/>
        <v>267463334.2850205</v>
      </c>
      <c r="K1318" s="550">
        <f>'Sollecitazioni nel paramento'!$G$60*(sezione!$AL$32-C1318)/C1318</f>
        <v>1.6632197106210931E-3</v>
      </c>
      <c r="L1318" s="550">
        <f>'Sollecitazioni nel paramento'!$G$60*(sezione!$AM$32-C1318)/C1318</f>
        <v>4.2448295659316395E-3</v>
      </c>
      <c r="M1318" s="551">
        <f>'Sollecitazioni nel paramento'!$G$60*(sezione!$AN$32-C1318)/C1318</f>
        <v>6.8264394212421853E-3</v>
      </c>
      <c r="N1318" s="551">
        <f>'Sollecitazioni nel paramento'!$G$60*(sezione!$AO$32-C1318)/C1318</f>
        <v>1.7152878842484374E-2</v>
      </c>
      <c r="O1318" s="551">
        <f>'Sollecitazioni nel paramento'!$G$60*(sezione!$AP$32-C1318)/C1318</f>
        <v>6.2199793988009094E-2</v>
      </c>
      <c r="P1318" s="545">
        <f>-'Sollecitazioni nel paramento'!$G$47*'Sollecitazioni nel paramento'!$G$41*IF(DATI!$G$211="dx",DATI!$E$61,DATI!$E$64*DATI!$E$63)*1000*C1318*sezione!$AD$5</f>
        <v>-1032994.9719219703</v>
      </c>
      <c r="Q1318" s="545">
        <f>'Foglio deposito bis'!$F$68*IF(ABS(K1318)&lt;'Sollecitazioni nel paramento'!$G$58,ABS(K1318)*'Sollecitazioni nel paramento'!$G$54,'Sollecitazioni nel paramento'!$G$53)*IF(K1318&lt;0,-1,1)</f>
        <v>0</v>
      </c>
      <c r="R1318" s="545">
        <f>'Foglio deposito bis'!$F$69*IF(ABS(L1318)&lt;'Sollecitazioni nel paramento'!$G$58,ABS(L1318)*'Sollecitazioni nel paramento'!$G$54,'Sollecitazioni nel paramento'!$G$53)*IF(L1318&lt;0,-1,1)</f>
        <v>153664.85805602249</v>
      </c>
      <c r="S1318" s="545">
        <f>'Foglio deposito bis'!$F$70*IF(ABS(M1318)&lt;'Sollecitazioni nel paramento'!$G$58,ABS(M1318)*'Sollecitazioni nel paramento'!$G$54,'Sollecitazioni nel paramento'!$G$53)*IF(M1318&lt;0,-1,1)</f>
        <v>0</v>
      </c>
      <c r="T1318" s="545">
        <f>'Foglio deposito bis'!$F$71*IF(ABS(N1318)&lt;'Sollecitazioni nel paramento'!$G$58,ABS(N1318)*'Sollecitazioni nel paramento'!$G$54,'Sollecitazioni nel paramento'!$G$53)*IF(N1318&lt;0,-1,1)</f>
        <v>314705.62929873407</v>
      </c>
      <c r="U1318" s="545">
        <f>'Foglio deposito bis'!$F$72*IF(ABS(O1318)&lt;'Sollecitazioni nel paramento'!$G$58,ABS(O1318)*'Sollecitazioni nel paramento'!$G$54,'Sollecitazioni nel paramento'!$G$53)*IF(O1318&lt;0,-1,1)</f>
        <v>491727.54577927204</v>
      </c>
      <c r="V1318" s="472">
        <f t="shared" si="95"/>
        <v>-72896.938787941763</v>
      </c>
      <c r="W1318" s="551"/>
      <c r="X1318" s="551"/>
    </row>
    <row r="1319" spans="1:24" x14ac:dyDescent="0.25">
      <c r="A1319" s="545">
        <f t="shared" si="94"/>
        <v>87047.554841667123</v>
      </c>
      <c r="B1319" s="3">
        <f t="shared" si="96"/>
        <v>3.6999999999999948</v>
      </c>
      <c r="C1319" s="545">
        <f>'Foglio deposito bis'!$E$158/sezione!$B$247*B1319</f>
        <v>27.486300442966531</v>
      </c>
      <c r="D1319" s="603">
        <f>-'Sollecitazioni nel paramento'!$G$47*'Sollecitazioni nel paramento'!$G$41*IF(DATI!$G$211="dx",DATI!$E$61,DATI!$E$64*DATI!$E$63)*1000*C1319^2*sezione!$AD$5*(1-sezione!$AD$6)</f>
        <v>-16808780.411358062</v>
      </c>
      <c r="E1319" s="545">
        <f>-'Foglio deposito bis'!$F$68*(C1319-sezione!$AL$32)*IF(ABS(K1319)&lt;'Sollecitazioni nel paramento'!$G$58,ABS(K1319)*'Sollecitazioni nel paramento'!$G$54,'Sollecitazioni nel paramento'!$G$53)</f>
        <v>0</v>
      </c>
      <c r="F1319" s="545">
        <f>-'Foglio deposito bis'!$F$69*(C1319-sezione!$AM$32)*IF(ABS(L1319)&lt;'Sollecitazioni nel paramento'!$G$58,ABS(L1319)*'Sollecitazioni nel paramento'!$G$54,'Sollecitazioni nel paramento'!$G$53)</f>
        <v>4996213.0273077097</v>
      </c>
      <c r="G1319" s="545">
        <f>-'Foglio deposito bis'!$F$70*(C1319-sezione!$AN$32)*IF(ABS(M1319)&lt;'Sollecitazioni nel paramento'!$G$58,ABS(M1319)*'Sollecitazioni nel paramento'!$G$54,'Sollecitazioni nel paramento'!$G$53)</f>
        <v>0</v>
      </c>
      <c r="H1319" s="545">
        <f>-'Foglio deposito bis'!$F$71*(C1319-sezione!$AO$32)*IF(ABS(N1319)&lt;'Sollecitazioni nel paramento'!$G$58,ABS(N1319)*'Sollecitazioni nel paramento'!$G$54,'Sollecitazioni nel paramento'!$G$53)</f>
        <v>41702807.209799603</v>
      </c>
      <c r="I1319" s="472">
        <f>-'Foglio deposito bis'!$F$72*(C1319-sezione!$AP$32)*IF(ABS(O1319)&lt;'Sollecitazioni nel paramento'!$G$58,ABS(O1319)*'Sollecitazioni nel paramento'!$G$54,'Sollecitazioni nel paramento'!$G$53)</f>
        <v>236765257.18717793</v>
      </c>
      <c r="J1319" s="472">
        <f t="shared" si="93"/>
        <v>266655497.01292717</v>
      </c>
      <c r="K1319" s="550">
        <f>'Sollecitazioni nel paramento'!$G$60*(sezione!$AL$32-C1319)/C1319</f>
        <v>1.593446471288376E-3</v>
      </c>
      <c r="L1319" s="550">
        <f>'Sollecitazioni nel paramento'!$G$60*(sezione!$AM$32-C1319)/C1319</f>
        <v>4.1401697069325637E-3</v>
      </c>
      <c r="M1319" s="551">
        <f>'Sollecitazioni nel paramento'!$G$60*(sezione!$AN$32-C1319)/C1319</f>
        <v>6.6868929425767517E-3</v>
      </c>
      <c r="N1319" s="551">
        <f>'Sollecitazioni nel paramento'!$G$60*(sezione!$AO$32-C1319)/C1319</f>
        <v>1.6873785885153505E-2</v>
      </c>
      <c r="O1319" s="551">
        <f>'Sollecitazioni nel paramento'!$G$60*(sezione!$AP$32-C1319)/C1319</f>
        <v>6.1311958934117082E-2</v>
      </c>
      <c r="P1319" s="545">
        <f>-'Sollecitazioni nel paramento'!$G$47*'Sollecitazioni nel paramento'!$G$41*IF(DATI!$G$211="dx",DATI!$E$61,DATI!$E$64*DATI!$E$63)*1000*C1319*sezione!$AD$5</f>
        <v>-1047145.5879756957</v>
      </c>
      <c r="Q1319" s="545">
        <f>'Foglio deposito bis'!$F$68*IF(ABS(K1319)&lt;'Sollecitazioni nel paramento'!$G$58,ABS(K1319)*'Sollecitazioni nel paramento'!$G$54,'Sollecitazioni nel paramento'!$G$53)*IF(K1319&lt;0,-1,1)</f>
        <v>0</v>
      </c>
      <c r="R1319" s="545">
        <f>'Foglio deposito bis'!$F$69*IF(ABS(L1319)&lt;'Sollecitazioni nel paramento'!$G$58,ABS(L1319)*'Sollecitazioni nel paramento'!$G$54,'Sollecitazioni nel paramento'!$G$53)*IF(L1319&lt;0,-1,1)</f>
        <v>153664.85805602249</v>
      </c>
      <c r="S1319" s="545">
        <f>'Foglio deposito bis'!$F$70*IF(ABS(M1319)&lt;'Sollecitazioni nel paramento'!$G$58,ABS(M1319)*'Sollecitazioni nel paramento'!$G$54,'Sollecitazioni nel paramento'!$G$53)*IF(M1319&lt;0,-1,1)</f>
        <v>0</v>
      </c>
      <c r="T1319" s="545">
        <f>'Foglio deposito bis'!$F$71*IF(ABS(N1319)&lt;'Sollecitazioni nel paramento'!$G$58,ABS(N1319)*'Sollecitazioni nel paramento'!$G$54,'Sollecitazioni nel paramento'!$G$53)*IF(N1319&lt;0,-1,1)</f>
        <v>314705.62929873407</v>
      </c>
      <c r="U1319" s="545">
        <f>'Foglio deposito bis'!$F$72*IF(ABS(O1319)&lt;'Sollecitazioni nel paramento'!$G$58,ABS(O1319)*'Sollecitazioni nel paramento'!$G$54,'Sollecitazioni nel paramento'!$G$53)*IF(O1319&lt;0,-1,1)</f>
        <v>491727.54577927204</v>
      </c>
      <c r="V1319" s="472">
        <f t="shared" si="95"/>
        <v>-87047.554841667123</v>
      </c>
      <c r="W1319" s="551"/>
      <c r="X1319" s="551"/>
    </row>
    <row r="1320" spans="1:24" x14ac:dyDescent="0.25">
      <c r="A1320" s="545">
        <f t="shared" si="94"/>
        <v>101198.17089539295</v>
      </c>
      <c r="B1320" s="3">
        <f t="shared" si="96"/>
        <v>3.7499999999999947</v>
      </c>
      <c r="C1320" s="545">
        <f>'Foglio deposito bis'!$E$158/sezione!$B$247*B1320</f>
        <v>27.857736935439053</v>
      </c>
      <c r="D1320" s="603">
        <f>-'Sollecitazioni nel paramento'!$G$47*'Sollecitazioni nel paramento'!$G$41*IF(DATI!$G$211="dx",DATI!$E$61,DATI!$E$64*DATI!$E$63)*1000*C1320^2*sezione!$AD$5*(1-sezione!$AD$6)</f>
        <v>-17266141.310060099</v>
      </c>
      <c r="E1320" s="545">
        <f>-'Foglio deposito bis'!$F$68*(C1320-sezione!$AL$32)*IF(ABS(K1320)&lt;'Sollecitazioni nel paramento'!$G$58,ABS(K1320)*'Sollecitazioni nel paramento'!$G$54,'Sollecitazioni nel paramento'!$G$53)</f>
        <v>0</v>
      </c>
      <c r="F1320" s="545">
        <f>-'Foglio deposito bis'!$F$69*(C1320-sezione!$AM$32)*IF(ABS(L1320)&lt;'Sollecitazioni nel paramento'!$G$58,ABS(L1320)*'Sollecitazioni nel paramento'!$G$54,'Sollecitazioni nel paramento'!$G$53)</f>
        <v>4939136.2914150935</v>
      </c>
      <c r="G1320" s="545">
        <f>-'Foglio deposito bis'!$F$70*(C1320-sezione!$AN$32)*IF(ABS(M1320)&lt;'Sollecitazioni nel paramento'!$G$58,ABS(M1320)*'Sollecitazioni nel paramento'!$G$54,'Sollecitazioni nel paramento'!$G$53)</f>
        <v>0</v>
      </c>
      <c r="H1320" s="545">
        <f>-'Foglio deposito bis'!$F$71*(C1320-sezione!$AO$32)*IF(ABS(N1320)&lt;'Sollecitazioni nel paramento'!$G$58,ABS(N1320)*'Sollecitazioni nel paramento'!$G$54,'Sollecitazioni nel paramento'!$G$53)</f>
        <v>41585914.054691523</v>
      </c>
      <c r="I1320" s="472">
        <f>-'Foglio deposito bis'!$F$72*(C1320-sezione!$AP$32)*IF(ABS(O1320)&lt;'Sollecitazioni nel paramento'!$G$58,ABS(O1320)*'Sollecitazioni nel paramento'!$G$54,'Sollecitazioni nel paramento'!$G$53)</f>
        <v>236582611.63232154</v>
      </c>
      <c r="J1320" s="472">
        <f t="shared" si="93"/>
        <v>265841520.66836804</v>
      </c>
      <c r="K1320" s="550">
        <f>'Sollecitazioni nel paramento'!$G$60*(sezione!$AL$32-C1320)/C1320</f>
        <v>1.5255338516711972E-3</v>
      </c>
      <c r="L1320" s="550">
        <f>'Sollecitazioni nel paramento'!$G$60*(sezione!$AM$32-C1320)/C1320</f>
        <v>4.0383007775067967E-3</v>
      </c>
      <c r="M1320" s="551">
        <f>'Sollecitazioni nel paramento'!$G$60*(sezione!$AN$32-C1320)/C1320</f>
        <v>6.5510677033423946E-3</v>
      </c>
      <c r="N1320" s="551">
        <f>'Sollecitazioni nel paramento'!$G$60*(sezione!$AO$32-C1320)/C1320</f>
        <v>1.6602135406684791E-2</v>
      </c>
      <c r="O1320" s="551">
        <f>'Sollecitazioni nel paramento'!$G$60*(sezione!$AP$32-C1320)/C1320</f>
        <v>6.0447799481662186E-2</v>
      </c>
      <c r="P1320" s="545">
        <f>-'Sollecitazioni nel paramento'!$G$47*'Sollecitazioni nel paramento'!$G$41*IF(DATI!$G$211="dx",DATI!$E$61,DATI!$E$64*DATI!$E$63)*1000*C1320*sezione!$AD$5</f>
        <v>-1061296.2040294216</v>
      </c>
      <c r="Q1320" s="545">
        <f>'Foglio deposito bis'!$F$68*IF(ABS(K1320)&lt;'Sollecitazioni nel paramento'!$G$58,ABS(K1320)*'Sollecitazioni nel paramento'!$G$54,'Sollecitazioni nel paramento'!$G$53)*IF(K1320&lt;0,-1,1)</f>
        <v>0</v>
      </c>
      <c r="R1320" s="545">
        <f>'Foglio deposito bis'!$F$69*IF(ABS(L1320)&lt;'Sollecitazioni nel paramento'!$G$58,ABS(L1320)*'Sollecitazioni nel paramento'!$G$54,'Sollecitazioni nel paramento'!$G$53)*IF(L1320&lt;0,-1,1)</f>
        <v>153664.85805602249</v>
      </c>
      <c r="S1320" s="545">
        <f>'Foglio deposito bis'!$F$70*IF(ABS(M1320)&lt;'Sollecitazioni nel paramento'!$G$58,ABS(M1320)*'Sollecitazioni nel paramento'!$G$54,'Sollecitazioni nel paramento'!$G$53)*IF(M1320&lt;0,-1,1)</f>
        <v>0</v>
      </c>
      <c r="T1320" s="545">
        <f>'Foglio deposito bis'!$F$71*IF(ABS(N1320)&lt;'Sollecitazioni nel paramento'!$G$58,ABS(N1320)*'Sollecitazioni nel paramento'!$G$54,'Sollecitazioni nel paramento'!$G$53)*IF(N1320&lt;0,-1,1)</f>
        <v>314705.62929873407</v>
      </c>
      <c r="U1320" s="545">
        <f>'Foglio deposito bis'!$F$72*IF(ABS(O1320)&lt;'Sollecitazioni nel paramento'!$G$58,ABS(O1320)*'Sollecitazioni nel paramento'!$G$54,'Sollecitazioni nel paramento'!$G$53)*IF(O1320&lt;0,-1,1)</f>
        <v>491727.54577927204</v>
      </c>
      <c r="V1320" s="472">
        <f t="shared" si="95"/>
        <v>-101198.17089539295</v>
      </c>
      <c r="W1320" s="551"/>
      <c r="X1320" s="551"/>
    </row>
    <row r="1321" spans="1:24" x14ac:dyDescent="0.25">
      <c r="A1321" s="545">
        <f t="shared" si="94"/>
        <v>115348.78694911854</v>
      </c>
      <c r="B1321" s="3">
        <f t="shared" si="96"/>
        <v>3.7999999999999945</v>
      </c>
      <c r="C1321" s="545">
        <f>'Foglio deposito bis'!$E$158/sezione!$B$247*B1321</f>
        <v>28.229173427911572</v>
      </c>
      <c r="D1321" s="603">
        <f>-'Sollecitazioni nel paramento'!$G$47*'Sollecitazioni nel paramento'!$G$41*IF(DATI!$G$211="dx",DATI!$E$61,DATI!$E$64*DATI!$E$63)*1000*C1321^2*sezione!$AD$5*(1-sezione!$AD$6)</f>
        <v>-17729641.281227935</v>
      </c>
      <c r="E1321" s="545">
        <f>-'Foglio deposito bis'!$F$68*(C1321-sezione!$AL$32)*IF(ABS(K1321)&lt;'Sollecitazioni nel paramento'!$G$58,ABS(K1321)*'Sollecitazioni nel paramento'!$G$54,'Sollecitazioni nel paramento'!$G$53)</f>
        <v>0</v>
      </c>
      <c r="F1321" s="545">
        <f>-'Foglio deposito bis'!$F$69*(C1321-sezione!$AM$32)*IF(ABS(L1321)&lt;'Sollecitazioni nel paramento'!$G$58,ABS(L1321)*'Sollecitazioni nel paramento'!$G$54,'Sollecitazioni nel paramento'!$G$53)</f>
        <v>4882059.5555224763</v>
      </c>
      <c r="G1321" s="545">
        <f>-'Foglio deposito bis'!$F$70*(C1321-sezione!$AN$32)*IF(ABS(M1321)&lt;'Sollecitazioni nel paramento'!$G$58,ABS(M1321)*'Sollecitazioni nel paramento'!$G$54,'Sollecitazioni nel paramento'!$G$53)</f>
        <v>0</v>
      </c>
      <c r="H1321" s="545">
        <f>-'Foglio deposito bis'!$F$71*(C1321-sezione!$AO$32)*IF(ABS(N1321)&lt;'Sollecitazioni nel paramento'!$G$58,ABS(N1321)*'Sollecitazioni nel paramento'!$G$54,'Sollecitazioni nel paramento'!$G$53)</f>
        <v>41469020.899583437</v>
      </c>
      <c r="I1321" s="472">
        <f>-'Foglio deposito bis'!$F$72*(C1321-sezione!$AP$32)*IF(ABS(O1321)&lt;'Sollecitazioni nel paramento'!$G$58,ABS(O1321)*'Sollecitazioni nel paramento'!$G$54,'Sollecitazioni nel paramento'!$G$53)</f>
        <v>236399966.07746521</v>
      </c>
      <c r="J1321" s="472">
        <f t="shared" si="93"/>
        <v>265021405.25134319</v>
      </c>
      <c r="K1321" s="550">
        <f>'Sollecitazioni nel paramento'!$G$60*(sezione!$AL$32-C1321)/C1321</f>
        <v>1.4594084062544714E-3</v>
      </c>
      <c r="L1321" s="550">
        <f>'Sollecitazioni nel paramento'!$G$60*(sezione!$AM$32-C1321)/C1321</f>
        <v>3.9391126093817072E-3</v>
      </c>
      <c r="M1321" s="551">
        <f>'Sollecitazioni nel paramento'!$G$60*(sezione!$AN$32-C1321)/C1321</f>
        <v>6.418816812508942E-3</v>
      </c>
      <c r="N1321" s="551">
        <f>'Sollecitazioni nel paramento'!$G$60*(sezione!$AO$32-C1321)/C1321</f>
        <v>1.6337633625017885E-2</v>
      </c>
      <c r="O1321" s="551">
        <f>'Sollecitazioni nel paramento'!$G$60*(sezione!$AP$32-C1321)/C1321</f>
        <v>5.9606381067429791E-2</v>
      </c>
      <c r="P1321" s="545">
        <f>-'Sollecitazioni nel paramento'!$G$47*'Sollecitazioni nel paramento'!$G$41*IF(DATI!$G$211="dx",DATI!$E$61,DATI!$E$64*DATI!$E$63)*1000*C1321*sezione!$AD$5</f>
        <v>-1075446.8200831471</v>
      </c>
      <c r="Q1321" s="545">
        <f>'Foglio deposito bis'!$F$68*IF(ABS(K1321)&lt;'Sollecitazioni nel paramento'!$G$58,ABS(K1321)*'Sollecitazioni nel paramento'!$G$54,'Sollecitazioni nel paramento'!$G$53)*IF(K1321&lt;0,-1,1)</f>
        <v>0</v>
      </c>
      <c r="R1321" s="545">
        <f>'Foglio deposito bis'!$F$69*IF(ABS(L1321)&lt;'Sollecitazioni nel paramento'!$G$58,ABS(L1321)*'Sollecitazioni nel paramento'!$G$54,'Sollecitazioni nel paramento'!$G$53)*IF(L1321&lt;0,-1,1)</f>
        <v>153664.85805602249</v>
      </c>
      <c r="S1321" s="545">
        <f>'Foglio deposito bis'!$F$70*IF(ABS(M1321)&lt;'Sollecitazioni nel paramento'!$G$58,ABS(M1321)*'Sollecitazioni nel paramento'!$G$54,'Sollecitazioni nel paramento'!$G$53)*IF(M1321&lt;0,-1,1)</f>
        <v>0</v>
      </c>
      <c r="T1321" s="545">
        <f>'Foglio deposito bis'!$F$71*IF(ABS(N1321)&lt;'Sollecitazioni nel paramento'!$G$58,ABS(N1321)*'Sollecitazioni nel paramento'!$G$54,'Sollecitazioni nel paramento'!$G$53)*IF(N1321&lt;0,-1,1)</f>
        <v>314705.62929873407</v>
      </c>
      <c r="U1321" s="545">
        <f>'Foglio deposito bis'!$F$72*IF(ABS(O1321)&lt;'Sollecitazioni nel paramento'!$G$58,ABS(O1321)*'Sollecitazioni nel paramento'!$G$54,'Sollecitazioni nel paramento'!$G$53)*IF(O1321&lt;0,-1,1)</f>
        <v>491727.54577927204</v>
      </c>
      <c r="V1321" s="472">
        <f t="shared" si="95"/>
        <v>-115348.78694911854</v>
      </c>
      <c r="W1321" s="551"/>
      <c r="X1321" s="551"/>
    </row>
    <row r="1322" spans="1:24" x14ac:dyDescent="0.25">
      <c r="A1322" s="545">
        <f t="shared" si="94"/>
        <v>129499.4030028439</v>
      </c>
      <c r="B1322" s="3">
        <f t="shared" si="96"/>
        <v>3.8499999999999943</v>
      </c>
      <c r="C1322" s="545">
        <f>'Foglio deposito bis'!$E$158/sezione!$B$247*B1322</f>
        <v>28.600609920384091</v>
      </c>
      <c r="D1322" s="603">
        <f>-'Sollecitazioni nel paramento'!$G$47*'Sollecitazioni nel paramento'!$G$41*IF(DATI!$G$211="dx",DATI!$E$61,DATI!$E$64*DATI!$E$63)*1000*C1322^2*sezione!$AD$5*(1-sezione!$AD$6)</f>
        <v>-18199280.324861567</v>
      </c>
      <c r="E1322" s="545">
        <f>-'Foglio deposito bis'!$F$68*(C1322-sezione!$AL$32)*IF(ABS(K1322)&lt;'Sollecitazioni nel paramento'!$G$58,ABS(K1322)*'Sollecitazioni nel paramento'!$G$54,'Sollecitazioni nel paramento'!$G$53)</f>
        <v>0</v>
      </c>
      <c r="F1322" s="545">
        <f>-'Foglio deposito bis'!$F$69*(C1322-sezione!$AM$32)*IF(ABS(L1322)&lt;'Sollecitazioni nel paramento'!$G$58,ABS(L1322)*'Sollecitazioni nel paramento'!$G$54,'Sollecitazioni nel paramento'!$G$53)</f>
        <v>4824982.8196298592</v>
      </c>
      <c r="G1322" s="545">
        <f>-'Foglio deposito bis'!$F$70*(C1322-sezione!$AN$32)*IF(ABS(M1322)&lt;'Sollecitazioni nel paramento'!$G$58,ABS(M1322)*'Sollecitazioni nel paramento'!$G$54,'Sollecitazioni nel paramento'!$G$53)</f>
        <v>0</v>
      </c>
      <c r="H1322" s="545">
        <f>-'Foglio deposito bis'!$F$71*(C1322-sezione!$AO$32)*IF(ABS(N1322)&lt;'Sollecitazioni nel paramento'!$G$58,ABS(N1322)*'Sollecitazioni nel paramento'!$G$54,'Sollecitazioni nel paramento'!$G$53)</f>
        <v>41352127.744475357</v>
      </c>
      <c r="I1322" s="472">
        <f>-'Foglio deposito bis'!$F$72*(C1322-sezione!$AP$32)*IF(ABS(O1322)&lt;'Sollecitazioni nel paramento'!$G$58,ABS(O1322)*'Sollecitazioni nel paramento'!$G$54,'Sollecitazioni nel paramento'!$G$53)</f>
        <v>236217320.52260882</v>
      </c>
      <c r="J1322" s="472">
        <f t="shared" si="93"/>
        <v>264195150.76185247</v>
      </c>
      <c r="K1322" s="550">
        <f>'Sollecitazioni nel paramento'!$G$60*(sezione!$AL$32-C1322)/C1322</f>
        <v>1.3950005048745434E-3</v>
      </c>
      <c r="L1322" s="550">
        <f>'Sollecitazioni nel paramento'!$G$60*(sezione!$AM$32-C1322)/C1322</f>
        <v>3.8425007573118148E-3</v>
      </c>
      <c r="M1322" s="551">
        <f>'Sollecitazioni nel paramento'!$G$60*(sezione!$AN$32-C1322)/C1322</f>
        <v>6.2900010097490877E-3</v>
      </c>
      <c r="N1322" s="551">
        <f>'Sollecitazioni nel paramento'!$G$60*(sezione!$AO$32-C1322)/C1322</f>
        <v>1.6080002019498173E-2</v>
      </c>
      <c r="O1322" s="551">
        <f>'Sollecitazioni nel paramento'!$G$60*(sezione!$AP$32-C1322)/C1322</f>
        <v>5.8786817676943694E-2</v>
      </c>
      <c r="P1322" s="545">
        <f>-'Sollecitazioni nel paramento'!$G$47*'Sollecitazioni nel paramento'!$G$41*IF(DATI!$G$211="dx",DATI!$E$61,DATI!$E$64*DATI!$E$63)*1000*C1322*sezione!$AD$5</f>
        <v>-1089597.4361368725</v>
      </c>
      <c r="Q1322" s="545">
        <f>'Foglio deposito bis'!$F$68*IF(ABS(K1322)&lt;'Sollecitazioni nel paramento'!$G$58,ABS(K1322)*'Sollecitazioni nel paramento'!$G$54,'Sollecitazioni nel paramento'!$G$53)*IF(K1322&lt;0,-1,1)</f>
        <v>0</v>
      </c>
      <c r="R1322" s="545">
        <f>'Foglio deposito bis'!$F$69*IF(ABS(L1322)&lt;'Sollecitazioni nel paramento'!$G$58,ABS(L1322)*'Sollecitazioni nel paramento'!$G$54,'Sollecitazioni nel paramento'!$G$53)*IF(L1322&lt;0,-1,1)</f>
        <v>153664.85805602249</v>
      </c>
      <c r="S1322" s="545">
        <f>'Foglio deposito bis'!$F$70*IF(ABS(M1322)&lt;'Sollecitazioni nel paramento'!$G$58,ABS(M1322)*'Sollecitazioni nel paramento'!$G$54,'Sollecitazioni nel paramento'!$G$53)*IF(M1322&lt;0,-1,1)</f>
        <v>0</v>
      </c>
      <c r="T1322" s="545">
        <f>'Foglio deposito bis'!$F$71*IF(ABS(N1322)&lt;'Sollecitazioni nel paramento'!$G$58,ABS(N1322)*'Sollecitazioni nel paramento'!$G$54,'Sollecitazioni nel paramento'!$G$53)*IF(N1322&lt;0,-1,1)</f>
        <v>314705.62929873407</v>
      </c>
      <c r="U1322" s="545">
        <f>'Foglio deposito bis'!$F$72*IF(ABS(O1322)&lt;'Sollecitazioni nel paramento'!$G$58,ABS(O1322)*'Sollecitazioni nel paramento'!$G$54,'Sollecitazioni nel paramento'!$G$53)*IF(O1322&lt;0,-1,1)</f>
        <v>491727.54577927204</v>
      </c>
      <c r="V1322" s="472">
        <f t="shared" si="95"/>
        <v>-129499.4030028439</v>
      </c>
      <c r="W1322" s="551"/>
      <c r="X1322" s="551"/>
    </row>
    <row r="1323" spans="1:24" x14ac:dyDescent="0.25">
      <c r="A1323" s="545">
        <f t="shared" si="94"/>
        <v>143650.01905656949</v>
      </c>
      <c r="B1323" s="3">
        <f t="shared" si="96"/>
        <v>3.8999999999999941</v>
      </c>
      <c r="C1323" s="545">
        <f>'Foglio deposito bis'!$E$158/sezione!$B$247*B1323</f>
        <v>28.97204641285661</v>
      </c>
      <c r="D1323" s="603">
        <f>-'Sollecitazioni nel paramento'!$G$47*'Sollecitazioni nel paramento'!$G$41*IF(DATI!$G$211="dx",DATI!$E$61,DATI!$E$64*DATI!$E$63)*1000*C1323^2*sezione!$AD$5*(1-sezione!$AD$6)</f>
        <v>-18675058.440960996</v>
      </c>
      <c r="E1323" s="545">
        <f>-'Foglio deposito bis'!$F$68*(C1323-sezione!$AL$32)*IF(ABS(K1323)&lt;'Sollecitazioni nel paramento'!$G$58,ABS(K1323)*'Sollecitazioni nel paramento'!$G$54,'Sollecitazioni nel paramento'!$G$53)</f>
        <v>0</v>
      </c>
      <c r="F1323" s="545">
        <f>-'Foglio deposito bis'!$F$69*(C1323-sezione!$AM$32)*IF(ABS(L1323)&lt;'Sollecitazioni nel paramento'!$G$58,ABS(L1323)*'Sollecitazioni nel paramento'!$G$54,'Sollecitazioni nel paramento'!$G$53)</f>
        <v>4767906.083737243</v>
      </c>
      <c r="G1323" s="545">
        <f>-'Foglio deposito bis'!$F$70*(C1323-sezione!$AN$32)*IF(ABS(M1323)&lt;'Sollecitazioni nel paramento'!$G$58,ABS(M1323)*'Sollecitazioni nel paramento'!$G$54,'Sollecitazioni nel paramento'!$G$53)</f>
        <v>0</v>
      </c>
      <c r="H1323" s="545">
        <f>-'Foglio deposito bis'!$F$71*(C1323-sezione!$AO$32)*IF(ABS(N1323)&lt;'Sollecitazioni nel paramento'!$G$58,ABS(N1323)*'Sollecitazioni nel paramento'!$G$54,'Sollecitazioni nel paramento'!$G$53)</f>
        <v>41235234.589367285</v>
      </c>
      <c r="I1323" s="472">
        <f>-'Foglio deposito bis'!$F$72*(C1323-sezione!$AP$32)*IF(ABS(O1323)&lt;'Sollecitazioni nel paramento'!$G$58,ABS(O1323)*'Sollecitazioni nel paramento'!$G$54,'Sollecitazioni nel paramento'!$G$53)</f>
        <v>236034674.96775243</v>
      </c>
      <c r="J1323" s="472">
        <f t="shared" si="93"/>
        <v>263362757.19989595</v>
      </c>
      <c r="K1323" s="550">
        <f>'Sollecitazioni nel paramento'!$G$60*(sezione!$AL$32-C1323)/C1323</f>
        <v>1.3322440881453829E-3</v>
      </c>
      <c r="L1323" s="550">
        <f>'Sollecitazioni nel paramento'!$G$60*(sezione!$AM$32-C1323)/C1323</f>
        <v>3.7483661322180745E-3</v>
      </c>
      <c r="M1323" s="551">
        <f>'Sollecitazioni nel paramento'!$G$60*(sezione!$AN$32-C1323)/C1323</f>
        <v>6.1644881762907659E-3</v>
      </c>
      <c r="N1323" s="551">
        <f>'Sollecitazioni nel paramento'!$G$60*(sezione!$AO$32-C1323)/C1323</f>
        <v>1.5828976352581531E-2</v>
      </c>
      <c r="O1323" s="551">
        <f>'Sollecitazioni nel paramento'!$G$60*(sezione!$AP$32-C1323)/C1323</f>
        <v>5.7988268732367496E-2</v>
      </c>
      <c r="P1323" s="545">
        <f>-'Sollecitazioni nel paramento'!$G$47*'Sollecitazioni nel paramento'!$G$41*IF(DATI!$G$211="dx",DATI!$E$61,DATI!$E$64*DATI!$E$63)*1000*C1323*sezione!$AD$5</f>
        <v>-1103748.0521905981</v>
      </c>
      <c r="Q1323" s="545">
        <f>'Foglio deposito bis'!$F$68*IF(ABS(K1323)&lt;'Sollecitazioni nel paramento'!$G$58,ABS(K1323)*'Sollecitazioni nel paramento'!$G$54,'Sollecitazioni nel paramento'!$G$53)*IF(K1323&lt;0,-1,1)</f>
        <v>0</v>
      </c>
      <c r="R1323" s="545">
        <f>'Foglio deposito bis'!$F$69*IF(ABS(L1323)&lt;'Sollecitazioni nel paramento'!$G$58,ABS(L1323)*'Sollecitazioni nel paramento'!$G$54,'Sollecitazioni nel paramento'!$G$53)*IF(L1323&lt;0,-1,1)</f>
        <v>153664.85805602249</v>
      </c>
      <c r="S1323" s="545">
        <f>'Foglio deposito bis'!$F$70*IF(ABS(M1323)&lt;'Sollecitazioni nel paramento'!$G$58,ABS(M1323)*'Sollecitazioni nel paramento'!$G$54,'Sollecitazioni nel paramento'!$G$53)*IF(M1323&lt;0,-1,1)</f>
        <v>0</v>
      </c>
      <c r="T1323" s="545">
        <f>'Foglio deposito bis'!$F$71*IF(ABS(N1323)&lt;'Sollecitazioni nel paramento'!$G$58,ABS(N1323)*'Sollecitazioni nel paramento'!$G$54,'Sollecitazioni nel paramento'!$G$53)*IF(N1323&lt;0,-1,1)</f>
        <v>314705.62929873407</v>
      </c>
      <c r="U1323" s="545">
        <f>'Foglio deposito bis'!$F$72*IF(ABS(O1323)&lt;'Sollecitazioni nel paramento'!$G$58,ABS(O1323)*'Sollecitazioni nel paramento'!$G$54,'Sollecitazioni nel paramento'!$G$53)*IF(O1323&lt;0,-1,1)</f>
        <v>491727.54577927204</v>
      </c>
      <c r="V1323" s="472">
        <f t="shared" si="95"/>
        <v>-143650.01905656949</v>
      </c>
      <c r="W1323" s="551"/>
      <c r="X1323" s="551"/>
    </row>
    <row r="1324" spans="1:24" x14ac:dyDescent="0.25">
      <c r="A1324" s="545">
        <f t="shared" si="94"/>
        <v>157800.63511029509</v>
      </c>
      <c r="B1324" s="3">
        <f t="shared" si="96"/>
        <v>3.949999999999994</v>
      </c>
      <c r="C1324" s="545">
        <f>'Foglio deposito bis'!$E$158/sezione!$B$247*B1324</f>
        <v>29.343482905329132</v>
      </c>
      <c r="D1324" s="603">
        <f>-'Sollecitazioni nel paramento'!$G$47*'Sollecitazioni nel paramento'!$G$41*IF(DATI!$G$211="dx",DATI!$E$61,DATI!$E$64*DATI!$E$63)*1000*C1324^2*sezione!$AD$5*(1-sezione!$AD$6)</f>
        <v>-19156975.629526235</v>
      </c>
      <c r="E1324" s="545">
        <f>-'Foglio deposito bis'!$F$68*(C1324-sezione!$AL$32)*IF(ABS(K1324)&lt;'Sollecitazioni nel paramento'!$G$58,ABS(K1324)*'Sollecitazioni nel paramento'!$G$54,'Sollecitazioni nel paramento'!$G$53)</f>
        <v>0</v>
      </c>
      <c r="F1324" s="545">
        <f>-'Foglio deposito bis'!$F$69*(C1324-sezione!$AM$32)*IF(ABS(L1324)&lt;'Sollecitazioni nel paramento'!$G$58,ABS(L1324)*'Sollecitazioni nel paramento'!$G$54,'Sollecitazioni nel paramento'!$G$53)</f>
        <v>4710829.3478446258</v>
      </c>
      <c r="G1324" s="545">
        <f>-'Foglio deposito bis'!$F$70*(C1324-sezione!$AN$32)*IF(ABS(M1324)&lt;'Sollecitazioni nel paramento'!$G$58,ABS(M1324)*'Sollecitazioni nel paramento'!$G$54,'Sollecitazioni nel paramento'!$G$53)</f>
        <v>0</v>
      </c>
      <c r="H1324" s="545">
        <f>-'Foglio deposito bis'!$F$71*(C1324-sezione!$AO$32)*IF(ABS(N1324)&lt;'Sollecitazioni nel paramento'!$G$58,ABS(N1324)*'Sollecitazioni nel paramento'!$G$54,'Sollecitazioni nel paramento'!$G$53)</f>
        <v>41118341.434259206</v>
      </c>
      <c r="I1324" s="472">
        <f>-'Foglio deposito bis'!$F$72*(C1324-sezione!$AP$32)*IF(ABS(O1324)&lt;'Sollecitazioni nel paramento'!$G$58,ABS(O1324)*'Sollecitazioni nel paramento'!$G$54,'Sollecitazioni nel paramento'!$G$53)</f>
        <v>235852029.41289604</v>
      </c>
      <c r="J1324" s="472">
        <f t="shared" si="93"/>
        <v>262524224.56547365</v>
      </c>
      <c r="K1324" s="550">
        <f>'Sollecitazioni nel paramento'!$G$60*(sezione!$AL$32-C1324)/C1324</f>
        <v>1.271076441459998E-3</v>
      </c>
      <c r="L1324" s="550">
        <f>'Sollecitazioni nel paramento'!$G$60*(sezione!$AM$32-C1324)/C1324</f>
        <v>3.6566146621899972E-3</v>
      </c>
      <c r="M1324" s="551">
        <f>'Sollecitazioni nel paramento'!$G$60*(sezione!$AN$32-C1324)/C1324</f>
        <v>6.0421528829199961E-3</v>
      </c>
      <c r="N1324" s="551">
        <f>'Sollecitazioni nel paramento'!$G$60*(sezione!$AO$32-C1324)/C1324</f>
        <v>1.5584305765839992E-2</v>
      </c>
      <c r="O1324" s="551">
        <f>'Sollecitazioni nel paramento'!$G$60*(sezione!$AP$32-C1324)/C1324</f>
        <v>5.7209936216767905E-2</v>
      </c>
      <c r="P1324" s="545">
        <f>-'Sollecitazioni nel paramento'!$G$47*'Sollecitazioni nel paramento'!$G$41*IF(DATI!$G$211="dx",DATI!$E$61,DATI!$E$64*DATI!$E$63)*1000*C1324*sezione!$AD$5</f>
        <v>-1117898.6682443237</v>
      </c>
      <c r="Q1324" s="545">
        <f>'Foglio deposito bis'!$F$68*IF(ABS(K1324)&lt;'Sollecitazioni nel paramento'!$G$58,ABS(K1324)*'Sollecitazioni nel paramento'!$G$54,'Sollecitazioni nel paramento'!$G$53)*IF(K1324&lt;0,-1,1)</f>
        <v>0</v>
      </c>
      <c r="R1324" s="545">
        <f>'Foglio deposito bis'!$F$69*IF(ABS(L1324)&lt;'Sollecitazioni nel paramento'!$G$58,ABS(L1324)*'Sollecitazioni nel paramento'!$G$54,'Sollecitazioni nel paramento'!$G$53)*IF(L1324&lt;0,-1,1)</f>
        <v>153664.85805602249</v>
      </c>
      <c r="S1324" s="545">
        <f>'Foglio deposito bis'!$F$70*IF(ABS(M1324)&lt;'Sollecitazioni nel paramento'!$G$58,ABS(M1324)*'Sollecitazioni nel paramento'!$G$54,'Sollecitazioni nel paramento'!$G$53)*IF(M1324&lt;0,-1,1)</f>
        <v>0</v>
      </c>
      <c r="T1324" s="545">
        <f>'Foglio deposito bis'!$F$71*IF(ABS(N1324)&lt;'Sollecitazioni nel paramento'!$G$58,ABS(N1324)*'Sollecitazioni nel paramento'!$G$54,'Sollecitazioni nel paramento'!$G$53)*IF(N1324&lt;0,-1,1)</f>
        <v>314705.62929873407</v>
      </c>
      <c r="U1324" s="545">
        <f>'Foglio deposito bis'!$F$72*IF(ABS(O1324)&lt;'Sollecitazioni nel paramento'!$G$58,ABS(O1324)*'Sollecitazioni nel paramento'!$G$54,'Sollecitazioni nel paramento'!$G$53)*IF(O1324&lt;0,-1,1)</f>
        <v>491727.54577927204</v>
      </c>
      <c r="V1324" s="472">
        <f t="shared" si="95"/>
        <v>-157800.63511029509</v>
      </c>
      <c r="W1324" s="551"/>
      <c r="X1324" s="551"/>
    </row>
    <row r="1325" spans="1:24" x14ac:dyDescent="0.25">
      <c r="A1325" s="545">
        <f t="shared" si="94"/>
        <v>171951.25116402068</v>
      </c>
      <c r="B1325" s="3">
        <f t="shared" si="96"/>
        <v>3.9999999999999938</v>
      </c>
      <c r="C1325" s="545">
        <f>'Foglio deposito bis'!$E$158/sezione!$B$247*B1325</f>
        <v>29.714919397801651</v>
      </c>
      <c r="D1325" s="603">
        <f>-'Sollecitazioni nel paramento'!$G$47*'Sollecitazioni nel paramento'!$G$41*IF(DATI!$G$211="dx",DATI!$E$61,DATI!$E$64*DATI!$E$63)*1000*C1325^2*sezione!$AD$5*(1-sezione!$AD$6)</f>
        <v>-19645031.890557263</v>
      </c>
      <c r="E1325" s="545">
        <f>-'Foglio deposito bis'!$F$68*(C1325-sezione!$AL$32)*IF(ABS(K1325)&lt;'Sollecitazioni nel paramento'!$G$58,ABS(K1325)*'Sollecitazioni nel paramento'!$G$54,'Sollecitazioni nel paramento'!$G$53)</f>
        <v>0</v>
      </c>
      <c r="F1325" s="545">
        <f>-'Foglio deposito bis'!$F$69*(C1325-sezione!$AM$32)*IF(ABS(L1325)&lt;'Sollecitazioni nel paramento'!$G$58,ABS(L1325)*'Sollecitazioni nel paramento'!$G$54,'Sollecitazioni nel paramento'!$G$53)</f>
        <v>4653752.6119520096</v>
      </c>
      <c r="G1325" s="545">
        <f>-'Foglio deposito bis'!$F$70*(C1325-sezione!$AN$32)*IF(ABS(M1325)&lt;'Sollecitazioni nel paramento'!$G$58,ABS(M1325)*'Sollecitazioni nel paramento'!$G$54,'Sollecitazioni nel paramento'!$G$53)</f>
        <v>0</v>
      </c>
      <c r="H1325" s="545">
        <f>-'Foglio deposito bis'!$F$71*(C1325-sezione!$AO$32)*IF(ABS(N1325)&lt;'Sollecitazioni nel paramento'!$G$58,ABS(N1325)*'Sollecitazioni nel paramento'!$G$54,'Sollecitazioni nel paramento'!$G$53)</f>
        <v>41001448.279151127</v>
      </c>
      <c r="I1325" s="472">
        <f>-'Foglio deposito bis'!$F$72*(C1325-sezione!$AP$32)*IF(ABS(O1325)&lt;'Sollecitazioni nel paramento'!$G$58,ABS(O1325)*'Sollecitazioni nel paramento'!$G$54,'Sollecitazioni nel paramento'!$G$53)</f>
        <v>235669383.85803968</v>
      </c>
      <c r="J1325" s="472">
        <f t="shared" si="93"/>
        <v>261679552.85858554</v>
      </c>
      <c r="K1325" s="550">
        <f>'Sollecitazioni nel paramento'!$G$60*(sezione!$AL$32-C1325)/C1325</f>
        <v>1.2114379859417483E-3</v>
      </c>
      <c r="L1325" s="550">
        <f>'Sollecitazioni nel paramento'!$G$60*(sezione!$AM$32-C1325)/C1325</f>
        <v>3.5671569789126225E-3</v>
      </c>
      <c r="M1325" s="551">
        <f>'Sollecitazioni nel paramento'!$G$60*(sezione!$AN$32-C1325)/C1325</f>
        <v>5.9228759718834966E-3</v>
      </c>
      <c r="N1325" s="551">
        <f>'Sollecitazioni nel paramento'!$G$60*(sezione!$AO$32-C1325)/C1325</f>
        <v>1.5345751943766993E-2</v>
      </c>
      <c r="O1325" s="551">
        <f>'Sollecitazioni nel paramento'!$G$60*(sezione!$AP$32-C1325)/C1325</f>
        <v>5.6451062014058313E-2</v>
      </c>
      <c r="P1325" s="545">
        <f>-'Sollecitazioni nel paramento'!$G$47*'Sollecitazioni nel paramento'!$G$41*IF(DATI!$G$211="dx",DATI!$E$61,DATI!$E$64*DATI!$E$63)*1000*C1325*sezione!$AD$5</f>
        <v>-1132049.2842980493</v>
      </c>
      <c r="Q1325" s="545">
        <f>'Foglio deposito bis'!$F$68*IF(ABS(K1325)&lt;'Sollecitazioni nel paramento'!$G$58,ABS(K1325)*'Sollecitazioni nel paramento'!$G$54,'Sollecitazioni nel paramento'!$G$53)*IF(K1325&lt;0,-1,1)</f>
        <v>0</v>
      </c>
      <c r="R1325" s="545">
        <f>'Foglio deposito bis'!$F$69*IF(ABS(L1325)&lt;'Sollecitazioni nel paramento'!$G$58,ABS(L1325)*'Sollecitazioni nel paramento'!$G$54,'Sollecitazioni nel paramento'!$G$53)*IF(L1325&lt;0,-1,1)</f>
        <v>153664.85805602249</v>
      </c>
      <c r="S1325" s="545">
        <f>'Foglio deposito bis'!$F$70*IF(ABS(M1325)&lt;'Sollecitazioni nel paramento'!$G$58,ABS(M1325)*'Sollecitazioni nel paramento'!$G$54,'Sollecitazioni nel paramento'!$G$53)*IF(M1325&lt;0,-1,1)</f>
        <v>0</v>
      </c>
      <c r="T1325" s="545">
        <f>'Foglio deposito bis'!$F$71*IF(ABS(N1325)&lt;'Sollecitazioni nel paramento'!$G$58,ABS(N1325)*'Sollecitazioni nel paramento'!$G$54,'Sollecitazioni nel paramento'!$G$53)*IF(N1325&lt;0,-1,1)</f>
        <v>314705.62929873407</v>
      </c>
      <c r="U1325" s="545">
        <f>'Foglio deposito bis'!$F$72*IF(ABS(O1325)&lt;'Sollecitazioni nel paramento'!$G$58,ABS(O1325)*'Sollecitazioni nel paramento'!$G$54,'Sollecitazioni nel paramento'!$G$53)*IF(O1325&lt;0,-1,1)</f>
        <v>491727.54577927204</v>
      </c>
      <c r="V1325" s="472">
        <f t="shared" si="95"/>
        <v>-171951.25116402068</v>
      </c>
      <c r="W1325" s="551"/>
      <c r="X1325" s="551"/>
    </row>
    <row r="1326" spans="1:24" x14ac:dyDescent="0.25">
      <c r="A1326" s="545">
        <f t="shared" si="94"/>
        <v>186101.86721774627</v>
      </c>
      <c r="B1326" s="3">
        <f t="shared" si="96"/>
        <v>4.0499999999999936</v>
      </c>
      <c r="C1326" s="545">
        <f>'Foglio deposito bis'!$E$158/sezione!$B$247*B1326</f>
        <v>30.08635589027417</v>
      </c>
      <c r="D1326" s="603">
        <f>-'Sollecitazioni nel paramento'!$G$47*'Sollecitazioni nel paramento'!$G$41*IF(DATI!$G$211="dx",DATI!$E$61,DATI!$E$64*DATI!$E$63)*1000*C1326^2*sezione!$AD$5*(1-sezione!$AD$6)</f>
        <v>-20139227.224054091</v>
      </c>
      <c r="E1326" s="545">
        <f>-'Foglio deposito bis'!$F$68*(C1326-sezione!$AL$32)*IF(ABS(K1326)&lt;'Sollecitazioni nel paramento'!$G$58,ABS(K1326)*'Sollecitazioni nel paramento'!$G$54,'Sollecitazioni nel paramento'!$G$53)</f>
        <v>0</v>
      </c>
      <c r="F1326" s="545">
        <f>-'Foglio deposito bis'!$F$69*(C1326-sezione!$AM$32)*IF(ABS(L1326)&lt;'Sollecitazioni nel paramento'!$G$58,ABS(L1326)*'Sollecitazioni nel paramento'!$G$54,'Sollecitazioni nel paramento'!$G$53)</f>
        <v>4596675.8760593925</v>
      </c>
      <c r="G1326" s="545">
        <f>-'Foglio deposito bis'!$F$70*(C1326-sezione!$AN$32)*IF(ABS(M1326)&lt;'Sollecitazioni nel paramento'!$G$58,ABS(M1326)*'Sollecitazioni nel paramento'!$G$54,'Sollecitazioni nel paramento'!$G$53)</f>
        <v>0</v>
      </c>
      <c r="H1326" s="545">
        <f>-'Foglio deposito bis'!$F$71*(C1326-sezione!$AO$32)*IF(ABS(N1326)&lt;'Sollecitazioni nel paramento'!$G$58,ABS(N1326)*'Sollecitazioni nel paramento'!$G$54,'Sollecitazioni nel paramento'!$G$53)</f>
        <v>40884555.12404304</v>
      </c>
      <c r="I1326" s="472">
        <f>-'Foglio deposito bis'!$F$72*(C1326-sezione!$AP$32)*IF(ABS(O1326)&lt;'Sollecitazioni nel paramento'!$G$58,ABS(O1326)*'Sollecitazioni nel paramento'!$G$54,'Sollecitazioni nel paramento'!$G$53)</f>
        <v>235486738.30318335</v>
      </c>
      <c r="J1326" s="472">
        <f t="shared" si="93"/>
        <v>260828742.07923168</v>
      </c>
      <c r="K1326" s="550">
        <f>'Sollecitazioni nel paramento'!$G$60*(sezione!$AL$32-C1326)/C1326</f>
        <v>1.1532720848807395E-3</v>
      </c>
      <c r="L1326" s="550">
        <f>'Sollecitazioni nel paramento'!$G$60*(sezione!$AM$32-C1326)/C1326</f>
        <v>3.4799081273211088E-3</v>
      </c>
      <c r="M1326" s="551">
        <f>'Sollecitazioni nel paramento'!$G$60*(sezione!$AN$32-C1326)/C1326</f>
        <v>5.8065441697614795E-3</v>
      </c>
      <c r="N1326" s="551">
        <f>'Sollecitazioni nel paramento'!$G$60*(sezione!$AO$32-C1326)/C1326</f>
        <v>1.5113088339522957E-2</v>
      </c>
      <c r="O1326" s="551">
        <f>'Sollecitazioni nel paramento'!$G$60*(sezione!$AP$32-C1326)/C1326</f>
        <v>5.5710925445983522E-2</v>
      </c>
      <c r="P1326" s="545">
        <f>-'Sollecitazioni nel paramento'!$G$47*'Sollecitazioni nel paramento'!$G$41*IF(DATI!$G$211="dx",DATI!$E$61,DATI!$E$64*DATI!$E$63)*1000*C1326*sezione!$AD$5</f>
        <v>-1146199.9003517749</v>
      </c>
      <c r="Q1326" s="545">
        <f>'Foglio deposito bis'!$F$68*IF(ABS(K1326)&lt;'Sollecitazioni nel paramento'!$G$58,ABS(K1326)*'Sollecitazioni nel paramento'!$G$54,'Sollecitazioni nel paramento'!$G$53)*IF(K1326&lt;0,-1,1)</f>
        <v>0</v>
      </c>
      <c r="R1326" s="545">
        <f>'Foglio deposito bis'!$F$69*IF(ABS(L1326)&lt;'Sollecitazioni nel paramento'!$G$58,ABS(L1326)*'Sollecitazioni nel paramento'!$G$54,'Sollecitazioni nel paramento'!$G$53)*IF(L1326&lt;0,-1,1)</f>
        <v>153664.85805602249</v>
      </c>
      <c r="S1326" s="545">
        <f>'Foglio deposito bis'!$F$70*IF(ABS(M1326)&lt;'Sollecitazioni nel paramento'!$G$58,ABS(M1326)*'Sollecitazioni nel paramento'!$G$54,'Sollecitazioni nel paramento'!$G$53)*IF(M1326&lt;0,-1,1)</f>
        <v>0</v>
      </c>
      <c r="T1326" s="545">
        <f>'Foglio deposito bis'!$F$71*IF(ABS(N1326)&lt;'Sollecitazioni nel paramento'!$G$58,ABS(N1326)*'Sollecitazioni nel paramento'!$G$54,'Sollecitazioni nel paramento'!$G$53)*IF(N1326&lt;0,-1,1)</f>
        <v>314705.62929873407</v>
      </c>
      <c r="U1326" s="545">
        <f>'Foglio deposito bis'!$F$72*IF(ABS(O1326)&lt;'Sollecitazioni nel paramento'!$G$58,ABS(O1326)*'Sollecitazioni nel paramento'!$G$54,'Sollecitazioni nel paramento'!$G$53)*IF(O1326&lt;0,-1,1)</f>
        <v>491727.54577927204</v>
      </c>
      <c r="V1326" s="472">
        <f t="shared" si="95"/>
        <v>-186101.86721774627</v>
      </c>
      <c r="W1326" s="551"/>
      <c r="X1326" s="551"/>
    </row>
    <row r="1327" spans="1:24" x14ac:dyDescent="0.25">
      <c r="A1327" s="545">
        <f t="shared" si="94"/>
        <v>200252.48327147187</v>
      </c>
      <c r="B1327" s="3">
        <f t="shared" si="96"/>
        <v>4.0999999999999934</v>
      </c>
      <c r="C1327" s="545">
        <f>'Foglio deposito bis'!$E$158/sezione!$B$247*B1327</f>
        <v>30.457792382746693</v>
      </c>
      <c r="D1327" s="603">
        <f>-'Sollecitazioni nel paramento'!$G$47*'Sollecitazioni nel paramento'!$G$41*IF(DATI!$G$211="dx",DATI!$E$61,DATI!$E$64*DATI!$E$63)*1000*C1327^2*sezione!$AD$5*(1-sezione!$AD$6)</f>
        <v>-20639561.630016722</v>
      </c>
      <c r="E1327" s="545">
        <f>-'Foglio deposito bis'!$F$68*(C1327-sezione!$AL$32)*IF(ABS(K1327)&lt;'Sollecitazioni nel paramento'!$G$58,ABS(K1327)*'Sollecitazioni nel paramento'!$G$54,'Sollecitazioni nel paramento'!$G$53)</f>
        <v>0</v>
      </c>
      <c r="F1327" s="545">
        <f>-'Foglio deposito bis'!$F$69*(C1327-sezione!$AM$32)*IF(ABS(L1327)&lt;'Sollecitazioni nel paramento'!$G$58,ABS(L1327)*'Sollecitazioni nel paramento'!$G$54,'Sollecitazioni nel paramento'!$G$53)</f>
        <v>4539599.1401667763</v>
      </c>
      <c r="G1327" s="545">
        <f>-'Foglio deposito bis'!$F$70*(C1327-sezione!$AN$32)*IF(ABS(M1327)&lt;'Sollecitazioni nel paramento'!$G$58,ABS(M1327)*'Sollecitazioni nel paramento'!$G$54,'Sollecitazioni nel paramento'!$G$53)</f>
        <v>0</v>
      </c>
      <c r="H1327" s="545">
        <f>-'Foglio deposito bis'!$F$71*(C1327-sezione!$AO$32)*IF(ABS(N1327)&lt;'Sollecitazioni nel paramento'!$G$58,ABS(N1327)*'Sollecitazioni nel paramento'!$G$54,'Sollecitazioni nel paramento'!$G$53)</f>
        <v>40767661.968934961</v>
      </c>
      <c r="I1327" s="472">
        <f>-'Foglio deposito bis'!$F$72*(C1327-sezione!$AP$32)*IF(ABS(O1327)&lt;'Sollecitazioni nel paramento'!$G$58,ABS(O1327)*'Sollecitazioni nel paramento'!$G$54,'Sollecitazioni nel paramento'!$G$53)</f>
        <v>235304092.74832696</v>
      </c>
      <c r="J1327" s="472">
        <f t="shared" si="93"/>
        <v>259971792.22741199</v>
      </c>
      <c r="K1327" s="550">
        <f>'Sollecitazioni nel paramento'!$G$60*(sezione!$AL$32-C1327)/C1327</f>
        <v>1.096524864333413E-3</v>
      </c>
      <c r="L1327" s="550">
        <f>'Sollecitazioni nel paramento'!$G$60*(sezione!$AM$32-C1327)/C1327</f>
        <v>3.3947872965001194E-3</v>
      </c>
      <c r="M1327" s="551">
        <f>'Sollecitazioni nel paramento'!$G$60*(sezione!$AN$32-C1327)/C1327</f>
        <v>5.693049728666826E-3</v>
      </c>
      <c r="N1327" s="551">
        <f>'Sollecitazioni nel paramento'!$G$60*(sezione!$AO$32-C1327)/C1327</f>
        <v>1.488609945733365E-2</v>
      </c>
      <c r="O1327" s="551">
        <f>'Sollecitazioni nel paramento'!$G$60*(sezione!$AP$32-C1327)/C1327</f>
        <v>5.4988840989325181E-2</v>
      </c>
      <c r="P1327" s="545">
        <f>-'Sollecitazioni nel paramento'!$G$47*'Sollecitazioni nel paramento'!$G$41*IF(DATI!$G$211="dx",DATI!$E$61,DATI!$E$64*DATI!$E$63)*1000*C1327*sezione!$AD$5</f>
        <v>-1160350.5164055005</v>
      </c>
      <c r="Q1327" s="545">
        <f>'Foglio deposito bis'!$F$68*IF(ABS(K1327)&lt;'Sollecitazioni nel paramento'!$G$58,ABS(K1327)*'Sollecitazioni nel paramento'!$G$54,'Sollecitazioni nel paramento'!$G$53)*IF(K1327&lt;0,-1,1)</f>
        <v>0</v>
      </c>
      <c r="R1327" s="545">
        <f>'Foglio deposito bis'!$F$69*IF(ABS(L1327)&lt;'Sollecitazioni nel paramento'!$G$58,ABS(L1327)*'Sollecitazioni nel paramento'!$G$54,'Sollecitazioni nel paramento'!$G$53)*IF(L1327&lt;0,-1,1)</f>
        <v>153664.85805602249</v>
      </c>
      <c r="S1327" s="545">
        <f>'Foglio deposito bis'!$F$70*IF(ABS(M1327)&lt;'Sollecitazioni nel paramento'!$G$58,ABS(M1327)*'Sollecitazioni nel paramento'!$G$54,'Sollecitazioni nel paramento'!$G$53)*IF(M1327&lt;0,-1,1)</f>
        <v>0</v>
      </c>
      <c r="T1327" s="545">
        <f>'Foglio deposito bis'!$F$71*IF(ABS(N1327)&lt;'Sollecitazioni nel paramento'!$G$58,ABS(N1327)*'Sollecitazioni nel paramento'!$G$54,'Sollecitazioni nel paramento'!$G$53)*IF(N1327&lt;0,-1,1)</f>
        <v>314705.62929873407</v>
      </c>
      <c r="U1327" s="545">
        <f>'Foglio deposito bis'!$F$72*IF(ABS(O1327)&lt;'Sollecitazioni nel paramento'!$G$58,ABS(O1327)*'Sollecitazioni nel paramento'!$G$54,'Sollecitazioni nel paramento'!$G$53)*IF(O1327&lt;0,-1,1)</f>
        <v>491727.54577927204</v>
      </c>
      <c r="V1327" s="472">
        <f t="shared" si="95"/>
        <v>-200252.48327147187</v>
      </c>
      <c r="W1327" s="551"/>
      <c r="X1327" s="551"/>
    </row>
    <row r="1328" spans="1:24" x14ac:dyDescent="0.25">
      <c r="A1328" s="545">
        <f t="shared" si="94"/>
        <v>214403.09932519746</v>
      </c>
      <c r="B1328" s="3">
        <f t="shared" si="96"/>
        <v>4.1499999999999932</v>
      </c>
      <c r="C1328" s="545">
        <f>'Foglio deposito bis'!$E$158/sezione!$B$247*B1328</f>
        <v>30.829228875219211</v>
      </c>
      <c r="D1328" s="603">
        <f>-'Sollecitazioni nel paramento'!$G$47*'Sollecitazioni nel paramento'!$G$41*IF(DATI!$G$211="dx",DATI!$E$61,DATI!$E$64*DATI!$E$63)*1000*C1328^2*sezione!$AD$5*(1-sezione!$AD$6)</f>
        <v>-21146035.108445153</v>
      </c>
      <c r="E1328" s="545">
        <f>-'Foglio deposito bis'!$F$68*(C1328-sezione!$AL$32)*IF(ABS(K1328)&lt;'Sollecitazioni nel paramento'!$G$58,ABS(K1328)*'Sollecitazioni nel paramento'!$G$54,'Sollecitazioni nel paramento'!$G$53)</f>
        <v>0</v>
      </c>
      <c r="F1328" s="545">
        <f>-'Foglio deposito bis'!$F$69*(C1328-sezione!$AM$32)*IF(ABS(L1328)&lt;'Sollecitazioni nel paramento'!$G$58,ABS(L1328)*'Sollecitazioni nel paramento'!$G$54,'Sollecitazioni nel paramento'!$G$53)</f>
        <v>4482522.4042741591</v>
      </c>
      <c r="G1328" s="545">
        <f>-'Foglio deposito bis'!$F$70*(C1328-sezione!$AN$32)*IF(ABS(M1328)&lt;'Sollecitazioni nel paramento'!$G$58,ABS(M1328)*'Sollecitazioni nel paramento'!$G$54,'Sollecitazioni nel paramento'!$G$53)</f>
        <v>0</v>
      </c>
      <c r="H1328" s="545">
        <f>-'Foglio deposito bis'!$F$71*(C1328-sezione!$AO$32)*IF(ABS(N1328)&lt;'Sollecitazioni nel paramento'!$G$58,ABS(N1328)*'Sollecitazioni nel paramento'!$G$54,'Sollecitazioni nel paramento'!$G$53)</f>
        <v>40650768.813826889</v>
      </c>
      <c r="I1328" s="472">
        <f>-'Foglio deposito bis'!$F$72*(C1328-sezione!$AP$32)*IF(ABS(O1328)&lt;'Sollecitazioni nel paramento'!$G$58,ABS(O1328)*'Sollecitazioni nel paramento'!$G$54,'Sollecitazioni nel paramento'!$G$53)</f>
        <v>235121447.19347057</v>
      </c>
      <c r="J1328" s="472">
        <f t="shared" si="93"/>
        <v>259108703.30312645</v>
      </c>
      <c r="K1328" s="550">
        <f>'Sollecitazioni nel paramento'!$G$60*(sezione!$AL$32-C1328)/C1328</f>
        <v>1.041145046690842E-3</v>
      </c>
      <c r="L1328" s="550">
        <f>'Sollecitazioni nel paramento'!$G$60*(sezione!$AM$32-C1328)/C1328</f>
        <v>3.311717570036263E-3</v>
      </c>
      <c r="M1328" s="551">
        <f>'Sollecitazioni nel paramento'!$G$60*(sezione!$AN$32-C1328)/C1328</f>
        <v>5.5822900933816836E-3</v>
      </c>
      <c r="N1328" s="551">
        <f>'Sollecitazioni nel paramento'!$G$60*(sezione!$AO$32-C1328)/C1328</f>
        <v>1.4664580186763369E-2</v>
      </c>
      <c r="O1328" s="551">
        <f>'Sollecitazioni nel paramento'!$G$60*(sezione!$AP$32-C1328)/C1328</f>
        <v>5.4284156158128496E-2</v>
      </c>
      <c r="P1328" s="545">
        <f>-'Sollecitazioni nel paramento'!$G$47*'Sollecitazioni nel paramento'!$G$41*IF(DATI!$G$211="dx",DATI!$E$61,DATI!$E$64*DATI!$E$63)*1000*C1328*sezione!$AD$5</f>
        <v>-1174501.1324592261</v>
      </c>
      <c r="Q1328" s="545">
        <f>'Foglio deposito bis'!$F$68*IF(ABS(K1328)&lt;'Sollecitazioni nel paramento'!$G$58,ABS(K1328)*'Sollecitazioni nel paramento'!$G$54,'Sollecitazioni nel paramento'!$G$53)*IF(K1328&lt;0,-1,1)</f>
        <v>0</v>
      </c>
      <c r="R1328" s="545">
        <f>'Foglio deposito bis'!$F$69*IF(ABS(L1328)&lt;'Sollecitazioni nel paramento'!$G$58,ABS(L1328)*'Sollecitazioni nel paramento'!$G$54,'Sollecitazioni nel paramento'!$G$53)*IF(L1328&lt;0,-1,1)</f>
        <v>153664.85805602249</v>
      </c>
      <c r="S1328" s="545">
        <f>'Foglio deposito bis'!$F$70*IF(ABS(M1328)&lt;'Sollecitazioni nel paramento'!$G$58,ABS(M1328)*'Sollecitazioni nel paramento'!$G$54,'Sollecitazioni nel paramento'!$G$53)*IF(M1328&lt;0,-1,1)</f>
        <v>0</v>
      </c>
      <c r="T1328" s="545">
        <f>'Foglio deposito bis'!$F$71*IF(ABS(N1328)&lt;'Sollecitazioni nel paramento'!$G$58,ABS(N1328)*'Sollecitazioni nel paramento'!$G$54,'Sollecitazioni nel paramento'!$G$53)*IF(N1328&lt;0,-1,1)</f>
        <v>314705.62929873407</v>
      </c>
      <c r="U1328" s="545">
        <f>'Foglio deposito bis'!$F$72*IF(ABS(O1328)&lt;'Sollecitazioni nel paramento'!$G$58,ABS(O1328)*'Sollecitazioni nel paramento'!$G$54,'Sollecitazioni nel paramento'!$G$53)*IF(O1328&lt;0,-1,1)</f>
        <v>491727.54577927204</v>
      </c>
      <c r="V1328" s="472">
        <f t="shared" si="95"/>
        <v>-214403.09932519746</v>
      </c>
      <c r="W1328" s="551"/>
      <c r="X1328" s="551"/>
    </row>
    <row r="1329" spans="1:24" x14ac:dyDescent="0.25">
      <c r="A1329" s="545">
        <f t="shared" si="94"/>
        <v>228553.71537892305</v>
      </c>
      <c r="B1329" s="3">
        <f t="shared" si="96"/>
        <v>4.1999999999999931</v>
      </c>
      <c r="C1329" s="545">
        <f>'Foglio deposito bis'!$E$158/sezione!$B$247*B1329</f>
        <v>31.20066536769173</v>
      </c>
      <c r="D1329" s="603">
        <f>-'Sollecitazioni nel paramento'!$G$47*'Sollecitazioni nel paramento'!$G$41*IF(DATI!$G$211="dx",DATI!$E$61,DATI!$E$64*DATI!$E$63)*1000*C1329^2*sezione!$AD$5*(1-sezione!$AD$6)</f>
        <v>-21658647.65933938</v>
      </c>
      <c r="E1329" s="545">
        <f>-'Foglio deposito bis'!$F$68*(C1329-sezione!$AL$32)*IF(ABS(K1329)&lt;'Sollecitazioni nel paramento'!$G$58,ABS(K1329)*'Sollecitazioni nel paramento'!$G$54,'Sollecitazioni nel paramento'!$G$53)</f>
        <v>0</v>
      </c>
      <c r="F1329" s="545">
        <f>-'Foglio deposito bis'!$F$69*(C1329-sezione!$AM$32)*IF(ABS(L1329)&lt;'Sollecitazioni nel paramento'!$G$58,ABS(L1329)*'Sollecitazioni nel paramento'!$G$54,'Sollecitazioni nel paramento'!$G$53)</f>
        <v>4425445.6683815438</v>
      </c>
      <c r="G1329" s="545">
        <f>-'Foglio deposito bis'!$F$70*(C1329-sezione!$AN$32)*IF(ABS(M1329)&lt;'Sollecitazioni nel paramento'!$G$58,ABS(M1329)*'Sollecitazioni nel paramento'!$G$54,'Sollecitazioni nel paramento'!$G$53)</f>
        <v>0</v>
      </c>
      <c r="H1329" s="545">
        <f>-'Foglio deposito bis'!$F$71*(C1329-sezione!$AO$32)*IF(ABS(N1329)&lt;'Sollecitazioni nel paramento'!$G$58,ABS(N1329)*'Sollecitazioni nel paramento'!$G$54,'Sollecitazioni nel paramento'!$G$53)</f>
        <v>40533875.658718809</v>
      </c>
      <c r="I1329" s="472">
        <f>-'Foglio deposito bis'!$F$72*(C1329-sezione!$AP$32)*IF(ABS(O1329)&lt;'Sollecitazioni nel paramento'!$G$58,ABS(O1329)*'Sollecitazioni nel paramento'!$G$54,'Sollecitazioni nel paramento'!$G$53)</f>
        <v>234938801.63861418</v>
      </c>
      <c r="J1329" s="472">
        <f t="shared" si="93"/>
        <v>258239475.30637515</v>
      </c>
      <c r="K1329" s="550">
        <f>'Sollecitazioni nel paramento'!$G$60*(sezione!$AL$32-C1329)/C1329</f>
        <v>9.87083796134999E-4</v>
      </c>
      <c r="L1329" s="550">
        <f>'Sollecitazioni nel paramento'!$G$60*(sezione!$AM$32-C1329)/C1329</f>
        <v>3.2306256942024984E-3</v>
      </c>
      <c r="M1329" s="551">
        <f>'Sollecitazioni nel paramento'!$G$60*(sezione!$AN$32-C1329)/C1329</f>
        <v>5.4741675922699981E-3</v>
      </c>
      <c r="N1329" s="551">
        <f>'Sollecitazioni nel paramento'!$G$60*(sezione!$AO$32-C1329)/C1329</f>
        <v>1.4448335184539996E-2</v>
      </c>
      <c r="O1329" s="551">
        <f>'Sollecitazioni nel paramento'!$G$60*(sezione!$AP$32-C1329)/C1329</f>
        <v>5.3596249537198402E-2</v>
      </c>
      <c r="P1329" s="545">
        <f>-'Sollecitazioni nel paramento'!$G$47*'Sollecitazioni nel paramento'!$G$41*IF(DATI!$G$211="dx",DATI!$E$61,DATI!$E$64*DATI!$E$63)*1000*C1329*sezione!$AD$5</f>
        <v>-1188651.7485129517</v>
      </c>
      <c r="Q1329" s="545">
        <f>'Foglio deposito bis'!$F$68*IF(ABS(K1329)&lt;'Sollecitazioni nel paramento'!$G$58,ABS(K1329)*'Sollecitazioni nel paramento'!$G$54,'Sollecitazioni nel paramento'!$G$53)*IF(K1329&lt;0,-1,1)</f>
        <v>0</v>
      </c>
      <c r="R1329" s="545">
        <f>'Foglio deposito bis'!$F$69*IF(ABS(L1329)&lt;'Sollecitazioni nel paramento'!$G$58,ABS(L1329)*'Sollecitazioni nel paramento'!$G$54,'Sollecitazioni nel paramento'!$G$53)*IF(L1329&lt;0,-1,1)</f>
        <v>153664.85805602249</v>
      </c>
      <c r="S1329" s="545">
        <f>'Foglio deposito bis'!$F$70*IF(ABS(M1329)&lt;'Sollecitazioni nel paramento'!$G$58,ABS(M1329)*'Sollecitazioni nel paramento'!$G$54,'Sollecitazioni nel paramento'!$G$53)*IF(M1329&lt;0,-1,1)</f>
        <v>0</v>
      </c>
      <c r="T1329" s="545">
        <f>'Foglio deposito bis'!$F$71*IF(ABS(N1329)&lt;'Sollecitazioni nel paramento'!$G$58,ABS(N1329)*'Sollecitazioni nel paramento'!$G$54,'Sollecitazioni nel paramento'!$G$53)*IF(N1329&lt;0,-1,1)</f>
        <v>314705.62929873407</v>
      </c>
      <c r="U1329" s="545">
        <f>'Foglio deposito bis'!$F$72*IF(ABS(O1329)&lt;'Sollecitazioni nel paramento'!$G$58,ABS(O1329)*'Sollecitazioni nel paramento'!$G$54,'Sollecitazioni nel paramento'!$G$53)*IF(O1329&lt;0,-1,1)</f>
        <v>491727.54577927204</v>
      </c>
      <c r="V1329" s="472">
        <f t="shared" si="95"/>
        <v>-228553.71537892305</v>
      </c>
      <c r="W1329" s="551"/>
      <c r="X1329" s="551"/>
    </row>
    <row r="1330" spans="1:24" x14ac:dyDescent="0.25">
      <c r="A1330" s="545">
        <f t="shared" si="94"/>
        <v>242704.33143264864</v>
      </c>
      <c r="B1330" s="3">
        <f t="shared" si="96"/>
        <v>4.2499999999999929</v>
      </c>
      <c r="C1330" s="545">
        <f>'Foglio deposito bis'!$E$158/sezione!$B$247*B1330</f>
        <v>31.572101860164249</v>
      </c>
      <c r="D1330" s="603">
        <f>-'Sollecitazioni nel paramento'!$G$47*'Sollecitazioni nel paramento'!$G$41*IF(DATI!$G$211="dx",DATI!$E$61,DATI!$E$64*DATI!$E$63)*1000*C1330^2*sezione!$AD$5*(1-sezione!$AD$6)</f>
        <v>-22177399.282699399</v>
      </c>
      <c r="E1330" s="545">
        <f>-'Foglio deposito bis'!$F$68*(C1330-sezione!$AL$32)*IF(ABS(K1330)&lt;'Sollecitazioni nel paramento'!$G$58,ABS(K1330)*'Sollecitazioni nel paramento'!$G$54,'Sollecitazioni nel paramento'!$G$53)</f>
        <v>0</v>
      </c>
      <c r="F1330" s="545">
        <f>-'Foglio deposito bis'!$F$69*(C1330-sezione!$AM$32)*IF(ABS(L1330)&lt;'Sollecitazioni nel paramento'!$G$58,ABS(L1330)*'Sollecitazioni nel paramento'!$G$54,'Sollecitazioni nel paramento'!$G$53)</f>
        <v>4368368.9324889267</v>
      </c>
      <c r="G1330" s="545">
        <f>-'Foglio deposito bis'!$F$70*(C1330-sezione!$AN$32)*IF(ABS(M1330)&lt;'Sollecitazioni nel paramento'!$G$58,ABS(M1330)*'Sollecitazioni nel paramento'!$G$54,'Sollecitazioni nel paramento'!$G$53)</f>
        <v>0</v>
      </c>
      <c r="H1330" s="545">
        <f>-'Foglio deposito bis'!$F$71*(C1330-sezione!$AO$32)*IF(ABS(N1330)&lt;'Sollecitazioni nel paramento'!$G$58,ABS(N1330)*'Sollecitazioni nel paramento'!$G$54,'Sollecitazioni nel paramento'!$G$53)</f>
        <v>40416982.50361073</v>
      </c>
      <c r="I1330" s="472">
        <f>-'Foglio deposito bis'!$F$72*(C1330-sezione!$AP$32)*IF(ABS(O1330)&lt;'Sollecitazioni nel paramento'!$G$58,ABS(O1330)*'Sollecitazioni nel paramento'!$G$54,'Sollecitazioni nel paramento'!$G$53)</f>
        <v>234756156.08375779</v>
      </c>
      <c r="J1330" s="472">
        <f t="shared" si="93"/>
        <v>257364108.23715806</v>
      </c>
      <c r="K1330" s="550">
        <f>'Sollecitazioni nel paramento'!$G$60*(sezione!$AL$32-C1330)/C1330</f>
        <v>9.3429457500399918E-4</v>
      </c>
      <c r="L1330" s="550">
        <f>'Sollecitazioni nel paramento'!$G$60*(sezione!$AM$32-C1330)/C1330</f>
        <v>3.151441862505999E-3</v>
      </c>
      <c r="M1330" s="551">
        <f>'Sollecitazioni nel paramento'!$G$60*(sezione!$AN$32-C1330)/C1330</f>
        <v>5.3685891500079982E-3</v>
      </c>
      <c r="N1330" s="551">
        <f>'Sollecitazioni nel paramento'!$G$60*(sezione!$AO$32-C1330)/C1330</f>
        <v>1.4237178300015996E-2</v>
      </c>
      <c r="O1330" s="551">
        <f>'Sollecitazioni nel paramento'!$G$60*(sezione!$AP$32-C1330)/C1330</f>
        <v>5.2924528954407829E-2</v>
      </c>
      <c r="P1330" s="545">
        <f>-'Sollecitazioni nel paramento'!$G$47*'Sollecitazioni nel paramento'!$G$41*IF(DATI!$G$211="dx",DATI!$E$61,DATI!$E$64*DATI!$E$63)*1000*C1330*sezione!$AD$5</f>
        <v>-1202802.3645666772</v>
      </c>
      <c r="Q1330" s="545">
        <f>'Foglio deposito bis'!$F$68*IF(ABS(K1330)&lt;'Sollecitazioni nel paramento'!$G$58,ABS(K1330)*'Sollecitazioni nel paramento'!$G$54,'Sollecitazioni nel paramento'!$G$53)*IF(K1330&lt;0,-1,1)</f>
        <v>0</v>
      </c>
      <c r="R1330" s="545">
        <f>'Foglio deposito bis'!$F$69*IF(ABS(L1330)&lt;'Sollecitazioni nel paramento'!$G$58,ABS(L1330)*'Sollecitazioni nel paramento'!$G$54,'Sollecitazioni nel paramento'!$G$53)*IF(L1330&lt;0,-1,1)</f>
        <v>153664.85805602249</v>
      </c>
      <c r="S1330" s="545">
        <f>'Foglio deposito bis'!$F$70*IF(ABS(M1330)&lt;'Sollecitazioni nel paramento'!$G$58,ABS(M1330)*'Sollecitazioni nel paramento'!$G$54,'Sollecitazioni nel paramento'!$G$53)*IF(M1330&lt;0,-1,1)</f>
        <v>0</v>
      </c>
      <c r="T1330" s="545">
        <f>'Foglio deposito bis'!$F$71*IF(ABS(N1330)&lt;'Sollecitazioni nel paramento'!$G$58,ABS(N1330)*'Sollecitazioni nel paramento'!$G$54,'Sollecitazioni nel paramento'!$G$53)*IF(N1330&lt;0,-1,1)</f>
        <v>314705.62929873407</v>
      </c>
      <c r="U1330" s="545">
        <f>'Foglio deposito bis'!$F$72*IF(ABS(O1330)&lt;'Sollecitazioni nel paramento'!$G$58,ABS(O1330)*'Sollecitazioni nel paramento'!$G$54,'Sollecitazioni nel paramento'!$G$53)*IF(O1330&lt;0,-1,1)</f>
        <v>491727.54577927204</v>
      </c>
      <c r="V1330" s="472">
        <f t="shared" si="95"/>
        <v>-242704.33143264864</v>
      </c>
      <c r="W1330" s="551"/>
      <c r="X1330" s="551"/>
    </row>
    <row r="1331" spans="1:24" x14ac:dyDescent="0.25">
      <c r="A1331" s="545">
        <f t="shared" si="94"/>
        <v>256854.94748637424</v>
      </c>
      <c r="B1331" s="3">
        <f t="shared" si="96"/>
        <v>4.2999999999999927</v>
      </c>
      <c r="C1331" s="545">
        <f>'Foglio deposito bis'!$E$158/sezione!$B$247*B1331</f>
        <v>31.943538352636772</v>
      </c>
      <c r="D1331" s="603">
        <f>-'Sollecitazioni nel paramento'!$G$47*'Sollecitazioni nel paramento'!$G$41*IF(DATI!$G$211="dx",DATI!$E$61,DATI!$E$64*DATI!$E$63)*1000*C1331^2*sezione!$AD$5*(1-sezione!$AD$6)</f>
        <v>-22702289.978525233</v>
      </c>
      <c r="E1331" s="545">
        <f>-'Foglio deposito bis'!$F$68*(C1331-sezione!$AL$32)*IF(ABS(K1331)&lt;'Sollecitazioni nel paramento'!$G$58,ABS(K1331)*'Sollecitazioni nel paramento'!$G$54,'Sollecitazioni nel paramento'!$G$53)</f>
        <v>0</v>
      </c>
      <c r="F1331" s="545">
        <f>-'Foglio deposito bis'!$F$69*(C1331-sezione!$AM$32)*IF(ABS(L1331)&lt;'Sollecitazioni nel paramento'!$G$58,ABS(L1331)*'Sollecitazioni nel paramento'!$G$54,'Sollecitazioni nel paramento'!$G$53)</f>
        <v>4311292.1965963095</v>
      </c>
      <c r="G1331" s="545">
        <f>-'Foglio deposito bis'!$F$70*(C1331-sezione!$AN$32)*IF(ABS(M1331)&lt;'Sollecitazioni nel paramento'!$G$58,ABS(M1331)*'Sollecitazioni nel paramento'!$G$54,'Sollecitazioni nel paramento'!$G$53)</f>
        <v>0</v>
      </c>
      <c r="H1331" s="545">
        <f>-'Foglio deposito bis'!$F$71*(C1331-sezione!$AO$32)*IF(ABS(N1331)&lt;'Sollecitazioni nel paramento'!$G$58,ABS(N1331)*'Sollecitazioni nel paramento'!$G$54,'Sollecitazioni nel paramento'!$G$53)</f>
        <v>40300089.348502651</v>
      </c>
      <c r="I1331" s="472">
        <f>-'Foglio deposito bis'!$F$72*(C1331-sezione!$AP$32)*IF(ABS(O1331)&lt;'Sollecitazioni nel paramento'!$G$58,ABS(O1331)*'Sollecitazioni nel paramento'!$G$54,'Sollecitazioni nel paramento'!$G$53)</f>
        <v>234573510.52890146</v>
      </c>
      <c r="J1331" s="472">
        <f t="shared" si="93"/>
        <v>256482602.0954752</v>
      </c>
      <c r="K1331" s="550">
        <f>'Sollecitazioni nel paramento'!$G$60*(sezione!$AL$32-C1331)/C1331</f>
        <v>8.8273301017837097E-4</v>
      </c>
      <c r="L1331" s="550">
        <f>'Sollecitazioni nel paramento'!$G$60*(sezione!$AM$32-C1331)/C1331</f>
        <v>3.0740995152675563E-3</v>
      </c>
      <c r="M1331" s="551">
        <f>'Sollecitazioni nel paramento'!$G$60*(sezione!$AN$32-C1331)/C1331</f>
        <v>5.2654660203567422E-3</v>
      </c>
      <c r="N1331" s="551">
        <f>'Sollecitazioni nel paramento'!$G$60*(sezione!$AO$32-C1331)/C1331</f>
        <v>1.4030932040713482E-2</v>
      </c>
      <c r="O1331" s="551">
        <f>'Sollecitazioni nel paramento'!$G$60*(sezione!$AP$32-C1331)/C1331</f>
        <v>5.2268429780519363E-2</v>
      </c>
      <c r="P1331" s="545">
        <f>-'Sollecitazioni nel paramento'!$G$47*'Sollecitazioni nel paramento'!$G$41*IF(DATI!$G$211="dx",DATI!$E$61,DATI!$E$64*DATI!$E$63)*1000*C1331*sezione!$AD$5</f>
        <v>-1216952.9806204028</v>
      </c>
      <c r="Q1331" s="545">
        <f>'Foglio deposito bis'!$F$68*IF(ABS(K1331)&lt;'Sollecitazioni nel paramento'!$G$58,ABS(K1331)*'Sollecitazioni nel paramento'!$G$54,'Sollecitazioni nel paramento'!$G$53)*IF(K1331&lt;0,-1,1)</f>
        <v>0</v>
      </c>
      <c r="R1331" s="545">
        <f>'Foglio deposito bis'!$F$69*IF(ABS(L1331)&lt;'Sollecitazioni nel paramento'!$G$58,ABS(L1331)*'Sollecitazioni nel paramento'!$G$54,'Sollecitazioni nel paramento'!$G$53)*IF(L1331&lt;0,-1,1)</f>
        <v>153664.85805602249</v>
      </c>
      <c r="S1331" s="545">
        <f>'Foglio deposito bis'!$F$70*IF(ABS(M1331)&lt;'Sollecitazioni nel paramento'!$G$58,ABS(M1331)*'Sollecitazioni nel paramento'!$G$54,'Sollecitazioni nel paramento'!$G$53)*IF(M1331&lt;0,-1,1)</f>
        <v>0</v>
      </c>
      <c r="T1331" s="545">
        <f>'Foglio deposito bis'!$F$71*IF(ABS(N1331)&lt;'Sollecitazioni nel paramento'!$G$58,ABS(N1331)*'Sollecitazioni nel paramento'!$G$54,'Sollecitazioni nel paramento'!$G$53)*IF(N1331&lt;0,-1,1)</f>
        <v>314705.62929873407</v>
      </c>
      <c r="U1331" s="545">
        <f>'Foglio deposito bis'!$F$72*IF(ABS(O1331)&lt;'Sollecitazioni nel paramento'!$G$58,ABS(O1331)*'Sollecitazioni nel paramento'!$G$54,'Sollecitazioni nel paramento'!$G$53)*IF(O1331&lt;0,-1,1)</f>
        <v>491727.54577927204</v>
      </c>
      <c r="V1331" s="472">
        <f t="shared" si="95"/>
        <v>-256854.94748637424</v>
      </c>
      <c r="W1331" s="551"/>
      <c r="X1331" s="551"/>
    </row>
    <row r="1332" spans="1:24" x14ac:dyDescent="0.25">
      <c r="A1332" s="545">
        <f t="shared" si="94"/>
        <v>271005.56354009983</v>
      </c>
      <c r="B1332" s="3">
        <f t="shared" si="96"/>
        <v>4.3499999999999925</v>
      </c>
      <c r="C1332" s="545">
        <f>'Foglio deposito bis'!$E$158/sezione!$B$247*B1332</f>
        <v>32.31497484510929</v>
      </c>
      <c r="D1332" s="603">
        <f>-'Sollecitazioni nel paramento'!$G$47*'Sollecitazioni nel paramento'!$G$41*IF(DATI!$G$211="dx",DATI!$E$61,DATI!$E$64*DATI!$E$63)*1000*C1332^2*sezione!$AD$5*(1-sezione!$AD$6)</f>
        <v>-23233319.746816855</v>
      </c>
      <c r="E1332" s="545">
        <f>-'Foglio deposito bis'!$F$68*(C1332-sezione!$AL$32)*IF(ABS(K1332)&lt;'Sollecitazioni nel paramento'!$G$58,ABS(K1332)*'Sollecitazioni nel paramento'!$G$54,'Sollecitazioni nel paramento'!$G$53)</f>
        <v>0</v>
      </c>
      <c r="F1332" s="545">
        <f>-'Foglio deposito bis'!$F$69*(C1332-sezione!$AM$32)*IF(ABS(L1332)&lt;'Sollecitazioni nel paramento'!$G$58,ABS(L1332)*'Sollecitazioni nel paramento'!$G$54,'Sollecitazioni nel paramento'!$G$53)</f>
        <v>4254215.4607036933</v>
      </c>
      <c r="G1332" s="545">
        <f>-'Foglio deposito bis'!$F$70*(C1332-sezione!$AN$32)*IF(ABS(M1332)&lt;'Sollecitazioni nel paramento'!$G$58,ABS(M1332)*'Sollecitazioni nel paramento'!$G$54,'Sollecitazioni nel paramento'!$G$53)</f>
        <v>0</v>
      </c>
      <c r="H1332" s="545">
        <f>-'Foglio deposito bis'!$F$71*(C1332-sezione!$AO$32)*IF(ABS(N1332)&lt;'Sollecitazioni nel paramento'!$G$58,ABS(N1332)*'Sollecitazioni nel paramento'!$G$54,'Sollecitazioni nel paramento'!$G$53)</f>
        <v>40183196.193394572</v>
      </c>
      <c r="I1332" s="472">
        <f>-'Foglio deposito bis'!$F$72*(C1332-sezione!$AP$32)*IF(ABS(O1332)&lt;'Sollecitazioni nel paramento'!$G$58,ABS(O1332)*'Sollecitazioni nel paramento'!$G$54,'Sollecitazioni nel paramento'!$G$53)</f>
        <v>234390864.97404507</v>
      </c>
      <c r="J1332" s="472">
        <f t="shared" si="93"/>
        <v>255594956.88132647</v>
      </c>
      <c r="K1332" s="550">
        <f>'Sollecitazioni nel paramento'!$G$60*(sezione!$AL$32-C1332)/C1332</f>
        <v>8.3235676868206811E-4</v>
      </c>
      <c r="L1332" s="550">
        <f>'Sollecitazioni nel paramento'!$G$60*(sezione!$AM$32-C1332)/C1332</f>
        <v>2.9985351530231021E-3</v>
      </c>
      <c r="M1332" s="551">
        <f>'Sollecitazioni nel paramento'!$G$60*(sezione!$AN$32-C1332)/C1332</f>
        <v>5.1647135373641363E-3</v>
      </c>
      <c r="N1332" s="551">
        <f>'Sollecitazioni nel paramento'!$G$60*(sezione!$AO$32-C1332)/C1332</f>
        <v>1.3829427074728272E-2</v>
      </c>
      <c r="O1332" s="551">
        <f>'Sollecitazioni nel paramento'!$G$60*(sezione!$AP$32-C1332)/C1332</f>
        <v>5.1627413346260517E-2</v>
      </c>
      <c r="P1332" s="545">
        <f>-'Sollecitazioni nel paramento'!$G$47*'Sollecitazioni nel paramento'!$G$41*IF(DATI!$G$211="dx",DATI!$E$61,DATI!$E$64*DATI!$E$63)*1000*C1332*sezione!$AD$5</f>
        <v>-1231103.5966741284</v>
      </c>
      <c r="Q1332" s="545">
        <f>'Foglio deposito bis'!$F$68*IF(ABS(K1332)&lt;'Sollecitazioni nel paramento'!$G$58,ABS(K1332)*'Sollecitazioni nel paramento'!$G$54,'Sollecitazioni nel paramento'!$G$53)*IF(K1332&lt;0,-1,1)</f>
        <v>0</v>
      </c>
      <c r="R1332" s="545">
        <f>'Foglio deposito bis'!$F$69*IF(ABS(L1332)&lt;'Sollecitazioni nel paramento'!$G$58,ABS(L1332)*'Sollecitazioni nel paramento'!$G$54,'Sollecitazioni nel paramento'!$G$53)*IF(L1332&lt;0,-1,1)</f>
        <v>153664.85805602249</v>
      </c>
      <c r="S1332" s="545">
        <f>'Foglio deposito bis'!$F$70*IF(ABS(M1332)&lt;'Sollecitazioni nel paramento'!$G$58,ABS(M1332)*'Sollecitazioni nel paramento'!$G$54,'Sollecitazioni nel paramento'!$G$53)*IF(M1332&lt;0,-1,1)</f>
        <v>0</v>
      </c>
      <c r="T1332" s="545">
        <f>'Foglio deposito bis'!$F$71*IF(ABS(N1332)&lt;'Sollecitazioni nel paramento'!$G$58,ABS(N1332)*'Sollecitazioni nel paramento'!$G$54,'Sollecitazioni nel paramento'!$G$53)*IF(N1332&lt;0,-1,1)</f>
        <v>314705.62929873407</v>
      </c>
      <c r="U1332" s="545">
        <f>'Foglio deposito bis'!$F$72*IF(ABS(O1332)&lt;'Sollecitazioni nel paramento'!$G$58,ABS(O1332)*'Sollecitazioni nel paramento'!$G$54,'Sollecitazioni nel paramento'!$G$53)*IF(O1332&lt;0,-1,1)</f>
        <v>491727.54577927204</v>
      </c>
      <c r="V1332" s="472">
        <f t="shared" si="95"/>
        <v>-271005.56354009983</v>
      </c>
      <c r="W1332" s="551"/>
      <c r="X1332" s="551"/>
    </row>
    <row r="1333" spans="1:24" x14ac:dyDescent="0.25">
      <c r="A1333" s="545">
        <f t="shared" si="94"/>
        <v>285156.17959382542</v>
      </c>
      <c r="B1333" s="3">
        <f t="shared" si="96"/>
        <v>4.3999999999999924</v>
      </c>
      <c r="C1333" s="545">
        <f>'Foglio deposito bis'!$E$158/sezione!$B$247*B1333</f>
        <v>32.686411337581809</v>
      </c>
      <c r="D1333" s="603">
        <f>-'Sollecitazioni nel paramento'!$G$47*'Sollecitazioni nel paramento'!$G$41*IF(DATI!$G$211="dx",DATI!$E$61,DATI!$E$64*DATI!$E$63)*1000*C1333^2*sezione!$AD$5*(1-sezione!$AD$6)</f>
        <v>-23770488.587574273</v>
      </c>
      <c r="E1333" s="545">
        <f>-'Foglio deposito bis'!$F$68*(C1333-sezione!$AL$32)*IF(ABS(K1333)&lt;'Sollecitazioni nel paramento'!$G$58,ABS(K1333)*'Sollecitazioni nel paramento'!$G$54,'Sollecitazioni nel paramento'!$G$53)</f>
        <v>0</v>
      </c>
      <c r="F1333" s="545">
        <f>-'Foglio deposito bis'!$F$69*(C1333-sezione!$AM$32)*IF(ABS(L1333)&lt;'Sollecitazioni nel paramento'!$G$58,ABS(L1333)*'Sollecitazioni nel paramento'!$G$54,'Sollecitazioni nel paramento'!$G$53)</f>
        <v>4197138.7248110762</v>
      </c>
      <c r="G1333" s="545">
        <f>-'Foglio deposito bis'!$F$70*(C1333-sezione!$AN$32)*IF(ABS(M1333)&lt;'Sollecitazioni nel paramento'!$G$58,ABS(M1333)*'Sollecitazioni nel paramento'!$G$54,'Sollecitazioni nel paramento'!$G$53)</f>
        <v>0</v>
      </c>
      <c r="H1333" s="545">
        <f>-'Foglio deposito bis'!$F$71*(C1333-sezione!$AO$32)*IF(ABS(N1333)&lt;'Sollecitazioni nel paramento'!$G$58,ABS(N1333)*'Sollecitazioni nel paramento'!$G$54,'Sollecitazioni nel paramento'!$G$53)</f>
        <v>40066303.038286492</v>
      </c>
      <c r="I1333" s="472">
        <f>-'Foglio deposito bis'!$F$72*(C1333-sezione!$AP$32)*IF(ABS(O1333)&lt;'Sollecitazioni nel paramento'!$G$58,ABS(O1333)*'Sollecitazioni nel paramento'!$G$54,'Sollecitazioni nel paramento'!$G$53)</f>
        <v>234208219.41918868</v>
      </c>
      <c r="J1333" s="472">
        <f t="shared" si="93"/>
        <v>254701172.59471196</v>
      </c>
      <c r="K1333" s="550">
        <f>'Sollecitazioni nel paramento'!$G$60*(sezione!$AL$32-C1333)/C1333</f>
        <v>7.8312544176522669E-4</v>
      </c>
      <c r="L1333" s="550">
        <f>'Sollecitazioni nel paramento'!$G$60*(sezione!$AM$32-C1333)/C1333</f>
        <v>2.92468816264784E-3</v>
      </c>
      <c r="M1333" s="551">
        <f>'Sollecitazioni nel paramento'!$G$60*(sezione!$AN$32-C1333)/C1333</f>
        <v>5.0662508835304532E-3</v>
      </c>
      <c r="N1333" s="551">
        <f>'Sollecitazioni nel paramento'!$G$60*(sezione!$AO$32-C1333)/C1333</f>
        <v>1.3632501767060908E-2</v>
      </c>
      <c r="O1333" s="551">
        <f>'Sollecitazioni nel paramento'!$G$60*(sezione!$AP$32-C1333)/C1333</f>
        <v>5.100096546732575E-2</v>
      </c>
      <c r="P1333" s="545">
        <f>-'Sollecitazioni nel paramento'!$G$47*'Sollecitazioni nel paramento'!$G$41*IF(DATI!$G$211="dx",DATI!$E$61,DATI!$E$64*DATI!$E$63)*1000*C1333*sezione!$AD$5</f>
        <v>-1245254.212727854</v>
      </c>
      <c r="Q1333" s="545">
        <f>'Foglio deposito bis'!$F$68*IF(ABS(K1333)&lt;'Sollecitazioni nel paramento'!$G$58,ABS(K1333)*'Sollecitazioni nel paramento'!$G$54,'Sollecitazioni nel paramento'!$G$53)*IF(K1333&lt;0,-1,1)</f>
        <v>0</v>
      </c>
      <c r="R1333" s="545">
        <f>'Foglio deposito bis'!$F$69*IF(ABS(L1333)&lt;'Sollecitazioni nel paramento'!$G$58,ABS(L1333)*'Sollecitazioni nel paramento'!$G$54,'Sollecitazioni nel paramento'!$G$53)*IF(L1333&lt;0,-1,1)</f>
        <v>153664.85805602249</v>
      </c>
      <c r="S1333" s="545">
        <f>'Foglio deposito bis'!$F$70*IF(ABS(M1333)&lt;'Sollecitazioni nel paramento'!$G$58,ABS(M1333)*'Sollecitazioni nel paramento'!$G$54,'Sollecitazioni nel paramento'!$G$53)*IF(M1333&lt;0,-1,1)</f>
        <v>0</v>
      </c>
      <c r="T1333" s="545">
        <f>'Foglio deposito bis'!$F$71*IF(ABS(N1333)&lt;'Sollecitazioni nel paramento'!$G$58,ABS(N1333)*'Sollecitazioni nel paramento'!$G$54,'Sollecitazioni nel paramento'!$G$53)*IF(N1333&lt;0,-1,1)</f>
        <v>314705.62929873407</v>
      </c>
      <c r="U1333" s="545">
        <f>'Foglio deposito bis'!$F$72*IF(ABS(O1333)&lt;'Sollecitazioni nel paramento'!$G$58,ABS(O1333)*'Sollecitazioni nel paramento'!$G$54,'Sollecitazioni nel paramento'!$G$53)*IF(O1333&lt;0,-1,1)</f>
        <v>491727.54577927204</v>
      </c>
      <c r="V1333" s="472">
        <f t="shared" si="95"/>
        <v>-285156.17959382542</v>
      </c>
      <c r="W1333" s="551"/>
      <c r="X1333" s="551"/>
    </row>
    <row r="1334" spans="1:24" x14ac:dyDescent="0.25">
      <c r="A1334" s="545">
        <f t="shared" si="94"/>
        <v>299306.79564755101</v>
      </c>
      <c r="B1334" s="3">
        <f t="shared" si="96"/>
        <v>4.4499999999999922</v>
      </c>
      <c r="C1334" s="545">
        <f>'Foglio deposito bis'!$E$158/sezione!$B$247*B1334</f>
        <v>33.057847830054328</v>
      </c>
      <c r="D1334" s="603">
        <f>-'Sollecitazioni nel paramento'!$G$47*'Sollecitazioni nel paramento'!$G$41*IF(DATI!$G$211="dx",DATI!$E$61,DATI!$E$64*DATI!$E$63)*1000*C1334^2*sezione!$AD$5*(1-sezione!$AD$6)</f>
        <v>-24313796.500797499</v>
      </c>
      <c r="E1334" s="545">
        <f>-'Foglio deposito bis'!$F$68*(C1334-sezione!$AL$32)*IF(ABS(K1334)&lt;'Sollecitazioni nel paramento'!$G$58,ABS(K1334)*'Sollecitazioni nel paramento'!$G$54,'Sollecitazioni nel paramento'!$G$53)</f>
        <v>0</v>
      </c>
      <c r="F1334" s="545">
        <f>-'Foglio deposito bis'!$F$69*(C1334-sezione!$AM$32)*IF(ABS(L1334)&lt;'Sollecitazioni nel paramento'!$G$58,ABS(L1334)*'Sollecitazioni nel paramento'!$G$54,'Sollecitazioni nel paramento'!$G$53)</f>
        <v>4140061.98891846</v>
      </c>
      <c r="G1334" s="545">
        <f>-'Foglio deposito bis'!$F$70*(C1334-sezione!$AN$32)*IF(ABS(M1334)&lt;'Sollecitazioni nel paramento'!$G$58,ABS(M1334)*'Sollecitazioni nel paramento'!$G$54,'Sollecitazioni nel paramento'!$G$53)</f>
        <v>0</v>
      </c>
      <c r="H1334" s="545">
        <f>-'Foglio deposito bis'!$F$71*(C1334-sezione!$AO$32)*IF(ABS(N1334)&lt;'Sollecitazioni nel paramento'!$G$58,ABS(N1334)*'Sollecitazioni nel paramento'!$G$54,'Sollecitazioni nel paramento'!$G$53)</f>
        <v>39949409.883178413</v>
      </c>
      <c r="I1334" s="472">
        <f>-'Foglio deposito bis'!$F$72*(C1334-sezione!$AP$32)*IF(ABS(O1334)&lt;'Sollecitazioni nel paramento'!$G$58,ABS(O1334)*'Sollecitazioni nel paramento'!$G$54,'Sollecitazioni nel paramento'!$G$53)</f>
        <v>234025573.86433229</v>
      </c>
      <c r="J1334" s="472">
        <f t="shared" si="93"/>
        <v>253801249.23563167</v>
      </c>
      <c r="K1334" s="550">
        <f>'Sollecitazioni nel paramento'!$G$60*(sezione!$AL$32-C1334)/C1334</f>
        <v>7.3500043680157264E-4</v>
      </c>
      <c r="L1334" s="550">
        <f>'Sollecitazioni nel paramento'!$G$60*(sezione!$AM$32-C1334)/C1334</f>
        <v>2.8525006552023589E-3</v>
      </c>
      <c r="M1334" s="551">
        <f>'Sollecitazioni nel paramento'!$G$60*(sezione!$AN$32-C1334)/C1334</f>
        <v>4.970000873603146E-3</v>
      </c>
      <c r="N1334" s="551">
        <f>'Sollecitazioni nel paramento'!$G$60*(sezione!$AO$32-C1334)/C1334</f>
        <v>1.3440001747206292E-2</v>
      </c>
      <c r="O1334" s="551">
        <f>'Sollecitazioni nel paramento'!$G$60*(sezione!$AP$32-C1334)/C1334</f>
        <v>5.0388595068816468E-2</v>
      </c>
      <c r="P1334" s="545">
        <f>-'Sollecitazioni nel paramento'!$G$47*'Sollecitazioni nel paramento'!$G$41*IF(DATI!$G$211="dx",DATI!$E$61,DATI!$E$64*DATI!$E$63)*1000*C1334*sezione!$AD$5</f>
        <v>-1259404.8287815796</v>
      </c>
      <c r="Q1334" s="545">
        <f>'Foglio deposito bis'!$F$68*IF(ABS(K1334)&lt;'Sollecitazioni nel paramento'!$G$58,ABS(K1334)*'Sollecitazioni nel paramento'!$G$54,'Sollecitazioni nel paramento'!$G$53)*IF(K1334&lt;0,-1,1)</f>
        <v>0</v>
      </c>
      <c r="R1334" s="545">
        <f>'Foglio deposito bis'!$F$69*IF(ABS(L1334)&lt;'Sollecitazioni nel paramento'!$G$58,ABS(L1334)*'Sollecitazioni nel paramento'!$G$54,'Sollecitazioni nel paramento'!$G$53)*IF(L1334&lt;0,-1,1)</f>
        <v>153664.85805602249</v>
      </c>
      <c r="S1334" s="545">
        <f>'Foglio deposito bis'!$F$70*IF(ABS(M1334)&lt;'Sollecitazioni nel paramento'!$G$58,ABS(M1334)*'Sollecitazioni nel paramento'!$G$54,'Sollecitazioni nel paramento'!$G$53)*IF(M1334&lt;0,-1,1)</f>
        <v>0</v>
      </c>
      <c r="T1334" s="545">
        <f>'Foglio deposito bis'!$F$71*IF(ABS(N1334)&lt;'Sollecitazioni nel paramento'!$G$58,ABS(N1334)*'Sollecitazioni nel paramento'!$G$54,'Sollecitazioni nel paramento'!$G$53)*IF(N1334&lt;0,-1,1)</f>
        <v>314705.62929873407</v>
      </c>
      <c r="U1334" s="545">
        <f>'Foglio deposito bis'!$F$72*IF(ABS(O1334)&lt;'Sollecitazioni nel paramento'!$G$58,ABS(O1334)*'Sollecitazioni nel paramento'!$G$54,'Sollecitazioni nel paramento'!$G$53)*IF(O1334&lt;0,-1,1)</f>
        <v>491727.54577927204</v>
      </c>
      <c r="V1334" s="472">
        <f t="shared" si="95"/>
        <v>-299306.79564755101</v>
      </c>
      <c r="W1334" s="551"/>
      <c r="X1334" s="551"/>
    </row>
    <row r="1335" spans="1:24" x14ac:dyDescent="0.25">
      <c r="A1335" s="545">
        <f t="shared" si="94"/>
        <v>313457.41170127637</v>
      </c>
      <c r="B1335" s="3">
        <f t="shared" si="96"/>
        <v>4.499999999999992</v>
      </c>
      <c r="C1335" s="545">
        <f>'Foglio deposito bis'!$E$158/sezione!$B$247*B1335</f>
        <v>33.429284322526847</v>
      </c>
      <c r="D1335" s="603">
        <f>-'Sollecitazioni nel paramento'!$G$47*'Sollecitazioni nel paramento'!$G$41*IF(DATI!$G$211="dx",DATI!$E$61,DATI!$E$64*DATI!$E$63)*1000*C1335^2*sezione!$AD$5*(1-sezione!$AD$6)</f>
        <v>-24863243.486486521</v>
      </c>
      <c r="E1335" s="545">
        <f>-'Foglio deposito bis'!$F$68*(C1335-sezione!$AL$32)*IF(ABS(K1335)&lt;'Sollecitazioni nel paramento'!$G$58,ABS(K1335)*'Sollecitazioni nel paramento'!$G$54,'Sollecitazioni nel paramento'!$G$53)</f>
        <v>0</v>
      </c>
      <c r="F1335" s="545">
        <f>-'Foglio deposito bis'!$F$69*(C1335-sezione!$AM$32)*IF(ABS(L1335)&lt;'Sollecitazioni nel paramento'!$G$58,ABS(L1335)*'Sollecitazioni nel paramento'!$G$54,'Sollecitazioni nel paramento'!$G$53)</f>
        <v>4082985.2530258438</v>
      </c>
      <c r="G1335" s="545">
        <f>-'Foglio deposito bis'!$F$70*(C1335-sezione!$AN$32)*IF(ABS(M1335)&lt;'Sollecitazioni nel paramento'!$G$58,ABS(M1335)*'Sollecitazioni nel paramento'!$G$54,'Sollecitazioni nel paramento'!$G$53)</f>
        <v>0</v>
      </c>
      <c r="H1335" s="545">
        <f>-'Foglio deposito bis'!$F$71*(C1335-sezione!$AO$32)*IF(ABS(N1335)&lt;'Sollecitazioni nel paramento'!$G$58,ABS(N1335)*'Sollecitazioni nel paramento'!$G$54,'Sollecitazioni nel paramento'!$G$53)</f>
        <v>39832516.728070334</v>
      </c>
      <c r="I1335" s="472">
        <f>-'Foglio deposito bis'!$F$72*(C1335-sezione!$AP$32)*IF(ABS(O1335)&lt;'Sollecitazioni nel paramento'!$G$58,ABS(O1335)*'Sollecitazioni nel paramento'!$G$54,'Sollecitazioni nel paramento'!$G$53)</f>
        <v>233842928.30947596</v>
      </c>
      <c r="J1335" s="472">
        <f t="shared" si="93"/>
        <v>252895186.80408561</v>
      </c>
      <c r="K1335" s="550">
        <f>'Sollecitazioni nel paramento'!$G$60*(sezione!$AL$32-C1335)/C1335</f>
        <v>6.8794487639266646E-4</v>
      </c>
      <c r="L1335" s="550">
        <f>'Sollecitazioni nel paramento'!$G$60*(sezione!$AM$32-C1335)/C1335</f>
        <v>2.7819173145889995E-3</v>
      </c>
      <c r="M1335" s="551">
        <f>'Sollecitazioni nel paramento'!$G$60*(sezione!$AN$32-C1335)/C1335</f>
        <v>4.8758897527853336E-3</v>
      </c>
      <c r="N1335" s="551">
        <f>'Sollecitazioni nel paramento'!$G$60*(sezione!$AO$32-C1335)/C1335</f>
        <v>1.3251779505570665E-2</v>
      </c>
      <c r="O1335" s="551">
        <f>'Sollecitazioni nel paramento'!$G$60*(sezione!$AP$32-C1335)/C1335</f>
        <v>4.9789832901385181E-2</v>
      </c>
      <c r="P1335" s="545">
        <f>-'Sollecitazioni nel paramento'!$G$47*'Sollecitazioni nel paramento'!$G$41*IF(DATI!$G$211="dx",DATI!$E$61,DATI!$E$64*DATI!$E$63)*1000*C1335*sezione!$AD$5</f>
        <v>-1273555.444835305</v>
      </c>
      <c r="Q1335" s="545">
        <f>'Foglio deposito bis'!$F$68*IF(ABS(K1335)&lt;'Sollecitazioni nel paramento'!$G$58,ABS(K1335)*'Sollecitazioni nel paramento'!$G$54,'Sollecitazioni nel paramento'!$G$53)*IF(K1335&lt;0,-1,1)</f>
        <v>0</v>
      </c>
      <c r="R1335" s="545">
        <f>'Foglio deposito bis'!$F$69*IF(ABS(L1335)&lt;'Sollecitazioni nel paramento'!$G$58,ABS(L1335)*'Sollecitazioni nel paramento'!$G$54,'Sollecitazioni nel paramento'!$G$53)*IF(L1335&lt;0,-1,1)</f>
        <v>153664.85805602249</v>
      </c>
      <c r="S1335" s="545">
        <f>'Foglio deposito bis'!$F$70*IF(ABS(M1335)&lt;'Sollecitazioni nel paramento'!$G$58,ABS(M1335)*'Sollecitazioni nel paramento'!$G$54,'Sollecitazioni nel paramento'!$G$53)*IF(M1335&lt;0,-1,1)</f>
        <v>0</v>
      </c>
      <c r="T1335" s="545">
        <f>'Foglio deposito bis'!$F$71*IF(ABS(N1335)&lt;'Sollecitazioni nel paramento'!$G$58,ABS(N1335)*'Sollecitazioni nel paramento'!$G$54,'Sollecitazioni nel paramento'!$G$53)*IF(N1335&lt;0,-1,1)</f>
        <v>314705.62929873407</v>
      </c>
      <c r="U1335" s="545">
        <f>'Foglio deposito bis'!$F$72*IF(ABS(O1335)&lt;'Sollecitazioni nel paramento'!$G$58,ABS(O1335)*'Sollecitazioni nel paramento'!$G$54,'Sollecitazioni nel paramento'!$G$53)*IF(O1335&lt;0,-1,1)</f>
        <v>491727.54577927204</v>
      </c>
      <c r="V1335" s="472">
        <f t="shared" si="95"/>
        <v>-313457.41170127637</v>
      </c>
      <c r="W1335" s="551"/>
      <c r="X1335" s="551"/>
    </row>
    <row r="1336" spans="1:24" x14ac:dyDescent="0.25">
      <c r="A1336" s="545">
        <f t="shared" si="94"/>
        <v>327608.0277550022</v>
      </c>
      <c r="B1336" s="3">
        <f t="shared" si="96"/>
        <v>4.5499999999999918</v>
      </c>
      <c r="C1336" s="545">
        <f>'Foglio deposito bis'!$E$158/sezione!$B$247*B1336</f>
        <v>33.800720814999373</v>
      </c>
      <c r="D1336" s="603">
        <f>-'Sollecitazioni nel paramento'!$G$47*'Sollecitazioni nel paramento'!$G$41*IF(DATI!$G$211="dx",DATI!$E$61,DATI!$E$64*DATI!$E$63)*1000*C1336^2*sezione!$AD$5*(1-sezione!$AD$6)</f>
        <v>-25418829.544641353</v>
      </c>
      <c r="E1336" s="545">
        <f>-'Foglio deposito bis'!$F$68*(C1336-sezione!$AL$32)*IF(ABS(K1336)&lt;'Sollecitazioni nel paramento'!$G$58,ABS(K1336)*'Sollecitazioni nel paramento'!$G$54,'Sollecitazioni nel paramento'!$G$53)</f>
        <v>0</v>
      </c>
      <c r="F1336" s="545">
        <f>-'Foglio deposito bis'!$F$69*(C1336-sezione!$AM$32)*IF(ABS(L1336)&lt;'Sollecitazioni nel paramento'!$G$58,ABS(L1336)*'Sollecitazioni nel paramento'!$G$54,'Sollecitazioni nel paramento'!$G$53)</f>
        <v>4025908.5171332257</v>
      </c>
      <c r="G1336" s="545">
        <f>-'Foglio deposito bis'!$F$70*(C1336-sezione!$AN$32)*IF(ABS(M1336)&lt;'Sollecitazioni nel paramento'!$G$58,ABS(M1336)*'Sollecitazioni nel paramento'!$G$54,'Sollecitazioni nel paramento'!$G$53)</f>
        <v>0</v>
      </c>
      <c r="H1336" s="545">
        <f>-'Foglio deposito bis'!$F$71*(C1336-sezione!$AO$32)*IF(ABS(N1336)&lt;'Sollecitazioni nel paramento'!$G$58,ABS(N1336)*'Sollecitazioni nel paramento'!$G$54,'Sollecitazioni nel paramento'!$G$53)</f>
        <v>39715623.572962254</v>
      </c>
      <c r="I1336" s="472">
        <f>-'Foglio deposito bis'!$F$72*(C1336-sezione!$AP$32)*IF(ABS(O1336)&lt;'Sollecitazioni nel paramento'!$G$58,ABS(O1336)*'Sollecitazioni nel paramento'!$G$54,'Sollecitazioni nel paramento'!$G$53)</f>
        <v>233660282.75461963</v>
      </c>
      <c r="J1336" s="472">
        <f t="shared" si="93"/>
        <v>251982985.30007374</v>
      </c>
      <c r="K1336" s="550">
        <f>'Sollecitazioni nel paramento'!$G$60*(sezione!$AL$32-C1336)/C1336</f>
        <v>6.4192350412461453E-4</v>
      </c>
      <c r="L1336" s="550">
        <f>'Sollecitazioni nel paramento'!$G$60*(sezione!$AM$32-C1336)/C1336</f>
        <v>2.7128852561869219E-3</v>
      </c>
      <c r="M1336" s="551">
        <f>'Sollecitazioni nel paramento'!$G$60*(sezione!$AN$32-C1336)/C1336</f>
        <v>4.7838470082492294E-3</v>
      </c>
      <c r="N1336" s="551">
        <f>'Sollecitazioni nel paramento'!$G$60*(sezione!$AO$32-C1336)/C1336</f>
        <v>1.3067694016498458E-2</v>
      </c>
      <c r="O1336" s="551">
        <f>'Sollecitazioni nel paramento'!$G$60*(sezione!$AP$32-C1336)/C1336</f>
        <v>4.9204230342029295E-2</v>
      </c>
      <c r="P1336" s="545">
        <f>-'Sollecitazioni nel paramento'!$G$47*'Sollecitazioni nel paramento'!$G$41*IF(DATI!$G$211="dx",DATI!$E$61,DATI!$E$64*DATI!$E$63)*1000*C1336*sezione!$AD$5</f>
        <v>-1287706.0608890308</v>
      </c>
      <c r="Q1336" s="545">
        <f>'Foglio deposito bis'!$F$68*IF(ABS(K1336)&lt;'Sollecitazioni nel paramento'!$G$58,ABS(K1336)*'Sollecitazioni nel paramento'!$G$54,'Sollecitazioni nel paramento'!$G$53)*IF(K1336&lt;0,-1,1)</f>
        <v>0</v>
      </c>
      <c r="R1336" s="545">
        <f>'Foglio deposito bis'!$F$69*IF(ABS(L1336)&lt;'Sollecitazioni nel paramento'!$G$58,ABS(L1336)*'Sollecitazioni nel paramento'!$G$54,'Sollecitazioni nel paramento'!$G$53)*IF(L1336&lt;0,-1,1)</f>
        <v>153664.85805602249</v>
      </c>
      <c r="S1336" s="545">
        <f>'Foglio deposito bis'!$F$70*IF(ABS(M1336)&lt;'Sollecitazioni nel paramento'!$G$58,ABS(M1336)*'Sollecitazioni nel paramento'!$G$54,'Sollecitazioni nel paramento'!$G$53)*IF(M1336&lt;0,-1,1)</f>
        <v>0</v>
      </c>
      <c r="T1336" s="545">
        <f>'Foglio deposito bis'!$F$71*IF(ABS(N1336)&lt;'Sollecitazioni nel paramento'!$G$58,ABS(N1336)*'Sollecitazioni nel paramento'!$G$54,'Sollecitazioni nel paramento'!$G$53)*IF(N1336&lt;0,-1,1)</f>
        <v>314705.62929873407</v>
      </c>
      <c r="U1336" s="545">
        <f>'Foglio deposito bis'!$F$72*IF(ABS(O1336)&lt;'Sollecitazioni nel paramento'!$G$58,ABS(O1336)*'Sollecitazioni nel paramento'!$G$54,'Sollecitazioni nel paramento'!$G$53)*IF(O1336&lt;0,-1,1)</f>
        <v>491727.54577927204</v>
      </c>
      <c r="V1336" s="472">
        <f t="shared" si="95"/>
        <v>-327608.0277550022</v>
      </c>
      <c r="W1336" s="551"/>
      <c r="X1336" s="551"/>
    </row>
    <row r="1337" spans="1:24" x14ac:dyDescent="0.25">
      <c r="A1337" s="545">
        <f t="shared" si="94"/>
        <v>341758.64380872779</v>
      </c>
      <c r="B1337" s="3">
        <f t="shared" si="96"/>
        <v>4.5999999999999917</v>
      </c>
      <c r="C1337" s="545">
        <f>'Foglio deposito bis'!$E$158/sezione!$B$247*B1337</f>
        <v>34.172157307471892</v>
      </c>
      <c r="D1337" s="603">
        <f>-'Sollecitazioni nel paramento'!$G$47*'Sollecitazioni nel paramento'!$G$41*IF(DATI!$G$211="dx",DATI!$E$61,DATI!$E$64*DATI!$E$63)*1000*C1337^2*sezione!$AD$5*(1-sezione!$AD$6)</f>
        <v>-25980554.675261971</v>
      </c>
      <c r="E1337" s="545">
        <f>-'Foglio deposito bis'!$F$68*(C1337-sezione!$AL$32)*IF(ABS(K1337)&lt;'Sollecitazioni nel paramento'!$G$58,ABS(K1337)*'Sollecitazioni nel paramento'!$G$54,'Sollecitazioni nel paramento'!$G$53)</f>
        <v>0</v>
      </c>
      <c r="F1337" s="545">
        <f>-'Foglio deposito bis'!$F$69*(C1337-sezione!$AM$32)*IF(ABS(L1337)&lt;'Sollecitazioni nel paramento'!$G$58,ABS(L1337)*'Sollecitazioni nel paramento'!$G$54,'Sollecitazioni nel paramento'!$G$53)</f>
        <v>3968831.7812406099</v>
      </c>
      <c r="G1337" s="545">
        <f>-'Foglio deposito bis'!$F$70*(C1337-sezione!$AN$32)*IF(ABS(M1337)&lt;'Sollecitazioni nel paramento'!$G$58,ABS(M1337)*'Sollecitazioni nel paramento'!$G$54,'Sollecitazioni nel paramento'!$G$53)</f>
        <v>0</v>
      </c>
      <c r="H1337" s="545">
        <f>-'Foglio deposito bis'!$F$71*(C1337-sezione!$AO$32)*IF(ABS(N1337)&lt;'Sollecitazioni nel paramento'!$G$58,ABS(N1337)*'Sollecitazioni nel paramento'!$G$54,'Sollecitazioni nel paramento'!$G$53)</f>
        <v>39598730.417854175</v>
      </c>
      <c r="I1337" s="472">
        <f>-'Foglio deposito bis'!$F$72*(C1337-sezione!$AP$32)*IF(ABS(O1337)&lt;'Sollecitazioni nel paramento'!$G$58,ABS(O1337)*'Sollecitazioni nel paramento'!$G$54,'Sollecitazioni nel paramento'!$G$53)</f>
        <v>233477637.19976324</v>
      </c>
      <c r="J1337" s="472">
        <f t="shared" si="93"/>
        <v>251064644.72359604</v>
      </c>
      <c r="K1337" s="550">
        <f>'Sollecitazioni nel paramento'!$G$60*(sezione!$AL$32-C1337)/C1337</f>
        <v>5.9690259647108635E-4</v>
      </c>
      <c r="L1337" s="550">
        <f>'Sollecitazioni nel paramento'!$G$60*(sezione!$AM$32-C1337)/C1337</f>
        <v>2.6453538947066296E-3</v>
      </c>
      <c r="M1337" s="551">
        <f>'Sollecitazioni nel paramento'!$G$60*(sezione!$AN$32-C1337)/C1337</f>
        <v>4.6938051929421723E-3</v>
      </c>
      <c r="N1337" s="551">
        <f>'Sollecitazioni nel paramento'!$G$60*(sezione!$AO$32-C1337)/C1337</f>
        <v>1.2887610385884346E-2</v>
      </c>
      <c r="O1337" s="551">
        <f>'Sollecitazioni nel paramento'!$G$60*(sezione!$AP$32-C1337)/C1337</f>
        <v>4.86313582730942E-2</v>
      </c>
      <c r="P1337" s="545">
        <f>-'Sollecitazioni nel paramento'!$G$47*'Sollecitazioni nel paramento'!$G$41*IF(DATI!$G$211="dx",DATI!$E$61,DATI!$E$64*DATI!$E$63)*1000*C1337*sezione!$AD$5</f>
        <v>-1301856.6769427564</v>
      </c>
      <c r="Q1337" s="545">
        <f>'Foglio deposito bis'!$F$68*IF(ABS(K1337)&lt;'Sollecitazioni nel paramento'!$G$58,ABS(K1337)*'Sollecitazioni nel paramento'!$G$54,'Sollecitazioni nel paramento'!$G$53)*IF(K1337&lt;0,-1,1)</f>
        <v>0</v>
      </c>
      <c r="R1337" s="545">
        <f>'Foglio deposito bis'!$F$69*IF(ABS(L1337)&lt;'Sollecitazioni nel paramento'!$G$58,ABS(L1337)*'Sollecitazioni nel paramento'!$G$54,'Sollecitazioni nel paramento'!$G$53)*IF(L1337&lt;0,-1,1)</f>
        <v>153664.85805602249</v>
      </c>
      <c r="S1337" s="545">
        <f>'Foglio deposito bis'!$F$70*IF(ABS(M1337)&lt;'Sollecitazioni nel paramento'!$G$58,ABS(M1337)*'Sollecitazioni nel paramento'!$G$54,'Sollecitazioni nel paramento'!$G$53)*IF(M1337&lt;0,-1,1)</f>
        <v>0</v>
      </c>
      <c r="T1337" s="545">
        <f>'Foglio deposito bis'!$F$71*IF(ABS(N1337)&lt;'Sollecitazioni nel paramento'!$G$58,ABS(N1337)*'Sollecitazioni nel paramento'!$G$54,'Sollecitazioni nel paramento'!$G$53)*IF(N1337&lt;0,-1,1)</f>
        <v>314705.62929873407</v>
      </c>
      <c r="U1337" s="545">
        <f>'Foglio deposito bis'!$F$72*IF(ABS(O1337)&lt;'Sollecitazioni nel paramento'!$G$58,ABS(O1337)*'Sollecitazioni nel paramento'!$G$54,'Sollecitazioni nel paramento'!$G$53)*IF(O1337&lt;0,-1,1)</f>
        <v>491727.54577927204</v>
      </c>
      <c r="V1337" s="472">
        <f t="shared" si="95"/>
        <v>-341758.64380872779</v>
      </c>
      <c r="W1337" s="551"/>
      <c r="X1337" s="551"/>
    </row>
    <row r="1338" spans="1:24" x14ac:dyDescent="0.25">
      <c r="A1338" s="545">
        <f t="shared" si="94"/>
        <v>355909.25986245339</v>
      </c>
      <c r="B1338" s="3">
        <f t="shared" si="96"/>
        <v>4.6499999999999915</v>
      </c>
      <c r="C1338" s="545">
        <f>'Foglio deposito bis'!$E$158/sezione!$B$247*B1338</f>
        <v>34.543593799944411</v>
      </c>
      <c r="D1338" s="603">
        <f>-'Sollecitazioni nel paramento'!$G$47*'Sollecitazioni nel paramento'!$G$41*IF(DATI!$G$211="dx",DATI!$E$61,DATI!$E$64*DATI!$E$63)*1000*C1338^2*sezione!$AD$5*(1-sezione!$AD$6)</f>
        <v>-26548418.878348388</v>
      </c>
      <c r="E1338" s="545">
        <f>-'Foglio deposito bis'!$F$68*(C1338-sezione!$AL$32)*IF(ABS(K1338)&lt;'Sollecitazioni nel paramento'!$G$58,ABS(K1338)*'Sollecitazioni nel paramento'!$G$54,'Sollecitazioni nel paramento'!$G$53)</f>
        <v>0</v>
      </c>
      <c r="F1338" s="545">
        <f>-'Foglio deposito bis'!$F$69*(C1338-sezione!$AM$32)*IF(ABS(L1338)&lt;'Sollecitazioni nel paramento'!$G$58,ABS(L1338)*'Sollecitazioni nel paramento'!$G$54,'Sollecitazioni nel paramento'!$G$53)</f>
        <v>3911755.0453479933</v>
      </c>
      <c r="G1338" s="545">
        <f>-'Foglio deposito bis'!$F$70*(C1338-sezione!$AN$32)*IF(ABS(M1338)&lt;'Sollecitazioni nel paramento'!$G$58,ABS(M1338)*'Sollecitazioni nel paramento'!$G$54,'Sollecitazioni nel paramento'!$G$53)</f>
        <v>0</v>
      </c>
      <c r="H1338" s="545">
        <f>-'Foglio deposito bis'!$F$71*(C1338-sezione!$AO$32)*IF(ABS(N1338)&lt;'Sollecitazioni nel paramento'!$G$58,ABS(N1338)*'Sollecitazioni nel paramento'!$G$54,'Sollecitazioni nel paramento'!$G$53)</f>
        <v>39481837.262746103</v>
      </c>
      <c r="I1338" s="472">
        <f>-'Foglio deposito bis'!$F$72*(C1338-sezione!$AP$32)*IF(ABS(O1338)&lt;'Sollecitazioni nel paramento'!$G$58,ABS(O1338)*'Sollecitazioni nel paramento'!$G$54,'Sollecitazioni nel paramento'!$G$53)</f>
        <v>233294991.64490685</v>
      </c>
      <c r="J1338" s="472">
        <f t="shared" si="93"/>
        <v>250140165.07465255</v>
      </c>
      <c r="K1338" s="550">
        <f>'Sollecitazioni nel paramento'!$G$60*(sezione!$AL$32-C1338)/C1338</f>
        <v>5.5284988037999959E-4</v>
      </c>
      <c r="L1338" s="550">
        <f>'Sollecitazioni nel paramento'!$G$60*(sezione!$AM$32-C1338)/C1338</f>
        <v>2.5792748205699994E-3</v>
      </c>
      <c r="M1338" s="551">
        <f>'Sollecitazioni nel paramento'!$G$60*(sezione!$AN$32-C1338)/C1338</f>
        <v>4.6056997607599988E-3</v>
      </c>
      <c r="N1338" s="551">
        <f>'Sollecitazioni nel paramento'!$G$60*(sezione!$AO$32-C1338)/C1338</f>
        <v>1.2711399521519999E-2</v>
      </c>
      <c r="O1338" s="551">
        <f>'Sollecitazioni nel paramento'!$G$60*(sezione!$AP$32-C1338)/C1338</f>
        <v>4.8070806033598562E-2</v>
      </c>
      <c r="P1338" s="545">
        <f>-'Sollecitazioni nel paramento'!$G$47*'Sollecitazioni nel paramento'!$G$41*IF(DATI!$G$211="dx",DATI!$E$61,DATI!$E$64*DATI!$E$63)*1000*C1338*sezione!$AD$5</f>
        <v>-1316007.292996482</v>
      </c>
      <c r="Q1338" s="545">
        <f>'Foglio deposito bis'!$F$68*IF(ABS(K1338)&lt;'Sollecitazioni nel paramento'!$G$58,ABS(K1338)*'Sollecitazioni nel paramento'!$G$54,'Sollecitazioni nel paramento'!$G$53)*IF(K1338&lt;0,-1,1)</f>
        <v>0</v>
      </c>
      <c r="R1338" s="545">
        <f>'Foglio deposito bis'!$F$69*IF(ABS(L1338)&lt;'Sollecitazioni nel paramento'!$G$58,ABS(L1338)*'Sollecitazioni nel paramento'!$G$54,'Sollecitazioni nel paramento'!$G$53)*IF(L1338&lt;0,-1,1)</f>
        <v>153664.85805602249</v>
      </c>
      <c r="S1338" s="545">
        <f>'Foglio deposito bis'!$F$70*IF(ABS(M1338)&lt;'Sollecitazioni nel paramento'!$G$58,ABS(M1338)*'Sollecitazioni nel paramento'!$G$54,'Sollecitazioni nel paramento'!$G$53)*IF(M1338&lt;0,-1,1)</f>
        <v>0</v>
      </c>
      <c r="T1338" s="545">
        <f>'Foglio deposito bis'!$F$71*IF(ABS(N1338)&lt;'Sollecitazioni nel paramento'!$G$58,ABS(N1338)*'Sollecitazioni nel paramento'!$G$54,'Sollecitazioni nel paramento'!$G$53)*IF(N1338&lt;0,-1,1)</f>
        <v>314705.62929873407</v>
      </c>
      <c r="U1338" s="545">
        <f>'Foglio deposito bis'!$F$72*IF(ABS(O1338)&lt;'Sollecitazioni nel paramento'!$G$58,ABS(O1338)*'Sollecitazioni nel paramento'!$G$54,'Sollecitazioni nel paramento'!$G$53)*IF(O1338&lt;0,-1,1)</f>
        <v>491727.54577927204</v>
      </c>
      <c r="V1338" s="472">
        <f t="shared" si="95"/>
        <v>-355909.25986245339</v>
      </c>
      <c r="W1338" s="551"/>
      <c r="X1338" s="551"/>
    </row>
    <row r="1339" spans="1:24" x14ac:dyDescent="0.25">
      <c r="A1339" s="545">
        <f t="shared" si="94"/>
        <v>370059.87591617875</v>
      </c>
      <c r="B1339" s="3">
        <f t="shared" si="96"/>
        <v>4.6999999999999913</v>
      </c>
      <c r="C1339" s="545">
        <f>'Foglio deposito bis'!$E$158/sezione!$B$247*B1339</f>
        <v>34.91503029241693</v>
      </c>
      <c r="D1339" s="603">
        <f>-'Sollecitazioni nel paramento'!$G$47*'Sollecitazioni nel paramento'!$G$41*IF(DATI!$G$211="dx",DATI!$E$61,DATI!$E$64*DATI!$E$63)*1000*C1339^2*sezione!$AD$5*(1-sezione!$AD$6)</f>
        <v>-27122422.153900605</v>
      </c>
      <c r="E1339" s="545">
        <f>-'Foglio deposito bis'!$F$68*(C1339-sezione!$AL$32)*IF(ABS(K1339)&lt;'Sollecitazioni nel paramento'!$G$58,ABS(K1339)*'Sollecitazioni nel paramento'!$G$54,'Sollecitazioni nel paramento'!$G$53)</f>
        <v>0</v>
      </c>
      <c r="F1339" s="545">
        <f>-'Foglio deposito bis'!$F$69*(C1339-sezione!$AM$32)*IF(ABS(L1339)&lt;'Sollecitazioni nel paramento'!$G$58,ABS(L1339)*'Sollecitazioni nel paramento'!$G$54,'Sollecitazioni nel paramento'!$G$53)</f>
        <v>3854678.3094553766</v>
      </c>
      <c r="G1339" s="545">
        <f>-'Foglio deposito bis'!$F$70*(C1339-sezione!$AN$32)*IF(ABS(M1339)&lt;'Sollecitazioni nel paramento'!$G$58,ABS(M1339)*'Sollecitazioni nel paramento'!$G$54,'Sollecitazioni nel paramento'!$G$53)</f>
        <v>0</v>
      </c>
      <c r="H1339" s="545">
        <f>-'Foglio deposito bis'!$F$71*(C1339-sezione!$AO$32)*IF(ABS(N1339)&lt;'Sollecitazioni nel paramento'!$G$58,ABS(N1339)*'Sollecitazioni nel paramento'!$G$54,'Sollecitazioni nel paramento'!$G$53)</f>
        <v>39364944.107638016</v>
      </c>
      <c r="I1339" s="472">
        <f>-'Foglio deposito bis'!$F$72*(C1339-sezione!$AP$32)*IF(ABS(O1339)&lt;'Sollecitazioni nel paramento'!$G$58,ABS(O1339)*'Sollecitazioni nel paramento'!$G$54,'Sollecitazioni nel paramento'!$G$53)</f>
        <v>233112346.09005046</v>
      </c>
      <c r="J1339" s="472">
        <f t="shared" si="93"/>
        <v>249209546.35324323</v>
      </c>
      <c r="K1339" s="550">
        <f>'Sollecitazioni nel paramento'!$G$60*(sezione!$AL$32-C1339)/C1339</f>
        <v>5.0973445612063808E-4</v>
      </c>
      <c r="L1339" s="550">
        <f>'Sollecitazioni nel paramento'!$G$60*(sezione!$AM$32-C1339)/C1339</f>
        <v>2.5146016841809571E-3</v>
      </c>
      <c r="M1339" s="551">
        <f>'Sollecitazioni nel paramento'!$G$60*(sezione!$AN$32-C1339)/C1339</f>
        <v>4.519468912241276E-3</v>
      </c>
      <c r="N1339" s="551">
        <f>'Sollecitazioni nel paramento'!$G$60*(sezione!$AO$32-C1339)/C1339</f>
        <v>1.2538937824482553E-2</v>
      </c>
      <c r="O1339" s="551">
        <f>'Sollecitazioni nel paramento'!$G$60*(sezione!$AP$32-C1339)/C1339</f>
        <v>4.7522180437496446E-2</v>
      </c>
      <c r="P1339" s="545">
        <f>-'Sollecitazioni nel paramento'!$G$47*'Sollecitazioni nel paramento'!$G$41*IF(DATI!$G$211="dx",DATI!$E$61,DATI!$E$64*DATI!$E$63)*1000*C1339*sezione!$AD$5</f>
        <v>-1330157.9090502074</v>
      </c>
      <c r="Q1339" s="545">
        <f>'Foglio deposito bis'!$F$68*IF(ABS(K1339)&lt;'Sollecitazioni nel paramento'!$G$58,ABS(K1339)*'Sollecitazioni nel paramento'!$G$54,'Sollecitazioni nel paramento'!$G$53)*IF(K1339&lt;0,-1,1)</f>
        <v>0</v>
      </c>
      <c r="R1339" s="545">
        <f>'Foglio deposito bis'!$F$69*IF(ABS(L1339)&lt;'Sollecitazioni nel paramento'!$G$58,ABS(L1339)*'Sollecitazioni nel paramento'!$G$54,'Sollecitazioni nel paramento'!$G$53)*IF(L1339&lt;0,-1,1)</f>
        <v>153664.85805602249</v>
      </c>
      <c r="S1339" s="545">
        <f>'Foglio deposito bis'!$F$70*IF(ABS(M1339)&lt;'Sollecitazioni nel paramento'!$G$58,ABS(M1339)*'Sollecitazioni nel paramento'!$G$54,'Sollecitazioni nel paramento'!$G$53)*IF(M1339&lt;0,-1,1)</f>
        <v>0</v>
      </c>
      <c r="T1339" s="545">
        <f>'Foglio deposito bis'!$F$71*IF(ABS(N1339)&lt;'Sollecitazioni nel paramento'!$G$58,ABS(N1339)*'Sollecitazioni nel paramento'!$G$54,'Sollecitazioni nel paramento'!$G$53)*IF(N1339&lt;0,-1,1)</f>
        <v>314705.62929873407</v>
      </c>
      <c r="U1339" s="545">
        <f>'Foglio deposito bis'!$F$72*IF(ABS(O1339)&lt;'Sollecitazioni nel paramento'!$G$58,ABS(O1339)*'Sollecitazioni nel paramento'!$G$54,'Sollecitazioni nel paramento'!$G$53)*IF(O1339&lt;0,-1,1)</f>
        <v>491727.54577927204</v>
      </c>
      <c r="V1339" s="472">
        <f t="shared" si="95"/>
        <v>-370059.87591617875</v>
      </c>
      <c r="W1339" s="551"/>
      <c r="X1339" s="551"/>
    </row>
    <row r="1340" spans="1:24" x14ac:dyDescent="0.25">
      <c r="A1340" s="545">
        <f t="shared" si="94"/>
        <v>384210.49196990434</v>
      </c>
      <c r="B1340" s="3">
        <f t="shared" si="96"/>
        <v>4.7499999999999911</v>
      </c>
      <c r="C1340" s="545">
        <f>'Foglio deposito bis'!$E$158/sezione!$B$247*B1340</f>
        <v>35.286466784889448</v>
      </c>
      <c r="D1340" s="603">
        <f>-'Sollecitazioni nel paramento'!$G$47*'Sollecitazioni nel paramento'!$G$41*IF(DATI!$G$211="dx",DATI!$E$61,DATI!$E$64*DATI!$E$63)*1000*C1340^2*sezione!$AD$5*(1-sezione!$AD$6)</f>
        <v>-27702564.501918618</v>
      </c>
      <c r="E1340" s="545">
        <f>-'Foglio deposito bis'!$F$68*(C1340-sezione!$AL$32)*IF(ABS(K1340)&lt;'Sollecitazioni nel paramento'!$G$58,ABS(K1340)*'Sollecitazioni nel paramento'!$G$54,'Sollecitazioni nel paramento'!$G$53)</f>
        <v>0</v>
      </c>
      <c r="F1340" s="545">
        <f>-'Foglio deposito bis'!$F$69*(C1340-sezione!$AM$32)*IF(ABS(L1340)&lt;'Sollecitazioni nel paramento'!$G$58,ABS(L1340)*'Sollecitazioni nel paramento'!$G$54,'Sollecitazioni nel paramento'!$G$53)</f>
        <v>3797601.5735627604</v>
      </c>
      <c r="G1340" s="545">
        <f>-'Foglio deposito bis'!$F$70*(C1340-sezione!$AN$32)*IF(ABS(M1340)&lt;'Sollecitazioni nel paramento'!$G$58,ABS(M1340)*'Sollecitazioni nel paramento'!$G$54,'Sollecitazioni nel paramento'!$G$53)</f>
        <v>0</v>
      </c>
      <c r="H1340" s="545">
        <f>-'Foglio deposito bis'!$F$71*(C1340-sezione!$AO$32)*IF(ABS(N1340)&lt;'Sollecitazioni nel paramento'!$G$58,ABS(N1340)*'Sollecitazioni nel paramento'!$G$54,'Sollecitazioni nel paramento'!$G$53)</f>
        <v>39248050.952529944</v>
      </c>
      <c r="I1340" s="472">
        <f>-'Foglio deposito bis'!$F$72*(C1340-sezione!$AP$32)*IF(ABS(O1340)&lt;'Sollecitazioni nel paramento'!$G$58,ABS(O1340)*'Sollecitazioni nel paramento'!$G$54,'Sollecitazioni nel paramento'!$G$53)</f>
        <v>232929700.53519407</v>
      </c>
      <c r="J1340" s="472">
        <f t="shared" si="93"/>
        <v>248272788.55936816</v>
      </c>
      <c r="K1340" s="550">
        <f>'Sollecitazioni nel paramento'!$G$60*(sezione!$AL$32-C1340)/C1340</f>
        <v>4.6752672500357888E-4</v>
      </c>
      <c r="L1340" s="550">
        <f>'Sollecitazioni nel paramento'!$G$60*(sezione!$AM$32-C1340)/C1340</f>
        <v>2.451290087505368E-3</v>
      </c>
      <c r="M1340" s="551">
        <f>'Sollecitazioni nel paramento'!$G$60*(sezione!$AN$32-C1340)/C1340</f>
        <v>4.4350534500071578E-3</v>
      </c>
      <c r="N1340" s="551">
        <f>'Sollecitazioni nel paramento'!$G$60*(sezione!$AO$32-C1340)/C1340</f>
        <v>1.2370106900014315E-2</v>
      </c>
      <c r="O1340" s="551">
        <f>'Sollecitazioni nel paramento'!$G$60*(sezione!$AP$32-C1340)/C1340</f>
        <v>4.6985104853943853E-2</v>
      </c>
      <c r="P1340" s="545">
        <f>-'Sollecitazioni nel paramento'!$G$47*'Sollecitazioni nel paramento'!$G$41*IF(DATI!$G$211="dx",DATI!$E$61,DATI!$E$64*DATI!$E$63)*1000*C1340*sezione!$AD$5</f>
        <v>-1344308.5251039329</v>
      </c>
      <c r="Q1340" s="545">
        <f>'Foglio deposito bis'!$F$68*IF(ABS(K1340)&lt;'Sollecitazioni nel paramento'!$G$58,ABS(K1340)*'Sollecitazioni nel paramento'!$G$54,'Sollecitazioni nel paramento'!$G$53)*IF(K1340&lt;0,-1,1)</f>
        <v>0</v>
      </c>
      <c r="R1340" s="545">
        <f>'Foglio deposito bis'!$F$69*IF(ABS(L1340)&lt;'Sollecitazioni nel paramento'!$G$58,ABS(L1340)*'Sollecitazioni nel paramento'!$G$54,'Sollecitazioni nel paramento'!$G$53)*IF(L1340&lt;0,-1,1)</f>
        <v>153664.85805602249</v>
      </c>
      <c r="S1340" s="545">
        <f>'Foglio deposito bis'!$F$70*IF(ABS(M1340)&lt;'Sollecitazioni nel paramento'!$G$58,ABS(M1340)*'Sollecitazioni nel paramento'!$G$54,'Sollecitazioni nel paramento'!$G$53)*IF(M1340&lt;0,-1,1)</f>
        <v>0</v>
      </c>
      <c r="T1340" s="545">
        <f>'Foglio deposito bis'!$F$71*IF(ABS(N1340)&lt;'Sollecitazioni nel paramento'!$G$58,ABS(N1340)*'Sollecitazioni nel paramento'!$G$54,'Sollecitazioni nel paramento'!$G$53)*IF(N1340&lt;0,-1,1)</f>
        <v>314705.62929873407</v>
      </c>
      <c r="U1340" s="545">
        <f>'Foglio deposito bis'!$F$72*IF(ABS(O1340)&lt;'Sollecitazioni nel paramento'!$G$58,ABS(O1340)*'Sollecitazioni nel paramento'!$G$54,'Sollecitazioni nel paramento'!$G$53)*IF(O1340&lt;0,-1,1)</f>
        <v>491727.54577927204</v>
      </c>
      <c r="V1340" s="472">
        <f t="shared" si="95"/>
        <v>-384210.49196990434</v>
      </c>
      <c r="W1340" s="551"/>
      <c r="X1340" s="551"/>
    </row>
    <row r="1341" spans="1:24" x14ac:dyDescent="0.25">
      <c r="A1341" s="545">
        <f t="shared" si="94"/>
        <v>398361.10802362993</v>
      </c>
      <c r="B1341" s="3">
        <f t="shared" si="96"/>
        <v>4.7999999999999909</v>
      </c>
      <c r="C1341" s="545">
        <f>'Foglio deposito bis'!$E$158/sezione!$B$247*B1341</f>
        <v>35.657903277361967</v>
      </c>
      <c r="D1341" s="603">
        <f>-'Sollecitazioni nel paramento'!$G$47*'Sollecitazioni nel paramento'!$G$41*IF(DATI!$G$211="dx",DATI!$E$61,DATI!$E$64*DATI!$E$63)*1000*C1341^2*sezione!$AD$5*(1-sezione!$AD$6)</f>
        <v>-28288845.922402434</v>
      </c>
      <c r="E1341" s="545">
        <f>-'Foglio deposito bis'!$F$68*(C1341-sezione!$AL$32)*IF(ABS(K1341)&lt;'Sollecitazioni nel paramento'!$G$58,ABS(K1341)*'Sollecitazioni nel paramento'!$G$54,'Sollecitazioni nel paramento'!$G$53)</f>
        <v>0</v>
      </c>
      <c r="F1341" s="545">
        <f>-'Foglio deposito bis'!$F$69*(C1341-sezione!$AM$32)*IF(ABS(L1341)&lt;'Sollecitazioni nel paramento'!$G$58,ABS(L1341)*'Sollecitazioni nel paramento'!$G$54,'Sollecitazioni nel paramento'!$G$53)</f>
        <v>3740524.8376701437</v>
      </c>
      <c r="G1341" s="545">
        <f>-'Foglio deposito bis'!$F$70*(C1341-sezione!$AN$32)*IF(ABS(M1341)&lt;'Sollecitazioni nel paramento'!$G$58,ABS(M1341)*'Sollecitazioni nel paramento'!$G$54,'Sollecitazioni nel paramento'!$G$53)</f>
        <v>0</v>
      </c>
      <c r="H1341" s="545">
        <f>-'Foglio deposito bis'!$F$71*(C1341-sezione!$AO$32)*IF(ABS(N1341)&lt;'Sollecitazioni nel paramento'!$G$58,ABS(N1341)*'Sollecitazioni nel paramento'!$G$54,'Sollecitazioni nel paramento'!$G$53)</f>
        <v>39131157.797421865</v>
      </c>
      <c r="I1341" s="472">
        <f>-'Foglio deposito bis'!$F$72*(C1341-sezione!$AP$32)*IF(ABS(O1341)&lt;'Sollecitazioni nel paramento'!$G$58,ABS(O1341)*'Sollecitazioni nel paramento'!$G$54,'Sollecitazioni nel paramento'!$G$53)</f>
        <v>232747054.98033774</v>
      </c>
      <c r="J1341" s="472">
        <f t="shared" si="93"/>
        <v>247329891.69302732</v>
      </c>
      <c r="K1341" s="550">
        <f>'Sollecitazioni nel paramento'!$G$60*(sezione!$AL$32-C1341)/C1341</f>
        <v>4.2619832161812517E-4</v>
      </c>
      <c r="L1341" s="550">
        <f>'Sollecitazioni nel paramento'!$G$60*(sezione!$AM$32-C1341)/C1341</f>
        <v>2.3892974824271875E-3</v>
      </c>
      <c r="M1341" s="551">
        <f>'Sollecitazioni nel paramento'!$G$60*(sezione!$AN$32-C1341)/C1341</f>
        <v>4.3523966432362504E-3</v>
      </c>
      <c r="N1341" s="551">
        <f>'Sollecitazioni nel paramento'!$G$60*(sezione!$AO$32-C1341)/C1341</f>
        <v>1.2204793286472502E-2</v>
      </c>
      <c r="O1341" s="551">
        <f>'Sollecitazioni nel paramento'!$G$60*(sezione!$AP$32-C1341)/C1341</f>
        <v>4.6459218345048611E-2</v>
      </c>
      <c r="P1341" s="545">
        <f>-'Sollecitazioni nel paramento'!$G$47*'Sollecitazioni nel paramento'!$G$41*IF(DATI!$G$211="dx",DATI!$E$61,DATI!$E$64*DATI!$E$63)*1000*C1341*sezione!$AD$5</f>
        <v>-1358459.1411576585</v>
      </c>
      <c r="Q1341" s="545">
        <f>'Foglio deposito bis'!$F$68*IF(ABS(K1341)&lt;'Sollecitazioni nel paramento'!$G$58,ABS(K1341)*'Sollecitazioni nel paramento'!$G$54,'Sollecitazioni nel paramento'!$G$53)*IF(K1341&lt;0,-1,1)</f>
        <v>0</v>
      </c>
      <c r="R1341" s="545">
        <f>'Foglio deposito bis'!$F$69*IF(ABS(L1341)&lt;'Sollecitazioni nel paramento'!$G$58,ABS(L1341)*'Sollecitazioni nel paramento'!$G$54,'Sollecitazioni nel paramento'!$G$53)*IF(L1341&lt;0,-1,1)</f>
        <v>153664.85805602249</v>
      </c>
      <c r="S1341" s="545">
        <f>'Foglio deposito bis'!$F$70*IF(ABS(M1341)&lt;'Sollecitazioni nel paramento'!$G$58,ABS(M1341)*'Sollecitazioni nel paramento'!$G$54,'Sollecitazioni nel paramento'!$G$53)*IF(M1341&lt;0,-1,1)</f>
        <v>0</v>
      </c>
      <c r="T1341" s="545">
        <f>'Foglio deposito bis'!$F$71*IF(ABS(N1341)&lt;'Sollecitazioni nel paramento'!$G$58,ABS(N1341)*'Sollecitazioni nel paramento'!$G$54,'Sollecitazioni nel paramento'!$G$53)*IF(N1341&lt;0,-1,1)</f>
        <v>314705.62929873407</v>
      </c>
      <c r="U1341" s="545">
        <f>'Foglio deposito bis'!$F$72*IF(ABS(O1341)&lt;'Sollecitazioni nel paramento'!$G$58,ABS(O1341)*'Sollecitazioni nel paramento'!$G$54,'Sollecitazioni nel paramento'!$G$53)*IF(O1341&lt;0,-1,1)</f>
        <v>491727.54577927204</v>
      </c>
      <c r="V1341" s="472">
        <f t="shared" si="95"/>
        <v>-398361.10802362993</v>
      </c>
      <c r="W1341" s="551"/>
      <c r="X1341" s="551"/>
    </row>
    <row r="1342" spans="1:24" x14ac:dyDescent="0.25">
      <c r="A1342" s="545">
        <f t="shared" si="94"/>
        <v>412511.72407735552</v>
      </c>
      <c r="B1342" s="3">
        <f t="shared" si="96"/>
        <v>4.8499999999999908</v>
      </c>
      <c r="C1342" s="545">
        <f>'Foglio deposito bis'!$E$158/sezione!$B$247*B1342</f>
        <v>36.029339769834486</v>
      </c>
      <c r="D1342" s="603">
        <f>-'Sollecitazioni nel paramento'!$G$47*'Sollecitazioni nel paramento'!$G$41*IF(DATI!$G$211="dx",DATI!$E$61,DATI!$E$64*DATI!$E$63)*1000*C1342^2*sezione!$AD$5*(1-sezione!$AD$6)</f>
        <v>-28881266.415352046</v>
      </c>
      <c r="E1342" s="545">
        <f>-'Foglio deposito bis'!$F$68*(C1342-sezione!$AL$32)*IF(ABS(K1342)&lt;'Sollecitazioni nel paramento'!$G$58,ABS(K1342)*'Sollecitazioni nel paramento'!$G$54,'Sollecitazioni nel paramento'!$G$53)</f>
        <v>0</v>
      </c>
      <c r="F1342" s="545">
        <f>-'Foglio deposito bis'!$F$69*(C1342-sezione!$AM$32)*IF(ABS(L1342)&lt;'Sollecitazioni nel paramento'!$G$58,ABS(L1342)*'Sollecitazioni nel paramento'!$G$54,'Sollecitazioni nel paramento'!$G$53)</f>
        <v>3683448.101777527</v>
      </c>
      <c r="G1342" s="545">
        <f>-'Foglio deposito bis'!$F$70*(C1342-sezione!$AN$32)*IF(ABS(M1342)&lt;'Sollecitazioni nel paramento'!$G$58,ABS(M1342)*'Sollecitazioni nel paramento'!$G$54,'Sollecitazioni nel paramento'!$G$53)</f>
        <v>0</v>
      </c>
      <c r="H1342" s="545">
        <f>-'Foglio deposito bis'!$F$71*(C1342-sezione!$AO$32)*IF(ABS(N1342)&lt;'Sollecitazioni nel paramento'!$G$58,ABS(N1342)*'Sollecitazioni nel paramento'!$G$54,'Sollecitazioni nel paramento'!$G$53)</f>
        <v>39014264.642313786</v>
      </c>
      <c r="I1342" s="472">
        <f>-'Foglio deposito bis'!$F$72*(C1342-sezione!$AP$32)*IF(ABS(O1342)&lt;'Sollecitazioni nel paramento'!$G$58,ABS(O1342)*'Sollecitazioni nel paramento'!$G$54,'Sollecitazioni nel paramento'!$G$53)</f>
        <v>232564409.42548135</v>
      </c>
      <c r="J1342" s="472">
        <f t="shared" si="93"/>
        <v>246380855.7542206</v>
      </c>
      <c r="K1342" s="550">
        <f>'Sollecitazioni nel paramento'!$G$60*(sezione!$AL$32-C1342)/C1342</f>
        <v>3.8572205026123746E-4</v>
      </c>
      <c r="L1342" s="550">
        <f>'Sollecitazioni nel paramento'!$G$60*(sezione!$AM$32-C1342)/C1342</f>
        <v>2.3285830753918563E-3</v>
      </c>
      <c r="M1342" s="551">
        <f>'Sollecitazioni nel paramento'!$G$60*(sezione!$AN$32-C1342)/C1342</f>
        <v>4.271444100522475E-3</v>
      </c>
      <c r="N1342" s="551">
        <f>'Sollecitazioni nel paramento'!$G$60*(sezione!$AO$32-C1342)/C1342</f>
        <v>1.204288820104495E-2</v>
      </c>
      <c r="O1342" s="551">
        <f>'Sollecitazioni nel paramento'!$G$60*(sezione!$AP$32-C1342)/C1342</f>
        <v>4.594417485695533E-2</v>
      </c>
      <c r="P1342" s="545">
        <f>-'Sollecitazioni nel paramento'!$G$47*'Sollecitazioni nel paramento'!$G$41*IF(DATI!$G$211="dx",DATI!$E$61,DATI!$E$64*DATI!$E$63)*1000*C1342*sezione!$AD$5</f>
        <v>-1372609.7572113841</v>
      </c>
      <c r="Q1342" s="545">
        <f>'Foglio deposito bis'!$F$68*IF(ABS(K1342)&lt;'Sollecitazioni nel paramento'!$G$58,ABS(K1342)*'Sollecitazioni nel paramento'!$G$54,'Sollecitazioni nel paramento'!$G$53)*IF(K1342&lt;0,-1,1)</f>
        <v>0</v>
      </c>
      <c r="R1342" s="545">
        <f>'Foglio deposito bis'!$F$69*IF(ABS(L1342)&lt;'Sollecitazioni nel paramento'!$G$58,ABS(L1342)*'Sollecitazioni nel paramento'!$G$54,'Sollecitazioni nel paramento'!$G$53)*IF(L1342&lt;0,-1,1)</f>
        <v>153664.85805602249</v>
      </c>
      <c r="S1342" s="545">
        <f>'Foglio deposito bis'!$F$70*IF(ABS(M1342)&lt;'Sollecitazioni nel paramento'!$G$58,ABS(M1342)*'Sollecitazioni nel paramento'!$G$54,'Sollecitazioni nel paramento'!$G$53)*IF(M1342&lt;0,-1,1)</f>
        <v>0</v>
      </c>
      <c r="T1342" s="545">
        <f>'Foglio deposito bis'!$F$71*IF(ABS(N1342)&lt;'Sollecitazioni nel paramento'!$G$58,ABS(N1342)*'Sollecitazioni nel paramento'!$G$54,'Sollecitazioni nel paramento'!$G$53)*IF(N1342&lt;0,-1,1)</f>
        <v>314705.62929873407</v>
      </c>
      <c r="U1342" s="545">
        <f>'Foglio deposito bis'!$F$72*IF(ABS(O1342)&lt;'Sollecitazioni nel paramento'!$G$58,ABS(O1342)*'Sollecitazioni nel paramento'!$G$54,'Sollecitazioni nel paramento'!$G$53)*IF(O1342&lt;0,-1,1)</f>
        <v>491727.54577927204</v>
      </c>
      <c r="V1342" s="472">
        <f t="shared" si="95"/>
        <v>-412511.72407735552</v>
      </c>
      <c r="W1342" s="551"/>
      <c r="X1342" s="551"/>
    </row>
    <row r="1343" spans="1:24" x14ac:dyDescent="0.25">
      <c r="A1343" s="545">
        <f t="shared" si="94"/>
        <v>426662.34013108135</v>
      </c>
      <c r="B1343" s="3">
        <f t="shared" si="96"/>
        <v>4.8999999999999906</v>
      </c>
      <c r="C1343" s="545">
        <f>'Foglio deposito bis'!$E$158/sezione!$B$247*B1343</f>
        <v>36.400776262307012</v>
      </c>
      <c r="D1343" s="603">
        <f>-'Sollecitazioni nel paramento'!$G$47*'Sollecitazioni nel paramento'!$G$41*IF(DATI!$G$211="dx",DATI!$E$61,DATI!$E$64*DATI!$E$63)*1000*C1343^2*sezione!$AD$5*(1-sezione!$AD$6)</f>
        <v>-29479825.980767477</v>
      </c>
      <c r="E1343" s="545">
        <f>-'Foglio deposito bis'!$F$68*(C1343-sezione!$AL$32)*IF(ABS(K1343)&lt;'Sollecitazioni nel paramento'!$G$58,ABS(K1343)*'Sollecitazioni nel paramento'!$G$54,'Sollecitazioni nel paramento'!$G$53)</f>
        <v>0</v>
      </c>
      <c r="F1343" s="545">
        <f>-'Foglio deposito bis'!$F$69*(C1343-sezione!$AM$32)*IF(ABS(L1343)&lt;'Sollecitazioni nel paramento'!$G$58,ABS(L1343)*'Sollecitazioni nel paramento'!$G$54,'Sollecitazioni nel paramento'!$G$53)</f>
        <v>3626371.3658849094</v>
      </c>
      <c r="G1343" s="545">
        <f>-'Foglio deposito bis'!$F$70*(C1343-sezione!$AN$32)*IF(ABS(M1343)&lt;'Sollecitazioni nel paramento'!$G$58,ABS(M1343)*'Sollecitazioni nel paramento'!$G$54,'Sollecitazioni nel paramento'!$G$53)</f>
        <v>0</v>
      </c>
      <c r="H1343" s="545">
        <f>-'Foglio deposito bis'!$F$71*(C1343-sezione!$AO$32)*IF(ABS(N1343)&lt;'Sollecitazioni nel paramento'!$G$58,ABS(N1343)*'Sollecitazioni nel paramento'!$G$54,'Sollecitazioni nel paramento'!$G$53)</f>
        <v>38897371.487205707</v>
      </c>
      <c r="I1343" s="472">
        <f>-'Foglio deposito bis'!$F$72*(C1343-sezione!$AP$32)*IF(ABS(O1343)&lt;'Sollecitazioni nel paramento'!$G$58,ABS(O1343)*'Sollecitazioni nel paramento'!$G$54,'Sollecitazioni nel paramento'!$G$53)</f>
        <v>232381763.87062496</v>
      </c>
      <c r="J1343" s="472">
        <f t="shared" si="93"/>
        <v>245425680.74294811</v>
      </c>
      <c r="K1343" s="550">
        <f>'Sollecitazioni nel paramento'!$G$60*(sezione!$AL$32-C1343)/C1343</f>
        <v>3.4607182525857121E-4</v>
      </c>
      <c r="L1343" s="550">
        <f>'Sollecitazioni nel paramento'!$G$60*(sezione!$AM$32-C1343)/C1343</f>
        <v>2.269107737887857E-3</v>
      </c>
      <c r="M1343" s="551">
        <f>'Sollecitazioni nel paramento'!$G$60*(sezione!$AN$32-C1343)/C1343</f>
        <v>4.1921436505171425E-3</v>
      </c>
      <c r="N1343" s="551">
        <f>'Sollecitazioni nel paramento'!$G$60*(sezione!$AO$32-C1343)/C1343</f>
        <v>1.1884287301034285E-2</v>
      </c>
      <c r="O1343" s="551">
        <f>'Sollecitazioni nel paramento'!$G$60*(sezione!$AP$32-C1343)/C1343</f>
        <v>4.5439642460455773E-2</v>
      </c>
      <c r="P1343" s="545">
        <f>-'Sollecitazioni nel paramento'!$G$47*'Sollecitazioni nel paramento'!$G$41*IF(DATI!$G$211="dx",DATI!$E$61,DATI!$E$64*DATI!$E$63)*1000*C1343*sezione!$AD$5</f>
        <v>-1386760.37326511</v>
      </c>
      <c r="Q1343" s="545">
        <f>'Foglio deposito bis'!$F$68*IF(ABS(K1343)&lt;'Sollecitazioni nel paramento'!$G$58,ABS(K1343)*'Sollecitazioni nel paramento'!$G$54,'Sollecitazioni nel paramento'!$G$53)*IF(K1343&lt;0,-1,1)</f>
        <v>0</v>
      </c>
      <c r="R1343" s="545">
        <f>'Foglio deposito bis'!$F$69*IF(ABS(L1343)&lt;'Sollecitazioni nel paramento'!$G$58,ABS(L1343)*'Sollecitazioni nel paramento'!$G$54,'Sollecitazioni nel paramento'!$G$53)*IF(L1343&lt;0,-1,1)</f>
        <v>153664.85805602249</v>
      </c>
      <c r="S1343" s="545">
        <f>'Foglio deposito bis'!$F$70*IF(ABS(M1343)&lt;'Sollecitazioni nel paramento'!$G$58,ABS(M1343)*'Sollecitazioni nel paramento'!$G$54,'Sollecitazioni nel paramento'!$G$53)*IF(M1343&lt;0,-1,1)</f>
        <v>0</v>
      </c>
      <c r="T1343" s="545">
        <f>'Foglio deposito bis'!$F$71*IF(ABS(N1343)&lt;'Sollecitazioni nel paramento'!$G$58,ABS(N1343)*'Sollecitazioni nel paramento'!$G$54,'Sollecitazioni nel paramento'!$G$53)*IF(N1343&lt;0,-1,1)</f>
        <v>314705.62929873407</v>
      </c>
      <c r="U1343" s="545">
        <f>'Foglio deposito bis'!$F$72*IF(ABS(O1343)&lt;'Sollecitazioni nel paramento'!$G$58,ABS(O1343)*'Sollecitazioni nel paramento'!$G$54,'Sollecitazioni nel paramento'!$G$53)*IF(O1343&lt;0,-1,1)</f>
        <v>491727.54577927204</v>
      </c>
      <c r="V1343" s="472">
        <f t="shared" si="95"/>
        <v>-426662.34013108135</v>
      </c>
      <c r="W1343" s="551"/>
      <c r="X1343" s="551"/>
    </row>
    <row r="1344" spans="1:24" x14ac:dyDescent="0.25">
      <c r="A1344" s="545">
        <f t="shared" si="94"/>
        <v>440812.95618480694</v>
      </c>
      <c r="B1344" s="3">
        <f t="shared" si="96"/>
        <v>4.9499999999999904</v>
      </c>
      <c r="C1344" s="545">
        <f>'Foglio deposito bis'!$E$158/sezione!$B$247*B1344</f>
        <v>36.772212754779531</v>
      </c>
      <c r="D1344" s="603">
        <f>-'Sollecitazioni nel paramento'!$G$47*'Sollecitazioni nel paramento'!$G$41*IF(DATI!$G$211="dx",DATI!$E$61,DATI!$E$64*DATI!$E$63)*1000*C1344^2*sezione!$AD$5*(1-sezione!$AD$6)</f>
        <v>-30084524.618648686</v>
      </c>
      <c r="E1344" s="545">
        <f>-'Foglio deposito bis'!$F$68*(C1344-sezione!$AL$32)*IF(ABS(K1344)&lt;'Sollecitazioni nel paramento'!$G$58,ABS(K1344)*'Sollecitazioni nel paramento'!$G$54,'Sollecitazioni nel paramento'!$G$53)</f>
        <v>0</v>
      </c>
      <c r="F1344" s="545">
        <f>-'Foglio deposito bis'!$F$69*(C1344-sezione!$AM$32)*IF(ABS(L1344)&lt;'Sollecitazioni nel paramento'!$G$58,ABS(L1344)*'Sollecitazioni nel paramento'!$G$54,'Sollecitazioni nel paramento'!$G$53)</f>
        <v>3569294.6299922927</v>
      </c>
      <c r="G1344" s="545">
        <f>-'Foglio deposito bis'!$F$70*(C1344-sezione!$AN$32)*IF(ABS(M1344)&lt;'Sollecitazioni nel paramento'!$G$58,ABS(M1344)*'Sollecitazioni nel paramento'!$G$54,'Sollecitazioni nel paramento'!$G$53)</f>
        <v>0</v>
      </c>
      <c r="H1344" s="545">
        <f>-'Foglio deposito bis'!$F$71*(C1344-sezione!$AO$32)*IF(ABS(N1344)&lt;'Sollecitazioni nel paramento'!$G$58,ABS(N1344)*'Sollecitazioni nel paramento'!$G$54,'Sollecitazioni nel paramento'!$G$53)</f>
        <v>38780478.33209762</v>
      </c>
      <c r="I1344" s="472">
        <f>-'Foglio deposito bis'!$F$72*(C1344-sezione!$AP$32)*IF(ABS(O1344)&lt;'Sollecitazioni nel paramento'!$G$58,ABS(O1344)*'Sollecitazioni nel paramento'!$G$54,'Sollecitazioni nel paramento'!$G$53)</f>
        <v>232199118.3157686</v>
      </c>
      <c r="J1344" s="472">
        <f t="shared" si="93"/>
        <v>244464366.65920982</v>
      </c>
      <c r="K1344" s="550">
        <f>'Sollecitazioni nel paramento'!$G$60*(sezione!$AL$32-C1344)/C1344</f>
        <v>3.0722261490242418E-4</v>
      </c>
      <c r="L1344" s="550">
        <f>'Sollecitazioni nel paramento'!$G$60*(sezione!$AM$32-C1344)/C1344</f>
        <v>2.2108339223536363E-3</v>
      </c>
      <c r="M1344" s="551">
        <f>'Sollecitazioni nel paramento'!$G$60*(sezione!$AN$32-C1344)/C1344</f>
        <v>4.1144452298048483E-3</v>
      </c>
      <c r="N1344" s="551">
        <f>'Sollecitazioni nel paramento'!$G$60*(sezione!$AO$32-C1344)/C1344</f>
        <v>1.1728890459609696E-2</v>
      </c>
      <c r="O1344" s="551">
        <f>'Sollecitazioni nel paramento'!$G$60*(sezione!$AP$32-C1344)/C1344</f>
        <v>4.4945302637622891E-2</v>
      </c>
      <c r="P1344" s="545">
        <f>-'Sollecitazioni nel paramento'!$G$47*'Sollecitazioni nel paramento'!$G$41*IF(DATI!$G$211="dx",DATI!$E$61,DATI!$E$64*DATI!$E$63)*1000*C1344*sezione!$AD$5</f>
        <v>-1400910.9893188355</v>
      </c>
      <c r="Q1344" s="545">
        <f>'Foglio deposito bis'!$F$68*IF(ABS(K1344)&lt;'Sollecitazioni nel paramento'!$G$58,ABS(K1344)*'Sollecitazioni nel paramento'!$G$54,'Sollecitazioni nel paramento'!$G$53)*IF(K1344&lt;0,-1,1)</f>
        <v>0</v>
      </c>
      <c r="R1344" s="545">
        <f>'Foglio deposito bis'!$F$69*IF(ABS(L1344)&lt;'Sollecitazioni nel paramento'!$G$58,ABS(L1344)*'Sollecitazioni nel paramento'!$G$54,'Sollecitazioni nel paramento'!$G$53)*IF(L1344&lt;0,-1,1)</f>
        <v>153664.85805602249</v>
      </c>
      <c r="S1344" s="545">
        <f>'Foglio deposito bis'!$F$70*IF(ABS(M1344)&lt;'Sollecitazioni nel paramento'!$G$58,ABS(M1344)*'Sollecitazioni nel paramento'!$G$54,'Sollecitazioni nel paramento'!$G$53)*IF(M1344&lt;0,-1,1)</f>
        <v>0</v>
      </c>
      <c r="T1344" s="545">
        <f>'Foglio deposito bis'!$F$71*IF(ABS(N1344)&lt;'Sollecitazioni nel paramento'!$G$58,ABS(N1344)*'Sollecitazioni nel paramento'!$G$54,'Sollecitazioni nel paramento'!$G$53)*IF(N1344&lt;0,-1,1)</f>
        <v>314705.62929873407</v>
      </c>
      <c r="U1344" s="545">
        <f>'Foglio deposito bis'!$F$72*IF(ABS(O1344)&lt;'Sollecitazioni nel paramento'!$G$58,ABS(O1344)*'Sollecitazioni nel paramento'!$G$54,'Sollecitazioni nel paramento'!$G$53)*IF(O1344&lt;0,-1,1)</f>
        <v>491727.54577927204</v>
      </c>
      <c r="V1344" s="472">
        <f t="shared" si="95"/>
        <v>-440812.95618480694</v>
      </c>
      <c r="W1344" s="551"/>
      <c r="X1344" s="551"/>
    </row>
    <row r="1345" spans="1:24" x14ac:dyDescent="0.25">
      <c r="A1345" s="545">
        <f t="shared" si="94"/>
        <v>454963.57223853254</v>
      </c>
      <c r="B1345" s="3">
        <f t="shared" si="96"/>
        <v>4.9999999999999902</v>
      </c>
      <c r="C1345" s="545">
        <f>'Foglio deposito bis'!$E$158/sezione!$B$247*B1345</f>
        <v>37.14364924725205</v>
      </c>
      <c r="D1345" s="603">
        <f>-'Sollecitazioni nel paramento'!$G$47*'Sollecitazioni nel paramento'!$G$41*IF(DATI!$G$211="dx",DATI!$E$61,DATI!$E$64*DATI!$E$63)*1000*C1345^2*sezione!$AD$5*(1-sezione!$AD$6)</f>
        <v>-30695362.328995697</v>
      </c>
      <c r="E1345" s="545">
        <f>-'Foglio deposito bis'!$F$68*(C1345-sezione!$AL$32)*IF(ABS(K1345)&lt;'Sollecitazioni nel paramento'!$G$58,ABS(K1345)*'Sollecitazioni nel paramento'!$G$54,'Sollecitazioni nel paramento'!$G$53)</f>
        <v>0</v>
      </c>
      <c r="F1345" s="545">
        <f>-'Foglio deposito bis'!$F$69*(C1345-sezione!$AM$32)*IF(ABS(L1345)&lt;'Sollecitazioni nel paramento'!$G$58,ABS(L1345)*'Sollecitazioni nel paramento'!$G$54,'Sollecitazioni nel paramento'!$G$53)</f>
        <v>3512217.894099677</v>
      </c>
      <c r="G1345" s="545">
        <f>-'Foglio deposito bis'!$F$70*(C1345-sezione!$AN$32)*IF(ABS(M1345)&lt;'Sollecitazioni nel paramento'!$G$58,ABS(M1345)*'Sollecitazioni nel paramento'!$G$54,'Sollecitazioni nel paramento'!$G$53)</f>
        <v>0</v>
      </c>
      <c r="H1345" s="545">
        <f>-'Foglio deposito bis'!$F$71*(C1345-sezione!$AO$32)*IF(ABS(N1345)&lt;'Sollecitazioni nel paramento'!$G$58,ABS(N1345)*'Sollecitazioni nel paramento'!$G$54,'Sollecitazioni nel paramento'!$G$53)</f>
        <v>38663585.176989548</v>
      </c>
      <c r="I1345" s="472">
        <f>-'Foglio deposito bis'!$F$72*(C1345-sezione!$AP$32)*IF(ABS(O1345)&lt;'Sollecitazioni nel paramento'!$G$58,ABS(O1345)*'Sollecitazioni nel paramento'!$G$54,'Sollecitazioni nel paramento'!$G$53)</f>
        <v>232016472.76091221</v>
      </c>
      <c r="J1345" s="472">
        <f t="shared" si="93"/>
        <v>243496913.50300574</v>
      </c>
      <c r="K1345" s="550">
        <f>'Sollecitazioni nel paramento'!$G$60*(sezione!$AL$32-C1345)/C1345</f>
        <v>2.6915038875340009E-4</v>
      </c>
      <c r="L1345" s="550">
        <f>'Sollecitazioni nel paramento'!$G$60*(sezione!$AM$32-C1345)/C1345</f>
        <v>2.1537255831301002E-3</v>
      </c>
      <c r="M1345" s="551">
        <f>'Sollecitazioni nel paramento'!$G$60*(sezione!$AN$32-C1345)/C1345</f>
        <v>4.038300777506801E-3</v>
      </c>
      <c r="N1345" s="551">
        <f>'Sollecitazioni nel paramento'!$G$60*(sezione!$AO$32-C1345)/C1345</f>
        <v>1.15766015550136E-2</v>
      </c>
      <c r="O1345" s="551">
        <f>'Sollecitazioni nel paramento'!$G$60*(sezione!$AP$32-C1345)/C1345</f>
        <v>4.4460849611246668E-2</v>
      </c>
      <c r="P1345" s="545">
        <f>-'Sollecitazioni nel paramento'!$G$47*'Sollecitazioni nel paramento'!$G$41*IF(DATI!$G$211="dx",DATI!$E$61,DATI!$E$64*DATI!$E$63)*1000*C1345*sezione!$AD$5</f>
        <v>-1415061.6053725611</v>
      </c>
      <c r="Q1345" s="545">
        <f>'Foglio deposito bis'!$F$68*IF(ABS(K1345)&lt;'Sollecitazioni nel paramento'!$G$58,ABS(K1345)*'Sollecitazioni nel paramento'!$G$54,'Sollecitazioni nel paramento'!$G$53)*IF(K1345&lt;0,-1,1)</f>
        <v>0</v>
      </c>
      <c r="R1345" s="545">
        <f>'Foglio deposito bis'!$F$69*IF(ABS(L1345)&lt;'Sollecitazioni nel paramento'!$G$58,ABS(L1345)*'Sollecitazioni nel paramento'!$G$54,'Sollecitazioni nel paramento'!$G$53)*IF(L1345&lt;0,-1,1)</f>
        <v>153664.85805602249</v>
      </c>
      <c r="S1345" s="545">
        <f>'Foglio deposito bis'!$F$70*IF(ABS(M1345)&lt;'Sollecitazioni nel paramento'!$G$58,ABS(M1345)*'Sollecitazioni nel paramento'!$G$54,'Sollecitazioni nel paramento'!$G$53)*IF(M1345&lt;0,-1,1)</f>
        <v>0</v>
      </c>
      <c r="T1345" s="545">
        <f>'Foglio deposito bis'!$F$71*IF(ABS(N1345)&lt;'Sollecitazioni nel paramento'!$G$58,ABS(N1345)*'Sollecitazioni nel paramento'!$G$54,'Sollecitazioni nel paramento'!$G$53)*IF(N1345&lt;0,-1,1)</f>
        <v>314705.62929873407</v>
      </c>
      <c r="U1345" s="545">
        <f>'Foglio deposito bis'!$F$72*IF(ABS(O1345)&lt;'Sollecitazioni nel paramento'!$G$58,ABS(O1345)*'Sollecitazioni nel paramento'!$G$54,'Sollecitazioni nel paramento'!$G$53)*IF(O1345&lt;0,-1,1)</f>
        <v>491727.54577927204</v>
      </c>
      <c r="V1345" s="472">
        <f t="shared" si="95"/>
        <v>-454963.57223853254</v>
      </c>
      <c r="W1345" s="551"/>
      <c r="X1345" s="551"/>
    </row>
    <row r="1346" spans="1:24" x14ac:dyDescent="0.25">
      <c r="A1346" s="545">
        <f t="shared" si="94"/>
        <v>469114.18829225813</v>
      </c>
      <c r="B1346" s="3">
        <f t="shared" si="96"/>
        <v>5.0499999999999901</v>
      </c>
      <c r="C1346" s="545">
        <f>'Foglio deposito bis'!$E$158/sezione!$B$247*B1346</f>
        <v>37.515085739724569</v>
      </c>
      <c r="D1346" s="603">
        <f>-'Sollecitazioni nel paramento'!$G$47*'Sollecitazioni nel paramento'!$G$41*IF(DATI!$G$211="dx",DATI!$E$61,DATI!$E$64*DATI!$E$63)*1000*C1346^2*sezione!$AD$5*(1-sezione!$AD$6)</f>
        <v>-31312339.111808509</v>
      </c>
      <c r="E1346" s="545">
        <f>-'Foglio deposito bis'!$F$68*(C1346-sezione!$AL$32)*IF(ABS(K1346)&lt;'Sollecitazioni nel paramento'!$G$58,ABS(K1346)*'Sollecitazioni nel paramento'!$G$54,'Sollecitazioni nel paramento'!$G$53)</f>
        <v>0</v>
      </c>
      <c r="F1346" s="545">
        <f>-'Foglio deposito bis'!$F$69*(C1346-sezione!$AM$32)*IF(ABS(L1346)&lt;'Sollecitazioni nel paramento'!$G$58,ABS(L1346)*'Sollecitazioni nel paramento'!$G$54,'Sollecitazioni nel paramento'!$G$53)</f>
        <v>3455141.1582070603</v>
      </c>
      <c r="G1346" s="545">
        <f>-'Foglio deposito bis'!$F$70*(C1346-sezione!$AN$32)*IF(ABS(M1346)&lt;'Sollecitazioni nel paramento'!$G$58,ABS(M1346)*'Sollecitazioni nel paramento'!$G$54,'Sollecitazioni nel paramento'!$G$53)</f>
        <v>0</v>
      </c>
      <c r="H1346" s="545">
        <f>-'Foglio deposito bis'!$F$71*(C1346-sezione!$AO$32)*IF(ABS(N1346)&lt;'Sollecitazioni nel paramento'!$G$58,ABS(N1346)*'Sollecitazioni nel paramento'!$G$54,'Sollecitazioni nel paramento'!$G$53)</f>
        <v>38546692.021881469</v>
      </c>
      <c r="I1346" s="472">
        <f>-'Foglio deposito bis'!$F$72*(C1346-sezione!$AP$32)*IF(ABS(O1346)&lt;'Sollecitazioni nel paramento'!$G$58,ABS(O1346)*'Sollecitazioni nel paramento'!$G$54,'Sollecitazioni nel paramento'!$G$53)</f>
        <v>231833827.20605588</v>
      </c>
      <c r="J1346" s="472">
        <f t="shared" si="93"/>
        <v>242523321.27433589</v>
      </c>
      <c r="K1346" s="550">
        <f>'Sollecitazioni nel paramento'!$G$60*(sezione!$AL$32-C1346)/C1346</f>
        <v>2.3183206807267351E-4</v>
      </c>
      <c r="L1346" s="550">
        <f>'Sollecitazioni nel paramento'!$G$60*(sezione!$AM$32-C1346)/C1346</f>
        <v>2.09774810210901E-3</v>
      </c>
      <c r="M1346" s="551">
        <f>'Sollecitazioni nel paramento'!$G$60*(sezione!$AN$32-C1346)/C1346</f>
        <v>3.9636641361453472E-3</v>
      </c>
      <c r="N1346" s="551">
        <f>'Sollecitazioni nel paramento'!$G$60*(sezione!$AO$32-C1346)/C1346</f>
        <v>1.1427328272290694E-2</v>
      </c>
      <c r="O1346" s="551">
        <f>'Sollecitazioni nel paramento'!$G$60*(sezione!$AP$32-C1346)/C1346</f>
        <v>4.3985989714105618E-2</v>
      </c>
      <c r="P1346" s="545">
        <f>-'Sollecitazioni nel paramento'!$G$47*'Sollecitazioni nel paramento'!$G$41*IF(DATI!$G$211="dx",DATI!$E$61,DATI!$E$64*DATI!$E$63)*1000*C1346*sezione!$AD$5</f>
        <v>-1429212.2214262867</v>
      </c>
      <c r="Q1346" s="545">
        <f>'Foglio deposito bis'!$F$68*IF(ABS(K1346)&lt;'Sollecitazioni nel paramento'!$G$58,ABS(K1346)*'Sollecitazioni nel paramento'!$G$54,'Sollecitazioni nel paramento'!$G$53)*IF(K1346&lt;0,-1,1)</f>
        <v>0</v>
      </c>
      <c r="R1346" s="545">
        <f>'Foglio deposito bis'!$F$69*IF(ABS(L1346)&lt;'Sollecitazioni nel paramento'!$G$58,ABS(L1346)*'Sollecitazioni nel paramento'!$G$54,'Sollecitazioni nel paramento'!$G$53)*IF(L1346&lt;0,-1,1)</f>
        <v>153664.85805602249</v>
      </c>
      <c r="S1346" s="545">
        <f>'Foglio deposito bis'!$F$70*IF(ABS(M1346)&lt;'Sollecitazioni nel paramento'!$G$58,ABS(M1346)*'Sollecitazioni nel paramento'!$G$54,'Sollecitazioni nel paramento'!$G$53)*IF(M1346&lt;0,-1,1)</f>
        <v>0</v>
      </c>
      <c r="T1346" s="545">
        <f>'Foglio deposito bis'!$F$71*IF(ABS(N1346)&lt;'Sollecitazioni nel paramento'!$G$58,ABS(N1346)*'Sollecitazioni nel paramento'!$G$54,'Sollecitazioni nel paramento'!$G$53)*IF(N1346&lt;0,-1,1)</f>
        <v>314705.62929873407</v>
      </c>
      <c r="U1346" s="545">
        <f>'Foglio deposito bis'!$F$72*IF(ABS(O1346)&lt;'Sollecitazioni nel paramento'!$G$58,ABS(O1346)*'Sollecitazioni nel paramento'!$G$54,'Sollecitazioni nel paramento'!$G$53)*IF(O1346&lt;0,-1,1)</f>
        <v>491727.54577927204</v>
      </c>
      <c r="V1346" s="472">
        <f t="shared" si="95"/>
        <v>-469114.18829225813</v>
      </c>
      <c r="W1346" s="551"/>
      <c r="X1346" s="551"/>
    </row>
    <row r="1347" spans="1:24" x14ac:dyDescent="0.25">
      <c r="A1347" s="545">
        <f t="shared" si="94"/>
        <v>483264.80434598372</v>
      </c>
      <c r="B1347" s="3">
        <f t="shared" si="96"/>
        <v>5.0999999999999899</v>
      </c>
      <c r="C1347" s="545">
        <f>'Foglio deposito bis'!$E$158/sezione!$B$247*B1347</f>
        <v>37.886522232197088</v>
      </c>
      <c r="D1347" s="603">
        <f>-'Sollecitazioni nel paramento'!$G$47*'Sollecitazioni nel paramento'!$G$41*IF(DATI!$G$211="dx",DATI!$E$61,DATI!$E$64*DATI!$E$63)*1000*C1347^2*sezione!$AD$5*(1-sezione!$AD$6)</f>
        <v>-31935454.967087116</v>
      </c>
      <c r="E1347" s="545">
        <f>-'Foglio deposito bis'!$F$68*(C1347-sezione!$AL$32)*IF(ABS(K1347)&lt;'Sollecitazioni nel paramento'!$G$58,ABS(K1347)*'Sollecitazioni nel paramento'!$G$54,'Sollecitazioni nel paramento'!$G$53)</f>
        <v>0</v>
      </c>
      <c r="F1347" s="545">
        <f>-'Foglio deposito bis'!$F$69*(C1347-sezione!$AM$32)*IF(ABS(L1347)&lt;'Sollecitazioni nel paramento'!$G$58,ABS(L1347)*'Sollecitazioni nel paramento'!$G$54,'Sollecitazioni nel paramento'!$G$53)</f>
        <v>3398064.4223144436</v>
      </c>
      <c r="G1347" s="545">
        <f>-'Foglio deposito bis'!$F$70*(C1347-sezione!$AN$32)*IF(ABS(M1347)&lt;'Sollecitazioni nel paramento'!$G$58,ABS(M1347)*'Sollecitazioni nel paramento'!$G$54,'Sollecitazioni nel paramento'!$G$53)</f>
        <v>0</v>
      </c>
      <c r="H1347" s="545">
        <f>-'Foglio deposito bis'!$F$71*(C1347-sezione!$AO$32)*IF(ABS(N1347)&lt;'Sollecitazioni nel paramento'!$G$58,ABS(N1347)*'Sollecitazioni nel paramento'!$G$54,'Sollecitazioni nel paramento'!$G$53)</f>
        <v>38429798.866773397</v>
      </c>
      <c r="I1347" s="472">
        <f>-'Foglio deposito bis'!$F$72*(C1347-sezione!$AP$32)*IF(ABS(O1347)&lt;'Sollecitazioni nel paramento'!$G$58,ABS(O1347)*'Sollecitazioni nel paramento'!$G$54,'Sollecitazioni nel paramento'!$G$53)</f>
        <v>231651181.65119949</v>
      </c>
      <c r="J1347" s="472">
        <f t="shared" si="93"/>
        <v>241543589.9732002</v>
      </c>
      <c r="K1347" s="550">
        <f>'Sollecitazioni nel paramento'!$G$60*(sezione!$AL$32-C1347)/C1347</f>
        <v>1.9524547917000042E-4</v>
      </c>
      <c r="L1347" s="550">
        <f>'Sollecitazioni nel paramento'!$G$60*(sezione!$AM$32-C1347)/C1347</f>
        <v>2.0428682187550009E-3</v>
      </c>
      <c r="M1347" s="551">
        <f>'Sollecitazioni nel paramento'!$G$60*(sezione!$AN$32-C1347)/C1347</f>
        <v>3.8904909583400006E-3</v>
      </c>
      <c r="N1347" s="551">
        <f>'Sollecitazioni nel paramento'!$G$60*(sezione!$AO$32-C1347)/C1347</f>
        <v>1.1280981916680002E-2</v>
      </c>
      <c r="O1347" s="551">
        <f>'Sollecitazioni nel paramento'!$G$60*(sezione!$AP$32-C1347)/C1347</f>
        <v>4.3520440795339871E-2</v>
      </c>
      <c r="P1347" s="545">
        <f>-'Sollecitazioni nel paramento'!$G$47*'Sollecitazioni nel paramento'!$G$41*IF(DATI!$G$211="dx",DATI!$E$61,DATI!$E$64*DATI!$E$63)*1000*C1347*sezione!$AD$5</f>
        <v>-1443362.8374800123</v>
      </c>
      <c r="Q1347" s="545">
        <f>'Foglio deposito bis'!$F$68*IF(ABS(K1347)&lt;'Sollecitazioni nel paramento'!$G$58,ABS(K1347)*'Sollecitazioni nel paramento'!$G$54,'Sollecitazioni nel paramento'!$G$53)*IF(K1347&lt;0,-1,1)</f>
        <v>0</v>
      </c>
      <c r="R1347" s="545">
        <f>'Foglio deposito bis'!$F$69*IF(ABS(L1347)&lt;'Sollecitazioni nel paramento'!$G$58,ABS(L1347)*'Sollecitazioni nel paramento'!$G$54,'Sollecitazioni nel paramento'!$G$53)*IF(L1347&lt;0,-1,1)</f>
        <v>153664.85805602249</v>
      </c>
      <c r="S1347" s="545">
        <f>'Foglio deposito bis'!$F$70*IF(ABS(M1347)&lt;'Sollecitazioni nel paramento'!$G$58,ABS(M1347)*'Sollecitazioni nel paramento'!$G$54,'Sollecitazioni nel paramento'!$G$53)*IF(M1347&lt;0,-1,1)</f>
        <v>0</v>
      </c>
      <c r="T1347" s="545">
        <f>'Foglio deposito bis'!$F$71*IF(ABS(N1347)&lt;'Sollecitazioni nel paramento'!$G$58,ABS(N1347)*'Sollecitazioni nel paramento'!$G$54,'Sollecitazioni nel paramento'!$G$53)*IF(N1347&lt;0,-1,1)</f>
        <v>314705.62929873407</v>
      </c>
      <c r="U1347" s="545">
        <f>'Foglio deposito bis'!$F$72*IF(ABS(O1347)&lt;'Sollecitazioni nel paramento'!$G$58,ABS(O1347)*'Sollecitazioni nel paramento'!$G$54,'Sollecitazioni nel paramento'!$G$53)*IF(O1347&lt;0,-1,1)</f>
        <v>491727.54577927204</v>
      </c>
      <c r="V1347" s="472">
        <f t="shared" si="95"/>
        <v>-483264.80434598372</v>
      </c>
      <c r="W1347" s="551"/>
      <c r="X1347" s="551"/>
    </row>
    <row r="1348" spans="1:24" x14ac:dyDescent="0.25">
      <c r="A1348" s="545">
        <f t="shared" si="94"/>
        <v>545192.83810434444</v>
      </c>
      <c r="B1348" s="3">
        <f>B1347+0.2</f>
        <v>5.2999999999999901</v>
      </c>
      <c r="C1348" s="545">
        <f>'Foglio deposito bis'!$E$158/sezione!$B$247*B1348</f>
        <v>39.372268202087177</v>
      </c>
      <c r="D1348" s="603">
        <f>-'Sollecitazioni nel paramento'!$G$47*'Sollecitazioni nel paramento'!$G$41*IF(DATI!$G$211="dx",DATI!$E$61,DATI!$E$64*DATI!$E$63)*1000*C1348^2*sezione!$AD$5*(1-sezione!$AD$6)</f>
        <v>-34489309.112859569</v>
      </c>
      <c r="E1348" s="545">
        <f>-'Foglio deposito bis'!$F$68*(C1348-sezione!$AL$32)*IF(ABS(K1348)&lt;'Sollecitazioni nel paramento'!$G$58,ABS(K1348)*'Sollecitazioni nel paramento'!$G$54,'Sollecitazioni nel paramento'!$G$53)</f>
        <v>0</v>
      </c>
      <c r="F1348" s="545">
        <f>-'Foglio deposito bis'!$F$69*(C1348-sezione!$AM$32)*IF(ABS(L1348)&lt;'Sollecitazioni nel paramento'!$G$58,ABS(L1348)*'Sollecitazioni nel paramento'!$G$54,'Sollecitazioni nel paramento'!$G$53)</f>
        <v>3059903.0585303926</v>
      </c>
      <c r="G1348" s="545">
        <f>-'Foglio deposito bis'!$F$70*(C1348-sezione!$AN$32)*IF(ABS(M1348)&lt;'Sollecitazioni nel paramento'!$G$58,ABS(M1348)*'Sollecitazioni nel paramento'!$G$54,'Sollecitazioni nel paramento'!$G$53)</f>
        <v>0</v>
      </c>
      <c r="H1348" s="545">
        <f>-'Foglio deposito bis'!$F$71*(C1348-sezione!$AO$32)*IF(ABS(N1348)&lt;'Sollecitazioni nel paramento'!$G$58,ABS(N1348)*'Sollecitazioni nel paramento'!$G$54,'Sollecitazioni nel paramento'!$G$53)</f>
        <v>37962226.246341072</v>
      </c>
      <c r="I1348" s="472">
        <f>-'Foglio deposito bis'!$F$72*(C1348-sezione!$AP$32)*IF(ABS(O1348)&lt;'Sollecitazioni nel paramento'!$G$58,ABS(O1348)*'Sollecitazioni nel paramento'!$G$54,'Sollecitazioni nel paramento'!$G$53)</f>
        <v>230920599.43177399</v>
      </c>
      <c r="J1348" s="472">
        <f t="shared" si="93"/>
        <v>237453419.62378588</v>
      </c>
      <c r="K1348" s="550">
        <f>'Sollecitazioni nel paramento'!$G$60*(sezione!$AL$32-C1348)/C1348</f>
        <v>5.5802253540943081E-5</v>
      </c>
      <c r="L1348" s="550">
        <f>'Sollecitazioni nel paramento'!$G$60*(sezione!$AM$32-C1348)/C1348</f>
        <v>1.8337033803114144E-3</v>
      </c>
      <c r="M1348" s="551">
        <f>'Sollecitazioni nel paramento'!$G$60*(sezione!$AN$32-C1348)/C1348</f>
        <v>3.6116045070818861E-3</v>
      </c>
      <c r="N1348" s="551">
        <f>'Sollecitazioni nel paramento'!$G$60*(sezione!$AO$32-C1348)/C1348</f>
        <v>1.0723209014163772E-2</v>
      </c>
      <c r="O1348" s="551">
        <f>'Sollecitazioni nel paramento'!$G$60*(sezione!$AP$32-C1348)/C1348</f>
        <v>4.1746084538911946E-2</v>
      </c>
      <c r="P1348" s="545">
        <f>-'Sollecitazioni nel paramento'!$G$47*'Sollecitazioni nel paramento'!$G$41*IF(DATI!$G$211="dx",DATI!$E$61,DATI!$E$64*DATI!$E$63)*1000*C1348*sezione!$AD$5</f>
        <v>-1499965.3016949149</v>
      </c>
      <c r="Q1348" s="545">
        <f>'Foglio deposito bis'!$F$68*IF(ABS(K1348)&lt;'Sollecitazioni nel paramento'!$G$58,ABS(K1348)*'Sollecitazioni nel paramento'!$G$54,'Sollecitazioni nel paramento'!$G$53)*IF(K1348&lt;0,-1,1)</f>
        <v>0</v>
      </c>
      <c r="R1348" s="545">
        <f>'Foglio deposito bis'!$F$69*IF(ABS(L1348)&lt;'Sollecitazioni nel paramento'!$G$58,ABS(L1348)*'Sollecitazioni nel paramento'!$G$54,'Sollecitazioni nel paramento'!$G$53)*IF(L1348&lt;0,-1,1)</f>
        <v>148339.28851256456</v>
      </c>
      <c r="S1348" s="545">
        <f>'Foglio deposito bis'!$F$70*IF(ABS(M1348)&lt;'Sollecitazioni nel paramento'!$G$58,ABS(M1348)*'Sollecitazioni nel paramento'!$G$54,'Sollecitazioni nel paramento'!$G$53)*IF(M1348&lt;0,-1,1)</f>
        <v>0</v>
      </c>
      <c r="T1348" s="545">
        <f>'Foglio deposito bis'!$F$71*IF(ABS(N1348)&lt;'Sollecitazioni nel paramento'!$G$58,ABS(N1348)*'Sollecitazioni nel paramento'!$G$54,'Sollecitazioni nel paramento'!$G$53)*IF(N1348&lt;0,-1,1)</f>
        <v>314705.62929873407</v>
      </c>
      <c r="U1348" s="545">
        <f>'Foglio deposito bis'!$F$72*IF(ABS(O1348)&lt;'Sollecitazioni nel paramento'!$G$58,ABS(O1348)*'Sollecitazioni nel paramento'!$G$54,'Sollecitazioni nel paramento'!$G$53)*IF(O1348&lt;0,-1,1)</f>
        <v>491727.54577927204</v>
      </c>
      <c r="V1348" s="472">
        <f t="shared" si="95"/>
        <v>-545192.83810434444</v>
      </c>
      <c r="W1348" s="551"/>
      <c r="X1348" s="551"/>
    </row>
    <row r="1349" spans="1:24" x14ac:dyDescent="0.25">
      <c r="A1349" s="545">
        <f t="shared" si="94"/>
        <v>617485.31418896839</v>
      </c>
      <c r="B1349" s="3">
        <f t="shared" ref="B1349:B1412" si="97">B1348+0.2</f>
        <v>5.4999999999999902</v>
      </c>
      <c r="C1349" s="545">
        <f>'Foglio deposito bis'!$E$158/sezione!$B$247*B1349</f>
        <v>40.85801417197726</v>
      </c>
      <c r="D1349" s="603">
        <f>-'Sollecitazioni nel paramento'!$G$47*'Sollecitazioni nel paramento'!$G$41*IF(DATI!$G$211="dx",DATI!$E$61,DATI!$E$64*DATI!$E$63)*1000*C1349^2*sezione!$AD$5*(1-sezione!$AD$6)</f>
        <v>-37141388.4180848</v>
      </c>
      <c r="E1349" s="545">
        <f>-'Foglio deposito bis'!$F$68*(C1349-sezione!$AL$32)*IF(ABS(K1349)&lt;'Sollecitazioni nel paramento'!$G$58,ABS(K1349)*'Sollecitazioni nel paramento'!$G$54,'Sollecitazioni nel paramento'!$G$53)</f>
        <v>0</v>
      </c>
      <c r="F1349" s="545">
        <f>-'Foglio deposito bis'!$F$69*(C1349-sezione!$AM$32)*IF(ABS(L1349)&lt;'Sollecitazioni nel paramento'!$G$58,ABS(L1349)*'Sollecitazioni nel paramento'!$G$54,'Sollecitazioni nel paramento'!$G$53)</f>
        <v>2539170.5735947681</v>
      </c>
      <c r="G1349" s="545">
        <f>-'Foglio deposito bis'!$F$70*(C1349-sezione!$AN$32)*IF(ABS(M1349)&lt;'Sollecitazioni nel paramento'!$G$58,ABS(M1349)*'Sollecitazioni nel paramento'!$G$54,'Sollecitazioni nel paramento'!$G$53)</f>
        <v>0</v>
      </c>
      <c r="H1349" s="545">
        <f>-'Foglio deposito bis'!$F$71*(C1349-sezione!$AO$32)*IF(ABS(N1349)&lt;'Sollecitazioni nel paramento'!$G$58,ABS(N1349)*'Sollecitazioni nel paramento'!$G$54,'Sollecitazioni nel paramento'!$G$53)</f>
        <v>37494653.625908755</v>
      </c>
      <c r="I1349" s="472">
        <f>-'Foglio deposito bis'!$F$72*(C1349-sezione!$AP$32)*IF(ABS(O1349)&lt;'Sollecitazioni nel paramento'!$G$58,ABS(O1349)*'Sollecitazioni nel paramento'!$G$54,'Sollecitazioni nel paramento'!$G$53)</f>
        <v>230190017.21234849</v>
      </c>
      <c r="J1349" s="472">
        <f t="shared" si="93"/>
        <v>233082452.9937672</v>
      </c>
      <c r="K1349" s="550">
        <f>'Sollecitazioni nel paramento'!$G$60*(sezione!$AL$32-C1349)/C1349</f>
        <v>-7.3499646587818534E-5</v>
      </c>
      <c r="L1349" s="550">
        <f>'Sollecitazioni nel paramento'!$G$60*(sezione!$AM$32-C1349)/C1349</f>
        <v>1.6397505301182723E-3</v>
      </c>
      <c r="M1349" s="551">
        <f>'Sollecitazioni nel paramento'!$G$60*(sezione!$AN$32-C1349)/C1349</f>
        <v>3.3530007068243634E-3</v>
      </c>
      <c r="N1349" s="551">
        <f>'Sollecitazioni nel paramento'!$G$60*(sezione!$AO$32-C1349)/C1349</f>
        <v>1.0206001413648726E-2</v>
      </c>
      <c r="O1349" s="551">
        <f>'Sollecitazioni nel paramento'!$G$60*(sezione!$AP$32-C1349)/C1349</f>
        <v>4.0100772373860602E-2</v>
      </c>
      <c r="P1349" s="545">
        <f>-'Sollecitazioni nel paramento'!$G$47*'Sollecitazioni nel paramento'!$G$41*IF(DATI!$G$211="dx",DATI!$E$61,DATI!$E$64*DATI!$E$63)*1000*C1349*sezione!$AD$5</f>
        <v>-1556567.7659098173</v>
      </c>
      <c r="Q1349" s="545">
        <f>'Foglio deposito bis'!$F$68*IF(ABS(K1349)&lt;'Sollecitazioni nel paramento'!$G$58,ABS(K1349)*'Sollecitazioni nel paramento'!$G$54,'Sollecitazioni nel paramento'!$G$53)*IF(K1349&lt;0,-1,1)</f>
        <v>0</v>
      </c>
      <c r="R1349" s="545">
        <f>'Foglio deposito bis'!$F$69*IF(ABS(L1349)&lt;'Sollecitazioni nel paramento'!$G$58,ABS(L1349)*'Sollecitazioni nel paramento'!$G$54,'Sollecitazioni nel paramento'!$G$53)*IF(L1349&lt;0,-1,1)</f>
        <v>132649.27664284297</v>
      </c>
      <c r="S1349" s="545">
        <f>'Foglio deposito bis'!$F$70*IF(ABS(M1349)&lt;'Sollecitazioni nel paramento'!$G$58,ABS(M1349)*'Sollecitazioni nel paramento'!$G$54,'Sollecitazioni nel paramento'!$G$53)*IF(M1349&lt;0,-1,1)</f>
        <v>0</v>
      </c>
      <c r="T1349" s="545">
        <f>'Foglio deposito bis'!$F$71*IF(ABS(N1349)&lt;'Sollecitazioni nel paramento'!$G$58,ABS(N1349)*'Sollecitazioni nel paramento'!$G$54,'Sollecitazioni nel paramento'!$G$53)*IF(N1349&lt;0,-1,1)</f>
        <v>314705.62929873407</v>
      </c>
      <c r="U1349" s="545">
        <f>'Foglio deposito bis'!$F$72*IF(ABS(O1349)&lt;'Sollecitazioni nel paramento'!$G$58,ABS(O1349)*'Sollecitazioni nel paramento'!$G$54,'Sollecitazioni nel paramento'!$G$53)*IF(O1349&lt;0,-1,1)</f>
        <v>491727.54577927204</v>
      </c>
      <c r="V1349" s="472">
        <f t="shared" si="95"/>
        <v>-617485.31418896839</v>
      </c>
      <c r="W1349" s="551"/>
      <c r="X1349" s="551"/>
    </row>
    <row r="1350" spans="1:24" x14ac:dyDescent="0.25">
      <c r="A1350" s="545">
        <f t="shared" si="94"/>
        <v>688676.7368090509</v>
      </c>
      <c r="B1350" s="3">
        <f t="shared" si="97"/>
        <v>5.6999999999999904</v>
      </c>
      <c r="C1350" s="545">
        <f>'Foglio deposito bis'!$E$158/sezione!$B$247*B1350</f>
        <v>42.343760141867349</v>
      </c>
      <c r="D1350" s="603">
        <f>-'Sollecitazioni nel paramento'!$G$47*'Sollecitazioni nel paramento'!$G$41*IF(DATI!$G$211="dx",DATI!$E$61,DATI!$E$64*DATI!$E$63)*1000*C1350^2*sezione!$AD$5*(1-sezione!$AD$6)</f>
        <v>-39891692.882762834</v>
      </c>
      <c r="E1350" s="545">
        <f>-'Foglio deposito bis'!$F$68*(C1350-sezione!$AL$32)*IF(ABS(K1350)&lt;'Sollecitazioni nel paramento'!$G$58,ABS(K1350)*'Sollecitazioni nel paramento'!$G$54,'Sollecitazioni nel paramento'!$G$53)</f>
        <v>0</v>
      </c>
      <c r="F1350" s="545">
        <f>-'Foglio deposito bis'!$F$69*(C1350-sezione!$AM$32)*IF(ABS(L1350)&lt;'Sollecitazioni nel paramento'!$G$58,ABS(L1350)*'Sollecitazioni nel paramento'!$G$54,'Sollecitazioni nel paramento'!$G$53)</f>
        <v>2084501.296531653</v>
      </c>
      <c r="G1350" s="545">
        <f>-'Foglio deposito bis'!$F$70*(C1350-sezione!$AN$32)*IF(ABS(M1350)&lt;'Sollecitazioni nel paramento'!$G$58,ABS(M1350)*'Sollecitazioni nel paramento'!$G$54,'Sollecitazioni nel paramento'!$G$53)</f>
        <v>0</v>
      </c>
      <c r="H1350" s="545">
        <f>-'Foglio deposito bis'!$F$71*(C1350-sezione!$AO$32)*IF(ABS(N1350)&lt;'Sollecitazioni nel paramento'!$G$58,ABS(N1350)*'Sollecitazioni nel paramento'!$G$54,'Sollecitazioni nel paramento'!$G$53)</f>
        <v>37027081.00547643</v>
      </c>
      <c r="I1350" s="472">
        <f>-'Foglio deposito bis'!$F$72*(C1350-sezione!$AP$32)*IF(ABS(O1350)&lt;'Sollecitazioni nel paramento'!$G$58,ABS(O1350)*'Sollecitazioni nel paramento'!$G$54,'Sollecitazioni nel paramento'!$G$53)</f>
        <v>229459434.99292299</v>
      </c>
      <c r="J1350" s="472">
        <f t="shared" si="93"/>
        <v>228679324.41216823</v>
      </c>
      <c r="K1350" s="550">
        <f>'Sollecitazioni nel paramento'!$G$60*(sezione!$AL$32-C1350)/C1350</f>
        <v>-1.9372772916368512E-4</v>
      </c>
      <c r="L1350" s="550">
        <f>'Sollecitazioni nel paramento'!$G$60*(sezione!$AM$32-C1350)/C1350</f>
        <v>1.4594084062544723E-3</v>
      </c>
      <c r="M1350" s="551">
        <f>'Sollecitazioni nel paramento'!$G$60*(sezione!$AN$32-C1350)/C1350</f>
        <v>3.1125445416726296E-3</v>
      </c>
      <c r="N1350" s="551">
        <f>'Sollecitazioni nel paramento'!$G$60*(sezione!$AO$32-C1350)/C1350</f>
        <v>9.7250890833452605E-3</v>
      </c>
      <c r="O1350" s="551">
        <f>'Sollecitazioni nel paramento'!$G$60*(sezione!$AP$32-C1350)/C1350</f>
        <v>3.8570920711619876E-2</v>
      </c>
      <c r="P1350" s="545">
        <f>-'Sollecitazioni nel paramento'!$G$47*'Sollecitazioni nel paramento'!$G$41*IF(DATI!$G$211="dx",DATI!$E$61,DATI!$E$64*DATI!$E$63)*1000*C1350*sezione!$AD$5</f>
        <v>-1613170.2301247201</v>
      </c>
      <c r="Q1350" s="545">
        <f>'Foglio deposito bis'!$F$68*IF(ABS(K1350)&lt;'Sollecitazioni nel paramento'!$G$58,ABS(K1350)*'Sollecitazioni nel paramento'!$G$54,'Sollecitazioni nel paramento'!$G$53)*IF(K1350&lt;0,-1,1)</f>
        <v>0</v>
      </c>
      <c r="R1350" s="545">
        <f>'Foglio deposito bis'!$F$69*IF(ABS(L1350)&lt;'Sollecitazioni nel paramento'!$G$58,ABS(L1350)*'Sollecitazioni nel paramento'!$G$54,'Sollecitazioni nel paramento'!$G$53)*IF(L1350&lt;0,-1,1)</f>
        <v>118060.31823766314</v>
      </c>
      <c r="S1350" s="545">
        <f>'Foglio deposito bis'!$F$70*IF(ABS(M1350)&lt;'Sollecitazioni nel paramento'!$G$58,ABS(M1350)*'Sollecitazioni nel paramento'!$G$54,'Sollecitazioni nel paramento'!$G$53)*IF(M1350&lt;0,-1,1)</f>
        <v>0</v>
      </c>
      <c r="T1350" s="545">
        <f>'Foglio deposito bis'!$F$71*IF(ABS(N1350)&lt;'Sollecitazioni nel paramento'!$G$58,ABS(N1350)*'Sollecitazioni nel paramento'!$G$54,'Sollecitazioni nel paramento'!$G$53)*IF(N1350&lt;0,-1,1)</f>
        <v>314705.62929873407</v>
      </c>
      <c r="U1350" s="545">
        <f>'Foglio deposito bis'!$F$72*IF(ABS(O1350)&lt;'Sollecitazioni nel paramento'!$G$58,ABS(O1350)*'Sollecitazioni nel paramento'!$G$54,'Sollecitazioni nel paramento'!$G$53)*IF(O1350&lt;0,-1,1)</f>
        <v>491727.54577927204</v>
      </c>
      <c r="V1350" s="472">
        <f t="shared" si="95"/>
        <v>-688676.7368090509</v>
      </c>
      <c r="W1350" s="551"/>
      <c r="X1350" s="551"/>
    </row>
    <row r="1351" spans="1:24" x14ac:dyDescent="0.25">
      <c r="A1351" s="545">
        <f t="shared" si="94"/>
        <v>758879.07750335825</v>
      </c>
      <c r="B1351" s="3">
        <f t="shared" si="97"/>
        <v>5.8999999999999906</v>
      </c>
      <c r="C1351" s="545">
        <f>'Foglio deposito bis'!$E$158/sezione!$B$247*B1351</f>
        <v>43.829506111757432</v>
      </c>
      <c r="D1351" s="603">
        <f>-'Sollecitazioni nel paramento'!$G$47*'Sollecitazioni nel paramento'!$G$41*IF(DATI!$G$211="dx",DATI!$E$61,DATI!$E$64*DATI!$E$63)*1000*C1351^2*sezione!$AD$5*(1-sezione!$AD$6)</f>
        <v>-42740222.506893635</v>
      </c>
      <c r="E1351" s="545">
        <f>-'Foglio deposito bis'!$F$68*(C1351-sezione!$AL$32)*IF(ABS(K1351)&lt;'Sollecitazioni nel paramento'!$G$58,ABS(K1351)*'Sollecitazioni nel paramento'!$G$54,'Sollecitazioni nel paramento'!$G$53)</f>
        <v>0</v>
      </c>
      <c r="F1351" s="545">
        <f>-'Foglio deposito bis'!$F$69*(C1351-sezione!$AM$32)*IF(ABS(L1351)&lt;'Sollecitazioni nel paramento'!$G$58,ABS(L1351)*'Sollecitazioni nel paramento'!$G$54,'Sollecitazioni nel paramento'!$G$53)</f>
        <v>1689176.9350150342</v>
      </c>
      <c r="G1351" s="545">
        <f>-'Foglio deposito bis'!$F$70*(C1351-sezione!$AN$32)*IF(ABS(M1351)&lt;'Sollecitazioni nel paramento'!$G$58,ABS(M1351)*'Sollecitazioni nel paramento'!$G$54,'Sollecitazioni nel paramento'!$G$53)</f>
        <v>0</v>
      </c>
      <c r="H1351" s="545">
        <f>-'Foglio deposito bis'!$F$71*(C1351-sezione!$AO$32)*IF(ABS(N1351)&lt;'Sollecitazioni nel paramento'!$G$58,ABS(N1351)*'Sollecitazioni nel paramento'!$G$54,'Sollecitazioni nel paramento'!$G$53)</f>
        <v>36559508.385044113</v>
      </c>
      <c r="I1351" s="472">
        <f>-'Foglio deposito bis'!$F$72*(C1351-sezione!$AP$32)*IF(ABS(O1351)&lt;'Sollecitazioni nel paramento'!$G$58,ABS(O1351)*'Sollecitazioni nel paramento'!$G$54,'Sollecitazioni nel paramento'!$G$53)</f>
        <v>228728852.77349749</v>
      </c>
      <c r="J1351" s="472">
        <f t="shared" si="93"/>
        <v>224237315.58666301</v>
      </c>
      <c r="K1351" s="550">
        <f>'Sollecitazioni nel paramento'!$G$60*(sezione!$AL$32-C1351)/C1351</f>
        <v>-3.058047552937297E-4</v>
      </c>
      <c r="L1351" s="550">
        <f>'Sollecitazioni nel paramento'!$G$60*(sezione!$AM$32-C1351)/C1351</f>
        <v>1.2912928670594055E-3</v>
      </c>
      <c r="M1351" s="551">
        <f>'Sollecitazioni nel paramento'!$G$60*(sezione!$AN$32-C1351)/C1351</f>
        <v>2.8883904894125407E-3</v>
      </c>
      <c r="N1351" s="551">
        <f>'Sollecitazioni nel paramento'!$G$60*(sezione!$AO$32-C1351)/C1351</f>
        <v>9.2767809788250818E-3</v>
      </c>
      <c r="O1351" s="551">
        <f>'Sollecitazioni nel paramento'!$G$60*(sezione!$AP$32-C1351)/C1351</f>
        <v>3.7144787806141229E-2</v>
      </c>
      <c r="P1351" s="545">
        <f>-'Sollecitazioni nel paramento'!$G$47*'Sollecitazioni nel paramento'!$G$41*IF(DATI!$G$211="dx",DATI!$E$61,DATI!$E$64*DATI!$E$63)*1000*C1351*sezione!$AD$5</f>
        <v>-1669772.6943396225</v>
      </c>
      <c r="Q1351" s="545">
        <f>'Foglio deposito bis'!$F$68*IF(ABS(K1351)&lt;'Sollecitazioni nel paramento'!$G$58,ABS(K1351)*'Sollecitazioni nel paramento'!$G$54,'Sollecitazioni nel paramento'!$G$53)*IF(K1351&lt;0,-1,1)</f>
        <v>0</v>
      </c>
      <c r="R1351" s="545">
        <f>'Foglio deposito bis'!$F$69*IF(ABS(L1351)&lt;'Sollecitazioni nel paramento'!$G$58,ABS(L1351)*'Sollecitazioni nel paramento'!$G$54,'Sollecitazioni nel paramento'!$G$53)*IF(L1351&lt;0,-1,1)</f>
        <v>104460.44175825828</v>
      </c>
      <c r="S1351" s="545">
        <f>'Foglio deposito bis'!$F$70*IF(ABS(M1351)&lt;'Sollecitazioni nel paramento'!$G$58,ABS(M1351)*'Sollecitazioni nel paramento'!$G$54,'Sollecitazioni nel paramento'!$G$53)*IF(M1351&lt;0,-1,1)</f>
        <v>0</v>
      </c>
      <c r="T1351" s="545">
        <f>'Foglio deposito bis'!$F$71*IF(ABS(N1351)&lt;'Sollecitazioni nel paramento'!$G$58,ABS(N1351)*'Sollecitazioni nel paramento'!$G$54,'Sollecitazioni nel paramento'!$G$53)*IF(N1351&lt;0,-1,1)</f>
        <v>314705.62929873407</v>
      </c>
      <c r="U1351" s="545">
        <f>'Foglio deposito bis'!$F$72*IF(ABS(O1351)&lt;'Sollecitazioni nel paramento'!$G$58,ABS(O1351)*'Sollecitazioni nel paramento'!$G$54,'Sollecitazioni nel paramento'!$G$53)*IF(O1351&lt;0,-1,1)</f>
        <v>491727.54577927204</v>
      </c>
      <c r="V1351" s="472">
        <f t="shared" si="95"/>
        <v>-758879.07750335825</v>
      </c>
      <c r="W1351" s="551"/>
      <c r="X1351" s="551"/>
    </row>
    <row r="1352" spans="1:24" x14ac:dyDescent="0.25">
      <c r="A1352" s="545">
        <f t="shared" si="94"/>
        <v>828189.62301868852</v>
      </c>
      <c r="B1352" s="3">
        <f t="shared" si="97"/>
        <v>6.0999999999999908</v>
      </c>
      <c r="C1352" s="545">
        <f>'Foglio deposito bis'!$E$158/sezione!$B$247*B1352</f>
        <v>45.315252081647522</v>
      </c>
      <c r="D1352" s="603">
        <f>-'Sollecitazioni nel paramento'!$G$47*'Sollecitazioni nel paramento'!$G$41*IF(DATI!$G$211="dx",DATI!$E$61,DATI!$E$64*DATI!$E$63)*1000*C1352^2*sezione!$AD$5*(1-sezione!$AD$6)</f>
        <v>-45686977.290477239</v>
      </c>
      <c r="E1352" s="545">
        <f>-'Foglio deposito bis'!$F$68*(C1352-sezione!$AL$32)*IF(ABS(K1352)&lt;'Sollecitazioni nel paramento'!$G$58,ABS(K1352)*'Sollecitazioni nel paramento'!$G$54,'Sollecitazioni nel paramento'!$G$53)</f>
        <v>0</v>
      </c>
      <c r="F1352" s="545">
        <f>-'Foglio deposito bis'!$F$69*(C1352-sezione!$AM$32)*IF(ABS(L1352)&lt;'Sollecitazioni nel paramento'!$G$58,ABS(L1352)*'Sollecitazioni nel paramento'!$G$54,'Sollecitazioni nel paramento'!$G$53)</f>
        <v>1347360.284237056</v>
      </c>
      <c r="G1352" s="545">
        <f>-'Foglio deposito bis'!$F$70*(C1352-sezione!$AN$32)*IF(ABS(M1352)&lt;'Sollecitazioni nel paramento'!$G$58,ABS(M1352)*'Sollecitazioni nel paramento'!$G$54,'Sollecitazioni nel paramento'!$G$53)</f>
        <v>0</v>
      </c>
      <c r="H1352" s="545">
        <f>-'Foglio deposito bis'!$F$71*(C1352-sezione!$AO$32)*IF(ABS(N1352)&lt;'Sollecitazioni nel paramento'!$G$58,ABS(N1352)*'Sollecitazioni nel paramento'!$G$54,'Sollecitazioni nel paramento'!$G$53)</f>
        <v>36091935.764611803</v>
      </c>
      <c r="I1352" s="472">
        <f>-'Foglio deposito bis'!$F$72*(C1352-sezione!$AP$32)*IF(ABS(O1352)&lt;'Sollecitazioni nel paramento'!$G$58,ABS(O1352)*'Sollecitazioni nel paramento'!$G$54,'Sollecitazioni nel paramento'!$G$53)</f>
        <v>227998270.55407199</v>
      </c>
      <c r="J1352" s="472">
        <f t="shared" si="93"/>
        <v>219750589.31244361</v>
      </c>
      <c r="K1352" s="550">
        <f>'Sollecitazioni nel paramento'!$G$60*(sezione!$AL$32-C1352)/C1352</f>
        <v>-4.1053246823491939E-4</v>
      </c>
      <c r="L1352" s="550">
        <f>'Sollecitazioni nel paramento'!$G$60*(sezione!$AM$32-C1352)/C1352</f>
        <v>1.134201297647621E-3</v>
      </c>
      <c r="M1352" s="551">
        <f>'Sollecitazioni nel paramento'!$G$60*(sezione!$AN$32-C1352)/C1352</f>
        <v>2.6789350635301611E-3</v>
      </c>
      <c r="N1352" s="551">
        <f>'Sollecitazioni nel paramento'!$G$60*(sezione!$AO$32-C1352)/C1352</f>
        <v>8.8578701270603227E-3</v>
      </c>
      <c r="O1352" s="551">
        <f>'Sollecitazioni nel paramento'!$G$60*(sezione!$AP$32-C1352)/C1352</f>
        <v>3.5812171812497247E-2</v>
      </c>
      <c r="P1352" s="545">
        <f>-'Sollecitazioni nel paramento'!$G$47*'Sollecitazioni nel paramento'!$G$41*IF(DATI!$G$211="dx",DATI!$E$61,DATI!$E$64*DATI!$E$63)*1000*C1352*sezione!$AD$5</f>
        <v>-1726375.1585545253</v>
      </c>
      <c r="Q1352" s="545">
        <f>'Foglio deposito bis'!$F$68*IF(ABS(K1352)&lt;'Sollecitazioni nel paramento'!$G$58,ABS(K1352)*'Sollecitazioni nel paramento'!$G$54,'Sollecitazioni nel paramento'!$G$53)*IF(K1352&lt;0,-1,1)</f>
        <v>0</v>
      </c>
      <c r="R1352" s="545">
        <f>'Foglio deposito bis'!$F$69*IF(ABS(L1352)&lt;'Sollecitazioni nel paramento'!$G$58,ABS(L1352)*'Sollecitazioni nel paramento'!$G$54,'Sollecitazioni nel paramento'!$G$53)*IF(L1352&lt;0,-1,1)</f>
        <v>91752.360457830728</v>
      </c>
      <c r="S1352" s="545">
        <f>'Foglio deposito bis'!$F$70*IF(ABS(M1352)&lt;'Sollecitazioni nel paramento'!$G$58,ABS(M1352)*'Sollecitazioni nel paramento'!$G$54,'Sollecitazioni nel paramento'!$G$53)*IF(M1352&lt;0,-1,1)</f>
        <v>0</v>
      </c>
      <c r="T1352" s="545">
        <f>'Foglio deposito bis'!$F$71*IF(ABS(N1352)&lt;'Sollecitazioni nel paramento'!$G$58,ABS(N1352)*'Sollecitazioni nel paramento'!$G$54,'Sollecitazioni nel paramento'!$G$53)*IF(N1352&lt;0,-1,1)</f>
        <v>314705.62929873407</v>
      </c>
      <c r="U1352" s="545">
        <f>'Foglio deposito bis'!$F$72*IF(ABS(O1352)&lt;'Sollecitazioni nel paramento'!$G$58,ABS(O1352)*'Sollecitazioni nel paramento'!$G$54,'Sollecitazioni nel paramento'!$G$53)*IF(O1352&lt;0,-1,1)</f>
        <v>491727.54577927204</v>
      </c>
      <c r="V1352" s="472">
        <f t="shared" si="95"/>
        <v>-828189.62301868852</v>
      </c>
      <c r="W1352" s="551"/>
      <c r="X1352" s="551"/>
    </row>
    <row r="1353" spans="1:24" x14ac:dyDescent="0.25">
      <c r="A1353" s="545">
        <f t="shared" si="94"/>
        <v>896693.30622922932</v>
      </c>
      <c r="B1353" s="3">
        <f t="shared" si="97"/>
        <v>6.2999999999999909</v>
      </c>
      <c r="C1353" s="545">
        <f>'Foglio deposito bis'!$E$158/sezione!$B$247*B1353</f>
        <v>46.800998051537604</v>
      </c>
      <c r="D1353" s="603">
        <f>-'Sollecitazioni nel paramento'!$G$47*'Sollecitazioni nel paramento'!$G$41*IF(DATI!$G$211="dx",DATI!$E$61,DATI!$E$64*DATI!$E$63)*1000*C1353^2*sezione!$AD$5*(1-sezione!$AD$6)</f>
        <v>-48731957.233513616</v>
      </c>
      <c r="E1353" s="545">
        <f>-'Foglio deposito bis'!$F$68*(C1353-sezione!$AL$32)*IF(ABS(K1353)&lt;'Sollecitazioni nel paramento'!$G$58,ABS(K1353)*'Sollecitazioni nel paramento'!$G$54,'Sollecitazioni nel paramento'!$G$53)</f>
        <v>0</v>
      </c>
      <c r="F1353" s="545">
        <f>-'Foglio deposito bis'!$F$69*(C1353-sezione!$AM$32)*IF(ABS(L1353)&lt;'Sollecitazioni nel paramento'!$G$58,ABS(L1353)*'Sollecitazioni nel paramento'!$G$54,'Sollecitazioni nel paramento'!$G$53)</f>
        <v>1053955.3717464225</v>
      </c>
      <c r="G1353" s="545">
        <f>-'Foglio deposito bis'!$F$70*(C1353-sezione!$AN$32)*IF(ABS(M1353)&lt;'Sollecitazioni nel paramento'!$G$58,ABS(M1353)*'Sollecitazioni nel paramento'!$G$54,'Sollecitazioni nel paramento'!$G$53)</f>
        <v>0</v>
      </c>
      <c r="H1353" s="545">
        <f>-'Foglio deposito bis'!$F$71*(C1353-sezione!$AO$32)*IF(ABS(N1353)&lt;'Sollecitazioni nel paramento'!$G$58,ABS(N1353)*'Sollecitazioni nel paramento'!$G$54,'Sollecitazioni nel paramento'!$G$53)</f>
        <v>35624363.144179486</v>
      </c>
      <c r="I1353" s="472">
        <f>-'Foglio deposito bis'!$F$72*(C1353-sezione!$AP$32)*IF(ABS(O1353)&lt;'Sollecitazioni nel paramento'!$G$58,ABS(O1353)*'Sollecitazioni nel paramento'!$G$54,'Sollecitazioni nel paramento'!$G$53)</f>
        <v>227267688.33464652</v>
      </c>
      <c r="J1353" s="472">
        <f t="shared" si="93"/>
        <v>215214049.61705881</v>
      </c>
      <c r="K1353" s="550">
        <f>'Sollecitazioni nel paramento'!$G$60*(sezione!$AL$32-C1353)/C1353</f>
        <v>-5.0861080257666794E-4</v>
      </c>
      <c r="L1353" s="550">
        <f>'Sollecitazioni nel paramento'!$G$60*(sezione!$AM$32-C1353)/C1353</f>
        <v>9.8708379613499813E-4</v>
      </c>
      <c r="M1353" s="551">
        <f>'Sollecitazioni nel paramento'!$G$60*(sezione!$AN$32-C1353)/C1353</f>
        <v>2.4827783948466642E-3</v>
      </c>
      <c r="N1353" s="551">
        <f>'Sollecitazioni nel paramento'!$G$60*(sezione!$AO$32-C1353)/C1353</f>
        <v>8.4655567896933272E-3</v>
      </c>
      <c r="O1353" s="551">
        <f>'Sollecitazioni nel paramento'!$G$60*(sezione!$AP$32-C1353)/C1353</f>
        <v>3.456416635813226E-2</v>
      </c>
      <c r="P1353" s="545">
        <f>-'Sollecitazioni nel paramento'!$G$47*'Sollecitazioni nel paramento'!$G$41*IF(DATI!$G$211="dx",DATI!$E$61,DATI!$E$64*DATI!$E$63)*1000*C1353*sezione!$AD$5</f>
        <v>-1782977.6227694277</v>
      </c>
      <c r="Q1353" s="545">
        <f>'Foglio deposito bis'!$F$68*IF(ABS(K1353)&lt;'Sollecitazioni nel paramento'!$G$58,ABS(K1353)*'Sollecitazioni nel paramento'!$G$54,'Sollecitazioni nel paramento'!$G$53)*IF(K1353&lt;0,-1,1)</f>
        <v>0</v>
      </c>
      <c r="R1353" s="545">
        <f>'Foglio deposito bis'!$F$69*IF(ABS(L1353)&lt;'Sollecitazioni nel paramento'!$G$58,ABS(L1353)*'Sollecitazioni nel paramento'!$G$54,'Sollecitazioni nel paramento'!$G$53)*IF(L1353&lt;0,-1,1)</f>
        <v>79851.141462192303</v>
      </c>
      <c r="S1353" s="545">
        <f>'Foglio deposito bis'!$F$70*IF(ABS(M1353)&lt;'Sollecitazioni nel paramento'!$G$58,ABS(M1353)*'Sollecitazioni nel paramento'!$G$54,'Sollecitazioni nel paramento'!$G$53)*IF(M1353&lt;0,-1,1)</f>
        <v>0</v>
      </c>
      <c r="T1353" s="545">
        <f>'Foglio deposito bis'!$F$71*IF(ABS(N1353)&lt;'Sollecitazioni nel paramento'!$G$58,ABS(N1353)*'Sollecitazioni nel paramento'!$G$54,'Sollecitazioni nel paramento'!$G$53)*IF(N1353&lt;0,-1,1)</f>
        <v>314705.62929873407</v>
      </c>
      <c r="U1353" s="545">
        <f>'Foglio deposito bis'!$F$72*IF(ABS(O1353)&lt;'Sollecitazioni nel paramento'!$G$58,ABS(O1353)*'Sollecitazioni nel paramento'!$G$54,'Sollecitazioni nel paramento'!$G$53)*IF(O1353&lt;0,-1,1)</f>
        <v>491727.54577927204</v>
      </c>
      <c r="V1353" s="472">
        <f t="shared" si="95"/>
        <v>-896693.30622922932</v>
      </c>
      <c r="W1353" s="551"/>
      <c r="X1353" s="551"/>
    </row>
    <row r="1354" spans="1:24" x14ac:dyDescent="0.25">
      <c r="A1354" s="545">
        <f t="shared" si="94"/>
        <v>964464.60673234682</v>
      </c>
      <c r="B1354" s="3">
        <f t="shared" si="97"/>
        <v>6.4999999999999911</v>
      </c>
      <c r="C1354" s="545">
        <f>'Foglio deposito bis'!$E$158/sezione!$B$247*B1354</f>
        <v>48.286744021427694</v>
      </c>
      <c r="D1354" s="603">
        <f>-'Sollecitazioni nel paramento'!$G$47*'Sollecitazioni nel paramento'!$G$41*IF(DATI!$G$211="dx",DATI!$E$61,DATI!$E$64*DATI!$E$63)*1000*C1354^2*sezione!$AD$5*(1-sezione!$AD$6)</f>
        <v>-51875162.336002789</v>
      </c>
      <c r="E1354" s="545">
        <f>-'Foglio deposito bis'!$F$68*(C1354-sezione!$AL$32)*IF(ABS(K1354)&lt;'Sollecitazioni nel paramento'!$G$58,ABS(K1354)*'Sollecitazioni nel paramento'!$G$54,'Sollecitazioni nel paramento'!$G$53)</f>
        <v>0</v>
      </c>
      <c r="F1354" s="545">
        <f>-'Foglio deposito bis'!$F$69*(C1354-sezione!$AM$32)*IF(ABS(L1354)&lt;'Sollecitazioni nel paramento'!$G$58,ABS(L1354)*'Sollecitazioni nel paramento'!$G$54,'Sollecitazioni nel paramento'!$G$53)</f>
        <v>804493.42170122196</v>
      </c>
      <c r="G1354" s="545">
        <f>-'Foglio deposito bis'!$F$70*(C1354-sezione!$AN$32)*IF(ABS(M1354)&lt;'Sollecitazioni nel paramento'!$G$58,ABS(M1354)*'Sollecitazioni nel paramento'!$G$54,'Sollecitazioni nel paramento'!$G$53)</f>
        <v>0</v>
      </c>
      <c r="H1354" s="545">
        <f>-'Foglio deposito bis'!$F$71*(C1354-sezione!$AO$32)*IF(ABS(N1354)&lt;'Sollecitazioni nel paramento'!$G$58,ABS(N1354)*'Sollecitazioni nel paramento'!$G$54,'Sollecitazioni nel paramento'!$G$53)</f>
        <v>35156790.523747168</v>
      </c>
      <c r="I1354" s="472">
        <f>-'Foglio deposito bis'!$F$72*(C1354-sezione!$AP$32)*IF(ABS(O1354)&lt;'Sollecitazioni nel paramento'!$G$58,ABS(O1354)*'Sollecitazioni nel paramento'!$G$54,'Sollecitazioni nel paramento'!$G$53)</f>
        <v>226537106.11522102</v>
      </c>
      <c r="J1354" s="472">
        <f t="shared" si="93"/>
        <v>210623227.72466663</v>
      </c>
      <c r="K1354" s="550">
        <f>'Sollecitazioni nel paramento'!$G$60*(sezione!$AL$32-C1354)/C1354</f>
        <v>-6.0065354711277092E-4</v>
      </c>
      <c r="L1354" s="550">
        <f>'Sollecitazioni nel paramento'!$G$60*(sezione!$AM$32-C1354)/C1354</f>
        <v>8.4901967933084365E-4</v>
      </c>
      <c r="M1354" s="551">
        <f>'Sollecitazioni nel paramento'!$G$60*(sezione!$AN$32-C1354)/C1354</f>
        <v>2.2986929057744582E-3</v>
      </c>
      <c r="N1354" s="551">
        <f>'Sollecitazioni nel paramento'!$G$60*(sezione!$AO$32-C1354)/C1354</f>
        <v>8.097385811548917E-3</v>
      </c>
      <c r="O1354" s="551">
        <f>'Sollecitazioni nel paramento'!$G$60*(sezione!$AP$32-C1354)/C1354</f>
        <v>3.3392961239420489E-2</v>
      </c>
      <c r="P1354" s="545">
        <f>-'Sollecitazioni nel paramento'!$G$47*'Sollecitazioni nel paramento'!$G$41*IF(DATI!$G$211="dx",DATI!$E$61,DATI!$E$64*DATI!$E$63)*1000*C1354*sezione!$AD$5</f>
        <v>-1839580.0869843306</v>
      </c>
      <c r="Q1354" s="545">
        <f>'Foglio deposito bis'!$F$68*IF(ABS(K1354)&lt;'Sollecitazioni nel paramento'!$G$58,ABS(K1354)*'Sollecitazioni nel paramento'!$G$54,'Sollecitazioni nel paramento'!$G$53)*IF(K1354&lt;0,-1,1)</f>
        <v>0</v>
      </c>
      <c r="R1354" s="545">
        <f>'Foglio deposito bis'!$F$69*IF(ABS(L1354)&lt;'Sollecitazioni nel paramento'!$G$58,ABS(L1354)*'Sollecitazioni nel paramento'!$G$54,'Sollecitazioni nel paramento'!$G$53)*IF(L1354&lt;0,-1,1)</f>
        <v>68682.3051739777</v>
      </c>
      <c r="S1354" s="545">
        <f>'Foglio deposito bis'!$F$70*IF(ABS(M1354)&lt;'Sollecitazioni nel paramento'!$G$58,ABS(M1354)*'Sollecitazioni nel paramento'!$G$54,'Sollecitazioni nel paramento'!$G$53)*IF(M1354&lt;0,-1,1)</f>
        <v>0</v>
      </c>
      <c r="T1354" s="545">
        <f>'Foglio deposito bis'!$F$71*IF(ABS(N1354)&lt;'Sollecitazioni nel paramento'!$G$58,ABS(N1354)*'Sollecitazioni nel paramento'!$G$54,'Sollecitazioni nel paramento'!$G$53)*IF(N1354&lt;0,-1,1)</f>
        <v>314705.62929873407</v>
      </c>
      <c r="U1354" s="545">
        <f>'Foglio deposito bis'!$F$72*IF(ABS(O1354)&lt;'Sollecitazioni nel paramento'!$G$58,ABS(O1354)*'Sollecitazioni nel paramento'!$G$54,'Sollecitazioni nel paramento'!$G$53)*IF(O1354&lt;0,-1,1)</f>
        <v>491727.54577927204</v>
      </c>
      <c r="V1354" s="472">
        <f t="shared" si="95"/>
        <v>-964464.60673234682</v>
      </c>
      <c r="W1354" s="551"/>
      <c r="X1354" s="551"/>
    </row>
    <row r="1355" spans="1:24" x14ac:dyDescent="0.25">
      <c r="A1355" s="545">
        <f t="shared" si="94"/>
        <v>1031569.1110391526</v>
      </c>
      <c r="B1355" s="3">
        <f t="shared" si="97"/>
        <v>6.6999999999999913</v>
      </c>
      <c r="C1355" s="545">
        <f>'Foglio deposito bis'!$E$158/sezione!$B$247*B1355</f>
        <v>49.772489991317777</v>
      </c>
      <c r="D1355" s="603">
        <f>-'Sollecitazioni nel paramento'!$G$47*'Sollecitazioni nel paramento'!$G$41*IF(DATI!$G$211="dx",DATI!$E$61,DATI!$E$64*DATI!$E$63)*1000*C1355^2*sezione!$AD$5*(1-sezione!$AD$6)</f>
        <v>-55116592.597944744</v>
      </c>
      <c r="E1355" s="545">
        <f>-'Foglio deposito bis'!$F$68*(C1355-sezione!$AL$32)*IF(ABS(K1355)&lt;'Sollecitazioni nel paramento'!$G$58,ABS(K1355)*'Sollecitazioni nel paramento'!$G$54,'Sollecitazioni nel paramento'!$G$53)</f>
        <v>0</v>
      </c>
      <c r="F1355" s="545">
        <f>-'Foglio deposito bis'!$F$69*(C1355-sezione!$AM$32)*IF(ABS(L1355)&lt;'Sollecitazioni nel paramento'!$G$58,ABS(L1355)*'Sollecitazioni nel paramento'!$G$54,'Sollecitazioni nel paramento'!$G$53)</f>
        <v>595039.24343470158</v>
      </c>
      <c r="G1355" s="545">
        <f>-'Foglio deposito bis'!$F$70*(C1355-sezione!$AN$32)*IF(ABS(M1355)&lt;'Sollecitazioni nel paramento'!$G$58,ABS(M1355)*'Sollecitazioni nel paramento'!$G$54,'Sollecitazioni nel paramento'!$G$53)</f>
        <v>0</v>
      </c>
      <c r="H1355" s="545">
        <f>-'Foglio deposito bis'!$F$71*(C1355-sezione!$AO$32)*IF(ABS(N1355)&lt;'Sollecitazioni nel paramento'!$G$58,ABS(N1355)*'Sollecitazioni nel paramento'!$G$54,'Sollecitazioni nel paramento'!$G$53)</f>
        <v>34689217.903314851</v>
      </c>
      <c r="I1355" s="472">
        <f>-'Foglio deposito bis'!$F$72*(C1355-sezione!$AP$32)*IF(ABS(O1355)&lt;'Sollecitazioni nel paramento'!$G$58,ABS(O1355)*'Sollecitazioni nel paramento'!$G$54,'Sollecitazioni nel paramento'!$G$53)</f>
        <v>225806523.89579552</v>
      </c>
      <c r="J1355" s="472">
        <f t="shared" si="93"/>
        <v>205974188.44460034</v>
      </c>
      <c r="K1355" s="550">
        <f>'Sollecitazioni nel paramento'!$G$60*(sezione!$AL$32-C1355)/C1355</f>
        <v>-6.8720120242283752E-4</v>
      </c>
      <c r="L1355" s="550">
        <f>'Sollecitazioni nel paramento'!$G$60*(sezione!$AM$32-C1355)/C1355</f>
        <v>7.1919819636574376E-4</v>
      </c>
      <c r="M1355" s="551">
        <f>'Sollecitazioni nel paramento'!$G$60*(sezione!$AN$32-C1355)/C1355</f>
        <v>2.125597595154325E-3</v>
      </c>
      <c r="N1355" s="551">
        <f>'Sollecitazioni nel paramento'!$G$60*(sezione!$AO$32-C1355)/C1355</f>
        <v>7.7511951903086506E-3</v>
      </c>
      <c r="O1355" s="551">
        <f>'Sollecitazioni nel paramento'!$G$60*(sezione!$AP$32-C1355)/C1355</f>
        <v>3.2291678814363164E-2</v>
      </c>
      <c r="P1355" s="545">
        <f>-'Sollecitazioni nel paramento'!$G$47*'Sollecitazioni nel paramento'!$G$41*IF(DATI!$G$211="dx",DATI!$E$61,DATI!$E$64*DATI!$E$63)*1000*C1355*sezione!$AD$5</f>
        <v>-1896182.5511992332</v>
      </c>
      <c r="Q1355" s="545">
        <f>'Foglio deposito bis'!$F$68*IF(ABS(K1355)&lt;'Sollecitazioni nel paramento'!$G$58,ABS(K1355)*'Sollecitazioni nel paramento'!$G$54,'Sollecitazioni nel paramento'!$G$53)*IF(K1355&lt;0,-1,1)</f>
        <v>0</v>
      </c>
      <c r="R1355" s="545">
        <f>'Foglio deposito bis'!$F$69*IF(ABS(L1355)&lt;'Sollecitazioni nel paramento'!$G$58,ABS(L1355)*'Sollecitazioni nel paramento'!$G$54,'Sollecitazioni nel paramento'!$G$53)*IF(L1355&lt;0,-1,1)</f>
        <v>58180.265082074482</v>
      </c>
      <c r="S1355" s="545">
        <f>'Foglio deposito bis'!$F$70*IF(ABS(M1355)&lt;'Sollecitazioni nel paramento'!$G$58,ABS(M1355)*'Sollecitazioni nel paramento'!$G$54,'Sollecitazioni nel paramento'!$G$53)*IF(M1355&lt;0,-1,1)</f>
        <v>0</v>
      </c>
      <c r="T1355" s="545">
        <f>'Foglio deposito bis'!$F$71*IF(ABS(N1355)&lt;'Sollecitazioni nel paramento'!$G$58,ABS(N1355)*'Sollecitazioni nel paramento'!$G$54,'Sollecitazioni nel paramento'!$G$53)*IF(N1355&lt;0,-1,1)</f>
        <v>314705.62929873407</v>
      </c>
      <c r="U1355" s="545">
        <f>'Foglio deposito bis'!$F$72*IF(ABS(O1355)&lt;'Sollecitazioni nel paramento'!$G$58,ABS(O1355)*'Sollecitazioni nel paramento'!$G$54,'Sollecitazioni nel paramento'!$G$53)*IF(O1355&lt;0,-1,1)</f>
        <v>491727.54577927204</v>
      </c>
      <c r="V1355" s="472">
        <f t="shared" si="95"/>
        <v>-1031569.1110391526</v>
      </c>
      <c r="W1355" s="551"/>
      <c r="X1355" s="551"/>
    </row>
    <row r="1356" spans="1:24" x14ac:dyDescent="0.25">
      <c r="A1356" s="545">
        <f t="shared" si="94"/>
        <v>1098064.8014275874</v>
      </c>
      <c r="B1356" s="3">
        <f t="shared" si="97"/>
        <v>6.8999999999999915</v>
      </c>
      <c r="C1356" s="545">
        <f>'Foglio deposito bis'!$E$158/sezione!$B$247*B1356</f>
        <v>51.258235961207866</v>
      </c>
      <c r="D1356" s="603">
        <f>-'Sollecitazioni nel paramento'!$G$47*'Sollecitazioni nel paramento'!$G$41*IF(DATI!$G$211="dx",DATI!$E$61,DATI!$E$64*DATI!$E$63)*1000*C1356^2*sezione!$AD$5*(1-sezione!$AD$6)</f>
        <v>-58456248.019339494</v>
      </c>
      <c r="E1356" s="545">
        <f>-'Foglio deposito bis'!$F$68*(C1356-sezione!$AL$32)*IF(ABS(K1356)&lt;'Sollecitazioni nel paramento'!$G$58,ABS(K1356)*'Sollecitazioni nel paramento'!$G$54,'Sollecitazioni nel paramento'!$G$53)</f>
        <v>0</v>
      </c>
      <c r="F1356" s="545">
        <f>-'Foglio deposito bis'!$F$69*(C1356-sezione!$AM$32)*IF(ABS(L1356)&lt;'Sollecitazioni nel paramento'!$G$58,ABS(L1356)*'Sollecitazioni nel paramento'!$G$54,'Sollecitazioni nel paramento'!$G$53)</f>
        <v>422113.90027045278</v>
      </c>
      <c r="G1356" s="545">
        <f>-'Foglio deposito bis'!$F$70*(C1356-sezione!$AN$32)*IF(ABS(M1356)&lt;'Sollecitazioni nel paramento'!$G$58,ABS(M1356)*'Sollecitazioni nel paramento'!$G$54,'Sollecitazioni nel paramento'!$G$53)</f>
        <v>0</v>
      </c>
      <c r="H1356" s="545">
        <f>-'Foglio deposito bis'!$F$71*(C1356-sezione!$AO$32)*IF(ABS(N1356)&lt;'Sollecitazioni nel paramento'!$G$58,ABS(N1356)*'Sollecitazioni nel paramento'!$G$54,'Sollecitazioni nel paramento'!$G$53)</f>
        <v>34221645.282882527</v>
      </c>
      <c r="I1356" s="472">
        <f>-'Foglio deposito bis'!$F$72*(C1356-sezione!$AP$32)*IF(ABS(O1356)&lt;'Sollecitazioni nel paramento'!$G$58,ABS(O1356)*'Sollecitazioni nel paramento'!$G$54,'Sollecitazioni nel paramento'!$G$53)</f>
        <v>225075941.67637002</v>
      </c>
      <c r="J1356" s="472">
        <f t="shared" si="93"/>
        <v>201263452.8401835</v>
      </c>
      <c r="K1356" s="550">
        <f>'Sollecitazioni nel paramento'!$G$60*(sezione!$AL$32-C1356)/C1356</f>
        <v>-7.6873160235261064E-4</v>
      </c>
      <c r="L1356" s="550">
        <f>'Sollecitazioni nel paramento'!$G$60*(sezione!$AM$32-C1356)/C1356</f>
        <v>5.9690259647108407E-4</v>
      </c>
      <c r="M1356" s="551">
        <f>'Sollecitazioni nel paramento'!$G$60*(sezione!$AN$32-C1356)/C1356</f>
        <v>1.9625367952947788E-3</v>
      </c>
      <c r="N1356" s="551">
        <f>'Sollecitazioni nel paramento'!$G$60*(sezione!$AO$32-C1356)/C1356</f>
        <v>7.4250735905895572E-3</v>
      </c>
      <c r="O1356" s="551">
        <f>'Sollecitazioni nel paramento'!$G$60*(sezione!$AP$32-C1356)/C1356</f>
        <v>3.1254238848729445E-2</v>
      </c>
      <c r="P1356" s="545">
        <f>-'Sollecitazioni nel paramento'!$G$47*'Sollecitazioni nel paramento'!$G$41*IF(DATI!$G$211="dx",DATI!$E$61,DATI!$E$64*DATI!$E$63)*1000*C1356*sezione!$AD$5</f>
        <v>-1952785.0154141358</v>
      </c>
      <c r="Q1356" s="545">
        <f>'Foglio deposito bis'!$F$68*IF(ABS(K1356)&lt;'Sollecitazioni nel paramento'!$G$58,ABS(K1356)*'Sollecitazioni nel paramento'!$G$54,'Sollecitazioni nel paramento'!$G$53)*IF(K1356&lt;0,-1,1)</f>
        <v>0</v>
      </c>
      <c r="R1356" s="545">
        <f>'Foglio deposito bis'!$F$69*IF(ABS(L1356)&lt;'Sollecitazioni nel paramento'!$G$58,ABS(L1356)*'Sollecitazioni nel paramento'!$G$54,'Sollecitazioni nel paramento'!$G$53)*IF(L1356&lt;0,-1,1)</f>
        <v>48287.038908542432</v>
      </c>
      <c r="S1356" s="545">
        <f>'Foglio deposito bis'!$F$70*IF(ABS(M1356)&lt;'Sollecitazioni nel paramento'!$G$58,ABS(M1356)*'Sollecitazioni nel paramento'!$G$54,'Sollecitazioni nel paramento'!$G$53)*IF(M1356&lt;0,-1,1)</f>
        <v>0</v>
      </c>
      <c r="T1356" s="545">
        <f>'Foglio deposito bis'!$F$71*IF(ABS(N1356)&lt;'Sollecitazioni nel paramento'!$G$58,ABS(N1356)*'Sollecitazioni nel paramento'!$G$54,'Sollecitazioni nel paramento'!$G$53)*IF(N1356&lt;0,-1,1)</f>
        <v>314705.62929873407</v>
      </c>
      <c r="U1356" s="545">
        <f>'Foglio deposito bis'!$F$72*IF(ABS(O1356)&lt;'Sollecitazioni nel paramento'!$G$58,ABS(O1356)*'Sollecitazioni nel paramento'!$G$54,'Sollecitazioni nel paramento'!$G$53)*IF(O1356&lt;0,-1,1)</f>
        <v>491727.54577927204</v>
      </c>
      <c r="V1356" s="472">
        <f t="shared" si="95"/>
        <v>-1098064.8014275874</v>
      </c>
      <c r="W1356" s="551"/>
      <c r="X1356" s="551"/>
    </row>
    <row r="1357" spans="1:24" x14ac:dyDescent="0.25">
      <c r="A1357" s="545">
        <f t="shared" si="94"/>
        <v>1164003.1269611751</v>
      </c>
      <c r="B1357" s="3">
        <f t="shared" si="97"/>
        <v>7.0999999999999917</v>
      </c>
      <c r="C1357" s="545">
        <f>'Foglio deposito bis'!$E$158/sezione!$B$247*B1357</f>
        <v>52.743981931097949</v>
      </c>
      <c r="D1357" s="603">
        <f>-'Sollecitazioni nel paramento'!$G$47*'Sollecitazioni nel paramento'!$G$41*IF(DATI!$G$211="dx",DATI!$E$61,DATI!$E$64*DATI!$E$63)*1000*C1357^2*sezione!$AD$5*(1-sezione!$AD$6)</f>
        <v>-61894128.600187019</v>
      </c>
      <c r="E1357" s="545">
        <f>-'Foglio deposito bis'!$F$68*(C1357-sezione!$AL$32)*IF(ABS(K1357)&lt;'Sollecitazioni nel paramento'!$G$58,ABS(K1357)*'Sollecitazioni nel paramento'!$G$54,'Sollecitazioni nel paramento'!$G$53)</f>
        <v>0</v>
      </c>
      <c r="F1357" s="545">
        <f>-'Foglio deposito bis'!$F$69*(C1357-sezione!$AM$32)*IF(ABS(L1357)&lt;'Sollecitazioni nel paramento'!$G$58,ABS(L1357)*'Sollecitazioni nel paramento'!$G$54,'Sollecitazioni nel paramento'!$G$53)</f>
        <v>282630.4483970172</v>
      </c>
      <c r="G1357" s="545">
        <f>-'Foglio deposito bis'!$F$70*(C1357-sezione!$AN$32)*IF(ABS(M1357)&lt;'Sollecitazioni nel paramento'!$G$58,ABS(M1357)*'Sollecitazioni nel paramento'!$G$54,'Sollecitazioni nel paramento'!$G$53)</f>
        <v>0</v>
      </c>
      <c r="H1357" s="545">
        <f>-'Foglio deposito bis'!$F$71*(C1357-sezione!$AO$32)*IF(ABS(N1357)&lt;'Sollecitazioni nel paramento'!$G$58,ABS(N1357)*'Sollecitazioni nel paramento'!$G$54,'Sollecitazioni nel paramento'!$G$53)</f>
        <v>33754072.662450217</v>
      </c>
      <c r="I1357" s="472">
        <f>-'Foglio deposito bis'!$F$72*(C1357-sezione!$AP$32)*IF(ABS(O1357)&lt;'Sollecitazioni nel paramento'!$G$58,ABS(O1357)*'Sollecitazioni nel paramento'!$G$54,'Sollecitazioni nel paramento'!$G$53)</f>
        <v>224345359.4569445</v>
      </c>
      <c r="J1357" s="472">
        <f t="shared" si="93"/>
        <v>196487933.9676047</v>
      </c>
      <c r="K1357" s="550">
        <f>'Sollecitazioni nel paramento'!$G$60*(sezione!$AL$32-C1357)/C1357</f>
        <v>-8.4566874031450886E-4</v>
      </c>
      <c r="L1357" s="550">
        <f>'Sollecitazioni nel paramento'!$G$60*(sezione!$AM$32-C1357)/C1357</f>
        <v>4.814968895282367E-4</v>
      </c>
      <c r="M1357" s="551">
        <f>'Sollecitazioni nel paramento'!$G$60*(sezione!$AN$32-C1357)/C1357</f>
        <v>1.8086625193709821E-3</v>
      </c>
      <c r="N1357" s="551">
        <f>'Sollecitazioni nel paramento'!$G$60*(sezione!$AO$32-C1357)/C1357</f>
        <v>7.1173250387419652E-3</v>
      </c>
      <c r="O1357" s="551">
        <f>'Sollecitazioni nel paramento'!$G$60*(sezione!$AP$32-C1357)/C1357</f>
        <v>3.0275246205103263E-2</v>
      </c>
      <c r="P1357" s="545">
        <f>-'Sollecitazioni nel paramento'!$G$47*'Sollecitazioni nel paramento'!$G$41*IF(DATI!$G$211="dx",DATI!$E$61,DATI!$E$64*DATI!$E$63)*1000*C1357*sezione!$AD$5</f>
        <v>-2009387.4796290384</v>
      </c>
      <c r="Q1357" s="545">
        <f>'Foglio deposito bis'!$F$68*IF(ABS(K1357)&lt;'Sollecitazioni nel paramento'!$G$58,ABS(K1357)*'Sollecitazioni nel paramento'!$G$54,'Sollecitazioni nel paramento'!$G$53)*IF(K1357&lt;0,-1,1)</f>
        <v>0</v>
      </c>
      <c r="R1357" s="545">
        <f>'Foglio deposito bis'!$F$69*IF(ABS(L1357)&lt;'Sollecitazioni nel paramento'!$G$58,ABS(L1357)*'Sollecitazioni nel paramento'!$G$54,'Sollecitazioni nel paramento'!$G$53)*IF(L1357&lt;0,-1,1)</f>
        <v>38951.177589857296</v>
      </c>
      <c r="S1357" s="545">
        <f>'Foglio deposito bis'!$F$70*IF(ABS(M1357)&lt;'Sollecitazioni nel paramento'!$G$58,ABS(M1357)*'Sollecitazioni nel paramento'!$G$54,'Sollecitazioni nel paramento'!$G$53)*IF(M1357&lt;0,-1,1)</f>
        <v>0</v>
      </c>
      <c r="T1357" s="545">
        <f>'Foglio deposito bis'!$F$71*IF(ABS(N1357)&lt;'Sollecitazioni nel paramento'!$G$58,ABS(N1357)*'Sollecitazioni nel paramento'!$G$54,'Sollecitazioni nel paramento'!$G$53)*IF(N1357&lt;0,-1,1)</f>
        <v>314705.62929873407</v>
      </c>
      <c r="U1357" s="545">
        <f>'Foglio deposito bis'!$F$72*IF(ABS(O1357)&lt;'Sollecitazioni nel paramento'!$G$58,ABS(O1357)*'Sollecitazioni nel paramento'!$G$54,'Sollecitazioni nel paramento'!$G$53)*IF(O1357&lt;0,-1,1)</f>
        <v>491727.54577927204</v>
      </c>
      <c r="V1357" s="472">
        <f t="shared" si="95"/>
        <v>-1164003.1269611751</v>
      </c>
      <c r="W1357" s="551"/>
      <c r="X1357" s="551"/>
    </row>
    <row r="1358" spans="1:24" x14ac:dyDescent="0.25">
      <c r="A1358" s="545">
        <f t="shared" si="94"/>
        <v>1229429.8984499031</v>
      </c>
      <c r="B1358" s="3">
        <f t="shared" si="97"/>
        <v>7.2999999999999918</v>
      </c>
      <c r="C1358" s="545">
        <f>'Foglio deposito bis'!$E$158/sezione!$B$247*B1358</f>
        <v>54.229727900988038</v>
      </c>
      <c r="D1358" s="603">
        <f>-'Sollecitazioni nel paramento'!$G$47*'Sollecitazioni nel paramento'!$G$41*IF(DATI!$G$211="dx",DATI!$E$61,DATI!$E$64*DATI!$E$63)*1000*C1358^2*sezione!$AD$5*(1-sezione!$AD$6)</f>
        <v>-65430234.340487339</v>
      </c>
      <c r="E1358" s="545">
        <f>-'Foglio deposito bis'!$F$68*(C1358-sezione!$AL$32)*IF(ABS(K1358)&lt;'Sollecitazioni nel paramento'!$G$58,ABS(K1358)*'Sollecitazioni nel paramento'!$G$54,'Sollecitazioni nel paramento'!$G$53)</f>
        <v>0</v>
      </c>
      <c r="F1358" s="545">
        <f>-'Foglio deposito bis'!$F$69*(C1358-sezione!$AM$32)*IF(ABS(L1358)&lt;'Sollecitazioni nel paramento'!$G$58,ABS(L1358)*'Sollecitazioni nel paramento'!$G$54,'Sollecitazioni nel paramento'!$G$53)</f>
        <v>173840.23921514861</v>
      </c>
      <c r="G1358" s="545">
        <f>-'Foglio deposito bis'!$F$70*(C1358-sezione!$AN$32)*IF(ABS(M1358)&lt;'Sollecitazioni nel paramento'!$G$58,ABS(M1358)*'Sollecitazioni nel paramento'!$G$54,'Sollecitazioni nel paramento'!$G$53)</f>
        <v>0</v>
      </c>
      <c r="H1358" s="545">
        <f>-'Foglio deposito bis'!$F$71*(C1358-sezione!$AO$32)*IF(ABS(N1358)&lt;'Sollecitazioni nel paramento'!$G$58,ABS(N1358)*'Sollecitazioni nel paramento'!$G$54,'Sollecitazioni nel paramento'!$G$53)</f>
        <v>33286500.042017896</v>
      </c>
      <c r="I1358" s="472">
        <f>-'Foglio deposito bis'!$F$72*(C1358-sezione!$AP$32)*IF(ABS(O1358)&lt;'Sollecitazioni nel paramento'!$G$58,ABS(O1358)*'Sollecitazioni nel paramento'!$G$54,'Sollecitazioni nel paramento'!$G$53)</f>
        <v>223614777.237519</v>
      </c>
      <c r="J1358" s="472">
        <f t="shared" si="93"/>
        <v>191644883.17826471</v>
      </c>
      <c r="K1358" s="550">
        <f>'Sollecitazioni nel paramento'!$G$60*(sezione!$AL$32-C1358)/C1358</f>
        <v>-9.1839014468945426E-4</v>
      </c>
      <c r="L1358" s="550">
        <f>'Sollecitazioni nel paramento'!$G$60*(sezione!$AM$32-C1358)/C1358</f>
        <v>3.724147829658187E-4</v>
      </c>
      <c r="M1358" s="551">
        <f>'Sollecitazioni nel paramento'!$G$60*(sezione!$AN$32-C1358)/C1358</f>
        <v>1.6632197106210916E-3</v>
      </c>
      <c r="N1358" s="551">
        <f>'Sollecitazioni nel paramento'!$G$60*(sezione!$AO$32-C1358)/C1358</f>
        <v>6.8264394212421827E-3</v>
      </c>
      <c r="O1358" s="551">
        <f>'Sollecitazioni nel paramento'!$G$60*(sezione!$AP$32-C1358)/C1358</f>
        <v>2.9349896994004539E-2</v>
      </c>
      <c r="P1358" s="545">
        <f>-'Sollecitazioni nel paramento'!$G$47*'Sollecitazioni nel paramento'!$G$41*IF(DATI!$G$211="dx",DATI!$E$61,DATI!$E$64*DATI!$E$63)*1000*C1358*sezione!$AD$5</f>
        <v>-2065989.9438439407</v>
      </c>
      <c r="Q1358" s="545">
        <f>'Foglio deposito bis'!$F$68*IF(ABS(K1358)&lt;'Sollecitazioni nel paramento'!$G$58,ABS(K1358)*'Sollecitazioni nel paramento'!$G$54,'Sollecitazioni nel paramento'!$G$53)*IF(K1358&lt;0,-1,1)</f>
        <v>0</v>
      </c>
      <c r="R1358" s="545">
        <f>'Foglio deposito bis'!$F$69*IF(ABS(L1358)&lt;'Sollecitazioni nel paramento'!$G$58,ABS(L1358)*'Sollecitazioni nel paramento'!$G$54,'Sollecitazioni nel paramento'!$G$53)*IF(L1358&lt;0,-1,1)</f>
        <v>30126.870316031567</v>
      </c>
      <c r="S1358" s="545">
        <f>'Foglio deposito bis'!$F$70*IF(ABS(M1358)&lt;'Sollecitazioni nel paramento'!$G$58,ABS(M1358)*'Sollecitazioni nel paramento'!$G$54,'Sollecitazioni nel paramento'!$G$53)*IF(M1358&lt;0,-1,1)</f>
        <v>0</v>
      </c>
      <c r="T1358" s="545">
        <f>'Foglio deposito bis'!$F$71*IF(ABS(N1358)&lt;'Sollecitazioni nel paramento'!$G$58,ABS(N1358)*'Sollecitazioni nel paramento'!$G$54,'Sollecitazioni nel paramento'!$G$53)*IF(N1358&lt;0,-1,1)</f>
        <v>314705.62929873407</v>
      </c>
      <c r="U1358" s="545">
        <f>'Foglio deposito bis'!$F$72*IF(ABS(O1358)&lt;'Sollecitazioni nel paramento'!$G$58,ABS(O1358)*'Sollecitazioni nel paramento'!$G$54,'Sollecitazioni nel paramento'!$G$53)*IF(O1358&lt;0,-1,1)</f>
        <v>491727.54577927204</v>
      </c>
      <c r="V1358" s="472">
        <f t="shared" si="95"/>
        <v>-1229429.8984499031</v>
      </c>
      <c r="W1358" s="551"/>
      <c r="X1358" s="551"/>
    </row>
    <row r="1359" spans="1:24" x14ac:dyDescent="0.25">
      <c r="A1359" s="545">
        <f t="shared" si="94"/>
        <v>1294386.0402173609</v>
      </c>
      <c r="B1359" s="3">
        <f t="shared" si="97"/>
        <v>7.499999999999992</v>
      </c>
      <c r="C1359" s="545">
        <f>'Foglio deposito bis'!$E$158/sezione!$B$247*B1359</f>
        <v>55.715473870878121</v>
      </c>
      <c r="D1359" s="603">
        <f>-'Sollecitazioni nel paramento'!$G$47*'Sollecitazioni nel paramento'!$G$41*IF(DATI!$G$211="dx",DATI!$E$61,DATI!$E$64*DATI!$E$63)*1000*C1359^2*sezione!$AD$5*(1-sezione!$AD$6)</f>
        <v>-69064565.24024044</v>
      </c>
      <c r="E1359" s="545">
        <f>-'Foglio deposito bis'!$F$68*(C1359-sezione!$AL$32)*IF(ABS(K1359)&lt;'Sollecitazioni nel paramento'!$G$58,ABS(K1359)*'Sollecitazioni nel paramento'!$G$54,'Sollecitazioni nel paramento'!$G$53)</f>
        <v>0</v>
      </c>
      <c r="F1359" s="545">
        <f>-'Foglio deposito bis'!$F$69*(C1359-sezione!$AM$32)*IF(ABS(L1359)&lt;'Sollecitazioni nel paramento'!$G$58,ABS(L1359)*'Sollecitazioni nel paramento'!$G$54,'Sollecitazioni nel paramento'!$G$53)</f>
        <v>93287.813309522899</v>
      </c>
      <c r="G1359" s="545">
        <f>-'Foglio deposito bis'!$F$70*(C1359-sezione!$AN$32)*IF(ABS(M1359)&lt;'Sollecitazioni nel paramento'!$G$58,ABS(M1359)*'Sollecitazioni nel paramento'!$G$54,'Sollecitazioni nel paramento'!$G$53)</f>
        <v>0</v>
      </c>
      <c r="H1359" s="545">
        <f>-'Foglio deposito bis'!$F$71*(C1359-sezione!$AO$32)*IF(ABS(N1359)&lt;'Sollecitazioni nel paramento'!$G$58,ABS(N1359)*'Sollecitazioni nel paramento'!$G$54,'Sollecitazioni nel paramento'!$G$53)</f>
        <v>32818927.421585578</v>
      </c>
      <c r="I1359" s="472">
        <f>-'Foglio deposito bis'!$F$72*(C1359-sezione!$AP$32)*IF(ABS(O1359)&lt;'Sollecitazioni nel paramento'!$G$58,ABS(O1359)*'Sollecitazioni nel paramento'!$G$54,'Sollecitazioni nel paramento'!$G$53)</f>
        <v>222884195.01809356</v>
      </c>
      <c r="J1359" s="472">
        <f t="shared" si="93"/>
        <v>186731845.01274821</v>
      </c>
      <c r="K1359" s="550">
        <f>'Sollecitazioni nel paramento'!$G$60*(sezione!$AL$32-C1359)/C1359</f>
        <v>-9.8723307416440195E-4</v>
      </c>
      <c r="L1359" s="550">
        <f>'Sollecitazioni nel paramento'!$G$60*(sezione!$AM$32-C1359)/C1359</f>
        <v>2.6915038875339694E-4</v>
      </c>
      <c r="M1359" s="551">
        <f>'Sollecitazioni nel paramento'!$G$60*(sezione!$AN$32-C1359)/C1359</f>
        <v>1.5255338516711959E-3</v>
      </c>
      <c r="N1359" s="551">
        <f>'Sollecitazioni nel paramento'!$G$60*(sezione!$AO$32-C1359)/C1359</f>
        <v>6.5510677033423911E-3</v>
      </c>
      <c r="O1359" s="551">
        <f>'Sollecitazioni nel paramento'!$G$60*(sezione!$AP$32-C1359)/C1359</f>
        <v>2.8473899740831084E-2</v>
      </c>
      <c r="P1359" s="545">
        <f>-'Sollecitazioni nel paramento'!$G$47*'Sollecitazioni nel paramento'!$G$41*IF(DATI!$G$211="dx",DATI!$E$61,DATI!$E$64*DATI!$E$63)*1000*C1359*sezione!$AD$5</f>
        <v>-2122592.4080588436</v>
      </c>
      <c r="Q1359" s="545">
        <f>'Foglio deposito bis'!$F$68*IF(ABS(K1359)&lt;'Sollecitazioni nel paramento'!$G$58,ABS(K1359)*'Sollecitazioni nel paramento'!$G$54,'Sollecitazioni nel paramento'!$G$53)*IF(K1359&lt;0,-1,1)</f>
        <v>0</v>
      </c>
      <c r="R1359" s="545">
        <f>'Foglio deposito bis'!$F$69*IF(ABS(L1359)&lt;'Sollecitazioni nel paramento'!$G$58,ABS(L1359)*'Sollecitazioni nel paramento'!$G$54,'Sollecitazioni nel paramento'!$G$53)*IF(L1359&lt;0,-1,1)</f>
        <v>21773.1927634766</v>
      </c>
      <c r="S1359" s="545">
        <f>'Foglio deposito bis'!$F$70*IF(ABS(M1359)&lt;'Sollecitazioni nel paramento'!$G$58,ABS(M1359)*'Sollecitazioni nel paramento'!$G$54,'Sollecitazioni nel paramento'!$G$53)*IF(M1359&lt;0,-1,1)</f>
        <v>0</v>
      </c>
      <c r="T1359" s="545">
        <f>'Foglio deposito bis'!$F$71*IF(ABS(N1359)&lt;'Sollecitazioni nel paramento'!$G$58,ABS(N1359)*'Sollecitazioni nel paramento'!$G$54,'Sollecitazioni nel paramento'!$G$53)*IF(N1359&lt;0,-1,1)</f>
        <v>314705.62929873407</v>
      </c>
      <c r="U1359" s="545">
        <f>'Foglio deposito bis'!$F$72*IF(ABS(O1359)&lt;'Sollecitazioni nel paramento'!$G$58,ABS(O1359)*'Sollecitazioni nel paramento'!$G$54,'Sollecitazioni nel paramento'!$G$53)*IF(O1359&lt;0,-1,1)</f>
        <v>491727.54577927204</v>
      </c>
      <c r="V1359" s="472">
        <f t="shared" si="95"/>
        <v>-1294386.0402173609</v>
      </c>
      <c r="W1359" s="551"/>
      <c r="X1359" s="551"/>
    </row>
    <row r="1360" spans="1:24" x14ac:dyDescent="0.25">
      <c r="A1360" s="545">
        <f t="shared" si="94"/>
        <v>1358908.2247093609</v>
      </c>
      <c r="B1360" s="3">
        <f t="shared" si="97"/>
        <v>7.6999999999999922</v>
      </c>
      <c r="C1360" s="545">
        <f>'Foglio deposito bis'!$E$158/sezione!$B$247*B1360</f>
        <v>57.201219840768211</v>
      </c>
      <c r="D1360" s="603">
        <f>-'Sollecitazioni nel paramento'!$G$47*'Sollecitazioni nel paramento'!$G$41*IF(DATI!$G$211="dx",DATI!$E$61,DATI!$E$64*DATI!$E$63)*1000*C1360^2*sezione!$AD$5*(1-sezione!$AD$6)</f>
        <v>-72797121.299446329</v>
      </c>
      <c r="E1360" s="545">
        <f>-'Foglio deposito bis'!$F$68*(C1360-sezione!$AL$32)*IF(ABS(K1360)&lt;'Sollecitazioni nel paramento'!$G$58,ABS(K1360)*'Sollecitazioni nel paramento'!$G$54,'Sollecitazioni nel paramento'!$G$53)</f>
        <v>0</v>
      </c>
      <c r="F1360" s="545">
        <f>-'Foglio deposito bis'!$F$69*(C1360-sezione!$AM$32)*IF(ABS(L1360)&lt;'Sollecitazioni nel paramento'!$G$58,ABS(L1360)*'Sollecitazioni nel paramento'!$G$54,'Sollecitazioni nel paramento'!$G$53)</f>
        <v>38772.823931341001</v>
      </c>
      <c r="G1360" s="545">
        <f>-'Foglio deposito bis'!$F$70*(C1360-sezione!$AN$32)*IF(ABS(M1360)&lt;'Sollecitazioni nel paramento'!$G$58,ABS(M1360)*'Sollecitazioni nel paramento'!$G$54,'Sollecitazioni nel paramento'!$G$53)</f>
        <v>0</v>
      </c>
      <c r="H1360" s="545">
        <f>-'Foglio deposito bis'!$F$71*(C1360-sezione!$AO$32)*IF(ABS(N1360)&lt;'Sollecitazioni nel paramento'!$G$58,ABS(N1360)*'Sollecitazioni nel paramento'!$G$54,'Sollecitazioni nel paramento'!$G$53)</f>
        <v>32351354.801153261</v>
      </c>
      <c r="I1360" s="472">
        <f>-'Foglio deposito bis'!$F$72*(C1360-sezione!$AP$32)*IF(ABS(O1360)&lt;'Sollecitazioni nel paramento'!$G$58,ABS(O1360)*'Sollecitazioni nel paramento'!$G$54,'Sollecitazioni nel paramento'!$G$53)</f>
        <v>222153612.79866806</v>
      </c>
      <c r="J1360" s="472">
        <f t="shared" si="93"/>
        <v>181746619.12430632</v>
      </c>
      <c r="K1360" s="550">
        <f>'Sollecitazioni nel paramento'!$G$60*(sezione!$AL$32-C1360)/C1360</f>
        <v>-1.0524997475627295E-3</v>
      </c>
      <c r="L1360" s="550">
        <f>'Sollecitazioni nel paramento'!$G$60*(sezione!$AM$32-C1360)/C1360</f>
        <v>1.7125037865590569E-4</v>
      </c>
      <c r="M1360" s="551">
        <f>'Sollecitazioni nel paramento'!$G$60*(sezione!$AN$32-C1360)/C1360</f>
        <v>1.395000504874541E-3</v>
      </c>
      <c r="N1360" s="551">
        <f>'Sollecitazioni nel paramento'!$G$60*(sezione!$AO$32-C1360)/C1360</f>
        <v>6.2900010097490825E-3</v>
      </c>
      <c r="O1360" s="551">
        <f>'Sollecitazioni nel paramento'!$G$60*(sezione!$AP$32-C1360)/C1360</f>
        <v>2.7643408838471831E-2</v>
      </c>
      <c r="P1360" s="545">
        <f>-'Sollecitazioni nel paramento'!$G$47*'Sollecitazioni nel paramento'!$G$41*IF(DATI!$G$211="dx",DATI!$E$61,DATI!$E$64*DATI!$E$63)*1000*C1360*sezione!$AD$5</f>
        <v>-2179194.8722737459</v>
      </c>
      <c r="Q1360" s="545">
        <f>'Foglio deposito bis'!$F$68*IF(ABS(K1360)&lt;'Sollecitazioni nel paramento'!$G$58,ABS(K1360)*'Sollecitazioni nel paramento'!$G$54,'Sollecitazioni nel paramento'!$G$53)*IF(K1360&lt;0,-1,1)</f>
        <v>0</v>
      </c>
      <c r="R1360" s="545">
        <f>'Foglio deposito bis'!$F$69*IF(ABS(L1360)&lt;'Sollecitazioni nel paramento'!$G$58,ABS(L1360)*'Sollecitazioni nel paramento'!$G$54,'Sollecitazioni nel paramento'!$G$53)*IF(L1360&lt;0,-1,1)</f>
        <v>13853.472486378989</v>
      </c>
      <c r="S1360" s="545">
        <f>'Foglio deposito bis'!$F$70*IF(ABS(M1360)&lt;'Sollecitazioni nel paramento'!$G$58,ABS(M1360)*'Sollecitazioni nel paramento'!$G$54,'Sollecitazioni nel paramento'!$G$53)*IF(M1360&lt;0,-1,1)</f>
        <v>0</v>
      </c>
      <c r="T1360" s="545">
        <f>'Foglio deposito bis'!$F$71*IF(ABS(N1360)&lt;'Sollecitazioni nel paramento'!$G$58,ABS(N1360)*'Sollecitazioni nel paramento'!$G$54,'Sollecitazioni nel paramento'!$G$53)*IF(N1360&lt;0,-1,1)</f>
        <v>314705.62929873407</v>
      </c>
      <c r="U1360" s="545">
        <f>'Foglio deposito bis'!$F$72*IF(ABS(O1360)&lt;'Sollecitazioni nel paramento'!$G$58,ABS(O1360)*'Sollecitazioni nel paramento'!$G$54,'Sollecitazioni nel paramento'!$G$53)*IF(O1360&lt;0,-1,1)</f>
        <v>491727.54577927204</v>
      </c>
      <c r="V1360" s="472">
        <f t="shared" si="95"/>
        <v>-1358908.2247093609</v>
      </c>
      <c r="W1360" s="551"/>
      <c r="X1360" s="551"/>
    </row>
    <row r="1361" spans="1:24" x14ac:dyDescent="0.25">
      <c r="A1361" s="545">
        <f t="shared" si="94"/>
        <v>1423029.410706318</v>
      </c>
      <c r="B1361" s="3">
        <f t="shared" si="97"/>
        <v>7.8999999999999924</v>
      </c>
      <c r="C1361" s="545">
        <f>'Foglio deposito bis'!$E$158/sezione!$B$247*B1361</f>
        <v>58.686965810658293</v>
      </c>
      <c r="D1361" s="603">
        <f>-'Sollecitazioni nel paramento'!$G$47*'Sollecitazioni nel paramento'!$G$41*IF(DATI!$G$211="dx",DATI!$E$61,DATI!$E$64*DATI!$E$63)*1000*C1361^2*sezione!$AD$5*(1-sezione!$AD$6)</f>
        <v>-76627902.518105</v>
      </c>
      <c r="E1361" s="545">
        <f>-'Foglio deposito bis'!$F$68*(C1361-sezione!$AL$32)*IF(ABS(K1361)&lt;'Sollecitazioni nel paramento'!$G$58,ABS(K1361)*'Sollecitazioni nel paramento'!$G$54,'Sollecitazioni nel paramento'!$G$53)</f>
        <v>0</v>
      </c>
      <c r="F1361" s="545">
        <f>-'Foglio deposito bis'!$F$69*(C1361-sezione!$AM$32)*IF(ABS(L1361)&lt;'Sollecitazioni nel paramento'!$G$58,ABS(L1361)*'Sollecitazioni nel paramento'!$G$54,'Sollecitazioni nel paramento'!$G$53)</f>
        <v>8317.7442557343093</v>
      </c>
      <c r="G1361" s="545">
        <f>-'Foglio deposito bis'!$F$70*(C1361-sezione!$AN$32)*IF(ABS(M1361)&lt;'Sollecitazioni nel paramento'!$G$58,ABS(M1361)*'Sollecitazioni nel paramento'!$G$54,'Sollecitazioni nel paramento'!$G$53)</f>
        <v>0</v>
      </c>
      <c r="H1361" s="545">
        <f>-'Foglio deposito bis'!$F$71*(C1361-sezione!$AO$32)*IF(ABS(N1361)&lt;'Sollecitazioni nel paramento'!$G$58,ABS(N1361)*'Sollecitazioni nel paramento'!$G$54,'Sollecitazioni nel paramento'!$G$53)</f>
        <v>31883782.180720944</v>
      </c>
      <c r="I1361" s="472">
        <f>-'Foglio deposito bis'!$F$72*(C1361-sezione!$AP$32)*IF(ABS(O1361)&lt;'Sollecitazioni nel paramento'!$G$58,ABS(O1361)*'Sollecitazioni nel paramento'!$G$54,'Sollecitazioni nel paramento'!$G$53)</f>
        <v>221423030.57924256</v>
      </c>
      <c r="J1361" s="472">
        <f t="shared" si="93"/>
        <v>176687227.98611423</v>
      </c>
      <c r="K1361" s="550">
        <f>'Sollecitazioni nel paramento'!$G$60*(sezione!$AL$32-C1361)/C1361</f>
        <v>-1.1144617792700022E-3</v>
      </c>
      <c r="L1361" s="550">
        <f>'Sollecitazioni nel paramento'!$G$60*(sezione!$AM$32-C1361)/C1361</f>
        <v>7.8307331094996764E-5</v>
      </c>
      <c r="M1361" s="551">
        <f>'Sollecitazioni nel paramento'!$G$60*(sezione!$AN$32-C1361)/C1361</f>
        <v>1.2710764414599956E-3</v>
      </c>
      <c r="N1361" s="551">
        <f>'Sollecitazioni nel paramento'!$G$60*(sezione!$AO$32-C1361)/C1361</f>
        <v>6.0421528829199917E-3</v>
      </c>
      <c r="O1361" s="551">
        <f>'Sollecitazioni nel paramento'!$G$60*(sezione!$AP$32-C1361)/C1361</f>
        <v>2.6854968108383937E-2</v>
      </c>
      <c r="P1361" s="545">
        <f>-'Sollecitazioni nel paramento'!$G$47*'Sollecitazioni nel paramento'!$G$41*IF(DATI!$G$211="dx",DATI!$E$61,DATI!$E$64*DATI!$E$63)*1000*C1361*sezione!$AD$5</f>
        <v>-2235797.3364886483</v>
      </c>
      <c r="Q1361" s="545">
        <f>'Foglio deposito bis'!$F$68*IF(ABS(K1361)&lt;'Sollecitazioni nel paramento'!$G$58,ABS(K1361)*'Sollecitazioni nel paramento'!$G$54,'Sollecitazioni nel paramento'!$G$53)*IF(K1361&lt;0,-1,1)</f>
        <v>0</v>
      </c>
      <c r="R1361" s="545">
        <f>'Foglio deposito bis'!$F$69*IF(ABS(L1361)&lt;'Sollecitazioni nel paramento'!$G$58,ABS(L1361)*'Sollecitazioni nel paramento'!$G$54,'Sollecitazioni nel paramento'!$G$53)*IF(L1361&lt;0,-1,1)</f>
        <v>6334.750704324334</v>
      </c>
      <c r="S1361" s="545">
        <f>'Foglio deposito bis'!$F$70*IF(ABS(M1361)&lt;'Sollecitazioni nel paramento'!$G$58,ABS(M1361)*'Sollecitazioni nel paramento'!$G$54,'Sollecitazioni nel paramento'!$G$53)*IF(M1361&lt;0,-1,1)</f>
        <v>0</v>
      </c>
      <c r="T1361" s="545">
        <f>'Foglio deposito bis'!$F$71*IF(ABS(N1361)&lt;'Sollecitazioni nel paramento'!$G$58,ABS(N1361)*'Sollecitazioni nel paramento'!$G$54,'Sollecitazioni nel paramento'!$G$53)*IF(N1361&lt;0,-1,1)</f>
        <v>314705.62929873407</v>
      </c>
      <c r="U1361" s="545">
        <f>'Foglio deposito bis'!$F$72*IF(ABS(O1361)&lt;'Sollecitazioni nel paramento'!$G$58,ABS(O1361)*'Sollecitazioni nel paramento'!$G$54,'Sollecitazioni nel paramento'!$G$53)*IF(O1361&lt;0,-1,1)</f>
        <v>491727.54577927204</v>
      </c>
      <c r="V1361" s="472">
        <f t="shared" si="95"/>
        <v>-1423029.410706318</v>
      </c>
      <c r="W1361" s="551"/>
      <c r="X1361" s="551"/>
    </row>
    <row r="1362" spans="1:24" x14ac:dyDescent="0.25">
      <c r="A1362" s="545">
        <f t="shared" si="94"/>
        <v>1486779.3018004587</v>
      </c>
      <c r="B1362" s="3">
        <f t="shared" si="97"/>
        <v>8.0999999999999925</v>
      </c>
      <c r="C1362" s="545">
        <f>'Foglio deposito bis'!$E$158/sezione!$B$247*B1362</f>
        <v>60.172711780548383</v>
      </c>
      <c r="D1362" s="603">
        <f>-'Sollecitazioni nel paramento'!$G$47*'Sollecitazioni nel paramento'!$G$41*IF(DATI!$G$211="dx",DATI!$E$61,DATI!$E$64*DATI!$E$63)*1000*C1362^2*sezione!$AD$5*(1-sezione!$AD$6)</f>
        <v>-80556908.896216467</v>
      </c>
      <c r="E1362" s="545">
        <f>-'Foglio deposito bis'!$F$68*(C1362-sezione!$AL$32)*IF(ABS(K1362)&lt;'Sollecitazioni nel paramento'!$G$58,ABS(K1362)*'Sollecitazioni nel paramento'!$G$54,'Sollecitazioni nel paramento'!$G$53)</f>
        <v>0</v>
      </c>
      <c r="F1362" s="545">
        <f>-'Foglio deposito bis'!$F$69*(C1362-sezione!$AM$32)*IF(ABS(L1362)&lt;'Sollecitazioni nel paramento'!$G$58,ABS(L1362)*'Sollecitazioni nel paramento'!$G$54,'Sollecitazioni nel paramento'!$G$53)</f>
        <v>-140.35874917844603</v>
      </c>
      <c r="G1362" s="545">
        <f>-'Foglio deposito bis'!$F$70*(C1362-sezione!$AN$32)*IF(ABS(M1362)&lt;'Sollecitazioni nel paramento'!$G$58,ABS(M1362)*'Sollecitazioni nel paramento'!$G$54,'Sollecitazioni nel paramento'!$G$53)</f>
        <v>0</v>
      </c>
      <c r="H1362" s="545">
        <f>-'Foglio deposito bis'!$F$71*(C1362-sezione!$AO$32)*IF(ABS(N1362)&lt;'Sollecitazioni nel paramento'!$G$58,ABS(N1362)*'Sollecitazioni nel paramento'!$G$54,'Sollecitazioni nel paramento'!$G$53)</f>
        <v>31416209.560288623</v>
      </c>
      <c r="I1362" s="472">
        <f>-'Foglio deposito bis'!$F$72*(C1362-sezione!$AP$32)*IF(ABS(O1362)&lt;'Sollecitazioni nel paramento'!$G$58,ABS(O1362)*'Sollecitazioni nel paramento'!$G$54,'Sollecitazioni nel paramento'!$G$53)</f>
        <v>220692448.359817</v>
      </c>
      <c r="J1362" s="472">
        <f t="shared" si="93"/>
        <v>171551608.66513997</v>
      </c>
      <c r="K1362" s="550">
        <f>'Sollecitazioni nel paramento'!$G$60*(sezione!$AL$32-C1362)/C1362</f>
        <v>-1.1733639575596318E-3</v>
      </c>
      <c r="L1362" s="550">
        <f>'Sollecitazioni nel paramento'!$G$60*(sezione!$AM$32-C1362)/C1362</f>
        <v>-1.0045936339447971E-5</v>
      </c>
      <c r="M1362" s="551">
        <f>'Sollecitazioni nel paramento'!$G$60*(sezione!$AN$32-C1362)/C1362</f>
        <v>1.153272084880736E-3</v>
      </c>
      <c r="N1362" s="551">
        <f>'Sollecitazioni nel paramento'!$G$60*(sezione!$AO$32-C1362)/C1362</f>
        <v>5.8065441697614725E-3</v>
      </c>
      <c r="O1362" s="551">
        <f>'Sollecitazioni nel paramento'!$G$60*(sezione!$AP$32-C1362)/C1362</f>
        <v>2.6105462722991735E-2</v>
      </c>
      <c r="P1362" s="545">
        <f>-'Sollecitazioni nel paramento'!$G$47*'Sollecitazioni nel paramento'!$G$41*IF(DATI!$G$211="dx",DATI!$E$61,DATI!$E$64*DATI!$E$63)*1000*C1362*sezione!$AD$5</f>
        <v>-2292399.8007035516</v>
      </c>
      <c r="Q1362" s="545">
        <f>'Foglio deposito bis'!$F$68*IF(ABS(K1362)&lt;'Sollecitazioni nel paramento'!$G$58,ABS(K1362)*'Sollecitazioni nel paramento'!$G$54,'Sollecitazioni nel paramento'!$G$53)*IF(K1362&lt;0,-1,1)</f>
        <v>0</v>
      </c>
      <c r="R1362" s="545">
        <f>'Foglio deposito bis'!$F$69*IF(ABS(L1362)&lt;'Sollecitazioni nel paramento'!$G$58,ABS(L1362)*'Sollecitazioni nel paramento'!$G$54,'Sollecitazioni nel paramento'!$G$53)*IF(L1362&lt;0,-1,1)</f>
        <v>-812.67617491284227</v>
      </c>
      <c r="S1362" s="545">
        <f>'Foglio deposito bis'!$F$70*IF(ABS(M1362)&lt;'Sollecitazioni nel paramento'!$G$58,ABS(M1362)*'Sollecitazioni nel paramento'!$G$54,'Sollecitazioni nel paramento'!$G$53)*IF(M1362&lt;0,-1,1)</f>
        <v>0</v>
      </c>
      <c r="T1362" s="545">
        <f>'Foglio deposito bis'!$F$71*IF(ABS(N1362)&lt;'Sollecitazioni nel paramento'!$G$58,ABS(N1362)*'Sollecitazioni nel paramento'!$G$54,'Sollecitazioni nel paramento'!$G$53)*IF(N1362&lt;0,-1,1)</f>
        <v>314705.62929873407</v>
      </c>
      <c r="U1362" s="545">
        <f>'Foglio deposito bis'!$F$72*IF(ABS(O1362)&lt;'Sollecitazioni nel paramento'!$G$58,ABS(O1362)*'Sollecitazioni nel paramento'!$G$54,'Sollecitazioni nel paramento'!$G$53)*IF(O1362&lt;0,-1,1)</f>
        <v>491727.54577927204</v>
      </c>
      <c r="V1362" s="472">
        <f t="shared" si="95"/>
        <v>-1486779.3018004587</v>
      </c>
      <c r="W1362" s="551"/>
      <c r="X1362" s="551"/>
    </row>
    <row r="1363" spans="1:24" x14ac:dyDescent="0.25">
      <c r="A1363" s="545">
        <f t="shared" si="94"/>
        <v>1550184.7385871643</v>
      </c>
      <c r="B1363" s="3">
        <f t="shared" si="97"/>
        <v>8.2999999999999918</v>
      </c>
      <c r="C1363" s="545">
        <f>'Foglio deposito bis'!$E$158/sezione!$B$247*B1363</f>
        <v>61.658457750438458</v>
      </c>
      <c r="D1363" s="603">
        <f>-'Sollecitazioni nel paramento'!$G$47*'Sollecitazioni nel paramento'!$G$41*IF(DATI!$G$211="dx",DATI!$E$61,DATI!$E$64*DATI!$E$63)*1000*C1363^2*sezione!$AD$5*(1-sezione!$AD$6)</f>
        <v>-84584140.4337807</v>
      </c>
      <c r="E1363" s="545">
        <f>-'Foglio deposito bis'!$F$68*(C1363-sezione!$AL$32)*IF(ABS(K1363)&lt;'Sollecitazioni nel paramento'!$G$58,ABS(K1363)*'Sollecitazioni nel paramento'!$G$54,'Sollecitazioni nel paramento'!$G$53)</f>
        <v>0</v>
      </c>
      <c r="F1363" s="545">
        <f>-'Foglio deposito bis'!$F$69*(C1363-sezione!$AM$32)*IF(ABS(L1363)&lt;'Sollecitazioni nel paramento'!$G$58,ABS(L1363)*'Sollecitazioni nel paramento'!$G$54,'Sollecitazioni nel paramento'!$G$53)</f>
        <v>-12630.23168860947</v>
      </c>
      <c r="G1363" s="545">
        <f>-'Foglio deposito bis'!$F$70*(C1363-sezione!$AN$32)*IF(ABS(M1363)&lt;'Sollecitazioni nel paramento'!$G$58,ABS(M1363)*'Sollecitazioni nel paramento'!$G$54,'Sollecitazioni nel paramento'!$G$53)</f>
        <v>0</v>
      </c>
      <c r="H1363" s="545">
        <f>-'Foglio deposito bis'!$F$71*(C1363-sezione!$AO$32)*IF(ABS(N1363)&lt;'Sollecitazioni nel paramento'!$G$58,ABS(N1363)*'Sollecitazioni nel paramento'!$G$54,'Sollecitazioni nel paramento'!$G$53)</f>
        <v>30948636.939856309</v>
      </c>
      <c r="I1363" s="472">
        <f>-'Foglio deposito bis'!$F$72*(C1363-sezione!$AP$32)*IF(ABS(O1363)&lt;'Sollecitazioni nel paramento'!$G$58,ABS(O1363)*'Sollecitazioni nel paramento'!$G$54,'Sollecitazioni nel paramento'!$G$53)</f>
        <v>219961866.14039153</v>
      </c>
      <c r="J1363" s="472">
        <f t="shared" si="93"/>
        <v>166313732.41477853</v>
      </c>
      <c r="K1363" s="550">
        <f>'Sollecitazioni nel paramento'!$G$60*(sezione!$AL$32-C1363)/C1363</f>
        <v>-1.2294274766545803E-3</v>
      </c>
      <c r="L1363" s="550">
        <f>'Sollecitazioni nel paramento'!$G$60*(sezione!$AM$32-C1363)/C1363</f>
        <v>-9.4141214981870473E-5</v>
      </c>
      <c r="M1363" s="551">
        <f>'Sollecitazioni nel paramento'!$G$60*(sezione!$AN$32-C1363)/C1363</f>
        <v>1.0411450466908394E-3</v>
      </c>
      <c r="N1363" s="551">
        <f>'Sollecitazioni nel paramento'!$G$60*(sezione!$AO$32-C1363)/C1363</f>
        <v>5.5822900933816793E-3</v>
      </c>
      <c r="O1363" s="551">
        <f>'Sollecitazioni nel paramento'!$G$60*(sezione!$AP$32-C1363)/C1363</f>
        <v>2.5392078079064229E-2</v>
      </c>
      <c r="P1363" s="545">
        <f>-'Sollecitazioni nel paramento'!$G$47*'Sollecitazioni nel paramento'!$G$41*IF(DATI!$G$211="dx",DATI!$E$61,DATI!$E$64*DATI!$E$63)*1000*C1363*sezione!$AD$5</f>
        <v>-2349002.2649184535</v>
      </c>
      <c r="Q1363" s="545">
        <f>'Foglio deposito bis'!$F$68*IF(ABS(K1363)&lt;'Sollecitazioni nel paramento'!$G$58,ABS(K1363)*'Sollecitazioni nel paramento'!$G$54,'Sollecitazioni nel paramento'!$G$53)*IF(K1363&lt;0,-1,1)</f>
        <v>0</v>
      </c>
      <c r="R1363" s="545">
        <f>'Foglio deposito bis'!$F$69*IF(ABS(L1363)&lt;'Sollecitazioni nel paramento'!$G$58,ABS(L1363)*'Sollecitazioni nel paramento'!$G$54,'Sollecitazioni nel paramento'!$G$53)*IF(L1363&lt;0,-1,1)</f>
        <v>-7615.6487467168363</v>
      </c>
      <c r="S1363" s="545">
        <f>'Foglio deposito bis'!$F$70*IF(ABS(M1363)&lt;'Sollecitazioni nel paramento'!$G$58,ABS(M1363)*'Sollecitazioni nel paramento'!$G$54,'Sollecitazioni nel paramento'!$G$53)*IF(M1363&lt;0,-1,1)</f>
        <v>0</v>
      </c>
      <c r="T1363" s="545">
        <f>'Foglio deposito bis'!$F$71*IF(ABS(N1363)&lt;'Sollecitazioni nel paramento'!$G$58,ABS(N1363)*'Sollecitazioni nel paramento'!$G$54,'Sollecitazioni nel paramento'!$G$53)*IF(N1363&lt;0,-1,1)</f>
        <v>314705.62929873407</v>
      </c>
      <c r="U1363" s="545">
        <f>'Foglio deposito bis'!$F$72*IF(ABS(O1363)&lt;'Sollecitazioni nel paramento'!$G$58,ABS(O1363)*'Sollecitazioni nel paramento'!$G$54,'Sollecitazioni nel paramento'!$G$53)*IF(O1363&lt;0,-1,1)</f>
        <v>491727.54577927204</v>
      </c>
      <c r="V1363" s="472">
        <f t="shared" si="95"/>
        <v>-1550184.7385871643</v>
      </c>
      <c r="W1363" s="551"/>
      <c r="X1363" s="551"/>
    </row>
    <row r="1364" spans="1:24" x14ac:dyDescent="0.25">
      <c r="A1364" s="545">
        <f t="shared" si="94"/>
        <v>1613270.0354881389</v>
      </c>
      <c r="B1364" s="3">
        <f t="shared" si="97"/>
        <v>8.4999999999999911</v>
      </c>
      <c r="C1364" s="545">
        <f>'Foglio deposito bis'!$E$158/sezione!$B$247*B1364</f>
        <v>63.144203720328541</v>
      </c>
      <c r="D1364" s="603">
        <f>-'Sollecitazioni nel paramento'!$G$47*'Sollecitazioni nel paramento'!$G$41*IF(DATI!$G$211="dx",DATI!$E$61,DATI!$E$64*DATI!$E$63)*1000*C1364^2*sezione!$AD$5*(1-sezione!$AD$6)</f>
        <v>-88709597.130797729</v>
      </c>
      <c r="E1364" s="545">
        <f>-'Foglio deposito bis'!$F$68*(C1364-sezione!$AL$32)*IF(ABS(K1364)&lt;'Sollecitazioni nel paramento'!$G$58,ABS(K1364)*'Sollecitazioni nel paramento'!$G$54,'Sollecitazioni nel paramento'!$G$53)</f>
        <v>0</v>
      </c>
      <c r="F1364" s="545">
        <f>-'Foglio deposito bis'!$F$69*(C1364-sezione!$AM$32)*IF(ABS(L1364)&lt;'Sollecitazioni nel paramento'!$G$58,ABS(L1364)*'Sollecitazioni nel paramento'!$G$54,'Sollecitazioni nel paramento'!$G$53)</f>
        <v>-44328.497771957751</v>
      </c>
      <c r="G1364" s="545">
        <f>-'Foglio deposito bis'!$F$70*(C1364-sezione!$AN$32)*IF(ABS(M1364)&lt;'Sollecitazioni nel paramento'!$G$58,ABS(M1364)*'Sollecitazioni nel paramento'!$G$54,'Sollecitazioni nel paramento'!$G$53)</f>
        <v>0</v>
      </c>
      <c r="H1364" s="545">
        <f>-'Foglio deposito bis'!$F$71*(C1364-sezione!$AO$32)*IF(ABS(N1364)&lt;'Sollecitazioni nel paramento'!$G$58,ABS(N1364)*'Sollecitazioni nel paramento'!$G$54,'Sollecitazioni nel paramento'!$G$53)</f>
        <v>30481064.319424</v>
      </c>
      <c r="I1364" s="472">
        <f>-'Foglio deposito bis'!$F$72*(C1364-sezione!$AP$32)*IF(ABS(O1364)&lt;'Sollecitazioni nel paramento'!$G$58,ABS(O1364)*'Sollecitazioni nel paramento'!$G$54,'Sollecitazioni nel paramento'!$G$53)</f>
        <v>219231283.92096603</v>
      </c>
      <c r="J1364" s="472">
        <f t="shared" si="93"/>
        <v>160958422.61182034</v>
      </c>
      <c r="K1364" s="550">
        <f>'Sollecitazioni nel paramento'!$G$60*(sezione!$AL$32-C1364)/C1364</f>
        <v>-1.2828527124980019E-3</v>
      </c>
      <c r="L1364" s="550">
        <f>'Sollecitazioni nel paramento'!$G$60*(sezione!$AM$32-C1364)/C1364</f>
        <v>-1.7427906874700288E-4</v>
      </c>
      <c r="M1364" s="551">
        <f>'Sollecitazioni nel paramento'!$G$60*(sezione!$AN$32-C1364)/C1364</f>
        <v>9.3429457500399614E-4</v>
      </c>
      <c r="N1364" s="551">
        <f>'Sollecitazioni nel paramento'!$G$60*(sezione!$AO$32-C1364)/C1364</f>
        <v>5.3685891500079921E-3</v>
      </c>
      <c r="O1364" s="551">
        <f>'Sollecitazioni nel paramento'!$G$60*(sezione!$AP$32-C1364)/C1364</f>
        <v>2.4712264477203896E-2</v>
      </c>
      <c r="P1364" s="545">
        <f>-'Sollecitazioni nel paramento'!$G$47*'Sollecitazioni nel paramento'!$G$41*IF(DATI!$G$211="dx",DATI!$E$61,DATI!$E$64*DATI!$E$63)*1000*C1364*sezione!$AD$5</f>
        <v>-2405604.7291333559</v>
      </c>
      <c r="Q1364" s="545">
        <f>'Foglio deposito bis'!$F$68*IF(ABS(K1364)&lt;'Sollecitazioni nel paramento'!$G$58,ABS(K1364)*'Sollecitazioni nel paramento'!$G$54,'Sollecitazioni nel paramento'!$G$53)*IF(K1364&lt;0,-1,1)</f>
        <v>0</v>
      </c>
      <c r="R1364" s="545">
        <f>'Foglio deposito bis'!$F$69*IF(ABS(L1364)&lt;'Sollecitazioni nel paramento'!$G$58,ABS(L1364)*'Sollecitazioni nel paramento'!$G$54,'Sollecitazioni nel paramento'!$G$53)*IF(L1364&lt;0,-1,1)</f>
        <v>-14098.481432788911</v>
      </c>
      <c r="S1364" s="545">
        <f>'Foglio deposito bis'!$F$70*IF(ABS(M1364)&lt;'Sollecitazioni nel paramento'!$G$58,ABS(M1364)*'Sollecitazioni nel paramento'!$G$54,'Sollecitazioni nel paramento'!$G$53)*IF(M1364&lt;0,-1,1)</f>
        <v>0</v>
      </c>
      <c r="T1364" s="545">
        <f>'Foglio deposito bis'!$F$71*IF(ABS(N1364)&lt;'Sollecitazioni nel paramento'!$G$58,ABS(N1364)*'Sollecitazioni nel paramento'!$G$54,'Sollecitazioni nel paramento'!$G$53)*IF(N1364&lt;0,-1,1)</f>
        <v>314705.62929873407</v>
      </c>
      <c r="U1364" s="545">
        <f>'Foglio deposito bis'!$F$72*IF(ABS(O1364)&lt;'Sollecitazioni nel paramento'!$G$58,ABS(O1364)*'Sollecitazioni nel paramento'!$G$54,'Sollecitazioni nel paramento'!$G$53)*IF(O1364&lt;0,-1,1)</f>
        <v>491727.54577927204</v>
      </c>
      <c r="V1364" s="472">
        <f t="shared" si="95"/>
        <v>-1613270.0354881389</v>
      </c>
      <c r="W1364" s="551"/>
      <c r="X1364" s="551"/>
    </row>
    <row r="1365" spans="1:24" x14ac:dyDescent="0.25">
      <c r="A1365" s="545">
        <f t="shared" si="94"/>
        <v>1676057.2711161906</v>
      </c>
      <c r="B1365" s="3">
        <f t="shared" si="97"/>
        <v>8.6999999999999904</v>
      </c>
      <c r="C1365" s="545">
        <f>'Foglio deposito bis'!$E$158/sezione!$B$247*B1365</f>
        <v>64.629949690218623</v>
      </c>
      <c r="D1365" s="603">
        <f>-'Sollecitazioni nel paramento'!$G$47*'Sollecitazioni nel paramento'!$G$41*IF(DATI!$G$211="dx",DATI!$E$61,DATI!$E$64*DATI!$E$63)*1000*C1365^2*sezione!$AD$5*(1-sezione!$AD$6)</f>
        <v>-92933278.987267524</v>
      </c>
      <c r="E1365" s="545">
        <f>-'Foglio deposito bis'!$F$68*(C1365-sezione!$AL$32)*IF(ABS(K1365)&lt;'Sollecitazioni nel paramento'!$G$58,ABS(K1365)*'Sollecitazioni nel paramento'!$G$54,'Sollecitazioni nel paramento'!$G$53)</f>
        <v>0</v>
      </c>
      <c r="F1365" s="545">
        <f>-'Foglio deposito bis'!$F$69*(C1365-sezione!$AM$32)*IF(ABS(L1365)&lt;'Sollecitazioni nel paramento'!$G$58,ABS(L1365)*'Sollecitazioni nel paramento'!$G$54,'Sollecitazioni nel paramento'!$G$53)</f>
        <v>-93910.440230677254</v>
      </c>
      <c r="G1365" s="545">
        <f>-'Foglio deposito bis'!$F$70*(C1365-sezione!$AN$32)*IF(ABS(M1365)&lt;'Sollecitazioni nel paramento'!$G$58,ABS(M1365)*'Sollecitazioni nel paramento'!$G$54,'Sollecitazioni nel paramento'!$G$53)</f>
        <v>0</v>
      </c>
      <c r="H1365" s="545">
        <f>-'Foglio deposito bis'!$F$71*(C1365-sezione!$AO$32)*IF(ABS(N1365)&lt;'Sollecitazioni nel paramento'!$G$58,ABS(N1365)*'Sollecitazioni nel paramento'!$G$54,'Sollecitazioni nel paramento'!$G$53)</f>
        <v>30013491.698991679</v>
      </c>
      <c r="I1365" s="472">
        <f>-'Foglio deposito bis'!$F$72*(C1365-sezione!$AP$32)*IF(ABS(O1365)&lt;'Sollecitazioni nel paramento'!$G$58,ABS(O1365)*'Sollecitazioni nel paramento'!$G$54,'Sollecitazioni nel paramento'!$G$53)</f>
        <v>218500701.70154059</v>
      </c>
      <c r="J1365" s="472">
        <f t="shared" si="93"/>
        <v>155487003.97303405</v>
      </c>
      <c r="K1365" s="550">
        <f>'Sollecitazioni nel paramento'!$G$60*(sezione!$AL$32-C1365)/C1365</f>
        <v>-1.3338216156589674E-3</v>
      </c>
      <c r="L1365" s="550">
        <f>'Sollecitazioni nel paramento'!$G$60*(sezione!$AM$32-C1365)/C1365</f>
        <v>-2.5073242348845105E-4</v>
      </c>
      <c r="M1365" s="551">
        <f>'Sollecitazioni nel paramento'!$G$60*(sezione!$AN$32-C1365)/C1365</f>
        <v>8.3235676868206529E-4</v>
      </c>
      <c r="N1365" s="551">
        <f>'Sollecitazioni nel paramento'!$G$60*(sezione!$AO$32-C1365)/C1365</f>
        <v>5.1647135373641302E-3</v>
      </c>
      <c r="O1365" s="551">
        <f>'Sollecitazioni nel paramento'!$G$60*(sezione!$AP$32-C1365)/C1365</f>
        <v>2.4063706673130243E-2</v>
      </c>
      <c r="P1365" s="545">
        <f>-'Sollecitazioni nel paramento'!$G$47*'Sollecitazioni nel paramento'!$G$41*IF(DATI!$G$211="dx",DATI!$E$61,DATI!$E$64*DATI!$E$63)*1000*C1365*sezione!$AD$5</f>
        <v>-2462207.1933482583</v>
      </c>
      <c r="Q1365" s="545">
        <f>'Foglio deposito bis'!$F$68*IF(ABS(K1365)&lt;'Sollecitazioni nel paramento'!$G$58,ABS(K1365)*'Sollecitazioni nel paramento'!$G$54,'Sollecitazioni nel paramento'!$G$53)*IF(K1365&lt;0,-1,1)</f>
        <v>0</v>
      </c>
      <c r="R1365" s="545">
        <f>'Foglio deposito bis'!$F$69*IF(ABS(L1365)&lt;'Sollecitazioni nel paramento'!$G$58,ABS(L1365)*'Sollecitazioni nel paramento'!$G$54,'Sollecitazioni nel paramento'!$G$53)*IF(L1365&lt;0,-1,1)</f>
        <v>-20283.252845938128</v>
      </c>
      <c r="S1365" s="545">
        <f>'Foglio deposito bis'!$F$70*IF(ABS(M1365)&lt;'Sollecitazioni nel paramento'!$G$58,ABS(M1365)*'Sollecitazioni nel paramento'!$G$54,'Sollecitazioni nel paramento'!$G$53)*IF(M1365&lt;0,-1,1)</f>
        <v>0</v>
      </c>
      <c r="T1365" s="545">
        <f>'Foglio deposito bis'!$F$71*IF(ABS(N1365)&lt;'Sollecitazioni nel paramento'!$G$58,ABS(N1365)*'Sollecitazioni nel paramento'!$G$54,'Sollecitazioni nel paramento'!$G$53)*IF(N1365&lt;0,-1,1)</f>
        <v>314705.62929873407</v>
      </c>
      <c r="U1365" s="545">
        <f>'Foglio deposito bis'!$F$72*IF(ABS(O1365)&lt;'Sollecitazioni nel paramento'!$G$58,ABS(O1365)*'Sollecitazioni nel paramento'!$G$54,'Sollecitazioni nel paramento'!$G$53)*IF(O1365&lt;0,-1,1)</f>
        <v>491727.54577927204</v>
      </c>
      <c r="V1365" s="472">
        <f t="shared" si="95"/>
        <v>-1676057.2711161906</v>
      </c>
      <c r="W1365" s="551"/>
      <c r="X1365" s="551"/>
    </row>
    <row r="1366" spans="1:24" x14ac:dyDescent="0.25">
      <c r="A1366" s="545">
        <f t="shared" si="94"/>
        <v>1738566.5394897186</v>
      </c>
      <c r="B1366" s="3">
        <f t="shared" si="97"/>
        <v>8.8999999999999897</v>
      </c>
      <c r="C1366" s="545">
        <f>'Foglio deposito bis'!$E$158/sezione!$B$247*B1366</f>
        <v>66.115695660108699</v>
      </c>
      <c r="D1366" s="603">
        <f>-'Sollecitazioni nel paramento'!$G$47*'Sollecitazioni nel paramento'!$G$41*IF(DATI!$G$211="dx",DATI!$E$61,DATI!$E$64*DATI!$E$63)*1000*C1366^2*sezione!$AD$5*(1-sezione!$AD$6)</f>
        <v>-97255186.0031901</v>
      </c>
      <c r="E1366" s="545">
        <f>-'Foglio deposito bis'!$F$68*(C1366-sezione!$AL$32)*IF(ABS(K1366)&lt;'Sollecitazioni nel paramento'!$G$58,ABS(K1366)*'Sollecitazioni nel paramento'!$G$54,'Sollecitazioni nel paramento'!$G$53)</f>
        <v>0</v>
      </c>
      <c r="F1366" s="545">
        <f>-'Foglio deposito bis'!$F$69*(C1366-sezione!$AM$32)*IF(ABS(L1366)&lt;'Sollecitazioni nel paramento'!$G$58,ABS(L1366)*'Sollecitazioni nel paramento'!$G$54,'Sollecitazioni nel paramento'!$G$53)</f>
        <v>-160170.41796081001</v>
      </c>
      <c r="G1366" s="545">
        <f>-'Foglio deposito bis'!$F$70*(C1366-sezione!$AN$32)*IF(ABS(M1366)&lt;'Sollecitazioni nel paramento'!$G$58,ABS(M1366)*'Sollecitazioni nel paramento'!$G$54,'Sollecitazioni nel paramento'!$G$53)</f>
        <v>0</v>
      </c>
      <c r="H1366" s="545">
        <f>-'Foglio deposito bis'!$F$71*(C1366-sezione!$AO$32)*IF(ABS(N1366)&lt;'Sollecitazioni nel paramento'!$G$58,ABS(N1366)*'Sollecitazioni nel paramento'!$G$54,'Sollecitazioni nel paramento'!$G$53)</f>
        <v>29545919.078559361</v>
      </c>
      <c r="I1366" s="472">
        <f>-'Foglio deposito bis'!$F$72*(C1366-sezione!$AP$32)*IF(ABS(O1366)&lt;'Sollecitazioni nel paramento'!$G$58,ABS(O1366)*'Sollecitazioni nel paramento'!$G$54,'Sollecitazioni nel paramento'!$G$53)</f>
        <v>217770119.48211506</v>
      </c>
      <c r="J1366" s="472">
        <f t="shared" si="93"/>
        <v>149900682.13952351</v>
      </c>
      <c r="K1366" s="550">
        <f>'Sollecitazioni nel paramento'!$G$60*(sezione!$AL$32-C1366)/C1366</f>
        <v>-1.3824997815992152E-3</v>
      </c>
      <c r="L1366" s="550">
        <f>'Sollecitazioni nel paramento'!$G$60*(sezione!$AM$32-C1366)/C1366</f>
        <v>-3.2374967239882257E-4</v>
      </c>
      <c r="M1366" s="551">
        <f>'Sollecitazioni nel paramento'!$G$60*(sezione!$AN$32-C1366)/C1366</f>
        <v>7.3500043680156993E-4</v>
      </c>
      <c r="N1366" s="551">
        <f>'Sollecitazioni nel paramento'!$G$60*(sezione!$AO$32-C1366)/C1366</f>
        <v>4.9700008736031399E-3</v>
      </c>
      <c r="O1366" s="551">
        <f>'Sollecitazioni nel paramento'!$G$60*(sezione!$AP$32-C1366)/C1366</f>
        <v>2.3444297534408218E-2</v>
      </c>
      <c r="P1366" s="545">
        <f>-'Sollecitazioni nel paramento'!$G$47*'Sollecitazioni nel paramento'!$G$41*IF(DATI!$G$211="dx",DATI!$E$61,DATI!$E$64*DATI!$E$63)*1000*C1366*sezione!$AD$5</f>
        <v>-2518809.6575631606</v>
      </c>
      <c r="Q1366" s="545">
        <f>'Foglio deposito bis'!$F$68*IF(ABS(K1366)&lt;'Sollecitazioni nel paramento'!$G$58,ABS(K1366)*'Sollecitazioni nel paramento'!$G$54,'Sollecitazioni nel paramento'!$G$53)*IF(K1366&lt;0,-1,1)</f>
        <v>0</v>
      </c>
      <c r="R1366" s="545">
        <f>'Foglio deposito bis'!$F$69*IF(ABS(L1366)&lt;'Sollecitazioni nel paramento'!$G$58,ABS(L1366)*'Sollecitazioni nel paramento'!$G$54,'Sollecitazioni nel paramento'!$G$53)*IF(L1366&lt;0,-1,1)</f>
        <v>-26190.057004563758</v>
      </c>
      <c r="S1366" s="545">
        <f>'Foglio deposito bis'!$F$70*IF(ABS(M1366)&lt;'Sollecitazioni nel paramento'!$G$58,ABS(M1366)*'Sollecitazioni nel paramento'!$G$54,'Sollecitazioni nel paramento'!$G$53)*IF(M1366&lt;0,-1,1)</f>
        <v>0</v>
      </c>
      <c r="T1366" s="545">
        <f>'Foglio deposito bis'!$F$71*IF(ABS(N1366)&lt;'Sollecitazioni nel paramento'!$G$58,ABS(N1366)*'Sollecitazioni nel paramento'!$G$54,'Sollecitazioni nel paramento'!$G$53)*IF(N1366&lt;0,-1,1)</f>
        <v>314705.62929873407</v>
      </c>
      <c r="U1366" s="545">
        <f>'Foglio deposito bis'!$F$72*IF(ABS(O1366)&lt;'Sollecitazioni nel paramento'!$G$58,ABS(O1366)*'Sollecitazioni nel paramento'!$G$54,'Sollecitazioni nel paramento'!$G$53)*IF(O1366&lt;0,-1,1)</f>
        <v>491727.54577927204</v>
      </c>
      <c r="V1366" s="472">
        <f t="shared" si="95"/>
        <v>-1738566.5394897186</v>
      </c>
      <c r="W1366" s="551"/>
      <c r="X1366" s="551"/>
    </row>
    <row r="1367" spans="1:24" x14ac:dyDescent="0.25">
      <c r="A1367" s="545">
        <f t="shared" si="94"/>
        <v>1800816.1681200103</v>
      </c>
      <c r="B1367" s="3">
        <f t="shared" si="97"/>
        <v>9.099999999999989</v>
      </c>
      <c r="C1367" s="545">
        <f>'Foglio deposito bis'!$E$158/sezione!$B$247*B1367</f>
        <v>67.601441629998774</v>
      </c>
      <c r="D1367" s="603">
        <f>-'Sollecitazioni nel paramento'!$G$47*'Sollecitazioni nel paramento'!$G$41*IF(DATI!$G$211="dx",DATI!$E$61,DATI!$E$64*DATI!$E$63)*1000*C1367^2*sezione!$AD$5*(1-sezione!$AD$6)</f>
        <v>-101675318.17856547</v>
      </c>
      <c r="E1367" s="545">
        <f>-'Foglio deposito bis'!$F$68*(C1367-sezione!$AL$32)*IF(ABS(K1367)&lt;'Sollecitazioni nel paramento'!$G$58,ABS(K1367)*'Sollecitazioni nel paramento'!$G$54,'Sollecitazioni nel paramento'!$G$53)</f>
        <v>0</v>
      </c>
      <c r="F1367" s="545">
        <f>-'Foglio deposito bis'!$F$69*(C1367-sezione!$AM$32)*IF(ABS(L1367)&lt;'Sollecitazioni nel paramento'!$G$58,ABS(L1367)*'Sollecitazioni nel paramento'!$G$54,'Sollecitazioni nel paramento'!$G$53)</f>
        <v>-242008.78028512021</v>
      </c>
      <c r="G1367" s="545">
        <f>-'Foglio deposito bis'!$F$70*(C1367-sezione!$AN$32)*IF(ABS(M1367)&lt;'Sollecitazioni nel paramento'!$G$58,ABS(M1367)*'Sollecitazioni nel paramento'!$G$54,'Sollecitazioni nel paramento'!$G$53)</f>
        <v>0</v>
      </c>
      <c r="H1367" s="545">
        <f>-'Foglio deposito bis'!$F$71*(C1367-sezione!$AO$32)*IF(ABS(N1367)&lt;'Sollecitazioni nel paramento'!$G$58,ABS(N1367)*'Sollecitazioni nel paramento'!$G$54,'Sollecitazioni nel paramento'!$G$53)</f>
        <v>29078346.458127048</v>
      </c>
      <c r="I1367" s="472">
        <f>-'Foglio deposito bis'!$F$72*(C1367-sezione!$AP$32)*IF(ABS(O1367)&lt;'Sollecitazioni nel paramento'!$G$58,ABS(O1367)*'Sollecitazioni nel paramento'!$G$54,'Sollecitazioni nel paramento'!$G$53)</f>
        <v>217039537.26268956</v>
      </c>
      <c r="J1367" s="472">
        <f t="shared" si="93"/>
        <v>144200556.76196602</v>
      </c>
      <c r="K1367" s="550">
        <f>'Sollecitazioni nel paramento'!$G$60*(sezione!$AL$32-C1367)/C1367</f>
        <v>-1.4290382479376937E-3</v>
      </c>
      <c r="L1367" s="550">
        <f>'Sollecitazioni nel paramento'!$G$60*(sezione!$AM$32-C1367)/C1367</f>
        <v>-3.9355737190654045E-4</v>
      </c>
      <c r="M1367" s="551">
        <f>'Sollecitazioni nel paramento'!$G$60*(sezione!$AN$32-C1367)/C1367</f>
        <v>6.419235041246128E-4</v>
      </c>
      <c r="N1367" s="551">
        <f>'Sollecitazioni nel paramento'!$G$60*(sezione!$AO$32-C1367)/C1367</f>
        <v>4.7838470082492259E-3</v>
      </c>
      <c r="O1367" s="551">
        <f>'Sollecitazioni nel paramento'!$G$60*(sezione!$AP$32-C1367)/C1367</f>
        <v>2.2852115171014636E-2</v>
      </c>
      <c r="P1367" s="545">
        <f>-'Sollecitazioni nel paramento'!$G$47*'Sollecitazioni nel paramento'!$G$41*IF(DATI!$G$211="dx",DATI!$E$61,DATI!$E$64*DATI!$E$63)*1000*C1367*sezione!$AD$5</f>
        <v>-2575412.121778063</v>
      </c>
      <c r="Q1367" s="545">
        <f>'Foglio deposito bis'!$F$68*IF(ABS(K1367)&lt;'Sollecitazioni nel paramento'!$G$58,ABS(K1367)*'Sollecitazioni nel paramento'!$G$54,'Sollecitazioni nel paramento'!$G$53)*IF(K1367&lt;0,-1,1)</f>
        <v>0</v>
      </c>
      <c r="R1367" s="545">
        <f>'Foglio deposito bis'!$F$69*IF(ABS(L1367)&lt;'Sollecitazioni nel paramento'!$G$58,ABS(L1367)*'Sollecitazioni nel paramento'!$G$54,'Sollecitazioni nel paramento'!$G$53)*IF(L1367&lt;0,-1,1)</f>
        <v>-31837.221419953104</v>
      </c>
      <c r="S1367" s="545">
        <f>'Foglio deposito bis'!$F$70*IF(ABS(M1367)&lt;'Sollecitazioni nel paramento'!$G$58,ABS(M1367)*'Sollecitazioni nel paramento'!$G$54,'Sollecitazioni nel paramento'!$G$53)*IF(M1367&lt;0,-1,1)</f>
        <v>0</v>
      </c>
      <c r="T1367" s="545">
        <f>'Foglio deposito bis'!$F$71*IF(ABS(N1367)&lt;'Sollecitazioni nel paramento'!$G$58,ABS(N1367)*'Sollecitazioni nel paramento'!$G$54,'Sollecitazioni nel paramento'!$G$53)*IF(N1367&lt;0,-1,1)</f>
        <v>314705.62929873407</v>
      </c>
      <c r="U1367" s="545">
        <f>'Foglio deposito bis'!$F$72*IF(ABS(O1367)&lt;'Sollecitazioni nel paramento'!$G$58,ABS(O1367)*'Sollecitazioni nel paramento'!$G$54,'Sollecitazioni nel paramento'!$G$53)*IF(O1367&lt;0,-1,1)</f>
        <v>491727.54577927204</v>
      </c>
      <c r="V1367" s="472">
        <f t="shared" si="95"/>
        <v>-1800816.1681200103</v>
      </c>
      <c r="W1367" s="551"/>
      <c r="X1367" s="551"/>
    </row>
    <row r="1368" spans="1:24" x14ac:dyDescent="0.25">
      <c r="A1368" s="545">
        <f t="shared" si="94"/>
        <v>1862822.9079582426</v>
      </c>
      <c r="B1368" s="3">
        <f t="shared" si="97"/>
        <v>9.2999999999999883</v>
      </c>
      <c r="C1368" s="545">
        <f>'Foglio deposito bis'!$E$158/sezione!$B$247*B1368</f>
        <v>69.087187599888864</v>
      </c>
      <c r="D1368" s="603">
        <f>-'Sollecitazioni nel paramento'!$G$47*'Sollecitazioni nel paramento'!$G$41*IF(DATI!$G$211="dx",DATI!$E$61,DATI!$E$64*DATI!$E$63)*1000*C1368^2*sezione!$AD$5*(1-sezione!$AD$6)</f>
        <v>-106193675.51339369</v>
      </c>
      <c r="E1368" s="545">
        <f>-'Foglio deposito bis'!$F$68*(C1368-sezione!$AL$32)*IF(ABS(K1368)&lt;'Sollecitazioni nel paramento'!$G$58,ABS(K1368)*'Sollecitazioni nel paramento'!$G$54,'Sollecitazioni nel paramento'!$G$53)</f>
        <v>0</v>
      </c>
      <c r="F1368" s="545">
        <f>-'Foglio deposito bis'!$F$69*(C1368-sezione!$AM$32)*IF(ABS(L1368)&lt;'Sollecitazioni nel paramento'!$G$58,ABS(L1368)*'Sollecitazioni nel paramento'!$G$54,'Sollecitazioni nel paramento'!$G$53)</f>
        <v>-338420.47013301664</v>
      </c>
      <c r="G1368" s="545">
        <f>-'Foglio deposito bis'!$F$70*(C1368-sezione!$AN$32)*IF(ABS(M1368)&lt;'Sollecitazioni nel paramento'!$G$58,ABS(M1368)*'Sollecitazioni nel paramento'!$G$54,'Sollecitazioni nel paramento'!$G$53)</f>
        <v>0</v>
      </c>
      <c r="H1368" s="545">
        <f>-'Foglio deposito bis'!$F$71*(C1368-sezione!$AO$32)*IF(ABS(N1368)&lt;'Sollecitazioni nel paramento'!$G$58,ABS(N1368)*'Sollecitazioni nel paramento'!$G$54,'Sollecitazioni nel paramento'!$G$53)</f>
        <v>28610773.837694731</v>
      </c>
      <c r="I1368" s="472">
        <f>-'Foglio deposito bis'!$F$72*(C1368-sezione!$AP$32)*IF(ABS(O1368)&lt;'Sollecitazioni nel paramento'!$G$58,ABS(O1368)*'Sollecitazioni nel paramento'!$G$54,'Sollecitazioni nel paramento'!$G$53)</f>
        <v>216308955.04326406</v>
      </c>
      <c r="J1368" s="472">
        <f t="shared" si="93"/>
        <v>138387632.89743209</v>
      </c>
      <c r="K1368" s="550">
        <f>'Sollecitazioni nel paramento'!$G$60*(sezione!$AL$32-C1368)/C1368</f>
        <v>-1.4735750598100013E-3</v>
      </c>
      <c r="L1368" s="550">
        <f>'Sollecitazioni nel paramento'!$G$60*(sezione!$AM$32-C1368)/C1368</f>
        <v>-4.6036258971500217E-4</v>
      </c>
      <c r="M1368" s="551">
        <f>'Sollecitazioni nel paramento'!$G$60*(sezione!$AN$32-C1368)/C1368</f>
        <v>5.528498803799971E-4</v>
      </c>
      <c r="N1368" s="551">
        <f>'Sollecitazioni nel paramento'!$G$60*(sezione!$AO$32-C1368)/C1368</f>
        <v>4.6056997607599945E-3</v>
      </c>
      <c r="O1368" s="551">
        <f>'Sollecitazioni nel paramento'!$G$60*(sezione!$AP$32-C1368)/C1368</f>
        <v>2.2285403016799262E-2</v>
      </c>
      <c r="P1368" s="545">
        <f>-'Sollecitazioni nel paramento'!$G$47*'Sollecitazioni nel paramento'!$G$41*IF(DATI!$G$211="dx",DATI!$E$61,DATI!$E$64*DATI!$E$63)*1000*C1368*sezione!$AD$5</f>
        <v>-2632014.5859929658</v>
      </c>
      <c r="Q1368" s="545">
        <f>'Foglio deposito bis'!$F$68*IF(ABS(K1368)&lt;'Sollecitazioni nel paramento'!$G$58,ABS(K1368)*'Sollecitazioni nel paramento'!$G$54,'Sollecitazioni nel paramento'!$G$53)*IF(K1368&lt;0,-1,1)</f>
        <v>0</v>
      </c>
      <c r="R1368" s="545">
        <f>'Foglio deposito bis'!$F$69*IF(ABS(L1368)&lt;'Sollecitazioni nel paramento'!$G$58,ABS(L1368)*'Sollecitazioni nel paramento'!$G$54,'Sollecitazioni nel paramento'!$G$53)*IF(L1368&lt;0,-1,1)</f>
        <v>-37241.497043282732</v>
      </c>
      <c r="S1368" s="545">
        <f>'Foglio deposito bis'!$F$70*IF(ABS(M1368)&lt;'Sollecitazioni nel paramento'!$G$58,ABS(M1368)*'Sollecitazioni nel paramento'!$G$54,'Sollecitazioni nel paramento'!$G$53)*IF(M1368&lt;0,-1,1)</f>
        <v>0</v>
      </c>
      <c r="T1368" s="545">
        <f>'Foglio deposito bis'!$F$71*IF(ABS(N1368)&lt;'Sollecitazioni nel paramento'!$G$58,ABS(N1368)*'Sollecitazioni nel paramento'!$G$54,'Sollecitazioni nel paramento'!$G$53)*IF(N1368&lt;0,-1,1)</f>
        <v>314705.62929873407</v>
      </c>
      <c r="U1368" s="545">
        <f>'Foglio deposito bis'!$F$72*IF(ABS(O1368)&lt;'Sollecitazioni nel paramento'!$G$58,ABS(O1368)*'Sollecitazioni nel paramento'!$G$54,'Sollecitazioni nel paramento'!$G$53)*IF(O1368&lt;0,-1,1)</f>
        <v>491727.54577927204</v>
      </c>
      <c r="V1368" s="472">
        <f t="shared" si="95"/>
        <v>-1862822.9079582426</v>
      </c>
      <c r="W1368" s="551"/>
      <c r="X1368" s="551"/>
    </row>
    <row r="1369" spans="1:24" x14ac:dyDescent="0.25">
      <c r="A1369" s="545">
        <f t="shared" si="94"/>
        <v>1924602.099349176</v>
      </c>
      <c r="B1369" s="3">
        <f t="shared" si="97"/>
        <v>9.4999999999999876</v>
      </c>
      <c r="C1369" s="545">
        <f>'Foglio deposito bis'!$E$158/sezione!$B$247*B1369</f>
        <v>70.572933569778939</v>
      </c>
      <c r="D1369" s="603">
        <f>-'Sollecitazioni nel paramento'!$G$47*'Sollecitazioni nel paramento'!$G$41*IF(DATI!$G$211="dx",DATI!$E$61,DATI!$E$64*DATI!$E$63)*1000*C1369^2*sezione!$AD$5*(1-sezione!$AD$6)</f>
        <v>-110810258.00767462</v>
      </c>
      <c r="E1369" s="545">
        <f>-'Foglio deposito bis'!$F$68*(C1369-sezione!$AL$32)*IF(ABS(K1369)&lt;'Sollecitazioni nel paramento'!$G$58,ABS(K1369)*'Sollecitazioni nel paramento'!$G$54,'Sollecitazioni nel paramento'!$G$53)</f>
        <v>0</v>
      </c>
      <c r="F1369" s="545">
        <f>-'Foglio deposito bis'!$F$69*(C1369-sezione!$AM$32)*IF(ABS(L1369)&lt;'Sollecitazioni nel paramento'!$G$58,ABS(L1369)*'Sollecitazioni nel paramento'!$G$54,'Sollecitazioni nel paramento'!$G$53)</f>
        <v>-448485.0668187975</v>
      </c>
      <c r="G1369" s="545">
        <f>-'Foglio deposito bis'!$F$70*(C1369-sezione!$AN$32)*IF(ABS(M1369)&lt;'Sollecitazioni nel paramento'!$G$58,ABS(M1369)*'Sollecitazioni nel paramento'!$G$54,'Sollecitazioni nel paramento'!$G$53)</f>
        <v>0</v>
      </c>
      <c r="H1369" s="545">
        <f>-'Foglio deposito bis'!$F$71*(C1369-sezione!$AO$32)*IF(ABS(N1369)&lt;'Sollecitazioni nel paramento'!$G$58,ABS(N1369)*'Sollecitazioni nel paramento'!$G$54,'Sollecitazioni nel paramento'!$G$53)</f>
        <v>28143201.217262417</v>
      </c>
      <c r="I1369" s="472">
        <f>-'Foglio deposito bis'!$F$72*(C1369-sezione!$AP$32)*IF(ABS(O1369)&lt;'Sollecitazioni nel paramento'!$G$58,ABS(O1369)*'Sollecitazioni nel paramento'!$G$54,'Sollecitazioni nel paramento'!$G$53)</f>
        <v>215578372.82383862</v>
      </c>
      <c r="J1369" s="472">
        <f t="shared" si="93"/>
        <v>132462830.96660762</v>
      </c>
      <c r="K1369" s="550">
        <f>'Sollecitazioni nel paramento'!$G$60*(sezione!$AL$32-C1369)/C1369</f>
        <v>-1.5162366374982118E-3</v>
      </c>
      <c r="L1369" s="550">
        <f>'Sollecitazioni nel paramento'!$G$60*(sezione!$AM$32-C1369)/C1369</f>
        <v>-5.2435495624731754E-4</v>
      </c>
      <c r="M1369" s="551">
        <f>'Sollecitazioni nel paramento'!$G$60*(sezione!$AN$32-C1369)/C1369</f>
        <v>4.6752672500357655E-4</v>
      </c>
      <c r="N1369" s="551">
        <f>'Sollecitazioni nel paramento'!$G$60*(sezione!$AO$32-C1369)/C1369</f>
        <v>4.4350534500071526E-3</v>
      </c>
      <c r="O1369" s="551">
        <f>'Sollecitazioni nel paramento'!$G$60*(sezione!$AP$32-C1369)/C1369</f>
        <v>2.1742552426971914E-2</v>
      </c>
      <c r="P1369" s="545">
        <f>-'Sollecitazioni nel paramento'!$G$47*'Sollecitazioni nel paramento'!$G$41*IF(DATI!$G$211="dx",DATI!$E$61,DATI!$E$64*DATI!$E$63)*1000*C1369*sezione!$AD$5</f>
        <v>-2688617.0502078678</v>
      </c>
      <c r="Q1369" s="545">
        <f>'Foglio deposito bis'!$F$68*IF(ABS(K1369)&lt;'Sollecitazioni nel paramento'!$G$58,ABS(K1369)*'Sollecitazioni nel paramento'!$G$54,'Sollecitazioni nel paramento'!$G$53)*IF(K1369&lt;0,-1,1)</f>
        <v>0</v>
      </c>
      <c r="R1369" s="545">
        <f>'Foglio deposito bis'!$F$69*IF(ABS(L1369)&lt;'Sollecitazioni nel paramento'!$G$58,ABS(L1369)*'Sollecitazioni nel paramento'!$G$54,'Sollecitazioni nel paramento'!$G$53)*IF(L1369&lt;0,-1,1)</f>
        <v>-42418.22421931423</v>
      </c>
      <c r="S1369" s="545">
        <f>'Foglio deposito bis'!$F$70*IF(ABS(M1369)&lt;'Sollecitazioni nel paramento'!$G$58,ABS(M1369)*'Sollecitazioni nel paramento'!$G$54,'Sollecitazioni nel paramento'!$G$53)*IF(M1369&lt;0,-1,1)</f>
        <v>0</v>
      </c>
      <c r="T1369" s="545">
        <f>'Foglio deposito bis'!$F$71*IF(ABS(N1369)&lt;'Sollecitazioni nel paramento'!$G$58,ABS(N1369)*'Sollecitazioni nel paramento'!$G$54,'Sollecitazioni nel paramento'!$G$53)*IF(N1369&lt;0,-1,1)</f>
        <v>314705.62929873407</v>
      </c>
      <c r="U1369" s="545">
        <f>'Foglio deposito bis'!$F$72*IF(ABS(O1369)&lt;'Sollecitazioni nel paramento'!$G$58,ABS(O1369)*'Sollecitazioni nel paramento'!$G$54,'Sollecitazioni nel paramento'!$G$53)*IF(O1369&lt;0,-1,1)</f>
        <v>491727.54577927204</v>
      </c>
      <c r="V1369" s="472">
        <f t="shared" si="95"/>
        <v>-1924602.099349176</v>
      </c>
      <c r="W1369" s="551"/>
      <c r="X1369" s="551"/>
    </row>
    <row r="1370" spans="1:24" x14ac:dyDescent="0.25">
      <c r="A1370" s="545">
        <f t="shared" si="94"/>
        <v>1986167.8174545001</v>
      </c>
      <c r="B1370" s="3">
        <f t="shared" si="97"/>
        <v>9.6999999999999869</v>
      </c>
      <c r="C1370" s="545">
        <f>'Foglio deposito bis'!$E$158/sezione!$B$247*B1370</f>
        <v>72.058679539669015</v>
      </c>
      <c r="D1370" s="603">
        <f>-'Sollecitazioni nel paramento'!$G$47*'Sollecitazioni nel paramento'!$G$41*IF(DATI!$G$211="dx",DATI!$E$61,DATI!$E$64*DATI!$E$63)*1000*C1370^2*sezione!$AD$5*(1-sezione!$AD$6)</f>
        <v>-115525065.66140833</v>
      </c>
      <c r="E1370" s="545">
        <f>-'Foglio deposito bis'!$F$68*(C1370-sezione!$AL$32)*IF(ABS(K1370)&lt;'Sollecitazioni nel paramento'!$G$58,ABS(K1370)*'Sollecitazioni nel paramento'!$G$54,'Sollecitazioni nel paramento'!$G$53)</f>
        <v>0</v>
      </c>
      <c r="F1370" s="545">
        <f>-'Foglio deposito bis'!$F$69*(C1370-sezione!$AM$32)*IF(ABS(L1370)&lt;'Sollecitazioni nel paramento'!$G$58,ABS(L1370)*'Sollecitazioni nel paramento'!$G$54,'Sollecitazioni nel paramento'!$G$53)</f>
        <v>-571358.06064115104</v>
      </c>
      <c r="G1370" s="545">
        <f>-'Foglio deposito bis'!$F$70*(C1370-sezione!$AN$32)*IF(ABS(M1370)&lt;'Sollecitazioni nel paramento'!$G$58,ABS(M1370)*'Sollecitazioni nel paramento'!$G$54,'Sollecitazioni nel paramento'!$G$53)</f>
        <v>0</v>
      </c>
      <c r="H1370" s="545">
        <f>-'Foglio deposito bis'!$F$71*(C1370-sezione!$AO$32)*IF(ABS(N1370)&lt;'Sollecitazioni nel paramento'!$G$58,ABS(N1370)*'Sollecitazioni nel paramento'!$G$54,'Sollecitazioni nel paramento'!$G$53)</f>
        <v>27675628.596830104</v>
      </c>
      <c r="I1370" s="472">
        <f>-'Foglio deposito bis'!$F$72*(C1370-sezione!$AP$32)*IF(ABS(O1370)&lt;'Sollecitazioni nel paramento'!$G$58,ABS(O1370)*'Sollecitazioni nel paramento'!$G$54,'Sollecitazioni nel paramento'!$G$53)</f>
        <v>214847790.60441312</v>
      </c>
      <c r="J1370" s="472">
        <f t="shared" si="93"/>
        <v>126426995.47919373</v>
      </c>
      <c r="K1370" s="550">
        <f>'Sollecitazioni nel paramento'!$G$60*(sezione!$AL$32-C1370)/C1370</f>
        <v>-1.5571389748693825E-3</v>
      </c>
      <c r="L1370" s="550">
        <f>'Sollecitazioni nel paramento'!$G$60*(sezione!$AM$32-C1370)/C1370</f>
        <v>-5.857084623040736E-4</v>
      </c>
      <c r="M1370" s="551">
        <f>'Sollecitazioni nel paramento'!$G$60*(sezione!$AN$32-C1370)/C1370</f>
        <v>3.8572205026123513E-4</v>
      </c>
      <c r="N1370" s="551">
        <f>'Sollecitazioni nel paramento'!$G$60*(sezione!$AO$32-C1370)/C1370</f>
        <v>4.2714441005224707E-3</v>
      </c>
      <c r="O1370" s="551">
        <f>'Sollecitazioni nel paramento'!$G$60*(sezione!$AP$32-C1370)/C1370</f>
        <v>2.122208742847765E-2</v>
      </c>
      <c r="P1370" s="545">
        <f>-'Sollecitazioni nel paramento'!$G$47*'Sollecitazioni nel paramento'!$G$41*IF(DATI!$G$211="dx",DATI!$E$61,DATI!$E$64*DATI!$E$63)*1000*C1370*sezione!$AD$5</f>
        <v>-2745219.5144227701</v>
      </c>
      <c r="Q1370" s="545">
        <f>'Foglio deposito bis'!$F$68*IF(ABS(K1370)&lt;'Sollecitazioni nel paramento'!$G$58,ABS(K1370)*'Sollecitazioni nel paramento'!$G$54,'Sollecitazioni nel paramento'!$G$53)*IF(K1370&lt;0,-1,1)</f>
        <v>0</v>
      </c>
      <c r="R1370" s="545">
        <f>'Foglio deposito bis'!$F$69*IF(ABS(L1370)&lt;'Sollecitazioni nel paramento'!$G$58,ABS(L1370)*'Sollecitazioni nel paramento'!$G$54,'Sollecitazioni nel paramento'!$G$53)*IF(L1370&lt;0,-1,1)</f>
        <v>-47381.478109736185</v>
      </c>
      <c r="S1370" s="545">
        <f>'Foglio deposito bis'!$F$70*IF(ABS(M1370)&lt;'Sollecitazioni nel paramento'!$G$58,ABS(M1370)*'Sollecitazioni nel paramento'!$G$54,'Sollecitazioni nel paramento'!$G$53)*IF(M1370&lt;0,-1,1)</f>
        <v>0</v>
      </c>
      <c r="T1370" s="545">
        <f>'Foglio deposito bis'!$F$71*IF(ABS(N1370)&lt;'Sollecitazioni nel paramento'!$G$58,ABS(N1370)*'Sollecitazioni nel paramento'!$G$54,'Sollecitazioni nel paramento'!$G$53)*IF(N1370&lt;0,-1,1)</f>
        <v>314705.62929873407</v>
      </c>
      <c r="U1370" s="545">
        <f>'Foglio deposito bis'!$F$72*IF(ABS(O1370)&lt;'Sollecitazioni nel paramento'!$G$58,ABS(O1370)*'Sollecitazioni nel paramento'!$G$54,'Sollecitazioni nel paramento'!$G$53)*IF(O1370&lt;0,-1,1)</f>
        <v>491727.54577927204</v>
      </c>
      <c r="V1370" s="472">
        <f t="shared" si="95"/>
        <v>-1986167.8174545001</v>
      </c>
      <c r="W1370" s="551"/>
      <c r="X1370" s="551"/>
    </row>
    <row r="1371" spans="1:24" x14ac:dyDescent="0.25">
      <c r="A1371" s="545">
        <f t="shared" si="94"/>
        <v>2047533.0000491007</v>
      </c>
      <c r="B1371" s="3">
        <f t="shared" si="97"/>
        <v>9.8999999999999861</v>
      </c>
      <c r="C1371" s="545">
        <f>'Foglio deposito bis'!$E$158/sezione!$B$247*B1371</f>
        <v>73.544425509559105</v>
      </c>
      <c r="D1371" s="603">
        <f>-'Sollecitazioni nel paramento'!$G$47*'Sollecitazioni nel paramento'!$G$41*IF(DATI!$G$211="dx",DATI!$E$61,DATI!$E$64*DATI!$E$63)*1000*C1371^2*sezione!$AD$5*(1-sezione!$AD$6)</f>
        <v>-120338098.47459488</v>
      </c>
      <c r="E1371" s="545">
        <f>-'Foglio deposito bis'!$F$68*(C1371-sezione!$AL$32)*IF(ABS(K1371)&lt;'Sollecitazioni nel paramento'!$G$58,ABS(K1371)*'Sollecitazioni nel paramento'!$G$54,'Sollecitazioni nel paramento'!$G$53)</f>
        <v>0</v>
      </c>
      <c r="F1371" s="545">
        <f>-'Foglio deposito bis'!$F$69*(C1371-sezione!$AM$32)*IF(ABS(L1371)&lt;'Sollecitazioni nel paramento'!$G$58,ABS(L1371)*'Sollecitazioni nel paramento'!$G$54,'Sollecitazioni nel paramento'!$G$53)</f>
        <v>-706263.18510695302</v>
      </c>
      <c r="G1371" s="545">
        <f>-'Foglio deposito bis'!$F$70*(C1371-sezione!$AN$32)*IF(ABS(M1371)&lt;'Sollecitazioni nel paramento'!$G$58,ABS(M1371)*'Sollecitazioni nel paramento'!$G$54,'Sollecitazioni nel paramento'!$G$53)</f>
        <v>0</v>
      </c>
      <c r="H1371" s="545">
        <f>-'Foglio deposito bis'!$F$71*(C1371-sezione!$AO$32)*IF(ABS(N1371)&lt;'Sollecitazioni nel paramento'!$G$58,ABS(N1371)*'Sollecitazioni nel paramento'!$G$54,'Sollecitazioni nel paramento'!$G$53)</f>
        <v>27208055.976397786</v>
      </c>
      <c r="I1371" s="472">
        <f>-'Foglio deposito bis'!$F$72*(C1371-sezione!$AP$32)*IF(ABS(O1371)&lt;'Sollecitazioni nel paramento'!$G$58,ABS(O1371)*'Sollecitazioni nel paramento'!$G$54,'Sollecitazioni nel paramento'!$G$53)</f>
        <v>214117208.38498759</v>
      </c>
      <c r="J1371" s="472">
        <f t="shared" si="93"/>
        <v>120280902.70168355</v>
      </c>
      <c r="K1371" s="550">
        <f>'Sollecitazioni nel paramento'!$G$60*(sezione!$AL$32-C1371)/C1371</f>
        <v>-1.5963886925487892E-3</v>
      </c>
      <c r="L1371" s="550">
        <f>'Sollecitazioni nel paramento'!$G$60*(sezione!$AM$32-C1371)/C1371</f>
        <v>-6.445830388231835E-4</v>
      </c>
      <c r="M1371" s="551">
        <f>'Sollecitazioni nel paramento'!$G$60*(sezione!$AN$32-C1371)/C1371</f>
        <v>3.0722261490242196E-4</v>
      </c>
      <c r="N1371" s="551">
        <f>'Sollecitazioni nel paramento'!$G$60*(sezione!$AO$32-C1371)/C1371</f>
        <v>4.114445229804844E-3</v>
      </c>
      <c r="O1371" s="551">
        <f>'Sollecitazioni nel paramento'!$G$60*(sezione!$AP$32-C1371)/C1371</f>
        <v>2.0722651318811434E-2</v>
      </c>
      <c r="P1371" s="545">
        <f>-'Sollecitazioni nel paramento'!$G$47*'Sollecitazioni nel paramento'!$G$41*IF(DATI!$G$211="dx",DATI!$E$61,DATI!$E$64*DATI!$E$63)*1000*C1371*sezione!$AD$5</f>
        <v>-2801821.9786376725</v>
      </c>
      <c r="Q1371" s="545">
        <f>'Foglio deposito bis'!$F$68*IF(ABS(K1371)&lt;'Sollecitazioni nel paramento'!$G$58,ABS(K1371)*'Sollecitazioni nel paramento'!$G$54,'Sollecitazioni nel paramento'!$G$53)*IF(K1371&lt;0,-1,1)</f>
        <v>0</v>
      </c>
      <c r="R1371" s="545">
        <f>'Foglio deposito bis'!$F$69*IF(ABS(L1371)&lt;'Sollecitazioni nel paramento'!$G$58,ABS(L1371)*'Sollecitazioni nel paramento'!$G$54,'Sollecitazioni nel paramento'!$G$53)*IF(L1371&lt;0,-1,1)</f>
        <v>-52144.196489434064</v>
      </c>
      <c r="S1371" s="545">
        <f>'Foglio deposito bis'!$F$70*IF(ABS(M1371)&lt;'Sollecitazioni nel paramento'!$G$58,ABS(M1371)*'Sollecitazioni nel paramento'!$G$54,'Sollecitazioni nel paramento'!$G$53)*IF(M1371&lt;0,-1,1)</f>
        <v>0</v>
      </c>
      <c r="T1371" s="545">
        <f>'Foglio deposito bis'!$F$71*IF(ABS(N1371)&lt;'Sollecitazioni nel paramento'!$G$58,ABS(N1371)*'Sollecitazioni nel paramento'!$G$54,'Sollecitazioni nel paramento'!$G$53)*IF(N1371&lt;0,-1,1)</f>
        <v>314705.62929873407</v>
      </c>
      <c r="U1371" s="545">
        <f>'Foglio deposito bis'!$F$72*IF(ABS(O1371)&lt;'Sollecitazioni nel paramento'!$G$58,ABS(O1371)*'Sollecitazioni nel paramento'!$G$54,'Sollecitazioni nel paramento'!$G$53)*IF(O1371&lt;0,-1,1)</f>
        <v>491727.54577927204</v>
      </c>
      <c r="V1371" s="472">
        <f t="shared" si="95"/>
        <v>-2047533.0000491007</v>
      </c>
      <c r="W1371" s="551"/>
      <c r="X1371" s="551"/>
    </row>
    <row r="1372" spans="1:24" x14ac:dyDescent="0.25">
      <c r="A1372" s="545">
        <f t="shared" si="94"/>
        <v>2108709.5601336136</v>
      </c>
      <c r="B1372" s="3">
        <f t="shared" si="97"/>
        <v>10.099999999999985</v>
      </c>
      <c r="C1372" s="545">
        <f>'Foglio deposito bis'!$E$158/sezione!$B$247*B1372</f>
        <v>75.03017147944918</v>
      </c>
      <c r="D1372" s="603">
        <f>-'Sollecitazioni nel paramento'!$G$47*'Sollecitazioni nel paramento'!$G$41*IF(DATI!$G$211="dx",DATI!$E$61,DATI!$E$64*DATI!$E$63)*1000*C1372^2*sezione!$AD$5*(1-sezione!$AD$6)</f>
        <v>-125249356.44723418</v>
      </c>
      <c r="E1372" s="545">
        <f>-'Foglio deposito bis'!$F$68*(C1372-sezione!$AL$32)*IF(ABS(K1372)&lt;'Sollecitazioni nel paramento'!$G$58,ABS(K1372)*'Sollecitazioni nel paramento'!$G$54,'Sollecitazioni nel paramento'!$G$53)</f>
        <v>0</v>
      </c>
      <c r="F1372" s="545">
        <f>-'Foglio deposito bis'!$F$69*(C1372-sezione!$AM$32)*IF(ABS(L1372)&lt;'Sollecitazioni nel paramento'!$G$58,ABS(L1372)*'Sollecitazioni nel paramento'!$G$54,'Sollecitazioni nel paramento'!$G$53)</f>
        <v>-852485.66017797636</v>
      </c>
      <c r="G1372" s="545">
        <f>-'Foglio deposito bis'!$F$70*(C1372-sezione!$AN$32)*IF(ABS(M1372)&lt;'Sollecitazioni nel paramento'!$G$58,ABS(M1372)*'Sollecitazioni nel paramento'!$G$54,'Sollecitazioni nel paramento'!$G$53)</f>
        <v>0</v>
      </c>
      <c r="H1372" s="545">
        <f>-'Foglio deposito bis'!$F$71*(C1372-sezione!$AO$32)*IF(ABS(N1372)&lt;'Sollecitazioni nel paramento'!$G$58,ABS(N1372)*'Sollecitazioni nel paramento'!$G$54,'Sollecitazioni nel paramento'!$G$53)</f>
        <v>26740483.355965469</v>
      </c>
      <c r="I1372" s="472">
        <f>-'Foglio deposito bis'!$F$72*(C1372-sezione!$AP$32)*IF(ABS(O1372)&lt;'Sollecitazioni nel paramento'!$G$58,ABS(O1372)*'Sollecitazioni nel paramento'!$G$54,'Sollecitazioni nel paramento'!$G$53)</f>
        <v>213386626.16556209</v>
      </c>
      <c r="J1372" s="472">
        <f t="shared" si="93"/>
        <v>114025267.4141154</v>
      </c>
      <c r="K1372" s="550">
        <f>'Sollecitazioni nel paramento'!$G$60*(sezione!$AL$32-C1372)/C1372</f>
        <v>-1.6340839659636645E-3</v>
      </c>
      <c r="L1372" s="550">
        <f>'Sollecitazioni nel paramento'!$G$60*(sezione!$AM$32-C1372)/C1372</f>
        <v>-7.0112594894549643E-4</v>
      </c>
      <c r="M1372" s="551">
        <f>'Sollecitazioni nel paramento'!$G$60*(sezione!$AN$32-C1372)/C1372</f>
        <v>2.318320680726714E-4</v>
      </c>
      <c r="N1372" s="551">
        <f>'Sollecitazioni nel paramento'!$G$60*(sezione!$AO$32-C1372)/C1372</f>
        <v>3.9636641361453428E-3</v>
      </c>
      <c r="O1372" s="551">
        <f>'Sollecitazioni nel paramento'!$G$60*(sezione!$AP$32-C1372)/C1372</f>
        <v>2.0242994857052794E-2</v>
      </c>
      <c r="P1372" s="545">
        <f>-'Sollecitazioni nel paramento'!$G$47*'Sollecitazioni nel paramento'!$G$41*IF(DATI!$G$211="dx",DATI!$E$61,DATI!$E$64*DATI!$E$63)*1000*C1372*sezione!$AD$5</f>
        <v>-2858424.4428525749</v>
      </c>
      <c r="Q1372" s="545">
        <f>'Foglio deposito bis'!$F$68*IF(ABS(K1372)&lt;'Sollecitazioni nel paramento'!$G$58,ABS(K1372)*'Sollecitazioni nel paramento'!$G$54,'Sollecitazioni nel paramento'!$G$53)*IF(K1372&lt;0,-1,1)</f>
        <v>0</v>
      </c>
      <c r="R1372" s="545">
        <f>'Foglio deposito bis'!$F$69*IF(ABS(L1372)&lt;'Sollecitazioni nel paramento'!$G$58,ABS(L1372)*'Sollecitazioni nel paramento'!$G$54,'Sollecitazioni nel paramento'!$G$53)*IF(L1372&lt;0,-1,1)</f>
        <v>-56718.292359044855</v>
      </c>
      <c r="S1372" s="545">
        <f>'Foglio deposito bis'!$F$70*IF(ABS(M1372)&lt;'Sollecitazioni nel paramento'!$G$58,ABS(M1372)*'Sollecitazioni nel paramento'!$G$54,'Sollecitazioni nel paramento'!$G$53)*IF(M1372&lt;0,-1,1)</f>
        <v>0</v>
      </c>
      <c r="T1372" s="545">
        <f>'Foglio deposito bis'!$F$71*IF(ABS(N1372)&lt;'Sollecitazioni nel paramento'!$G$58,ABS(N1372)*'Sollecitazioni nel paramento'!$G$54,'Sollecitazioni nel paramento'!$G$53)*IF(N1372&lt;0,-1,1)</f>
        <v>314705.62929873407</v>
      </c>
      <c r="U1372" s="545">
        <f>'Foglio deposito bis'!$F$72*IF(ABS(O1372)&lt;'Sollecitazioni nel paramento'!$G$58,ABS(O1372)*'Sollecitazioni nel paramento'!$G$54,'Sollecitazioni nel paramento'!$G$53)*IF(O1372&lt;0,-1,1)</f>
        <v>491727.54577927204</v>
      </c>
      <c r="V1372" s="472">
        <f t="shared" si="95"/>
        <v>-2108709.5601336136</v>
      </c>
      <c r="W1372" s="551"/>
      <c r="X1372" s="551"/>
    </row>
    <row r="1373" spans="1:24" x14ac:dyDescent="0.25">
      <c r="A1373" s="545">
        <f t="shared" si="94"/>
        <v>2169708.4854270741</v>
      </c>
      <c r="B1373" s="3">
        <f t="shared" si="97"/>
        <v>10.299999999999985</v>
      </c>
      <c r="C1373" s="545">
        <f>'Foglio deposito bis'!$E$158/sezione!$B$247*B1373</f>
        <v>76.515917449339256</v>
      </c>
      <c r="D1373" s="603">
        <f>-'Sollecitazioni nel paramento'!$G$47*'Sollecitazioni nel paramento'!$G$41*IF(DATI!$G$211="dx",DATI!$E$61,DATI!$E$64*DATI!$E$63)*1000*C1373^2*sezione!$AD$5*(1-sezione!$AD$6)</f>
        <v>-130258839.57932624</v>
      </c>
      <c r="E1373" s="545">
        <f>-'Foglio deposito bis'!$F$68*(C1373-sezione!$AL$32)*IF(ABS(K1373)&lt;'Sollecitazioni nel paramento'!$G$58,ABS(K1373)*'Sollecitazioni nel paramento'!$G$54,'Sollecitazioni nel paramento'!$G$53)</f>
        <v>0</v>
      </c>
      <c r="F1373" s="545">
        <f>-'Foglio deposito bis'!$F$69*(C1373-sezione!$AM$32)*IF(ABS(L1373)&lt;'Sollecitazioni nel paramento'!$G$58,ABS(L1373)*'Sollecitazioni nel paramento'!$G$54,'Sollecitazioni nel paramento'!$G$53)</f>
        <v>-1009366.2227121704</v>
      </c>
      <c r="G1373" s="545">
        <f>-'Foglio deposito bis'!$F$70*(C1373-sezione!$AN$32)*IF(ABS(M1373)&lt;'Sollecitazioni nel paramento'!$G$58,ABS(M1373)*'Sollecitazioni nel paramento'!$G$54,'Sollecitazioni nel paramento'!$G$53)</f>
        <v>0</v>
      </c>
      <c r="H1373" s="545">
        <f>-'Foglio deposito bis'!$F$71*(C1373-sezione!$AO$32)*IF(ABS(N1373)&lt;'Sollecitazioni nel paramento'!$G$58,ABS(N1373)*'Sollecitazioni nel paramento'!$G$54,'Sollecitazioni nel paramento'!$G$53)</f>
        <v>26272910.735533156</v>
      </c>
      <c r="I1373" s="472">
        <f>-'Foglio deposito bis'!$F$72*(C1373-sezione!$AP$32)*IF(ABS(O1373)&lt;'Sollecitazioni nel paramento'!$G$58,ABS(O1373)*'Sollecitazioni nel paramento'!$G$54,'Sollecitazioni nel paramento'!$G$53)</f>
        <v>212656043.94613659</v>
      </c>
      <c r="J1373" s="472">
        <f t="shared" ref="J1373:J1436" si="98">D1373+E1373+F1373+G1373+H1373+I1373</f>
        <v>107660748.87963134</v>
      </c>
      <c r="K1373" s="550">
        <f>'Sollecitazioni nel paramento'!$G$60*(sezione!$AL$32-C1373)/C1373</f>
        <v>-1.6703153452653405E-3</v>
      </c>
      <c r="L1373" s="550">
        <f>'Sollecitazioni nel paramento'!$G$60*(sezione!$AM$32-C1373)/C1373</f>
        <v>-7.5547301789801087E-4</v>
      </c>
      <c r="M1373" s="551">
        <f>'Sollecitazioni nel paramento'!$G$60*(sezione!$AN$32-C1373)/C1373</f>
        <v>1.593693094693189E-4</v>
      </c>
      <c r="N1373" s="551">
        <f>'Sollecitazioni nel paramento'!$G$60*(sezione!$AO$32-C1373)/C1373</f>
        <v>3.8187386189386377E-3</v>
      </c>
      <c r="O1373" s="551">
        <f>'Sollecitazioni nel paramento'!$G$60*(sezione!$AP$32-C1373)/C1373</f>
        <v>1.9781965830702256E-2</v>
      </c>
      <c r="P1373" s="545">
        <f>-'Sollecitazioni nel paramento'!$G$47*'Sollecitazioni nel paramento'!$G$41*IF(DATI!$G$211="dx",DATI!$E$61,DATI!$E$64*DATI!$E$63)*1000*C1373*sezione!$AD$5</f>
        <v>-2915026.9070674772</v>
      </c>
      <c r="Q1373" s="545">
        <f>'Foglio deposito bis'!$F$68*IF(ABS(K1373)&lt;'Sollecitazioni nel paramento'!$G$58,ABS(K1373)*'Sollecitazioni nel paramento'!$G$54,'Sollecitazioni nel paramento'!$G$53)*IF(K1373&lt;0,-1,1)</f>
        <v>0</v>
      </c>
      <c r="R1373" s="545">
        <f>'Foglio deposito bis'!$F$69*IF(ABS(L1373)&lt;'Sollecitazioni nel paramento'!$G$58,ABS(L1373)*'Sollecitazioni nel paramento'!$G$54,'Sollecitazioni nel paramento'!$G$53)*IF(L1373&lt;0,-1,1)</f>
        <v>-61114.753437602805</v>
      </c>
      <c r="S1373" s="545">
        <f>'Foglio deposito bis'!$F$70*IF(ABS(M1373)&lt;'Sollecitazioni nel paramento'!$G$58,ABS(M1373)*'Sollecitazioni nel paramento'!$G$54,'Sollecitazioni nel paramento'!$G$53)*IF(M1373&lt;0,-1,1)</f>
        <v>0</v>
      </c>
      <c r="T1373" s="545">
        <f>'Foglio deposito bis'!$F$71*IF(ABS(N1373)&lt;'Sollecitazioni nel paramento'!$G$58,ABS(N1373)*'Sollecitazioni nel paramento'!$G$54,'Sollecitazioni nel paramento'!$G$53)*IF(N1373&lt;0,-1,1)</f>
        <v>314705.62929873407</v>
      </c>
      <c r="U1373" s="545">
        <f>'Foglio deposito bis'!$F$72*IF(ABS(O1373)&lt;'Sollecitazioni nel paramento'!$G$58,ABS(O1373)*'Sollecitazioni nel paramento'!$G$54,'Sollecitazioni nel paramento'!$G$53)*IF(O1373&lt;0,-1,1)</f>
        <v>491727.54577927204</v>
      </c>
      <c r="V1373" s="472">
        <f t="shared" si="95"/>
        <v>-2169708.4854270741</v>
      </c>
      <c r="W1373" s="551"/>
      <c r="X1373" s="551"/>
    </row>
    <row r="1374" spans="1:24" x14ac:dyDescent="0.25">
      <c r="A1374" s="545">
        <f t="shared" ref="A1374:A1437" si="99">ABS(V1374)</f>
        <v>2230539.9264889699</v>
      </c>
      <c r="B1374" s="3">
        <f t="shared" si="97"/>
        <v>10.499999999999984</v>
      </c>
      <c r="C1374" s="545">
        <f>'Foglio deposito bis'!$E$158/sezione!$B$247*B1374</f>
        <v>78.001663419229331</v>
      </c>
      <c r="D1374" s="603">
        <f>-'Sollecitazioni nel paramento'!$G$47*'Sollecitazioni nel paramento'!$G$41*IF(DATI!$G$211="dx",DATI!$E$61,DATI!$E$64*DATI!$E$63)*1000*C1374^2*sezione!$AD$5*(1-sezione!$AD$6)</f>
        <v>-135366547.87087113</v>
      </c>
      <c r="E1374" s="545">
        <f>-'Foglio deposito bis'!$F$68*(C1374-sezione!$AL$32)*IF(ABS(K1374)&lt;'Sollecitazioni nel paramento'!$G$58,ABS(K1374)*'Sollecitazioni nel paramento'!$G$54,'Sollecitazioni nel paramento'!$G$53)</f>
        <v>0</v>
      </c>
      <c r="F1374" s="545">
        <f>-'Foglio deposito bis'!$F$69*(C1374-sezione!$AM$32)*IF(ABS(L1374)&lt;'Sollecitazioni nel paramento'!$G$58,ABS(L1374)*'Sollecitazioni nel paramento'!$G$54,'Sollecitazioni nel paramento'!$G$53)</f>
        <v>-1176295.839140211</v>
      </c>
      <c r="G1374" s="545">
        <f>-'Foglio deposito bis'!$F$70*(C1374-sezione!$AN$32)*IF(ABS(M1374)&lt;'Sollecitazioni nel paramento'!$G$58,ABS(M1374)*'Sollecitazioni nel paramento'!$G$54,'Sollecitazioni nel paramento'!$G$53)</f>
        <v>0</v>
      </c>
      <c r="H1374" s="545">
        <f>-'Foglio deposito bis'!$F$71*(C1374-sezione!$AO$32)*IF(ABS(N1374)&lt;'Sollecitazioni nel paramento'!$G$58,ABS(N1374)*'Sollecitazioni nel paramento'!$G$54,'Sollecitazioni nel paramento'!$G$53)</f>
        <v>25805338.115100842</v>
      </c>
      <c r="I1374" s="472">
        <f>-'Foglio deposito bis'!$F$72*(C1374-sezione!$AP$32)*IF(ABS(O1374)&lt;'Sollecitazioni nel paramento'!$G$58,ABS(O1374)*'Sollecitazioni nel paramento'!$G$54,'Sollecitazioni nel paramento'!$G$53)</f>
        <v>211925461.72671115</v>
      </c>
      <c r="J1374" s="472">
        <f t="shared" si="98"/>
        <v>101187956.13180067</v>
      </c>
      <c r="K1374" s="550">
        <f>'Sollecitazioni nel paramento'!$G$60*(sezione!$AL$32-C1374)/C1374</f>
        <v>-1.7051664815460005E-3</v>
      </c>
      <c r="L1374" s="550">
        <f>'Sollecitazioni nel paramento'!$G$60*(sezione!$AM$32-C1374)/C1374</f>
        <v>-8.077497223190008E-4</v>
      </c>
      <c r="M1374" s="551">
        <f>'Sollecitazioni nel paramento'!$G$60*(sezione!$AN$32-C1374)/C1374</f>
        <v>8.9667036907998868E-5</v>
      </c>
      <c r="N1374" s="551">
        <f>'Sollecitazioni nel paramento'!$G$60*(sezione!$AO$32-C1374)/C1374</f>
        <v>3.6793340738159978E-3</v>
      </c>
      <c r="O1374" s="551">
        <f>'Sollecitazioni nel paramento'!$G$60*(sezione!$AP$32-C1374)/C1374</f>
        <v>1.933849981487936E-2</v>
      </c>
      <c r="P1374" s="545">
        <f>-'Sollecitazioni nel paramento'!$G$47*'Sollecitazioni nel paramento'!$G$41*IF(DATI!$G$211="dx",DATI!$E$61,DATI!$E$64*DATI!$E$63)*1000*C1374*sezione!$AD$5</f>
        <v>-2971629.3712823791</v>
      </c>
      <c r="Q1374" s="545">
        <f>'Foglio deposito bis'!$F$68*IF(ABS(K1374)&lt;'Sollecitazioni nel paramento'!$G$58,ABS(K1374)*'Sollecitazioni nel paramento'!$G$54,'Sollecitazioni nel paramento'!$G$53)*IF(K1374&lt;0,-1,1)</f>
        <v>0</v>
      </c>
      <c r="R1374" s="545">
        <f>'Foglio deposito bis'!$F$69*IF(ABS(L1374)&lt;'Sollecitazioni nel paramento'!$G$58,ABS(L1374)*'Sollecitazioni nel paramento'!$G$54,'Sollecitazioni nel paramento'!$G$53)*IF(L1374&lt;0,-1,1)</f>
        <v>-65343.730284596633</v>
      </c>
      <c r="S1374" s="545">
        <f>'Foglio deposito bis'!$F$70*IF(ABS(M1374)&lt;'Sollecitazioni nel paramento'!$G$58,ABS(M1374)*'Sollecitazioni nel paramento'!$G$54,'Sollecitazioni nel paramento'!$G$53)*IF(M1374&lt;0,-1,1)</f>
        <v>0</v>
      </c>
      <c r="T1374" s="545">
        <f>'Foglio deposito bis'!$F$71*IF(ABS(N1374)&lt;'Sollecitazioni nel paramento'!$G$58,ABS(N1374)*'Sollecitazioni nel paramento'!$G$54,'Sollecitazioni nel paramento'!$G$53)*IF(N1374&lt;0,-1,1)</f>
        <v>314705.62929873407</v>
      </c>
      <c r="U1374" s="545">
        <f>'Foglio deposito bis'!$F$72*IF(ABS(O1374)&lt;'Sollecitazioni nel paramento'!$G$58,ABS(O1374)*'Sollecitazioni nel paramento'!$G$54,'Sollecitazioni nel paramento'!$G$53)*IF(O1374&lt;0,-1,1)</f>
        <v>491727.54577927204</v>
      </c>
      <c r="V1374" s="472">
        <f t="shared" ref="V1374:V1437" si="100">P1374+Q1374+R1374+S1374+T1374+U1374</f>
        <v>-2230539.9264889699</v>
      </c>
      <c r="W1374" s="551"/>
      <c r="X1374" s="551"/>
    </row>
    <row r="1375" spans="1:24" x14ac:dyDescent="0.25">
      <c r="A1375" s="545">
        <f t="shared" si="99"/>
        <v>2291213.2749584555</v>
      </c>
      <c r="B1375" s="3">
        <f t="shared" si="97"/>
        <v>10.699999999999983</v>
      </c>
      <c r="C1375" s="545">
        <f>'Foglio deposito bis'!$E$158/sezione!$B$247*B1375</f>
        <v>79.487409389119421</v>
      </c>
      <c r="D1375" s="603">
        <f>-'Sollecitazioni nel paramento'!$G$47*'Sollecitazioni nel paramento'!$G$41*IF(DATI!$G$211="dx",DATI!$E$61,DATI!$E$64*DATI!$E$63)*1000*C1375^2*sezione!$AD$5*(1-sezione!$AD$6)</f>
        <v>-140572481.32186881</v>
      </c>
      <c r="E1375" s="545">
        <f>-'Foglio deposito bis'!$F$68*(C1375-sezione!$AL$32)*IF(ABS(K1375)&lt;'Sollecitazioni nel paramento'!$G$58,ABS(K1375)*'Sollecitazioni nel paramento'!$G$54,'Sollecitazioni nel paramento'!$G$53)</f>
        <v>0</v>
      </c>
      <c r="F1375" s="545">
        <f>-'Foglio deposito bis'!$F$69*(C1375-sezione!$AM$32)*IF(ABS(L1375)&lt;'Sollecitazioni nel paramento'!$G$58,ABS(L1375)*'Sollecitazioni nel paramento'!$G$54,'Sollecitazioni nel paramento'!$G$53)</f>
        <v>-1352711.0111129126</v>
      </c>
      <c r="G1375" s="545">
        <f>-'Foglio deposito bis'!$F$70*(C1375-sezione!$AN$32)*IF(ABS(M1375)&lt;'Sollecitazioni nel paramento'!$G$58,ABS(M1375)*'Sollecitazioni nel paramento'!$G$54,'Sollecitazioni nel paramento'!$G$53)</f>
        <v>0</v>
      </c>
      <c r="H1375" s="545">
        <f>-'Foglio deposito bis'!$F$71*(C1375-sezione!$AO$32)*IF(ABS(N1375)&lt;'Sollecitazioni nel paramento'!$G$58,ABS(N1375)*'Sollecitazioni nel paramento'!$G$54,'Sollecitazioni nel paramento'!$G$53)</f>
        <v>25337765.494668521</v>
      </c>
      <c r="I1375" s="472">
        <f>-'Foglio deposito bis'!$F$72*(C1375-sezione!$AP$32)*IF(ABS(O1375)&lt;'Sollecitazioni nel paramento'!$G$58,ABS(O1375)*'Sollecitazioni nel paramento'!$G$54,'Sollecitazioni nel paramento'!$G$53)</f>
        <v>211194879.50728565</v>
      </c>
      <c r="J1375" s="472">
        <f t="shared" si="98"/>
        <v>94607452.668972462</v>
      </c>
      <c r="K1375" s="550">
        <f>'Sollecitazioni nel paramento'!$G$60*(sezione!$AL$32-C1375)/C1375</f>
        <v>-1.7387147716105616E-3</v>
      </c>
      <c r="L1375" s="550">
        <f>'Sollecitazioni nel paramento'!$G$60*(sezione!$AM$32-C1375)/C1375</f>
        <v>-8.5807215741584228E-4</v>
      </c>
      <c r="M1375" s="551">
        <f>'Sollecitazioni nel paramento'!$G$60*(sezione!$AN$32-C1375)/C1375</f>
        <v>2.2570456778877075E-5</v>
      </c>
      <c r="N1375" s="551">
        <f>'Sollecitazioni nel paramento'!$G$60*(sezione!$AO$32-C1375)/C1375</f>
        <v>3.5451409135577542E-3</v>
      </c>
      <c r="O1375" s="551">
        <f>'Sollecitazioni nel paramento'!$G$60*(sezione!$AP$32-C1375)/C1375</f>
        <v>1.8911611967872267E-2</v>
      </c>
      <c r="P1375" s="545">
        <f>-'Sollecitazioni nel paramento'!$G$47*'Sollecitazioni nel paramento'!$G$41*IF(DATI!$G$211="dx",DATI!$E$61,DATI!$E$64*DATI!$E$63)*1000*C1375*sezione!$AD$5</f>
        <v>-3028231.835497282</v>
      </c>
      <c r="Q1375" s="545">
        <f>'Foglio deposito bis'!$F$68*IF(ABS(K1375)&lt;'Sollecitazioni nel paramento'!$G$58,ABS(K1375)*'Sollecitazioni nel paramento'!$G$54,'Sollecitazioni nel paramento'!$G$53)*IF(K1375&lt;0,-1,1)</f>
        <v>0</v>
      </c>
      <c r="R1375" s="545">
        <f>'Foglio deposito bis'!$F$69*IF(ABS(L1375)&lt;'Sollecitazioni nel paramento'!$G$58,ABS(L1375)*'Sollecitazioni nel paramento'!$G$54,'Sollecitazioni nel paramento'!$G$53)*IF(L1375&lt;0,-1,1)</f>
        <v>-69414.614539179529</v>
      </c>
      <c r="S1375" s="545">
        <f>'Foglio deposito bis'!$F$70*IF(ABS(M1375)&lt;'Sollecitazioni nel paramento'!$G$58,ABS(M1375)*'Sollecitazioni nel paramento'!$G$54,'Sollecitazioni nel paramento'!$G$53)*IF(M1375&lt;0,-1,1)</f>
        <v>0</v>
      </c>
      <c r="T1375" s="545">
        <f>'Foglio deposito bis'!$F$71*IF(ABS(N1375)&lt;'Sollecitazioni nel paramento'!$G$58,ABS(N1375)*'Sollecitazioni nel paramento'!$G$54,'Sollecitazioni nel paramento'!$G$53)*IF(N1375&lt;0,-1,1)</f>
        <v>314705.62929873407</v>
      </c>
      <c r="U1375" s="545">
        <f>'Foglio deposito bis'!$F$72*IF(ABS(O1375)&lt;'Sollecitazioni nel paramento'!$G$58,ABS(O1375)*'Sollecitazioni nel paramento'!$G$54,'Sollecitazioni nel paramento'!$G$53)*IF(O1375&lt;0,-1,1)</f>
        <v>491727.54577927204</v>
      </c>
      <c r="V1375" s="472">
        <f t="shared" si="100"/>
        <v>-2291213.2749584555</v>
      </c>
      <c r="W1375" s="551"/>
      <c r="X1375" s="551"/>
    </row>
    <row r="1376" spans="1:24" x14ac:dyDescent="0.25">
      <c r="A1376" s="545">
        <f t="shared" si="99"/>
        <v>2351737.2331800661</v>
      </c>
      <c r="B1376" s="3">
        <f t="shared" si="97"/>
        <v>10.899999999999983</v>
      </c>
      <c r="C1376" s="545">
        <f>'Foglio deposito bis'!$E$158/sezione!$B$247*B1376</f>
        <v>80.973155359009496</v>
      </c>
      <c r="D1376" s="603">
        <f>-'Sollecitazioni nel paramento'!$G$47*'Sollecitazioni nel paramento'!$G$41*IF(DATI!$G$211="dx",DATI!$E$61,DATI!$E$64*DATI!$E$63)*1000*C1376^2*sezione!$AD$5*(1-sezione!$AD$6)</f>
        <v>-145876639.93231928</v>
      </c>
      <c r="E1376" s="545">
        <f>-'Foglio deposito bis'!$F$68*(C1376-sezione!$AL$32)*IF(ABS(K1376)&lt;'Sollecitazioni nel paramento'!$G$58,ABS(K1376)*'Sollecitazioni nel paramento'!$G$54,'Sollecitazioni nel paramento'!$G$53)</f>
        <v>0</v>
      </c>
      <c r="F1376" s="545">
        <f>-'Foglio deposito bis'!$F$69*(C1376-sezione!$AM$32)*IF(ABS(L1376)&lt;'Sollecitazioni nel paramento'!$G$58,ABS(L1376)*'Sollecitazioni nel paramento'!$G$54,'Sollecitazioni nel paramento'!$G$53)</f>
        <v>-1538089.5979580882</v>
      </c>
      <c r="G1376" s="545">
        <f>-'Foglio deposito bis'!$F$70*(C1376-sezione!$AN$32)*IF(ABS(M1376)&lt;'Sollecitazioni nel paramento'!$G$58,ABS(M1376)*'Sollecitazioni nel paramento'!$G$54,'Sollecitazioni nel paramento'!$G$53)</f>
        <v>0</v>
      </c>
      <c r="H1376" s="545">
        <f>-'Foglio deposito bis'!$F$71*(C1376-sezione!$AO$32)*IF(ABS(N1376)&lt;'Sollecitazioni nel paramento'!$G$58,ABS(N1376)*'Sollecitazioni nel paramento'!$G$54,'Sollecitazioni nel paramento'!$G$53)</f>
        <v>24870192.874236207</v>
      </c>
      <c r="I1376" s="472">
        <f>-'Foglio deposito bis'!$F$72*(C1376-sezione!$AP$32)*IF(ABS(O1376)&lt;'Sollecitazioni nel paramento'!$G$58,ABS(O1376)*'Sollecitazioni nel paramento'!$G$54,'Sollecitazioni nel paramento'!$G$53)</f>
        <v>210464297.28786013</v>
      </c>
      <c r="J1376" s="472">
        <f t="shared" si="98"/>
        <v>87919760.631818965</v>
      </c>
      <c r="K1376" s="550">
        <f>'Sollecitazioni nel paramento'!$G$60*(sezione!$AL$32-C1376)/C1376</f>
        <v>-1.771031931764496E-3</v>
      </c>
      <c r="L1376" s="550">
        <f>'Sollecitazioni nel paramento'!$G$60*(sezione!$AM$32-C1376)/C1376</f>
        <v>-9.06547897646744E-4</v>
      </c>
      <c r="M1376" s="551">
        <f>'Sollecitazioni nel paramento'!$G$60*(sezione!$AN$32-C1376)/C1376</f>
        <v>-4.2063863528991924E-5</v>
      </c>
      <c r="N1376" s="551">
        <f>'Sollecitazioni nel paramento'!$G$60*(sezione!$AO$32-C1376)/C1376</f>
        <v>3.4158722729420161E-3</v>
      </c>
      <c r="O1376" s="551">
        <f>'Sollecitazioni nel paramento'!$G$60*(sezione!$AP$32-C1376)/C1376</f>
        <v>1.8500389729929657E-2</v>
      </c>
      <c r="P1376" s="545">
        <f>-'Sollecitazioni nel paramento'!$G$47*'Sollecitazioni nel paramento'!$G$41*IF(DATI!$G$211="dx",DATI!$E$61,DATI!$E$64*DATI!$E$63)*1000*C1376*sezione!$AD$5</f>
        <v>-3084834.2997121844</v>
      </c>
      <c r="Q1376" s="545">
        <f>'Foglio deposito bis'!$F$68*IF(ABS(K1376)&lt;'Sollecitazioni nel paramento'!$G$58,ABS(K1376)*'Sollecitazioni nel paramento'!$G$54,'Sollecitazioni nel paramento'!$G$53)*IF(K1376&lt;0,-1,1)</f>
        <v>0</v>
      </c>
      <c r="R1376" s="545">
        <f>'Foglio deposito bis'!$F$69*IF(ABS(L1376)&lt;'Sollecitazioni nel paramento'!$G$58,ABS(L1376)*'Sollecitazioni nel paramento'!$G$54,'Sollecitazioni nel paramento'!$G$53)*IF(L1376&lt;0,-1,1)</f>
        <v>-73336.108545887764</v>
      </c>
      <c r="S1376" s="545">
        <f>'Foglio deposito bis'!$F$70*IF(ABS(M1376)&lt;'Sollecitazioni nel paramento'!$G$58,ABS(M1376)*'Sollecitazioni nel paramento'!$G$54,'Sollecitazioni nel paramento'!$G$53)*IF(M1376&lt;0,-1,1)</f>
        <v>0</v>
      </c>
      <c r="T1376" s="545">
        <f>'Foglio deposito bis'!$F$71*IF(ABS(N1376)&lt;'Sollecitazioni nel paramento'!$G$58,ABS(N1376)*'Sollecitazioni nel paramento'!$G$54,'Sollecitazioni nel paramento'!$G$53)*IF(N1376&lt;0,-1,1)</f>
        <v>314705.62929873407</v>
      </c>
      <c r="U1376" s="545">
        <f>'Foglio deposito bis'!$F$72*IF(ABS(O1376)&lt;'Sollecitazioni nel paramento'!$G$58,ABS(O1376)*'Sollecitazioni nel paramento'!$G$54,'Sollecitazioni nel paramento'!$G$53)*IF(O1376&lt;0,-1,1)</f>
        <v>491727.54577927204</v>
      </c>
      <c r="V1376" s="472">
        <f t="shared" si="100"/>
        <v>-2351737.2331800661</v>
      </c>
      <c r="W1376" s="551"/>
      <c r="X1376" s="551"/>
    </row>
    <row r="1377" spans="1:24" x14ac:dyDescent="0.25">
      <c r="A1377" s="545">
        <f t="shared" si="99"/>
        <v>2412119.8763023359</v>
      </c>
      <c r="B1377" s="3">
        <f t="shared" si="97"/>
        <v>11.099999999999982</v>
      </c>
      <c r="C1377" s="545">
        <f>'Foglio deposito bis'!$E$158/sezione!$B$247*B1377</f>
        <v>82.458901328899572</v>
      </c>
      <c r="D1377" s="603">
        <f>-'Sollecitazioni nel paramento'!$G$47*'Sollecitazioni nel paramento'!$G$41*IF(DATI!$G$211="dx",DATI!$E$61,DATI!$E$64*DATI!$E$63)*1000*C1377^2*sezione!$AD$5*(1-sezione!$AD$6)</f>
        <v>-151279023.7022225</v>
      </c>
      <c r="E1377" s="545">
        <f>-'Foglio deposito bis'!$F$68*(C1377-sezione!$AL$32)*IF(ABS(K1377)&lt;'Sollecitazioni nel paramento'!$G$58,ABS(K1377)*'Sollecitazioni nel paramento'!$G$54,'Sollecitazioni nel paramento'!$G$53)</f>
        <v>0</v>
      </c>
      <c r="F1377" s="545">
        <f>-'Foglio deposito bis'!$F$69*(C1377-sezione!$AM$32)*IF(ABS(L1377)&lt;'Sollecitazioni nel paramento'!$G$58,ABS(L1377)*'Sollecitazioni nel paramento'!$G$54,'Sollecitazioni nel paramento'!$G$53)</f>
        <v>-1731947.0907637144</v>
      </c>
      <c r="G1377" s="545">
        <f>-'Foglio deposito bis'!$F$70*(C1377-sezione!$AN$32)*IF(ABS(M1377)&lt;'Sollecitazioni nel paramento'!$G$58,ABS(M1377)*'Sollecitazioni nel paramento'!$G$54,'Sollecitazioni nel paramento'!$G$53)</f>
        <v>0</v>
      </c>
      <c r="H1377" s="545">
        <f>-'Foglio deposito bis'!$F$71*(C1377-sezione!$AO$32)*IF(ABS(N1377)&lt;'Sollecitazioni nel paramento'!$G$58,ABS(N1377)*'Sollecitazioni nel paramento'!$G$54,'Sollecitazioni nel paramento'!$G$53)</f>
        <v>24402620.253803894</v>
      </c>
      <c r="I1377" s="472">
        <f>-'Foglio deposito bis'!$F$72*(C1377-sezione!$AP$32)*IF(ABS(O1377)&lt;'Sollecitazioni nel paramento'!$G$58,ABS(O1377)*'Sollecitazioni nel paramento'!$G$54,'Sollecitazioni nel paramento'!$G$53)</f>
        <v>209733715.06843463</v>
      </c>
      <c r="J1377" s="472">
        <f t="shared" si="98"/>
        <v>81125364.529252306</v>
      </c>
      <c r="K1377" s="550">
        <f>'Sollecitazioni nel paramento'!$G$60*(sezione!$AL$32-C1377)/C1377</f>
        <v>-1.802184509570541E-3</v>
      </c>
      <c r="L1377" s="550">
        <f>'Sollecitazioni nel paramento'!$G$60*(sezione!$AM$32-C1377)/C1377</f>
        <v>-9.5327676435581147E-4</v>
      </c>
      <c r="M1377" s="551">
        <f>'Sollecitazioni nel paramento'!$G$60*(sezione!$AN$32-C1377)/C1377</f>
        <v>-1.0436901914108187E-4</v>
      </c>
      <c r="N1377" s="551">
        <f>'Sollecitazioni nel paramento'!$G$60*(sezione!$AO$32-C1377)/C1377</f>
        <v>3.2912619617178366E-3</v>
      </c>
      <c r="O1377" s="551">
        <f>'Sollecitazioni nel paramento'!$G$60*(sezione!$AP$32-C1377)/C1377</f>
        <v>1.8103986311372368E-2</v>
      </c>
      <c r="P1377" s="545">
        <f>-'Sollecitazioni nel paramento'!$G$47*'Sollecitazioni nel paramento'!$G$41*IF(DATI!$G$211="dx",DATI!$E$61,DATI!$E$64*DATI!$E$63)*1000*C1377*sezione!$AD$5</f>
        <v>-3141436.7639270867</v>
      </c>
      <c r="Q1377" s="545">
        <f>'Foglio deposito bis'!$F$68*IF(ABS(K1377)&lt;'Sollecitazioni nel paramento'!$G$58,ABS(K1377)*'Sollecitazioni nel paramento'!$G$54,'Sollecitazioni nel paramento'!$G$53)*IF(K1377&lt;0,-1,1)</f>
        <v>0</v>
      </c>
      <c r="R1377" s="545">
        <f>'Foglio deposito bis'!$F$69*IF(ABS(L1377)&lt;'Sollecitazioni nel paramento'!$G$58,ABS(L1377)*'Sollecitazioni nel paramento'!$G$54,'Sollecitazioni nel paramento'!$G$53)*IF(L1377&lt;0,-1,1)</f>
        <v>-77116.287453255194</v>
      </c>
      <c r="S1377" s="545">
        <f>'Foglio deposito bis'!$F$70*IF(ABS(M1377)&lt;'Sollecitazioni nel paramento'!$G$58,ABS(M1377)*'Sollecitazioni nel paramento'!$G$54,'Sollecitazioni nel paramento'!$G$53)*IF(M1377&lt;0,-1,1)</f>
        <v>0</v>
      </c>
      <c r="T1377" s="545">
        <f>'Foglio deposito bis'!$F$71*IF(ABS(N1377)&lt;'Sollecitazioni nel paramento'!$G$58,ABS(N1377)*'Sollecitazioni nel paramento'!$G$54,'Sollecitazioni nel paramento'!$G$53)*IF(N1377&lt;0,-1,1)</f>
        <v>314705.62929873407</v>
      </c>
      <c r="U1377" s="545">
        <f>'Foglio deposito bis'!$F$72*IF(ABS(O1377)&lt;'Sollecitazioni nel paramento'!$G$58,ABS(O1377)*'Sollecitazioni nel paramento'!$G$54,'Sollecitazioni nel paramento'!$G$53)*IF(O1377&lt;0,-1,1)</f>
        <v>491727.54577927204</v>
      </c>
      <c r="V1377" s="472">
        <f t="shared" si="100"/>
        <v>-2412119.8763023359</v>
      </c>
      <c r="W1377" s="551"/>
      <c r="X1377" s="551"/>
    </row>
    <row r="1378" spans="1:24" x14ac:dyDescent="0.25">
      <c r="A1378" s="545">
        <f t="shared" si="99"/>
        <v>2472368.7077818671</v>
      </c>
      <c r="B1378" s="3">
        <f t="shared" si="97"/>
        <v>11.299999999999981</v>
      </c>
      <c r="C1378" s="545">
        <f>'Foglio deposito bis'!$E$158/sezione!$B$247*B1378</f>
        <v>83.944647298789661</v>
      </c>
      <c r="D1378" s="603">
        <f>-'Sollecitazioni nel paramento'!$G$47*'Sollecitazioni nel paramento'!$G$41*IF(DATI!$G$211="dx",DATI!$E$61,DATI!$E$64*DATI!$E$63)*1000*C1378^2*sezione!$AD$5*(1-sezione!$AD$6)</f>
        <v>-156779632.63157853</v>
      </c>
      <c r="E1378" s="545">
        <f>-'Foglio deposito bis'!$F$68*(C1378-sezione!$AL$32)*IF(ABS(K1378)&lt;'Sollecitazioni nel paramento'!$G$58,ABS(K1378)*'Sollecitazioni nel paramento'!$G$54,'Sollecitazioni nel paramento'!$G$53)</f>
        <v>0</v>
      </c>
      <c r="F1378" s="545">
        <f>-'Foglio deposito bis'!$F$69*(C1378-sezione!$AM$32)*IF(ABS(L1378)&lt;'Sollecitazioni nel paramento'!$G$58,ABS(L1378)*'Sollecitazioni nel paramento'!$G$54,'Sollecitazioni nel paramento'!$G$53)</f>
        <v>-1933833.2821336624</v>
      </c>
      <c r="G1378" s="545">
        <f>-'Foglio deposito bis'!$F$70*(C1378-sezione!$AN$32)*IF(ABS(M1378)&lt;'Sollecitazioni nel paramento'!$G$58,ABS(M1378)*'Sollecitazioni nel paramento'!$G$54,'Sollecitazioni nel paramento'!$G$53)</f>
        <v>0</v>
      </c>
      <c r="H1378" s="545">
        <f>-'Foglio deposito bis'!$F$71*(C1378-sezione!$AO$32)*IF(ABS(N1378)&lt;'Sollecitazioni nel paramento'!$G$58,ABS(N1378)*'Sollecitazioni nel paramento'!$G$54,'Sollecitazioni nel paramento'!$G$53)</f>
        <v>23935047.633371573</v>
      </c>
      <c r="I1378" s="472">
        <f>-'Foglio deposito bis'!$F$72*(C1378-sezione!$AP$32)*IF(ABS(O1378)&lt;'Sollecitazioni nel paramento'!$G$58,ABS(O1378)*'Sollecitazioni nel paramento'!$G$54,'Sollecitazioni nel paramento'!$G$53)</f>
        <v>209003132.84900913</v>
      </c>
      <c r="J1378" s="472">
        <f t="shared" si="98"/>
        <v>74224714.568668485</v>
      </c>
      <c r="K1378" s="550">
        <f>'Sollecitazioni nel paramento'!$G$60*(sezione!$AL$32-C1378)/C1378</f>
        <v>-1.8322343412595582E-3</v>
      </c>
      <c r="L1378" s="550">
        <f>'Sollecitazioni nel paramento'!$G$60*(sezione!$AM$32-C1378)/C1378</f>
        <v>-9.9835151188933709E-4</v>
      </c>
      <c r="M1378" s="551">
        <f>'Sollecitazioni nel paramento'!$G$60*(sezione!$AN$32-C1378)/C1378</f>
        <v>-1.6446868251911612E-4</v>
      </c>
      <c r="N1378" s="551">
        <f>'Sollecitazioni nel paramento'!$G$60*(sezione!$AO$32-C1378)/C1378</f>
        <v>3.1710626349617677E-3</v>
      </c>
      <c r="O1378" s="551">
        <f>'Sollecitazioni nel paramento'!$G$60*(sezione!$AP$32-C1378)/C1378</f>
        <v>1.7721614872233032E-2</v>
      </c>
      <c r="P1378" s="545">
        <f>-'Sollecitazioni nel paramento'!$G$47*'Sollecitazioni nel paramento'!$G$41*IF(DATI!$G$211="dx",DATI!$E$61,DATI!$E$64*DATI!$E$63)*1000*C1378*sezione!$AD$5</f>
        <v>-3198039.2281419891</v>
      </c>
      <c r="Q1378" s="545">
        <f>'Foglio deposito bis'!$F$68*IF(ABS(K1378)&lt;'Sollecitazioni nel paramento'!$G$58,ABS(K1378)*'Sollecitazioni nel paramento'!$G$54,'Sollecitazioni nel paramento'!$G$53)*IF(K1378&lt;0,-1,1)</f>
        <v>0</v>
      </c>
      <c r="R1378" s="545">
        <f>'Foglio deposito bis'!$F$69*IF(ABS(L1378)&lt;'Sollecitazioni nel paramento'!$G$58,ABS(L1378)*'Sollecitazioni nel paramento'!$G$54,'Sollecitazioni nel paramento'!$G$53)*IF(L1378&lt;0,-1,1)</f>
        <v>-80762.654717883968</v>
      </c>
      <c r="S1378" s="545">
        <f>'Foglio deposito bis'!$F$70*IF(ABS(M1378)&lt;'Sollecitazioni nel paramento'!$G$58,ABS(M1378)*'Sollecitazioni nel paramento'!$G$54,'Sollecitazioni nel paramento'!$G$53)*IF(M1378&lt;0,-1,1)</f>
        <v>0</v>
      </c>
      <c r="T1378" s="545">
        <f>'Foglio deposito bis'!$F$71*IF(ABS(N1378)&lt;'Sollecitazioni nel paramento'!$G$58,ABS(N1378)*'Sollecitazioni nel paramento'!$G$54,'Sollecitazioni nel paramento'!$G$53)*IF(N1378&lt;0,-1,1)</f>
        <v>314705.62929873407</v>
      </c>
      <c r="U1378" s="545">
        <f>'Foglio deposito bis'!$F$72*IF(ABS(O1378)&lt;'Sollecitazioni nel paramento'!$G$58,ABS(O1378)*'Sollecitazioni nel paramento'!$G$54,'Sollecitazioni nel paramento'!$G$53)*IF(O1378&lt;0,-1,1)</f>
        <v>491727.54577927204</v>
      </c>
      <c r="V1378" s="472">
        <f t="shared" si="100"/>
        <v>-2472368.7077818671</v>
      </c>
      <c r="W1378" s="551"/>
      <c r="X1378" s="551"/>
    </row>
    <row r="1379" spans="1:24" x14ac:dyDescent="0.25">
      <c r="A1379" s="545">
        <f t="shared" si="99"/>
        <v>2532490.7090956718</v>
      </c>
      <c r="B1379" s="3">
        <f t="shared" si="97"/>
        <v>11.49999999999998</v>
      </c>
      <c r="C1379" s="545">
        <f>'Foglio deposito bis'!$E$158/sezione!$B$247*B1379</f>
        <v>85.430393268679737</v>
      </c>
      <c r="D1379" s="603">
        <f>-'Sollecitazioni nel paramento'!$G$47*'Sollecitazioni nel paramento'!$G$41*IF(DATI!$G$211="dx",DATI!$E$61,DATI!$E$64*DATI!$E$63)*1000*C1379^2*sezione!$AD$5*(1-sezione!$AD$6)</f>
        <v>-162378466.72038734</v>
      </c>
      <c r="E1379" s="545">
        <f>-'Foglio deposito bis'!$F$68*(C1379-sezione!$AL$32)*IF(ABS(K1379)&lt;'Sollecitazioni nel paramento'!$G$58,ABS(K1379)*'Sollecitazioni nel paramento'!$G$54,'Sollecitazioni nel paramento'!$G$53)</f>
        <v>0</v>
      </c>
      <c r="F1379" s="545">
        <f>-'Foglio deposito bis'!$F$69*(C1379-sezione!$AM$32)*IF(ABS(L1379)&lt;'Sollecitazioni nel paramento'!$G$58,ABS(L1379)*'Sollecitazioni nel paramento'!$G$54,'Sollecitazioni nel paramento'!$G$53)</f>
        <v>-2143329.2834471818</v>
      </c>
      <c r="G1379" s="545">
        <f>-'Foglio deposito bis'!$F$70*(C1379-sezione!$AN$32)*IF(ABS(M1379)&lt;'Sollecitazioni nel paramento'!$G$58,ABS(M1379)*'Sollecitazioni nel paramento'!$G$54,'Sollecitazioni nel paramento'!$G$53)</f>
        <v>0</v>
      </c>
      <c r="H1379" s="545">
        <f>-'Foglio deposito bis'!$F$71*(C1379-sezione!$AO$32)*IF(ABS(N1379)&lt;'Sollecitazioni nel paramento'!$G$58,ABS(N1379)*'Sollecitazioni nel paramento'!$G$54,'Sollecitazioni nel paramento'!$G$53)</f>
        <v>23467475.012939263</v>
      </c>
      <c r="I1379" s="472">
        <f>-'Foglio deposito bis'!$F$72*(C1379-sezione!$AP$32)*IF(ABS(O1379)&lt;'Sollecitazioni nel paramento'!$G$58,ABS(O1379)*'Sollecitazioni nel paramento'!$G$54,'Sollecitazioni nel paramento'!$G$53)</f>
        <v>208272550.62958369</v>
      </c>
      <c r="J1379" s="472">
        <f t="shared" si="98"/>
        <v>67218229.638688445</v>
      </c>
      <c r="K1379" s="550">
        <f>'Sollecitazioni nel paramento'!$G$60*(sezione!$AL$32-C1379)/C1379</f>
        <v>-1.8612389614115655E-3</v>
      </c>
      <c r="L1379" s="550">
        <f>'Sollecitazioni nel paramento'!$G$60*(sezione!$AM$32-C1379)/C1379</f>
        <v>-1.0418584421173485E-3</v>
      </c>
      <c r="M1379" s="551">
        <f>'Sollecitazioni nel paramento'!$G$60*(sezione!$AN$32-C1379)/C1379</f>
        <v>-2.224779228231312E-4</v>
      </c>
      <c r="N1379" s="551">
        <f>'Sollecitazioni nel paramento'!$G$60*(sezione!$AO$32-C1379)/C1379</f>
        <v>3.0550441543537375E-3</v>
      </c>
      <c r="O1379" s="551">
        <f>'Sollecitazioni nel paramento'!$G$60*(sezione!$AP$32-C1379)/C1379</f>
        <v>1.7352543309237675E-2</v>
      </c>
      <c r="P1379" s="545">
        <f>-'Sollecitazioni nel paramento'!$G$47*'Sollecitazioni nel paramento'!$G$41*IF(DATI!$G$211="dx",DATI!$E$61,DATI!$E$64*DATI!$E$63)*1000*C1379*sezione!$AD$5</f>
        <v>-3254641.6923568915</v>
      </c>
      <c r="Q1379" s="545">
        <f>'Foglio deposito bis'!$F$68*IF(ABS(K1379)&lt;'Sollecitazioni nel paramento'!$G$58,ABS(K1379)*'Sollecitazioni nel paramento'!$G$54,'Sollecitazioni nel paramento'!$G$53)*IF(K1379&lt;0,-1,1)</f>
        <v>0</v>
      </c>
      <c r="R1379" s="545">
        <f>'Foglio deposito bis'!$F$69*IF(ABS(L1379)&lt;'Sollecitazioni nel paramento'!$G$58,ABS(L1379)*'Sollecitazioni nel paramento'!$G$54,'Sollecitazioni nel paramento'!$G$53)*IF(L1379&lt;0,-1,1)</f>
        <v>-84282.191816786493</v>
      </c>
      <c r="S1379" s="545">
        <f>'Foglio deposito bis'!$F$70*IF(ABS(M1379)&lt;'Sollecitazioni nel paramento'!$G$58,ABS(M1379)*'Sollecitazioni nel paramento'!$G$54,'Sollecitazioni nel paramento'!$G$53)*IF(M1379&lt;0,-1,1)</f>
        <v>0</v>
      </c>
      <c r="T1379" s="545">
        <f>'Foglio deposito bis'!$F$71*IF(ABS(N1379)&lt;'Sollecitazioni nel paramento'!$G$58,ABS(N1379)*'Sollecitazioni nel paramento'!$G$54,'Sollecitazioni nel paramento'!$G$53)*IF(N1379&lt;0,-1,1)</f>
        <v>314705.62929873407</v>
      </c>
      <c r="U1379" s="545">
        <f>'Foglio deposito bis'!$F$72*IF(ABS(O1379)&lt;'Sollecitazioni nel paramento'!$G$58,ABS(O1379)*'Sollecitazioni nel paramento'!$G$54,'Sollecitazioni nel paramento'!$G$53)*IF(O1379&lt;0,-1,1)</f>
        <v>491727.54577927204</v>
      </c>
      <c r="V1379" s="472">
        <f t="shared" si="100"/>
        <v>-2532490.7090956718</v>
      </c>
      <c r="W1379" s="551"/>
      <c r="X1379" s="551"/>
    </row>
    <row r="1380" spans="1:24" x14ac:dyDescent="0.25">
      <c r="A1380" s="545">
        <f t="shared" si="99"/>
        <v>2592492.384354813</v>
      </c>
      <c r="B1380" s="3">
        <f t="shared" si="97"/>
        <v>11.69999999999998</v>
      </c>
      <c r="C1380" s="545">
        <f>'Foglio deposito bis'!$E$158/sezione!$B$247*B1380</f>
        <v>86.916139238569812</v>
      </c>
      <c r="D1380" s="603">
        <f>-'Sollecitazioni nel paramento'!$G$47*'Sollecitazioni nel paramento'!$G$41*IF(DATI!$G$211="dx",DATI!$E$61,DATI!$E$64*DATI!$E$63)*1000*C1380^2*sezione!$AD$5*(1-sezione!$AD$6)</f>
        <v>-168075525.96864891</v>
      </c>
      <c r="E1380" s="545">
        <f>-'Foglio deposito bis'!$F$68*(C1380-sezione!$AL$32)*IF(ABS(K1380)&lt;'Sollecitazioni nel paramento'!$G$58,ABS(K1380)*'Sollecitazioni nel paramento'!$G$54,'Sollecitazioni nel paramento'!$G$53)</f>
        <v>0</v>
      </c>
      <c r="F1380" s="545">
        <f>-'Foglio deposito bis'!$F$69*(C1380-sezione!$AM$32)*IF(ABS(L1380)&lt;'Sollecitazioni nel paramento'!$G$58,ABS(L1380)*'Sollecitazioni nel paramento'!$G$54,'Sollecitazioni nel paramento'!$G$53)</f>
        <v>-2360044.8480405002</v>
      </c>
      <c r="G1380" s="545">
        <f>-'Foglio deposito bis'!$F$70*(C1380-sezione!$AN$32)*IF(ABS(M1380)&lt;'Sollecitazioni nel paramento'!$G$58,ABS(M1380)*'Sollecitazioni nel paramento'!$G$54,'Sollecitazioni nel paramento'!$G$53)</f>
        <v>0</v>
      </c>
      <c r="H1380" s="545">
        <f>-'Foglio deposito bis'!$F$71*(C1380-sezione!$AO$32)*IF(ABS(N1380)&lt;'Sollecitazioni nel paramento'!$G$58,ABS(N1380)*'Sollecitazioni nel paramento'!$G$54,'Sollecitazioni nel paramento'!$G$53)</f>
        <v>22999902.392506946</v>
      </c>
      <c r="I1380" s="472">
        <f>-'Foglio deposito bis'!$F$72*(C1380-sezione!$AP$32)*IF(ABS(O1380)&lt;'Sollecitazioni nel paramento'!$G$58,ABS(O1380)*'Sollecitazioni nel paramento'!$G$54,'Sollecitazioni nel paramento'!$G$53)</f>
        <v>207541968.41015816</v>
      </c>
      <c r="J1380" s="472">
        <f t="shared" si="98"/>
        <v>60106299.985975713</v>
      </c>
      <c r="K1380" s="550">
        <f>'Sollecitazioni nel paramento'!$G$60*(sezione!$AL$32-C1380)/C1380</f>
        <v>-1.8892519706182054E-3</v>
      </c>
      <c r="L1380" s="550">
        <f>'Sollecitazioni nel paramento'!$G$60*(sezione!$AM$32-C1380)/C1380</f>
        <v>-1.083877955927308E-3</v>
      </c>
      <c r="M1380" s="551">
        <f>'Sollecitazioni nel paramento'!$G$60*(sezione!$AN$32-C1380)/C1380</f>
        <v>-2.7850394123641079E-4</v>
      </c>
      <c r="N1380" s="551">
        <f>'Sollecitazioni nel paramento'!$G$60*(sezione!$AO$32-C1380)/C1380</f>
        <v>2.9429921175271787E-3</v>
      </c>
      <c r="O1380" s="551">
        <f>'Sollecitazioni nel paramento'!$G$60*(sezione!$AP$32-C1380)/C1380</f>
        <v>1.6996089577455836E-2</v>
      </c>
      <c r="P1380" s="545">
        <f>-'Sollecitazioni nel paramento'!$G$47*'Sollecitazioni nel paramento'!$G$41*IF(DATI!$G$211="dx",DATI!$E$61,DATI!$E$64*DATI!$E$63)*1000*C1380*sezione!$AD$5</f>
        <v>-3311244.1565717934</v>
      </c>
      <c r="Q1380" s="545">
        <f>'Foglio deposito bis'!$F$68*IF(ABS(K1380)&lt;'Sollecitazioni nel paramento'!$G$58,ABS(K1380)*'Sollecitazioni nel paramento'!$G$54,'Sollecitazioni nel paramento'!$G$53)*IF(K1380&lt;0,-1,1)</f>
        <v>0</v>
      </c>
      <c r="R1380" s="545">
        <f>'Foglio deposito bis'!$F$69*IF(ABS(L1380)&lt;'Sollecitazioni nel paramento'!$G$58,ABS(L1380)*'Sollecitazioni nel paramento'!$G$54,'Sollecitazioni nel paramento'!$G$53)*IF(L1380&lt;0,-1,1)</f>
        <v>-87681.402861025679</v>
      </c>
      <c r="S1380" s="545">
        <f>'Foglio deposito bis'!$F$70*IF(ABS(M1380)&lt;'Sollecitazioni nel paramento'!$G$58,ABS(M1380)*'Sollecitazioni nel paramento'!$G$54,'Sollecitazioni nel paramento'!$G$53)*IF(M1380&lt;0,-1,1)</f>
        <v>0</v>
      </c>
      <c r="T1380" s="545">
        <f>'Foglio deposito bis'!$F$71*IF(ABS(N1380)&lt;'Sollecitazioni nel paramento'!$G$58,ABS(N1380)*'Sollecitazioni nel paramento'!$G$54,'Sollecitazioni nel paramento'!$G$53)*IF(N1380&lt;0,-1,1)</f>
        <v>314705.62929873407</v>
      </c>
      <c r="U1380" s="545">
        <f>'Foglio deposito bis'!$F$72*IF(ABS(O1380)&lt;'Sollecitazioni nel paramento'!$G$58,ABS(O1380)*'Sollecitazioni nel paramento'!$G$54,'Sollecitazioni nel paramento'!$G$53)*IF(O1380&lt;0,-1,1)</f>
        <v>491727.54577927204</v>
      </c>
      <c r="V1380" s="472">
        <f t="shared" si="100"/>
        <v>-2592492.384354813</v>
      </c>
      <c r="W1380" s="551"/>
      <c r="X1380" s="551"/>
    </row>
    <row r="1381" spans="1:24" x14ac:dyDescent="0.25">
      <c r="A1381" s="545">
        <f t="shared" si="99"/>
        <v>2652379.8004191904</v>
      </c>
      <c r="B1381" s="3">
        <f t="shared" si="97"/>
        <v>11.899999999999979</v>
      </c>
      <c r="C1381" s="545">
        <f>'Foglio deposito bis'!$E$158/sezione!$B$247*B1381</f>
        <v>88.401885208459888</v>
      </c>
      <c r="D1381" s="603">
        <f>-'Sollecitazioni nel paramento'!$G$47*'Sollecitazioni nel paramento'!$G$41*IF(DATI!$G$211="dx",DATI!$E$61,DATI!$E$64*DATI!$E$63)*1000*C1381^2*sezione!$AD$5*(1-sezione!$AD$6)</f>
        <v>-173870810.37636328</v>
      </c>
      <c r="E1381" s="545">
        <f>-'Foglio deposito bis'!$F$68*(C1381-sezione!$AL$32)*IF(ABS(K1381)&lt;'Sollecitazioni nel paramento'!$G$58,ABS(K1381)*'Sollecitazioni nel paramento'!$G$54,'Sollecitazioni nel paramento'!$G$53)</f>
        <v>0</v>
      </c>
      <c r="F1381" s="545">
        <f>-'Foglio deposito bis'!$F$69*(C1381-sezione!$AM$32)*IF(ABS(L1381)&lt;'Sollecitazioni nel paramento'!$G$58,ABS(L1381)*'Sollecitazioni nel paramento'!$G$54,'Sollecitazioni nel paramento'!$G$53)</f>
        <v>-2583615.9643196804</v>
      </c>
      <c r="G1381" s="545">
        <f>-'Foglio deposito bis'!$F$70*(C1381-sezione!$AN$32)*IF(ABS(M1381)&lt;'Sollecitazioni nel paramento'!$G$58,ABS(M1381)*'Sollecitazioni nel paramento'!$G$54,'Sollecitazioni nel paramento'!$G$53)</f>
        <v>0</v>
      </c>
      <c r="H1381" s="545">
        <f>-'Foglio deposito bis'!$F$71*(C1381-sezione!$AO$32)*IF(ABS(N1381)&lt;'Sollecitazioni nel paramento'!$G$58,ABS(N1381)*'Sollecitazioni nel paramento'!$G$54,'Sollecitazioni nel paramento'!$G$53)</f>
        <v>22532329.772074632</v>
      </c>
      <c r="I1381" s="472">
        <f>-'Foglio deposito bis'!$F$72*(C1381-sezione!$AP$32)*IF(ABS(O1381)&lt;'Sollecitazioni nel paramento'!$G$58,ABS(O1381)*'Sollecitazioni nel paramento'!$G$54,'Sollecitazioni nel paramento'!$G$53)</f>
        <v>206811386.19073266</v>
      </c>
      <c r="J1381" s="472">
        <f t="shared" si="98"/>
        <v>52889289.622124344</v>
      </c>
      <c r="K1381" s="550">
        <f>'Sollecitazioni nel paramento'!$G$60*(sezione!$AL$32-C1381)/C1381</f>
        <v>-1.91632336607E-3</v>
      </c>
      <c r="L1381" s="550">
        <f>'Sollecitazioni nel paramento'!$G$60*(sezione!$AM$32-C1381)/C1381</f>
        <v>-1.1244850491050002E-3</v>
      </c>
      <c r="M1381" s="551">
        <f>'Sollecitazioni nel paramento'!$G$60*(sezione!$AN$32-C1381)/C1381</f>
        <v>-3.3264673214000029E-4</v>
      </c>
      <c r="N1381" s="551">
        <f>'Sollecitazioni nel paramento'!$G$60*(sezione!$AO$32-C1381)/C1381</f>
        <v>2.8347065357199998E-3</v>
      </c>
      <c r="O1381" s="551">
        <f>'Sollecitazioni nel paramento'!$G$60*(sezione!$AP$32-C1381)/C1381</f>
        <v>1.6651617483717084E-2</v>
      </c>
      <c r="P1381" s="545">
        <f>-'Sollecitazioni nel paramento'!$G$47*'Sollecitazioni nel paramento'!$G$41*IF(DATI!$G$211="dx",DATI!$E$61,DATI!$E$64*DATI!$E$63)*1000*C1381*sezione!$AD$5</f>
        <v>-3367846.6207866957</v>
      </c>
      <c r="Q1381" s="545">
        <f>'Foglio deposito bis'!$F$68*IF(ABS(K1381)&lt;'Sollecitazioni nel paramento'!$G$58,ABS(K1381)*'Sollecitazioni nel paramento'!$G$54,'Sollecitazioni nel paramento'!$G$53)*IF(K1381&lt;0,-1,1)</f>
        <v>0</v>
      </c>
      <c r="R1381" s="545">
        <f>'Foglio deposito bis'!$F$69*IF(ABS(L1381)&lt;'Sollecitazioni nel paramento'!$G$58,ABS(L1381)*'Sollecitazioni nel paramento'!$G$54,'Sollecitazioni nel paramento'!$G$53)*IF(L1381&lt;0,-1,1)</f>
        <v>-90966.354710500527</v>
      </c>
      <c r="S1381" s="545">
        <f>'Foglio deposito bis'!$F$70*IF(ABS(M1381)&lt;'Sollecitazioni nel paramento'!$G$58,ABS(M1381)*'Sollecitazioni nel paramento'!$G$54,'Sollecitazioni nel paramento'!$G$53)*IF(M1381&lt;0,-1,1)</f>
        <v>0</v>
      </c>
      <c r="T1381" s="545">
        <f>'Foglio deposito bis'!$F$71*IF(ABS(N1381)&lt;'Sollecitazioni nel paramento'!$G$58,ABS(N1381)*'Sollecitazioni nel paramento'!$G$54,'Sollecitazioni nel paramento'!$G$53)*IF(N1381&lt;0,-1,1)</f>
        <v>314705.62929873407</v>
      </c>
      <c r="U1381" s="545">
        <f>'Foglio deposito bis'!$F$72*IF(ABS(O1381)&lt;'Sollecitazioni nel paramento'!$G$58,ABS(O1381)*'Sollecitazioni nel paramento'!$G$54,'Sollecitazioni nel paramento'!$G$53)*IF(O1381&lt;0,-1,1)</f>
        <v>491727.54577927204</v>
      </c>
      <c r="V1381" s="472">
        <f t="shared" si="100"/>
        <v>-2652379.8004191904</v>
      </c>
      <c r="W1381" s="551"/>
      <c r="X1381" s="551"/>
    </row>
    <row r="1382" spans="1:24" x14ac:dyDescent="0.25">
      <c r="A1382" s="545">
        <f t="shared" si="99"/>
        <v>2712158.6230339981</v>
      </c>
      <c r="B1382" s="3">
        <f t="shared" si="97"/>
        <v>12.099999999999978</v>
      </c>
      <c r="C1382" s="545">
        <f>'Foglio deposito bis'!$E$158/sezione!$B$247*B1382</f>
        <v>89.887631178349977</v>
      </c>
      <c r="D1382" s="603">
        <f>-'Sollecitazioni nel paramento'!$G$47*'Sollecitazioni nel paramento'!$G$41*IF(DATI!$G$211="dx",DATI!$E$61,DATI!$E$64*DATI!$E$63)*1000*C1382^2*sezione!$AD$5*(1-sezione!$AD$6)</f>
        <v>-179764319.9435305</v>
      </c>
      <c r="E1382" s="545">
        <f>-'Foglio deposito bis'!$F$68*(C1382-sezione!$AL$32)*IF(ABS(K1382)&lt;'Sollecitazioni nel paramento'!$G$58,ABS(K1382)*'Sollecitazioni nel paramento'!$G$54,'Sollecitazioni nel paramento'!$G$53)</f>
        <v>0</v>
      </c>
      <c r="F1382" s="545">
        <f>-'Foglio deposito bis'!$F$69*(C1382-sezione!$AM$32)*IF(ABS(L1382)&lt;'Sollecitazioni nel paramento'!$G$58,ABS(L1382)*'Sollecitazioni nel paramento'!$G$54,'Sollecitazioni nel paramento'!$G$53)</f>
        <v>-2813702.6875730273</v>
      </c>
      <c r="G1382" s="545">
        <f>-'Foglio deposito bis'!$F$70*(C1382-sezione!$AN$32)*IF(ABS(M1382)&lt;'Sollecitazioni nel paramento'!$G$58,ABS(M1382)*'Sollecitazioni nel paramento'!$G$54,'Sollecitazioni nel paramento'!$G$53)</f>
        <v>0</v>
      </c>
      <c r="H1382" s="545">
        <f>-'Foglio deposito bis'!$F$71*(C1382-sezione!$AO$32)*IF(ABS(N1382)&lt;'Sollecitazioni nel paramento'!$G$58,ABS(N1382)*'Sollecitazioni nel paramento'!$G$54,'Sollecitazioni nel paramento'!$G$53)</f>
        <v>22064757.151642315</v>
      </c>
      <c r="I1382" s="472">
        <f>-'Foglio deposito bis'!$F$72*(C1382-sezione!$AP$32)*IF(ABS(O1382)&lt;'Sollecitazioni nel paramento'!$G$58,ABS(O1382)*'Sollecitazioni nel paramento'!$G$54,'Sollecitazioni nel paramento'!$G$53)</f>
        <v>206080803.97130716</v>
      </c>
      <c r="J1382" s="472">
        <f t="shared" si="98"/>
        <v>45567538.491845965</v>
      </c>
      <c r="K1382" s="550">
        <f>'Sollecitazioni nel paramento'!$G$60*(sezione!$AL$32-C1382)/C1382</f>
        <v>-1.9424998393580996E-3</v>
      </c>
      <c r="L1382" s="550">
        <f>'Sollecitazioni nel paramento'!$G$60*(sezione!$AM$32-C1382)/C1382</f>
        <v>-1.1637497590371493E-3</v>
      </c>
      <c r="M1382" s="551">
        <f>'Sollecitazioni nel paramento'!$G$60*(sezione!$AN$32-C1382)/C1382</f>
        <v>-3.8499967871619888E-4</v>
      </c>
      <c r="N1382" s="551">
        <f>'Sollecitazioni nel paramento'!$G$60*(sezione!$AO$32-C1382)/C1382</f>
        <v>2.7300006425676022E-3</v>
      </c>
      <c r="O1382" s="551">
        <f>'Sollecitazioni nel paramento'!$G$60*(sezione!$AP$32-C1382)/C1382</f>
        <v>1.6318532897209363E-2</v>
      </c>
      <c r="P1382" s="545">
        <f>-'Sollecitazioni nel paramento'!$G$47*'Sollecitazioni nel paramento'!$G$41*IF(DATI!$G$211="dx",DATI!$E$61,DATI!$E$64*DATI!$E$63)*1000*C1382*sezione!$AD$5</f>
        <v>-3424449.0850015981</v>
      </c>
      <c r="Q1382" s="545">
        <f>'Foglio deposito bis'!$F$68*IF(ABS(K1382)&lt;'Sollecitazioni nel paramento'!$G$58,ABS(K1382)*'Sollecitazioni nel paramento'!$G$54,'Sollecitazioni nel paramento'!$G$53)*IF(K1382&lt;0,-1,1)</f>
        <v>0</v>
      </c>
      <c r="R1382" s="545">
        <f>'Foglio deposito bis'!$F$69*IF(ABS(L1382)&lt;'Sollecitazioni nel paramento'!$G$58,ABS(L1382)*'Sollecitazioni nel paramento'!$G$54,'Sollecitazioni nel paramento'!$G$53)*IF(L1382&lt;0,-1,1)</f>
        <v>-94142.713110405995</v>
      </c>
      <c r="S1382" s="545">
        <f>'Foglio deposito bis'!$F$70*IF(ABS(M1382)&lt;'Sollecitazioni nel paramento'!$G$58,ABS(M1382)*'Sollecitazioni nel paramento'!$G$54,'Sollecitazioni nel paramento'!$G$53)*IF(M1382&lt;0,-1,1)</f>
        <v>0</v>
      </c>
      <c r="T1382" s="545">
        <f>'Foglio deposito bis'!$F$71*IF(ABS(N1382)&lt;'Sollecitazioni nel paramento'!$G$58,ABS(N1382)*'Sollecitazioni nel paramento'!$G$54,'Sollecitazioni nel paramento'!$G$53)*IF(N1382&lt;0,-1,1)</f>
        <v>314705.62929873407</v>
      </c>
      <c r="U1382" s="545">
        <f>'Foglio deposito bis'!$F$72*IF(ABS(O1382)&lt;'Sollecitazioni nel paramento'!$G$58,ABS(O1382)*'Sollecitazioni nel paramento'!$G$54,'Sollecitazioni nel paramento'!$G$53)*IF(O1382&lt;0,-1,1)</f>
        <v>491727.54577927204</v>
      </c>
      <c r="V1382" s="472">
        <f t="shared" si="100"/>
        <v>-2712158.6230339981</v>
      </c>
      <c r="W1382" s="551"/>
      <c r="X1382" s="551"/>
    </row>
    <row r="1383" spans="1:24" x14ac:dyDescent="0.25">
      <c r="A1383" s="545">
        <f t="shared" si="99"/>
        <v>2771834.1494406788</v>
      </c>
      <c r="B1383" s="3">
        <f t="shared" si="97"/>
        <v>12.299999999999978</v>
      </c>
      <c r="C1383" s="545">
        <f>'Foglio deposito bis'!$E$158/sezione!$B$247*B1383</f>
        <v>91.373377148240053</v>
      </c>
      <c r="D1383" s="603">
        <f>-'Sollecitazioni nel paramento'!$G$47*'Sollecitazioni nel paramento'!$G$41*IF(DATI!$G$211="dx",DATI!$E$61,DATI!$E$64*DATI!$E$63)*1000*C1383^2*sezione!$AD$5*(1-sezione!$AD$6)</f>
        <v>-185756054.67015043</v>
      </c>
      <c r="E1383" s="545">
        <f>-'Foglio deposito bis'!$F$68*(C1383-sezione!$AL$32)*IF(ABS(K1383)&lt;'Sollecitazioni nel paramento'!$G$58,ABS(K1383)*'Sollecitazioni nel paramento'!$G$54,'Sollecitazioni nel paramento'!$G$53)</f>
        <v>0</v>
      </c>
      <c r="F1383" s="545">
        <f>-'Foglio deposito bis'!$F$69*(C1383-sezione!$AM$32)*IF(ABS(L1383)&lt;'Sollecitazioni nel paramento'!$G$58,ABS(L1383)*'Sollecitazioni nel paramento'!$G$54,'Sollecitazioni nel paramento'!$G$53)</f>
        <v>-3049987.1833139928</v>
      </c>
      <c r="G1383" s="545">
        <f>-'Foglio deposito bis'!$F$70*(C1383-sezione!$AN$32)*IF(ABS(M1383)&lt;'Sollecitazioni nel paramento'!$G$58,ABS(M1383)*'Sollecitazioni nel paramento'!$G$54,'Sollecitazioni nel paramento'!$G$53)</f>
        <v>0</v>
      </c>
      <c r="H1383" s="545">
        <f>-'Foglio deposito bis'!$F$71*(C1383-sezione!$AO$32)*IF(ABS(N1383)&lt;'Sollecitazioni nel paramento'!$G$58,ABS(N1383)*'Sollecitazioni nel paramento'!$G$54,'Sollecitazioni nel paramento'!$G$53)</f>
        <v>21597184.531209998</v>
      </c>
      <c r="I1383" s="472">
        <f>-'Foglio deposito bis'!$F$72*(C1383-sezione!$AP$32)*IF(ABS(O1383)&lt;'Sollecitazioni nel paramento'!$G$58,ABS(O1383)*'Sollecitazioni nel paramento'!$G$54,'Sollecitazioni nel paramento'!$G$53)</f>
        <v>205350221.75188172</v>
      </c>
      <c r="J1383" s="472">
        <f t="shared" si="98"/>
        <v>38141364.429627299</v>
      </c>
      <c r="K1383" s="550">
        <f>'Sollecitazioni nel paramento'!$G$60*(sezione!$AL$32-C1383)/C1383</f>
        <v>-1.9678250452221952E-3</v>
      </c>
      <c r="L1383" s="550">
        <f>'Sollecitazioni nel paramento'!$G$60*(sezione!$AM$32-C1383)/C1383</f>
        <v>-1.201737567833293E-3</v>
      </c>
      <c r="M1383" s="551">
        <f>'Sollecitazioni nel paramento'!$G$60*(sezione!$AN$32-C1383)/C1383</f>
        <v>-4.3565009044439052E-4</v>
      </c>
      <c r="N1383" s="551">
        <f>'Sollecitazioni nel paramento'!$G$60*(sezione!$AO$32-C1383)/C1383</f>
        <v>2.6286998191112189E-3</v>
      </c>
      <c r="O1383" s="551">
        <f>'Sollecitazioni nel paramento'!$G$60*(sezione!$AP$32-C1383)/C1383</f>
        <v>1.5996280329775067E-2</v>
      </c>
      <c r="P1383" s="545">
        <f>-'Sollecitazioni nel paramento'!$G$47*'Sollecitazioni nel paramento'!$G$41*IF(DATI!$G$211="dx",DATI!$E$61,DATI!$E$64*DATI!$E$63)*1000*C1383*sezione!$AD$5</f>
        <v>-3481051.5492165005</v>
      </c>
      <c r="Q1383" s="545">
        <f>'Foglio deposito bis'!$F$68*IF(ABS(K1383)&lt;'Sollecitazioni nel paramento'!$G$58,ABS(K1383)*'Sollecitazioni nel paramento'!$G$54,'Sollecitazioni nel paramento'!$G$53)*IF(K1383&lt;0,-1,1)</f>
        <v>0</v>
      </c>
      <c r="R1383" s="545">
        <f>'Foglio deposito bis'!$F$69*IF(ABS(L1383)&lt;'Sollecitazioni nel paramento'!$G$58,ABS(L1383)*'Sollecitazioni nel paramento'!$G$54,'Sollecitazioni nel paramento'!$G$53)*IF(L1383&lt;0,-1,1)</f>
        <v>-97215.775302184426</v>
      </c>
      <c r="S1383" s="545">
        <f>'Foglio deposito bis'!$F$70*IF(ABS(M1383)&lt;'Sollecitazioni nel paramento'!$G$58,ABS(M1383)*'Sollecitazioni nel paramento'!$G$54,'Sollecitazioni nel paramento'!$G$53)*IF(M1383&lt;0,-1,1)</f>
        <v>0</v>
      </c>
      <c r="T1383" s="545">
        <f>'Foglio deposito bis'!$F$71*IF(ABS(N1383)&lt;'Sollecitazioni nel paramento'!$G$58,ABS(N1383)*'Sollecitazioni nel paramento'!$G$54,'Sollecitazioni nel paramento'!$G$53)*IF(N1383&lt;0,-1,1)</f>
        <v>314705.62929873407</v>
      </c>
      <c r="U1383" s="545">
        <f>'Foglio deposito bis'!$F$72*IF(ABS(O1383)&lt;'Sollecitazioni nel paramento'!$G$58,ABS(O1383)*'Sollecitazioni nel paramento'!$G$54,'Sollecitazioni nel paramento'!$G$53)*IF(O1383&lt;0,-1,1)</f>
        <v>491727.54577927204</v>
      </c>
      <c r="V1383" s="472">
        <f t="shared" si="100"/>
        <v>-2771834.1494406788</v>
      </c>
      <c r="W1383" s="551"/>
      <c r="X1383" s="551"/>
    </row>
    <row r="1384" spans="1:24" x14ac:dyDescent="0.25">
      <c r="A1384" s="545">
        <f t="shared" si="99"/>
        <v>2831411.3378572227</v>
      </c>
      <c r="B1384" s="3">
        <f t="shared" si="97"/>
        <v>12.499999999999977</v>
      </c>
      <c r="C1384" s="545">
        <f>'Foglio deposito bis'!$E$158/sezione!$B$247*B1384</f>
        <v>92.859123118130128</v>
      </c>
      <c r="D1384" s="603">
        <f>-'Sollecitazioni nel paramento'!$G$47*'Sollecitazioni nel paramento'!$G$41*IF(DATI!$G$211="dx",DATI!$E$61,DATI!$E$64*DATI!$E$63)*1000*C1384^2*sezione!$AD$5*(1-sezione!$AD$6)</f>
        <v>-191846014.55622309</v>
      </c>
      <c r="E1384" s="545">
        <f>-'Foglio deposito bis'!$F$68*(C1384-sezione!$AL$32)*IF(ABS(K1384)&lt;'Sollecitazioni nel paramento'!$G$58,ABS(K1384)*'Sollecitazioni nel paramento'!$G$54,'Sollecitazioni nel paramento'!$G$53)</f>
        <v>0</v>
      </c>
      <c r="F1384" s="545">
        <f>-'Foglio deposito bis'!$F$69*(C1384-sezione!$AM$32)*IF(ABS(L1384)&lt;'Sollecitazioni nel paramento'!$G$58,ABS(L1384)*'Sollecitazioni nel paramento'!$G$54,'Sollecitazioni nel paramento'!$G$53)</f>
        <v>-3292171.9584631715</v>
      </c>
      <c r="G1384" s="545">
        <f>-'Foglio deposito bis'!$F$70*(C1384-sezione!$AN$32)*IF(ABS(M1384)&lt;'Sollecitazioni nel paramento'!$G$58,ABS(M1384)*'Sollecitazioni nel paramento'!$G$54,'Sollecitazioni nel paramento'!$G$53)</f>
        <v>0</v>
      </c>
      <c r="H1384" s="545">
        <f>-'Foglio deposito bis'!$F$71*(C1384-sezione!$AO$32)*IF(ABS(N1384)&lt;'Sollecitazioni nel paramento'!$G$58,ABS(N1384)*'Sollecitazioni nel paramento'!$G$54,'Sollecitazioni nel paramento'!$G$53)</f>
        <v>21129611.910777688</v>
      </c>
      <c r="I1384" s="472">
        <f>-'Foglio deposito bis'!$F$72*(C1384-sezione!$AP$32)*IF(ABS(O1384)&lt;'Sollecitazioni nel paramento'!$G$58,ABS(O1384)*'Sollecitazioni nel paramento'!$G$54,'Sollecitazioni nel paramento'!$G$53)</f>
        <v>204619639.53245619</v>
      </c>
      <c r="J1384" s="472">
        <f t="shared" si="98"/>
        <v>30611064.928547621</v>
      </c>
      <c r="K1384" s="550">
        <f>'Sollecitazioni nel paramento'!$G$60*(sezione!$AL$32-C1384)/C1384</f>
        <v>-1.9923398444986404E-3</v>
      </c>
      <c r="L1384" s="550">
        <f>'Sollecitazioni nel paramento'!$G$60*(sezione!$AM$32-C1384)/C1384</f>
        <v>-1.2385097667479601E-3</v>
      </c>
      <c r="M1384" s="551">
        <f>'Sollecitazioni nel paramento'!$G$60*(sezione!$AN$32-C1384)/C1384</f>
        <v>-4.8467968899728009E-4</v>
      </c>
      <c r="N1384" s="551">
        <f>'Sollecitazioni nel paramento'!$G$60*(sezione!$AO$32-C1384)/C1384</f>
        <v>2.53064062200544E-3</v>
      </c>
      <c r="O1384" s="551">
        <f>'Sollecitazioni nel paramento'!$G$60*(sezione!$AP$32-C1384)/C1384</f>
        <v>1.5684339844498664E-2</v>
      </c>
      <c r="P1384" s="545">
        <f>-'Sollecitazioni nel paramento'!$G$47*'Sollecitazioni nel paramento'!$G$41*IF(DATI!$G$211="dx",DATI!$E$61,DATI!$E$64*DATI!$E$63)*1000*C1384*sezione!$AD$5</f>
        <v>-3537654.0134314029</v>
      </c>
      <c r="Q1384" s="545">
        <f>'Foglio deposito bis'!$F$68*IF(ABS(K1384)&lt;'Sollecitazioni nel paramento'!$G$58,ABS(K1384)*'Sollecitazioni nel paramento'!$G$54,'Sollecitazioni nel paramento'!$G$53)*IF(K1384&lt;0,-1,1)</f>
        <v>0</v>
      </c>
      <c r="R1384" s="545">
        <f>'Foglio deposito bis'!$F$69*IF(ABS(L1384)&lt;'Sollecitazioni nel paramento'!$G$58,ABS(L1384)*'Sollecitazioni nel paramento'!$G$54,'Sollecitazioni nel paramento'!$G$53)*IF(L1384&lt;0,-1,1)</f>
        <v>-100190.49950382594</v>
      </c>
      <c r="S1384" s="545">
        <f>'Foglio deposito bis'!$F$70*IF(ABS(M1384)&lt;'Sollecitazioni nel paramento'!$G$58,ABS(M1384)*'Sollecitazioni nel paramento'!$G$54,'Sollecitazioni nel paramento'!$G$53)*IF(M1384&lt;0,-1,1)</f>
        <v>0</v>
      </c>
      <c r="T1384" s="545">
        <f>'Foglio deposito bis'!$F$71*IF(ABS(N1384)&lt;'Sollecitazioni nel paramento'!$G$58,ABS(N1384)*'Sollecitazioni nel paramento'!$G$54,'Sollecitazioni nel paramento'!$G$53)*IF(N1384&lt;0,-1,1)</f>
        <v>314705.62929873407</v>
      </c>
      <c r="U1384" s="545">
        <f>'Foglio deposito bis'!$F$72*IF(ABS(O1384)&lt;'Sollecitazioni nel paramento'!$G$58,ABS(O1384)*'Sollecitazioni nel paramento'!$G$54,'Sollecitazioni nel paramento'!$G$53)*IF(O1384&lt;0,-1,1)</f>
        <v>491727.54577927204</v>
      </c>
      <c r="V1384" s="472">
        <f t="shared" si="100"/>
        <v>-2831411.3378572227</v>
      </c>
      <c r="W1384" s="551"/>
      <c r="X1384" s="551"/>
    </row>
    <row r="1385" spans="1:24" x14ac:dyDescent="0.25">
      <c r="A1385" s="545">
        <f t="shared" si="99"/>
        <v>2890894.8341729282</v>
      </c>
      <c r="B1385" s="3">
        <f t="shared" si="97"/>
        <v>12.699999999999976</v>
      </c>
      <c r="C1385" s="545">
        <f>'Foglio deposito bis'!$E$158/sezione!$B$247*B1385</f>
        <v>94.344869088020218</v>
      </c>
      <c r="D1385" s="603">
        <f>-'Sollecitazioni nel paramento'!$G$47*'Sollecitazioni nel paramento'!$G$41*IF(DATI!$G$211="dx",DATI!$E$61,DATI!$E$64*DATI!$E$63)*1000*C1385^2*sezione!$AD$5*(1-sezione!$AD$6)</f>
        <v>-198034199.6017487</v>
      </c>
      <c r="E1385" s="545">
        <f>-'Foglio deposito bis'!$F$68*(C1385-sezione!$AL$32)*IF(ABS(K1385)&lt;'Sollecitazioni nel paramento'!$G$58,ABS(K1385)*'Sollecitazioni nel paramento'!$G$54,'Sollecitazioni nel paramento'!$G$53)</f>
        <v>0</v>
      </c>
      <c r="F1385" s="545">
        <f>-'Foglio deposito bis'!$F$69*(C1385-sezione!$AM$32)*IF(ABS(L1385)&lt;'Sollecitazioni nel paramento'!$G$58,ABS(L1385)*'Sollecitazioni nel paramento'!$G$54,'Sollecitazioni nel paramento'!$G$53)</f>
        <v>-3539978.2596626999</v>
      </c>
      <c r="G1385" s="545">
        <f>-'Foglio deposito bis'!$F$70*(C1385-sezione!$AN$32)*IF(ABS(M1385)&lt;'Sollecitazioni nel paramento'!$G$58,ABS(M1385)*'Sollecitazioni nel paramento'!$G$54,'Sollecitazioni nel paramento'!$G$53)</f>
        <v>0</v>
      </c>
      <c r="H1385" s="545">
        <f>-'Foglio deposito bis'!$F$71*(C1385-sezione!$AO$32)*IF(ABS(N1385)&lt;'Sollecitazioni nel paramento'!$G$58,ABS(N1385)*'Sollecitazioni nel paramento'!$G$54,'Sollecitazioni nel paramento'!$G$53)</f>
        <v>20662039.290345367</v>
      </c>
      <c r="I1385" s="472">
        <f>-'Foglio deposito bis'!$F$72*(C1385-sezione!$AP$32)*IF(ABS(O1385)&lt;'Sollecitazioni nel paramento'!$G$58,ABS(O1385)*'Sollecitazioni nel paramento'!$G$54,'Sollecitazioni nel paramento'!$G$53)</f>
        <v>203889057.31303069</v>
      </c>
      <c r="J1385" s="472">
        <f t="shared" si="98"/>
        <v>22976918.741964668</v>
      </c>
      <c r="K1385" s="550">
        <f>'Sollecitazioni nel paramento'!$G$60*(sezione!$AL$32-C1385)/C1385</f>
        <v>-2.0160825241128349E-3</v>
      </c>
      <c r="L1385" s="550">
        <f>'Sollecitazioni nel paramento'!$G$60*(sezione!$AM$32-C1385)/C1385</f>
        <v>-1.2741237861692521E-3</v>
      </c>
      <c r="M1385" s="551">
        <f>'Sollecitazioni nel paramento'!$G$60*(sezione!$AN$32-C1385)/C1385</f>
        <v>-5.3216504822566958E-4</v>
      </c>
      <c r="N1385" s="551">
        <f>'Sollecitazioni nel paramento'!$G$60*(sezione!$AO$32-C1385)/C1385</f>
        <v>2.4356699035486609E-3</v>
      </c>
      <c r="O1385" s="551">
        <f>'Sollecitazioni nel paramento'!$G$60*(sezione!$AP$32-C1385)/C1385</f>
        <v>1.5382224256396322E-2</v>
      </c>
      <c r="P1385" s="545">
        <f>-'Sollecitazioni nel paramento'!$G$47*'Sollecitazioni nel paramento'!$G$41*IF(DATI!$G$211="dx",DATI!$E$61,DATI!$E$64*DATI!$E$63)*1000*C1385*sezione!$AD$5</f>
        <v>-3594256.4776463057</v>
      </c>
      <c r="Q1385" s="545">
        <f>'Foglio deposito bis'!$F$68*IF(ABS(K1385)&lt;'Sollecitazioni nel paramento'!$G$58,ABS(K1385)*'Sollecitazioni nel paramento'!$G$54,'Sollecitazioni nel paramento'!$G$53)*IF(K1385&lt;0,-1,1)</f>
        <v>0</v>
      </c>
      <c r="R1385" s="545">
        <f>'Foglio deposito bis'!$F$69*IF(ABS(L1385)&lt;'Sollecitazioni nel paramento'!$G$58,ABS(L1385)*'Sollecitazioni nel paramento'!$G$54,'Sollecitazioni nel paramento'!$G$53)*IF(L1385&lt;0,-1,1)</f>
        <v>-103071.53160462837</v>
      </c>
      <c r="S1385" s="545">
        <f>'Foglio deposito bis'!$F$70*IF(ABS(M1385)&lt;'Sollecitazioni nel paramento'!$G$58,ABS(M1385)*'Sollecitazioni nel paramento'!$G$54,'Sollecitazioni nel paramento'!$G$53)*IF(M1385&lt;0,-1,1)</f>
        <v>0</v>
      </c>
      <c r="T1385" s="545">
        <f>'Foglio deposito bis'!$F$71*IF(ABS(N1385)&lt;'Sollecitazioni nel paramento'!$G$58,ABS(N1385)*'Sollecitazioni nel paramento'!$G$54,'Sollecitazioni nel paramento'!$G$53)*IF(N1385&lt;0,-1,1)</f>
        <v>314705.62929873407</v>
      </c>
      <c r="U1385" s="545">
        <f>'Foglio deposito bis'!$F$72*IF(ABS(O1385)&lt;'Sollecitazioni nel paramento'!$G$58,ABS(O1385)*'Sollecitazioni nel paramento'!$G$54,'Sollecitazioni nel paramento'!$G$53)*IF(O1385&lt;0,-1,1)</f>
        <v>491727.54577927204</v>
      </c>
      <c r="V1385" s="472">
        <f t="shared" si="100"/>
        <v>-2890894.8341729282</v>
      </c>
      <c r="W1385" s="551"/>
      <c r="X1385" s="551"/>
    </row>
    <row r="1386" spans="1:24" x14ac:dyDescent="0.25">
      <c r="A1386" s="545">
        <f t="shared" si="99"/>
        <v>2950288.9961599251</v>
      </c>
      <c r="B1386" s="3">
        <f t="shared" si="97"/>
        <v>12.899999999999975</v>
      </c>
      <c r="C1386" s="545">
        <f>'Foglio deposito bis'!$E$158/sezione!$B$247*B1386</f>
        <v>95.830615057910293</v>
      </c>
      <c r="D1386" s="603">
        <f>-'Sollecitazioni nel paramento'!$G$47*'Sollecitazioni nel paramento'!$G$41*IF(DATI!$G$211="dx",DATI!$E$61,DATI!$E$64*DATI!$E$63)*1000*C1386^2*sezione!$AD$5*(1-sezione!$AD$6)</f>
        <v>-204320609.80672696</v>
      </c>
      <c r="E1386" s="545">
        <f>-'Foglio deposito bis'!$F$68*(C1386-sezione!$AL$32)*IF(ABS(K1386)&lt;'Sollecitazioni nel paramento'!$G$58,ABS(K1386)*'Sollecitazioni nel paramento'!$G$54,'Sollecitazioni nel paramento'!$G$53)</f>
        <v>0</v>
      </c>
      <c r="F1386" s="545">
        <f>-'Foglio deposito bis'!$F$69*(C1386-sezione!$AM$32)*IF(ABS(L1386)&lt;'Sollecitazioni nel paramento'!$G$58,ABS(L1386)*'Sollecitazioni nel paramento'!$G$54,'Sollecitazioni nel paramento'!$G$53)</f>
        <v>-3793144.620584649</v>
      </c>
      <c r="G1386" s="545">
        <f>-'Foglio deposito bis'!$F$70*(C1386-sezione!$AN$32)*IF(ABS(M1386)&lt;'Sollecitazioni nel paramento'!$G$58,ABS(M1386)*'Sollecitazioni nel paramento'!$G$54,'Sollecitazioni nel paramento'!$G$53)</f>
        <v>0</v>
      </c>
      <c r="H1386" s="545">
        <f>-'Foglio deposito bis'!$F$71*(C1386-sezione!$AO$32)*IF(ABS(N1386)&lt;'Sollecitazioni nel paramento'!$G$58,ABS(N1386)*'Sollecitazioni nel paramento'!$G$54,'Sollecitazioni nel paramento'!$G$53)</f>
        <v>20194466.669913054</v>
      </c>
      <c r="I1386" s="472">
        <f>-'Foglio deposito bis'!$F$72*(C1386-sezione!$AP$32)*IF(ABS(O1386)&lt;'Sollecitazioni nel paramento'!$G$58,ABS(O1386)*'Sollecitazioni nel paramento'!$G$54,'Sollecitazioni nel paramento'!$G$53)</f>
        <v>203158475.09360519</v>
      </c>
      <c r="J1386" s="472">
        <f t="shared" si="98"/>
        <v>15239187.336206645</v>
      </c>
      <c r="K1386" s="550">
        <f>'Sollecitazioni nel paramento'!$G$60*(sezione!$AL$32-C1386)/C1386</f>
        <v>-2.0390889966072092E-3</v>
      </c>
      <c r="L1386" s="550">
        <f>'Sollecitazioni nel paramento'!$G$60*(sezione!$AM$32-C1386)/C1386</f>
        <v>-1.3086334949108142E-3</v>
      </c>
      <c r="M1386" s="551">
        <f>'Sollecitazioni nel paramento'!$G$60*(sezione!$AN$32-C1386)/C1386</f>
        <v>-5.7817799321441873E-4</v>
      </c>
      <c r="N1386" s="551">
        <f>'Sollecitazioni nel paramento'!$G$60*(sezione!$AO$32-C1386)/C1386</f>
        <v>2.3436440135711626E-3</v>
      </c>
      <c r="O1386" s="551">
        <f>'Sollecitazioni nel paramento'!$G$60*(sezione!$AP$32-C1386)/C1386</f>
        <v>1.5089476593506458E-2</v>
      </c>
      <c r="P1386" s="545">
        <f>-'Sollecitazioni nel paramento'!$G$47*'Sollecitazioni nel paramento'!$G$41*IF(DATI!$G$211="dx",DATI!$E$61,DATI!$E$64*DATI!$E$63)*1000*C1386*sezione!$AD$5</f>
        <v>-3650858.9418612076</v>
      </c>
      <c r="Q1386" s="545">
        <f>'Foglio deposito bis'!$F$68*IF(ABS(K1386)&lt;'Sollecitazioni nel paramento'!$G$58,ABS(K1386)*'Sollecitazioni nel paramento'!$G$54,'Sollecitazioni nel paramento'!$G$53)*IF(K1386&lt;0,-1,1)</f>
        <v>0</v>
      </c>
      <c r="R1386" s="545">
        <f>'Foglio deposito bis'!$F$69*IF(ABS(L1386)&lt;'Sollecitazioni nel paramento'!$G$58,ABS(L1386)*'Sollecitazioni nel paramento'!$G$54,'Sollecitazioni nel paramento'!$G$53)*IF(L1386&lt;0,-1,1)</f>
        <v>-105863.22937672374</v>
      </c>
      <c r="S1386" s="545">
        <f>'Foglio deposito bis'!$F$70*IF(ABS(M1386)&lt;'Sollecitazioni nel paramento'!$G$58,ABS(M1386)*'Sollecitazioni nel paramento'!$G$54,'Sollecitazioni nel paramento'!$G$53)*IF(M1386&lt;0,-1,1)</f>
        <v>0</v>
      </c>
      <c r="T1386" s="545">
        <f>'Foglio deposito bis'!$F$71*IF(ABS(N1386)&lt;'Sollecitazioni nel paramento'!$G$58,ABS(N1386)*'Sollecitazioni nel paramento'!$G$54,'Sollecitazioni nel paramento'!$G$53)*IF(N1386&lt;0,-1,1)</f>
        <v>314705.62929873407</v>
      </c>
      <c r="U1386" s="545">
        <f>'Foglio deposito bis'!$F$72*IF(ABS(O1386)&lt;'Sollecitazioni nel paramento'!$G$58,ABS(O1386)*'Sollecitazioni nel paramento'!$G$54,'Sollecitazioni nel paramento'!$G$53)*IF(O1386&lt;0,-1,1)</f>
        <v>491727.54577927204</v>
      </c>
      <c r="V1386" s="472">
        <f t="shared" si="100"/>
        <v>-2950288.9961599251</v>
      </c>
      <c r="W1386" s="551"/>
      <c r="X1386" s="551"/>
    </row>
    <row r="1387" spans="1:24" x14ac:dyDescent="0.25">
      <c r="A1387" s="545">
        <f t="shared" si="99"/>
        <v>3009597.915466859</v>
      </c>
      <c r="B1387" s="3">
        <f t="shared" si="97"/>
        <v>13.099999999999975</v>
      </c>
      <c r="C1387" s="545">
        <f>'Foglio deposito bis'!$E$158/sezione!$B$247*B1387</f>
        <v>97.316361027800369</v>
      </c>
      <c r="D1387" s="603">
        <f>-'Sollecitazioni nel paramento'!$G$47*'Sollecitazioni nel paramento'!$G$41*IF(DATI!$G$211="dx",DATI!$E$61,DATI!$E$64*DATI!$E$63)*1000*C1387^2*sezione!$AD$5*(1-sezione!$AD$6)</f>
        <v>-210705245.17115805</v>
      </c>
      <c r="E1387" s="545">
        <f>-'Foglio deposito bis'!$F$68*(C1387-sezione!$AL$32)*IF(ABS(K1387)&lt;'Sollecitazioni nel paramento'!$G$58,ABS(K1387)*'Sollecitazioni nel paramento'!$G$54,'Sollecitazioni nel paramento'!$G$53)</f>
        <v>0</v>
      </c>
      <c r="F1387" s="545">
        <f>-'Foglio deposito bis'!$F$69*(C1387-sezione!$AM$32)*IF(ABS(L1387)&lt;'Sollecitazioni nel paramento'!$G$58,ABS(L1387)*'Sollecitazioni nel paramento'!$G$54,'Sollecitazioni nel paramento'!$G$53)</f>
        <v>-4051425.5423104367</v>
      </c>
      <c r="G1387" s="545">
        <f>-'Foglio deposito bis'!$F$70*(C1387-sezione!$AN$32)*IF(ABS(M1387)&lt;'Sollecitazioni nel paramento'!$G$58,ABS(M1387)*'Sollecitazioni nel paramento'!$G$54,'Sollecitazioni nel paramento'!$G$53)</f>
        <v>0</v>
      </c>
      <c r="H1387" s="545">
        <f>-'Foglio deposito bis'!$F$71*(C1387-sezione!$AO$32)*IF(ABS(N1387)&lt;'Sollecitazioni nel paramento'!$G$58,ABS(N1387)*'Sollecitazioni nel paramento'!$G$54,'Sollecitazioni nel paramento'!$G$53)</f>
        <v>19726894.049480736</v>
      </c>
      <c r="I1387" s="472">
        <f>-'Foglio deposito bis'!$F$72*(C1387-sezione!$AP$32)*IF(ABS(O1387)&lt;'Sollecitazioni nel paramento'!$G$58,ABS(O1387)*'Sollecitazioni nel paramento'!$G$54,'Sollecitazioni nel paramento'!$G$53)</f>
        <v>202427892.87417969</v>
      </c>
      <c r="J1387" s="472">
        <f t="shared" si="98"/>
        <v>7398116.2101919353</v>
      </c>
      <c r="K1387" s="550">
        <f>'Sollecitazioni nel paramento'!$G$60*(sezione!$AL$32-C1387)/C1387</f>
        <v>-2.0613929813918319E-3</v>
      </c>
      <c r="L1387" s="550">
        <f>'Sollecitazioni nel paramento'!$G$60*(sezione!$AM$32-C1387)/C1387</f>
        <v>-1.3420894720877481E-3</v>
      </c>
      <c r="M1387" s="551">
        <f>'Sollecitazioni nel paramento'!$G$60*(sezione!$AN$32-C1387)/C1387</f>
        <v>-6.2278596278366404E-4</v>
      </c>
      <c r="N1387" s="551">
        <f>'Sollecitazioni nel paramento'!$G$60*(sezione!$AO$32-C1387)/C1387</f>
        <v>2.254428074432672E-3</v>
      </c>
      <c r="O1387" s="551">
        <f>'Sollecitazioni nel paramento'!$G$60*(sezione!$AP$32-C1387)/C1387</f>
        <v>1.4805667790552162E-2</v>
      </c>
      <c r="P1387" s="545">
        <f>-'Sollecitazioni nel paramento'!$G$47*'Sollecitazioni nel paramento'!$G$41*IF(DATI!$G$211="dx",DATI!$E$61,DATI!$E$64*DATI!$E$63)*1000*C1387*sezione!$AD$5</f>
        <v>-3707461.40607611</v>
      </c>
      <c r="Q1387" s="545">
        <f>'Foglio deposito bis'!$F$68*IF(ABS(K1387)&lt;'Sollecitazioni nel paramento'!$G$58,ABS(K1387)*'Sollecitazioni nel paramento'!$G$54,'Sollecitazioni nel paramento'!$G$53)*IF(K1387&lt;0,-1,1)</f>
        <v>0</v>
      </c>
      <c r="R1387" s="545">
        <f>'Foglio deposito bis'!$F$69*IF(ABS(L1387)&lt;'Sollecitazioni nel paramento'!$G$58,ABS(L1387)*'Sollecitazioni nel paramento'!$G$54,'Sollecitazioni nel paramento'!$G$53)*IF(L1387&lt;0,-1,1)</f>
        <v>-108569.68446875512</v>
      </c>
      <c r="S1387" s="545">
        <f>'Foglio deposito bis'!$F$70*IF(ABS(M1387)&lt;'Sollecitazioni nel paramento'!$G$58,ABS(M1387)*'Sollecitazioni nel paramento'!$G$54,'Sollecitazioni nel paramento'!$G$53)*IF(M1387&lt;0,-1,1)</f>
        <v>0</v>
      </c>
      <c r="T1387" s="545">
        <f>'Foglio deposito bis'!$F$71*IF(ABS(N1387)&lt;'Sollecitazioni nel paramento'!$G$58,ABS(N1387)*'Sollecitazioni nel paramento'!$G$54,'Sollecitazioni nel paramento'!$G$53)*IF(N1387&lt;0,-1,1)</f>
        <v>314705.62929873407</v>
      </c>
      <c r="U1387" s="545">
        <f>'Foglio deposito bis'!$F$72*IF(ABS(O1387)&lt;'Sollecitazioni nel paramento'!$G$58,ABS(O1387)*'Sollecitazioni nel paramento'!$G$54,'Sollecitazioni nel paramento'!$G$53)*IF(O1387&lt;0,-1,1)</f>
        <v>491727.54577927204</v>
      </c>
      <c r="V1387" s="472">
        <f t="shared" si="100"/>
        <v>-3009597.915466859</v>
      </c>
      <c r="W1387" s="551"/>
      <c r="X1387" s="551"/>
    </row>
    <row r="1388" spans="1:24" x14ac:dyDescent="0.25">
      <c r="A1388" s="545">
        <f t="shared" si="99"/>
        <v>3068825.4376281677</v>
      </c>
      <c r="B1388" s="3">
        <f t="shared" si="97"/>
        <v>13.299999999999974</v>
      </c>
      <c r="C1388" s="545">
        <f>'Foglio deposito bis'!$E$158/sezione!$B$247*B1388</f>
        <v>98.802106997690444</v>
      </c>
      <c r="D1388" s="603">
        <f>-'Sollecitazioni nel paramento'!$G$47*'Sollecitazioni nel paramento'!$G$41*IF(DATI!$G$211="dx",DATI!$E$61,DATI!$E$64*DATI!$E$63)*1000*C1388^2*sezione!$AD$5*(1-sezione!$AD$6)</f>
        <v>-217188105.69504192</v>
      </c>
      <c r="E1388" s="545">
        <f>-'Foglio deposito bis'!$F$68*(C1388-sezione!$AL$32)*IF(ABS(K1388)&lt;'Sollecitazioni nel paramento'!$G$58,ABS(K1388)*'Sollecitazioni nel paramento'!$G$54,'Sollecitazioni nel paramento'!$G$53)</f>
        <v>0</v>
      </c>
      <c r="F1388" s="545">
        <f>-'Foglio deposito bis'!$F$69*(C1388-sezione!$AM$32)*IF(ABS(L1388)&lt;'Sollecitazioni nel paramento'!$G$58,ABS(L1388)*'Sollecitazioni nel paramento'!$G$54,'Sollecitazioni nel paramento'!$G$53)</f>
        <v>-4314590.2927737255</v>
      </c>
      <c r="G1388" s="545">
        <f>-'Foglio deposito bis'!$F$70*(C1388-sezione!$AN$32)*IF(ABS(M1388)&lt;'Sollecitazioni nel paramento'!$G$58,ABS(M1388)*'Sollecitazioni nel paramento'!$G$54,'Sollecitazioni nel paramento'!$G$53)</f>
        <v>0</v>
      </c>
      <c r="H1388" s="545">
        <f>-'Foglio deposito bis'!$F$71*(C1388-sezione!$AO$32)*IF(ABS(N1388)&lt;'Sollecitazioni nel paramento'!$G$58,ABS(N1388)*'Sollecitazioni nel paramento'!$G$54,'Sollecitazioni nel paramento'!$G$53)</f>
        <v>19259321.429048423</v>
      </c>
      <c r="I1388" s="472">
        <f>-'Foglio deposito bis'!$F$72*(C1388-sezione!$AP$32)*IF(ABS(O1388)&lt;'Sollecitazioni nel paramento'!$G$58,ABS(O1388)*'Sollecitazioni nel paramento'!$G$54,'Sollecitazioni nel paramento'!$G$53)</f>
        <v>201697310.65475422</v>
      </c>
      <c r="J1388" s="472">
        <f t="shared" si="98"/>
        <v>-546063.90401300788</v>
      </c>
      <c r="K1388" s="550">
        <f>'Sollecitazioni nel paramento'!$G$60*(sezione!$AL$32-C1388)/C1388</f>
        <v>-2.0830261696415785E-3</v>
      </c>
      <c r="L1388" s="550">
        <f>'Sollecitazioni nel paramento'!$G$60*(sezione!$AM$32-C1388)/C1388</f>
        <v>-1.3745392544623684E-3</v>
      </c>
      <c r="M1388" s="551">
        <f>'Sollecitazioni nel paramento'!$G$60*(sezione!$AN$32-C1388)/C1388</f>
        <v>-6.6605233928315754E-4</v>
      </c>
      <c r="N1388" s="551">
        <f>'Sollecitazioni nel paramento'!$G$60*(sezione!$AO$32-C1388)/C1388</f>
        <v>2.1678953214336848E-3</v>
      </c>
      <c r="O1388" s="551">
        <f>'Sollecitazioni nel paramento'!$G$60*(sezione!$AP$32-C1388)/C1388</f>
        <v>1.4530394590694237E-2</v>
      </c>
      <c r="P1388" s="545">
        <f>-'Sollecitazioni nel paramento'!$G$47*'Sollecitazioni nel paramento'!$G$41*IF(DATI!$G$211="dx",DATI!$E$61,DATI!$E$64*DATI!$E$63)*1000*C1388*sezione!$AD$5</f>
        <v>-3764063.8702910123</v>
      </c>
      <c r="Q1388" s="545">
        <f>'Foglio deposito bis'!$F$68*IF(ABS(K1388)&lt;'Sollecitazioni nel paramento'!$G$58,ABS(K1388)*'Sollecitazioni nel paramento'!$G$54,'Sollecitazioni nel paramento'!$G$53)*IF(K1388&lt;0,-1,1)</f>
        <v>0</v>
      </c>
      <c r="R1388" s="545">
        <f>'Foglio deposito bis'!$F$69*IF(ABS(L1388)&lt;'Sollecitazioni nel paramento'!$G$58,ABS(L1388)*'Sollecitazioni nel paramento'!$G$54,'Sollecitazioni nel paramento'!$G$53)*IF(L1388&lt;0,-1,1)</f>
        <v>-111194.74241516151</v>
      </c>
      <c r="S1388" s="545">
        <f>'Foglio deposito bis'!$F$70*IF(ABS(M1388)&lt;'Sollecitazioni nel paramento'!$G$58,ABS(M1388)*'Sollecitazioni nel paramento'!$G$54,'Sollecitazioni nel paramento'!$G$53)*IF(M1388&lt;0,-1,1)</f>
        <v>0</v>
      </c>
      <c r="T1388" s="545">
        <f>'Foglio deposito bis'!$F$71*IF(ABS(N1388)&lt;'Sollecitazioni nel paramento'!$G$58,ABS(N1388)*'Sollecitazioni nel paramento'!$G$54,'Sollecitazioni nel paramento'!$G$53)*IF(N1388&lt;0,-1,1)</f>
        <v>314705.62929873407</v>
      </c>
      <c r="U1388" s="545">
        <f>'Foglio deposito bis'!$F$72*IF(ABS(O1388)&lt;'Sollecitazioni nel paramento'!$G$58,ABS(O1388)*'Sollecitazioni nel paramento'!$G$54,'Sollecitazioni nel paramento'!$G$53)*IF(O1388&lt;0,-1,1)</f>
        <v>491727.54577927204</v>
      </c>
      <c r="V1388" s="472">
        <f t="shared" si="100"/>
        <v>-3068825.4376281677</v>
      </c>
      <c r="W1388" s="551"/>
      <c r="X1388" s="551"/>
    </row>
    <row r="1389" spans="1:24" x14ac:dyDescent="0.25">
      <c r="A1389" s="545">
        <f t="shared" si="99"/>
        <v>3127975.1802947689</v>
      </c>
      <c r="B1389" s="3">
        <f t="shared" si="97"/>
        <v>13.499999999999973</v>
      </c>
      <c r="C1389" s="545">
        <f>'Foglio deposito bis'!$E$158/sezione!$B$247*B1389</f>
        <v>100.28785296758053</v>
      </c>
      <c r="D1389" s="603">
        <f>-'Sollecitazioni nel paramento'!$G$47*'Sollecitazioni nel paramento'!$G$41*IF(DATI!$G$211="dx",DATI!$E$61,DATI!$E$64*DATI!$E$63)*1000*C1389^2*sezione!$AD$5*(1-sezione!$AD$6)</f>
        <v>-223769191.37837863</v>
      </c>
      <c r="E1389" s="545">
        <f>-'Foglio deposito bis'!$F$68*(C1389-sezione!$AL$32)*IF(ABS(K1389)&lt;'Sollecitazioni nel paramento'!$G$58,ABS(K1389)*'Sollecitazioni nel paramento'!$G$54,'Sollecitazioni nel paramento'!$G$53)</f>
        <v>0</v>
      </c>
      <c r="F1389" s="545">
        <f>-'Foglio deposito bis'!$F$69*(C1389-sezione!$AM$32)*IF(ABS(L1389)&lt;'Sollecitazioni nel paramento'!$G$58,ABS(L1389)*'Sollecitazioni nel paramento'!$G$54,'Sollecitazioni nel paramento'!$G$53)</f>
        <v>-4582421.8129195161</v>
      </c>
      <c r="G1389" s="545">
        <f>-'Foglio deposito bis'!$F$70*(C1389-sezione!$AN$32)*IF(ABS(M1389)&lt;'Sollecitazioni nel paramento'!$G$58,ABS(M1389)*'Sollecitazioni nel paramento'!$G$54,'Sollecitazioni nel paramento'!$G$53)</f>
        <v>0</v>
      </c>
      <c r="H1389" s="545">
        <f>-'Foglio deposito bis'!$F$71*(C1389-sezione!$AO$32)*IF(ABS(N1389)&lt;'Sollecitazioni nel paramento'!$G$58,ABS(N1389)*'Sollecitazioni nel paramento'!$G$54,'Sollecitazioni nel paramento'!$G$53)</f>
        <v>18791748.808616105</v>
      </c>
      <c r="I1389" s="472">
        <f>-'Foglio deposito bis'!$F$72*(C1389-sezione!$AP$32)*IF(ABS(O1389)&lt;'Sollecitazioni nel paramento'!$G$58,ABS(O1389)*'Sollecitazioni nel paramento'!$G$54,'Sollecitazioni nel paramento'!$G$53)</f>
        <v>200966728.43532872</v>
      </c>
      <c r="J1389" s="472">
        <f t="shared" si="98"/>
        <v>-8593135.9473533332</v>
      </c>
      <c r="K1389" s="550">
        <f>'Sollecitazioni nel paramento'!$G$60*(sezione!$AL$32-C1389)/C1389</f>
        <v>-2.1040183745357779E-3</v>
      </c>
      <c r="L1389" s="550">
        <f>'Sollecitazioni nel paramento'!$G$60*(sezione!$AM$32-C1389)/C1389</f>
        <v>-1.4060275618036668E-3</v>
      </c>
      <c r="M1389" s="551">
        <f>'Sollecitazioni nel paramento'!$G$60*(sezione!$AN$32-C1389)/C1389</f>
        <v>-7.0803674907155554E-4</v>
      </c>
      <c r="N1389" s="551">
        <f>'Sollecitazioni nel paramento'!$G$60*(sezione!$AO$32-C1389)/C1389</f>
        <v>2.0839265018568892E-3</v>
      </c>
      <c r="O1389" s="551">
        <f>'Sollecitazioni nel paramento'!$G$60*(sezione!$AP$32-C1389)/C1389</f>
        <v>1.4263277633795061E-2</v>
      </c>
      <c r="P1389" s="545">
        <f>-'Sollecitazioni nel paramento'!$G$47*'Sollecitazioni nel paramento'!$G$41*IF(DATI!$G$211="dx",DATI!$E$61,DATI!$E$64*DATI!$E$63)*1000*C1389*sezione!$AD$5</f>
        <v>-3820666.3345059152</v>
      </c>
      <c r="Q1389" s="545">
        <f>'Foglio deposito bis'!$F$68*IF(ABS(K1389)&lt;'Sollecitazioni nel paramento'!$G$58,ABS(K1389)*'Sollecitazioni nel paramento'!$G$54,'Sollecitazioni nel paramento'!$G$53)*IF(K1389&lt;0,-1,1)</f>
        <v>0</v>
      </c>
      <c r="R1389" s="545">
        <f>'Foglio deposito bis'!$F$69*IF(ABS(L1389)&lt;'Sollecitazioni nel paramento'!$G$58,ABS(L1389)*'Sollecitazioni nel paramento'!$G$54,'Sollecitazioni nel paramento'!$G$53)*IF(L1389&lt;0,-1,1)</f>
        <v>-113742.02086685959</v>
      </c>
      <c r="S1389" s="545">
        <f>'Foglio deposito bis'!$F$70*IF(ABS(M1389)&lt;'Sollecitazioni nel paramento'!$G$58,ABS(M1389)*'Sollecitazioni nel paramento'!$G$54,'Sollecitazioni nel paramento'!$G$53)*IF(M1389&lt;0,-1,1)</f>
        <v>0</v>
      </c>
      <c r="T1389" s="545">
        <f>'Foglio deposito bis'!$F$71*IF(ABS(N1389)&lt;'Sollecitazioni nel paramento'!$G$58,ABS(N1389)*'Sollecitazioni nel paramento'!$G$54,'Sollecitazioni nel paramento'!$G$53)*IF(N1389&lt;0,-1,1)</f>
        <v>314705.62929873407</v>
      </c>
      <c r="U1389" s="545">
        <f>'Foglio deposito bis'!$F$72*IF(ABS(O1389)&lt;'Sollecitazioni nel paramento'!$G$58,ABS(O1389)*'Sollecitazioni nel paramento'!$G$54,'Sollecitazioni nel paramento'!$G$53)*IF(O1389&lt;0,-1,1)</f>
        <v>491727.54577927204</v>
      </c>
      <c r="V1389" s="472">
        <f t="shared" si="100"/>
        <v>-3127975.1802947689</v>
      </c>
      <c r="W1389" s="551"/>
      <c r="X1389" s="551"/>
    </row>
    <row r="1390" spans="1:24" x14ac:dyDescent="0.25">
      <c r="A1390" s="545">
        <f t="shared" si="99"/>
        <v>3187050.5498678884</v>
      </c>
      <c r="B1390" s="3">
        <f t="shared" si="97"/>
        <v>13.699999999999973</v>
      </c>
      <c r="C1390" s="545">
        <f>'Foglio deposito bis'!$E$158/sezione!$B$247*B1390</f>
        <v>101.77359893747061</v>
      </c>
      <c r="D1390" s="603">
        <f>-'Sollecitazioni nel paramento'!$G$47*'Sollecitazioni nel paramento'!$G$41*IF(DATI!$G$211="dx",DATI!$E$61,DATI!$E$64*DATI!$E$63)*1000*C1390^2*sezione!$AD$5*(1-sezione!$AD$6)</f>
        <v>-230448502.22116804</v>
      </c>
      <c r="E1390" s="545">
        <f>-'Foglio deposito bis'!$F$68*(C1390-sezione!$AL$32)*IF(ABS(K1390)&lt;'Sollecitazioni nel paramento'!$G$58,ABS(K1390)*'Sollecitazioni nel paramento'!$G$54,'Sollecitazioni nel paramento'!$G$53)</f>
        <v>0</v>
      </c>
      <c r="F1390" s="545">
        <f>-'Foglio deposito bis'!$F$69*(C1390-sezione!$AM$32)*IF(ABS(L1390)&lt;'Sollecitazioni nel paramento'!$G$58,ABS(L1390)*'Sollecitazioni nel paramento'!$G$54,'Sollecitazioni nel paramento'!$G$53)</f>
        <v>-4854715.7186741177</v>
      </c>
      <c r="G1390" s="545">
        <f>-'Foglio deposito bis'!$F$70*(C1390-sezione!$AN$32)*IF(ABS(M1390)&lt;'Sollecitazioni nel paramento'!$G$58,ABS(M1390)*'Sollecitazioni nel paramento'!$G$54,'Sollecitazioni nel paramento'!$G$53)</f>
        <v>0</v>
      </c>
      <c r="H1390" s="545">
        <f>-'Foglio deposito bis'!$F$71*(C1390-sezione!$AO$32)*IF(ABS(N1390)&lt;'Sollecitazioni nel paramento'!$G$58,ABS(N1390)*'Sollecitazioni nel paramento'!$G$54,'Sollecitazioni nel paramento'!$G$53)</f>
        <v>18324176.188183792</v>
      </c>
      <c r="I1390" s="472">
        <f>-'Foglio deposito bis'!$F$72*(C1390-sezione!$AP$32)*IF(ABS(O1390)&lt;'Sollecitazioni nel paramento'!$G$58,ABS(O1390)*'Sollecitazioni nel paramento'!$G$54,'Sollecitazioni nel paramento'!$G$53)</f>
        <v>200236146.21590322</v>
      </c>
      <c r="J1390" s="472">
        <f t="shared" si="98"/>
        <v>-16742895.535755157</v>
      </c>
      <c r="K1390" s="550">
        <f>'Sollecitazioni nel paramento'!$G$60*(sezione!$AL$32-C1390)/C1390</f>
        <v>-2.1243976683381753E-3</v>
      </c>
      <c r="L1390" s="550">
        <f>'Sollecitazioni nel paramento'!$G$60*(sezione!$AM$32-C1390)/C1390</f>
        <v>-1.4365965025072626E-3</v>
      </c>
      <c r="M1390" s="551">
        <f>'Sollecitazioni nel paramento'!$G$60*(sezione!$AN$32-C1390)/C1390</f>
        <v>-7.4879533667635012E-4</v>
      </c>
      <c r="N1390" s="551">
        <f>'Sollecitazioni nel paramento'!$G$60*(sezione!$AO$32-C1390)/C1390</f>
        <v>2.0024093266473001E-3</v>
      </c>
      <c r="O1390" s="551">
        <f>'Sollecitazioni nel paramento'!$G$60*(sezione!$AP$32-C1390)/C1390</f>
        <v>1.4003959712133821E-2</v>
      </c>
      <c r="P1390" s="545">
        <f>-'Sollecitazioni nel paramento'!$G$47*'Sollecitazioni nel paramento'!$G$41*IF(DATI!$G$211="dx",DATI!$E$61,DATI!$E$64*DATI!$E$63)*1000*C1390*sezione!$AD$5</f>
        <v>-3877268.7987208171</v>
      </c>
      <c r="Q1390" s="545">
        <f>'Foglio deposito bis'!$F$68*IF(ABS(K1390)&lt;'Sollecitazioni nel paramento'!$G$58,ABS(K1390)*'Sollecitazioni nel paramento'!$G$54,'Sollecitazioni nel paramento'!$G$53)*IF(K1390&lt;0,-1,1)</f>
        <v>0</v>
      </c>
      <c r="R1390" s="545">
        <f>'Foglio deposito bis'!$F$69*IF(ABS(L1390)&lt;'Sollecitazioni nel paramento'!$G$58,ABS(L1390)*'Sollecitazioni nel paramento'!$G$54,'Sollecitazioni nel paramento'!$G$53)*IF(L1390&lt;0,-1,1)</f>
        <v>-116214.92622507738</v>
      </c>
      <c r="S1390" s="545">
        <f>'Foglio deposito bis'!$F$70*IF(ABS(M1390)&lt;'Sollecitazioni nel paramento'!$G$58,ABS(M1390)*'Sollecitazioni nel paramento'!$G$54,'Sollecitazioni nel paramento'!$G$53)*IF(M1390&lt;0,-1,1)</f>
        <v>0</v>
      </c>
      <c r="T1390" s="545">
        <f>'Foglio deposito bis'!$F$71*IF(ABS(N1390)&lt;'Sollecitazioni nel paramento'!$G$58,ABS(N1390)*'Sollecitazioni nel paramento'!$G$54,'Sollecitazioni nel paramento'!$G$53)*IF(N1390&lt;0,-1,1)</f>
        <v>314705.62929873407</v>
      </c>
      <c r="U1390" s="545">
        <f>'Foglio deposito bis'!$F$72*IF(ABS(O1390)&lt;'Sollecitazioni nel paramento'!$G$58,ABS(O1390)*'Sollecitazioni nel paramento'!$G$54,'Sollecitazioni nel paramento'!$G$53)*IF(O1390&lt;0,-1,1)</f>
        <v>491727.54577927204</v>
      </c>
      <c r="V1390" s="472">
        <f t="shared" si="100"/>
        <v>-3187050.5498678884</v>
      </c>
      <c r="W1390" s="551"/>
      <c r="X1390" s="551"/>
    </row>
    <row r="1391" spans="1:24" x14ac:dyDescent="0.25">
      <c r="A1391" s="545">
        <f t="shared" si="99"/>
        <v>3246054.7566968873</v>
      </c>
      <c r="B1391" s="3">
        <f t="shared" si="97"/>
        <v>13.899999999999972</v>
      </c>
      <c r="C1391" s="545">
        <f>'Foglio deposito bis'!$E$158/sezione!$B$247*B1391</f>
        <v>103.25934490736068</v>
      </c>
      <c r="D1391" s="603">
        <f>-'Sollecitazioni nel paramento'!$G$47*'Sollecitazioni nel paramento'!$G$41*IF(DATI!$G$211="dx",DATI!$E$61,DATI!$E$64*DATI!$E$63)*1000*C1391^2*sezione!$AD$5*(1-sezione!$AD$6)</f>
        <v>-237226038.22341025</v>
      </c>
      <c r="E1391" s="545">
        <f>-'Foglio deposito bis'!$F$68*(C1391-sezione!$AL$32)*IF(ABS(K1391)&lt;'Sollecitazioni nel paramento'!$G$58,ABS(K1391)*'Sollecitazioni nel paramento'!$G$54,'Sollecitazioni nel paramento'!$G$53)</f>
        <v>0</v>
      </c>
      <c r="F1391" s="545">
        <f>-'Foglio deposito bis'!$F$69*(C1391-sezione!$AM$32)*IF(ABS(L1391)&lt;'Sollecitazioni nel paramento'!$G$58,ABS(L1391)*'Sollecitazioni nel paramento'!$G$54,'Sollecitazioni nel paramento'!$G$53)</f>
        <v>-5131279.3890760019</v>
      </c>
      <c r="G1391" s="545">
        <f>-'Foglio deposito bis'!$F$70*(C1391-sezione!$AN$32)*IF(ABS(M1391)&lt;'Sollecitazioni nel paramento'!$G$58,ABS(M1391)*'Sollecitazioni nel paramento'!$G$54,'Sollecitazioni nel paramento'!$G$53)</f>
        <v>0</v>
      </c>
      <c r="H1391" s="545">
        <f>-'Foglio deposito bis'!$F$71*(C1391-sezione!$AO$32)*IF(ABS(N1391)&lt;'Sollecitazioni nel paramento'!$G$58,ABS(N1391)*'Sollecitazioni nel paramento'!$G$54,'Sollecitazioni nel paramento'!$G$53)</f>
        <v>17856603.567751478</v>
      </c>
      <c r="I1391" s="472">
        <f>-'Foglio deposito bis'!$F$72*(C1391-sezione!$AP$32)*IF(ABS(O1391)&lt;'Sollecitazioni nel paramento'!$G$58,ABS(O1391)*'Sollecitazioni nel paramento'!$G$54,'Sollecitazioni nel paramento'!$G$53)</f>
        <v>199505563.99647772</v>
      </c>
      <c r="J1391" s="472">
        <f t="shared" si="98"/>
        <v>-24995150.048257053</v>
      </c>
      <c r="K1391" s="550">
        <f>'Sollecitazioni nel paramento'!$G$60*(sezione!$AL$32-C1391)/C1391</f>
        <v>-2.1441905076426617E-3</v>
      </c>
      <c r="L1391" s="550">
        <f>'Sollecitazioni nel paramento'!$G$60*(sezione!$AM$32-C1391)/C1391</f>
        <v>-1.4662857614639927E-3</v>
      </c>
      <c r="M1391" s="551">
        <f>'Sollecitazioni nel paramento'!$G$60*(sezione!$AN$32-C1391)/C1391</f>
        <v>-7.8838101528532335E-4</v>
      </c>
      <c r="N1391" s="551">
        <f>'Sollecitazioni nel paramento'!$G$60*(sezione!$AO$32-C1391)/C1391</f>
        <v>1.9232379694293534E-3</v>
      </c>
      <c r="O1391" s="551">
        <f>'Sollecitazioni nel paramento'!$G$60*(sezione!$AP$32-C1391)/C1391</f>
        <v>1.3752104176707436E-2</v>
      </c>
      <c r="P1391" s="545">
        <f>-'Sollecitazioni nel paramento'!$G$47*'Sollecitazioni nel paramento'!$G$41*IF(DATI!$G$211="dx",DATI!$E$61,DATI!$E$64*DATI!$E$63)*1000*C1391*sezione!$AD$5</f>
        <v>-3933871.2629357195</v>
      </c>
      <c r="Q1391" s="545">
        <f>'Foglio deposito bis'!$F$68*IF(ABS(K1391)&lt;'Sollecitazioni nel paramento'!$G$58,ABS(K1391)*'Sollecitazioni nel paramento'!$G$54,'Sollecitazioni nel paramento'!$G$53)*IF(K1391&lt;0,-1,1)</f>
        <v>0</v>
      </c>
      <c r="R1391" s="545">
        <f>'Foglio deposito bis'!$F$69*IF(ABS(L1391)&lt;'Sollecitazioni nel paramento'!$G$58,ABS(L1391)*'Sollecitazioni nel paramento'!$G$54,'Sollecitazioni nel paramento'!$G$53)*IF(L1391&lt;0,-1,1)</f>
        <v>-118616.66883917381</v>
      </c>
      <c r="S1391" s="545">
        <f>'Foglio deposito bis'!$F$70*IF(ABS(M1391)&lt;'Sollecitazioni nel paramento'!$G$58,ABS(M1391)*'Sollecitazioni nel paramento'!$G$54,'Sollecitazioni nel paramento'!$G$53)*IF(M1391&lt;0,-1,1)</f>
        <v>0</v>
      </c>
      <c r="T1391" s="545">
        <f>'Foglio deposito bis'!$F$71*IF(ABS(N1391)&lt;'Sollecitazioni nel paramento'!$G$58,ABS(N1391)*'Sollecitazioni nel paramento'!$G$54,'Sollecitazioni nel paramento'!$G$53)*IF(N1391&lt;0,-1,1)</f>
        <v>314705.62929873407</v>
      </c>
      <c r="U1391" s="545">
        <f>'Foglio deposito bis'!$F$72*IF(ABS(O1391)&lt;'Sollecitazioni nel paramento'!$G$58,ABS(O1391)*'Sollecitazioni nel paramento'!$G$54,'Sollecitazioni nel paramento'!$G$53)*IF(O1391&lt;0,-1,1)</f>
        <v>491727.54577927204</v>
      </c>
      <c r="V1391" s="472">
        <f t="shared" si="100"/>
        <v>-3246054.7566968873</v>
      </c>
      <c r="W1391" s="551"/>
      <c r="X1391" s="551"/>
    </row>
    <row r="1392" spans="1:24" x14ac:dyDescent="0.25">
      <c r="A1392" s="545">
        <f t="shared" si="99"/>
        <v>3313808.5612041457</v>
      </c>
      <c r="B1392" s="3">
        <f t="shared" si="97"/>
        <v>14.099999999999971</v>
      </c>
      <c r="C1392" s="545">
        <f>'Foglio deposito bis'!$E$158/sezione!$B$247*B1392</f>
        <v>104.74509087725077</v>
      </c>
      <c r="D1392" s="603">
        <f>-'Sollecitazioni nel paramento'!$G$47*'Sollecitazioni nel paramento'!$G$41*IF(DATI!$G$211="dx",DATI!$E$61,DATI!$E$64*DATI!$E$63)*1000*C1392^2*sezione!$AD$5*(1-sezione!$AD$6)</f>
        <v>-244101799.38510534</v>
      </c>
      <c r="E1392" s="545">
        <f>-'Foglio deposito bis'!$F$68*(C1392-sezione!$AL$32)*IF(ABS(K1392)&lt;'Sollecitazioni nel paramento'!$G$58,ABS(K1392)*'Sollecitazioni nel paramento'!$G$54,'Sollecitazioni nel paramento'!$G$53)</f>
        <v>0</v>
      </c>
      <c r="F1392" s="545">
        <f>-'Foglio deposito bis'!$F$69*(C1392-sezione!$AM$32)*IF(ABS(L1392)&lt;'Sollecitazioni nel paramento'!$G$58,ABS(L1392)*'Sollecitazioni nel paramento'!$G$54,'Sollecitazioni nel paramento'!$G$53)</f>
        <v>-5411931.1320125218</v>
      </c>
      <c r="G1392" s="545">
        <f>-'Foglio deposito bis'!$F$70*(C1392-sezione!$AN$32)*IF(ABS(M1392)&lt;'Sollecitazioni nel paramento'!$G$58,ABS(M1392)*'Sollecitazioni nel paramento'!$G$54,'Sollecitazioni nel paramento'!$G$53)</f>
        <v>0</v>
      </c>
      <c r="H1392" s="545">
        <f>-'Foglio deposito bis'!$F$71*(C1392-sezione!$AO$32)*IF(ABS(N1392)&lt;'Sollecitazioni nel paramento'!$G$58,ABS(N1392)*'Sollecitazioni nel paramento'!$G$54,'Sollecitazioni nel paramento'!$G$53)</f>
        <v>16901807.954806499</v>
      </c>
      <c r="I1392" s="472">
        <f>-'Foglio deposito bis'!$F$72*(C1392-sezione!$AP$32)*IF(ABS(O1392)&lt;'Sollecitazioni nel paramento'!$G$58,ABS(O1392)*'Sollecitazioni nel paramento'!$G$54,'Sollecitazioni nel paramento'!$G$53)</f>
        <v>198774981.77705222</v>
      </c>
      <c r="J1392" s="472">
        <f t="shared" si="98"/>
        <v>-33836940.785259128</v>
      </c>
      <c r="K1392" s="550">
        <f>'Sollecitazioni nel paramento'!$G$60*(sezione!$AL$32-C1392)/C1392</f>
        <v>-2.163421847959787E-3</v>
      </c>
      <c r="L1392" s="550">
        <f>'Sollecitazioni nel paramento'!$G$60*(sezione!$AM$32-C1392)/C1392</f>
        <v>-1.4951327719396807E-3</v>
      </c>
      <c r="M1392" s="551">
        <f>'Sollecitazioni nel paramento'!$G$60*(sezione!$AN$32-C1392)/C1392</f>
        <v>-8.268436959195742E-4</v>
      </c>
      <c r="N1392" s="551">
        <f>'Sollecitazioni nel paramento'!$G$60*(sezione!$AO$32-C1392)/C1392</f>
        <v>1.8463126081608514E-3</v>
      </c>
      <c r="O1392" s="551">
        <f>'Sollecitazioni nel paramento'!$G$60*(sezione!$AP$32-C1392)/C1392</f>
        <v>1.3507393479165486E-2</v>
      </c>
      <c r="P1392" s="545">
        <f>-'Sollecitazioni nel paramento'!$G$47*'Sollecitazioni nel paramento'!$G$41*IF(DATI!$G$211="dx",DATI!$E$61,DATI!$E$64*DATI!$E$63)*1000*C1392*sezione!$AD$5</f>
        <v>-3990473.7271506218</v>
      </c>
      <c r="Q1392" s="545">
        <f>'Foglio deposito bis'!$F$68*IF(ABS(K1392)&lt;'Sollecitazioni nel paramento'!$G$58,ABS(K1392)*'Sollecitazioni nel paramento'!$G$54,'Sollecitazioni nel paramento'!$G$53)*IF(K1392&lt;0,-1,1)</f>
        <v>0</v>
      </c>
      <c r="R1392" s="545">
        <f>'Foglio deposito bis'!$F$69*IF(ABS(L1392)&lt;'Sollecitazioni nel paramento'!$G$58,ABS(L1392)*'Sollecitazioni nel paramento'!$G$54,'Sollecitazioni nel paramento'!$G$53)*IF(L1392&lt;0,-1,1)</f>
        <v>-120950.27691102639</v>
      </c>
      <c r="S1392" s="545">
        <f>'Foglio deposito bis'!$F$70*IF(ABS(M1392)&lt;'Sollecitazioni nel paramento'!$G$58,ABS(M1392)*'Sollecitazioni nel paramento'!$G$54,'Sollecitazioni nel paramento'!$G$53)*IF(M1392&lt;0,-1,1)</f>
        <v>0</v>
      </c>
      <c r="T1392" s="545">
        <f>'Foglio deposito bis'!$F$71*IF(ABS(N1392)&lt;'Sollecitazioni nel paramento'!$G$58,ABS(N1392)*'Sollecitazioni nel paramento'!$G$54,'Sollecitazioni nel paramento'!$G$53)*IF(N1392&lt;0,-1,1)</f>
        <v>305887.89707823057</v>
      </c>
      <c r="U1392" s="545">
        <f>'Foglio deposito bis'!$F$72*IF(ABS(O1392)&lt;'Sollecitazioni nel paramento'!$G$58,ABS(O1392)*'Sollecitazioni nel paramento'!$G$54,'Sollecitazioni nel paramento'!$G$53)*IF(O1392&lt;0,-1,1)</f>
        <v>491727.54577927204</v>
      </c>
      <c r="V1392" s="472">
        <f t="shared" si="100"/>
        <v>-3313808.5612041457</v>
      </c>
      <c r="W1392" s="551"/>
      <c r="X1392" s="551"/>
    </row>
    <row r="1393" spans="1:24" x14ac:dyDescent="0.25">
      <c r="A1393" s="545">
        <f t="shared" si="99"/>
        <v>3385067.4766596206</v>
      </c>
      <c r="B1393" s="3">
        <f t="shared" si="97"/>
        <v>14.299999999999971</v>
      </c>
      <c r="C1393" s="545">
        <f>'Foglio deposito bis'!$E$158/sezione!$B$247*B1393</f>
        <v>106.23083684714085</v>
      </c>
      <c r="D1393" s="603">
        <f>-'Sollecitazioni nel paramento'!$G$47*'Sollecitazioni nel paramento'!$G$41*IF(DATI!$G$211="dx",DATI!$E$61,DATI!$E$64*DATI!$E$63)*1000*C1393^2*sezione!$AD$5*(1-sezione!$AD$6)</f>
        <v>-251075785.70625317</v>
      </c>
      <c r="E1393" s="545">
        <f>-'Foglio deposito bis'!$F$68*(C1393-sezione!$AL$32)*IF(ABS(K1393)&lt;'Sollecitazioni nel paramento'!$G$58,ABS(K1393)*'Sollecitazioni nel paramento'!$G$54,'Sollecitazioni nel paramento'!$G$53)</f>
        <v>0</v>
      </c>
      <c r="F1393" s="545">
        <f>-'Foglio deposito bis'!$F$69*(C1393-sezione!$AM$32)*IF(ABS(L1393)&lt;'Sollecitazioni nel paramento'!$G$58,ABS(L1393)*'Sollecitazioni nel paramento'!$G$54,'Sollecitazioni nel paramento'!$G$53)</f>
        <v>-5696499.4199647354</v>
      </c>
      <c r="G1393" s="545">
        <f>-'Foglio deposito bis'!$F$70*(C1393-sezione!$AN$32)*IF(ABS(M1393)&lt;'Sollecitazioni nel paramento'!$G$58,ABS(M1393)*'Sollecitazioni nel paramento'!$G$54,'Sollecitazioni nel paramento'!$G$53)</f>
        <v>0</v>
      </c>
      <c r="H1393" s="545">
        <f>-'Foglio deposito bis'!$F$71*(C1393-sezione!$AO$32)*IF(ABS(N1393)&lt;'Sollecitazioni nel paramento'!$G$58,ABS(N1393)*'Sollecitazioni nel paramento'!$G$54,'Sollecitazioni nel paramento'!$G$53)</f>
        <v>15781237.457172604</v>
      </c>
      <c r="I1393" s="472">
        <f>-'Foglio deposito bis'!$F$72*(C1393-sezione!$AP$32)*IF(ABS(O1393)&lt;'Sollecitazioni nel paramento'!$G$58,ABS(O1393)*'Sollecitazioni nel paramento'!$G$54,'Sollecitazioni nel paramento'!$G$53)</f>
        <v>198044399.55762675</v>
      </c>
      <c r="J1393" s="472">
        <f t="shared" si="98"/>
        <v>-42946648.111418545</v>
      </c>
      <c r="K1393" s="550">
        <f>'Sollecitazioni nel paramento'!$G$60*(sezione!$AL$32-C1393)/C1393</f>
        <v>-2.1821152486876222E-3</v>
      </c>
      <c r="L1393" s="550">
        <f>'Sollecitazioni nel paramento'!$G$60*(sezione!$AM$32-C1393)/C1393</f>
        <v>-1.5231728730314335E-3</v>
      </c>
      <c r="M1393" s="551">
        <f>'Sollecitazioni nel paramento'!$G$60*(sezione!$AN$32-C1393)/C1393</f>
        <v>-8.642304973752443E-4</v>
      </c>
      <c r="N1393" s="551">
        <f>'Sollecitazioni nel paramento'!$G$60*(sezione!$AO$32-C1393)/C1393</f>
        <v>1.7715390052495115E-3</v>
      </c>
      <c r="O1393" s="551">
        <f>'Sollecitazioni nel paramento'!$G$60*(sezione!$AP$32-C1393)/C1393</f>
        <v>1.3269527836100236E-2</v>
      </c>
      <c r="P1393" s="545">
        <f>-'Sollecitazioni nel paramento'!$G$47*'Sollecitazioni nel paramento'!$G$41*IF(DATI!$G$211="dx",DATI!$E$61,DATI!$E$64*DATI!$E$63)*1000*C1393*sezione!$AD$5</f>
        <v>-4047076.1913655237</v>
      </c>
      <c r="Q1393" s="545">
        <f>'Foglio deposito bis'!$F$68*IF(ABS(K1393)&lt;'Sollecitazioni nel paramento'!$G$58,ABS(K1393)*'Sollecitazioni nel paramento'!$G$54,'Sollecitazioni nel paramento'!$G$53)*IF(K1393&lt;0,-1,1)</f>
        <v>0</v>
      </c>
      <c r="R1393" s="545">
        <f>'Foglio deposito bis'!$F$69*IF(ABS(L1393)&lt;'Sollecitazioni nel paramento'!$G$58,ABS(L1393)*'Sollecitazioni nel paramento'!$G$54,'Sollecitazioni nel paramento'!$G$53)*IF(L1393&lt;0,-1,1)</f>
        <v>-123218.60923261735</v>
      </c>
      <c r="S1393" s="545">
        <f>'Foglio deposito bis'!$F$70*IF(ABS(M1393)&lt;'Sollecitazioni nel paramento'!$G$58,ABS(M1393)*'Sollecitazioni nel paramento'!$G$54,'Sollecitazioni nel paramento'!$G$53)*IF(M1393&lt;0,-1,1)</f>
        <v>0</v>
      </c>
      <c r="T1393" s="545">
        <f>'Foglio deposito bis'!$F$71*IF(ABS(N1393)&lt;'Sollecitazioni nel paramento'!$G$58,ABS(N1393)*'Sollecitazioni nel paramento'!$G$54,'Sollecitazioni nel paramento'!$G$53)*IF(N1393&lt;0,-1,1)</f>
        <v>293499.77815924858</v>
      </c>
      <c r="U1393" s="545">
        <f>'Foglio deposito bis'!$F$72*IF(ABS(O1393)&lt;'Sollecitazioni nel paramento'!$G$58,ABS(O1393)*'Sollecitazioni nel paramento'!$G$54,'Sollecitazioni nel paramento'!$G$53)*IF(O1393&lt;0,-1,1)</f>
        <v>491727.54577927204</v>
      </c>
      <c r="V1393" s="472">
        <f t="shared" si="100"/>
        <v>-3385067.4766596206</v>
      </c>
      <c r="W1393" s="551"/>
      <c r="X1393" s="551"/>
    </row>
    <row r="1394" spans="1:24" x14ac:dyDescent="0.25">
      <c r="A1394" s="545">
        <f t="shared" si="99"/>
        <v>3455922.0762188039</v>
      </c>
      <c r="B1394" s="3">
        <f t="shared" si="97"/>
        <v>14.49999999999997</v>
      </c>
      <c r="C1394" s="545">
        <f>'Foglio deposito bis'!$E$158/sezione!$B$247*B1394</f>
        <v>107.71658281703093</v>
      </c>
      <c r="D1394" s="603">
        <f>-'Sollecitazioni nel paramento'!$G$47*'Sollecitazioni nel paramento'!$G$41*IF(DATI!$G$211="dx",DATI!$E$61,DATI!$E$64*DATI!$E$63)*1000*C1394^2*sezione!$AD$5*(1-sezione!$AD$6)</f>
        <v>-258147997.18685374</v>
      </c>
      <c r="E1394" s="545">
        <f>-'Foglio deposito bis'!$F$68*(C1394-sezione!$AL$32)*IF(ABS(K1394)&lt;'Sollecitazioni nel paramento'!$G$58,ABS(K1394)*'Sollecitazioni nel paramento'!$G$54,'Sollecitazioni nel paramento'!$G$53)</f>
        <v>0</v>
      </c>
      <c r="F1394" s="545">
        <f>-'Foglio deposito bis'!$F$69*(C1394-sezione!$AM$32)*IF(ABS(L1394)&lt;'Sollecitazioni nel paramento'!$G$58,ABS(L1394)*'Sollecitazioni nel paramento'!$G$54,'Sollecitazioni nel paramento'!$G$53)</f>
        <v>-5984822.1890009623</v>
      </c>
      <c r="G1394" s="545">
        <f>-'Foglio deposito bis'!$F$70*(C1394-sezione!$AN$32)*IF(ABS(M1394)&lt;'Sollecitazioni nel paramento'!$G$58,ABS(M1394)*'Sollecitazioni nel paramento'!$G$54,'Sollecitazioni nel paramento'!$G$53)</f>
        <v>0</v>
      </c>
      <c r="H1394" s="545">
        <f>-'Foglio deposito bis'!$F$71*(C1394-sezione!$AO$32)*IF(ABS(N1394)&lt;'Sollecitazioni nel paramento'!$G$58,ABS(N1394)*'Sollecitazioni nel paramento'!$G$54,'Sollecitazioni nel paramento'!$G$53)</f>
        <v>14715345.553388007</v>
      </c>
      <c r="I1394" s="472">
        <f>-'Foglio deposito bis'!$F$72*(C1394-sezione!$AP$32)*IF(ABS(O1394)&lt;'Sollecitazioni nel paramento'!$G$58,ABS(O1394)*'Sollecitazioni nel paramento'!$G$54,'Sollecitazioni nel paramento'!$G$53)</f>
        <v>197313817.33820125</v>
      </c>
      <c r="J1394" s="472">
        <f t="shared" si="98"/>
        <v>-52103656.484265447</v>
      </c>
      <c r="K1394" s="550">
        <f>'Sollecitazioni nel paramento'!$G$60*(sezione!$AL$32-C1394)/C1394</f>
        <v>-2.200292969395379E-3</v>
      </c>
      <c r="L1394" s="550">
        <f>'Sollecitazioni nel paramento'!$G$60*(sezione!$AM$32-C1394)/C1394</f>
        <v>-1.5504394540930685E-3</v>
      </c>
      <c r="M1394" s="551">
        <f>'Sollecitazioni nel paramento'!$G$60*(sezione!$AN$32-C1394)/C1394</f>
        <v>-9.005859387907581E-4</v>
      </c>
      <c r="N1394" s="551">
        <f>'Sollecitazioni nel paramento'!$G$60*(sezione!$AO$32-C1394)/C1394</f>
        <v>1.6988281224184839E-3</v>
      </c>
      <c r="O1394" s="551">
        <f>'Sollecitazioni nel paramento'!$G$60*(sezione!$AP$32-C1394)/C1394</f>
        <v>1.3038224003878164E-2</v>
      </c>
      <c r="P1394" s="545">
        <f>-'Sollecitazioni nel paramento'!$G$47*'Sollecitazioni nel paramento'!$G$41*IF(DATI!$G$211="dx",DATI!$E$61,DATI!$E$64*DATI!$E$63)*1000*C1394*sezione!$AD$5</f>
        <v>-4103678.6555804261</v>
      </c>
      <c r="Q1394" s="545">
        <f>'Foglio deposito bis'!$F$68*IF(ABS(K1394)&lt;'Sollecitazioni nel paramento'!$G$58,ABS(K1394)*'Sollecitazioni nel paramento'!$G$54,'Sollecitazioni nel paramento'!$G$53)*IF(K1394&lt;0,-1,1)</f>
        <v>0</v>
      </c>
      <c r="R1394" s="545">
        <f>'Foglio deposito bis'!$F$69*IF(ABS(L1394)&lt;'Sollecitazioni nel paramento'!$G$58,ABS(L1394)*'Sollecitazioni nel paramento'!$G$54,'Sollecitazioni nel paramento'!$G$53)*IF(L1394&lt;0,-1,1)</f>
        <v>-125424.36686947475</v>
      </c>
      <c r="S1394" s="545">
        <f>'Foglio deposito bis'!$F$70*IF(ABS(M1394)&lt;'Sollecitazioni nel paramento'!$G$58,ABS(M1394)*'Sollecitazioni nel paramento'!$G$54,'Sollecitazioni nel paramento'!$G$53)*IF(M1394&lt;0,-1,1)</f>
        <v>0</v>
      </c>
      <c r="T1394" s="545">
        <f>'Foglio deposito bis'!$F$71*IF(ABS(N1394)&lt;'Sollecitazioni nel paramento'!$G$58,ABS(N1394)*'Sollecitazioni nel paramento'!$G$54,'Sollecitazioni nel paramento'!$G$53)*IF(N1394&lt;0,-1,1)</f>
        <v>281453.40045182465</v>
      </c>
      <c r="U1394" s="545">
        <f>'Foglio deposito bis'!$F$72*IF(ABS(O1394)&lt;'Sollecitazioni nel paramento'!$G$58,ABS(O1394)*'Sollecitazioni nel paramento'!$G$54,'Sollecitazioni nel paramento'!$G$53)*IF(O1394&lt;0,-1,1)</f>
        <v>491727.54577927204</v>
      </c>
      <c r="V1394" s="472">
        <f t="shared" si="100"/>
        <v>-3455922.0762188039</v>
      </c>
      <c r="W1394" s="551"/>
      <c r="X1394" s="551"/>
    </row>
    <row r="1395" spans="1:24" x14ac:dyDescent="0.25">
      <c r="A1395" s="545">
        <f t="shared" si="99"/>
        <v>3526388.862571341</v>
      </c>
      <c r="B1395" s="3">
        <f t="shared" si="97"/>
        <v>14.699999999999969</v>
      </c>
      <c r="C1395" s="545">
        <f>'Foglio deposito bis'!$E$158/sezione!$B$247*B1395</f>
        <v>109.20232878692102</v>
      </c>
      <c r="D1395" s="603">
        <f>-'Sollecitazioni nel paramento'!$G$47*'Sollecitazioni nel paramento'!$G$41*IF(DATI!$G$211="dx",DATI!$E$61,DATI!$E$64*DATI!$E$63)*1000*C1395^2*sezione!$AD$5*(1-sezione!$AD$6)</f>
        <v>-265318433.82690716</v>
      </c>
      <c r="E1395" s="545">
        <f>-'Foglio deposito bis'!$F$68*(C1395-sezione!$AL$32)*IF(ABS(K1395)&lt;'Sollecitazioni nel paramento'!$G$58,ABS(K1395)*'Sollecitazioni nel paramento'!$G$54,'Sollecitazioni nel paramento'!$G$53)</f>
        <v>0</v>
      </c>
      <c r="F1395" s="545">
        <f>-'Foglio deposito bis'!$F$69*(C1395-sezione!$AM$32)*IF(ABS(L1395)&lt;'Sollecitazioni nel paramento'!$G$58,ABS(L1395)*'Sollecitazioni nel paramento'!$G$54,'Sollecitazioni nel paramento'!$G$53)</f>
        <v>-6276746.194995326</v>
      </c>
      <c r="G1395" s="545">
        <f>-'Foglio deposito bis'!$F$70*(C1395-sezione!$AN$32)*IF(ABS(M1395)&lt;'Sollecitazioni nel paramento'!$G$58,ABS(M1395)*'Sollecitazioni nel paramento'!$G$54,'Sollecitazioni nel paramento'!$G$53)</f>
        <v>0</v>
      </c>
      <c r="H1395" s="545">
        <f>-'Foglio deposito bis'!$F$71*(C1395-sezione!$AO$32)*IF(ABS(N1395)&lt;'Sollecitazioni nel paramento'!$G$58,ABS(N1395)*'Sollecitazioni nel paramento'!$G$54,'Sollecitazioni nel paramento'!$G$53)</f>
        <v>13701900.464111909</v>
      </c>
      <c r="I1395" s="472">
        <f>-'Foglio deposito bis'!$F$72*(C1395-sezione!$AP$32)*IF(ABS(O1395)&lt;'Sollecitazioni nel paramento'!$G$58,ABS(O1395)*'Sollecitazioni nel paramento'!$G$54,'Sollecitazioni nel paramento'!$G$53)</f>
        <v>196583235.11877576</v>
      </c>
      <c r="J1395" s="472">
        <f t="shared" si="98"/>
        <v>-61310044.439014822</v>
      </c>
      <c r="K1395" s="550">
        <f>'Sollecitazioni nel paramento'!$G$60*(sezione!$AL$32-C1395)/C1395</f>
        <v>-2.2179760582471428E-3</v>
      </c>
      <c r="L1395" s="550">
        <f>'Sollecitazioni nel paramento'!$G$60*(sezione!$AM$32-C1395)/C1395</f>
        <v>-1.5769640873707141E-3</v>
      </c>
      <c r="M1395" s="551">
        <f>'Sollecitazioni nel paramento'!$G$60*(sezione!$AN$32-C1395)/C1395</f>
        <v>-9.3595211649428545E-4</v>
      </c>
      <c r="N1395" s="551">
        <f>'Sollecitazioni nel paramento'!$G$60*(sezione!$AO$32-C1395)/C1395</f>
        <v>1.6280957670114294E-3</v>
      </c>
      <c r="O1395" s="551">
        <f>'Sollecitazioni nel paramento'!$G$60*(sezione!$AP$32-C1395)/C1395</f>
        <v>1.2813214153485263E-2</v>
      </c>
      <c r="P1395" s="545">
        <f>-'Sollecitazioni nel paramento'!$G$47*'Sollecitazioni nel paramento'!$G$41*IF(DATI!$G$211="dx",DATI!$E$61,DATI!$E$64*DATI!$E$63)*1000*C1395*sezione!$AD$5</f>
        <v>-4160281.1197953289</v>
      </c>
      <c r="Q1395" s="545">
        <f>'Foglio deposito bis'!$F$68*IF(ABS(K1395)&lt;'Sollecitazioni nel paramento'!$G$58,ABS(K1395)*'Sollecitazioni nel paramento'!$G$54,'Sollecitazioni nel paramento'!$G$53)*IF(K1395&lt;0,-1,1)</f>
        <v>0</v>
      </c>
      <c r="R1395" s="545">
        <f>'Foglio deposito bis'!$F$69*IF(ABS(L1395)&lt;'Sollecitazioni nel paramento'!$G$58,ABS(L1395)*'Sollecitazioni nel paramento'!$G$54,'Sollecitazioni nel paramento'!$G$53)*IF(L1395&lt;0,-1,1)</f>
        <v>-127570.10389036327</v>
      </c>
      <c r="S1395" s="545">
        <f>'Foglio deposito bis'!$F$70*IF(ABS(M1395)&lt;'Sollecitazioni nel paramento'!$G$58,ABS(M1395)*'Sollecitazioni nel paramento'!$G$54,'Sollecitazioni nel paramento'!$G$53)*IF(M1395&lt;0,-1,1)</f>
        <v>0</v>
      </c>
      <c r="T1395" s="545">
        <f>'Foglio deposito bis'!$F$71*IF(ABS(N1395)&lt;'Sollecitazioni nel paramento'!$G$58,ABS(N1395)*'Sollecitazioni nel paramento'!$G$54,'Sollecitazioni nel paramento'!$G$53)*IF(N1395&lt;0,-1,1)</f>
        <v>269734.81533507886</v>
      </c>
      <c r="U1395" s="545">
        <f>'Foglio deposito bis'!$F$72*IF(ABS(O1395)&lt;'Sollecitazioni nel paramento'!$G$58,ABS(O1395)*'Sollecitazioni nel paramento'!$G$54,'Sollecitazioni nel paramento'!$G$53)*IF(O1395&lt;0,-1,1)</f>
        <v>491727.54577927204</v>
      </c>
      <c r="V1395" s="472">
        <f t="shared" si="100"/>
        <v>-3526388.862571341</v>
      </c>
      <c r="W1395" s="551"/>
      <c r="X1395" s="551"/>
    </row>
    <row r="1396" spans="1:24" x14ac:dyDescent="0.25">
      <c r="A1396" s="545">
        <f t="shared" si="99"/>
        <v>3596483.4523564251</v>
      </c>
      <c r="B1396" s="3">
        <f t="shared" si="97"/>
        <v>14.899999999999968</v>
      </c>
      <c r="C1396" s="545">
        <f>'Foglio deposito bis'!$E$158/sezione!$B$247*B1396</f>
        <v>110.68807475681109</v>
      </c>
      <c r="D1396" s="603">
        <f>-'Sollecitazioni nel paramento'!$G$47*'Sollecitazioni nel paramento'!$G$41*IF(DATI!$G$211="dx",DATI!$E$61,DATI!$E$64*DATI!$E$63)*1000*C1396^2*sezione!$AD$5*(1-sezione!$AD$6)</f>
        <v>-272587095.62641335</v>
      </c>
      <c r="E1396" s="545">
        <f>-'Foglio deposito bis'!$F$68*(C1396-sezione!$AL$32)*IF(ABS(K1396)&lt;'Sollecitazioni nel paramento'!$G$58,ABS(K1396)*'Sollecitazioni nel paramento'!$G$54,'Sollecitazioni nel paramento'!$G$53)</f>
        <v>0</v>
      </c>
      <c r="F1396" s="545">
        <f>-'Foglio deposito bis'!$F$69*(C1396-sezione!$AM$32)*IF(ABS(L1396)&lt;'Sollecitazioni nel paramento'!$G$58,ABS(L1396)*'Sollecitazioni nel paramento'!$G$54,'Sollecitazioni nel paramento'!$G$53)</f>
        <v>-6572126.4216944724</v>
      </c>
      <c r="G1396" s="545">
        <f>-'Foglio deposito bis'!$F$70*(C1396-sezione!$AN$32)*IF(ABS(M1396)&lt;'Sollecitazioni nel paramento'!$G$58,ABS(M1396)*'Sollecitazioni nel paramento'!$G$54,'Sollecitazioni nel paramento'!$G$53)</f>
        <v>0</v>
      </c>
      <c r="H1396" s="545">
        <f>-'Foglio deposito bis'!$F$71*(C1396-sezione!$AO$32)*IF(ABS(N1396)&lt;'Sollecitazioni nel paramento'!$G$58,ABS(N1396)*'Sollecitazioni nel paramento'!$G$54,'Sollecitazioni nel paramento'!$G$53)</f>
        <v>12738790.237082245</v>
      </c>
      <c r="I1396" s="472">
        <f>-'Foglio deposito bis'!$F$72*(C1396-sezione!$AP$32)*IF(ABS(O1396)&lt;'Sollecitazioni nel paramento'!$G$58,ABS(O1396)*'Sollecitazioni nel paramento'!$G$54,'Sollecitazioni nel paramento'!$G$53)</f>
        <v>195852652.89935026</v>
      </c>
      <c r="J1396" s="472">
        <f t="shared" si="98"/>
        <v>-70567778.911675304</v>
      </c>
      <c r="K1396" s="550">
        <f>'Sollecitazioni nel paramento'!$G$60*(sezione!$AL$32-C1396)/C1396</f>
        <v>-2.2351844333042283E-3</v>
      </c>
      <c r="L1396" s="550">
        <f>'Sollecitazioni nel paramento'!$G$60*(sezione!$AM$32-C1396)/C1396</f>
        <v>-1.602776649956342E-3</v>
      </c>
      <c r="M1396" s="551">
        <f>'Sollecitazioni nel paramento'!$G$60*(sezione!$AN$32-C1396)/C1396</f>
        <v>-9.7036886660845599E-4</v>
      </c>
      <c r="N1396" s="551">
        <f>'Sollecitazioni nel paramento'!$G$60*(sezione!$AO$32-C1396)/C1396</f>
        <v>1.5592622667830881E-3</v>
      </c>
      <c r="O1396" s="551">
        <f>'Sollecitazioni nel paramento'!$G$60*(sezione!$AP$32-C1396)/C1396</f>
        <v>1.2594244835988817E-2</v>
      </c>
      <c r="P1396" s="545">
        <f>-'Sollecitazioni nel paramento'!$G$47*'Sollecitazioni nel paramento'!$G$41*IF(DATI!$G$211="dx",DATI!$E$61,DATI!$E$64*DATI!$E$63)*1000*C1396*sezione!$AD$5</f>
        <v>-4216883.5840102313</v>
      </c>
      <c r="Q1396" s="545">
        <f>'Foglio deposito bis'!$F$68*IF(ABS(K1396)&lt;'Sollecitazioni nel paramento'!$G$58,ABS(K1396)*'Sollecitazioni nel paramento'!$G$54,'Sollecitazioni nel paramento'!$G$53)*IF(K1396&lt;0,-1,1)</f>
        <v>0</v>
      </c>
      <c r="R1396" s="545">
        <f>'Foglio deposito bis'!$F$69*IF(ABS(L1396)&lt;'Sollecitazioni nel paramento'!$G$58,ABS(L1396)*'Sollecitazioni nel paramento'!$G$54,'Sollecitazioni nel paramento'!$G$53)*IF(L1396&lt;0,-1,1)</f>
        <v>-129658.23723283864</v>
      </c>
      <c r="S1396" s="545">
        <f>'Foglio deposito bis'!$F$70*IF(ABS(M1396)&lt;'Sollecitazioni nel paramento'!$G$58,ABS(M1396)*'Sollecitazioni nel paramento'!$G$54,'Sollecitazioni nel paramento'!$G$53)*IF(M1396&lt;0,-1,1)</f>
        <v>0</v>
      </c>
      <c r="T1396" s="545">
        <f>'Foglio deposito bis'!$F$71*IF(ABS(N1396)&lt;'Sollecitazioni nel paramento'!$G$58,ABS(N1396)*'Sollecitazioni nel paramento'!$G$54,'Sollecitazioni nel paramento'!$G$53)*IF(N1396&lt;0,-1,1)</f>
        <v>258330.8231073732</v>
      </c>
      <c r="U1396" s="545">
        <f>'Foglio deposito bis'!$F$72*IF(ABS(O1396)&lt;'Sollecitazioni nel paramento'!$G$58,ABS(O1396)*'Sollecitazioni nel paramento'!$G$54,'Sollecitazioni nel paramento'!$G$53)*IF(O1396&lt;0,-1,1)</f>
        <v>491727.54577927204</v>
      </c>
      <c r="V1396" s="472">
        <f t="shared" si="100"/>
        <v>-3596483.4523564251</v>
      </c>
      <c r="W1396" s="551"/>
      <c r="X1396" s="551"/>
    </row>
    <row r="1397" spans="1:24" x14ac:dyDescent="0.25">
      <c r="A1397" s="545">
        <f t="shared" si="99"/>
        <v>3666220.6348416358</v>
      </c>
      <c r="B1397" s="3">
        <f t="shared" si="97"/>
        <v>15.099999999999968</v>
      </c>
      <c r="C1397" s="545">
        <f>'Foglio deposito bis'!$E$158/sezione!$B$247*B1397</f>
        <v>112.17382072670117</v>
      </c>
      <c r="D1397" s="603">
        <f>-'Sollecitazioni nel paramento'!$G$47*'Sollecitazioni nel paramento'!$G$41*IF(DATI!$G$211="dx",DATI!$E$61,DATI!$E$64*DATI!$E$63)*1000*C1397^2*sezione!$AD$5*(1-sezione!$AD$6)</f>
        <v>-279953982.58537221</v>
      </c>
      <c r="E1397" s="545">
        <f>-'Foglio deposito bis'!$F$68*(C1397-sezione!$AL$32)*IF(ABS(K1397)&lt;'Sollecitazioni nel paramento'!$G$58,ABS(K1397)*'Sollecitazioni nel paramento'!$G$54,'Sollecitazioni nel paramento'!$G$53)</f>
        <v>0</v>
      </c>
      <c r="F1397" s="545">
        <f>-'Foglio deposito bis'!$F$69*(C1397-sezione!$AM$32)*IF(ABS(L1397)&lt;'Sollecitazioni nel paramento'!$G$58,ABS(L1397)*'Sollecitazioni nel paramento'!$G$54,'Sollecitazioni nel paramento'!$G$53)</f>
        <v>-6870825.535825368</v>
      </c>
      <c r="G1397" s="545">
        <f>-'Foglio deposito bis'!$F$70*(C1397-sezione!$AN$32)*IF(ABS(M1397)&lt;'Sollecitazioni nel paramento'!$G$58,ABS(M1397)*'Sollecitazioni nel paramento'!$G$54,'Sollecitazioni nel paramento'!$G$53)</f>
        <v>0</v>
      </c>
      <c r="H1397" s="545">
        <f>-'Foglio deposito bis'!$F$71*(C1397-sezione!$AO$32)*IF(ABS(N1397)&lt;'Sollecitazioni nel paramento'!$G$58,ABS(N1397)*'Sollecitazioni nel paramento'!$G$54,'Sollecitazioni nel paramento'!$G$53)</f>
        <v>11824014.811547495</v>
      </c>
      <c r="I1397" s="472">
        <f>-'Foglio deposito bis'!$F$72*(C1397-sezione!$AP$32)*IF(ABS(O1397)&lt;'Sollecitazioni nel paramento'!$G$58,ABS(O1397)*'Sollecitazioni nel paramento'!$G$54,'Sollecitazioni nel paramento'!$G$53)</f>
        <v>195122070.67992479</v>
      </c>
      <c r="J1397" s="472">
        <f t="shared" si="98"/>
        <v>-79878722.629725277</v>
      </c>
      <c r="K1397" s="550">
        <f>'Sollecitazioni nel paramento'!$G$60*(sezione!$AL$32-C1397)/C1397</f>
        <v>-2.2519369573664235E-3</v>
      </c>
      <c r="L1397" s="550">
        <f>'Sollecitazioni nel paramento'!$G$60*(sezione!$AM$32-C1397)/C1397</f>
        <v>-1.6279054360496352E-3</v>
      </c>
      <c r="M1397" s="551">
        <f>'Sollecitazioni nel paramento'!$G$60*(sezione!$AN$32-C1397)/C1397</f>
        <v>-1.0038739147328472E-3</v>
      </c>
      <c r="N1397" s="551">
        <f>'Sollecitazioni nel paramento'!$G$60*(sezione!$AO$32-C1397)/C1397</f>
        <v>1.492252170534306E-3</v>
      </c>
      <c r="O1397" s="551">
        <f>'Sollecitazioni nel paramento'!$G$60*(sezione!$AP$32-C1397)/C1397</f>
        <v>1.2381076030214131E-2</v>
      </c>
      <c r="P1397" s="545">
        <f>-'Sollecitazioni nel paramento'!$G$47*'Sollecitazioni nel paramento'!$G$41*IF(DATI!$G$211="dx",DATI!$E$61,DATI!$E$64*DATI!$E$63)*1000*C1397*sezione!$AD$5</f>
        <v>-4273486.0482251337</v>
      </c>
      <c r="Q1397" s="545">
        <f>'Foglio deposito bis'!$F$68*IF(ABS(K1397)&lt;'Sollecitazioni nel paramento'!$G$58,ABS(K1397)*'Sollecitazioni nel paramento'!$G$54,'Sollecitazioni nel paramento'!$G$53)*IF(K1397&lt;0,-1,1)</f>
        <v>0</v>
      </c>
      <c r="R1397" s="545">
        <f>'Foglio deposito bis'!$F$69*IF(ABS(L1397)&lt;'Sollecitazioni nel paramento'!$G$58,ABS(L1397)*'Sollecitazioni nel paramento'!$G$54,'Sollecitazioni nel paramento'!$G$53)*IF(L1397&lt;0,-1,1)</f>
        <v>-131691.05578478487</v>
      </c>
      <c r="S1397" s="545">
        <f>'Foglio deposito bis'!$F$70*IF(ABS(M1397)&lt;'Sollecitazioni nel paramento'!$G$58,ABS(M1397)*'Sollecitazioni nel paramento'!$G$54,'Sollecitazioni nel paramento'!$G$53)*IF(M1397&lt;0,-1,1)</f>
        <v>0</v>
      </c>
      <c r="T1397" s="545">
        <f>'Foglio deposito bis'!$F$71*IF(ABS(N1397)&lt;'Sollecitazioni nel paramento'!$G$58,ABS(N1397)*'Sollecitazioni nel paramento'!$G$54,'Sollecitazioni nel paramento'!$G$53)*IF(N1397&lt;0,-1,1)</f>
        <v>247228.92338901089</v>
      </c>
      <c r="U1397" s="545">
        <f>'Foglio deposito bis'!$F$72*IF(ABS(O1397)&lt;'Sollecitazioni nel paramento'!$G$58,ABS(O1397)*'Sollecitazioni nel paramento'!$G$54,'Sollecitazioni nel paramento'!$G$53)*IF(O1397&lt;0,-1,1)</f>
        <v>491727.54577927204</v>
      </c>
      <c r="V1397" s="472">
        <f t="shared" si="100"/>
        <v>-3666220.6348416358</v>
      </c>
      <c r="W1397" s="551"/>
      <c r="X1397" s="551"/>
    </row>
    <row r="1398" spans="1:24" x14ac:dyDescent="0.25">
      <c r="A1398" s="545">
        <f t="shared" si="99"/>
        <v>3735614.4259995176</v>
      </c>
      <c r="B1398" s="3">
        <f t="shared" si="97"/>
        <v>15.299999999999967</v>
      </c>
      <c r="C1398" s="545">
        <f>'Foglio deposito bis'!$E$158/sezione!$B$247*B1398</f>
        <v>113.65956669659124</v>
      </c>
      <c r="D1398" s="603">
        <f>-'Sollecitazioni nel paramento'!$G$47*'Sollecitazioni nel paramento'!$G$41*IF(DATI!$G$211="dx",DATI!$E$61,DATI!$E$64*DATI!$E$63)*1000*C1398^2*sezione!$AD$5*(1-sezione!$AD$6)</f>
        <v>-287419094.70378393</v>
      </c>
      <c r="E1398" s="545">
        <f>-'Foglio deposito bis'!$F$68*(C1398-sezione!$AL$32)*IF(ABS(K1398)&lt;'Sollecitazioni nel paramento'!$G$58,ABS(K1398)*'Sollecitazioni nel paramento'!$G$54,'Sollecitazioni nel paramento'!$G$53)</f>
        <v>0</v>
      </c>
      <c r="F1398" s="545">
        <f>-'Foglio deposito bis'!$F$69*(C1398-sezione!$AM$32)*IF(ABS(L1398)&lt;'Sollecitazioni nel paramento'!$G$58,ABS(L1398)*'Sollecitazioni nel paramento'!$G$54,'Sollecitazioni nel paramento'!$G$53)</f>
        <v>-7172713.3849397115</v>
      </c>
      <c r="G1398" s="545">
        <f>-'Foglio deposito bis'!$F$70*(C1398-sezione!$AN$32)*IF(ABS(M1398)&lt;'Sollecitazioni nel paramento'!$G$58,ABS(M1398)*'Sollecitazioni nel paramento'!$G$54,'Sollecitazioni nel paramento'!$G$53)</f>
        <v>0</v>
      </c>
      <c r="H1398" s="545">
        <f>-'Foglio deposito bis'!$F$71*(C1398-sezione!$AO$32)*IF(ABS(N1398)&lt;'Sollecitazioni nel paramento'!$G$58,ABS(N1398)*'Sollecitazioni nel paramento'!$G$54,'Sollecitazioni nel paramento'!$G$53)</f>
        <v>10955678.705096092</v>
      </c>
      <c r="I1398" s="472">
        <f>-'Foglio deposito bis'!$F$72*(C1398-sezione!$AP$32)*IF(ABS(O1398)&lt;'Sollecitazioni nel paramento'!$G$58,ABS(O1398)*'Sollecitazioni nel paramento'!$G$54,'Sollecitazioni nel paramento'!$G$53)</f>
        <v>194391488.46049929</v>
      </c>
      <c r="J1398" s="472">
        <f t="shared" si="98"/>
        <v>-89244640.923128307</v>
      </c>
      <c r="K1398" s="550">
        <f>'Sollecitazioni nel paramento'!$G$60*(sezione!$AL$32-C1398)/C1398</f>
        <v>-2.268251506943333E-3</v>
      </c>
      <c r="L1398" s="550">
        <f>'Sollecitazioni nel paramento'!$G$60*(sezione!$AM$32-C1398)/C1398</f>
        <v>-1.6523772604149995E-3</v>
      </c>
      <c r="M1398" s="551">
        <f>'Sollecitazioni nel paramento'!$G$60*(sezione!$AN$32-C1398)/C1398</f>
        <v>-1.0365030138866659E-3</v>
      </c>
      <c r="N1398" s="551">
        <f>'Sollecitazioni nel paramento'!$G$60*(sezione!$AO$32-C1398)/C1398</f>
        <v>1.426993972226668E-3</v>
      </c>
      <c r="O1398" s="551">
        <f>'Sollecitazioni nel paramento'!$G$60*(sezione!$AP$32-C1398)/C1398</f>
        <v>1.2173480265113293E-2</v>
      </c>
      <c r="P1398" s="545">
        <f>-'Sollecitazioni nel paramento'!$G$47*'Sollecitazioni nel paramento'!$G$41*IF(DATI!$G$211="dx",DATI!$E$61,DATI!$E$64*DATI!$E$63)*1000*C1398*sezione!$AD$5</f>
        <v>-4330088.5124400351</v>
      </c>
      <c r="Q1398" s="545">
        <f>'Foglio deposito bis'!$F$68*IF(ABS(K1398)&lt;'Sollecitazioni nel paramento'!$G$58,ABS(K1398)*'Sollecitazioni nel paramento'!$G$54,'Sollecitazioni nel paramento'!$G$53)*IF(K1398&lt;0,-1,1)</f>
        <v>0</v>
      </c>
      <c r="R1398" s="545">
        <f>'Foglio deposito bis'!$F$69*IF(ABS(L1398)&lt;'Sollecitazioni nel paramento'!$G$58,ABS(L1398)*'Sollecitazioni nel paramento'!$G$54,'Sollecitazioni nel paramento'!$G$53)*IF(L1398&lt;0,-1,1)</f>
        <v>-133670.7287536737</v>
      </c>
      <c r="S1398" s="545">
        <f>'Foglio deposito bis'!$F$70*IF(ABS(M1398)&lt;'Sollecitazioni nel paramento'!$G$58,ABS(M1398)*'Sollecitazioni nel paramento'!$G$54,'Sollecitazioni nel paramento'!$G$53)*IF(M1398&lt;0,-1,1)</f>
        <v>0</v>
      </c>
      <c r="T1398" s="545">
        <f>'Foglio deposito bis'!$F$71*IF(ABS(N1398)&lt;'Sollecitazioni nel paramento'!$G$58,ABS(N1398)*'Sollecitazioni nel paramento'!$G$54,'Sollecitazioni nel paramento'!$G$53)*IF(N1398&lt;0,-1,1)</f>
        <v>236417.26941491937</v>
      </c>
      <c r="U1398" s="545">
        <f>'Foglio deposito bis'!$F$72*IF(ABS(O1398)&lt;'Sollecitazioni nel paramento'!$G$58,ABS(O1398)*'Sollecitazioni nel paramento'!$G$54,'Sollecitazioni nel paramento'!$G$53)*IF(O1398&lt;0,-1,1)</f>
        <v>491727.54577927204</v>
      </c>
      <c r="V1398" s="472">
        <f t="shared" si="100"/>
        <v>-3735614.4259995176</v>
      </c>
      <c r="W1398" s="551"/>
      <c r="X1398" s="551"/>
    </row>
    <row r="1399" spans="1:24" x14ac:dyDescent="0.25">
      <c r="A1399" s="545">
        <f t="shared" si="99"/>
        <v>3804678.1183975823</v>
      </c>
      <c r="B1399" s="3">
        <f t="shared" si="97"/>
        <v>15.499999999999966</v>
      </c>
      <c r="C1399" s="545">
        <f>'Foglio deposito bis'!$E$158/sezione!$B$247*B1399</f>
        <v>115.14531266648133</v>
      </c>
      <c r="D1399" s="603">
        <f>-'Sollecitazioni nel paramento'!$G$47*'Sollecitazioni nel paramento'!$G$41*IF(DATI!$G$211="dx",DATI!$E$61,DATI!$E$64*DATI!$E$63)*1000*C1399^2*sezione!$AD$5*(1-sezione!$AD$6)</f>
        <v>-294982431.98164856</v>
      </c>
      <c r="E1399" s="545">
        <f>-'Foglio deposito bis'!$F$68*(C1399-sezione!$AL$32)*IF(ABS(K1399)&lt;'Sollecitazioni nel paramento'!$G$58,ABS(K1399)*'Sollecitazioni nel paramento'!$G$54,'Sollecitazioni nel paramento'!$G$53)</f>
        <v>0</v>
      </c>
      <c r="F1399" s="545">
        <f>-'Foglio deposito bis'!$F$69*(C1399-sezione!$AM$32)*IF(ABS(L1399)&lt;'Sollecitazioni nel paramento'!$G$58,ABS(L1399)*'Sollecitazioni nel paramento'!$G$54,'Sollecitazioni nel paramento'!$G$53)</f>
        <v>-7477666.5341349151</v>
      </c>
      <c r="G1399" s="545">
        <f>-'Foglio deposito bis'!$F$70*(C1399-sezione!$AN$32)*IF(ABS(M1399)&lt;'Sollecitazioni nel paramento'!$G$58,ABS(M1399)*'Sollecitazioni nel paramento'!$G$54,'Sollecitazioni nel paramento'!$G$53)</f>
        <v>0</v>
      </c>
      <c r="H1399" s="545">
        <f>-'Foglio deposito bis'!$F$71*(C1399-sezione!$AO$32)*IF(ABS(N1399)&lt;'Sollecitazioni nel paramento'!$G$58,ABS(N1399)*'Sollecitazioni nel paramento'!$G$54,'Sollecitazioni nel paramento'!$G$53)</f>
        <v>10131984.266666735</v>
      </c>
      <c r="I1399" s="472">
        <f>-'Foglio deposito bis'!$F$72*(C1399-sezione!$AP$32)*IF(ABS(O1399)&lt;'Sollecitazioni nel paramento'!$G$58,ABS(O1399)*'Sollecitazioni nel paramento'!$G$54,'Sollecitazioni nel paramento'!$G$53)</f>
        <v>193660906.24107379</v>
      </c>
      <c r="J1399" s="472">
        <f t="shared" si="98"/>
        <v>-98667208.008042991</v>
      </c>
      <c r="K1399" s="550">
        <f>'Sollecitazioni nel paramento'!$G$60*(sezione!$AL$32-C1399)/C1399</f>
        <v>-2.2841450358859995E-3</v>
      </c>
      <c r="L1399" s="550">
        <f>'Sollecitazioni nel paramento'!$G$60*(sezione!$AM$32-C1399)/C1399</f>
        <v>-1.6762175538289996E-3</v>
      </c>
      <c r="M1399" s="551">
        <f>'Sollecitazioni nel paramento'!$G$60*(sezione!$AN$32-C1399)/C1399</f>
        <v>-1.0682900717719995E-3</v>
      </c>
      <c r="N1399" s="551">
        <f>'Sollecitazioni nel paramento'!$G$60*(sezione!$AO$32-C1399)/C1399</f>
        <v>1.363419856456001E-3</v>
      </c>
      <c r="O1399" s="551">
        <f>'Sollecitazioni nel paramento'!$G$60*(sezione!$AP$32-C1399)/C1399</f>
        <v>1.1971241810079572E-2</v>
      </c>
      <c r="P1399" s="545">
        <f>-'Sollecitazioni nel paramento'!$G$47*'Sollecitazioni nel paramento'!$G$41*IF(DATI!$G$211="dx",DATI!$E$61,DATI!$E$64*DATI!$E$63)*1000*C1399*sezione!$AD$5</f>
        <v>-4386690.9766549384</v>
      </c>
      <c r="Q1399" s="545">
        <f>'Foglio deposito bis'!$F$68*IF(ABS(K1399)&lt;'Sollecitazioni nel paramento'!$G$58,ABS(K1399)*'Sollecitazioni nel paramento'!$G$54,'Sollecitazioni nel paramento'!$G$53)*IF(K1399&lt;0,-1,1)</f>
        <v>0</v>
      </c>
      <c r="R1399" s="545">
        <f>'Foglio deposito bis'!$F$69*IF(ABS(L1399)&lt;'Sollecitazioni nel paramento'!$G$58,ABS(L1399)*'Sollecitazioni nel paramento'!$G$54,'Sollecitazioni nel paramento'!$G$53)*IF(L1399&lt;0,-1,1)</f>
        <v>-135599.31338788153</v>
      </c>
      <c r="S1399" s="545">
        <f>'Foglio deposito bis'!$F$70*IF(ABS(M1399)&lt;'Sollecitazioni nel paramento'!$G$58,ABS(M1399)*'Sollecitazioni nel paramento'!$G$54,'Sollecitazioni nel paramento'!$G$53)*IF(M1399&lt;0,-1,1)</f>
        <v>0</v>
      </c>
      <c r="T1399" s="545">
        <f>'Foglio deposito bis'!$F$71*IF(ABS(N1399)&lt;'Sollecitazioni nel paramento'!$G$58,ABS(N1399)*'Sollecitazioni nel paramento'!$G$54,'Sollecitazioni nel paramento'!$G$53)*IF(N1399&lt;0,-1,1)</f>
        <v>225884.62586596565</v>
      </c>
      <c r="U1399" s="545">
        <f>'Foglio deposito bis'!$F$72*IF(ABS(O1399)&lt;'Sollecitazioni nel paramento'!$G$58,ABS(O1399)*'Sollecitazioni nel paramento'!$G$54,'Sollecitazioni nel paramento'!$G$53)*IF(O1399&lt;0,-1,1)</f>
        <v>491727.54577927204</v>
      </c>
      <c r="V1399" s="472">
        <f t="shared" si="100"/>
        <v>-3804678.1183975823</v>
      </c>
      <c r="W1399" s="551"/>
      <c r="X1399" s="551"/>
    </row>
    <row r="1400" spans="1:24" x14ac:dyDescent="0.25">
      <c r="A1400" s="545">
        <f t="shared" si="99"/>
        <v>3873424.3272750555</v>
      </c>
      <c r="B1400" s="3">
        <f t="shared" si="97"/>
        <v>15.699999999999966</v>
      </c>
      <c r="C1400" s="545">
        <f>'Foglio deposito bis'!$E$158/sezione!$B$247*B1400</f>
        <v>116.63105863637141</v>
      </c>
      <c r="D1400" s="603">
        <f>-'Sollecitazioni nel paramento'!$G$47*'Sollecitazioni nel paramento'!$G$41*IF(DATI!$G$211="dx",DATI!$E$61,DATI!$E$64*DATI!$E$63)*1000*C1400^2*sezione!$AD$5*(1-sezione!$AD$6)</f>
        <v>-302643994.41896582</v>
      </c>
      <c r="E1400" s="545">
        <f>-'Foglio deposito bis'!$F$68*(C1400-sezione!$AL$32)*IF(ABS(K1400)&lt;'Sollecitazioni nel paramento'!$G$58,ABS(K1400)*'Sollecitazioni nel paramento'!$G$54,'Sollecitazioni nel paramento'!$G$53)</f>
        <v>0</v>
      </c>
      <c r="F1400" s="545">
        <f>-'Foglio deposito bis'!$F$69*(C1400-sezione!$AM$32)*IF(ABS(L1400)&lt;'Sollecitazioni nel paramento'!$G$58,ABS(L1400)*'Sollecitazioni nel paramento'!$G$54,'Sollecitazioni nel paramento'!$G$53)</f>
        <v>-7785567.8381849565</v>
      </c>
      <c r="G1400" s="545">
        <f>-'Foglio deposito bis'!$F$70*(C1400-sezione!$AN$32)*IF(ABS(M1400)&lt;'Sollecitazioni nel paramento'!$G$58,ABS(M1400)*'Sollecitazioni nel paramento'!$G$54,'Sollecitazioni nel paramento'!$G$53)</f>
        <v>0</v>
      </c>
      <c r="H1400" s="545">
        <f>-'Foglio deposito bis'!$F$71*(C1400-sezione!$AO$32)*IF(ABS(N1400)&lt;'Sollecitazioni nel paramento'!$G$58,ABS(N1400)*'Sollecitazioni nel paramento'!$G$54,'Sollecitazioni nel paramento'!$G$53)</f>
        <v>9351225.4452522267</v>
      </c>
      <c r="I1400" s="472">
        <f>-'Foglio deposito bis'!$F$72*(C1400-sezione!$AP$32)*IF(ABS(O1400)&lt;'Sollecitazioni nel paramento'!$G$58,ABS(O1400)*'Sollecitazioni nel paramento'!$G$54,'Sollecitazioni nel paramento'!$G$53)</f>
        <v>192930324.02164829</v>
      </c>
      <c r="J1400" s="472">
        <f t="shared" si="98"/>
        <v>-108148012.79025024</v>
      </c>
      <c r="K1400" s="550">
        <f>'Sollecitazioni nel paramento'!$G$60*(sezione!$AL$32-C1400)/C1400</f>
        <v>-2.2996336341549678E-3</v>
      </c>
      <c r="L1400" s="550">
        <f>'Sollecitazioni nel paramento'!$G$60*(sezione!$AM$32-C1400)/C1400</f>
        <v>-1.6994504512324517E-3</v>
      </c>
      <c r="M1400" s="551">
        <f>'Sollecitazioni nel paramento'!$G$60*(sezione!$AN$32-C1400)/C1400</f>
        <v>-1.0992672683099358E-3</v>
      </c>
      <c r="N1400" s="551">
        <f>'Sollecitazioni nel paramento'!$G$60*(sezione!$AO$32-C1400)/C1400</f>
        <v>1.3014654633801289E-3</v>
      </c>
      <c r="O1400" s="551">
        <f>'Sollecitazioni nel paramento'!$G$60*(sezione!$AP$32-C1400)/C1400</f>
        <v>1.1774155927148623E-2</v>
      </c>
      <c r="P1400" s="545">
        <f>-'Sollecitazioni nel paramento'!$G$47*'Sollecitazioni nel paramento'!$G$41*IF(DATI!$G$211="dx",DATI!$E$61,DATI!$E$64*DATI!$E$63)*1000*C1400*sezione!$AD$5</f>
        <v>-4443293.4408698408</v>
      </c>
      <c r="Q1400" s="545">
        <f>'Foglio deposito bis'!$F$68*IF(ABS(K1400)&lt;'Sollecitazioni nel paramento'!$G$58,ABS(K1400)*'Sollecitazioni nel paramento'!$G$54,'Sollecitazioni nel paramento'!$G$53)*IF(K1400&lt;0,-1,1)</f>
        <v>0</v>
      </c>
      <c r="R1400" s="545">
        <f>'Foglio deposito bis'!$F$69*IF(ABS(L1400)&lt;'Sollecitazioni nel paramento'!$G$58,ABS(L1400)*'Sollecitazioni nel paramento'!$G$54,'Sollecitazioni nel paramento'!$G$53)*IF(L1400&lt;0,-1,1)</f>
        <v>-137478.76210784202</v>
      </c>
      <c r="S1400" s="545">
        <f>'Foglio deposito bis'!$F$70*IF(ABS(M1400)&lt;'Sollecitazioni nel paramento'!$G$58,ABS(M1400)*'Sollecitazioni nel paramento'!$G$54,'Sollecitazioni nel paramento'!$G$53)*IF(M1400&lt;0,-1,1)</f>
        <v>0</v>
      </c>
      <c r="T1400" s="545">
        <f>'Foglio deposito bis'!$F$71*IF(ABS(N1400)&lt;'Sollecitazioni nel paramento'!$G$58,ABS(N1400)*'Sollecitazioni nel paramento'!$G$54,'Sollecitazioni nel paramento'!$G$53)*IF(N1400&lt;0,-1,1)</f>
        <v>215620.32992335485</v>
      </c>
      <c r="U1400" s="545">
        <f>'Foglio deposito bis'!$F$72*IF(ABS(O1400)&lt;'Sollecitazioni nel paramento'!$G$58,ABS(O1400)*'Sollecitazioni nel paramento'!$G$54,'Sollecitazioni nel paramento'!$G$53)*IF(O1400&lt;0,-1,1)</f>
        <v>491727.54577927204</v>
      </c>
      <c r="V1400" s="472">
        <f t="shared" si="100"/>
        <v>-3873424.3272750555</v>
      </c>
      <c r="W1400" s="551"/>
      <c r="X1400" s="551"/>
    </row>
    <row r="1401" spans="1:24" x14ac:dyDescent="0.25">
      <c r="A1401" s="545">
        <f t="shared" si="99"/>
        <v>3941865.0331421504</v>
      </c>
      <c r="B1401" s="3">
        <f t="shared" si="97"/>
        <v>15.899999999999965</v>
      </c>
      <c r="C1401" s="545">
        <f>'Foglio deposito bis'!$E$158/sezione!$B$247*B1401</f>
        <v>118.11680460626148</v>
      </c>
      <c r="D1401" s="603">
        <f>-'Sollecitazioni nel paramento'!$G$47*'Sollecitazioni nel paramento'!$G$41*IF(DATI!$G$211="dx",DATI!$E$61,DATI!$E$64*DATI!$E$63)*1000*C1401^2*sezione!$AD$5*(1-sezione!$AD$6)</f>
        <v>-310403782.01573592</v>
      </c>
      <c r="E1401" s="545">
        <f>-'Foglio deposito bis'!$F$68*(C1401-sezione!$AL$32)*IF(ABS(K1401)&lt;'Sollecitazioni nel paramento'!$G$58,ABS(K1401)*'Sollecitazioni nel paramento'!$G$54,'Sollecitazioni nel paramento'!$G$53)</f>
        <v>0</v>
      </c>
      <c r="F1401" s="545">
        <f>-'Foglio deposito bis'!$F$69*(C1401-sezione!$AM$32)*IF(ABS(L1401)&lt;'Sollecitazioni nel paramento'!$G$58,ABS(L1401)*'Sollecitazioni nel paramento'!$G$54,'Sollecitazioni nel paramento'!$G$53)</f>
        <v>-8096306.0459632399</v>
      </c>
      <c r="G1401" s="545">
        <f>-'Foglio deposito bis'!$F$70*(C1401-sezione!$AN$32)*IF(ABS(M1401)&lt;'Sollecitazioni nel paramento'!$G$58,ABS(M1401)*'Sollecitazioni nel paramento'!$G$54,'Sollecitazioni nel paramento'!$G$53)</f>
        <v>0</v>
      </c>
      <c r="H1401" s="545">
        <f>-'Foglio deposito bis'!$F$71*(C1401-sezione!$AO$32)*IF(ABS(N1401)&lt;'Sollecitazioni nel paramento'!$G$58,ABS(N1401)*'Sollecitazioni nel paramento'!$G$54,'Sollecitazioni nel paramento'!$G$53)</f>
        <v>8611782.0288897399</v>
      </c>
      <c r="I1401" s="472">
        <f>-'Foglio deposito bis'!$F$72*(C1401-sezione!$AP$32)*IF(ABS(O1401)&lt;'Sollecitazioni nel paramento'!$G$58,ABS(O1401)*'Sollecitazioni nel paramento'!$G$54,'Sollecitazioni nel paramento'!$G$53)</f>
        <v>192199741.80222279</v>
      </c>
      <c r="J1401" s="472">
        <f t="shared" si="98"/>
        <v>-117688564.23058665</v>
      </c>
      <c r="K1401" s="550">
        <f>'Sollecitazioni nel paramento'!$G$60*(sezione!$AL$32-C1401)/C1401</f>
        <v>-2.3147325821530184E-3</v>
      </c>
      <c r="L1401" s="550">
        <f>'Sollecitazioni nel paramento'!$G$60*(sezione!$AM$32-C1401)/C1401</f>
        <v>-1.7220988732295278E-3</v>
      </c>
      <c r="M1401" s="551">
        <f>'Sollecitazioni nel paramento'!$G$60*(sezione!$AN$32-C1401)/C1401</f>
        <v>-1.1294651643060369E-3</v>
      </c>
      <c r="N1401" s="551">
        <f>'Sollecitazioni nel paramento'!$G$60*(sezione!$AO$32-C1401)/C1401</f>
        <v>1.2410696713879262E-3</v>
      </c>
      <c r="O1401" s="551">
        <f>'Sollecitazioni nel paramento'!$G$60*(sezione!$AP$32-C1401)/C1401</f>
        <v>1.158202817963732E-2</v>
      </c>
      <c r="P1401" s="545">
        <f>-'Sollecitazioni nel paramento'!$G$47*'Sollecitazioni nel paramento'!$G$41*IF(DATI!$G$211="dx",DATI!$E$61,DATI!$E$64*DATI!$E$63)*1000*C1401*sezione!$AD$5</f>
        <v>-4499895.9050847432</v>
      </c>
      <c r="Q1401" s="545">
        <f>'Foglio deposito bis'!$F$68*IF(ABS(K1401)&lt;'Sollecitazioni nel paramento'!$G$58,ABS(K1401)*'Sollecitazioni nel paramento'!$G$54,'Sollecitazioni nel paramento'!$G$53)*IF(K1401&lt;0,-1,1)</f>
        <v>0</v>
      </c>
      <c r="R1401" s="545">
        <f>'Foglio deposito bis'!$F$69*IF(ABS(L1401)&lt;'Sollecitazioni nel paramento'!$G$58,ABS(L1401)*'Sollecitazioni nel paramento'!$G$54,'Sollecitazioni nel paramento'!$G$53)*IF(L1401&lt;0,-1,1)</f>
        <v>-139310.92909899846</v>
      </c>
      <c r="S1401" s="545">
        <f>'Foglio deposito bis'!$F$70*IF(ABS(M1401)&lt;'Sollecitazioni nel paramento'!$G$58,ABS(M1401)*'Sollecitazioni nel paramento'!$G$54,'Sollecitazioni nel paramento'!$G$53)*IF(M1401&lt;0,-1,1)</f>
        <v>0</v>
      </c>
      <c r="T1401" s="545">
        <f>'Foglio deposito bis'!$F$71*IF(ABS(N1401)&lt;'Sollecitazioni nel paramento'!$G$58,ABS(N1401)*'Sollecitazioni nel paramento'!$G$54,'Sollecitazioni nel paramento'!$G$53)*IF(N1401&lt;0,-1,1)</f>
        <v>205614.25526231909</v>
      </c>
      <c r="U1401" s="545">
        <f>'Foglio deposito bis'!$F$72*IF(ABS(O1401)&lt;'Sollecitazioni nel paramento'!$G$58,ABS(O1401)*'Sollecitazioni nel paramento'!$G$54,'Sollecitazioni nel paramento'!$G$53)*IF(O1401&lt;0,-1,1)</f>
        <v>491727.54577927204</v>
      </c>
      <c r="V1401" s="472">
        <f t="shared" si="100"/>
        <v>-3941865.0331421504</v>
      </c>
      <c r="W1401" s="551"/>
      <c r="X1401" s="551"/>
    </row>
    <row r="1402" spans="1:24" x14ac:dyDescent="0.25">
      <c r="A1402" s="545">
        <f t="shared" si="99"/>
        <v>4010011.6212042216</v>
      </c>
      <c r="B1402" s="3">
        <f t="shared" si="97"/>
        <v>16.099999999999966</v>
      </c>
      <c r="C1402" s="545">
        <f>'Foglio deposito bis'!$E$158/sezione!$B$247*B1402</f>
        <v>119.60255057615159</v>
      </c>
      <c r="D1402" s="603">
        <f>-'Sollecitazioni nel paramento'!$G$47*'Sollecitazioni nel paramento'!$G$41*IF(DATI!$G$211="dx",DATI!$E$61,DATI!$E$64*DATI!$E$63)*1000*C1402^2*sezione!$AD$5*(1-sezione!$AD$6)</f>
        <v>-318261794.77195895</v>
      </c>
      <c r="E1402" s="545">
        <f>-'Foglio deposito bis'!$F$68*(C1402-sezione!$AL$32)*IF(ABS(K1402)&lt;'Sollecitazioni nel paramento'!$G$58,ABS(K1402)*'Sollecitazioni nel paramento'!$G$54,'Sollecitazioni nel paramento'!$G$53)</f>
        <v>0</v>
      </c>
      <c r="F1402" s="545">
        <f>-'Foglio deposito bis'!$F$69*(C1402-sezione!$AM$32)*IF(ABS(L1402)&lt;'Sollecitazioni nel paramento'!$G$58,ABS(L1402)*'Sollecitazioni nel paramento'!$G$54,'Sollecitazioni nel paramento'!$G$53)</f>
        <v>-8409775.4343494661</v>
      </c>
      <c r="G1402" s="545">
        <f>-'Foglio deposito bis'!$F$70*(C1402-sezione!$AN$32)*IF(ABS(M1402)&lt;'Sollecitazioni nel paramento'!$G$58,ABS(M1402)*'Sollecitazioni nel paramento'!$G$54,'Sollecitazioni nel paramento'!$G$53)</f>
        <v>0</v>
      </c>
      <c r="H1402" s="545">
        <f>-'Foglio deposito bis'!$F$71*(C1402-sezione!$AO$32)*IF(ABS(N1402)&lt;'Sollecitazioni nel paramento'!$G$58,ABS(N1402)*'Sollecitazioni nel paramento'!$G$54,'Sollecitazioni nel paramento'!$G$53)</f>
        <v>7912114.3130431548</v>
      </c>
      <c r="I1402" s="472">
        <f>-'Foglio deposito bis'!$F$72*(C1402-sezione!$AP$32)*IF(ABS(O1402)&lt;'Sollecitazioni nel paramento'!$G$58,ABS(O1402)*'Sollecitazioni nel paramento'!$G$54,'Sollecitazioni nel paramento'!$G$53)</f>
        <v>191469159.58279729</v>
      </c>
      <c r="J1402" s="472">
        <f t="shared" si="98"/>
        <v>-127290296.31046796</v>
      </c>
      <c r="K1402" s="550">
        <f>'Sollecitazioni nel paramento'!$G$60*(sezione!$AL$32-C1402)/C1402</f>
        <v>-2.3294564010082606E-3</v>
      </c>
      <c r="L1402" s="550">
        <f>'Sollecitazioni nel paramento'!$G$60*(sezione!$AM$32-C1402)/C1402</f>
        <v>-1.7441846015123911E-3</v>
      </c>
      <c r="M1402" s="551">
        <f>'Sollecitazioni nel paramento'!$G$60*(sezione!$AN$32-C1402)/C1402</f>
        <v>-1.1589128020165213E-3</v>
      </c>
      <c r="N1402" s="551">
        <f>'Sollecitazioni nel paramento'!$G$60*(sezione!$AO$32-C1402)/C1402</f>
        <v>1.1821743959669572E-3</v>
      </c>
      <c r="O1402" s="551">
        <f>'Sollecitazioni nel paramento'!$G$60*(sezione!$AP$32-C1402)/C1402</f>
        <v>1.139467379231263E-2</v>
      </c>
      <c r="P1402" s="545">
        <f>-'Sollecitazioni nel paramento'!$G$47*'Sollecitazioni nel paramento'!$G$41*IF(DATI!$G$211="dx",DATI!$E$61,DATI!$E$64*DATI!$E$63)*1000*C1402*sezione!$AD$5</f>
        <v>-4556498.3692996455</v>
      </c>
      <c r="Q1402" s="545">
        <f>'Foglio deposito bis'!$F$68*IF(ABS(K1402)&lt;'Sollecitazioni nel paramento'!$G$58,ABS(K1402)*'Sollecitazioni nel paramento'!$G$54,'Sollecitazioni nel paramento'!$G$53)*IF(K1402&lt;0,-1,1)</f>
        <v>0</v>
      </c>
      <c r="R1402" s="545">
        <f>'Foglio deposito bis'!$F$69*IF(ABS(L1402)&lt;'Sollecitazioni nel paramento'!$G$58,ABS(L1402)*'Sollecitazioni nel paramento'!$G$54,'Sollecitazioni nel paramento'!$G$53)*IF(L1402&lt;0,-1,1)</f>
        <v>-141097.57641335603</v>
      </c>
      <c r="S1402" s="545">
        <f>'Foglio deposito bis'!$F$70*IF(ABS(M1402)&lt;'Sollecitazioni nel paramento'!$G$58,ABS(M1402)*'Sollecitazioni nel paramento'!$G$54,'Sollecitazioni nel paramento'!$G$53)*IF(M1402&lt;0,-1,1)</f>
        <v>0</v>
      </c>
      <c r="T1402" s="545">
        <f>'Foglio deposito bis'!$F$71*IF(ABS(N1402)&lt;'Sollecitazioni nel paramento'!$G$58,ABS(N1402)*'Sollecitazioni nel paramento'!$G$54,'Sollecitazioni nel paramento'!$G$53)*IF(N1402&lt;0,-1,1)</f>
        <v>195856.77872950764</v>
      </c>
      <c r="U1402" s="545">
        <f>'Foglio deposito bis'!$F$72*IF(ABS(O1402)&lt;'Sollecitazioni nel paramento'!$G$58,ABS(O1402)*'Sollecitazioni nel paramento'!$G$54,'Sollecitazioni nel paramento'!$G$53)*IF(O1402&lt;0,-1,1)</f>
        <v>491727.54577927204</v>
      </c>
      <c r="V1402" s="472">
        <f t="shared" si="100"/>
        <v>-4010011.6212042216</v>
      </c>
      <c r="W1402" s="551"/>
      <c r="X1402" s="551"/>
    </row>
    <row r="1403" spans="1:24" x14ac:dyDescent="0.25">
      <c r="A1403" s="545">
        <f t="shared" si="99"/>
        <v>4077874.9178835405</v>
      </c>
      <c r="B1403" s="3">
        <f t="shared" si="97"/>
        <v>16.299999999999965</v>
      </c>
      <c r="C1403" s="545">
        <f>'Foglio deposito bis'!$E$158/sezione!$B$247*B1403</f>
        <v>121.08829654604166</v>
      </c>
      <c r="D1403" s="603">
        <f>-'Sollecitazioni nel paramento'!$G$47*'Sollecitazioni nel paramento'!$G$41*IF(DATI!$G$211="dx",DATI!$E$61,DATI!$E$64*DATI!$E$63)*1000*C1403^2*sezione!$AD$5*(1-sezione!$AD$6)</f>
        <v>-326218032.68763459</v>
      </c>
      <c r="E1403" s="545">
        <f>-'Foglio deposito bis'!$F$68*(C1403-sezione!$AL$32)*IF(ABS(K1403)&lt;'Sollecitazioni nel paramento'!$G$58,ABS(K1403)*'Sollecitazioni nel paramento'!$G$54,'Sollecitazioni nel paramento'!$G$53)</f>
        <v>0</v>
      </c>
      <c r="F1403" s="545">
        <f>-'Foglio deposito bis'!$F$69*(C1403-sezione!$AM$32)*IF(ABS(L1403)&lt;'Sollecitazioni nel paramento'!$G$58,ABS(L1403)*'Sollecitazioni nel paramento'!$G$54,'Sollecitazioni nel paramento'!$G$53)</f>
        <v>-8725875.4690881148</v>
      </c>
      <c r="G1403" s="545">
        <f>-'Foglio deposito bis'!$F$70*(C1403-sezione!$AN$32)*IF(ABS(M1403)&lt;'Sollecitazioni nel paramento'!$G$58,ABS(M1403)*'Sollecitazioni nel paramento'!$G$54,'Sollecitazioni nel paramento'!$G$53)</f>
        <v>0</v>
      </c>
      <c r="H1403" s="545">
        <f>-'Foglio deposito bis'!$F$71*(C1403-sezione!$AO$32)*IF(ABS(N1403)&lt;'Sollecitazioni nel paramento'!$G$58,ABS(N1403)*'Sollecitazioni nel paramento'!$G$54,'Sollecitazioni nel paramento'!$G$53)</f>
        <v>7250758.1614971943</v>
      </c>
      <c r="I1403" s="472">
        <f>-'Foglio deposito bis'!$F$72*(C1403-sezione!$AP$32)*IF(ABS(O1403)&lt;'Sollecitazioni nel paramento'!$G$58,ABS(O1403)*'Sollecitazioni nel paramento'!$G$54,'Sollecitazioni nel paramento'!$G$53)</f>
        <v>190738577.36337182</v>
      </c>
      <c r="J1403" s="472">
        <f t="shared" si="98"/>
        <v>-136954572.63185373</v>
      </c>
      <c r="K1403" s="550">
        <f>'Sollecitazioni nel paramento'!$G$60*(sezione!$AL$32-C1403)/C1403</f>
        <v>-2.3438188991553987E-3</v>
      </c>
      <c r="L1403" s="550">
        <f>'Sollecitazioni nel paramento'!$G$60*(sezione!$AM$32-C1403)/C1403</f>
        <v>-1.765728348733098E-3</v>
      </c>
      <c r="M1403" s="551">
        <f>'Sollecitazioni nel paramento'!$G$60*(sezione!$AN$32-C1403)/C1403</f>
        <v>-1.1876377983107971E-3</v>
      </c>
      <c r="N1403" s="551">
        <f>'Sollecitazioni nel paramento'!$G$60*(sezione!$AO$32-C1403)/C1403</f>
        <v>1.1247244033784059E-3</v>
      </c>
      <c r="O1403" s="551">
        <f>'Sollecitazioni nel paramento'!$G$60*(sezione!$AP$32-C1403)/C1403</f>
        <v>1.1211917058664624E-2</v>
      </c>
      <c r="P1403" s="545">
        <f>-'Sollecitazioni nel paramento'!$G$47*'Sollecitazioni nel paramento'!$G$41*IF(DATI!$G$211="dx",DATI!$E$61,DATI!$E$64*DATI!$E$63)*1000*C1403*sezione!$AD$5</f>
        <v>-4613100.8335145479</v>
      </c>
      <c r="Q1403" s="545">
        <f>'Foglio deposito bis'!$F$68*IF(ABS(K1403)&lt;'Sollecitazioni nel paramento'!$G$58,ABS(K1403)*'Sollecitazioni nel paramento'!$G$54,'Sollecitazioni nel paramento'!$G$53)*IF(K1403&lt;0,-1,1)</f>
        <v>0</v>
      </c>
      <c r="R1403" s="545">
        <f>'Foglio deposito bis'!$F$69*IF(ABS(L1403)&lt;'Sollecitazioni nel paramento'!$G$58,ABS(L1403)*'Sollecitazioni nel paramento'!$G$54,'Sollecitazioni nel paramento'!$G$53)*IF(L1403&lt;0,-1,1)</f>
        <v>-142840.37962183976</v>
      </c>
      <c r="S1403" s="545">
        <f>'Foglio deposito bis'!$F$70*IF(ABS(M1403)&lt;'Sollecitazioni nel paramento'!$G$58,ABS(M1403)*'Sollecitazioni nel paramento'!$G$54,'Sollecitazioni nel paramento'!$G$53)*IF(M1403&lt;0,-1,1)</f>
        <v>0</v>
      </c>
      <c r="T1403" s="545">
        <f>'Foglio deposito bis'!$F$71*IF(ABS(N1403)&lt;'Sollecitazioni nel paramento'!$G$58,ABS(N1403)*'Sollecitazioni nel paramento'!$G$54,'Sollecitazioni nel paramento'!$G$53)*IF(N1403&lt;0,-1,1)</f>
        <v>186338.74947357521</v>
      </c>
      <c r="U1403" s="545">
        <f>'Foglio deposito bis'!$F$72*IF(ABS(O1403)&lt;'Sollecitazioni nel paramento'!$G$58,ABS(O1403)*'Sollecitazioni nel paramento'!$G$54,'Sollecitazioni nel paramento'!$G$53)*IF(O1403&lt;0,-1,1)</f>
        <v>491727.54577927204</v>
      </c>
      <c r="V1403" s="472">
        <f t="shared" si="100"/>
        <v>-4077874.9178835405</v>
      </c>
      <c r="W1403" s="551"/>
      <c r="X1403" s="551"/>
    </row>
    <row r="1404" spans="1:24" x14ac:dyDescent="0.25">
      <c r="A1404" s="545">
        <f t="shared" si="99"/>
        <v>4145465.2246849332</v>
      </c>
      <c r="B1404" s="3">
        <f t="shared" si="97"/>
        <v>16.499999999999964</v>
      </c>
      <c r="C1404" s="545">
        <f>'Foglio deposito bis'!$E$158/sezione!$B$247*B1404</f>
        <v>122.57404251593174</v>
      </c>
      <c r="D1404" s="603">
        <f>-'Sollecitazioni nel paramento'!$G$47*'Sollecitazioni nel paramento'!$G$41*IF(DATI!$G$211="dx",DATI!$E$61,DATI!$E$64*DATI!$E$63)*1000*C1404^2*sezione!$AD$5*(1-sezione!$AD$6)</f>
        <v>-334272495.76276302</v>
      </c>
      <c r="E1404" s="545">
        <f>-'Foglio deposito bis'!$F$68*(C1404-sezione!$AL$32)*IF(ABS(K1404)&lt;'Sollecitazioni nel paramento'!$G$58,ABS(K1404)*'Sollecitazioni nel paramento'!$G$54,'Sollecitazioni nel paramento'!$G$53)</f>
        <v>0</v>
      </c>
      <c r="F1404" s="545">
        <f>-'Foglio deposito bis'!$F$69*(C1404-sezione!$AM$32)*IF(ABS(L1404)&lt;'Sollecitazioni nel paramento'!$G$58,ABS(L1404)*'Sollecitazioni nel paramento'!$G$54,'Sollecitazioni nel paramento'!$G$53)</f>
        <v>-9044510.4903118275</v>
      </c>
      <c r="G1404" s="545">
        <f>-'Foglio deposito bis'!$F$70*(C1404-sezione!$AN$32)*IF(ABS(M1404)&lt;'Sollecitazioni nel paramento'!$G$58,ABS(M1404)*'Sollecitazioni nel paramento'!$G$54,'Sollecitazioni nel paramento'!$G$53)</f>
        <v>0</v>
      </c>
      <c r="H1404" s="545">
        <f>-'Foglio deposito bis'!$F$71*(C1404-sezione!$AO$32)*IF(ABS(N1404)&lt;'Sollecitazioni nel paramento'!$G$58,ABS(N1404)*'Sollecitazioni nel paramento'!$G$54,'Sollecitazioni nel paramento'!$G$53)</f>
        <v>6626320.4264590917</v>
      </c>
      <c r="I1404" s="472">
        <f>-'Foglio deposito bis'!$F$72*(C1404-sezione!$AP$32)*IF(ABS(O1404)&lt;'Sollecitazioni nel paramento'!$G$58,ABS(O1404)*'Sollecitazioni nel paramento'!$G$54,'Sollecitazioni nel paramento'!$G$53)</f>
        <v>190007995.14394632</v>
      </c>
      <c r="J1404" s="472">
        <f t="shared" si="98"/>
        <v>-146682690.68266943</v>
      </c>
      <c r="K1404" s="550">
        <f>'Sollecitazioni nel paramento'!$G$60*(sezione!$AL$32-C1404)/C1404</f>
        <v>-2.3578332155292721E-3</v>
      </c>
      <c r="L1404" s="550">
        <f>'Sollecitazioni nel paramento'!$G$60*(sezione!$AM$32-C1404)/C1404</f>
        <v>-1.7867498232939088E-3</v>
      </c>
      <c r="M1404" s="551">
        <f>'Sollecitazioni nel paramento'!$G$60*(sezione!$AN$32-C1404)/C1404</f>
        <v>-1.2156664310585448E-3</v>
      </c>
      <c r="N1404" s="551">
        <f>'Sollecitazioni nel paramento'!$G$60*(sezione!$AO$32-C1404)/C1404</f>
        <v>1.0686671378829103E-3</v>
      </c>
      <c r="O1404" s="551">
        <f>'Sollecitazioni nel paramento'!$G$60*(sezione!$AP$32-C1404)/C1404</f>
        <v>1.103359079128687E-2</v>
      </c>
      <c r="P1404" s="545">
        <f>-'Sollecitazioni nel paramento'!$G$47*'Sollecitazioni nel paramento'!$G$41*IF(DATI!$G$211="dx",DATI!$E$61,DATI!$E$64*DATI!$E$63)*1000*C1404*sezione!$AD$5</f>
        <v>-4669703.2977294503</v>
      </c>
      <c r="Q1404" s="545">
        <f>'Foglio deposito bis'!$F$68*IF(ABS(K1404)&lt;'Sollecitazioni nel paramento'!$G$58,ABS(K1404)*'Sollecitazioni nel paramento'!$G$54,'Sollecitazioni nel paramento'!$G$53)*IF(K1404&lt;0,-1,1)</f>
        <v>0</v>
      </c>
      <c r="R1404" s="545">
        <f>'Foglio deposito bis'!$F$69*IF(ABS(L1404)&lt;'Sollecitazioni nel paramento'!$G$58,ABS(L1404)*'Sollecitazioni nel paramento'!$G$54,'Sollecitazioni nel paramento'!$G$53)*IF(L1404&lt;0,-1,1)</f>
        <v>-144540.93305557236</v>
      </c>
      <c r="S1404" s="545">
        <f>'Foglio deposito bis'!$F$70*IF(ABS(M1404)&lt;'Sollecitazioni nel paramento'!$G$58,ABS(M1404)*'Sollecitazioni nel paramento'!$G$54,'Sollecitazioni nel paramento'!$G$53)*IF(M1404&lt;0,-1,1)</f>
        <v>0</v>
      </c>
      <c r="T1404" s="545">
        <f>'Foglio deposito bis'!$F$71*IF(ABS(N1404)&lt;'Sollecitazioni nel paramento'!$G$58,ABS(N1404)*'Sollecitazioni nel paramento'!$G$54,'Sollecitazioni nel paramento'!$G$53)*IF(N1404&lt;0,-1,1)</f>
        <v>177051.4603208169</v>
      </c>
      <c r="U1404" s="545">
        <f>'Foglio deposito bis'!$F$72*IF(ABS(O1404)&lt;'Sollecitazioni nel paramento'!$G$58,ABS(O1404)*'Sollecitazioni nel paramento'!$G$54,'Sollecitazioni nel paramento'!$G$53)*IF(O1404&lt;0,-1,1)</f>
        <v>491727.54577927204</v>
      </c>
      <c r="V1404" s="472">
        <f t="shared" si="100"/>
        <v>-4145465.2246849332</v>
      </c>
      <c r="W1404" s="551"/>
      <c r="X1404" s="551"/>
    </row>
    <row r="1405" spans="1:24" x14ac:dyDescent="0.25">
      <c r="A1405" s="545">
        <f t="shared" si="99"/>
        <v>4212792.3496279689</v>
      </c>
      <c r="B1405" s="3">
        <f t="shared" si="97"/>
        <v>16.699999999999964</v>
      </c>
      <c r="C1405" s="545">
        <f>'Foglio deposito bis'!$E$158/sezione!$B$247*B1405</f>
        <v>124.05978848582181</v>
      </c>
      <c r="D1405" s="603">
        <f>-'Sollecitazioni nel paramento'!$G$47*'Sollecitazioni nel paramento'!$G$41*IF(DATI!$G$211="dx",DATI!$E$61,DATI!$E$64*DATI!$E$63)*1000*C1405^2*sezione!$AD$5*(1-sezione!$AD$6)</f>
        <v>-342425183.9973442</v>
      </c>
      <c r="E1405" s="545">
        <f>-'Foglio deposito bis'!$F$68*(C1405-sezione!$AL$32)*IF(ABS(K1405)&lt;'Sollecitazioni nel paramento'!$G$58,ABS(K1405)*'Sollecitazioni nel paramento'!$G$54,'Sollecitazioni nel paramento'!$G$53)</f>
        <v>0</v>
      </c>
      <c r="F1405" s="545">
        <f>-'Foglio deposito bis'!$F$69*(C1405-sezione!$AM$32)*IF(ABS(L1405)&lt;'Sollecitazioni nel paramento'!$G$58,ABS(L1405)*'Sollecitazioni nel paramento'!$G$54,'Sollecitazioni nel paramento'!$G$53)</f>
        <v>-9365589.4206618629</v>
      </c>
      <c r="G1405" s="545">
        <f>-'Foglio deposito bis'!$F$70*(C1405-sezione!$AN$32)*IF(ABS(M1405)&lt;'Sollecitazioni nel paramento'!$G$58,ABS(M1405)*'Sollecitazioni nel paramento'!$G$54,'Sollecitazioni nel paramento'!$G$53)</f>
        <v>0</v>
      </c>
      <c r="H1405" s="545">
        <f>-'Foglio deposito bis'!$F$71*(C1405-sezione!$AO$32)*IF(ABS(N1405)&lt;'Sollecitazioni nel paramento'!$G$58,ABS(N1405)*'Sollecitazioni nel paramento'!$G$54,'Sollecitazioni nel paramento'!$G$53)</f>
        <v>6037474.6977549149</v>
      </c>
      <c r="I1405" s="472">
        <f>-'Foglio deposito bis'!$F$72*(C1405-sezione!$AP$32)*IF(ABS(O1405)&lt;'Sollecitazioni nel paramento'!$G$58,ABS(O1405)*'Sollecitazioni nel paramento'!$G$54,'Sollecitazioni nel paramento'!$G$53)</f>
        <v>189277412.92452082</v>
      </c>
      <c r="J1405" s="472">
        <f t="shared" si="98"/>
        <v>-156475885.79573032</v>
      </c>
      <c r="K1405" s="550">
        <f>'Sollecitazioni nel paramento'!$G$60*(sezione!$AL$32-C1405)/C1405</f>
        <v>-2.3715118596546706E-3</v>
      </c>
      <c r="L1405" s="550">
        <f>'Sollecitazioni nel paramento'!$G$60*(sezione!$AM$32-C1405)/C1405</f>
        <v>-1.8072677894820054E-3</v>
      </c>
      <c r="M1405" s="551">
        <f>'Sollecitazioni nel paramento'!$G$60*(sezione!$AN$32-C1405)/C1405</f>
        <v>-1.2430237193093408E-3</v>
      </c>
      <c r="N1405" s="551">
        <f>'Sollecitazioni nel paramento'!$G$60*(sezione!$AO$32-C1405)/C1405</f>
        <v>1.0139525613813189E-3</v>
      </c>
      <c r="O1405" s="551">
        <f>'Sollecitazioni nel paramento'!$G$60*(sezione!$AP$32-C1405)/C1405</f>
        <v>1.0859535811750504E-2</v>
      </c>
      <c r="P1405" s="545">
        <f>-'Sollecitazioni nel paramento'!$G$47*'Sollecitazioni nel paramento'!$G$41*IF(DATI!$G$211="dx",DATI!$E$61,DATI!$E$64*DATI!$E$63)*1000*C1405*sezione!$AD$5</f>
        <v>-4726305.7619443526</v>
      </c>
      <c r="Q1405" s="545">
        <f>'Foglio deposito bis'!$F$68*IF(ABS(K1405)&lt;'Sollecitazioni nel paramento'!$G$58,ABS(K1405)*'Sollecitazioni nel paramento'!$G$54,'Sollecitazioni nel paramento'!$G$53)*IF(K1405&lt;0,-1,1)</f>
        <v>0</v>
      </c>
      <c r="R1405" s="545">
        <f>'Foglio deposito bis'!$F$69*IF(ABS(L1405)&lt;'Sollecitazioni nel paramento'!$G$58,ABS(L1405)*'Sollecitazioni nel paramento'!$G$54,'Sollecitazioni nel paramento'!$G$53)*IF(L1405&lt;0,-1,1)</f>
        <v>-146200.75467053292</v>
      </c>
      <c r="S1405" s="545">
        <f>'Foglio deposito bis'!$F$70*IF(ABS(M1405)&lt;'Sollecitazioni nel paramento'!$G$58,ABS(M1405)*'Sollecitazioni nel paramento'!$G$54,'Sollecitazioni nel paramento'!$G$53)*IF(M1405&lt;0,-1,1)</f>
        <v>0</v>
      </c>
      <c r="T1405" s="545">
        <f>'Foglio deposito bis'!$F$71*IF(ABS(N1405)&lt;'Sollecitazioni nel paramento'!$G$58,ABS(N1405)*'Sollecitazioni nel paramento'!$G$54,'Sollecitazioni nel paramento'!$G$53)*IF(N1405&lt;0,-1,1)</f>
        <v>167986.62120764563</v>
      </c>
      <c r="U1405" s="545">
        <f>'Foglio deposito bis'!$F$72*IF(ABS(O1405)&lt;'Sollecitazioni nel paramento'!$G$58,ABS(O1405)*'Sollecitazioni nel paramento'!$G$54,'Sollecitazioni nel paramento'!$G$53)*IF(O1405&lt;0,-1,1)</f>
        <v>491727.54577927204</v>
      </c>
      <c r="V1405" s="472">
        <f t="shared" si="100"/>
        <v>-4212792.3496279689</v>
      </c>
      <c r="W1405" s="551"/>
      <c r="X1405" s="551"/>
    </row>
    <row r="1406" spans="1:24" x14ac:dyDescent="0.25">
      <c r="A1406" s="545">
        <f t="shared" si="99"/>
        <v>4279865.6364472602</v>
      </c>
      <c r="B1406" s="3">
        <f t="shared" si="97"/>
        <v>16.899999999999963</v>
      </c>
      <c r="C1406" s="545">
        <f>'Foglio deposito bis'!$E$158/sezione!$B$247*B1406</f>
        <v>125.5455344557119</v>
      </c>
      <c r="D1406" s="603">
        <f>-'Sollecitazioni nel paramento'!$G$47*'Sollecitazioni nel paramento'!$G$41*IF(DATI!$G$211="dx",DATI!$E$61,DATI!$E$64*DATI!$E$63)*1000*C1406^2*sezione!$AD$5*(1-sezione!$AD$6)</f>
        <v>-350676097.39137834</v>
      </c>
      <c r="E1406" s="545">
        <f>-'Foglio deposito bis'!$F$68*(C1406-sezione!$AL$32)*IF(ABS(K1406)&lt;'Sollecitazioni nel paramento'!$G$58,ABS(K1406)*'Sollecitazioni nel paramento'!$G$54,'Sollecitazioni nel paramento'!$G$53)</f>
        <v>0</v>
      </c>
      <c r="F1406" s="545">
        <f>-'Foglio deposito bis'!$F$69*(C1406-sezione!$AM$32)*IF(ABS(L1406)&lt;'Sollecitazioni nel paramento'!$G$58,ABS(L1406)*'Sollecitazioni nel paramento'!$G$54,'Sollecitazioni nel paramento'!$G$53)</f>
        <v>-9689025.4941337425</v>
      </c>
      <c r="G1406" s="545">
        <f>-'Foglio deposito bis'!$F$70*(C1406-sezione!$AN$32)*IF(ABS(M1406)&lt;'Sollecitazioni nel paramento'!$G$58,ABS(M1406)*'Sollecitazioni nel paramento'!$G$54,'Sollecitazioni nel paramento'!$G$53)</f>
        <v>0</v>
      </c>
      <c r="H1406" s="545">
        <f>-'Foglio deposito bis'!$F$71*(C1406-sezione!$AO$32)*IF(ABS(N1406)&lt;'Sollecitazioni nel paramento'!$G$58,ABS(N1406)*'Sollecitazioni nel paramento'!$G$54,'Sollecitazioni nel paramento'!$G$53)</f>
        <v>5482957.3538580062</v>
      </c>
      <c r="I1406" s="472">
        <f>-'Foglio deposito bis'!$F$72*(C1406-sezione!$AP$32)*IF(ABS(O1406)&lt;'Sollecitazioni nel paramento'!$G$58,ABS(O1406)*'Sollecitazioni nel paramento'!$G$54,'Sollecitazioni nel paramento'!$G$53)</f>
        <v>188546830.70509532</v>
      </c>
      <c r="J1406" s="472">
        <f t="shared" si="98"/>
        <v>-166335334.8265588</v>
      </c>
      <c r="K1406" s="550">
        <f>'Sollecitazioni nel paramento'!$G$60*(sezione!$AL$32-C1406)/C1406</f>
        <v>-2.3848667488895266E-3</v>
      </c>
      <c r="L1406" s="550">
        <f>'Sollecitazioni nel paramento'!$G$60*(sezione!$AM$32-C1406)/C1406</f>
        <v>-1.8273001233342896E-3</v>
      </c>
      <c r="M1406" s="551">
        <f>'Sollecitazioni nel paramento'!$G$60*(sezione!$AN$32-C1406)/C1406</f>
        <v>-1.2697334977790527E-3</v>
      </c>
      <c r="N1406" s="551">
        <f>'Sollecitazioni nel paramento'!$G$60*(sezione!$AO$32-C1406)/C1406</f>
        <v>9.6053300444189462E-4</v>
      </c>
      <c r="O1406" s="551">
        <f>'Sollecitazioni nel paramento'!$G$60*(sezione!$AP$32-C1406)/C1406</f>
        <v>1.0689600476700201E-2</v>
      </c>
      <c r="P1406" s="545">
        <f>-'Sollecitazioni nel paramento'!$G$47*'Sollecitazioni nel paramento'!$G$41*IF(DATI!$G$211="dx",DATI!$E$61,DATI!$E$64*DATI!$E$63)*1000*C1406*sezione!$AD$5</f>
        <v>-4782908.226159255</v>
      </c>
      <c r="Q1406" s="545">
        <f>'Foglio deposito bis'!$F$68*IF(ABS(K1406)&lt;'Sollecitazioni nel paramento'!$G$58,ABS(K1406)*'Sollecitazioni nel paramento'!$G$54,'Sollecitazioni nel paramento'!$G$53)*IF(K1406&lt;0,-1,1)</f>
        <v>0</v>
      </c>
      <c r="R1406" s="545">
        <f>'Foglio deposito bis'!$F$69*IF(ABS(L1406)&lt;'Sollecitazioni nel paramento'!$G$58,ABS(L1406)*'Sollecitazioni nel paramento'!$G$54,'Sollecitazioni nel paramento'!$G$53)*IF(L1406&lt;0,-1,1)</f>
        <v>-147821.29056679623</v>
      </c>
      <c r="S1406" s="545">
        <f>'Foglio deposito bis'!$F$70*IF(ABS(M1406)&lt;'Sollecitazioni nel paramento'!$G$58,ABS(M1406)*'Sollecitazioni nel paramento'!$G$54,'Sollecitazioni nel paramento'!$G$53)*IF(M1406&lt;0,-1,1)</f>
        <v>0</v>
      </c>
      <c r="T1406" s="545">
        <f>'Foglio deposito bis'!$F$71*IF(ABS(N1406)&lt;'Sollecitazioni nel paramento'!$G$58,ABS(N1406)*'Sollecitazioni nel paramento'!$G$54,'Sollecitazioni nel paramento'!$G$53)*IF(N1406&lt;0,-1,1)</f>
        <v>159136.3344995197</v>
      </c>
      <c r="U1406" s="545">
        <f>'Foglio deposito bis'!$F$72*IF(ABS(O1406)&lt;'Sollecitazioni nel paramento'!$G$58,ABS(O1406)*'Sollecitazioni nel paramento'!$G$54,'Sollecitazioni nel paramento'!$G$53)*IF(O1406&lt;0,-1,1)</f>
        <v>491727.54577927204</v>
      </c>
      <c r="V1406" s="472">
        <f t="shared" si="100"/>
        <v>-4279865.6364472602</v>
      </c>
      <c r="W1406" s="551"/>
      <c r="X1406" s="551"/>
    </row>
    <row r="1407" spans="1:24" x14ac:dyDescent="0.25">
      <c r="A1407" s="545">
        <f t="shared" si="99"/>
        <v>4346693.991743641</v>
      </c>
      <c r="B1407" s="3">
        <f t="shared" si="97"/>
        <v>17.099999999999962</v>
      </c>
      <c r="C1407" s="545">
        <f>'Foglio deposito bis'!$E$158/sezione!$B$247*B1407</f>
        <v>127.03128042560198</v>
      </c>
      <c r="D1407" s="603">
        <f>-'Sollecitazioni nel paramento'!$G$47*'Sollecitazioni nel paramento'!$G$41*IF(DATI!$G$211="dx",DATI!$E$61,DATI!$E$64*DATI!$E$63)*1000*C1407^2*sezione!$AD$5*(1-sezione!$AD$6)</f>
        <v>-359025235.94486511</v>
      </c>
      <c r="E1407" s="545">
        <f>-'Foglio deposito bis'!$F$68*(C1407-sezione!$AL$32)*IF(ABS(K1407)&lt;'Sollecitazioni nel paramento'!$G$58,ABS(K1407)*'Sollecitazioni nel paramento'!$G$54,'Sollecitazioni nel paramento'!$G$53)</f>
        <v>0</v>
      </c>
      <c r="F1407" s="545">
        <f>-'Foglio deposito bis'!$F$69*(C1407-sezione!$AM$32)*IF(ABS(L1407)&lt;'Sollecitazioni nel paramento'!$G$58,ABS(L1407)*'Sollecitazioni nel paramento'!$G$54,'Sollecitazioni nel paramento'!$G$53)</f>
        <v>-10014736.00395125</v>
      </c>
      <c r="G1407" s="545">
        <f>-'Foglio deposito bis'!$F$70*(C1407-sezione!$AN$32)*IF(ABS(M1407)&lt;'Sollecitazioni nel paramento'!$G$58,ABS(M1407)*'Sollecitazioni nel paramento'!$G$54,'Sollecitazioni nel paramento'!$G$53)</f>
        <v>0</v>
      </c>
      <c r="H1407" s="545">
        <f>-'Foglio deposito bis'!$F$71*(C1407-sezione!$AO$32)*IF(ABS(N1407)&lt;'Sollecitazioni nel paramento'!$G$58,ABS(N1407)*'Sollecitazioni nel paramento'!$G$54,'Sollecitazioni nel paramento'!$G$53)</f>
        <v>4961563.8900383003</v>
      </c>
      <c r="I1407" s="472">
        <f>-'Foglio deposito bis'!$F$72*(C1407-sezione!$AP$32)*IF(ABS(O1407)&lt;'Sollecitazioni nel paramento'!$G$58,ABS(O1407)*'Sollecitazioni nel paramento'!$G$54,'Sollecitazioni nel paramento'!$G$53)</f>
        <v>187816248.48566985</v>
      </c>
      <c r="J1407" s="472">
        <f t="shared" si="98"/>
        <v>-176262159.5731082</v>
      </c>
      <c r="K1407" s="550">
        <f>'Sollecitazioni nel paramento'!$G$60*(sezione!$AL$32-C1407)/C1407</f>
        <v>-2.397909243054561E-3</v>
      </c>
      <c r="L1407" s="550">
        <f>'Sollecitazioni nel paramento'!$G$60*(sezione!$AM$32-C1407)/C1407</f>
        <v>-1.8468638645818417E-3</v>
      </c>
      <c r="M1407" s="551">
        <f>'Sollecitazioni nel paramento'!$G$60*(sezione!$AN$32-C1407)/C1407</f>
        <v>-1.2958184861091222E-3</v>
      </c>
      <c r="N1407" s="551">
        <f>'Sollecitazioni nel paramento'!$G$60*(sezione!$AO$32-C1407)/C1407</f>
        <v>9.0836302778175566E-4</v>
      </c>
      <c r="O1407" s="551">
        <f>'Sollecitazioni nel paramento'!$G$60*(sezione!$AP$32-C1407)/C1407</f>
        <v>1.0523640237206632E-2</v>
      </c>
      <c r="P1407" s="545">
        <f>-'Sollecitazioni nel paramento'!$G$47*'Sollecitazioni nel paramento'!$G$41*IF(DATI!$G$211="dx",DATI!$E$61,DATI!$E$64*DATI!$E$63)*1000*C1407*sezione!$AD$5</f>
        <v>-4839510.6903741574</v>
      </c>
      <c r="Q1407" s="545">
        <f>'Foglio deposito bis'!$F$68*IF(ABS(K1407)&lt;'Sollecitazioni nel paramento'!$G$58,ABS(K1407)*'Sollecitazioni nel paramento'!$G$54,'Sollecitazioni nel paramento'!$G$53)*IF(K1407&lt;0,-1,1)</f>
        <v>0</v>
      </c>
      <c r="R1407" s="545">
        <f>'Foglio deposito bis'!$F$69*IF(ABS(L1407)&lt;'Sollecitazioni nel paramento'!$G$58,ABS(L1407)*'Sollecitazioni nel paramento'!$G$54,'Sollecitazioni nel paramento'!$G$53)*IF(L1407&lt;0,-1,1)</f>
        <v>-149403.9191906323</v>
      </c>
      <c r="S1407" s="545">
        <f>'Foglio deposito bis'!$F$70*IF(ABS(M1407)&lt;'Sollecitazioni nel paramento'!$G$58,ABS(M1407)*'Sollecitazioni nel paramento'!$G$54,'Sollecitazioni nel paramento'!$G$53)*IF(M1407&lt;0,-1,1)</f>
        <v>0</v>
      </c>
      <c r="T1407" s="545">
        <f>'Foglio deposito bis'!$F$71*IF(ABS(N1407)&lt;'Sollecitazioni nel paramento'!$G$58,ABS(N1407)*'Sollecitazioni nel paramento'!$G$54,'Sollecitazioni nel paramento'!$G$53)*IF(N1407&lt;0,-1,1)</f>
        <v>150493.07204187632</v>
      </c>
      <c r="U1407" s="545">
        <f>'Foglio deposito bis'!$F$72*IF(ABS(O1407)&lt;'Sollecitazioni nel paramento'!$G$58,ABS(O1407)*'Sollecitazioni nel paramento'!$G$54,'Sollecitazioni nel paramento'!$G$53)*IF(O1407&lt;0,-1,1)</f>
        <v>491727.54577927204</v>
      </c>
      <c r="V1407" s="472">
        <f t="shared" si="100"/>
        <v>-4346693.991743641</v>
      </c>
      <c r="W1407" s="551"/>
      <c r="X1407" s="551"/>
    </row>
    <row r="1408" spans="1:24" x14ac:dyDescent="0.25">
      <c r="A1408" s="545">
        <f t="shared" si="99"/>
        <v>4413285.9102520114</v>
      </c>
      <c r="B1408" s="3">
        <f t="shared" si="97"/>
        <v>17.299999999999962</v>
      </c>
      <c r="C1408" s="545">
        <f>'Foglio deposito bis'!$E$158/sezione!$B$247*B1408</f>
        <v>128.51702639549205</v>
      </c>
      <c r="D1408" s="603">
        <f>-'Sollecitazioni nel paramento'!$G$47*'Sollecitazioni nel paramento'!$G$41*IF(DATI!$G$211="dx",DATI!$E$61,DATI!$E$64*DATI!$E$63)*1000*C1408^2*sezione!$AD$5*(1-sezione!$AD$6)</f>
        <v>-367472599.65780473</v>
      </c>
      <c r="E1408" s="545">
        <f>-'Foglio deposito bis'!$F$68*(C1408-sezione!$AL$32)*IF(ABS(K1408)&lt;'Sollecitazioni nel paramento'!$G$58,ABS(K1408)*'Sollecitazioni nel paramento'!$G$54,'Sollecitazioni nel paramento'!$G$53)</f>
        <v>0</v>
      </c>
      <c r="F1408" s="545">
        <f>-'Foglio deposito bis'!$F$69*(C1408-sezione!$AM$32)*IF(ABS(L1408)&lt;'Sollecitazioni nel paramento'!$G$58,ABS(L1408)*'Sollecitazioni nel paramento'!$G$54,'Sollecitazioni nel paramento'!$G$53)</f>
        <v>-10342642.067928992</v>
      </c>
      <c r="G1408" s="545">
        <f>-'Foglio deposito bis'!$F$70*(C1408-sezione!$AN$32)*IF(ABS(M1408)&lt;'Sollecitazioni nel paramento'!$G$58,ABS(M1408)*'Sollecitazioni nel paramento'!$G$54,'Sollecitazioni nel paramento'!$G$53)</f>
        <v>0</v>
      </c>
      <c r="H1408" s="545">
        <f>-'Foglio deposito bis'!$F$71*(C1408-sezione!$AO$32)*IF(ABS(N1408)&lt;'Sollecitazioni nel paramento'!$G$58,ABS(N1408)*'Sollecitazioni nel paramento'!$G$54,'Sollecitazioni nel paramento'!$G$53)</f>
        <v>4472145.5012064073</v>
      </c>
      <c r="I1408" s="472">
        <f>-'Foglio deposito bis'!$F$72*(C1408-sezione!$AP$32)*IF(ABS(O1408)&lt;'Sollecitazioni nel paramento'!$G$58,ABS(O1408)*'Sollecitazioni nel paramento'!$G$54,'Sollecitazioni nel paramento'!$G$53)</f>
        <v>187085666.26624435</v>
      </c>
      <c r="J1408" s="472">
        <f t="shared" si="98"/>
        <v>-186257429.95828295</v>
      </c>
      <c r="K1408" s="550">
        <f>'Sollecitazioni nel paramento'!$G$60*(sezione!$AL$32-C1408)/C1408</f>
        <v>-2.4106501766608668E-3</v>
      </c>
      <c r="L1408" s="550">
        <f>'Sollecitazioni nel paramento'!$G$60*(sezione!$AM$32-C1408)/C1408</f>
        <v>-1.8659752649913001E-3</v>
      </c>
      <c r="M1408" s="551">
        <f>'Sollecitazioni nel paramento'!$G$60*(sezione!$AN$32-C1408)/C1408</f>
        <v>-1.3213003533217335E-3</v>
      </c>
      <c r="N1408" s="551">
        <f>'Sollecitazioni nel paramento'!$G$60*(sezione!$AO$32-C1408)/C1408</f>
        <v>8.573992933565333E-4</v>
      </c>
      <c r="O1408" s="551">
        <f>'Sollecitazioni nel paramento'!$G$60*(sezione!$AP$32-C1408)/C1408</f>
        <v>1.0361517228684012E-2</v>
      </c>
      <c r="P1408" s="545">
        <f>-'Sollecitazioni nel paramento'!$G$47*'Sollecitazioni nel paramento'!$G$41*IF(DATI!$G$211="dx",DATI!$E$61,DATI!$E$64*DATI!$E$63)*1000*C1408*sezione!$AD$5</f>
        <v>-4896113.1545890598</v>
      </c>
      <c r="Q1408" s="545">
        <f>'Foglio deposito bis'!$F$68*IF(ABS(K1408)&lt;'Sollecitazioni nel paramento'!$G$58,ABS(K1408)*'Sollecitazioni nel paramento'!$G$54,'Sollecitazioni nel paramento'!$G$53)*IF(K1408&lt;0,-1,1)</f>
        <v>0</v>
      </c>
      <c r="R1408" s="545">
        <f>'Foglio deposito bis'!$F$69*IF(ABS(L1408)&lt;'Sollecitazioni nel paramento'!$G$58,ABS(L1408)*'Sollecitazioni nel paramento'!$G$54,'Sollecitazioni nel paramento'!$G$53)*IF(L1408&lt;0,-1,1)</f>
        <v>-150949.9552451311</v>
      </c>
      <c r="S1408" s="545">
        <f>'Foglio deposito bis'!$F$70*IF(ABS(M1408)&lt;'Sollecitazioni nel paramento'!$G$58,ABS(M1408)*'Sollecitazioni nel paramento'!$G$54,'Sollecitazioni nel paramento'!$G$53)*IF(M1408&lt;0,-1,1)</f>
        <v>0</v>
      </c>
      <c r="T1408" s="545">
        <f>'Foglio deposito bis'!$F$71*IF(ABS(N1408)&lt;'Sollecitazioni nel paramento'!$G$58,ABS(N1408)*'Sollecitazioni nel paramento'!$G$54,'Sollecitazioni nel paramento'!$G$53)*IF(N1408&lt;0,-1,1)</f>
        <v>142049.6538029068</v>
      </c>
      <c r="U1408" s="545">
        <f>'Foglio deposito bis'!$F$72*IF(ABS(O1408)&lt;'Sollecitazioni nel paramento'!$G$58,ABS(O1408)*'Sollecitazioni nel paramento'!$G$54,'Sollecitazioni nel paramento'!$G$53)*IF(O1408&lt;0,-1,1)</f>
        <v>491727.54577927204</v>
      </c>
      <c r="V1408" s="472">
        <f t="shared" si="100"/>
        <v>-4413285.9102520114</v>
      </c>
      <c r="W1408" s="551"/>
      <c r="X1408" s="551"/>
    </row>
    <row r="1409" spans="1:24" x14ac:dyDescent="0.25">
      <c r="A1409" s="545">
        <f t="shared" si="99"/>
        <v>4480853.703099885</v>
      </c>
      <c r="B1409" s="3">
        <f t="shared" si="97"/>
        <v>17.499999999999961</v>
      </c>
      <c r="C1409" s="545">
        <f>'Foglio deposito bis'!$E$158/sezione!$B$247*B1409</f>
        <v>130.00277236538213</v>
      </c>
      <c r="D1409" s="603">
        <f>-'Sollecitazioni nel paramento'!$G$47*'Sollecitazioni nel paramento'!$G$41*IF(DATI!$G$211="dx",DATI!$E$61,DATI!$E$64*DATI!$E$63)*1000*C1409^2*sezione!$AD$5*(1-sezione!$AD$6)</f>
        <v>-376018188.53019702</v>
      </c>
      <c r="E1409" s="545">
        <f>-'Foglio deposito bis'!$F$68*(C1409-sezione!$AL$32)*IF(ABS(K1409)&lt;'Sollecitazioni nel paramento'!$G$58,ABS(K1409)*'Sollecitazioni nel paramento'!$G$54,'Sollecitazioni nel paramento'!$G$53)</f>
        <v>0</v>
      </c>
      <c r="F1409" s="545">
        <f>-'Foglio deposito bis'!$F$69*(C1409-sezione!$AM$32)*IF(ABS(L1409)&lt;'Sollecitazioni nel paramento'!$G$58,ABS(L1409)*'Sollecitazioni nel paramento'!$G$54,'Sollecitazioni nel paramento'!$G$53)</f>
        <v>-10756966.079054499</v>
      </c>
      <c r="G1409" s="545">
        <f>-'Foglio deposito bis'!$F$70*(C1409-sezione!$AN$32)*IF(ABS(M1409)&lt;'Sollecitazioni nel paramento'!$G$58,ABS(M1409)*'Sollecitazioni nel paramento'!$G$54,'Sollecitazioni nel paramento'!$G$53)</f>
        <v>0</v>
      </c>
      <c r="H1409" s="545">
        <f>-'Foglio deposito bis'!$F$71*(C1409-sezione!$AO$32)*IF(ABS(N1409)&lt;'Sollecitazioni nel paramento'!$G$58,ABS(N1409)*'Sollecitazioni nel paramento'!$G$54,'Sollecitazioni nel paramento'!$G$53)</f>
        <v>4013605.8990770318</v>
      </c>
      <c r="I1409" s="472">
        <f>-'Foglio deposito bis'!$F$72*(C1409-sezione!$AP$32)*IF(ABS(O1409)&lt;'Sollecitazioni nel paramento'!$G$58,ABS(O1409)*'Sollecitazioni nel paramento'!$G$54,'Sollecitazioni nel paramento'!$G$53)</f>
        <v>186355084.04681885</v>
      </c>
      <c r="J1409" s="472">
        <f t="shared" si="98"/>
        <v>-196406464.66335559</v>
      </c>
      <c r="K1409" s="550">
        <f>'Sollecitazioni nel paramento'!$G$60*(sezione!$AL$32-C1409)/C1409</f>
        <v>-2.4230998889275997E-3</v>
      </c>
      <c r="L1409" s="550">
        <f>'Sollecitazioni nel paramento'!$G$60*(sezione!$AM$32-C1409)/C1409</f>
        <v>-1.8846498333913995E-3</v>
      </c>
      <c r="M1409" s="551">
        <f>'Sollecitazioni nel paramento'!$G$60*(sezione!$AN$32-C1409)/C1409</f>
        <v>-1.3461997778551991E-3</v>
      </c>
      <c r="N1409" s="551">
        <f>'Sollecitazioni nel paramento'!$G$60*(sezione!$AO$32-C1409)/C1409</f>
        <v>8.0760044428960164E-4</v>
      </c>
      <c r="O1409" s="551">
        <f>'Sollecitazioni nel paramento'!$G$60*(sezione!$AP$32-C1409)/C1409</f>
        <v>1.0203099888927623E-2</v>
      </c>
      <c r="P1409" s="545">
        <f>-'Sollecitazioni nel paramento'!$G$47*'Sollecitazioni nel paramento'!$G$41*IF(DATI!$G$211="dx",DATI!$E$61,DATI!$E$64*DATI!$E$63)*1000*C1409*sezione!$AD$5</f>
        <v>-4952715.6188039621</v>
      </c>
      <c r="Q1409" s="545">
        <f>'Foglio deposito bis'!$F$68*IF(ABS(K1409)&lt;'Sollecitazioni nel paramento'!$G$58,ABS(K1409)*'Sollecitazioni nel paramento'!$G$54,'Sollecitazioni nel paramento'!$G$53)*IF(K1409&lt;0,-1,1)</f>
        <v>0</v>
      </c>
      <c r="R1409" s="545">
        <f>'Foglio deposito bis'!$F$69*IF(ABS(L1409)&lt;'Sollecitazioni nel paramento'!$G$58,ABS(L1409)*'Sollecitazioni nel paramento'!$G$54,'Sollecitazioni nel paramento'!$G$53)*IF(L1409&lt;0,-1,1)</f>
        <v>-153664.85805602249</v>
      </c>
      <c r="S1409" s="545">
        <f>'Foglio deposito bis'!$F$70*IF(ABS(M1409)&lt;'Sollecitazioni nel paramento'!$G$58,ABS(M1409)*'Sollecitazioni nel paramento'!$G$54,'Sollecitazioni nel paramento'!$G$53)*IF(M1409&lt;0,-1,1)</f>
        <v>0</v>
      </c>
      <c r="T1409" s="545">
        <f>'Foglio deposito bis'!$F$71*IF(ABS(N1409)&lt;'Sollecitazioni nel paramento'!$G$58,ABS(N1409)*'Sollecitazioni nel paramento'!$G$54,'Sollecitazioni nel paramento'!$G$53)*IF(N1409&lt;0,-1,1)</f>
        <v>133799.22798082803</v>
      </c>
      <c r="U1409" s="545">
        <f>'Foglio deposito bis'!$F$72*IF(ABS(O1409)&lt;'Sollecitazioni nel paramento'!$G$58,ABS(O1409)*'Sollecitazioni nel paramento'!$G$54,'Sollecitazioni nel paramento'!$G$53)*IF(O1409&lt;0,-1,1)</f>
        <v>491727.54577927204</v>
      </c>
      <c r="V1409" s="472">
        <f t="shared" si="100"/>
        <v>-4480853.703099885</v>
      </c>
      <c r="W1409" s="551"/>
      <c r="X1409" s="551"/>
    </row>
    <row r="1410" spans="1:24" x14ac:dyDescent="0.25">
      <c r="A1410" s="545">
        <f t="shared" si="99"/>
        <v>4545520.1428358024</v>
      </c>
      <c r="B1410" s="3">
        <f t="shared" si="97"/>
        <v>17.69999999999996</v>
      </c>
      <c r="C1410" s="545">
        <f>'Foglio deposito bis'!$E$158/sezione!$B$247*B1410</f>
        <v>131.4885183352722</v>
      </c>
      <c r="D1410" s="603">
        <f>-'Sollecitazioni nel paramento'!$G$47*'Sollecitazioni nel paramento'!$G$41*IF(DATI!$G$211="dx",DATI!$E$61,DATI!$E$64*DATI!$E$63)*1000*C1410^2*sezione!$AD$5*(1-sezione!$AD$6)</f>
        <v>-384662002.56204224</v>
      </c>
      <c r="E1410" s="545">
        <f>-'Foglio deposito bis'!$F$68*(C1410-sezione!$AL$32)*IF(ABS(K1410)&lt;'Sollecitazioni nel paramento'!$G$58,ABS(K1410)*'Sollecitazioni nel paramento'!$G$54,'Sollecitazioni nel paramento'!$G$53)</f>
        <v>0</v>
      </c>
      <c r="F1410" s="545">
        <f>-'Foglio deposito bis'!$F$69*(C1410-sezione!$AM$32)*IF(ABS(L1410)&lt;'Sollecitazioni nel paramento'!$G$58,ABS(L1410)*'Sollecitazioni nel paramento'!$G$54,'Sollecitazioni nel paramento'!$G$53)</f>
        <v>-10985273.022624964</v>
      </c>
      <c r="G1410" s="545">
        <f>-'Foglio deposito bis'!$F$70*(C1410-sezione!$AN$32)*IF(ABS(M1410)&lt;'Sollecitazioni nel paramento'!$G$58,ABS(M1410)*'Sollecitazioni nel paramento'!$G$54,'Sollecitazioni nel paramento'!$G$53)</f>
        <v>0</v>
      </c>
      <c r="H1410" s="545">
        <f>-'Foglio deposito bis'!$F$71*(C1410-sezione!$AO$32)*IF(ABS(N1410)&lt;'Sollecitazioni nel paramento'!$G$58,ABS(N1410)*'Sollecitazioni nel paramento'!$G$54,'Sollecitazioni nel paramento'!$G$53)</f>
        <v>3584898.3451178847</v>
      </c>
      <c r="I1410" s="472">
        <f>-'Foglio deposito bis'!$F$72*(C1410-sezione!$AP$32)*IF(ABS(O1410)&lt;'Sollecitazioni nel paramento'!$G$58,ABS(O1410)*'Sollecitazioni nel paramento'!$G$54,'Sollecitazioni nel paramento'!$G$53)</f>
        <v>185624501.82739335</v>
      </c>
      <c r="J1410" s="472">
        <f t="shared" si="98"/>
        <v>-206437875.41215599</v>
      </c>
      <c r="K1410" s="550">
        <f>'Sollecitazioni nel paramento'!$G$60*(sezione!$AL$32-C1410)/C1410</f>
        <v>-2.4352682517645762E-3</v>
      </c>
      <c r="L1410" s="550">
        <f>'Sollecitazioni nel paramento'!$G$60*(sezione!$AM$32-C1410)/C1410</f>
        <v>-1.9029023776468638E-3</v>
      </c>
      <c r="M1410" s="551">
        <f>'Sollecitazioni nel paramento'!$G$60*(sezione!$AN$32-C1410)/C1410</f>
        <v>-1.3705365035291516E-3</v>
      </c>
      <c r="N1410" s="551">
        <f>'Sollecitazioni nel paramento'!$G$60*(sezione!$AO$32-C1410)/C1410</f>
        <v>7.5892699294169679E-4</v>
      </c>
      <c r="O1410" s="551">
        <f>'Sollecitazioni nel paramento'!$G$60*(sezione!$AP$32-C1410)/C1410</f>
        <v>1.0048262602047086E-2</v>
      </c>
      <c r="P1410" s="545">
        <f>-'Sollecitazioni nel paramento'!$G$47*'Sollecitazioni nel paramento'!$G$41*IF(DATI!$G$211="dx",DATI!$E$61,DATI!$E$64*DATI!$E$63)*1000*C1410*sezione!$AD$5</f>
        <v>-5009318.0830188645</v>
      </c>
      <c r="Q1410" s="545">
        <f>'Foglio deposito bis'!$F$68*IF(ABS(K1410)&lt;'Sollecitazioni nel paramento'!$G$58,ABS(K1410)*'Sollecitazioni nel paramento'!$G$54,'Sollecitazioni nel paramento'!$G$53)*IF(K1410&lt;0,-1,1)</f>
        <v>0</v>
      </c>
      <c r="R1410" s="545">
        <f>'Foglio deposito bis'!$F$69*IF(ABS(L1410)&lt;'Sollecitazioni nel paramento'!$G$58,ABS(L1410)*'Sollecitazioni nel paramento'!$G$54,'Sollecitazioni nel paramento'!$G$53)*IF(L1410&lt;0,-1,1)</f>
        <v>-153664.85805602249</v>
      </c>
      <c r="S1410" s="545">
        <f>'Foglio deposito bis'!$F$70*IF(ABS(M1410)&lt;'Sollecitazioni nel paramento'!$G$58,ABS(M1410)*'Sollecitazioni nel paramento'!$G$54,'Sollecitazioni nel paramento'!$G$53)*IF(M1410&lt;0,-1,1)</f>
        <v>0</v>
      </c>
      <c r="T1410" s="545">
        <f>'Foglio deposito bis'!$F$71*IF(ABS(N1410)&lt;'Sollecitazioni nel paramento'!$G$58,ABS(N1410)*'Sollecitazioni nel paramento'!$G$54,'Sollecitazioni nel paramento'!$G$53)*IF(N1410&lt;0,-1,1)</f>
        <v>125735.25245981319</v>
      </c>
      <c r="U1410" s="545">
        <f>'Foglio deposito bis'!$F$72*IF(ABS(O1410)&lt;'Sollecitazioni nel paramento'!$G$58,ABS(O1410)*'Sollecitazioni nel paramento'!$G$54,'Sollecitazioni nel paramento'!$G$53)*IF(O1410&lt;0,-1,1)</f>
        <v>491727.54577927204</v>
      </c>
      <c r="V1410" s="472">
        <f t="shared" si="100"/>
        <v>-4545520.1428358024</v>
      </c>
      <c r="W1410" s="551"/>
      <c r="X1410" s="551"/>
    </row>
    <row r="1411" spans="1:24" x14ac:dyDescent="0.25">
      <c r="A1411" s="545">
        <f t="shared" si="99"/>
        <v>4610006.3820014186</v>
      </c>
      <c r="B1411" s="3">
        <f t="shared" si="97"/>
        <v>17.899999999999959</v>
      </c>
      <c r="C1411" s="545">
        <f>'Foglio deposito bis'!$E$158/sezione!$B$247*B1411</f>
        <v>132.97426430516231</v>
      </c>
      <c r="D1411" s="603">
        <f>-'Sollecitazioni nel paramento'!$G$47*'Sollecitazioni nel paramento'!$G$41*IF(DATI!$G$211="dx",DATI!$E$61,DATI!$E$64*DATI!$E$63)*1000*C1411^2*sezione!$AD$5*(1-sezione!$AD$6)</f>
        <v>-393404041.7533403</v>
      </c>
      <c r="E1411" s="545">
        <f>-'Foglio deposito bis'!$F$68*(C1411-sezione!$AL$32)*IF(ABS(K1411)&lt;'Sollecitazioni nel paramento'!$G$58,ABS(K1411)*'Sollecitazioni nel paramento'!$G$54,'Sollecitazioni nel paramento'!$G$53)</f>
        <v>0</v>
      </c>
      <c r="F1411" s="545">
        <f>-'Foglio deposito bis'!$F$69*(C1411-sezione!$AM$32)*IF(ABS(L1411)&lt;'Sollecitazioni nel paramento'!$G$58,ABS(L1411)*'Sollecitazioni nel paramento'!$G$54,'Sollecitazioni nel paramento'!$G$53)</f>
        <v>-11213579.966195436</v>
      </c>
      <c r="G1411" s="545">
        <f>-'Foglio deposito bis'!$F$70*(C1411-sezione!$AN$32)*IF(ABS(M1411)&lt;'Sollecitazioni nel paramento'!$G$58,ABS(M1411)*'Sollecitazioni nel paramento'!$G$54,'Sollecitazioni nel paramento'!$G$53)</f>
        <v>0</v>
      </c>
      <c r="H1411" s="545">
        <f>-'Foglio deposito bis'!$F$71*(C1411-sezione!$AO$32)*IF(ABS(N1411)&lt;'Sollecitazioni nel paramento'!$G$58,ABS(N1411)*'Sollecitazioni nel paramento'!$G$54,'Sollecitazioni nel paramento'!$G$53)</f>
        <v>3185022.8824070506</v>
      </c>
      <c r="I1411" s="472">
        <f>-'Foglio deposito bis'!$F$72*(C1411-sezione!$AP$32)*IF(ABS(O1411)&lt;'Sollecitazioni nel paramento'!$G$58,ABS(O1411)*'Sollecitazioni nel paramento'!$G$54,'Sollecitazioni nel paramento'!$G$53)</f>
        <v>184893919.60796785</v>
      </c>
      <c r="J1411" s="472">
        <f t="shared" si="98"/>
        <v>-216538679.22916085</v>
      </c>
      <c r="K1411" s="550">
        <f>'Sollecitazioni nel paramento'!$G$60*(sezione!$AL$32-C1411)/C1411</f>
        <v>-2.4471646958789386E-3</v>
      </c>
      <c r="L1411" s="550">
        <f>'Sollecitazioni nel paramento'!$G$60*(sezione!$AM$32-C1411)/C1411</f>
        <v>-1.9207470438184074E-3</v>
      </c>
      <c r="M1411" s="551">
        <f>'Sollecitazioni nel paramento'!$G$60*(sezione!$AN$32-C1411)/C1411</f>
        <v>-1.3943293917578765E-3</v>
      </c>
      <c r="N1411" s="551">
        <f>'Sollecitazioni nel paramento'!$G$60*(sezione!$AO$32-C1411)/C1411</f>
        <v>7.1134121648424697E-4</v>
      </c>
      <c r="O1411" s="551">
        <f>'Sollecitazioni nel paramento'!$G$60*(sezione!$AP$32-C1411)/C1411</f>
        <v>9.8968853662700224E-3</v>
      </c>
      <c r="P1411" s="545">
        <f>-'Sollecitazioni nel paramento'!$G$47*'Sollecitazioni nel paramento'!$G$41*IF(DATI!$G$211="dx",DATI!$E$61,DATI!$E$64*DATI!$E$63)*1000*C1411*sezione!$AD$5</f>
        <v>-5065920.5472337678</v>
      </c>
      <c r="Q1411" s="545">
        <f>'Foglio deposito bis'!$F$68*IF(ABS(K1411)&lt;'Sollecitazioni nel paramento'!$G$58,ABS(K1411)*'Sollecitazioni nel paramento'!$G$54,'Sollecitazioni nel paramento'!$G$53)*IF(K1411&lt;0,-1,1)</f>
        <v>0</v>
      </c>
      <c r="R1411" s="545">
        <f>'Foglio deposito bis'!$F$69*IF(ABS(L1411)&lt;'Sollecitazioni nel paramento'!$G$58,ABS(L1411)*'Sollecitazioni nel paramento'!$G$54,'Sollecitazioni nel paramento'!$G$53)*IF(L1411&lt;0,-1,1)</f>
        <v>-153664.85805602249</v>
      </c>
      <c r="S1411" s="545">
        <f>'Foglio deposito bis'!$F$70*IF(ABS(M1411)&lt;'Sollecitazioni nel paramento'!$G$58,ABS(M1411)*'Sollecitazioni nel paramento'!$G$54,'Sollecitazioni nel paramento'!$G$53)*IF(M1411&lt;0,-1,1)</f>
        <v>0</v>
      </c>
      <c r="T1411" s="545">
        <f>'Foglio deposito bis'!$F$71*IF(ABS(N1411)&lt;'Sollecitazioni nel paramento'!$G$58,ABS(N1411)*'Sollecitazioni nel paramento'!$G$54,'Sollecitazioni nel paramento'!$G$53)*IF(N1411&lt;0,-1,1)</f>
        <v>117851.47750910019</v>
      </c>
      <c r="U1411" s="545">
        <f>'Foglio deposito bis'!$F$72*IF(ABS(O1411)&lt;'Sollecitazioni nel paramento'!$G$58,ABS(O1411)*'Sollecitazioni nel paramento'!$G$54,'Sollecitazioni nel paramento'!$G$53)*IF(O1411&lt;0,-1,1)</f>
        <v>491727.54577927204</v>
      </c>
      <c r="V1411" s="472">
        <f t="shared" si="100"/>
        <v>-4610006.3820014186</v>
      </c>
      <c r="W1411" s="551"/>
      <c r="X1411" s="551"/>
    </row>
    <row r="1412" spans="1:24" x14ac:dyDescent="0.25">
      <c r="A1412" s="545">
        <f t="shared" si="99"/>
        <v>4674318.3940963</v>
      </c>
      <c r="B1412" s="3">
        <f t="shared" si="97"/>
        <v>18.099999999999959</v>
      </c>
      <c r="C1412" s="545">
        <f>'Foglio deposito bis'!$E$158/sezione!$B$247*B1412</f>
        <v>134.46001027505238</v>
      </c>
      <c r="D1412" s="603">
        <f>-'Sollecitazioni nel paramento'!$G$47*'Sollecitazioni nel paramento'!$G$41*IF(DATI!$G$211="dx",DATI!$E$61,DATI!$E$64*DATI!$E$63)*1000*C1412^2*sezione!$AD$5*(1-sezione!$AD$6)</f>
        <v>-402244306.10409105</v>
      </c>
      <c r="E1412" s="545">
        <f>-'Foglio deposito bis'!$F$68*(C1412-sezione!$AL$32)*IF(ABS(K1412)&lt;'Sollecitazioni nel paramento'!$G$58,ABS(K1412)*'Sollecitazioni nel paramento'!$G$54,'Sollecitazioni nel paramento'!$G$53)</f>
        <v>0</v>
      </c>
      <c r="F1412" s="545">
        <f>-'Foglio deposito bis'!$F$69*(C1412-sezione!$AM$32)*IF(ABS(L1412)&lt;'Sollecitazioni nel paramento'!$G$58,ABS(L1412)*'Sollecitazioni nel paramento'!$G$54,'Sollecitazioni nel paramento'!$G$53)</f>
        <v>-11441886.909765901</v>
      </c>
      <c r="G1412" s="545">
        <f>-'Foglio deposito bis'!$F$70*(C1412-sezione!$AN$32)*IF(ABS(M1412)&lt;'Sollecitazioni nel paramento'!$G$58,ABS(M1412)*'Sollecitazioni nel paramento'!$G$54,'Sollecitazioni nel paramento'!$G$53)</f>
        <v>0</v>
      </c>
      <c r="H1412" s="545">
        <f>-'Foglio deposito bis'!$F$71*(C1412-sezione!$AO$32)*IF(ABS(N1412)&lt;'Sollecitazioni nel paramento'!$G$58,ABS(N1412)*'Sollecitazioni nel paramento'!$G$54,'Sollecitazioni nel paramento'!$G$53)</f>
        <v>2813023.7510136617</v>
      </c>
      <c r="I1412" s="472">
        <f>-'Foglio deposito bis'!$F$72*(C1412-sezione!$AP$32)*IF(ABS(O1412)&lt;'Sollecitazioni nel paramento'!$G$58,ABS(O1412)*'Sollecitazioni nel paramento'!$G$54,'Sollecitazioni nel paramento'!$G$53)</f>
        <v>184163337.38854238</v>
      </c>
      <c r="J1412" s="472">
        <f t="shared" si="98"/>
        <v>-226709831.87430093</v>
      </c>
      <c r="K1412" s="550">
        <f>'Sollecitazioni nel paramento'!$G$60*(sezione!$AL$32-C1412)/C1412</f>
        <v>-2.458798235150994E-3</v>
      </c>
      <c r="L1412" s="550">
        <f>'Sollecitazioni nel paramento'!$G$60*(sezione!$AM$32-C1412)/C1412</f>
        <v>-1.9381973527264913E-3</v>
      </c>
      <c r="M1412" s="551">
        <f>'Sollecitazioni nel paramento'!$G$60*(sezione!$AN$32-C1412)/C1412</f>
        <v>-1.4175964703019882E-3</v>
      </c>
      <c r="N1412" s="551">
        <f>'Sollecitazioni nel paramento'!$G$60*(sezione!$AO$32-C1412)/C1412</f>
        <v>6.6480705939602337E-4</v>
      </c>
      <c r="O1412" s="551">
        <f>'Sollecitazioni nel paramento'!$G$60*(sezione!$AP$32-C1412)/C1412</f>
        <v>9.748853483769802E-3</v>
      </c>
      <c r="P1412" s="545">
        <f>-'Sollecitazioni nel paramento'!$G$47*'Sollecitazioni nel paramento'!$G$41*IF(DATI!$G$211="dx",DATI!$E$61,DATI!$E$64*DATI!$E$63)*1000*C1412*sezione!$AD$5</f>
        <v>-5122523.0114486702</v>
      </c>
      <c r="Q1412" s="545">
        <f>'Foglio deposito bis'!$F$68*IF(ABS(K1412)&lt;'Sollecitazioni nel paramento'!$G$58,ABS(K1412)*'Sollecitazioni nel paramento'!$G$54,'Sollecitazioni nel paramento'!$G$53)*IF(K1412&lt;0,-1,1)</f>
        <v>0</v>
      </c>
      <c r="R1412" s="545">
        <f>'Foglio deposito bis'!$F$69*IF(ABS(L1412)&lt;'Sollecitazioni nel paramento'!$G$58,ABS(L1412)*'Sollecitazioni nel paramento'!$G$54,'Sollecitazioni nel paramento'!$G$53)*IF(L1412&lt;0,-1,1)</f>
        <v>-153664.85805602249</v>
      </c>
      <c r="S1412" s="545">
        <f>'Foglio deposito bis'!$F$70*IF(ABS(M1412)&lt;'Sollecitazioni nel paramento'!$G$58,ABS(M1412)*'Sollecitazioni nel paramento'!$G$54,'Sollecitazioni nel paramento'!$G$53)*IF(M1412&lt;0,-1,1)</f>
        <v>0</v>
      </c>
      <c r="T1412" s="545">
        <f>'Foglio deposito bis'!$F$71*IF(ABS(N1412)&lt;'Sollecitazioni nel paramento'!$G$58,ABS(N1412)*'Sollecitazioni nel paramento'!$G$54,'Sollecitazioni nel paramento'!$G$53)*IF(N1412&lt;0,-1,1)</f>
        <v>110141.92962912131</v>
      </c>
      <c r="U1412" s="545">
        <f>'Foglio deposito bis'!$F$72*IF(ABS(O1412)&lt;'Sollecitazioni nel paramento'!$G$58,ABS(O1412)*'Sollecitazioni nel paramento'!$G$54,'Sollecitazioni nel paramento'!$G$53)*IF(O1412&lt;0,-1,1)</f>
        <v>491727.54577927204</v>
      </c>
      <c r="V1412" s="472">
        <f t="shared" si="100"/>
        <v>-4674318.3940963</v>
      </c>
      <c r="W1412" s="551"/>
      <c r="X1412" s="551"/>
    </row>
    <row r="1413" spans="1:24" x14ac:dyDescent="0.25">
      <c r="A1413" s="545">
        <f t="shared" si="99"/>
        <v>4738461.8914834214</v>
      </c>
      <c r="B1413" s="3">
        <f t="shared" ref="B1413:B1436" si="101">B1412+0.2</f>
        <v>18.299999999999958</v>
      </c>
      <c r="C1413" s="545">
        <f>'Foglio deposito bis'!$E$158/sezione!$B$247*B1413</f>
        <v>135.94575624494246</v>
      </c>
      <c r="D1413" s="603">
        <f>-'Sollecitazioni nel paramento'!$G$47*'Sollecitazioni nel paramento'!$G$41*IF(DATI!$G$211="dx",DATI!$E$61,DATI!$E$64*DATI!$E$63)*1000*C1413^2*sezione!$AD$5*(1-sezione!$AD$6)</f>
        <v>-411182795.61429453</v>
      </c>
      <c r="E1413" s="545">
        <f>-'Foglio deposito bis'!$F$68*(C1413-sezione!$AL$32)*IF(ABS(K1413)&lt;'Sollecitazioni nel paramento'!$G$58,ABS(K1413)*'Sollecitazioni nel paramento'!$G$54,'Sollecitazioni nel paramento'!$G$53)</f>
        <v>0</v>
      </c>
      <c r="F1413" s="545">
        <f>-'Foglio deposito bis'!$F$69*(C1413-sezione!$AM$32)*IF(ABS(L1413)&lt;'Sollecitazioni nel paramento'!$G$58,ABS(L1413)*'Sollecitazioni nel paramento'!$G$54,'Sollecitazioni nel paramento'!$G$53)</f>
        <v>-11670193.853336368</v>
      </c>
      <c r="G1413" s="545">
        <f>-'Foglio deposito bis'!$F$70*(C1413-sezione!$AN$32)*IF(ABS(M1413)&lt;'Sollecitazioni nel paramento'!$G$58,ABS(M1413)*'Sollecitazioni nel paramento'!$G$54,'Sollecitazioni nel paramento'!$G$53)</f>
        <v>0</v>
      </c>
      <c r="H1413" s="545">
        <f>-'Foglio deposito bis'!$F$71*(C1413-sezione!$AO$32)*IF(ABS(N1413)&lt;'Sollecitazioni nel paramento'!$G$58,ABS(N1413)*'Sollecitazioni nel paramento'!$G$54,'Sollecitazioni nel paramento'!$G$53)</f>
        <v>2467986.9728617296</v>
      </c>
      <c r="I1413" s="472">
        <f>-'Foglio deposito bis'!$F$72*(C1413-sezione!$AP$32)*IF(ABS(O1413)&lt;'Sollecitazioni nel paramento'!$G$58,ABS(O1413)*'Sollecitazioni nel paramento'!$G$54,'Sollecitazioni nel paramento'!$G$53)</f>
        <v>183432755.16911688</v>
      </c>
      <c r="J1413" s="472">
        <f t="shared" si="98"/>
        <v>-236952247.32565233</v>
      </c>
      <c r="K1413" s="550">
        <f>'Sollecitazioni nel paramento'!$G$60*(sezione!$AL$32-C1413)/C1413</f>
        <v>-2.4701774894116389E-3</v>
      </c>
      <c r="L1413" s="550">
        <f>'Sollecitazioni nel paramento'!$G$60*(sezione!$AM$32-C1413)/C1413</f>
        <v>-1.9552662341174583E-3</v>
      </c>
      <c r="M1413" s="551">
        <f>'Sollecitazioni nel paramento'!$G$60*(sezione!$AN$32-C1413)/C1413</f>
        <v>-1.4403549788232781E-3</v>
      </c>
      <c r="N1413" s="551">
        <f>'Sollecitazioni nel paramento'!$G$60*(sezione!$AO$32-C1413)/C1413</f>
        <v>6.1929004235344409E-4</v>
      </c>
      <c r="O1413" s="551">
        <f>'Sollecitazioni nel paramento'!$G$60*(sezione!$AP$32-C1413)/C1413</f>
        <v>9.6040572708324268E-3</v>
      </c>
      <c r="P1413" s="545">
        <f>-'Sollecitazioni nel paramento'!$G$47*'Sollecitazioni nel paramento'!$G$41*IF(DATI!$G$211="dx",DATI!$E$61,DATI!$E$64*DATI!$E$63)*1000*C1413*sezione!$AD$5</f>
        <v>-5179125.4756635725</v>
      </c>
      <c r="Q1413" s="545">
        <f>'Foglio deposito bis'!$F$68*IF(ABS(K1413)&lt;'Sollecitazioni nel paramento'!$G$58,ABS(K1413)*'Sollecitazioni nel paramento'!$G$54,'Sollecitazioni nel paramento'!$G$53)*IF(K1413&lt;0,-1,1)</f>
        <v>0</v>
      </c>
      <c r="R1413" s="545">
        <f>'Foglio deposito bis'!$F$69*IF(ABS(L1413)&lt;'Sollecitazioni nel paramento'!$G$58,ABS(L1413)*'Sollecitazioni nel paramento'!$G$54,'Sollecitazioni nel paramento'!$G$53)*IF(L1413&lt;0,-1,1)</f>
        <v>-153664.85805602249</v>
      </c>
      <c r="S1413" s="545">
        <f>'Foglio deposito bis'!$F$70*IF(ABS(M1413)&lt;'Sollecitazioni nel paramento'!$G$58,ABS(M1413)*'Sollecitazioni nel paramento'!$G$54,'Sollecitazioni nel paramento'!$G$53)*IF(M1413&lt;0,-1,1)</f>
        <v>0</v>
      </c>
      <c r="T1413" s="545">
        <f>'Foglio deposito bis'!$F$71*IF(ABS(N1413)&lt;'Sollecitazioni nel paramento'!$G$58,ABS(N1413)*'Sollecitazioni nel paramento'!$G$54,'Sollecitazioni nel paramento'!$G$53)*IF(N1413&lt;0,-1,1)</f>
        <v>102600.89645690155</v>
      </c>
      <c r="U1413" s="545">
        <f>'Foglio deposito bis'!$F$72*IF(ABS(O1413)&lt;'Sollecitazioni nel paramento'!$G$58,ABS(O1413)*'Sollecitazioni nel paramento'!$G$54,'Sollecitazioni nel paramento'!$G$53)*IF(O1413&lt;0,-1,1)</f>
        <v>491727.54577927204</v>
      </c>
      <c r="V1413" s="472">
        <f t="shared" si="100"/>
        <v>-4738461.8914834214</v>
      </c>
      <c r="W1413" s="551"/>
      <c r="X1413" s="551"/>
    </row>
    <row r="1414" spans="1:24" x14ac:dyDescent="0.25">
      <c r="A1414" s="545">
        <f t="shared" si="99"/>
        <v>4802442.3395046573</v>
      </c>
      <c r="B1414" s="3">
        <f t="shared" si="101"/>
        <v>18.499999999999957</v>
      </c>
      <c r="C1414" s="545">
        <f>'Foglio deposito bis'!$E$158/sezione!$B$247*B1414</f>
        <v>137.43150221483253</v>
      </c>
      <c r="D1414" s="603">
        <f>-'Sollecitazioni nel paramento'!$G$47*'Sollecitazioni nel paramento'!$G$41*IF(DATI!$G$211="dx",DATI!$E$61,DATI!$E$64*DATI!$E$63)*1000*C1414^2*sezione!$AD$5*(1-sezione!$AD$6)</f>
        <v>-420219510.28395087</v>
      </c>
      <c r="E1414" s="545">
        <f>-'Foglio deposito bis'!$F$68*(C1414-sezione!$AL$32)*IF(ABS(K1414)&lt;'Sollecitazioni nel paramento'!$G$58,ABS(K1414)*'Sollecitazioni nel paramento'!$G$54,'Sollecitazioni nel paramento'!$G$53)</f>
        <v>0</v>
      </c>
      <c r="F1414" s="545">
        <f>-'Foglio deposito bis'!$F$69*(C1414-sezione!$AM$32)*IF(ABS(L1414)&lt;'Sollecitazioni nel paramento'!$G$58,ABS(L1414)*'Sollecitazioni nel paramento'!$G$54,'Sollecitazioni nel paramento'!$G$53)</f>
        <v>-11898500.796906833</v>
      </c>
      <c r="G1414" s="545">
        <f>-'Foglio deposito bis'!$F$70*(C1414-sezione!$AN$32)*IF(ABS(M1414)&lt;'Sollecitazioni nel paramento'!$G$58,ABS(M1414)*'Sollecitazioni nel paramento'!$G$54,'Sollecitazioni nel paramento'!$G$53)</f>
        <v>0</v>
      </c>
      <c r="H1414" s="545">
        <f>-'Foglio deposito bis'!$F$71*(C1414-sezione!$AO$32)*IF(ABS(N1414)&lt;'Sollecitazioni nel paramento'!$G$58,ABS(N1414)*'Sollecitazioni nel paramento'!$G$54,'Sollecitazioni nel paramento'!$G$53)</f>
        <v>2149038.0932515305</v>
      </c>
      <c r="I1414" s="472">
        <f>-'Foglio deposito bis'!$F$72*(C1414-sezione!$AP$32)*IF(ABS(O1414)&lt;'Sollecitazioni nel paramento'!$G$58,ABS(O1414)*'Sollecitazioni nel paramento'!$G$54,'Sollecitazioni nel paramento'!$G$53)</f>
        <v>182702172.94969136</v>
      </c>
      <c r="J1414" s="472">
        <f t="shared" si="98"/>
        <v>-247266800.03791481</v>
      </c>
      <c r="K1414" s="550">
        <f>'Sollecitazioni nel paramento'!$G$60*(sezione!$AL$32-C1414)/C1414</f>
        <v>-2.481310705742324E-3</v>
      </c>
      <c r="L1414" s="550">
        <f>'Sollecitazioni nel paramento'!$G$60*(sezione!$AM$32-C1414)/C1414</f>
        <v>-1.9719660586134859E-3</v>
      </c>
      <c r="M1414" s="551">
        <f>'Sollecitazioni nel paramento'!$G$60*(sezione!$AN$32-C1414)/C1414</f>
        <v>-1.4626214114846479E-3</v>
      </c>
      <c r="N1414" s="551">
        <f>'Sollecitazioni nel paramento'!$G$60*(sezione!$AO$32-C1414)/C1414</f>
        <v>5.7475717703070429E-4</v>
      </c>
      <c r="O1414" s="551">
        <f>'Sollecitazioni nel paramento'!$G$60*(sezione!$AP$32-C1414)/C1414</f>
        <v>9.4623917868234281E-3</v>
      </c>
      <c r="P1414" s="545">
        <f>-'Sollecitazioni nel paramento'!$G$47*'Sollecitazioni nel paramento'!$G$41*IF(DATI!$G$211="dx",DATI!$E$61,DATI!$E$64*DATI!$E$63)*1000*C1414*sezione!$AD$5</f>
        <v>-5235727.939878474</v>
      </c>
      <c r="Q1414" s="545">
        <f>'Foglio deposito bis'!$F$68*IF(ABS(K1414)&lt;'Sollecitazioni nel paramento'!$G$58,ABS(K1414)*'Sollecitazioni nel paramento'!$G$54,'Sollecitazioni nel paramento'!$G$53)*IF(K1414&lt;0,-1,1)</f>
        <v>0</v>
      </c>
      <c r="R1414" s="545">
        <f>'Foglio deposito bis'!$F$69*IF(ABS(L1414)&lt;'Sollecitazioni nel paramento'!$G$58,ABS(L1414)*'Sollecitazioni nel paramento'!$G$54,'Sollecitazioni nel paramento'!$G$53)*IF(L1414&lt;0,-1,1)</f>
        <v>-153664.85805602249</v>
      </c>
      <c r="S1414" s="545">
        <f>'Foglio deposito bis'!$F$70*IF(ABS(M1414)&lt;'Sollecitazioni nel paramento'!$G$58,ABS(M1414)*'Sollecitazioni nel paramento'!$G$54,'Sollecitazioni nel paramento'!$G$53)*IF(M1414&lt;0,-1,1)</f>
        <v>0</v>
      </c>
      <c r="T1414" s="545">
        <f>'Foglio deposito bis'!$F$71*IF(ABS(N1414)&lt;'Sollecitazioni nel paramento'!$G$58,ABS(N1414)*'Sollecitazioni nel paramento'!$G$54,'Sollecitazioni nel paramento'!$G$53)*IF(N1414&lt;0,-1,1)</f>
        <v>95222.912650567625</v>
      </c>
      <c r="U1414" s="545">
        <f>'Foglio deposito bis'!$F$72*IF(ABS(O1414)&lt;'Sollecitazioni nel paramento'!$G$58,ABS(O1414)*'Sollecitazioni nel paramento'!$G$54,'Sollecitazioni nel paramento'!$G$53)*IF(O1414&lt;0,-1,1)</f>
        <v>491727.54577927204</v>
      </c>
      <c r="V1414" s="472">
        <f t="shared" si="100"/>
        <v>-4802442.3395046573</v>
      </c>
      <c r="W1414" s="551"/>
      <c r="X1414" s="551"/>
    </row>
    <row r="1415" spans="1:24" x14ac:dyDescent="0.25">
      <c r="A1415" s="545">
        <f t="shared" si="99"/>
        <v>4866264.9696904635</v>
      </c>
      <c r="B1415" s="3">
        <f t="shared" si="101"/>
        <v>18.699999999999957</v>
      </c>
      <c r="C1415" s="545">
        <f>'Foglio deposito bis'!$E$158/sezione!$B$247*B1415</f>
        <v>138.91724818472261</v>
      </c>
      <c r="D1415" s="603">
        <f>-'Sollecitazioni nel paramento'!$G$47*'Sollecitazioni nel paramento'!$G$41*IF(DATI!$G$211="dx",DATI!$E$61,DATI!$E$64*DATI!$E$63)*1000*C1415^2*sezione!$AD$5*(1-sezione!$AD$6)</f>
        <v>-429354450.11305994</v>
      </c>
      <c r="E1415" s="545">
        <f>-'Foglio deposito bis'!$F$68*(C1415-sezione!$AL$32)*IF(ABS(K1415)&lt;'Sollecitazioni nel paramento'!$G$58,ABS(K1415)*'Sollecitazioni nel paramento'!$G$54,'Sollecitazioni nel paramento'!$G$53)</f>
        <v>0</v>
      </c>
      <c r="F1415" s="545">
        <f>-'Foglio deposito bis'!$F$69*(C1415-sezione!$AM$32)*IF(ABS(L1415)&lt;'Sollecitazioni nel paramento'!$G$58,ABS(L1415)*'Sollecitazioni nel paramento'!$G$54,'Sollecitazioni nel paramento'!$G$53)</f>
        <v>-12126807.740477297</v>
      </c>
      <c r="G1415" s="545">
        <f>-'Foglio deposito bis'!$F$70*(C1415-sezione!$AN$32)*IF(ABS(M1415)&lt;'Sollecitazioni nel paramento'!$G$58,ABS(M1415)*'Sollecitazioni nel paramento'!$G$54,'Sollecitazioni nel paramento'!$G$53)</f>
        <v>0</v>
      </c>
      <c r="H1415" s="545">
        <f>-'Foglio deposito bis'!$F$71*(C1415-sezione!$AO$32)*IF(ABS(N1415)&lt;'Sollecitazioni nel paramento'!$G$58,ABS(N1415)*'Sollecitazioni nel paramento'!$G$54,'Sollecitazioni nel paramento'!$G$53)</f>
        <v>1855340.0673100676</v>
      </c>
      <c r="I1415" s="472">
        <f>-'Foglio deposito bis'!$F$72*(C1415-sezione!$AP$32)*IF(ABS(O1415)&lt;'Sollecitazioni nel paramento'!$G$58,ABS(O1415)*'Sollecitazioni nel paramento'!$G$54,'Sollecitazioni nel paramento'!$G$53)</f>
        <v>181971590.73026589</v>
      </c>
      <c r="J1415" s="472">
        <f t="shared" si="98"/>
        <v>-257654327.05596128</v>
      </c>
      <c r="K1415" s="550">
        <f>'Sollecitazioni nel paramento'!$G$60*(sezione!$AL$32-C1415)/C1415</f>
        <v>-2.4922057784081816E-3</v>
      </c>
      <c r="L1415" s="550">
        <f>'Sollecitazioni nel paramento'!$G$60*(sezione!$AM$32-C1415)/C1415</f>
        <v>-1.9883086676122722E-3</v>
      </c>
      <c r="M1415" s="551">
        <f>'Sollecitazioni nel paramento'!$G$60*(sezione!$AN$32-C1415)/C1415</f>
        <v>-1.4844115568163629E-3</v>
      </c>
      <c r="N1415" s="551">
        <f>'Sollecitazioni nel paramento'!$G$60*(sezione!$AO$32-C1415)/C1415</f>
        <v>5.3117688636727446E-4</v>
      </c>
      <c r="O1415" s="551">
        <f>'Sollecitazioni nel paramento'!$G$60*(sezione!$AP$32-C1415)/C1415</f>
        <v>9.323756580547243E-3</v>
      </c>
      <c r="P1415" s="545">
        <f>-'Sollecitazioni nel paramento'!$G$47*'Sollecitazioni nel paramento'!$G$41*IF(DATI!$G$211="dx",DATI!$E$61,DATI!$E$64*DATI!$E$63)*1000*C1415*sezione!$AD$5</f>
        <v>-5292330.4040933764</v>
      </c>
      <c r="Q1415" s="545">
        <f>'Foglio deposito bis'!$F$68*IF(ABS(K1415)&lt;'Sollecitazioni nel paramento'!$G$58,ABS(K1415)*'Sollecitazioni nel paramento'!$G$54,'Sollecitazioni nel paramento'!$G$53)*IF(K1415&lt;0,-1,1)</f>
        <v>0</v>
      </c>
      <c r="R1415" s="545">
        <f>'Foglio deposito bis'!$F$69*IF(ABS(L1415)&lt;'Sollecitazioni nel paramento'!$G$58,ABS(L1415)*'Sollecitazioni nel paramento'!$G$54,'Sollecitazioni nel paramento'!$G$53)*IF(L1415&lt;0,-1,1)</f>
        <v>-153664.85805602249</v>
      </c>
      <c r="S1415" s="545">
        <f>'Foglio deposito bis'!$F$70*IF(ABS(M1415)&lt;'Sollecitazioni nel paramento'!$G$58,ABS(M1415)*'Sollecitazioni nel paramento'!$G$54,'Sollecitazioni nel paramento'!$G$53)*IF(M1415&lt;0,-1,1)</f>
        <v>0</v>
      </c>
      <c r="T1415" s="545">
        <f>'Foglio deposito bis'!$F$71*IF(ABS(N1415)&lt;'Sollecitazioni nel paramento'!$G$58,ABS(N1415)*'Sollecitazioni nel paramento'!$G$54,'Sollecitazioni nel paramento'!$G$53)*IF(N1415&lt;0,-1,1)</f>
        <v>88002.746679663294</v>
      </c>
      <c r="U1415" s="545">
        <f>'Foglio deposito bis'!$F$72*IF(ABS(O1415)&lt;'Sollecitazioni nel paramento'!$G$58,ABS(O1415)*'Sollecitazioni nel paramento'!$G$54,'Sollecitazioni nel paramento'!$G$53)*IF(O1415&lt;0,-1,1)</f>
        <v>491727.54577927204</v>
      </c>
      <c r="V1415" s="472">
        <f t="shared" si="100"/>
        <v>-4866264.9696904635</v>
      </c>
      <c r="W1415" s="551"/>
      <c r="X1415" s="551"/>
    </row>
    <row r="1416" spans="1:24" x14ac:dyDescent="0.25">
      <c r="A1416" s="545">
        <f t="shared" si="99"/>
        <v>4929934.7921308549</v>
      </c>
      <c r="B1416" s="3">
        <f t="shared" si="101"/>
        <v>18.899999999999956</v>
      </c>
      <c r="C1416" s="545">
        <f>'Foglio deposito bis'!$E$158/sezione!$B$247*B1416</f>
        <v>140.40299415461268</v>
      </c>
      <c r="D1416" s="603">
        <f>-'Sollecitazioni nel paramento'!$G$47*'Sollecitazioni nel paramento'!$G$41*IF(DATI!$G$211="dx",DATI!$E$61,DATI!$E$64*DATI!$E$63)*1000*C1416^2*sezione!$AD$5*(1-sezione!$AD$6)</f>
        <v>-438587615.10162175</v>
      </c>
      <c r="E1416" s="545">
        <f>-'Foglio deposito bis'!$F$68*(C1416-sezione!$AL$32)*IF(ABS(K1416)&lt;'Sollecitazioni nel paramento'!$G$58,ABS(K1416)*'Sollecitazioni nel paramento'!$G$54,'Sollecitazioni nel paramento'!$G$53)</f>
        <v>0</v>
      </c>
      <c r="F1416" s="545">
        <f>-'Foglio deposito bis'!$F$69*(C1416-sezione!$AM$32)*IF(ABS(L1416)&lt;'Sollecitazioni nel paramento'!$G$58,ABS(L1416)*'Sollecitazioni nel paramento'!$G$54,'Sollecitazioni nel paramento'!$G$53)</f>
        <v>-12355114.684047764</v>
      </c>
      <c r="G1416" s="545">
        <f>-'Foglio deposito bis'!$F$70*(C1416-sezione!$AN$32)*IF(ABS(M1416)&lt;'Sollecitazioni nel paramento'!$G$58,ABS(M1416)*'Sollecitazioni nel paramento'!$G$54,'Sollecitazioni nel paramento'!$G$53)</f>
        <v>0</v>
      </c>
      <c r="H1416" s="545">
        <f>-'Foglio deposito bis'!$F$71*(C1416-sezione!$AO$32)*IF(ABS(N1416)&lt;'Sollecitazioni nel paramento'!$G$58,ABS(N1416)*'Sollecitazioni nel paramento'!$G$54,'Sollecitazioni nel paramento'!$G$53)</f>
        <v>1586091.2806351592</v>
      </c>
      <c r="I1416" s="472">
        <f>-'Foglio deposito bis'!$F$72*(C1416-sezione!$AP$32)*IF(ABS(O1416)&lt;'Sollecitazioni nel paramento'!$G$58,ABS(O1416)*'Sollecitazioni nel paramento'!$G$54,'Sollecitazioni nel paramento'!$G$53)</f>
        <v>181241008.51084042</v>
      </c>
      <c r="J1416" s="472">
        <f t="shared" si="98"/>
        <v>-268115629.99419391</v>
      </c>
      <c r="K1416" s="550">
        <f>'Sollecitazioni nel paramento'!$G$60*(sezione!$AL$32-C1416)/C1416</f>
        <v>-2.502870267525555E-3</v>
      </c>
      <c r="L1416" s="550">
        <f>'Sollecitazioni nel paramento'!$G$60*(sezione!$AM$32-C1416)/C1416</f>
        <v>-2.0043054012883325E-3</v>
      </c>
      <c r="M1416" s="551">
        <f>'Sollecitazioni nel paramento'!$G$60*(sezione!$AN$32-C1416)/C1416</f>
        <v>-1.5057405350511102E-3</v>
      </c>
      <c r="N1416" s="551">
        <f>'Sollecitazioni nel paramento'!$G$60*(sezione!$AO$32-C1416)/C1416</f>
        <v>4.8851892989777972E-4</v>
      </c>
      <c r="O1416" s="551">
        <f>'Sollecitazioni nel paramento'!$G$60*(sezione!$AP$32-C1416)/C1416</f>
        <v>9.1880554527107635E-3</v>
      </c>
      <c r="P1416" s="545">
        <f>-'Sollecitazioni nel paramento'!$G$47*'Sollecitazioni nel paramento'!$G$41*IF(DATI!$G$211="dx",DATI!$E$61,DATI!$E$64*DATI!$E$63)*1000*C1416*sezione!$AD$5</f>
        <v>-5348932.8683082787</v>
      </c>
      <c r="Q1416" s="545">
        <f>'Foglio deposito bis'!$F$68*IF(ABS(K1416)&lt;'Sollecitazioni nel paramento'!$G$58,ABS(K1416)*'Sollecitazioni nel paramento'!$G$54,'Sollecitazioni nel paramento'!$G$53)*IF(K1416&lt;0,-1,1)</f>
        <v>0</v>
      </c>
      <c r="R1416" s="545">
        <f>'Foglio deposito bis'!$F$69*IF(ABS(L1416)&lt;'Sollecitazioni nel paramento'!$G$58,ABS(L1416)*'Sollecitazioni nel paramento'!$G$54,'Sollecitazioni nel paramento'!$G$53)*IF(L1416&lt;0,-1,1)</f>
        <v>-153664.85805602249</v>
      </c>
      <c r="S1416" s="545">
        <f>'Foglio deposito bis'!$F$70*IF(ABS(M1416)&lt;'Sollecitazioni nel paramento'!$G$58,ABS(M1416)*'Sollecitazioni nel paramento'!$G$54,'Sollecitazioni nel paramento'!$G$53)*IF(M1416&lt;0,-1,1)</f>
        <v>0</v>
      </c>
      <c r="T1416" s="545">
        <f>'Foglio deposito bis'!$F$71*IF(ABS(N1416)&lt;'Sollecitazioni nel paramento'!$G$58,ABS(N1416)*'Sollecitazioni nel paramento'!$G$54,'Sollecitazioni nel paramento'!$G$53)*IF(N1416&lt;0,-1,1)</f>
        <v>80935.388454174943</v>
      </c>
      <c r="U1416" s="545">
        <f>'Foglio deposito bis'!$F$72*IF(ABS(O1416)&lt;'Sollecitazioni nel paramento'!$G$58,ABS(O1416)*'Sollecitazioni nel paramento'!$G$54,'Sollecitazioni nel paramento'!$G$53)*IF(O1416&lt;0,-1,1)</f>
        <v>491727.54577927204</v>
      </c>
      <c r="V1416" s="472">
        <f t="shared" si="100"/>
        <v>-4929934.7921308549</v>
      </c>
      <c r="W1416" s="551"/>
      <c r="X1416" s="551"/>
    </row>
    <row r="1417" spans="1:24" x14ac:dyDescent="0.25">
      <c r="A1417" s="545">
        <f t="shared" si="99"/>
        <v>4993456.6070691412</v>
      </c>
      <c r="B1417" s="3">
        <f t="shared" si="101"/>
        <v>19.099999999999955</v>
      </c>
      <c r="C1417" s="545">
        <f>'Foglio deposito bis'!$E$158/sezione!$B$247*B1417</f>
        <v>141.88874012450276</v>
      </c>
      <c r="D1417" s="603">
        <f>-'Sollecitazioni nel paramento'!$G$47*'Sollecitazioni nel paramento'!$G$41*IF(DATI!$G$211="dx",DATI!$E$61,DATI!$E$64*DATI!$E$63)*1000*C1417^2*sezione!$AD$5*(1-sezione!$AD$6)</f>
        <v>-447919005.24963635</v>
      </c>
      <c r="E1417" s="545">
        <f>-'Foglio deposito bis'!$F$68*(C1417-sezione!$AL$32)*IF(ABS(K1417)&lt;'Sollecitazioni nel paramento'!$G$58,ABS(K1417)*'Sollecitazioni nel paramento'!$G$54,'Sollecitazioni nel paramento'!$G$53)</f>
        <v>0</v>
      </c>
      <c r="F1417" s="545">
        <f>-'Foglio deposito bis'!$F$69*(C1417-sezione!$AM$32)*IF(ABS(L1417)&lt;'Sollecitazioni nel paramento'!$G$58,ABS(L1417)*'Sollecitazioni nel paramento'!$G$54,'Sollecitazioni nel paramento'!$G$53)</f>
        <v>-12583421.627618231</v>
      </c>
      <c r="G1417" s="545">
        <f>-'Foglio deposito bis'!$F$70*(C1417-sezione!$AN$32)*IF(ABS(M1417)&lt;'Sollecitazioni nel paramento'!$G$58,ABS(M1417)*'Sollecitazioni nel paramento'!$G$54,'Sollecitazioni nel paramento'!$G$53)</f>
        <v>0</v>
      </c>
      <c r="H1417" s="545">
        <f>-'Foglio deposito bis'!$F$71*(C1417-sezione!$AO$32)*IF(ABS(N1417)&lt;'Sollecitazioni nel paramento'!$G$58,ABS(N1417)*'Sollecitazioni nel paramento'!$G$54,'Sollecitazioni nel paramento'!$G$53)</f>
        <v>1340523.6942969654</v>
      </c>
      <c r="I1417" s="472">
        <f>-'Foglio deposito bis'!$F$72*(C1417-sezione!$AP$32)*IF(ABS(O1417)&lt;'Sollecitazioni nel paramento'!$G$58,ABS(O1417)*'Sollecitazioni nel paramento'!$G$54,'Sollecitazioni nel paramento'!$G$53)</f>
        <v>180510426.29141492</v>
      </c>
      <c r="J1417" s="472">
        <f t="shared" si="98"/>
        <v>-278651476.89154273</v>
      </c>
      <c r="K1417" s="550">
        <f>'Sollecitazioni nel paramento'!$G$60*(sezione!$AL$32-C1417)/C1417</f>
        <v>-2.5133114165567009E-3</v>
      </c>
      <c r="L1417" s="550">
        <f>'Sollecitazioni nel paramento'!$G$60*(sezione!$AM$32-C1417)/C1417</f>
        <v>-2.0199671248350517E-3</v>
      </c>
      <c r="M1417" s="551">
        <f>'Sollecitazioni nel paramento'!$G$60*(sezione!$AN$32-C1417)/C1417</f>
        <v>-1.5266228331134021E-3</v>
      </c>
      <c r="N1417" s="551">
        <f>'Sollecitazioni nel paramento'!$G$60*(sezione!$AO$32-C1417)/C1417</f>
        <v>4.4675433377319577E-4</v>
      </c>
      <c r="O1417" s="551">
        <f>'Sollecitazioni nel paramento'!$G$60*(sezione!$AP$32-C1417)/C1417</f>
        <v>9.0551962333106518E-3</v>
      </c>
      <c r="P1417" s="545">
        <f>-'Sollecitazioni nel paramento'!$G$47*'Sollecitazioni nel paramento'!$G$41*IF(DATI!$G$211="dx",DATI!$E$61,DATI!$E$64*DATI!$E$63)*1000*C1417*sezione!$AD$5</f>
        <v>-5405535.3325231811</v>
      </c>
      <c r="Q1417" s="545">
        <f>'Foglio deposito bis'!$F$68*IF(ABS(K1417)&lt;'Sollecitazioni nel paramento'!$G$58,ABS(K1417)*'Sollecitazioni nel paramento'!$G$54,'Sollecitazioni nel paramento'!$G$53)*IF(K1417&lt;0,-1,1)</f>
        <v>0</v>
      </c>
      <c r="R1417" s="545">
        <f>'Foglio deposito bis'!$F$69*IF(ABS(L1417)&lt;'Sollecitazioni nel paramento'!$G$58,ABS(L1417)*'Sollecitazioni nel paramento'!$G$54,'Sollecitazioni nel paramento'!$G$53)*IF(L1417&lt;0,-1,1)</f>
        <v>-153664.85805602249</v>
      </c>
      <c r="S1417" s="545">
        <f>'Foglio deposito bis'!$F$70*IF(ABS(M1417)&lt;'Sollecitazioni nel paramento'!$G$58,ABS(M1417)*'Sollecitazioni nel paramento'!$G$54,'Sollecitazioni nel paramento'!$G$53)*IF(M1417&lt;0,-1,1)</f>
        <v>0</v>
      </c>
      <c r="T1417" s="545">
        <f>'Foglio deposito bis'!$F$71*IF(ABS(N1417)&lt;'Sollecitazioni nel paramento'!$G$58,ABS(N1417)*'Sollecitazioni nel paramento'!$G$54,'Sollecitazioni nel paramento'!$G$53)*IF(N1417&lt;0,-1,1)</f>
        <v>74016.037730791038</v>
      </c>
      <c r="U1417" s="545">
        <f>'Foglio deposito bis'!$F$72*IF(ABS(O1417)&lt;'Sollecitazioni nel paramento'!$G$58,ABS(O1417)*'Sollecitazioni nel paramento'!$G$54,'Sollecitazioni nel paramento'!$G$53)*IF(O1417&lt;0,-1,1)</f>
        <v>491727.54577927204</v>
      </c>
      <c r="V1417" s="472">
        <f t="shared" si="100"/>
        <v>-4993456.6070691412</v>
      </c>
      <c r="W1417" s="551"/>
      <c r="X1417" s="551"/>
    </row>
    <row r="1418" spans="1:24" x14ac:dyDescent="0.25">
      <c r="A1418" s="545">
        <f t="shared" si="99"/>
        <v>5056835.0157748181</v>
      </c>
      <c r="B1418" s="3">
        <f t="shared" si="101"/>
        <v>19.299999999999955</v>
      </c>
      <c r="C1418" s="545">
        <f>'Foglio deposito bis'!$E$158/sezione!$B$247*B1418</f>
        <v>143.37448609439286</v>
      </c>
      <c r="D1418" s="603">
        <f>-'Sollecitazioni nel paramento'!$G$47*'Sollecitazioni nel paramento'!$G$41*IF(DATI!$G$211="dx",DATI!$E$61,DATI!$E$64*DATI!$E$63)*1000*C1418^2*sezione!$AD$5*(1-sezione!$AD$6)</f>
        <v>-457348620.55710399</v>
      </c>
      <c r="E1418" s="545">
        <f>-'Foglio deposito bis'!$F$68*(C1418-sezione!$AL$32)*IF(ABS(K1418)&lt;'Sollecitazioni nel paramento'!$G$58,ABS(K1418)*'Sollecitazioni nel paramento'!$G$54,'Sollecitazioni nel paramento'!$G$53)</f>
        <v>0</v>
      </c>
      <c r="F1418" s="545">
        <f>-'Foglio deposito bis'!$F$69*(C1418-sezione!$AM$32)*IF(ABS(L1418)&lt;'Sollecitazioni nel paramento'!$G$58,ABS(L1418)*'Sollecitazioni nel paramento'!$G$54,'Sollecitazioni nel paramento'!$G$53)</f>
        <v>-12811728.571188701</v>
      </c>
      <c r="G1418" s="545">
        <f>-'Foglio deposito bis'!$F$70*(C1418-sezione!$AN$32)*IF(ABS(M1418)&lt;'Sollecitazioni nel paramento'!$G$58,ABS(M1418)*'Sollecitazioni nel paramento'!$G$54,'Sollecitazioni nel paramento'!$G$53)</f>
        <v>0</v>
      </c>
      <c r="H1418" s="545">
        <f>-'Foglio deposito bis'!$F$71*(C1418-sezione!$AO$32)*IF(ABS(N1418)&lt;'Sollecitazioni nel paramento'!$G$58,ABS(N1418)*'Sollecitazioni nel paramento'!$G$54,'Sollecitazioni nel paramento'!$G$53)</f>
        <v>1117901.1051762062</v>
      </c>
      <c r="I1418" s="472">
        <f>-'Foglio deposito bis'!$F$72*(C1418-sezione!$AP$32)*IF(ABS(O1418)&lt;'Sollecitazioni nel paramento'!$G$58,ABS(O1418)*'Sollecitazioni nel paramento'!$G$54,'Sollecitazioni nel paramento'!$G$53)</f>
        <v>179779844.07198942</v>
      </c>
      <c r="J1418" s="472">
        <f t="shared" si="98"/>
        <v>-289262603.95112705</v>
      </c>
      <c r="K1418" s="550">
        <f>'Sollecitazioni nel paramento'!$G$60*(sezione!$AL$32-C1418)/C1418</f>
        <v>-2.5235361687167353E-3</v>
      </c>
      <c r="L1418" s="550">
        <f>'Sollecitazioni nel paramento'!$G$60*(sezione!$AM$32-C1418)/C1418</f>
        <v>-2.0353042530751029E-3</v>
      </c>
      <c r="M1418" s="551">
        <f>'Sollecitazioni nel paramento'!$G$60*(sezione!$AN$32-C1418)/C1418</f>
        <v>-1.547072337433471E-3</v>
      </c>
      <c r="N1418" s="551">
        <f>'Sollecitazioni nel paramento'!$G$60*(sezione!$AO$32-C1418)/C1418</f>
        <v>4.0585532513305838E-4</v>
      </c>
      <c r="O1418" s="551">
        <f>'Sollecitazioni nel paramento'!$G$60*(sezione!$AP$32-C1418)/C1418</f>
        <v>8.9250905728618345E-3</v>
      </c>
      <c r="P1418" s="545">
        <f>-'Sollecitazioni nel paramento'!$G$47*'Sollecitazioni nel paramento'!$G$41*IF(DATI!$G$211="dx",DATI!$E$61,DATI!$E$64*DATI!$E$63)*1000*C1418*sezione!$AD$5</f>
        <v>-5462137.7967380835</v>
      </c>
      <c r="Q1418" s="545">
        <f>'Foglio deposito bis'!$F$68*IF(ABS(K1418)&lt;'Sollecitazioni nel paramento'!$G$58,ABS(K1418)*'Sollecitazioni nel paramento'!$G$54,'Sollecitazioni nel paramento'!$G$53)*IF(K1418&lt;0,-1,1)</f>
        <v>0</v>
      </c>
      <c r="R1418" s="545">
        <f>'Foglio deposito bis'!$F$69*IF(ABS(L1418)&lt;'Sollecitazioni nel paramento'!$G$58,ABS(L1418)*'Sollecitazioni nel paramento'!$G$54,'Sollecitazioni nel paramento'!$G$53)*IF(L1418&lt;0,-1,1)</f>
        <v>-153664.85805602249</v>
      </c>
      <c r="S1418" s="545">
        <f>'Foglio deposito bis'!$F$70*IF(ABS(M1418)&lt;'Sollecitazioni nel paramento'!$G$58,ABS(M1418)*'Sollecitazioni nel paramento'!$G$54,'Sollecitazioni nel paramento'!$G$53)*IF(M1418&lt;0,-1,1)</f>
        <v>0</v>
      </c>
      <c r="T1418" s="545">
        <f>'Foglio deposito bis'!$F$71*IF(ABS(N1418)&lt;'Sollecitazioni nel paramento'!$G$58,ABS(N1418)*'Sollecitazioni nel paramento'!$G$54,'Sollecitazioni nel paramento'!$G$53)*IF(N1418&lt;0,-1,1)</f>
        <v>67240.093240015995</v>
      </c>
      <c r="U1418" s="545">
        <f>'Foglio deposito bis'!$F$72*IF(ABS(O1418)&lt;'Sollecitazioni nel paramento'!$G$58,ABS(O1418)*'Sollecitazioni nel paramento'!$G$54,'Sollecitazioni nel paramento'!$G$53)*IF(O1418&lt;0,-1,1)</f>
        <v>491727.54577927204</v>
      </c>
      <c r="V1418" s="472">
        <f t="shared" si="100"/>
        <v>-5056835.0157748181</v>
      </c>
      <c r="W1418" s="551"/>
      <c r="X1418" s="551"/>
    </row>
    <row r="1419" spans="1:24" x14ac:dyDescent="0.25">
      <c r="A1419" s="545">
        <f t="shared" si="99"/>
        <v>5120074.4307473516</v>
      </c>
      <c r="B1419" s="3">
        <f t="shared" si="101"/>
        <v>19.499999999999954</v>
      </c>
      <c r="C1419" s="545">
        <f>'Foglio deposito bis'!$E$158/sezione!$B$247*B1419</f>
        <v>144.86023206428294</v>
      </c>
      <c r="D1419" s="603">
        <f>-'Sollecitazioni nel paramento'!$G$47*'Sollecitazioni nel paramento'!$G$41*IF(DATI!$G$211="dx",DATI!$E$61,DATI!$E$64*DATI!$E$63)*1000*C1419^2*sezione!$AD$5*(1-sezione!$AD$6)</f>
        <v>-466876461.02402425</v>
      </c>
      <c r="E1419" s="545">
        <f>-'Foglio deposito bis'!$F$68*(C1419-sezione!$AL$32)*IF(ABS(K1419)&lt;'Sollecitazioni nel paramento'!$G$58,ABS(K1419)*'Sollecitazioni nel paramento'!$G$54,'Sollecitazioni nel paramento'!$G$53)</f>
        <v>0</v>
      </c>
      <c r="F1419" s="545">
        <f>-'Foglio deposito bis'!$F$69*(C1419-sezione!$AM$32)*IF(ABS(L1419)&lt;'Sollecitazioni nel paramento'!$G$58,ABS(L1419)*'Sollecitazioni nel paramento'!$G$54,'Sollecitazioni nel paramento'!$G$53)</f>
        <v>-13040035.514759166</v>
      </c>
      <c r="G1419" s="545">
        <f>-'Foglio deposito bis'!$F$70*(C1419-sezione!$AN$32)*IF(ABS(M1419)&lt;'Sollecitazioni nel paramento'!$G$58,ABS(M1419)*'Sollecitazioni nel paramento'!$G$54,'Sollecitazioni nel paramento'!$G$53)</f>
        <v>0</v>
      </c>
      <c r="H1419" s="545">
        <f>-'Foglio deposito bis'!$F$71*(C1419-sezione!$AO$32)*IF(ABS(N1419)&lt;'Sollecitazioni nel paramento'!$G$58,ABS(N1419)*'Sollecitazioni nel paramento'!$G$54,'Sollecitazioni nel paramento'!$G$53)</f>
        <v>917517.51335850789</v>
      </c>
      <c r="I1419" s="472">
        <f>-'Foglio deposito bis'!$F$72*(C1419-sezione!$AP$32)*IF(ABS(O1419)&lt;'Sollecitazioni nel paramento'!$G$58,ABS(O1419)*'Sollecitazioni nel paramento'!$G$54,'Sollecitazioni nel paramento'!$G$53)</f>
        <v>179049261.85256389</v>
      </c>
      <c r="J1419" s="472">
        <f t="shared" si="98"/>
        <v>-299949717.17286098</v>
      </c>
      <c r="K1419" s="550">
        <f>'Sollecitazioni nel paramento'!$G$60*(sezione!$AL$32-C1419)/C1419</f>
        <v>-2.5335511823709228E-3</v>
      </c>
      <c r="L1419" s="550">
        <f>'Sollecitazioni nel paramento'!$G$60*(sezione!$AM$32-C1419)/C1419</f>
        <v>-2.0503267735563842E-3</v>
      </c>
      <c r="M1419" s="551">
        <f>'Sollecitazioni nel paramento'!$G$60*(sezione!$AN$32-C1419)/C1419</f>
        <v>-1.5671023647418454E-3</v>
      </c>
      <c r="N1419" s="551">
        <f>'Sollecitazioni nel paramento'!$G$60*(sezione!$AO$32-C1419)/C1419</f>
        <v>3.657952705163092E-4</v>
      </c>
      <c r="O1419" s="551">
        <f>'Sollecitazioni nel paramento'!$G$60*(sezione!$AP$32-C1419)/C1419</f>
        <v>8.797653746473507E-3</v>
      </c>
      <c r="P1419" s="545">
        <f>-'Sollecitazioni nel paramento'!$G$47*'Sollecitazioni nel paramento'!$G$41*IF(DATI!$G$211="dx",DATI!$E$61,DATI!$E$64*DATI!$E$63)*1000*C1419*sezione!$AD$5</f>
        <v>-5518740.2609529858</v>
      </c>
      <c r="Q1419" s="545">
        <f>'Foglio deposito bis'!$F$68*IF(ABS(K1419)&lt;'Sollecitazioni nel paramento'!$G$58,ABS(K1419)*'Sollecitazioni nel paramento'!$G$54,'Sollecitazioni nel paramento'!$G$53)*IF(K1419&lt;0,-1,1)</f>
        <v>0</v>
      </c>
      <c r="R1419" s="545">
        <f>'Foglio deposito bis'!$F$69*IF(ABS(L1419)&lt;'Sollecitazioni nel paramento'!$G$58,ABS(L1419)*'Sollecitazioni nel paramento'!$G$54,'Sollecitazioni nel paramento'!$G$53)*IF(L1419&lt;0,-1,1)</f>
        <v>-153664.85805602249</v>
      </c>
      <c r="S1419" s="545">
        <f>'Foglio deposito bis'!$F$70*IF(ABS(M1419)&lt;'Sollecitazioni nel paramento'!$G$58,ABS(M1419)*'Sollecitazioni nel paramento'!$G$54,'Sollecitazioni nel paramento'!$G$53)*IF(M1419&lt;0,-1,1)</f>
        <v>0</v>
      </c>
      <c r="T1419" s="545">
        <f>'Foglio deposito bis'!$F$71*IF(ABS(N1419)&lt;'Sollecitazioni nel paramento'!$G$58,ABS(N1419)*'Sollecitazioni nel paramento'!$G$54,'Sollecitazioni nel paramento'!$G$53)*IF(N1419&lt;0,-1,1)</f>
        <v>60603.142482385199</v>
      </c>
      <c r="U1419" s="545">
        <f>'Foglio deposito bis'!$F$72*IF(ABS(O1419)&lt;'Sollecitazioni nel paramento'!$G$58,ABS(O1419)*'Sollecitazioni nel paramento'!$G$54,'Sollecitazioni nel paramento'!$G$53)*IF(O1419&lt;0,-1,1)</f>
        <v>491727.54577927204</v>
      </c>
      <c r="V1419" s="472">
        <f t="shared" si="100"/>
        <v>-5120074.4307473516</v>
      </c>
      <c r="W1419" s="551"/>
      <c r="X1419" s="551"/>
    </row>
    <row r="1420" spans="1:24" x14ac:dyDescent="0.25">
      <c r="A1420" s="545">
        <f t="shared" si="99"/>
        <v>5183179.0852984097</v>
      </c>
      <c r="B1420" s="3">
        <f t="shared" si="101"/>
        <v>19.699999999999953</v>
      </c>
      <c r="C1420" s="545">
        <f>'Foglio deposito bis'!$E$158/sezione!$B$247*B1420</f>
        <v>146.34597803417302</v>
      </c>
      <c r="D1420" s="603">
        <f>-'Sollecitazioni nel paramento'!$G$47*'Sollecitazioni nel paramento'!$G$41*IF(DATI!$G$211="dx",DATI!$E$61,DATI!$E$64*DATI!$E$63)*1000*C1420^2*sezione!$AD$5*(1-sezione!$AD$6)</f>
        <v>-476502526.65039724</v>
      </c>
      <c r="E1420" s="545">
        <f>-'Foglio deposito bis'!$F$68*(C1420-sezione!$AL$32)*IF(ABS(K1420)&lt;'Sollecitazioni nel paramento'!$G$58,ABS(K1420)*'Sollecitazioni nel paramento'!$G$54,'Sollecitazioni nel paramento'!$G$53)</f>
        <v>0</v>
      </c>
      <c r="F1420" s="545">
        <f>-'Foglio deposito bis'!$F$69*(C1420-sezione!$AM$32)*IF(ABS(L1420)&lt;'Sollecitazioni nel paramento'!$G$58,ABS(L1420)*'Sollecitazioni nel paramento'!$G$54,'Sollecitazioni nel paramento'!$G$53)</f>
        <v>-13268342.458329633</v>
      </c>
      <c r="G1420" s="545">
        <f>-'Foglio deposito bis'!$F$70*(C1420-sezione!$AN$32)*IF(ABS(M1420)&lt;'Sollecitazioni nel paramento'!$G$58,ABS(M1420)*'Sollecitazioni nel paramento'!$G$54,'Sollecitazioni nel paramento'!$G$53)</f>
        <v>0</v>
      </c>
      <c r="H1420" s="545">
        <f>-'Foglio deposito bis'!$F$71*(C1420-sezione!$AO$32)*IF(ABS(N1420)&lt;'Sollecitazioni nel paramento'!$G$58,ABS(N1420)*'Sollecitazioni nel paramento'!$G$54,'Sollecitazioni nel paramento'!$G$53)</f>
        <v>738695.58897676726</v>
      </c>
      <c r="I1420" s="472">
        <f>-'Foglio deposito bis'!$F$72*(C1420-sezione!$AP$32)*IF(ABS(O1420)&lt;'Sollecitazioni nel paramento'!$G$58,ABS(O1420)*'Sollecitazioni nel paramento'!$G$54,'Sollecitazioni nel paramento'!$G$53)</f>
        <v>178318679.63313842</v>
      </c>
      <c r="J1420" s="472">
        <f t="shared" si="98"/>
        <v>-310713493.8866117</v>
      </c>
      <c r="K1420" s="550">
        <f>'Sollecitazioni nel paramento'!$G$60*(sezione!$AL$32-C1420)/C1420</f>
        <v>-2.5433628454940606E-3</v>
      </c>
      <c r="L1420" s="550">
        <f>'Sollecitazioni nel paramento'!$G$60*(sezione!$AM$32-C1420)/C1420</f>
        <v>-2.0650442682410911E-3</v>
      </c>
      <c r="M1420" s="551">
        <f>'Sollecitazioni nel paramento'!$G$60*(sezione!$AN$32-C1420)/C1420</f>
        <v>-1.5867256909881211E-3</v>
      </c>
      <c r="N1420" s="551">
        <f>'Sollecitazioni nel paramento'!$G$60*(sezione!$AO$32-C1420)/C1420</f>
        <v>3.26548618023758E-4</v>
      </c>
      <c r="O1420" s="551">
        <f>'Sollecitazioni nel paramento'!$G$60*(sezione!$AP$32-C1420)/C1420</f>
        <v>8.6728044698595654E-3</v>
      </c>
      <c r="P1420" s="545">
        <f>-'Sollecitazioni nel paramento'!$G$47*'Sollecitazioni nel paramento'!$G$41*IF(DATI!$G$211="dx",DATI!$E$61,DATI!$E$64*DATI!$E$63)*1000*C1420*sezione!$AD$5</f>
        <v>-5575342.7251678882</v>
      </c>
      <c r="Q1420" s="545">
        <f>'Foglio deposito bis'!$F$68*IF(ABS(K1420)&lt;'Sollecitazioni nel paramento'!$G$58,ABS(K1420)*'Sollecitazioni nel paramento'!$G$54,'Sollecitazioni nel paramento'!$G$53)*IF(K1420&lt;0,-1,1)</f>
        <v>0</v>
      </c>
      <c r="R1420" s="545">
        <f>'Foglio deposito bis'!$F$69*IF(ABS(L1420)&lt;'Sollecitazioni nel paramento'!$G$58,ABS(L1420)*'Sollecitazioni nel paramento'!$G$54,'Sollecitazioni nel paramento'!$G$53)*IF(L1420&lt;0,-1,1)</f>
        <v>-153664.85805602249</v>
      </c>
      <c r="S1420" s="545">
        <f>'Foglio deposito bis'!$F$70*IF(ABS(M1420)&lt;'Sollecitazioni nel paramento'!$G$58,ABS(M1420)*'Sollecitazioni nel paramento'!$G$54,'Sollecitazioni nel paramento'!$G$53)*IF(M1420&lt;0,-1,1)</f>
        <v>0</v>
      </c>
      <c r="T1420" s="545">
        <f>'Foglio deposito bis'!$F$71*IF(ABS(N1420)&lt;'Sollecitazioni nel paramento'!$G$58,ABS(N1420)*'Sollecitazioni nel paramento'!$G$54,'Sollecitazioni nel paramento'!$G$53)*IF(N1420&lt;0,-1,1)</f>
        <v>54100.952146229138</v>
      </c>
      <c r="U1420" s="545">
        <f>'Foglio deposito bis'!$F$72*IF(ABS(O1420)&lt;'Sollecitazioni nel paramento'!$G$58,ABS(O1420)*'Sollecitazioni nel paramento'!$G$54,'Sollecitazioni nel paramento'!$G$53)*IF(O1420&lt;0,-1,1)</f>
        <v>491727.54577927204</v>
      </c>
      <c r="V1420" s="472">
        <f t="shared" si="100"/>
        <v>-5183179.0852984097</v>
      </c>
      <c r="W1420" s="551"/>
      <c r="X1420" s="551"/>
    </row>
    <row r="1421" spans="1:24" x14ac:dyDescent="0.25">
      <c r="A1421" s="545">
        <f t="shared" si="99"/>
        <v>5246153.0425562793</v>
      </c>
      <c r="B1421" s="3">
        <f t="shared" si="101"/>
        <v>19.899999999999952</v>
      </c>
      <c r="C1421" s="545">
        <f>'Foglio deposito bis'!$E$158/sezione!$B$247*B1421</f>
        <v>147.83172400406309</v>
      </c>
      <c r="D1421" s="603">
        <f>-'Sollecitazioni nel paramento'!$G$47*'Sollecitazioni nel paramento'!$G$41*IF(DATI!$G$211="dx",DATI!$E$61,DATI!$E$64*DATI!$E$63)*1000*C1421^2*sezione!$AD$5*(1-sezione!$AD$6)</f>
        <v>-486226817.43622297</v>
      </c>
      <c r="E1421" s="545">
        <f>-'Foglio deposito bis'!$F$68*(C1421-sezione!$AL$32)*IF(ABS(K1421)&lt;'Sollecitazioni nel paramento'!$G$58,ABS(K1421)*'Sollecitazioni nel paramento'!$G$54,'Sollecitazioni nel paramento'!$G$53)</f>
        <v>0</v>
      </c>
      <c r="F1421" s="545">
        <f>-'Foglio deposito bis'!$F$69*(C1421-sezione!$AM$32)*IF(ABS(L1421)&lt;'Sollecitazioni nel paramento'!$G$58,ABS(L1421)*'Sollecitazioni nel paramento'!$G$54,'Sollecitazioni nel paramento'!$G$53)</f>
        <v>-13496649.401900098</v>
      </c>
      <c r="G1421" s="545">
        <f>-'Foglio deposito bis'!$F$70*(C1421-sezione!$AN$32)*IF(ABS(M1421)&lt;'Sollecitazioni nel paramento'!$G$58,ABS(M1421)*'Sollecitazioni nel paramento'!$G$54,'Sollecitazioni nel paramento'!$G$53)</f>
        <v>0</v>
      </c>
      <c r="H1421" s="545">
        <f>-'Foglio deposito bis'!$F$71*(C1421-sezione!$AO$32)*IF(ABS(N1421)&lt;'Sollecitazioni nel paramento'!$G$58,ABS(N1421)*'Sollecitazioni nel paramento'!$G$54,'Sollecitazioni nel paramento'!$G$53)</f>
        <v>580785.23150527722</v>
      </c>
      <c r="I1421" s="472">
        <f>-'Foglio deposito bis'!$F$72*(C1421-sezione!$AP$32)*IF(ABS(O1421)&lt;'Sollecitazioni nel paramento'!$G$58,ABS(O1421)*'Sollecitazioni nel paramento'!$G$54,'Sollecitazioni nel paramento'!$G$53)</f>
        <v>177588097.41371295</v>
      </c>
      <c r="J1421" s="472">
        <f t="shared" si="98"/>
        <v>-321554584.19290483</v>
      </c>
      <c r="K1421" s="550">
        <f>'Sollecitazioni nel paramento'!$G$60*(sezione!$AL$32-C1421)/C1421</f>
        <v>-2.5529772892579393E-3</v>
      </c>
      <c r="L1421" s="550">
        <f>'Sollecitazioni nel paramento'!$G$60*(sezione!$AM$32-C1421)/C1421</f>
        <v>-2.0794659338869087E-3</v>
      </c>
      <c r="M1421" s="551">
        <f>'Sollecitazioni nel paramento'!$G$60*(sezione!$AN$32-C1421)/C1421</f>
        <v>-1.6059545785158784E-3</v>
      </c>
      <c r="N1421" s="551">
        <f>'Sollecitazioni nel paramento'!$G$60*(sezione!$AO$32-C1421)/C1421</f>
        <v>2.8809084296824308E-4</v>
      </c>
      <c r="O1421" s="551">
        <f>'Sollecitazioni nel paramento'!$G$60*(sezione!$AP$32-C1421)/C1421</f>
        <v>8.5504647264438918E-3</v>
      </c>
      <c r="P1421" s="545">
        <f>-'Sollecitazioni nel paramento'!$G$47*'Sollecitazioni nel paramento'!$G$41*IF(DATI!$G$211="dx",DATI!$E$61,DATI!$E$64*DATI!$E$63)*1000*C1421*sezione!$AD$5</f>
        <v>-5631945.1893827906</v>
      </c>
      <c r="Q1421" s="545">
        <f>'Foglio deposito bis'!$F$68*IF(ABS(K1421)&lt;'Sollecitazioni nel paramento'!$G$58,ABS(K1421)*'Sollecitazioni nel paramento'!$G$54,'Sollecitazioni nel paramento'!$G$53)*IF(K1421&lt;0,-1,1)</f>
        <v>0</v>
      </c>
      <c r="R1421" s="545">
        <f>'Foglio deposito bis'!$F$69*IF(ABS(L1421)&lt;'Sollecitazioni nel paramento'!$G$58,ABS(L1421)*'Sollecitazioni nel paramento'!$G$54,'Sollecitazioni nel paramento'!$G$53)*IF(L1421&lt;0,-1,1)</f>
        <v>-153664.85805602249</v>
      </c>
      <c r="S1421" s="545">
        <f>'Foglio deposito bis'!$F$70*IF(ABS(M1421)&lt;'Sollecitazioni nel paramento'!$G$58,ABS(M1421)*'Sollecitazioni nel paramento'!$G$54,'Sollecitazioni nel paramento'!$G$53)*IF(M1421&lt;0,-1,1)</f>
        <v>0</v>
      </c>
      <c r="T1421" s="545">
        <f>'Foglio deposito bis'!$F$71*IF(ABS(N1421)&lt;'Sollecitazioni nel paramento'!$G$58,ABS(N1421)*'Sollecitazioni nel paramento'!$G$54,'Sollecitazioni nel paramento'!$G$53)*IF(N1421&lt;0,-1,1)</f>
        <v>47729.459103262147</v>
      </c>
      <c r="U1421" s="545">
        <f>'Foglio deposito bis'!$F$72*IF(ABS(O1421)&lt;'Sollecitazioni nel paramento'!$G$58,ABS(O1421)*'Sollecitazioni nel paramento'!$G$54,'Sollecitazioni nel paramento'!$G$53)*IF(O1421&lt;0,-1,1)</f>
        <v>491727.54577927204</v>
      </c>
      <c r="V1421" s="472">
        <f t="shared" si="100"/>
        <v>-5246153.0425562793</v>
      </c>
      <c r="W1421" s="551"/>
      <c r="X1421" s="551"/>
    </row>
    <row r="1422" spans="1:24" x14ac:dyDescent="0.25">
      <c r="A1422" s="545">
        <f t="shared" si="99"/>
        <v>5309000.203932697</v>
      </c>
      <c r="B1422" s="3">
        <f t="shared" si="101"/>
        <v>20.099999999999952</v>
      </c>
      <c r="C1422" s="545">
        <f>'Foglio deposito bis'!$E$158/sezione!$B$247*B1422</f>
        <v>149.31746997395317</v>
      </c>
      <c r="D1422" s="603">
        <f>-'Sollecitazioni nel paramento'!$G$47*'Sollecitazioni nel paramento'!$G$41*IF(DATI!$G$211="dx",DATI!$E$61,DATI!$E$64*DATI!$E$63)*1000*C1422^2*sezione!$AD$5*(1-sezione!$AD$6)</f>
        <v>-496049333.38150156</v>
      </c>
      <c r="E1422" s="545">
        <f>-'Foglio deposito bis'!$F$68*(C1422-sezione!$AL$32)*IF(ABS(K1422)&lt;'Sollecitazioni nel paramento'!$G$58,ABS(K1422)*'Sollecitazioni nel paramento'!$G$54,'Sollecitazioni nel paramento'!$G$53)</f>
        <v>0</v>
      </c>
      <c r="F1422" s="545">
        <f>-'Foglio deposito bis'!$F$69*(C1422-sezione!$AM$32)*IF(ABS(L1422)&lt;'Sollecitazioni nel paramento'!$G$58,ABS(L1422)*'Sollecitazioni nel paramento'!$G$54,'Sollecitazioni nel paramento'!$G$53)</f>
        <v>-13724956.345470564</v>
      </c>
      <c r="G1422" s="545">
        <f>-'Foglio deposito bis'!$F$70*(C1422-sezione!$AN$32)*IF(ABS(M1422)&lt;'Sollecitazioni nel paramento'!$G$58,ABS(M1422)*'Sollecitazioni nel paramento'!$G$54,'Sollecitazioni nel paramento'!$G$53)</f>
        <v>0</v>
      </c>
      <c r="H1422" s="545">
        <f>-'Foglio deposito bis'!$F$71*(C1422-sezione!$AO$32)*IF(ABS(N1422)&lt;'Sollecitazioni nel paramento'!$G$58,ABS(N1422)*'Sollecitazioni nel paramento'!$G$54,'Sollecitazioni nel paramento'!$G$53)</f>
        <v>443162.21506611974</v>
      </c>
      <c r="I1422" s="472">
        <f>-'Foglio deposito bis'!$F$72*(C1422-sezione!$AP$32)*IF(ABS(O1422)&lt;'Sollecitazioni nel paramento'!$G$58,ABS(O1422)*'Sollecitazioni nel paramento'!$G$54,'Sollecitazioni nel paramento'!$G$53)</f>
        <v>176857515.19428745</v>
      </c>
      <c r="J1422" s="472">
        <f t="shared" si="98"/>
        <v>-332473612.31761849</v>
      </c>
      <c r="K1422" s="550">
        <f>'Sollecitazioni nel paramento'!$G$60*(sezione!$AL$32-C1422)/C1422</f>
        <v>-2.5624004008076113E-3</v>
      </c>
      <c r="L1422" s="550">
        <f>'Sollecitazioni nel paramento'!$G$60*(sezione!$AM$32-C1422)/C1422</f>
        <v>-2.0936006012114172E-3</v>
      </c>
      <c r="M1422" s="551">
        <f>'Sollecitazioni nel paramento'!$G$60*(sezione!$AN$32-C1422)/C1422</f>
        <v>-1.624800801615223E-3</v>
      </c>
      <c r="N1422" s="551">
        <f>'Sollecitazioni nel paramento'!$G$60*(sezione!$AO$32-C1422)/C1422</f>
        <v>2.5039839676955421E-4</v>
      </c>
      <c r="O1422" s="551">
        <f>'Sollecitazioni nel paramento'!$G$60*(sezione!$AP$32-C1422)/C1422</f>
        <v>8.4305596047877344E-3</v>
      </c>
      <c r="P1422" s="545">
        <f>-'Sollecitazioni nel paramento'!$G$47*'Sollecitazioni nel paramento'!$G$41*IF(DATI!$G$211="dx",DATI!$E$61,DATI!$E$64*DATI!$E$63)*1000*C1422*sezione!$AD$5</f>
        <v>-5688547.653597693</v>
      </c>
      <c r="Q1422" s="545">
        <f>'Foglio deposito bis'!$F$68*IF(ABS(K1422)&lt;'Sollecitazioni nel paramento'!$G$58,ABS(K1422)*'Sollecitazioni nel paramento'!$G$54,'Sollecitazioni nel paramento'!$G$53)*IF(K1422&lt;0,-1,1)</f>
        <v>0</v>
      </c>
      <c r="R1422" s="545">
        <f>'Foglio deposito bis'!$F$69*IF(ABS(L1422)&lt;'Sollecitazioni nel paramento'!$G$58,ABS(L1422)*'Sollecitazioni nel paramento'!$G$54,'Sollecitazioni nel paramento'!$G$53)*IF(L1422&lt;0,-1,1)</f>
        <v>-153664.85805602249</v>
      </c>
      <c r="S1422" s="545">
        <f>'Foglio deposito bis'!$F$70*IF(ABS(M1422)&lt;'Sollecitazioni nel paramento'!$G$58,ABS(M1422)*'Sollecitazioni nel paramento'!$G$54,'Sollecitazioni nel paramento'!$G$53)*IF(M1422&lt;0,-1,1)</f>
        <v>0</v>
      </c>
      <c r="T1422" s="545">
        <f>'Foglio deposito bis'!$F$71*IF(ABS(N1422)&lt;'Sollecitazioni nel paramento'!$G$58,ABS(N1422)*'Sollecitazioni nel paramento'!$G$54,'Sollecitazioni nel paramento'!$G$53)*IF(N1422&lt;0,-1,1)</f>
        <v>41484.761941747223</v>
      </c>
      <c r="U1422" s="545">
        <f>'Foglio deposito bis'!$F$72*IF(ABS(O1422)&lt;'Sollecitazioni nel paramento'!$G$58,ABS(O1422)*'Sollecitazioni nel paramento'!$G$54,'Sollecitazioni nel paramento'!$G$53)*IF(O1422&lt;0,-1,1)</f>
        <v>491727.54577927204</v>
      </c>
      <c r="V1422" s="472">
        <f t="shared" si="100"/>
        <v>-5309000.203932697</v>
      </c>
      <c r="W1422" s="551"/>
      <c r="X1422" s="551"/>
    </row>
    <row r="1423" spans="1:24" x14ac:dyDescent="0.25">
      <c r="A1423" s="545">
        <f t="shared" si="99"/>
        <v>5371724.3170891814</v>
      </c>
      <c r="B1423" s="3">
        <f t="shared" si="101"/>
        <v>20.299999999999951</v>
      </c>
      <c r="C1423" s="545">
        <f>'Foglio deposito bis'!$E$158/sezione!$B$247*B1423</f>
        <v>150.80321594384324</v>
      </c>
      <c r="D1423" s="603">
        <f>-'Sollecitazioni nel paramento'!$G$47*'Sollecitazioni nel paramento'!$G$41*IF(DATI!$G$211="dx",DATI!$E$61,DATI!$E$64*DATI!$E$63)*1000*C1423^2*sezione!$AD$5*(1-sezione!$AD$6)</f>
        <v>-505970074.48623294</v>
      </c>
      <c r="E1423" s="545">
        <f>-'Foglio deposito bis'!$F$68*(C1423-sezione!$AL$32)*IF(ABS(K1423)&lt;'Sollecitazioni nel paramento'!$G$58,ABS(K1423)*'Sollecitazioni nel paramento'!$G$54,'Sollecitazioni nel paramento'!$G$53)</f>
        <v>0</v>
      </c>
      <c r="F1423" s="545">
        <f>-'Foglio deposito bis'!$F$69*(C1423-sezione!$AM$32)*IF(ABS(L1423)&lt;'Sollecitazioni nel paramento'!$G$58,ABS(L1423)*'Sollecitazioni nel paramento'!$G$54,'Sollecitazioni nel paramento'!$G$53)</f>
        <v>-13953263.289041031</v>
      </c>
      <c r="G1423" s="545">
        <f>-'Foglio deposito bis'!$F$70*(C1423-sezione!$AN$32)*IF(ABS(M1423)&lt;'Sollecitazioni nel paramento'!$G$58,ABS(M1423)*'Sollecitazioni nel paramento'!$G$54,'Sollecitazioni nel paramento'!$G$53)</f>
        <v>0</v>
      </c>
      <c r="H1423" s="545">
        <f>-'Foglio deposito bis'!$F$71*(C1423-sezione!$AO$32)*IF(ABS(N1423)&lt;'Sollecitazioni nel paramento'!$G$58,ABS(N1423)*'Sollecitazioni nel paramento'!$G$54,'Sollecitazioni nel paramento'!$G$53)</f>
        <v>325226.91381597467</v>
      </c>
      <c r="I1423" s="472">
        <f>-'Foglio deposito bis'!$F$72*(C1423-sezione!$AP$32)*IF(ABS(O1423)&lt;'Sollecitazioni nel paramento'!$G$58,ABS(O1423)*'Sollecitazioni nel paramento'!$G$54,'Sollecitazioni nel paramento'!$G$53)</f>
        <v>176126932.97486195</v>
      </c>
      <c r="J1423" s="472">
        <f t="shared" si="98"/>
        <v>-343471177.88659608</v>
      </c>
      <c r="K1423" s="550">
        <f>'Sollecitazioni nel paramento'!$G$60*(sezione!$AL$32-C1423)/C1423</f>
        <v>-2.571637835282413E-3</v>
      </c>
      <c r="L1423" s="550">
        <f>'Sollecitazioni nel paramento'!$G$60*(sezione!$AM$32-C1423)/C1423</f>
        <v>-2.1074567529236203E-3</v>
      </c>
      <c r="M1423" s="551">
        <f>'Sollecitazioni nel paramento'!$G$60*(sezione!$AN$32-C1423)/C1423</f>
        <v>-1.6432756705648266E-3</v>
      </c>
      <c r="N1423" s="551">
        <f>'Sollecitazioni nel paramento'!$G$60*(sezione!$AO$32-C1423)/C1423</f>
        <v>2.1344865887034691E-4</v>
      </c>
      <c r="O1423" s="551">
        <f>'Sollecitazioni nel paramento'!$G$60*(sezione!$AP$32-C1423)/C1423</f>
        <v>8.3130171456272627E-3</v>
      </c>
      <c r="P1423" s="545">
        <f>-'Sollecitazioni nel paramento'!$G$47*'Sollecitazioni nel paramento'!$G$41*IF(DATI!$G$211="dx",DATI!$E$61,DATI!$E$64*DATI!$E$63)*1000*C1423*sezione!$AD$5</f>
        <v>-5745150.1178125944</v>
      </c>
      <c r="Q1423" s="545">
        <f>'Foglio deposito bis'!$F$68*IF(ABS(K1423)&lt;'Sollecitazioni nel paramento'!$G$58,ABS(K1423)*'Sollecitazioni nel paramento'!$G$54,'Sollecitazioni nel paramento'!$G$53)*IF(K1423&lt;0,-1,1)</f>
        <v>0</v>
      </c>
      <c r="R1423" s="545">
        <f>'Foglio deposito bis'!$F$69*IF(ABS(L1423)&lt;'Sollecitazioni nel paramento'!$G$58,ABS(L1423)*'Sollecitazioni nel paramento'!$G$54,'Sollecitazioni nel paramento'!$G$53)*IF(L1423&lt;0,-1,1)</f>
        <v>-153664.85805602249</v>
      </c>
      <c r="S1423" s="545">
        <f>'Foglio deposito bis'!$F$70*IF(ABS(M1423)&lt;'Sollecitazioni nel paramento'!$G$58,ABS(M1423)*'Sollecitazioni nel paramento'!$G$54,'Sollecitazioni nel paramento'!$G$53)*IF(M1423&lt;0,-1,1)</f>
        <v>0</v>
      </c>
      <c r="T1423" s="545">
        <f>'Foglio deposito bis'!$F$71*IF(ABS(N1423)&lt;'Sollecitazioni nel paramento'!$G$58,ABS(N1423)*'Sollecitazioni nel paramento'!$G$54,'Sollecitazioni nel paramento'!$G$53)*IF(N1423&lt;0,-1,1)</f>
        <v>35363.113000163634</v>
      </c>
      <c r="U1423" s="545">
        <f>'Foglio deposito bis'!$F$72*IF(ABS(O1423)&lt;'Sollecitazioni nel paramento'!$G$58,ABS(O1423)*'Sollecitazioni nel paramento'!$G$54,'Sollecitazioni nel paramento'!$G$53)*IF(O1423&lt;0,-1,1)</f>
        <v>491727.54577927204</v>
      </c>
      <c r="V1423" s="472">
        <f t="shared" si="100"/>
        <v>-5371724.3170891814</v>
      </c>
      <c r="W1423" s="551"/>
      <c r="X1423" s="551"/>
    </row>
    <row r="1424" spans="1:24" x14ac:dyDescent="0.25">
      <c r="A1424" s="545">
        <f t="shared" si="99"/>
        <v>5434328.9834370511</v>
      </c>
      <c r="B1424" s="3">
        <f t="shared" si="101"/>
        <v>20.49999999999995</v>
      </c>
      <c r="C1424" s="545">
        <f>'Foglio deposito bis'!$E$158/sezione!$B$247*B1424</f>
        <v>152.28896191373332</v>
      </c>
      <c r="D1424" s="603">
        <f>-'Sollecitazioni nel paramento'!$G$47*'Sollecitazioni nel paramento'!$G$41*IF(DATI!$G$211="dx",DATI!$E$61,DATI!$E$64*DATI!$E$63)*1000*C1424^2*sezione!$AD$5*(1-sezione!$AD$6)</f>
        <v>-515989040.75041711</v>
      </c>
      <c r="E1424" s="545">
        <f>-'Foglio deposito bis'!$F$68*(C1424-sezione!$AL$32)*IF(ABS(K1424)&lt;'Sollecitazioni nel paramento'!$G$58,ABS(K1424)*'Sollecitazioni nel paramento'!$G$54,'Sollecitazioni nel paramento'!$G$53)</f>
        <v>0</v>
      </c>
      <c r="F1424" s="545">
        <f>-'Foglio deposito bis'!$F$69*(C1424-sezione!$AM$32)*IF(ABS(L1424)&lt;'Sollecitazioni nel paramento'!$G$58,ABS(L1424)*'Sollecitazioni nel paramento'!$G$54,'Sollecitazioni nel paramento'!$G$53)</f>
        <v>-14181570.232611496</v>
      </c>
      <c r="G1424" s="545">
        <f>-'Foglio deposito bis'!$F$70*(C1424-sezione!$AN$32)*IF(ABS(M1424)&lt;'Sollecitazioni nel paramento'!$G$58,ABS(M1424)*'Sollecitazioni nel paramento'!$G$54,'Sollecitazioni nel paramento'!$G$53)</f>
        <v>0</v>
      </c>
      <c r="H1424" s="545">
        <f>-'Foglio deposito bis'!$F$71*(C1424-sezione!$AO$32)*IF(ABS(N1424)&lt;'Sollecitazioni nel paramento'!$G$58,ABS(N1424)*'Sollecitazioni nel paramento'!$G$54,'Sollecitazioni nel paramento'!$G$53)</f>
        <v>226403.10194443207</v>
      </c>
      <c r="I1424" s="472">
        <f>-'Foglio deposito bis'!$F$72*(C1424-sezione!$AP$32)*IF(ABS(O1424)&lt;'Sollecitazioni nel paramento'!$G$58,ABS(O1424)*'Sollecitazioni nel paramento'!$G$54,'Sollecitazioni nel paramento'!$G$53)</f>
        <v>175396350.75543645</v>
      </c>
      <c r="J1424" s="472">
        <f t="shared" si="98"/>
        <v>-354547857.12564766</v>
      </c>
      <c r="K1424" s="550">
        <f>'Sollecitazioni nel paramento'!$G$60*(sezione!$AL$32-C1424)/C1424</f>
        <v>-2.5806950271333165E-3</v>
      </c>
      <c r="L1424" s="550">
        <f>'Sollecitazioni nel paramento'!$G$60*(sezione!$AM$32-C1424)/C1424</f>
        <v>-2.1210425406999749E-3</v>
      </c>
      <c r="M1424" s="551">
        <f>'Sollecitazioni nel paramento'!$G$60*(sezione!$AN$32-C1424)/C1424</f>
        <v>-1.6613900542666331E-3</v>
      </c>
      <c r="N1424" s="551">
        <f>'Sollecitazioni nel paramento'!$G$60*(sezione!$AO$32-C1424)/C1424</f>
        <v>1.772198914667339E-4</v>
      </c>
      <c r="O1424" s="551">
        <f>'Sollecitazioni nel paramento'!$G$60*(sezione!$AP$32-C1424)/C1424</f>
        <v>8.1977681978650466E-3</v>
      </c>
      <c r="P1424" s="545">
        <f>-'Sollecitazioni nel paramento'!$G$47*'Sollecitazioni nel paramento'!$G$41*IF(DATI!$G$211="dx",DATI!$E$61,DATI!$E$64*DATI!$E$63)*1000*C1424*sezione!$AD$5</f>
        <v>-5801752.5820274968</v>
      </c>
      <c r="Q1424" s="545">
        <f>'Foglio deposito bis'!$F$68*IF(ABS(K1424)&lt;'Sollecitazioni nel paramento'!$G$58,ABS(K1424)*'Sollecitazioni nel paramento'!$G$54,'Sollecitazioni nel paramento'!$G$53)*IF(K1424&lt;0,-1,1)</f>
        <v>0</v>
      </c>
      <c r="R1424" s="545">
        <f>'Foglio deposito bis'!$F$69*IF(ABS(L1424)&lt;'Sollecitazioni nel paramento'!$G$58,ABS(L1424)*'Sollecitazioni nel paramento'!$G$54,'Sollecitazioni nel paramento'!$G$53)*IF(L1424&lt;0,-1,1)</f>
        <v>-153664.85805602249</v>
      </c>
      <c r="S1424" s="545">
        <f>'Foglio deposito bis'!$F$70*IF(ABS(M1424)&lt;'Sollecitazioni nel paramento'!$G$58,ABS(M1424)*'Sollecitazioni nel paramento'!$G$54,'Sollecitazioni nel paramento'!$G$53)*IF(M1424&lt;0,-1,1)</f>
        <v>0</v>
      </c>
      <c r="T1424" s="545">
        <f>'Foglio deposito bis'!$F$71*IF(ABS(N1424)&lt;'Sollecitazioni nel paramento'!$G$58,ABS(N1424)*'Sollecitazioni nel paramento'!$G$54,'Sollecitazioni nel paramento'!$G$53)*IF(N1424&lt;0,-1,1)</f>
        <v>29360.910867196308</v>
      </c>
      <c r="U1424" s="545">
        <f>'Foglio deposito bis'!$F$72*IF(ABS(O1424)&lt;'Sollecitazioni nel paramento'!$G$58,ABS(O1424)*'Sollecitazioni nel paramento'!$G$54,'Sollecitazioni nel paramento'!$G$53)*IF(O1424&lt;0,-1,1)</f>
        <v>491727.54577927204</v>
      </c>
      <c r="V1424" s="472">
        <f t="shared" si="100"/>
        <v>-5434328.9834370511</v>
      </c>
      <c r="W1424" s="551"/>
      <c r="X1424" s="551"/>
    </row>
    <row r="1425" spans="1:24" x14ac:dyDescent="0.25">
      <c r="A1425" s="545">
        <f t="shared" si="99"/>
        <v>5496817.6652026437</v>
      </c>
      <c r="B1425" s="3">
        <f t="shared" si="101"/>
        <v>20.69999999999995</v>
      </c>
      <c r="C1425" s="545">
        <f>'Foglio deposito bis'!$E$158/sezione!$B$247*B1425</f>
        <v>153.77470788362342</v>
      </c>
      <c r="D1425" s="603">
        <f>-'Sollecitazioni nel paramento'!$G$47*'Sollecitazioni nel paramento'!$G$41*IF(DATI!$G$211="dx",DATI!$E$61,DATI!$E$64*DATI!$E$63)*1000*C1425^2*sezione!$AD$5*(1-sezione!$AD$6)</f>
        <v>-526106232.17405421</v>
      </c>
      <c r="E1425" s="545">
        <f>-'Foglio deposito bis'!$F$68*(C1425-sezione!$AL$32)*IF(ABS(K1425)&lt;'Sollecitazioni nel paramento'!$G$58,ABS(K1425)*'Sollecitazioni nel paramento'!$G$54,'Sollecitazioni nel paramento'!$G$53)</f>
        <v>0</v>
      </c>
      <c r="F1425" s="545">
        <f>-'Foglio deposito bis'!$F$69*(C1425-sezione!$AM$32)*IF(ABS(L1425)&lt;'Sollecitazioni nel paramento'!$G$58,ABS(L1425)*'Sollecitazioni nel paramento'!$G$54,'Sollecitazioni nel paramento'!$G$53)</f>
        <v>-14409877.176181968</v>
      </c>
      <c r="G1425" s="545">
        <f>-'Foglio deposito bis'!$F$70*(C1425-sezione!$AN$32)*IF(ABS(M1425)&lt;'Sollecitazioni nel paramento'!$G$58,ABS(M1425)*'Sollecitazioni nel paramento'!$G$54,'Sollecitazioni nel paramento'!$G$53)</f>
        <v>0</v>
      </c>
      <c r="H1425" s="545">
        <f>-'Foglio deposito bis'!$F$71*(C1425-sezione!$AO$32)*IF(ABS(N1425)&lt;'Sollecitazioni nel paramento'!$G$58,ABS(N1425)*'Sollecitazioni nel paramento'!$G$54,'Sollecitazioni nel paramento'!$G$53)</f>
        <v>146136.82323761791</v>
      </c>
      <c r="I1425" s="472">
        <f>-'Foglio deposito bis'!$F$72*(C1425-sezione!$AP$32)*IF(ABS(O1425)&lt;'Sollecitazioni nel paramento'!$G$58,ABS(O1425)*'Sollecitazioni nel paramento'!$G$54,'Sollecitazioni nel paramento'!$G$53)</f>
        <v>174665768.53601095</v>
      </c>
      <c r="J1425" s="472">
        <f t="shared" si="98"/>
        <v>-365704203.99098754</v>
      </c>
      <c r="K1425" s="550">
        <f>'Sollecitazioni nel paramento'!$G$60*(sezione!$AL$32-C1425)/C1425</f>
        <v>-2.5895772007842027E-3</v>
      </c>
      <c r="L1425" s="550">
        <f>'Sollecitazioni nel paramento'!$G$60*(sezione!$AM$32-C1425)/C1425</f>
        <v>-2.1343658011763037E-3</v>
      </c>
      <c r="M1425" s="551">
        <f>'Sollecitazioni nel paramento'!$G$60*(sezione!$AN$32-C1425)/C1425</f>
        <v>-1.679154401568405E-3</v>
      </c>
      <c r="N1425" s="551">
        <f>'Sollecitazioni nel paramento'!$G$60*(sezione!$AO$32-C1425)/C1425</f>
        <v>1.4169119686319005E-4</v>
      </c>
      <c r="O1425" s="551">
        <f>'Sollecitazioni nel paramento'!$G$60*(sezione!$AP$32-C1425)/C1425</f>
        <v>8.0847462829098278E-3</v>
      </c>
      <c r="P1425" s="545">
        <f>-'Sollecitazioni nel paramento'!$G$47*'Sollecitazioni nel paramento'!$G$41*IF(DATI!$G$211="dx",DATI!$E$61,DATI!$E$64*DATI!$E$63)*1000*C1425*sezione!$AD$5</f>
        <v>-5858355.046242401</v>
      </c>
      <c r="Q1425" s="545">
        <f>'Foglio deposito bis'!$F$68*IF(ABS(K1425)&lt;'Sollecitazioni nel paramento'!$G$58,ABS(K1425)*'Sollecitazioni nel paramento'!$G$54,'Sollecitazioni nel paramento'!$G$53)*IF(K1425&lt;0,-1,1)</f>
        <v>0</v>
      </c>
      <c r="R1425" s="545">
        <f>'Foglio deposito bis'!$F$69*IF(ABS(L1425)&lt;'Sollecitazioni nel paramento'!$G$58,ABS(L1425)*'Sollecitazioni nel paramento'!$G$54,'Sollecitazioni nel paramento'!$G$53)*IF(L1425&lt;0,-1,1)</f>
        <v>-153664.85805602249</v>
      </c>
      <c r="S1425" s="545">
        <f>'Foglio deposito bis'!$F$70*IF(ABS(M1425)&lt;'Sollecitazioni nel paramento'!$G$58,ABS(M1425)*'Sollecitazioni nel paramento'!$G$54,'Sollecitazioni nel paramento'!$G$53)*IF(M1425&lt;0,-1,1)</f>
        <v>0</v>
      </c>
      <c r="T1425" s="545">
        <f>'Foglio deposito bis'!$F$71*IF(ABS(N1425)&lt;'Sollecitazioni nel paramento'!$G$58,ABS(N1425)*'Sollecitazioni nel paramento'!$G$54,'Sollecitazioni nel paramento'!$G$53)*IF(N1425&lt;0,-1,1)</f>
        <v>23474.69331650843</v>
      </c>
      <c r="U1425" s="545">
        <f>'Foglio deposito bis'!$F$72*IF(ABS(O1425)&lt;'Sollecitazioni nel paramento'!$G$58,ABS(O1425)*'Sollecitazioni nel paramento'!$G$54,'Sollecitazioni nel paramento'!$G$53)*IF(O1425&lt;0,-1,1)</f>
        <v>491727.54577927204</v>
      </c>
      <c r="V1425" s="472">
        <f t="shared" si="100"/>
        <v>-5496817.6652026437</v>
      </c>
      <c r="W1425" s="551"/>
      <c r="X1425" s="551"/>
    </row>
    <row r="1426" spans="1:24" x14ac:dyDescent="0.25">
      <c r="A1426" s="545">
        <f t="shared" si="99"/>
        <v>5559193.6920868801</v>
      </c>
      <c r="B1426" s="3">
        <f t="shared" si="101"/>
        <v>20.899999999999949</v>
      </c>
      <c r="C1426" s="545">
        <f>'Foglio deposito bis'!$E$158/sezione!$B$247*B1426</f>
        <v>155.2604538535135</v>
      </c>
      <c r="D1426" s="603">
        <f>-'Sollecitazioni nel paramento'!$G$47*'Sollecitazioni nel paramento'!$G$41*IF(DATI!$G$211="dx",DATI!$E$61,DATI!$E$64*DATI!$E$63)*1000*C1426^2*sezione!$AD$5*(1-sezione!$AD$6)</f>
        <v>-536321648.75714397</v>
      </c>
      <c r="E1426" s="545">
        <f>-'Foglio deposito bis'!$F$68*(C1426-sezione!$AL$32)*IF(ABS(K1426)&lt;'Sollecitazioni nel paramento'!$G$58,ABS(K1426)*'Sollecitazioni nel paramento'!$G$54,'Sollecitazioni nel paramento'!$G$53)</f>
        <v>0</v>
      </c>
      <c r="F1426" s="545">
        <f>-'Foglio deposito bis'!$F$69*(C1426-sezione!$AM$32)*IF(ABS(L1426)&lt;'Sollecitazioni nel paramento'!$G$58,ABS(L1426)*'Sollecitazioni nel paramento'!$G$54,'Sollecitazioni nel paramento'!$G$53)</f>
        <v>-14638184.119752431</v>
      </c>
      <c r="G1426" s="545">
        <f>-'Foglio deposito bis'!$F$70*(C1426-sezione!$AN$32)*IF(ABS(M1426)&lt;'Sollecitazioni nel paramento'!$G$58,ABS(M1426)*'Sollecitazioni nel paramento'!$G$54,'Sollecitazioni nel paramento'!$G$53)</f>
        <v>0</v>
      </c>
      <c r="H1426" s="545">
        <f>-'Foglio deposito bis'!$F$71*(C1426-sezione!$AO$32)*IF(ABS(N1426)&lt;'Sollecitazioni nel paramento'!$G$58,ABS(N1426)*'Sollecitazioni nel paramento'!$G$54,'Sollecitazioni nel paramento'!$G$53)</f>
        <v>83895.325547265515</v>
      </c>
      <c r="I1426" s="472">
        <f>-'Foglio deposito bis'!$F$72*(C1426-sezione!$AP$32)*IF(ABS(O1426)&lt;'Sollecitazioni nel paramento'!$G$58,ABS(O1426)*'Sollecitazioni nel paramento'!$G$54,'Sollecitazioni nel paramento'!$G$53)</f>
        <v>173935186.31658548</v>
      </c>
      <c r="J1426" s="472">
        <f t="shared" si="98"/>
        <v>-376940751.23476368</v>
      </c>
      <c r="K1426" s="550">
        <f>'Sollecitazioni nel paramento'!$G$60*(sezione!$AL$32-C1426)/C1426</f>
        <v>-2.5982893806810042E-3</v>
      </c>
      <c r="L1426" s="550">
        <f>'Sollecitazioni nel paramento'!$G$60*(sezione!$AM$32-C1426)/C1426</f>
        <v>-2.1474340710215065E-3</v>
      </c>
      <c r="M1426" s="551">
        <f>'Sollecitazioni nel paramento'!$G$60*(sezione!$AN$32-C1426)/C1426</f>
        <v>-1.6965787613620086E-3</v>
      </c>
      <c r="N1426" s="551">
        <f>'Sollecitazioni nel paramento'!$G$60*(sezione!$AO$32-C1426)/C1426</f>
        <v>1.0684247727598262E-4</v>
      </c>
      <c r="O1426" s="551">
        <f>'Sollecitazioni nel paramento'!$G$60*(sezione!$AP$32-C1426)/C1426</f>
        <v>7.9738874668054283E-3</v>
      </c>
      <c r="P1426" s="545">
        <f>-'Sollecitazioni nel paramento'!$G$47*'Sollecitazioni nel paramento'!$G$41*IF(DATI!$G$211="dx",DATI!$E$61,DATI!$E$64*DATI!$E$63)*1000*C1426*sezione!$AD$5</f>
        <v>-5914957.5104573024</v>
      </c>
      <c r="Q1426" s="545">
        <f>'Foglio deposito bis'!$F$68*IF(ABS(K1426)&lt;'Sollecitazioni nel paramento'!$G$58,ABS(K1426)*'Sollecitazioni nel paramento'!$G$54,'Sollecitazioni nel paramento'!$G$53)*IF(K1426&lt;0,-1,1)</f>
        <v>0</v>
      </c>
      <c r="R1426" s="545">
        <f>'Foglio deposito bis'!$F$69*IF(ABS(L1426)&lt;'Sollecitazioni nel paramento'!$G$58,ABS(L1426)*'Sollecitazioni nel paramento'!$G$54,'Sollecitazioni nel paramento'!$G$53)*IF(L1426&lt;0,-1,1)</f>
        <v>-153664.85805602249</v>
      </c>
      <c r="S1426" s="545">
        <f>'Foglio deposito bis'!$F$70*IF(ABS(M1426)&lt;'Sollecitazioni nel paramento'!$G$58,ABS(M1426)*'Sollecitazioni nel paramento'!$G$54,'Sollecitazioni nel paramento'!$G$53)*IF(M1426&lt;0,-1,1)</f>
        <v>0</v>
      </c>
      <c r="T1426" s="545">
        <f>'Foglio deposito bis'!$F$71*IF(ABS(N1426)&lt;'Sollecitazioni nel paramento'!$G$58,ABS(N1426)*'Sollecitazioni nel paramento'!$G$54,'Sollecitazioni nel paramento'!$G$53)*IF(N1426&lt;0,-1,1)</f>
        <v>17701.130647173541</v>
      </c>
      <c r="U1426" s="545">
        <f>'Foglio deposito bis'!$F$72*IF(ABS(O1426)&lt;'Sollecitazioni nel paramento'!$G$58,ABS(O1426)*'Sollecitazioni nel paramento'!$G$54,'Sollecitazioni nel paramento'!$G$53)*IF(O1426&lt;0,-1,1)</f>
        <v>491727.54577927204</v>
      </c>
      <c r="V1426" s="472">
        <f t="shared" si="100"/>
        <v>-5559193.6920868801</v>
      </c>
      <c r="W1426" s="551"/>
      <c r="X1426" s="551"/>
    </row>
    <row r="1427" spans="1:24" x14ac:dyDescent="0.25">
      <c r="A1427" s="545">
        <f t="shared" si="99"/>
        <v>5621460.2675461061</v>
      </c>
      <c r="B1427" s="3">
        <f t="shared" si="101"/>
        <v>21.099999999999948</v>
      </c>
      <c r="C1427" s="545">
        <f>'Foglio deposito bis'!$E$158/sezione!$B$247*B1427</f>
        <v>156.74619982340357</v>
      </c>
      <c r="D1427" s="603">
        <f>-'Sollecitazioni nel paramento'!$G$47*'Sollecitazioni nel paramento'!$G$41*IF(DATI!$G$211="dx",DATI!$E$61,DATI!$E$64*DATI!$E$63)*1000*C1427^2*sezione!$AD$5*(1-sezione!$AD$6)</f>
        <v>-546635290.49968636</v>
      </c>
      <c r="E1427" s="545">
        <f>-'Foglio deposito bis'!$F$68*(C1427-sezione!$AL$32)*IF(ABS(K1427)&lt;'Sollecitazioni nel paramento'!$G$58,ABS(K1427)*'Sollecitazioni nel paramento'!$G$54,'Sollecitazioni nel paramento'!$G$53)</f>
        <v>0</v>
      </c>
      <c r="F1427" s="545">
        <f>-'Foglio deposito bis'!$F$69*(C1427-sezione!$AM$32)*IF(ABS(L1427)&lt;'Sollecitazioni nel paramento'!$G$58,ABS(L1427)*'Sollecitazioni nel paramento'!$G$54,'Sollecitazioni nel paramento'!$G$53)</f>
        <v>-14866491.063322898</v>
      </c>
      <c r="G1427" s="545">
        <f>-'Foglio deposito bis'!$F$70*(C1427-sezione!$AN$32)*IF(ABS(M1427)&lt;'Sollecitazioni nel paramento'!$G$58,ABS(M1427)*'Sollecitazioni nel paramento'!$G$54,'Sollecitazioni nel paramento'!$G$53)</f>
        <v>0</v>
      </c>
      <c r="H1427" s="545">
        <f>-'Foglio deposito bis'!$F$71*(C1427-sezione!$AO$32)*IF(ABS(N1427)&lt;'Sollecitazioni nel paramento'!$G$58,ABS(N1427)*'Sollecitazioni nel paramento'!$G$54,'Sollecitazioni nel paramento'!$G$53)</f>
        <v>39166.055858687112</v>
      </c>
      <c r="I1427" s="472">
        <f>-'Foglio deposito bis'!$F$72*(C1427-sezione!$AP$32)*IF(ABS(O1427)&lt;'Sollecitazioni nel paramento'!$G$58,ABS(O1427)*'Sollecitazioni nel paramento'!$G$54,'Sollecitazioni nel paramento'!$G$53)</f>
        <v>173204604.09715998</v>
      </c>
      <c r="J1427" s="472">
        <f t="shared" si="98"/>
        <v>-388258011.40999055</v>
      </c>
      <c r="K1427" s="550">
        <f>'Sollecitazioni nel paramento'!$G$60*(sezione!$AL$32-C1427)/C1427</f>
        <v>-2.6068364007693361E-3</v>
      </c>
      <c r="L1427" s="550">
        <f>'Sollecitazioni nel paramento'!$G$60*(sezione!$AM$32-C1427)/C1427</f>
        <v>-2.1602546011540041E-3</v>
      </c>
      <c r="M1427" s="551">
        <f>'Sollecitazioni nel paramento'!$G$60*(sezione!$AN$32-C1427)/C1427</f>
        <v>-1.7136728015386719E-3</v>
      </c>
      <c r="N1427" s="551">
        <f>'Sollecitazioni nel paramento'!$G$60*(sezione!$AO$32-C1427)/C1427</f>
        <v>7.2654396922655889E-5</v>
      </c>
      <c r="O1427" s="551">
        <f>'Sollecitazioni nel paramento'!$G$60*(sezione!$AP$32-C1427)/C1427</f>
        <v>7.8651302396319164E-3</v>
      </c>
      <c r="P1427" s="545">
        <f>-'Sollecitazioni nel paramento'!$G$47*'Sollecitazioni nel paramento'!$G$41*IF(DATI!$G$211="dx",DATI!$E$61,DATI!$E$64*DATI!$E$63)*1000*C1427*sezione!$AD$5</f>
        <v>-5971559.9746722048</v>
      </c>
      <c r="Q1427" s="545">
        <f>'Foglio deposito bis'!$F$68*IF(ABS(K1427)&lt;'Sollecitazioni nel paramento'!$G$58,ABS(K1427)*'Sollecitazioni nel paramento'!$G$54,'Sollecitazioni nel paramento'!$G$53)*IF(K1427&lt;0,-1,1)</f>
        <v>0</v>
      </c>
      <c r="R1427" s="545">
        <f>'Foglio deposito bis'!$F$69*IF(ABS(L1427)&lt;'Sollecitazioni nel paramento'!$G$58,ABS(L1427)*'Sollecitazioni nel paramento'!$G$54,'Sollecitazioni nel paramento'!$G$53)*IF(L1427&lt;0,-1,1)</f>
        <v>-153664.85805602249</v>
      </c>
      <c r="S1427" s="545">
        <f>'Foglio deposito bis'!$F$70*IF(ABS(M1427)&lt;'Sollecitazioni nel paramento'!$G$58,ABS(M1427)*'Sollecitazioni nel paramento'!$G$54,'Sollecitazioni nel paramento'!$G$53)*IF(M1427&lt;0,-1,1)</f>
        <v>0</v>
      </c>
      <c r="T1427" s="545">
        <f>'Foglio deposito bis'!$F$71*IF(ABS(N1427)&lt;'Sollecitazioni nel paramento'!$G$58,ABS(N1427)*'Sollecitazioni nel paramento'!$G$54,'Sollecitazioni nel paramento'!$G$53)*IF(N1427&lt;0,-1,1)</f>
        <v>12037.019402849741</v>
      </c>
      <c r="U1427" s="545">
        <f>'Foglio deposito bis'!$F$72*IF(ABS(O1427)&lt;'Sollecitazioni nel paramento'!$G$58,ABS(O1427)*'Sollecitazioni nel paramento'!$G$54,'Sollecitazioni nel paramento'!$G$53)*IF(O1427&lt;0,-1,1)</f>
        <v>491727.54577927204</v>
      </c>
      <c r="V1427" s="472">
        <f t="shared" si="100"/>
        <v>-5621460.2675461061</v>
      </c>
      <c r="W1427" s="551"/>
      <c r="X1427" s="551"/>
    </row>
    <row r="1428" spans="1:24" x14ac:dyDescent="0.25">
      <c r="A1428" s="545">
        <f t="shared" si="99"/>
        <v>5683620.4747190541</v>
      </c>
      <c r="B1428" s="3">
        <f t="shared" si="101"/>
        <v>21.299999999999947</v>
      </c>
      <c r="C1428" s="545">
        <f>'Foglio deposito bis'!$E$158/sezione!$B$247*B1428</f>
        <v>158.23194579329365</v>
      </c>
      <c r="D1428" s="603">
        <f>-'Sollecitazioni nel paramento'!$G$47*'Sollecitazioni nel paramento'!$G$41*IF(DATI!$G$211="dx",DATI!$E$61,DATI!$E$64*DATI!$E$63)*1000*C1428^2*sezione!$AD$5*(1-sezione!$AD$6)</f>
        <v>-557047157.40168178</v>
      </c>
      <c r="E1428" s="545">
        <f>-'Foglio deposito bis'!$F$68*(C1428-sezione!$AL$32)*IF(ABS(K1428)&lt;'Sollecitazioni nel paramento'!$G$58,ABS(K1428)*'Sollecitazioni nel paramento'!$G$54,'Sollecitazioni nel paramento'!$G$53)</f>
        <v>0</v>
      </c>
      <c r="F1428" s="545">
        <f>-'Foglio deposito bis'!$F$69*(C1428-sezione!$AM$32)*IF(ABS(L1428)&lt;'Sollecitazioni nel paramento'!$G$58,ABS(L1428)*'Sollecitazioni nel paramento'!$G$54,'Sollecitazioni nel paramento'!$G$53)</f>
        <v>-15094798.006893365</v>
      </c>
      <c r="G1428" s="545">
        <f>-'Foglio deposito bis'!$F$70*(C1428-sezione!$AN$32)*IF(ABS(M1428)&lt;'Sollecitazioni nel paramento'!$G$58,ABS(M1428)*'Sollecitazioni nel paramento'!$G$54,'Sollecitazioni nel paramento'!$G$53)</f>
        <v>0</v>
      </c>
      <c r="H1428" s="545">
        <f>-'Foglio deposito bis'!$F$71*(C1428-sezione!$AO$32)*IF(ABS(N1428)&lt;'Sollecitazioni nel paramento'!$G$58,ABS(N1428)*'Sollecitazioni nel paramento'!$G$54,'Sollecitazioni nel paramento'!$G$53)</f>
        <v>11455.711974649665</v>
      </c>
      <c r="I1428" s="472">
        <f>-'Foglio deposito bis'!$F$72*(C1428-sezione!$AP$32)*IF(ABS(O1428)&lt;'Sollecitazioni nel paramento'!$G$58,ABS(O1428)*'Sollecitazioni nel paramento'!$G$54,'Sollecitazioni nel paramento'!$G$53)</f>
        <v>172474021.87773445</v>
      </c>
      <c r="J1428" s="472">
        <f t="shared" si="98"/>
        <v>-399656477.81886613</v>
      </c>
      <c r="K1428" s="550">
        <f>'Sollecitazioni nel paramento'!$G$60*(sezione!$AL$32-C1428)/C1428</f>
        <v>-2.6152229134381684E-3</v>
      </c>
      <c r="L1428" s="550">
        <f>'Sollecitazioni nel paramento'!$G$60*(sezione!$AM$32-C1428)/C1428</f>
        <v>-2.1728343701572532E-3</v>
      </c>
      <c r="M1428" s="551">
        <f>'Sollecitazioni nel paramento'!$G$60*(sezione!$AN$32-C1428)/C1428</f>
        <v>-1.7304458268763371E-3</v>
      </c>
      <c r="N1428" s="551">
        <f>'Sollecitazioni nel paramento'!$G$60*(sezione!$AO$32-C1428)/C1428</f>
        <v>3.9108346247325922E-5</v>
      </c>
      <c r="O1428" s="551">
        <f>'Sollecitazioni nel paramento'!$G$60*(sezione!$AP$32-C1428)/C1428</f>
        <v>7.7584154017011006E-3</v>
      </c>
      <c r="P1428" s="545">
        <f>-'Sollecitazioni nel paramento'!$G$47*'Sollecitazioni nel paramento'!$G$41*IF(DATI!$G$211="dx",DATI!$E$61,DATI!$E$64*DATI!$E$63)*1000*C1428*sezione!$AD$5</f>
        <v>-6028162.4388871072</v>
      </c>
      <c r="Q1428" s="545">
        <f>'Foglio deposito bis'!$F$68*IF(ABS(K1428)&lt;'Sollecitazioni nel paramento'!$G$58,ABS(K1428)*'Sollecitazioni nel paramento'!$G$54,'Sollecitazioni nel paramento'!$G$53)*IF(K1428&lt;0,-1,1)</f>
        <v>0</v>
      </c>
      <c r="R1428" s="545">
        <f>'Foglio deposito bis'!$F$69*IF(ABS(L1428)&lt;'Sollecitazioni nel paramento'!$G$58,ABS(L1428)*'Sollecitazioni nel paramento'!$G$54,'Sollecitazioni nel paramento'!$G$53)*IF(L1428&lt;0,-1,1)</f>
        <v>-153664.85805602249</v>
      </c>
      <c r="S1428" s="545">
        <f>'Foglio deposito bis'!$F$70*IF(ABS(M1428)&lt;'Sollecitazioni nel paramento'!$G$58,ABS(M1428)*'Sollecitazioni nel paramento'!$G$54,'Sollecitazioni nel paramento'!$G$53)*IF(M1428&lt;0,-1,1)</f>
        <v>0</v>
      </c>
      <c r="T1428" s="545">
        <f>'Foglio deposito bis'!$F$71*IF(ABS(N1428)&lt;'Sollecitazioni nel paramento'!$G$58,ABS(N1428)*'Sollecitazioni nel paramento'!$G$54,'Sollecitazioni nel paramento'!$G$53)*IF(N1428&lt;0,-1,1)</f>
        <v>6479.2764448043226</v>
      </c>
      <c r="U1428" s="545">
        <f>'Foglio deposito bis'!$F$72*IF(ABS(O1428)&lt;'Sollecitazioni nel paramento'!$G$58,ABS(O1428)*'Sollecitazioni nel paramento'!$G$54,'Sollecitazioni nel paramento'!$G$53)*IF(O1428&lt;0,-1,1)</f>
        <v>491727.54577927204</v>
      </c>
      <c r="V1428" s="472">
        <f t="shared" si="100"/>
        <v>-5683620.4747190541</v>
      </c>
      <c r="W1428" s="551"/>
      <c r="X1428" s="551"/>
    </row>
    <row r="1429" spans="1:24" x14ac:dyDescent="0.25">
      <c r="A1429" s="545">
        <f t="shared" si="99"/>
        <v>5745677.2820230145</v>
      </c>
      <c r="B1429" s="3">
        <f t="shared" si="101"/>
        <v>21.499999999999947</v>
      </c>
      <c r="C1429" s="545">
        <f>'Foglio deposito bis'!$E$158/sezione!$B$247*B1429</f>
        <v>159.71769176318372</v>
      </c>
      <c r="D1429" s="603">
        <f>-'Sollecitazioni nel paramento'!$G$47*'Sollecitazioni nel paramento'!$G$41*IF(DATI!$G$211="dx",DATI!$E$61,DATI!$E$64*DATI!$E$63)*1000*C1429^2*sezione!$AD$5*(1-sezione!$AD$6)</f>
        <v>-567557249.46312976</v>
      </c>
      <c r="E1429" s="545">
        <f>-'Foglio deposito bis'!$F$68*(C1429-sezione!$AL$32)*IF(ABS(K1429)&lt;'Sollecitazioni nel paramento'!$G$58,ABS(K1429)*'Sollecitazioni nel paramento'!$G$54,'Sollecitazioni nel paramento'!$G$53)</f>
        <v>0</v>
      </c>
      <c r="F1429" s="545">
        <f>-'Foglio deposito bis'!$F$69*(C1429-sezione!$AM$32)*IF(ABS(L1429)&lt;'Sollecitazioni nel paramento'!$G$58,ABS(L1429)*'Sollecitazioni nel paramento'!$G$54,'Sollecitazioni nel paramento'!$G$53)</f>
        <v>-15323104.95046383</v>
      </c>
      <c r="G1429" s="545">
        <f>-'Foglio deposito bis'!$F$70*(C1429-sezione!$AN$32)*IF(ABS(M1429)&lt;'Sollecitazioni nel paramento'!$G$58,ABS(M1429)*'Sollecitazioni nel paramento'!$G$54,'Sollecitazioni nel paramento'!$G$53)</f>
        <v>0</v>
      </c>
      <c r="H1429" s="545">
        <f>-'Foglio deposito bis'!$F$71*(C1429-sezione!$AO$32)*IF(ABS(N1429)&lt;'Sollecitazioni nel paramento'!$G$58,ABS(N1429)*'Sollecitazioni nel paramento'!$G$54,'Sollecitazioni nel paramento'!$G$53)</f>
        <v>289.3471285147856</v>
      </c>
      <c r="I1429" s="472">
        <f>-'Foglio deposito bis'!$F$72*(C1429-sezione!$AP$32)*IF(ABS(O1429)&lt;'Sollecitazioni nel paramento'!$G$58,ABS(O1429)*'Sollecitazioni nel paramento'!$G$54,'Sollecitazioni nel paramento'!$G$53)</f>
        <v>171743439.65830898</v>
      </c>
      <c r="J1429" s="472">
        <f t="shared" si="98"/>
        <v>-411136625.40815604</v>
      </c>
      <c r="K1429" s="550">
        <f>'Sollecitazioni nel paramento'!$G$60*(sezione!$AL$32-C1429)/C1429</f>
        <v>-2.6234533979643251E-3</v>
      </c>
      <c r="L1429" s="550">
        <f>'Sollecitazioni nel paramento'!$G$60*(sezione!$AM$32-C1429)/C1429</f>
        <v>-2.1851800969464878E-3</v>
      </c>
      <c r="M1429" s="551">
        <f>'Sollecitazioni nel paramento'!$G$60*(sezione!$AN$32-C1429)/C1429</f>
        <v>-1.7469067959286501E-3</v>
      </c>
      <c r="N1429" s="551">
        <f>'Sollecitazioni nel paramento'!$G$60*(sezione!$AO$32-C1429)/C1429</f>
        <v>6.1864081426997609E-6</v>
      </c>
      <c r="O1429" s="551">
        <f>'Sollecitazioni nel paramento'!$G$60*(sezione!$AP$32-C1429)/C1429</f>
        <v>7.6536859561038822E-3</v>
      </c>
      <c r="P1429" s="545">
        <f>-'Sollecitazioni nel paramento'!$G$47*'Sollecitazioni nel paramento'!$G$41*IF(DATI!$G$211="dx",DATI!$E$61,DATI!$E$64*DATI!$E$63)*1000*C1429*sezione!$AD$5</f>
        <v>-6084764.9031020096</v>
      </c>
      <c r="Q1429" s="545">
        <f>'Foglio deposito bis'!$F$68*IF(ABS(K1429)&lt;'Sollecitazioni nel paramento'!$G$58,ABS(K1429)*'Sollecitazioni nel paramento'!$G$54,'Sollecitazioni nel paramento'!$G$53)*IF(K1429&lt;0,-1,1)</f>
        <v>0</v>
      </c>
      <c r="R1429" s="545">
        <f>'Foglio deposito bis'!$F$69*IF(ABS(L1429)&lt;'Sollecitazioni nel paramento'!$G$58,ABS(L1429)*'Sollecitazioni nel paramento'!$G$54,'Sollecitazioni nel paramento'!$G$53)*IF(L1429&lt;0,-1,1)</f>
        <v>-153664.85805602249</v>
      </c>
      <c r="S1429" s="545">
        <f>'Foglio deposito bis'!$F$70*IF(ABS(M1429)&lt;'Sollecitazioni nel paramento'!$G$58,ABS(M1429)*'Sollecitazioni nel paramento'!$G$54,'Sollecitazioni nel paramento'!$G$53)*IF(M1429&lt;0,-1,1)</f>
        <v>0</v>
      </c>
      <c r="T1429" s="545">
        <f>'Foglio deposito bis'!$F$71*IF(ABS(N1429)&lt;'Sollecitazioni nel paramento'!$G$58,ABS(N1429)*'Sollecitazioni nel paramento'!$G$54,'Sollecitazioni nel paramento'!$G$53)*IF(N1429&lt;0,-1,1)</f>
        <v>1024.9333557457949</v>
      </c>
      <c r="U1429" s="545">
        <f>'Foglio deposito bis'!$F$72*IF(ABS(O1429)&lt;'Sollecitazioni nel paramento'!$G$58,ABS(O1429)*'Sollecitazioni nel paramento'!$G$54,'Sollecitazioni nel paramento'!$G$53)*IF(O1429&lt;0,-1,1)</f>
        <v>491727.54577927204</v>
      </c>
      <c r="V1429" s="472">
        <f t="shared" si="100"/>
        <v>-5745677.2820230145</v>
      </c>
      <c r="W1429" s="551"/>
      <c r="X1429" s="551"/>
    </row>
    <row r="1430" spans="1:24" x14ac:dyDescent="0.25">
      <c r="A1430" s="545">
        <f t="shared" si="99"/>
        <v>5807633.5484405411</v>
      </c>
      <c r="B1430" s="3">
        <f t="shared" si="101"/>
        <v>21.699999999999946</v>
      </c>
      <c r="C1430" s="545">
        <f>'Foglio deposito bis'!$E$158/sezione!$B$247*B1430</f>
        <v>161.2034377330738</v>
      </c>
      <c r="D1430" s="603">
        <f>-'Sollecitazioni nel paramento'!$G$47*'Sollecitazioni nel paramento'!$G$41*IF(DATI!$G$211="dx",DATI!$E$61,DATI!$E$64*DATI!$E$63)*1000*C1430^2*sezione!$AD$5*(1-sezione!$AD$6)</f>
        <v>-578165566.68403065</v>
      </c>
      <c r="E1430" s="545">
        <f>-'Foglio deposito bis'!$F$68*(C1430-sezione!$AL$32)*IF(ABS(K1430)&lt;'Sollecitazioni nel paramento'!$G$58,ABS(K1430)*'Sollecitazioni nel paramento'!$G$54,'Sollecitazioni nel paramento'!$G$53)</f>
        <v>0</v>
      </c>
      <c r="F1430" s="545">
        <f>-'Foglio deposito bis'!$F$69*(C1430-sezione!$AM$32)*IF(ABS(L1430)&lt;'Sollecitazioni nel paramento'!$G$58,ABS(L1430)*'Sollecitazioni nel paramento'!$G$54,'Sollecitazioni nel paramento'!$G$53)</f>
        <v>-15551411.894034296</v>
      </c>
      <c r="G1430" s="545">
        <f>-'Foglio deposito bis'!$F$70*(C1430-sezione!$AN$32)*IF(ABS(M1430)&lt;'Sollecitazioni nel paramento'!$G$58,ABS(M1430)*'Sollecitazioni nel paramento'!$G$54,'Sollecitazioni nel paramento'!$G$53)</f>
        <v>0</v>
      </c>
      <c r="H1430" s="545">
        <f>-'Foglio deposito bis'!$F$71*(C1430-sezione!$AO$32)*IF(ABS(N1430)&lt;'Sollecitazioni nel paramento'!$G$58,ABS(N1430)*'Sollecitazioni nel paramento'!$G$54,'Sollecitazioni nel paramento'!$G$53)</f>
        <v>-5209.5241118612184</v>
      </c>
      <c r="I1430" s="472">
        <f>-'Foglio deposito bis'!$F$72*(C1430-sezione!$AP$32)*IF(ABS(O1430)&lt;'Sollecitazioni nel paramento'!$G$58,ABS(O1430)*'Sollecitazioni nel paramento'!$G$54,'Sollecitazioni nel paramento'!$G$53)</f>
        <v>171012857.43888351</v>
      </c>
      <c r="J1430" s="472">
        <f t="shared" si="98"/>
        <v>-422709330.66329324</v>
      </c>
      <c r="K1430" s="550">
        <f>'Sollecitazioni nel paramento'!$G$60*(sezione!$AL$32-C1430)/C1430</f>
        <v>-2.6315321684899995E-3</v>
      </c>
      <c r="L1430" s="550">
        <f>'Sollecitazioni nel paramento'!$G$60*(sezione!$AM$32-C1430)/C1430</f>
        <v>-2.197298252734999E-3</v>
      </c>
      <c r="M1430" s="551">
        <f>'Sollecitazioni nel paramento'!$G$60*(sezione!$AN$32-C1430)/C1430</f>
        <v>-1.763064336979999E-3</v>
      </c>
      <c r="N1430" s="551">
        <f>'Sollecitazioni nel paramento'!$G$60*(sezione!$AO$32-C1430)/C1430</f>
        <v>-2.612867395999781E-5</v>
      </c>
      <c r="O1430" s="551">
        <f>'Sollecitazioni nel paramento'!$G$60*(sezione!$AP$32-C1430)/C1430</f>
        <v>7.5508870071997001E-3</v>
      </c>
      <c r="P1430" s="545">
        <f>-'Sollecitazioni nel paramento'!$G$47*'Sollecitazioni nel paramento'!$G$41*IF(DATI!$G$211="dx",DATI!$E$61,DATI!$E$64*DATI!$E$63)*1000*C1430*sezione!$AD$5</f>
        <v>-6141367.3673169119</v>
      </c>
      <c r="Q1430" s="545">
        <f>'Foglio deposito bis'!$F$68*IF(ABS(K1430)&lt;'Sollecitazioni nel paramento'!$G$58,ABS(K1430)*'Sollecitazioni nel paramento'!$G$54,'Sollecitazioni nel paramento'!$G$53)*IF(K1430&lt;0,-1,1)</f>
        <v>0</v>
      </c>
      <c r="R1430" s="545">
        <f>'Foglio deposito bis'!$F$69*IF(ABS(L1430)&lt;'Sollecitazioni nel paramento'!$G$58,ABS(L1430)*'Sollecitazioni nel paramento'!$G$54,'Sollecitazioni nel paramento'!$G$53)*IF(L1430&lt;0,-1,1)</f>
        <v>-153664.85805602249</v>
      </c>
      <c r="S1430" s="545">
        <f>'Foglio deposito bis'!$F$70*IF(ABS(M1430)&lt;'Sollecitazioni nel paramento'!$G$58,ABS(M1430)*'Sollecitazioni nel paramento'!$G$54,'Sollecitazioni nel paramento'!$G$53)*IF(M1430&lt;0,-1,1)</f>
        <v>0</v>
      </c>
      <c r="T1430" s="545">
        <f>'Foglio deposito bis'!$F$71*IF(ABS(N1430)&lt;'Sollecitazioni nel paramento'!$G$58,ABS(N1430)*'Sollecitazioni nel paramento'!$G$54,'Sollecitazioni nel paramento'!$G$53)*IF(N1430&lt;0,-1,1)</f>
        <v>-4328.8688468784749</v>
      </c>
      <c r="U1430" s="545">
        <f>'Foglio deposito bis'!$F$72*IF(ABS(O1430)&lt;'Sollecitazioni nel paramento'!$G$58,ABS(O1430)*'Sollecitazioni nel paramento'!$G$54,'Sollecitazioni nel paramento'!$G$53)*IF(O1430&lt;0,-1,1)</f>
        <v>491727.54577927204</v>
      </c>
      <c r="V1430" s="472">
        <f t="shared" si="100"/>
        <v>-5807633.5484405411</v>
      </c>
      <c r="W1430" s="551"/>
      <c r="X1430" s="551"/>
    </row>
    <row r="1431" spans="1:24" x14ac:dyDescent="0.25">
      <c r="A1431" s="545">
        <f t="shared" si="99"/>
        <v>5869492.0285164667</v>
      </c>
      <c r="B1431" s="3">
        <f t="shared" si="101"/>
        <v>21.899999999999945</v>
      </c>
      <c r="C1431" s="545">
        <f>'Foglio deposito bis'!$E$158/sezione!$B$247*B1431</f>
        <v>162.68918370296387</v>
      </c>
      <c r="D1431" s="603">
        <f>-'Sollecitazioni nel paramento'!$G$47*'Sollecitazioni nel paramento'!$G$41*IF(DATI!$G$211="dx",DATI!$E$61,DATI!$E$64*DATI!$E$63)*1000*C1431^2*sezione!$AD$5*(1-sezione!$AD$6)</f>
        <v>-588872109.06438434</v>
      </c>
      <c r="E1431" s="545">
        <f>-'Foglio deposito bis'!$F$68*(C1431-sezione!$AL$32)*IF(ABS(K1431)&lt;'Sollecitazioni nel paramento'!$G$58,ABS(K1431)*'Sollecitazioni nel paramento'!$G$54,'Sollecitazioni nel paramento'!$G$53)</f>
        <v>0</v>
      </c>
      <c r="F1431" s="545">
        <f>-'Foglio deposito bis'!$F$69*(C1431-sezione!$AM$32)*IF(ABS(L1431)&lt;'Sollecitazioni nel paramento'!$G$58,ABS(L1431)*'Sollecitazioni nel paramento'!$G$54,'Sollecitazioni nel paramento'!$G$53)</f>
        <v>-15779718.837604763</v>
      </c>
      <c r="G1431" s="545">
        <f>-'Foglio deposito bis'!$F$70*(C1431-sezione!$AN$32)*IF(ABS(M1431)&lt;'Sollecitazioni nel paramento'!$G$58,ABS(M1431)*'Sollecitazioni nel paramento'!$G$54,'Sollecitazioni nel paramento'!$G$53)</f>
        <v>0</v>
      </c>
      <c r="H1431" s="545">
        <f>-'Foglio deposito bis'!$F$71*(C1431-sezione!$AO$32)*IF(ABS(N1431)&lt;'Sollecitazioni nel paramento'!$G$58,ABS(N1431)*'Sollecitazioni nel paramento'!$G$54,'Sollecitazioni nel paramento'!$G$53)</f>
        <v>-25775.515751278519</v>
      </c>
      <c r="I1431" s="472">
        <f>-'Foglio deposito bis'!$F$72*(C1431-sezione!$AP$32)*IF(ABS(O1431)&lt;'Sollecitazioni nel paramento'!$G$58,ABS(O1431)*'Sollecitazioni nel paramento'!$G$54,'Sollecitazioni nel paramento'!$G$53)</f>
        <v>170282275.21945801</v>
      </c>
      <c r="J1431" s="472">
        <f t="shared" si="98"/>
        <v>-434395328.19828236</v>
      </c>
      <c r="K1431" s="550">
        <f>'Sollecitazioni nel paramento'!$G$60*(sezione!$AL$32-C1431)/C1431</f>
        <v>-2.6394633815631503E-3</v>
      </c>
      <c r="L1431" s="550">
        <f>'Sollecitazioni nel paramento'!$G$60*(sezione!$AM$32-C1431)/C1431</f>
        <v>-2.209195072344725E-3</v>
      </c>
      <c r="M1431" s="551">
        <f>'Sollecitazioni nel paramento'!$G$60*(sezione!$AN$32-C1431)/C1431</f>
        <v>-1.7789267631263001E-3</v>
      </c>
      <c r="N1431" s="551">
        <f>'Sollecitazioni nel paramento'!$G$60*(sezione!$AO$32-C1431)/C1431</f>
        <v>-5.7853526252600453E-5</v>
      </c>
      <c r="O1431" s="551">
        <f>'Sollecitazioni nel paramento'!$G$60*(sezione!$AP$32-C1431)/C1431</f>
        <v>7.4499656646681957E-3</v>
      </c>
      <c r="P1431" s="545">
        <f>-'Sollecitazioni nel paramento'!$G$47*'Sollecitazioni nel paramento'!$G$41*IF(DATI!$G$211="dx",DATI!$E$61,DATI!$E$64*DATI!$E$63)*1000*C1431*sezione!$AD$5</f>
        <v>-6197969.8315318134</v>
      </c>
      <c r="Q1431" s="545">
        <f>'Foglio deposito bis'!$F$68*IF(ABS(K1431)&lt;'Sollecitazioni nel paramento'!$G$58,ABS(K1431)*'Sollecitazioni nel paramento'!$G$54,'Sollecitazioni nel paramento'!$G$53)*IF(K1431&lt;0,-1,1)</f>
        <v>0</v>
      </c>
      <c r="R1431" s="545">
        <f>'Foglio deposito bis'!$F$69*IF(ABS(L1431)&lt;'Sollecitazioni nel paramento'!$G$58,ABS(L1431)*'Sollecitazioni nel paramento'!$G$54,'Sollecitazioni nel paramento'!$G$53)*IF(L1431&lt;0,-1,1)</f>
        <v>-153664.85805602249</v>
      </c>
      <c r="S1431" s="545">
        <f>'Foglio deposito bis'!$F$70*IF(ABS(M1431)&lt;'Sollecitazioni nel paramento'!$G$58,ABS(M1431)*'Sollecitazioni nel paramento'!$G$54,'Sollecitazioni nel paramento'!$G$53)*IF(M1431&lt;0,-1,1)</f>
        <v>0</v>
      </c>
      <c r="T1431" s="545">
        <f>'Foglio deposito bis'!$F$71*IF(ABS(N1431)&lt;'Sollecitazioni nel paramento'!$G$58,ABS(N1431)*'Sollecitazioni nel paramento'!$G$54,'Sollecitazioni nel paramento'!$G$53)*IF(N1431&lt;0,-1,1)</f>
        <v>-9584.8847079023017</v>
      </c>
      <c r="U1431" s="545">
        <f>'Foglio deposito bis'!$F$72*IF(ABS(O1431)&lt;'Sollecitazioni nel paramento'!$G$58,ABS(O1431)*'Sollecitazioni nel paramento'!$G$54,'Sollecitazioni nel paramento'!$G$53)*IF(O1431&lt;0,-1,1)</f>
        <v>491727.54577927204</v>
      </c>
      <c r="V1431" s="472">
        <f t="shared" si="100"/>
        <v>-5869492.0285164667</v>
      </c>
      <c r="W1431" s="551"/>
      <c r="X1431" s="551"/>
    </row>
    <row r="1432" spans="1:24" x14ac:dyDescent="0.25">
      <c r="A1432" s="545">
        <f t="shared" si="99"/>
        <v>5931255.3770835968</v>
      </c>
      <c r="B1432" s="3">
        <f t="shared" si="101"/>
        <v>22.099999999999945</v>
      </c>
      <c r="C1432" s="545">
        <f>'Foglio deposito bis'!$E$158/sezione!$B$247*B1432</f>
        <v>164.17492967285398</v>
      </c>
      <c r="D1432" s="603">
        <f>-'Sollecitazioni nel paramento'!$G$47*'Sollecitazioni nel paramento'!$G$41*IF(DATI!$G$211="dx",DATI!$E$61,DATI!$E$64*DATI!$E$63)*1000*C1432^2*sezione!$AD$5*(1-sezione!$AD$6)</f>
        <v>-599676876.60419083</v>
      </c>
      <c r="E1432" s="545">
        <f>-'Foglio deposito bis'!$F$68*(C1432-sezione!$AL$32)*IF(ABS(K1432)&lt;'Sollecitazioni nel paramento'!$G$58,ABS(K1432)*'Sollecitazioni nel paramento'!$G$54,'Sollecitazioni nel paramento'!$G$53)</f>
        <v>0</v>
      </c>
      <c r="F1432" s="545">
        <f>-'Foglio deposito bis'!$F$69*(C1432-sezione!$AM$32)*IF(ABS(L1432)&lt;'Sollecitazioni nel paramento'!$G$58,ABS(L1432)*'Sollecitazioni nel paramento'!$G$54,'Sollecitazioni nel paramento'!$G$53)</f>
        <v>-16008025.781175232</v>
      </c>
      <c r="G1432" s="545">
        <f>-'Foglio deposito bis'!$F$70*(C1432-sezione!$AN$32)*IF(ABS(M1432)&lt;'Sollecitazioni nel paramento'!$G$58,ABS(M1432)*'Sollecitazioni nel paramento'!$G$54,'Sollecitazioni nel paramento'!$G$53)</f>
        <v>0</v>
      </c>
      <c r="H1432" s="545">
        <f>-'Foglio deposito bis'!$F$71*(C1432-sezione!$AO$32)*IF(ABS(N1432)&lt;'Sollecitazioni nel paramento'!$G$58,ABS(N1432)*'Sollecitazioni nel paramento'!$G$54,'Sollecitazioni nel paramento'!$G$53)</f>
        <v>-61562.548798186406</v>
      </c>
      <c r="I1432" s="472">
        <f>-'Foglio deposito bis'!$F$72*(C1432-sezione!$AP$32)*IF(ABS(O1432)&lt;'Sollecitazioni nel paramento'!$G$58,ABS(O1432)*'Sollecitazioni nel paramento'!$G$54,'Sollecitazioni nel paramento'!$G$53)</f>
        <v>169551693.00003251</v>
      </c>
      <c r="J1432" s="472">
        <f t="shared" si="98"/>
        <v>-446194771.93413174</v>
      </c>
      <c r="K1432" s="550">
        <f>'Sollecitazioni nel paramento'!$G$60*(sezione!$AL$32-C1432)/C1432</f>
        <v>-2.6472510432684611E-3</v>
      </c>
      <c r="L1432" s="550">
        <f>'Sollecitazioni nel paramento'!$G$60*(sezione!$AM$32-C1432)/C1432</f>
        <v>-2.2208765649026916E-3</v>
      </c>
      <c r="M1432" s="551">
        <f>'Sollecitazioni nel paramento'!$G$60*(sezione!$AN$32-C1432)/C1432</f>
        <v>-1.7945020865369221E-3</v>
      </c>
      <c r="N1432" s="551">
        <f>'Sollecitazioni nel paramento'!$G$60*(sezione!$AO$32-C1432)/C1432</f>
        <v>-8.9004173073844363E-5</v>
      </c>
      <c r="O1432" s="551">
        <f>'Sollecitazioni nel paramento'!$G$60*(sezione!$AP$32-C1432)/C1432</f>
        <v>7.3508709527707449E-3</v>
      </c>
      <c r="P1432" s="545">
        <f>-'Sollecitazioni nel paramento'!$G$47*'Sollecitazioni nel paramento'!$G$41*IF(DATI!$G$211="dx",DATI!$E$61,DATI!$E$64*DATI!$E$63)*1000*C1432*sezione!$AD$5</f>
        <v>-6254572.2957467167</v>
      </c>
      <c r="Q1432" s="545">
        <f>'Foglio deposito bis'!$F$68*IF(ABS(K1432)&lt;'Sollecitazioni nel paramento'!$G$58,ABS(K1432)*'Sollecitazioni nel paramento'!$G$54,'Sollecitazioni nel paramento'!$G$53)*IF(K1432&lt;0,-1,1)</f>
        <v>0</v>
      </c>
      <c r="R1432" s="545">
        <f>'Foglio deposito bis'!$F$69*IF(ABS(L1432)&lt;'Sollecitazioni nel paramento'!$G$58,ABS(L1432)*'Sollecitazioni nel paramento'!$G$54,'Sollecitazioni nel paramento'!$G$53)*IF(L1432&lt;0,-1,1)</f>
        <v>-153664.85805602249</v>
      </c>
      <c r="S1432" s="545">
        <f>'Foglio deposito bis'!$F$70*IF(ABS(M1432)&lt;'Sollecitazioni nel paramento'!$G$58,ABS(M1432)*'Sollecitazioni nel paramento'!$G$54,'Sollecitazioni nel paramento'!$G$53)*IF(M1432&lt;0,-1,1)</f>
        <v>0</v>
      </c>
      <c r="T1432" s="545">
        <f>'Foglio deposito bis'!$F$71*IF(ABS(N1432)&lt;'Sollecitazioni nel paramento'!$G$58,ABS(N1432)*'Sollecitazioni nel paramento'!$G$54,'Sollecitazioni nel paramento'!$G$53)*IF(N1432&lt;0,-1,1)</f>
        <v>-14745.769060129416</v>
      </c>
      <c r="U1432" s="545">
        <f>'Foglio deposito bis'!$F$72*IF(ABS(O1432)&lt;'Sollecitazioni nel paramento'!$G$58,ABS(O1432)*'Sollecitazioni nel paramento'!$G$54,'Sollecitazioni nel paramento'!$G$53)*IF(O1432&lt;0,-1,1)</f>
        <v>491727.54577927204</v>
      </c>
      <c r="V1432" s="472">
        <f t="shared" si="100"/>
        <v>-5931255.3770835968</v>
      </c>
      <c r="W1432" s="551"/>
      <c r="X1432" s="551"/>
    </row>
    <row r="1433" spans="1:24" x14ac:dyDescent="0.25">
      <c r="A1433" s="545">
        <f t="shared" si="99"/>
        <v>5992926.1537340945</v>
      </c>
      <c r="B1433" s="3">
        <f t="shared" si="101"/>
        <v>22.299999999999944</v>
      </c>
      <c r="C1433" s="545">
        <f>'Foglio deposito bis'!$E$158/sezione!$B$247*B1433</f>
        <v>165.66067564274405</v>
      </c>
      <c r="D1433" s="603">
        <f>-'Sollecitazioni nel paramento'!$G$47*'Sollecitazioni nel paramento'!$G$41*IF(DATI!$G$211="dx",DATI!$E$61,DATI!$E$64*DATI!$E$63)*1000*C1433^2*sezione!$AD$5*(1-sezione!$AD$6)</f>
        <v>-610579869.30345023</v>
      </c>
      <c r="E1433" s="545">
        <f>-'Foglio deposito bis'!$F$68*(C1433-sezione!$AL$32)*IF(ABS(K1433)&lt;'Sollecitazioni nel paramento'!$G$58,ABS(K1433)*'Sollecitazioni nel paramento'!$G$54,'Sollecitazioni nel paramento'!$G$53)</f>
        <v>0</v>
      </c>
      <c r="F1433" s="545">
        <f>-'Foglio deposito bis'!$F$69*(C1433-sezione!$AM$32)*IF(ABS(L1433)&lt;'Sollecitazioni nel paramento'!$G$58,ABS(L1433)*'Sollecitazioni nel paramento'!$G$54,'Sollecitazioni nel paramento'!$G$53)</f>
        <v>-16236332.7247457</v>
      </c>
      <c r="G1433" s="545">
        <f>-'Foglio deposito bis'!$F$70*(C1433-sezione!$AN$32)*IF(ABS(M1433)&lt;'Sollecitazioni nel paramento'!$G$58,ABS(M1433)*'Sollecitazioni nel paramento'!$G$54,'Sollecitazioni nel paramento'!$G$53)</f>
        <v>0</v>
      </c>
      <c r="H1433" s="545">
        <f>-'Foglio deposito bis'!$F$71*(C1433-sezione!$AO$32)*IF(ABS(N1433)&lt;'Sollecitazioni nel paramento'!$G$58,ABS(N1433)*'Sollecitazioni nel paramento'!$G$54,'Sollecitazioni nel paramento'!$G$53)</f>
        <v>-112161.08850619364</v>
      </c>
      <c r="I1433" s="472">
        <f>-'Foglio deposito bis'!$F$72*(C1433-sezione!$AP$32)*IF(ABS(O1433)&lt;'Sollecitazioni nel paramento'!$G$58,ABS(O1433)*'Sollecitazioni nel paramento'!$G$54,'Sollecitazioni nel paramento'!$G$53)</f>
        <v>168821110.78060699</v>
      </c>
      <c r="J1433" s="472">
        <f t="shared" si="98"/>
        <v>-458107252.33609521</v>
      </c>
      <c r="K1433" s="550">
        <f>'Sollecitazioni nel paramento'!$G$60*(sezione!$AL$32-C1433)/C1433</f>
        <v>-2.6548990159745733E-3</v>
      </c>
      <c r="L1433" s="550">
        <f>'Sollecitazioni nel paramento'!$G$60*(sezione!$AM$32-C1433)/C1433</f>
        <v>-2.2323485239618603E-3</v>
      </c>
      <c r="M1433" s="551">
        <f>'Sollecitazioni nel paramento'!$G$60*(sezione!$AN$32-C1433)/C1433</f>
        <v>-1.8097980319491472E-3</v>
      </c>
      <c r="N1433" s="551">
        <f>'Sollecitazioni nel paramento'!$G$60*(sezione!$AO$32-C1433)/C1433</f>
        <v>-1.1959606389829407E-4</v>
      </c>
      <c r="O1433" s="551">
        <f>'Sollecitazioni nel paramento'!$G$60*(sezione!$AP$32-C1433)/C1433</f>
        <v>7.2535537244947735E-3</v>
      </c>
      <c r="P1433" s="545">
        <f>-'Sollecitazioni nel paramento'!$G$47*'Sollecitazioni nel paramento'!$G$41*IF(DATI!$G$211="dx",DATI!$E$61,DATI!$E$64*DATI!$E$63)*1000*C1433*sezione!$AD$5</f>
        <v>-6311174.759961619</v>
      </c>
      <c r="Q1433" s="545">
        <f>'Foglio deposito bis'!$F$68*IF(ABS(K1433)&lt;'Sollecitazioni nel paramento'!$G$58,ABS(K1433)*'Sollecitazioni nel paramento'!$G$54,'Sollecitazioni nel paramento'!$G$53)*IF(K1433&lt;0,-1,1)</f>
        <v>0</v>
      </c>
      <c r="R1433" s="545">
        <f>'Foglio deposito bis'!$F$69*IF(ABS(L1433)&lt;'Sollecitazioni nel paramento'!$G$58,ABS(L1433)*'Sollecitazioni nel paramento'!$G$54,'Sollecitazioni nel paramento'!$G$53)*IF(L1433&lt;0,-1,1)</f>
        <v>-153664.85805602249</v>
      </c>
      <c r="S1433" s="545">
        <f>'Foglio deposito bis'!$F$70*IF(ABS(M1433)&lt;'Sollecitazioni nel paramento'!$G$58,ABS(M1433)*'Sollecitazioni nel paramento'!$G$54,'Sollecitazioni nel paramento'!$G$53)*IF(M1433&lt;0,-1,1)</f>
        <v>0</v>
      </c>
      <c r="T1433" s="545">
        <f>'Foglio deposito bis'!$F$71*IF(ABS(N1433)&lt;'Sollecitazioni nel paramento'!$G$58,ABS(N1433)*'Sollecitazioni nel paramento'!$G$54,'Sollecitazioni nel paramento'!$G$53)*IF(N1433&lt;0,-1,1)</f>
        <v>-19814.081495724557</v>
      </c>
      <c r="U1433" s="545">
        <f>'Foglio deposito bis'!$F$72*IF(ABS(O1433)&lt;'Sollecitazioni nel paramento'!$G$58,ABS(O1433)*'Sollecitazioni nel paramento'!$G$54,'Sollecitazioni nel paramento'!$G$53)*IF(O1433&lt;0,-1,1)</f>
        <v>491727.54577927204</v>
      </c>
      <c r="V1433" s="472">
        <f t="shared" si="100"/>
        <v>-5992926.1537340945</v>
      </c>
      <c r="W1433" s="551"/>
      <c r="X1433" s="551"/>
    </row>
    <row r="1434" spans="1:24" x14ac:dyDescent="0.25">
      <c r="A1434" s="545">
        <f t="shared" si="99"/>
        <v>6054506.8270524032</v>
      </c>
      <c r="B1434" s="3">
        <f t="shared" si="101"/>
        <v>22.499999999999943</v>
      </c>
      <c r="C1434" s="545">
        <f>'Foglio deposito bis'!$E$158/sezione!$B$247*B1434</f>
        <v>167.14642161263413</v>
      </c>
      <c r="D1434" s="603">
        <f>-'Sollecitazioni nel paramento'!$G$47*'Sollecitazioni nel paramento'!$G$41*IF(DATI!$G$211="dx",DATI!$E$61,DATI!$E$64*DATI!$E$63)*1000*C1434^2*sezione!$AD$5*(1-sezione!$AD$6)</f>
        <v>-621581087.16216218</v>
      </c>
      <c r="E1434" s="545">
        <f>-'Foglio deposito bis'!$F$68*(C1434-sezione!$AL$32)*IF(ABS(K1434)&lt;'Sollecitazioni nel paramento'!$G$58,ABS(K1434)*'Sollecitazioni nel paramento'!$G$54,'Sollecitazioni nel paramento'!$G$53)</f>
        <v>0</v>
      </c>
      <c r="F1434" s="545">
        <f>-'Foglio deposito bis'!$F$69*(C1434-sezione!$AM$32)*IF(ABS(L1434)&lt;'Sollecitazioni nel paramento'!$G$58,ABS(L1434)*'Sollecitazioni nel paramento'!$G$54,'Sollecitazioni nel paramento'!$G$53)</f>
        <v>-16464639.668316163</v>
      </c>
      <c r="G1434" s="545">
        <f>-'Foglio deposito bis'!$F$70*(C1434-sezione!$AN$32)*IF(ABS(M1434)&lt;'Sollecitazioni nel paramento'!$G$58,ABS(M1434)*'Sollecitazioni nel paramento'!$G$54,'Sollecitazioni nel paramento'!$G$53)</f>
        <v>0</v>
      </c>
      <c r="H1434" s="545">
        <f>-'Foglio deposito bis'!$F$71*(C1434-sezione!$AO$32)*IF(ABS(N1434)&lt;'Sollecitazioni nel paramento'!$G$58,ABS(N1434)*'Sollecitazioni nel paramento'!$G$54,'Sollecitazioni nel paramento'!$G$53)</f>
        <v>-177176.1613643381</v>
      </c>
      <c r="I1434" s="472">
        <f>-'Foglio deposito bis'!$F$72*(C1434-sezione!$AP$32)*IF(ABS(O1434)&lt;'Sollecitazioni nel paramento'!$G$58,ABS(O1434)*'Sollecitazioni nel paramento'!$G$54,'Sollecitazioni nel paramento'!$G$53)</f>
        <v>168090528.56118152</v>
      </c>
      <c r="J1434" s="472">
        <f t="shared" si="98"/>
        <v>-470132374.43066108</v>
      </c>
      <c r="K1434" s="550">
        <f>'Sollecitazioni nel paramento'!$G$60*(sezione!$AL$32-C1434)/C1434</f>
        <v>-2.6624110247214661E-3</v>
      </c>
      <c r="L1434" s="550">
        <f>'Sollecitazioni nel paramento'!$G$60*(sezione!$AM$32-C1434)/C1434</f>
        <v>-2.2436165370821994E-3</v>
      </c>
      <c r="M1434" s="551">
        <f>'Sollecitazioni nel paramento'!$G$60*(sezione!$AN$32-C1434)/C1434</f>
        <v>-1.8248220494429324E-3</v>
      </c>
      <c r="N1434" s="551">
        <f>'Sollecitazioni nel paramento'!$G$60*(sezione!$AO$32-C1434)/C1434</f>
        <v>-1.4964409888586469E-4</v>
      </c>
      <c r="O1434" s="551">
        <f>'Sollecitazioni nel paramento'!$G$60*(sezione!$AP$32-C1434)/C1434</f>
        <v>7.1579665802770434E-3</v>
      </c>
      <c r="P1434" s="545">
        <f>-'Sollecitazioni nel paramento'!$G$47*'Sollecitazioni nel paramento'!$G$41*IF(DATI!$G$211="dx",DATI!$E$61,DATI!$E$64*DATI!$E$63)*1000*C1434*sezione!$AD$5</f>
        <v>-6367777.2241765214</v>
      </c>
      <c r="Q1434" s="545">
        <f>'Foglio deposito bis'!$F$68*IF(ABS(K1434)&lt;'Sollecitazioni nel paramento'!$G$58,ABS(K1434)*'Sollecitazioni nel paramento'!$G$54,'Sollecitazioni nel paramento'!$G$53)*IF(K1434&lt;0,-1,1)</f>
        <v>0</v>
      </c>
      <c r="R1434" s="545">
        <f>'Foglio deposito bis'!$F$69*IF(ABS(L1434)&lt;'Sollecitazioni nel paramento'!$G$58,ABS(L1434)*'Sollecitazioni nel paramento'!$G$54,'Sollecitazioni nel paramento'!$G$53)*IF(L1434&lt;0,-1,1)</f>
        <v>-153664.85805602249</v>
      </c>
      <c r="S1434" s="545">
        <f>'Foglio deposito bis'!$F$70*IF(ABS(M1434)&lt;'Sollecitazioni nel paramento'!$G$58,ABS(M1434)*'Sollecitazioni nel paramento'!$G$54,'Sollecitazioni nel paramento'!$G$53)*IF(M1434&lt;0,-1,1)</f>
        <v>0</v>
      </c>
      <c r="T1434" s="545">
        <f>'Foglio deposito bis'!$F$71*IF(ABS(N1434)&lt;'Sollecitazioni nel paramento'!$G$58,ABS(N1434)*'Sollecitazioni nel paramento'!$G$54,'Sollecitazioni nel paramento'!$G$53)*IF(N1434&lt;0,-1,1)</f>
        <v>-24792.290599131338</v>
      </c>
      <c r="U1434" s="545">
        <f>'Foglio deposito bis'!$F$72*IF(ABS(O1434)&lt;'Sollecitazioni nel paramento'!$G$58,ABS(O1434)*'Sollecitazioni nel paramento'!$G$54,'Sollecitazioni nel paramento'!$G$53)*IF(O1434&lt;0,-1,1)</f>
        <v>491727.54577927204</v>
      </c>
      <c r="V1434" s="472">
        <f t="shared" si="100"/>
        <v>-6054506.8270524032</v>
      </c>
      <c r="W1434" s="551"/>
      <c r="X1434" s="551"/>
    </row>
    <row r="1435" spans="1:24" x14ac:dyDescent="0.25">
      <c r="A1435" s="545">
        <f t="shared" si="99"/>
        <v>6115999.7786243958</v>
      </c>
      <c r="B1435" s="3">
        <f t="shared" si="101"/>
        <v>22.699999999999942</v>
      </c>
      <c r="C1435" s="545">
        <f>'Foglio deposito bis'!$E$158/sezione!$B$247*B1435</f>
        <v>168.6321675825242</v>
      </c>
      <c r="D1435" s="603">
        <f>-'Sollecitazioni nel paramento'!$G$47*'Sollecitazioni nel paramento'!$G$41*IF(DATI!$G$211="dx",DATI!$E$61,DATI!$E$64*DATI!$E$63)*1000*C1435^2*sezione!$AD$5*(1-sezione!$AD$6)</f>
        <v>-632680530.18032694</v>
      </c>
      <c r="E1435" s="545">
        <f>-'Foglio deposito bis'!$F$68*(C1435-sezione!$AL$32)*IF(ABS(K1435)&lt;'Sollecitazioni nel paramento'!$G$58,ABS(K1435)*'Sollecitazioni nel paramento'!$G$54,'Sollecitazioni nel paramento'!$G$53)</f>
        <v>0</v>
      </c>
      <c r="F1435" s="545">
        <f>-'Foglio deposito bis'!$F$69*(C1435-sezione!$AM$32)*IF(ABS(L1435)&lt;'Sollecitazioni nel paramento'!$G$58,ABS(L1435)*'Sollecitazioni nel paramento'!$G$54,'Sollecitazioni nel paramento'!$G$53)</f>
        <v>-16692946.61188663</v>
      </c>
      <c r="G1435" s="545">
        <f>-'Foglio deposito bis'!$F$70*(C1435-sezione!$AN$32)*IF(ABS(M1435)&lt;'Sollecitazioni nel paramento'!$G$58,ABS(M1435)*'Sollecitazioni nel paramento'!$G$54,'Sollecitazioni nel paramento'!$G$53)</f>
        <v>0</v>
      </c>
      <c r="H1435" s="545">
        <f>-'Foglio deposito bis'!$F$71*(C1435-sezione!$AO$32)*IF(ABS(N1435)&lt;'Sollecitazioni nel paramento'!$G$58,ABS(N1435)*'Sollecitazioni nel paramento'!$G$54,'Sollecitazioni nel paramento'!$G$53)</f>
        <v>-256226.7136329686</v>
      </c>
      <c r="I1435" s="472">
        <f>-'Foglio deposito bis'!$F$72*(C1435-sezione!$AP$32)*IF(ABS(O1435)&lt;'Sollecitazioni nel paramento'!$G$58,ABS(O1435)*'Sollecitazioni nel paramento'!$G$54,'Sollecitazioni nel paramento'!$G$53)</f>
        <v>167359946.34175605</v>
      </c>
      <c r="J1435" s="472">
        <f t="shared" si="98"/>
        <v>-482269757.16409045</v>
      </c>
      <c r="K1435" s="550">
        <f>'Sollecitazioni nel paramento'!$G$60*(sezione!$AL$32-C1435)/C1435</f>
        <v>-2.6697906632701758E-3</v>
      </c>
      <c r="L1435" s="550">
        <f>'Sollecitazioni nel paramento'!$G$60*(sezione!$AM$32-C1435)/C1435</f>
        <v>-2.2546859949052634E-3</v>
      </c>
      <c r="M1435" s="551">
        <f>'Sollecitazioni nel paramento'!$G$60*(sezione!$AN$32-C1435)/C1435</f>
        <v>-1.8395813265403515E-3</v>
      </c>
      <c r="N1435" s="551">
        <f>'Sollecitazioni nel paramento'!$G$60*(sezione!$AO$32-C1435)/C1435</f>
        <v>-1.7916265308070276E-4</v>
      </c>
      <c r="O1435" s="551">
        <f>'Sollecitazioni nel paramento'!$G$60*(sezione!$AP$32-C1435)/C1435</f>
        <v>7.0640637910235008E-3</v>
      </c>
      <c r="P1435" s="545">
        <f>-'Sollecitazioni nel paramento'!$G$47*'Sollecitazioni nel paramento'!$G$41*IF(DATI!$G$211="dx",DATI!$E$61,DATI!$E$64*DATI!$E$63)*1000*C1435*sezione!$AD$5</f>
        <v>-6424379.6883914229</v>
      </c>
      <c r="Q1435" s="545">
        <f>'Foglio deposito bis'!$F$68*IF(ABS(K1435)&lt;'Sollecitazioni nel paramento'!$G$58,ABS(K1435)*'Sollecitazioni nel paramento'!$G$54,'Sollecitazioni nel paramento'!$G$53)*IF(K1435&lt;0,-1,1)</f>
        <v>0</v>
      </c>
      <c r="R1435" s="545">
        <f>'Foglio deposito bis'!$F$69*IF(ABS(L1435)&lt;'Sollecitazioni nel paramento'!$G$58,ABS(L1435)*'Sollecitazioni nel paramento'!$G$54,'Sollecitazioni nel paramento'!$G$53)*IF(L1435&lt;0,-1,1)</f>
        <v>-153664.85805602249</v>
      </c>
      <c r="S1435" s="545">
        <f>'Foglio deposito bis'!$F$70*IF(ABS(M1435)&lt;'Sollecitazioni nel paramento'!$G$58,ABS(M1435)*'Sollecitazioni nel paramento'!$G$54,'Sollecitazioni nel paramento'!$G$53)*IF(M1435&lt;0,-1,1)</f>
        <v>0</v>
      </c>
      <c r="T1435" s="545">
        <f>'Foglio deposito bis'!$F$71*IF(ABS(N1435)&lt;'Sollecitazioni nel paramento'!$G$58,ABS(N1435)*'Sollecitazioni nel paramento'!$G$54,'Sollecitazioni nel paramento'!$G$53)*IF(N1435&lt;0,-1,1)</f>
        <v>-29682.777956222577</v>
      </c>
      <c r="U1435" s="545">
        <f>'Foglio deposito bis'!$F$72*IF(ABS(O1435)&lt;'Sollecitazioni nel paramento'!$G$58,ABS(O1435)*'Sollecitazioni nel paramento'!$G$54,'Sollecitazioni nel paramento'!$G$53)*IF(O1435&lt;0,-1,1)</f>
        <v>491727.54577927204</v>
      </c>
      <c r="V1435" s="472">
        <f t="shared" si="100"/>
        <v>-6115999.7786243958</v>
      </c>
      <c r="W1435" s="551"/>
      <c r="X1435" s="551"/>
    </row>
    <row r="1436" spans="1:24" x14ac:dyDescent="0.25">
      <c r="A1436" s="545">
        <f t="shared" si="99"/>
        <v>6177407.3068364402</v>
      </c>
      <c r="B1436" s="3">
        <f t="shared" si="101"/>
        <v>22.899999999999942</v>
      </c>
      <c r="C1436" s="545">
        <f>'Foglio deposito bis'!$E$158/sezione!$B$247*B1436</f>
        <v>170.11791355241428</v>
      </c>
      <c r="D1436" s="603">
        <f>-'Sollecitazioni nel paramento'!$G$47*'Sollecitazioni nel paramento'!$G$41*IF(DATI!$G$211="dx",DATI!$E$61,DATI!$E$64*DATI!$E$63)*1000*C1436^2*sezione!$AD$5*(1-sezione!$AD$6)</f>
        <v>-643878198.35794449</v>
      </c>
      <c r="E1436" s="545">
        <f>-'Foglio deposito bis'!$F$68*(C1436-sezione!$AL$32)*IF(ABS(K1436)&lt;'Sollecitazioni nel paramento'!$G$58,ABS(K1436)*'Sollecitazioni nel paramento'!$G$54,'Sollecitazioni nel paramento'!$G$53)</f>
        <v>0</v>
      </c>
      <c r="F1436" s="545">
        <f>-'Foglio deposito bis'!$F$69*(C1436-sezione!$AM$32)*IF(ABS(L1436)&lt;'Sollecitazioni nel paramento'!$G$58,ABS(L1436)*'Sollecitazioni nel paramento'!$G$54,'Sollecitazioni nel paramento'!$G$53)</f>
        <v>-16921253.555457097</v>
      </c>
      <c r="G1436" s="545">
        <f>-'Foglio deposito bis'!$F$70*(C1436-sezione!$AN$32)*IF(ABS(M1436)&lt;'Sollecitazioni nel paramento'!$G$58,ABS(M1436)*'Sollecitazioni nel paramento'!$G$54,'Sollecitazioni nel paramento'!$G$53)</f>
        <v>0</v>
      </c>
      <c r="H1436" s="545">
        <f>-'Foglio deposito bis'!$F$71*(C1436-sezione!$AO$32)*IF(ABS(N1436)&lt;'Sollecitazioni nel paramento'!$G$58,ABS(N1436)*'Sollecitazioni nel paramento'!$G$54,'Sollecitazioni nel paramento'!$G$53)</f>
        <v>-348945.00349346979</v>
      </c>
      <c r="I1436" s="472">
        <f>-'Foglio deposito bis'!$F$72*(C1436-sezione!$AP$32)*IF(ABS(O1436)&lt;'Sollecitazioni nel paramento'!$G$58,ABS(O1436)*'Sollecitazioni nel paramento'!$G$54,'Sollecitazioni nel paramento'!$G$53)</f>
        <v>166629364.12233055</v>
      </c>
      <c r="J1436" s="472">
        <f t="shared" si="98"/>
        <v>-494519032.79456449</v>
      </c>
      <c r="K1436" s="550">
        <f>'Sollecitazioni nel paramento'!$G$60*(sezione!$AL$32-C1436)/C1436</f>
        <v>-2.6770413998355017E-3</v>
      </c>
      <c r="L1436" s="550">
        <f>'Sollecitazioni nel paramento'!$G$60*(sezione!$AM$32-C1436)/C1436</f>
        <v>-2.2655620997532526E-3</v>
      </c>
      <c r="M1436" s="551">
        <f>'Sollecitazioni nel paramento'!$G$60*(sezione!$AN$32-C1436)/C1436</f>
        <v>-1.8540827996710032E-3</v>
      </c>
      <c r="N1436" s="551">
        <f>'Sollecitazioni nel paramento'!$G$60*(sezione!$AO$32-C1436)/C1436</f>
        <v>-2.0816559934200656E-4</v>
      </c>
      <c r="O1436" s="551">
        <f>'Sollecitazioni nel paramento'!$G$60*(sezione!$AP$32-C1436)/C1436</f>
        <v>6.9718012251630337E-3</v>
      </c>
      <c r="P1436" s="545">
        <f>-'Sollecitazioni nel paramento'!$G$47*'Sollecitazioni nel paramento'!$G$41*IF(DATI!$G$211="dx",DATI!$E$61,DATI!$E$64*DATI!$E$63)*1000*C1436*sezione!$AD$5</f>
        <v>-6480982.1526063252</v>
      </c>
      <c r="Q1436" s="545">
        <f>'Foglio deposito bis'!$F$68*IF(ABS(K1436)&lt;'Sollecitazioni nel paramento'!$G$58,ABS(K1436)*'Sollecitazioni nel paramento'!$G$54,'Sollecitazioni nel paramento'!$G$53)*IF(K1436&lt;0,-1,1)</f>
        <v>0</v>
      </c>
      <c r="R1436" s="545">
        <f>'Foglio deposito bis'!$F$69*IF(ABS(L1436)&lt;'Sollecitazioni nel paramento'!$G$58,ABS(L1436)*'Sollecitazioni nel paramento'!$G$54,'Sollecitazioni nel paramento'!$G$53)*IF(L1436&lt;0,-1,1)</f>
        <v>-153664.85805602249</v>
      </c>
      <c r="S1436" s="545">
        <f>'Foglio deposito bis'!$F$70*IF(ABS(M1436)&lt;'Sollecitazioni nel paramento'!$G$58,ABS(M1436)*'Sollecitazioni nel paramento'!$G$54,'Sollecitazioni nel paramento'!$G$53)*IF(M1436&lt;0,-1,1)</f>
        <v>0</v>
      </c>
      <c r="T1436" s="545">
        <f>'Foglio deposito bis'!$F$71*IF(ABS(N1436)&lt;'Sollecitazioni nel paramento'!$G$58,ABS(N1436)*'Sollecitazioni nel paramento'!$G$54,'Sollecitazioni nel paramento'!$G$53)*IF(N1436&lt;0,-1,1)</f>
        <v>-34487.841953364637</v>
      </c>
      <c r="U1436" s="545">
        <f>'Foglio deposito bis'!$F$72*IF(ABS(O1436)&lt;'Sollecitazioni nel paramento'!$G$58,ABS(O1436)*'Sollecitazioni nel paramento'!$G$54,'Sollecitazioni nel paramento'!$G$53)*IF(O1436&lt;0,-1,1)</f>
        <v>491727.54577927204</v>
      </c>
      <c r="V1436" s="472">
        <f t="shared" si="100"/>
        <v>-6177407.3068364402</v>
      </c>
      <c r="W1436" s="551"/>
      <c r="X1436" s="551"/>
    </row>
    <row r="1437" spans="1:24" x14ac:dyDescent="0.25">
      <c r="A1437" s="545">
        <f t="shared" si="99"/>
        <v>6483238.6556798089</v>
      </c>
      <c r="B1437" s="3">
        <f t="shared" ref="B1437:B1487" si="102">B1436+1</f>
        <v>23.899999999999942</v>
      </c>
      <c r="C1437" s="545">
        <f>'Foglio deposito bis'!$E$158/sezione!$B$247*B1437</f>
        <v>177.54664340186471</v>
      </c>
      <c r="D1437" s="603">
        <f>-'Sollecitazioni nel paramento'!$G$47*'Sollecitazioni nel paramento'!$G$41*IF(DATI!$G$211="dx",DATI!$E$61,DATI!$E$64*DATI!$E$63)*1000*C1437^2*sezione!$AD$5*(1-sezione!$AD$6)</f>
        <v>-701339916.63782465</v>
      </c>
      <c r="E1437" s="545">
        <f>-'Foglio deposito bis'!$F$68*(C1437-sezione!$AL$32)*IF(ABS(K1437)&lt;'Sollecitazioni nel paramento'!$G$58,ABS(K1437)*'Sollecitazioni nel paramento'!$G$54,'Sollecitazioni nel paramento'!$G$53)</f>
        <v>0</v>
      </c>
      <c r="F1437" s="545">
        <f>-'Foglio deposito bis'!$F$69*(C1437-sezione!$AM$32)*IF(ABS(L1437)&lt;'Sollecitazioni nel paramento'!$G$58,ABS(L1437)*'Sollecitazioni nel paramento'!$G$54,'Sollecitazioni nel paramento'!$G$53)</f>
        <v>-18062788.273309432</v>
      </c>
      <c r="G1437" s="545">
        <f>-'Foglio deposito bis'!$F$70*(C1437-sezione!$AN$32)*IF(ABS(M1437)&lt;'Sollecitazioni nel paramento'!$G$58,ABS(M1437)*'Sollecitazioni nel paramento'!$G$54,'Sollecitazioni nel paramento'!$G$53)</f>
        <v>0</v>
      </c>
      <c r="H1437" s="545">
        <f>-'Foglio deposito bis'!$F$71*(C1437-sezione!$AO$32)*IF(ABS(N1437)&lt;'Sollecitazioni nel paramento'!$G$58,ABS(N1437)*'Sollecitazioni nel paramento'!$G$54,'Sollecitazioni nel paramento'!$G$53)</f>
        <v>-1005543.2074929004</v>
      </c>
      <c r="I1437" s="472">
        <f>-'Foglio deposito bis'!$F$72*(C1437-sezione!$AP$32)*IF(ABS(O1437)&lt;'Sollecitazioni nel paramento'!$G$58,ABS(O1437)*'Sollecitazioni nel paramento'!$G$54,'Sollecitazioni nel paramento'!$G$53)</f>
        <v>162976453.02520308</v>
      </c>
      <c r="J1437" s="472">
        <f t="shared" ref="J1437:J1487" si="103">D1437+E1437+F1437+G1437+H1437+I1437</f>
        <v>-557431795.09342396</v>
      </c>
      <c r="K1437" s="550">
        <f>'Sollecitazioni nel paramento'!$G$60*(sezione!$AL$32-C1437)/C1437</f>
        <v>-2.7114748140683259E-3</v>
      </c>
      <c r="L1437" s="550">
        <f>'Sollecitazioni nel paramento'!$G$60*(sezione!$AM$32-C1437)/C1437</f>
        <v>-2.3172122211024891E-3</v>
      </c>
      <c r="M1437" s="551">
        <f>'Sollecitazioni nel paramento'!$G$60*(sezione!$AN$32-C1437)/C1437</f>
        <v>-1.9229496281366518E-3</v>
      </c>
      <c r="N1437" s="551">
        <f>'Sollecitazioni nel paramento'!$G$60*(sezione!$AO$32-C1437)/C1437</f>
        <v>-3.4589925627330389E-4</v>
      </c>
      <c r="O1437" s="551">
        <f>'Sollecitazioni nel paramento'!$G$60*(sezione!$AP$32-C1437)/C1437</f>
        <v>6.5336505462859186E-3</v>
      </c>
      <c r="P1437" s="545">
        <f>-'Sollecitazioni nel paramento'!$G$47*'Sollecitazioni nel paramento'!$G$41*IF(DATI!$G$211="dx",DATI!$E$61,DATI!$E$64*DATI!$E$63)*1000*C1437*sezione!$AD$5</f>
        <v>-6763994.4736808389</v>
      </c>
      <c r="Q1437" s="545">
        <f>'Foglio deposito bis'!$F$68*IF(ABS(K1437)&lt;'Sollecitazioni nel paramento'!$G$58,ABS(K1437)*'Sollecitazioni nel paramento'!$G$54,'Sollecitazioni nel paramento'!$G$53)*IF(K1437&lt;0,-1,1)</f>
        <v>0</v>
      </c>
      <c r="R1437" s="545">
        <f>'Foglio deposito bis'!$F$69*IF(ABS(L1437)&lt;'Sollecitazioni nel paramento'!$G$58,ABS(L1437)*'Sollecitazioni nel paramento'!$G$54,'Sollecitazioni nel paramento'!$G$53)*IF(L1437&lt;0,-1,1)</f>
        <v>-153664.85805602249</v>
      </c>
      <c r="S1437" s="545">
        <f>'Foglio deposito bis'!$F$70*IF(ABS(M1437)&lt;'Sollecitazioni nel paramento'!$G$58,ABS(M1437)*'Sollecitazioni nel paramento'!$G$54,'Sollecitazioni nel paramento'!$G$53)*IF(M1437&lt;0,-1,1)</f>
        <v>0</v>
      </c>
      <c r="T1437" s="545">
        <f>'Foglio deposito bis'!$F$71*IF(ABS(N1437)&lt;'Sollecitazioni nel paramento'!$G$58,ABS(N1437)*'Sollecitazioni nel paramento'!$G$54,'Sollecitazioni nel paramento'!$G$53)*IF(N1437&lt;0,-1,1)</f>
        <v>-57306.869722219322</v>
      </c>
      <c r="U1437" s="545">
        <f>'Foglio deposito bis'!$F$72*IF(ABS(O1437)&lt;'Sollecitazioni nel paramento'!$G$58,ABS(O1437)*'Sollecitazioni nel paramento'!$G$54,'Sollecitazioni nel paramento'!$G$53)*IF(O1437&lt;0,-1,1)</f>
        <v>491727.54577927204</v>
      </c>
      <c r="V1437" s="472">
        <f t="shared" si="100"/>
        <v>-6483238.6556798089</v>
      </c>
      <c r="W1437" s="551"/>
      <c r="X1437" s="551"/>
    </row>
    <row r="1438" spans="1:24" x14ac:dyDescent="0.25">
      <c r="A1438" s="545">
        <f t="shared" ref="A1438:A1487" si="104">ABS(V1438)</f>
        <v>6787237.1508871233</v>
      </c>
      <c r="B1438" s="3">
        <f t="shared" si="102"/>
        <v>24.899999999999942</v>
      </c>
      <c r="C1438" s="545">
        <f>'Foglio deposito bis'!$E$158/sezione!$B$247*B1438</f>
        <v>184.97537325131515</v>
      </c>
      <c r="D1438" s="603">
        <f>-'Sollecitazioni nel paramento'!$G$47*'Sollecitazioni nel paramento'!$G$41*IF(DATI!$G$211="dx",DATI!$E$61,DATI!$E$64*DATI!$E$63)*1000*C1438^2*sezione!$AD$5*(1-sezione!$AD$6)</f>
        <v>-761257263.90402436</v>
      </c>
      <c r="E1438" s="545">
        <f>-'Foglio deposito bis'!$F$68*(C1438-sezione!$AL$32)*IF(ABS(K1438)&lt;'Sollecitazioni nel paramento'!$G$58,ABS(K1438)*'Sollecitazioni nel paramento'!$G$54,'Sollecitazioni nel paramento'!$G$53)</f>
        <v>0</v>
      </c>
      <c r="F1438" s="545">
        <f>-'Foglio deposito bis'!$F$69*(C1438-sezione!$AM$32)*IF(ABS(L1438)&lt;'Sollecitazioni nel paramento'!$G$58,ABS(L1438)*'Sollecitazioni nel paramento'!$G$54,'Sollecitazioni nel paramento'!$G$53)</f>
        <v>-19204322.991161775</v>
      </c>
      <c r="G1438" s="545">
        <f>-'Foglio deposito bis'!$F$70*(C1438-sezione!$AN$32)*IF(ABS(M1438)&lt;'Sollecitazioni nel paramento'!$G$58,ABS(M1438)*'Sollecitazioni nel paramento'!$G$54,'Sollecitazioni nel paramento'!$G$53)</f>
        <v>0</v>
      </c>
      <c r="H1438" s="545">
        <f>-'Foglio deposito bis'!$F$71*(C1438-sezione!$AO$32)*IF(ABS(N1438)&lt;'Sollecitazioni nel paramento'!$G$58,ABS(N1438)*'Sollecitazioni nel paramento'!$G$54,'Sollecitazioni nel paramento'!$G$53)</f>
        <v>-1955397.9932607457</v>
      </c>
      <c r="I1438" s="472">
        <f>-'Foglio deposito bis'!$F$72*(C1438-sezione!$AP$32)*IF(ABS(O1438)&lt;'Sollecitazioni nel paramento'!$G$58,ABS(O1438)*'Sollecitazioni nel paramento'!$G$54,'Sollecitazioni nel paramento'!$G$53)</f>
        <v>159323541.92807558</v>
      </c>
      <c r="J1438" s="472">
        <f t="shared" si="103"/>
        <v>-623093442.96037138</v>
      </c>
      <c r="K1438" s="550">
        <f>'Sollecitazioni nel paramento'!$G$60*(sezione!$AL$32-C1438)/C1438</f>
        <v>-2.7431424922181925E-3</v>
      </c>
      <c r="L1438" s="550">
        <f>'Sollecitazioni nel paramento'!$G$60*(sezione!$AM$32-C1438)/C1438</f>
        <v>-2.3647137383272887E-3</v>
      </c>
      <c r="M1438" s="551">
        <f>'Sollecitazioni nel paramento'!$G$60*(sezione!$AN$32-C1438)/C1438</f>
        <v>-1.9862849844363849E-3</v>
      </c>
      <c r="N1438" s="551">
        <f>'Sollecitazioni nel paramento'!$G$60*(sezione!$AO$32-C1438)/C1438</f>
        <v>-4.7256996887276999E-4</v>
      </c>
      <c r="O1438" s="551">
        <f>'Sollecitazioni nel paramento'!$G$60*(sezione!$AP$32-C1438)/C1438</f>
        <v>6.1306926930214216E-3</v>
      </c>
      <c r="P1438" s="545">
        <f>-'Sollecitazioni nel paramento'!$G$47*'Sollecitazioni nel paramento'!$G$41*IF(DATI!$G$211="dx",DATI!$E$61,DATI!$E$64*DATI!$E$63)*1000*C1438*sezione!$AD$5</f>
        <v>-7047006.7947553508</v>
      </c>
      <c r="Q1438" s="545">
        <f>'Foglio deposito bis'!$F$68*IF(ABS(K1438)&lt;'Sollecitazioni nel paramento'!$G$58,ABS(K1438)*'Sollecitazioni nel paramento'!$G$54,'Sollecitazioni nel paramento'!$G$53)*IF(K1438&lt;0,-1,1)</f>
        <v>0</v>
      </c>
      <c r="R1438" s="545">
        <f>'Foglio deposito bis'!$F$69*IF(ABS(L1438)&lt;'Sollecitazioni nel paramento'!$G$58,ABS(L1438)*'Sollecitazioni nel paramento'!$G$54,'Sollecitazioni nel paramento'!$G$53)*IF(L1438&lt;0,-1,1)</f>
        <v>-153664.85805602249</v>
      </c>
      <c r="S1438" s="545">
        <f>'Foglio deposito bis'!$F$70*IF(ABS(M1438)&lt;'Sollecitazioni nel paramento'!$G$58,ABS(M1438)*'Sollecitazioni nel paramento'!$G$54,'Sollecitazioni nel paramento'!$G$53)*IF(M1438&lt;0,-1,1)</f>
        <v>0</v>
      </c>
      <c r="T1438" s="545">
        <f>'Foglio deposito bis'!$F$71*IF(ABS(N1438)&lt;'Sollecitazioni nel paramento'!$G$58,ABS(N1438)*'Sollecitazioni nel paramento'!$G$54,'Sollecitazioni nel paramento'!$G$53)*IF(N1438&lt;0,-1,1)</f>
        <v>-78293.043855021417</v>
      </c>
      <c r="U1438" s="545">
        <f>'Foglio deposito bis'!$F$72*IF(ABS(O1438)&lt;'Sollecitazioni nel paramento'!$G$58,ABS(O1438)*'Sollecitazioni nel paramento'!$G$54,'Sollecitazioni nel paramento'!$G$53)*IF(O1438&lt;0,-1,1)</f>
        <v>491727.54577927204</v>
      </c>
      <c r="V1438" s="472">
        <f t="shared" ref="V1438:V1487" si="105">P1438+Q1438+R1438+S1438+T1438+U1438</f>
        <v>-6787237.1508871233</v>
      </c>
      <c r="W1438" s="551"/>
      <c r="X1438" s="551"/>
    </row>
    <row r="1439" spans="1:24" x14ac:dyDescent="0.25">
      <c r="A1439" s="545">
        <f t="shared" si="104"/>
        <v>7089615.0921073491</v>
      </c>
      <c r="B1439" s="3">
        <f t="shared" si="102"/>
        <v>25.899999999999942</v>
      </c>
      <c r="C1439" s="545">
        <f>'Foglio deposito bis'!$E$158/sezione!$B$247*B1439</f>
        <v>192.40410310076555</v>
      </c>
      <c r="D1439" s="603">
        <f>-'Sollecitazioni nel paramento'!$G$47*'Sollecitazioni nel paramento'!$G$41*IF(DATI!$G$211="dx",DATI!$E$61,DATI!$E$64*DATI!$E$63)*1000*C1439^2*sezione!$AD$5*(1-sezione!$AD$6)</f>
        <v>-823630240.15654349</v>
      </c>
      <c r="E1439" s="545">
        <f>-'Foglio deposito bis'!$F$68*(C1439-sezione!$AL$32)*IF(ABS(K1439)&lt;'Sollecitazioni nel paramento'!$G$58,ABS(K1439)*'Sollecitazioni nel paramento'!$G$54,'Sollecitazioni nel paramento'!$G$53)</f>
        <v>0</v>
      </c>
      <c r="F1439" s="545">
        <f>-'Foglio deposito bis'!$F$69*(C1439-sezione!$AM$32)*IF(ABS(L1439)&lt;'Sollecitazioni nel paramento'!$G$58,ABS(L1439)*'Sollecitazioni nel paramento'!$G$54,'Sollecitazioni nel paramento'!$G$53)</f>
        <v>-20345857.709014107</v>
      </c>
      <c r="G1439" s="545">
        <f>-'Foglio deposito bis'!$F$70*(C1439-sezione!$AN$32)*IF(ABS(M1439)&lt;'Sollecitazioni nel paramento'!$G$58,ABS(M1439)*'Sollecitazioni nel paramento'!$G$54,'Sollecitazioni nel paramento'!$G$53)</f>
        <v>0</v>
      </c>
      <c r="H1439" s="545">
        <f>-'Foglio deposito bis'!$F$71*(C1439-sezione!$AO$32)*IF(ABS(N1439)&lt;'Sollecitazioni nel paramento'!$G$58,ABS(N1439)*'Sollecitazioni nel paramento'!$G$54,'Sollecitazioni nel paramento'!$G$53)</f>
        <v>-3164541.416962821</v>
      </c>
      <c r="I1439" s="472">
        <f>-'Foglio deposito bis'!$F$72*(C1439-sezione!$AP$32)*IF(ABS(O1439)&lt;'Sollecitazioni nel paramento'!$G$58,ABS(O1439)*'Sollecitazioni nel paramento'!$G$54,'Sollecitazioni nel paramento'!$G$53)</f>
        <v>155670630.83094811</v>
      </c>
      <c r="J1439" s="472">
        <f t="shared" si="103"/>
        <v>-691470008.4515723</v>
      </c>
      <c r="K1439" s="550">
        <f>'Sollecitazioni nel paramento'!$G$60*(sezione!$AL$32-C1439)/C1439</f>
        <v>-2.772364789815946E-3</v>
      </c>
      <c r="L1439" s="550">
        <f>'Sollecitazioni nel paramento'!$G$60*(sezione!$AM$32-C1439)/C1439</f>
        <v>-2.4085471847239185E-3</v>
      </c>
      <c r="M1439" s="551">
        <f>'Sollecitazioni nel paramento'!$G$60*(sezione!$AN$32-C1439)/C1439</f>
        <v>-2.0447295796318914E-3</v>
      </c>
      <c r="N1439" s="551">
        <f>'Sollecitazioni nel paramento'!$G$60*(sezione!$AO$32-C1439)/C1439</f>
        <v>-5.8945915926378269E-4</v>
      </c>
      <c r="O1439" s="551">
        <f>'Sollecitazioni nel paramento'!$G$60*(sezione!$AP$32-C1439)/C1439</f>
        <v>5.7588512763024485E-3</v>
      </c>
      <c r="P1439" s="545">
        <f>-'Sollecitazioni nel paramento'!$G$47*'Sollecitazioni nel paramento'!$G$41*IF(DATI!$G$211="dx",DATI!$E$61,DATI!$E$64*DATI!$E$63)*1000*C1439*sezione!$AD$5</f>
        <v>-7330019.1158298636</v>
      </c>
      <c r="Q1439" s="545">
        <f>'Foglio deposito bis'!$F$68*IF(ABS(K1439)&lt;'Sollecitazioni nel paramento'!$G$58,ABS(K1439)*'Sollecitazioni nel paramento'!$G$54,'Sollecitazioni nel paramento'!$G$53)*IF(K1439&lt;0,-1,1)</f>
        <v>0</v>
      </c>
      <c r="R1439" s="545">
        <f>'Foglio deposito bis'!$F$69*IF(ABS(L1439)&lt;'Sollecitazioni nel paramento'!$G$58,ABS(L1439)*'Sollecitazioni nel paramento'!$G$54,'Sollecitazioni nel paramento'!$G$53)*IF(L1439&lt;0,-1,1)</f>
        <v>-153664.85805602249</v>
      </c>
      <c r="S1439" s="545">
        <f>'Foglio deposito bis'!$F$70*IF(ABS(M1439)&lt;'Sollecitazioni nel paramento'!$G$58,ABS(M1439)*'Sollecitazioni nel paramento'!$G$54,'Sollecitazioni nel paramento'!$G$53)*IF(M1439&lt;0,-1,1)</f>
        <v>0</v>
      </c>
      <c r="T1439" s="545">
        <f>'Foglio deposito bis'!$F$71*IF(ABS(N1439)&lt;'Sollecitazioni nel paramento'!$G$58,ABS(N1439)*'Sollecitazioni nel paramento'!$G$54,'Sollecitazioni nel paramento'!$G$53)*IF(N1439&lt;0,-1,1)</f>
        <v>-97658.664000734469</v>
      </c>
      <c r="U1439" s="545">
        <f>'Foglio deposito bis'!$F$72*IF(ABS(O1439)&lt;'Sollecitazioni nel paramento'!$G$58,ABS(O1439)*'Sollecitazioni nel paramento'!$G$54,'Sollecitazioni nel paramento'!$G$53)*IF(O1439&lt;0,-1,1)</f>
        <v>491727.54577927204</v>
      </c>
      <c r="V1439" s="472">
        <f t="shared" si="105"/>
        <v>-7089615.0921073491</v>
      </c>
      <c r="W1439" s="551"/>
      <c r="X1439" s="551"/>
    </row>
    <row r="1440" spans="1:24" x14ac:dyDescent="0.25">
      <c r="A1440" s="545">
        <f t="shared" si="104"/>
        <v>7390553.2102684146</v>
      </c>
      <c r="B1440" s="3">
        <f t="shared" si="102"/>
        <v>26.899999999999942</v>
      </c>
      <c r="C1440" s="545">
        <f>'Foglio deposito bis'!$E$158/sezione!$B$247*B1440</f>
        <v>199.83283295021599</v>
      </c>
      <c r="D1440" s="603">
        <f>-'Sollecitazioni nel paramento'!$G$47*'Sollecitazioni nel paramento'!$G$41*IF(DATI!$G$211="dx",DATI!$E$61,DATI!$E$64*DATI!$E$63)*1000*C1440^2*sezione!$AD$5*(1-sezione!$AD$6)</f>
        <v>-888458845.39538264</v>
      </c>
      <c r="E1440" s="545">
        <f>-'Foglio deposito bis'!$F$68*(C1440-sezione!$AL$32)*IF(ABS(K1440)&lt;'Sollecitazioni nel paramento'!$G$58,ABS(K1440)*'Sollecitazioni nel paramento'!$G$54,'Sollecitazioni nel paramento'!$G$53)</f>
        <v>0</v>
      </c>
      <c r="F1440" s="545">
        <f>-'Foglio deposito bis'!$F$69*(C1440-sezione!$AM$32)*IF(ABS(L1440)&lt;'Sollecitazioni nel paramento'!$G$58,ABS(L1440)*'Sollecitazioni nel paramento'!$G$54,'Sollecitazioni nel paramento'!$G$53)</f>
        <v>-21487392.426866446</v>
      </c>
      <c r="G1440" s="545">
        <f>-'Foglio deposito bis'!$F$70*(C1440-sezione!$AN$32)*IF(ABS(M1440)&lt;'Sollecitazioni nel paramento'!$G$58,ABS(M1440)*'Sollecitazioni nel paramento'!$G$54,'Sollecitazioni nel paramento'!$G$53)</f>
        <v>0</v>
      </c>
      <c r="H1440" s="545">
        <f>-'Foglio deposito bis'!$F$71*(C1440-sezione!$AO$32)*IF(ABS(N1440)&lt;'Sollecitazioni nel paramento'!$G$58,ABS(N1440)*'Sollecitazioni nel paramento'!$G$54,'Sollecitazioni nel paramento'!$G$53)</f>
        <v>-4604056.5301306341</v>
      </c>
      <c r="I1440" s="472">
        <f>-'Foglio deposito bis'!$F$72*(C1440-sezione!$AP$32)*IF(ABS(O1440)&lt;'Sollecitazioni nel paramento'!$G$58,ABS(O1440)*'Sollecitazioni nel paramento'!$G$54,'Sollecitazioni nel paramento'!$G$53)</f>
        <v>152017719.73382062</v>
      </c>
      <c r="J1440" s="472">
        <f t="shared" si="103"/>
        <v>-762532574.61855912</v>
      </c>
      <c r="K1440" s="550">
        <f>'Sollecitazioni nel paramento'!$G$60*(sezione!$AL$32-C1440)/C1440</f>
        <v>-2.7994144258822675E-3</v>
      </c>
      <c r="L1440" s="550">
        <f>'Sollecitazioni nel paramento'!$G$60*(sezione!$AM$32-C1440)/C1440</f>
        <v>-2.4491216388234016E-3</v>
      </c>
      <c r="M1440" s="551">
        <f>'Sollecitazioni nel paramento'!$G$60*(sezione!$AN$32-C1440)/C1440</f>
        <v>-2.0988288517645353E-3</v>
      </c>
      <c r="N1440" s="551">
        <f>'Sollecitazioni nel paramento'!$G$60*(sezione!$AO$32-C1440)/C1440</f>
        <v>-6.9765770352906993E-4</v>
      </c>
      <c r="O1440" s="551">
        <f>'Sollecitazioni nel paramento'!$G$60*(sezione!$AP$32-C1440)/C1440</f>
        <v>5.4146560615700142E-3</v>
      </c>
      <c r="P1440" s="545">
        <f>-'Sollecitazioni nel paramento'!$G$47*'Sollecitazioni nel paramento'!$G$41*IF(DATI!$G$211="dx",DATI!$E$61,DATI!$E$64*DATI!$E$63)*1000*C1440*sezione!$AD$5</f>
        <v>-7613031.4369043773</v>
      </c>
      <c r="Q1440" s="545">
        <f>'Foglio deposito bis'!$F$68*IF(ABS(K1440)&lt;'Sollecitazioni nel paramento'!$G$58,ABS(K1440)*'Sollecitazioni nel paramento'!$G$54,'Sollecitazioni nel paramento'!$G$53)*IF(K1440&lt;0,-1,1)</f>
        <v>0</v>
      </c>
      <c r="R1440" s="545">
        <f>'Foglio deposito bis'!$F$69*IF(ABS(L1440)&lt;'Sollecitazioni nel paramento'!$G$58,ABS(L1440)*'Sollecitazioni nel paramento'!$G$54,'Sollecitazioni nel paramento'!$G$53)*IF(L1440&lt;0,-1,1)</f>
        <v>-153664.85805602249</v>
      </c>
      <c r="S1440" s="545">
        <f>'Foglio deposito bis'!$F$70*IF(ABS(M1440)&lt;'Sollecitazioni nel paramento'!$G$58,ABS(M1440)*'Sollecitazioni nel paramento'!$G$54,'Sollecitazioni nel paramento'!$G$53)*IF(M1440&lt;0,-1,1)</f>
        <v>0</v>
      </c>
      <c r="T1440" s="545">
        <f>'Foglio deposito bis'!$F$71*IF(ABS(N1440)&lt;'Sollecitazioni nel paramento'!$G$58,ABS(N1440)*'Sollecitazioni nel paramento'!$G$54,'Sollecitazioni nel paramento'!$G$53)*IF(N1440&lt;0,-1,1)</f>
        <v>-115584.46108728676</v>
      </c>
      <c r="U1440" s="545">
        <f>'Foglio deposito bis'!$F$72*IF(ABS(O1440)&lt;'Sollecitazioni nel paramento'!$G$58,ABS(O1440)*'Sollecitazioni nel paramento'!$G$54,'Sollecitazioni nel paramento'!$G$53)*IF(O1440&lt;0,-1,1)</f>
        <v>491727.54577927204</v>
      </c>
      <c r="V1440" s="472">
        <f t="shared" si="105"/>
        <v>-7390553.2102684146</v>
      </c>
      <c r="W1440" s="551"/>
      <c r="X1440" s="551"/>
    </row>
    <row r="1441" spans="1:24" x14ac:dyDescent="0.25">
      <c r="A1441" s="545">
        <f t="shared" si="104"/>
        <v>7690206.3250540979</v>
      </c>
      <c r="B1441" s="3">
        <f t="shared" si="102"/>
        <v>27.899999999999942</v>
      </c>
      <c r="C1441" s="545">
        <f>'Foglio deposito bis'!$E$158/sezione!$B$247*B1441</f>
        <v>207.26156279966639</v>
      </c>
      <c r="D1441" s="603">
        <f>-'Sollecitazioni nel paramento'!$G$47*'Sollecitazioni nel paramento'!$G$41*IF(DATI!$G$211="dx",DATI!$E$61,DATI!$E$64*DATI!$E$63)*1000*C1441^2*sezione!$AD$5*(1-sezione!$AD$6)</f>
        <v>-955743079.6205411</v>
      </c>
      <c r="E1441" s="545">
        <f>-'Foglio deposito bis'!$F$68*(C1441-sezione!$AL$32)*IF(ABS(K1441)&lt;'Sollecitazioni nel paramento'!$G$58,ABS(K1441)*'Sollecitazioni nel paramento'!$G$54,'Sollecitazioni nel paramento'!$G$53)</f>
        <v>0</v>
      </c>
      <c r="F1441" s="545">
        <f>-'Foglio deposito bis'!$F$69*(C1441-sezione!$AM$32)*IF(ABS(L1441)&lt;'Sollecitazioni nel paramento'!$G$58,ABS(L1441)*'Sollecitazioni nel paramento'!$G$54,'Sollecitazioni nel paramento'!$G$53)</f>
        <v>-22628927.144718777</v>
      </c>
      <c r="G1441" s="545">
        <f>-'Foglio deposito bis'!$F$70*(C1441-sezione!$AN$32)*IF(ABS(M1441)&lt;'Sollecitazioni nel paramento'!$G$58,ABS(M1441)*'Sollecitazioni nel paramento'!$G$54,'Sollecitazioni nel paramento'!$G$53)</f>
        <v>0</v>
      </c>
      <c r="H1441" s="545">
        <f>-'Foglio deposito bis'!$F$71*(C1441-sezione!$AO$32)*IF(ABS(N1441)&lt;'Sollecitazioni nel paramento'!$G$58,ABS(N1441)*'Sollecitazioni nel paramento'!$G$54,'Sollecitazioni nel paramento'!$G$53)</f>
        <v>-6249172.183359256</v>
      </c>
      <c r="I1441" s="472">
        <f>-'Foglio deposito bis'!$F$72*(C1441-sezione!$AP$32)*IF(ABS(O1441)&lt;'Sollecitazioni nel paramento'!$G$58,ABS(O1441)*'Sollecitazioni nel paramento'!$G$54,'Sollecitazioni nel paramento'!$G$53)</f>
        <v>148364808.63669315</v>
      </c>
      <c r="J1441" s="472">
        <f t="shared" si="103"/>
        <v>-836256370.31192601</v>
      </c>
      <c r="K1441" s="550">
        <f>'Sollecitazioni nel paramento'!$G$60*(sezione!$AL$32-C1441)/C1441</f>
        <v>-2.8245250199366665E-3</v>
      </c>
      <c r="L1441" s="550">
        <f>'Sollecitazioni nel paramento'!$G$60*(sezione!$AM$32-C1441)/C1441</f>
        <v>-2.4867875299049995E-3</v>
      </c>
      <c r="M1441" s="551">
        <f>'Sollecitazioni nel paramento'!$G$60*(sezione!$AN$32-C1441)/C1441</f>
        <v>-2.1490500398733329E-3</v>
      </c>
      <c r="N1441" s="551">
        <f>'Sollecitazioni nel paramento'!$G$60*(sezione!$AO$32-C1441)/C1441</f>
        <v>-7.9810007974666602E-4</v>
      </c>
      <c r="O1441" s="551">
        <f>'Sollecitazioni nel paramento'!$G$60*(sezione!$AP$32-C1441)/C1441</f>
        <v>5.0951343389330954E-3</v>
      </c>
      <c r="P1441" s="545">
        <f>-'Sollecitazioni nel paramento'!$G$47*'Sollecitazioni nel paramento'!$G$41*IF(DATI!$G$211="dx",DATI!$E$61,DATI!$E$64*DATI!$E$63)*1000*C1441*sezione!$AD$5</f>
        <v>-7896043.7579788882</v>
      </c>
      <c r="Q1441" s="545">
        <f>'Foglio deposito bis'!$F$68*IF(ABS(K1441)&lt;'Sollecitazioni nel paramento'!$G$58,ABS(K1441)*'Sollecitazioni nel paramento'!$G$54,'Sollecitazioni nel paramento'!$G$53)*IF(K1441&lt;0,-1,1)</f>
        <v>0</v>
      </c>
      <c r="R1441" s="545">
        <f>'Foglio deposito bis'!$F$69*IF(ABS(L1441)&lt;'Sollecitazioni nel paramento'!$G$58,ABS(L1441)*'Sollecitazioni nel paramento'!$G$54,'Sollecitazioni nel paramento'!$G$53)*IF(L1441&lt;0,-1,1)</f>
        <v>-153664.85805602249</v>
      </c>
      <c r="S1441" s="545">
        <f>'Foglio deposito bis'!$F$70*IF(ABS(M1441)&lt;'Sollecitazioni nel paramento'!$G$58,ABS(M1441)*'Sollecitazioni nel paramento'!$G$54,'Sollecitazioni nel paramento'!$G$53)*IF(M1441&lt;0,-1,1)</f>
        <v>0</v>
      </c>
      <c r="T1441" s="545">
        <f>'Foglio deposito bis'!$F$71*IF(ABS(N1441)&lt;'Sollecitazioni nel paramento'!$G$58,ABS(N1441)*'Sollecitazioni nel paramento'!$G$54,'Sollecitazioni nel paramento'!$G$53)*IF(N1441&lt;0,-1,1)</f>
        <v>-132225.25479845892</v>
      </c>
      <c r="U1441" s="545">
        <f>'Foglio deposito bis'!$F$72*IF(ABS(O1441)&lt;'Sollecitazioni nel paramento'!$G$58,ABS(O1441)*'Sollecitazioni nel paramento'!$G$54,'Sollecitazioni nel paramento'!$G$53)*IF(O1441&lt;0,-1,1)</f>
        <v>491727.54577927204</v>
      </c>
      <c r="V1441" s="472">
        <f t="shared" si="105"/>
        <v>-7690206.3250540979</v>
      </c>
      <c r="W1441" s="551"/>
      <c r="X1441" s="551"/>
    </row>
    <row r="1442" spans="1:24" x14ac:dyDescent="0.25">
      <c r="A1442" s="545">
        <f t="shared" si="104"/>
        <v>7988707.8278182512</v>
      </c>
      <c r="B1442" s="3">
        <f t="shared" si="102"/>
        <v>28.899999999999942</v>
      </c>
      <c r="C1442" s="545">
        <f>'Foglio deposito bis'!$E$158/sezione!$B$247*B1442</f>
        <v>214.69029264911683</v>
      </c>
      <c r="D1442" s="603">
        <f>-'Sollecitazioni nel paramento'!$G$47*'Sollecitazioni nel paramento'!$G$41*IF(DATI!$G$211="dx",DATI!$E$61,DATI!$E$64*DATI!$E$63)*1000*C1442^2*sezione!$AD$5*(1-sezione!$AD$6)</f>
        <v>-1025482942.8320197</v>
      </c>
      <c r="E1442" s="545">
        <f>-'Foglio deposito bis'!$F$68*(C1442-sezione!$AL$32)*IF(ABS(K1442)&lt;'Sollecitazioni nel paramento'!$G$58,ABS(K1442)*'Sollecitazioni nel paramento'!$G$54,'Sollecitazioni nel paramento'!$G$53)</f>
        <v>0</v>
      </c>
      <c r="F1442" s="545">
        <f>-'Foglio deposito bis'!$F$69*(C1442-sezione!$AM$32)*IF(ABS(L1442)&lt;'Sollecitazioni nel paramento'!$G$58,ABS(L1442)*'Sollecitazioni nel paramento'!$G$54,'Sollecitazioni nel paramento'!$G$53)</f>
        <v>-23770461.862571117</v>
      </c>
      <c r="G1442" s="545">
        <f>-'Foglio deposito bis'!$F$70*(C1442-sezione!$AN$32)*IF(ABS(M1442)&lt;'Sollecitazioni nel paramento'!$G$58,ABS(M1442)*'Sollecitazioni nel paramento'!$G$54,'Sollecitazioni nel paramento'!$G$53)</f>
        <v>0</v>
      </c>
      <c r="H1442" s="545">
        <f>-'Foglio deposito bis'!$F$71*(C1442-sezione!$AO$32)*IF(ABS(N1442)&lt;'Sollecitazioni nel paramento'!$G$58,ABS(N1442)*'Sollecitazioni nel paramento'!$G$54,'Sollecitazioni nel paramento'!$G$53)</f>
        <v>-8078545.7600333905</v>
      </c>
      <c r="I1442" s="472">
        <f>-'Foglio deposito bis'!$F$72*(C1442-sezione!$AP$32)*IF(ABS(O1442)&lt;'Sollecitazioni nel paramento'!$G$58,ABS(O1442)*'Sollecitazioni nel paramento'!$G$54,'Sollecitazioni nel paramento'!$G$53)</f>
        <v>144711897.53956568</v>
      </c>
      <c r="J1442" s="472">
        <f t="shared" si="103"/>
        <v>-912620052.91505849</v>
      </c>
      <c r="K1442" s="550">
        <f>'Sollecitazioni nel paramento'!$G$60*(sezione!$AL$32-C1442)/C1442</f>
        <v>-2.8478978566170588E-3</v>
      </c>
      <c r="L1442" s="550">
        <f>'Sollecitazioni nel paramento'!$G$60*(sezione!$AM$32-C1442)/C1442</f>
        <v>-2.5218467849255884E-3</v>
      </c>
      <c r="M1442" s="551">
        <f>'Sollecitazioni nel paramento'!$G$60*(sezione!$AN$32-C1442)/C1442</f>
        <v>-2.1957957132341176E-3</v>
      </c>
      <c r="N1442" s="551">
        <f>'Sollecitazioni nel paramento'!$G$60*(sezione!$AO$32-C1442)/C1442</f>
        <v>-8.9159142646823503E-4</v>
      </c>
      <c r="O1442" s="551">
        <f>'Sollecitazioni nel paramento'!$G$60*(sezione!$AP$32-C1442)/C1442</f>
        <v>4.7977248462364478E-3</v>
      </c>
      <c r="P1442" s="545">
        <f>-'Sollecitazioni nel paramento'!$G$47*'Sollecitazioni nel paramento'!$G$41*IF(DATI!$G$211="dx",DATI!$E$61,DATI!$E$64*DATI!$E$63)*1000*C1442*sezione!$AD$5</f>
        <v>-8179056.0790534029</v>
      </c>
      <c r="Q1442" s="545">
        <f>'Foglio deposito bis'!$F$68*IF(ABS(K1442)&lt;'Sollecitazioni nel paramento'!$G$58,ABS(K1442)*'Sollecitazioni nel paramento'!$G$54,'Sollecitazioni nel paramento'!$G$53)*IF(K1442&lt;0,-1,1)</f>
        <v>0</v>
      </c>
      <c r="R1442" s="545">
        <f>'Foglio deposito bis'!$F$69*IF(ABS(L1442)&lt;'Sollecitazioni nel paramento'!$G$58,ABS(L1442)*'Sollecitazioni nel paramento'!$G$54,'Sollecitazioni nel paramento'!$G$53)*IF(L1442&lt;0,-1,1)</f>
        <v>-153664.85805602249</v>
      </c>
      <c r="S1442" s="545">
        <f>'Foglio deposito bis'!$F$70*IF(ABS(M1442)&lt;'Sollecitazioni nel paramento'!$G$58,ABS(M1442)*'Sollecitazioni nel paramento'!$G$54,'Sollecitazioni nel paramento'!$G$53)*IF(M1442&lt;0,-1,1)</f>
        <v>0</v>
      </c>
      <c r="T1442" s="545">
        <f>'Foglio deposito bis'!$F$71*IF(ABS(N1442)&lt;'Sollecitazioni nel paramento'!$G$58,ABS(N1442)*'Sollecitazioni nel paramento'!$G$54,'Sollecitazioni nel paramento'!$G$53)*IF(N1442&lt;0,-1,1)</f>
        <v>-147714.43648809672</v>
      </c>
      <c r="U1442" s="545">
        <f>'Foglio deposito bis'!$F$72*IF(ABS(O1442)&lt;'Sollecitazioni nel paramento'!$G$58,ABS(O1442)*'Sollecitazioni nel paramento'!$G$54,'Sollecitazioni nel paramento'!$G$53)*IF(O1442&lt;0,-1,1)</f>
        <v>491727.54577927204</v>
      </c>
      <c r="V1442" s="472">
        <f t="shared" si="105"/>
        <v>-7988707.8278182512</v>
      </c>
      <c r="W1442" s="551"/>
      <c r="X1442" s="551"/>
    </row>
    <row r="1443" spans="1:24" x14ac:dyDescent="0.25">
      <c r="A1443" s="545">
        <f t="shared" si="104"/>
        <v>8286173.2649175422</v>
      </c>
      <c r="B1443" s="3">
        <f t="shared" si="102"/>
        <v>29.899999999999942</v>
      </c>
      <c r="C1443" s="545">
        <f>'Foglio deposito bis'!$E$158/sezione!$B$247*B1443</f>
        <v>222.11902249856726</v>
      </c>
      <c r="D1443" s="603">
        <f>-'Sollecitazioni nel paramento'!$G$47*'Sollecitazioni nel paramento'!$G$41*IF(DATI!$G$211="dx",DATI!$E$61,DATI!$E$64*DATI!$E$63)*1000*C1443^2*sezione!$AD$5*(1-sezione!$AD$6)</f>
        <v>-1097678435.0298176</v>
      </c>
      <c r="E1443" s="545">
        <f>-'Foglio deposito bis'!$F$68*(C1443-sezione!$AL$32)*IF(ABS(K1443)&lt;'Sollecitazioni nel paramento'!$G$58,ABS(K1443)*'Sollecitazioni nel paramento'!$G$54,'Sollecitazioni nel paramento'!$G$53)</f>
        <v>0</v>
      </c>
      <c r="F1443" s="545">
        <f>-'Foglio deposito bis'!$F$69*(C1443-sezione!$AM$32)*IF(ABS(L1443)&lt;'Sollecitazioni nel paramento'!$G$58,ABS(L1443)*'Sollecitazioni nel paramento'!$G$54,'Sollecitazioni nel paramento'!$G$53)</f>
        <v>-24911996.580423456</v>
      </c>
      <c r="G1443" s="545">
        <f>-'Foglio deposito bis'!$F$70*(C1443-sezione!$AN$32)*IF(ABS(M1443)&lt;'Sollecitazioni nel paramento'!$G$58,ABS(M1443)*'Sollecitazioni nel paramento'!$G$54,'Sollecitazioni nel paramento'!$G$53)</f>
        <v>0</v>
      </c>
      <c r="H1443" s="545">
        <f>-'Foglio deposito bis'!$F$71*(C1443-sezione!$AO$32)*IF(ABS(N1443)&lt;'Sollecitazioni nel paramento'!$G$58,ABS(N1443)*'Sollecitazioni nel paramento'!$G$54,'Sollecitazioni nel paramento'!$G$53)</f>
        <v>-10073689.843084918</v>
      </c>
      <c r="I1443" s="472">
        <f>-'Foglio deposito bis'!$F$72*(C1443-sezione!$AP$32)*IF(ABS(O1443)&lt;'Sollecitazioni nel paramento'!$G$58,ABS(O1443)*'Sollecitazioni nel paramento'!$G$54,'Sollecitazioni nel paramento'!$G$53)</f>
        <v>141058986.44243822</v>
      </c>
      <c r="J1443" s="472">
        <f t="shared" si="103"/>
        <v>-991605135.0108875</v>
      </c>
      <c r="K1443" s="550">
        <f>'Sollecitazioni nel paramento'!$G$60*(sezione!$AL$32-C1443)/C1443</f>
        <v>-2.8697072928506023E-3</v>
      </c>
      <c r="L1443" s="550">
        <f>'Sollecitazioni nel paramento'!$G$60*(sezione!$AM$32-C1443)/C1443</f>
        <v>-2.5545609392759031E-3</v>
      </c>
      <c r="M1443" s="551">
        <f>'Sollecitazioni nel paramento'!$G$60*(sezione!$AN$32-C1443)/C1443</f>
        <v>-2.239414585701204E-3</v>
      </c>
      <c r="N1443" s="551">
        <f>'Sollecitazioni nel paramento'!$G$60*(sezione!$AO$32-C1443)/C1443</f>
        <v>-9.7882917140240796E-4</v>
      </c>
      <c r="O1443" s="551">
        <f>'Sollecitazioni nel paramento'!$G$60*(sezione!$AP$32-C1443)/C1443</f>
        <v>4.520208965091416E-3</v>
      </c>
      <c r="P1443" s="545">
        <f>-'Sollecitazioni nel paramento'!$G$47*'Sollecitazioni nel paramento'!$G$41*IF(DATI!$G$211="dx",DATI!$E$61,DATI!$E$64*DATI!$E$63)*1000*C1443*sezione!$AD$5</f>
        <v>-8462068.4001279157</v>
      </c>
      <c r="Q1443" s="545">
        <f>'Foglio deposito bis'!$F$68*IF(ABS(K1443)&lt;'Sollecitazioni nel paramento'!$G$58,ABS(K1443)*'Sollecitazioni nel paramento'!$G$54,'Sollecitazioni nel paramento'!$G$53)*IF(K1443&lt;0,-1,1)</f>
        <v>0</v>
      </c>
      <c r="R1443" s="545">
        <f>'Foglio deposito bis'!$F$69*IF(ABS(L1443)&lt;'Sollecitazioni nel paramento'!$G$58,ABS(L1443)*'Sollecitazioni nel paramento'!$G$54,'Sollecitazioni nel paramento'!$G$53)*IF(L1443&lt;0,-1,1)</f>
        <v>-153664.85805602249</v>
      </c>
      <c r="S1443" s="545">
        <f>'Foglio deposito bis'!$F$70*IF(ABS(M1443)&lt;'Sollecitazioni nel paramento'!$G$58,ABS(M1443)*'Sollecitazioni nel paramento'!$G$54,'Sollecitazioni nel paramento'!$G$53)*IF(M1443&lt;0,-1,1)</f>
        <v>0</v>
      </c>
      <c r="T1443" s="545">
        <f>'Foglio deposito bis'!$F$71*IF(ABS(N1443)&lt;'Sollecitazioni nel paramento'!$G$58,ABS(N1443)*'Sollecitazioni nel paramento'!$G$54,'Sollecitazioni nel paramento'!$G$53)*IF(N1443&lt;0,-1,1)</f>
        <v>-162167.55251287579</v>
      </c>
      <c r="U1443" s="545">
        <f>'Foglio deposito bis'!$F$72*IF(ABS(O1443)&lt;'Sollecitazioni nel paramento'!$G$58,ABS(O1443)*'Sollecitazioni nel paramento'!$G$54,'Sollecitazioni nel paramento'!$G$53)*IF(O1443&lt;0,-1,1)</f>
        <v>491727.54577927204</v>
      </c>
      <c r="V1443" s="472">
        <f t="shared" si="105"/>
        <v>-8286173.2649175422</v>
      </c>
      <c r="W1443" s="551"/>
      <c r="X1443" s="551"/>
    </row>
    <row r="1444" spans="1:24" x14ac:dyDescent="0.25">
      <c r="A1444" s="545">
        <f t="shared" si="104"/>
        <v>8582703.2252514735</v>
      </c>
      <c r="B1444" s="3">
        <f t="shared" si="102"/>
        <v>30.899999999999942</v>
      </c>
      <c r="C1444" s="545">
        <f>'Foglio deposito bis'!$E$158/sezione!$B$247*B1444</f>
        <v>229.54775234801767</v>
      </c>
      <c r="D1444" s="603">
        <f>-'Sollecitazioni nel paramento'!$G$47*'Sollecitazioni nel paramento'!$G$41*IF(DATI!$G$211="dx",DATI!$E$61,DATI!$E$64*DATI!$E$63)*1000*C1444^2*sezione!$AD$5*(1-sezione!$AD$6)</f>
        <v>-1172329556.2139351</v>
      </c>
      <c r="E1444" s="545">
        <f>-'Foglio deposito bis'!$F$68*(C1444-sezione!$AL$32)*IF(ABS(K1444)&lt;'Sollecitazioni nel paramento'!$G$58,ABS(K1444)*'Sollecitazioni nel paramento'!$G$54,'Sollecitazioni nel paramento'!$G$53)</f>
        <v>0</v>
      </c>
      <c r="F1444" s="545">
        <f>-'Foglio deposito bis'!$F$69*(C1444-sezione!$AM$32)*IF(ABS(L1444)&lt;'Sollecitazioni nel paramento'!$G$58,ABS(L1444)*'Sollecitazioni nel paramento'!$G$54,'Sollecitazioni nel paramento'!$G$53)</f>
        <v>-26053531.298275791</v>
      </c>
      <c r="G1444" s="545">
        <f>-'Foglio deposito bis'!$F$70*(C1444-sezione!$AN$32)*IF(ABS(M1444)&lt;'Sollecitazioni nel paramento'!$G$58,ABS(M1444)*'Sollecitazioni nel paramento'!$G$54,'Sollecitazioni nel paramento'!$G$53)</f>
        <v>0</v>
      </c>
      <c r="H1444" s="545">
        <f>-'Foglio deposito bis'!$F$71*(C1444-sezione!$AO$32)*IF(ABS(N1444)&lt;'Sollecitazioni nel paramento'!$G$58,ABS(N1444)*'Sollecitazioni nel paramento'!$G$54,'Sollecitazioni nel paramento'!$G$53)</f>
        <v>-12218510.208593698</v>
      </c>
      <c r="I1444" s="472">
        <f>-'Foglio deposito bis'!$F$72*(C1444-sezione!$AP$32)*IF(ABS(O1444)&lt;'Sollecitazioni nel paramento'!$G$58,ABS(O1444)*'Sollecitazioni nel paramento'!$G$54,'Sollecitazioni nel paramento'!$G$53)</f>
        <v>137406075.34531075</v>
      </c>
      <c r="J1444" s="472">
        <f t="shared" si="103"/>
        <v>-1073195522.3754938</v>
      </c>
      <c r="K1444" s="550">
        <f>'Sollecitazioni nel paramento'!$G$60*(sezione!$AL$32-C1444)/C1444</f>
        <v>-2.8901051150884466E-3</v>
      </c>
      <c r="L1444" s="550">
        <f>'Sollecitazioni nel paramento'!$G$60*(sezione!$AM$32-C1444)/C1444</f>
        <v>-2.5851576726326703E-3</v>
      </c>
      <c r="M1444" s="551">
        <f>'Sollecitazioni nel paramento'!$G$60*(sezione!$AN$32-C1444)/C1444</f>
        <v>-2.2802102301768931E-3</v>
      </c>
      <c r="N1444" s="551">
        <f>'Sollecitazioni nel paramento'!$G$60*(sezione!$AO$32-C1444)/C1444</f>
        <v>-1.0604204603537864E-3</v>
      </c>
      <c r="O1444" s="551">
        <f>'Sollecitazioni nel paramento'!$G$60*(sezione!$AP$32-C1444)/C1444</f>
        <v>4.2606552769007553E-3</v>
      </c>
      <c r="P1444" s="545">
        <f>-'Sollecitazioni nel paramento'!$G$47*'Sollecitazioni nel paramento'!$G$41*IF(DATI!$G$211="dx",DATI!$E$61,DATI!$E$64*DATI!$E$63)*1000*C1444*sezione!$AD$5</f>
        <v>-8745080.7212024275</v>
      </c>
      <c r="Q1444" s="545">
        <f>'Foglio deposito bis'!$F$68*IF(ABS(K1444)&lt;'Sollecitazioni nel paramento'!$G$58,ABS(K1444)*'Sollecitazioni nel paramento'!$G$54,'Sollecitazioni nel paramento'!$G$53)*IF(K1444&lt;0,-1,1)</f>
        <v>0</v>
      </c>
      <c r="R1444" s="545">
        <f>'Foglio deposito bis'!$F$69*IF(ABS(L1444)&lt;'Sollecitazioni nel paramento'!$G$58,ABS(L1444)*'Sollecitazioni nel paramento'!$G$54,'Sollecitazioni nel paramento'!$G$53)*IF(L1444&lt;0,-1,1)</f>
        <v>-153664.85805602249</v>
      </c>
      <c r="S1444" s="545">
        <f>'Foglio deposito bis'!$F$70*IF(ABS(M1444)&lt;'Sollecitazioni nel paramento'!$G$58,ABS(M1444)*'Sollecitazioni nel paramento'!$G$54,'Sollecitazioni nel paramento'!$G$53)*IF(M1444&lt;0,-1,1)</f>
        <v>0</v>
      </c>
      <c r="T1444" s="545">
        <f>'Foglio deposito bis'!$F$71*IF(ABS(N1444)&lt;'Sollecitazioni nel paramento'!$G$58,ABS(N1444)*'Sollecitazioni nel paramento'!$G$54,'Sollecitazioni nel paramento'!$G$53)*IF(N1444&lt;0,-1,1)</f>
        <v>-175685.19177229694</v>
      </c>
      <c r="U1444" s="545">
        <f>'Foglio deposito bis'!$F$72*IF(ABS(O1444)&lt;'Sollecitazioni nel paramento'!$G$58,ABS(O1444)*'Sollecitazioni nel paramento'!$G$54,'Sollecitazioni nel paramento'!$G$53)*IF(O1444&lt;0,-1,1)</f>
        <v>491727.54577927204</v>
      </c>
      <c r="V1444" s="472">
        <f t="shared" si="105"/>
        <v>-8582703.2252514735</v>
      </c>
      <c r="W1444" s="551"/>
      <c r="X1444" s="551"/>
    </row>
    <row r="1445" spans="1:24" x14ac:dyDescent="0.25">
      <c r="A1445" s="545">
        <f t="shared" si="104"/>
        <v>8878385.6846913993</v>
      </c>
      <c r="B1445" s="3">
        <f t="shared" si="102"/>
        <v>31.899999999999942</v>
      </c>
      <c r="C1445" s="545">
        <f>'Foglio deposito bis'!$E$158/sezione!$B$247*B1445</f>
        <v>236.9764821974681</v>
      </c>
      <c r="D1445" s="603">
        <f>-'Sollecitazioni nel paramento'!$G$47*'Sollecitazioni nel paramento'!$G$41*IF(DATI!$G$211="dx",DATI!$E$61,DATI!$E$64*DATI!$E$63)*1000*C1445^2*sezione!$AD$5*(1-sezione!$AD$6)</f>
        <v>-1249436306.3843727</v>
      </c>
      <c r="E1445" s="545">
        <f>-'Foglio deposito bis'!$F$68*(C1445-sezione!$AL$32)*IF(ABS(K1445)&lt;'Sollecitazioni nel paramento'!$G$58,ABS(K1445)*'Sollecitazioni nel paramento'!$G$54,'Sollecitazioni nel paramento'!$G$53)</f>
        <v>0</v>
      </c>
      <c r="F1445" s="545">
        <f>-'Foglio deposito bis'!$F$69*(C1445-sezione!$AM$32)*IF(ABS(L1445)&lt;'Sollecitazioni nel paramento'!$G$58,ABS(L1445)*'Sollecitazioni nel paramento'!$G$54,'Sollecitazioni nel paramento'!$G$53)</f>
        <v>-27195066.016128127</v>
      </c>
      <c r="G1445" s="545">
        <f>-'Foglio deposito bis'!$F$70*(C1445-sezione!$AN$32)*IF(ABS(M1445)&lt;'Sollecitazioni nel paramento'!$G$58,ABS(M1445)*'Sollecitazioni nel paramento'!$G$54,'Sollecitazioni nel paramento'!$G$53)</f>
        <v>0</v>
      </c>
      <c r="H1445" s="545">
        <f>-'Foglio deposito bis'!$F$71*(C1445-sezione!$AO$32)*IF(ABS(N1445)&lt;'Sollecitazioni nel paramento'!$G$58,ABS(N1445)*'Sollecitazioni nel paramento'!$G$54,'Sollecitazioni nel paramento'!$G$53)</f>
        <v>-14498930.717143705</v>
      </c>
      <c r="I1445" s="472">
        <f>-'Foglio deposito bis'!$F$72*(C1445-sezione!$AP$32)*IF(ABS(O1445)&lt;'Sollecitazioni nel paramento'!$G$58,ABS(O1445)*'Sollecitazioni nel paramento'!$G$54,'Sollecitazioni nel paramento'!$G$53)</f>
        <v>133753164.24818325</v>
      </c>
      <c r="J1445" s="472">
        <f t="shared" si="103"/>
        <v>-1157377138.8694613</v>
      </c>
      <c r="K1445" s="550">
        <f>'Sollecitazioni nel paramento'!$G$60*(sezione!$AL$32-C1445)/C1445</f>
        <v>-2.9092240769978996E-3</v>
      </c>
      <c r="L1445" s="550">
        <f>'Sollecitazioni nel paramento'!$G$60*(sezione!$AM$32-C1445)/C1445</f>
        <v>-2.6138361154968495E-3</v>
      </c>
      <c r="M1445" s="551">
        <f>'Sollecitazioni nel paramento'!$G$60*(sezione!$AN$32-C1445)/C1445</f>
        <v>-2.3184481539957999E-3</v>
      </c>
      <c r="N1445" s="551">
        <f>'Sollecitazioni nel paramento'!$G$60*(sezione!$AO$32-C1445)/C1445</f>
        <v>-1.1368963079915991E-3</v>
      </c>
      <c r="O1445" s="551">
        <f>'Sollecitazioni nel paramento'!$G$60*(sezione!$AP$32-C1445)/C1445</f>
        <v>4.017374547217345E-3</v>
      </c>
      <c r="P1445" s="545">
        <f>-'Sollecitazioni nel paramento'!$G$47*'Sollecitazioni nel paramento'!$G$41*IF(DATI!$G$211="dx",DATI!$E$61,DATI!$E$64*DATI!$E$63)*1000*C1445*sezione!$AD$5</f>
        <v>-9028093.0422769394</v>
      </c>
      <c r="Q1445" s="545">
        <f>'Foglio deposito bis'!$F$68*IF(ABS(K1445)&lt;'Sollecitazioni nel paramento'!$G$58,ABS(K1445)*'Sollecitazioni nel paramento'!$G$54,'Sollecitazioni nel paramento'!$G$53)*IF(K1445&lt;0,-1,1)</f>
        <v>0</v>
      </c>
      <c r="R1445" s="545">
        <f>'Foglio deposito bis'!$F$69*IF(ABS(L1445)&lt;'Sollecitazioni nel paramento'!$G$58,ABS(L1445)*'Sollecitazioni nel paramento'!$G$54,'Sollecitazioni nel paramento'!$G$53)*IF(L1445&lt;0,-1,1)</f>
        <v>-153664.85805602249</v>
      </c>
      <c r="S1445" s="545">
        <f>'Foglio deposito bis'!$F$70*IF(ABS(M1445)&lt;'Sollecitazioni nel paramento'!$G$58,ABS(M1445)*'Sollecitazioni nel paramento'!$G$54,'Sollecitazioni nel paramento'!$G$53)*IF(M1445&lt;0,-1,1)</f>
        <v>0</v>
      </c>
      <c r="T1445" s="545">
        <f>'Foglio deposito bis'!$F$71*IF(ABS(N1445)&lt;'Sollecitazioni nel paramento'!$G$58,ABS(N1445)*'Sollecitazioni nel paramento'!$G$54,'Sollecitazioni nel paramento'!$G$53)*IF(N1445&lt;0,-1,1)</f>
        <v>-188355.33013771055</v>
      </c>
      <c r="U1445" s="545">
        <f>'Foglio deposito bis'!$F$72*IF(ABS(O1445)&lt;'Sollecitazioni nel paramento'!$G$58,ABS(O1445)*'Sollecitazioni nel paramento'!$G$54,'Sollecitazioni nel paramento'!$G$53)*IF(O1445&lt;0,-1,1)</f>
        <v>491727.54577927204</v>
      </c>
      <c r="V1445" s="472">
        <f t="shared" si="105"/>
        <v>-8878385.6846913993</v>
      </c>
      <c r="W1445" s="551"/>
      <c r="X1445" s="551"/>
    </row>
    <row r="1446" spans="1:24" x14ac:dyDescent="0.25">
      <c r="A1446" s="545">
        <f t="shared" si="104"/>
        <v>9173297.9229540974</v>
      </c>
      <c r="B1446" s="3">
        <f t="shared" si="102"/>
        <v>32.899999999999942</v>
      </c>
      <c r="C1446" s="545">
        <f>'Foglio deposito bis'!$E$158/sezione!$B$247*B1446</f>
        <v>244.40521204691854</v>
      </c>
      <c r="D1446" s="603">
        <f>-'Sollecitazioni nel paramento'!$G$47*'Sollecitazioni nel paramento'!$G$41*IF(DATI!$G$211="dx",DATI!$E$61,DATI!$E$64*DATI!$E$63)*1000*C1446^2*sezione!$AD$5*(1-sezione!$AD$6)</f>
        <v>-1328998685.5411301</v>
      </c>
      <c r="E1446" s="545">
        <f>-'Foglio deposito bis'!$F$68*(C1446-sezione!$AL$32)*IF(ABS(K1446)&lt;'Sollecitazioni nel paramento'!$G$58,ABS(K1446)*'Sollecitazioni nel paramento'!$G$54,'Sollecitazioni nel paramento'!$G$53)</f>
        <v>0</v>
      </c>
      <c r="F1446" s="545">
        <f>-'Foglio deposito bis'!$F$69*(C1446-sezione!$AM$32)*IF(ABS(L1446)&lt;'Sollecitazioni nel paramento'!$G$58,ABS(L1446)*'Sollecitazioni nel paramento'!$G$54,'Sollecitazioni nel paramento'!$G$53)</f>
        <v>-28336600.733980466</v>
      </c>
      <c r="G1446" s="545">
        <f>-'Foglio deposito bis'!$F$70*(C1446-sezione!$AN$32)*IF(ABS(M1446)&lt;'Sollecitazioni nel paramento'!$G$58,ABS(M1446)*'Sollecitazioni nel paramento'!$G$54,'Sollecitazioni nel paramento'!$G$53)</f>
        <v>0</v>
      </c>
      <c r="H1446" s="545">
        <f>-'Foglio deposito bis'!$F$71*(C1446-sezione!$AO$32)*IF(ABS(N1446)&lt;'Sollecitazioni nel paramento'!$G$58,ABS(N1446)*'Sollecitazioni nel paramento'!$G$54,'Sollecitazioni nel paramento'!$G$53)</f>
        <v>-16902586.61405031</v>
      </c>
      <c r="I1446" s="472">
        <f>-'Foglio deposito bis'!$F$72*(C1446-sezione!$AP$32)*IF(ABS(O1446)&lt;'Sollecitazioni nel paramento'!$G$58,ABS(O1446)*'Sollecitazioni nel paramento'!$G$54,'Sollecitazioni nel paramento'!$G$53)</f>
        <v>130100253.15105574</v>
      </c>
      <c r="J1446" s="472">
        <f t="shared" si="103"/>
        <v>-1244137619.7381051</v>
      </c>
      <c r="K1446" s="550">
        <f>'Sollecitazioni nel paramento'!$G$60*(sezione!$AL$32-C1446)/C1446</f>
        <v>-2.927180791982766E-3</v>
      </c>
      <c r="L1446" s="550">
        <f>'Sollecitazioni nel paramento'!$G$60*(sezione!$AM$32-C1446)/C1446</f>
        <v>-2.6407711879741489E-3</v>
      </c>
      <c r="M1446" s="551">
        <f>'Sollecitazioni nel paramento'!$G$60*(sezione!$AN$32-C1446)/C1446</f>
        <v>-2.3543615839655323E-3</v>
      </c>
      <c r="N1446" s="551">
        <f>'Sollecitazioni nel paramento'!$G$60*(sezione!$AO$32-C1446)/C1446</f>
        <v>-1.2087231679310641E-3</v>
      </c>
      <c r="O1446" s="551">
        <f>'Sollecitazioni nel paramento'!$G$60*(sezione!$AP$32-C1446)/C1446</f>
        <v>3.7888829196423487E-3</v>
      </c>
      <c r="P1446" s="545">
        <f>-'Sollecitazioni nel paramento'!$G$47*'Sollecitazioni nel paramento'!$G$41*IF(DATI!$G$211="dx",DATI!$E$61,DATI!$E$64*DATI!$E$63)*1000*C1446*sezione!$AD$5</f>
        <v>-9311105.3633514531</v>
      </c>
      <c r="Q1446" s="545">
        <f>'Foglio deposito bis'!$F$68*IF(ABS(K1446)&lt;'Sollecitazioni nel paramento'!$G$58,ABS(K1446)*'Sollecitazioni nel paramento'!$G$54,'Sollecitazioni nel paramento'!$G$53)*IF(K1446&lt;0,-1,1)</f>
        <v>0</v>
      </c>
      <c r="R1446" s="545">
        <f>'Foglio deposito bis'!$F$69*IF(ABS(L1446)&lt;'Sollecitazioni nel paramento'!$G$58,ABS(L1446)*'Sollecitazioni nel paramento'!$G$54,'Sollecitazioni nel paramento'!$G$53)*IF(L1446&lt;0,-1,1)</f>
        <v>-153664.85805602249</v>
      </c>
      <c r="S1446" s="545">
        <f>'Foglio deposito bis'!$F$70*IF(ABS(M1446)&lt;'Sollecitazioni nel paramento'!$G$58,ABS(M1446)*'Sollecitazioni nel paramento'!$G$54,'Sollecitazioni nel paramento'!$G$53)*IF(M1446&lt;0,-1,1)</f>
        <v>0</v>
      </c>
      <c r="T1446" s="545">
        <f>'Foglio deposito bis'!$F$71*IF(ABS(N1446)&lt;'Sollecitazioni nel paramento'!$G$58,ABS(N1446)*'Sollecitazioni nel paramento'!$G$54,'Sollecitazioni nel paramento'!$G$53)*IF(N1446&lt;0,-1,1)</f>
        <v>-200255.24732589533</v>
      </c>
      <c r="U1446" s="545">
        <f>'Foglio deposito bis'!$F$72*IF(ABS(O1446)&lt;'Sollecitazioni nel paramento'!$G$58,ABS(O1446)*'Sollecitazioni nel paramento'!$G$54,'Sollecitazioni nel paramento'!$G$53)*IF(O1446&lt;0,-1,1)</f>
        <v>491727.54577927204</v>
      </c>
      <c r="V1446" s="472">
        <f t="shared" si="105"/>
        <v>-9173297.9229540974</v>
      </c>
      <c r="W1446" s="551"/>
      <c r="X1446" s="551"/>
    </row>
    <row r="1447" spans="1:24" x14ac:dyDescent="0.25">
      <c r="A1447" s="545">
        <f t="shared" si="104"/>
        <v>9467508.1012056936</v>
      </c>
      <c r="B1447" s="3">
        <f t="shared" si="102"/>
        <v>33.899999999999942</v>
      </c>
      <c r="C1447" s="545">
        <f>'Foglio deposito bis'!$E$158/sezione!$B$247*B1447</f>
        <v>251.83394189636894</v>
      </c>
      <c r="D1447" s="603">
        <f>-'Sollecitazioni nel paramento'!$G$47*'Sollecitazioni nel paramento'!$G$41*IF(DATI!$G$211="dx",DATI!$E$61,DATI!$E$64*DATI!$E$63)*1000*C1447^2*sezione!$AD$5*(1-sezione!$AD$6)</f>
        <v>-1411016693.6842062</v>
      </c>
      <c r="E1447" s="545">
        <f>-'Foglio deposito bis'!$F$68*(C1447-sezione!$AL$32)*IF(ABS(K1447)&lt;'Sollecitazioni nel paramento'!$G$58,ABS(K1447)*'Sollecitazioni nel paramento'!$G$54,'Sollecitazioni nel paramento'!$G$53)</f>
        <v>0</v>
      </c>
      <c r="F1447" s="545">
        <f>-'Foglio deposito bis'!$F$69*(C1447-sezione!$AM$32)*IF(ABS(L1447)&lt;'Sollecitazioni nel paramento'!$G$58,ABS(L1447)*'Sollecitazioni nel paramento'!$G$54,'Sollecitazioni nel paramento'!$G$53)</f>
        <v>-29478135.451832801</v>
      </c>
      <c r="G1447" s="545">
        <f>-'Foglio deposito bis'!$F$70*(C1447-sezione!$AN$32)*IF(ABS(M1447)&lt;'Sollecitazioni nel paramento'!$G$58,ABS(M1447)*'Sollecitazioni nel paramento'!$G$54,'Sollecitazioni nel paramento'!$G$53)</f>
        <v>0</v>
      </c>
      <c r="H1447" s="545">
        <f>-'Foglio deposito bis'!$F$71*(C1447-sezione!$AO$32)*IF(ABS(N1447)&lt;'Sollecitazioni nel paramento'!$G$58,ABS(N1447)*'Sollecitazioni nel paramento'!$G$54,'Sollecitazioni nel paramento'!$G$53)</f>
        <v>-19418572.112733286</v>
      </c>
      <c r="I1447" s="472">
        <f>-'Foglio deposito bis'!$F$72*(C1447-sezione!$AP$32)*IF(ABS(O1447)&lt;'Sollecitazioni nel paramento'!$G$58,ABS(O1447)*'Sollecitazioni nel paramento'!$G$54,'Sollecitazioni nel paramento'!$G$53)</f>
        <v>126447342.05392826</v>
      </c>
      <c r="J1447" s="472">
        <f t="shared" si="103"/>
        <v>-1333466059.1948442</v>
      </c>
      <c r="K1447" s="550">
        <f>'Sollecitazioni nel paramento'!$G$60*(sezione!$AL$32-C1447)/C1447</f>
        <v>-2.9440781137531858E-3</v>
      </c>
      <c r="L1447" s="550">
        <f>'Sollecitazioni nel paramento'!$G$60*(sezione!$AM$32-C1447)/C1447</f>
        <v>-2.6661171706297789E-3</v>
      </c>
      <c r="M1447" s="551">
        <f>'Sollecitazioni nel paramento'!$G$60*(sezione!$AN$32-C1447)/C1447</f>
        <v>-2.3881562275063716E-3</v>
      </c>
      <c r="N1447" s="551">
        <f>'Sollecitazioni nel paramento'!$G$60*(sezione!$AO$32-C1447)/C1447</f>
        <v>-1.2763124550127436E-3</v>
      </c>
      <c r="O1447" s="551">
        <f>'Sollecitazioni nel paramento'!$G$60*(sezione!$AP$32-C1447)/C1447</f>
        <v>3.5738716240776777E-3</v>
      </c>
      <c r="P1447" s="545">
        <f>-'Sollecitazioni nel paramento'!$G$47*'Sollecitazioni nel paramento'!$G$41*IF(DATI!$G$211="dx",DATI!$E$61,DATI!$E$64*DATI!$E$63)*1000*C1447*sezione!$AD$5</f>
        <v>-9594117.6844259668</v>
      </c>
      <c r="Q1447" s="545">
        <f>'Foglio deposito bis'!$F$68*IF(ABS(K1447)&lt;'Sollecitazioni nel paramento'!$G$58,ABS(K1447)*'Sollecitazioni nel paramento'!$G$54,'Sollecitazioni nel paramento'!$G$53)*IF(K1447&lt;0,-1,1)</f>
        <v>0</v>
      </c>
      <c r="R1447" s="545">
        <f>'Foglio deposito bis'!$F$69*IF(ABS(L1447)&lt;'Sollecitazioni nel paramento'!$G$58,ABS(L1447)*'Sollecitazioni nel paramento'!$G$54,'Sollecitazioni nel paramento'!$G$53)*IF(L1447&lt;0,-1,1)</f>
        <v>-153664.85805602249</v>
      </c>
      <c r="S1447" s="545">
        <f>'Foglio deposito bis'!$F$70*IF(ABS(M1447)&lt;'Sollecitazioni nel paramento'!$G$58,ABS(M1447)*'Sollecitazioni nel paramento'!$G$54,'Sollecitazioni nel paramento'!$G$53)*IF(M1447&lt;0,-1,1)</f>
        <v>0</v>
      </c>
      <c r="T1447" s="545">
        <f>'Foglio deposito bis'!$F$71*IF(ABS(N1447)&lt;'Sollecitazioni nel paramento'!$G$58,ABS(N1447)*'Sollecitazioni nel paramento'!$G$54,'Sollecitazioni nel paramento'!$G$53)*IF(N1447&lt;0,-1,1)</f>
        <v>-211453.10450297775</v>
      </c>
      <c r="U1447" s="545">
        <f>'Foglio deposito bis'!$F$72*IF(ABS(O1447)&lt;'Sollecitazioni nel paramento'!$G$58,ABS(O1447)*'Sollecitazioni nel paramento'!$G$54,'Sollecitazioni nel paramento'!$G$53)*IF(O1447&lt;0,-1,1)</f>
        <v>491727.54577927204</v>
      </c>
      <c r="V1447" s="472">
        <f t="shared" si="105"/>
        <v>-9467508.1012056936</v>
      </c>
      <c r="W1447" s="551"/>
      <c r="X1447" s="551"/>
    </row>
    <row r="1448" spans="1:24" x14ac:dyDescent="0.25">
      <c r="A1448" s="545">
        <f t="shared" si="104"/>
        <v>9761076.5684442744</v>
      </c>
      <c r="B1448" s="3">
        <f t="shared" si="102"/>
        <v>34.899999999999942</v>
      </c>
      <c r="C1448" s="545">
        <f>'Foglio deposito bis'!$E$158/sezione!$B$247*B1448</f>
        <v>259.26267174581938</v>
      </c>
      <c r="D1448" s="603">
        <f>-'Sollecitazioni nel paramento'!$G$47*'Sollecitazioni nel paramento'!$G$41*IF(DATI!$G$211="dx",DATI!$E$61,DATI!$E$64*DATI!$E$63)*1000*C1448^2*sezione!$AD$5*(1-sezione!$AD$6)</f>
        <v>-1495490330.8136027</v>
      </c>
      <c r="E1448" s="545">
        <f>-'Foglio deposito bis'!$F$68*(C1448-sezione!$AL$32)*IF(ABS(K1448)&lt;'Sollecitazioni nel paramento'!$G$58,ABS(K1448)*'Sollecitazioni nel paramento'!$G$54,'Sollecitazioni nel paramento'!$G$53)</f>
        <v>0</v>
      </c>
      <c r="F1448" s="545">
        <f>-'Foglio deposito bis'!$F$69*(C1448-sezione!$AM$32)*IF(ABS(L1448)&lt;'Sollecitazioni nel paramento'!$G$58,ABS(L1448)*'Sollecitazioni nel paramento'!$G$54,'Sollecitazioni nel paramento'!$G$53)</f>
        <v>-30619670.16968514</v>
      </c>
      <c r="G1448" s="545">
        <f>-'Foglio deposito bis'!$F$70*(C1448-sezione!$AN$32)*IF(ABS(M1448)&lt;'Sollecitazioni nel paramento'!$G$58,ABS(M1448)*'Sollecitazioni nel paramento'!$G$54,'Sollecitazioni nel paramento'!$G$53)</f>
        <v>0</v>
      </c>
      <c r="H1448" s="545">
        <f>-'Foglio deposito bis'!$F$71*(C1448-sezione!$AO$32)*IF(ABS(N1448)&lt;'Sollecitazioni nel paramento'!$G$58,ABS(N1448)*'Sollecitazioni nel paramento'!$G$54,'Sollecitazioni nel paramento'!$G$53)</f>
        <v>-22037231.373498414</v>
      </c>
      <c r="I1448" s="472">
        <f>-'Foglio deposito bis'!$F$72*(C1448-sezione!$AP$32)*IF(ABS(O1448)&lt;'Sollecitazioni nel paramento'!$G$58,ABS(O1448)*'Sollecitazioni nel paramento'!$G$54,'Sollecitazioni nel paramento'!$G$53)</f>
        <v>122794430.95680079</v>
      </c>
      <c r="J1448" s="472">
        <f t="shared" si="103"/>
        <v>-1425352801.3999856</v>
      </c>
      <c r="K1448" s="550">
        <f>'Sollecitazioni nel paramento'!$G$60*(sezione!$AL$32-C1448)/C1448</f>
        <v>-2.9600071076284532E-3</v>
      </c>
      <c r="L1448" s="550">
        <f>'Sollecitazioni nel paramento'!$G$60*(sezione!$AM$32-C1448)/C1448</f>
        <v>-2.6900106614426793E-3</v>
      </c>
      <c r="M1448" s="551">
        <f>'Sollecitazioni nel paramento'!$G$60*(sezione!$AN$32-C1448)/C1448</f>
        <v>-2.4200142152569059E-3</v>
      </c>
      <c r="N1448" s="551">
        <f>'Sollecitazioni nel paramento'!$G$60*(sezione!$AO$32-C1448)/C1448</f>
        <v>-1.3400284305138115E-3</v>
      </c>
      <c r="O1448" s="551">
        <f>'Sollecitazioni nel paramento'!$G$60*(sezione!$AP$32-C1448)/C1448</f>
        <v>3.3711818927287473E-3</v>
      </c>
      <c r="P1448" s="545">
        <f>-'Sollecitazioni nel paramento'!$G$47*'Sollecitazioni nel paramento'!$G$41*IF(DATI!$G$211="dx",DATI!$E$61,DATI!$E$64*DATI!$E$63)*1000*C1448*sezione!$AD$5</f>
        <v>-9877130.0055004787</v>
      </c>
      <c r="Q1448" s="545">
        <f>'Foglio deposito bis'!$F$68*IF(ABS(K1448)&lt;'Sollecitazioni nel paramento'!$G$58,ABS(K1448)*'Sollecitazioni nel paramento'!$G$54,'Sollecitazioni nel paramento'!$G$53)*IF(K1448&lt;0,-1,1)</f>
        <v>0</v>
      </c>
      <c r="R1448" s="545">
        <f>'Foglio deposito bis'!$F$69*IF(ABS(L1448)&lt;'Sollecitazioni nel paramento'!$G$58,ABS(L1448)*'Sollecitazioni nel paramento'!$G$54,'Sollecitazioni nel paramento'!$G$53)*IF(L1448&lt;0,-1,1)</f>
        <v>-153664.85805602249</v>
      </c>
      <c r="S1448" s="545">
        <f>'Foglio deposito bis'!$F$70*IF(ABS(M1448)&lt;'Sollecitazioni nel paramento'!$G$58,ABS(M1448)*'Sollecitazioni nel paramento'!$G$54,'Sollecitazioni nel paramento'!$G$53)*IF(M1448&lt;0,-1,1)</f>
        <v>0</v>
      </c>
      <c r="T1448" s="545">
        <f>'Foglio deposito bis'!$F$71*IF(ABS(N1448)&lt;'Sollecitazioni nel paramento'!$G$58,ABS(N1448)*'Sollecitazioni nel paramento'!$G$54,'Sollecitazioni nel paramento'!$G$53)*IF(N1448&lt;0,-1,1)</f>
        <v>-222009.25066704696</v>
      </c>
      <c r="U1448" s="545">
        <f>'Foglio deposito bis'!$F$72*IF(ABS(O1448)&lt;'Sollecitazioni nel paramento'!$G$58,ABS(O1448)*'Sollecitazioni nel paramento'!$G$54,'Sollecitazioni nel paramento'!$G$53)*IF(O1448&lt;0,-1,1)</f>
        <v>491727.54577927204</v>
      </c>
      <c r="V1448" s="472">
        <f t="shared" si="105"/>
        <v>-9761076.5684442744</v>
      </c>
      <c r="W1448" s="551"/>
      <c r="X1448" s="551"/>
    </row>
    <row r="1449" spans="1:24" x14ac:dyDescent="0.25">
      <c r="A1449" s="545">
        <f t="shared" si="104"/>
        <v>10054056.949545581</v>
      </c>
      <c r="B1449" s="3">
        <f t="shared" si="102"/>
        <v>35.899999999999942</v>
      </c>
      <c r="C1449" s="545">
        <f>'Foglio deposito bis'!$E$158/sezione!$B$247*B1449</f>
        <v>266.69140159526978</v>
      </c>
      <c r="D1449" s="603">
        <f>-'Sollecitazioni nel paramento'!$G$47*'Sollecitazioni nel paramento'!$G$41*IF(DATI!$G$211="dx",DATI!$E$61,DATI!$E$64*DATI!$E$63)*1000*C1449^2*sezione!$AD$5*(1-sezione!$AD$6)</f>
        <v>-1582419596.9293184</v>
      </c>
      <c r="E1449" s="545">
        <f>-'Foglio deposito bis'!$F$68*(C1449-sezione!$AL$32)*IF(ABS(K1449)&lt;'Sollecitazioni nel paramento'!$G$58,ABS(K1449)*'Sollecitazioni nel paramento'!$G$54,'Sollecitazioni nel paramento'!$G$53)</f>
        <v>0</v>
      </c>
      <c r="F1449" s="545">
        <f>-'Foglio deposito bis'!$F$69*(C1449-sezione!$AM$32)*IF(ABS(L1449)&lt;'Sollecitazioni nel paramento'!$G$58,ABS(L1449)*'Sollecitazioni nel paramento'!$G$54,'Sollecitazioni nel paramento'!$G$53)</f>
        <v>-31761204.887537472</v>
      </c>
      <c r="G1449" s="545">
        <f>-'Foglio deposito bis'!$F$70*(C1449-sezione!$AN$32)*IF(ABS(M1449)&lt;'Sollecitazioni nel paramento'!$G$58,ABS(M1449)*'Sollecitazioni nel paramento'!$G$54,'Sollecitazioni nel paramento'!$G$53)</f>
        <v>0</v>
      </c>
      <c r="H1449" s="545">
        <f>-'Foglio deposito bis'!$F$71*(C1449-sezione!$AO$32)*IF(ABS(N1449)&lt;'Sollecitazioni nel paramento'!$G$58,ABS(N1449)*'Sollecitazioni nel paramento'!$G$54,'Sollecitazioni nel paramento'!$G$53)</f>
        <v>-24749984.416227367</v>
      </c>
      <c r="I1449" s="472">
        <f>-'Foglio deposito bis'!$F$72*(C1449-sezione!$AP$32)*IF(ABS(O1449)&lt;'Sollecitazioni nel paramento'!$G$58,ABS(O1449)*'Sollecitazioni nel paramento'!$G$54,'Sollecitazioni nel paramento'!$G$53)</f>
        <v>119141519.85967332</v>
      </c>
      <c r="J1449" s="472">
        <f t="shared" si="103"/>
        <v>-1519789266.37341</v>
      </c>
      <c r="K1449" s="550">
        <f>'Sollecitazioni nel paramento'!$G$60*(sezione!$AL$32-C1449)/C1449</f>
        <v>-2.9750486923741785E-3</v>
      </c>
      <c r="L1449" s="550">
        <f>'Sollecitazioni nel paramento'!$G$60*(sezione!$AM$32-C1449)/C1449</f>
        <v>-2.7125730385612677E-3</v>
      </c>
      <c r="M1449" s="551">
        <f>'Sollecitazioni nel paramento'!$G$60*(sezione!$AN$32-C1449)/C1449</f>
        <v>-2.4500973847483565E-3</v>
      </c>
      <c r="N1449" s="551">
        <f>'Sollecitazioni nel paramento'!$G$60*(sezione!$AO$32-C1449)/C1449</f>
        <v>-1.4001947694967135E-3</v>
      </c>
      <c r="O1449" s="551">
        <f>'Sollecitazioni nel paramento'!$G$60*(sezione!$AP$32-C1449)/C1449</f>
        <v>3.1797840684187539E-3</v>
      </c>
      <c r="P1449" s="545">
        <f>-'Sollecitazioni nel paramento'!$G$47*'Sollecitazioni nel paramento'!$G$41*IF(DATI!$G$211="dx",DATI!$E$61,DATI!$E$64*DATI!$E$63)*1000*C1449*sezione!$AD$5</f>
        <v>-10160142.326574991</v>
      </c>
      <c r="Q1449" s="545">
        <f>'Foglio deposito bis'!$F$68*IF(ABS(K1449)&lt;'Sollecitazioni nel paramento'!$G$58,ABS(K1449)*'Sollecitazioni nel paramento'!$G$54,'Sollecitazioni nel paramento'!$G$53)*IF(K1449&lt;0,-1,1)</f>
        <v>0</v>
      </c>
      <c r="R1449" s="545">
        <f>'Foglio deposito bis'!$F$69*IF(ABS(L1449)&lt;'Sollecitazioni nel paramento'!$G$58,ABS(L1449)*'Sollecitazioni nel paramento'!$G$54,'Sollecitazioni nel paramento'!$G$53)*IF(L1449&lt;0,-1,1)</f>
        <v>-153664.85805602249</v>
      </c>
      <c r="S1449" s="545">
        <f>'Foglio deposito bis'!$F$70*IF(ABS(M1449)&lt;'Sollecitazioni nel paramento'!$G$58,ABS(M1449)*'Sollecitazioni nel paramento'!$G$54,'Sollecitazioni nel paramento'!$G$53)*IF(M1449&lt;0,-1,1)</f>
        <v>0</v>
      </c>
      <c r="T1449" s="545">
        <f>'Foglio deposito bis'!$F$71*IF(ABS(N1449)&lt;'Sollecitazioni nel paramento'!$G$58,ABS(N1449)*'Sollecitazioni nel paramento'!$G$54,'Sollecitazioni nel paramento'!$G$53)*IF(N1449&lt;0,-1,1)</f>
        <v>-231977.31069384198</v>
      </c>
      <c r="U1449" s="545">
        <f>'Foglio deposito bis'!$F$72*IF(ABS(O1449)&lt;'Sollecitazioni nel paramento'!$G$58,ABS(O1449)*'Sollecitazioni nel paramento'!$G$54,'Sollecitazioni nel paramento'!$G$53)*IF(O1449&lt;0,-1,1)</f>
        <v>491727.54577927204</v>
      </c>
      <c r="V1449" s="472">
        <f t="shared" si="105"/>
        <v>-10054056.949545581</v>
      </c>
      <c r="W1449" s="551"/>
      <c r="X1449" s="551"/>
    </row>
    <row r="1450" spans="1:24" x14ac:dyDescent="0.25">
      <c r="A1450" s="545">
        <f t="shared" si="104"/>
        <v>10346497.056390695</v>
      </c>
      <c r="B1450" s="3">
        <f t="shared" si="102"/>
        <v>36.899999999999942</v>
      </c>
      <c r="C1450" s="545">
        <f>'Foglio deposito bis'!$E$158/sezione!$B$247*B1450</f>
        <v>274.12013144472024</v>
      </c>
      <c r="D1450" s="603">
        <f>-'Sollecitazioni nel paramento'!$G$47*'Sollecitazioni nel paramento'!$G$41*IF(DATI!$G$211="dx",DATI!$E$61,DATI!$E$64*DATI!$E$63)*1000*C1450^2*sezione!$AD$5*(1-sezione!$AD$6)</f>
        <v>-1671804492.0313544</v>
      </c>
      <c r="E1450" s="545">
        <f>-'Foglio deposito bis'!$F$68*(C1450-sezione!$AL$32)*IF(ABS(K1450)&lt;'Sollecitazioni nel paramento'!$G$58,ABS(K1450)*'Sollecitazioni nel paramento'!$G$54,'Sollecitazioni nel paramento'!$G$53)</f>
        <v>0</v>
      </c>
      <c r="F1450" s="545">
        <f>-'Foglio deposito bis'!$F$69*(C1450-sezione!$AM$32)*IF(ABS(L1450)&lt;'Sollecitazioni nel paramento'!$G$58,ABS(L1450)*'Sollecitazioni nel paramento'!$G$54,'Sollecitazioni nel paramento'!$G$53)</f>
        <v>-32902739.605389811</v>
      </c>
      <c r="G1450" s="545">
        <f>-'Foglio deposito bis'!$F$70*(C1450-sezione!$AN$32)*IF(ABS(M1450)&lt;'Sollecitazioni nel paramento'!$G$58,ABS(M1450)*'Sollecitazioni nel paramento'!$G$54,'Sollecitazioni nel paramento'!$G$53)</f>
        <v>0</v>
      </c>
      <c r="H1450" s="545">
        <f>-'Foglio deposito bis'!$F$71*(C1450-sezione!$AO$32)*IF(ABS(N1450)&lt;'Sollecitazioni nel paramento'!$G$58,ABS(N1450)*'Sollecitazioni nel paramento'!$G$54,'Sollecitazioni nel paramento'!$G$53)</f>
        <v>-27549181.339947522</v>
      </c>
      <c r="I1450" s="472">
        <f>-'Foglio deposito bis'!$F$72*(C1450-sezione!$AP$32)*IF(ABS(O1450)&lt;'Sollecitazioni nel paramento'!$G$58,ABS(O1450)*'Sollecitazioni nel paramento'!$G$54,'Sollecitazioni nel paramento'!$G$53)</f>
        <v>115488608.76254584</v>
      </c>
      <c r="J1450" s="472">
        <f t="shared" si="103"/>
        <v>-1616767804.2141459</v>
      </c>
      <c r="K1450" s="550">
        <f>'Sollecitazioni nel paramento'!$G$60*(sezione!$AL$32-C1450)/C1450</f>
        <v>-2.9892750150740653E-3</v>
      </c>
      <c r="L1450" s="550">
        <f>'Sollecitazioni nel paramento'!$G$60*(sezione!$AM$32-C1450)/C1450</f>
        <v>-2.7339125226110979E-3</v>
      </c>
      <c r="M1450" s="551">
        <f>'Sollecitazioni nel paramento'!$G$60*(sezione!$AN$32-C1450)/C1450</f>
        <v>-2.4785500301481309E-3</v>
      </c>
      <c r="N1450" s="551">
        <f>'Sollecitazioni nel paramento'!$G$60*(sezione!$AO$32-C1450)/C1450</f>
        <v>-1.4571000602962611E-3</v>
      </c>
      <c r="O1450" s="551">
        <f>'Sollecitazioni nel paramento'!$G$60*(sezione!$AP$32-C1450)/C1450</f>
        <v>2.9987601099250197E-3</v>
      </c>
      <c r="P1450" s="545">
        <f>-'Sollecitazioni nel paramento'!$G$47*'Sollecitazioni nel paramento'!$G$41*IF(DATI!$G$211="dx",DATI!$E$61,DATI!$E$64*DATI!$E$63)*1000*C1450*sezione!$AD$5</f>
        <v>-10443154.647649504</v>
      </c>
      <c r="Q1450" s="545">
        <f>'Foglio deposito bis'!$F$68*IF(ABS(K1450)&lt;'Sollecitazioni nel paramento'!$G$58,ABS(K1450)*'Sollecitazioni nel paramento'!$G$54,'Sollecitazioni nel paramento'!$G$53)*IF(K1450&lt;0,-1,1)</f>
        <v>0</v>
      </c>
      <c r="R1450" s="545">
        <f>'Foglio deposito bis'!$F$69*IF(ABS(L1450)&lt;'Sollecitazioni nel paramento'!$G$58,ABS(L1450)*'Sollecitazioni nel paramento'!$G$54,'Sollecitazioni nel paramento'!$G$53)*IF(L1450&lt;0,-1,1)</f>
        <v>-153664.85805602249</v>
      </c>
      <c r="S1450" s="545">
        <f>'Foglio deposito bis'!$F$70*IF(ABS(M1450)&lt;'Sollecitazioni nel paramento'!$G$58,ABS(M1450)*'Sollecitazioni nel paramento'!$G$54,'Sollecitazioni nel paramento'!$G$53)*IF(M1450&lt;0,-1,1)</f>
        <v>0</v>
      </c>
      <c r="T1450" s="545">
        <f>'Foglio deposito bis'!$F$71*IF(ABS(N1450)&lt;'Sollecitazioni nel paramento'!$G$58,ABS(N1450)*'Sollecitazioni nel paramento'!$G$54,'Sollecitazioni nel paramento'!$G$53)*IF(N1450&lt;0,-1,1)</f>
        <v>-241405.09646444226</v>
      </c>
      <c r="U1450" s="545">
        <f>'Foglio deposito bis'!$F$72*IF(ABS(O1450)&lt;'Sollecitazioni nel paramento'!$G$58,ABS(O1450)*'Sollecitazioni nel paramento'!$G$54,'Sollecitazioni nel paramento'!$G$53)*IF(O1450&lt;0,-1,1)</f>
        <v>491727.54577927204</v>
      </c>
      <c r="V1450" s="472">
        <f t="shared" si="105"/>
        <v>-10346497.056390695</v>
      </c>
      <c r="W1450" s="551"/>
      <c r="X1450" s="551"/>
    </row>
    <row r="1451" spans="1:24" x14ac:dyDescent="0.25">
      <c r="A1451" s="545">
        <f t="shared" si="104"/>
        <v>10638439.654751873</v>
      </c>
      <c r="B1451" s="3">
        <f t="shared" si="102"/>
        <v>37.899999999999942</v>
      </c>
      <c r="C1451" s="545">
        <f>'Foglio deposito bis'!$E$158/sezione!$B$247*B1451</f>
        <v>281.54886129417065</v>
      </c>
      <c r="D1451" s="603">
        <f>-'Sollecitazioni nel paramento'!$G$47*'Sollecitazioni nel paramento'!$G$41*IF(DATI!$G$211="dx",DATI!$E$61,DATI!$E$64*DATI!$E$63)*1000*C1451^2*sezione!$AD$5*(1-sezione!$AD$6)</f>
        <v>-1763645016.1197097</v>
      </c>
      <c r="E1451" s="545">
        <f>-'Foglio deposito bis'!$F$68*(C1451-sezione!$AL$32)*IF(ABS(K1451)&lt;'Sollecitazioni nel paramento'!$G$58,ABS(K1451)*'Sollecitazioni nel paramento'!$G$54,'Sollecitazioni nel paramento'!$G$53)</f>
        <v>0</v>
      </c>
      <c r="F1451" s="545">
        <f>-'Foglio deposito bis'!$F$69*(C1451-sezione!$AM$32)*IF(ABS(L1451)&lt;'Sollecitazioni nel paramento'!$G$58,ABS(L1451)*'Sollecitazioni nel paramento'!$G$54,'Sollecitazioni nel paramento'!$G$53)</f>
        <v>-34044274.32324215</v>
      </c>
      <c r="G1451" s="545">
        <f>-'Foglio deposito bis'!$F$70*(C1451-sezione!$AN$32)*IF(ABS(M1451)&lt;'Sollecitazioni nel paramento'!$G$58,ABS(M1451)*'Sollecitazioni nel paramento'!$G$54,'Sollecitazioni nel paramento'!$G$53)</f>
        <v>0</v>
      </c>
      <c r="H1451" s="545">
        <f>-'Foglio deposito bis'!$F$71*(C1451-sezione!$AO$32)*IF(ABS(N1451)&lt;'Sollecitazioni nel paramento'!$G$58,ABS(N1451)*'Sollecitazioni nel paramento'!$G$54,'Sollecitazioni nel paramento'!$G$53)</f>
        <v>-30427979.621097527</v>
      </c>
      <c r="I1451" s="472">
        <f>-'Foglio deposito bis'!$F$72*(C1451-sezione!$AP$32)*IF(ABS(O1451)&lt;'Sollecitazioni nel paramento'!$G$58,ABS(O1451)*'Sollecitazioni nel paramento'!$G$54,'Sollecitazioni nel paramento'!$G$53)</f>
        <v>111835697.66541837</v>
      </c>
      <c r="J1451" s="472">
        <f t="shared" si="103"/>
        <v>-1716281572.3986311</v>
      </c>
      <c r="K1451" s="550">
        <f>'Sollecitazioni nel paramento'!$G$60*(sezione!$AL$32-C1451)/C1451</f>
        <v>-3.002750608343879E-3</v>
      </c>
      <c r="L1451" s="550">
        <f>'Sollecitazioni nel paramento'!$G$60*(sezione!$AM$32-C1451)/C1451</f>
        <v>-2.7541259125158186E-3</v>
      </c>
      <c r="M1451" s="551">
        <f>'Sollecitazioni nel paramento'!$G$60*(sezione!$AN$32-C1451)/C1451</f>
        <v>-2.5055012166877574E-3</v>
      </c>
      <c r="N1451" s="551">
        <f>'Sollecitazioni nel paramento'!$G$60*(sezione!$AO$32-C1451)/C1451</f>
        <v>-1.5110024333755154E-3</v>
      </c>
      <c r="O1451" s="551">
        <f>'Sollecitazioni nel paramento'!$G$60*(sezione!$AP$32-C1451)/C1451</f>
        <v>2.8272888669190824E-3</v>
      </c>
      <c r="P1451" s="545">
        <f>-'Sollecitazioni nel paramento'!$G$47*'Sollecitazioni nel paramento'!$G$41*IF(DATI!$G$211="dx",DATI!$E$61,DATI!$E$64*DATI!$E$63)*1000*C1451*sezione!$AD$5</f>
        <v>-10726166.968724018</v>
      </c>
      <c r="Q1451" s="545">
        <f>'Foglio deposito bis'!$F$68*IF(ABS(K1451)&lt;'Sollecitazioni nel paramento'!$G$58,ABS(K1451)*'Sollecitazioni nel paramento'!$G$54,'Sollecitazioni nel paramento'!$G$53)*IF(K1451&lt;0,-1,1)</f>
        <v>0</v>
      </c>
      <c r="R1451" s="545">
        <f>'Foglio deposito bis'!$F$69*IF(ABS(L1451)&lt;'Sollecitazioni nel paramento'!$G$58,ABS(L1451)*'Sollecitazioni nel paramento'!$G$54,'Sollecitazioni nel paramento'!$G$53)*IF(L1451&lt;0,-1,1)</f>
        <v>-153664.85805602249</v>
      </c>
      <c r="S1451" s="545">
        <f>'Foglio deposito bis'!$F$70*IF(ABS(M1451)&lt;'Sollecitazioni nel paramento'!$G$58,ABS(M1451)*'Sollecitazioni nel paramento'!$G$54,'Sollecitazioni nel paramento'!$G$53)*IF(M1451&lt;0,-1,1)</f>
        <v>0</v>
      </c>
      <c r="T1451" s="545">
        <f>'Foglio deposito bis'!$F$71*IF(ABS(N1451)&lt;'Sollecitazioni nel paramento'!$G$58,ABS(N1451)*'Sollecitazioni nel paramento'!$G$54,'Sollecitazioni nel paramento'!$G$53)*IF(N1451&lt;0,-1,1)</f>
        <v>-250335.37375110577</v>
      </c>
      <c r="U1451" s="545">
        <f>'Foglio deposito bis'!$F$72*IF(ABS(O1451)&lt;'Sollecitazioni nel paramento'!$G$58,ABS(O1451)*'Sollecitazioni nel paramento'!$G$54,'Sollecitazioni nel paramento'!$G$53)*IF(O1451&lt;0,-1,1)</f>
        <v>491727.54577927204</v>
      </c>
      <c r="V1451" s="472">
        <f t="shared" si="105"/>
        <v>-10638439.654751873</v>
      </c>
      <c r="W1451" s="551"/>
      <c r="X1451" s="551"/>
    </row>
    <row r="1452" spans="1:24" x14ac:dyDescent="0.25">
      <c r="A1452" s="545">
        <f t="shared" si="104"/>
        <v>10929923.112892652</v>
      </c>
      <c r="B1452" s="3">
        <f t="shared" si="102"/>
        <v>38.899999999999942</v>
      </c>
      <c r="C1452" s="545">
        <f>'Foglio deposito bis'!$E$158/sezione!$B$247*B1452</f>
        <v>288.97759114362105</v>
      </c>
      <c r="D1452" s="603">
        <f>-'Sollecitazioni nel paramento'!$G$47*'Sollecitazioni nel paramento'!$G$41*IF(DATI!$G$211="dx",DATI!$E$61,DATI!$E$64*DATI!$E$63)*1000*C1452^2*sezione!$AD$5*(1-sezione!$AD$6)</f>
        <v>-1857941169.1943846</v>
      </c>
      <c r="E1452" s="545">
        <f>-'Foglio deposito bis'!$F$68*(C1452-sezione!$AL$32)*IF(ABS(K1452)&lt;'Sollecitazioni nel paramento'!$G$58,ABS(K1452)*'Sollecitazioni nel paramento'!$G$54,'Sollecitazioni nel paramento'!$G$53)</f>
        <v>0</v>
      </c>
      <c r="F1452" s="545">
        <f>-'Foglio deposito bis'!$F$69*(C1452-sezione!$AM$32)*IF(ABS(L1452)&lt;'Sollecitazioni nel paramento'!$G$58,ABS(L1452)*'Sollecitazioni nel paramento'!$G$54,'Sollecitazioni nel paramento'!$G$53)</f>
        <v>-35185809.041094482</v>
      </c>
      <c r="G1452" s="545">
        <f>-'Foglio deposito bis'!$F$70*(C1452-sezione!$AN$32)*IF(ABS(M1452)&lt;'Sollecitazioni nel paramento'!$G$58,ABS(M1452)*'Sollecitazioni nel paramento'!$G$54,'Sollecitazioni nel paramento'!$G$53)</f>
        <v>0</v>
      </c>
      <c r="H1452" s="545">
        <f>-'Foglio deposito bis'!$F$71*(C1452-sezione!$AO$32)*IF(ABS(N1452)&lt;'Sollecitazioni nel paramento'!$G$58,ABS(N1452)*'Sollecitazioni nel paramento'!$G$54,'Sollecitazioni nel paramento'!$G$53)</f>
        <v>-33380240.337510567</v>
      </c>
      <c r="I1452" s="472">
        <f>-'Foglio deposito bis'!$F$72*(C1452-sezione!$AP$32)*IF(ABS(O1452)&lt;'Sollecitazioni nel paramento'!$G$58,ABS(O1452)*'Sollecitazioni nel paramento'!$G$54,'Sollecitazioni nel paramento'!$G$53)</f>
        <v>108182786.56829089</v>
      </c>
      <c r="J1452" s="472">
        <f t="shared" si="103"/>
        <v>-1818324432.0046988</v>
      </c>
      <c r="K1452" s="550">
        <f>'Sollecitazioni nel paramento'!$G$60*(sezione!$AL$32-C1452)/C1452</f>
        <v>-3.0155333690548335E-3</v>
      </c>
      <c r="L1452" s="550">
        <f>'Sollecitazioni nel paramento'!$G$60*(sezione!$AM$32-C1452)/C1452</f>
        <v>-2.7733000535822496E-3</v>
      </c>
      <c r="M1452" s="551">
        <f>'Sollecitazioni nel paramento'!$G$60*(sezione!$AN$32-C1452)/C1452</f>
        <v>-2.5310667381096665E-3</v>
      </c>
      <c r="N1452" s="551">
        <f>'Sollecitazioni nel paramento'!$G$60*(sezione!$AO$32-C1452)/C1452</f>
        <v>-1.5621334762193325E-3</v>
      </c>
      <c r="O1452" s="551">
        <f>'Sollecitazioni nel paramento'!$G$60*(sezione!$AP$32-C1452)/C1452</f>
        <v>2.664633626124248E-3</v>
      </c>
      <c r="P1452" s="545">
        <f>-'Sollecitazioni nel paramento'!$G$47*'Sollecitazioni nel paramento'!$G$41*IF(DATI!$G$211="dx",DATI!$E$61,DATI!$E$64*DATI!$E$63)*1000*C1452*sezione!$AD$5</f>
        <v>-11009179.289798528</v>
      </c>
      <c r="Q1452" s="545">
        <f>'Foglio deposito bis'!$F$68*IF(ABS(K1452)&lt;'Sollecitazioni nel paramento'!$G$58,ABS(K1452)*'Sollecitazioni nel paramento'!$G$54,'Sollecitazioni nel paramento'!$G$53)*IF(K1452&lt;0,-1,1)</f>
        <v>0</v>
      </c>
      <c r="R1452" s="545">
        <f>'Foglio deposito bis'!$F$69*IF(ABS(L1452)&lt;'Sollecitazioni nel paramento'!$G$58,ABS(L1452)*'Sollecitazioni nel paramento'!$G$54,'Sollecitazioni nel paramento'!$G$53)*IF(L1452&lt;0,-1,1)</f>
        <v>-153664.85805602249</v>
      </c>
      <c r="S1452" s="545">
        <f>'Foglio deposito bis'!$F$70*IF(ABS(M1452)&lt;'Sollecitazioni nel paramento'!$G$58,ABS(M1452)*'Sollecitazioni nel paramento'!$G$54,'Sollecitazioni nel paramento'!$G$53)*IF(M1452&lt;0,-1,1)</f>
        <v>0</v>
      </c>
      <c r="T1452" s="545">
        <f>'Foglio deposito bis'!$F$71*IF(ABS(N1452)&lt;'Sollecitazioni nel paramento'!$G$58,ABS(N1452)*'Sollecitazioni nel paramento'!$G$54,'Sollecitazioni nel paramento'!$G$53)*IF(N1452&lt;0,-1,1)</f>
        <v>-258806.5108173753</v>
      </c>
      <c r="U1452" s="545">
        <f>'Foglio deposito bis'!$F$72*IF(ABS(O1452)&lt;'Sollecitazioni nel paramento'!$G$58,ABS(O1452)*'Sollecitazioni nel paramento'!$G$54,'Sollecitazioni nel paramento'!$G$53)*IF(O1452&lt;0,-1,1)</f>
        <v>491727.54577927204</v>
      </c>
      <c r="V1452" s="472">
        <f t="shared" si="105"/>
        <v>-10929923.112892652</v>
      </c>
      <c r="W1452" s="551"/>
      <c r="X1452" s="551"/>
    </row>
    <row r="1453" spans="1:24" x14ac:dyDescent="0.25">
      <c r="A1453" s="545">
        <f t="shared" si="104"/>
        <v>11220981.952634126</v>
      </c>
      <c r="B1453" s="3">
        <f t="shared" si="102"/>
        <v>39.899999999999942</v>
      </c>
      <c r="C1453" s="545">
        <f>'Foglio deposito bis'!$E$158/sezione!$B$247*B1453</f>
        <v>296.40632099307152</v>
      </c>
      <c r="D1453" s="603">
        <f>-'Sollecitazioni nel paramento'!$G$47*'Sollecitazioni nel paramento'!$G$41*IF(DATI!$G$211="dx",DATI!$E$61,DATI!$E$64*DATI!$E$63)*1000*C1453^2*sezione!$AD$5*(1-sezione!$AD$6)</f>
        <v>-1954692951.2553797</v>
      </c>
      <c r="E1453" s="545">
        <f>-'Foglio deposito bis'!$F$68*(C1453-sezione!$AL$32)*IF(ABS(K1453)&lt;'Sollecitazioni nel paramento'!$G$58,ABS(K1453)*'Sollecitazioni nel paramento'!$G$54,'Sollecitazioni nel paramento'!$G$53)</f>
        <v>0</v>
      </c>
      <c r="F1453" s="545">
        <f>-'Foglio deposito bis'!$F$69*(C1453-sezione!$AM$32)*IF(ABS(L1453)&lt;'Sollecitazioni nel paramento'!$G$58,ABS(L1453)*'Sollecitazioni nel paramento'!$G$54,'Sollecitazioni nel paramento'!$G$53)</f>
        <v>-36327343.758946829</v>
      </c>
      <c r="G1453" s="545">
        <f>-'Foglio deposito bis'!$F$70*(C1453-sezione!$AN$32)*IF(ABS(M1453)&lt;'Sollecitazioni nel paramento'!$G$58,ABS(M1453)*'Sollecitazioni nel paramento'!$G$54,'Sollecitazioni nel paramento'!$G$53)</f>
        <v>0</v>
      </c>
      <c r="H1453" s="545">
        <f>-'Foglio deposito bis'!$F$71*(C1453-sezione!$AO$32)*IF(ABS(N1453)&lt;'Sollecitazioni nel paramento'!$G$58,ABS(N1453)*'Sollecitazioni nel paramento'!$G$54,'Sollecitazioni nel paramento'!$G$53)</f>
        <v>-36400439.997813508</v>
      </c>
      <c r="I1453" s="472">
        <f>-'Foglio deposito bis'!$F$72*(C1453-sezione!$AP$32)*IF(ABS(O1453)&lt;'Sollecitazioni nel paramento'!$G$58,ABS(O1453)*'Sollecitazioni nel paramento'!$G$54,'Sollecitazioni nel paramento'!$G$53)</f>
        <v>104529875.47116341</v>
      </c>
      <c r="J1453" s="472">
        <f t="shared" si="103"/>
        <v>-1922890859.5409765</v>
      </c>
      <c r="K1453" s="550">
        <f>'Sollecitazioni nel paramento'!$G$60*(sezione!$AL$32-C1453)/C1453</f>
        <v>-3.0276753898805268E-3</v>
      </c>
      <c r="L1453" s="550">
        <f>'Sollecitazioni nel paramento'!$G$60*(sezione!$AM$32-C1453)/C1453</f>
        <v>-2.79151308482079E-3</v>
      </c>
      <c r="M1453" s="551">
        <f>'Sollecitazioni nel paramento'!$G$60*(sezione!$AN$32-C1453)/C1453</f>
        <v>-2.5553507797610531E-3</v>
      </c>
      <c r="N1453" s="551">
        <f>'Sollecitazioni nel paramento'!$G$60*(sezione!$AO$32-C1453)/C1453</f>
        <v>-1.6107015595221061E-3</v>
      </c>
      <c r="O1453" s="551">
        <f>'Sollecitazioni nel paramento'!$G$60*(sezione!$AP$32-C1453)/C1453</f>
        <v>2.5101315302314088E-3</v>
      </c>
      <c r="P1453" s="545">
        <f>-'Sollecitazioni nel paramento'!$G$47*'Sollecitazioni nel paramento'!$G$41*IF(DATI!$G$211="dx",DATI!$E$61,DATI!$E$64*DATI!$E$63)*1000*C1453*sezione!$AD$5</f>
        <v>-11292191.610873044</v>
      </c>
      <c r="Q1453" s="545">
        <f>'Foglio deposito bis'!$F$68*IF(ABS(K1453)&lt;'Sollecitazioni nel paramento'!$G$58,ABS(K1453)*'Sollecitazioni nel paramento'!$G$54,'Sollecitazioni nel paramento'!$G$53)*IF(K1453&lt;0,-1,1)</f>
        <v>0</v>
      </c>
      <c r="R1453" s="545">
        <f>'Foglio deposito bis'!$F$69*IF(ABS(L1453)&lt;'Sollecitazioni nel paramento'!$G$58,ABS(L1453)*'Sollecitazioni nel paramento'!$G$54,'Sollecitazioni nel paramento'!$G$53)*IF(L1453&lt;0,-1,1)</f>
        <v>-153664.85805602249</v>
      </c>
      <c r="S1453" s="545">
        <f>'Foglio deposito bis'!$F$70*IF(ABS(M1453)&lt;'Sollecitazioni nel paramento'!$G$58,ABS(M1453)*'Sollecitazioni nel paramento'!$G$54,'Sollecitazioni nel paramento'!$G$53)*IF(M1453&lt;0,-1,1)</f>
        <v>0</v>
      </c>
      <c r="T1453" s="545">
        <f>'Foglio deposito bis'!$F$71*IF(ABS(N1453)&lt;'Sollecitazioni nel paramento'!$G$58,ABS(N1453)*'Sollecitazioni nel paramento'!$G$54,'Sollecitazioni nel paramento'!$G$53)*IF(N1453&lt;0,-1,1)</f>
        <v>-266853.02948433306</v>
      </c>
      <c r="U1453" s="545">
        <f>'Foglio deposito bis'!$F$72*IF(ABS(O1453)&lt;'Sollecitazioni nel paramento'!$G$58,ABS(O1453)*'Sollecitazioni nel paramento'!$G$54,'Sollecitazioni nel paramento'!$G$53)*IF(O1453&lt;0,-1,1)</f>
        <v>491727.54577927204</v>
      </c>
      <c r="V1453" s="472">
        <f t="shared" si="105"/>
        <v>-11220981.952634126</v>
      </c>
      <c r="W1453" s="551"/>
      <c r="X1453" s="551"/>
    </row>
    <row r="1454" spans="1:24" x14ac:dyDescent="0.25">
      <c r="A1454" s="545">
        <f t="shared" si="104"/>
        <v>11511647.319580145</v>
      </c>
      <c r="B1454" s="3">
        <f t="shared" si="102"/>
        <v>40.899999999999942</v>
      </c>
      <c r="C1454" s="545">
        <f>'Foglio deposito bis'!$E$158/sezione!$B$247*B1454</f>
        <v>303.83505084252192</v>
      </c>
      <c r="D1454" s="603">
        <f>-'Sollecitazioni nel paramento'!$G$47*'Sollecitazioni nel paramento'!$G$41*IF(DATI!$G$211="dx",DATI!$E$61,DATI!$E$64*DATI!$E$63)*1000*C1454^2*sezione!$AD$5*(1-sezione!$AD$6)</f>
        <v>-2053900362.3026938</v>
      </c>
      <c r="E1454" s="545">
        <f>-'Foglio deposito bis'!$F$68*(C1454-sezione!$AL$32)*IF(ABS(K1454)&lt;'Sollecitazioni nel paramento'!$G$58,ABS(K1454)*'Sollecitazioni nel paramento'!$G$54,'Sollecitazioni nel paramento'!$G$53)</f>
        <v>0</v>
      </c>
      <c r="F1454" s="545">
        <f>-'Foglio deposito bis'!$F$69*(C1454-sezione!$AM$32)*IF(ABS(L1454)&lt;'Sollecitazioni nel paramento'!$G$58,ABS(L1454)*'Sollecitazioni nel paramento'!$G$54,'Sollecitazioni nel paramento'!$G$53)</f>
        <v>-37468878.47679916</v>
      </c>
      <c r="G1454" s="545">
        <f>-'Foglio deposito bis'!$F$70*(C1454-sezione!$AN$32)*IF(ABS(M1454)&lt;'Sollecitazioni nel paramento'!$G$58,ABS(M1454)*'Sollecitazioni nel paramento'!$G$54,'Sollecitazioni nel paramento'!$G$53)</f>
        <v>0</v>
      </c>
      <c r="H1454" s="545">
        <f>-'Foglio deposito bis'!$F$71*(C1454-sezione!$AO$32)*IF(ABS(N1454)&lt;'Sollecitazioni nel paramento'!$G$58,ABS(N1454)*'Sollecitazioni nel paramento'!$G$54,'Sollecitazioni nel paramento'!$G$53)</f>
        <v>-39483595.30538848</v>
      </c>
      <c r="I1454" s="472">
        <f>-'Foglio deposito bis'!$F$72*(C1454-sezione!$AP$32)*IF(ABS(O1454)&lt;'Sollecitazioni nel paramento'!$G$58,ABS(O1454)*'Sollecitazioni nel paramento'!$G$54,'Sollecitazioni nel paramento'!$G$53)</f>
        <v>100876964.37403594</v>
      </c>
      <c r="J1454" s="472">
        <f t="shared" si="103"/>
        <v>-2029975871.7108457</v>
      </c>
      <c r="K1454" s="550">
        <f>'Sollecitazioni nel paramento'!$G$60*(sezione!$AL$32-C1454)/C1454</f>
        <v>-3.0392236688565528E-3</v>
      </c>
      <c r="L1454" s="550">
        <f>'Sollecitazioni nel paramento'!$G$60*(sezione!$AM$32-C1454)/C1454</f>
        <v>-2.8088355032848292E-3</v>
      </c>
      <c r="M1454" s="551">
        <f>'Sollecitazioni nel paramento'!$G$60*(sezione!$AN$32-C1454)/C1454</f>
        <v>-2.5784473377131055E-3</v>
      </c>
      <c r="N1454" s="551">
        <f>'Sollecitazioni nel paramento'!$G$60*(sezione!$AO$32-C1454)/C1454</f>
        <v>-1.6568946754262114E-3</v>
      </c>
      <c r="O1454" s="551">
        <f>'Sollecitazioni nel paramento'!$G$60*(sezione!$AP$32-C1454)/C1454</f>
        <v>2.3631845490521565E-3</v>
      </c>
      <c r="P1454" s="545">
        <f>-'Sollecitazioni nel paramento'!$G$47*'Sollecitazioni nel paramento'!$G$41*IF(DATI!$G$211="dx",DATI!$E$61,DATI!$E$64*DATI!$E$63)*1000*C1454*sezione!$AD$5</f>
        <v>-11575203.931947555</v>
      </c>
      <c r="Q1454" s="545">
        <f>'Foglio deposito bis'!$F$68*IF(ABS(K1454)&lt;'Sollecitazioni nel paramento'!$G$58,ABS(K1454)*'Sollecitazioni nel paramento'!$G$54,'Sollecitazioni nel paramento'!$G$53)*IF(K1454&lt;0,-1,1)</f>
        <v>0</v>
      </c>
      <c r="R1454" s="545">
        <f>'Foglio deposito bis'!$F$69*IF(ABS(L1454)&lt;'Sollecitazioni nel paramento'!$G$58,ABS(L1454)*'Sollecitazioni nel paramento'!$G$54,'Sollecitazioni nel paramento'!$G$53)*IF(L1454&lt;0,-1,1)</f>
        <v>-153664.85805602249</v>
      </c>
      <c r="S1454" s="545">
        <f>'Foglio deposito bis'!$F$70*IF(ABS(M1454)&lt;'Sollecitazioni nel paramento'!$G$58,ABS(M1454)*'Sollecitazioni nel paramento'!$G$54,'Sollecitazioni nel paramento'!$G$53)*IF(M1454&lt;0,-1,1)</f>
        <v>0</v>
      </c>
      <c r="T1454" s="545">
        <f>'Foglio deposito bis'!$F$71*IF(ABS(N1454)&lt;'Sollecitazioni nel paramento'!$G$58,ABS(N1454)*'Sollecitazioni nel paramento'!$G$54,'Sollecitazioni nel paramento'!$G$53)*IF(N1454&lt;0,-1,1)</f>
        <v>-274506.07535584061</v>
      </c>
      <c r="U1454" s="545">
        <f>'Foglio deposito bis'!$F$72*IF(ABS(O1454)&lt;'Sollecitazioni nel paramento'!$G$58,ABS(O1454)*'Sollecitazioni nel paramento'!$G$54,'Sollecitazioni nel paramento'!$G$53)*IF(O1454&lt;0,-1,1)</f>
        <v>491727.54577927204</v>
      </c>
      <c r="V1454" s="472">
        <f t="shared" si="105"/>
        <v>-11511647.319580145</v>
      </c>
      <c r="W1454" s="551"/>
      <c r="X1454" s="551"/>
    </row>
    <row r="1455" spans="1:24" x14ac:dyDescent="0.25">
      <c r="A1455" s="545">
        <f t="shared" si="104"/>
        <v>11801947.386007238</v>
      </c>
      <c r="B1455" s="3">
        <f t="shared" si="102"/>
        <v>41.899999999999942</v>
      </c>
      <c r="C1455" s="545">
        <f>'Foglio deposito bis'!$E$158/sezione!$B$247*B1455</f>
        <v>311.26378069197233</v>
      </c>
      <c r="D1455" s="603">
        <f>-'Sollecitazioni nel paramento'!$G$47*'Sollecitazioni nel paramento'!$G$41*IF(DATI!$G$211="dx",DATI!$E$61,DATI!$E$64*DATI!$E$63)*1000*C1455^2*sezione!$AD$5*(1-sezione!$AD$6)</f>
        <v>-2155563402.3363276</v>
      </c>
      <c r="E1455" s="545">
        <f>-'Foglio deposito bis'!$F$68*(C1455-sezione!$AL$32)*IF(ABS(K1455)&lt;'Sollecitazioni nel paramento'!$G$58,ABS(K1455)*'Sollecitazioni nel paramento'!$G$54,'Sollecitazioni nel paramento'!$G$53)</f>
        <v>0</v>
      </c>
      <c r="F1455" s="545">
        <f>-'Foglio deposito bis'!$F$69*(C1455-sezione!$AM$32)*IF(ABS(L1455)&lt;'Sollecitazioni nel paramento'!$G$58,ABS(L1455)*'Sollecitazioni nel paramento'!$G$54,'Sollecitazioni nel paramento'!$G$53)</f>
        <v>-38610413.194651492</v>
      </c>
      <c r="G1455" s="545">
        <f>-'Foglio deposito bis'!$F$70*(C1455-sezione!$AN$32)*IF(ABS(M1455)&lt;'Sollecitazioni nel paramento'!$G$58,ABS(M1455)*'Sollecitazioni nel paramento'!$G$54,'Sollecitazioni nel paramento'!$G$53)</f>
        <v>0</v>
      </c>
      <c r="H1455" s="545">
        <f>-'Foglio deposito bis'!$F$71*(C1455-sezione!$AO$32)*IF(ABS(N1455)&lt;'Sollecitazioni nel paramento'!$G$58,ABS(N1455)*'Sollecitazioni nel paramento'!$G$54,'Sollecitazioni nel paramento'!$G$53)</f>
        <v>-42625198.695991665</v>
      </c>
      <c r="I1455" s="472">
        <f>-'Foglio deposito bis'!$F$72*(C1455-sezione!$AP$32)*IF(ABS(O1455)&lt;'Sollecitazioni nel paramento'!$G$58,ABS(O1455)*'Sollecitazioni nel paramento'!$G$54,'Sollecitazioni nel paramento'!$G$53)</f>
        <v>97224053.276908472</v>
      </c>
      <c r="J1455" s="472">
        <f t="shared" si="103"/>
        <v>-2139574960.9500623</v>
      </c>
      <c r="K1455" s="550">
        <f>'Sollecitazioni nel paramento'!$G$60*(sezione!$AL$32-C1455)/C1455</f>
        <v>-3.0502207173325299E-3</v>
      </c>
      <c r="L1455" s="550">
        <f>'Sollecitazioni nel paramento'!$G$60*(sezione!$AM$32-C1455)/C1455</f>
        <v>-2.8253310759987949E-3</v>
      </c>
      <c r="M1455" s="551">
        <f>'Sollecitazioni nel paramento'!$G$60*(sezione!$AN$32-C1455)/C1455</f>
        <v>-2.6004414346650602E-3</v>
      </c>
      <c r="N1455" s="551">
        <f>'Sollecitazioni nel paramento'!$G$60*(sezione!$AO$32-C1455)/C1455</f>
        <v>-1.7008828693301202E-3</v>
      </c>
      <c r="O1455" s="551">
        <f>'Sollecitazioni nel paramento'!$G$60*(sezione!$AP$32-C1455)/C1455</f>
        <v>2.2232517435855186E-3</v>
      </c>
      <c r="P1455" s="545">
        <f>-'Sollecitazioni nel paramento'!$G$47*'Sollecitazioni nel paramento'!$G$41*IF(DATI!$G$211="dx",DATI!$E$61,DATI!$E$64*DATI!$E$63)*1000*C1455*sezione!$AD$5</f>
        <v>-11858216.253022067</v>
      </c>
      <c r="Q1455" s="545">
        <f>'Foglio deposito bis'!$F$68*IF(ABS(K1455)&lt;'Sollecitazioni nel paramento'!$G$58,ABS(K1455)*'Sollecitazioni nel paramento'!$G$54,'Sollecitazioni nel paramento'!$G$53)*IF(K1455&lt;0,-1,1)</f>
        <v>0</v>
      </c>
      <c r="R1455" s="545">
        <f>'Foglio deposito bis'!$F$69*IF(ABS(L1455)&lt;'Sollecitazioni nel paramento'!$G$58,ABS(L1455)*'Sollecitazioni nel paramento'!$G$54,'Sollecitazioni nel paramento'!$G$53)*IF(L1455&lt;0,-1,1)</f>
        <v>-153664.85805602249</v>
      </c>
      <c r="S1455" s="545">
        <f>'Foglio deposito bis'!$F$70*IF(ABS(M1455)&lt;'Sollecitazioni nel paramento'!$G$58,ABS(M1455)*'Sollecitazioni nel paramento'!$G$54,'Sollecitazioni nel paramento'!$G$53)*IF(M1455&lt;0,-1,1)</f>
        <v>0</v>
      </c>
      <c r="T1455" s="545">
        <f>'Foglio deposito bis'!$F$71*IF(ABS(N1455)&lt;'Sollecitazioni nel paramento'!$G$58,ABS(N1455)*'Sollecitazioni nel paramento'!$G$54,'Sollecitazioni nel paramento'!$G$53)*IF(N1455&lt;0,-1,1)</f>
        <v>-281793.82070842164</v>
      </c>
      <c r="U1455" s="545">
        <f>'Foglio deposito bis'!$F$72*IF(ABS(O1455)&lt;'Sollecitazioni nel paramento'!$G$58,ABS(O1455)*'Sollecitazioni nel paramento'!$G$54,'Sollecitazioni nel paramento'!$G$53)*IF(O1455&lt;0,-1,1)</f>
        <v>491727.54577927204</v>
      </c>
      <c r="V1455" s="472">
        <f t="shared" si="105"/>
        <v>-11801947.386007238</v>
      </c>
      <c r="W1455" s="551"/>
      <c r="X1455" s="551"/>
    </row>
    <row r="1456" spans="1:24" x14ac:dyDescent="0.25">
      <c r="A1456" s="545">
        <f t="shared" si="104"/>
        <v>12091907.69740624</v>
      </c>
      <c r="B1456" s="3">
        <f t="shared" si="102"/>
        <v>42.899999999999942</v>
      </c>
      <c r="C1456" s="545">
        <f>'Foglio deposito bis'!$E$158/sezione!$B$247*B1456</f>
        <v>318.69251054142279</v>
      </c>
      <c r="D1456" s="603">
        <f>-'Sollecitazioni nel paramento'!$G$47*'Sollecitazioni nel paramento'!$G$41*IF(DATI!$G$211="dx",DATI!$E$61,DATI!$E$64*DATI!$E$63)*1000*C1456^2*sezione!$AD$5*(1-sezione!$AD$6)</f>
        <v>-2259682071.3562818</v>
      </c>
      <c r="E1456" s="545">
        <f>-'Foglio deposito bis'!$F$68*(C1456-sezione!$AL$32)*IF(ABS(K1456)&lt;'Sollecitazioni nel paramento'!$G$58,ABS(K1456)*'Sollecitazioni nel paramento'!$G$54,'Sollecitazioni nel paramento'!$G$53)</f>
        <v>0</v>
      </c>
      <c r="F1456" s="545">
        <f>-'Foglio deposito bis'!$F$69*(C1456-sezione!$AM$32)*IF(ABS(L1456)&lt;'Sollecitazioni nel paramento'!$G$58,ABS(L1456)*'Sollecitazioni nel paramento'!$G$54,'Sollecitazioni nel paramento'!$G$53)</f>
        <v>-39751947.912503831</v>
      </c>
      <c r="G1456" s="545">
        <f>-'Foglio deposito bis'!$F$70*(C1456-sezione!$AN$32)*IF(ABS(M1456)&lt;'Sollecitazioni nel paramento'!$G$58,ABS(M1456)*'Sollecitazioni nel paramento'!$G$54,'Sollecitazioni nel paramento'!$G$53)</f>
        <v>0</v>
      </c>
      <c r="H1456" s="545">
        <f>-'Foglio deposito bis'!$F$71*(C1456-sezione!$AO$32)*IF(ABS(N1456)&lt;'Sollecitazioni nel paramento'!$G$58,ABS(N1456)*'Sollecitazioni nel paramento'!$G$54,'Sollecitazioni nel paramento'!$G$53)</f>
        <v>-45821162.891089648</v>
      </c>
      <c r="I1456" s="472">
        <f>-'Foglio deposito bis'!$F$72*(C1456-sezione!$AP$32)*IF(ABS(O1456)&lt;'Sollecitazioni nel paramento'!$G$58,ABS(O1456)*'Sollecitazioni nel paramento'!$G$54,'Sollecitazioni nel paramento'!$G$53)</f>
        <v>93571142.17978096</v>
      </c>
      <c r="J1456" s="472">
        <f t="shared" si="103"/>
        <v>-2251684039.980094</v>
      </c>
      <c r="K1456" s="550">
        <f>'Sollecitazioni nel paramento'!$G$60*(sezione!$AL$32-C1456)/C1456</f>
        <v>-3.0607050828958746E-3</v>
      </c>
      <c r="L1456" s="550">
        <f>'Sollecitazioni nel paramento'!$G$60*(sezione!$AM$32-C1456)/C1456</f>
        <v>-2.8410576243438116E-3</v>
      </c>
      <c r="M1456" s="551">
        <f>'Sollecitazioni nel paramento'!$G$60*(sezione!$AN$32-C1456)/C1456</f>
        <v>-2.6214101657917486E-3</v>
      </c>
      <c r="N1456" s="551">
        <f>'Sollecitazioni nel paramento'!$G$60*(sezione!$AO$32-C1456)/C1456</f>
        <v>-1.7428203315834974E-3</v>
      </c>
      <c r="O1456" s="551">
        <f>'Sollecitazioni nel paramento'!$G$60*(sezione!$AP$32-C1456)/C1456</f>
        <v>2.0898426120334072E-3</v>
      </c>
      <c r="P1456" s="545">
        <f>-'Sollecitazioni nel paramento'!$G$47*'Sollecitazioni nel paramento'!$G$41*IF(DATI!$G$211="dx",DATI!$E$61,DATI!$E$64*DATI!$E$63)*1000*C1456*sezione!$AD$5</f>
        <v>-12141228.574096581</v>
      </c>
      <c r="Q1456" s="545">
        <f>'Foglio deposito bis'!$F$68*IF(ABS(K1456)&lt;'Sollecitazioni nel paramento'!$G$58,ABS(K1456)*'Sollecitazioni nel paramento'!$G$54,'Sollecitazioni nel paramento'!$G$53)*IF(K1456&lt;0,-1,1)</f>
        <v>0</v>
      </c>
      <c r="R1456" s="545">
        <f>'Foglio deposito bis'!$F$69*IF(ABS(L1456)&lt;'Sollecitazioni nel paramento'!$G$58,ABS(L1456)*'Sollecitazioni nel paramento'!$G$54,'Sollecitazioni nel paramento'!$G$53)*IF(L1456&lt;0,-1,1)</f>
        <v>-153664.85805602249</v>
      </c>
      <c r="S1456" s="545">
        <f>'Foglio deposito bis'!$F$70*IF(ABS(M1456)&lt;'Sollecitazioni nel paramento'!$G$58,ABS(M1456)*'Sollecitazioni nel paramento'!$G$54,'Sollecitazioni nel paramento'!$G$53)*IF(M1456&lt;0,-1,1)</f>
        <v>0</v>
      </c>
      <c r="T1456" s="545">
        <f>'Foglio deposito bis'!$F$71*IF(ABS(N1456)&lt;'Sollecitazioni nel paramento'!$G$58,ABS(N1456)*'Sollecitazioni nel paramento'!$G$54,'Sollecitazioni nel paramento'!$G$53)*IF(N1456&lt;0,-1,1)</f>
        <v>-288741.81103291042</v>
      </c>
      <c r="U1456" s="545">
        <f>'Foglio deposito bis'!$F$72*IF(ABS(O1456)&lt;'Sollecitazioni nel paramento'!$G$58,ABS(O1456)*'Sollecitazioni nel paramento'!$G$54,'Sollecitazioni nel paramento'!$G$53)*IF(O1456&lt;0,-1,1)</f>
        <v>491727.54577927204</v>
      </c>
      <c r="V1456" s="472">
        <f t="shared" si="105"/>
        <v>-12091907.69740624</v>
      </c>
      <c r="W1456" s="551"/>
      <c r="X1456" s="551"/>
    </row>
    <row r="1457" spans="1:24" x14ac:dyDescent="0.25">
      <c r="A1457" s="545">
        <f t="shared" si="104"/>
        <v>12381551.47166062</v>
      </c>
      <c r="B1457" s="3">
        <f t="shared" si="102"/>
        <v>43.899999999999942</v>
      </c>
      <c r="C1457" s="545">
        <f>'Foglio deposito bis'!$E$158/sezione!$B$247*B1457</f>
        <v>326.1212403908732</v>
      </c>
      <c r="D1457" s="603">
        <f>-'Sollecitazioni nel paramento'!$G$47*'Sollecitazioni nel paramento'!$G$41*IF(DATI!$G$211="dx",DATI!$E$61,DATI!$E$64*DATI!$E$63)*1000*C1457^2*sezione!$AD$5*(1-sezione!$AD$6)</f>
        <v>-2366256369.362555</v>
      </c>
      <c r="E1457" s="545">
        <f>-'Foglio deposito bis'!$F$68*(C1457-sezione!$AL$32)*IF(ABS(K1457)&lt;'Sollecitazioni nel paramento'!$G$58,ABS(K1457)*'Sollecitazioni nel paramento'!$G$54,'Sollecitazioni nel paramento'!$G$53)</f>
        <v>0</v>
      </c>
      <c r="F1457" s="545">
        <f>-'Foglio deposito bis'!$F$69*(C1457-sezione!$AM$32)*IF(ABS(L1457)&lt;'Sollecitazioni nel paramento'!$G$58,ABS(L1457)*'Sollecitazioni nel paramento'!$G$54,'Sollecitazioni nel paramento'!$G$53)</f>
        <v>-40893482.63035617</v>
      </c>
      <c r="G1457" s="545">
        <f>-'Foglio deposito bis'!$F$70*(C1457-sezione!$AN$32)*IF(ABS(M1457)&lt;'Sollecitazioni nel paramento'!$G$58,ABS(M1457)*'Sollecitazioni nel paramento'!$G$54,'Sollecitazioni nel paramento'!$G$53)</f>
        <v>0</v>
      </c>
      <c r="H1457" s="545">
        <f>-'Foglio deposito bis'!$F$71*(C1457-sezione!$AO$32)*IF(ABS(N1457)&lt;'Sollecitazioni nel paramento'!$G$58,ABS(N1457)*'Sollecitazioni nel paramento'!$G$54,'Sollecitazioni nel paramento'!$G$53)</f>
        <v>-49067773.0293274</v>
      </c>
      <c r="I1457" s="472">
        <f>-'Foglio deposito bis'!$F$72*(C1457-sezione!$AP$32)*IF(ABS(O1457)&lt;'Sollecitazioni nel paramento'!$G$58,ABS(O1457)*'Sollecitazioni nel paramento'!$G$54,'Sollecitazioni nel paramento'!$G$53)</f>
        <v>89918231.082653493</v>
      </c>
      <c r="J1457" s="472">
        <f t="shared" si="103"/>
        <v>-2366299393.9395852</v>
      </c>
      <c r="K1457" s="550">
        <f>'Sollecitazioni nel paramento'!$G$60*(sezione!$AL$32-C1457)/C1457</f>
        <v>-3.0707118008253534E-3</v>
      </c>
      <c r="L1457" s="550">
        <f>'Sollecitazioni nel paramento'!$G$60*(sezione!$AM$32-C1457)/C1457</f>
        <v>-2.8560677012380298E-3</v>
      </c>
      <c r="M1457" s="551">
        <f>'Sollecitazioni nel paramento'!$G$60*(sezione!$AN$32-C1457)/C1457</f>
        <v>-2.6414236016507066E-3</v>
      </c>
      <c r="N1457" s="551">
        <f>'Sollecitazioni nel paramento'!$G$60*(sezione!$AO$32-C1457)/C1457</f>
        <v>-1.7828472033014134E-3</v>
      </c>
      <c r="O1457" s="551">
        <f>'Sollecitazioni nel paramento'!$G$60*(sezione!$AP$32-C1457)/C1457</f>
        <v>1.9625113452444915E-3</v>
      </c>
      <c r="P1457" s="545">
        <f>-'Sollecitazioni nel paramento'!$G$47*'Sollecitazioni nel paramento'!$G$41*IF(DATI!$G$211="dx",DATI!$E$61,DATI!$E$64*DATI!$E$63)*1000*C1457*sezione!$AD$5</f>
        <v>-12424240.895171095</v>
      </c>
      <c r="Q1457" s="545">
        <f>'Foglio deposito bis'!$F$68*IF(ABS(K1457)&lt;'Sollecitazioni nel paramento'!$G$58,ABS(K1457)*'Sollecitazioni nel paramento'!$G$54,'Sollecitazioni nel paramento'!$G$53)*IF(K1457&lt;0,-1,1)</f>
        <v>0</v>
      </c>
      <c r="R1457" s="545">
        <f>'Foglio deposito bis'!$F$69*IF(ABS(L1457)&lt;'Sollecitazioni nel paramento'!$G$58,ABS(L1457)*'Sollecitazioni nel paramento'!$G$54,'Sollecitazioni nel paramento'!$G$53)*IF(L1457&lt;0,-1,1)</f>
        <v>-153664.85805602249</v>
      </c>
      <c r="S1457" s="545">
        <f>'Foglio deposito bis'!$F$70*IF(ABS(M1457)&lt;'Sollecitazioni nel paramento'!$G$58,ABS(M1457)*'Sollecitazioni nel paramento'!$G$54,'Sollecitazioni nel paramento'!$G$53)*IF(M1457&lt;0,-1,1)</f>
        <v>0</v>
      </c>
      <c r="T1457" s="545">
        <f>'Foglio deposito bis'!$F$71*IF(ABS(N1457)&lt;'Sollecitazioni nel paramento'!$G$58,ABS(N1457)*'Sollecitazioni nel paramento'!$G$54,'Sollecitazioni nel paramento'!$G$53)*IF(N1457&lt;0,-1,1)</f>
        <v>-295373.26421277557</v>
      </c>
      <c r="U1457" s="545">
        <f>'Foglio deposito bis'!$F$72*IF(ABS(O1457)&lt;'Sollecitazioni nel paramento'!$G$58,ABS(O1457)*'Sollecitazioni nel paramento'!$G$54,'Sollecitazioni nel paramento'!$G$53)*IF(O1457&lt;0,-1,1)</f>
        <v>491727.54577927204</v>
      </c>
      <c r="V1457" s="472">
        <f t="shared" si="105"/>
        <v>-12381551.47166062</v>
      </c>
      <c r="W1457" s="551"/>
      <c r="X1457" s="551"/>
    </row>
    <row r="1458" spans="1:24" x14ac:dyDescent="0.25">
      <c r="A1458" s="545">
        <f t="shared" si="104"/>
        <v>12686091.17625482</v>
      </c>
      <c r="B1458" s="3">
        <f t="shared" si="102"/>
        <v>44.899999999999942</v>
      </c>
      <c r="C1458" s="545">
        <f>'Foglio deposito bis'!$E$158/sezione!$B$247*B1458</f>
        <v>333.5499702403236</v>
      </c>
      <c r="D1458" s="603">
        <f>-'Sollecitazioni nel paramento'!$G$47*'Sollecitazioni nel paramento'!$G$41*IF(DATI!$G$211="dx",DATI!$E$61,DATI!$E$64*DATI!$E$63)*1000*C1458^2*sezione!$AD$5*(1-sezione!$AD$6)</f>
        <v>-2475286296.3551478</v>
      </c>
      <c r="E1458" s="545">
        <f>-'Foglio deposito bis'!$F$68*(C1458-sezione!$AL$32)*IF(ABS(K1458)&lt;'Sollecitazioni nel paramento'!$G$58,ABS(K1458)*'Sollecitazioni nel paramento'!$G$54,'Sollecitazioni nel paramento'!$G$53)</f>
        <v>0</v>
      </c>
      <c r="F1458" s="545">
        <f>-'Foglio deposito bis'!$F$69*(C1458-sezione!$AM$32)*IF(ABS(L1458)&lt;'Sollecitazioni nel paramento'!$G$58,ABS(L1458)*'Sollecitazioni nel paramento'!$G$54,'Sollecitazioni nel paramento'!$G$53)</f>
        <v>-42035017.348208502</v>
      </c>
      <c r="G1458" s="545">
        <f>-'Foglio deposito bis'!$F$70*(C1458-sezione!$AN$32)*IF(ABS(M1458)&lt;'Sollecitazioni nel paramento'!$G$58,ABS(M1458)*'Sollecitazioni nel paramento'!$G$54,'Sollecitazioni nel paramento'!$G$53)</f>
        <v>0</v>
      </c>
      <c r="H1458" s="545">
        <f>-'Foglio deposito bis'!$F$71*(C1458-sezione!$AO$32)*IF(ABS(N1458)&lt;'Sollecitazioni nel paramento'!$G$58,ABS(N1458)*'Sollecitazioni nel paramento'!$G$54,'Sollecitazioni nel paramento'!$G$53)</f>
        <v>-52361645.194682218</v>
      </c>
      <c r="I1458" s="472">
        <f>-'Foglio deposito bis'!$F$72*(C1458-sezione!$AP$32)*IF(ABS(O1458)&lt;'Sollecitazioni nel paramento'!$G$58,ABS(O1458)*'Sollecitazioni nel paramento'!$G$54,'Sollecitazioni nel paramento'!$G$53)</f>
        <v>83600258.976999953</v>
      </c>
      <c r="J1458" s="472">
        <f t="shared" si="103"/>
        <v>-2486082699.9210386</v>
      </c>
      <c r="K1458" s="550">
        <f>'Sollecitazioni nel paramento'!$G$60*(sezione!$AL$32-C1458)/C1458</f>
        <v>-3.0802727852167712E-3</v>
      </c>
      <c r="L1458" s="550">
        <f>'Sollecitazioni nel paramento'!$G$60*(sezione!$AM$32-C1458)/C1458</f>
        <v>-2.8704091778251565E-3</v>
      </c>
      <c r="M1458" s="551">
        <f>'Sollecitazioni nel paramento'!$G$60*(sezione!$AN$32-C1458)/C1458</f>
        <v>-2.6605455704335418E-3</v>
      </c>
      <c r="N1458" s="551">
        <f>'Sollecitazioni nel paramento'!$G$60*(sezione!$AO$32-C1458)/C1458</f>
        <v>-1.8210911408670831E-3</v>
      </c>
      <c r="O1458" s="551">
        <f>'Sollecitazioni nel paramento'!$G$60*(sezione!$AP$32-C1458)/C1458</f>
        <v>1.840851849804748E-3</v>
      </c>
      <c r="P1458" s="545">
        <f>-'Sollecitazioni nel paramento'!$G$47*'Sollecitazioni nel paramento'!$G$41*IF(DATI!$G$211="dx",DATI!$E$61,DATI!$E$64*DATI!$E$63)*1000*C1458*sezione!$AD$5</f>
        <v>-12707253.216245607</v>
      </c>
      <c r="Q1458" s="545">
        <f>'Foglio deposito bis'!$F$68*IF(ABS(K1458)&lt;'Sollecitazioni nel paramento'!$G$58,ABS(K1458)*'Sollecitazioni nel paramento'!$G$54,'Sollecitazioni nel paramento'!$G$53)*IF(K1458&lt;0,-1,1)</f>
        <v>0</v>
      </c>
      <c r="R1458" s="545">
        <f>'Foglio deposito bis'!$F$69*IF(ABS(L1458)&lt;'Sollecitazioni nel paramento'!$G$58,ABS(L1458)*'Sollecitazioni nel paramento'!$G$54,'Sollecitazioni nel paramento'!$G$53)*IF(L1458&lt;0,-1,1)</f>
        <v>-153664.85805602249</v>
      </c>
      <c r="S1458" s="545">
        <f>'Foglio deposito bis'!$F$70*IF(ABS(M1458)&lt;'Sollecitazioni nel paramento'!$G$58,ABS(M1458)*'Sollecitazioni nel paramento'!$G$54,'Sollecitazioni nel paramento'!$G$53)*IF(M1458&lt;0,-1,1)</f>
        <v>0</v>
      </c>
      <c r="T1458" s="545">
        <f>'Foglio deposito bis'!$F$71*IF(ABS(N1458)&lt;'Sollecitazioni nel paramento'!$G$58,ABS(N1458)*'Sollecitazioni nel paramento'!$G$54,'Sollecitazioni nel paramento'!$G$53)*IF(N1458&lt;0,-1,1)</f>
        <v>-301709.32972315891</v>
      </c>
      <c r="U1458" s="545">
        <f>'Foglio deposito bis'!$F$72*IF(ABS(O1458)&lt;'Sollecitazioni nel paramento'!$G$58,ABS(O1458)*'Sollecitazioni nel paramento'!$G$54,'Sollecitazioni nel paramento'!$G$53)*IF(O1458&lt;0,-1,1)</f>
        <v>476536.22776996728</v>
      </c>
      <c r="V1458" s="472">
        <f t="shared" si="105"/>
        <v>-12686091.17625482</v>
      </c>
      <c r="W1458" s="551"/>
      <c r="X1458" s="551"/>
    </row>
    <row r="1459" spans="1:24" x14ac:dyDescent="0.25">
      <c r="A1459" s="545">
        <f t="shared" si="104"/>
        <v>13005284.866065087</v>
      </c>
      <c r="B1459" s="3">
        <f t="shared" si="102"/>
        <v>45.899999999999942</v>
      </c>
      <c r="C1459" s="545">
        <f>'Foglio deposito bis'!$E$158/sezione!$B$247*B1459</f>
        <v>340.97870008977407</v>
      </c>
      <c r="D1459" s="603">
        <f>-'Sollecitazioni nel paramento'!$G$47*'Sollecitazioni nel paramento'!$G$41*IF(DATI!$G$211="dx",DATI!$E$61,DATI!$E$64*DATI!$E$63)*1000*C1459^2*sezione!$AD$5*(1-sezione!$AD$6)</f>
        <v>-2586771852.3340611</v>
      </c>
      <c r="E1459" s="545">
        <f>-'Foglio deposito bis'!$F$68*(C1459-sezione!$AL$32)*IF(ABS(K1459)&lt;'Sollecitazioni nel paramento'!$G$58,ABS(K1459)*'Sollecitazioni nel paramento'!$G$54,'Sollecitazioni nel paramento'!$G$53)</f>
        <v>0</v>
      </c>
      <c r="F1459" s="545">
        <f>-'Foglio deposito bis'!$F$69*(C1459-sezione!$AM$32)*IF(ABS(L1459)&lt;'Sollecitazioni nel paramento'!$G$58,ABS(L1459)*'Sollecitazioni nel paramento'!$G$54,'Sollecitazioni nel paramento'!$G$53)</f>
        <v>-43176552.066060849</v>
      </c>
      <c r="G1459" s="545">
        <f>-'Foglio deposito bis'!$F$70*(C1459-sezione!$AN$32)*IF(ABS(M1459)&lt;'Sollecitazioni nel paramento'!$G$58,ABS(M1459)*'Sollecitazioni nel paramento'!$G$54,'Sollecitazioni nel paramento'!$G$53)</f>
        <v>0</v>
      </c>
      <c r="H1459" s="545">
        <f>-'Foglio deposito bis'!$F$71*(C1459-sezione!$AO$32)*IF(ABS(N1459)&lt;'Sollecitazioni nel paramento'!$G$58,ABS(N1459)*'Sollecitazioni nel paramento'!$G$54,'Sollecitazioni nel paramento'!$G$53)</f>
        <v>-55699690.365773961</v>
      </c>
      <c r="I1459" s="472">
        <f>-'Foglio deposito bis'!$F$72*(C1459-sezione!$AP$32)*IF(ABS(O1459)&lt;'Sollecitazioni nel paramento'!$G$58,ABS(O1459)*'Sollecitazioni nel paramento'!$G$54,'Sollecitazioni nel paramento'!$G$53)</f>
        <v>74999673.867560819</v>
      </c>
      <c r="J1459" s="472">
        <f t="shared" si="103"/>
        <v>-2610648420.8983355</v>
      </c>
      <c r="K1459" s="550">
        <f>'Sollecitazioni nel paramento'!$G$60*(sezione!$AL$32-C1459)/C1459</f>
        <v>-3.0894171689811118E-3</v>
      </c>
      <c r="L1459" s="550">
        <f>'Sollecitazioni nel paramento'!$G$60*(sezione!$AM$32-C1459)/C1459</f>
        <v>-2.884125753471667E-3</v>
      </c>
      <c r="M1459" s="551">
        <f>'Sollecitazioni nel paramento'!$G$60*(sezione!$AN$32-C1459)/C1459</f>
        <v>-2.678834337962223E-3</v>
      </c>
      <c r="N1459" s="551">
        <f>'Sollecitazioni nel paramento'!$G$60*(sezione!$AO$32-C1459)/C1459</f>
        <v>-1.8576686759244458E-3</v>
      </c>
      <c r="O1459" s="551">
        <f>'Sollecitazioni nel paramento'!$G$60*(sezione!$AP$32-C1459)/C1459</f>
        <v>1.7244934217044261E-3</v>
      </c>
      <c r="P1459" s="545">
        <f>-'Sollecitazioni nel paramento'!$G$47*'Sollecitazioni nel paramento'!$G$41*IF(DATI!$G$211="dx",DATI!$E$61,DATI!$E$64*DATI!$E$63)*1000*C1459*sezione!$AD$5</f>
        <v>-12990265.53732012</v>
      </c>
      <c r="Q1459" s="545">
        <f>'Foglio deposito bis'!$F$68*IF(ABS(K1459)&lt;'Sollecitazioni nel paramento'!$G$58,ABS(K1459)*'Sollecitazioni nel paramento'!$G$54,'Sollecitazioni nel paramento'!$G$53)*IF(K1459&lt;0,-1,1)</f>
        <v>0</v>
      </c>
      <c r="R1459" s="545">
        <f>'Foglio deposito bis'!$F$69*IF(ABS(L1459)&lt;'Sollecitazioni nel paramento'!$G$58,ABS(L1459)*'Sollecitazioni nel paramento'!$G$54,'Sollecitazioni nel paramento'!$G$53)*IF(L1459&lt;0,-1,1)</f>
        <v>-153664.85805602249</v>
      </c>
      <c r="S1459" s="545">
        <f>'Foglio deposito bis'!$F$70*IF(ABS(M1459)&lt;'Sollecitazioni nel paramento'!$G$58,ABS(M1459)*'Sollecitazioni nel paramento'!$G$54,'Sollecitazioni nel paramento'!$G$53)*IF(M1459&lt;0,-1,1)</f>
        <v>0</v>
      </c>
      <c r="T1459" s="545">
        <f>'Foglio deposito bis'!$F$71*IF(ABS(N1459)&lt;'Sollecitazioni nel paramento'!$G$58,ABS(N1459)*'Sollecitazioni nel paramento'!$G$54,'Sollecitazioni nel paramento'!$G$53)*IF(N1459&lt;0,-1,1)</f>
        <v>-307769.31394768698</v>
      </c>
      <c r="U1459" s="545">
        <f>'Foglio deposito bis'!$F$72*IF(ABS(O1459)&lt;'Sollecitazioni nel paramento'!$G$58,ABS(O1459)*'Sollecitazioni nel paramento'!$G$54,'Sollecitazioni nel paramento'!$G$53)*IF(O1459&lt;0,-1,1)</f>
        <v>446414.84325874137</v>
      </c>
      <c r="V1459" s="472">
        <f t="shared" si="105"/>
        <v>-13005284.866065087</v>
      </c>
      <c r="W1459" s="551"/>
      <c r="X1459" s="551"/>
    </row>
    <row r="1460" spans="1:24" x14ac:dyDescent="0.25">
      <c r="A1460" s="545">
        <f t="shared" si="104"/>
        <v>13324070.392992865</v>
      </c>
      <c r="B1460" s="3">
        <f t="shared" si="102"/>
        <v>46.899999999999942</v>
      </c>
      <c r="C1460" s="545">
        <f>'Foglio deposito bis'!$E$158/sezione!$B$247*B1460</f>
        <v>348.40742993922447</v>
      </c>
      <c r="D1460" s="603">
        <f>-'Sollecitazioni nel paramento'!$G$47*'Sollecitazioni nel paramento'!$G$41*IF(DATI!$G$211="dx",DATI!$E$61,DATI!$E$64*DATI!$E$63)*1000*C1460^2*sezione!$AD$5*(1-sezione!$AD$6)</f>
        <v>-2700713037.299293</v>
      </c>
      <c r="E1460" s="545">
        <f>-'Foglio deposito bis'!$F$68*(C1460-sezione!$AL$32)*IF(ABS(K1460)&lt;'Sollecitazioni nel paramento'!$G$58,ABS(K1460)*'Sollecitazioni nel paramento'!$G$54,'Sollecitazioni nel paramento'!$G$53)</f>
        <v>0</v>
      </c>
      <c r="F1460" s="545">
        <f>-'Foglio deposito bis'!$F$69*(C1460-sezione!$AM$32)*IF(ABS(L1460)&lt;'Sollecitazioni nel paramento'!$G$58,ABS(L1460)*'Sollecitazioni nel paramento'!$G$54,'Sollecitazioni nel paramento'!$G$53)</f>
        <v>-44318086.78391318</v>
      </c>
      <c r="G1460" s="545">
        <f>-'Foglio deposito bis'!$F$70*(C1460-sezione!$AN$32)*IF(ABS(M1460)&lt;'Sollecitazioni nel paramento'!$G$58,ABS(M1460)*'Sollecitazioni nel paramento'!$G$54,'Sollecitazioni nel paramento'!$G$53)</f>
        <v>0</v>
      </c>
      <c r="H1460" s="545">
        <f>-'Foglio deposito bis'!$F$71*(C1460-sezione!$AO$32)*IF(ABS(N1460)&lt;'Sollecitazioni nel paramento'!$G$58,ABS(N1460)*'Sollecitazioni nel paramento'!$G$54,'Sollecitazioni nel paramento'!$G$53)</f>
        <v>-59292878.803580791</v>
      </c>
      <c r="I1460" s="472">
        <f>-'Foglio deposito bis'!$F$72*(C1460-sezione!$AP$32)*IF(ABS(O1460)&lt;'Sollecitazioni nel paramento'!$G$58,ABS(O1460)*'Sollecitazioni nel paramento'!$G$54,'Sollecitazioni nel paramento'!$G$53)</f>
        <v>67052874.546838224</v>
      </c>
      <c r="J1460" s="472">
        <f t="shared" si="103"/>
        <v>-2737271128.3399487</v>
      </c>
      <c r="K1460" s="550">
        <f>'Sollecitazioni nel paramento'!$G$60*(sezione!$AL$32-C1460)/C1460</f>
        <v>-3.0981716003461199E-3</v>
      </c>
      <c r="L1460" s="550">
        <f>'Sollecitazioni nel paramento'!$G$60*(sezione!$AM$32-C1460)/C1460</f>
        <v>-2.8972574005191793E-3</v>
      </c>
      <c r="M1460" s="551">
        <f>'Sollecitazioni nel paramento'!$G$60*(sezione!$AN$32-C1460)/C1460</f>
        <v>-2.6963432006922392E-3</v>
      </c>
      <c r="N1460" s="551">
        <f>'Sollecitazioni nel paramento'!$G$60*(sezione!$AO$32-C1460)/C1460</f>
        <v>-1.8926864013844786E-3</v>
      </c>
      <c r="O1460" s="551">
        <f>'Sollecitazioni nel paramento'!$G$60*(sezione!$AP$32-C1460)/C1460</f>
        <v>1.6130969734804513E-3</v>
      </c>
      <c r="P1460" s="545">
        <f>-'Sollecitazioni nel paramento'!$G$47*'Sollecitazioni nel paramento'!$G$41*IF(DATI!$G$211="dx",DATI!$E$61,DATI!$E$64*DATI!$E$63)*1000*C1460*sezione!$AD$5</f>
        <v>-13273277.858394632</v>
      </c>
      <c r="Q1460" s="545">
        <f>'Foglio deposito bis'!$F$68*IF(ABS(K1460)&lt;'Sollecitazioni nel paramento'!$G$58,ABS(K1460)*'Sollecitazioni nel paramento'!$G$54,'Sollecitazioni nel paramento'!$G$53)*IF(K1460&lt;0,-1,1)</f>
        <v>0</v>
      </c>
      <c r="R1460" s="545">
        <f>'Foglio deposito bis'!$F$69*IF(ABS(L1460)&lt;'Sollecitazioni nel paramento'!$G$58,ABS(L1460)*'Sollecitazioni nel paramento'!$G$54,'Sollecitazioni nel paramento'!$G$53)*IF(L1460&lt;0,-1,1)</f>
        <v>-153664.85805602249</v>
      </c>
      <c r="S1460" s="545">
        <f>'Foglio deposito bis'!$F$70*IF(ABS(M1460)&lt;'Sollecitazioni nel paramento'!$G$58,ABS(M1460)*'Sollecitazioni nel paramento'!$G$54,'Sollecitazioni nel paramento'!$G$53)*IF(M1460&lt;0,-1,1)</f>
        <v>0</v>
      </c>
      <c r="T1460" s="545">
        <f>'Foglio deposito bis'!$F$71*IF(ABS(N1460)&lt;'Sollecitazioni nel paramento'!$G$58,ABS(N1460)*'Sollecitazioni nel paramento'!$G$54,'Sollecitazioni nel paramento'!$G$53)*IF(N1460&lt;0,-1,1)</f>
        <v>-314705.62929873407</v>
      </c>
      <c r="U1460" s="545">
        <f>'Foglio deposito bis'!$F$72*IF(ABS(O1460)&lt;'Sollecitazioni nel paramento'!$G$58,ABS(O1460)*'Sollecitazioni nel paramento'!$G$54,'Sollecitazioni nel paramento'!$G$53)*IF(O1460&lt;0,-1,1)</f>
        <v>417577.9527565231</v>
      </c>
      <c r="V1460" s="472">
        <f t="shared" si="105"/>
        <v>-13324070.392992865</v>
      </c>
      <c r="W1460" s="551"/>
      <c r="X1460" s="551"/>
    </row>
    <row r="1461" spans="1:24" x14ac:dyDescent="0.25">
      <c r="A1461" s="545">
        <f t="shared" si="104"/>
        <v>13634715.559037143</v>
      </c>
      <c r="B1461" s="3">
        <f t="shared" si="102"/>
        <v>47.899999999999942</v>
      </c>
      <c r="C1461" s="545">
        <f>'Foglio deposito bis'!$E$158/sezione!$B$247*B1461</f>
        <v>355.83615978867488</v>
      </c>
      <c r="D1461" s="603">
        <f>-'Sollecitazioni nel paramento'!$G$47*'Sollecitazioni nel paramento'!$G$41*IF(DATI!$G$211="dx",DATI!$E$61,DATI!$E$64*DATI!$E$63)*1000*C1461^2*sezione!$AD$5*(1-sezione!$AD$6)</f>
        <v>-2817109851.250845</v>
      </c>
      <c r="E1461" s="545">
        <f>-'Foglio deposito bis'!$F$68*(C1461-sezione!$AL$32)*IF(ABS(K1461)&lt;'Sollecitazioni nel paramento'!$G$58,ABS(K1461)*'Sollecitazioni nel paramento'!$G$54,'Sollecitazioni nel paramento'!$G$53)</f>
        <v>0</v>
      </c>
      <c r="F1461" s="545">
        <f>-'Foglio deposito bis'!$F$69*(C1461-sezione!$AM$32)*IF(ABS(L1461)&lt;'Sollecitazioni nel paramento'!$G$58,ABS(L1461)*'Sollecitazioni nel paramento'!$G$54,'Sollecitazioni nel paramento'!$G$53)</f>
        <v>-45459621.501765512</v>
      </c>
      <c r="G1461" s="545">
        <f>-'Foglio deposito bis'!$F$70*(C1461-sezione!$AN$32)*IF(ABS(M1461)&lt;'Sollecitazioni nel paramento'!$G$58,ABS(M1461)*'Sollecitazioni nel paramento'!$G$54,'Sollecitazioni nel paramento'!$G$53)</f>
        <v>0</v>
      </c>
      <c r="H1461" s="545">
        <f>-'Foglio deposito bis'!$F$71*(C1461-sezione!$AO$32)*IF(ABS(N1461)&lt;'Sollecitazioni nel paramento'!$G$58,ABS(N1461)*'Sollecitazioni nel paramento'!$G$54,'Sollecitazioni nel paramento'!$G$53)</f>
        <v>-61630741.90574237</v>
      </c>
      <c r="I1461" s="472">
        <f>-'Foglio deposito bis'!$F$72*(C1461-sezione!$AP$32)*IF(ABS(O1461)&lt;'Sollecitazioni nel paramento'!$G$58,ABS(O1461)*'Sollecitazioni nel paramento'!$G$54,'Sollecitazioni nel paramento'!$G$53)</f>
        <v>59718914.096958451</v>
      </c>
      <c r="J1461" s="472">
        <f t="shared" si="103"/>
        <v>-2864481300.5613942</v>
      </c>
      <c r="K1461" s="550">
        <f>'Sollecitazioni nel paramento'!$G$60*(sezione!$AL$32-C1461)/C1461</f>
        <v>-3.1065605022178081E-3</v>
      </c>
      <c r="L1461" s="550">
        <f>'Sollecitazioni nel paramento'!$G$60*(sezione!$AM$32-C1461)/C1461</f>
        <v>-2.9098407533267126E-3</v>
      </c>
      <c r="M1461" s="551">
        <f>'Sollecitazioni nel paramento'!$G$60*(sezione!$AN$32-C1461)/C1461</f>
        <v>-2.7131210044356166E-3</v>
      </c>
      <c r="N1461" s="551">
        <f>'Sollecitazioni nel paramento'!$G$60*(sezione!$AO$32-C1461)/C1461</f>
        <v>-1.9262420088712328E-3</v>
      </c>
      <c r="O1461" s="551">
        <f>'Sollecitazioni nel paramento'!$G$60*(sezione!$AP$32-C1461)/C1461</f>
        <v>1.506351733950588E-3</v>
      </c>
      <c r="P1461" s="545">
        <f>-'Sollecitazioni nel paramento'!$G$47*'Sollecitazioni nel paramento'!$G$41*IF(DATI!$G$211="dx",DATI!$E$61,DATI!$E$64*DATI!$E$63)*1000*C1461*sezione!$AD$5</f>
        <v>-13556290.179469144</v>
      </c>
      <c r="Q1461" s="545">
        <f>'Foglio deposito bis'!$F$68*IF(ABS(K1461)&lt;'Sollecitazioni nel paramento'!$G$58,ABS(K1461)*'Sollecitazioni nel paramento'!$G$54,'Sollecitazioni nel paramento'!$G$53)*IF(K1461&lt;0,-1,1)</f>
        <v>0</v>
      </c>
      <c r="R1461" s="545">
        <f>'Foglio deposito bis'!$F$69*IF(ABS(L1461)&lt;'Sollecitazioni nel paramento'!$G$58,ABS(L1461)*'Sollecitazioni nel paramento'!$G$54,'Sollecitazioni nel paramento'!$G$53)*IF(L1461&lt;0,-1,1)</f>
        <v>-153664.85805602249</v>
      </c>
      <c r="S1461" s="545">
        <f>'Foglio deposito bis'!$F$70*IF(ABS(M1461)&lt;'Sollecitazioni nel paramento'!$G$58,ABS(M1461)*'Sollecitazioni nel paramento'!$G$54,'Sollecitazioni nel paramento'!$G$53)*IF(M1461&lt;0,-1,1)</f>
        <v>0</v>
      </c>
      <c r="T1461" s="545">
        <f>'Foglio deposito bis'!$F$71*IF(ABS(N1461)&lt;'Sollecitazioni nel paramento'!$G$58,ABS(N1461)*'Sollecitazioni nel paramento'!$G$54,'Sollecitazioni nel paramento'!$G$53)*IF(N1461&lt;0,-1,1)</f>
        <v>-314705.62929873407</v>
      </c>
      <c r="U1461" s="545">
        <f>'Foglio deposito bis'!$F$72*IF(ABS(O1461)&lt;'Sollecitazioni nel paramento'!$G$58,ABS(O1461)*'Sollecitazioni nel paramento'!$G$54,'Sollecitazioni nel paramento'!$G$53)*IF(O1461&lt;0,-1,1)</f>
        <v>389945.10778675653</v>
      </c>
      <c r="V1461" s="472">
        <f t="shared" si="105"/>
        <v>-13634715.559037143</v>
      </c>
      <c r="W1461" s="551"/>
      <c r="X1461" s="551"/>
    </row>
    <row r="1462" spans="1:24" x14ac:dyDescent="0.25">
      <c r="A1462" s="545">
        <f t="shared" si="104"/>
        <v>13944230.547373051</v>
      </c>
      <c r="B1462" s="3">
        <f t="shared" si="102"/>
        <v>48.899999999999942</v>
      </c>
      <c r="C1462" s="545">
        <f>'Foglio deposito bis'!$E$158/sezione!$B$247*B1462</f>
        <v>363.26488963812534</v>
      </c>
      <c r="D1462" s="603">
        <f>-'Sollecitazioni nel paramento'!$G$47*'Sollecitazioni nel paramento'!$G$41*IF(DATI!$G$211="dx",DATI!$E$61,DATI!$E$64*DATI!$E$63)*1000*C1462^2*sezione!$AD$5*(1-sezione!$AD$6)</f>
        <v>-2935962294.1887169</v>
      </c>
      <c r="E1462" s="545">
        <f>-'Foglio deposito bis'!$F$68*(C1462-sezione!$AL$32)*IF(ABS(K1462)&lt;'Sollecitazioni nel paramento'!$G$58,ABS(K1462)*'Sollecitazioni nel paramento'!$G$54,'Sollecitazioni nel paramento'!$G$53)</f>
        <v>0</v>
      </c>
      <c r="F1462" s="545">
        <f>-'Foglio deposito bis'!$F$69*(C1462-sezione!$AM$32)*IF(ABS(L1462)&lt;'Sollecitazioni nel paramento'!$G$58,ABS(L1462)*'Sollecitazioni nel paramento'!$G$54,'Sollecitazioni nel paramento'!$G$53)</f>
        <v>-46601156.219617859</v>
      </c>
      <c r="G1462" s="545">
        <f>-'Foglio deposito bis'!$F$70*(C1462-sezione!$AN$32)*IF(ABS(M1462)&lt;'Sollecitazioni nel paramento'!$G$58,ABS(M1462)*'Sollecitazioni nel paramento'!$G$54,'Sollecitazioni nel paramento'!$G$53)</f>
        <v>0</v>
      </c>
      <c r="H1462" s="545">
        <f>-'Foglio deposito bis'!$F$71*(C1462-sezione!$AO$32)*IF(ABS(N1462)&lt;'Sollecitazioni nel paramento'!$G$58,ABS(N1462)*'Sollecitazioni nel paramento'!$G$54,'Sollecitazioni nel paramento'!$G$53)</f>
        <v>-63968605.007903963</v>
      </c>
      <c r="I1462" s="472">
        <f>-'Foglio deposito bis'!$F$72*(C1462-sezione!$AP$32)*IF(ABS(O1462)&lt;'Sollecitazioni nel paramento'!$G$58,ABS(O1462)*'Sollecitazioni nel paramento'!$G$54,'Sollecitazioni nel paramento'!$G$53)</f>
        <v>52960195.041182615</v>
      </c>
      <c r="J1462" s="472">
        <f t="shared" si="103"/>
        <v>-2993571860.3750563</v>
      </c>
      <c r="K1462" s="550">
        <f>'Sollecitazioni nel paramento'!$G$60*(sezione!$AL$32-C1462)/C1462</f>
        <v>-3.1146062997184664E-3</v>
      </c>
      <c r="L1462" s="550">
        <f>'Sollecitazioni nel paramento'!$G$60*(sezione!$AM$32-C1462)/C1462</f>
        <v>-2.9219094495777E-3</v>
      </c>
      <c r="M1462" s="551">
        <f>'Sollecitazioni nel paramento'!$G$60*(sezione!$AN$32-C1462)/C1462</f>
        <v>-2.7292125994369332E-3</v>
      </c>
      <c r="N1462" s="551">
        <f>'Sollecitazioni nel paramento'!$G$60*(sezione!$AO$32-C1462)/C1462</f>
        <v>-1.9584251988738663E-3</v>
      </c>
      <c r="O1462" s="551">
        <f>'Sollecitazioni nel paramento'!$G$60*(sezione!$AP$32-C1462)/C1462</f>
        <v>1.4039723528882033E-3</v>
      </c>
      <c r="P1462" s="545">
        <f>-'Sollecitazioni nel paramento'!$G$47*'Sollecitazioni nel paramento'!$G$41*IF(DATI!$G$211="dx",DATI!$E$61,DATI!$E$64*DATI!$E$63)*1000*C1462*sezione!$AD$5</f>
        <v>-13839302.50054366</v>
      </c>
      <c r="Q1462" s="545">
        <f>'Foglio deposito bis'!$F$68*IF(ABS(K1462)&lt;'Sollecitazioni nel paramento'!$G$58,ABS(K1462)*'Sollecitazioni nel paramento'!$G$54,'Sollecitazioni nel paramento'!$G$53)*IF(K1462&lt;0,-1,1)</f>
        <v>0</v>
      </c>
      <c r="R1462" s="545">
        <f>'Foglio deposito bis'!$F$69*IF(ABS(L1462)&lt;'Sollecitazioni nel paramento'!$G$58,ABS(L1462)*'Sollecitazioni nel paramento'!$G$54,'Sollecitazioni nel paramento'!$G$53)*IF(L1462&lt;0,-1,1)</f>
        <v>-153664.85805602249</v>
      </c>
      <c r="S1462" s="545">
        <f>'Foglio deposito bis'!$F$70*IF(ABS(M1462)&lt;'Sollecitazioni nel paramento'!$G$58,ABS(M1462)*'Sollecitazioni nel paramento'!$G$54,'Sollecitazioni nel paramento'!$G$53)*IF(M1462&lt;0,-1,1)</f>
        <v>0</v>
      </c>
      <c r="T1462" s="545">
        <f>'Foglio deposito bis'!$F$71*IF(ABS(N1462)&lt;'Sollecitazioni nel paramento'!$G$58,ABS(N1462)*'Sollecitazioni nel paramento'!$G$54,'Sollecitazioni nel paramento'!$G$53)*IF(N1462&lt;0,-1,1)</f>
        <v>-314705.62929873407</v>
      </c>
      <c r="U1462" s="545">
        <f>'Foglio deposito bis'!$F$72*IF(ABS(O1462)&lt;'Sollecitazioni nel paramento'!$G$58,ABS(O1462)*'Sollecitazioni nel paramento'!$G$54,'Sollecitazioni nel paramento'!$G$53)*IF(O1462&lt;0,-1,1)</f>
        <v>363442.44052536477</v>
      </c>
      <c r="V1462" s="472">
        <f t="shared" si="105"/>
        <v>-13944230.547373051</v>
      </c>
      <c r="W1462" s="551"/>
      <c r="X1462" s="551"/>
    </row>
    <row r="1463" spans="1:24" x14ac:dyDescent="0.25">
      <c r="A1463" s="545">
        <f t="shared" si="104"/>
        <v>14252683.304556191</v>
      </c>
      <c r="B1463" s="3">
        <f t="shared" si="102"/>
        <v>49.899999999999942</v>
      </c>
      <c r="C1463" s="545">
        <f>'Foglio deposito bis'!$E$158/sezione!$B$247*B1463</f>
        <v>370.69361948757575</v>
      </c>
      <c r="D1463" s="603">
        <f>-'Sollecitazioni nel paramento'!$G$47*'Sollecitazioni nel paramento'!$G$41*IF(DATI!$G$211="dx",DATI!$E$61,DATI!$E$64*DATI!$E$63)*1000*C1463^2*sezione!$AD$5*(1-sezione!$AD$6)</f>
        <v>-3057270366.1129084</v>
      </c>
      <c r="E1463" s="545">
        <f>-'Foglio deposito bis'!$F$68*(C1463-sezione!$AL$32)*IF(ABS(K1463)&lt;'Sollecitazioni nel paramento'!$G$58,ABS(K1463)*'Sollecitazioni nel paramento'!$G$54,'Sollecitazioni nel paramento'!$G$53)</f>
        <v>0</v>
      </c>
      <c r="F1463" s="545">
        <f>-'Foglio deposito bis'!$F$69*(C1463-sezione!$AM$32)*IF(ABS(L1463)&lt;'Sollecitazioni nel paramento'!$G$58,ABS(L1463)*'Sollecitazioni nel paramento'!$G$54,'Sollecitazioni nel paramento'!$G$53)</f>
        <v>-47742690.93747019</v>
      </c>
      <c r="G1463" s="545">
        <f>-'Foglio deposito bis'!$F$70*(C1463-sezione!$AN$32)*IF(ABS(M1463)&lt;'Sollecitazioni nel paramento'!$G$58,ABS(M1463)*'Sollecitazioni nel paramento'!$G$54,'Sollecitazioni nel paramento'!$G$53)</f>
        <v>0</v>
      </c>
      <c r="H1463" s="545">
        <f>-'Foglio deposito bis'!$F$71*(C1463-sezione!$AO$32)*IF(ABS(N1463)&lt;'Sollecitazioni nel paramento'!$G$58,ABS(N1463)*'Sollecitazioni nel paramento'!$G$54,'Sollecitazioni nel paramento'!$G$53)</f>
        <v>-66306468.11006555</v>
      </c>
      <c r="I1463" s="472">
        <f>-'Foglio deposito bis'!$F$72*(C1463-sezione!$AP$32)*IF(ABS(O1463)&lt;'Sollecitazioni nel paramento'!$G$58,ABS(O1463)*'Sollecitazioni nel paramento'!$G$54,'Sollecitazioni nel paramento'!$G$53)</f>
        <v>46742133.728562675</v>
      </c>
      <c r="J1463" s="472">
        <f t="shared" si="103"/>
        <v>-3124577391.431881</v>
      </c>
      <c r="K1463" s="550">
        <f>'Sollecitazioni nel paramento'!$G$60*(sezione!$AL$32-C1463)/C1463</f>
        <v>-3.1223296203653915E-3</v>
      </c>
      <c r="L1463" s="550">
        <f>'Sollecitazioni nel paramento'!$G$60*(sezione!$AM$32-C1463)/C1463</f>
        <v>-2.9334944305480868E-3</v>
      </c>
      <c r="M1463" s="551">
        <f>'Sollecitazioni nel paramento'!$G$60*(sezione!$AN$32-C1463)/C1463</f>
        <v>-2.7446592407307821E-3</v>
      </c>
      <c r="N1463" s="551">
        <f>'Sollecitazioni nel paramento'!$G$60*(sezione!$AO$32-C1463)/C1463</f>
        <v>-1.9893184814615645E-3</v>
      </c>
      <c r="O1463" s="551">
        <f>'Sollecitazioni nel paramento'!$G$60*(sezione!$AP$32-C1463)/C1463</f>
        <v>1.3056963538323274E-3</v>
      </c>
      <c r="P1463" s="545">
        <f>-'Sollecitazioni nel paramento'!$G$47*'Sollecitazioni nel paramento'!$G$41*IF(DATI!$G$211="dx",DATI!$E$61,DATI!$E$64*DATI!$E$63)*1000*C1463*sezione!$AD$5</f>
        <v>-14122314.82161817</v>
      </c>
      <c r="Q1463" s="545">
        <f>'Foglio deposito bis'!$F$68*IF(ABS(K1463)&lt;'Sollecitazioni nel paramento'!$G$58,ABS(K1463)*'Sollecitazioni nel paramento'!$G$54,'Sollecitazioni nel paramento'!$G$53)*IF(K1463&lt;0,-1,1)</f>
        <v>0</v>
      </c>
      <c r="R1463" s="545">
        <f>'Foglio deposito bis'!$F$69*IF(ABS(L1463)&lt;'Sollecitazioni nel paramento'!$G$58,ABS(L1463)*'Sollecitazioni nel paramento'!$G$54,'Sollecitazioni nel paramento'!$G$53)*IF(L1463&lt;0,-1,1)</f>
        <v>-153664.85805602249</v>
      </c>
      <c r="S1463" s="545">
        <f>'Foglio deposito bis'!$F$70*IF(ABS(M1463)&lt;'Sollecitazioni nel paramento'!$G$58,ABS(M1463)*'Sollecitazioni nel paramento'!$G$54,'Sollecitazioni nel paramento'!$G$53)*IF(M1463&lt;0,-1,1)</f>
        <v>0</v>
      </c>
      <c r="T1463" s="545">
        <f>'Foglio deposito bis'!$F$71*IF(ABS(N1463)&lt;'Sollecitazioni nel paramento'!$G$58,ABS(N1463)*'Sollecitazioni nel paramento'!$G$54,'Sollecitazioni nel paramento'!$G$53)*IF(N1463&lt;0,-1,1)</f>
        <v>-314705.62929873407</v>
      </c>
      <c r="U1463" s="545">
        <f>'Foglio deposito bis'!$F$72*IF(ABS(O1463)&lt;'Sollecitazioni nel paramento'!$G$58,ABS(O1463)*'Sollecitazioni nel paramento'!$G$54,'Sollecitazioni nel paramento'!$G$53)*IF(O1463&lt;0,-1,1)</f>
        <v>338002.00441673421</v>
      </c>
      <c r="V1463" s="472">
        <f t="shared" si="105"/>
        <v>-14252683.304556191</v>
      </c>
      <c r="W1463" s="551"/>
      <c r="X1463" s="551"/>
    </row>
    <row r="1464" spans="1:24" x14ac:dyDescent="0.25">
      <c r="A1464" s="545">
        <f t="shared" si="104"/>
        <v>14560136.437530745</v>
      </c>
      <c r="B1464" s="3">
        <f t="shared" si="102"/>
        <v>50.899999999999942</v>
      </c>
      <c r="C1464" s="545">
        <f>'Foglio deposito bis'!$E$158/sezione!$B$247*B1464</f>
        <v>378.12234933702615</v>
      </c>
      <c r="D1464" s="603">
        <f>-'Sollecitazioni nel paramento'!$G$47*'Sollecitazioni nel paramento'!$G$41*IF(DATI!$G$211="dx",DATI!$E$61,DATI!$E$64*DATI!$E$63)*1000*C1464^2*sezione!$AD$5*(1-sezione!$AD$6)</f>
        <v>-3181034067.0234184</v>
      </c>
      <c r="E1464" s="545">
        <f>-'Foglio deposito bis'!$F$68*(C1464-sezione!$AL$32)*IF(ABS(K1464)&lt;'Sollecitazioni nel paramento'!$G$58,ABS(K1464)*'Sollecitazioni nel paramento'!$G$54,'Sollecitazioni nel paramento'!$G$53)</f>
        <v>0</v>
      </c>
      <c r="F1464" s="545">
        <f>-'Foglio deposito bis'!$F$69*(C1464-sezione!$AM$32)*IF(ABS(L1464)&lt;'Sollecitazioni nel paramento'!$G$58,ABS(L1464)*'Sollecitazioni nel paramento'!$G$54,'Sollecitazioni nel paramento'!$G$53)</f>
        <v>-48884225.655322522</v>
      </c>
      <c r="G1464" s="545">
        <f>-'Foglio deposito bis'!$F$70*(C1464-sezione!$AN$32)*IF(ABS(M1464)&lt;'Sollecitazioni nel paramento'!$G$58,ABS(M1464)*'Sollecitazioni nel paramento'!$G$54,'Sollecitazioni nel paramento'!$G$53)</f>
        <v>0</v>
      </c>
      <c r="H1464" s="545">
        <f>-'Foglio deposito bis'!$F$71*(C1464-sezione!$AO$32)*IF(ABS(N1464)&lt;'Sollecitazioni nel paramento'!$G$58,ABS(N1464)*'Sollecitazioni nel paramento'!$G$54,'Sollecitazioni nel paramento'!$G$53)</f>
        <v>-68644331.212227121</v>
      </c>
      <c r="I1464" s="472">
        <f>-'Foglio deposito bis'!$F$72*(C1464-sezione!$AP$32)*IF(ABS(O1464)&lt;'Sollecitazioni nel paramento'!$G$58,ABS(O1464)*'Sollecitazioni nel paramento'!$G$54,'Sollecitazioni nel paramento'!$G$53)</f>
        <v>41032864.280327134</v>
      </c>
      <c r="J1464" s="472">
        <f t="shared" si="103"/>
        <v>-3257529759.610641</v>
      </c>
      <c r="K1464" s="550">
        <f>'Sollecitazioni nel paramento'!$G$60*(sezione!$AL$32-C1464)/C1464</f>
        <v>-3.129749470652908E-3</v>
      </c>
      <c r="L1464" s="550">
        <f>'Sollecitazioni nel paramento'!$G$60*(sezione!$AM$32-C1464)/C1464</f>
        <v>-2.9446242059793619E-3</v>
      </c>
      <c r="M1464" s="551">
        <f>'Sollecitazioni nel paramento'!$G$60*(sezione!$AN$32-C1464)/C1464</f>
        <v>-2.7594989413058158E-3</v>
      </c>
      <c r="N1464" s="551">
        <f>'Sollecitazioni nel paramento'!$G$60*(sezione!$AO$32-C1464)/C1464</f>
        <v>-2.0189978826116316E-3</v>
      </c>
      <c r="O1464" s="551">
        <f>'Sollecitazioni nel paramento'!$G$60*(sezione!$AP$32-C1464)/C1464</f>
        <v>1.2112818871558575E-3</v>
      </c>
      <c r="P1464" s="545">
        <f>-'Sollecitazioni nel paramento'!$G$47*'Sollecitazioni nel paramento'!$G$41*IF(DATI!$G$211="dx",DATI!$E$61,DATI!$E$64*DATI!$E$63)*1000*C1464*sezione!$AD$5</f>
        <v>-14405327.142692683</v>
      </c>
      <c r="Q1464" s="545">
        <f>'Foglio deposito bis'!$F$68*IF(ABS(K1464)&lt;'Sollecitazioni nel paramento'!$G$58,ABS(K1464)*'Sollecitazioni nel paramento'!$G$54,'Sollecitazioni nel paramento'!$G$53)*IF(K1464&lt;0,-1,1)</f>
        <v>0</v>
      </c>
      <c r="R1464" s="545">
        <f>'Foglio deposito bis'!$F$69*IF(ABS(L1464)&lt;'Sollecitazioni nel paramento'!$G$58,ABS(L1464)*'Sollecitazioni nel paramento'!$G$54,'Sollecitazioni nel paramento'!$G$53)*IF(L1464&lt;0,-1,1)</f>
        <v>-153664.85805602249</v>
      </c>
      <c r="S1464" s="545">
        <f>'Foglio deposito bis'!$F$70*IF(ABS(M1464)&lt;'Sollecitazioni nel paramento'!$G$58,ABS(M1464)*'Sollecitazioni nel paramento'!$G$54,'Sollecitazioni nel paramento'!$G$53)*IF(M1464&lt;0,-1,1)</f>
        <v>0</v>
      </c>
      <c r="T1464" s="545">
        <f>'Foglio deposito bis'!$F$71*IF(ABS(N1464)&lt;'Sollecitazioni nel paramento'!$G$58,ABS(N1464)*'Sollecitazioni nel paramento'!$G$54,'Sollecitazioni nel paramento'!$G$53)*IF(N1464&lt;0,-1,1)</f>
        <v>-314705.62929873407</v>
      </c>
      <c r="U1464" s="545">
        <f>'Foglio deposito bis'!$F$72*IF(ABS(O1464)&lt;'Sollecitazioni nel paramento'!$G$58,ABS(O1464)*'Sollecitazioni nel paramento'!$G$54,'Sollecitazioni nel paramento'!$G$53)*IF(O1464&lt;0,-1,1)</f>
        <v>313561.19251669437</v>
      </c>
      <c r="V1464" s="472">
        <f t="shared" si="105"/>
        <v>-14560136.437530745</v>
      </c>
      <c r="W1464" s="551"/>
      <c r="X1464" s="551"/>
    </row>
    <row r="1465" spans="1:24" x14ac:dyDescent="0.25">
      <c r="A1465" s="545">
        <f t="shared" si="104"/>
        <v>14866647.728042869</v>
      </c>
      <c r="B1465" s="3">
        <f t="shared" si="102"/>
        <v>51.899999999999942</v>
      </c>
      <c r="C1465" s="545">
        <f>'Foglio deposito bis'!$E$158/sezione!$B$247*B1465</f>
        <v>385.55107918647661</v>
      </c>
      <c r="D1465" s="603">
        <f>-'Sollecitazioni nel paramento'!$G$47*'Sollecitazioni nel paramento'!$G$41*IF(DATI!$G$211="dx",DATI!$E$61,DATI!$E$64*DATI!$E$63)*1000*C1465^2*sezione!$AD$5*(1-sezione!$AD$6)</f>
        <v>-3307253396.9202495</v>
      </c>
      <c r="E1465" s="545">
        <f>-'Foglio deposito bis'!$F$68*(C1465-sezione!$AL$32)*IF(ABS(K1465)&lt;'Sollecitazioni nel paramento'!$G$58,ABS(K1465)*'Sollecitazioni nel paramento'!$G$54,'Sollecitazioni nel paramento'!$G$53)</f>
        <v>0</v>
      </c>
      <c r="F1465" s="545">
        <f>-'Foglio deposito bis'!$F$69*(C1465-sezione!$AM$32)*IF(ABS(L1465)&lt;'Sollecitazioni nel paramento'!$G$58,ABS(L1465)*'Sollecitazioni nel paramento'!$G$54,'Sollecitazioni nel paramento'!$G$53)</f>
        <v>-50025760.373174869</v>
      </c>
      <c r="G1465" s="545">
        <f>-'Foglio deposito bis'!$F$70*(C1465-sezione!$AN$32)*IF(ABS(M1465)&lt;'Sollecitazioni nel paramento'!$G$58,ABS(M1465)*'Sollecitazioni nel paramento'!$G$54,'Sollecitazioni nel paramento'!$G$53)</f>
        <v>0</v>
      </c>
      <c r="H1465" s="545">
        <f>-'Foglio deposito bis'!$F$71*(C1465-sezione!$AO$32)*IF(ABS(N1465)&lt;'Sollecitazioni nel paramento'!$G$58,ABS(N1465)*'Sollecitazioni nel paramento'!$G$54,'Sollecitazioni nel paramento'!$G$53)</f>
        <v>-70982194.314388722</v>
      </c>
      <c r="I1465" s="472">
        <f>-'Foglio deposito bis'!$F$72*(C1465-sezione!$AP$32)*IF(ABS(O1465)&lt;'Sollecitazioni nel paramento'!$G$58,ABS(O1465)*'Sollecitazioni nel paramento'!$G$54,'Sollecitazioni nel paramento'!$G$53)</f>
        <v>35802976.762118474</v>
      </c>
      <c r="J1465" s="472">
        <f t="shared" si="103"/>
        <v>-3392458374.8456945</v>
      </c>
      <c r="K1465" s="550">
        <f>'Sollecitazioni nel paramento'!$G$60*(sezione!$AL$32-C1465)/C1465</f>
        <v>-3.1368833922202893E-3</v>
      </c>
      <c r="L1465" s="550">
        <f>'Sollecitazioni nel paramento'!$G$60*(sezione!$AM$32-C1465)/C1465</f>
        <v>-2.9553250883304341E-3</v>
      </c>
      <c r="M1465" s="551">
        <f>'Sollecitazioni nel paramento'!$G$60*(sezione!$AN$32-C1465)/C1465</f>
        <v>-2.7737667844405789E-3</v>
      </c>
      <c r="N1465" s="551">
        <f>'Sollecitazioni nel paramento'!$G$60*(sezione!$AO$32-C1465)/C1465</f>
        <v>-2.0475335688811573E-3</v>
      </c>
      <c r="O1465" s="551">
        <f>'Sollecitazioni nel paramento'!$G$60*(sezione!$AP$32-C1465)/C1465</f>
        <v>1.1205057428946652E-3</v>
      </c>
      <c r="P1465" s="545">
        <f>-'Sollecitazioni nel paramento'!$G$47*'Sollecitazioni nel paramento'!$G$41*IF(DATI!$G$211="dx",DATI!$E$61,DATI!$E$64*DATI!$E$63)*1000*C1465*sezione!$AD$5</f>
        <v>-14688339.463767197</v>
      </c>
      <c r="Q1465" s="545">
        <f>'Foglio deposito bis'!$F$68*IF(ABS(K1465)&lt;'Sollecitazioni nel paramento'!$G$58,ABS(K1465)*'Sollecitazioni nel paramento'!$G$54,'Sollecitazioni nel paramento'!$G$53)*IF(K1465&lt;0,-1,1)</f>
        <v>0</v>
      </c>
      <c r="R1465" s="545">
        <f>'Foglio deposito bis'!$F$69*IF(ABS(L1465)&lt;'Sollecitazioni nel paramento'!$G$58,ABS(L1465)*'Sollecitazioni nel paramento'!$G$54,'Sollecitazioni nel paramento'!$G$53)*IF(L1465&lt;0,-1,1)</f>
        <v>-153664.85805602249</v>
      </c>
      <c r="S1465" s="545">
        <f>'Foglio deposito bis'!$F$70*IF(ABS(M1465)&lt;'Sollecitazioni nel paramento'!$G$58,ABS(M1465)*'Sollecitazioni nel paramento'!$G$54,'Sollecitazioni nel paramento'!$G$53)*IF(M1465&lt;0,-1,1)</f>
        <v>0</v>
      </c>
      <c r="T1465" s="545">
        <f>'Foglio deposito bis'!$F$71*IF(ABS(N1465)&lt;'Sollecitazioni nel paramento'!$G$58,ABS(N1465)*'Sollecitazioni nel paramento'!$G$54,'Sollecitazioni nel paramento'!$G$53)*IF(N1465&lt;0,-1,1)</f>
        <v>-314705.62929873407</v>
      </c>
      <c r="U1465" s="545">
        <f>'Foglio deposito bis'!$F$72*IF(ABS(O1465)&lt;'Sollecitazioni nel paramento'!$G$58,ABS(O1465)*'Sollecitazioni nel paramento'!$G$54,'Sollecitazioni nel paramento'!$G$53)*IF(O1465&lt;0,-1,1)</f>
        <v>290062.22307908366</v>
      </c>
      <c r="V1465" s="472">
        <f t="shared" si="105"/>
        <v>-14866647.728042869</v>
      </c>
      <c r="W1465" s="551"/>
      <c r="X1465" s="551"/>
    </row>
    <row r="1466" spans="1:24" x14ac:dyDescent="0.25">
      <c r="A1466" s="545">
        <f t="shared" si="104"/>
        <v>15172270.58870858</v>
      </c>
      <c r="B1466" s="3">
        <f t="shared" si="102"/>
        <v>52.899999999999942</v>
      </c>
      <c r="C1466" s="545">
        <f>'Foglio deposito bis'!$E$158/sezione!$B$247*B1466</f>
        <v>392.97980903592702</v>
      </c>
      <c r="D1466" s="603">
        <f>-'Sollecitazioni nel paramento'!$G$47*'Sollecitazioni nel paramento'!$G$41*IF(DATI!$G$211="dx",DATI!$E$61,DATI!$E$64*DATI!$E$63)*1000*C1466^2*sezione!$AD$5*(1-sezione!$AD$6)</f>
        <v>-3435928355.8033996</v>
      </c>
      <c r="E1466" s="545">
        <f>-'Foglio deposito bis'!$F$68*(C1466-sezione!$AL$32)*IF(ABS(K1466)&lt;'Sollecitazioni nel paramento'!$G$58,ABS(K1466)*'Sollecitazioni nel paramento'!$G$54,'Sollecitazioni nel paramento'!$G$53)</f>
        <v>0</v>
      </c>
      <c r="F1466" s="545">
        <f>-'Foglio deposito bis'!$F$69*(C1466-sezione!$AM$32)*IF(ABS(L1466)&lt;'Sollecitazioni nel paramento'!$G$58,ABS(L1466)*'Sollecitazioni nel paramento'!$G$54,'Sollecitazioni nel paramento'!$G$53)</f>
        <v>-51167295.0910272</v>
      </c>
      <c r="G1466" s="545">
        <f>-'Foglio deposito bis'!$F$70*(C1466-sezione!$AN$32)*IF(ABS(M1466)&lt;'Sollecitazioni nel paramento'!$G$58,ABS(M1466)*'Sollecitazioni nel paramento'!$G$54,'Sollecitazioni nel paramento'!$G$53)</f>
        <v>0</v>
      </c>
      <c r="H1466" s="545">
        <f>-'Foglio deposito bis'!$F$71*(C1466-sezione!$AO$32)*IF(ABS(N1466)&lt;'Sollecitazioni nel paramento'!$G$58,ABS(N1466)*'Sollecitazioni nel paramento'!$G$54,'Sollecitazioni nel paramento'!$G$53)</f>
        <v>-73320057.416550308</v>
      </c>
      <c r="I1466" s="472">
        <f>-'Foglio deposito bis'!$F$72*(C1466-sezione!$AP$32)*IF(ABS(O1466)&lt;'Sollecitazioni nel paramento'!$G$58,ABS(O1466)*'Sollecitazioni nel paramento'!$G$54,'Sollecitazioni nel paramento'!$G$53)</f>
        <v>31025285.05314127</v>
      </c>
      <c r="J1466" s="472">
        <f t="shared" si="103"/>
        <v>-3529390423.2578359</v>
      </c>
      <c r="K1466" s="550">
        <f>'Sollecitazioni nel paramento'!$G$60*(sezione!$AL$32-C1466)/C1466</f>
        <v>-3.1437476003068621E-3</v>
      </c>
      <c r="L1466" s="550">
        <f>'Sollecitazioni nel paramento'!$G$60*(sezione!$AM$32-C1466)/C1466</f>
        <v>-2.9656214004602937E-3</v>
      </c>
      <c r="M1466" s="551">
        <f>'Sollecitazioni nel paramento'!$G$60*(sezione!$AN$32-C1466)/C1466</f>
        <v>-2.7874952006137249E-3</v>
      </c>
      <c r="N1466" s="551">
        <f>'Sollecitazioni nel paramento'!$G$60*(sezione!$AO$32-C1466)/C1466</f>
        <v>-2.0749904012274493E-3</v>
      </c>
      <c r="O1466" s="551">
        <f>'Sollecitazioni nel paramento'!$G$60*(sezione!$AP$32-C1466)/C1466</f>
        <v>1.0331615889647094E-3</v>
      </c>
      <c r="P1466" s="545">
        <f>-'Sollecitazioni nel paramento'!$G$47*'Sollecitazioni nel paramento'!$G$41*IF(DATI!$G$211="dx",DATI!$E$61,DATI!$E$64*DATI!$E$63)*1000*C1466*sezione!$AD$5</f>
        <v>-14971351.784841709</v>
      </c>
      <c r="Q1466" s="545">
        <f>'Foglio deposito bis'!$F$68*IF(ABS(K1466)&lt;'Sollecitazioni nel paramento'!$G$58,ABS(K1466)*'Sollecitazioni nel paramento'!$G$54,'Sollecitazioni nel paramento'!$G$53)*IF(K1466&lt;0,-1,1)</f>
        <v>0</v>
      </c>
      <c r="R1466" s="545">
        <f>'Foglio deposito bis'!$F$69*IF(ABS(L1466)&lt;'Sollecitazioni nel paramento'!$G$58,ABS(L1466)*'Sollecitazioni nel paramento'!$G$54,'Sollecitazioni nel paramento'!$G$53)*IF(L1466&lt;0,-1,1)</f>
        <v>-153664.85805602249</v>
      </c>
      <c r="S1466" s="545">
        <f>'Foglio deposito bis'!$F$70*IF(ABS(M1466)&lt;'Sollecitazioni nel paramento'!$G$58,ABS(M1466)*'Sollecitazioni nel paramento'!$G$54,'Sollecitazioni nel paramento'!$G$53)*IF(M1466&lt;0,-1,1)</f>
        <v>0</v>
      </c>
      <c r="T1466" s="545">
        <f>'Foglio deposito bis'!$F$71*IF(ABS(N1466)&lt;'Sollecitazioni nel paramento'!$G$58,ABS(N1466)*'Sollecitazioni nel paramento'!$G$54,'Sollecitazioni nel paramento'!$G$53)*IF(N1466&lt;0,-1,1)</f>
        <v>-314705.62929873407</v>
      </c>
      <c r="U1466" s="545">
        <f>'Foglio deposito bis'!$F$72*IF(ABS(O1466)&lt;'Sollecitazioni nel paramento'!$G$58,ABS(O1466)*'Sollecitazioni nel paramento'!$G$54,'Sollecitazioni nel paramento'!$G$53)*IF(O1466&lt;0,-1,1)</f>
        <v>267451.68348788552</v>
      </c>
      <c r="V1466" s="472">
        <f t="shared" si="105"/>
        <v>-15172270.58870858</v>
      </c>
      <c r="W1466" s="551"/>
      <c r="X1466" s="551"/>
    </row>
    <row r="1467" spans="1:24" x14ac:dyDescent="0.25">
      <c r="A1467" s="545">
        <f t="shared" si="104"/>
        <v>15477054.46831339</v>
      </c>
      <c r="B1467" s="3">
        <f t="shared" si="102"/>
        <v>53.899999999999942</v>
      </c>
      <c r="C1467" s="545">
        <f>'Foglio deposito bis'!$E$158/sezione!$B$247*B1467</f>
        <v>400.40853888537742</v>
      </c>
      <c r="D1467" s="603">
        <f>-'Sollecitazioni nel paramento'!$G$47*'Sollecitazioni nel paramento'!$G$41*IF(DATI!$G$211="dx",DATI!$E$61,DATI!$E$64*DATI!$E$63)*1000*C1467^2*sezione!$AD$5*(1-sezione!$AD$6)</f>
        <v>-3567058943.6728697</v>
      </c>
      <c r="E1467" s="545">
        <f>-'Foglio deposito bis'!$F$68*(C1467-sezione!$AL$32)*IF(ABS(K1467)&lt;'Sollecitazioni nel paramento'!$G$58,ABS(K1467)*'Sollecitazioni nel paramento'!$G$54,'Sollecitazioni nel paramento'!$G$53)</f>
        <v>0</v>
      </c>
      <c r="F1467" s="545">
        <f>-'Foglio deposito bis'!$F$69*(C1467-sezione!$AM$32)*IF(ABS(L1467)&lt;'Sollecitazioni nel paramento'!$G$58,ABS(L1467)*'Sollecitazioni nel paramento'!$G$54,'Sollecitazioni nel paramento'!$G$53)</f>
        <v>-52308829.808879539</v>
      </c>
      <c r="G1467" s="545">
        <f>-'Foglio deposito bis'!$F$70*(C1467-sezione!$AN$32)*IF(ABS(M1467)&lt;'Sollecitazioni nel paramento'!$G$58,ABS(M1467)*'Sollecitazioni nel paramento'!$G$54,'Sollecitazioni nel paramento'!$G$53)</f>
        <v>0</v>
      </c>
      <c r="H1467" s="545">
        <f>-'Foglio deposito bis'!$F$71*(C1467-sezione!$AO$32)*IF(ABS(N1467)&lt;'Sollecitazioni nel paramento'!$G$58,ABS(N1467)*'Sollecitazioni nel paramento'!$G$54,'Sollecitazioni nel paramento'!$G$53)</f>
        <v>-75657920.51871188</v>
      </c>
      <c r="I1467" s="472">
        <f>-'Foglio deposito bis'!$F$72*(C1467-sezione!$AP$32)*IF(ABS(O1467)&lt;'Sollecitazioni nel paramento'!$G$58,ABS(O1467)*'Sollecitazioni nel paramento'!$G$54,'Sollecitazioni nel paramento'!$G$53)</f>
        <v>26674620.555479098</v>
      </c>
      <c r="J1467" s="472">
        <f t="shared" si="103"/>
        <v>-3668351073.4449821</v>
      </c>
      <c r="K1467" s="550">
        <f>'Sollecitazioni nel paramento'!$G$60*(sezione!$AL$32-C1467)/C1467</f>
        <v>-3.1503571067946759E-3</v>
      </c>
      <c r="L1467" s="550">
        <f>'Sollecitazioni nel paramento'!$G$60*(sezione!$AM$32-C1467)/C1467</f>
        <v>-2.9755356601920135E-3</v>
      </c>
      <c r="M1467" s="551">
        <f>'Sollecitazioni nel paramento'!$G$60*(sezione!$AN$32-C1467)/C1467</f>
        <v>-2.8007142135893512E-3</v>
      </c>
      <c r="N1467" s="551">
        <f>'Sollecitazioni nel paramento'!$G$60*(sezione!$AO$32-C1467)/C1467</f>
        <v>-2.1014284271787024E-3</v>
      </c>
      <c r="O1467" s="551">
        <f>'Sollecitazioni nel paramento'!$G$60*(sezione!$AP$32-C1467)/C1467</f>
        <v>9.4905840549597655E-4</v>
      </c>
      <c r="P1467" s="545">
        <f>-'Sollecitazioni nel paramento'!$G$47*'Sollecitazioni nel paramento'!$G$41*IF(DATI!$G$211="dx",DATI!$E$61,DATI!$E$64*DATI!$E$63)*1000*C1467*sezione!$AD$5</f>
        <v>-15254364.105916221</v>
      </c>
      <c r="Q1467" s="545">
        <f>'Foglio deposito bis'!$F$68*IF(ABS(K1467)&lt;'Sollecitazioni nel paramento'!$G$58,ABS(K1467)*'Sollecitazioni nel paramento'!$G$54,'Sollecitazioni nel paramento'!$G$53)*IF(K1467&lt;0,-1,1)</f>
        <v>0</v>
      </c>
      <c r="R1467" s="545">
        <f>'Foglio deposito bis'!$F$69*IF(ABS(L1467)&lt;'Sollecitazioni nel paramento'!$G$58,ABS(L1467)*'Sollecitazioni nel paramento'!$G$54,'Sollecitazioni nel paramento'!$G$53)*IF(L1467&lt;0,-1,1)</f>
        <v>-153664.85805602249</v>
      </c>
      <c r="S1467" s="545">
        <f>'Foglio deposito bis'!$F$70*IF(ABS(M1467)&lt;'Sollecitazioni nel paramento'!$G$58,ABS(M1467)*'Sollecitazioni nel paramento'!$G$54,'Sollecitazioni nel paramento'!$G$53)*IF(M1467&lt;0,-1,1)</f>
        <v>0</v>
      </c>
      <c r="T1467" s="545">
        <f>'Foglio deposito bis'!$F$71*IF(ABS(N1467)&lt;'Sollecitazioni nel paramento'!$G$58,ABS(N1467)*'Sollecitazioni nel paramento'!$G$54,'Sollecitazioni nel paramento'!$G$53)*IF(N1467&lt;0,-1,1)</f>
        <v>-314705.62929873407</v>
      </c>
      <c r="U1467" s="545">
        <f>'Foglio deposito bis'!$F$72*IF(ABS(O1467)&lt;'Sollecitazioni nel paramento'!$G$58,ABS(O1467)*'Sollecitazioni nel paramento'!$G$54,'Sollecitazioni nel paramento'!$G$53)*IF(O1467&lt;0,-1,1)</f>
        <v>245680.12495758536</v>
      </c>
      <c r="V1467" s="472">
        <f t="shared" si="105"/>
        <v>-15477054.46831339</v>
      </c>
      <c r="W1467" s="551"/>
      <c r="X1467" s="551"/>
    </row>
    <row r="1468" spans="1:24" x14ac:dyDescent="0.25">
      <c r="A1468" s="545">
        <f t="shared" si="104"/>
        <v>15781045.212816918</v>
      </c>
      <c r="B1468" s="3">
        <f t="shared" si="102"/>
        <v>54.899999999999942</v>
      </c>
      <c r="C1468" s="545">
        <f>'Foglio deposito bis'!$E$158/sezione!$B$247*B1468</f>
        <v>407.83726873482789</v>
      </c>
      <c r="D1468" s="603">
        <f>-'Sollecitazioni nel paramento'!$G$47*'Sollecitazioni nel paramento'!$G$41*IF(DATI!$G$211="dx",DATI!$E$61,DATI!$E$64*DATI!$E$63)*1000*C1468^2*sezione!$AD$5*(1-sezione!$AD$6)</f>
        <v>-3700645160.5286603</v>
      </c>
      <c r="E1468" s="545">
        <f>-'Foglio deposito bis'!$F$68*(C1468-sezione!$AL$32)*IF(ABS(K1468)&lt;'Sollecitazioni nel paramento'!$G$58,ABS(K1468)*'Sollecitazioni nel paramento'!$G$54,'Sollecitazioni nel paramento'!$G$53)</f>
        <v>0</v>
      </c>
      <c r="F1468" s="545">
        <f>-'Foglio deposito bis'!$F$69*(C1468-sezione!$AM$32)*IF(ABS(L1468)&lt;'Sollecitazioni nel paramento'!$G$58,ABS(L1468)*'Sollecitazioni nel paramento'!$G$54,'Sollecitazioni nel paramento'!$G$53)</f>
        <v>-53450364.526731879</v>
      </c>
      <c r="G1468" s="545">
        <f>-'Foglio deposito bis'!$F$70*(C1468-sezione!$AN$32)*IF(ABS(M1468)&lt;'Sollecitazioni nel paramento'!$G$58,ABS(M1468)*'Sollecitazioni nel paramento'!$G$54,'Sollecitazioni nel paramento'!$G$53)</f>
        <v>0</v>
      </c>
      <c r="H1468" s="545">
        <f>-'Foglio deposito bis'!$F$71*(C1468-sezione!$AO$32)*IF(ABS(N1468)&lt;'Sollecitazioni nel paramento'!$G$58,ABS(N1468)*'Sollecitazioni nel paramento'!$G$54,'Sollecitazioni nel paramento'!$G$53)</f>
        <v>-77995783.620873481</v>
      </c>
      <c r="I1468" s="472">
        <f>-'Foglio deposito bis'!$F$72*(C1468-sezione!$AP$32)*IF(ABS(O1468)&lt;'Sollecitazioni nel paramento'!$G$58,ABS(O1468)*'Sollecitazioni nel paramento'!$G$54,'Sollecitazioni nel paramento'!$G$53)</f>
        <v>22727648.448841482</v>
      </c>
      <c r="J1468" s="472">
        <f t="shared" si="103"/>
        <v>-3809363660.2274241</v>
      </c>
      <c r="K1468" s="550">
        <f>'Sollecitazioni nel paramento'!$G$60*(sezione!$AL$32-C1468)/C1468</f>
        <v>-3.1567258298038805E-3</v>
      </c>
      <c r="L1468" s="550">
        <f>'Sollecitazioni nel paramento'!$G$60*(sezione!$AM$32-C1468)/C1468</f>
        <v>-2.9850887447058203E-3</v>
      </c>
      <c r="M1468" s="551">
        <f>'Sollecitazioni nel paramento'!$G$60*(sezione!$AN$32-C1468)/C1468</f>
        <v>-2.8134516596077601E-3</v>
      </c>
      <c r="N1468" s="551">
        <f>'Sollecitazioni nel paramento'!$G$60*(sezione!$AO$32-C1468)/C1468</f>
        <v>-2.1269033192155206E-3</v>
      </c>
      <c r="O1468" s="551">
        <f>'Sollecitazioni nel paramento'!$G$60*(sezione!$AP$32-C1468)/C1468</f>
        <v>8.6801909027747E-4</v>
      </c>
      <c r="P1468" s="545">
        <f>-'Sollecitazioni nel paramento'!$G$47*'Sollecitazioni nel paramento'!$G$41*IF(DATI!$G$211="dx",DATI!$E$61,DATI!$E$64*DATI!$E$63)*1000*C1468*sezione!$AD$5</f>
        <v>-15537376.426990734</v>
      </c>
      <c r="Q1468" s="545">
        <f>'Foglio deposito bis'!$F$68*IF(ABS(K1468)&lt;'Sollecitazioni nel paramento'!$G$58,ABS(K1468)*'Sollecitazioni nel paramento'!$G$54,'Sollecitazioni nel paramento'!$G$53)*IF(K1468&lt;0,-1,1)</f>
        <v>0</v>
      </c>
      <c r="R1468" s="545">
        <f>'Foglio deposito bis'!$F$69*IF(ABS(L1468)&lt;'Sollecitazioni nel paramento'!$G$58,ABS(L1468)*'Sollecitazioni nel paramento'!$G$54,'Sollecitazioni nel paramento'!$G$53)*IF(L1468&lt;0,-1,1)</f>
        <v>-153664.85805602249</v>
      </c>
      <c r="S1468" s="545">
        <f>'Foglio deposito bis'!$F$70*IF(ABS(M1468)&lt;'Sollecitazioni nel paramento'!$G$58,ABS(M1468)*'Sollecitazioni nel paramento'!$G$54,'Sollecitazioni nel paramento'!$G$53)*IF(M1468&lt;0,-1,1)</f>
        <v>0</v>
      </c>
      <c r="T1468" s="545">
        <f>'Foglio deposito bis'!$F$71*IF(ABS(N1468)&lt;'Sollecitazioni nel paramento'!$G$58,ABS(N1468)*'Sollecitazioni nel paramento'!$G$54,'Sollecitazioni nel paramento'!$G$53)*IF(N1468&lt;0,-1,1)</f>
        <v>-314705.62929873407</v>
      </c>
      <c r="U1468" s="545">
        <f>'Foglio deposito bis'!$F$72*IF(ABS(O1468)&lt;'Sollecitazioni nel paramento'!$G$58,ABS(O1468)*'Sollecitazioni nel paramento'!$G$54,'Sollecitazioni nel paramento'!$G$53)*IF(O1468&lt;0,-1,1)</f>
        <v>224701.70152857099</v>
      </c>
      <c r="V1468" s="472">
        <f t="shared" si="105"/>
        <v>-15781045.212816918</v>
      </c>
      <c r="W1468" s="551"/>
      <c r="X1468" s="551"/>
    </row>
    <row r="1469" spans="1:24" x14ac:dyDescent="0.25">
      <c r="A1469" s="545">
        <f t="shared" si="104"/>
        <v>16084285.387609212</v>
      </c>
      <c r="B1469" s="3">
        <f t="shared" si="102"/>
        <v>55.899999999999942</v>
      </c>
      <c r="C1469" s="545">
        <f>'Foglio deposito bis'!$E$158/sezione!$B$247*B1469</f>
        <v>415.26599858427829</v>
      </c>
      <c r="D1469" s="603">
        <f>-'Sollecitazioni nel paramento'!$G$47*'Sollecitazioni nel paramento'!$G$41*IF(DATI!$G$211="dx",DATI!$E$61,DATI!$E$64*DATI!$E$63)*1000*C1469^2*sezione!$AD$5*(1-sezione!$AD$6)</f>
        <v>-3836687006.370769</v>
      </c>
      <c r="E1469" s="545">
        <f>-'Foglio deposito bis'!$F$68*(C1469-sezione!$AL$32)*IF(ABS(K1469)&lt;'Sollecitazioni nel paramento'!$G$58,ABS(K1469)*'Sollecitazioni nel paramento'!$G$54,'Sollecitazioni nel paramento'!$G$53)</f>
        <v>0</v>
      </c>
      <c r="F1469" s="545">
        <f>-'Foglio deposito bis'!$F$69*(C1469-sezione!$AM$32)*IF(ABS(L1469)&lt;'Sollecitazioni nel paramento'!$G$58,ABS(L1469)*'Sollecitazioni nel paramento'!$G$54,'Sollecitazioni nel paramento'!$G$53)</f>
        <v>-54591899.244584218</v>
      </c>
      <c r="G1469" s="545">
        <f>-'Foglio deposito bis'!$F$70*(C1469-sezione!$AN$32)*IF(ABS(M1469)&lt;'Sollecitazioni nel paramento'!$G$58,ABS(M1469)*'Sollecitazioni nel paramento'!$G$54,'Sollecitazioni nel paramento'!$G$53)</f>
        <v>0</v>
      </c>
      <c r="H1469" s="545">
        <f>-'Foglio deposito bis'!$F$71*(C1469-sezione!$AO$32)*IF(ABS(N1469)&lt;'Sollecitazioni nel paramento'!$G$58,ABS(N1469)*'Sollecitazioni nel paramento'!$G$54,'Sollecitazioni nel paramento'!$G$53)</f>
        <v>-80333646.723035067</v>
      </c>
      <c r="I1469" s="472">
        <f>-'Foglio deposito bis'!$F$72*(C1469-sezione!$AP$32)*IF(ABS(O1469)&lt;'Sollecitazioni nel paramento'!$G$58,ABS(O1469)*'Sollecitazioni nel paramento'!$G$54,'Sollecitazioni nel paramento'!$G$53)</f>
        <v>19162703.667520545</v>
      </c>
      <c r="J1469" s="472">
        <f t="shared" si="103"/>
        <v>-3952449848.6708674</v>
      </c>
      <c r="K1469" s="550">
        <f>'Sollecitazioni nel paramento'!$G$60*(sezione!$AL$32-C1469)/C1469</f>
        <v>-3.162866691524741E-3</v>
      </c>
      <c r="L1469" s="550">
        <f>'Sollecitazioni nel paramento'!$G$60*(sezione!$AM$32-C1469)/C1469</f>
        <v>-2.9943000372871114E-3</v>
      </c>
      <c r="M1469" s="551">
        <f>'Sollecitazioni nel paramento'!$G$60*(sezione!$AN$32-C1469)/C1469</f>
        <v>-2.8257333830494814E-3</v>
      </c>
      <c r="N1469" s="551">
        <f>'Sollecitazioni nel paramento'!$G$60*(sezione!$AO$32-C1469)/C1469</f>
        <v>-2.1514667660989637E-3</v>
      </c>
      <c r="O1469" s="551">
        <f>'Sollecitazioni nel paramento'!$G$60*(sezione!$AP$32-C1469)/C1469</f>
        <v>7.8987921388610214E-4</v>
      </c>
      <c r="P1469" s="545">
        <f>-'Sollecitazioni nel paramento'!$G$47*'Sollecitazioni nel paramento'!$G$41*IF(DATI!$G$211="dx",DATI!$E$61,DATI!$E$64*DATI!$E$63)*1000*C1469*sezione!$AD$5</f>
        <v>-15820388.748065248</v>
      </c>
      <c r="Q1469" s="545">
        <f>'Foglio deposito bis'!$F$68*IF(ABS(K1469)&lt;'Sollecitazioni nel paramento'!$G$58,ABS(K1469)*'Sollecitazioni nel paramento'!$G$54,'Sollecitazioni nel paramento'!$G$53)*IF(K1469&lt;0,-1,1)</f>
        <v>0</v>
      </c>
      <c r="R1469" s="545">
        <f>'Foglio deposito bis'!$F$69*IF(ABS(L1469)&lt;'Sollecitazioni nel paramento'!$G$58,ABS(L1469)*'Sollecitazioni nel paramento'!$G$54,'Sollecitazioni nel paramento'!$G$53)*IF(L1469&lt;0,-1,1)</f>
        <v>-153664.85805602249</v>
      </c>
      <c r="S1469" s="545">
        <f>'Foglio deposito bis'!$F$70*IF(ABS(M1469)&lt;'Sollecitazioni nel paramento'!$G$58,ABS(M1469)*'Sollecitazioni nel paramento'!$G$54,'Sollecitazioni nel paramento'!$G$53)*IF(M1469&lt;0,-1,1)</f>
        <v>0</v>
      </c>
      <c r="T1469" s="545">
        <f>'Foglio deposito bis'!$F$71*IF(ABS(N1469)&lt;'Sollecitazioni nel paramento'!$G$58,ABS(N1469)*'Sollecitazioni nel paramento'!$G$54,'Sollecitazioni nel paramento'!$G$53)*IF(N1469&lt;0,-1,1)</f>
        <v>-314705.62929873407</v>
      </c>
      <c r="U1469" s="545">
        <f>'Foglio deposito bis'!$F$72*IF(ABS(O1469)&lt;'Sollecitazioni nel paramento'!$G$58,ABS(O1469)*'Sollecitazioni nel paramento'!$G$54,'Sollecitazioni nel paramento'!$G$53)*IF(O1469&lt;0,-1,1)</f>
        <v>204473.84781079163</v>
      </c>
      <c r="V1469" s="472">
        <f t="shared" si="105"/>
        <v>-16084285.387609212</v>
      </c>
      <c r="W1469" s="551"/>
      <c r="X1469" s="551"/>
    </row>
    <row r="1470" spans="1:24" x14ac:dyDescent="0.25">
      <c r="A1470" s="545">
        <f t="shared" si="104"/>
        <v>16386814.565785762</v>
      </c>
      <c r="B1470" s="3">
        <f t="shared" si="102"/>
        <v>56.899999999999942</v>
      </c>
      <c r="C1470" s="545">
        <f>'Foglio deposito bis'!$E$158/sezione!$B$247*B1470</f>
        <v>422.6947284337287</v>
      </c>
      <c r="D1470" s="603">
        <f>-'Sollecitazioni nel paramento'!$G$47*'Sollecitazioni nel paramento'!$G$41*IF(DATI!$G$211="dx",DATI!$E$61,DATI!$E$64*DATI!$E$63)*1000*C1470^2*sezione!$AD$5*(1-sezione!$AD$6)</f>
        <v>-3975184481.1991978</v>
      </c>
      <c r="E1470" s="545">
        <f>-'Foglio deposito bis'!$F$68*(C1470-sezione!$AL$32)*IF(ABS(K1470)&lt;'Sollecitazioni nel paramento'!$G$58,ABS(K1470)*'Sollecitazioni nel paramento'!$G$54,'Sollecitazioni nel paramento'!$G$53)</f>
        <v>0</v>
      </c>
      <c r="F1470" s="545">
        <f>-'Foglio deposito bis'!$F$69*(C1470-sezione!$AM$32)*IF(ABS(L1470)&lt;'Sollecitazioni nel paramento'!$G$58,ABS(L1470)*'Sollecitazioni nel paramento'!$G$54,'Sollecitazioni nel paramento'!$G$53)</f>
        <v>-55733433.962436542</v>
      </c>
      <c r="G1470" s="545">
        <f>-'Foglio deposito bis'!$F$70*(C1470-sezione!$AN$32)*IF(ABS(M1470)&lt;'Sollecitazioni nel paramento'!$G$58,ABS(M1470)*'Sollecitazioni nel paramento'!$G$54,'Sollecitazioni nel paramento'!$G$53)</f>
        <v>0</v>
      </c>
      <c r="H1470" s="545">
        <f>-'Foglio deposito bis'!$F$71*(C1470-sezione!$AO$32)*IF(ABS(N1470)&lt;'Sollecitazioni nel paramento'!$G$58,ABS(N1470)*'Sollecitazioni nel paramento'!$G$54,'Sollecitazioni nel paramento'!$G$53)</f>
        <v>-82671509.825196639</v>
      </c>
      <c r="I1470" s="472">
        <f>-'Foglio deposito bis'!$F$72*(C1470-sezione!$AP$32)*IF(ABS(O1470)&lt;'Sollecitazioni nel paramento'!$G$58,ABS(O1470)*'Sollecitazioni nel paramento'!$G$54,'Sollecitazioni nel paramento'!$G$53)</f>
        <v>15959644.17327461</v>
      </c>
      <c r="J1470" s="472">
        <f t="shared" si="103"/>
        <v>-4097629780.8135567</v>
      </c>
      <c r="K1470" s="550">
        <f>'Sollecitazioni nel paramento'!$G$60*(sezione!$AL$32-C1470)/C1470</f>
        <v>-3.168791705733445E-3</v>
      </c>
      <c r="L1470" s="550">
        <f>'Sollecitazioni nel paramento'!$G$60*(sezione!$AM$32-C1470)/C1470</f>
        <v>-3.003187558600167E-3</v>
      </c>
      <c r="M1470" s="551">
        <f>'Sollecitazioni nel paramento'!$G$60*(sezione!$AN$32-C1470)/C1470</f>
        <v>-2.8375834114668899E-3</v>
      </c>
      <c r="N1470" s="551">
        <f>'Sollecitazioni nel paramento'!$G$60*(sezione!$AO$32-C1470)/C1470</f>
        <v>-2.1751668229337798E-3</v>
      </c>
      <c r="O1470" s="551">
        <f>'Sollecitazioni nel paramento'!$G$60*(sezione!$AP$32-C1470)/C1470</f>
        <v>7.1448590608494053E-4</v>
      </c>
      <c r="P1470" s="545">
        <f>-'Sollecitazioni nel paramento'!$G$47*'Sollecitazioni nel paramento'!$G$41*IF(DATI!$G$211="dx",DATI!$E$61,DATI!$E$64*DATI!$E$63)*1000*C1470*sezione!$AD$5</f>
        <v>-16103401.069139758</v>
      </c>
      <c r="Q1470" s="545">
        <f>'Foglio deposito bis'!$F$68*IF(ABS(K1470)&lt;'Sollecitazioni nel paramento'!$G$58,ABS(K1470)*'Sollecitazioni nel paramento'!$G$54,'Sollecitazioni nel paramento'!$G$53)*IF(K1470&lt;0,-1,1)</f>
        <v>0</v>
      </c>
      <c r="R1470" s="545">
        <f>'Foglio deposito bis'!$F$69*IF(ABS(L1470)&lt;'Sollecitazioni nel paramento'!$G$58,ABS(L1470)*'Sollecitazioni nel paramento'!$G$54,'Sollecitazioni nel paramento'!$G$53)*IF(L1470&lt;0,-1,1)</f>
        <v>-153664.85805602249</v>
      </c>
      <c r="S1470" s="545">
        <f>'Foglio deposito bis'!$F$70*IF(ABS(M1470)&lt;'Sollecitazioni nel paramento'!$G$58,ABS(M1470)*'Sollecitazioni nel paramento'!$G$54,'Sollecitazioni nel paramento'!$G$53)*IF(M1470&lt;0,-1,1)</f>
        <v>0</v>
      </c>
      <c r="T1470" s="545">
        <f>'Foglio deposito bis'!$F$71*IF(ABS(N1470)&lt;'Sollecitazioni nel paramento'!$G$58,ABS(N1470)*'Sollecitazioni nel paramento'!$G$54,'Sollecitazioni nel paramento'!$G$53)*IF(N1470&lt;0,-1,1)</f>
        <v>-314705.62929873407</v>
      </c>
      <c r="U1470" s="545">
        <f>'Foglio deposito bis'!$F$72*IF(ABS(O1470)&lt;'Sollecitazioni nel paramento'!$G$58,ABS(O1470)*'Sollecitazioni nel paramento'!$G$54,'Sollecitazioni nel paramento'!$G$53)*IF(O1470&lt;0,-1,1)</f>
        <v>184956.99070875146</v>
      </c>
      <c r="V1470" s="472">
        <f t="shared" si="105"/>
        <v>-16386814.565785762</v>
      </c>
      <c r="W1470" s="551"/>
      <c r="X1470" s="551"/>
    </row>
    <row r="1471" spans="1:24" x14ac:dyDescent="0.25">
      <c r="A1471" s="545">
        <f t="shared" si="104"/>
        <v>16688669.586549465</v>
      </c>
      <c r="B1471" s="3">
        <f t="shared" si="102"/>
        <v>57.899999999999942</v>
      </c>
      <c r="C1471" s="545">
        <f>'Foglio deposito bis'!$E$158/sezione!$B$247*B1471</f>
        <v>430.12345828317916</v>
      </c>
      <c r="D1471" s="603">
        <f>-'Sollecitazioni nel paramento'!$G$47*'Sollecitazioni nel paramento'!$G$41*IF(DATI!$G$211="dx",DATI!$E$61,DATI!$E$64*DATI!$E$63)*1000*C1471^2*sezione!$AD$5*(1-sezione!$AD$6)</f>
        <v>-4116137585.013947</v>
      </c>
      <c r="E1471" s="545">
        <f>-'Foglio deposito bis'!$F$68*(C1471-sezione!$AL$32)*IF(ABS(K1471)&lt;'Sollecitazioni nel paramento'!$G$58,ABS(K1471)*'Sollecitazioni nel paramento'!$G$54,'Sollecitazioni nel paramento'!$G$53)</f>
        <v>0</v>
      </c>
      <c r="F1471" s="545">
        <f>-'Foglio deposito bis'!$F$69*(C1471-sezione!$AM$32)*IF(ABS(L1471)&lt;'Sollecitazioni nel paramento'!$G$58,ABS(L1471)*'Sollecitazioni nel paramento'!$G$54,'Sollecitazioni nel paramento'!$G$53)</f>
        <v>-56874968.680288881</v>
      </c>
      <c r="G1471" s="545">
        <f>-'Foglio deposito bis'!$F$70*(C1471-sezione!$AN$32)*IF(ABS(M1471)&lt;'Sollecitazioni nel paramento'!$G$58,ABS(M1471)*'Sollecitazioni nel paramento'!$G$54,'Sollecitazioni nel paramento'!$G$53)</f>
        <v>0</v>
      </c>
      <c r="H1471" s="545">
        <f>-'Foglio deposito bis'!$F$71*(C1471-sezione!$AO$32)*IF(ABS(N1471)&lt;'Sollecitazioni nel paramento'!$G$58,ABS(N1471)*'Sollecitazioni nel paramento'!$G$54,'Sollecitazioni nel paramento'!$G$53)</f>
        <v>-85009372.92735824</v>
      </c>
      <c r="I1471" s="472">
        <f>-'Foglio deposito bis'!$F$72*(C1471-sezione!$AP$32)*IF(ABS(O1471)&lt;'Sollecitazioni nel paramento'!$G$58,ABS(O1471)*'Sollecitazioni nel paramento'!$G$54,'Sollecitazioni nel paramento'!$G$53)</f>
        <v>13099719.433094583</v>
      </c>
      <c r="J1471" s="472">
        <f t="shared" si="103"/>
        <v>-4244922207.1884995</v>
      </c>
      <c r="K1471" s="550">
        <f>'Sollecitazioni nel paramento'!$G$60*(sezione!$AL$32-C1471)/C1471</f>
        <v>-3.174512056238912E-3</v>
      </c>
      <c r="L1471" s="550">
        <f>'Sollecitazioni nel paramento'!$G$60*(sezione!$AM$32-C1471)/C1471</f>
        <v>-3.0117680843583686E-3</v>
      </c>
      <c r="M1471" s="551">
        <f>'Sollecitazioni nel paramento'!$G$60*(sezione!$AN$32-C1471)/C1471</f>
        <v>-2.8490241124778247E-3</v>
      </c>
      <c r="N1471" s="551">
        <f>'Sollecitazioni nel paramento'!$G$60*(sezione!$AO$32-C1471)/C1471</f>
        <v>-2.1980482249556489E-3</v>
      </c>
      <c r="O1471" s="551">
        <f>'Sollecitazioni nel paramento'!$G$60*(sezione!$AP$32-C1471)/C1471</f>
        <v>6.4169685762060613E-4</v>
      </c>
      <c r="P1471" s="545">
        <f>-'Sollecitazioni nel paramento'!$G$47*'Sollecitazioni nel paramento'!$G$41*IF(DATI!$G$211="dx",DATI!$E$61,DATI!$E$64*DATI!$E$63)*1000*C1471*sezione!$AD$5</f>
        <v>-16386413.390214272</v>
      </c>
      <c r="Q1471" s="545">
        <f>'Foglio deposito bis'!$F$68*IF(ABS(K1471)&lt;'Sollecitazioni nel paramento'!$G$58,ABS(K1471)*'Sollecitazioni nel paramento'!$G$54,'Sollecitazioni nel paramento'!$G$53)*IF(K1471&lt;0,-1,1)</f>
        <v>0</v>
      </c>
      <c r="R1471" s="545">
        <f>'Foglio deposito bis'!$F$69*IF(ABS(L1471)&lt;'Sollecitazioni nel paramento'!$G$58,ABS(L1471)*'Sollecitazioni nel paramento'!$G$54,'Sollecitazioni nel paramento'!$G$53)*IF(L1471&lt;0,-1,1)</f>
        <v>-153664.85805602249</v>
      </c>
      <c r="S1471" s="545">
        <f>'Foglio deposito bis'!$F$70*IF(ABS(M1471)&lt;'Sollecitazioni nel paramento'!$G$58,ABS(M1471)*'Sollecitazioni nel paramento'!$G$54,'Sollecitazioni nel paramento'!$G$53)*IF(M1471&lt;0,-1,1)</f>
        <v>0</v>
      </c>
      <c r="T1471" s="545">
        <f>'Foglio deposito bis'!$F$71*IF(ABS(N1471)&lt;'Sollecitazioni nel paramento'!$G$58,ABS(N1471)*'Sollecitazioni nel paramento'!$G$54,'Sollecitazioni nel paramento'!$G$53)*IF(N1471&lt;0,-1,1)</f>
        <v>-314705.62929873407</v>
      </c>
      <c r="U1471" s="545">
        <f>'Foglio deposito bis'!$F$72*IF(ABS(O1471)&lt;'Sollecitazioni nel paramento'!$G$58,ABS(O1471)*'Sollecitazioni nel paramento'!$G$54,'Sollecitazioni nel paramento'!$G$53)*IF(O1471&lt;0,-1,1)</f>
        <v>166114.29101956225</v>
      </c>
      <c r="V1471" s="472">
        <f t="shared" si="105"/>
        <v>-16688669.586549465</v>
      </c>
      <c r="W1471" s="551"/>
      <c r="X1471" s="551"/>
    </row>
    <row r="1472" spans="1:24" x14ac:dyDescent="0.25">
      <c r="A1472" s="545">
        <f t="shared" si="104"/>
        <v>16989884.787289772</v>
      </c>
      <c r="B1472" s="3">
        <f t="shared" si="102"/>
        <v>58.899999999999942</v>
      </c>
      <c r="C1472" s="545">
        <f>'Foglio deposito bis'!$E$158/sezione!$B$247*B1472</f>
        <v>437.55218813262957</v>
      </c>
      <c r="D1472" s="603">
        <f>-'Sollecitazioni nel paramento'!$G$47*'Sollecitazioni nel paramento'!$G$41*IF(DATI!$G$211="dx",DATI!$E$61,DATI!$E$64*DATI!$E$63)*1000*C1472^2*sezione!$AD$5*(1-sezione!$AD$6)</f>
        <v>-4259546317.8150144</v>
      </c>
      <c r="E1472" s="545">
        <f>-'Foglio deposito bis'!$F$68*(C1472-sezione!$AL$32)*IF(ABS(K1472)&lt;'Sollecitazioni nel paramento'!$G$58,ABS(K1472)*'Sollecitazioni nel paramento'!$G$54,'Sollecitazioni nel paramento'!$G$53)</f>
        <v>0</v>
      </c>
      <c r="F1472" s="545">
        <f>-'Foglio deposito bis'!$F$69*(C1472-sezione!$AM$32)*IF(ABS(L1472)&lt;'Sollecitazioni nel paramento'!$G$58,ABS(L1472)*'Sollecitazioni nel paramento'!$G$54,'Sollecitazioni nel paramento'!$G$53)</f>
        <v>-58016503.39814122</v>
      </c>
      <c r="G1472" s="545">
        <f>-'Foglio deposito bis'!$F$70*(C1472-sezione!$AN$32)*IF(ABS(M1472)&lt;'Sollecitazioni nel paramento'!$G$58,ABS(M1472)*'Sollecitazioni nel paramento'!$G$54,'Sollecitazioni nel paramento'!$G$53)</f>
        <v>0</v>
      </c>
      <c r="H1472" s="545">
        <f>-'Foglio deposito bis'!$F$71*(C1472-sezione!$AO$32)*IF(ABS(N1472)&lt;'Sollecitazioni nel paramento'!$G$58,ABS(N1472)*'Sollecitazioni nel paramento'!$G$54,'Sollecitazioni nel paramento'!$G$53)</f>
        <v>-87347236.029519826</v>
      </c>
      <c r="I1472" s="472">
        <f>-'Foglio deposito bis'!$F$72*(C1472-sezione!$AP$32)*IF(ABS(O1472)&lt;'Sollecitazioni nel paramento'!$G$58,ABS(O1472)*'Sollecitazioni nel paramento'!$G$54,'Sollecitazioni nel paramento'!$G$53)</f>
        <v>10565452.294820957</v>
      </c>
      <c r="J1472" s="472">
        <f t="shared" si="103"/>
        <v>-4394344604.947855</v>
      </c>
      <c r="K1472" s="550">
        <f>'Sollecitazioni nel paramento'!$G$60*(sezione!$AL$32-C1472)/C1472</f>
        <v>-3.1800381673384218E-3</v>
      </c>
      <c r="L1472" s="550">
        <f>'Sollecitazioni nel paramento'!$G$60*(sezione!$AM$32-C1472)/C1472</f>
        <v>-3.0200572510076323E-3</v>
      </c>
      <c r="M1472" s="551">
        <f>'Sollecitazioni nel paramento'!$G$60*(sezione!$AN$32-C1472)/C1472</f>
        <v>-2.8600763346768427E-3</v>
      </c>
      <c r="N1472" s="551">
        <f>'Sollecitazioni nel paramento'!$G$60*(sezione!$AO$32-C1472)/C1472</f>
        <v>-2.2201526693536853E-3</v>
      </c>
      <c r="O1472" s="551">
        <f>'Sollecitazioni nel paramento'!$G$60*(sezione!$AP$32-C1472)/C1472</f>
        <v>5.7137942370514606E-4</v>
      </c>
      <c r="P1472" s="545">
        <f>-'Sollecitazioni nel paramento'!$G$47*'Sollecitazioni nel paramento'!$G$41*IF(DATI!$G$211="dx",DATI!$E$61,DATI!$E$64*DATI!$E$63)*1000*C1472*sezione!$AD$5</f>
        <v>-16669425.711288787</v>
      </c>
      <c r="Q1472" s="545">
        <f>'Foglio deposito bis'!$F$68*IF(ABS(K1472)&lt;'Sollecitazioni nel paramento'!$G$58,ABS(K1472)*'Sollecitazioni nel paramento'!$G$54,'Sollecitazioni nel paramento'!$G$53)*IF(K1472&lt;0,-1,1)</f>
        <v>0</v>
      </c>
      <c r="R1472" s="545">
        <f>'Foglio deposito bis'!$F$69*IF(ABS(L1472)&lt;'Sollecitazioni nel paramento'!$G$58,ABS(L1472)*'Sollecitazioni nel paramento'!$G$54,'Sollecitazioni nel paramento'!$G$53)*IF(L1472&lt;0,-1,1)</f>
        <v>-153664.85805602249</v>
      </c>
      <c r="S1472" s="545">
        <f>'Foglio deposito bis'!$F$70*IF(ABS(M1472)&lt;'Sollecitazioni nel paramento'!$G$58,ABS(M1472)*'Sollecitazioni nel paramento'!$G$54,'Sollecitazioni nel paramento'!$G$53)*IF(M1472&lt;0,-1,1)</f>
        <v>0</v>
      </c>
      <c r="T1472" s="545">
        <f>'Foglio deposito bis'!$F$71*IF(ABS(N1472)&lt;'Sollecitazioni nel paramento'!$G$58,ABS(N1472)*'Sollecitazioni nel paramento'!$G$54,'Sollecitazioni nel paramento'!$G$53)*IF(N1472&lt;0,-1,1)</f>
        <v>-314705.62929873407</v>
      </c>
      <c r="U1472" s="545">
        <f>'Foglio deposito bis'!$F$72*IF(ABS(O1472)&lt;'Sollecitazioni nel paramento'!$G$58,ABS(O1472)*'Sollecitazioni nel paramento'!$G$54,'Sollecitazioni nel paramento'!$G$53)*IF(O1472&lt;0,-1,1)</f>
        <v>147911.41135377524</v>
      </c>
      <c r="V1472" s="472">
        <f t="shared" si="105"/>
        <v>-16989884.787289772</v>
      </c>
      <c r="W1472" s="551"/>
      <c r="X1472" s="551"/>
    </row>
    <row r="1473" spans="1:24" x14ac:dyDescent="0.25">
      <c r="A1473" s="545">
        <f t="shared" si="104"/>
        <v>17290492.212415185</v>
      </c>
      <c r="B1473" s="3">
        <f t="shared" si="102"/>
        <v>59.899999999999942</v>
      </c>
      <c r="C1473" s="545">
        <f>'Foglio deposito bis'!$E$158/sezione!$B$247*B1473</f>
        <v>444.98091798207997</v>
      </c>
      <c r="D1473" s="603">
        <f>-'Sollecitazioni nel paramento'!$G$47*'Sollecitazioni nel paramento'!$G$41*IF(DATI!$G$211="dx",DATI!$E$61,DATI!$E$64*DATI!$E$63)*1000*C1473^2*sezione!$AD$5*(1-sezione!$AD$6)</f>
        <v>-4405410679.6024027</v>
      </c>
      <c r="E1473" s="545">
        <f>-'Foglio deposito bis'!$F$68*(C1473-sezione!$AL$32)*IF(ABS(K1473)&lt;'Sollecitazioni nel paramento'!$G$58,ABS(K1473)*'Sollecitazioni nel paramento'!$G$54,'Sollecitazioni nel paramento'!$G$53)</f>
        <v>0</v>
      </c>
      <c r="F1473" s="545">
        <f>-'Foglio deposito bis'!$F$69*(C1473-sezione!$AM$32)*IF(ABS(L1473)&lt;'Sollecitazioni nel paramento'!$G$58,ABS(L1473)*'Sollecitazioni nel paramento'!$G$54,'Sollecitazioni nel paramento'!$G$53)</f>
        <v>-59158038.115993552</v>
      </c>
      <c r="G1473" s="545">
        <f>-'Foglio deposito bis'!$F$70*(C1473-sezione!$AN$32)*IF(ABS(M1473)&lt;'Sollecitazioni nel paramento'!$G$58,ABS(M1473)*'Sollecitazioni nel paramento'!$G$54,'Sollecitazioni nel paramento'!$G$53)</f>
        <v>0</v>
      </c>
      <c r="H1473" s="545">
        <f>-'Foglio deposito bis'!$F$71*(C1473-sezione!$AO$32)*IF(ABS(N1473)&lt;'Sollecitazioni nel paramento'!$G$58,ABS(N1473)*'Sollecitazioni nel paramento'!$G$54,'Sollecitazioni nel paramento'!$G$53)</f>
        <v>-89685099.131681398</v>
      </c>
      <c r="I1473" s="472">
        <f>-'Foglio deposito bis'!$F$72*(C1473-sezione!$AP$32)*IF(ABS(O1473)&lt;'Sollecitazioni nel paramento'!$G$58,ABS(O1473)*'Sollecitazioni nel paramento'!$G$54,'Sollecitazioni nel paramento'!$G$53)</f>
        <v>8340532.6949191578</v>
      </c>
      <c r="J1473" s="472">
        <f t="shared" si="103"/>
        <v>-4545913284.155158</v>
      </c>
      <c r="K1473" s="550">
        <f>'Sollecitazioni nel paramento'!$G$60*(sezione!$AL$32-C1473)/C1473</f>
        <v>-3.1853797672159105E-3</v>
      </c>
      <c r="L1473" s="550">
        <f>'Sollecitazioni nel paramento'!$G$60*(sezione!$AM$32-C1473)/C1473</f>
        <v>-3.0280696508238653E-3</v>
      </c>
      <c r="M1473" s="551">
        <f>'Sollecitazioni nel paramento'!$G$60*(sezione!$AN$32-C1473)/C1473</f>
        <v>-2.8707595344318201E-3</v>
      </c>
      <c r="N1473" s="551">
        <f>'Sollecitazioni nel paramento'!$G$60*(sezione!$AO$32-C1473)/C1473</f>
        <v>-2.2415190688636405E-3</v>
      </c>
      <c r="O1473" s="551">
        <f>'Sollecitazioni nel paramento'!$G$60*(sezione!$AP$32-C1473)/C1473</f>
        <v>5.03409817299384E-4</v>
      </c>
      <c r="P1473" s="545">
        <f>-'Sollecitazioni nel paramento'!$G$47*'Sollecitazioni nel paramento'!$G$41*IF(DATI!$G$211="dx",DATI!$E$61,DATI!$E$64*DATI!$E$63)*1000*C1473*sezione!$AD$5</f>
        <v>-16952438.032363299</v>
      </c>
      <c r="Q1473" s="545">
        <f>'Foglio deposito bis'!$F$68*IF(ABS(K1473)&lt;'Sollecitazioni nel paramento'!$G$58,ABS(K1473)*'Sollecitazioni nel paramento'!$G$54,'Sollecitazioni nel paramento'!$G$53)*IF(K1473&lt;0,-1,1)</f>
        <v>0</v>
      </c>
      <c r="R1473" s="545">
        <f>'Foglio deposito bis'!$F$69*IF(ABS(L1473)&lt;'Sollecitazioni nel paramento'!$G$58,ABS(L1473)*'Sollecitazioni nel paramento'!$G$54,'Sollecitazioni nel paramento'!$G$53)*IF(L1473&lt;0,-1,1)</f>
        <v>-153664.85805602249</v>
      </c>
      <c r="S1473" s="545">
        <f>'Foglio deposito bis'!$F$70*IF(ABS(M1473)&lt;'Sollecitazioni nel paramento'!$G$58,ABS(M1473)*'Sollecitazioni nel paramento'!$G$54,'Sollecitazioni nel paramento'!$G$53)*IF(M1473&lt;0,-1,1)</f>
        <v>0</v>
      </c>
      <c r="T1473" s="545">
        <f>'Foglio deposito bis'!$F$71*IF(ABS(N1473)&lt;'Sollecitazioni nel paramento'!$G$58,ABS(N1473)*'Sollecitazioni nel paramento'!$G$54,'Sollecitazioni nel paramento'!$G$53)*IF(N1473&lt;0,-1,1)</f>
        <v>-314705.62929873407</v>
      </c>
      <c r="U1473" s="545">
        <f>'Foglio deposito bis'!$F$72*IF(ABS(O1473)&lt;'Sollecitazioni nel paramento'!$G$58,ABS(O1473)*'Sollecitazioni nel paramento'!$G$54,'Sollecitazioni nel paramento'!$G$53)*IF(O1473&lt;0,-1,1)</f>
        <v>130316.30730287253</v>
      </c>
      <c r="V1473" s="472">
        <f t="shared" si="105"/>
        <v>-17290492.212415185</v>
      </c>
      <c r="W1473" s="551"/>
      <c r="X1473" s="551"/>
    </row>
    <row r="1474" spans="1:24" x14ac:dyDescent="0.25">
      <c r="A1474" s="545">
        <f t="shared" si="104"/>
        <v>17590521.801611178</v>
      </c>
      <c r="B1474" s="3">
        <f t="shared" si="102"/>
        <v>60.899999999999942</v>
      </c>
      <c r="C1474" s="545">
        <f>'Foglio deposito bis'!$E$158/sezione!$B$247*B1474</f>
        <v>452.40964783153044</v>
      </c>
      <c r="D1474" s="603">
        <f>-'Sollecitazioni nel paramento'!$G$47*'Sollecitazioni nel paramento'!$G$41*IF(DATI!$G$211="dx",DATI!$E$61,DATI!$E$64*DATI!$E$63)*1000*C1474^2*sezione!$AD$5*(1-sezione!$AD$6)</f>
        <v>-4553730670.376111</v>
      </c>
      <c r="E1474" s="545">
        <f>-'Foglio deposito bis'!$F$68*(C1474-sezione!$AL$32)*IF(ABS(K1474)&lt;'Sollecitazioni nel paramento'!$G$58,ABS(K1474)*'Sollecitazioni nel paramento'!$G$54,'Sollecitazioni nel paramento'!$G$53)</f>
        <v>0</v>
      </c>
      <c r="F1474" s="545">
        <f>-'Foglio deposito bis'!$F$69*(C1474-sezione!$AM$32)*IF(ABS(L1474)&lt;'Sollecitazioni nel paramento'!$G$58,ABS(L1474)*'Sollecitazioni nel paramento'!$G$54,'Sollecitazioni nel paramento'!$G$53)</f>
        <v>-60299572.833845906</v>
      </c>
      <c r="G1474" s="545">
        <f>-'Foglio deposito bis'!$F$70*(C1474-sezione!$AN$32)*IF(ABS(M1474)&lt;'Sollecitazioni nel paramento'!$G$58,ABS(M1474)*'Sollecitazioni nel paramento'!$G$54,'Sollecitazioni nel paramento'!$G$53)</f>
        <v>0</v>
      </c>
      <c r="H1474" s="545">
        <f>-'Foglio deposito bis'!$F$71*(C1474-sezione!$AO$32)*IF(ABS(N1474)&lt;'Sollecitazioni nel paramento'!$G$58,ABS(N1474)*'Sollecitazioni nel paramento'!$G$54,'Sollecitazioni nel paramento'!$G$53)</f>
        <v>-92022962.233842999</v>
      </c>
      <c r="I1474" s="472">
        <f>-'Foglio deposito bis'!$F$72*(C1474-sezione!$AP$32)*IF(ABS(O1474)&lt;'Sollecitazioni nel paramento'!$G$58,ABS(O1474)*'Sollecitazioni nel paramento'!$G$54,'Sollecitazioni nel paramento'!$G$53)</f>
        <v>6409721.8383954931</v>
      </c>
      <c r="J1474" s="472">
        <f t="shared" si="103"/>
        <v>-4699643483.6054049</v>
      </c>
      <c r="K1474" s="550">
        <f>'Sollecitazioni nel paramento'!$G$60*(sezione!$AL$32-C1474)/C1474</f>
        <v>-3.1905459450941383E-3</v>
      </c>
      <c r="L1474" s="550">
        <f>'Sollecitazioni nel paramento'!$G$60*(sezione!$AM$32-C1474)/C1474</f>
        <v>-3.0358189176412074E-3</v>
      </c>
      <c r="M1474" s="551">
        <f>'Sollecitazioni nel paramento'!$G$60*(sezione!$AN$32-C1474)/C1474</f>
        <v>-2.8810918901882769E-3</v>
      </c>
      <c r="N1474" s="551">
        <f>'Sollecitazioni nel paramento'!$G$60*(sezione!$AO$32-C1474)/C1474</f>
        <v>-2.2621837803765534E-3</v>
      </c>
      <c r="O1474" s="551">
        <f>'Sollecitazioni nel paramento'!$G$60*(sezione!$AP$32-C1474)/C1474</f>
        <v>4.3767238187574842E-4</v>
      </c>
      <c r="P1474" s="545">
        <f>-'Sollecitazioni nel paramento'!$G$47*'Sollecitazioni nel paramento'!$G$41*IF(DATI!$G$211="dx",DATI!$E$61,DATI!$E$64*DATI!$E$63)*1000*C1474*sezione!$AD$5</f>
        <v>-17235450.353437811</v>
      </c>
      <c r="Q1474" s="545">
        <f>'Foglio deposito bis'!$F$68*IF(ABS(K1474)&lt;'Sollecitazioni nel paramento'!$G$58,ABS(K1474)*'Sollecitazioni nel paramento'!$G$54,'Sollecitazioni nel paramento'!$G$53)*IF(K1474&lt;0,-1,1)</f>
        <v>0</v>
      </c>
      <c r="R1474" s="545">
        <f>'Foglio deposito bis'!$F$69*IF(ABS(L1474)&lt;'Sollecitazioni nel paramento'!$G$58,ABS(L1474)*'Sollecitazioni nel paramento'!$G$54,'Sollecitazioni nel paramento'!$G$53)*IF(L1474&lt;0,-1,1)</f>
        <v>-153664.85805602249</v>
      </c>
      <c r="S1474" s="545">
        <f>'Foglio deposito bis'!$F$70*IF(ABS(M1474)&lt;'Sollecitazioni nel paramento'!$G$58,ABS(M1474)*'Sollecitazioni nel paramento'!$G$54,'Sollecitazioni nel paramento'!$G$53)*IF(M1474&lt;0,-1,1)</f>
        <v>0</v>
      </c>
      <c r="T1474" s="545">
        <f>'Foglio deposito bis'!$F$71*IF(ABS(N1474)&lt;'Sollecitazioni nel paramento'!$G$58,ABS(N1474)*'Sollecitazioni nel paramento'!$G$54,'Sollecitazioni nel paramento'!$G$53)*IF(N1474&lt;0,-1,1)</f>
        <v>-314705.62929873407</v>
      </c>
      <c r="U1474" s="545">
        <f>'Foglio deposito bis'!$F$72*IF(ABS(O1474)&lt;'Sollecitazioni nel paramento'!$G$58,ABS(O1474)*'Sollecitazioni nel paramento'!$G$54,'Sollecitazioni nel paramento'!$G$53)*IF(O1474&lt;0,-1,1)</f>
        <v>113299.03918139182</v>
      </c>
      <c r="V1474" s="472">
        <f t="shared" si="105"/>
        <v>-17590521.801611178</v>
      </c>
      <c r="W1474" s="551"/>
      <c r="X1474" s="551"/>
    </row>
    <row r="1475" spans="1:24" x14ac:dyDescent="0.25">
      <c r="A1475" s="545">
        <f t="shared" si="104"/>
        <v>17890001.559850097</v>
      </c>
      <c r="B1475" s="3">
        <f t="shared" si="102"/>
        <v>61.899999999999942</v>
      </c>
      <c r="C1475" s="545">
        <f>'Foglio deposito bis'!$E$158/sezione!$B$247*B1475</f>
        <v>459.83837768098084</v>
      </c>
      <c r="D1475" s="603">
        <f>-'Sollecitazioni nel paramento'!$G$47*'Sollecitazioni nel paramento'!$G$41*IF(DATI!$G$211="dx",DATI!$E$61,DATI!$E$64*DATI!$E$63)*1000*C1475^2*sezione!$AD$5*(1-sezione!$AD$6)</f>
        <v>-4704506290.136138</v>
      </c>
      <c r="E1475" s="545">
        <f>-'Foglio deposito bis'!$F$68*(C1475-sezione!$AL$32)*IF(ABS(K1475)&lt;'Sollecitazioni nel paramento'!$G$58,ABS(K1475)*'Sollecitazioni nel paramento'!$G$54,'Sollecitazioni nel paramento'!$G$53)</f>
        <v>0</v>
      </c>
      <c r="F1475" s="545">
        <f>-'Foglio deposito bis'!$F$69*(C1475-sezione!$AM$32)*IF(ABS(L1475)&lt;'Sollecitazioni nel paramento'!$G$58,ABS(L1475)*'Sollecitazioni nel paramento'!$G$54,'Sollecitazioni nel paramento'!$G$53)</f>
        <v>-61441107.55169823</v>
      </c>
      <c r="G1475" s="545">
        <f>-'Foglio deposito bis'!$F$70*(C1475-sezione!$AN$32)*IF(ABS(M1475)&lt;'Sollecitazioni nel paramento'!$G$58,ABS(M1475)*'Sollecitazioni nel paramento'!$G$54,'Sollecitazioni nel paramento'!$G$53)</f>
        <v>0</v>
      </c>
      <c r="H1475" s="545">
        <f>-'Foglio deposito bis'!$F$71*(C1475-sezione!$AO$32)*IF(ABS(N1475)&lt;'Sollecitazioni nel paramento'!$G$58,ABS(N1475)*'Sollecitazioni nel paramento'!$G$54,'Sollecitazioni nel paramento'!$G$53)</f>
        <v>-94360825.33600457</v>
      </c>
      <c r="I1475" s="472">
        <f>-'Foglio deposito bis'!$F$72*(C1475-sezione!$AP$32)*IF(ABS(O1475)&lt;'Sollecitazioni nel paramento'!$G$58,ABS(O1475)*'Sollecitazioni nel paramento'!$G$54,'Sollecitazioni nel paramento'!$G$53)</f>
        <v>4758765.6666048458</v>
      </c>
      <c r="J1475" s="472">
        <f t="shared" si="103"/>
        <v>-4855549457.3572359</v>
      </c>
      <c r="K1475" s="550">
        <f>'Sollecitazioni nel paramento'!$G$60*(sezione!$AL$32-C1475)/C1475</f>
        <v>-3.1955452028470601E-3</v>
      </c>
      <c r="L1475" s="550">
        <f>'Sollecitazioni nel paramento'!$G$60*(sezione!$AM$32-C1475)/C1475</f>
        <v>-3.04331780427059E-3</v>
      </c>
      <c r="M1475" s="551">
        <f>'Sollecitazioni nel paramento'!$G$60*(sezione!$AN$32-C1475)/C1475</f>
        <v>-2.8910904056941205E-3</v>
      </c>
      <c r="N1475" s="551">
        <f>'Sollecitazioni nel paramento'!$G$60*(sezione!$AO$32-C1475)/C1475</f>
        <v>-2.2821808113882404E-3</v>
      </c>
      <c r="O1475" s="551">
        <f>'Sollecitazioni nel paramento'!$G$60*(sezione!$AP$32-C1475)/C1475</f>
        <v>3.7405893467258621E-4</v>
      </c>
      <c r="P1475" s="545">
        <f>-'Sollecitazioni nel paramento'!$G$47*'Sollecitazioni nel paramento'!$G$41*IF(DATI!$G$211="dx",DATI!$E$61,DATI!$E$64*DATI!$E$63)*1000*C1475*sezione!$AD$5</f>
        <v>-17518462.674512323</v>
      </c>
      <c r="Q1475" s="545">
        <f>'Foglio deposito bis'!$F$68*IF(ABS(K1475)&lt;'Sollecitazioni nel paramento'!$G$58,ABS(K1475)*'Sollecitazioni nel paramento'!$G$54,'Sollecitazioni nel paramento'!$G$53)*IF(K1475&lt;0,-1,1)</f>
        <v>0</v>
      </c>
      <c r="R1475" s="545">
        <f>'Foglio deposito bis'!$F$69*IF(ABS(L1475)&lt;'Sollecitazioni nel paramento'!$G$58,ABS(L1475)*'Sollecitazioni nel paramento'!$G$54,'Sollecitazioni nel paramento'!$G$53)*IF(L1475&lt;0,-1,1)</f>
        <v>-153664.85805602249</v>
      </c>
      <c r="S1475" s="545">
        <f>'Foglio deposito bis'!$F$70*IF(ABS(M1475)&lt;'Sollecitazioni nel paramento'!$G$58,ABS(M1475)*'Sollecitazioni nel paramento'!$G$54,'Sollecitazioni nel paramento'!$G$53)*IF(M1475&lt;0,-1,1)</f>
        <v>0</v>
      </c>
      <c r="T1475" s="545">
        <f>'Foglio deposito bis'!$F$71*IF(ABS(N1475)&lt;'Sollecitazioni nel paramento'!$G$58,ABS(N1475)*'Sollecitazioni nel paramento'!$G$54,'Sollecitazioni nel paramento'!$G$53)*IF(N1475&lt;0,-1,1)</f>
        <v>-314705.62929873407</v>
      </c>
      <c r="U1475" s="545">
        <f>'Foglio deposito bis'!$F$72*IF(ABS(O1475)&lt;'Sollecitazioni nel paramento'!$G$58,ABS(O1475)*'Sollecitazioni nel paramento'!$G$54,'Sollecitazioni nel paramento'!$G$53)*IF(O1475&lt;0,-1,1)</f>
        <v>96831.602016986537</v>
      </c>
      <c r="V1475" s="472">
        <f t="shared" si="105"/>
        <v>-17890001.559850097</v>
      </c>
      <c r="W1475" s="551"/>
      <c r="X1475" s="551"/>
    </row>
    <row r="1476" spans="1:24" x14ac:dyDescent="0.25">
      <c r="A1476" s="545">
        <f t="shared" si="104"/>
        <v>18188957.711183943</v>
      </c>
      <c r="B1476" s="3">
        <f t="shared" si="102"/>
        <v>62.899999999999942</v>
      </c>
      <c r="C1476" s="545">
        <f>'Foglio deposito bis'!$E$158/sezione!$B$247*B1476</f>
        <v>467.26710753043125</v>
      </c>
      <c r="D1476" s="603">
        <f>-'Sollecitazioni nel paramento'!$G$47*'Sollecitazioni nel paramento'!$G$41*IF(DATI!$G$211="dx",DATI!$E$61,DATI!$E$64*DATI!$E$63)*1000*C1476^2*sezione!$AD$5*(1-sezione!$AD$6)</f>
        <v>-4857737538.8824844</v>
      </c>
      <c r="E1476" s="545">
        <f>-'Foglio deposito bis'!$F$68*(C1476-sezione!$AL$32)*IF(ABS(K1476)&lt;'Sollecitazioni nel paramento'!$G$58,ABS(K1476)*'Sollecitazioni nel paramento'!$G$54,'Sollecitazioni nel paramento'!$G$53)</f>
        <v>0</v>
      </c>
      <c r="F1476" s="545">
        <f>-'Foglio deposito bis'!$F$69*(C1476-sezione!$AM$32)*IF(ABS(L1476)&lt;'Sollecitazioni nel paramento'!$G$58,ABS(L1476)*'Sollecitazioni nel paramento'!$G$54,'Sollecitazioni nel paramento'!$G$53)</f>
        <v>-62582642.269550569</v>
      </c>
      <c r="G1476" s="545">
        <f>-'Foglio deposito bis'!$F$70*(C1476-sezione!$AN$32)*IF(ABS(M1476)&lt;'Sollecitazioni nel paramento'!$G$58,ABS(M1476)*'Sollecitazioni nel paramento'!$G$54,'Sollecitazioni nel paramento'!$G$53)</f>
        <v>0</v>
      </c>
      <c r="H1476" s="545">
        <f>-'Foglio deposito bis'!$F$71*(C1476-sezione!$AO$32)*IF(ABS(N1476)&lt;'Sollecitazioni nel paramento'!$G$58,ABS(N1476)*'Sollecitazioni nel paramento'!$G$54,'Sollecitazioni nel paramento'!$G$53)</f>
        <v>-96698688.438166156</v>
      </c>
      <c r="I1476" s="472">
        <f>-'Foglio deposito bis'!$F$72*(C1476-sezione!$AP$32)*IF(ABS(O1476)&lt;'Sollecitazioni nel paramento'!$G$58,ABS(O1476)*'Sollecitazioni nel paramento'!$G$54,'Sollecitazioni nel paramento'!$G$53)</f>
        <v>3374316.5793214613</v>
      </c>
      <c r="J1476" s="472">
        <f t="shared" si="103"/>
        <v>-5013644553.0108795</v>
      </c>
      <c r="K1476" s="550">
        <f>'Sollecitazioni nel paramento'!$G$60*(sezione!$AL$32-C1476)/C1476</f>
        <v>-3.2003855016889192E-3</v>
      </c>
      <c r="L1476" s="550">
        <f>'Sollecitazioni nel paramento'!$G$60*(sezione!$AM$32-C1476)/C1476</f>
        <v>-3.0505782525333792E-3</v>
      </c>
      <c r="M1476" s="551">
        <f>'Sollecitazioni nel paramento'!$G$60*(sezione!$AN$32-C1476)/C1476</f>
        <v>-2.9007710033778383E-3</v>
      </c>
      <c r="N1476" s="551">
        <f>'Sollecitazioni nel paramento'!$G$60*(sezione!$AO$32-C1476)/C1476</f>
        <v>-2.3015420067556769E-3</v>
      </c>
      <c r="O1476" s="551">
        <f>'Sollecitazioni nel paramento'!$G$60*(sezione!$AP$32-C1476)/C1476</f>
        <v>3.1246817259512069E-4</v>
      </c>
      <c r="P1476" s="545">
        <f>-'Sollecitazioni nel paramento'!$G$47*'Sollecitazioni nel paramento'!$G$41*IF(DATI!$G$211="dx",DATI!$E$61,DATI!$E$64*DATI!$E$63)*1000*C1476*sezione!$AD$5</f>
        <v>-17801474.995586835</v>
      </c>
      <c r="Q1476" s="545">
        <f>'Foglio deposito bis'!$F$68*IF(ABS(K1476)&lt;'Sollecitazioni nel paramento'!$G$58,ABS(K1476)*'Sollecitazioni nel paramento'!$G$54,'Sollecitazioni nel paramento'!$G$53)*IF(K1476&lt;0,-1,1)</f>
        <v>0</v>
      </c>
      <c r="R1476" s="545">
        <f>'Foglio deposito bis'!$F$69*IF(ABS(L1476)&lt;'Sollecitazioni nel paramento'!$G$58,ABS(L1476)*'Sollecitazioni nel paramento'!$G$54,'Sollecitazioni nel paramento'!$G$53)*IF(L1476&lt;0,-1,1)</f>
        <v>-153664.85805602249</v>
      </c>
      <c r="S1476" s="545">
        <f>'Foglio deposito bis'!$F$70*IF(ABS(M1476)&lt;'Sollecitazioni nel paramento'!$G$58,ABS(M1476)*'Sollecitazioni nel paramento'!$G$54,'Sollecitazioni nel paramento'!$G$53)*IF(M1476&lt;0,-1,1)</f>
        <v>0</v>
      </c>
      <c r="T1476" s="545">
        <f>'Foglio deposito bis'!$F$71*IF(ABS(N1476)&lt;'Sollecitazioni nel paramento'!$G$58,ABS(N1476)*'Sollecitazioni nel paramento'!$G$54,'Sollecitazioni nel paramento'!$G$53)*IF(N1476&lt;0,-1,1)</f>
        <v>-314705.62929873407</v>
      </c>
      <c r="U1476" s="545">
        <f>'Foglio deposito bis'!$F$72*IF(ABS(O1476)&lt;'Sollecitazioni nel paramento'!$G$58,ABS(O1476)*'Sollecitazioni nel paramento'!$G$54,'Sollecitazioni nel paramento'!$G$53)*IF(O1476&lt;0,-1,1)</f>
        <v>80887.771757649796</v>
      </c>
      <c r="V1476" s="472">
        <f t="shared" si="105"/>
        <v>-18188957.711183943</v>
      </c>
      <c r="W1476" s="551"/>
      <c r="X1476" s="551"/>
    </row>
    <row r="1477" spans="1:24" x14ac:dyDescent="0.25">
      <c r="A1477" s="545">
        <f t="shared" si="104"/>
        <v>18487414.838096533</v>
      </c>
      <c r="B1477" s="3">
        <f t="shared" si="102"/>
        <v>63.899999999999942</v>
      </c>
      <c r="C1477" s="545">
        <f>'Foglio deposito bis'!$E$158/sezione!$B$247*B1477</f>
        <v>474.69583737988171</v>
      </c>
      <c r="D1477" s="603">
        <f>-'Sollecitazioni nel paramento'!$G$47*'Sollecitazioni nel paramento'!$G$41*IF(DATI!$G$211="dx",DATI!$E$61,DATI!$E$64*DATI!$E$63)*1000*C1477^2*sezione!$AD$5*(1-sezione!$AD$6)</f>
        <v>-5013424416.6151524</v>
      </c>
      <c r="E1477" s="545">
        <f>-'Foglio deposito bis'!$F$68*(C1477-sezione!$AL$32)*IF(ABS(K1477)&lt;'Sollecitazioni nel paramento'!$G$58,ABS(K1477)*'Sollecitazioni nel paramento'!$G$54,'Sollecitazioni nel paramento'!$G$53)</f>
        <v>0</v>
      </c>
      <c r="F1477" s="545">
        <f>-'Foglio deposito bis'!$F$69*(C1477-sezione!$AM$32)*IF(ABS(L1477)&lt;'Sollecitazioni nel paramento'!$G$58,ABS(L1477)*'Sollecitazioni nel paramento'!$G$54,'Sollecitazioni nel paramento'!$G$53)</f>
        <v>-63724176.987402909</v>
      </c>
      <c r="G1477" s="545">
        <f>-'Foglio deposito bis'!$F$70*(C1477-sezione!$AN$32)*IF(ABS(M1477)&lt;'Sollecitazioni nel paramento'!$G$58,ABS(M1477)*'Sollecitazioni nel paramento'!$G$54,'Sollecitazioni nel paramento'!$G$53)</f>
        <v>0</v>
      </c>
      <c r="H1477" s="545">
        <f>-'Foglio deposito bis'!$F$71*(C1477-sezione!$AO$32)*IF(ABS(N1477)&lt;'Sollecitazioni nel paramento'!$G$58,ABS(N1477)*'Sollecitazioni nel paramento'!$G$54,'Sollecitazioni nel paramento'!$G$53)</f>
        <v>-99036551.540327758</v>
      </c>
      <c r="I1477" s="472">
        <f>-'Foglio deposito bis'!$F$72*(C1477-sezione!$AP$32)*IF(ABS(O1477)&lt;'Sollecitazioni nel paramento'!$G$58,ABS(O1477)*'Sollecitazioni nel paramento'!$G$54,'Sollecitazioni nel paramento'!$G$53)</f>
        <v>2243862.5068501537</v>
      </c>
      <c r="J1477" s="472">
        <f t="shared" si="103"/>
        <v>-5173941282.6360331</v>
      </c>
      <c r="K1477" s="550">
        <f>'Sollecitazioni nel paramento'!$G$60*(sezione!$AL$32-C1477)/C1477</f>
        <v>-3.2050743044793901E-3</v>
      </c>
      <c r="L1477" s="550">
        <f>'Sollecitazioni nel paramento'!$G$60*(sezione!$AM$32-C1477)/C1477</f>
        <v>-3.0576114567190853E-3</v>
      </c>
      <c r="M1477" s="551">
        <f>'Sollecitazioni nel paramento'!$G$60*(sezione!$AN$32-C1477)/C1477</f>
        <v>-2.9101486089587801E-3</v>
      </c>
      <c r="N1477" s="551">
        <f>'Sollecitazioni nel paramento'!$G$60*(sezione!$AO$32-C1477)/C1477</f>
        <v>-2.3202972179175597E-3</v>
      </c>
      <c r="O1477" s="551">
        <f>'Sollecitazioni nel paramento'!$G$60*(sezione!$AP$32-C1477)/C1477</f>
        <v>2.52805133900361E-4</v>
      </c>
      <c r="P1477" s="545">
        <f>-'Sollecitazioni nel paramento'!$G$47*'Sollecitazioni nel paramento'!$G$41*IF(DATI!$G$211="dx",DATI!$E$61,DATI!$E$64*DATI!$E$63)*1000*C1477*sezione!$AD$5</f>
        <v>-18084487.31666135</v>
      </c>
      <c r="Q1477" s="545">
        <f>'Foglio deposito bis'!$F$68*IF(ABS(K1477)&lt;'Sollecitazioni nel paramento'!$G$58,ABS(K1477)*'Sollecitazioni nel paramento'!$G$54,'Sollecitazioni nel paramento'!$G$53)*IF(K1477&lt;0,-1,1)</f>
        <v>0</v>
      </c>
      <c r="R1477" s="545">
        <f>'Foglio deposito bis'!$F$69*IF(ABS(L1477)&lt;'Sollecitazioni nel paramento'!$G$58,ABS(L1477)*'Sollecitazioni nel paramento'!$G$54,'Sollecitazioni nel paramento'!$G$53)*IF(L1477&lt;0,-1,1)</f>
        <v>-153664.85805602249</v>
      </c>
      <c r="S1477" s="545">
        <f>'Foglio deposito bis'!$F$70*IF(ABS(M1477)&lt;'Sollecitazioni nel paramento'!$G$58,ABS(M1477)*'Sollecitazioni nel paramento'!$G$54,'Sollecitazioni nel paramento'!$G$53)*IF(M1477&lt;0,-1,1)</f>
        <v>0</v>
      </c>
      <c r="T1477" s="545">
        <f>'Foglio deposito bis'!$F$71*IF(ABS(N1477)&lt;'Sollecitazioni nel paramento'!$G$58,ABS(N1477)*'Sollecitazioni nel paramento'!$G$54,'Sollecitazioni nel paramento'!$G$53)*IF(N1477&lt;0,-1,1)</f>
        <v>-314705.62929873407</v>
      </c>
      <c r="U1477" s="545">
        <f>'Foglio deposito bis'!$F$72*IF(ABS(O1477)&lt;'Sollecitazioni nel paramento'!$G$58,ABS(O1477)*'Sollecitazioni nel paramento'!$G$54,'Sollecitazioni nel paramento'!$G$53)*IF(O1477&lt;0,-1,1)</f>
        <v>65442.965919575436</v>
      </c>
      <c r="V1477" s="472">
        <f t="shared" si="105"/>
        <v>-18487414.838096533</v>
      </c>
      <c r="W1477" s="551"/>
      <c r="X1477" s="551"/>
    </row>
    <row r="1478" spans="1:24" x14ac:dyDescent="0.25">
      <c r="A1478" s="545">
        <f t="shared" si="104"/>
        <v>18785396.007972512</v>
      </c>
      <c r="B1478" s="3">
        <f t="shared" si="102"/>
        <v>64.899999999999949</v>
      </c>
      <c r="C1478" s="545">
        <f>'Foglio deposito bis'!$E$158/sezione!$B$247*B1478</f>
        <v>482.12456722933217</v>
      </c>
      <c r="D1478" s="603">
        <f>-'Sollecitazioni nel paramento'!$G$47*'Sollecitazioni nel paramento'!$G$41*IF(DATI!$G$211="dx",DATI!$E$61,DATI!$E$64*DATI!$E$63)*1000*C1478^2*sezione!$AD$5*(1-sezione!$AD$6)</f>
        <v>-5171566923.3341379</v>
      </c>
      <c r="E1478" s="545">
        <f>-'Foglio deposito bis'!$F$68*(C1478-sezione!$AL$32)*IF(ABS(K1478)&lt;'Sollecitazioni nel paramento'!$G$58,ABS(K1478)*'Sollecitazioni nel paramento'!$G$54,'Sollecitazioni nel paramento'!$G$53)</f>
        <v>0</v>
      </c>
      <c r="F1478" s="545">
        <f>-'Foglio deposito bis'!$F$69*(C1478-sezione!$AM$32)*IF(ABS(L1478)&lt;'Sollecitazioni nel paramento'!$G$58,ABS(L1478)*'Sollecitazioni nel paramento'!$G$54,'Sollecitazioni nel paramento'!$G$53)</f>
        <v>-64865711.705255248</v>
      </c>
      <c r="G1478" s="545">
        <f>-'Foglio deposito bis'!$F$70*(C1478-sezione!$AN$32)*IF(ABS(M1478)&lt;'Sollecitazioni nel paramento'!$G$58,ABS(M1478)*'Sollecitazioni nel paramento'!$G$54,'Sollecitazioni nel paramento'!$G$53)</f>
        <v>0</v>
      </c>
      <c r="H1478" s="545">
        <f>-'Foglio deposito bis'!$F$71*(C1478-sezione!$AO$32)*IF(ABS(N1478)&lt;'Sollecitazioni nel paramento'!$G$58,ABS(N1478)*'Sollecitazioni nel paramento'!$G$54,'Sollecitazioni nel paramento'!$G$53)</f>
        <v>-101374414.64248936</v>
      </c>
      <c r="I1478" s="472">
        <f>-'Foglio deposito bis'!$F$72*(C1478-sezione!$AP$32)*IF(ABS(O1478)&lt;'Sollecitazioni nel paramento'!$G$58,ABS(O1478)*'Sollecitazioni nel paramento'!$G$54,'Sollecitazioni nel paramento'!$G$53)</f>
        <v>1355662.5394153383</v>
      </c>
      <c r="J1478" s="472">
        <f t="shared" si="103"/>
        <v>-5336451387.1424675</v>
      </c>
      <c r="K1478" s="550">
        <f>'Sollecitazioni nel paramento'!$G$60*(sezione!$AL$32-C1478)/C1478</f>
        <v>-3.2096186141176123E-3</v>
      </c>
      <c r="L1478" s="550">
        <f>'Sollecitazioni nel paramento'!$G$60*(sezione!$AM$32-C1478)/C1478</f>
        <v>-3.0644279211764179E-3</v>
      </c>
      <c r="M1478" s="551">
        <f>'Sollecitazioni nel paramento'!$G$60*(sezione!$AN$32-C1478)/C1478</f>
        <v>-2.919237228235224E-3</v>
      </c>
      <c r="N1478" s="551">
        <f>'Sollecitazioni nel paramento'!$G$60*(sezione!$AO$32-C1478)/C1478</f>
        <v>-2.3384744564704479E-3</v>
      </c>
      <c r="O1478" s="551">
        <f>'Sollecitazioni nel paramento'!$G$60*(sezione!$AP$32-C1478)/C1478</f>
        <v>1.9498070964919949E-4</v>
      </c>
      <c r="P1478" s="545">
        <f>-'Sollecitazioni nel paramento'!$G$47*'Sollecitazioni nel paramento'!$G$41*IF(DATI!$G$211="dx",DATI!$E$61,DATI!$E$64*DATI!$E$63)*1000*C1478*sezione!$AD$5</f>
        <v>-18367499.637735866</v>
      </c>
      <c r="Q1478" s="545">
        <f>'Foglio deposito bis'!$F$68*IF(ABS(K1478)&lt;'Sollecitazioni nel paramento'!$G$58,ABS(K1478)*'Sollecitazioni nel paramento'!$G$54,'Sollecitazioni nel paramento'!$G$53)*IF(K1478&lt;0,-1,1)</f>
        <v>0</v>
      </c>
      <c r="R1478" s="545">
        <f>'Foglio deposito bis'!$F$69*IF(ABS(L1478)&lt;'Sollecitazioni nel paramento'!$G$58,ABS(L1478)*'Sollecitazioni nel paramento'!$G$54,'Sollecitazioni nel paramento'!$G$53)*IF(L1478&lt;0,-1,1)</f>
        <v>-153664.85805602249</v>
      </c>
      <c r="S1478" s="545">
        <f>'Foglio deposito bis'!$F$70*IF(ABS(M1478)&lt;'Sollecitazioni nel paramento'!$G$58,ABS(M1478)*'Sollecitazioni nel paramento'!$G$54,'Sollecitazioni nel paramento'!$G$53)*IF(M1478&lt;0,-1,1)</f>
        <v>0</v>
      </c>
      <c r="T1478" s="545">
        <f>'Foglio deposito bis'!$F$71*IF(ABS(N1478)&lt;'Sollecitazioni nel paramento'!$G$58,ABS(N1478)*'Sollecitazioni nel paramento'!$G$54,'Sollecitazioni nel paramento'!$G$53)*IF(N1478&lt;0,-1,1)</f>
        <v>-314705.62929873407</v>
      </c>
      <c r="U1478" s="545">
        <f>'Foglio deposito bis'!$F$72*IF(ABS(O1478)&lt;'Sollecitazioni nel paramento'!$G$58,ABS(O1478)*'Sollecitazioni nel paramento'!$G$54,'Sollecitazioni nel paramento'!$G$53)*IF(O1478&lt;0,-1,1)</f>
        <v>50474.117118113529</v>
      </c>
      <c r="V1478" s="472">
        <f t="shared" si="105"/>
        <v>-18785396.007972512</v>
      </c>
      <c r="W1478" s="551"/>
      <c r="X1478" s="551"/>
    </row>
    <row r="1479" spans="1:24" x14ac:dyDescent="0.25">
      <c r="A1479" s="545">
        <f t="shared" si="104"/>
        <v>19082922.888051774</v>
      </c>
      <c r="B1479" s="3">
        <f t="shared" si="102"/>
        <v>65.899999999999949</v>
      </c>
      <c r="C1479" s="545">
        <f>'Foglio deposito bis'!$E$158/sezione!$B$247*B1479</f>
        <v>489.55329707878258</v>
      </c>
      <c r="D1479" s="603">
        <f>-'Sollecitazioni nel paramento'!$G$47*'Sollecitazioni nel paramento'!$G$41*IF(DATI!$G$211="dx",DATI!$E$61,DATI!$E$64*DATI!$E$63)*1000*C1479^2*sezione!$AD$5*(1-sezione!$AD$6)</f>
        <v>-5332165059.0394449</v>
      </c>
      <c r="E1479" s="545">
        <f>-'Foglio deposito bis'!$F$68*(C1479-sezione!$AL$32)*IF(ABS(K1479)&lt;'Sollecitazioni nel paramento'!$G$58,ABS(K1479)*'Sollecitazioni nel paramento'!$G$54,'Sollecitazioni nel paramento'!$G$53)</f>
        <v>0</v>
      </c>
      <c r="F1479" s="545">
        <f>-'Foglio deposito bis'!$F$69*(C1479-sezione!$AM$32)*IF(ABS(L1479)&lt;'Sollecitazioni nel paramento'!$G$58,ABS(L1479)*'Sollecitazioni nel paramento'!$G$54,'Sollecitazioni nel paramento'!$G$53)</f>
        <v>-66007246.423107587</v>
      </c>
      <c r="G1479" s="545">
        <f>-'Foglio deposito bis'!$F$70*(C1479-sezione!$AN$32)*IF(ABS(M1479)&lt;'Sollecitazioni nel paramento'!$G$58,ABS(M1479)*'Sollecitazioni nel paramento'!$G$54,'Sollecitazioni nel paramento'!$G$53)</f>
        <v>0</v>
      </c>
      <c r="H1479" s="545">
        <f>-'Foglio deposito bis'!$F$71*(C1479-sezione!$AO$32)*IF(ABS(N1479)&lt;'Sollecitazioni nel paramento'!$G$58,ABS(N1479)*'Sollecitazioni nel paramento'!$G$54,'Sollecitazioni nel paramento'!$G$53)</f>
        <v>-103712277.74465095</v>
      </c>
      <c r="I1479" s="472">
        <f>-'Foglio deposito bis'!$F$72*(C1479-sezione!$AP$32)*IF(ABS(O1479)&lt;'Sollecitazioni nel paramento'!$G$58,ABS(O1479)*'Sollecitazioni nel paramento'!$G$54,'Sollecitazioni nel paramento'!$G$53)</f>
        <v>698688.41730367346</v>
      </c>
      <c r="J1479" s="472">
        <f t="shared" si="103"/>
        <v>-5501185894.7898989</v>
      </c>
      <c r="K1479" s="550">
        <f>'Sollecitazioni nel paramento'!$G$60*(sezione!$AL$32-C1479)/C1479</f>
        <v>-3.2140250084405617E-3</v>
      </c>
      <c r="L1479" s="550">
        <f>'Sollecitazioni nel paramento'!$G$60*(sezione!$AM$32-C1479)/C1479</f>
        <v>-3.0710375126608426E-3</v>
      </c>
      <c r="M1479" s="551">
        <f>'Sollecitazioni nel paramento'!$G$60*(sezione!$AN$32-C1479)/C1479</f>
        <v>-2.9280500168811239E-3</v>
      </c>
      <c r="N1479" s="551">
        <f>'Sollecitazioni nel paramento'!$G$60*(sezione!$AO$32-C1479)/C1479</f>
        <v>-2.3561000337622472E-3</v>
      </c>
      <c r="O1479" s="551">
        <f>'Sollecitazioni nel paramento'!$G$60*(sezione!$AP$32-C1479)/C1479</f>
        <v>1.3891119963934832E-4</v>
      </c>
      <c r="P1479" s="545">
        <f>-'Sollecitazioni nel paramento'!$G$47*'Sollecitazioni nel paramento'!$G$41*IF(DATI!$G$211="dx",DATI!$E$61,DATI!$E$64*DATI!$E$63)*1000*C1479*sezione!$AD$5</f>
        <v>-18650511.958810374</v>
      </c>
      <c r="Q1479" s="545">
        <f>'Foglio deposito bis'!$F$68*IF(ABS(K1479)&lt;'Sollecitazioni nel paramento'!$G$58,ABS(K1479)*'Sollecitazioni nel paramento'!$G$54,'Sollecitazioni nel paramento'!$G$53)*IF(K1479&lt;0,-1,1)</f>
        <v>0</v>
      </c>
      <c r="R1479" s="545">
        <f>'Foglio deposito bis'!$F$69*IF(ABS(L1479)&lt;'Sollecitazioni nel paramento'!$G$58,ABS(L1479)*'Sollecitazioni nel paramento'!$G$54,'Sollecitazioni nel paramento'!$G$53)*IF(L1479&lt;0,-1,1)</f>
        <v>-153664.85805602249</v>
      </c>
      <c r="S1479" s="545">
        <f>'Foglio deposito bis'!$F$70*IF(ABS(M1479)&lt;'Sollecitazioni nel paramento'!$G$58,ABS(M1479)*'Sollecitazioni nel paramento'!$G$54,'Sollecitazioni nel paramento'!$G$53)*IF(M1479&lt;0,-1,1)</f>
        <v>0</v>
      </c>
      <c r="T1479" s="545">
        <f>'Foglio deposito bis'!$F$71*IF(ABS(N1479)&lt;'Sollecitazioni nel paramento'!$G$58,ABS(N1479)*'Sollecitazioni nel paramento'!$G$54,'Sollecitazioni nel paramento'!$G$53)*IF(N1479&lt;0,-1,1)</f>
        <v>-314705.62929873407</v>
      </c>
      <c r="U1479" s="545">
        <f>'Foglio deposito bis'!$F$72*IF(ABS(O1479)&lt;'Sollecitazioni nel paramento'!$G$58,ABS(O1479)*'Sollecitazioni nel paramento'!$G$54,'Sollecitazioni nel paramento'!$G$53)*IF(O1479&lt;0,-1,1)</f>
        <v>35959.558113357714</v>
      </c>
      <c r="V1479" s="472">
        <f t="shared" si="105"/>
        <v>-19082922.888051774</v>
      </c>
      <c r="W1479" s="551"/>
      <c r="X1479" s="551"/>
    </row>
    <row r="1480" spans="1:24" x14ac:dyDescent="0.25">
      <c r="A1480" s="545">
        <f t="shared" si="104"/>
        <v>19380015.850074105</v>
      </c>
      <c r="B1480" s="3">
        <f t="shared" si="102"/>
        <v>66.899999999999949</v>
      </c>
      <c r="C1480" s="545">
        <f>'Foglio deposito bis'!$E$158/sezione!$B$247*B1480</f>
        <v>496.98202692823298</v>
      </c>
      <c r="D1480" s="603">
        <f>-'Sollecitazioni nel paramento'!$G$47*'Sollecitazioni nel paramento'!$G$41*IF(DATI!$G$211="dx",DATI!$E$61,DATI!$E$64*DATI!$E$63)*1000*C1480^2*sezione!$AD$5*(1-sezione!$AD$6)</f>
        <v>-5495218823.7310705</v>
      </c>
      <c r="E1480" s="545">
        <f>-'Foglio deposito bis'!$F$68*(C1480-sezione!$AL$32)*IF(ABS(K1480)&lt;'Sollecitazioni nel paramento'!$G$58,ABS(K1480)*'Sollecitazioni nel paramento'!$G$54,'Sollecitazioni nel paramento'!$G$53)</f>
        <v>0</v>
      </c>
      <c r="F1480" s="545">
        <f>-'Foglio deposito bis'!$F$69*(C1480-sezione!$AM$32)*IF(ABS(L1480)&lt;'Sollecitazioni nel paramento'!$G$58,ABS(L1480)*'Sollecitazioni nel paramento'!$G$54,'Sollecitazioni nel paramento'!$G$53)</f>
        <v>-67148781.140959918</v>
      </c>
      <c r="G1480" s="545">
        <f>-'Foglio deposito bis'!$F$70*(C1480-sezione!$AN$32)*IF(ABS(M1480)&lt;'Sollecitazioni nel paramento'!$G$58,ABS(M1480)*'Sollecitazioni nel paramento'!$G$54,'Sollecitazioni nel paramento'!$G$53)</f>
        <v>0</v>
      </c>
      <c r="H1480" s="545">
        <f>-'Foglio deposito bis'!$F$71*(C1480-sezione!$AO$32)*IF(ABS(N1480)&lt;'Sollecitazioni nel paramento'!$G$58,ABS(N1480)*'Sollecitazioni nel paramento'!$G$54,'Sollecitazioni nel paramento'!$G$53)</f>
        <v>-106050140.8468125</v>
      </c>
      <c r="I1480" s="472">
        <f>-'Foglio deposito bis'!$F$72*(C1480-sezione!$AP$32)*IF(ABS(O1480)&lt;'Sollecitazioni nel paramento'!$G$58,ABS(O1480)*'Sollecitazioni nel paramento'!$G$54,'Sollecitazioni nel paramento'!$G$53)</f>
        <v>262571.26852756605</v>
      </c>
      <c r="J1480" s="472">
        <f t="shared" si="103"/>
        <v>-5668155174.4503145</v>
      </c>
      <c r="K1480" s="550">
        <f>'Sollecitazioni nel paramento'!$G$60*(sezione!$AL$32-C1480)/C1480</f>
        <v>-3.2182996719915249E-3</v>
      </c>
      <c r="L1480" s="550">
        <f>'Sollecitazioni nel paramento'!$G$60*(sezione!$AM$32-C1480)/C1480</f>
        <v>-3.0774495079872875E-3</v>
      </c>
      <c r="M1480" s="551">
        <f>'Sollecitazioni nel paramento'!$G$60*(sezione!$AN$32-C1480)/C1480</f>
        <v>-2.9365993439830502E-3</v>
      </c>
      <c r="N1480" s="551">
        <f>'Sollecitazioni nel paramento'!$G$60*(sezione!$AO$32-C1480)/C1480</f>
        <v>-2.3731986879660999E-3</v>
      </c>
      <c r="O1480" s="551">
        <f>'Sollecitazioni nel paramento'!$G$60*(sezione!$AP$32-C1480)/C1480</f>
        <v>8.4517908164918692E-5</v>
      </c>
      <c r="P1480" s="545">
        <f>-'Sollecitazioni nel paramento'!$G$47*'Sollecitazioni nel paramento'!$G$41*IF(DATI!$G$211="dx",DATI!$E$61,DATI!$E$64*DATI!$E$63)*1000*C1480*sezione!$AD$5</f>
        <v>-18933524.27988489</v>
      </c>
      <c r="Q1480" s="545">
        <f>'Foglio deposito bis'!$F$68*IF(ABS(K1480)&lt;'Sollecitazioni nel paramento'!$G$58,ABS(K1480)*'Sollecitazioni nel paramento'!$G$54,'Sollecitazioni nel paramento'!$G$53)*IF(K1480&lt;0,-1,1)</f>
        <v>0</v>
      </c>
      <c r="R1480" s="545">
        <f>'Foglio deposito bis'!$F$69*IF(ABS(L1480)&lt;'Sollecitazioni nel paramento'!$G$58,ABS(L1480)*'Sollecitazioni nel paramento'!$G$54,'Sollecitazioni nel paramento'!$G$53)*IF(L1480&lt;0,-1,1)</f>
        <v>-153664.85805602249</v>
      </c>
      <c r="S1480" s="545">
        <f>'Foglio deposito bis'!$F$70*IF(ABS(M1480)&lt;'Sollecitazioni nel paramento'!$G$58,ABS(M1480)*'Sollecitazioni nel paramento'!$G$54,'Sollecitazioni nel paramento'!$G$53)*IF(M1480&lt;0,-1,1)</f>
        <v>0</v>
      </c>
      <c r="T1480" s="545">
        <f>'Foglio deposito bis'!$F$71*IF(ABS(N1480)&lt;'Sollecitazioni nel paramento'!$G$58,ABS(N1480)*'Sollecitazioni nel paramento'!$G$54,'Sollecitazioni nel paramento'!$G$53)*IF(N1480&lt;0,-1,1)</f>
        <v>-314705.62929873407</v>
      </c>
      <c r="U1480" s="545">
        <f>'Foglio deposito bis'!$F$72*IF(ABS(O1480)&lt;'Sollecitazioni nel paramento'!$G$58,ABS(O1480)*'Sollecitazioni nel paramento'!$G$54,'Sollecitazioni nel paramento'!$G$53)*IF(O1480&lt;0,-1,1)</f>
        <v>21878.917165545274</v>
      </c>
      <c r="V1480" s="472">
        <f t="shared" si="105"/>
        <v>-19380015.850074105</v>
      </c>
      <c r="W1480" s="551"/>
      <c r="X1480" s="551"/>
    </row>
    <row r="1481" spans="1:24" x14ac:dyDescent="0.25">
      <c r="A1481" s="545">
        <f t="shared" si="104"/>
        <v>19676694.065676756</v>
      </c>
      <c r="B1481" s="3">
        <f t="shared" si="102"/>
        <v>67.899999999999949</v>
      </c>
      <c r="C1481" s="545">
        <f>'Foglio deposito bis'!$E$158/sezione!$B$247*B1481</f>
        <v>504.41075677768345</v>
      </c>
      <c r="D1481" s="603">
        <f>-'Sollecitazioni nel paramento'!$G$47*'Sollecitazioni nel paramento'!$G$41*IF(DATI!$G$211="dx",DATI!$E$61,DATI!$E$64*DATI!$E$63)*1000*C1481^2*sezione!$AD$5*(1-sezione!$AD$6)</f>
        <v>-5660728217.4090166</v>
      </c>
      <c r="E1481" s="545">
        <f>-'Foglio deposito bis'!$F$68*(C1481-sezione!$AL$32)*IF(ABS(K1481)&lt;'Sollecitazioni nel paramento'!$G$58,ABS(K1481)*'Sollecitazioni nel paramento'!$G$54,'Sollecitazioni nel paramento'!$G$53)</f>
        <v>0</v>
      </c>
      <c r="F1481" s="545">
        <f>-'Foglio deposito bis'!$F$69*(C1481-sezione!$AM$32)*IF(ABS(L1481)&lt;'Sollecitazioni nel paramento'!$G$58,ABS(L1481)*'Sollecitazioni nel paramento'!$G$54,'Sollecitazioni nel paramento'!$G$53)</f>
        <v>-68290315.858812273</v>
      </c>
      <c r="G1481" s="545">
        <f>-'Foglio deposito bis'!$F$70*(C1481-sezione!$AN$32)*IF(ABS(M1481)&lt;'Sollecitazioni nel paramento'!$G$58,ABS(M1481)*'Sollecitazioni nel paramento'!$G$54,'Sollecitazioni nel paramento'!$G$53)</f>
        <v>0</v>
      </c>
      <c r="H1481" s="545">
        <f>-'Foglio deposito bis'!$F$71*(C1481-sezione!$AO$32)*IF(ABS(N1481)&lt;'Sollecitazioni nel paramento'!$G$58,ABS(N1481)*'Sollecitazioni nel paramento'!$G$54,'Sollecitazioni nel paramento'!$G$53)</f>
        <v>-108388003.94897412</v>
      </c>
      <c r="I1481" s="472">
        <f>-'Foglio deposito bis'!$F$72*(C1481-sezione!$AP$32)*IF(ABS(O1481)&lt;'Sollecitazioni nel paramento'!$G$58,ABS(O1481)*'Sollecitazioni nel paramento'!$G$54,'Sollecitazioni nel paramento'!$G$53)</f>
        <v>37553.053028007191</v>
      </c>
      <c r="J1481" s="472">
        <f t="shared" si="103"/>
        <v>-5837368984.1637745</v>
      </c>
      <c r="K1481" s="550">
        <f>'Sollecitazioni nel paramento'!$G$60*(sezione!$AL$32-C1481)/C1481</f>
        <v>-3.2224484249813406E-3</v>
      </c>
      <c r="L1481" s="550">
        <f>'Sollecitazioni nel paramento'!$G$60*(sezione!$AM$32-C1481)/C1481</f>
        <v>-3.0836726374720109E-3</v>
      </c>
      <c r="M1481" s="551">
        <f>'Sollecitazioni nel paramento'!$G$60*(sezione!$AN$32-C1481)/C1481</f>
        <v>-2.9448968499626812E-3</v>
      </c>
      <c r="N1481" s="551">
        <f>'Sollecitazioni nel paramento'!$G$60*(sezione!$AO$32-C1481)/C1481</f>
        <v>-2.3897936999253623E-3</v>
      </c>
      <c r="O1481" s="551">
        <f>'Sollecitazioni nel paramento'!$G$60*(sezione!$AP$32-C1481)/C1481</f>
        <v>3.1726775496804692E-5</v>
      </c>
      <c r="P1481" s="545">
        <f>-'Sollecitazioni nel paramento'!$G$47*'Sollecitazioni nel paramento'!$G$41*IF(DATI!$G$211="dx",DATI!$E$61,DATI!$E$64*DATI!$E$63)*1000*C1481*sezione!$AD$5</f>
        <v>-19216536.600959402</v>
      </c>
      <c r="Q1481" s="545">
        <f>'Foglio deposito bis'!$F$68*IF(ABS(K1481)&lt;'Sollecitazioni nel paramento'!$G$58,ABS(K1481)*'Sollecitazioni nel paramento'!$G$54,'Sollecitazioni nel paramento'!$G$53)*IF(K1481&lt;0,-1,1)</f>
        <v>0</v>
      </c>
      <c r="R1481" s="545">
        <f>'Foglio deposito bis'!$F$69*IF(ABS(L1481)&lt;'Sollecitazioni nel paramento'!$G$58,ABS(L1481)*'Sollecitazioni nel paramento'!$G$54,'Sollecitazioni nel paramento'!$G$53)*IF(L1481&lt;0,-1,1)</f>
        <v>-153664.85805602249</v>
      </c>
      <c r="S1481" s="545">
        <f>'Foglio deposito bis'!$F$70*IF(ABS(M1481)&lt;'Sollecitazioni nel paramento'!$G$58,ABS(M1481)*'Sollecitazioni nel paramento'!$G$54,'Sollecitazioni nel paramento'!$G$53)*IF(M1481&lt;0,-1,1)</f>
        <v>0</v>
      </c>
      <c r="T1481" s="545">
        <f>'Foglio deposito bis'!$F$71*IF(ABS(N1481)&lt;'Sollecitazioni nel paramento'!$G$58,ABS(N1481)*'Sollecitazioni nel paramento'!$G$54,'Sollecitazioni nel paramento'!$G$53)*IF(N1481&lt;0,-1,1)</f>
        <v>-314705.62929873407</v>
      </c>
      <c r="U1481" s="545">
        <f>'Foglio deposito bis'!$F$72*IF(ABS(O1481)&lt;'Sollecitazioni nel paramento'!$G$58,ABS(O1481)*'Sollecitazioni nel paramento'!$G$54,'Sollecitazioni nel paramento'!$G$53)*IF(O1481&lt;0,-1,1)</f>
        <v>8213.0226374031936</v>
      </c>
      <c r="V1481" s="472">
        <f t="shared" si="105"/>
        <v>-19676694.065676756</v>
      </c>
      <c r="W1481" s="551"/>
      <c r="X1481" s="551"/>
    </row>
    <row r="1482" spans="1:24" x14ac:dyDescent="0.25">
      <c r="A1482" s="545">
        <f t="shared" si="104"/>
        <v>19972975.593484689</v>
      </c>
      <c r="B1482" s="3">
        <f t="shared" si="102"/>
        <v>68.899999999999949</v>
      </c>
      <c r="C1482" s="545">
        <f>'Foglio deposito bis'!$E$158/sezione!$B$247*B1482</f>
        <v>511.83948662713385</v>
      </c>
      <c r="D1482" s="603">
        <f>-'Sollecitazioni nel paramento'!$G$47*'Sollecitazioni nel paramento'!$G$41*IF(DATI!$G$211="dx",DATI!$E$61,DATI!$E$64*DATI!$E$63)*1000*C1482^2*sezione!$AD$5*(1-sezione!$AD$6)</f>
        <v>-5828693240.0732803</v>
      </c>
      <c r="E1482" s="545">
        <f>-'Foglio deposito bis'!$F$68*(C1482-sezione!$AL$32)*IF(ABS(K1482)&lt;'Sollecitazioni nel paramento'!$G$58,ABS(K1482)*'Sollecitazioni nel paramento'!$G$54,'Sollecitazioni nel paramento'!$G$53)</f>
        <v>0</v>
      </c>
      <c r="F1482" s="545">
        <f>-'Foglio deposito bis'!$F$69*(C1482-sezione!$AM$32)*IF(ABS(L1482)&lt;'Sollecitazioni nel paramento'!$G$58,ABS(L1482)*'Sollecitazioni nel paramento'!$G$54,'Sollecitazioni nel paramento'!$G$53)</f>
        <v>-69431850.576664597</v>
      </c>
      <c r="G1482" s="545">
        <f>-'Foglio deposito bis'!$F$70*(C1482-sezione!$AN$32)*IF(ABS(M1482)&lt;'Sollecitazioni nel paramento'!$G$58,ABS(M1482)*'Sollecitazioni nel paramento'!$G$54,'Sollecitazioni nel paramento'!$G$53)</f>
        <v>0</v>
      </c>
      <c r="H1482" s="545">
        <f>-'Foglio deposito bis'!$F$71*(C1482-sezione!$AO$32)*IF(ABS(N1482)&lt;'Sollecitazioni nel paramento'!$G$58,ABS(N1482)*'Sollecitazioni nel paramento'!$G$54,'Sollecitazioni nel paramento'!$G$53)</f>
        <v>-110725867.0511357</v>
      </c>
      <c r="I1482" s="472">
        <f>-'Foglio deposito bis'!$F$72*(C1482-sezione!$AP$32)*IF(ABS(O1482)&lt;'Sollecitazioni nel paramento'!$G$58,ABS(O1482)*'Sollecitazioni nel paramento'!$G$54,'Sollecitazioni nel paramento'!$G$53)</f>
        <v>-14442.235248691841</v>
      </c>
      <c r="J1482" s="472">
        <f t="shared" si="103"/>
        <v>-6008865399.9363298</v>
      </c>
      <c r="K1482" s="550">
        <f>'Sollecitazioni nel paramento'!$G$60*(sezione!$AL$32-C1482)/C1482</f>
        <v>-3.2264767497276201E-3</v>
      </c>
      <c r="L1482" s="550">
        <f>'Sollecitazioni nel paramento'!$G$60*(sezione!$AM$32-C1482)/C1482</f>
        <v>-3.0897151245914303E-3</v>
      </c>
      <c r="M1482" s="551">
        <f>'Sollecitazioni nel paramento'!$G$60*(sezione!$AN$32-C1482)/C1482</f>
        <v>-2.9529534994552401E-3</v>
      </c>
      <c r="N1482" s="551">
        <f>'Sollecitazioni nel paramento'!$G$60*(sezione!$AO$32-C1482)/C1482</f>
        <v>-2.4059069989104801E-3</v>
      </c>
      <c r="O1482" s="551">
        <f>'Sollecitazioni nel paramento'!$G$60*(sezione!$AP$32-C1482)/C1482</f>
        <v>-1.9531958545238829E-5</v>
      </c>
      <c r="P1482" s="545">
        <f>-'Sollecitazioni nel paramento'!$G$47*'Sollecitazioni nel paramento'!$G$41*IF(DATI!$G$211="dx",DATI!$E$61,DATI!$E$64*DATI!$E$63)*1000*C1482*sezione!$AD$5</f>
        <v>-19499548.922033913</v>
      </c>
      <c r="Q1482" s="545">
        <f>'Foglio deposito bis'!$F$68*IF(ABS(K1482)&lt;'Sollecitazioni nel paramento'!$G$58,ABS(K1482)*'Sollecitazioni nel paramento'!$G$54,'Sollecitazioni nel paramento'!$G$53)*IF(K1482&lt;0,-1,1)</f>
        <v>0</v>
      </c>
      <c r="R1482" s="545">
        <f>'Foglio deposito bis'!$F$69*IF(ABS(L1482)&lt;'Sollecitazioni nel paramento'!$G$58,ABS(L1482)*'Sollecitazioni nel paramento'!$G$54,'Sollecitazioni nel paramento'!$G$53)*IF(L1482&lt;0,-1,1)</f>
        <v>-153664.85805602249</v>
      </c>
      <c r="S1482" s="545">
        <f>'Foglio deposito bis'!$F$70*IF(ABS(M1482)&lt;'Sollecitazioni nel paramento'!$G$58,ABS(M1482)*'Sollecitazioni nel paramento'!$G$54,'Sollecitazioni nel paramento'!$G$53)*IF(M1482&lt;0,-1,1)</f>
        <v>0</v>
      </c>
      <c r="T1482" s="545">
        <f>'Foglio deposito bis'!$F$71*IF(ABS(N1482)&lt;'Sollecitazioni nel paramento'!$G$58,ABS(N1482)*'Sollecitazioni nel paramento'!$G$54,'Sollecitazioni nel paramento'!$G$53)*IF(N1482&lt;0,-1,1)</f>
        <v>-314705.62929873407</v>
      </c>
      <c r="U1482" s="545">
        <f>'Foglio deposito bis'!$F$72*IF(ABS(O1482)&lt;'Sollecitazioni nel paramento'!$G$58,ABS(O1482)*'Sollecitazioni nel paramento'!$G$54,'Sollecitazioni nel paramento'!$G$53)*IF(O1482&lt;0,-1,1)</f>
        <v>-5056.1840960176778</v>
      </c>
      <c r="V1482" s="472">
        <f t="shared" si="105"/>
        <v>-19972975.593484689</v>
      </c>
      <c r="W1482" s="551"/>
      <c r="X1482" s="551"/>
    </row>
    <row r="1483" spans="1:24" x14ac:dyDescent="0.25">
      <c r="A1483" s="545">
        <f t="shared" si="104"/>
        <v>20268877.458725147</v>
      </c>
      <c r="B1483" s="3">
        <f t="shared" si="102"/>
        <v>69.899999999999949</v>
      </c>
      <c r="C1483" s="545">
        <f>'Foglio deposito bis'!$E$158/sezione!$B$247*B1483</f>
        <v>519.26821647658426</v>
      </c>
      <c r="D1483" s="603">
        <f>-'Sollecitazioni nel paramento'!$G$47*'Sollecitazioni nel paramento'!$G$41*IF(DATI!$G$211="dx",DATI!$E$61,DATI!$E$64*DATI!$E$63)*1000*C1483^2*sezione!$AD$5*(1-sezione!$AD$6)</f>
        <v>-5999113891.7238646</v>
      </c>
      <c r="E1483" s="545">
        <f>-'Foglio deposito bis'!$F$68*(C1483-sezione!$AL$32)*IF(ABS(K1483)&lt;'Sollecitazioni nel paramento'!$G$58,ABS(K1483)*'Sollecitazioni nel paramento'!$G$54,'Sollecitazioni nel paramento'!$G$53)</f>
        <v>0</v>
      </c>
      <c r="F1483" s="545">
        <f>-'Foglio deposito bis'!$F$69*(C1483-sezione!$AM$32)*IF(ABS(L1483)&lt;'Sollecitazioni nel paramento'!$G$58,ABS(L1483)*'Sollecitazioni nel paramento'!$G$54,'Sollecitazioni nel paramento'!$G$53)</f>
        <v>-70573385.294516921</v>
      </c>
      <c r="G1483" s="545">
        <f>-'Foglio deposito bis'!$F$70*(C1483-sezione!$AN$32)*IF(ABS(M1483)&lt;'Sollecitazioni nel paramento'!$G$58,ABS(M1483)*'Sollecitazioni nel paramento'!$G$54,'Sollecitazioni nel paramento'!$G$53)</f>
        <v>0</v>
      </c>
      <c r="H1483" s="545">
        <f>-'Foglio deposito bis'!$F$71*(C1483-sezione!$AO$32)*IF(ABS(N1483)&lt;'Sollecitazioni nel paramento'!$G$58,ABS(N1483)*'Sollecitazioni nel paramento'!$G$54,'Sollecitazioni nel paramento'!$G$53)</f>
        <v>-113063730.15329726</v>
      </c>
      <c r="I1483" s="472">
        <f>-'Foglio deposito bis'!$F$72*(C1483-sezione!$AP$32)*IF(ABS(O1483)&lt;'Sollecitazioni nel paramento'!$G$58,ABS(O1483)*'Sollecitazioni nel paramento'!$G$54,'Sollecitazioni nel paramento'!$G$53)</f>
        <v>-184573.26163939253</v>
      </c>
      <c r="J1483" s="472">
        <f t="shared" si="103"/>
        <v>-6182935580.4333181</v>
      </c>
      <c r="K1483" s="550">
        <f>'Sollecitazioni nel paramento'!$G$60*(sezione!$AL$32-C1483)/C1483</f>
        <v>-3.2303898148245067E-3</v>
      </c>
      <c r="L1483" s="550">
        <f>'Sollecitazioni nel paramento'!$G$60*(sezione!$AM$32-C1483)/C1483</f>
        <v>-3.0955847222367602E-3</v>
      </c>
      <c r="M1483" s="551">
        <f>'Sollecitazioni nel paramento'!$G$60*(sezione!$AN$32-C1483)/C1483</f>
        <v>-2.9607796296490132E-3</v>
      </c>
      <c r="N1483" s="551">
        <f>'Sollecitazioni nel paramento'!$G$60*(sezione!$AO$32-C1483)/C1483</f>
        <v>-2.4215592592980273E-3</v>
      </c>
      <c r="O1483" s="551">
        <f>'Sollecitazioni nel paramento'!$G$60*(sezione!$AP$32-C1483)/C1483</f>
        <v>-6.9324062142588685E-5</v>
      </c>
      <c r="P1483" s="545">
        <f>-'Sollecitazioni nel paramento'!$G$47*'Sollecitazioni nel paramento'!$G$41*IF(DATI!$G$211="dx",DATI!$E$61,DATI!$E$64*DATI!$E$63)*1000*C1483*sezione!$AD$5</f>
        <v>-19782561.243108429</v>
      </c>
      <c r="Q1483" s="545">
        <f>'Foglio deposito bis'!$F$68*IF(ABS(K1483)&lt;'Sollecitazioni nel paramento'!$G$58,ABS(K1483)*'Sollecitazioni nel paramento'!$G$54,'Sollecitazioni nel paramento'!$G$53)*IF(K1483&lt;0,-1,1)</f>
        <v>0</v>
      </c>
      <c r="R1483" s="545">
        <f>'Foglio deposito bis'!$F$69*IF(ABS(L1483)&lt;'Sollecitazioni nel paramento'!$G$58,ABS(L1483)*'Sollecitazioni nel paramento'!$G$54,'Sollecitazioni nel paramento'!$G$53)*IF(L1483&lt;0,-1,1)</f>
        <v>-153664.85805602249</v>
      </c>
      <c r="S1483" s="545">
        <f>'Foglio deposito bis'!$F$70*IF(ABS(M1483)&lt;'Sollecitazioni nel paramento'!$G$58,ABS(M1483)*'Sollecitazioni nel paramento'!$G$54,'Sollecitazioni nel paramento'!$G$53)*IF(M1483&lt;0,-1,1)</f>
        <v>0</v>
      </c>
      <c r="T1483" s="545">
        <f>'Foglio deposito bis'!$F$71*IF(ABS(N1483)&lt;'Sollecitazioni nel paramento'!$G$58,ABS(N1483)*'Sollecitazioni nel paramento'!$G$54,'Sollecitazioni nel paramento'!$G$53)*IF(N1483&lt;0,-1,1)</f>
        <v>-314705.62929873407</v>
      </c>
      <c r="U1483" s="545">
        <f>'Foglio deposito bis'!$F$72*IF(ABS(O1483)&lt;'Sollecitazioni nel paramento'!$G$58,ABS(O1483)*'Sollecitazioni nel paramento'!$G$54,'Sollecitazioni nel paramento'!$G$53)*IF(O1483&lt;0,-1,1)</f>
        <v>-17945.728261958695</v>
      </c>
      <c r="V1483" s="472">
        <f t="shared" si="105"/>
        <v>-20268877.458725147</v>
      </c>
      <c r="W1483" s="551"/>
      <c r="X1483" s="551"/>
    </row>
    <row r="1484" spans="1:24" x14ac:dyDescent="0.25">
      <c r="A1484" s="545">
        <f t="shared" si="104"/>
        <v>20564415.726104785</v>
      </c>
      <c r="B1484" s="3">
        <f t="shared" si="102"/>
        <v>70.899999999999949</v>
      </c>
      <c r="C1484" s="545">
        <f>'Foglio deposito bis'!$E$158/sezione!$B$247*B1484</f>
        <v>526.69694632603466</v>
      </c>
      <c r="D1484" s="603">
        <f>-'Sollecitazioni nel paramento'!$G$47*'Sollecitazioni nel paramento'!$G$41*IF(DATI!$G$211="dx",DATI!$E$61,DATI!$E$64*DATI!$E$63)*1000*C1484^2*sezione!$AD$5*(1-sezione!$AD$6)</f>
        <v>-6171990172.3607683</v>
      </c>
      <c r="E1484" s="545">
        <f>-'Foglio deposito bis'!$F$68*(C1484-sezione!$AL$32)*IF(ABS(K1484)&lt;'Sollecitazioni nel paramento'!$G$58,ABS(K1484)*'Sollecitazioni nel paramento'!$G$54,'Sollecitazioni nel paramento'!$G$53)</f>
        <v>0</v>
      </c>
      <c r="F1484" s="545">
        <f>-'Foglio deposito bis'!$F$69*(C1484-sezione!$AM$32)*IF(ABS(L1484)&lt;'Sollecitazioni nel paramento'!$G$58,ABS(L1484)*'Sollecitazioni nel paramento'!$G$54,'Sollecitazioni nel paramento'!$G$53)</f>
        <v>-71714920.01236926</v>
      </c>
      <c r="G1484" s="545">
        <f>-'Foglio deposito bis'!$F$70*(C1484-sezione!$AN$32)*IF(ABS(M1484)&lt;'Sollecitazioni nel paramento'!$G$58,ABS(M1484)*'Sollecitazioni nel paramento'!$G$54,'Sollecitazioni nel paramento'!$G$53)</f>
        <v>0</v>
      </c>
      <c r="H1484" s="545">
        <f>-'Foglio deposito bis'!$F$71*(C1484-sezione!$AO$32)*IF(ABS(N1484)&lt;'Sollecitazioni nel paramento'!$G$58,ABS(N1484)*'Sollecitazioni nel paramento'!$G$54,'Sollecitazioni nel paramento'!$G$53)</f>
        <v>-115401593.25545886</v>
      </c>
      <c r="I1484" s="472">
        <f>-'Foglio deposito bis'!$F$72*(C1484-sezione!$AP$32)*IF(ABS(O1484)&lt;'Sollecitazioni nel paramento'!$G$58,ABS(O1484)*'Sollecitazioni nel paramento'!$G$54,'Sollecitazioni nel paramento'!$G$53)</f>
        <v>-539769.46742563753</v>
      </c>
      <c r="J1484" s="472">
        <f t="shared" si="103"/>
        <v>-6359646455.0960217</v>
      </c>
      <c r="K1484" s="550">
        <f>'Sollecitazioni nel paramento'!$G$60*(sezione!$AL$32-C1484)/C1484</f>
        <v>-3.2341924972670382E-3</v>
      </c>
      <c r="L1484" s="550">
        <f>'Sollecitazioni nel paramento'!$G$60*(sezione!$AM$32-C1484)/C1484</f>
        <v>-3.1012887459005573E-3</v>
      </c>
      <c r="M1484" s="551">
        <f>'Sollecitazioni nel paramento'!$G$60*(sezione!$AN$32-C1484)/C1484</f>
        <v>-2.9683849945340767E-3</v>
      </c>
      <c r="N1484" s="551">
        <f>'Sollecitazioni nel paramento'!$G$60*(sezione!$AO$32-C1484)/C1484</f>
        <v>-2.4367699890681539E-3</v>
      </c>
      <c r="O1484" s="551">
        <f>'Sollecitazioni nel paramento'!$G$60*(sezione!$AP$32-C1484)/C1484</f>
        <v>-1.1771159300094419E-4</v>
      </c>
      <c r="P1484" s="545">
        <f>-'Sollecitazioni nel paramento'!$G$47*'Sollecitazioni nel paramento'!$G$41*IF(DATI!$G$211="dx",DATI!$E$61,DATI!$E$64*DATI!$E$63)*1000*C1484*sezione!$AD$5</f>
        <v>-20065573.564182941</v>
      </c>
      <c r="Q1484" s="545">
        <f>'Foglio deposito bis'!$F$68*IF(ABS(K1484)&lt;'Sollecitazioni nel paramento'!$G$58,ABS(K1484)*'Sollecitazioni nel paramento'!$G$54,'Sollecitazioni nel paramento'!$G$53)*IF(K1484&lt;0,-1,1)</f>
        <v>0</v>
      </c>
      <c r="R1484" s="545">
        <f>'Foglio deposito bis'!$F$69*IF(ABS(L1484)&lt;'Sollecitazioni nel paramento'!$G$58,ABS(L1484)*'Sollecitazioni nel paramento'!$G$54,'Sollecitazioni nel paramento'!$G$53)*IF(L1484&lt;0,-1,1)</f>
        <v>-153664.85805602249</v>
      </c>
      <c r="S1484" s="545">
        <f>'Foglio deposito bis'!$F$70*IF(ABS(M1484)&lt;'Sollecitazioni nel paramento'!$G$58,ABS(M1484)*'Sollecitazioni nel paramento'!$G$54,'Sollecitazioni nel paramento'!$G$53)*IF(M1484&lt;0,-1,1)</f>
        <v>0</v>
      </c>
      <c r="T1484" s="545">
        <f>'Foglio deposito bis'!$F$71*IF(ABS(N1484)&lt;'Sollecitazioni nel paramento'!$G$58,ABS(N1484)*'Sollecitazioni nel paramento'!$G$54,'Sollecitazioni nel paramento'!$G$53)*IF(N1484&lt;0,-1,1)</f>
        <v>-314705.62929873407</v>
      </c>
      <c r="U1484" s="545">
        <f>'Foglio deposito bis'!$F$72*IF(ABS(O1484)&lt;'Sollecitazioni nel paramento'!$G$58,ABS(O1484)*'Sollecitazioni nel paramento'!$G$54,'Sollecitazioni nel paramento'!$G$53)*IF(O1484&lt;0,-1,1)</f>
        <v>-30471.674567083322</v>
      </c>
      <c r="V1484" s="472">
        <f t="shared" si="105"/>
        <v>-20564415.726104785</v>
      </c>
      <c r="W1484" s="551"/>
      <c r="X1484" s="551"/>
    </row>
    <row r="1485" spans="1:24" x14ac:dyDescent="0.25">
      <c r="A1485" s="545">
        <f t="shared" si="104"/>
        <v>20859605.566605281</v>
      </c>
      <c r="B1485" s="3">
        <f t="shared" si="102"/>
        <v>71.899999999999949</v>
      </c>
      <c r="C1485" s="545">
        <f>'Foglio deposito bis'!$E$158/sezione!$B$247*B1485</f>
        <v>534.12567617548518</v>
      </c>
      <c r="D1485" s="603">
        <f>-'Sollecitazioni nel paramento'!$G$47*'Sollecitazioni nel paramento'!$G$41*IF(DATI!$G$211="dx",DATI!$E$61,DATI!$E$64*DATI!$E$63)*1000*C1485^2*sezione!$AD$5*(1-sezione!$AD$6)</f>
        <v>-6347322081.9839945</v>
      </c>
      <c r="E1485" s="545">
        <f>-'Foglio deposito bis'!$F$68*(C1485-sezione!$AL$32)*IF(ABS(K1485)&lt;'Sollecitazioni nel paramento'!$G$58,ABS(K1485)*'Sollecitazioni nel paramento'!$G$54,'Sollecitazioni nel paramento'!$G$53)</f>
        <v>0</v>
      </c>
      <c r="F1485" s="545">
        <f>-'Foglio deposito bis'!$F$69*(C1485-sezione!$AM$32)*IF(ABS(L1485)&lt;'Sollecitazioni nel paramento'!$G$58,ABS(L1485)*'Sollecitazioni nel paramento'!$G$54,'Sollecitazioni nel paramento'!$G$53)</f>
        <v>-72856454.730221614</v>
      </c>
      <c r="G1485" s="545">
        <f>-'Foglio deposito bis'!$F$70*(C1485-sezione!$AN$32)*IF(ABS(M1485)&lt;'Sollecitazioni nel paramento'!$G$58,ABS(M1485)*'Sollecitazioni nel paramento'!$G$54,'Sollecitazioni nel paramento'!$G$53)</f>
        <v>0</v>
      </c>
      <c r="H1485" s="545">
        <f>-'Foglio deposito bis'!$F$71*(C1485-sezione!$AO$32)*IF(ABS(N1485)&lt;'Sollecitazioni nel paramento'!$G$58,ABS(N1485)*'Sollecitazioni nel paramento'!$G$54,'Sollecitazioni nel paramento'!$G$53)</f>
        <v>-117739456.35762046</v>
      </c>
      <c r="I1485" s="472">
        <f>-'Foglio deposito bis'!$F$72*(C1485-sezione!$AP$32)*IF(ABS(O1485)&lt;'Sollecitazioni nel paramento'!$G$58,ABS(O1485)*'Sollecitazioni nel paramento'!$G$54,'Sollecitazioni nel paramento'!$G$53)</f>
        <v>-1072309.0787800839</v>
      </c>
      <c r="J1485" s="472">
        <f t="shared" si="103"/>
        <v>-6538990302.1506166</v>
      </c>
      <c r="K1485" s="550">
        <f>'Sollecitazioni nel paramento'!$G$60*(sezione!$AL$32-C1485)/C1485</f>
        <v>-3.2378894027292491E-3</v>
      </c>
      <c r="L1485" s="550">
        <f>'Sollecitazioni nel paramento'!$G$60*(sezione!$AM$32-C1485)/C1485</f>
        <v>-3.1068341040938739E-3</v>
      </c>
      <c r="M1485" s="551">
        <f>'Sollecitazioni nel paramento'!$G$60*(sezione!$AN$32-C1485)/C1485</f>
        <v>-2.9757788054584986E-3</v>
      </c>
      <c r="N1485" s="551">
        <f>'Sollecitazioni nel paramento'!$G$60*(sezione!$AO$32-C1485)/C1485</f>
        <v>-2.4515576109169972E-3</v>
      </c>
      <c r="O1485" s="551">
        <f>'Sollecitazioni nel paramento'!$G$60*(sezione!$AP$32-C1485)/C1485</f>
        <v>-1.6475315638062572E-4</v>
      </c>
      <c r="P1485" s="545">
        <f>-'Sollecitazioni nel paramento'!$G$47*'Sollecitazioni nel paramento'!$G$41*IF(DATI!$G$211="dx",DATI!$E$61,DATI!$E$64*DATI!$E$63)*1000*C1485*sezione!$AD$5</f>
        <v>-20348585.885257456</v>
      </c>
      <c r="Q1485" s="545">
        <f>'Foglio deposito bis'!$F$68*IF(ABS(K1485)&lt;'Sollecitazioni nel paramento'!$G$58,ABS(K1485)*'Sollecitazioni nel paramento'!$G$54,'Sollecitazioni nel paramento'!$G$53)*IF(K1485&lt;0,-1,1)</f>
        <v>0</v>
      </c>
      <c r="R1485" s="545">
        <f>'Foglio deposito bis'!$F$69*IF(ABS(L1485)&lt;'Sollecitazioni nel paramento'!$G$58,ABS(L1485)*'Sollecitazioni nel paramento'!$G$54,'Sollecitazioni nel paramento'!$G$53)*IF(L1485&lt;0,-1,1)</f>
        <v>-153664.85805602249</v>
      </c>
      <c r="S1485" s="545">
        <f>'Foglio deposito bis'!$F$70*IF(ABS(M1485)&lt;'Sollecitazioni nel paramento'!$G$58,ABS(M1485)*'Sollecitazioni nel paramento'!$G$54,'Sollecitazioni nel paramento'!$G$53)*IF(M1485&lt;0,-1,1)</f>
        <v>0</v>
      </c>
      <c r="T1485" s="545">
        <f>'Foglio deposito bis'!$F$71*IF(ABS(N1485)&lt;'Sollecitazioni nel paramento'!$G$58,ABS(N1485)*'Sollecitazioni nel paramento'!$G$54,'Sollecitazioni nel paramento'!$G$53)*IF(N1485&lt;0,-1,1)</f>
        <v>-314705.62929873407</v>
      </c>
      <c r="U1485" s="545">
        <f>'Foglio deposito bis'!$F$72*IF(ABS(O1485)&lt;'Sollecitazioni nel paramento'!$G$58,ABS(O1485)*'Sollecitazioni nel paramento'!$G$54,'Sollecitazioni nel paramento'!$G$53)*IF(O1485&lt;0,-1,1)</f>
        <v>-42649.193993066976</v>
      </c>
      <c r="V1485" s="472">
        <f t="shared" si="105"/>
        <v>-20859605.566605281</v>
      </c>
      <c r="W1485" s="551"/>
      <c r="X1485" s="551"/>
    </row>
    <row r="1486" spans="1:24" x14ac:dyDescent="0.25">
      <c r="A1486" s="545">
        <f t="shared" si="104"/>
        <v>21154461.318781335</v>
      </c>
      <c r="B1486" s="3">
        <f t="shared" si="102"/>
        <v>72.899999999999949</v>
      </c>
      <c r="C1486" s="545">
        <f>'Foglio deposito bis'!$E$158/sezione!$B$247*B1486</f>
        <v>541.55440602493559</v>
      </c>
      <c r="D1486" s="603">
        <f>-'Sollecitazioni nel paramento'!$G$47*'Sollecitazioni nel paramento'!$G$41*IF(DATI!$G$211="dx",DATI!$E$61,DATI!$E$64*DATI!$E$63)*1000*C1486^2*sezione!$AD$5*(1-sezione!$AD$6)</f>
        <v>-6525109620.5935392</v>
      </c>
      <c r="E1486" s="545">
        <f>-'Foglio deposito bis'!$F$68*(C1486-sezione!$AL$32)*IF(ABS(K1486)&lt;'Sollecitazioni nel paramento'!$G$58,ABS(K1486)*'Sollecitazioni nel paramento'!$G$54,'Sollecitazioni nel paramento'!$G$53)</f>
        <v>0</v>
      </c>
      <c r="F1486" s="545">
        <f>-'Foglio deposito bis'!$F$69*(C1486-sezione!$AM$32)*IF(ABS(L1486)&lt;'Sollecitazioni nel paramento'!$G$58,ABS(L1486)*'Sollecitazioni nel paramento'!$G$54,'Sollecitazioni nel paramento'!$G$53)</f>
        <v>-73997989.448073953</v>
      </c>
      <c r="G1486" s="545">
        <f>-'Foglio deposito bis'!$F$70*(C1486-sezione!$AN$32)*IF(ABS(M1486)&lt;'Sollecitazioni nel paramento'!$G$58,ABS(M1486)*'Sollecitazioni nel paramento'!$G$54,'Sollecitazioni nel paramento'!$G$53)</f>
        <v>0</v>
      </c>
      <c r="H1486" s="545">
        <f>-'Foglio deposito bis'!$F$71*(C1486-sezione!$AO$32)*IF(ABS(N1486)&lt;'Sollecitazioni nel paramento'!$G$58,ABS(N1486)*'Sollecitazioni nel paramento'!$G$54,'Sollecitazioni nel paramento'!$G$53)</f>
        <v>-120077319.45978205</v>
      </c>
      <c r="I1486" s="472">
        <f>-'Foglio deposito bis'!$F$72*(C1486-sezione!$AP$32)*IF(ABS(O1486)&lt;'Sollecitazioni nel paramento'!$G$58,ABS(O1486)*'Sollecitazioni nel paramento'!$G$54,'Sollecitazioni nel paramento'!$G$53)</f>
        <v>-1774894.0131690451</v>
      </c>
      <c r="J1486" s="472">
        <f t="shared" si="103"/>
        <v>-6720959823.5145645</v>
      </c>
      <c r="K1486" s="550">
        <f>'Sollecitazioni nel paramento'!$G$60*(sezione!$AL$32-C1486)/C1486</f>
        <v>-3.2414848841732925E-3</v>
      </c>
      <c r="L1486" s="550">
        <f>'Sollecitazioni nel paramento'!$G$60*(sezione!$AM$32-C1486)/C1486</f>
        <v>-3.1122273262599387E-3</v>
      </c>
      <c r="M1486" s="551">
        <f>'Sollecitazioni nel paramento'!$G$60*(sezione!$AN$32-C1486)/C1486</f>
        <v>-2.982969768346585E-3</v>
      </c>
      <c r="N1486" s="551">
        <f>'Sollecitazioni nel paramento'!$G$60*(sezione!$AO$32-C1486)/C1486</f>
        <v>-2.4659395366931703E-3</v>
      </c>
      <c r="O1486" s="551">
        <f>'Sollecitazioni nel paramento'!$G$60*(sezione!$AP$32-C1486)/C1486</f>
        <v>-2.1050414188980771E-4</v>
      </c>
      <c r="P1486" s="545">
        <f>-'Sollecitazioni nel paramento'!$G$47*'Sollecitazioni nel paramento'!$G$41*IF(DATI!$G$211="dx",DATI!$E$61,DATI!$E$64*DATI!$E$63)*1000*C1486*sezione!$AD$5</f>
        <v>-20631598.206331968</v>
      </c>
      <c r="Q1486" s="545">
        <f>'Foglio deposito bis'!$F$68*IF(ABS(K1486)&lt;'Sollecitazioni nel paramento'!$G$58,ABS(K1486)*'Sollecitazioni nel paramento'!$G$54,'Sollecitazioni nel paramento'!$G$53)*IF(K1486&lt;0,-1,1)</f>
        <v>0</v>
      </c>
      <c r="R1486" s="545">
        <f>'Foglio deposito bis'!$F$69*IF(ABS(L1486)&lt;'Sollecitazioni nel paramento'!$G$58,ABS(L1486)*'Sollecitazioni nel paramento'!$G$54,'Sollecitazioni nel paramento'!$G$53)*IF(L1486&lt;0,-1,1)</f>
        <v>-153664.85805602249</v>
      </c>
      <c r="S1486" s="545">
        <f>'Foglio deposito bis'!$F$70*IF(ABS(M1486)&lt;'Sollecitazioni nel paramento'!$G$58,ABS(M1486)*'Sollecitazioni nel paramento'!$G$54,'Sollecitazioni nel paramento'!$G$53)*IF(M1486&lt;0,-1,1)</f>
        <v>0</v>
      </c>
      <c r="T1486" s="545">
        <f>'Foglio deposito bis'!$F$71*IF(ABS(N1486)&lt;'Sollecitazioni nel paramento'!$G$58,ABS(N1486)*'Sollecitazioni nel paramento'!$G$54,'Sollecitazioni nel paramento'!$G$53)*IF(N1486&lt;0,-1,1)</f>
        <v>-314705.62929873407</v>
      </c>
      <c r="U1486" s="545">
        <f>'Foglio deposito bis'!$F$72*IF(ABS(O1486)&lt;'Sollecitazioni nel paramento'!$G$58,ABS(O1486)*'Sollecitazioni nel paramento'!$G$54,'Sollecitazioni nel paramento'!$G$53)*IF(O1486&lt;0,-1,1)</f>
        <v>-54492.625094606454</v>
      </c>
      <c r="V1486" s="472">
        <f t="shared" si="105"/>
        <v>-21154461.318781335</v>
      </c>
      <c r="W1486" s="551"/>
      <c r="X1486" s="551"/>
    </row>
    <row r="1487" spans="1:24" x14ac:dyDescent="0.25">
      <c r="A1487" s="545">
        <f t="shared" si="104"/>
        <v>21448996.545081832</v>
      </c>
      <c r="B1487" s="3">
        <f t="shared" si="102"/>
        <v>73.899999999999949</v>
      </c>
      <c r="C1487" s="545">
        <f>'Foglio deposito bis'!$E$158/sezione!$B$247*B1487</f>
        <v>548.98313587438599</v>
      </c>
      <c r="D1487" s="31">
        <f>-'Sollecitazioni nel paramento'!$G$47*'Sollecitazioni nel paramento'!$G$41*IF(DATI!$G$211="dx",DATI!$E$61,DATI!$E$64*DATI!$E$63)*1000*C1487^2*sezione!$AD$5*(1-sezione!$AD$6)</f>
        <v>-6705352788.1894026</v>
      </c>
      <c r="E1487" s="545">
        <f>-'Foglio deposito bis'!$F$68*(C1487-sezione!$AL$32)*IF(ABS(K1487)&lt;'Sollecitazioni nel paramento'!$G$58,ABS(K1487)*'Sollecitazioni nel paramento'!$G$54,'Sollecitazioni nel paramento'!$G$53)</f>
        <v>0</v>
      </c>
      <c r="F1487" s="545">
        <f>-'Foglio deposito bis'!$F$69*(C1487-sezione!$AM$32)*IF(ABS(L1487)&lt;'Sollecitazioni nel paramento'!$G$58,ABS(L1487)*'Sollecitazioni nel paramento'!$G$54,'Sollecitazioni nel paramento'!$G$53)</f>
        <v>-75139524.165926278</v>
      </c>
      <c r="G1487" s="545">
        <f>-'Foglio deposito bis'!$F$70*(C1487-sezione!$AN$32)*IF(ABS(M1487)&lt;'Sollecitazioni nel paramento'!$G$58,ABS(M1487)*'Sollecitazioni nel paramento'!$G$54,'Sollecitazioni nel paramento'!$G$53)</f>
        <v>0</v>
      </c>
      <c r="H1487" s="545">
        <f>-'Foglio deposito bis'!$F$71*(C1487-sezione!$AO$32)*IF(ABS(N1487)&lt;'Sollecitazioni nel paramento'!$G$58,ABS(N1487)*'Sollecitazioni nel paramento'!$G$54,'Sollecitazioni nel paramento'!$G$53)</f>
        <v>-122415182.56194364</v>
      </c>
      <c r="I1487" s="472">
        <f>-'Foglio deposito bis'!$F$72*(C1487-sezione!$AP$32)*IF(ABS(O1487)&lt;'Sollecitazioni nel paramento'!$G$58,ABS(O1487)*'Sollecitazioni nel paramento'!$G$54,'Sollecitazioni nel paramento'!$G$53)</f>
        <v>-2640621.2128238734</v>
      </c>
      <c r="J1487" s="472">
        <f t="shared" si="103"/>
        <v>-6905548116.1300964</v>
      </c>
      <c r="K1487" s="550">
        <f>'Sollecitazioni nel paramento'!$G$60*(sezione!$AL$32-C1487)/C1487</f>
        <v>-3.244983058947673E-3</v>
      </c>
      <c r="L1487" s="550">
        <f>'Sollecitazioni nel paramento'!$G$60*(sezione!$AM$32-C1487)/C1487</f>
        <v>-3.1174745884215093E-3</v>
      </c>
      <c r="M1487" s="551">
        <f>'Sollecitazioni nel paramento'!$G$60*(sezione!$AN$32-C1487)/C1487</f>
        <v>-2.9899661178953455E-3</v>
      </c>
      <c r="N1487" s="551">
        <f>'Sollecitazioni nel paramento'!$G$60*(sezione!$AO$32-C1487)/C1487</f>
        <v>-2.4799322357906915E-3</v>
      </c>
      <c r="O1487" s="551">
        <f>'Sollecitazioni nel paramento'!$G$60*(sezione!$AP$32-C1487)/C1487</f>
        <v>-2.5501694105232715E-4</v>
      </c>
      <c r="P1487" s="545">
        <f>-'Sollecitazioni nel paramento'!$G$47*'Sollecitazioni nel paramento'!$G$41*IF(DATI!$G$211="dx",DATI!$E$61,DATI!$E$64*DATI!$E$63)*1000*C1487*sezione!$AD$5</f>
        <v>-20914610.527406476</v>
      </c>
      <c r="Q1487" s="545">
        <f>'Foglio deposito bis'!$F$68*IF(ABS(K1487)&lt;'Sollecitazioni nel paramento'!$G$58,ABS(K1487)*'Sollecitazioni nel paramento'!$G$54,'Sollecitazioni nel paramento'!$G$53)*IF(K1487&lt;0,-1,1)</f>
        <v>0</v>
      </c>
      <c r="R1487" s="545">
        <f>'Foglio deposito bis'!$F$69*IF(ABS(L1487)&lt;'Sollecitazioni nel paramento'!$G$58,ABS(L1487)*'Sollecitazioni nel paramento'!$G$54,'Sollecitazioni nel paramento'!$G$53)*IF(L1487&lt;0,-1,1)</f>
        <v>-153664.85805602249</v>
      </c>
      <c r="S1487" s="545">
        <f>'Foglio deposito bis'!$F$70*IF(ABS(M1487)&lt;'Sollecitazioni nel paramento'!$G$58,ABS(M1487)*'Sollecitazioni nel paramento'!$G$54,'Sollecitazioni nel paramento'!$G$53)*IF(M1487&lt;0,-1,1)</f>
        <v>0</v>
      </c>
      <c r="T1487" s="545">
        <f>'Foglio deposito bis'!$F$71*IF(ABS(N1487)&lt;'Sollecitazioni nel paramento'!$G$58,ABS(N1487)*'Sollecitazioni nel paramento'!$G$54,'Sollecitazioni nel paramento'!$G$53)*IF(N1487&lt;0,-1,1)</f>
        <v>-314705.62929873407</v>
      </c>
      <c r="U1487" s="545">
        <f>'Foglio deposito bis'!$F$72*IF(ABS(O1487)&lt;'Sollecitazioni nel paramento'!$G$58,ABS(O1487)*'Sollecitazioni nel paramento'!$G$54,'Sollecitazioni nel paramento'!$G$53)*IF(O1487&lt;0,-1,1)</f>
        <v>-66015.530320596823</v>
      </c>
      <c r="V1487" s="472">
        <f t="shared" si="105"/>
        <v>-21448996.545081832</v>
      </c>
      <c r="W1487" s="551"/>
      <c r="X1487" s="551"/>
    </row>
    <row r="1488" spans="1:24" x14ac:dyDescent="0.25">
      <c r="P1488" s="545"/>
      <c r="Q1488" s="545"/>
      <c r="R1488" s="545"/>
      <c r="S1488" s="545"/>
      <c r="T1488" s="545"/>
      <c r="U1488" s="545"/>
      <c r="V1488" s="472"/>
    </row>
    <row r="1489" spans="1:24" x14ac:dyDescent="0.25">
      <c r="P1489" s="545"/>
      <c r="Q1489" s="545"/>
      <c r="R1489" s="545"/>
      <c r="S1489" s="545"/>
      <c r="T1489" s="545"/>
      <c r="U1489" s="545"/>
      <c r="V1489" s="472"/>
    </row>
    <row r="1490" spans="1:24" ht="15.75" x14ac:dyDescent="0.25">
      <c r="A1490" s="1035" t="s">
        <v>954</v>
      </c>
      <c r="B1490" s="1036"/>
      <c r="C1490" s="1036"/>
      <c r="D1490" s="1036"/>
      <c r="E1490" s="1036"/>
      <c r="F1490" s="1036"/>
      <c r="G1490" s="1036"/>
      <c r="H1490" s="1036"/>
      <c r="I1490" s="1036"/>
      <c r="J1490" s="1036"/>
      <c r="K1490" s="1036"/>
      <c r="L1490" s="1036"/>
      <c r="M1490" s="1036"/>
      <c r="N1490" s="1036"/>
      <c r="O1490" s="1037"/>
      <c r="P1490" s="545"/>
      <c r="Q1490" s="545"/>
      <c r="R1490" s="545"/>
      <c r="S1490" s="545"/>
      <c r="T1490" s="545"/>
      <c r="U1490" s="545"/>
      <c r="V1490" s="472"/>
      <c r="W1490" s="605"/>
      <c r="X1490" s="605"/>
    </row>
    <row r="1491" spans="1:24" x14ac:dyDescent="0.25">
      <c r="A1491" s="533">
        <v>1</v>
      </c>
      <c r="B1491" s="533">
        <v>2</v>
      </c>
      <c r="C1491" s="533">
        <v>3</v>
      </c>
      <c r="D1491" s="533">
        <v>4</v>
      </c>
      <c r="E1491" s="533">
        <v>5</v>
      </c>
      <c r="F1491" s="533">
        <v>6</v>
      </c>
      <c r="G1491" s="533">
        <v>7</v>
      </c>
      <c r="H1491" s="533">
        <v>8</v>
      </c>
      <c r="I1491" s="533">
        <v>9</v>
      </c>
      <c r="J1491" s="533">
        <v>10</v>
      </c>
      <c r="K1491" s="533">
        <v>11</v>
      </c>
      <c r="L1491" s="533">
        <v>12</v>
      </c>
      <c r="M1491" s="533">
        <v>13</v>
      </c>
      <c r="N1491" s="533">
        <v>14</v>
      </c>
      <c r="O1491" s="533">
        <v>15</v>
      </c>
      <c r="P1491" s="598">
        <v>4</v>
      </c>
      <c r="Q1491" s="598">
        <v>5</v>
      </c>
      <c r="R1491" s="598">
        <v>6</v>
      </c>
      <c r="S1491" s="598">
        <v>7</v>
      </c>
      <c r="T1491" s="598">
        <v>8</v>
      </c>
      <c r="U1491" s="598">
        <v>9</v>
      </c>
      <c r="V1491" s="598">
        <v>10</v>
      </c>
      <c r="W1491" s="46"/>
      <c r="X1491" s="46"/>
    </row>
    <row r="1492" spans="1:24" x14ac:dyDescent="0.25">
      <c r="A1492" s="553" t="s">
        <v>930</v>
      </c>
      <c r="B1492" s="80" t="s">
        <v>918</v>
      </c>
      <c r="C1492" s="533" t="s">
        <v>137</v>
      </c>
      <c r="D1492" s="533" t="s">
        <v>912</v>
      </c>
      <c r="E1492" s="533" t="s">
        <v>913</v>
      </c>
      <c r="F1492" s="533" t="s">
        <v>914</v>
      </c>
      <c r="G1492" s="533" t="s">
        <v>915</v>
      </c>
      <c r="H1492" s="533" t="s">
        <v>916</v>
      </c>
      <c r="I1492" s="533" t="s">
        <v>917</v>
      </c>
      <c r="J1492" s="554" t="s">
        <v>911</v>
      </c>
      <c r="K1492" s="553" t="s">
        <v>924</v>
      </c>
      <c r="L1492" s="553" t="s">
        <v>925</v>
      </c>
      <c r="M1492" s="553" t="s">
        <v>926</v>
      </c>
      <c r="N1492" s="553" t="s">
        <v>927</v>
      </c>
      <c r="O1492" s="553" t="s">
        <v>928</v>
      </c>
      <c r="P1492" s="598" t="s">
        <v>296</v>
      </c>
      <c r="Q1492" s="598" t="s">
        <v>969</v>
      </c>
      <c r="R1492" s="598" t="s">
        <v>970</v>
      </c>
      <c r="S1492" s="598" t="s">
        <v>971</v>
      </c>
      <c r="T1492" s="598" t="s">
        <v>972</v>
      </c>
      <c r="U1492" s="598" t="s">
        <v>973</v>
      </c>
      <c r="V1492" s="599" t="s">
        <v>1022</v>
      </c>
      <c r="W1492" s="57"/>
      <c r="X1492" s="57"/>
    </row>
    <row r="1493" spans="1:24" x14ac:dyDescent="0.25">
      <c r="A1493" s="545">
        <f>ABS(V1493)</f>
        <v>959717.06313402858</v>
      </c>
      <c r="B1493" s="3">
        <v>0</v>
      </c>
      <c r="C1493" s="41">
        <v>0.01</v>
      </c>
      <c r="D1493" s="603">
        <f>-'Sollecitazioni nel paramento'!$G$47*'Sollecitazioni nel paramento'!$G$41*IF(DATI!$G$211="dx",DATI!$E$61,DATI!$E$64*DATI!$E$63)*1000*C1493^2*sezione!$AD$5*(1-sezione!$AD$6)</f>
        <v>-2.2248647999999998</v>
      </c>
      <c r="E1493" s="545">
        <f>-'Foglio deposito bis'!$F$68*(C1493-sezione!$AL$33)*IF(ABS(K1493)&lt;'Sollecitazioni nel paramento'!$G$58,ABS(K1493)*'Sollecitazioni nel paramento'!$G$54,'Sollecitazioni nel paramento'!$G$53)</f>
        <v>0</v>
      </c>
      <c r="F1493" s="545">
        <f>-'Foglio deposito bis'!$F$69*(C1493-sezione!$AM$33)*IF(ABS(L1493)&lt;'Sollecitazioni nel paramento'!$G$58,ABS(L1493)*'Sollecitazioni nel paramento'!$G$54,'Sollecitazioni nel paramento'!$G$53)</f>
        <v>9218354.8347807899</v>
      </c>
      <c r="G1493" s="545">
        <f>-'Foglio deposito bis'!$F$70*(C1493-sezione!$AN$33)*IF(ABS(M1493)&lt;'Sollecitazioni nel paramento'!$G$58,ABS(M1493)*'Sollecitazioni nel paramento'!$G$54,'Sollecitazioni nel paramento'!$G$53)</f>
        <v>0</v>
      </c>
      <c r="H1493" s="545">
        <f>-'Foglio deposito bis'!$F$71*(C1493-sezione!$AO$33)*IF(ABS(N1493)&lt;'Sollecitazioni nel paramento'!$G$58,ABS(N1493)*'Sollecitazioni nel paramento'!$G$54,'Sollecitazioni nel paramento'!$G$53)</f>
        <v>50349753.631504469</v>
      </c>
      <c r="I1493" s="472">
        <f>-'Foglio deposito bis'!$F$72*(C1493-sezione!$AP$33)*IF(ABS(O1493)&lt;'Sollecitazioni nel paramento'!$G$58,ABS(O1493)*'Sollecitazioni nel paramento'!$G$54,'Sollecitazioni nel paramento'!$G$53)</f>
        <v>280400750.29507428</v>
      </c>
      <c r="J1493" s="472">
        <f t="shared" ref="J1493:J1556" si="106">D1493+E1493+F1493+G1493+H1493+I1493</f>
        <v>339968856.53649473</v>
      </c>
      <c r="K1493" s="550">
        <f>'Sollecitazioni nel paramento'!$G$60*(sezione!$AL$33-C1493)/C1493</f>
        <v>13.996500000000001</v>
      </c>
      <c r="L1493" s="550">
        <f>'Sollecitazioni nel paramento'!$G$60*(sezione!$AM$33-C1493)/C1493</f>
        <v>20.996500000000001</v>
      </c>
      <c r="M1493" s="551">
        <f>'Sollecitazioni nel paramento'!$G$60*(sezione!$AN$33-C1493)/C1493</f>
        <v>27.996499999999997</v>
      </c>
      <c r="N1493" s="551">
        <f>'Sollecitazioni nel paramento'!$G$60*(sezione!$AO$33-C1493)/C1493</f>
        <v>55.996500000000005</v>
      </c>
      <c r="O1493" s="551">
        <f>'Sollecitazioni nel paramento'!$G$60*(sezione!$AP$33-C1493)/C1493</f>
        <v>199.58260106772514</v>
      </c>
      <c r="P1493" s="545">
        <f>-'Sollecitazioni nel paramento'!$G$47*'Sollecitazioni nel paramento'!$G$41*IF(DATI!$G$211="dx",DATI!$E$61,DATI!$E$64*DATI!$E$63)*1000*C1493*sezione!$AD$5</f>
        <v>-380.96999999999991</v>
      </c>
      <c r="Q1493" s="545">
        <f>'Foglio deposito bis'!$F$68*IF(ABS(K1493)&lt;'Sollecitazioni nel paramento'!$G$58,ABS(K1493)*'Sollecitazioni nel paramento'!$G$54,'Sollecitazioni nel paramento'!$G$53)*IF(K1493&lt;0,-1,1)</f>
        <v>0</v>
      </c>
      <c r="R1493" s="545">
        <f>'Foglio deposito bis'!$F$69*IF(ABS(L1493)&lt;'Sollecitazioni nel paramento'!$G$58,ABS(L1493)*'Sollecitazioni nel paramento'!$G$54,'Sollecitazioni nel paramento'!$G$53)*IF(L1493&lt;0,-1,1)</f>
        <v>153664.85805602249</v>
      </c>
      <c r="S1493" s="545">
        <f>'Foglio deposito bis'!$F$70*IF(ABS(M1493)&lt;'Sollecitazioni nel paramento'!$G$58,ABS(M1493)*'Sollecitazioni nel paramento'!$G$54,'Sollecitazioni nel paramento'!$G$53)*IF(M1493&lt;0,-1,1)</f>
        <v>0</v>
      </c>
      <c r="T1493" s="545">
        <f>'Foglio deposito bis'!$F$71*IF(ABS(N1493)&lt;'Sollecitazioni nel paramento'!$G$58,ABS(N1493)*'Sollecitazioni nel paramento'!$G$54,'Sollecitazioni nel paramento'!$G$53)*IF(N1493&lt;0,-1,1)</f>
        <v>314705.62929873407</v>
      </c>
      <c r="U1493" s="545">
        <f>'Foglio deposito bis'!$F$72*IF(ABS(O1493)&lt;'Sollecitazioni nel paramento'!$G$58,ABS(O1493)*'Sollecitazioni nel paramento'!$G$54,'Sollecitazioni nel paramento'!$G$53)*IF(O1493&lt;0,-1,1)</f>
        <v>491727.54577927204</v>
      </c>
      <c r="V1493" s="472">
        <f>P1493+Q1493+R1493+S1493+T1493+U1493</f>
        <v>959717.06313402858</v>
      </c>
      <c r="W1493" s="551"/>
      <c r="X1493" s="551"/>
    </row>
    <row r="1494" spans="1:24" x14ac:dyDescent="0.25">
      <c r="A1494" s="545">
        <f t="shared" ref="A1494:A1557" si="107">ABS(V1494)</f>
        <v>944368.3024315791</v>
      </c>
      <c r="B1494" s="3">
        <f>B1493+0.05</f>
        <v>0.05</v>
      </c>
      <c r="C1494" s="545">
        <f>'Foglio deposito bis'!$E$159/sezione!$B$247*B1494</f>
        <v>0.41288633494630833</v>
      </c>
      <c r="D1494" s="603">
        <f>-'Sollecitazioni nel paramento'!$G$47*'Sollecitazioni nel paramento'!$G$41*IF(DATI!$G$211="dx",DATI!$E$61,DATI!$E$64*DATI!$E$63)*1000*C1494^2*sezione!$AD$5*(1-sezione!$AD$6)</f>
        <v>-3792.8410619052493</v>
      </c>
      <c r="E1494" s="545">
        <f>-'Foglio deposito bis'!$F$68*(C1494-sezione!$AL$33)*IF(ABS(K1494)&lt;'Sollecitazioni nel paramento'!$G$58,ABS(K1494)*'Sollecitazioni nel paramento'!$G$54,'Sollecitazioni nel paramento'!$G$53)</f>
        <v>0</v>
      </c>
      <c r="F1494" s="545">
        <f>-'Foglio deposito bis'!$F$69*(C1494-sezione!$AM$33)*IF(ABS(L1494)&lt;'Sollecitazioni nel paramento'!$G$58,ABS(L1494)*'Sollecitazioni nel paramento'!$G$54,'Sollecitazioni nel paramento'!$G$53)</f>
        <v>9156445.3633085545</v>
      </c>
      <c r="G1494" s="545">
        <f>-'Foglio deposito bis'!$F$70*(C1494-sezione!$AN$33)*IF(ABS(M1494)&lt;'Sollecitazioni nel paramento'!$G$58,ABS(M1494)*'Sollecitazioni nel paramento'!$G$54,'Sollecitazioni nel paramento'!$G$53)</f>
        <v>0</v>
      </c>
      <c r="H1494" s="545">
        <f>-'Foglio deposito bis'!$F$71*(C1494-sezione!$AO$33)*IF(ABS(N1494)&lt;'Sollecitazioni nel paramento'!$G$58,ABS(N1494)*'Sollecitazioni nel paramento'!$G$54,'Sollecitazioni nel paramento'!$G$53)</f>
        <v>50222963.033929326</v>
      </c>
      <c r="I1494" s="472">
        <f>-'Foglio deposito bis'!$F$72*(C1494-sezione!$AP$33)*IF(ABS(O1494)&lt;'Sollecitazioni nel paramento'!$G$58,ABS(O1494)*'Sollecitazioni nel paramento'!$G$54,'Sollecitazioni nel paramento'!$G$53)</f>
        <v>280202639.98636317</v>
      </c>
      <c r="J1494" s="472">
        <f t="shared" si="106"/>
        <v>339578255.54253912</v>
      </c>
      <c r="K1494" s="550">
        <f>'Sollecitazioni nel paramento'!$G$60*(sezione!$AL$33-C1494)/C1494</f>
        <v>0.33557637078423919</v>
      </c>
      <c r="L1494" s="550">
        <f>'Sollecitazioni nel paramento'!$G$60*(sezione!$AM$33-C1494)/C1494</f>
        <v>0.5051145561763587</v>
      </c>
      <c r="M1494" s="551">
        <f>'Sollecitazioni nel paramento'!$G$60*(sezione!$AN$33-C1494)/C1494</f>
        <v>0.67465274156847832</v>
      </c>
      <c r="N1494" s="551">
        <f>'Sollecitazioni nel paramento'!$G$60*(sezione!$AO$33-C1494)/C1494</f>
        <v>1.3528054831369567</v>
      </c>
      <c r="O1494" s="551">
        <f>'Sollecitazioni nel paramento'!$G$60*(sezione!$AP$33-C1494)/C1494</f>
        <v>4.8304236292157574</v>
      </c>
      <c r="P1494" s="545">
        <f>-'Sollecitazioni nel paramento'!$G$47*'Sollecitazioni nel paramento'!$G$41*IF(DATI!$G$211="dx",DATI!$E$61,DATI!$E$64*DATI!$E$63)*1000*C1494*sezione!$AD$5</f>
        <v>-15729.730702449504</v>
      </c>
      <c r="Q1494" s="545">
        <f>'Foglio deposito bis'!$F$68*IF(ABS(K1494)&lt;'Sollecitazioni nel paramento'!$G$58,ABS(K1494)*'Sollecitazioni nel paramento'!$G$54,'Sollecitazioni nel paramento'!$G$53)*IF(K1494&lt;0,-1,1)</f>
        <v>0</v>
      </c>
      <c r="R1494" s="545">
        <f>'Foglio deposito bis'!$F$69*IF(ABS(L1494)&lt;'Sollecitazioni nel paramento'!$G$58,ABS(L1494)*'Sollecitazioni nel paramento'!$G$54,'Sollecitazioni nel paramento'!$G$53)*IF(L1494&lt;0,-1,1)</f>
        <v>153664.85805602249</v>
      </c>
      <c r="S1494" s="545">
        <f>'Foglio deposito bis'!$F$70*IF(ABS(M1494)&lt;'Sollecitazioni nel paramento'!$G$58,ABS(M1494)*'Sollecitazioni nel paramento'!$G$54,'Sollecitazioni nel paramento'!$G$53)*IF(M1494&lt;0,-1,1)</f>
        <v>0</v>
      </c>
      <c r="T1494" s="545">
        <f>'Foglio deposito bis'!$F$71*IF(ABS(N1494)&lt;'Sollecitazioni nel paramento'!$G$58,ABS(N1494)*'Sollecitazioni nel paramento'!$G$54,'Sollecitazioni nel paramento'!$G$53)*IF(N1494&lt;0,-1,1)</f>
        <v>314705.62929873407</v>
      </c>
      <c r="U1494" s="545">
        <f>'Foglio deposito bis'!$F$72*IF(ABS(O1494)&lt;'Sollecitazioni nel paramento'!$G$58,ABS(O1494)*'Sollecitazioni nel paramento'!$G$54,'Sollecitazioni nel paramento'!$G$53)*IF(O1494&lt;0,-1,1)</f>
        <v>491727.54577927204</v>
      </c>
      <c r="V1494" s="472">
        <f t="shared" ref="V1494:V1557" si="108">P1494+Q1494+R1494+S1494+T1494+U1494</f>
        <v>944368.3024315791</v>
      </c>
      <c r="W1494" s="551"/>
      <c r="X1494" s="551"/>
    </row>
    <row r="1495" spans="1:24" x14ac:dyDescent="0.25">
      <c r="A1495" s="545">
        <f t="shared" si="107"/>
        <v>928638.57172912965</v>
      </c>
      <c r="B1495" s="3">
        <f t="shared" ref="B1495:B1558" si="109">B1494+0.05</f>
        <v>0.1</v>
      </c>
      <c r="C1495" s="545">
        <f>'Foglio deposito bis'!$E$159/sezione!$B$247*B1495</f>
        <v>0.82577266989261666</v>
      </c>
      <c r="D1495" s="603">
        <f>-'Sollecitazioni nel paramento'!$G$47*'Sollecitazioni nel paramento'!$G$41*IF(DATI!$G$211="dx",DATI!$E$61,DATI!$E$64*DATI!$E$63)*1000*C1495^2*sezione!$AD$5*(1-sezione!$AD$6)</f>
        <v>-15171.364247620997</v>
      </c>
      <c r="E1495" s="545">
        <f>-'Foglio deposito bis'!$F$68*(C1495-sezione!$AL$33)*IF(ABS(K1495)&lt;'Sollecitazioni nel paramento'!$G$58,ABS(K1495)*'Sollecitazioni nel paramento'!$G$54,'Sollecitazioni nel paramento'!$G$53)</f>
        <v>0</v>
      </c>
      <c r="F1495" s="545">
        <f>-'Foglio deposito bis'!$F$69*(C1495-sezione!$AM$33)*IF(ABS(L1495)&lt;'Sollecitazioni nel paramento'!$G$58,ABS(L1495)*'Sollecitazioni nel paramento'!$G$54,'Sollecitazioni nel paramento'!$G$53)</f>
        <v>9092999.2432557587</v>
      </c>
      <c r="G1495" s="545">
        <f>-'Foglio deposito bis'!$F$70*(C1495-sezione!$AN$33)*IF(ABS(M1495)&lt;'Sollecitazioni nel paramento'!$G$58,ABS(M1495)*'Sollecitazioni nel paramento'!$G$54,'Sollecitazioni nel paramento'!$G$53)</f>
        <v>0</v>
      </c>
      <c r="H1495" s="545">
        <f>-'Foglio deposito bis'!$F$71*(C1495-sezione!$AO$33)*IF(ABS(N1495)&lt;'Sollecitazioni nel paramento'!$G$58,ABS(N1495)*'Sollecitazioni nel paramento'!$G$54,'Sollecitazioni nel paramento'!$G$53)</f>
        <v>50093025.380061202</v>
      </c>
      <c r="I1495" s="472">
        <f>-'Foglio deposito bis'!$F$72*(C1495-sezione!$AP$33)*IF(ABS(O1495)&lt;'Sollecitazioni nel paramento'!$G$58,ABS(O1495)*'Sollecitazioni nel paramento'!$G$54,'Sollecitazioni nel paramento'!$G$53)</f>
        <v>279999612.4021942</v>
      </c>
      <c r="J1495" s="472">
        <f t="shared" si="106"/>
        <v>339170465.66126353</v>
      </c>
      <c r="K1495" s="550">
        <f>'Sollecitazioni nel paramento'!$G$60*(sezione!$AL$33-C1495)/C1495</f>
        <v>0.16603818539211956</v>
      </c>
      <c r="L1495" s="550">
        <f>'Sollecitazioni nel paramento'!$G$60*(sezione!$AM$33-C1495)/C1495</f>
        <v>0.25080727808817938</v>
      </c>
      <c r="M1495" s="551">
        <f>'Sollecitazioni nel paramento'!$G$60*(sezione!$AN$33-C1495)/C1495</f>
        <v>0.33557637078423919</v>
      </c>
      <c r="N1495" s="551">
        <f>'Sollecitazioni nel paramento'!$G$60*(sezione!$AO$33-C1495)/C1495</f>
        <v>0.67465274156847832</v>
      </c>
      <c r="O1495" s="551">
        <f>'Sollecitazioni nel paramento'!$G$60*(sezione!$AP$33-C1495)/C1495</f>
        <v>2.4134618146078783</v>
      </c>
      <c r="P1495" s="545">
        <f>-'Sollecitazioni nel paramento'!$G$47*'Sollecitazioni nel paramento'!$G$41*IF(DATI!$G$211="dx",DATI!$E$61,DATI!$E$64*DATI!$E$63)*1000*C1495*sezione!$AD$5</f>
        <v>-31459.461404899008</v>
      </c>
      <c r="Q1495" s="545">
        <f>'Foglio deposito bis'!$F$68*IF(ABS(K1495)&lt;'Sollecitazioni nel paramento'!$G$58,ABS(K1495)*'Sollecitazioni nel paramento'!$G$54,'Sollecitazioni nel paramento'!$G$53)*IF(K1495&lt;0,-1,1)</f>
        <v>0</v>
      </c>
      <c r="R1495" s="545">
        <f>'Foglio deposito bis'!$F$69*IF(ABS(L1495)&lt;'Sollecitazioni nel paramento'!$G$58,ABS(L1495)*'Sollecitazioni nel paramento'!$G$54,'Sollecitazioni nel paramento'!$G$53)*IF(L1495&lt;0,-1,1)</f>
        <v>153664.85805602249</v>
      </c>
      <c r="S1495" s="545">
        <f>'Foglio deposito bis'!$F$70*IF(ABS(M1495)&lt;'Sollecitazioni nel paramento'!$G$58,ABS(M1495)*'Sollecitazioni nel paramento'!$G$54,'Sollecitazioni nel paramento'!$G$53)*IF(M1495&lt;0,-1,1)</f>
        <v>0</v>
      </c>
      <c r="T1495" s="545">
        <f>'Foglio deposito bis'!$F$71*IF(ABS(N1495)&lt;'Sollecitazioni nel paramento'!$G$58,ABS(N1495)*'Sollecitazioni nel paramento'!$G$54,'Sollecitazioni nel paramento'!$G$53)*IF(N1495&lt;0,-1,1)</f>
        <v>314705.62929873407</v>
      </c>
      <c r="U1495" s="545">
        <f>'Foglio deposito bis'!$F$72*IF(ABS(O1495)&lt;'Sollecitazioni nel paramento'!$G$58,ABS(O1495)*'Sollecitazioni nel paramento'!$G$54,'Sollecitazioni nel paramento'!$G$53)*IF(O1495&lt;0,-1,1)</f>
        <v>491727.54577927204</v>
      </c>
      <c r="V1495" s="472">
        <f t="shared" si="108"/>
        <v>928638.57172912965</v>
      </c>
      <c r="W1495" s="551"/>
      <c r="X1495" s="551"/>
    </row>
    <row r="1496" spans="1:24" x14ac:dyDescent="0.25">
      <c r="A1496" s="545">
        <f t="shared" si="107"/>
        <v>912908.84102668008</v>
      </c>
      <c r="B1496" s="3">
        <f t="shared" si="109"/>
        <v>0.15000000000000002</v>
      </c>
      <c r="C1496" s="545">
        <f>'Foglio deposito bis'!$E$159/sezione!$B$247*B1496</f>
        <v>1.2386590048389252</v>
      </c>
      <c r="D1496" s="603">
        <f>-'Sollecitazioni nel paramento'!$G$47*'Sollecitazioni nel paramento'!$G$41*IF(DATI!$G$211="dx",DATI!$E$61,DATI!$E$64*DATI!$E$63)*1000*C1496^2*sezione!$AD$5*(1-sezione!$AD$6)</f>
        <v>-34135.569557147261</v>
      </c>
      <c r="E1496" s="545">
        <f>-'Foglio deposito bis'!$F$68*(C1496-sezione!$AL$33)*IF(ABS(K1496)&lt;'Sollecitazioni nel paramento'!$G$58,ABS(K1496)*'Sollecitazioni nel paramento'!$G$54,'Sollecitazioni nel paramento'!$G$53)</f>
        <v>0</v>
      </c>
      <c r="F1496" s="545">
        <f>-'Foglio deposito bis'!$F$69*(C1496-sezione!$AM$33)*IF(ABS(L1496)&lt;'Sollecitazioni nel paramento'!$G$58,ABS(L1496)*'Sollecitazioni nel paramento'!$G$54,'Sollecitazioni nel paramento'!$G$53)</f>
        <v>9029553.1232029628</v>
      </c>
      <c r="G1496" s="545">
        <f>-'Foglio deposito bis'!$F$70*(C1496-sezione!$AN$33)*IF(ABS(M1496)&lt;'Sollecitazioni nel paramento'!$G$58,ABS(M1496)*'Sollecitazioni nel paramento'!$G$54,'Sollecitazioni nel paramento'!$G$53)</f>
        <v>0</v>
      </c>
      <c r="H1496" s="545">
        <f>-'Foglio deposito bis'!$F$71*(C1496-sezione!$AO$33)*IF(ABS(N1496)&lt;'Sollecitazioni nel paramento'!$G$58,ABS(N1496)*'Sollecitazioni nel paramento'!$G$54,'Sollecitazioni nel paramento'!$G$53)</f>
        <v>49963087.726193078</v>
      </c>
      <c r="I1496" s="472">
        <f>-'Foglio deposito bis'!$F$72*(C1496-sezione!$AP$33)*IF(ABS(O1496)&lt;'Sollecitazioni nel paramento'!$G$58,ABS(O1496)*'Sollecitazioni nel paramento'!$G$54,'Sollecitazioni nel paramento'!$G$53)</f>
        <v>279796584.81802523</v>
      </c>
      <c r="J1496" s="472">
        <f t="shared" si="106"/>
        <v>338755090.09786415</v>
      </c>
      <c r="K1496" s="550">
        <f>'Sollecitazioni nel paramento'!$G$60*(sezione!$AL$33-C1496)/C1496</f>
        <v>0.10952545692807972</v>
      </c>
      <c r="L1496" s="550">
        <f>'Sollecitazioni nel paramento'!$G$60*(sezione!$AM$33-C1496)/C1496</f>
        <v>0.16603818539211954</v>
      </c>
      <c r="M1496" s="551">
        <f>'Sollecitazioni nel paramento'!$G$60*(sezione!$AN$33-C1496)/C1496</f>
        <v>0.22255091385615941</v>
      </c>
      <c r="N1496" s="551">
        <f>'Sollecitazioni nel paramento'!$G$60*(sezione!$AO$33-C1496)/C1496</f>
        <v>0.44860182771231882</v>
      </c>
      <c r="O1496" s="551">
        <f>'Sollecitazioni nel paramento'!$G$60*(sezione!$AP$33-C1496)/C1496</f>
        <v>1.6078078764052521</v>
      </c>
      <c r="P1496" s="545">
        <f>-'Sollecitazioni nel paramento'!$G$47*'Sollecitazioni nel paramento'!$G$41*IF(DATI!$G$211="dx",DATI!$E$61,DATI!$E$64*DATI!$E$63)*1000*C1496*sezione!$AD$5</f>
        <v>-47189.192107348528</v>
      </c>
      <c r="Q1496" s="545">
        <f>'Foglio deposito bis'!$F$68*IF(ABS(K1496)&lt;'Sollecitazioni nel paramento'!$G$58,ABS(K1496)*'Sollecitazioni nel paramento'!$G$54,'Sollecitazioni nel paramento'!$G$53)*IF(K1496&lt;0,-1,1)</f>
        <v>0</v>
      </c>
      <c r="R1496" s="545">
        <f>'Foglio deposito bis'!$F$69*IF(ABS(L1496)&lt;'Sollecitazioni nel paramento'!$G$58,ABS(L1496)*'Sollecitazioni nel paramento'!$G$54,'Sollecitazioni nel paramento'!$G$53)*IF(L1496&lt;0,-1,1)</f>
        <v>153664.85805602249</v>
      </c>
      <c r="S1496" s="545">
        <f>'Foglio deposito bis'!$F$70*IF(ABS(M1496)&lt;'Sollecitazioni nel paramento'!$G$58,ABS(M1496)*'Sollecitazioni nel paramento'!$G$54,'Sollecitazioni nel paramento'!$G$53)*IF(M1496&lt;0,-1,1)</f>
        <v>0</v>
      </c>
      <c r="T1496" s="545">
        <f>'Foglio deposito bis'!$F$71*IF(ABS(N1496)&lt;'Sollecitazioni nel paramento'!$G$58,ABS(N1496)*'Sollecitazioni nel paramento'!$G$54,'Sollecitazioni nel paramento'!$G$53)*IF(N1496&lt;0,-1,1)</f>
        <v>314705.62929873407</v>
      </c>
      <c r="U1496" s="545">
        <f>'Foglio deposito bis'!$F$72*IF(ABS(O1496)&lt;'Sollecitazioni nel paramento'!$G$58,ABS(O1496)*'Sollecitazioni nel paramento'!$G$54,'Sollecitazioni nel paramento'!$G$53)*IF(O1496&lt;0,-1,1)</f>
        <v>491727.54577927204</v>
      </c>
      <c r="V1496" s="472">
        <f t="shared" si="108"/>
        <v>912908.84102668008</v>
      </c>
      <c r="W1496" s="551"/>
      <c r="X1496" s="551"/>
    </row>
    <row r="1497" spans="1:24" x14ac:dyDescent="0.25">
      <c r="A1497" s="545">
        <f t="shared" si="107"/>
        <v>897179.11032423051</v>
      </c>
      <c r="B1497" s="3">
        <f t="shared" si="109"/>
        <v>0.2</v>
      </c>
      <c r="C1497" s="545">
        <f>'Foglio deposito bis'!$E$159/sezione!$B$247*B1497</f>
        <v>1.6515453397852333</v>
      </c>
      <c r="D1497" s="603">
        <f>-'Sollecitazioni nel paramento'!$G$47*'Sollecitazioni nel paramento'!$G$41*IF(DATI!$G$211="dx",DATI!$E$61,DATI!$E$64*DATI!$E$63)*1000*C1497^2*sezione!$AD$5*(1-sezione!$AD$6)</f>
        <v>-60685.456990483988</v>
      </c>
      <c r="E1497" s="545">
        <f>-'Foglio deposito bis'!$F$68*(C1497-sezione!$AL$33)*IF(ABS(K1497)&lt;'Sollecitazioni nel paramento'!$G$58,ABS(K1497)*'Sollecitazioni nel paramento'!$G$54,'Sollecitazioni nel paramento'!$G$53)</f>
        <v>0</v>
      </c>
      <c r="F1497" s="545">
        <f>-'Foglio deposito bis'!$F$69*(C1497-sezione!$AM$33)*IF(ABS(L1497)&lt;'Sollecitazioni nel paramento'!$G$58,ABS(L1497)*'Sollecitazioni nel paramento'!$G$54,'Sollecitazioni nel paramento'!$G$53)</f>
        <v>8966107.0031501669</v>
      </c>
      <c r="G1497" s="545">
        <f>-'Foglio deposito bis'!$F$70*(C1497-sezione!$AN$33)*IF(ABS(M1497)&lt;'Sollecitazioni nel paramento'!$G$58,ABS(M1497)*'Sollecitazioni nel paramento'!$G$54,'Sollecitazioni nel paramento'!$G$53)</f>
        <v>0</v>
      </c>
      <c r="H1497" s="545">
        <f>-'Foglio deposito bis'!$F$71*(C1497-sezione!$AO$33)*IF(ABS(N1497)&lt;'Sollecitazioni nel paramento'!$G$58,ABS(N1497)*'Sollecitazioni nel paramento'!$G$54,'Sollecitazioni nel paramento'!$G$53)</f>
        <v>49833150.072324954</v>
      </c>
      <c r="I1497" s="472">
        <f>-'Foglio deposito bis'!$F$72*(C1497-sezione!$AP$33)*IF(ABS(O1497)&lt;'Sollecitazioni nel paramento'!$G$58,ABS(O1497)*'Sollecitazioni nel paramento'!$G$54,'Sollecitazioni nel paramento'!$G$53)</f>
        <v>279593557.23385626</v>
      </c>
      <c r="J1497" s="472">
        <f t="shared" si="106"/>
        <v>338332128.85234088</v>
      </c>
      <c r="K1497" s="550">
        <f>'Sollecitazioni nel paramento'!$G$60*(sezione!$AL$33-C1497)/C1497</f>
        <v>8.1269092696059794E-2</v>
      </c>
      <c r="L1497" s="550">
        <f>'Sollecitazioni nel paramento'!$G$60*(sezione!$AM$33-C1497)/C1497</f>
        <v>0.1236536390440897</v>
      </c>
      <c r="M1497" s="551">
        <f>'Sollecitazioni nel paramento'!$G$60*(sezione!$AN$33-C1497)/C1497</f>
        <v>0.16603818539211956</v>
      </c>
      <c r="N1497" s="551">
        <f>'Sollecitazioni nel paramento'!$G$60*(sezione!$AO$33-C1497)/C1497</f>
        <v>0.33557637078423919</v>
      </c>
      <c r="O1497" s="551">
        <f>'Sollecitazioni nel paramento'!$G$60*(sezione!$AP$33-C1497)/C1497</f>
        <v>1.2049809073039393</v>
      </c>
      <c r="P1497" s="545">
        <f>-'Sollecitazioni nel paramento'!$G$47*'Sollecitazioni nel paramento'!$G$41*IF(DATI!$G$211="dx",DATI!$E$61,DATI!$E$64*DATI!$E$63)*1000*C1497*sezione!$AD$5</f>
        <v>-62918.922809798016</v>
      </c>
      <c r="Q1497" s="545">
        <f>'Foglio deposito bis'!$F$68*IF(ABS(K1497)&lt;'Sollecitazioni nel paramento'!$G$58,ABS(K1497)*'Sollecitazioni nel paramento'!$G$54,'Sollecitazioni nel paramento'!$G$53)*IF(K1497&lt;0,-1,1)</f>
        <v>0</v>
      </c>
      <c r="R1497" s="545">
        <f>'Foglio deposito bis'!$F$69*IF(ABS(L1497)&lt;'Sollecitazioni nel paramento'!$G$58,ABS(L1497)*'Sollecitazioni nel paramento'!$G$54,'Sollecitazioni nel paramento'!$G$53)*IF(L1497&lt;0,-1,1)</f>
        <v>153664.85805602249</v>
      </c>
      <c r="S1497" s="545">
        <f>'Foglio deposito bis'!$F$70*IF(ABS(M1497)&lt;'Sollecitazioni nel paramento'!$G$58,ABS(M1497)*'Sollecitazioni nel paramento'!$G$54,'Sollecitazioni nel paramento'!$G$53)*IF(M1497&lt;0,-1,1)</f>
        <v>0</v>
      </c>
      <c r="T1497" s="545">
        <f>'Foglio deposito bis'!$F$71*IF(ABS(N1497)&lt;'Sollecitazioni nel paramento'!$G$58,ABS(N1497)*'Sollecitazioni nel paramento'!$G$54,'Sollecitazioni nel paramento'!$G$53)*IF(N1497&lt;0,-1,1)</f>
        <v>314705.62929873407</v>
      </c>
      <c r="U1497" s="545">
        <f>'Foglio deposito bis'!$F$72*IF(ABS(O1497)&lt;'Sollecitazioni nel paramento'!$G$58,ABS(O1497)*'Sollecitazioni nel paramento'!$G$54,'Sollecitazioni nel paramento'!$G$53)*IF(O1497&lt;0,-1,1)</f>
        <v>491727.54577927204</v>
      </c>
      <c r="V1497" s="472">
        <f t="shared" si="108"/>
        <v>897179.11032423051</v>
      </c>
      <c r="W1497" s="551"/>
      <c r="X1497" s="551"/>
    </row>
    <row r="1498" spans="1:24" x14ac:dyDescent="0.25">
      <c r="A1498" s="545">
        <f t="shared" si="107"/>
        <v>881449.37962178106</v>
      </c>
      <c r="B1498" s="3">
        <f t="shared" si="109"/>
        <v>0.25</v>
      </c>
      <c r="C1498" s="545">
        <f>'Foglio deposito bis'!$E$159/sezione!$B$247*B1498</f>
        <v>2.0644316747315417</v>
      </c>
      <c r="D1498" s="603">
        <f>-'Sollecitazioni nel paramento'!$G$47*'Sollecitazioni nel paramento'!$G$41*IF(DATI!$G$211="dx",DATI!$E$61,DATI!$E$64*DATI!$E$63)*1000*C1498^2*sezione!$AD$5*(1-sezione!$AD$6)</f>
        <v>-94821.026547631263</v>
      </c>
      <c r="E1498" s="545">
        <f>-'Foglio deposito bis'!$F$68*(C1498-sezione!$AL$33)*IF(ABS(K1498)&lt;'Sollecitazioni nel paramento'!$G$58,ABS(K1498)*'Sollecitazioni nel paramento'!$G$54,'Sollecitazioni nel paramento'!$G$53)</f>
        <v>0</v>
      </c>
      <c r="F1498" s="545">
        <f>-'Foglio deposito bis'!$F$69*(C1498-sezione!$AM$33)*IF(ABS(L1498)&lt;'Sollecitazioni nel paramento'!$G$58,ABS(L1498)*'Sollecitazioni nel paramento'!$G$54,'Sollecitazioni nel paramento'!$G$53)</f>
        <v>8902660.8830973692</v>
      </c>
      <c r="G1498" s="545">
        <f>-'Foglio deposito bis'!$F$70*(C1498-sezione!$AN$33)*IF(ABS(M1498)&lt;'Sollecitazioni nel paramento'!$G$58,ABS(M1498)*'Sollecitazioni nel paramento'!$G$54,'Sollecitazioni nel paramento'!$G$53)</f>
        <v>0</v>
      </c>
      <c r="H1498" s="545">
        <f>-'Foglio deposito bis'!$F$71*(C1498-sezione!$AO$33)*IF(ABS(N1498)&lt;'Sollecitazioni nel paramento'!$G$58,ABS(N1498)*'Sollecitazioni nel paramento'!$G$54,'Sollecitazioni nel paramento'!$G$53)</f>
        <v>49703212.418456823</v>
      </c>
      <c r="I1498" s="472">
        <f>-'Foglio deposito bis'!$F$72*(C1498-sezione!$AP$33)*IF(ABS(O1498)&lt;'Sollecitazioni nel paramento'!$G$58,ABS(O1498)*'Sollecitazioni nel paramento'!$G$54,'Sollecitazioni nel paramento'!$G$53)</f>
        <v>279390529.64968735</v>
      </c>
      <c r="J1498" s="472">
        <f t="shared" si="106"/>
        <v>337901581.92469394</v>
      </c>
      <c r="K1498" s="550">
        <f>'Sollecitazioni nel paramento'!$G$60*(sezione!$AL$33-C1498)/C1498</f>
        <v>6.4315274156847818E-2</v>
      </c>
      <c r="L1498" s="550">
        <f>'Sollecitazioni nel paramento'!$G$60*(sezione!$AM$33-C1498)/C1498</f>
        <v>9.8222911235271743E-2</v>
      </c>
      <c r="M1498" s="551">
        <f>'Sollecitazioni nel paramento'!$G$60*(sezione!$AN$33-C1498)/C1498</f>
        <v>0.13213054831369567</v>
      </c>
      <c r="N1498" s="551">
        <f>'Sollecitazioni nel paramento'!$G$60*(sezione!$AO$33-C1498)/C1498</f>
        <v>0.26776109662739134</v>
      </c>
      <c r="O1498" s="551">
        <f>'Sollecitazioni nel paramento'!$G$60*(sezione!$AP$33-C1498)/C1498</f>
        <v>0.9632847258431515</v>
      </c>
      <c r="P1498" s="545">
        <f>-'Sollecitazioni nel paramento'!$G$47*'Sollecitazioni nel paramento'!$G$41*IF(DATI!$G$211="dx",DATI!$E$61,DATI!$E$64*DATI!$E$63)*1000*C1498*sezione!$AD$5</f>
        <v>-78648.653512247532</v>
      </c>
      <c r="Q1498" s="545">
        <f>'Foglio deposito bis'!$F$68*IF(ABS(K1498)&lt;'Sollecitazioni nel paramento'!$G$58,ABS(K1498)*'Sollecitazioni nel paramento'!$G$54,'Sollecitazioni nel paramento'!$G$53)*IF(K1498&lt;0,-1,1)</f>
        <v>0</v>
      </c>
      <c r="R1498" s="545">
        <f>'Foglio deposito bis'!$F$69*IF(ABS(L1498)&lt;'Sollecitazioni nel paramento'!$G$58,ABS(L1498)*'Sollecitazioni nel paramento'!$G$54,'Sollecitazioni nel paramento'!$G$53)*IF(L1498&lt;0,-1,1)</f>
        <v>153664.85805602249</v>
      </c>
      <c r="S1498" s="545">
        <f>'Foglio deposito bis'!$F$70*IF(ABS(M1498)&lt;'Sollecitazioni nel paramento'!$G$58,ABS(M1498)*'Sollecitazioni nel paramento'!$G$54,'Sollecitazioni nel paramento'!$G$53)*IF(M1498&lt;0,-1,1)</f>
        <v>0</v>
      </c>
      <c r="T1498" s="545">
        <f>'Foglio deposito bis'!$F$71*IF(ABS(N1498)&lt;'Sollecitazioni nel paramento'!$G$58,ABS(N1498)*'Sollecitazioni nel paramento'!$G$54,'Sollecitazioni nel paramento'!$G$53)*IF(N1498&lt;0,-1,1)</f>
        <v>314705.62929873407</v>
      </c>
      <c r="U1498" s="545">
        <f>'Foglio deposito bis'!$F$72*IF(ABS(O1498)&lt;'Sollecitazioni nel paramento'!$G$58,ABS(O1498)*'Sollecitazioni nel paramento'!$G$54,'Sollecitazioni nel paramento'!$G$53)*IF(O1498&lt;0,-1,1)</f>
        <v>491727.54577927204</v>
      </c>
      <c r="V1498" s="472">
        <f t="shared" si="108"/>
        <v>881449.37962178106</v>
      </c>
      <c r="W1498" s="551"/>
      <c r="X1498" s="551"/>
    </row>
    <row r="1499" spans="1:24" x14ac:dyDescent="0.25">
      <c r="A1499" s="545">
        <f t="shared" si="107"/>
        <v>865719.64891933161</v>
      </c>
      <c r="B1499" s="3">
        <f t="shared" si="109"/>
        <v>0.3</v>
      </c>
      <c r="C1499" s="545">
        <f>'Foglio deposito bis'!$E$159/sezione!$B$247*B1499</f>
        <v>2.47731800967785</v>
      </c>
      <c r="D1499" s="603">
        <f>-'Sollecitazioni nel paramento'!$G$47*'Sollecitazioni nel paramento'!$G$41*IF(DATI!$G$211="dx",DATI!$E$61,DATI!$E$64*DATI!$E$63)*1000*C1499^2*sezione!$AD$5*(1-sezione!$AD$6)</f>
        <v>-136542.27822858898</v>
      </c>
      <c r="E1499" s="545">
        <f>-'Foglio deposito bis'!$F$68*(C1499-sezione!$AL$33)*IF(ABS(K1499)&lt;'Sollecitazioni nel paramento'!$G$58,ABS(K1499)*'Sollecitazioni nel paramento'!$G$54,'Sollecitazioni nel paramento'!$G$53)</f>
        <v>0</v>
      </c>
      <c r="F1499" s="545">
        <f>-'Foglio deposito bis'!$F$69*(C1499-sezione!$AM$33)*IF(ABS(L1499)&lt;'Sollecitazioni nel paramento'!$G$58,ABS(L1499)*'Sollecitazioni nel paramento'!$G$54,'Sollecitazioni nel paramento'!$G$53)</f>
        <v>8839214.7630445752</v>
      </c>
      <c r="G1499" s="545">
        <f>-'Foglio deposito bis'!$F$70*(C1499-sezione!$AN$33)*IF(ABS(M1499)&lt;'Sollecitazioni nel paramento'!$G$58,ABS(M1499)*'Sollecitazioni nel paramento'!$G$54,'Sollecitazioni nel paramento'!$G$53)</f>
        <v>0</v>
      </c>
      <c r="H1499" s="545">
        <f>-'Foglio deposito bis'!$F$71*(C1499-sezione!$AO$33)*IF(ABS(N1499)&lt;'Sollecitazioni nel paramento'!$G$58,ABS(N1499)*'Sollecitazioni nel paramento'!$G$54,'Sollecitazioni nel paramento'!$G$53)</f>
        <v>49573274.764588699</v>
      </c>
      <c r="I1499" s="472">
        <f>-'Foglio deposito bis'!$F$72*(C1499-sezione!$AP$33)*IF(ABS(O1499)&lt;'Sollecitazioni nel paramento'!$G$58,ABS(O1499)*'Sollecitazioni nel paramento'!$G$54,'Sollecitazioni nel paramento'!$G$53)</f>
        <v>279187502.06551838</v>
      </c>
      <c r="J1499" s="472">
        <f t="shared" si="106"/>
        <v>337463449.31492305</v>
      </c>
      <c r="K1499" s="550">
        <f>'Sollecitazioni nel paramento'!$G$60*(sezione!$AL$33-C1499)/C1499</f>
        <v>5.3012728464039857E-2</v>
      </c>
      <c r="L1499" s="550">
        <f>'Sollecitazioni nel paramento'!$G$60*(sezione!$AM$33-C1499)/C1499</f>
        <v>8.126909269605978E-2</v>
      </c>
      <c r="M1499" s="551">
        <f>'Sollecitazioni nel paramento'!$G$60*(sezione!$AN$33-C1499)/C1499</f>
        <v>0.10952545692807973</v>
      </c>
      <c r="N1499" s="551">
        <f>'Sollecitazioni nel paramento'!$G$60*(sezione!$AO$33-C1499)/C1499</f>
        <v>0.22255091385615944</v>
      </c>
      <c r="O1499" s="551">
        <f>'Sollecitazioni nel paramento'!$G$60*(sezione!$AP$33-C1499)/C1499</f>
        <v>0.80215393820262604</v>
      </c>
      <c r="P1499" s="545">
        <f>-'Sollecitazioni nel paramento'!$G$47*'Sollecitazioni nel paramento'!$G$41*IF(DATI!$G$211="dx",DATI!$E$61,DATI!$E$64*DATI!$E$63)*1000*C1499*sezione!$AD$5</f>
        <v>-94378.384214697027</v>
      </c>
      <c r="Q1499" s="545">
        <f>'Foglio deposito bis'!$F$68*IF(ABS(K1499)&lt;'Sollecitazioni nel paramento'!$G$58,ABS(K1499)*'Sollecitazioni nel paramento'!$G$54,'Sollecitazioni nel paramento'!$G$53)*IF(K1499&lt;0,-1,1)</f>
        <v>0</v>
      </c>
      <c r="R1499" s="545">
        <f>'Foglio deposito bis'!$F$69*IF(ABS(L1499)&lt;'Sollecitazioni nel paramento'!$G$58,ABS(L1499)*'Sollecitazioni nel paramento'!$G$54,'Sollecitazioni nel paramento'!$G$53)*IF(L1499&lt;0,-1,1)</f>
        <v>153664.85805602249</v>
      </c>
      <c r="S1499" s="545">
        <f>'Foglio deposito bis'!$F$70*IF(ABS(M1499)&lt;'Sollecitazioni nel paramento'!$G$58,ABS(M1499)*'Sollecitazioni nel paramento'!$G$54,'Sollecitazioni nel paramento'!$G$53)*IF(M1499&lt;0,-1,1)</f>
        <v>0</v>
      </c>
      <c r="T1499" s="545">
        <f>'Foglio deposito bis'!$F$71*IF(ABS(N1499)&lt;'Sollecitazioni nel paramento'!$G$58,ABS(N1499)*'Sollecitazioni nel paramento'!$G$54,'Sollecitazioni nel paramento'!$G$53)*IF(N1499&lt;0,-1,1)</f>
        <v>314705.62929873407</v>
      </c>
      <c r="U1499" s="545">
        <f>'Foglio deposito bis'!$F$72*IF(ABS(O1499)&lt;'Sollecitazioni nel paramento'!$G$58,ABS(O1499)*'Sollecitazioni nel paramento'!$G$54,'Sollecitazioni nel paramento'!$G$53)*IF(O1499&lt;0,-1,1)</f>
        <v>491727.54577927204</v>
      </c>
      <c r="V1499" s="472">
        <f t="shared" si="108"/>
        <v>865719.64891933161</v>
      </c>
      <c r="W1499" s="551"/>
      <c r="X1499" s="551"/>
    </row>
    <row r="1500" spans="1:24" x14ac:dyDescent="0.25">
      <c r="A1500" s="545">
        <f t="shared" si="107"/>
        <v>849989.91821688204</v>
      </c>
      <c r="B1500" s="3">
        <f t="shared" si="109"/>
        <v>0.35</v>
      </c>
      <c r="C1500" s="545">
        <f>'Foglio deposito bis'!$E$159/sezione!$B$247*B1500</f>
        <v>2.8902043446241583</v>
      </c>
      <c r="D1500" s="603">
        <f>-'Sollecitazioni nel paramento'!$G$47*'Sollecitazioni nel paramento'!$G$41*IF(DATI!$G$211="dx",DATI!$E$61,DATI!$E$64*DATI!$E$63)*1000*C1500^2*sezione!$AD$5*(1-sezione!$AD$6)</f>
        <v>-185849.21203335721</v>
      </c>
      <c r="E1500" s="545">
        <f>-'Foglio deposito bis'!$F$68*(C1500-sezione!$AL$33)*IF(ABS(K1500)&lt;'Sollecitazioni nel paramento'!$G$58,ABS(K1500)*'Sollecitazioni nel paramento'!$G$54,'Sollecitazioni nel paramento'!$G$53)</f>
        <v>0</v>
      </c>
      <c r="F1500" s="545">
        <f>-'Foglio deposito bis'!$F$69*(C1500-sezione!$AM$33)*IF(ABS(L1500)&lt;'Sollecitazioni nel paramento'!$G$58,ABS(L1500)*'Sollecitazioni nel paramento'!$G$54,'Sollecitazioni nel paramento'!$G$53)</f>
        <v>8775768.6429917775</v>
      </c>
      <c r="G1500" s="545">
        <f>-'Foglio deposito bis'!$F$70*(C1500-sezione!$AN$33)*IF(ABS(M1500)&lt;'Sollecitazioni nel paramento'!$G$58,ABS(M1500)*'Sollecitazioni nel paramento'!$G$54,'Sollecitazioni nel paramento'!$G$53)</f>
        <v>0</v>
      </c>
      <c r="H1500" s="545">
        <f>-'Foglio deposito bis'!$F$71*(C1500-sezione!$AO$33)*IF(ABS(N1500)&lt;'Sollecitazioni nel paramento'!$G$58,ABS(N1500)*'Sollecitazioni nel paramento'!$G$54,'Sollecitazioni nel paramento'!$G$53)</f>
        <v>49443337.110720575</v>
      </c>
      <c r="I1500" s="472">
        <f>-'Foglio deposito bis'!$F$72*(C1500-sezione!$AP$33)*IF(ABS(O1500)&lt;'Sollecitazioni nel paramento'!$G$58,ABS(O1500)*'Sollecitazioni nel paramento'!$G$54,'Sollecitazioni nel paramento'!$G$53)</f>
        <v>278984474.48134941</v>
      </c>
      <c r="J1500" s="472">
        <f t="shared" si="106"/>
        <v>337017731.02302837</v>
      </c>
      <c r="K1500" s="550">
        <f>'Sollecitazioni nel paramento'!$G$60*(sezione!$AL$33-C1500)/C1500</f>
        <v>4.4939481540605591E-2</v>
      </c>
      <c r="L1500" s="550">
        <f>'Sollecitazioni nel paramento'!$G$60*(sezione!$AM$33-C1500)/C1500</f>
        <v>6.9159222310908389E-2</v>
      </c>
      <c r="M1500" s="551">
        <f>'Sollecitazioni nel paramento'!$G$60*(sezione!$AN$33-C1500)/C1500</f>
        <v>9.33789630812112E-2</v>
      </c>
      <c r="N1500" s="551">
        <f>'Sollecitazioni nel paramento'!$G$60*(sezione!$AO$33-C1500)/C1500</f>
        <v>0.19025792616242237</v>
      </c>
      <c r="O1500" s="551">
        <f>'Sollecitazioni nel paramento'!$G$60*(sezione!$AP$33-C1500)/C1500</f>
        <v>0.68706051845939387</v>
      </c>
      <c r="P1500" s="545">
        <f>-'Sollecitazioni nel paramento'!$G$47*'Sollecitazioni nel paramento'!$G$41*IF(DATI!$G$211="dx",DATI!$E$61,DATI!$E$64*DATI!$E$63)*1000*C1500*sezione!$AD$5</f>
        <v>-110108.11491714654</v>
      </c>
      <c r="Q1500" s="545">
        <f>'Foglio deposito bis'!$F$68*IF(ABS(K1500)&lt;'Sollecitazioni nel paramento'!$G$58,ABS(K1500)*'Sollecitazioni nel paramento'!$G$54,'Sollecitazioni nel paramento'!$G$53)*IF(K1500&lt;0,-1,1)</f>
        <v>0</v>
      </c>
      <c r="R1500" s="545">
        <f>'Foglio deposito bis'!$F$69*IF(ABS(L1500)&lt;'Sollecitazioni nel paramento'!$G$58,ABS(L1500)*'Sollecitazioni nel paramento'!$G$54,'Sollecitazioni nel paramento'!$G$53)*IF(L1500&lt;0,-1,1)</f>
        <v>153664.85805602249</v>
      </c>
      <c r="S1500" s="545">
        <f>'Foglio deposito bis'!$F$70*IF(ABS(M1500)&lt;'Sollecitazioni nel paramento'!$G$58,ABS(M1500)*'Sollecitazioni nel paramento'!$G$54,'Sollecitazioni nel paramento'!$G$53)*IF(M1500&lt;0,-1,1)</f>
        <v>0</v>
      </c>
      <c r="T1500" s="545">
        <f>'Foglio deposito bis'!$F$71*IF(ABS(N1500)&lt;'Sollecitazioni nel paramento'!$G$58,ABS(N1500)*'Sollecitazioni nel paramento'!$G$54,'Sollecitazioni nel paramento'!$G$53)*IF(N1500&lt;0,-1,1)</f>
        <v>314705.62929873407</v>
      </c>
      <c r="U1500" s="545">
        <f>'Foglio deposito bis'!$F$72*IF(ABS(O1500)&lt;'Sollecitazioni nel paramento'!$G$58,ABS(O1500)*'Sollecitazioni nel paramento'!$G$54,'Sollecitazioni nel paramento'!$G$53)*IF(O1500&lt;0,-1,1)</f>
        <v>491727.54577927204</v>
      </c>
      <c r="V1500" s="472">
        <f t="shared" si="108"/>
        <v>849989.91821688204</v>
      </c>
      <c r="W1500" s="551"/>
      <c r="X1500" s="551"/>
    </row>
    <row r="1501" spans="1:24" x14ac:dyDescent="0.25">
      <c r="A1501" s="545">
        <f t="shared" si="107"/>
        <v>834260.18751443259</v>
      </c>
      <c r="B1501" s="3">
        <f t="shared" si="109"/>
        <v>0.39999999999999997</v>
      </c>
      <c r="C1501" s="545">
        <f>'Foglio deposito bis'!$E$159/sezione!$B$247*B1501</f>
        <v>3.3030906795704662</v>
      </c>
      <c r="D1501" s="603">
        <f>-'Sollecitazioni nel paramento'!$G$47*'Sollecitazioni nel paramento'!$G$41*IF(DATI!$G$211="dx",DATI!$E$61,DATI!$E$64*DATI!$E$63)*1000*C1501^2*sezione!$AD$5*(1-sezione!$AD$6)</f>
        <v>-242741.82796193592</v>
      </c>
      <c r="E1501" s="545">
        <f>-'Foglio deposito bis'!$F$68*(C1501-sezione!$AL$33)*IF(ABS(K1501)&lt;'Sollecitazioni nel paramento'!$G$58,ABS(K1501)*'Sollecitazioni nel paramento'!$G$54,'Sollecitazioni nel paramento'!$G$53)</f>
        <v>0</v>
      </c>
      <c r="F1501" s="545">
        <f>-'Foglio deposito bis'!$F$69*(C1501-sezione!$AM$33)*IF(ABS(L1501)&lt;'Sollecitazioni nel paramento'!$G$58,ABS(L1501)*'Sollecitazioni nel paramento'!$G$54,'Sollecitazioni nel paramento'!$G$53)</f>
        <v>8712322.5229389835</v>
      </c>
      <c r="G1501" s="545">
        <f>-'Foglio deposito bis'!$F$70*(C1501-sezione!$AN$33)*IF(ABS(M1501)&lt;'Sollecitazioni nel paramento'!$G$58,ABS(M1501)*'Sollecitazioni nel paramento'!$G$54,'Sollecitazioni nel paramento'!$G$53)</f>
        <v>0</v>
      </c>
      <c r="H1501" s="545">
        <f>-'Foglio deposito bis'!$F$71*(C1501-sezione!$AO$33)*IF(ABS(N1501)&lt;'Sollecitazioni nel paramento'!$G$58,ABS(N1501)*'Sollecitazioni nel paramento'!$G$54,'Sollecitazioni nel paramento'!$G$53)</f>
        <v>49313399.456852451</v>
      </c>
      <c r="I1501" s="472">
        <f>-'Foglio deposito bis'!$F$72*(C1501-sezione!$AP$33)*IF(ABS(O1501)&lt;'Sollecitazioni nel paramento'!$G$58,ABS(O1501)*'Sollecitazioni nel paramento'!$G$54,'Sollecitazioni nel paramento'!$G$53)</f>
        <v>278781446.89718056</v>
      </c>
      <c r="J1501" s="472">
        <f t="shared" si="106"/>
        <v>336564427.04901004</v>
      </c>
      <c r="K1501" s="550">
        <f>'Sollecitazioni nel paramento'!$G$60*(sezione!$AL$33-C1501)/C1501</f>
        <v>3.8884546348029896E-2</v>
      </c>
      <c r="L1501" s="550">
        <f>'Sollecitazioni nel paramento'!$G$60*(sezione!$AM$33-C1501)/C1501</f>
        <v>6.0076819522044848E-2</v>
      </c>
      <c r="M1501" s="551">
        <f>'Sollecitazioni nel paramento'!$G$60*(sezione!$AN$33-C1501)/C1501</f>
        <v>8.1269092696059808E-2</v>
      </c>
      <c r="N1501" s="551">
        <f>'Sollecitazioni nel paramento'!$G$60*(sezione!$AO$33-C1501)/C1501</f>
        <v>0.16603818539211959</v>
      </c>
      <c r="O1501" s="551">
        <f>'Sollecitazioni nel paramento'!$G$60*(sezione!$AP$33-C1501)/C1501</f>
        <v>0.60074045365196971</v>
      </c>
      <c r="P1501" s="545">
        <f>-'Sollecitazioni nel paramento'!$G$47*'Sollecitazioni nel paramento'!$G$41*IF(DATI!$G$211="dx",DATI!$E$61,DATI!$E$64*DATI!$E$63)*1000*C1501*sezione!$AD$5</f>
        <v>-125837.84561959603</v>
      </c>
      <c r="Q1501" s="545">
        <f>'Foglio deposito bis'!$F$68*IF(ABS(K1501)&lt;'Sollecitazioni nel paramento'!$G$58,ABS(K1501)*'Sollecitazioni nel paramento'!$G$54,'Sollecitazioni nel paramento'!$G$53)*IF(K1501&lt;0,-1,1)</f>
        <v>0</v>
      </c>
      <c r="R1501" s="545">
        <f>'Foglio deposito bis'!$F$69*IF(ABS(L1501)&lt;'Sollecitazioni nel paramento'!$G$58,ABS(L1501)*'Sollecitazioni nel paramento'!$G$54,'Sollecitazioni nel paramento'!$G$53)*IF(L1501&lt;0,-1,1)</f>
        <v>153664.85805602249</v>
      </c>
      <c r="S1501" s="545">
        <f>'Foglio deposito bis'!$F$70*IF(ABS(M1501)&lt;'Sollecitazioni nel paramento'!$G$58,ABS(M1501)*'Sollecitazioni nel paramento'!$G$54,'Sollecitazioni nel paramento'!$G$53)*IF(M1501&lt;0,-1,1)</f>
        <v>0</v>
      </c>
      <c r="T1501" s="545">
        <f>'Foglio deposito bis'!$F$71*IF(ABS(N1501)&lt;'Sollecitazioni nel paramento'!$G$58,ABS(N1501)*'Sollecitazioni nel paramento'!$G$54,'Sollecitazioni nel paramento'!$G$53)*IF(N1501&lt;0,-1,1)</f>
        <v>314705.62929873407</v>
      </c>
      <c r="U1501" s="545">
        <f>'Foglio deposito bis'!$F$72*IF(ABS(O1501)&lt;'Sollecitazioni nel paramento'!$G$58,ABS(O1501)*'Sollecitazioni nel paramento'!$G$54,'Sollecitazioni nel paramento'!$G$53)*IF(O1501&lt;0,-1,1)</f>
        <v>491727.54577927204</v>
      </c>
      <c r="V1501" s="472">
        <f t="shared" si="108"/>
        <v>834260.18751443259</v>
      </c>
      <c r="W1501" s="551"/>
      <c r="X1501" s="551"/>
    </row>
    <row r="1502" spans="1:24" x14ac:dyDescent="0.25">
      <c r="A1502" s="545">
        <f t="shared" si="107"/>
        <v>818530.45681198314</v>
      </c>
      <c r="B1502" s="3">
        <f t="shared" si="109"/>
        <v>0.44999999999999996</v>
      </c>
      <c r="C1502" s="545">
        <f>'Foglio deposito bis'!$E$159/sezione!$B$247*B1502</f>
        <v>3.7159770145167745</v>
      </c>
      <c r="D1502" s="603">
        <f>-'Sollecitazioni nel paramento'!$G$47*'Sollecitazioni nel paramento'!$G$41*IF(DATI!$G$211="dx",DATI!$E$61,DATI!$E$64*DATI!$E$63)*1000*C1502^2*sezione!$AD$5*(1-sezione!$AD$6)</f>
        <v>-307220.12601432513</v>
      </c>
      <c r="E1502" s="545">
        <f>-'Foglio deposito bis'!$F$68*(C1502-sezione!$AL$33)*IF(ABS(K1502)&lt;'Sollecitazioni nel paramento'!$G$58,ABS(K1502)*'Sollecitazioni nel paramento'!$G$54,'Sollecitazioni nel paramento'!$G$53)</f>
        <v>0</v>
      </c>
      <c r="F1502" s="545">
        <f>-'Foglio deposito bis'!$F$69*(C1502-sezione!$AM$33)*IF(ABS(L1502)&lt;'Sollecitazioni nel paramento'!$G$58,ABS(L1502)*'Sollecitazioni nel paramento'!$G$54,'Sollecitazioni nel paramento'!$G$53)</f>
        <v>8648876.4028861858</v>
      </c>
      <c r="G1502" s="545">
        <f>-'Foglio deposito bis'!$F$70*(C1502-sezione!$AN$33)*IF(ABS(M1502)&lt;'Sollecitazioni nel paramento'!$G$58,ABS(M1502)*'Sollecitazioni nel paramento'!$G$54,'Sollecitazioni nel paramento'!$G$53)</f>
        <v>0</v>
      </c>
      <c r="H1502" s="545">
        <f>-'Foglio deposito bis'!$F$71*(C1502-sezione!$AO$33)*IF(ABS(N1502)&lt;'Sollecitazioni nel paramento'!$G$58,ABS(N1502)*'Sollecitazioni nel paramento'!$G$54,'Sollecitazioni nel paramento'!$G$53)</f>
        <v>49183461.80298432</v>
      </c>
      <c r="I1502" s="472">
        <f>-'Foglio deposito bis'!$F$72*(C1502-sezione!$AP$33)*IF(ABS(O1502)&lt;'Sollecitazioni nel paramento'!$G$58,ABS(O1502)*'Sollecitazioni nel paramento'!$G$54,'Sollecitazioni nel paramento'!$G$53)</f>
        <v>278578419.31301159</v>
      </c>
      <c r="J1502" s="472">
        <f t="shared" si="106"/>
        <v>336103537.39286774</v>
      </c>
      <c r="K1502" s="550">
        <f>'Sollecitazioni nel paramento'!$G$60*(sezione!$AL$33-C1502)/C1502</f>
        <v>3.4175152309359913E-2</v>
      </c>
      <c r="L1502" s="550">
        <f>'Sollecitazioni nel paramento'!$G$60*(sezione!$AM$33-C1502)/C1502</f>
        <v>5.3012728464039864E-2</v>
      </c>
      <c r="M1502" s="551">
        <f>'Sollecitazioni nel paramento'!$G$60*(sezione!$AN$33-C1502)/C1502</f>
        <v>7.1850304618719815E-2</v>
      </c>
      <c r="N1502" s="551">
        <f>'Sollecitazioni nel paramento'!$G$60*(sezione!$AO$33-C1502)/C1502</f>
        <v>0.14720060923743963</v>
      </c>
      <c r="O1502" s="551">
        <f>'Sollecitazioni nel paramento'!$G$60*(sezione!$AP$33-C1502)/C1502</f>
        <v>0.53360262546841752</v>
      </c>
      <c r="P1502" s="545">
        <f>-'Sollecitazioni nel paramento'!$G$47*'Sollecitazioni nel paramento'!$G$41*IF(DATI!$G$211="dx",DATI!$E$61,DATI!$E$64*DATI!$E$63)*1000*C1502*sezione!$AD$5</f>
        <v>-141567.57632204553</v>
      </c>
      <c r="Q1502" s="545">
        <f>'Foglio deposito bis'!$F$68*IF(ABS(K1502)&lt;'Sollecitazioni nel paramento'!$G$58,ABS(K1502)*'Sollecitazioni nel paramento'!$G$54,'Sollecitazioni nel paramento'!$G$53)*IF(K1502&lt;0,-1,1)</f>
        <v>0</v>
      </c>
      <c r="R1502" s="545">
        <f>'Foglio deposito bis'!$F$69*IF(ABS(L1502)&lt;'Sollecitazioni nel paramento'!$G$58,ABS(L1502)*'Sollecitazioni nel paramento'!$G$54,'Sollecitazioni nel paramento'!$G$53)*IF(L1502&lt;0,-1,1)</f>
        <v>153664.85805602249</v>
      </c>
      <c r="S1502" s="545">
        <f>'Foglio deposito bis'!$F$70*IF(ABS(M1502)&lt;'Sollecitazioni nel paramento'!$G$58,ABS(M1502)*'Sollecitazioni nel paramento'!$G$54,'Sollecitazioni nel paramento'!$G$53)*IF(M1502&lt;0,-1,1)</f>
        <v>0</v>
      </c>
      <c r="T1502" s="545">
        <f>'Foglio deposito bis'!$F$71*IF(ABS(N1502)&lt;'Sollecitazioni nel paramento'!$G$58,ABS(N1502)*'Sollecitazioni nel paramento'!$G$54,'Sollecitazioni nel paramento'!$G$53)*IF(N1502&lt;0,-1,1)</f>
        <v>314705.62929873407</v>
      </c>
      <c r="U1502" s="545">
        <f>'Foglio deposito bis'!$F$72*IF(ABS(O1502)&lt;'Sollecitazioni nel paramento'!$G$58,ABS(O1502)*'Sollecitazioni nel paramento'!$G$54,'Sollecitazioni nel paramento'!$G$53)*IF(O1502&lt;0,-1,1)</f>
        <v>491727.54577927204</v>
      </c>
      <c r="V1502" s="472">
        <f t="shared" si="108"/>
        <v>818530.45681198314</v>
      </c>
      <c r="W1502" s="551"/>
      <c r="X1502" s="551"/>
    </row>
    <row r="1503" spans="1:24" x14ac:dyDescent="0.25">
      <c r="A1503" s="545">
        <f t="shared" si="107"/>
        <v>802800.72610953357</v>
      </c>
      <c r="B1503" s="3">
        <f t="shared" si="109"/>
        <v>0.49999999999999994</v>
      </c>
      <c r="C1503" s="545">
        <f>'Foglio deposito bis'!$E$159/sezione!$B$247*B1503</f>
        <v>4.1288633494630824</v>
      </c>
      <c r="D1503" s="603">
        <f>-'Sollecitazioni nel paramento'!$G$47*'Sollecitazioni nel paramento'!$G$41*IF(DATI!$G$211="dx",DATI!$E$61,DATI!$E$64*DATI!$E$63)*1000*C1503^2*sezione!$AD$5*(1-sezione!$AD$6)</f>
        <v>-379284.10619052482</v>
      </c>
      <c r="E1503" s="545">
        <f>-'Foglio deposito bis'!$F$68*(C1503-sezione!$AL$33)*IF(ABS(K1503)&lt;'Sollecitazioni nel paramento'!$G$58,ABS(K1503)*'Sollecitazioni nel paramento'!$G$54,'Sollecitazioni nel paramento'!$G$53)</f>
        <v>0</v>
      </c>
      <c r="F1503" s="545">
        <f>-'Foglio deposito bis'!$F$69*(C1503-sezione!$AM$33)*IF(ABS(L1503)&lt;'Sollecitazioni nel paramento'!$G$58,ABS(L1503)*'Sollecitazioni nel paramento'!$G$54,'Sollecitazioni nel paramento'!$G$53)</f>
        <v>8585430.2828333918</v>
      </c>
      <c r="G1503" s="545">
        <f>-'Foglio deposito bis'!$F$70*(C1503-sezione!$AN$33)*IF(ABS(M1503)&lt;'Sollecitazioni nel paramento'!$G$58,ABS(M1503)*'Sollecitazioni nel paramento'!$G$54,'Sollecitazioni nel paramento'!$G$53)</f>
        <v>0</v>
      </c>
      <c r="H1503" s="545">
        <f>-'Foglio deposito bis'!$F$71*(C1503-sezione!$AO$33)*IF(ABS(N1503)&lt;'Sollecitazioni nel paramento'!$G$58,ABS(N1503)*'Sollecitazioni nel paramento'!$G$54,'Sollecitazioni nel paramento'!$G$53)</f>
        <v>49053524.149116203</v>
      </c>
      <c r="I1503" s="472">
        <f>-'Foglio deposito bis'!$F$72*(C1503-sezione!$AP$33)*IF(ABS(O1503)&lt;'Sollecitazioni nel paramento'!$G$58,ABS(O1503)*'Sollecitazioni nel paramento'!$G$54,'Sollecitazioni nel paramento'!$G$53)</f>
        <v>278375391.72884262</v>
      </c>
      <c r="J1503" s="472">
        <f t="shared" si="106"/>
        <v>335635062.05460167</v>
      </c>
      <c r="K1503" s="550">
        <f>'Sollecitazioni nel paramento'!$G$60*(sezione!$AL$33-C1503)/C1503</f>
        <v>3.0407637078423925E-2</v>
      </c>
      <c r="L1503" s="550">
        <f>'Sollecitazioni nel paramento'!$G$60*(sezione!$AM$33-C1503)/C1503</f>
        <v>4.7361455617635884E-2</v>
      </c>
      <c r="M1503" s="551">
        <f>'Sollecitazioni nel paramento'!$G$60*(sezione!$AN$33-C1503)/C1503</f>
        <v>6.4315274156847832E-2</v>
      </c>
      <c r="N1503" s="551">
        <f>'Sollecitazioni nel paramento'!$G$60*(sezione!$AO$33-C1503)/C1503</f>
        <v>0.13213054831369569</v>
      </c>
      <c r="O1503" s="551">
        <f>'Sollecitazioni nel paramento'!$G$60*(sezione!$AP$33-C1503)/C1503</f>
        <v>0.47989236292157578</v>
      </c>
      <c r="P1503" s="545">
        <f>-'Sollecitazioni nel paramento'!$G$47*'Sollecitazioni nel paramento'!$G$41*IF(DATI!$G$211="dx",DATI!$E$61,DATI!$E$64*DATI!$E$63)*1000*C1503*sezione!$AD$5</f>
        <v>-157297.30702449501</v>
      </c>
      <c r="Q1503" s="545">
        <f>'Foglio deposito bis'!$F$68*IF(ABS(K1503)&lt;'Sollecitazioni nel paramento'!$G$58,ABS(K1503)*'Sollecitazioni nel paramento'!$G$54,'Sollecitazioni nel paramento'!$G$53)*IF(K1503&lt;0,-1,1)</f>
        <v>0</v>
      </c>
      <c r="R1503" s="545">
        <f>'Foglio deposito bis'!$F$69*IF(ABS(L1503)&lt;'Sollecitazioni nel paramento'!$G$58,ABS(L1503)*'Sollecitazioni nel paramento'!$G$54,'Sollecitazioni nel paramento'!$G$53)*IF(L1503&lt;0,-1,1)</f>
        <v>153664.85805602249</v>
      </c>
      <c r="S1503" s="545">
        <f>'Foglio deposito bis'!$F$70*IF(ABS(M1503)&lt;'Sollecitazioni nel paramento'!$G$58,ABS(M1503)*'Sollecitazioni nel paramento'!$G$54,'Sollecitazioni nel paramento'!$G$53)*IF(M1503&lt;0,-1,1)</f>
        <v>0</v>
      </c>
      <c r="T1503" s="545">
        <f>'Foglio deposito bis'!$F$71*IF(ABS(N1503)&lt;'Sollecitazioni nel paramento'!$G$58,ABS(N1503)*'Sollecitazioni nel paramento'!$G$54,'Sollecitazioni nel paramento'!$G$53)*IF(N1503&lt;0,-1,1)</f>
        <v>314705.62929873407</v>
      </c>
      <c r="U1503" s="545">
        <f>'Foglio deposito bis'!$F$72*IF(ABS(O1503)&lt;'Sollecitazioni nel paramento'!$G$58,ABS(O1503)*'Sollecitazioni nel paramento'!$G$54,'Sollecitazioni nel paramento'!$G$53)*IF(O1503&lt;0,-1,1)</f>
        <v>491727.54577927204</v>
      </c>
      <c r="V1503" s="472">
        <f t="shared" si="108"/>
        <v>802800.72610953357</v>
      </c>
      <c r="W1503" s="551"/>
      <c r="X1503" s="551"/>
    </row>
    <row r="1504" spans="1:24" x14ac:dyDescent="0.25">
      <c r="A1504" s="545">
        <f t="shared" si="107"/>
        <v>787070.995407084</v>
      </c>
      <c r="B1504" s="3">
        <f t="shared" si="109"/>
        <v>0.54999999999999993</v>
      </c>
      <c r="C1504" s="545">
        <f>'Foglio deposito bis'!$E$159/sezione!$B$247*B1504</f>
        <v>4.5417496844093908</v>
      </c>
      <c r="D1504" s="603">
        <f>-'Sollecitazioni nel paramento'!$G$47*'Sollecitazioni nel paramento'!$G$41*IF(DATI!$G$211="dx",DATI!$E$61,DATI!$E$64*DATI!$E$63)*1000*C1504^2*sezione!$AD$5*(1-sezione!$AD$6)</f>
        <v>-458933.76849053497</v>
      </c>
      <c r="E1504" s="545">
        <f>-'Foglio deposito bis'!$F$68*(C1504-sezione!$AL$33)*IF(ABS(K1504)&lt;'Sollecitazioni nel paramento'!$G$58,ABS(K1504)*'Sollecitazioni nel paramento'!$G$54,'Sollecitazioni nel paramento'!$G$53)</f>
        <v>0</v>
      </c>
      <c r="F1504" s="545">
        <f>-'Foglio deposito bis'!$F$69*(C1504-sezione!$AM$33)*IF(ABS(L1504)&lt;'Sollecitazioni nel paramento'!$G$58,ABS(L1504)*'Sollecitazioni nel paramento'!$G$54,'Sollecitazioni nel paramento'!$G$53)</f>
        <v>8521984.1627805959</v>
      </c>
      <c r="G1504" s="545">
        <f>-'Foglio deposito bis'!$F$70*(C1504-sezione!$AN$33)*IF(ABS(M1504)&lt;'Sollecitazioni nel paramento'!$G$58,ABS(M1504)*'Sollecitazioni nel paramento'!$G$54,'Sollecitazioni nel paramento'!$G$53)</f>
        <v>0</v>
      </c>
      <c r="H1504" s="545">
        <f>-'Foglio deposito bis'!$F$71*(C1504-sezione!$AO$33)*IF(ABS(N1504)&lt;'Sollecitazioni nel paramento'!$G$58,ABS(N1504)*'Sollecitazioni nel paramento'!$G$54,'Sollecitazioni nel paramento'!$G$53)</f>
        <v>48923586.495248072</v>
      </c>
      <c r="I1504" s="472">
        <f>-'Foglio deposito bis'!$F$72*(C1504-sezione!$AP$33)*IF(ABS(O1504)&lt;'Sollecitazioni nel paramento'!$G$58,ABS(O1504)*'Sollecitazioni nel paramento'!$G$54,'Sollecitazioni nel paramento'!$G$53)</f>
        <v>278172364.14467365</v>
      </c>
      <c r="J1504" s="472">
        <f t="shared" si="106"/>
        <v>335159001.03421175</v>
      </c>
      <c r="K1504" s="550">
        <f>'Sollecitazioni nel paramento'!$G$60*(sezione!$AL$33-C1504)/C1504</f>
        <v>2.7325124616749019E-2</v>
      </c>
      <c r="L1504" s="550">
        <f>'Sollecitazioni nel paramento'!$G$60*(sezione!$AM$33-C1504)/C1504</f>
        <v>4.273768692512353E-2</v>
      </c>
      <c r="M1504" s="551">
        <f>'Sollecitazioni nel paramento'!$G$60*(sezione!$AN$33-C1504)/C1504</f>
        <v>5.8150249233498028E-2</v>
      </c>
      <c r="N1504" s="551">
        <f>'Sollecitazioni nel paramento'!$G$60*(sezione!$AO$33-C1504)/C1504</f>
        <v>0.1198004984669961</v>
      </c>
      <c r="O1504" s="551">
        <f>'Sollecitazioni nel paramento'!$G$60*(sezione!$AP$33-C1504)/C1504</f>
        <v>0.43594760265597798</v>
      </c>
      <c r="P1504" s="545">
        <f>-'Sollecitazioni nel paramento'!$G$47*'Sollecitazioni nel paramento'!$G$41*IF(DATI!$G$211="dx",DATI!$E$61,DATI!$E$64*DATI!$E$63)*1000*C1504*sezione!$AD$5</f>
        <v>-173027.03772694455</v>
      </c>
      <c r="Q1504" s="545">
        <f>'Foglio deposito bis'!$F$68*IF(ABS(K1504)&lt;'Sollecitazioni nel paramento'!$G$58,ABS(K1504)*'Sollecitazioni nel paramento'!$G$54,'Sollecitazioni nel paramento'!$G$53)*IF(K1504&lt;0,-1,1)</f>
        <v>0</v>
      </c>
      <c r="R1504" s="545">
        <f>'Foglio deposito bis'!$F$69*IF(ABS(L1504)&lt;'Sollecitazioni nel paramento'!$G$58,ABS(L1504)*'Sollecitazioni nel paramento'!$G$54,'Sollecitazioni nel paramento'!$G$53)*IF(L1504&lt;0,-1,1)</f>
        <v>153664.85805602249</v>
      </c>
      <c r="S1504" s="545">
        <f>'Foglio deposito bis'!$F$70*IF(ABS(M1504)&lt;'Sollecitazioni nel paramento'!$G$58,ABS(M1504)*'Sollecitazioni nel paramento'!$G$54,'Sollecitazioni nel paramento'!$G$53)*IF(M1504&lt;0,-1,1)</f>
        <v>0</v>
      </c>
      <c r="T1504" s="545">
        <f>'Foglio deposito bis'!$F$71*IF(ABS(N1504)&lt;'Sollecitazioni nel paramento'!$G$58,ABS(N1504)*'Sollecitazioni nel paramento'!$G$54,'Sollecitazioni nel paramento'!$G$53)*IF(N1504&lt;0,-1,1)</f>
        <v>314705.62929873407</v>
      </c>
      <c r="U1504" s="545">
        <f>'Foglio deposito bis'!$F$72*IF(ABS(O1504)&lt;'Sollecitazioni nel paramento'!$G$58,ABS(O1504)*'Sollecitazioni nel paramento'!$G$54,'Sollecitazioni nel paramento'!$G$53)*IF(O1504&lt;0,-1,1)</f>
        <v>491727.54577927204</v>
      </c>
      <c r="V1504" s="472">
        <f t="shared" si="108"/>
        <v>787070.995407084</v>
      </c>
      <c r="W1504" s="551"/>
      <c r="X1504" s="551"/>
    </row>
    <row r="1505" spans="1:24" x14ac:dyDescent="0.25">
      <c r="A1505" s="545">
        <f t="shared" si="107"/>
        <v>771341.26470463455</v>
      </c>
      <c r="B1505" s="3">
        <f t="shared" si="109"/>
        <v>0.6</v>
      </c>
      <c r="C1505" s="545">
        <f>'Foglio deposito bis'!$E$159/sezione!$B$247*B1505</f>
        <v>4.9546360193557</v>
      </c>
      <c r="D1505" s="603">
        <f>-'Sollecitazioni nel paramento'!$G$47*'Sollecitazioni nel paramento'!$G$41*IF(DATI!$G$211="dx",DATI!$E$61,DATI!$E$64*DATI!$E$63)*1000*C1505^2*sezione!$AD$5*(1-sezione!$AD$6)</f>
        <v>-546169.11291435594</v>
      </c>
      <c r="E1505" s="545">
        <f>-'Foglio deposito bis'!$F$68*(C1505-sezione!$AL$33)*IF(ABS(K1505)&lt;'Sollecitazioni nel paramento'!$G$58,ABS(K1505)*'Sollecitazioni nel paramento'!$G$54,'Sollecitazioni nel paramento'!$G$53)</f>
        <v>0</v>
      </c>
      <c r="F1505" s="545">
        <f>-'Foglio deposito bis'!$F$69*(C1505-sezione!$AM$33)*IF(ABS(L1505)&lt;'Sollecitazioni nel paramento'!$G$58,ABS(L1505)*'Sollecitazioni nel paramento'!$G$54,'Sollecitazioni nel paramento'!$G$53)</f>
        <v>8458538.0427277982</v>
      </c>
      <c r="G1505" s="545">
        <f>-'Foglio deposito bis'!$F$70*(C1505-sezione!$AN$33)*IF(ABS(M1505)&lt;'Sollecitazioni nel paramento'!$G$58,ABS(M1505)*'Sollecitazioni nel paramento'!$G$54,'Sollecitazioni nel paramento'!$G$53)</f>
        <v>0</v>
      </c>
      <c r="H1505" s="545">
        <f>-'Foglio deposito bis'!$F$71*(C1505-sezione!$AO$33)*IF(ABS(N1505)&lt;'Sollecitazioni nel paramento'!$G$58,ABS(N1505)*'Sollecitazioni nel paramento'!$G$54,'Sollecitazioni nel paramento'!$G$53)</f>
        <v>48793648.841379948</v>
      </c>
      <c r="I1505" s="472">
        <f>-'Foglio deposito bis'!$F$72*(C1505-sezione!$AP$33)*IF(ABS(O1505)&lt;'Sollecitazioni nel paramento'!$G$58,ABS(O1505)*'Sollecitazioni nel paramento'!$G$54,'Sollecitazioni nel paramento'!$G$53)</f>
        <v>277969336.56050473</v>
      </c>
      <c r="J1505" s="472">
        <f t="shared" si="106"/>
        <v>334675354.33169812</v>
      </c>
      <c r="K1505" s="550">
        <f>'Sollecitazioni nel paramento'!$G$60*(sezione!$AL$33-C1505)/C1505</f>
        <v>2.4756364232019927E-2</v>
      </c>
      <c r="L1505" s="550">
        <f>'Sollecitazioni nel paramento'!$G$60*(sezione!$AM$33-C1505)/C1505</f>
        <v>3.8884546348029889E-2</v>
      </c>
      <c r="M1505" s="551">
        <f>'Sollecitazioni nel paramento'!$G$60*(sezione!$AN$33-C1505)/C1505</f>
        <v>5.3012728464039857E-2</v>
      </c>
      <c r="N1505" s="551">
        <f>'Sollecitazioni nel paramento'!$G$60*(sezione!$AO$33-C1505)/C1505</f>
        <v>0.10952545692807973</v>
      </c>
      <c r="O1505" s="551">
        <f>'Sollecitazioni nel paramento'!$G$60*(sezione!$AP$33-C1505)/C1505</f>
        <v>0.3993269691013131</v>
      </c>
      <c r="P1505" s="545">
        <f>-'Sollecitazioni nel paramento'!$G$47*'Sollecitazioni nel paramento'!$G$41*IF(DATI!$G$211="dx",DATI!$E$61,DATI!$E$64*DATI!$E$63)*1000*C1505*sezione!$AD$5</f>
        <v>-188756.76842939405</v>
      </c>
      <c r="Q1505" s="545">
        <f>'Foglio deposito bis'!$F$68*IF(ABS(K1505)&lt;'Sollecitazioni nel paramento'!$G$58,ABS(K1505)*'Sollecitazioni nel paramento'!$G$54,'Sollecitazioni nel paramento'!$G$53)*IF(K1505&lt;0,-1,1)</f>
        <v>0</v>
      </c>
      <c r="R1505" s="545">
        <f>'Foglio deposito bis'!$F$69*IF(ABS(L1505)&lt;'Sollecitazioni nel paramento'!$G$58,ABS(L1505)*'Sollecitazioni nel paramento'!$G$54,'Sollecitazioni nel paramento'!$G$53)*IF(L1505&lt;0,-1,1)</f>
        <v>153664.85805602249</v>
      </c>
      <c r="S1505" s="545">
        <f>'Foglio deposito bis'!$F$70*IF(ABS(M1505)&lt;'Sollecitazioni nel paramento'!$G$58,ABS(M1505)*'Sollecitazioni nel paramento'!$G$54,'Sollecitazioni nel paramento'!$G$53)*IF(M1505&lt;0,-1,1)</f>
        <v>0</v>
      </c>
      <c r="T1505" s="545">
        <f>'Foglio deposito bis'!$F$71*IF(ABS(N1505)&lt;'Sollecitazioni nel paramento'!$G$58,ABS(N1505)*'Sollecitazioni nel paramento'!$G$54,'Sollecitazioni nel paramento'!$G$53)*IF(N1505&lt;0,-1,1)</f>
        <v>314705.62929873407</v>
      </c>
      <c r="U1505" s="545">
        <f>'Foglio deposito bis'!$F$72*IF(ABS(O1505)&lt;'Sollecitazioni nel paramento'!$G$58,ABS(O1505)*'Sollecitazioni nel paramento'!$G$54,'Sollecitazioni nel paramento'!$G$53)*IF(O1505&lt;0,-1,1)</f>
        <v>491727.54577927204</v>
      </c>
      <c r="V1505" s="472">
        <f t="shared" si="108"/>
        <v>771341.26470463455</v>
      </c>
      <c r="W1505" s="551"/>
      <c r="X1505" s="551"/>
    </row>
    <row r="1506" spans="1:24" x14ac:dyDescent="0.25">
      <c r="A1506" s="545">
        <f t="shared" si="107"/>
        <v>755611.5340021851</v>
      </c>
      <c r="B1506" s="3">
        <f t="shared" si="109"/>
        <v>0.65</v>
      </c>
      <c r="C1506" s="545">
        <f>'Foglio deposito bis'!$E$159/sezione!$B$247*B1506</f>
        <v>5.3675223543020083</v>
      </c>
      <c r="D1506" s="603">
        <f>-'Sollecitazioni nel paramento'!$G$47*'Sollecitazioni nel paramento'!$G$41*IF(DATI!$G$211="dx",DATI!$E$61,DATI!$E$64*DATI!$E$63)*1000*C1506^2*sezione!$AD$5*(1-sezione!$AD$6)</f>
        <v>-640990.13946198707</v>
      </c>
      <c r="E1506" s="545">
        <f>-'Foglio deposito bis'!$F$68*(C1506-sezione!$AL$33)*IF(ABS(K1506)&lt;'Sollecitazioni nel paramento'!$G$58,ABS(K1506)*'Sollecitazioni nel paramento'!$G$54,'Sollecitazioni nel paramento'!$G$53)</f>
        <v>0</v>
      </c>
      <c r="F1506" s="545">
        <f>-'Foglio deposito bis'!$F$69*(C1506-sezione!$AM$33)*IF(ABS(L1506)&lt;'Sollecitazioni nel paramento'!$G$58,ABS(L1506)*'Sollecitazioni nel paramento'!$G$54,'Sollecitazioni nel paramento'!$G$53)</f>
        <v>8395091.9226750042</v>
      </c>
      <c r="G1506" s="545">
        <f>-'Foglio deposito bis'!$F$70*(C1506-sezione!$AN$33)*IF(ABS(M1506)&lt;'Sollecitazioni nel paramento'!$G$58,ABS(M1506)*'Sollecitazioni nel paramento'!$G$54,'Sollecitazioni nel paramento'!$G$53)</f>
        <v>0</v>
      </c>
      <c r="H1506" s="545">
        <f>-'Foglio deposito bis'!$F$71*(C1506-sezione!$AO$33)*IF(ABS(N1506)&lt;'Sollecitazioni nel paramento'!$G$58,ABS(N1506)*'Sollecitazioni nel paramento'!$G$54,'Sollecitazioni nel paramento'!$G$53)</f>
        <v>48663711.187511824</v>
      </c>
      <c r="I1506" s="472">
        <f>-'Foglio deposito bis'!$F$72*(C1506-sezione!$AP$33)*IF(ABS(O1506)&lt;'Sollecitazioni nel paramento'!$G$58,ABS(O1506)*'Sollecitazioni nel paramento'!$G$54,'Sollecitazioni nel paramento'!$G$53)</f>
        <v>277766308.97633576</v>
      </c>
      <c r="J1506" s="472">
        <f t="shared" si="106"/>
        <v>334184121.94706059</v>
      </c>
      <c r="K1506" s="550">
        <f>'Sollecitazioni nel paramento'!$G$60*(sezione!$AL$33-C1506)/C1506</f>
        <v>2.258279775263378E-2</v>
      </c>
      <c r="L1506" s="550">
        <f>'Sollecitazioni nel paramento'!$G$60*(sezione!$AM$33-C1506)/C1506</f>
        <v>3.5624196628950673E-2</v>
      </c>
      <c r="M1506" s="551">
        <f>'Sollecitazioni nel paramento'!$G$60*(sezione!$AN$33-C1506)/C1506</f>
        <v>4.8665595505267563E-2</v>
      </c>
      <c r="N1506" s="551">
        <f>'Sollecitazioni nel paramento'!$G$60*(sezione!$AO$33-C1506)/C1506</f>
        <v>0.10083119101053514</v>
      </c>
      <c r="O1506" s="551">
        <f>'Sollecitazioni nel paramento'!$G$60*(sezione!$AP$33-C1506)/C1506</f>
        <v>0.36834027917044287</v>
      </c>
      <c r="P1506" s="545">
        <f>-'Sollecitazioni nel paramento'!$G$47*'Sollecitazioni nel paramento'!$G$41*IF(DATI!$G$211="dx",DATI!$E$61,DATI!$E$64*DATI!$E$63)*1000*C1506*sezione!$AD$5</f>
        <v>-204486.49913184356</v>
      </c>
      <c r="Q1506" s="545">
        <f>'Foglio deposito bis'!$F$68*IF(ABS(K1506)&lt;'Sollecitazioni nel paramento'!$G$58,ABS(K1506)*'Sollecitazioni nel paramento'!$G$54,'Sollecitazioni nel paramento'!$G$53)*IF(K1506&lt;0,-1,1)</f>
        <v>0</v>
      </c>
      <c r="R1506" s="545">
        <f>'Foglio deposito bis'!$F$69*IF(ABS(L1506)&lt;'Sollecitazioni nel paramento'!$G$58,ABS(L1506)*'Sollecitazioni nel paramento'!$G$54,'Sollecitazioni nel paramento'!$G$53)*IF(L1506&lt;0,-1,1)</f>
        <v>153664.85805602249</v>
      </c>
      <c r="S1506" s="545">
        <f>'Foglio deposito bis'!$F$70*IF(ABS(M1506)&lt;'Sollecitazioni nel paramento'!$G$58,ABS(M1506)*'Sollecitazioni nel paramento'!$G$54,'Sollecitazioni nel paramento'!$G$53)*IF(M1506&lt;0,-1,1)</f>
        <v>0</v>
      </c>
      <c r="T1506" s="545">
        <f>'Foglio deposito bis'!$F$71*IF(ABS(N1506)&lt;'Sollecitazioni nel paramento'!$G$58,ABS(N1506)*'Sollecitazioni nel paramento'!$G$54,'Sollecitazioni nel paramento'!$G$53)*IF(N1506&lt;0,-1,1)</f>
        <v>314705.62929873407</v>
      </c>
      <c r="U1506" s="545">
        <f>'Foglio deposito bis'!$F$72*IF(ABS(O1506)&lt;'Sollecitazioni nel paramento'!$G$58,ABS(O1506)*'Sollecitazioni nel paramento'!$G$54,'Sollecitazioni nel paramento'!$G$53)*IF(O1506&lt;0,-1,1)</f>
        <v>491727.54577927204</v>
      </c>
      <c r="V1506" s="472">
        <f t="shared" si="108"/>
        <v>755611.5340021851</v>
      </c>
      <c r="W1506" s="551"/>
      <c r="X1506" s="551"/>
    </row>
    <row r="1507" spans="1:24" x14ac:dyDescent="0.25">
      <c r="A1507" s="545">
        <f t="shared" si="107"/>
        <v>739881.80329973553</v>
      </c>
      <c r="B1507" s="3">
        <f t="shared" si="109"/>
        <v>0.70000000000000007</v>
      </c>
      <c r="C1507" s="545">
        <f>'Foglio deposito bis'!$E$159/sezione!$B$247*B1507</f>
        <v>5.7804086892483175</v>
      </c>
      <c r="D1507" s="603">
        <f>-'Sollecitazioni nel paramento'!$G$47*'Sollecitazioni nel paramento'!$G$41*IF(DATI!$G$211="dx",DATI!$E$61,DATI!$E$64*DATI!$E$63)*1000*C1507^2*sezione!$AD$5*(1-sezione!$AD$6)</f>
        <v>-743396.8481334293</v>
      </c>
      <c r="E1507" s="545">
        <f>-'Foglio deposito bis'!$F$68*(C1507-sezione!$AL$33)*IF(ABS(K1507)&lt;'Sollecitazioni nel paramento'!$G$58,ABS(K1507)*'Sollecitazioni nel paramento'!$G$54,'Sollecitazioni nel paramento'!$G$53)</f>
        <v>0</v>
      </c>
      <c r="F1507" s="545">
        <f>-'Foglio deposito bis'!$F$69*(C1507-sezione!$AM$33)*IF(ABS(L1507)&lt;'Sollecitazioni nel paramento'!$G$58,ABS(L1507)*'Sollecitazioni nel paramento'!$G$54,'Sollecitazioni nel paramento'!$G$53)</f>
        <v>8331645.8026222074</v>
      </c>
      <c r="G1507" s="545">
        <f>-'Foglio deposito bis'!$F$70*(C1507-sezione!$AN$33)*IF(ABS(M1507)&lt;'Sollecitazioni nel paramento'!$G$58,ABS(M1507)*'Sollecitazioni nel paramento'!$G$54,'Sollecitazioni nel paramento'!$G$53)</f>
        <v>0</v>
      </c>
      <c r="H1507" s="545">
        <f>-'Foglio deposito bis'!$F$71*(C1507-sezione!$AO$33)*IF(ABS(N1507)&lt;'Sollecitazioni nel paramento'!$G$58,ABS(N1507)*'Sollecitazioni nel paramento'!$G$54,'Sollecitazioni nel paramento'!$G$53)</f>
        <v>48533773.5336437</v>
      </c>
      <c r="I1507" s="472">
        <f>-'Foglio deposito bis'!$F$72*(C1507-sezione!$AP$33)*IF(ABS(O1507)&lt;'Sollecitazioni nel paramento'!$G$58,ABS(O1507)*'Sollecitazioni nel paramento'!$G$54,'Sollecitazioni nel paramento'!$G$53)</f>
        <v>277563281.39216679</v>
      </c>
      <c r="J1507" s="472">
        <f t="shared" si="106"/>
        <v>333685303.88029927</v>
      </c>
      <c r="K1507" s="550">
        <f>'Sollecitazioni nel paramento'!$G$60*(sezione!$AL$33-C1507)/C1507</f>
        <v>2.0719740770302794E-2</v>
      </c>
      <c r="L1507" s="550">
        <f>'Sollecitazioni nel paramento'!$G$60*(sezione!$AM$33-C1507)/C1507</f>
        <v>3.2829611155454186E-2</v>
      </c>
      <c r="M1507" s="551">
        <f>'Sollecitazioni nel paramento'!$G$60*(sezione!$AN$33-C1507)/C1507</f>
        <v>4.4939481540605584E-2</v>
      </c>
      <c r="N1507" s="551">
        <f>'Sollecitazioni nel paramento'!$G$60*(sezione!$AO$33-C1507)/C1507</f>
        <v>9.3378963081211186E-2</v>
      </c>
      <c r="O1507" s="551">
        <f>'Sollecitazioni nel paramento'!$G$60*(sezione!$AP$33-C1507)/C1507</f>
        <v>0.34178025922969685</v>
      </c>
      <c r="P1507" s="545">
        <f>-'Sollecitazioni nel paramento'!$G$47*'Sollecitazioni nel paramento'!$G$41*IF(DATI!$G$211="dx",DATI!$E$61,DATI!$E$64*DATI!$E$63)*1000*C1507*sezione!$AD$5</f>
        <v>-220216.2298342931</v>
      </c>
      <c r="Q1507" s="545">
        <f>'Foglio deposito bis'!$F$68*IF(ABS(K1507)&lt;'Sollecitazioni nel paramento'!$G$58,ABS(K1507)*'Sollecitazioni nel paramento'!$G$54,'Sollecitazioni nel paramento'!$G$53)*IF(K1507&lt;0,-1,1)</f>
        <v>0</v>
      </c>
      <c r="R1507" s="545">
        <f>'Foglio deposito bis'!$F$69*IF(ABS(L1507)&lt;'Sollecitazioni nel paramento'!$G$58,ABS(L1507)*'Sollecitazioni nel paramento'!$G$54,'Sollecitazioni nel paramento'!$G$53)*IF(L1507&lt;0,-1,1)</f>
        <v>153664.85805602249</v>
      </c>
      <c r="S1507" s="545">
        <f>'Foglio deposito bis'!$F$70*IF(ABS(M1507)&lt;'Sollecitazioni nel paramento'!$G$58,ABS(M1507)*'Sollecitazioni nel paramento'!$G$54,'Sollecitazioni nel paramento'!$G$53)*IF(M1507&lt;0,-1,1)</f>
        <v>0</v>
      </c>
      <c r="T1507" s="545">
        <f>'Foglio deposito bis'!$F$71*IF(ABS(N1507)&lt;'Sollecitazioni nel paramento'!$G$58,ABS(N1507)*'Sollecitazioni nel paramento'!$G$54,'Sollecitazioni nel paramento'!$G$53)*IF(N1507&lt;0,-1,1)</f>
        <v>314705.62929873407</v>
      </c>
      <c r="U1507" s="545">
        <f>'Foglio deposito bis'!$F$72*IF(ABS(O1507)&lt;'Sollecitazioni nel paramento'!$G$58,ABS(O1507)*'Sollecitazioni nel paramento'!$G$54,'Sollecitazioni nel paramento'!$G$53)*IF(O1507&lt;0,-1,1)</f>
        <v>491727.54577927204</v>
      </c>
      <c r="V1507" s="472">
        <f t="shared" si="108"/>
        <v>739881.80329973553</v>
      </c>
      <c r="W1507" s="551"/>
      <c r="X1507" s="551"/>
    </row>
    <row r="1508" spans="1:24" x14ac:dyDescent="0.25">
      <c r="A1508" s="545">
        <f t="shared" si="107"/>
        <v>724152.07259728597</v>
      </c>
      <c r="B1508" s="3">
        <f t="shared" si="109"/>
        <v>0.75000000000000011</v>
      </c>
      <c r="C1508" s="545">
        <f>'Foglio deposito bis'!$E$159/sezione!$B$247*B1508</f>
        <v>6.1932950241946259</v>
      </c>
      <c r="D1508" s="603">
        <f>-'Sollecitazioni nel paramento'!$G$47*'Sollecitazioni nel paramento'!$G$41*IF(DATI!$G$211="dx",DATI!$E$61,DATI!$E$64*DATI!$E$63)*1000*C1508^2*sezione!$AD$5*(1-sezione!$AD$6)</f>
        <v>-853389.23892868147</v>
      </c>
      <c r="E1508" s="545">
        <f>-'Foglio deposito bis'!$F$68*(C1508-sezione!$AL$33)*IF(ABS(K1508)&lt;'Sollecitazioni nel paramento'!$G$58,ABS(K1508)*'Sollecitazioni nel paramento'!$G$54,'Sollecitazioni nel paramento'!$G$53)</f>
        <v>0</v>
      </c>
      <c r="F1508" s="545">
        <f>-'Foglio deposito bis'!$F$69*(C1508-sezione!$AM$33)*IF(ABS(L1508)&lt;'Sollecitazioni nel paramento'!$G$58,ABS(L1508)*'Sollecitazioni nel paramento'!$G$54,'Sollecitazioni nel paramento'!$G$53)</f>
        <v>8268199.6825694125</v>
      </c>
      <c r="G1508" s="545">
        <f>-'Foglio deposito bis'!$F$70*(C1508-sezione!$AN$33)*IF(ABS(M1508)&lt;'Sollecitazioni nel paramento'!$G$58,ABS(M1508)*'Sollecitazioni nel paramento'!$G$54,'Sollecitazioni nel paramento'!$G$53)</f>
        <v>0</v>
      </c>
      <c r="H1508" s="545">
        <f>-'Foglio deposito bis'!$F$71*(C1508-sezione!$AO$33)*IF(ABS(N1508)&lt;'Sollecitazioni nel paramento'!$G$58,ABS(N1508)*'Sollecitazioni nel paramento'!$G$54,'Sollecitazioni nel paramento'!$G$53)</f>
        <v>48403835.879775561</v>
      </c>
      <c r="I1508" s="472">
        <f>-'Foglio deposito bis'!$F$72*(C1508-sezione!$AP$33)*IF(ABS(O1508)&lt;'Sollecitazioni nel paramento'!$G$58,ABS(O1508)*'Sollecitazioni nel paramento'!$G$54,'Sollecitazioni nel paramento'!$G$53)</f>
        <v>277360253.80799788</v>
      </c>
      <c r="J1508" s="472">
        <f t="shared" si="106"/>
        <v>333178900.13141418</v>
      </c>
      <c r="K1508" s="550">
        <f>'Sollecitazioni nel paramento'!$G$60*(sezione!$AL$33-C1508)/C1508</f>
        <v>1.910509138561594E-2</v>
      </c>
      <c r="L1508" s="550">
        <f>'Sollecitazioni nel paramento'!$G$60*(sezione!$AM$33-C1508)/C1508</f>
        <v>3.0407637078423908E-2</v>
      </c>
      <c r="M1508" s="551">
        <f>'Sollecitazioni nel paramento'!$G$60*(sezione!$AN$33-C1508)/C1508</f>
        <v>4.1710182771231882E-2</v>
      </c>
      <c r="N1508" s="551">
        <f>'Sollecitazioni nel paramento'!$G$60*(sezione!$AO$33-C1508)/C1508</f>
        <v>8.6920365542463754E-2</v>
      </c>
      <c r="O1508" s="551">
        <f>'Sollecitazioni nel paramento'!$G$60*(sezione!$AP$33-C1508)/C1508</f>
        <v>0.31876157528105042</v>
      </c>
      <c r="P1508" s="545">
        <f>-'Sollecitazioni nel paramento'!$G$47*'Sollecitazioni nel paramento'!$G$41*IF(DATI!$G$211="dx",DATI!$E$61,DATI!$E$64*DATI!$E$63)*1000*C1508*sezione!$AD$5</f>
        <v>-235945.96053674261</v>
      </c>
      <c r="Q1508" s="545">
        <f>'Foglio deposito bis'!$F$68*IF(ABS(K1508)&lt;'Sollecitazioni nel paramento'!$G$58,ABS(K1508)*'Sollecitazioni nel paramento'!$G$54,'Sollecitazioni nel paramento'!$G$53)*IF(K1508&lt;0,-1,1)</f>
        <v>0</v>
      </c>
      <c r="R1508" s="545">
        <f>'Foglio deposito bis'!$F$69*IF(ABS(L1508)&lt;'Sollecitazioni nel paramento'!$G$58,ABS(L1508)*'Sollecitazioni nel paramento'!$G$54,'Sollecitazioni nel paramento'!$G$53)*IF(L1508&lt;0,-1,1)</f>
        <v>153664.85805602249</v>
      </c>
      <c r="S1508" s="545">
        <f>'Foglio deposito bis'!$F$70*IF(ABS(M1508)&lt;'Sollecitazioni nel paramento'!$G$58,ABS(M1508)*'Sollecitazioni nel paramento'!$G$54,'Sollecitazioni nel paramento'!$G$53)*IF(M1508&lt;0,-1,1)</f>
        <v>0</v>
      </c>
      <c r="T1508" s="545">
        <f>'Foglio deposito bis'!$F$71*IF(ABS(N1508)&lt;'Sollecitazioni nel paramento'!$G$58,ABS(N1508)*'Sollecitazioni nel paramento'!$G$54,'Sollecitazioni nel paramento'!$G$53)*IF(N1508&lt;0,-1,1)</f>
        <v>314705.62929873407</v>
      </c>
      <c r="U1508" s="545">
        <f>'Foglio deposito bis'!$F$72*IF(ABS(O1508)&lt;'Sollecitazioni nel paramento'!$G$58,ABS(O1508)*'Sollecitazioni nel paramento'!$G$54,'Sollecitazioni nel paramento'!$G$53)*IF(O1508&lt;0,-1,1)</f>
        <v>491727.54577927204</v>
      </c>
      <c r="V1508" s="472">
        <f t="shared" si="108"/>
        <v>724152.07259728597</v>
      </c>
      <c r="W1508" s="551"/>
      <c r="X1508" s="551"/>
    </row>
    <row r="1509" spans="1:24" x14ac:dyDescent="0.25">
      <c r="A1509" s="545">
        <f t="shared" si="107"/>
        <v>708422.34189483651</v>
      </c>
      <c r="B1509" s="3">
        <f t="shared" si="109"/>
        <v>0.80000000000000016</v>
      </c>
      <c r="C1509" s="545">
        <f>'Foglio deposito bis'!$E$159/sezione!$B$247*B1509</f>
        <v>6.6061813591409342</v>
      </c>
      <c r="D1509" s="603">
        <f>-'Sollecitazioni nel paramento'!$G$47*'Sollecitazioni nel paramento'!$G$41*IF(DATI!$G$211="dx",DATI!$E$61,DATI!$E$64*DATI!$E$63)*1000*C1509^2*sezione!$AD$5*(1-sezione!$AD$6)</f>
        <v>-970967.31184774404</v>
      </c>
      <c r="E1509" s="545">
        <f>-'Foglio deposito bis'!$F$68*(C1509-sezione!$AL$33)*IF(ABS(K1509)&lt;'Sollecitazioni nel paramento'!$G$58,ABS(K1509)*'Sollecitazioni nel paramento'!$G$54,'Sollecitazioni nel paramento'!$G$53)</f>
        <v>0</v>
      </c>
      <c r="F1509" s="545">
        <f>-'Foglio deposito bis'!$F$69*(C1509-sezione!$AM$33)*IF(ABS(L1509)&lt;'Sollecitazioni nel paramento'!$G$58,ABS(L1509)*'Sollecitazioni nel paramento'!$G$54,'Sollecitazioni nel paramento'!$G$53)</f>
        <v>8204753.5625166157</v>
      </c>
      <c r="G1509" s="545">
        <f>-'Foglio deposito bis'!$F$70*(C1509-sezione!$AN$33)*IF(ABS(M1509)&lt;'Sollecitazioni nel paramento'!$G$58,ABS(M1509)*'Sollecitazioni nel paramento'!$G$54,'Sollecitazioni nel paramento'!$G$53)</f>
        <v>0</v>
      </c>
      <c r="H1509" s="545">
        <f>-'Foglio deposito bis'!$F$71*(C1509-sezione!$AO$33)*IF(ABS(N1509)&lt;'Sollecitazioni nel paramento'!$G$58,ABS(N1509)*'Sollecitazioni nel paramento'!$G$54,'Sollecitazioni nel paramento'!$G$53)</f>
        <v>48273898.225907438</v>
      </c>
      <c r="I1509" s="472">
        <f>-'Foglio deposito bis'!$F$72*(C1509-sezione!$AP$33)*IF(ABS(O1509)&lt;'Sollecitazioni nel paramento'!$G$58,ABS(O1509)*'Sollecitazioni nel paramento'!$G$54,'Sollecitazioni nel paramento'!$G$53)</f>
        <v>277157226.22382897</v>
      </c>
      <c r="J1509" s="472">
        <f t="shared" si="106"/>
        <v>332664910.7004053</v>
      </c>
      <c r="K1509" s="550">
        <f>'Sollecitazioni nel paramento'!$G$60*(sezione!$AL$33-C1509)/C1509</f>
        <v>1.7692273174014946E-2</v>
      </c>
      <c r="L1509" s="550">
        <f>'Sollecitazioni nel paramento'!$G$60*(sezione!$AM$33-C1509)/C1509</f>
        <v>2.8288409761022419E-2</v>
      </c>
      <c r="M1509" s="551">
        <f>'Sollecitazioni nel paramento'!$G$60*(sezione!$AN$33-C1509)/C1509</f>
        <v>3.8884546348029889E-2</v>
      </c>
      <c r="N1509" s="551">
        <f>'Sollecitazioni nel paramento'!$G$60*(sezione!$AO$33-C1509)/C1509</f>
        <v>8.1269092696059766E-2</v>
      </c>
      <c r="O1509" s="551">
        <f>'Sollecitazioni nel paramento'!$G$60*(sezione!$AP$33-C1509)/C1509</f>
        <v>0.29862022682598477</v>
      </c>
      <c r="P1509" s="545">
        <f>-'Sollecitazioni nel paramento'!$G$47*'Sollecitazioni nel paramento'!$G$41*IF(DATI!$G$211="dx",DATI!$E$61,DATI!$E$64*DATI!$E$63)*1000*C1509*sezione!$AD$5</f>
        <v>-251675.69123919212</v>
      </c>
      <c r="Q1509" s="545">
        <f>'Foglio deposito bis'!$F$68*IF(ABS(K1509)&lt;'Sollecitazioni nel paramento'!$G$58,ABS(K1509)*'Sollecitazioni nel paramento'!$G$54,'Sollecitazioni nel paramento'!$G$53)*IF(K1509&lt;0,-1,1)</f>
        <v>0</v>
      </c>
      <c r="R1509" s="545">
        <f>'Foglio deposito bis'!$F$69*IF(ABS(L1509)&lt;'Sollecitazioni nel paramento'!$G$58,ABS(L1509)*'Sollecitazioni nel paramento'!$G$54,'Sollecitazioni nel paramento'!$G$53)*IF(L1509&lt;0,-1,1)</f>
        <v>153664.85805602249</v>
      </c>
      <c r="S1509" s="545">
        <f>'Foglio deposito bis'!$F$70*IF(ABS(M1509)&lt;'Sollecitazioni nel paramento'!$G$58,ABS(M1509)*'Sollecitazioni nel paramento'!$G$54,'Sollecitazioni nel paramento'!$G$53)*IF(M1509&lt;0,-1,1)</f>
        <v>0</v>
      </c>
      <c r="T1509" s="545">
        <f>'Foglio deposito bis'!$F$71*IF(ABS(N1509)&lt;'Sollecitazioni nel paramento'!$G$58,ABS(N1509)*'Sollecitazioni nel paramento'!$G$54,'Sollecitazioni nel paramento'!$G$53)*IF(N1509&lt;0,-1,1)</f>
        <v>314705.62929873407</v>
      </c>
      <c r="U1509" s="545">
        <f>'Foglio deposito bis'!$F$72*IF(ABS(O1509)&lt;'Sollecitazioni nel paramento'!$G$58,ABS(O1509)*'Sollecitazioni nel paramento'!$G$54,'Sollecitazioni nel paramento'!$G$53)*IF(O1509&lt;0,-1,1)</f>
        <v>491727.54577927204</v>
      </c>
      <c r="V1509" s="472">
        <f t="shared" si="108"/>
        <v>708422.34189483651</v>
      </c>
      <c r="W1509" s="551"/>
      <c r="X1509" s="551"/>
    </row>
    <row r="1510" spans="1:24" x14ac:dyDescent="0.25">
      <c r="A1510" s="545">
        <f t="shared" si="107"/>
        <v>692692.61119238695</v>
      </c>
      <c r="B1510" s="3">
        <f t="shared" si="109"/>
        <v>0.8500000000000002</v>
      </c>
      <c r="C1510" s="545">
        <f>'Foglio deposito bis'!$E$159/sezione!$B$247*B1510</f>
        <v>7.0190676940872434</v>
      </c>
      <c r="D1510" s="603">
        <f>-'Sollecitazioni nel paramento'!$G$47*'Sollecitazioni nel paramento'!$G$41*IF(DATI!$G$211="dx",DATI!$E$61,DATI!$E$64*DATI!$E$63)*1000*C1510^2*sezione!$AD$5*(1-sezione!$AD$6)</f>
        <v>-1096131.0668906176</v>
      </c>
      <c r="E1510" s="545">
        <f>-'Foglio deposito bis'!$F$68*(C1510-sezione!$AL$33)*IF(ABS(K1510)&lt;'Sollecitazioni nel paramento'!$G$58,ABS(K1510)*'Sollecitazioni nel paramento'!$G$54,'Sollecitazioni nel paramento'!$G$53)</f>
        <v>0</v>
      </c>
      <c r="F1510" s="545">
        <f>-'Foglio deposito bis'!$F$69*(C1510-sezione!$AM$33)*IF(ABS(L1510)&lt;'Sollecitazioni nel paramento'!$G$58,ABS(L1510)*'Sollecitazioni nel paramento'!$G$54,'Sollecitazioni nel paramento'!$G$53)</f>
        <v>8141307.4424638208</v>
      </c>
      <c r="G1510" s="545">
        <f>-'Foglio deposito bis'!$F$70*(C1510-sezione!$AN$33)*IF(ABS(M1510)&lt;'Sollecitazioni nel paramento'!$G$58,ABS(M1510)*'Sollecitazioni nel paramento'!$G$54,'Sollecitazioni nel paramento'!$G$53)</f>
        <v>0</v>
      </c>
      <c r="H1510" s="545">
        <f>-'Foglio deposito bis'!$F$71*(C1510-sezione!$AO$33)*IF(ABS(N1510)&lt;'Sollecitazioni nel paramento'!$G$58,ABS(N1510)*'Sollecitazioni nel paramento'!$G$54,'Sollecitazioni nel paramento'!$G$53)</f>
        <v>48143960.572039306</v>
      </c>
      <c r="I1510" s="472">
        <f>-'Foglio deposito bis'!$F$72*(C1510-sezione!$AP$33)*IF(ABS(O1510)&lt;'Sollecitazioni nel paramento'!$G$58,ABS(O1510)*'Sollecitazioni nel paramento'!$G$54,'Sollecitazioni nel paramento'!$G$53)</f>
        <v>276954198.63966</v>
      </c>
      <c r="J1510" s="472">
        <f t="shared" si="106"/>
        <v>332143335.58727252</v>
      </c>
      <c r="K1510" s="550">
        <f>'Sollecitazioni nel paramento'!$G$60*(sezione!$AL$33-C1510)/C1510</f>
        <v>1.6445668869661124E-2</v>
      </c>
      <c r="L1510" s="550">
        <f>'Sollecitazioni nel paramento'!$G$60*(sezione!$AM$33-C1510)/C1510</f>
        <v>2.6418503304491685E-2</v>
      </c>
      <c r="M1510" s="551">
        <f>'Sollecitazioni nel paramento'!$G$60*(sezione!$AN$33-C1510)/C1510</f>
        <v>3.6391337739322238E-2</v>
      </c>
      <c r="N1510" s="551">
        <f>'Sollecitazioni nel paramento'!$G$60*(sezione!$AO$33-C1510)/C1510</f>
        <v>7.6282675478644479E-2</v>
      </c>
      <c r="O1510" s="551">
        <f>'Sollecitazioni nel paramento'!$G$60*(sezione!$AP$33-C1510)/C1510</f>
        <v>0.2808484487773974</v>
      </c>
      <c r="P1510" s="545">
        <f>-'Sollecitazioni nel paramento'!$G$47*'Sollecitazioni nel paramento'!$G$41*IF(DATI!$G$211="dx",DATI!$E$61,DATI!$E$64*DATI!$E$63)*1000*C1510*sezione!$AD$5</f>
        <v>-267405.42194164166</v>
      </c>
      <c r="Q1510" s="545">
        <f>'Foglio deposito bis'!$F$68*IF(ABS(K1510)&lt;'Sollecitazioni nel paramento'!$G$58,ABS(K1510)*'Sollecitazioni nel paramento'!$G$54,'Sollecitazioni nel paramento'!$G$53)*IF(K1510&lt;0,-1,1)</f>
        <v>0</v>
      </c>
      <c r="R1510" s="545">
        <f>'Foglio deposito bis'!$F$69*IF(ABS(L1510)&lt;'Sollecitazioni nel paramento'!$G$58,ABS(L1510)*'Sollecitazioni nel paramento'!$G$54,'Sollecitazioni nel paramento'!$G$53)*IF(L1510&lt;0,-1,1)</f>
        <v>153664.85805602249</v>
      </c>
      <c r="S1510" s="545">
        <f>'Foglio deposito bis'!$F$70*IF(ABS(M1510)&lt;'Sollecitazioni nel paramento'!$G$58,ABS(M1510)*'Sollecitazioni nel paramento'!$G$54,'Sollecitazioni nel paramento'!$G$53)*IF(M1510&lt;0,-1,1)</f>
        <v>0</v>
      </c>
      <c r="T1510" s="545">
        <f>'Foglio deposito bis'!$F$71*IF(ABS(N1510)&lt;'Sollecitazioni nel paramento'!$G$58,ABS(N1510)*'Sollecitazioni nel paramento'!$G$54,'Sollecitazioni nel paramento'!$G$53)*IF(N1510&lt;0,-1,1)</f>
        <v>314705.62929873407</v>
      </c>
      <c r="U1510" s="545">
        <f>'Foglio deposito bis'!$F$72*IF(ABS(O1510)&lt;'Sollecitazioni nel paramento'!$G$58,ABS(O1510)*'Sollecitazioni nel paramento'!$G$54,'Sollecitazioni nel paramento'!$G$53)*IF(O1510&lt;0,-1,1)</f>
        <v>491727.54577927204</v>
      </c>
      <c r="V1510" s="472">
        <f t="shared" si="108"/>
        <v>692692.61119238695</v>
      </c>
      <c r="W1510" s="551"/>
      <c r="X1510" s="551"/>
    </row>
    <row r="1511" spans="1:24" x14ac:dyDescent="0.25">
      <c r="A1511" s="545">
        <f t="shared" si="107"/>
        <v>676962.8804899375</v>
      </c>
      <c r="B1511" s="3">
        <f t="shared" si="109"/>
        <v>0.90000000000000024</v>
      </c>
      <c r="C1511" s="545">
        <f>'Foglio deposito bis'!$E$159/sezione!$B$247*B1511</f>
        <v>7.4319540290335517</v>
      </c>
      <c r="D1511" s="603">
        <f>-'Sollecitazioni nel paramento'!$G$47*'Sollecitazioni nel paramento'!$G$41*IF(DATI!$G$211="dx",DATI!$E$61,DATI!$E$64*DATI!$E$63)*1000*C1511^2*sezione!$AD$5*(1-sezione!$AD$6)</f>
        <v>-1228880.5040573014</v>
      </c>
      <c r="E1511" s="545">
        <f>-'Foglio deposito bis'!$F$68*(C1511-sezione!$AL$33)*IF(ABS(K1511)&lt;'Sollecitazioni nel paramento'!$G$58,ABS(K1511)*'Sollecitazioni nel paramento'!$G$54,'Sollecitazioni nel paramento'!$G$53)</f>
        <v>0</v>
      </c>
      <c r="F1511" s="545">
        <f>-'Foglio deposito bis'!$F$69*(C1511-sezione!$AM$33)*IF(ABS(L1511)&lt;'Sollecitazioni nel paramento'!$G$58,ABS(L1511)*'Sollecitazioni nel paramento'!$G$54,'Sollecitazioni nel paramento'!$G$53)</f>
        <v>8077861.3224110259</v>
      </c>
      <c r="G1511" s="545">
        <f>-'Foglio deposito bis'!$F$70*(C1511-sezione!$AN$33)*IF(ABS(M1511)&lt;'Sollecitazioni nel paramento'!$G$58,ABS(M1511)*'Sollecitazioni nel paramento'!$G$54,'Sollecitazioni nel paramento'!$G$53)</f>
        <v>0</v>
      </c>
      <c r="H1511" s="545">
        <f>-'Foglio deposito bis'!$F$71*(C1511-sezione!$AO$33)*IF(ABS(N1511)&lt;'Sollecitazioni nel paramento'!$G$58,ABS(N1511)*'Sollecitazioni nel paramento'!$G$54,'Sollecitazioni nel paramento'!$G$53)</f>
        <v>48014022.918171182</v>
      </c>
      <c r="I1511" s="472">
        <f>-'Foglio deposito bis'!$F$72*(C1511-sezione!$AP$33)*IF(ABS(O1511)&lt;'Sollecitazioni nel paramento'!$G$58,ABS(O1511)*'Sollecitazioni nel paramento'!$G$54,'Sollecitazioni nel paramento'!$G$53)</f>
        <v>276751171.05549103</v>
      </c>
      <c r="J1511" s="472">
        <f t="shared" si="106"/>
        <v>331614174.79201591</v>
      </c>
      <c r="K1511" s="550">
        <f>'Sollecitazioni nel paramento'!$G$60*(sezione!$AL$33-C1511)/C1511</f>
        <v>1.533757615467995E-2</v>
      </c>
      <c r="L1511" s="550">
        <f>'Sollecitazioni nel paramento'!$G$60*(sezione!$AM$33-C1511)/C1511</f>
        <v>2.4756364232019924E-2</v>
      </c>
      <c r="M1511" s="551">
        <f>'Sollecitazioni nel paramento'!$G$60*(sezione!$AN$33-C1511)/C1511</f>
        <v>3.4175152309359899E-2</v>
      </c>
      <c r="N1511" s="551">
        <f>'Sollecitazioni nel paramento'!$G$60*(sezione!$AO$33-C1511)/C1511</f>
        <v>7.1850304618719787E-2</v>
      </c>
      <c r="O1511" s="551">
        <f>'Sollecitazioni nel paramento'!$G$60*(sezione!$AP$33-C1511)/C1511</f>
        <v>0.26505131273420862</v>
      </c>
      <c r="P1511" s="545">
        <f>-'Sollecitazioni nel paramento'!$G$47*'Sollecitazioni nel paramento'!$G$41*IF(DATI!$G$211="dx",DATI!$E$61,DATI!$E$64*DATI!$E$63)*1000*C1511*sezione!$AD$5</f>
        <v>-283135.15264409117</v>
      </c>
      <c r="Q1511" s="545">
        <f>'Foglio deposito bis'!$F$68*IF(ABS(K1511)&lt;'Sollecitazioni nel paramento'!$G$58,ABS(K1511)*'Sollecitazioni nel paramento'!$G$54,'Sollecitazioni nel paramento'!$G$53)*IF(K1511&lt;0,-1,1)</f>
        <v>0</v>
      </c>
      <c r="R1511" s="545">
        <f>'Foglio deposito bis'!$F$69*IF(ABS(L1511)&lt;'Sollecitazioni nel paramento'!$G$58,ABS(L1511)*'Sollecitazioni nel paramento'!$G$54,'Sollecitazioni nel paramento'!$G$53)*IF(L1511&lt;0,-1,1)</f>
        <v>153664.85805602249</v>
      </c>
      <c r="S1511" s="545">
        <f>'Foglio deposito bis'!$F$70*IF(ABS(M1511)&lt;'Sollecitazioni nel paramento'!$G$58,ABS(M1511)*'Sollecitazioni nel paramento'!$G$54,'Sollecitazioni nel paramento'!$G$53)*IF(M1511&lt;0,-1,1)</f>
        <v>0</v>
      </c>
      <c r="T1511" s="545">
        <f>'Foglio deposito bis'!$F$71*IF(ABS(N1511)&lt;'Sollecitazioni nel paramento'!$G$58,ABS(N1511)*'Sollecitazioni nel paramento'!$G$54,'Sollecitazioni nel paramento'!$G$53)*IF(N1511&lt;0,-1,1)</f>
        <v>314705.62929873407</v>
      </c>
      <c r="U1511" s="545">
        <f>'Foglio deposito bis'!$F$72*IF(ABS(O1511)&lt;'Sollecitazioni nel paramento'!$G$58,ABS(O1511)*'Sollecitazioni nel paramento'!$G$54,'Sollecitazioni nel paramento'!$G$53)*IF(O1511&lt;0,-1,1)</f>
        <v>491727.54577927204</v>
      </c>
      <c r="V1511" s="472">
        <f t="shared" si="108"/>
        <v>676962.8804899375</v>
      </c>
      <c r="W1511" s="551"/>
      <c r="X1511" s="551"/>
    </row>
    <row r="1512" spans="1:24" x14ac:dyDescent="0.25">
      <c r="A1512" s="545">
        <f t="shared" si="107"/>
        <v>661233.14978748793</v>
      </c>
      <c r="B1512" s="3">
        <f t="shared" si="109"/>
        <v>0.95000000000000029</v>
      </c>
      <c r="C1512" s="545">
        <f>'Foglio deposito bis'!$E$159/sezione!$B$247*B1512</f>
        <v>7.844840363979861</v>
      </c>
      <c r="D1512" s="603">
        <f>-'Sollecitazioni nel paramento'!$G$47*'Sollecitazioni nel paramento'!$G$41*IF(DATI!$G$211="dx",DATI!$E$61,DATI!$E$64*DATI!$E$63)*1000*C1512^2*sezione!$AD$5*(1-sezione!$AD$6)</f>
        <v>-1369215.623347796</v>
      </c>
      <c r="E1512" s="545">
        <f>-'Foglio deposito bis'!$F$68*(C1512-sezione!$AL$33)*IF(ABS(K1512)&lt;'Sollecitazioni nel paramento'!$G$58,ABS(K1512)*'Sollecitazioni nel paramento'!$G$54,'Sollecitazioni nel paramento'!$G$53)</f>
        <v>0</v>
      </c>
      <c r="F1512" s="545">
        <f>-'Foglio deposito bis'!$F$69*(C1512-sezione!$AM$33)*IF(ABS(L1512)&lt;'Sollecitazioni nel paramento'!$G$58,ABS(L1512)*'Sollecitazioni nel paramento'!$G$54,'Sollecitazioni nel paramento'!$G$53)</f>
        <v>8014415.2023582282</v>
      </c>
      <c r="G1512" s="545">
        <f>-'Foglio deposito bis'!$F$70*(C1512-sezione!$AN$33)*IF(ABS(M1512)&lt;'Sollecitazioni nel paramento'!$G$58,ABS(M1512)*'Sollecitazioni nel paramento'!$G$54,'Sollecitazioni nel paramento'!$G$53)</f>
        <v>0</v>
      </c>
      <c r="H1512" s="545">
        <f>-'Foglio deposito bis'!$F$71*(C1512-sezione!$AO$33)*IF(ABS(N1512)&lt;'Sollecitazioni nel paramento'!$G$58,ABS(N1512)*'Sollecitazioni nel paramento'!$G$54,'Sollecitazioni nel paramento'!$G$53)</f>
        <v>47884085.264303058</v>
      </c>
      <c r="I1512" s="472">
        <f>-'Foglio deposito bis'!$F$72*(C1512-sezione!$AP$33)*IF(ABS(O1512)&lt;'Sollecitazioni nel paramento'!$G$58,ABS(O1512)*'Sollecitazioni nel paramento'!$G$54,'Sollecitazioni nel paramento'!$G$53)</f>
        <v>276548143.47132212</v>
      </c>
      <c r="J1512" s="472">
        <f t="shared" si="106"/>
        <v>331077428.31463563</v>
      </c>
      <c r="K1512" s="550">
        <f>'Sollecitazioni nel paramento'!$G$60*(sezione!$AL$33-C1512)/C1512</f>
        <v>1.4346124778117843E-2</v>
      </c>
      <c r="L1512" s="550">
        <f>'Sollecitazioni nel paramento'!$G$60*(sezione!$AM$33-C1512)/C1512</f>
        <v>2.3269187167176766E-2</v>
      </c>
      <c r="M1512" s="551">
        <f>'Sollecitazioni nel paramento'!$G$60*(sezione!$AN$33-C1512)/C1512</f>
        <v>3.2192249556235689E-2</v>
      </c>
      <c r="N1512" s="551">
        <f>'Sollecitazioni nel paramento'!$G$60*(sezione!$AO$33-C1512)/C1512</f>
        <v>6.7884499112471366E-2</v>
      </c>
      <c r="O1512" s="551">
        <f>'Sollecitazioni nel paramento'!$G$60*(sezione!$AP$33-C1512)/C1512</f>
        <v>0.25091703311661867</v>
      </c>
      <c r="P1512" s="545">
        <f>-'Sollecitazioni nel paramento'!$G$47*'Sollecitazioni nel paramento'!$G$41*IF(DATI!$G$211="dx",DATI!$E$61,DATI!$E$64*DATI!$E$63)*1000*C1512*sezione!$AD$5</f>
        <v>-298864.88334654074</v>
      </c>
      <c r="Q1512" s="545">
        <f>'Foglio deposito bis'!$F$68*IF(ABS(K1512)&lt;'Sollecitazioni nel paramento'!$G$58,ABS(K1512)*'Sollecitazioni nel paramento'!$G$54,'Sollecitazioni nel paramento'!$G$53)*IF(K1512&lt;0,-1,1)</f>
        <v>0</v>
      </c>
      <c r="R1512" s="545">
        <f>'Foglio deposito bis'!$F$69*IF(ABS(L1512)&lt;'Sollecitazioni nel paramento'!$G$58,ABS(L1512)*'Sollecitazioni nel paramento'!$G$54,'Sollecitazioni nel paramento'!$G$53)*IF(L1512&lt;0,-1,1)</f>
        <v>153664.85805602249</v>
      </c>
      <c r="S1512" s="545">
        <f>'Foglio deposito bis'!$F$70*IF(ABS(M1512)&lt;'Sollecitazioni nel paramento'!$G$58,ABS(M1512)*'Sollecitazioni nel paramento'!$G$54,'Sollecitazioni nel paramento'!$G$53)*IF(M1512&lt;0,-1,1)</f>
        <v>0</v>
      </c>
      <c r="T1512" s="545">
        <f>'Foglio deposito bis'!$F$71*IF(ABS(N1512)&lt;'Sollecitazioni nel paramento'!$G$58,ABS(N1512)*'Sollecitazioni nel paramento'!$G$54,'Sollecitazioni nel paramento'!$G$53)*IF(N1512&lt;0,-1,1)</f>
        <v>314705.62929873407</v>
      </c>
      <c r="U1512" s="545">
        <f>'Foglio deposito bis'!$F$72*IF(ABS(O1512)&lt;'Sollecitazioni nel paramento'!$G$58,ABS(O1512)*'Sollecitazioni nel paramento'!$G$54,'Sollecitazioni nel paramento'!$G$53)*IF(O1512&lt;0,-1,1)</f>
        <v>491727.54577927204</v>
      </c>
      <c r="V1512" s="472">
        <f t="shared" si="108"/>
        <v>661233.14978748793</v>
      </c>
      <c r="W1512" s="551"/>
      <c r="X1512" s="551"/>
    </row>
    <row r="1513" spans="1:24" x14ac:dyDescent="0.25">
      <c r="A1513" s="545">
        <f t="shared" si="107"/>
        <v>645503.41908503836</v>
      </c>
      <c r="B1513" s="3">
        <f t="shared" si="109"/>
        <v>1.0000000000000002</v>
      </c>
      <c r="C1513" s="545">
        <f>'Foglio deposito bis'!$E$159/sezione!$B$247*B1513</f>
        <v>8.2577266989261684</v>
      </c>
      <c r="D1513" s="603">
        <f>-'Sollecitazioni nel paramento'!$G$47*'Sollecitazioni nel paramento'!$G$41*IF(DATI!$G$211="dx",DATI!$E$61,DATI!$E$64*DATI!$E$63)*1000*C1513^2*sezione!$AD$5*(1-sezione!$AD$6)</f>
        <v>-1517136.4247621004</v>
      </c>
      <c r="E1513" s="545">
        <f>-'Foglio deposito bis'!$F$68*(C1513-sezione!$AL$33)*IF(ABS(K1513)&lt;'Sollecitazioni nel paramento'!$G$58,ABS(K1513)*'Sollecitazioni nel paramento'!$G$54,'Sollecitazioni nel paramento'!$G$53)</f>
        <v>0</v>
      </c>
      <c r="F1513" s="545">
        <f>-'Foglio deposito bis'!$F$69*(C1513-sezione!$AM$33)*IF(ABS(L1513)&lt;'Sollecitazioni nel paramento'!$G$58,ABS(L1513)*'Sollecitazioni nel paramento'!$G$54,'Sollecitazioni nel paramento'!$G$53)</f>
        <v>7950969.0823054332</v>
      </c>
      <c r="G1513" s="545">
        <f>-'Foglio deposito bis'!$F$70*(C1513-sezione!$AN$33)*IF(ABS(M1513)&lt;'Sollecitazioni nel paramento'!$G$58,ABS(M1513)*'Sollecitazioni nel paramento'!$G$54,'Sollecitazioni nel paramento'!$G$53)</f>
        <v>0</v>
      </c>
      <c r="H1513" s="545">
        <f>-'Foglio deposito bis'!$F$71*(C1513-sezione!$AO$33)*IF(ABS(N1513)&lt;'Sollecitazioni nel paramento'!$G$58,ABS(N1513)*'Sollecitazioni nel paramento'!$G$54,'Sollecitazioni nel paramento'!$G$53)</f>
        <v>47754147.610434934</v>
      </c>
      <c r="I1513" s="472">
        <f>-'Foglio deposito bis'!$F$72*(C1513-sezione!$AP$33)*IF(ABS(O1513)&lt;'Sollecitazioni nel paramento'!$G$58,ABS(O1513)*'Sollecitazioni nel paramento'!$G$54,'Sollecitazioni nel paramento'!$G$53)</f>
        <v>276345115.88715315</v>
      </c>
      <c r="J1513" s="472">
        <f t="shared" si="106"/>
        <v>330533096.1551314</v>
      </c>
      <c r="K1513" s="550">
        <f>'Sollecitazioni nel paramento'!$G$60*(sezione!$AL$33-C1513)/C1513</f>
        <v>1.3453818539211954E-2</v>
      </c>
      <c r="L1513" s="550">
        <f>'Sollecitazioni nel paramento'!$G$60*(sezione!$AM$33-C1513)/C1513</f>
        <v>2.193072780881793E-2</v>
      </c>
      <c r="M1513" s="551">
        <f>'Sollecitazioni nel paramento'!$G$60*(sezione!$AN$33-C1513)/C1513</f>
        <v>3.0407637078423911E-2</v>
      </c>
      <c r="N1513" s="551">
        <f>'Sollecitazioni nel paramento'!$G$60*(sezione!$AO$33-C1513)/C1513</f>
        <v>6.4315274156847804E-2</v>
      </c>
      <c r="O1513" s="551">
        <f>'Sollecitazioni nel paramento'!$G$60*(sezione!$AP$33-C1513)/C1513</f>
        <v>0.2381961814607878</v>
      </c>
      <c r="P1513" s="545">
        <f>-'Sollecitazioni nel paramento'!$G$47*'Sollecitazioni nel paramento'!$G$41*IF(DATI!$G$211="dx",DATI!$E$61,DATI!$E$64*DATI!$E$63)*1000*C1513*sezione!$AD$5</f>
        <v>-314594.61404899019</v>
      </c>
      <c r="Q1513" s="545">
        <f>'Foglio deposito bis'!$F$68*IF(ABS(K1513)&lt;'Sollecitazioni nel paramento'!$G$58,ABS(K1513)*'Sollecitazioni nel paramento'!$G$54,'Sollecitazioni nel paramento'!$G$53)*IF(K1513&lt;0,-1,1)</f>
        <v>0</v>
      </c>
      <c r="R1513" s="545">
        <f>'Foglio deposito bis'!$F$69*IF(ABS(L1513)&lt;'Sollecitazioni nel paramento'!$G$58,ABS(L1513)*'Sollecitazioni nel paramento'!$G$54,'Sollecitazioni nel paramento'!$G$53)*IF(L1513&lt;0,-1,1)</f>
        <v>153664.85805602249</v>
      </c>
      <c r="S1513" s="545">
        <f>'Foglio deposito bis'!$F$70*IF(ABS(M1513)&lt;'Sollecitazioni nel paramento'!$G$58,ABS(M1513)*'Sollecitazioni nel paramento'!$G$54,'Sollecitazioni nel paramento'!$G$53)*IF(M1513&lt;0,-1,1)</f>
        <v>0</v>
      </c>
      <c r="T1513" s="545">
        <f>'Foglio deposito bis'!$F$71*IF(ABS(N1513)&lt;'Sollecitazioni nel paramento'!$G$58,ABS(N1513)*'Sollecitazioni nel paramento'!$G$54,'Sollecitazioni nel paramento'!$G$53)*IF(N1513&lt;0,-1,1)</f>
        <v>314705.62929873407</v>
      </c>
      <c r="U1513" s="545">
        <f>'Foglio deposito bis'!$F$72*IF(ABS(O1513)&lt;'Sollecitazioni nel paramento'!$G$58,ABS(O1513)*'Sollecitazioni nel paramento'!$G$54,'Sollecitazioni nel paramento'!$G$53)*IF(O1513&lt;0,-1,1)</f>
        <v>491727.54577927204</v>
      </c>
      <c r="V1513" s="472">
        <f t="shared" si="108"/>
        <v>645503.41908503836</v>
      </c>
      <c r="W1513" s="551"/>
      <c r="X1513" s="551"/>
    </row>
    <row r="1514" spans="1:24" x14ac:dyDescent="0.25">
      <c r="A1514" s="545">
        <f t="shared" si="107"/>
        <v>629773.68838258891</v>
      </c>
      <c r="B1514" s="3">
        <f t="shared" si="109"/>
        <v>1.0500000000000003</v>
      </c>
      <c r="C1514" s="545">
        <f>'Foglio deposito bis'!$E$159/sezione!$B$247*B1514</f>
        <v>8.6706130338724776</v>
      </c>
      <c r="D1514" s="603">
        <f>-'Sollecitazioni nel paramento'!$G$47*'Sollecitazioni nel paramento'!$G$41*IF(DATI!$G$211="dx",DATI!$E$61,DATI!$E$64*DATI!$E$63)*1000*C1514^2*sezione!$AD$5*(1-sezione!$AD$6)</f>
        <v>-1672642.9083002161</v>
      </c>
      <c r="E1514" s="545">
        <f>-'Foglio deposito bis'!$F$68*(C1514-sezione!$AL$33)*IF(ABS(K1514)&lt;'Sollecitazioni nel paramento'!$G$58,ABS(K1514)*'Sollecitazioni nel paramento'!$G$54,'Sollecitazioni nel paramento'!$G$53)</f>
        <v>0</v>
      </c>
      <c r="F1514" s="545">
        <f>-'Foglio deposito bis'!$F$69*(C1514-sezione!$AM$33)*IF(ABS(L1514)&lt;'Sollecitazioni nel paramento'!$G$58,ABS(L1514)*'Sollecitazioni nel paramento'!$G$54,'Sollecitazioni nel paramento'!$G$53)</f>
        <v>7887522.9622526364</v>
      </c>
      <c r="G1514" s="545">
        <f>-'Foglio deposito bis'!$F$70*(C1514-sezione!$AN$33)*IF(ABS(M1514)&lt;'Sollecitazioni nel paramento'!$G$58,ABS(M1514)*'Sollecitazioni nel paramento'!$G$54,'Sollecitazioni nel paramento'!$G$53)</f>
        <v>0</v>
      </c>
      <c r="H1514" s="545">
        <f>-'Foglio deposito bis'!$F$71*(C1514-sezione!$AO$33)*IF(ABS(N1514)&lt;'Sollecitazioni nel paramento'!$G$58,ABS(N1514)*'Sollecitazioni nel paramento'!$G$54,'Sollecitazioni nel paramento'!$G$53)</f>
        <v>47624209.956566803</v>
      </c>
      <c r="I1514" s="472">
        <f>-'Foglio deposito bis'!$F$72*(C1514-sezione!$AP$33)*IF(ABS(O1514)&lt;'Sollecitazioni nel paramento'!$G$58,ABS(O1514)*'Sollecitazioni nel paramento'!$G$54,'Sollecitazioni nel paramento'!$G$53)</f>
        <v>276142088.30298424</v>
      </c>
      <c r="J1514" s="472">
        <f t="shared" si="106"/>
        <v>329981178.31350344</v>
      </c>
      <c r="K1514" s="550">
        <f>'Sollecitazioni nel paramento'!$G$60*(sezione!$AL$33-C1514)/C1514</f>
        <v>1.2646493846868525E-2</v>
      </c>
      <c r="L1514" s="550">
        <f>'Sollecitazioni nel paramento'!$G$60*(sezione!$AM$33-C1514)/C1514</f>
        <v>2.0719740770302787E-2</v>
      </c>
      <c r="M1514" s="551">
        <f>'Sollecitazioni nel paramento'!$G$60*(sezione!$AN$33-C1514)/C1514</f>
        <v>2.8792987693737049E-2</v>
      </c>
      <c r="N1514" s="551">
        <f>'Sollecitazioni nel paramento'!$G$60*(sezione!$AO$33-C1514)/C1514</f>
        <v>6.1085975387474095E-2</v>
      </c>
      <c r="O1514" s="551">
        <f>'Sollecitazioni nel paramento'!$G$60*(sezione!$AP$33-C1514)/C1514</f>
        <v>0.22668683948646456</v>
      </c>
      <c r="P1514" s="545">
        <f>-'Sollecitazioni nel paramento'!$G$47*'Sollecitazioni nel paramento'!$G$41*IF(DATI!$G$211="dx",DATI!$E$61,DATI!$E$64*DATI!$E$63)*1000*C1514*sezione!$AD$5</f>
        <v>-330324.3447514397</v>
      </c>
      <c r="Q1514" s="545">
        <f>'Foglio deposito bis'!$F$68*IF(ABS(K1514)&lt;'Sollecitazioni nel paramento'!$G$58,ABS(K1514)*'Sollecitazioni nel paramento'!$G$54,'Sollecitazioni nel paramento'!$G$53)*IF(K1514&lt;0,-1,1)</f>
        <v>0</v>
      </c>
      <c r="R1514" s="545">
        <f>'Foglio deposito bis'!$F$69*IF(ABS(L1514)&lt;'Sollecitazioni nel paramento'!$G$58,ABS(L1514)*'Sollecitazioni nel paramento'!$G$54,'Sollecitazioni nel paramento'!$G$53)*IF(L1514&lt;0,-1,1)</f>
        <v>153664.85805602249</v>
      </c>
      <c r="S1514" s="545">
        <f>'Foglio deposito bis'!$F$70*IF(ABS(M1514)&lt;'Sollecitazioni nel paramento'!$G$58,ABS(M1514)*'Sollecitazioni nel paramento'!$G$54,'Sollecitazioni nel paramento'!$G$53)*IF(M1514&lt;0,-1,1)</f>
        <v>0</v>
      </c>
      <c r="T1514" s="545">
        <f>'Foglio deposito bis'!$F$71*IF(ABS(N1514)&lt;'Sollecitazioni nel paramento'!$G$58,ABS(N1514)*'Sollecitazioni nel paramento'!$G$54,'Sollecitazioni nel paramento'!$G$53)*IF(N1514&lt;0,-1,1)</f>
        <v>314705.62929873407</v>
      </c>
      <c r="U1514" s="545">
        <f>'Foglio deposito bis'!$F$72*IF(ABS(O1514)&lt;'Sollecitazioni nel paramento'!$G$58,ABS(O1514)*'Sollecitazioni nel paramento'!$G$54,'Sollecitazioni nel paramento'!$G$53)*IF(O1514&lt;0,-1,1)</f>
        <v>491727.54577927204</v>
      </c>
      <c r="V1514" s="472">
        <f t="shared" si="108"/>
        <v>629773.68838258891</v>
      </c>
      <c r="W1514" s="551"/>
      <c r="X1514" s="551"/>
    </row>
    <row r="1515" spans="1:24" x14ac:dyDescent="0.25">
      <c r="A1515" s="545">
        <f t="shared" si="107"/>
        <v>614043.95768013946</v>
      </c>
      <c r="B1515" s="3">
        <f t="shared" si="109"/>
        <v>1.1000000000000003</v>
      </c>
      <c r="C1515" s="545">
        <f>'Foglio deposito bis'!$E$159/sezione!$B$247*B1515</f>
        <v>9.0834993688187851</v>
      </c>
      <c r="D1515" s="603">
        <f>-'Sollecitazioni nel paramento'!$G$47*'Sollecitazioni nel paramento'!$G$41*IF(DATI!$G$211="dx",DATI!$E$61,DATI!$E$64*DATI!$E$63)*1000*C1515^2*sezione!$AD$5*(1-sezione!$AD$6)</f>
        <v>-1835735.0739621415</v>
      </c>
      <c r="E1515" s="545">
        <f>-'Foglio deposito bis'!$F$68*(C1515-sezione!$AL$33)*IF(ABS(K1515)&lt;'Sollecitazioni nel paramento'!$G$58,ABS(K1515)*'Sollecitazioni nel paramento'!$G$54,'Sollecitazioni nel paramento'!$G$53)</f>
        <v>0</v>
      </c>
      <c r="F1515" s="545">
        <f>-'Foglio deposito bis'!$F$69*(C1515-sezione!$AM$33)*IF(ABS(L1515)&lt;'Sollecitazioni nel paramento'!$G$58,ABS(L1515)*'Sollecitazioni nel paramento'!$G$54,'Sollecitazioni nel paramento'!$G$53)</f>
        <v>7824076.8421998415</v>
      </c>
      <c r="G1515" s="545">
        <f>-'Foglio deposito bis'!$F$70*(C1515-sezione!$AN$33)*IF(ABS(M1515)&lt;'Sollecitazioni nel paramento'!$G$58,ABS(M1515)*'Sollecitazioni nel paramento'!$G$54,'Sollecitazioni nel paramento'!$G$53)</f>
        <v>0</v>
      </c>
      <c r="H1515" s="545">
        <f>-'Foglio deposito bis'!$F$71*(C1515-sezione!$AO$33)*IF(ABS(N1515)&lt;'Sollecitazioni nel paramento'!$G$58,ABS(N1515)*'Sollecitazioni nel paramento'!$G$54,'Sollecitazioni nel paramento'!$G$53)</f>
        <v>47494272.302698687</v>
      </c>
      <c r="I1515" s="472">
        <f>-'Foglio deposito bis'!$F$72*(C1515-sezione!$AP$33)*IF(ABS(O1515)&lt;'Sollecitazioni nel paramento'!$G$58,ABS(O1515)*'Sollecitazioni nel paramento'!$G$54,'Sollecitazioni nel paramento'!$G$53)</f>
        <v>275939060.71881527</v>
      </c>
      <c r="J1515" s="472">
        <f t="shared" si="106"/>
        <v>329421674.78975165</v>
      </c>
      <c r="K1515" s="550">
        <f>'Sollecitazioni nel paramento'!$G$60*(sezione!$AL$33-C1515)/C1515</f>
        <v>1.1912562308374505E-2</v>
      </c>
      <c r="L1515" s="550">
        <f>'Sollecitazioni nel paramento'!$G$60*(sezione!$AM$33-C1515)/C1515</f>
        <v>1.9618843462561757E-2</v>
      </c>
      <c r="M1515" s="551">
        <f>'Sollecitazioni nel paramento'!$G$60*(sezione!$AN$33-C1515)/C1515</f>
        <v>2.7325124616749005E-2</v>
      </c>
      <c r="N1515" s="551">
        <f>'Sollecitazioni nel paramento'!$G$60*(sezione!$AO$33-C1515)/C1515</f>
        <v>5.8150249233498007E-2</v>
      </c>
      <c r="O1515" s="551">
        <f>'Sollecitazioni nel paramento'!$G$60*(sezione!$AP$33-C1515)/C1515</f>
        <v>0.21622380132798891</v>
      </c>
      <c r="P1515" s="545">
        <f>-'Sollecitazioni nel paramento'!$G$47*'Sollecitazioni nel paramento'!$G$41*IF(DATI!$G$211="dx",DATI!$E$61,DATI!$E$64*DATI!$E$63)*1000*C1515*sezione!$AD$5</f>
        <v>-346054.07545388915</v>
      </c>
      <c r="Q1515" s="545">
        <f>'Foglio deposito bis'!$F$68*IF(ABS(K1515)&lt;'Sollecitazioni nel paramento'!$G$58,ABS(K1515)*'Sollecitazioni nel paramento'!$G$54,'Sollecitazioni nel paramento'!$G$53)*IF(K1515&lt;0,-1,1)</f>
        <v>0</v>
      </c>
      <c r="R1515" s="545">
        <f>'Foglio deposito bis'!$F$69*IF(ABS(L1515)&lt;'Sollecitazioni nel paramento'!$G$58,ABS(L1515)*'Sollecitazioni nel paramento'!$G$54,'Sollecitazioni nel paramento'!$G$53)*IF(L1515&lt;0,-1,1)</f>
        <v>153664.85805602249</v>
      </c>
      <c r="S1515" s="545">
        <f>'Foglio deposito bis'!$F$70*IF(ABS(M1515)&lt;'Sollecitazioni nel paramento'!$G$58,ABS(M1515)*'Sollecitazioni nel paramento'!$G$54,'Sollecitazioni nel paramento'!$G$53)*IF(M1515&lt;0,-1,1)</f>
        <v>0</v>
      </c>
      <c r="T1515" s="545">
        <f>'Foglio deposito bis'!$F$71*IF(ABS(N1515)&lt;'Sollecitazioni nel paramento'!$G$58,ABS(N1515)*'Sollecitazioni nel paramento'!$G$54,'Sollecitazioni nel paramento'!$G$53)*IF(N1515&lt;0,-1,1)</f>
        <v>314705.62929873407</v>
      </c>
      <c r="U1515" s="545">
        <f>'Foglio deposito bis'!$F$72*IF(ABS(O1515)&lt;'Sollecitazioni nel paramento'!$G$58,ABS(O1515)*'Sollecitazioni nel paramento'!$G$54,'Sollecitazioni nel paramento'!$G$53)*IF(O1515&lt;0,-1,1)</f>
        <v>491727.54577927204</v>
      </c>
      <c r="V1515" s="472">
        <f t="shared" si="108"/>
        <v>614043.95768013946</v>
      </c>
      <c r="W1515" s="551"/>
      <c r="X1515" s="551"/>
    </row>
    <row r="1516" spans="1:24" x14ac:dyDescent="0.25">
      <c r="A1516" s="545">
        <f t="shared" si="107"/>
        <v>598314.22697768989</v>
      </c>
      <c r="B1516" s="3">
        <f t="shared" si="109"/>
        <v>1.1500000000000004</v>
      </c>
      <c r="C1516" s="545">
        <f>'Foglio deposito bis'!$E$159/sezione!$B$247*B1516</f>
        <v>9.4963857037650943</v>
      </c>
      <c r="D1516" s="603">
        <f>-'Sollecitazioni nel paramento'!$G$47*'Sollecitazioni nel paramento'!$G$41*IF(DATI!$G$211="dx",DATI!$E$61,DATI!$E$64*DATI!$E$63)*1000*C1516^2*sezione!$AD$5*(1-sezione!$AD$6)</f>
        <v>-2006412.9217478782</v>
      </c>
      <c r="E1516" s="545">
        <f>-'Foglio deposito bis'!$F$68*(C1516-sezione!$AL$33)*IF(ABS(K1516)&lt;'Sollecitazioni nel paramento'!$G$58,ABS(K1516)*'Sollecitazioni nel paramento'!$G$54,'Sollecitazioni nel paramento'!$G$53)</f>
        <v>0</v>
      </c>
      <c r="F1516" s="545">
        <f>-'Foglio deposito bis'!$F$69*(C1516-sezione!$AM$33)*IF(ABS(L1516)&lt;'Sollecitazioni nel paramento'!$G$58,ABS(L1516)*'Sollecitazioni nel paramento'!$G$54,'Sollecitazioni nel paramento'!$G$53)</f>
        <v>7760630.7221470447</v>
      </c>
      <c r="G1516" s="545">
        <f>-'Foglio deposito bis'!$F$70*(C1516-sezione!$AN$33)*IF(ABS(M1516)&lt;'Sollecitazioni nel paramento'!$G$58,ABS(M1516)*'Sollecitazioni nel paramento'!$G$54,'Sollecitazioni nel paramento'!$G$53)</f>
        <v>0</v>
      </c>
      <c r="H1516" s="545">
        <f>-'Foglio deposito bis'!$F$71*(C1516-sezione!$AO$33)*IF(ABS(N1516)&lt;'Sollecitazioni nel paramento'!$G$58,ABS(N1516)*'Sollecitazioni nel paramento'!$G$54,'Sollecitazioni nel paramento'!$G$53)</f>
        <v>47364334.648830555</v>
      </c>
      <c r="I1516" s="472">
        <f>-'Foglio deposito bis'!$F$72*(C1516-sezione!$AP$33)*IF(ABS(O1516)&lt;'Sollecitazioni nel paramento'!$G$58,ABS(O1516)*'Sollecitazioni nel paramento'!$G$54,'Sollecitazioni nel paramento'!$G$53)</f>
        <v>275736033.1346463</v>
      </c>
      <c r="J1516" s="472">
        <f t="shared" si="106"/>
        <v>328854585.58387601</v>
      </c>
      <c r="K1516" s="550">
        <f>'Sollecitazioni nel paramento'!$G$60*(sezione!$AL$33-C1516)/C1516</f>
        <v>1.1242450903662569E-2</v>
      </c>
      <c r="L1516" s="550">
        <f>'Sollecitazioni nel paramento'!$G$60*(sezione!$AM$33-C1516)/C1516</f>
        <v>1.8613676355493852E-2</v>
      </c>
      <c r="M1516" s="551">
        <f>'Sollecitazioni nel paramento'!$G$60*(sezione!$AN$33-C1516)/C1516</f>
        <v>2.5984901807325135E-2</v>
      </c>
      <c r="N1516" s="551">
        <f>'Sollecitazioni nel paramento'!$G$60*(sezione!$AO$33-C1516)/C1516</f>
        <v>5.5469803614650273E-2</v>
      </c>
      <c r="O1516" s="551">
        <f>'Sollecitazioni nel paramento'!$G$60*(sezione!$AP$33-C1516)/C1516</f>
        <v>0.20667059257459808</v>
      </c>
      <c r="P1516" s="545">
        <f>-'Sollecitazioni nel paramento'!$G$47*'Sollecitazioni nel paramento'!$G$41*IF(DATI!$G$211="dx",DATI!$E$61,DATI!$E$64*DATI!$E$63)*1000*C1516*sezione!$AD$5</f>
        <v>-361783.80615633872</v>
      </c>
      <c r="Q1516" s="545">
        <f>'Foglio deposito bis'!$F$68*IF(ABS(K1516)&lt;'Sollecitazioni nel paramento'!$G$58,ABS(K1516)*'Sollecitazioni nel paramento'!$G$54,'Sollecitazioni nel paramento'!$G$53)*IF(K1516&lt;0,-1,1)</f>
        <v>0</v>
      </c>
      <c r="R1516" s="545">
        <f>'Foglio deposito bis'!$F$69*IF(ABS(L1516)&lt;'Sollecitazioni nel paramento'!$G$58,ABS(L1516)*'Sollecitazioni nel paramento'!$G$54,'Sollecitazioni nel paramento'!$G$53)*IF(L1516&lt;0,-1,1)</f>
        <v>153664.85805602249</v>
      </c>
      <c r="S1516" s="545">
        <f>'Foglio deposito bis'!$F$70*IF(ABS(M1516)&lt;'Sollecitazioni nel paramento'!$G$58,ABS(M1516)*'Sollecitazioni nel paramento'!$G$54,'Sollecitazioni nel paramento'!$G$53)*IF(M1516&lt;0,-1,1)</f>
        <v>0</v>
      </c>
      <c r="T1516" s="545">
        <f>'Foglio deposito bis'!$F$71*IF(ABS(N1516)&lt;'Sollecitazioni nel paramento'!$G$58,ABS(N1516)*'Sollecitazioni nel paramento'!$G$54,'Sollecitazioni nel paramento'!$G$53)*IF(N1516&lt;0,-1,1)</f>
        <v>314705.62929873407</v>
      </c>
      <c r="U1516" s="545">
        <f>'Foglio deposito bis'!$F$72*IF(ABS(O1516)&lt;'Sollecitazioni nel paramento'!$G$58,ABS(O1516)*'Sollecitazioni nel paramento'!$G$54,'Sollecitazioni nel paramento'!$G$53)*IF(O1516&lt;0,-1,1)</f>
        <v>491727.54577927204</v>
      </c>
      <c r="V1516" s="472">
        <f t="shared" si="108"/>
        <v>598314.22697768989</v>
      </c>
      <c r="W1516" s="551"/>
      <c r="X1516" s="551"/>
    </row>
    <row r="1517" spans="1:24" x14ac:dyDescent="0.25">
      <c r="A1517" s="545">
        <f t="shared" si="107"/>
        <v>582584.49627524032</v>
      </c>
      <c r="B1517" s="3">
        <f t="shared" si="109"/>
        <v>1.2000000000000004</v>
      </c>
      <c r="C1517" s="545">
        <f>'Foglio deposito bis'!$E$159/sezione!$B$247*B1517</f>
        <v>9.9092720387114035</v>
      </c>
      <c r="D1517" s="603">
        <f>-'Sollecitazioni nel paramento'!$G$47*'Sollecitazioni nel paramento'!$G$41*IF(DATI!$G$211="dx",DATI!$E$61,DATI!$E$64*DATI!$E$63)*1000*C1517^2*sezione!$AD$5*(1-sezione!$AD$6)</f>
        <v>-2184676.4516574251</v>
      </c>
      <c r="E1517" s="545">
        <f>-'Foglio deposito bis'!$F$68*(C1517-sezione!$AL$33)*IF(ABS(K1517)&lt;'Sollecitazioni nel paramento'!$G$58,ABS(K1517)*'Sollecitazioni nel paramento'!$G$54,'Sollecitazioni nel paramento'!$G$53)</f>
        <v>0</v>
      </c>
      <c r="F1517" s="545">
        <f>-'Foglio deposito bis'!$F$69*(C1517-sezione!$AM$33)*IF(ABS(L1517)&lt;'Sollecitazioni nel paramento'!$G$58,ABS(L1517)*'Sollecitazioni nel paramento'!$G$54,'Sollecitazioni nel paramento'!$G$53)</f>
        <v>7697184.6020942479</v>
      </c>
      <c r="G1517" s="545">
        <f>-'Foglio deposito bis'!$F$70*(C1517-sezione!$AN$33)*IF(ABS(M1517)&lt;'Sollecitazioni nel paramento'!$G$58,ABS(M1517)*'Sollecitazioni nel paramento'!$G$54,'Sollecitazioni nel paramento'!$G$53)</f>
        <v>0</v>
      </c>
      <c r="H1517" s="545">
        <f>-'Foglio deposito bis'!$F$71*(C1517-sezione!$AO$33)*IF(ABS(N1517)&lt;'Sollecitazioni nel paramento'!$G$58,ABS(N1517)*'Sollecitazioni nel paramento'!$G$54,'Sollecitazioni nel paramento'!$G$53)</f>
        <v>47234396.994962431</v>
      </c>
      <c r="I1517" s="472">
        <f>-'Foglio deposito bis'!$F$72*(C1517-sezione!$AP$33)*IF(ABS(O1517)&lt;'Sollecitazioni nel paramento'!$G$58,ABS(O1517)*'Sollecitazioni nel paramento'!$G$54,'Sollecitazioni nel paramento'!$G$53)</f>
        <v>275533005.55047733</v>
      </c>
      <c r="J1517" s="472">
        <f t="shared" si="106"/>
        <v>328279910.6958766</v>
      </c>
      <c r="K1517" s="550">
        <f>'Sollecitazioni nel paramento'!$G$60*(sezione!$AL$33-C1517)/C1517</f>
        <v>1.0628182116009958E-2</v>
      </c>
      <c r="L1517" s="550">
        <f>'Sollecitazioni nel paramento'!$G$60*(sezione!$AM$33-C1517)/C1517</f>
        <v>1.7692273174014939E-2</v>
      </c>
      <c r="M1517" s="551">
        <f>'Sollecitazioni nel paramento'!$G$60*(sezione!$AN$33-C1517)/C1517</f>
        <v>2.4756364232019917E-2</v>
      </c>
      <c r="N1517" s="551">
        <f>'Sollecitazioni nel paramento'!$G$60*(sezione!$AO$33-C1517)/C1517</f>
        <v>5.3012728464039843E-2</v>
      </c>
      <c r="O1517" s="551">
        <f>'Sollecitazioni nel paramento'!$G$60*(sezione!$AP$33-C1517)/C1517</f>
        <v>0.19791348455065649</v>
      </c>
      <c r="P1517" s="545">
        <f>-'Sollecitazioni nel paramento'!$G$47*'Sollecitazioni nel paramento'!$G$41*IF(DATI!$G$211="dx",DATI!$E$61,DATI!$E$64*DATI!$E$63)*1000*C1517*sezione!$AD$5</f>
        <v>-377513.53685878828</v>
      </c>
      <c r="Q1517" s="545">
        <f>'Foglio deposito bis'!$F$68*IF(ABS(K1517)&lt;'Sollecitazioni nel paramento'!$G$58,ABS(K1517)*'Sollecitazioni nel paramento'!$G$54,'Sollecitazioni nel paramento'!$G$53)*IF(K1517&lt;0,-1,1)</f>
        <v>0</v>
      </c>
      <c r="R1517" s="545">
        <f>'Foglio deposito bis'!$F$69*IF(ABS(L1517)&lt;'Sollecitazioni nel paramento'!$G$58,ABS(L1517)*'Sollecitazioni nel paramento'!$G$54,'Sollecitazioni nel paramento'!$G$53)*IF(L1517&lt;0,-1,1)</f>
        <v>153664.85805602249</v>
      </c>
      <c r="S1517" s="545">
        <f>'Foglio deposito bis'!$F$70*IF(ABS(M1517)&lt;'Sollecitazioni nel paramento'!$G$58,ABS(M1517)*'Sollecitazioni nel paramento'!$G$54,'Sollecitazioni nel paramento'!$G$53)*IF(M1517&lt;0,-1,1)</f>
        <v>0</v>
      </c>
      <c r="T1517" s="545">
        <f>'Foglio deposito bis'!$F$71*IF(ABS(N1517)&lt;'Sollecitazioni nel paramento'!$G$58,ABS(N1517)*'Sollecitazioni nel paramento'!$G$54,'Sollecitazioni nel paramento'!$G$53)*IF(N1517&lt;0,-1,1)</f>
        <v>314705.62929873407</v>
      </c>
      <c r="U1517" s="545">
        <f>'Foglio deposito bis'!$F$72*IF(ABS(O1517)&lt;'Sollecitazioni nel paramento'!$G$58,ABS(O1517)*'Sollecitazioni nel paramento'!$G$54,'Sollecitazioni nel paramento'!$G$53)*IF(O1517&lt;0,-1,1)</f>
        <v>491727.54577927204</v>
      </c>
      <c r="V1517" s="472">
        <f t="shared" si="108"/>
        <v>582584.49627524032</v>
      </c>
      <c r="W1517" s="551"/>
      <c r="X1517" s="551"/>
    </row>
    <row r="1518" spans="1:24" x14ac:dyDescent="0.25">
      <c r="A1518" s="545">
        <f t="shared" si="107"/>
        <v>566854.76557279075</v>
      </c>
      <c r="B1518" s="3">
        <f t="shared" si="109"/>
        <v>1.2500000000000004</v>
      </c>
      <c r="C1518" s="545">
        <f>'Foglio deposito bis'!$E$159/sezione!$B$247*B1518</f>
        <v>10.322158373657713</v>
      </c>
      <c r="D1518" s="603">
        <f>-'Sollecitazioni nel paramento'!$G$47*'Sollecitazioni nel paramento'!$G$41*IF(DATI!$G$211="dx",DATI!$E$61,DATI!$E$64*DATI!$E$63)*1000*C1518^2*sezione!$AD$5*(1-sezione!$AD$6)</f>
        <v>-2370525.6636907831</v>
      </c>
      <c r="E1518" s="545">
        <f>-'Foglio deposito bis'!$F$68*(C1518-sezione!$AL$33)*IF(ABS(K1518)&lt;'Sollecitazioni nel paramento'!$G$58,ABS(K1518)*'Sollecitazioni nel paramento'!$G$54,'Sollecitazioni nel paramento'!$G$53)</f>
        <v>0</v>
      </c>
      <c r="F1518" s="545">
        <f>-'Foglio deposito bis'!$F$69*(C1518-sezione!$AM$33)*IF(ABS(L1518)&lt;'Sollecitazioni nel paramento'!$G$58,ABS(L1518)*'Sollecitazioni nel paramento'!$G$54,'Sollecitazioni nel paramento'!$G$53)</f>
        <v>7633738.482041453</v>
      </c>
      <c r="G1518" s="545">
        <f>-'Foglio deposito bis'!$F$70*(C1518-sezione!$AN$33)*IF(ABS(M1518)&lt;'Sollecitazioni nel paramento'!$G$58,ABS(M1518)*'Sollecitazioni nel paramento'!$G$54,'Sollecitazioni nel paramento'!$G$53)</f>
        <v>0</v>
      </c>
      <c r="H1518" s="545">
        <f>-'Foglio deposito bis'!$F$71*(C1518-sezione!$AO$33)*IF(ABS(N1518)&lt;'Sollecitazioni nel paramento'!$G$58,ABS(N1518)*'Sollecitazioni nel paramento'!$G$54,'Sollecitazioni nel paramento'!$G$53)</f>
        <v>47104459.341094308</v>
      </c>
      <c r="I1518" s="472">
        <f>-'Foglio deposito bis'!$F$72*(C1518-sezione!$AP$33)*IF(ABS(O1518)&lt;'Sollecitazioni nel paramento'!$G$58,ABS(O1518)*'Sollecitazioni nel paramento'!$G$54,'Sollecitazioni nel paramento'!$G$53)</f>
        <v>275329977.96630847</v>
      </c>
      <c r="J1518" s="472">
        <f t="shared" si="106"/>
        <v>327697650.12575346</v>
      </c>
      <c r="K1518" s="550">
        <f>'Sollecitazioni nel paramento'!$G$60*(sezione!$AL$33-C1518)/C1518</f>
        <v>1.006305483136956E-2</v>
      </c>
      <c r="L1518" s="550">
        <f>'Sollecitazioni nel paramento'!$G$60*(sezione!$AM$33-C1518)/C1518</f>
        <v>1.6844582247054339E-2</v>
      </c>
      <c r="M1518" s="551">
        <f>'Sollecitazioni nel paramento'!$G$60*(sezione!$AN$33-C1518)/C1518</f>
        <v>2.362610966273912E-2</v>
      </c>
      <c r="N1518" s="551">
        <f>'Sollecitazioni nel paramento'!$G$60*(sezione!$AO$33-C1518)/C1518</f>
        <v>5.0752219325478243E-2</v>
      </c>
      <c r="O1518" s="551">
        <f>'Sollecitazioni nel paramento'!$G$60*(sezione!$AP$33-C1518)/C1518</f>
        <v>0.18985694516863022</v>
      </c>
      <c r="P1518" s="545">
        <f>-'Sollecitazioni nel paramento'!$G$47*'Sollecitazioni nel paramento'!$G$41*IF(DATI!$G$211="dx",DATI!$E$61,DATI!$E$64*DATI!$E$63)*1000*C1518*sezione!$AD$5</f>
        <v>-393243.26756123779</v>
      </c>
      <c r="Q1518" s="545">
        <f>'Foglio deposito bis'!$F$68*IF(ABS(K1518)&lt;'Sollecitazioni nel paramento'!$G$58,ABS(K1518)*'Sollecitazioni nel paramento'!$G$54,'Sollecitazioni nel paramento'!$G$53)*IF(K1518&lt;0,-1,1)</f>
        <v>0</v>
      </c>
      <c r="R1518" s="545">
        <f>'Foglio deposito bis'!$F$69*IF(ABS(L1518)&lt;'Sollecitazioni nel paramento'!$G$58,ABS(L1518)*'Sollecitazioni nel paramento'!$G$54,'Sollecitazioni nel paramento'!$G$53)*IF(L1518&lt;0,-1,1)</f>
        <v>153664.85805602249</v>
      </c>
      <c r="S1518" s="545">
        <f>'Foglio deposito bis'!$F$70*IF(ABS(M1518)&lt;'Sollecitazioni nel paramento'!$G$58,ABS(M1518)*'Sollecitazioni nel paramento'!$G$54,'Sollecitazioni nel paramento'!$G$53)*IF(M1518&lt;0,-1,1)</f>
        <v>0</v>
      </c>
      <c r="T1518" s="545">
        <f>'Foglio deposito bis'!$F$71*IF(ABS(N1518)&lt;'Sollecitazioni nel paramento'!$G$58,ABS(N1518)*'Sollecitazioni nel paramento'!$G$54,'Sollecitazioni nel paramento'!$G$53)*IF(N1518&lt;0,-1,1)</f>
        <v>314705.62929873407</v>
      </c>
      <c r="U1518" s="545">
        <f>'Foglio deposito bis'!$F$72*IF(ABS(O1518)&lt;'Sollecitazioni nel paramento'!$G$58,ABS(O1518)*'Sollecitazioni nel paramento'!$G$54,'Sollecitazioni nel paramento'!$G$53)*IF(O1518&lt;0,-1,1)</f>
        <v>491727.54577927204</v>
      </c>
      <c r="V1518" s="472">
        <f t="shared" si="108"/>
        <v>566854.76557279075</v>
      </c>
      <c r="W1518" s="551"/>
      <c r="X1518" s="551"/>
    </row>
    <row r="1519" spans="1:24" x14ac:dyDescent="0.25">
      <c r="A1519" s="545">
        <f t="shared" si="107"/>
        <v>551125.03487034142</v>
      </c>
      <c r="B1519" s="3">
        <f t="shared" si="109"/>
        <v>1.3000000000000005</v>
      </c>
      <c r="C1519" s="545">
        <f>'Foglio deposito bis'!$E$159/sezione!$B$247*B1519</f>
        <v>10.73504470860402</v>
      </c>
      <c r="D1519" s="603">
        <f>-'Sollecitazioni nel paramento'!$G$47*'Sollecitazioni nel paramento'!$G$41*IF(DATI!$G$211="dx",DATI!$E$61,DATI!$E$64*DATI!$E$63)*1000*C1519^2*sezione!$AD$5*(1-sezione!$AD$6)</f>
        <v>-2563960.5578479506</v>
      </c>
      <c r="E1519" s="545">
        <f>-'Foglio deposito bis'!$F$68*(C1519-sezione!$AL$33)*IF(ABS(K1519)&lt;'Sollecitazioni nel paramento'!$G$58,ABS(K1519)*'Sollecitazioni nel paramento'!$G$54,'Sollecitazioni nel paramento'!$G$53)</f>
        <v>0</v>
      </c>
      <c r="F1519" s="545">
        <f>-'Foglio deposito bis'!$F$69*(C1519-sezione!$AM$33)*IF(ABS(L1519)&lt;'Sollecitazioni nel paramento'!$G$58,ABS(L1519)*'Sollecitazioni nel paramento'!$G$54,'Sollecitazioni nel paramento'!$G$53)</f>
        <v>7570292.3619886572</v>
      </c>
      <c r="G1519" s="545">
        <f>-'Foglio deposito bis'!$F$70*(C1519-sezione!$AN$33)*IF(ABS(M1519)&lt;'Sollecitazioni nel paramento'!$G$58,ABS(M1519)*'Sollecitazioni nel paramento'!$G$54,'Sollecitazioni nel paramento'!$G$53)</f>
        <v>0</v>
      </c>
      <c r="H1519" s="545">
        <f>-'Foglio deposito bis'!$F$71*(C1519-sezione!$AO$33)*IF(ABS(N1519)&lt;'Sollecitazioni nel paramento'!$G$58,ABS(N1519)*'Sollecitazioni nel paramento'!$G$54,'Sollecitazioni nel paramento'!$G$53)</f>
        <v>46974521.687226184</v>
      </c>
      <c r="I1519" s="472">
        <f>-'Foglio deposito bis'!$F$72*(C1519-sezione!$AP$33)*IF(ABS(O1519)&lt;'Sollecitazioni nel paramento'!$G$58,ABS(O1519)*'Sollecitazioni nel paramento'!$G$54,'Sollecitazioni nel paramento'!$G$53)</f>
        <v>275126950.38213944</v>
      </c>
      <c r="J1519" s="472">
        <f t="shared" si="106"/>
        <v>327107803.87350631</v>
      </c>
      <c r="K1519" s="550">
        <f>'Sollecitazioni nel paramento'!$G$60*(sezione!$AL$33-C1519)/C1519</f>
        <v>9.5413988763168867E-3</v>
      </c>
      <c r="L1519" s="550">
        <f>'Sollecitazioni nel paramento'!$G$60*(sezione!$AM$33-C1519)/C1519</f>
        <v>1.6062098314475328E-2</v>
      </c>
      <c r="M1519" s="551">
        <f>'Sollecitazioni nel paramento'!$G$60*(sezione!$AN$33-C1519)/C1519</f>
        <v>2.2582797752633773E-2</v>
      </c>
      <c r="N1519" s="551">
        <f>'Sollecitazioni nel paramento'!$G$60*(sezione!$AO$33-C1519)/C1519</f>
        <v>4.8665595505267549E-2</v>
      </c>
      <c r="O1519" s="551">
        <f>'Sollecitazioni nel paramento'!$G$60*(sezione!$AP$33-C1519)/C1519</f>
        <v>0.18242013958522135</v>
      </c>
      <c r="P1519" s="545">
        <f>-'Sollecitazioni nel paramento'!$G$47*'Sollecitazioni nel paramento'!$G$41*IF(DATI!$G$211="dx",DATI!$E$61,DATI!$E$64*DATI!$E$63)*1000*C1519*sezione!$AD$5</f>
        <v>-408972.99826368724</v>
      </c>
      <c r="Q1519" s="545">
        <f>'Foglio deposito bis'!$F$68*IF(ABS(K1519)&lt;'Sollecitazioni nel paramento'!$G$58,ABS(K1519)*'Sollecitazioni nel paramento'!$G$54,'Sollecitazioni nel paramento'!$G$53)*IF(K1519&lt;0,-1,1)</f>
        <v>0</v>
      </c>
      <c r="R1519" s="545">
        <f>'Foglio deposito bis'!$F$69*IF(ABS(L1519)&lt;'Sollecitazioni nel paramento'!$G$58,ABS(L1519)*'Sollecitazioni nel paramento'!$G$54,'Sollecitazioni nel paramento'!$G$53)*IF(L1519&lt;0,-1,1)</f>
        <v>153664.85805602249</v>
      </c>
      <c r="S1519" s="545">
        <f>'Foglio deposito bis'!$F$70*IF(ABS(M1519)&lt;'Sollecitazioni nel paramento'!$G$58,ABS(M1519)*'Sollecitazioni nel paramento'!$G$54,'Sollecitazioni nel paramento'!$G$53)*IF(M1519&lt;0,-1,1)</f>
        <v>0</v>
      </c>
      <c r="T1519" s="545">
        <f>'Foglio deposito bis'!$F$71*IF(ABS(N1519)&lt;'Sollecitazioni nel paramento'!$G$58,ABS(N1519)*'Sollecitazioni nel paramento'!$G$54,'Sollecitazioni nel paramento'!$G$53)*IF(N1519&lt;0,-1,1)</f>
        <v>314705.62929873407</v>
      </c>
      <c r="U1519" s="545">
        <f>'Foglio deposito bis'!$F$72*IF(ABS(O1519)&lt;'Sollecitazioni nel paramento'!$G$58,ABS(O1519)*'Sollecitazioni nel paramento'!$G$54,'Sollecitazioni nel paramento'!$G$53)*IF(O1519&lt;0,-1,1)</f>
        <v>491727.54577927204</v>
      </c>
      <c r="V1519" s="472">
        <f t="shared" si="108"/>
        <v>551125.03487034142</v>
      </c>
      <c r="W1519" s="551"/>
      <c r="X1519" s="551"/>
    </row>
    <row r="1520" spans="1:24" x14ac:dyDescent="0.25">
      <c r="A1520" s="545">
        <f t="shared" si="107"/>
        <v>535395.30416789185</v>
      </c>
      <c r="B1520" s="3">
        <f t="shared" si="109"/>
        <v>1.3500000000000005</v>
      </c>
      <c r="C1520" s="545">
        <f>'Foglio deposito bis'!$E$159/sezione!$B$247*B1520</f>
        <v>11.147931043550329</v>
      </c>
      <c r="D1520" s="603">
        <f>-'Sollecitazioni nel paramento'!$G$47*'Sollecitazioni nel paramento'!$G$41*IF(DATI!$G$211="dx",DATI!$E$61,DATI!$E$64*DATI!$E$63)*1000*C1520^2*sezione!$AD$5*(1-sezione!$AD$6)</f>
        <v>-2764981.1341289291</v>
      </c>
      <c r="E1520" s="545">
        <f>-'Foglio deposito bis'!$F$68*(C1520-sezione!$AL$33)*IF(ABS(K1520)&lt;'Sollecitazioni nel paramento'!$G$58,ABS(K1520)*'Sollecitazioni nel paramento'!$G$54,'Sollecitazioni nel paramento'!$G$53)</f>
        <v>0</v>
      </c>
      <c r="F1520" s="545">
        <f>-'Foglio deposito bis'!$F$69*(C1520-sezione!$AM$33)*IF(ABS(L1520)&lt;'Sollecitazioni nel paramento'!$G$58,ABS(L1520)*'Sollecitazioni nel paramento'!$G$54,'Sollecitazioni nel paramento'!$G$53)</f>
        <v>7506846.2419358622</v>
      </c>
      <c r="G1520" s="545">
        <f>-'Foglio deposito bis'!$F$70*(C1520-sezione!$AN$33)*IF(ABS(M1520)&lt;'Sollecitazioni nel paramento'!$G$58,ABS(M1520)*'Sollecitazioni nel paramento'!$G$54,'Sollecitazioni nel paramento'!$G$53)</f>
        <v>0</v>
      </c>
      <c r="H1520" s="545">
        <f>-'Foglio deposito bis'!$F$71*(C1520-sezione!$AO$33)*IF(ABS(N1520)&lt;'Sollecitazioni nel paramento'!$G$58,ABS(N1520)*'Sollecitazioni nel paramento'!$G$54,'Sollecitazioni nel paramento'!$G$53)</f>
        <v>46844584.033358052</v>
      </c>
      <c r="I1520" s="472">
        <f>-'Foglio deposito bis'!$F$72*(C1520-sezione!$AP$33)*IF(ABS(O1520)&lt;'Sollecitazioni nel paramento'!$G$58,ABS(O1520)*'Sollecitazioni nel paramento'!$G$54,'Sollecitazioni nel paramento'!$G$53)</f>
        <v>274923922.79797053</v>
      </c>
      <c r="J1520" s="472">
        <f t="shared" si="106"/>
        <v>326510371.93913555</v>
      </c>
      <c r="K1520" s="550">
        <f>'Sollecitazioni nel paramento'!$G$60*(sezione!$AL$33-C1520)/C1520</f>
        <v>9.0583841031199631E-3</v>
      </c>
      <c r="L1520" s="550">
        <f>'Sollecitazioni nel paramento'!$G$60*(sezione!$AM$33-C1520)/C1520</f>
        <v>1.5337576154679945E-2</v>
      </c>
      <c r="M1520" s="551">
        <f>'Sollecitazioni nel paramento'!$G$60*(sezione!$AN$33-C1520)/C1520</f>
        <v>2.1616768206239926E-2</v>
      </c>
      <c r="N1520" s="551">
        <f>'Sollecitazioni nel paramento'!$G$60*(sezione!$AO$33-C1520)/C1520</f>
        <v>4.6733536412479855E-2</v>
      </c>
      <c r="O1520" s="551">
        <f>'Sollecitazioni nel paramento'!$G$60*(sezione!$AP$33-C1520)/C1520</f>
        <v>0.17553420848947243</v>
      </c>
      <c r="P1520" s="545">
        <f>-'Sollecitazioni nel paramento'!$G$47*'Sollecitazioni nel paramento'!$G$41*IF(DATI!$G$211="dx",DATI!$E$61,DATI!$E$64*DATI!$E$63)*1000*C1520*sezione!$AD$5</f>
        <v>-424702.72896613681</v>
      </c>
      <c r="Q1520" s="545">
        <f>'Foglio deposito bis'!$F$68*IF(ABS(K1520)&lt;'Sollecitazioni nel paramento'!$G$58,ABS(K1520)*'Sollecitazioni nel paramento'!$G$54,'Sollecitazioni nel paramento'!$G$53)*IF(K1520&lt;0,-1,1)</f>
        <v>0</v>
      </c>
      <c r="R1520" s="545">
        <f>'Foglio deposito bis'!$F$69*IF(ABS(L1520)&lt;'Sollecitazioni nel paramento'!$G$58,ABS(L1520)*'Sollecitazioni nel paramento'!$G$54,'Sollecitazioni nel paramento'!$G$53)*IF(L1520&lt;0,-1,1)</f>
        <v>153664.85805602249</v>
      </c>
      <c r="S1520" s="545">
        <f>'Foglio deposito bis'!$F$70*IF(ABS(M1520)&lt;'Sollecitazioni nel paramento'!$G$58,ABS(M1520)*'Sollecitazioni nel paramento'!$G$54,'Sollecitazioni nel paramento'!$G$53)*IF(M1520&lt;0,-1,1)</f>
        <v>0</v>
      </c>
      <c r="T1520" s="545">
        <f>'Foglio deposito bis'!$F$71*IF(ABS(N1520)&lt;'Sollecitazioni nel paramento'!$G$58,ABS(N1520)*'Sollecitazioni nel paramento'!$G$54,'Sollecitazioni nel paramento'!$G$53)*IF(N1520&lt;0,-1,1)</f>
        <v>314705.62929873407</v>
      </c>
      <c r="U1520" s="545">
        <f>'Foglio deposito bis'!$F$72*IF(ABS(O1520)&lt;'Sollecitazioni nel paramento'!$G$58,ABS(O1520)*'Sollecitazioni nel paramento'!$G$54,'Sollecitazioni nel paramento'!$G$53)*IF(O1520&lt;0,-1,1)</f>
        <v>491727.54577927204</v>
      </c>
      <c r="V1520" s="472">
        <f t="shared" si="108"/>
        <v>535395.30416789185</v>
      </c>
      <c r="W1520" s="551"/>
      <c r="X1520" s="551"/>
    </row>
    <row r="1521" spans="1:24" x14ac:dyDescent="0.25">
      <c r="A1521" s="545">
        <f t="shared" si="107"/>
        <v>519665.57346544228</v>
      </c>
      <c r="B1521" s="3">
        <f t="shared" si="109"/>
        <v>1.4000000000000006</v>
      </c>
      <c r="C1521" s="545">
        <f>'Foglio deposito bis'!$E$159/sezione!$B$247*B1521</f>
        <v>11.560817378496639</v>
      </c>
      <c r="D1521" s="603">
        <f>-'Sollecitazioni nel paramento'!$G$47*'Sollecitazioni nel paramento'!$G$41*IF(DATI!$G$211="dx",DATI!$E$61,DATI!$E$64*DATI!$E$63)*1000*C1521^2*sezione!$AD$5*(1-sezione!$AD$6)</f>
        <v>-2973587.3925337181</v>
      </c>
      <c r="E1521" s="545">
        <f>-'Foglio deposito bis'!$F$68*(C1521-sezione!$AL$33)*IF(ABS(K1521)&lt;'Sollecitazioni nel paramento'!$G$58,ABS(K1521)*'Sollecitazioni nel paramento'!$G$54,'Sollecitazioni nel paramento'!$G$53)</f>
        <v>0</v>
      </c>
      <c r="F1521" s="545">
        <f>-'Foglio deposito bis'!$F$69*(C1521-sezione!$AM$33)*IF(ABS(L1521)&lt;'Sollecitazioni nel paramento'!$G$58,ABS(L1521)*'Sollecitazioni nel paramento'!$G$54,'Sollecitazioni nel paramento'!$G$53)</f>
        <v>7443400.1218830654</v>
      </c>
      <c r="G1521" s="545">
        <f>-'Foglio deposito bis'!$F$70*(C1521-sezione!$AN$33)*IF(ABS(M1521)&lt;'Sollecitazioni nel paramento'!$G$58,ABS(M1521)*'Sollecitazioni nel paramento'!$G$54,'Sollecitazioni nel paramento'!$G$53)</f>
        <v>0</v>
      </c>
      <c r="H1521" s="545">
        <f>-'Foglio deposito bis'!$F$71*(C1521-sezione!$AO$33)*IF(ABS(N1521)&lt;'Sollecitazioni nel paramento'!$G$58,ABS(N1521)*'Sollecitazioni nel paramento'!$G$54,'Sollecitazioni nel paramento'!$G$53)</f>
        <v>46714646.379489928</v>
      </c>
      <c r="I1521" s="472">
        <f>-'Foglio deposito bis'!$F$72*(C1521-sezione!$AP$33)*IF(ABS(O1521)&lt;'Sollecitazioni nel paramento'!$G$58,ABS(O1521)*'Sollecitazioni nel paramento'!$G$54,'Sollecitazioni nel paramento'!$G$53)</f>
        <v>274720895.21380162</v>
      </c>
      <c r="J1521" s="472">
        <f t="shared" si="106"/>
        <v>325905354.3226409</v>
      </c>
      <c r="K1521" s="550">
        <f>'Sollecitazioni nel paramento'!$G$60*(sezione!$AL$33-C1521)/C1521</f>
        <v>8.6098703851513938E-3</v>
      </c>
      <c r="L1521" s="550">
        <f>'Sollecitazioni nel paramento'!$G$60*(sezione!$AM$33-C1521)/C1521</f>
        <v>1.466480557772709E-2</v>
      </c>
      <c r="M1521" s="551">
        <f>'Sollecitazioni nel paramento'!$G$60*(sezione!$AN$33-C1521)/C1521</f>
        <v>2.0719740770302787E-2</v>
      </c>
      <c r="N1521" s="551">
        <f>'Sollecitazioni nel paramento'!$G$60*(sezione!$AO$33-C1521)/C1521</f>
        <v>4.4939481540605571E-2</v>
      </c>
      <c r="O1521" s="551">
        <f>'Sollecitazioni nel paramento'!$G$60*(sezione!$AP$33-C1521)/C1521</f>
        <v>0.16914012961484839</v>
      </c>
      <c r="P1521" s="545">
        <f>-'Sollecitazioni nel paramento'!$G$47*'Sollecitazioni nel paramento'!$G$41*IF(DATI!$G$211="dx",DATI!$E$61,DATI!$E$64*DATI!$E$63)*1000*C1521*sezione!$AD$5</f>
        <v>-440432.45966858632</v>
      </c>
      <c r="Q1521" s="545">
        <f>'Foglio deposito bis'!$F$68*IF(ABS(K1521)&lt;'Sollecitazioni nel paramento'!$G$58,ABS(K1521)*'Sollecitazioni nel paramento'!$G$54,'Sollecitazioni nel paramento'!$G$53)*IF(K1521&lt;0,-1,1)</f>
        <v>0</v>
      </c>
      <c r="R1521" s="545">
        <f>'Foglio deposito bis'!$F$69*IF(ABS(L1521)&lt;'Sollecitazioni nel paramento'!$G$58,ABS(L1521)*'Sollecitazioni nel paramento'!$G$54,'Sollecitazioni nel paramento'!$G$53)*IF(L1521&lt;0,-1,1)</f>
        <v>153664.85805602249</v>
      </c>
      <c r="S1521" s="545">
        <f>'Foglio deposito bis'!$F$70*IF(ABS(M1521)&lt;'Sollecitazioni nel paramento'!$G$58,ABS(M1521)*'Sollecitazioni nel paramento'!$G$54,'Sollecitazioni nel paramento'!$G$53)*IF(M1521&lt;0,-1,1)</f>
        <v>0</v>
      </c>
      <c r="T1521" s="545">
        <f>'Foglio deposito bis'!$F$71*IF(ABS(N1521)&lt;'Sollecitazioni nel paramento'!$G$58,ABS(N1521)*'Sollecitazioni nel paramento'!$G$54,'Sollecitazioni nel paramento'!$G$53)*IF(N1521&lt;0,-1,1)</f>
        <v>314705.62929873407</v>
      </c>
      <c r="U1521" s="545">
        <f>'Foglio deposito bis'!$F$72*IF(ABS(O1521)&lt;'Sollecitazioni nel paramento'!$G$58,ABS(O1521)*'Sollecitazioni nel paramento'!$G$54,'Sollecitazioni nel paramento'!$G$53)*IF(O1521&lt;0,-1,1)</f>
        <v>491727.54577927204</v>
      </c>
      <c r="V1521" s="472">
        <f t="shared" si="108"/>
        <v>519665.57346544228</v>
      </c>
      <c r="W1521" s="551"/>
      <c r="X1521" s="551"/>
    </row>
    <row r="1522" spans="1:24" x14ac:dyDescent="0.25">
      <c r="A1522" s="545">
        <f t="shared" si="107"/>
        <v>503935.84276299278</v>
      </c>
      <c r="B1522" s="3">
        <f t="shared" si="109"/>
        <v>1.4500000000000006</v>
      </c>
      <c r="C1522" s="545">
        <f>'Foglio deposito bis'!$E$159/sezione!$B$247*B1522</f>
        <v>11.973703713442946</v>
      </c>
      <c r="D1522" s="603">
        <f>-'Sollecitazioni nel paramento'!$G$47*'Sollecitazioni nel paramento'!$G$41*IF(DATI!$G$211="dx",DATI!$E$61,DATI!$E$64*DATI!$E$63)*1000*C1522^2*sezione!$AD$5*(1-sezione!$AD$6)</f>
        <v>-3189779.3330623172</v>
      </c>
      <c r="E1522" s="545">
        <f>-'Foglio deposito bis'!$F$68*(C1522-sezione!$AL$33)*IF(ABS(K1522)&lt;'Sollecitazioni nel paramento'!$G$58,ABS(K1522)*'Sollecitazioni nel paramento'!$G$54,'Sollecitazioni nel paramento'!$G$53)</f>
        <v>0</v>
      </c>
      <c r="F1522" s="545">
        <f>-'Foglio deposito bis'!$F$69*(C1522-sezione!$AM$33)*IF(ABS(L1522)&lt;'Sollecitazioni nel paramento'!$G$58,ABS(L1522)*'Sollecitazioni nel paramento'!$G$54,'Sollecitazioni nel paramento'!$G$53)</f>
        <v>7379954.0018302705</v>
      </c>
      <c r="G1522" s="545">
        <f>-'Foglio deposito bis'!$F$70*(C1522-sezione!$AN$33)*IF(ABS(M1522)&lt;'Sollecitazioni nel paramento'!$G$58,ABS(M1522)*'Sollecitazioni nel paramento'!$G$54,'Sollecitazioni nel paramento'!$G$53)</f>
        <v>0</v>
      </c>
      <c r="H1522" s="545">
        <f>-'Foglio deposito bis'!$F$71*(C1522-sezione!$AO$33)*IF(ABS(N1522)&lt;'Sollecitazioni nel paramento'!$G$58,ABS(N1522)*'Sollecitazioni nel paramento'!$G$54,'Sollecitazioni nel paramento'!$G$53)</f>
        <v>46584708.725621805</v>
      </c>
      <c r="I1522" s="472">
        <f>-'Foglio deposito bis'!$F$72*(C1522-sezione!$AP$33)*IF(ABS(O1522)&lt;'Sollecitazioni nel paramento'!$G$58,ABS(O1522)*'Sollecitazioni nel paramento'!$G$54,'Sollecitazioni nel paramento'!$G$53)</f>
        <v>274517867.62963259</v>
      </c>
      <c r="J1522" s="472">
        <f t="shared" si="106"/>
        <v>325292751.02402234</v>
      </c>
      <c r="K1522" s="550">
        <f>'Sollecitazioni nel paramento'!$G$60*(sezione!$AL$33-C1522)/C1522</f>
        <v>8.1922886477323806E-3</v>
      </c>
      <c r="L1522" s="550">
        <f>'Sollecitazioni nel paramento'!$G$60*(sezione!$AM$33-C1522)/C1522</f>
        <v>1.4038432971598571E-2</v>
      </c>
      <c r="M1522" s="551">
        <f>'Sollecitazioni nel paramento'!$G$60*(sezione!$AN$33-C1522)/C1522</f>
        <v>1.9884577295464761E-2</v>
      </c>
      <c r="N1522" s="551">
        <f>'Sollecitazioni nel paramento'!$G$60*(sezione!$AO$33-C1522)/C1522</f>
        <v>4.3269154590929518E-2</v>
      </c>
      <c r="O1522" s="551">
        <f>'Sollecitazioni nel paramento'!$G$60*(sezione!$AP$33-C1522)/C1522</f>
        <v>0.16318702169709501</v>
      </c>
      <c r="P1522" s="545">
        <f>-'Sollecitazioni nel paramento'!$G$47*'Sollecitazioni nel paramento'!$G$41*IF(DATI!$G$211="dx",DATI!$E$61,DATI!$E$64*DATI!$E$63)*1000*C1522*sezione!$AD$5</f>
        <v>-456162.19037103583</v>
      </c>
      <c r="Q1522" s="545">
        <f>'Foglio deposito bis'!$F$68*IF(ABS(K1522)&lt;'Sollecitazioni nel paramento'!$G$58,ABS(K1522)*'Sollecitazioni nel paramento'!$G$54,'Sollecitazioni nel paramento'!$G$53)*IF(K1522&lt;0,-1,1)</f>
        <v>0</v>
      </c>
      <c r="R1522" s="545">
        <f>'Foglio deposito bis'!$F$69*IF(ABS(L1522)&lt;'Sollecitazioni nel paramento'!$G$58,ABS(L1522)*'Sollecitazioni nel paramento'!$G$54,'Sollecitazioni nel paramento'!$G$53)*IF(L1522&lt;0,-1,1)</f>
        <v>153664.85805602249</v>
      </c>
      <c r="S1522" s="545">
        <f>'Foglio deposito bis'!$F$70*IF(ABS(M1522)&lt;'Sollecitazioni nel paramento'!$G$58,ABS(M1522)*'Sollecitazioni nel paramento'!$G$54,'Sollecitazioni nel paramento'!$G$53)*IF(M1522&lt;0,-1,1)</f>
        <v>0</v>
      </c>
      <c r="T1522" s="545">
        <f>'Foglio deposito bis'!$F$71*IF(ABS(N1522)&lt;'Sollecitazioni nel paramento'!$G$58,ABS(N1522)*'Sollecitazioni nel paramento'!$G$54,'Sollecitazioni nel paramento'!$G$53)*IF(N1522&lt;0,-1,1)</f>
        <v>314705.62929873407</v>
      </c>
      <c r="U1522" s="545">
        <f>'Foglio deposito bis'!$F$72*IF(ABS(O1522)&lt;'Sollecitazioni nel paramento'!$G$58,ABS(O1522)*'Sollecitazioni nel paramento'!$G$54,'Sollecitazioni nel paramento'!$G$53)*IF(O1522&lt;0,-1,1)</f>
        <v>491727.54577927204</v>
      </c>
      <c r="V1522" s="472">
        <f t="shared" si="108"/>
        <v>503935.84276299278</v>
      </c>
      <c r="W1522" s="551"/>
      <c r="X1522" s="551"/>
    </row>
    <row r="1523" spans="1:24" x14ac:dyDescent="0.25">
      <c r="A1523" s="545">
        <f t="shared" si="107"/>
        <v>488206.11206054321</v>
      </c>
      <c r="B1523" s="3">
        <f t="shared" si="109"/>
        <v>1.5000000000000007</v>
      </c>
      <c r="C1523" s="545">
        <f>'Foglio deposito bis'!$E$159/sezione!$B$247*B1523</f>
        <v>12.386590048389255</v>
      </c>
      <c r="D1523" s="603">
        <f>-'Sollecitazioni nel paramento'!$G$47*'Sollecitazioni nel paramento'!$G$41*IF(DATI!$G$211="dx",DATI!$E$61,DATI!$E$64*DATI!$E$63)*1000*C1523^2*sezione!$AD$5*(1-sezione!$AD$6)</f>
        <v>-3413556.9557147278</v>
      </c>
      <c r="E1523" s="545">
        <f>-'Foglio deposito bis'!$F$68*(C1523-sezione!$AL$33)*IF(ABS(K1523)&lt;'Sollecitazioni nel paramento'!$G$58,ABS(K1523)*'Sollecitazioni nel paramento'!$G$54,'Sollecitazioni nel paramento'!$G$53)</f>
        <v>0</v>
      </c>
      <c r="F1523" s="545">
        <f>-'Foglio deposito bis'!$F$69*(C1523-sezione!$AM$33)*IF(ABS(L1523)&lt;'Sollecitazioni nel paramento'!$G$58,ABS(L1523)*'Sollecitazioni nel paramento'!$G$54,'Sollecitazioni nel paramento'!$G$53)</f>
        <v>7316507.8817774737</v>
      </c>
      <c r="G1523" s="545">
        <f>-'Foglio deposito bis'!$F$70*(C1523-sezione!$AN$33)*IF(ABS(M1523)&lt;'Sollecitazioni nel paramento'!$G$58,ABS(M1523)*'Sollecitazioni nel paramento'!$G$54,'Sollecitazioni nel paramento'!$G$53)</f>
        <v>0</v>
      </c>
      <c r="H1523" s="545">
        <f>-'Foglio deposito bis'!$F$71*(C1523-sezione!$AO$33)*IF(ABS(N1523)&lt;'Sollecitazioni nel paramento'!$G$58,ABS(N1523)*'Sollecitazioni nel paramento'!$G$54,'Sollecitazioni nel paramento'!$G$53)</f>
        <v>46454771.071753681</v>
      </c>
      <c r="I1523" s="472">
        <f>-'Foglio deposito bis'!$F$72*(C1523-sezione!$AP$33)*IF(ABS(O1523)&lt;'Sollecitazioni nel paramento'!$G$58,ABS(O1523)*'Sollecitazioni nel paramento'!$G$54,'Sollecitazioni nel paramento'!$G$53)</f>
        <v>274314840.04546368</v>
      </c>
      <c r="J1523" s="472">
        <f t="shared" si="106"/>
        <v>324672562.04328012</v>
      </c>
      <c r="K1523" s="550">
        <f>'Sollecitazioni nel paramento'!$G$60*(sezione!$AL$33-C1523)/C1523</f>
        <v>7.8025456928079665E-3</v>
      </c>
      <c r="L1523" s="550">
        <f>'Sollecitazioni nel paramento'!$G$60*(sezione!$AM$33-C1523)/C1523</f>
        <v>1.345381853921195E-2</v>
      </c>
      <c r="M1523" s="551">
        <f>'Sollecitazioni nel paramento'!$G$60*(sezione!$AN$33-C1523)/C1523</f>
        <v>1.9105091385615933E-2</v>
      </c>
      <c r="N1523" s="551">
        <f>'Sollecitazioni nel paramento'!$G$60*(sezione!$AO$33-C1523)/C1523</f>
        <v>4.1710182771231868E-2</v>
      </c>
      <c r="O1523" s="551">
        <f>'Sollecitazioni nel paramento'!$G$60*(sezione!$AP$33-C1523)/C1523</f>
        <v>0.15763078764052516</v>
      </c>
      <c r="P1523" s="545">
        <f>-'Sollecitazioni nel paramento'!$G$47*'Sollecitazioni nel paramento'!$G$41*IF(DATI!$G$211="dx",DATI!$E$61,DATI!$E$64*DATI!$E$63)*1000*C1523*sezione!$AD$5</f>
        <v>-471891.9210734854</v>
      </c>
      <c r="Q1523" s="545">
        <f>'Foglio deposito bis'!$F$68*IF(ABS(K1523)&lt;'Sollecitazioni nel paramento'!$G$58,ABS(K1523)*'Sollecitazioni nel paramento'!$G$54,'Sollecitazioni nel paramento'!$G$53)*IF(K1523&lt;0,-1,1)</f>
        <v>0</v>
      </c>
      <c r="R1523" s="545">
        <f>'Foglio deposito bis'!$F$69*IF(ABS(L1523)&lt;'Sollecitazioni nel paramento'!$G$58,ABS(L1523)*'Sollecitazioni nel paramento'!$G$54,'Sollecitazioni nel paramento'!$G$53)*IF(L1523&lt;0,-1,1)</f>
        <v>153664.85805602249</v>
      </c>
      <c r="S1523" s="545">
        <f>'Foglio deposito bis'!$F$70*IF(ABS(M1523)&lt;'Sollecitazioni nel paramento'!$G$58,ABS(M1523)*'Sollecitazioni nel paramento'!$G$54,'Sollecitazioni nel paramento'!$G$53)*IF(M1523&lt;0,-1,1)</f>
        <v>0</v>
      </c>
      <c r="T1523" s="545">
        <f>'Foglio deposito bis'!$F$71*IF(ABS(N1523)&lt;'Sollecitazioni nel paramento'!$G$58,ABS(N1523)*'Sollecitazioni nel paramento'!$G$54,'Sollecitazioni nel paramento'!$G$53)*IF(N1523&lt;0,-1,1)</f>
        <v>314705.62929873407</v>
      </c>
      <c r="U1523" s="545">
        <f>'Foglio deposito bis'!$F$72*IF(ABS(O1523)&lt;'Sollecitazioni nel paramento'!$G$58,ABS(O1523)*'Sollecitazioni nel paramento'!$G$54,'Sollecitazioni nel paramento'!$G$53)*IF(O1523&lt;0,-1,1)</f>
        <v>491727.54577927204</v>
      </c>
      <c r="V1523" s="472">
        <f t="shared" si="108"/>
        <v>488206.11206054321</v>
      </c>
      <c r="W1523" s="551"/>
      <c r="X1523" s="551"/>
    </row>
    <row r="1524" spans="1:24" x14ac:dyDescent="0.25">
      <c r="A1524" s="545">
        <f t="shared" si="107"/>
        <v>472476.3813580937</v>
      </c>
      <c r="B1524" s="3">
        <f t="shared" si="109"/>
        <v>1.5500000000000007</v>
      </c>
      <c r="C1524" s="545">
        <f>'Foglio deposito bis'!$E$159/sezione!$B$247*B1524</f>
        <v>12.799476383335564</v>
      </c>
      <c r="D1524" s="603">
        <f>-'Sollecitazioni nel paramento'!$G$47*'Sollecitazioni nel paramento'!$G$41*IF(DATI!$G$211="dx",DATI!$E$61,DATI!$E$64*DATI!$E$63)*1000*C1524^2*sezione!$AD$5*(1-sezione!$AD$6)</f>
        <v>-3644920.2604909483</v>
      </c>
      <c r="E1524" s="545">
        <f>-'Foglio deposito bis'!$F$68*(C1524-sezione!$AL$33)*IF(ABS(K1524)&lt;'Sollecitazioni nel paramento'!$G$58,ABS(K1524)*'Sollecitazioni nel paramento'!$G$54,'Sollecitazioni nel paramento'!$G$53)</f>
        <v>0</v>
      </c>
      <c r="F1524" s="545">
        <f>-'Foglio deposito bis'!$F$69*(C1524-sezione!$AM$33)*IF(ABS(L1524)&lt;'Sollecitazioni nel paramento'!$G$58,ABS(L1524)*'Sollecitazioni nel paramento'!$G$54,'Sollecitazioni nel paramento'!$G$53)</f>
        <v>7253061.7617246779</v>
      </c>
      <c r="G1524" s="545">
        <f>-'Foglio deposito bis'!$F$70*(C1524-sezione!$AN$33)*IF(ABS(M1524)&lt;'Sollecitazioni nel paramento'!$G$58,ABS(M1524)*'Sollecitazioni nel paramento'!$G$54,'Sollecitazioni nel paramento'!$G$53)</f>
        <v>0</v>
      </c>
      <c r="H1524" s="545">
        <f>-'Foglio deposito bis'!$F$71*(C1524-sezione!$AO$33)*IF(ABS(N1524)&lt;'Sollecitazioni nel paramento'!$G$58,ABS(N1524)*'Sollecitazioni nel paramento'!$G$54,'Sollecitazioni nel paramento'!$G$53)</f>
        <v>46324833.417885549</v>
      </c>
      <c r="I1524" s="472">
        <f>-'Foglio deposito bis'!$F$72*(C1524-sezione!$AP$33)*IF(ABS(O1524)&lt;'Sollecitazioni nel paramento'!$G$58,ABS(O1524)*'Sollecitazioni nel paramento'!$G$54,'Sollecitazioni nel paramento'!$G$53)</f>
        <v>274111812.46129477</v>
      </c>
      <c r="J1524" s="472">
        <f t="shared" si="106"/>
        <v>324044787.38041407</v>
      </c>
      <c r="K1524" s="550">
        <f>'Sollecitazioni nel paramento'!$G$60*(sezione!$AL$33-C1524)/C1524</f>
        <v>7.4379474446528695E-3</v>
      </c>
      <c r="L1524" s="550">
        <f>'Sollecitazioni nel paramento'!$G$60*(sezione!$AM$33-C1524)/C1524</f>
        <v>1.2906921166979305E-2</v>
      </c>
      <c r="M1524" s="551">
        <f>'Sollecitazioni nel paramento'!$G$60*(sezione!$AN$33-C1524)/C1524</f>
        <v>1.8375894889305744E-2</v>
      </c>
      <c r="N1524" s="551">
        <f>'Sollecitazioni nel paramento'!$G$60*(sezione!$AO$33-C1524)/C1524</f>
        <v>4.0251789778611484E-2</v>
      </c>
      <c r="O1524" s="551">
        <f>'Sollecitazioni nel paramento'!$G$60*(sezione!$AP$33-C1524)/C1524</f>
        <v>0.15243302029728242</v>
      </c>
      <c r="P1524" s="545">
        <f>-'Sollecitazioni nel paramento'!$G$47*'Sollecitazioni nel paramento'!$G$41*IF(DATI!$G$211="dx",DATI!$E$61,DATI!$E$64*DATI!$E$63)*1000*C1524*sezione!$AD$5</f>
        <v>-487621.65177593491</v>
      </c>
      <c r="Q1524" s="545">
        <f>'Foglio deposito bis'!$F$68*IF(ABS(K1524)&lt;'Sollecitazioni nel paramento'!$G$58,ABS(K1524)*'Sollecitazioni nel paramento'!$G$54,'Sollecitazioni nel paramento'!$G$53)*IF(K1524&lt;0,-1,1)</f>
        <v>0</v>
      </c>
      <c r="R1524" s="545">
        <f>'Foglio deposito bis'!$F$69*IF(ABS(L1524)&lt;'Sollecitazioni nel paramento'!$G$58,ABS(L1524)*'Sollecitazioni nel paramento'!$G$54,'Sollecitazioni nel paramento'!$G$53)*IF(L1524&lt;0,-1,1)</f>
        <v>153664.85805602249</v>
      </c>
      <c r="S1524" s="545">
        <f>'Foglio deposito bis'!$F$70*IF(ABS(M1524)&lt;'Sollecitazioni nel paramento'!$G$58,ABS(M1524)*'Sollecitazioni nel paramento'!$G$54,'Sollecitazioni nel paramento'!$G$53)*IF(M1524&lt;0,-1,1)</f>
        <v>0</v>
      </c>
      <c r="T1524" s="545">
        <f>'Foglio deposito bis'!$F$71*IF(ABS(N1524)&lt;'Sollecitazioni nel paramento'!$G$58,ABS(N1524)*'Sollecitazioni nel paramento'!$G$54,'Sollecitazioni nel paramento'!$G$53)*IF(N1524&lt;0,-1,1)</f>
        <v>314705.62929873407</v>
      </c>
      <c r="U1524" s="545">
        <f>'Foglio deposito bis'!$F$72*IF(ABS(O1524)&lt;'Sollecitazioni nel paramento'!$G$58,ABS(O1524)*'Sollecitazioni nel paramento'!$G$54,'Sollecitazioni nel paramento'!$G$53)*IF(O1524&lt;0,-1,1)</f>
        <v>491727.54577927204</v>
      </c>
      <c r="V1524" s="472">
        <f t="shared" si="108"/>
        <v>472476.3813580937</v>
      </c>
      <c r="W1524" s="551"/>
      <c r="X1524" s="551"/>
    </row>
    <row r="1525" spans="1:24" x14ac:dyDescent="0.25">
      <c r="A1525" s="545">
        <f t="shared" si="107"/>
        <v>456746.65065564419</v>
      </c>
      <c r="B1525" s="3">
        <f t="shared" si="109"/>
        <v>1.6000000000000008</v>
      </c>
      <c r="C1525" s="545">
        <f>'Foglio deposito bis'!$E$159/sezione!$B$247*B1525</f>
        <v>13.212362718281874</v>
      </c>
      <c r="D1525" s="603">
        <f>-'Sollecitazioni nel paramento'!$G$47*'Sollecitazioni nel paramento'!$G$41*IF(DATI!$G$211="dx",DATI!$E$61,DATI!$E$64*DATI!$E$63)*1000*C1525^2*sezione!$AD$5*(1-sezione!$AD$6)</f>
        <v>-3883869.2473909794</v>
      </c>
      <c r="E1525" s="545">
        <f>-'Foglio deposito bis'!$F$68*(C1525-sezione!$AL$33)*IF(ABS(K1525)&lt;'Sollecitazioni nel paramento'!$G$58,ABS(K1525)*'Sollecitazioni nel paramento'!$G$54,'Sollecitazioni nel paramento'!$G$53)</f>
        <v>0</v>
      </c>
      <c r="F1525" s="545">
        <f>-'Foglio deposito bis'!$F$69*(C1525-sezione!$AM$33)*IF(ABS(L1525)&lt;'Sollecitazioni nel paramento'!$G$58,ABS(L1525)*'Sollecitazioni nel paramento'!$G$54,'Sollecitazioni nel paramento'!$G$53)</f>
        <v>7189615.641671882</v>
      </c>
      <c r="G1525" s="545">
        <f>-'Foglio deposito bis'!$F$70*(C1525-sezione!$AN$33)*IF(ABS(M1525)&lt;'Sollecitazioni nel paramento'!$G$58,ABS(M1525)*'Sollecitazioni nel paramento'!$G$54,'Sollecitazioni nel paramento'!$G$53)</f>
        <v>0</v>
      </c>
      <c r="H1525" s="545">
        <f>-'Foglio deposito bis'!$F$71*(C1525-sezione!$AO$33)*IF(ABS(N1525)&lt;'Sollecitazioni nel paramento'!$G$58,ABS(N1525)*'Sollecitazioni nel paramento'!$G$54,'Sollecitazioni nel paramento'!$G$53)</f>
        <v>46194895.764017425</v>
      </c>
      <c r="I1525" s="472">
        <f>-'Foglio deposito bis'!$F$72*(C1525-sezione!$AP$33)*IF(ABS(O1525)&lt;'Sollecitazioni nel paramento'!$G$58,ABS(O1525)*'Sollecitazioni nel paramento'!$G$54,'Sollecitazioni nel paramento'!$G$53)</f>
        <v>273908784.8771258</v>
      </c>
      <c r="J1525" s="472">
        <f t="shared" si="106"/>
        <v>323409427.03542411</v>
      </c>
      <c r="K1525" s="550">
        <f>'Sollecitazioni nel paramento'!$G$60*(sezione!$AL$33-C1525)/C1525</f>
        <v>7.0961365870074681E-3</v>
      </c>
      <c r="L1525" s="550">
        <f>'Sollecitazioni nel paramento'!$G$60*(sezione!$AM$33-C1525)/C1525</f>
        <v>1.2394204880511201E-2</v>
      </c>
      <c r="M1525" s="551">
        <f>'Sollecitazioni nel paramento'!$G$60*(sezione!$AN$33-C1525)/C1525</f>
        <v>1.7692273174014939E-2</v>
      </c>
      <c r="N1525" s="551">
        <f>'Sollecitazioni nel paramento'!$G$60*(sezione!$AO$33-C1525)/C1525</f>
        <v>3.8884546348029868E-2</v>
      </c>
      <c r="O1525" s="551">
        <f>'Sollecitazioni nel paramento'!$G$60*(sezione!$AP$33-C1525)/C1525</f>
        <v>0.14756011341299233</v>
      </c>
      <c r="P1525" s="545">
        <f>-'Sollecitazioni nel paramento'!$G$47*'Sollecitazioni nel paramento'!$G$41*IF(DATI!$G$211="dx",DATI!$E$61,DATI!$E$64*DATI!$E$63)*1000*C1525*sezione!$AD$5</f>
        <v>-503351.38247838442</v>
      </c>
      <c r="Q1525" s="545">
        <f>'Foglio deposito bis'!$F$68*IF(ABS(K1525)&lt;'Sollecitazioni nel paramento'!$G$58,ABS(K1525)*'Sollecitazioni nel paramento'!$G$54,'Sollecitazioni nel paramento'!$G$53)*IF(K1525&lt;0,-1,1)</f>
        <v>0</v>
      </c>
      <c r="R1525" s="545">
        <f>'Foglio deposito bis'!$F$69*IF(ABS(L1525)&lt;'Sollecitazioni nel paramento'!$G$58,ABS(L1525)*'Sollecitazioni nel paramento'!$G$54,'Sollecitazioni nel paramento'!$G$53)*IF(L1525&lt;0,-1,1)</f>
        <v>153664.85805602249</v>
      </c>
      <c r="S1525" s="545">
        <f>'Foglio deposito bis'!$F$70*IF(ABS(M1525)&lt;'Sollecitazioni nel paramento'!$G$58,ABS(M1525)*'Sollecitazioni nel paramento'!$G$54,'Sollecitazioni nel paramento'!$G$53)*IF(M1525&lt;0,-1,1)</f>
        <v>0</v>
      </c>
      <c r="T1525" s="545">
        <f>'Foglio deposito bis'!$F$71*IF(ABS(N1525)&lt;'Sollecitazioni nel paramento'!$G$58,ABS(N1525)*'Sollecitazioni nel paramento'!$G$54,'Sollecitazioni nel paramento'!$G$53)*IF(N1525&lt;0,-1,1)</f>
        <v>314705.62929873407</v>
      </c>
      <c r="U1525" s="545">
        <f>'Foglio deposito bis'!$F$72*IF(ABS(O1525)&lt;'Sollecitazioni nel paramento'!$G$58,ABS(O1525)*'Sollecitazioni nel paramento'!$G$54,'Sollecitazioni nel paramento'!$G$53)*IF(O1525&lt;0,-1,1)</f>
        <v>491727.54577927204</v>
      </c>
      <c r="V1525" s="472">
        <f t="shared" si="108"/>
        <v>456746.65065564419</v>
      </c>
      <c r="W1525" s="551"/>
      <c r="X1525" s="551"/>
    </row>
    <row r="1526" spans="1:24" x14ac:dyDescent="0.25">
      <c r="A1526" s="545">
        <f t="shared" si="107"/>
        <v>441016.91995319468</v>
      </c>
      <c r="B1526" s="3">
        <f t="shared" si="109"/>
        <v>1.6500000000000008</v>
      </c>
      <c r="C1526" s="545">
        <f>'Foglio deposito bis'!$E$159/sezione!$B$247*B1526</f>
        <v>13.625249053228181</v>
      </c>
      <c r="D1526" s="603">
        <f>-'Sollecitazioni nel paramento'!$G$47*'Sollecitazioni nel paramento'!$G$41*IF(DATI!$G$211="dx",DATI!$E$61,DATI!$E$64*DATI!$E$63)*1000*C1526^2*sezione!$AD$5*(1-sezione!$AD$6)</f>
        <v>-4130403.9164148197</v>
      </c>
      <c r="E1526" s="545">
        <f>-'Foglio deposito bis'!$F$68*(C1526-sezione!$AL$33)*IF(ABS(K1526)&lt;'Sollecitazioni nel paramento'!$G$58,ABS(K1526)*'Sollecitazioni nel paramento'!$G$54,'Sollecitazioni nel paramento'!$G$53)</f>
        <v>0</v>
      </c>
      <c r="F1526" s="545">
        <f>-'Foglio deposito bis'!$F$69*(C1526-sezione!$AM$33)*IF(ABS(L1526)&lt;'Sollecitazioni nel paramento'!$G$58,ABS(L1526)*'Sollecitazioni nel paramento'!$G$54,'Sollecitazioni nel paramento'!$G$53)</f>
        <v>7126169.5216190862</v>
      </c>
      <c r="G1526" s="545">
        <f>-'Foglio deposito bis'!$F$70*(C1526-sezione!$AN$33)*IF(ABS(M1526)&lt;'Sollecitazioni nel paramento'!$G$58,ABS(M1526)*'Sollecitazioni nel paramento'!$G$54,'Sollecitazioni nel paramento'!$G$53)</f>
        <v>0</v>
      </c>
      <c r="H1526" s="545">
        <f>-'Foglio deposito bis'!$F$71*(C1526-sezione!$AO$33)*IF(ABS(N1526)&lt;'Sollecitazioni nel paramento'!$G$58,ABS(N1526)*'Sollecitazioni nel paramento'!$G$54,'Sollecitazioni nel paramento'!$G$53)</f>
        <v>46064958.110149302</v>
      </c>
      <c r="I1526" s="472">
        <f>-'Foglio deposito bis'!$F$72*(C1526-sezione!$AP$33)*IF(ABS(O1526)&lt;'Sollecitazioni nel paramento'!$G$58,ABS(O1526)*'Sollecitazioni nel paramento'!$G$54,'Sollecitazioni nel paramento'!$G$53)</f>
        <v>273705757.29295683</v>
      </c>
      <c r="J1526" s="472">
        <f t="shared" si="106"/>
        <v>322766481.00831038</v>
      </c>
      <c r="K1526" s="550">
        <f>'Sollecitazioni nel paramento'!$G$60*(sezione!$AL$33-C1526)/C1526</f>
        <v>6.7750415389163324E-3</v>
      </c>
      <c r="L1526" s="550">
        <f>'Sollecitazioni nel paramento'!$G$60*(sezione!$AM$33-C1526)/C1526</f>
        <v>1.1912562308374499E-2</v>
      </c>
      <c r="M1526" s="551">
        <f>'Sollecitazioni nel paramento'!$G$60*(sezione!$AN$33-C1526)/C1526</f>
        <v>1.7050083077832668E-2</v>
      </c>
      <c r="N1526" s="551">
        <f>'Sollecitazioni nel paramento'!$G$60*(sezione!$AO$33-C1526)/C1526</f>
        <v>3.7600166155665332E-2</v>
      </c>
      <c r="O1526" s="551">
        <f>'Sollecitazioni nel paramento'!$G$60*(sezione!$AP$33-C1526)/C1526</f>
        <v>0.14298253421865922</v>
      </c>
      <c r="P1526" s="545">
        <f>-'Sollecitazioni nel paramento'!$G$47*'Sollecitazioni nel paramento'!$G$41*IF(DATI!$G$211="dx",DATI!$E$61,DATI!$E$64*DATI!$E$63)*1000*C1526*sezione!$AD$5</f>
        <v>-519081.11318083393</v>
      </c>
      <c r="Q1526" s="545">
        <f>'Foglio deposito bis'!$F$68*IF(ABS(K1526)&lt;'Sollecitazioni nel paramento'!$G$58,ABS(K1526)*'Sollecitazioni nel paramento'!$G$54,'Sollecitazioni nel paramento'!$G$53)*IF(K1526&lt;0,-1,1)</f>
        <v>0</v>
      </c>
      <c r="R1526" s="545">
        <f>'Foglio deposito bis'!$F$69*IF(ABS(L1526)&lt;'Sollecitazioni nel paramento'!$G$58,ABS(L1526)*'Sollecitazioni nel paramento'!$G$54,'Sollecitazioni nel paramento'!$G$53)*IF(L1526&lt;0,-1,1)</f>
        <v>153664.85805602249</v>
      </c>
      <c r="S1526" s="545">
        <f>'Foglio deposito bis'!$F$70*IF(ABS(M1526)&lt;'Sollecitazioni nel paramento'!$G$58,ABS(M1526)*'Sollecitazioni nel paramento'!$G$54,'Sollecitazioni nel paramento'!$G$53)*IF(M1526&lt;0,-1,1)</f>
        <v>0</v>
      </c>
      <c r="T1526" s="545">
        <f>'Foglio deposito bis'!$F$71*IF(ABS(N1526)&lt;'Sollecitazioni nel paramento'!$G$58,ABS(N1526)*'Sollecitazioni nel paramento'!$G$54,'Sollecitazioni nel paramento'!$G$53)*IF(N1526&lt;0,-1,1)</f>
        <v>314705.62929873407</v>
      </c>
      <c r="U1526" s="545">
        <f>'Foglio deposito bis'!$F$72*IF(ABS(O1526)&lt;'Sollecitazioni nel paramento'!$G$58,ABS(O1526)*'Sollecitazioni nel paramento'!$G$54,'Sollecitazioni nel paramento'!$G$53)*IF(O1526&lt;0,-1,1)</f>
        <v>491727.54577927204</v>
      </c>
      <c r="V1526" s="472">
        <f t="shared" si="108"/>
        <v>441016.91995319468</v>
      </c>
      <c r="W1526" s="551"/>
      <c r="X1526" s="551"/>
    </row>
    <row r="1527" spans="1:24" x14ac:dyDescent="0.25">
      <c r="A1527" s="545">
        <f t="shared" si="107"/>
        <v>425287.18925074517</v>
      </c>
      <c r="B1527" s="3">
        <f t="shared" si="109"/>
        <v>1.7000000000000008</v>
      </c>
      <c r="C1527" s="545">
        <f>'Foglio deposito bis'!$E$159/sezione!$B$247*B1527</f>
        <v>14.03813538817449</v>
      </c>
      <c r="D1527" s="603">
        <f>-'Sollecitazioni nel paramento'!$G$47*'Sollecitazioni nel paramento'!$G$41*IF(DATI!$G$211="dx",DATI!$E$61,DATI!$E$64*DATI!$E$63)*1000*C1527^2*sezione!$AD$5*(1-sezione!$AD$6)</f>
        <v>-4384524.2675624723</v>
      </c>
      <c r="E1527" s="545">
        <f>-'Foglio deposito bis'!$F$68*(C1527-sezione!$AL$33)*IF(ABS(K1527)&lt;'Sollecitazioni nel paramento'!$G$58,ABS(K1527)*'Sollecitazioni nel paramento'!$G$54,'Sollecitazioni nel paramento'!$G$53)</f>
        <v>0</v>
      </c>
      <c r="F1527" s="545">
        <f>-'Foglio deposito bis'!$F$69*(C1527-sezione!$AM$33)*IF(ABS(L1527)&lt;'Sollecitazioni nel paramento'!$G$58,ABS(L1527)*'Sollecitazioni nel paramento'!$G$54,'Sollecitazioni nel paramento'!$G$53)</f>
        <v>7062723.4015662912</v>
      </c>
      <c r="G1527" s="545">
        <f>-'Foglio deposito bis'!$F$70*(C1527-sezione!$AN$33)*IF(ABS(M1527)&lt;'Sollecitazioni nel paramento'!$G$58,ABS(M1527)*'Sollecitazioni nel paramento'!$G$54,'Sollecitazioni nel paramento'!$G$53)</f>
        <v>0</v>
      </c>
      <c r="H1527" s="545">
        <f>-'Foglio deposito bis'!$F$71*(C1527-sezione!$AO$33)*IF(ABS(N1527)&lt;'Sollecitazioni nel paramento'!$G$58,ABS(N1527)*'Sollecitazioni nel paramento'!$G$54,'Sollecitazioni nel paramento'!$G$53)</f>
        <v>45935020.456281178</v>
      </c>
      <c r="I1527" s="472">
        <f>-'Foglio deposito bis'!$F$72*(C1527-sezione!$AP$33)*IF(ABS(O1527)&lt;'Sollecitazioni nel paramento'!$G$58,ABS(O1527)*'Sollecitazioni nel paramento'!$G$54,'Sollecitazioni nel paramento'!$G$53)</f>
        <v>273502729.70878786</v>
      </c>
      <c r="J1527" s="472">
        <f t="shared" si="106"/>
        <v>322115949.29907286</v>
      </c>
      <c r="K1527" s="550">
        <f>'Sollecitazioni nel paramento'!$G$60*(sezione!$AL$33-C1527)/C1527</f>
        <v>6.4728344348305589E-3</v>
      </c>
      <c r="L1527" s="550">
        <f>'Sollecitazioni nel paramento'!$G$60*(sezione!$AM$33-C1527)/C1527</f>
        <v>1.1459251652245837E-2</v>
      </c>
      <c r="M1527" s="551">
        <f>'Sollecitazioni nel paramento'!$G$60*(sezione!$AN$33-C1527)/C1527</f>
        <v>1.6445668869661114E-2</v>
      </c>
      <c r="N1527" s="551">
        <f>'Sollecitazioni nel paramento'!$G$60*(sezione!$AO$33-C1527)/C1527</f>
        <v>3.6391337739322231E-2</v>
      </c>
      <c r="O1527" s="551">
        <f>'Sollecitazioni nel paramento'!$G$60*(sezione!$AP$33-C1527)/C1527</f>
        <v>0.13867422438869867</v>
      </c>
      <c r="P1527" s="545">
        <f>-'Sollecitazioni nel paramento'!$G$47*'Sollecitazioni nel paramento'!$G$41*IF(DATI!$G$211="dx",DATI!$E$61,DATI!$E$64*DATI!$E$63)*1000*C1527*sezione!$AD$5</f>
        <v>-534810.84388328344</v>
      </c>
      <c r="Q1527" s="545">
        <f>'Foglio deposito bis'!$F$68*IF(ABS(K1527)&lt;'Sollecitazioni nel paramento'!$G$58,ABS(K1527)*'Sollecitazioni nel paramento'!$G$54,'Sollecitazioni nel paramento'!$G$53)*IF(K1527&lt;0,-1,1)</f>
        <v>0</v>
      </c>
      <c r="R1527" s="545">
        <f>'Foglio deposito bis'!$F$69*IF(ABS(L1527)&lt;'Sollecitazioni nel paramento'!$G$58,ABS(L1527)*'Sollecitazioni nel paramento'!$G$54,'Sollecitazioni nel paramento'!$G$53)*IF(L1527&lt;0,-1,1)</f>
        <v>153664.85805602249</v>
      </c>
      <c r="S1527" s="545">
        <f>'Foglio deposito bis'!$F$70*IF(ABS(M1527)&lt;'Sollecitazioni nel paramento'!$G$58,ABS(M1527)*'Sollecitazioni nel paramento'!$G$54,'Sollecitazioni nel paramento'!$G$53)*IF(M1527&lt;0,-1,1)</f>
        <v>0</v>
      </c>
      <c r="T1527" s="545">
        <f>'Foglio deposito bis'!$F$71*IF(ABS(N1527)&lt;'Sollecitazioni nel paramento'!$G$58,ABS(N1527)*'Sollecitazioni nel paramento'!$G$54,'Sollecitazioni nel paramento'!$G$53)*IF(N1527&lt;0,-1,1)</f>
        <v>314705.62929873407</v>
      </c>
      <c r="U1527" s="545">
        <f>'Foglio deposito bis'!$F$72*IF(ABS(O1527)&lt;'Sollecitazioni nel paramento'!$G$58,ABS(O1527)*'Sollecitazioni nel paramento'!$G$54,'Sollecitazioni nel paramento'!$G$53)*IF(O1527&lt;0,-1,1)</f>
        <v>491727.54577927204</v>
      </c>
      <c r="V1527" s="472">
        <f t="shared" si="108"/>
        <v>425287.18925074517</v>
      </c>
      <c r="W1527" s="551"/>
      <c r="X1527" s="551"/>
    </row>
    <row r="1528" spans="1:24" x14ac:dyDescent="0.25">
      <c r="A1528" s="545">
        <f t="shared" si="107"/>
        <v>409557.4585482956</v>
      </c>
      <c r="B1528" s="3">
        <f t="shared" si="109"/>
        <v>1.7500000000000009</v>
      </c>
      <c r="C1528" s="545">
        <f>'Foglio deposito bis'!$E$159/sezione!$B$247*B1528</f>
        <v>14.4510217231208</v>
      </c>
      <c r="D1528" s="603">
        <f>-'Sollecitazioni nel paramento'!$G$47*'Sollecitazioni nel paramento'!$G$41*IF(DATI!$G$211="dx",DATI!$E$61,DATI!$E$64*DATI!$E$63)*1000*C1528^2*sezione!$AD$5*(1-sezione!$AD$6)</f>
        <v>-4646230.3008339368</v>
      </c>
      <c r="E1528" s="545">
        <f>-'Foglio deposito bis'!$F$68*(C1528-sezione!$AL$33)*IF(ABS(K1528)&lt;'Sollecitazioni nel paramento'!$G$58,ABS(K1528)*'Sollecitazioni nel paramento'!$G$54,'Sollecitazioni nel paramento'!$G$53)</f>
        <v>0</v>
      </c>
      <c r="F1528" s="545">
        <f>-'Foglio deposito bis'!$F$69*(C1528-sezione!$AM$33)*IF(ABS(L1528)&lt;'Sollecitazioni nel paramento'!$G$58,ABS(L1528)*'Sollecitazioni nel paramento'!$G$54,'Sollecitazioni nel paramento'!$G$53)</f>
        <v>6999277.2815134944</v>
      </c>
      <c r="G1528" s="545">
        <f>-'Foglio deposito bis'!$F$70*(C1528-sezione!$AN$33)*IF(ABS(M1528)&lt;'Sollecitazioni nel paramento'!$G$58,ABS(M1528)*'Sollecitazioni nel paramento'!$G$54,'Sollecitazioni nel paramento'!$G$53)</f>
        <v>0</v>
      </c>
      <c r="H1528" s="545">
        <f>-'Foglio deposito bis'!$F$71*(C1528-sezione!$AO$33)*IF(ABS(N1528)&lt;'Sollecitazioni nel paramento'!$G$58,ABS(N1528)*'Sollecitazioni nel paramento'!$G$54,'Sollecitazioni nel paramento'!$G$53)</f>
        <v>45805082.802413046</v>
      </c>
      <c r="I1528" s="472">
        <f>-'Foglio deposito bis'!$F$72*(C1528-sezione!$AP$33)*IF(ABS(O1528)&lt;'Sollecitazioni nel paramento'!$G$58,ABS(O1528)*'Sollecitazioni nel paramento'!$G$54,'Sollecitazioni nel paramento'!$G$53)</f>
        <v>273299702.12461895</v>
      </c>
      <c r="J1528" s="472">
        <f t="shared" si="106"/>
        <v>321457831.90771157</v>
      </c>
      <c r="K1528" s="550">
        <f>'Sollecitazioni nel paramento'!$G$60*(sezione!$AL$33-C1528)/C1528</f>
        <v>6.1878963081211137E-3</v>
      </c>
      <c r="L1528" s="550">
        <f>'Sollecitazioni nel paramento'!$G$60*(sezione!$AM$33-C1528)/C1528</f>
        <v>1.1031844462181669E-2</v>
      </c>
      <c r="M1528" s="551">
        <f>'Sollecitazioni nel paramento'!$G$60*(sezione!$AN$33-C1528)/C1528</f>
        <v>1.5875792616242227E-2</v>
      </c>
      <c r="N1528" s="551">
        <f>'Sollecitazioni nel paramento'!$G$60*(sezione!$AO$33-C1528)/C1528</f>
        <v>3.5251585232484457E-2</v>
      </c>
      <c r="O1528" s="551">
        <f>'Sollecitazioni nel paramento'!$G$60*(sezione!$AP$33-C1528)/C1528</f>
        <v>0.1346121036918787</v>
      </c>
      <c r="P1528" s="545">
        <f>-'Sollecitazioni nel paramento'!$G$47*'Sollecitazioni nel paramento'!$G$41*IF(DATI!$G$211="dx",DATI!$E$61,DATI!$E$64*DATI!$E$63)*1000*C1528*sezione!$AD$5</f>
        <v>-550540.574585733</v>
      </c>
      <c r="Q1528" s="545">
        <f>'Foglio deposito bis'!$F$68*IF(ABS(K1528)&lt;'Sollecitazioni nel paramento'!$G$58,ABS(K1528)*'Sollecitazioni nel paramento'!$G$54,'Sollecitazioni nel paramento'!$G$53)*IF(K1528&lt;0,-1,1)</f>
        <v>0</v>
      </c>
      <c r="R1528" s="545">
        <f>'Foglio deposito bis'!$F$69*IF(ABS(L1528)&lt;'Sollecitazioni nel paramento'!$G$58,ABS(L1528)*'Sollecitazioni nel paramento'!$G$54,'Sollecitazioni nel paramento'!$G$53)*IF(L1528&lt;0,-1,1)</f>
        <v>153664.85805602249</v>
      </c>
      <c r="S1528" s="545">
        <f>'Foglio deposito bis'!$F$70*IF(ABS(M1528)&lt;'Sollecitazioni nel paramento'!$G$58,ABS(M1528)*'Sollecitazioni nel paramento'!$G$54,'Sollecitazioni nel paramento'!$G$53)*IF(M1528&lt;0,-1,1)</f>
        <v>0</v>
      </c>
      <c r="T1528" s="545">
        <f>'Foglio deposito bis'!$F$71*IF(ABS(N1528)&lt;'Sollecitazioni nel paramento'!$G$58,ABS(N1528)*'Sollecitazioni nel paramento'!$G$54,'Sollecitazioni nel paramento'!$G$53)*IF(N1528&lt;0,-1,1)</f>
        <v>314705.62929873407</v>
      </c>
      <c r="U1528" s="545">
        <f>'Foglio deposito bis'!$F$72*IF(ABS(O1528)&lt;'Sollecitazioni nel paramento'!$G$58,ABS(O1528)*'Sollecitazioni nel paramento'!$G$54,'Sollecitazioni nel paramento'!$G$53)*IF(O1528&lt;0,-1,1)</f>
        <v>491727.54577927204</v>
      </c>
      <c r="V1528" s="472">
        <f t="shared" si="108"/>
        <v>409557.4585482956</v>
      </c>
      <c r="W1528" s="551"/>
      <c r="X1528" s="551"/>
    </row>
    <row r="1529" spans="1:24" x14ac:dyDescent="0.25">
      <c r="A1529" s="545">
        <f t="shared" si="107"/>
        <v>393827.72784584615</v>
      </c>
      <c r="B1529" s="3">
        <f t="shared" si="109"/>
        <v>1.8000000000000009</v>
      </c>
      <c r="C1529" s="545">
        <f>'Foglio deposito bis'!$E$159/sezione!$B$247*B1529</f>
        <v>14.863908058067107</v>
      </c>
      <c r="D1529" s="603">
        <f>-'Sollecitazioni nel paramento'!$G$47*'Sollecitazioni nel paramento'!$G$41*IF(DATI!$G$211="dx",DATI!$E$61,DATI!$E$64*DATI!$E$63)*1000*C1529^2*sezione!$AD$5*(1-sezione!$AD$6)</f>
        <v>-4915522.0162292076</v>
      </c>
      <c r="E1529" s="545">
        <f>-'Foglio deposito bis'!$F$68*(C1529-sezione!$AL$33)*IF(ABS(K1529)&lt;'Sollecitazioni nel paramento'!$G$58,ABS(K1529)*'Sollecitazioni nel paramento'!$G$54,'Sollecitazioni nel paramento'!$G$53)</f>
        <v>0</v>
      </c>
      <c r="F1529" s="545">
        <f>-'Foglio deposito bis'!$F$69*(C1529-sezione!$AM$33)*IF(ABS(L1529)&lt;'Sollecitazioni nel paramento'!$G$58,ABS(L1529)*'Sollecitazioni nel paramento'!$G$54,'Sollecitazioni nel paramento'!$G$53)</f>
        <v>6935831.1614606977</v>
      </c>
      <c r="G1529" s="545">
        <f>-'Foglio deposito bis'!$F$70*(C1529-sezione!$AN$33)*IF(ABS(M1529)&lt;'Sollecitazioni nel paramento'!$G$58,ABS(M1529)*'Sollecitazioni nel paramento'!$G$54,'Sollecitazioni nel paramento'!$G$53)</f>
        <v>0</v>
      </c>
      <c r="H1529" s="545">
        <f>-'Foglio deposito bis'!$F$71*(C1529-sezione!$AO$33)*IF(ABS(N1529)&lt;'Sollecitazioni nel paramento'!$G$58,ABS(N1529)*'Sollecitazioni nel paramento'!$G$54,'Sollecitazioni nel paramento'!$G$53)</f>
        <v>45675145.148544922</v>
      </c>
      <c r="I1529" s="472">
        <f>-'Foglio deposito bis'!$F$72*(C1529-sezione!$AP$33)*IF(ABS(O1529)&lt;'Sollecitazioni nel paramento'!$G$58,ABS(O1529)*'Sollecitazioni nel paramento'!$G$54,'Sollecitazioni nel paramento'!$G$53)</f>
        <v>273096674.54045004</v>
      </c>
      <c r="J1529" s="472">
        <f t="shared" si="106"/>
        <v>320792128.83422643</v>
      </c>
      <c r="K1529" s="550">
        <f>'Sollecitazioni nel paramento'!$G$60*(sezione!$AL$33-C1529)/C1529</f>
        <v>5.9187880773399716E-3</v>
      </c>
      <c r="L1529" s="550">
        <f>'Sollecitazioni nel paramento'!$G$60*(sezione!$AM$33-C1529)/C1529</f>
        <v>1.0628182116009958E-2</v>
      </c>
      <c r="M1529" s="551">
        <f>'Sollecitazioni nel paramento'!$G$60*(sezione!$AN$33-C1529)/C1529</f>
        <v>1.5337576154679943E-2</v>
      </c>
      <c r="N1529" s="551">
        <f>'Sollecitazioni nel paramento'!$G$60*(sezione!$AO$33-C1529)/C1529</f>
        <v>3.4175152309359892E-2</v>
      </c>
      <c r="O1529" s="551">
        <f>'Sollecitazioni nel paramento'!$G$60*(sezione!$AP$33-C1529)/C1529</f>
        <v>0.13077565636710431</v>
      </c>
      <c r="P1529" s="545">
        <f>-'Sollecitazioni nel paramento'!$G$47*'Sollecitazioni nel paramento'!$G$41*IF(DATI!$G$211="dx",DATI!$E$61,DATI!$E$64*DATI!$E$63)*1000*C1529*sezione!$AD$5</f>
        <v>-566270.30528818246</v>
      </c>
      <c r="Q1529" s="545">
        <f>'Foglio deposito bis'!$F$68*IF(ABS(K1529)&lt;'Sollecitazioni nel paramento'!$G$58,ABS(K1529)*'Sollecitazioni nel paramento'!$G$54,'Sollecitazioni nel paramento'!$G$53)*IF(K1529&lt;0,-1,1)</f>
        <v>0</v>
      </c>
      <c r="R1529" s="545">
        <f>'Foglio deposito bis'!$F$69*IF(ABS(L1529)&lt;'Sollecitazioni nel paramento'!$G$58,ABS(L1529)*'Sollecitazioni nel paramento'!$G$54,'Sollecitazioni nel paramento'!$G$53)*IF(L1529&lt;0,-1,1)</f>
        <v>153664.85805602249</v>
      </c>
      <c r="S1529" s="545">
        <f>'Foglio deposito bis'!$F$70*IF(ABS(M1529)&lt;'Sollecitazioni nel paramento'!$G$58,ABS(M1529)*'Sollecitazioni nel paramento'!$G$54,'Sollecitazioni nel paramento'!$G$53)*IF(M1529&lt;0,-1,1)</f>
        <v>0</v>
      </c>
      <c r="T1529" s="545">
        <f>'Foglio deposito bis'!$F$71*IF(ABS(N1529)&lt;'Sollecitazioni nel paramento'!$G$58,ABS(N1529)*'Sollecitazioni nel paramento'!$G$54,'Sollecitazioni nel paramento'!$G$53)*IF(N1529&lt;0,-1,1)</f>
        <v>314705.62929873407</v>
      </c>
      <c r="U1529" s="545">
        <f>'Foglio deposito bis'!$F$72*IF(ABS(O1529)&lt;'Sollecitazioni nel paramento'!$G$58,ABS(O1529)*'Sollecitazioni nel paramento'!$G$54,'Sollecitazioni nel paramento'!$G$53)*IF(O1529&lt;0,-1,1)</f>
        <v>491727.54577927204</v>
      </c>
      <c r="V1529" s="472">
        <f t="shared" si="108"/>
        <v>393827.72784584615</v>
      </c>
      <c r="W1529" s="551"/>
      <c r="X1529" s="551"/>
    </row>
    <row r="1530" spans="1:24" x14ac:dyDescent="0.25">
      <c r="A1530" s="545">
        <f t="shared" si="107"/>
        <v>378097.99714339658</v>
      </c>
      <c r="B1530" s="3">
        <f t="shared" si="109"/>
        <v>1.850000000000001</v>
      </c>
      <c r="C1530" s="545">
        <f>'Foglio deposito bis'!$E$159/sezione!$B$247*B1530</f>
        <v>15.276794393013416</v>
      </c>
      <c r="D1530" s="603">
        <f>-'Sollecitazioni nel paramento'!$G$47*'Sollecitazioni nel paramento'!$G$41*IF(DATI!$G$211="dx",DATI!$E$61,DATI!$E$64*DATI!$E$63)*1000*C1530^2*sezione!$AD$5*(1-sezione!$AD$6)</f>
        <v>-5192399.4137482932</v>
      </c>
      <c r="E1530" s="545">
        <f>-'Foglio deposito bis'!$F$68*(C1530-sezione!$AL$33)*IF(ABS(K1530)&lt;'Sollecitazioni nel paramento'!$G$58,ABS(K1530)*'Sollecitazioni nel paramento'!$G$54,'Sollecitazioni nel paramento'!$G$53)</f>
        <v>0</v>
      </c>
      <c r="F1530" s="545">
        <f>-'Foglio deposito bis'!$F$69*(C1530-sezione!$AM$33)*IF(ABS(L1530)&lt;'Sollecitazioni nel paramento'!$G$58,ABS(L1530)*'Sollecitazioni nel paramento'!$G$54,'Sollecitazioni nel paramento'!$G$53)</f>
        <v>6872385.0414079027</v>
      </c>
      <c r="G1530" s="545">
        <f>-'Foglio deposito bis'!$F$70*(C1530-sezione!$AN$33)*IF(ABS(M1530)&lt;'Sollecitazioni nel paramento'!$G$58,ABS(M1530)*'Sollecitazioni nel paramento'!$G$54,'Sollecitazioni nel paramento'!$G$53)</f>
        <v>0</v>
      </c>
      <c r="H1530" s="545">
        <f>-'Foglio deposito bis'!$F$71*(C1530-sezione!$AO$33)*IF(ABS(N1530)&lt;'Sollecitazioni nel paramento'!$G$58,ABS(N1530)*'Sollecitazioni nel paramento'!$G$54,'Sollecitazioni nel paramento'!$G$53)</f>
        <v>45545207.494676799</v>
      </c>
      <c r="I1530" s="472">
        <f>-'Foglio deposito bis'!$F$72*(C1530-sezione!$AP$33)*IF(ABS(O1530)&lt;'Sollecitazioni nel paramento'!$G$58,ABS(O1530)*'Sollecitazioni nel paramento'!$G$54,'Sollecitazioni nel paramento'!$G$53)</f>
        <v>272893646.95628101</v>
      </c>
      <c r="J1530" s="472">
        <f t="shared" si="106"/>
        <v>320118840.07861739</v>
      </c>
      <c r="K1530" s="550">
        <f>'Sollecitazioni nel paramento'!$G$60*(sezione!$AL$33-C1530)/C1530</f>
        <v>5.6642262374118632E-3</v>
      </c>
      <c r="L1530" s="550">
        <f>'Sollecitazioni nel paramento'!$G$60*(sezione!$AM$33-C1530)/C1530</f>
        <v>1.0246339356117797E-2</v>
      </c>
      <c r="M1530" s="551">
        <f>'Sollecitazioni nel paramento'!$G$60*(sezione!$AN$33-C1530)/C1530</f>
        <v>1.4828452474823728E-2</v>
      </c>
      <c r="N1530" s="551">
        <f>'Sollecitazioni nel paramento'!$G$60*(sezione!$AO$33-C1530)/C1530</f>
        <v>3.3156904949647459E-2</v>
      </c>
      <c r="O1530" s="551">
        <f>'Sollecitazioni nel paramento'!$G$60*(sezione!$AP$33-C1530)/C1530</f>
        <v>0.12714658457339875</v>
      </c>
      <c r="P1530" s="545">
        <f>-'Sollecitazioni nel paramento'!$G$47*'Sollecitazioni nel paramento'!$G$41*IF(DATI!$G$211="dx",DATI!$E$61,DATI!$E$64*DATI!$E$63)*1000*C1530*sezione!$AD$5</f>
        <v>-582000.03599063202</v>
      </c>
      <c r="Q1530" s="545">
        <f>'Foglio deposito bis'!$F$68*IF(ABS(K1530)&lt;'Sollecitazioni nel paramento'!$G$58,ABS(K1530)*'Sollecitazioni nel paramento'!$G$54,'Sollecitazioni nel paramento'!$G$53)*IF(K1530&lt;0,-1,1)</f>
        <v>0</v>
      </c>
      <c r="R1530" s="545">
        <f>'Foglio deposito bis'!$F$69*IF(ABS(L1530)&lt;'Sollecitazioni nel paramento'!$G$58,ABS(L1530)*'Sollecitazioni nel paramento'!$G$54,'Sollecitazioni nel paramento'!$G$53)*IF(L1530&lt;0,-1,1)</f>
        <v>153664.85805602249</v>
      </c>
      <c r="S1530" s="545">
        <f>'Foglio deposito bis'!$F$70*IF(ABS(M1530)&lt;'Sollecitazioni nel paramento'!$G$58,ABS(M1530)*'Sollecitazioni nel paramento'!$G$54,'Sollecitazioni nel paramento'!$G$53)*IF(M1530&lt;0,-1,1)</f>
        <v>0</v>
      </c>
      <c r="T1530" s="545">
        <f>'Foglio deposito bis'!$F$71*IF(ABS(N1530)&lt;'Sollecitazioni nel paramento'!$G$58,ABS(N1530)*'Sollecitazioni nel paramento'!$G$54,'Sollecitazioni nel paramento'!$G$53)*IF(N1530&lt;0,-1,1)</f>
        <v>314705.62929873407</v>
      </c>
      <c r="U1530" s="545">
        <f>'Foglio deposito bis'!$F$72*IF(ABS(O1530)&lt;'Sollecitazioni nel paramento'!$G$58,ABS(O1530)*'Sollecitazioni nel paramento'!$G$54,'Sollecitazioni nel paramento'!$G$53)*IF(O1530&lt;0,-1,1)</f>
        <v>491727.54577927204</v>
      </c>
      <c r="V1530" s="472">
        <f t="shared" si="108"/>
        <v>378097.99714339658</v>
      </c>
      <c r="W1530" s="551"/>
      <c r="X1530" s="551"/>
    </row>
    <row r="1531" spans="1:24" x14ac:dyDescent="0.25">
      <c r="A1531" s="545">
        <f t="shared" si="107"/>
        <v>362368.26644094713</v>
      </c>
      <c r="B1531" s="3">
        <f t="shared" si="109"/>
        <v>1.900000000000001</v>
      </c>
      <c r="C1531" s="545">
        <f>'Foglio deposito bis'!$E$159/sezione!$B$247*B1531</f>
        <v>15.689680727959725</v>
      </c>
      <c r="D1531" s="603">
        <f>-'Sollecitazioni nel paramento'!$G$47*'Sollecitazioni nel paramento'!$G$41*IF(DATI!$G$211="dx",DATI!$E$61,DATI!$E$64*DATI!$E$63)*1000*C1531^2*sezione!$AD$5*(1-sezione!$AD$6)</f>
        <v>-5476862.493391186</v>
      </c>
      <c r="E1531" s="545">
        <f>-'Foglio deposito bis'!$F$68*(C1531-sezione!$AL$33)*IF(ABS(K1531)&lt;'Sollecitazioni nel paramento'!$G$58,ABS(K1531)*'Sollecitazioni nel paramento'!$G$54,'Sollecitazioni nel paramento'!$G$53)</f>
        <v>0</v>
      </c>
      <c r="F1531" s="545">
        <f>-'Foglio deposito bis'!$F$69*(C1531-sezione!$AM$33)*IF(ABS(L1531)&lt;'Sollecitazioni nel paramento'!$G$58,ABS(L1531)*'Sollecitazioni nel paramento'!$G$54,'Sollecitazioni nel paramento'!$G$53)</f>
        <v>6808938.9213551069</v>
      </c>
      <c r="G1531" s="545">
        <f>-'Foglio deposito bis'!$F$70*(C1531-sezione!$AN$33)*IF(ABS(M1531)&lt;'Sollecitazioni nel paramento'!$G$58,ABS(M1531)*'Sollecitazioni nel paramento'!$G$54,'Sollecitazioni nel paramento'!$G$53)</f>
        <v>0</v>
      </c>
      <c r="H1531" s="545">
        <f>-'Foglio deposito bis'!$F$71*(C1531-sezione!$AO$33)*IF(ABS(N1531)&lt;'Sollecitazioni nel paramento'!$G$58,ABS(N1531)*'Sollecitazioni nel paramento'!$G$54,'Sollecitazioni nel paramento'!$G$53)</f>
        <v>45415269.840808667</v>
      </c>
      <c r="I1531" s="472">
        <f>-'Foglio deposito bis'!$F$72*(C1531-sezione!$AP$33)*IF(ABS(O1531)&lt;'Sollecitazioni nel paramento'!$G$58,ABS(O1531)*'Sollecitazioni nel paramento'!$G$54,'Sollecitazioni nel paramento'!$G$53)</f>
        <v>272690619.3721121</v>
      </c>
      <c r="J1531" s="472">
        <f t="shared" si="106"/>
        <v>319437965.6408847</v>
      </c>
      <c r="K1531" s="550">
        <f>'Sollecitazioni nel paramento'!$G$60*(sezione!$AL$33-C1531)/C1531</f>
        <v>5.4230623890589198E-3</v>
      </c>
      <c r="L1531" s="550">
        <f>'Sollecitazioni nel paramento'!$G$60*(sezione!$AM$33-C1531)/C1531</f>
        <v>9.8845935835883796E-3</v>
      </c>
      <c r="M1531" s="551">
        <f>'Sollecitazioni nel paramento'!$G$60*(sezione!$AN$33-C1531)/C1531</f>
        <v>1.4346124778117839E-2</v>
      </c>
      <c r="N1531" s="551">
        <f>'Sollecitazioni nel paramento'!$G$60*(sezione!$AO$33-C1531)/C1531</f>
        <v>3.2192249556235675E-2</v>
      </c>
      <c r="O1531" s="551">
        <f>'Sollecitazioni nel paramento'!$G$60*(sezione!$AP$33-C1531)/C1531</f>
        <v>0.12370851655830932</v>
      </c>
      <c r="P1531" s="545">
        <f>-'Sollecitazioni nel paramento'!$G$47*'Sollecitazioni nel paramento'!$G$41*IF(DATI!$G$211="dx",DATI!$E$61,DATI!$E$64*DATI!$E$63)*1000*C1531*sezione!$AD$5</f>
        <v>-597729.76669308147</v>
      </c>
      <c r="Q1531" s="545">
        <f>'Foglio deposito bis'!$F$68*IF(ABS(K1531)&lt;'Sollecitazioni nel paramento'!$G$58,ABS(K1531)*'Sollecitazioni nel paramento'!$G$54,'Sollecitazioni nel paramento'!$G$53)*IF(K1531&lt;0,-1,1)</f>
        <v>0</v>
      </c>
      <c r="R1531" s="545">
        <f>'Foglio deposito bis'!$F$69*IF(ABS(L1531)&lt;'Sollecitazioni nel paramento'!$G$58,ABS(L1531)*'Sollecitazioni nel paramento'!$G$54,'Sollecitazioni nel paramento'!$G$53)*IF(L1531&lt;0,-1,1)</f>
        <v>153664.85805602249</v>
      </c>
      <c r="S1531" s="545">
        <f>'Foglio deposito bis'!$F$70*IF(ABS(M1531)&lt;'Sollecitazioni nel paramento'!$G$58,ABS(M1531)*'Sollecitazioni nel paramento'!$G$54,'Sollecitazioni nel paramento'!$G$53)*IF(M1531&lt;0,-1,1)</f>
        <v>0</v>
      </c>
      <c r="T1531" s="545">
        <f>'Foglio deposito bis'!$F$71*IF(ABS(N1531)&lt;'Sollecitazioni nel paramento'!$G$58,ABS(N1531)*'Sollecitazioni nel paramento'!$G$54,'Sollecitazioni nel paramento'!$G$53)*IF(N1531&lt;0,-1,1)</f>
        <v>314705.62929873407</v>
      </c>
      <c r="U1531" s="545">
        <f>'Foglio deposito bis'!$F$72*IF(ABS(O1531)&lt;'Sollecitazioni nel paramento'!$G$58,ABS(O1531)*'Sollecitazioni nel paramento'!$G$54,'Sollecitazioni nel paramento'!$G$53)*IF(O1531&lt;0,-1,1)</f>
        <v>491727.54577927204</v>
      </c>
      <c r="V1531" s="472">
        <f t="shared" si="108"/>
        <v>362368.26644094713</v>
      </c>
      <c r="W1531" s="551"/>
      <c r="X1531" s="551"/>
    </row>
    <row r="1532" spans="1:24" x14ac:dyDescent="0.25">
      <c r="A1532" s="545">
        <f t="shared" si="107"/>
        <v>346638.53573849757</v>
      </c>
      <c r="B1532" s="3">
        <f t="shared" si="109"/>
        <v>1.9500000000000011</v>
      </c>
      <c r="C1532" s="545">
        <f>'Foglio deposito bis'!$E$159/sezione!$B$247*B1532</f>
        <v>16.102567062906033</v>
      </c>
      <c r="D1532" s="603">
        <f>-'Sollecitazioni nel paramento'!$G$47*'Sollecitazioni nel paramento'!$G$41*IF(DATI!$G$211="dx",DATI!$E$61,DATI!$E$64*DATI!$E$63)*1000*C1532^2*sezione!$AD$5*(1-sezione!$AD$6)</f>
        <v>-5768911.2551578889</v>
      </c>
      <c r="E1532" s="545">
        <f>-'Foglio deposito bis'!$F$68*(C1532-sezione!$AL$33)*IF(ABS(K1532)&lt;'Sollecitazioni nel paramento'!$G$58,ABS(K1532)*'Sollecitazioni nel paramento'!$G$54,'Sollecitazioni nel paramento'!$G$53)</f>
        <v>0</v>
      </c>
      <c r="F1532" s="545">
        <f>-'Foglio deposito bis'!$F$69*(C1532-sezione!$AM$33)*IF(ABS(L1532)&lt;'Sollecitazioni nel paramento'!$G$58,ABS(L1532)*'Sollecitazioni nel paramento'!$G$54,'Sollecitazioni nel paramento'!$G$53)</f>
        <v>6745492.8013023119</v>
      </c>
      <c r="G1532" s="545">
        <f>-'Foglio deposito bis'!$F$70*(C1532-sezione!$AN$33)*IF(ABS(M1532)&lt;'Sollecitazioni nel paramento'!$G$58,ABS(M1532)*'Sollecitazioni nel paramento'!$G$54,'Sollecitazioni nel paramento'!$G$53)</f>
        <v>0</v>
      </c>
      <c r="H1532" s="545">
        <f>-'Foglio deposito bis'!$F$71*(C1532-sezione!$AO$33)*IF(ABS(N1532)&lt;'Sollecitazioni nel paramento'!$G$58,ABS(N1532)*'Sollecitazioni nel paramento'!$G$54,'Sollecitazioni nel paramento'!$G$53)</f>
        <v>45285332.186940551</v>
      </c>
      <c r="I1532" s="472">
        <f>-'Foglio deposito bis'!$F$72*(C1532-sezione!$AP$33)*IF(ABS(O1532)&lt;'Sollecitazioni nel paramento'!$G$58,ABS(O1532)*'Sollecitazioni nel paramento'!$G$54,'Sollecitazioni nel paramento'!$G$53)</f>
        <v>272487591.78794318</v>
      </c>
      <c r="J1532" s="472">
        <f t="shared" si="106"/>
        <v>318749505.52102816</v>
      </c>
      <c r="K1532" s="550">
        <f>'Sollecitazioni nel paramento'!$G$60*(sezione!$AL$33-C1532)/C1532</f>
        <v>5.1942659175445889E-3</v>
      </c>
      <c r="L1532" s="550">
        <f>'Sollecitazioni nel paramento'!$G$60*(sezione!$AM$33-C1532)/C1532</f>
        <v>9.5413988763168832E-3</v>
      </c>
      <c r="M1532" s="551">
        <f>'Sollecitazioni nel paramento'!$G$60*(sezione!$AN$33-C1532)/C1532</f>
        <v>1.3888531835089177E-2</v>
      </c>
      <c r="N1532" s="551">
        <f>'Sollecitazioni nel paramento'!$G$60*(sezione!$AO$33-C1532)/C1532</f>
        <v>3.1277063670178358E-2</v>
      </c>
      <c r="O1532" s="551">
        <f>'Sollecitazioni nel paramento'!$G$60*(sezione!$AP$33-C1532)/C1532</f>
        <v>0.12044675972348089</v>
      </c>
      <c r="P1532" s="545">
        <f>-'Sollecitazioni nel paramento'!$G$47*'Sollecitazioni nel paramento'!$G$41*IF(DATI!$G$211="dx",DATI!$E$61,DATI!$E$64*DATI!$E$63)*1000*C1532*sezione!$AD$5</f>
        <v>-613459.49739553104</v>
      </c>
      <c r="Q1532" s="545">
        <f>'Foglio deposito bis'!$F$68*IF(ABS(K1532)&lt;'Sollecitazioni nel paramento'!$G$58,ABS(K1532)*'Sollecitazioni nel paramento'!$G$54,'Sollecitazioni nel paramento'!$G$53)*IF(K1532&lt;0,-1,1)</f>
        <v>0</v>
      </c>
      <c r="R1532" s="545">
        <f>'Foglio deposito bis'!$F$69*IF(ABS(L1532)&lt;'Sollecitazioni nel paramento'!$G$58,ABS(L1532)*'Sollecitazioni nel paramento'!$G$54,'Sollecitazioni nel paramento'!$G$53)*IF(L1532&lt;0,-1,1)</f>
        <v>153664.85805602249</v>
      </c>
      <c r="S1532" s="545">
        <f>'Foglio deposito bis'!$F$70*IF(ABS(M1532)&lt;'Sollecitazioni nel paramento'!$G$58,ABS(M1532)*'Sollecitazioni nel paramento'!$G$54,'Sollecitazioni nel paramento'!$G$53)*IF(M1532&lt;0,-1,1)</f>
        <v>0</v>
      </c>
      <c r="T1532" s="545">
        <f>'Foglio deposito bis'!$F$71*IF(ABS(N1532)&lt;'Sollecitazioni nel paramento'!$G$58,ABS(N1532)*'Sollecitazioni nel paramento'!$G$54,'Sollecitazioni nel paramento'!$G$53)*IF(N1532&lt;0,-1,1)</f>
        <v>314705.62929873407</v>
      </c>
      <c r="U1532" s="545">
        <f>'Foglio deposito bis'!$F$72*IF(ABS(O1532)&lt;'Sollecitazioni nel paramento'!$G$58,ABS(O1532)*'Sollecitazioni nel paramento'!$G$54,'Sollecitazioni nel paramento'!$G$53)*IF(O1532&lt;0,-1,1)</f>
        <v>491727.54577927204</v>
      </c>
      <c r="V1532" s="472">
        <f t="shared" si="108"/>
        <v>346638.53573849757</v>
      </c>
      <c r="W1532" s="551"/>
      <c r="X1532" s="551"/>
    </row>
    <row r="1533" spans="1:24" x14ac:dyDescent="0.25">
      <c r="A1533" s="545">
        <f t="shared" si="107"/>
        <v>330908.80503604811</v>
      </c>
      <c r="B1533" s="3">
        <f t="shared" si="109"/>
        <v>2.0000000000000009</v>
      </c>
      <c r="C1533" s="545">
        <f>'Foglio deposito bis'!$E$159/sezione!$B$247*B1533</f>
        <v>16.51545339785234</v>
      </c>
      <c r="D1533" s="603">
        <f>-'Sollecitazioni nel paramento'!$G$47*'Sollecitazioni nel paramento'!$G$41*IF(DATI!$G$211="dx",DATI!$E$61,DATI!$E$64*DATI!$E$63)*1000*C1533^2*sezione!$AD$5*(1-sezione!$AD$6)</f>
        <v>-6068545.6990484046</v>
      </c>
      <c r="E1533" s="545">
        <f>-'Foglio deposito bis'!$F$68*(C1533-sezione!$AL$33)*IF(ABS(K1533)&lt;'Sollecitazioni nel paramento'!$G$58,ABS(K1533)*'Sollecitazioni nel paramento'!$G$54,'Sollecitazioni nel paramento'!$G$53)</f>
        <v>0</v>
      </c>
      <c r="F1533" s="545">
        <f>-'Foglio deposito bis'!$F$69*(C1533-sezione!$AM$33)*IF(ABS(L1533)&lt;'Sollecitazioni nel paramento'!$G$58,ABS(L1533)*'Sollecitazioni nel paramento'!$G$54,'Sollecitazioni nel paramento'!$G$53)</f>
        <v>6682046.6812495152</v>
      </c>
      <c r="G1533" s="545">
        <f>-'Foglio deposito bis'!$F$70*(C1533-sezione!$AN$33)*IF(ABS(M1533)&lt;'Sollecitazioni nel paramento'!$G$58,ABS(M1533)*'Sollecitazioni nel paramento'!$G$54,'Sollecitazioni nel paramento'!$G$53)</f>
        <v>0</v>
      </c>
      <c r="H1533" s="545">
        <f>-'Foglio deposito bis'!$F$71*(C1533-sezione!$AO$33)*IF(ABS(N1533)&lt;'Sollecitazioni nel paramento'!$G$58,ABS(N1533)*'Sollecitazioni nel paramento'!$G$54,'Sollecitazioni nel paramento'!$G$53)</f>
        <v>45155394.533072412</v>
      </c>
      <c r="I1533" s="472">
        <f>-'Foglio deposito bis'!$F$72*(C1533-sezione!$AP$33)*IF(ABS(O1533)&lt;'Sollecitazioni nel paramento'!$G$58,ABS(O1533)*'Sollecitazioni nel paramento'!$G$54,'Sollecitazioni nel paramento'!$G$53)</f>
        <v>272284564.20377421</v>
      </c>
      <c r="J1533" s="472">
        <f t="shared" si="106"/>
        <v>318053459.71904773</v>
      </c>
      <c r="K1533" s="550">
        <f>'Sollecitazioni nel paramento'!$G$60*(sezione!$AL$33-C1533)/C1533</f>
        <v>4.9769092696059754E-3</v>
      </c>
      <c r="L1533" s="550">
        <f>'Sollecitazioni nel paramento'!$G$60*(sezione!$AM$33-C1533)/C1533</f>
        <v>9.2153639044089634E-3</v>
      </c>
      <c r="M1533" s="551">
        <f>'Sollecitazioni nel paramento'!$G$60*(sezione!$AN$33-C1533)/C1533</f>
        <v>1.345381853921195E-2</v>
      </c>
      <c r="N1533" s="551">
        <f>'Sollecitazioni nel paramento'!$G$60*(sezione!$AO$33-C1533)/C1533</f>
        <v>3.0407637078423897E-2</v>
      </c>
      <c r="O1533" s="551">
        <f>'Sollecitazioni nel paramento'!$G$60*(sezione!$AP$33-C1533)/C1533</f>
        <v>0.11734809073039389</v>
      </c>
      <c r="P1533" s="545">
        <f>-'Sollecitazioni nel paramento'!$G$47*'Sollecitazioni nel paramento'!$G$41*IF(DATI!$G$211="dx",DATI!$E$61,DATI!$E$64*DATI!$E$63)*1000*C1533*sezione!$AD$5</f>
        <v>-629189.22809798049</v>
      </c>
      <c r="Q1533" s="545">
        <f>'Foglio deposito bis'!$F$68*IF(ABS(K1533)&lt;'Sollecitazioni nel paramento'!$G$58,ABS(K1533)*'Sollecitazioni nel paramento'!$G$54,'Sollecitazioni nel paramento'!$G$53)*IF(K1533&lt;0,-1,1)</f>
        <v>0</v>
      </c>
      <c r="R1533" s="545">
        <f>'Foglio deposito bis'!$F$69*IF(ABS(L1533)&lt;'Sollecitazioni nel paramento'!$G$58,ABS(L1533)*'Sollecitazioni nel paramento'!$G$54,'Sollecitazioni nel paramento'!$G$53)*IF(L1533&lt;0,-1,1)</f>
        <v>153664.85805602249</v>
      </c>
      <c r="S1533" s="545">
        <f>'Foglio deposito bis'!$F$70*IF(ABS(M1533)&lt;'Sollecitazioni nel paramento'!$G$58,ABS(M1533)*'Sollecitazioni nel paramento'!$G$54,'Sollecitazioni nel paramento'!$G$53)*IF(M1533&lt;0,-1,1)</f>
        <v>0</v>
      </c>
      <c r="T1533" s="545">
        <f>'Foglio deposito bis'!$F$71*IF(ABS(N1533)&lt;'Sollecitazioni nel paramento'!$G$58,ABS(N1533)*'Sollecitazioni nel paramento'!$G$54,'Sollecitazioni nel paramento'!$G$53)*IF(N1533&lt;0,-1,1)</f>
        <v>314705.62929873407</v>
      </c>
      <c r="U1533" s="545">
        <f>'Foglio deposito bis'!$F$72*IF(ABS(O1533)&lt;'Sollecitazioni nel paramento'!$G$58,ABS(O1533)*'Sollecitazioni nel paramento'!$G$54,'Sollecitazioni nel paramento'!$G$53)*IF(O1533&lt;0,-1,1)</f>
        <v>491727.54577927204</v>
      </c>
      <c r="V1533" s="472">
        <f t="shared" si="108"/>
        <v>330908.80503604811</v>
      </c>
      <c r="W1533" s="551"/>
      <c r="X1533" s="551"/>
    </row>
    <row r="1534" spans="1:24" x14ac:dyDescent="0.25">
      <c r="A1534" s="545">
        <f t="shared" si="107"/>
        <v>315179.07433359866</v>
      </c>
      <c r="B1534" s="3">
        <f t="shared" si="109"/>
        <v>2.0500000000000007</v>
      </c>
      <c r="C1534" s="545">
        <f>'Foglio deposito bis'!$E$159/sezione!$B$247*B1534</f>
        <v>16.928339732798648</v>
      </c>
      <c r="D1534" s="603">
        <f>-'Sollecitazioni nel paramento'!$G$47*'Sollecitazioni nel paramento'!$G$41*IF(DATI!$G$211="dx",DATI!$E$61,DATI!$E$64*DATI!$E$63)*1000*C1534^2*sezione!$AD$5*(1-sezione!$AD$6)</f>
        <v>-6375765.8250627285</v>
      </c>
      <c r="E1534" s="545">
        <f>-'Foglio deposito bis'!$F$68*(C1534-sezione!$AL$33)*IF(ABS(K1534)&lt;'Sollecitazioni nel paramento'!$G$58,ABS(K1534)*'Sollecitazioni nel paramento'!$G$54,'Sollecitazioni nel paramento'!$G$53)</f>
        <v>0</v>
      </c>
      <c r="F1534" s="545">
        <f>-'Foglio deposito bis'!$F$69*(C1534-sezione!$AM$33)*IF(ABS(L1534)&lt;'Sollecitazioni nel paramento'!$G$58,ABS(L1534)*'Sollecitazioni nel paramento'!$G$54,'Sollecitazioni nel paramento'!$G$53)</f>
        <v>6618600.5611967202</v>
      </c>
      <c r="G1534" s="545">
        <f>-'Foglio deposito bis'!$F$70*(C1534-sezione!$AN$33)*IF(ABS(M1534)&lt;'Sollecitazioni nel paramento'!$G$58,ABS(M1534)*'Sollecitazioni nel paramento'!$G$54,'Sollecitazioni nel paramento'!$G$53)</f>
        <v>0</v>
      </c>
      <c r="H1534" s="545">
        <f>-'Foglio deposito bis'!$F$71*(C1534-sezione!$AO$33)*IF(ABS(N1534)&lt;'Sollecitazioni nel paramento'!$G$58,ABS(N1534)*'Sollecitazioni nel paramento'!$G$54,'Sollecitazioni nel paramento'!$G$53)</f>
        <v>45025456.879204296</v>
      </c>
      <c r="I1534" s="472">
        <f>-'Foglio deposito bis'!$F$72*(C1534-sezione!$AP$33)*IF(ABS(O1534)&lt;'Sollecitazioni nel paramento'!$G$58,ABS(O1534)*'Sollecitazioni nel paramento'!$G$54,'Sollecitazioni nel paramento'!$G$53)</f>
        <v>272081536.61960524</v>
      </c>
      <c r="J1534" s="472">
        <f t="shared" si="106"/>
        <v>317349828.23494351</v>
      </c>
      <c r="K1534" s="550">
        <f>'Sollecitazioni nel paramento'!$G$60*(sezione!$AL$33-C1534)/C1534</f>
        <v>4.7701553849814398E-3</v>
      </c>
      <c r="L1534" s="550">
        <f>'Sollecitazioni nel paramento'!$G$60*(sezione!$AM$33-C1534)/C1534</f>
        <v>8.9052330774721591E-3</v>
      </c>
      <c r="M1534" s="551">
        <f>'Sollecitazioni nel paramento'!$G$60*(sezione!$AN$33-C1534)/C1534</f>
        <v>1.3040310769962879E-2</v>
      </c>
      <c r="N1534" s="551">
        <f>'Sollecitazioni nel paramento'!$G$60*(sezione!$AO$33-C1534)/C1534</f>
        <v>2.9580621539925762E-2</v>
      </c>
      <c r="O1534" s="551">
        <f>'Sollecitazioni nel paramento'!$G$60*(sezione!$AP$33-C1534)/C1534</f>
        <v>0.11440057632233548</v>
      </c>
      <c r="P1534" s="545">
        <f>-'Sollecitazioni nel paramento'!$G$47*'Sollecitazioni nel paramento'!$G$41*IF(DATI!$G$211="dx",DATI!$E$61,DATI!$E$64*DATI!$E$63)*1000*C1534*sezione!$AD$5</f>
        <v>-644918.95880042994</v>
      </c>
      <c r="Q1534" s="545">
        <f>'Foglio deposito bis'!$F$68*IF(ABS(K1534)&lt;'Sollecitazioni nel paramento'!$G$58,ABS(K1534)*'Sollecitazioni nel paramento'!$G$54,'Sollecitazioni nel paramento'!$G$53)*IF(K1534&lt;0,-1,1)</f>
        <v>0</v>
      </c>
      <c r="R1534" s="545">
        <f>'Foglio deposito bis'!$F$69*IF(ABS(L1534)&lt;'Sollecitazioni nel paramento'!$G$58,ABS(L1534)*'Sollecitazioni nel paramento'!$G$54,'Sollecitazioni nel paramento'!$G$53)*IF(L1534&lt;0,-1,1)</f>
        <v>153664.85805602249</v>
      </c>
      <c r="S1534" s="545">
        <f>'Foglio deposito bis'!$F$70*IF(ABS(M1534)&lt;'Sollecitazioni nel paramento'!$G$58,ABS(M1534)*'Sollecitazioni nel paramento'!$G$54,'Sollecitazioni nel paramento'!$G$53)*IF(M1534&lt;0,-1,1)</f>
        <v>0</v>
      </c>
      <c r="T1534" s="545">
        <f>'Foglio deposito bis'!$F$71*IF(ABS(N1534)&lt;'Sollecitazioni nel paramento'!$G$58,ABS(N1534)*'Sollecitazioni nel paramento'!$G$54,'Sollecitazioni nel paramento'!$G$53)*IF(N1534&lt;0,-1,1)</f>
        <v>314705.62929873407</v>
      </c>
      <c r="U1534" s="545">
        <f>'Foglio deposito bis'!$F$72*IF(ABS(O1534)&lt;'Sollecitazioni nel paramento'!$G$58,ABS(O1534)*'Sollecitazioni nel paramento'!$G$54,'Sollecitazioni nel paramento'!$G$53)*IF(O1534&lt;0,-1,1)</f>
        <v>491727.54577927204</v>
      </c>
      <c r="V1534" s="472">
        <f t="shared" si="108"/>
        <v>315179.07433359866</v>
      </c>
      <c r="W1534" s="551"/>
      <c r="X1534" s="551"/>
    </row>
    <row r="1535" spans="1:24" x14ac:dyDescent="0.25">
      <c r="A1535" s="545">
        <f t="shared" si="107"/>
        <v>299449.34363114921</v>
      </c>
      <c r="B1535" s="3">
        <f t="shared" si="109"/>
        <v>2.1000000000000005</v>
      </c>
      <c r="C1535" s="545">
        <f>'Foglio deposito bis'!$E$159/sezione!$B$247*B1535</f>
        <v>17.341226067744955</v>
      </c>
      <c r="D1535" s="603">
        <f>-'Sollecitazioni nel paramento'!$G$47*'Sollecitazioni nel paramento'!$G$41*IF(DATI!$G$211="dx",DATI!$E$61,DATI!$E$64*DATI!$E$63)*1000*C1535^2*sezione!$AD$5*(1-sezione!$AD$6)</f>
        <v>-6690571.6332008643</v>
      </c>
      <c r="E1535" s="545">
        <f>-'Foglio deposito bis'!$F$68*(C1535-sezione!$AL$33)*IF(ABS(K1535)&lt;'Sollecitazioni nel paramento'!$G$58,ABS(K1535)*'Sollecitazioni nel paramento'!$G$54,'Sollecitazioni nel paramento'!$G$53)</f>
        <v>0</v>
      </c>
      <c r="F1535" s="545">
        <f>-'Foglio deposito bis'!$F$69*(C1535-sezione!$AM$33)*IF(ABS(L1535)&lt;'Sollecitazioni nel paramento'!$G$58,ABS(L1535)*'Sollecitazioni nel paramento'!$G$54,'Sollecitazioni nel paramento'!$G$53)</f>
        <v>6555154.4411439234</v>
      </c>
      <c r="G1535" s="545">
        <f>-'Foglio deposito bis'!$F$70*(C1535-sezione!$AN$33)*IF(ABS(M1535)&lt;'Sollecitazioni nel paramento'!$G$58,ABS(M1535)*'Sollecitazioni nel paramento'!$G$54,'Sollecitazioni nel paramento'!$G$53)</f>
        <v>0</v>
      </c>
      <c r="H1535" s="545">
        <f>-'Foglio deposito bis'!$F$71*(C1535-sezione!$AO$33)*IF(ABS(N1535)&lt;'Sollecitazioni nel paramento'!$G$58,ABS(N1535)*'Sollecitazioni nel paramento'!$G$54,'Sollecitazioni nel paramento'!$G$53)</f>
        <v>44895519.225336164</v>
      </c>
      <c r="I1535" s="472">
        <f>-'Foglio deposito bis'!$F$72*(C1535-sezione!$AP$33)*IF(ABS(O1535)&lt;'Sollecitazioni nel paramento'!$G$58,ABS(O1535)*'Sollecitazioni nel paramento'!$G$54,'Sollecitazioni nel paramento'!$G$53)</f>
        <v>271878509.03543633</v>
      </c>
      <c r="J1535" s="472">
        <f t="shared" si="106"/>
        <v>316638611.06871557</v>
      </c>
      <c r="K1535" s="550">
        <f>'Sollecitazioni nel paramento'!$G$60*(sezione!$AL$33-C1535)/C1535</f>
        <v>4.5732469234342626E-3</v>
      </c>
      <c r="L1535" s="550">
        <f>'Sollecitazioni nel paramento'!$G$60*(sezione!$AM$33-C1535)/C1535</f>
        <v>8.6098703851513938E-3</v>
      </c>
      <c r="M1535" s="551">
        <f>'Sollecitazioni nel paramento'!$G$60*(sezione!$AN$33-C1535)/C1535</f>
        <v>1.2646493846868525E-2</v>
      </c>
      <c r="N1535" s="551">
        <f>'Sollecitazioni nel paramento'!$G$60*(sezione!$AO$33-C1535)/C1535</f>
        <v>2.8792987693737049E-2</v>
      </c>
      <c r="O1535" s="551">
        <f>'Sollecitazioni nel paramento'!$G$60*(sezione!$AP$33-C1535)/C1535</f>
        <v>0.11159341974323228</v>
      </c>
      <c r="P1535" s="545">
        <f>-'Sollecitazioni nel paramento'!$G$47*'Sollecitazioni nel paramento'!$G$41*IF(DATI!$G$211="dx",DATI!$E$61,DATI!$E$64*DATI!$E$63)*1000*C1535*sezione!$AD$5</f>
        <v>-660648.6895028794</v>
      </c>
      <c r="Q1535" s="545">
        <f>'Foglio deposito bis'!$F$68*IF(ABS(K1535)&lt;'Sollecitazioni nel paramento'!$G$58,ABS(K1535)*'Sollecitazioni nel paramento'!$G$54,'Sollecitazioni nel paramento'!$G$53)*IF(K1535&lt;0,-1,1)</f>
        <v>0</v>
      </c>
      <c r="R1535" s="545">
        <f>'Foglio deposito bis'!$F$69*IF(ABS(L1535)&lt;'Sollecitazioni nel paramento'!$G$58,ABS(L1535)*'Sollecitazioni nel paramento'!$G$54,'Sollecitazioni nel paramento'!$G$53)*IF(L1535&lt;0,-1,1)</f>
        <v>153664.85805602249</v>
      </c>
      <c r="S1535" s="545">
        <f>'Foglio deposito bis'!$F$70*IF(ABS(M1535)&lt;'Sollecitazioni nel paramento'!$G$58,ABS(M1535)*'Sollecitazioni nel paramento'!$G$54,'Sollecitazioni nel paramento'!$G$53)*IF(M1535&lt;0,-1,1)</f>
        <v>0</v>
      </c>
      <c r="T1535" s="545">
        <f>'Foglio deposito bis'!$F$71*IF(ABS(N1535)&lt;'Sollecitazioni nel paramento'!$G$58,ABS(N1535)*'Sollecitazioni nel paramento'!$G$54,'Sollecitazioni nel paramento'!$G$53)*IF(N1535&lt;0,-1,1)</f>
        <v>314705.62929873407</v>
      </c>
      <c r="U1535" s="545">
        <f>'Foglio deposito bis'!$F$72*IF(ABS(O1535)&lt;'Sollecitazioni nel paramento'!$G$58,ABS(O1535)*'Sollecitazioni nel paramento'!$G$54,'Sollecitazioni nel paramento'!$G$53)*IF(O1535&lt;0,-1,1)</f>
        <v>491727.54577927204</v>
      </c>
      <c r="V1535" s="472">
        <f t="shared" si="108"/>
        <v>299449.34363114921</v>
      </c>
      <c r="W1535" s="551"/>
      <c r="X1535" s="551"/>
    </row>
    <row r="1536" spans="1:24" x14ac:dyDescent="0.25">
      <c r="A1536" s="545">
        <f t="shared" si="107"/>
        <v>283719.61292869964</v>
      </c>
      <c r="B1536" s="3">
        <f t="shared" si="109"/>
        <v>2.1500000000000004</v>
      </c>
      <c r="C1536" s="545">
        <f>'Foglio deposito bis'!$E$159/sezione!$B$247*B1536</f>
        <v>17.754112402691263</v>
      </c>
      <c r="D1536" s="603">
        <f>-'Sollecitazioni nel paramento'!$G$47*'Sollecitazioni nel paramento'!$G$41*IF(DATI!$G$211="dx",DATI!$E$61,DATI!$E$64*DATI!$E$63)*1000*C1536^2*sezione!$AD$5*(1-sezione!$AD$6)</f>
        <v>-7012963.1234628102</v>
      </c>
      <c r="E1536" s="545">
        <f>-'Foglio deposito bis'!$F$68*(C1536-sezione!$AL$33)*IF(ABS(K1536)&lt;'Sollecitazioni nel paramento'!$G$58,ABS(K1536)*'Sollecitazioni nel paramento'!$G$54,'Sollecitazioni nel paramento'!$G$53)</f>
        <v>0</v>
      </c>
      <c r="F1536" s="545">
        <f>-'Foglio deposito bis'!$F$69*(C1536-sezione!$AM$33)*IF(ABS(L1536)&lt;'Sollecitazioni nel paramento'!$G$58,ABS(L1536)*'Sollecitazioni nel paramento'!$G$54,'Sollecitazioni nel paramento'!$G$53)</f>
        <v>6491708.3210911285</v>
      </c>
      <c r="G1536" s="545">
        <f>-'Foglio deposito bis'!$F$70*(C1536-sezione!$AN$33)*IF(ABS(M1536)&lt;'Sollecitazioni nel paramento'!$G$58,ABS(M1536)*'Sollecitazioni nel paramento'!$G$54,'Sollecitazioni nel paramento'!$G$53)</f>
        <v>0</v>
      </c>
      <c r="H1536" s="545">
        <f>-'Foglio deposito bis'!$F$71*(C1536-sezione!$AO$33)*IF(ABS(N1536)&lt;'Sollecitazioni nel paramento'!$G$58,ABS(N1536)*'Sollecitazioni nel paramento'!$G$54,'Sollecitazioni nel paramento'!$G$53)</f>
        <v>44765581.571468048</v>
      </c>
      <c r="I1536" s="472">
        <f>-'Foglio deposito bis'!$F$72*(C1536-sezione!$AP$33)*IF(ABS(O1536)&lt;'Sollecitazioni nel paramento'!$G$58,ABS(O1536)*'Sollecitazioni nel paramento'!$G$54,'Sollecitazioni nel paramento'!$G$53)</f>
        <v>271675481.45126736</v>
      </c>
      <c r="J1536" s="472">
        <f t="shared" si="106"/>
        <v>315919808.22036374</v>
      </c>
      <c r="K1536" s="550">
        <f>'Sollecitazioni nel paramento'!$G$60*(sezione!$AL$33-C1536)/C1536</f>
        <v>4.385496994982304E-3</v>
      </c>
      <c r="L1536" s="550">
        <f>'Sollecitazioni nel paramento'!$G$60*(sezione!$AM$33-C1536)/C1536</f>
        <v>8.3282454924734559E-3</v>
      </c>
      <c r="M1536" s="551">
        <f>'Sollecitazioni nel paramento'!$G$60*(sezione!$AN$33-C1536)/C1536</f>
        <v>1.2270993989964608E-2</v>
      </c>
      <c r="N1536" s="551">
        <f>'Sollecitazioni nel paramento'!$G$60*(sezione!$AO$33-C1536)/C1536</f>
        <v>2.8041987979929218E-2</v>
      </c>
      <c r="O1536" s="551">
        <f>'Sollecitazioni nel paramento'!$G$60*(sezione!$AP$33-C1536)/C1536</f>
        <v>0.10891682858641293</v>
      </c>
      <c r="P1536" s="545">
        <f>-'Sollecitazioni nel paramento'!$G$47*'Sollecitazioni nel paramento'!$G$41*IF(DATI!$G$211="dx",DATI!$E$61,DATI!$E$64*DATI!$E$63)*1000*C1536*sezione!$AD$5</f>
        <v>-676378.42020532896</v>
      </c>
      <c r="Q1536" s="545">
        <f>'Foglio deposito bis'!$F$68*IF(ABS(K1536)&lt;'Sollecitazioni nel paramento'!$G$58,ABS(K1536)*'Sollecitazioni nel paramento'!$G$54,'Sollecitazioni nel paramento'!$G$53)*IF(K1536&lt;0,-1,1)</f>
        <v>0</v>
      </c>
      <c r="R1536" s="545">
        <f>'Foglio deposito bis'!$F$69*IF(ABS(L1536)&lt;'Sollecitazioni nel paramento'!$G$58,ABS(L1536)*'Sollecitazioni nel paramento'!$G$54,'Sollecitazioni nel paramento'!$G$53)*IF(L1536&lt;0,-1,1)</f>
        <v>153664.85805602249</v>
      </c>
      <c r="S1536" s="545">
        <f>'Foglio deposito bis'!$F$70*IF(ABS(M1536)&lt;'Sollecitazioni nel paramento'!$G$58,ABS(M1536)*'Sollecitazioni nel paramento'!$G$54,'Sollecitazioni nel paramento'!$G$53)*IF(M1536&lt;0,-1,1)</f>
        <v>0</v>
      </c>
      <c r="T1536" s="545">
        <f>'Foglio deposito bis'!$F$71*IF(ABS(N1536)&lt;'Sollecitazioni nel paramento'!$G$58,ABS(N1536)*'Sollecitazioni nel paramento'!$G$54,'Sollecitazioni nel paramento'!$G$53)*IF(N1536&lt;0,-1,1)</f>
        <v>314705.62929873407</v>
      </c>
      <c r="U1536" s="545">
        <f>'Foglio deposito bis'!$F$72*IF(ABS(O1536)&lt;'Sollecitazioni nel paramento'!$G$58,ABS(O1536)*'Sollecitazioni nel paramento'!$G$54,'Sollecitazioni nel paramento'!$G$53)*IF(O1536&lt;0,-1,1)</f>
        <v>491727.54577927204</v>
      </c>
      <c r="V1536" s="472">
        <f t="shared" si="108"/>
        <v>283719.61292869964</v>
      </c>
      <c r="W1536" s="551"/>
      <c r="X1536" s="551"/>
    </row>
    <row r="1537" spans="1:24" x14ac:dyDescent="0.25">
      <c r="A1537" s="545">
        <f t="shared" si="107"/>
        <v>267989.88222625048</v>
      </c>
      <c r="B1537" s="3">
        <f t="shared" si="109"/>
        <v>2.2000000000000002</v>
      </c>
      <c r="C1537" s="545">
        <f>'Foglio deposito bis'!$E$159/sezione!$B$247*B1537</f>
        <v>18.166998737637567</v>
      </c>
      <c r="D1537" s="603">
        <f>-'Sollecitazioni nel paramento'!$G$47*'Sollecitazioni nel paramento'!$G$41*IF(DATI!$G$211="dx",DATI!$E$61,DATI!$E$64*DATI!$E$63)*1000*C1537^2*sezione!$AD$5*(1-sezione!$AD$6)</f>
        <v>-7342940.2958485633</v>
      </c>
      <c r="E1537" s="545">
        <f>-'Foglio deposito bis'!$F$68*(C1537-sezione!$AL$33)*IF(ABS(K1537)&lt;'Sollecitazioni nel paramento'!$G$58,ABS(K1537)*'Sollecitazioni nel paramento'!$G$54,'Sollecitazioni nel paramento'!$G$53)</f>
        <v>0</v>
      </c>
      <c r="F1537" s="545">
        <f>-'Foglio deposito bis'!$F$69*(C1537-sezione!$AM$33)*IF(ABS(L1537)&lt;'Sollecitazioni nel paramento'!$G$58,ABS(L1537)*'Sollecitazioni nel paramento'!$G$54,'Sollecitazioni nel paramento'!$G$53)</f>
        <v>6428262.2010383317</v>
      </c>
      <c r="G1537" s="545">
        <f>-'Foglio deposito bis'!$F$70*(C1537-sezione!$AN$33)*IF(ABS(M1537)&lt;'Sollecitazioni nel paramento'!$G$58,ABS(M1537)*'Sollecitazioni nel paramento'!$G$54,'Sollecitazioni nel paramento'!$G$53)</f>
        <v>0</v>
      </c>
      <c r="H1537" s="545">
        <f>-'Foglio deposito bis'!$F$71*(C1537-sezione!$AO$33)*IF(ABS(N1537)&lt;'Sollecitazioni nel paramento'!$G$58,ABS(N1537)*'Sollecitazioni nel paramento'!$G$54,'Sollecitazioni nel paramento'!$G$53)</f>
        <v>44635643.917599916</v>
      </c>
      <c r="I1537" s="472">
        <f>-'Foglio deposito bis'!$F$72*(C1537-sezione!$AP$33)*IF(ABS(O1537)&lt;'Sollecitazioni nel paramento'!$G$58,ABS(O1537)*'Sollecitazioni nel paramento'!$G$54,'Sollecitazioni nel paramento'!$G$53)</f>
        <v>271472453.86709845</v>
      </c>
      <c r="J1537" s="472">
        <f t="shared" si="106"/>
        <v>315193419.68988812</v>
      </c>
      <c r="K1537" s="550">
        <f>'Sollecitazioni nel paramento'!$G$60*(sezione!$AL$33-C1537)/C1537</f>
        <v>4.2062811541872533E-3</v>
      </c>
      <c r="L1537" s="550">
        <f>'Sollecitazioni nel paramento'!$G$60*(sezione!$AM$33-C1537)/C1537</f>
        <v>8.0594217312808785E-3</v>
      </c>
      <c r="M1537" s="551">
        <f>'Sollecitazioni nel paramento'!$G$60*(sezione!$AN$33-C1537)/C1537</f>
        <v>1.1912562308374506E-2</v>
      </c>
      <c r="N1537" s="551">
        <f>'Sollecitazioni nel paramento'!$G$60*(sezione!$AO$33-C1537)/C1537</f>
        <v>2.7325124616749016E-2</v>
      </c>
      <c r="O1537" s="551">
        <f>'Sollecitazioni nel paramento'!$G$60*(sezione!$AP$33-C1537)/C1537</f>
        <v>0.10636190066399449</v>
      </c>
      <c r="P1537" s="545">
        <f>-'Sollecitazioni nel paramento'!$G$47*'Sollecitazioni nel paramento'!$G$41*IF(DATI!$G$211="dx",DATI!$E$61,DATI!$E$64*DATI!$E$63)*1000*C1537*sezione!$AD$5</f>
        <v>-692108.15090777818</v>
      </c>
      <c r="Q1537" s="545">
        <f>'Foglio deposito bis'!$F$68*IF(ABS(K1537)&lt;'Sollecitazioni nel paramento'!$G$58,ABS(K1537)*'Sollecitazioni nel paramento'!$G$54,'Sollecitazioni nel paramento'!$G$53)*IF(K1537&lt;0,-1,1)</f>
        <v>0</v>
      </c>
      <c r="R1537" s="545">
        <f>'Foglio deposito bis'!$F$69*IF(ABS(L1537)&lt;'Sollecitazioni nel paramento'!$G$58,ABS(L1537)*'Sollecitazioni nel paramento'!$G$54,'Sollecitazioni nel paramento'!$G$53)*IF(L1537&lt;0,-1,1)</f>
        <v>153664.85805602249</v>
      </c>
      <c r="S1537" s="545">
        <f>'Foglio deposito bis'!$F$70*IF(ABS(M1537)&lt;'Sollecitazioni nel paramento'!$G$58,ABS(M1537)*'Sollecitazioni nel paramento'!$G$54,'Sollecitazioni nel paramento'!$G$53)*IF(M1537&lt;0,-1,1)</f>
        <v>0</v>
      </c>
      <c r="T1537" s="545">
        <f>'Foglio deposito bis'!$F$71*IF(ABS(N1537)&lt;'Sollecitazioni nel paramento'!$G$58,ABS(N1537)*'Sollecitazioni nel paramento'!$G$54,'Sollecitazioni nel paramento'!$G$53)*IF(N1537&lt;0,-1,1)</f>
        <v>314705.62929873407</v>
      </c>
      <c r="U1537" s="545">
        <f>'Foglio deposito bis'!$F$72*IF(ABS(O1537)&lt;'Sollecitazioni nel paramento'!$G$58,ABS(O1537)*'Sollecitazioni nel paramento'!$G$54,'Sollecitazioni nel paramento'!$G$53)*IF(O1537&lt;0,-1,1)</f>
        <v>491727.54577927204</v>
      </c>
      <c r="V1537" s="472">
        <f t="shared" si="108"/>
        <v>267989.88222625048</v>
      </c>
      <c r="W1537" s="551"/>
      <c r="X1537" s="551"/>
    </row>
    <row r="1538" spans="1:24" x14ac:dyDescent="0.25">
      <c r="A1538" s="545">
        <f t="shared" si="107"/>
        <v>252260.15152380092</v>
      </c>
      <c r="B1538" s="3">
        <f t="shared" si="109"/>
        <v>2.25</v>
      </c>
      <c r="C1538" s="545">
        <f>'Foglio deposito bis'!$E$159/sezione!$B$247*B1538</f>
        <v>18.579885072583874</v>
      </c>
      <c r="D1538" s="603">
        <f>-'Sollecitazioni nel paramento'!$G$47*'Sollecitazioni nel paramento'!$G$41*IF(DATI!$G$211="dx",DATI!$E$61,DATI!$E$64*DATI!$E$63)*1000*C1538^2*sezione!$AD$5*(1-sezione!$AD$6)</f>
        <v>-7680503.1503581293</v>
      </c>
      <c r="E1538" s="545">
        <f>-'Foglio deposito bis'!$F$68*(C1538-sezione!$AL$33)*IF(ABS(K1538)&lt;'Sollecitazioni nel paramento'!$G$58,ABS(K1538)*'Sollecitazioni nel paramento'!$G$54,'Sollecitazioni nel paramento'!$G$53)</f>
        <v>0</v>
      </c>
      <c r="F1538" s="545">
        <f>-'Foglio deposito bis'!$F$69*(C1538-sezione!$AM$33)*IF(ABS(L1538)&lt;'Sollecitazioni nel paramento'!$G$58,ABS(L1538)*'Sollecitazioni nel paramento'!$G$54,'Sollecitazioni nel paramento'!$G$53)</f>
        <v>6364816.0809855368</v>
      </c>
      <c r="G1538" s="545">
        <f>-'Foglio deposito bis'!$F$70*(C1538-sezione!$AN$33)*IF(ABS(M1538)&lt;'Sollecitazioni nel paramento'!$G$58,ABS(M1538)*'Sollecitazioni nel paramento'!$G$54,'Sollecitazioni nel paramento'!$G$53)</f>
        <v>0</v>
      </c>
      <c r="H1538" s="545">
        <f>-'Foglio deposito bis'!$F$71*(C1538-sezione!$AO$33)*IF(ABS(N1538)&lt;'Sollecitazioni nel paramento'!$G$58,ABS(N1538)*'Sollecitazioni nel paramento'!$G$54,'Sollecitazioni nel paramento'!$G$53)</f>
        <v>44505706.263731793</v>
      </c>
      <c r="I1538" s="472">
        <f>-'Foglio deposito bis'!$F$72*(C1538-sezione!$AP$33)*IF(ABS(O1538)&lt;'Sollecitazioni nel paramento'!$G$58,ABS(O1538)*'Sollecitazioni nel paramento'!$G$54,'Sollecitazioni nel paramento'!$G$53)</f>
        <v>271269426.28292948</v>
      </c>
      <c r="J1538" s="472">
        <f t="shared" si="106"/>
        <v>314459445.47728866</v>
      </c>
      <c r="K1538" s="550">
        <f>'Sollecitazioni nel paramento'!$G$60*(sezione!$AL$33-C1538)/C1538</f>
        <v>4.035030461871981E-3</v>
      </c>
      <c r="L1538" s="550">
        <f>'Sollecitazioni nel paramento'!$G$60*(sezione!$AM$33-C1538)/C1538</f>
        <v>7.8025456928079709E-3</v>
      </c>
      <c r="M1538" s="551">
        <f>'Sollecitazioni nel paramento'!$G$60*(sezione!$AN$33-C1538)/C1538</f>
        <v>1.1570060923743962E-2</v>
      </c>
      <c r="N1538" s="551">
        <f>'Sollecitazioni nel paramento'!$G$60*(sezione!$AO$33-C1538)/C1538</f>
        <v>2.664012184748793E-2</v>
      </c>
      <c r="O1538" s="551">
        <f>'Sollecitazioni nel paramento'!$G$60*(sezione!$AP$33-C1538)/C1538</f>
        <v>0.10392052509368349</v>
      </c>
      <c r="P1538" s="545">
        <f>-'Sollecitazioni nel paramento'!$G$47*'Sollecitazioni nel paramento'!$G$41*IF(DATI!$G$211="dx",DATI!$E$61,DATI!$E$64*DATI!$E$63)*1000*C1538*sezione!$AD$5</f>
        <v>-707837.88161022775</v>
      </c>
      <c r="Q1538" s="545">
        <f>'Foglio deposito bis'!$F$68*IF(ABS(K1538)&lt;'Sollecitazioni nel paramento'!$G$58,ABS(K1538)*'Sollecitazioni nel paramento'!$G$54,'Sollecitazioni nel paramento'!$G$53)*IF(K1538&lt;0,-1,1)</f>
        <v>0</v>
      </c>
      <c r="R1538" s="545">
        <f>'Foglio deposito bis'!$F$69*IF(ABS(L1538)&lt;'Sollecitazioni nel paramento'!$G$58,ABS(L1538)*'Sollecitazioni nel paramento'!$G$54,'Sollecitazioni nel paramento'!$G$53)*IF(L1538&lt;0,-1,1)</f>
        <v>153664.85805602249</v>
      </c>
      <c r="S1538" s="545">
        <f>'Foglio deposito bis'!$F$70*IF(ABS(M1538)&lt;'Sollecitazioni nel paramento'!$G$58,ABS(M1538)*'Sollecitazioni nel paramento'!$G$54,'Sollecitazioni nel paramento'!$G$53)*IF(M1538&lt;0,-1,1)</f>
        <v>0</v>
      </c>
      <c r="T1538" s="545">
        <f>'Foglio deposito bis'!$F$71*IF(ABS(N1538)&lt;'Sollecitazioni nel paramento'!$G$58,ABS(N1538)*'Sollecitazioni nel paramento'!$G$54,'Sollecitazioni nel paramento'!$G$53)*IF(N1538&lt;0,-1,1)</f>
        <v>314705.62929873407</v>
      </c>
      <c r="U1538" s="545">
        <f>'Foglio deposito bis'!$F$72*IF(ABS(O1538)&lt;'Sollecitazioni nel paramento'!$G$58,ABS(O1538)*'Sollecitazioni nel paramento'!$G$54,'Sollecitazioni nel paramento'!$G$53)*IF(O1538&lt;0,-1,1)</f>
        <v>491727.54577927204</v>
      </c>
      <c r="V1538" s="472">
        <f t="shared" si="108"/>
        <v>252260.15152380092</v>
      </c>
      <c r="W1538" s="551"/>
      <c r="X1538" s="551"/>
    </row>
    <row r="1539" spans="1:24" x14ac:dyDescent="0.25">
      <c r="A1539" s="545">
        <f t="shared" si="107"/>
        <v>236530.42082135135</v>
      </c>
      <c r="B1539" s="3">
        <f t="shared" si="109"/>
        <v>2.2999999999999998</v>
      </c>
      <c r="C1539" s="545">
        <f>'Foglio deposito bis'!$E$159/sezione!$B$247*B1539</f>
        <v>18.992771407530181</v>
      </c>
      <c r="D1539" s="603">
        <f>-'Sollecitazioni nel paramento'!$G$47*'Sollecitazioni nel paramento'!$G$41*IF(DATI!$G$211="dx",DATI!$E$61,DATI!$E$64*DATI!$E$63)*1000*C1539^2*sezione!$AD$5*(1-sezione!$AD$6)</f>
        <v>-8025651.6869915072</v>
      </c>
      <c r="E1539" s="545">
        <f>-'Foglio deposito bis'!$F$68*(C1539-sezione!$AL$33)*IF(ABS(K1539)&lt;'Sollecitazioni nel paramento'!$G$58,ABS(K1539)*'Sollecitazioni nel paramento'!$G$54,'Sollecitazioni nel paramento'!$G$53)</f>
        <v>0</v>
      </c>
      <c r="F1539" s="545">
        <f>-'Foglio deposito bis'!$F$69*(C1539-sezione!$AM$33)*IF(ABS(L1539)&lt;'Sollecitazioni nel paramento'!$G$58,ABS(L1539)*'Sollecitazioni nel paramento'!$G$54,'Sollecitazioni nel paramento'!$G$53)</f>
        <v>6301369.9609327409</v>
      </c>
      <c r="G1539" s="545">
        <f>-'Foglio deposito bis'!$F$70*(C1539-sezione!$AN$33)*IF(ABS(M1539)&lt;'Sollecitazioni nel paramento'!$G$58,ABS(M1539)*'Sollecitazioni nel paramento'!$G$54,'Sollecitazioni nel paramento'!$G$53)</f>
        <v>0</v>
      </c>
      <c r="H1539" s="545">
        <f>-'Foglio deposito bis'!$F$71*(C1539-sezione!$AO$33)*IF(ABS(N1539)&lt;'Sollecitazioni nel paramento'!$G$58,ABS(N1539)*'Sollecitazioni nel paramento'!$G$54,'Sollecitazioni nel paramento'!$G$53)</f>
        <v>44375768.609863669</v>
      </c>
      <c r="I1539" s="472">
        <f>-'Foglio deposito bis'!$F$72*(C1539-sezione!$AP$33)*IF(ABS(O1539)&lt;'Sollecitazioni nel paramento'!$G$58,ABS(O1539)*'Sollecitazioni nel paramento'!$G$54,'Sollecitazioni nel paramento'!$G$53)</f>
        <v>271066398.69876051</v>
      </c>
      <c r="J1539" s="472">
        <f t="shared" si="106"/>
        <v>313717885.58256543</v>
      </c>
      <c r="K1539" s="550">
        <f>'Sollecitazioni nel paramento'!$G$60*(sezione!$AL$33-C1539)/C1539</f>
        <v>3.8712254518312866E-3</v>
      </c>
      <c r="L1539" s="550">
        <f>'Sollecitazioni nel paramento'!$G$60*(sezione!$AM$33-C1539)/C1539</f>
        <v>7.5568381777469298E-3</v>
      </c>
      <c r="M1539" s="551">
        <f>'Sollecitazioni nel paramento'!$G$60*(sezione!$AN$33-C1539)/C1539</f>
        <v>1.1242450903662573E-2</v>
      </c>
      <c r="N1539" s="551">
        <f>'Sollecitazioni nel paramento'!$G$60*(sezione!$AO$33-C1539)/C1539</f>
        <v>2.5984901807325149E-2</v>
      </c>
      <c r="O1539" s="551">
        <f>'Sollecitazioni nel paramento'!$G$60*(sezione!$AP$33-C1539)/C1539</f>
        <v>0.10158529628729908</v>
      </c>
      <c r="P1539" s="545">
        <f>-'Sollecitazioni nel paramento'!$G$47*'Sollecitazioni nel paramento'!$G$41*IF(DATI!$G$211="dx",DATI!$E$61,DATI!$E$64*DATI!$E$63)*1000*C1539*sezione!$AD$5</f>
        <v>-723567.6123126772</v>
      </c>
      <c r="Q1539" s="545">
        <f>'Foglio deposito bis'!$F$68*IF(ABS(K1539)&lt;'Sollecitazioni nel paramento'!$G$58,ABS(K1539)*'Sollecitazioni nel paramento'!$G$54,'Sollecitazioni nel paramento'!$G$53)*IF(K1539&lt;0,-1,1)</f>
        <v>0</v>
      </c>
      <c r="R1539" s="545">
        <f>'Foglio deposito bis'!$F$69*IF(ABS(L1539)&lt;'Sollecitazioni nel paramento'!$G$58,ABS(L1539)*'Sollecitazioni nel paramento'!$G$54,'Sollecitazioni nel paramento'!$G$53)*IF(L1539&lt;0,-1,1)</f>
        <v>153664.85805602249</v>
      </c>
      <c r="S1539" s="545">
        <f>'Foglio deposito bis'!$F$70*IF(ABS(M1539)&lt;'Sollecitazioni nel paramento'!$G$58,ABS(M1539)*'Sollecitazioni nel paramento'!$G$54,'Sollecitazioni nel paramento'!$G$53)*IF(M1539&lt;0,-1,1)</f>
        <v>0</v>
      </c>
      <c r="T1539" s="545">
        <f>'Foglio deposito bis'!$F$71*IF(ABS(N1539)&lt;'Sollecitazioni nel paramento'!$G$58,ABS(N1539)*'Sollecitazioni nel paramento'!$G$54,'Sollecitazioni nel paramento'!$G$53)*IF(N1539&lt;0,-1,1)</f>
        <v>314705.62929873407</v>
      </c>
      <c r="U1539" s="545">
        <f>'Foglio deposito bis'!$F$72*IF(ABS(O1539)&lt;'Sollecitazioni nel paramento'!$G$58,ABS(O1539)*'Sollecitazioni nel paramento'!$G$54,'Sollecitazioni nel paramento'!$G$53)*IF(O1539&lt;0,-1,1)</f>
        <v>491727.54577927204</v>
      </c>
      <c r="V1539" s="472">
        <f t="shared" si="108"/>
        <v>236530.42082135135</v>
      </c>
      <c r="W1539" s="551"/>
      <c r="X1539" s="551"/>
    </row>
    <row r="1540" spans="1:24" x14ac:dyDescent="0.25">
      <c r="A1540" s="545">
        <f t="shared" si="107"/>
        <v>220800.69011890201</v>
      </c>
      <c r="B1540" s="3">
        <f t="shared" si="109"/>
        <v>2.3499999999999996</v>
      </c>
      <c r="C1540" s="545">
        <f>'Foglio deposito bis'!$E$159/sezione!$B$247*B1540</f>
        <v>19.405657742476489</v>
      </c>
      <c r="D1540" s="603">
        <f>-'Sollecitazioni nel paramento'!$G$47*'Sollecitazioni nel paramento'!$G$41*IF(DATI!$G$211="dx",DATI!$E$61,DATI!$E$64*DATI!$E$63)*1000*C1540^2*sezione!$AD$5*(1-sezione!$AD$6)</f>
        <v>-8378385.9057486951</v>
      </c>
      <c r="E1540" s="545">
        <f>-'Foglio deposito bis'!$F$68*(C1540-sezione!$AL$33)*IF(ABS(K1540)&lt;'Sollecitazioni nel paramento'!$G$58,ABS(K1540)*'Sollecitazioni nel paramento'!$G$54,'Sollecitazioni nel paramento'!$G$53)</f>
        <v>0</v>
      </c>
      <c r="F1540" s="545">
        <f>-'Foglio deposito bis'!$F$69*(C1540-sezione!$AM$33)*IF(ABS(L1540)&lt;'Sollecitazioni nel paramento'!$G$58,ABS(L1540)*'Sollecitazioni nel paramento'!$G$54,'Sollecitazioni nel paramento'!$G$53)</f>
        <v>6237923.840879946</v>
      </c>
      <c r="G1540" s="545">
        <f>-'Foglio deposito bis'!$F$70*(C1540-sezione!$AN$33)*IF(ABS(M1540)&lt;'Sollecitazioni nel paramento'!$G$58,ABS(M1540)*'Sollecitazioni nel paramento'!$G$54,'Sollecitazioni nel paramento'!$G$53)</f>
        <v>0</v>
      </c>
      <c r="H1540" s="545">
        <f>-'Foglio deposito bis'!$F$71*(C1540-sezione!$AO$33)*IF(ABS(N1540)&lt;'Sollecitazioni nel paramento'!$G$58,ABS(N1540)*'Sollecitazioni nel paramento'!$G$54,'Sollecitazioni nel paramento'!$G$53)</f>
        <v>44245830.955995545</v>
      </c>
      <c r="I1540" s="472">
        <f>-'Foglio deposito bis'!$F$72*(C1540-sezione!$AP$33)*IF(ABS(O1540)&lt;'Sollecitazioni nel paramento'!$G$58,ABS(O1540)*'Sollecitazioni nel paramento'!$G$54,'Sollecitazioni nel paramento'!$G$53)</f>
        <v>270863371.1145916</v>
      </c>
      <c r="J1540" s="472">
        <f t="shared" si="106"/>
        <v>312968740.00571841</v>
      </c>
      <c r="K1540" s="550">
        <f>'Sollecitazioni nel paramento'!$G$60*(sezione!$AL$33-C1540)/C1540</f>
        <v>3.7143908677497697E-3</v>
      </c>
      <c r="L1540" s="550">
        <f>'Sollecitazioni nel paramento'!$G$60*(sezione!$AM$33-C1540)/C1540</f>
        <v>7.3215863016246547E-3</v>
      </c>
      <c r="M1540" s="551">
        <f>'Sollecitazioni nel paramento'!$G$60*(sezione!$AN$33-C1540)/C1540</f>
        <v>1.092878173549954E-2</v>
      </c>
      <c r="N1540" s="551">
        <f>'Sollecitazioni nel paramento'!$G$60*(sezione!$AO$33-C1540)/C1540</f>
        <v>2.5357563470999083E-2</v>
      </c>
      <c r="O1540" s="551">
        <f>'Sollecitazioni nel paramento'!$G$60*(sezione!$AP$33-C1540)/C1540</f>
        <v>9.9349438919484209E-2</v>
      </c>
      <c r="P1540" s="545">
        <f>-'Sollecitazioni nel paramento'!$G$47*'Sollecitazioni nel paramento'!$G$41*IF(DATI!$G$211="dx",DATI!$E$61,DATI!$E$64*DATI!$E$63)*1000*C1540*sezione!$AD$5</f>
        <v>-739297.34301512665</v>
      </c>
      <c r="Q1540" s="545">
        <f>'Foglio deposito bis'!$F$68*IF(ABS(K1540)&lt;'Sollecitazioni nel paramento'!$G$58,ABS(K1540)*'Sollecitazioni nel paramento'!$G$54,'Sollecitazioni nel paramento'!$G$53)*IF(K1540&lt;0,-1,1)</f>
        <v>0</v>
      </c>
      <c r="R1540" s="545">
        <f>'Foglio deposito bis'!$F$69*IF(ABS(L1540)&lt;'Sollecitazioni nel paramento'!$G$58,ABS(L1540)*'Sollecitazioni nel paramento'!$G$54,'Sollecitazioni nel paramento'!$G$53)*IF(L1540&lt;0,-1,1)</f>
        <v>153664.85805602249</v>
      </c>
      <c r="S1540" s="545">
        <f>'Foglio deposito bis'!$F$70*IF(ABS(M1540)&lt;'Sollecitazioni nel paramento'!$G$58,ABS(M1540)*'Sollecitazioni nel paramento'!$G$54,'Sollecitazioni nel paramento'!$G$53)*IF(M1540&lt;0,-1,1)</f>
        <v>0</v>
      </c>
      <c r="T1540" s="545">
        <f>'Foglio deposito bis'!$F$71*IF(ABS(N1540)&lt;'Sollecitazioni nel paramento'!$G$58,ABS(N1540)*'Sollecitazioni nel paramento'!$G$54,'Sollecitazioni nel paramento'!$G$53)*IF(N1540&lt;0,-1,1)</f>
        <v>314705.62929873407</v>
      </c>
      <c r="U1540" s="545">
        <f>'Foglio deposito bis'!$F$72*IF(ABS(O1540)&lt;'Sollecitazioni nel paramento'!$G$58,ABS(O1540)*'Sollecitazioni nel paramento'!$G$54,'Sollecitazioni nel paramento'!$G$53)*IF(O1540&lt;0,-1,1)</f>
        <v>491727.54577927204</v>
      </c>
      <c r="V1540" s="472">
        <f t="shared" si="108"/>
        <v>220800.69011890201</v>
      </c>
      <c r="W1540" s="551"/>
      <c r="X1540" s="551"/>
    </row>
    <row r="1541" spans="1:24" x14ac:dyDescent="0.25">
      <c r="A1541" s="545">
        <f t="shared" si="107"/>
        <v>205070.95941645245</v>
      </c>
      <c r="B1541" s="3">
        <f t="shared" si="109"/>
        <v>2.3999999999999995</v>
      </c>
      <c r="C1541" s="545">
        <f>'Foglio deposito bis'!$E$159/sezione!$B$247*B1541</f>
        <v>19.818544077422796</v>
      </c>
      <c r="D1541" s="603">
        <f>-'Sollecitazioni nel paramento'!$G$47*'Sollecitazioni nel paramento'!$G$41*IF(DATI!$G$211="dx",DATI!$E$61,DATI!$E$64*DATI!$E$63)*1000*C1541^2*sezione!$AD$5*(1-sezione!$AD$6)</f>
        <v>-8738705.8066296913</v>
      </c>
      <c r="E1541" s="545">
        <f>-'Foglio deposito bis'!$F$68*(C1541-sezione!$AL$33)*IF(ABS(K1541)&lt;'Sollecitazioni nel paramento'!$G$58,ABS(K1541)*'Sollecitazioni nel paramento'!$G$54,'Sollecitazioni nel paramento'!$G$53)</f>
        <v>0</v>
      </c>
      <c r="F1541" s="545">
        <f>-'Foglio deposito bis'!$F$69*(C1541-sezione!$AM$33)*IF(ABS(L1541)&lt;'Sollecitazioni nel paramento'!$G$58,ABS(L1541)*'Sollecitazioni nel paramento'!$G$54,'Sollecitazioni nel paramento'!$G$53)</f>
        <v>6174477.7208271502</v>
      </c>
      <c r="G1541" s="545">
        <f>-'Foglio deposito bis'!$F$70*(C1541-sezione!$AN$33)*IF(ABS(M1541)&lt;'Sollecitazioni nel paramento'!$G$58,ABS(M1541)*'Sollecitazioni nel paramento'!$G$54,'Sollecitazioni nel paramento'!$G$53)</f>
        <v>0</v>
      </c>
      <c r="H1541" s="545">
        <f>-'Foglio deposito bis'!$F$71*(C1541-sezione!$AO$33)*IF(ABS(N1541)&lt;'Sollecitazioni nel paramento'!$G$58,ABS(N1541)*'Sollecitazioni nel paramento'!$G$54,'Sollecitazioni nel paramento'!$G$53)</f>
        <v>44115893.302127413</v>
      </c>
      <c r="I1541" s="472">
        <f>-'Foglio deposito bis'!$F$72*(C1541-sezione!$AP$33)*IF(ABS(O1541)&lt;'Sollecitazioni nel paramento'!$G$58,ABS(O1541)*'Sollecitazioni nel paramento'!$G$54,'Sollecitazioni nel paramento'!$G$53)</f>
        <v>270660343.53042269</v>
      </c>
      <c r="J1541" s="472">
        <f t="shared" si="106"/>
        <v>312212008.74674755</v>
      </c>
      <c r="K1541" s="550">
        <f>'Sollecitazioni nel paramento'!$G$60*(sezione!$AL$33-C1541)/C1541</f>
        <v>3.5640910580049833E-3</v>
      </c>
      <c r="L1541" s="550">
        <f>'Sollecitazioni nel paramento'!$G$60*(sezione!$AM$33-C1541)/C1541</f>
        <v>7.0961365870074742E-3</v>
      </c>
      <c r="M1541" s="551">
        <f>'Sollecitazioni nel paramento'!$G$60*(sezione!$AN$33-C1541)/C1541</f>
        <v>1.0628182116009965E-2</v>
      </c>
      <c r="N1541" s="551">
        <f>'Sollecitazioni nel paramento'!$G$60*(sezione!$AO$33-C1541)/C1541</f>
        <v>2.4756364232019937E-2</v>
      </c>
      <c r="O1541" s="551">
        <f>'Sollecitazioni nel paramento'!$G$60*(sezione!$AP$33-C1541)/C1541</f>
        <v>9.7206742275328301E-2</v>
      </c>
      <c r="P1541" s="545">
        <f>-'Sollecitazioni nel paramento'!$G$47*'Sollecitazioni nel paramento'!$G$41*IF(DATI!$G$211="dx",DATI!$E$61,DATI!$E$64*DATI!$E$63)*1000*C1541*sezione!$AD$5</f>
        <v>-755027.0737175761</v>
      </c>
      <c r="Q1541" s="545">
        <f>'Foglio deposito bis'!$F$68*IF(ABS(K1541)&lt;'Sollecitazioni nel paramento'!$G$58,ABS(K1541)*'Sollecitazioni nel paramento'!$G$54,'Sollecitazioni nel paramento'!$G$53)*IF(K1541&lt;0,-1,1)</f>
        <v>0</v>
      </c>
      <c r="R1541" s="545">
        <f>'Foglio deposito bis'!$F$69*IF(ABS(L1541)&lt;'Sollecitazioni nel paramento'!$G$58,ABS(L1541)*'Sollecitazioni nel paramento'!$G$54,'Sollecitazioni nel paramento'!$G$53)*IF(L1541&lt;0,-1,1)</f>
        <v>153664.85805602249</v>
      </c>
      <c r="S1541" s="545">
        <f>'Foglio deposito bis'!$F$70*IF(ABS(M1541)&lt;'Sollecitazioni nel paramento'!$G$58,ABS(M1541)*'Sollecitazioni nel paramento'!$G$54,'Sollecitazioni nel paramento'!$G$53)*IF(M1541&lt;0,-1,1)</f>
        <v>0</v>
      </c>
      <c r="T1541" s="545">
        <f>'Foglio deposito bis'!$F$71*IF(ABS(N1541)&lt;'Sollecitazioni nel paramento'!$G$58,ABS(N1541)*'Sollecitazioni nel paramento'!$G$54,'Sollecitazioni nel paramento'!$G$53)*IF(N1541&lt;0,-1,1)</f>
        <v>314705.62929873407</v>
      </c>
      <c r="U1541" s="545">
        <f>'Foglio deposito bis'!$F$72*IF(ABS(O1541)&lt;'Sollecitazioni nel paramento'!$G$58,ABS(O1541)*'Sollecitazioni nel paramento'!$G$54,'Sollecitazioni nel paramento'!$G$53)*IF(O1541&lt;0,-1,1)</f>
        <v>491727.54577927204</v>
      </c>
      <c r="V1541" s="472">
        <f t="shared" si="108"/>
        <v>205070.95941645245</v>
      </c>
      <c r="W1541" s="551"/>
      <c r="X1541" s="551"/>
    </row>
    <row r="1542" spans="1:24" x14ac:dyDescent="0.25">
      <c r="A1542" s="545">
        <f t="shared" si="107"/>
        <v>189341.22871400311</v>
      </c>
      <c r="B1542" s="3">
        <f t="shared" si="109"/>
        <v>2.4499999999999993</v>
      </c>
      <c r="C1542" s="545">
        <f>'Foglio deposito bis'!$E$159/sezione!$B$247*B1542</f>
        <v>20.231430412369104</v>
      </c>
      <c r="D1542" s="603">
        <f>-'Sollecitazioni nel paramento'!$G$47*'Sollecitazioni nel paramento'!$G$41*IF(DATI!$G$211="dx",DATI!$E$61,DATI!$E$64*DATI!$E$63)*1000*C1542^2*sezione!$AD$5*(1-sezione!$AD$6)</f>
        <v>-9106611.3896345012</v>
      </c>
      <c r="E1542" s="545">
        <f>-'Foglio deposito bis'!$F$68*(C1542-sezione!$AL$33)*IF(ABS(K1542)&lt;'Sollecitazioni nel paramento'!$G$58,ABS(K1542)*'Sollecitazioni nel paramento'!$G$54,'Sollecitazioni nel paramento'!$G$53)</f>
        <v>0</v>
      </c>
      <c r="F1542" s="545">
        <f>-'Foglio deposito bis'!$F$69*(C1542-sezione!$AM$33)*IF(ABS(L1542)&lt;'Sollecitazioni nel paramento'!$G$58,ABS(L1542)*'Sollecitazioni nel paramento'!$G$54,'Sollecitazioni nel paramento'!$G$53)</f>
        <v>6111031.6007743543</v>
      </c>
      <c r="G1542" s="545">
        <f>-'Foglio deposito bis'!$F$70*(C1542-sezione!$AN$33)*IF(ABS(M1542)&lt;'Sollecitazioni nel paramento'!$G$58,ABS(M1542)*'Sollecitazioni nel paramento'!$G$54,'Sollecitazioni nel paramento'!$G$53)</f>
        <v>0</v>
      </c>
      <c r="H1542" s="545">
        <f>-'Foglio deposito bis'!$F$71*(C1542-sezione!$AO$33)*IF(ABS(N1542)&lt;'Sollecitazioni nel paramento'!$G$58,ABS(N1542)*'Sollecitazioni nel paramento'!$G$54,'Sollecitazioni nel paramento'!$G$53)</f>
        <v>43985955.648259297</v>
      </c>
      <c r="I1542" s="472">
        <f>-'Foglio deposito bis'!$F$72*(C1542-sezione!$AP$33)*IF(ABS(O1542)&lt;'Sollecitazioni nel paramento'!$G$58,ABS(O1542)*'Sollecitazioni nel paramento'!$G$54,'Sollecitazioni nel paramento'!$G$53)</f>
        <v>270457315.94625366</v>
      </c>
      <c r="J1542" s="472">
        <f t="shared" si="106"/>
        <v>311447691.8056528</v>
      </c>
      <c r="K1542" s="550">
        <f>'Sollecitazioni nel paramento'!$G$60*(sezione!$AL$33-C1542)/C1542</f>
        <v>3.4199259343722292E-3</v>
      </c>
      <c r="L1542" s="550">
        <f>'Sollecitazioni nel paramento'!$G$60*(sezione!$AM$33-C1542)/C1542</f>
        <v>6.8798889015583434E-3</v>
      </c>
      <c r="M1542" s="551">
        <f>'Sollecitazioni nel paramento'!$G$60*(sezione!$AN$33-C1542)/C1542</f>
        <v>1.0339851868744459E-2</v>
      </c>
      <c r="N1542" s="551">
        <f>'Sollecitazioni nel paramento'!$G$60*(sezione!$AO$33-C1542)/C1542</f>
        <v>2.4179703737488917E-2</v>
      </c>
      <c r="O1542" s="551">
        <f>'Sollecitazioni nel paramento'!$G$60*(sezione!$AP$33-C1542)/C1542</f>
        <v>9.5151502637056282E-2</v>
      </c>
      <c r="P1542" s="545">
        <f>-'Sollecitazioni nel paramento'!$G$47*'Sollecitazioni nel paramento'!$G$41*IF(DATI!$G$211="dx",DATI!$E$61,DATI!$E$64*DATI!$E$63)*1000*C1542*sezione!$AD$5</f>
        <v>-770756.80442002555</v>
      </c>
      <c r="Q1542" s="545">
        <f>'Foglio deposito bis'!$F$68*IF(ABS(K1542)&lt;'Sollecitazioni nel paramento'!$G$58,ABS(K1542)*'Sollecitazioni nel paramento'!$G$54,'Sollecitazioni nel paramento'!$G$53)*IF(K1542&lt;0,-1,1)</f>
        <v>0</v>
      </c>
      <c r="R1542" s="545">
        <f>'Foglio deposito bis'!$F$69*IF(ABS(L1542)&lt;'Sollecitazioni nel paramento'!$G$58,ABS(L1542)*'Sollecitazioni nel paramento'!$G$54,'Sollecitazioni nel paramento'!$G$53)*IF(L1542&lt;0,-1,1)</f>
        <v>153664.85805602249</v>
      </c>
      <c r="S1542" s="545">
        <f>'Foglio deposito bis'!$F$70*IF(ABS(M1542)&lt;'Sollecitazioni nel paramento'!$G$58,ABS(M1542)*'Sollecitazioni nel paramento'!$G$54,'Sollecitazioni nel paramento'!$G$53)*IF(M1542&lt;0,-1,1)</f>
        <v>0</v>
      </c>
      <c r="T1542" s="545">
        <f>'Foglio deposito bis'!$F$71*IF(ABS(N1542)&lt;'Sollecitazioni nel paramento'!$G$58,ABS(N1542)*'Sollecitazioni nel paramento'!$G$54,'Sollecitazioni nel paramento'!$G$53)*IF(N1542&lt;0,-1,1)</f>
        <v>314705.62929873407</v>
      </c>
      <c r="U1542" s="545">
        <f>'Foglio deposito bis'!$F$72*IF(ABS(O1542)&lt;'Sollecitazioni nel paramento'!$G$58,ABS(O1542)*'Sollecitazioni nel paramento'!$G$54,'Sollecitazioni nel paramento'!$G$53)*IF(O1542&lt;0,-1,1)</f>
        <v>491727.54577927204</v>
      </c>
      <c r="V1542" s="472">
        <f t="shared" si="108"/>
        <v>189341.22871400311</v>
      </c>
      <c r="W1542" s="551"/>
      <c r="X1542" s="551"/>
    </row>
    <row r="1543" spans="1:24" x14ac:dyDescent="0.25">
      <c r="A1543" s="545">
        <f t="shared" si="107"/>
        <v>173611.49801155354</v>
      </c>
      <c r="B1543" s="3">
        <f t="shared" si="109"/>
        <v>2.4999999999999991</v>
      </c>
      <c r="C1543" s="545">
        <f>'Foglio deposito bis'!$E$159/sezione!$B$247*B1543</f>
        <v>20.644316747315408</v>
      </c>
      <c r="D1543" s="603">
        <f>-'Sollecitazioni nel paramento'!$G$47*'Sollecitazioni nel paramento'!$G$41*IF(DATI!$G$211="dx",DATI!$E$61,DATI!$E$64*DATI!$E$63)*1000*C1543^2*sezione!$AD$5*(1-sezione!$AD$6)</f>
        <v>-9482102.6547631156</v>
      </c>
      <c r="E1543" s="545">
        <f>-'Foglio deposito bis'!$F$68*(C1543-sezione!$AL$33)*IF(ABS(K1543)&lt;'Sollecitazioni nel paramento'!$G$58,ABS(K1543)*'Sollecitazioni nel paramento'!$G$54,'Sollecitazioni nel paramento'!$G$53)</f>
        <v>0</v>
      </c>
      <c r="F1543" s="545">
        <f>-'Foglio deposito bis'!$F$69*(C1543-sezione!$AM$33)*IF(ABS(L1543)&lt;'Sollecitazioni nel paramento'!$G$58,ABS(L1543)*'Sollecitazioni nel paramento'!$G$54,'Sollecitazioni nel paramento'!$G$53)</f>
        <v>6047585.4807215594</v>
      </c>
      <c r="G1543" s="545">
        <f>-'Foglio deposito bis'!$F$70*(C1543-sezione!$AN$33)*IF(ABS(M1543)&lt;'Sollecitazioni nel paramento'!$G$58,ABS(M1543)*'Sollecitazioni nel paramento'!$G$54,'Sollecitazioni nel paramento'!$G$53)</f>
        <v>0</v>
      </c>
      <c r="H1543" s="545">
        <f>-'Foglio deposito bis'!$F$71*(C1543-sezione!$AO$33)*IF(ABS(N1543)&lt;'Sollecitazioni nel paramento'!$G$58,ABS(N1543)*'Sollecitazioni nel paramento'!$G$54,'Sollecitazioni nel paramento'!$G$53)</f>
        <v>43856017.994391166</v>
      </c>
      <c r="I1543" s="472">
        <f>-'Foglio deposito bis'!$F$72*(C1543-sezione!$AP$33)*IF(ABS(O1543)&lt;'Sollecitazioni nel paramento'!$G$58,ABS(O1543)*'Sollecitazioni nel paramento'!$G$54,'Sollecitazioni nel paramento'!$G$53)</f>
        <v>270254288.36208475</v>
      </c>
      <c r="J1543" s="472">
        <f t="shared" si="106"/>
        <v>310675789.18243438</v>
      </c>
      <c r="K1543" s="550">
        <f>'Sollecitazioni nel paramento'!$G$60*(sezione!$AL$33-C1543)/C1543</f>
        <v>3.2815274156847859E-3</v>
      </c>
      <c r="L1543" s="550">
        <f>'Sollecitazioni nel paramento'!$G$60*(sezione!$AM$33-C1543)/C1543</f>
        <v>6.6722911235271793E-3</v>
      </c>
      <c r="M1543" s="551">
        <f>'Sollecitazioni nel paramento'!$G$60*(sezione!$AN$33-C1543)/C1543</f>
        <v>1.0063054831369572E-2</v>
      </c>
      <c r="N1543" s="551">
        <f>'Sollecitazioni nel paramento'!$G$60*(sezione!$AO$33-C1543)/C1543</f>
        <v>2.3626109662739144E-2</v>
      </c>
      <c r="O1543" s="551">
        <f>'Sollecitazioni nel paramento'!$G$60*(sezione!$AP$33-C1543)/C1543</f>
        <v>9.3178472584315178E-2</v>
      </c>
      <c r="P1543" s="545">
        <f>-'Sollecitazioni nel paramento'!$G$47*'Sollecitazioni nel paramento'!$G$41*IF(DATI!$G$211="dx",DATI!$E$61,DATI!$E$64*DATI!$E$63)*1000*C1543*sezione!$AD$5</f>
        <v>-786486.535122475</v>
      </c>
      <c r="Q1543" s="545">
        <f>'Foglio deposito bis'!$F$68*IF(ABS(K1543)&lt;'Sollecitazioni nel paramento'!$G$58,ABS(K1543)*'Sollecitazioni nel paramento'!$G$54,'Sollecitazioni nel paramento'!$G$53)*IF(K1543&lt;0,-1,1)</f>
        <v>0</v>
      </c>
      <c r="R1543" s="545">
        <f>'Foglio deposito bis'!$F$69*IF(ABS(L1543)&lt;'Sollecitazioni nel paramento'!$G$58,ABS(L1543)*'Sollecitazioni nel paramento'!$G$54,'Sollecitazioni nel paramento'!$G$53)*IF(L1543&lt;0,-1,1)</f>
        <v>153664.85805602249</v>
      </c>
      <c r="S1543" s="545">
        <f>'Foglio deposito bis'!$F$70*IF(ABS(M1543)&lt;'Sollecitazioni nel paramento'!$G$58,ABS(M1543)*'Sollecitazioni nel paramento'!$G$54,'Sollecitazioni nel paramento'!$G$53)*IF(M1543&lt;0,-1,1)</f>
        <v>0</v>
      </c>
      <c r="T1543" s="545">
        <f>'Foglio deposito bis'!$F$71*IF(ABS(N1543)&lt;'Sollecitazioni nel paramento'!$G$58,ABS(N1543)*'Sollecitazioni nel paramento'!$G$54,'Sollecitazioni nel paramento'!$G$53)*IF(N1543&lt;0,-1,1)</f>
        <v>314705.62929873407</v>
      </c>
      <c r="U1543" s="545">
        <f>'Foglio deposito bis'!$F$72*IF(ABS(O1543)&lt;'Sollecitazioni nel paramento'!$G$58,ABS(O1543)*'Sollecitazioni nel paramento'!$G$54,'Sollecitazioni nel paramento'!$G$53)*IF(O1543&lt;0,-1,1)</f>
        <v>491727.54577927204</v>
      </c>
      <c r="V1543" s="472">
        <f t="shared" si="108"/>
        <v>173611.49801155354</v>
      </c>
      <c r="W1543" s="551"/>
      <c r="X1543" s="551"/>
    </row>
    <row r="1544" spans="1:24" x14ac:dyDescent="0.25">
      <c r="A1544" s="545">
        <f t="shared" si="107"/>
        <v>157881.76730910421</v>
      </c>
      <c r="B1544" s="3">
        <f t="shared" si="109"/>
        <v>2.5499999999999989</v>
      </c>
      <c r="C1544" s="545">
        <f>'Foglio deposito bis'!$E$159/sezione!$B$247*B1544</f>
        <v>21.057203082261715</v>
      </c>
      <c r="D1544" s="603">
        <f>-'Sollecitazioni nel paramento'!$G$47*'Sollecitazioni nel paramento'!$G$41*IF(DATI!$G$211="dx",DATI!$E$61,DATI!$E$64*DATI!$E$63)*1000*C1544^2*sezione!$AD$5*(1-sezione!$AD$6)</f>
        <v>-9865179.6020155456</v>
      </c>
      <c r="E1544" s="545">
        <f>-'Foglio deposito bis'!$F$68*(C1544-sezione!$AL$33)*IF(ABS(K1544)&lt;'Sollecitazioni nel paramento'!$G$58,ABS(K1544)*'Sollecitazioni nel paramento'!$G$54,'Sollecitazioni nel paramento'!$G$53)</f>
        <v>0</v>
      </c>
      <c r="F1544" s="545">
        <f>-'Foglio deposito bis'!$F$69*(C1544-sezione!$AM$33)*IF(ABS(L1544)&lt;'Sollecitazioni nel paramento'!$G$58,ABS(L1544)*'Sollecitazioni nel paramento'!$G$54,'Sollecitazioni nel paramento'!$G$53)</f>
        <v>5984139.3606687644</v>
      </c>
      <c r="G1544" s="545">
        <f>-'Foglio deposito bis'!$F$70*(C1544-sezione!$AN$33)*IF(ABS(M1544)&lt;'Sollecitazioni nel paramento'!$G$58,ABS(M1544)*'Sollecitazioni nel paramento'!$G$54,'Sollecitazioni nel paramento'!$G$53)</f>
        <v>0</v>
      </c>
      <c r="H1544" s="545">
        <f>-'Foglio deposito bis'!$F$71*(C1544-sezione!$AO$33)*IF(ABS(N1544)&lt;'Sollecitazioni nel paramento'!$G$58,ABS(N1544)*'Sollecitazioni nel paramento'!$G$54,'Sollecitazioni nel paramento'!$G$53)</f>
        <v>43726080.340523042</v>
      </c>
      <c r="I1544" s="472">
        <f>-'Foglio deposito bis'!$F$72*(C1544-sezione!$AP$33)*IF(ABS(O1544)&lt;'Sollecitazioni nel paramento'!$G$58,ABS(O1544)*'Sollecitazioni nel paramento'!$G$54,'Sollecitazioni nel paramento'!$G$53)</f>
        <v>270051260.77791584</v>
      </c>
      <c r="J1544" s="472">
        <f t="shared" si="106"/>
        <v>309896300.87709212</v>
      </c>
      <c r="K1544" s="550">
        <f>'Sollecitazioni nel paramento'!$G$60*(sezione!$AL$33-C1544)/C1544</f>
        <v>3.1485562898870452E-3</v>
      </c>
      <c r="L1544" s="550">
        <f>'Sollecitazioni nel paramento'!$G$60*(sezione!$AM$33-C1544)/C1544</f>
        <v>6.4728344348305676E-3</v>
      </c>
      <c r="M1544" s="551">
        <f>'Sollecitazioni nel paramento'!$G$60*(sezione!$AN$33-C1544)/C1544</f>
        <v>9.79711257977409E-3</v>
      </c>
      <c r="N1544" s="551">
        <f>'Sollecitazioni nel paramento'!$G$60*(sezione!$AO$33-C1544)/C1544</f>
        <v>2.3094225159548183E-2</v>
      </c>
      <c r="O1544" s="551">
        <f>'Sollecitazioni nel paramento'!$G$60*(sezione!$AP$33-C1544)/C1544</f>
        <v>9.1282816259132538E-2</v>
      </c>
      <c r="P1544" s="545">
        <f>-'Sollecitazioni nel paramento'!$G$47*'Sollecitazioni nel paramento'!$G$41*IF(DATI!$G$211="dx",DATI!$E$61,DATI!$E$64*DATI!$E$63)*1000*C1544*sezione!$AD$5</f>
        <v>-802216.26582492434</v>
      </c>
      <c r="Q1544" s="545">
        <f>'Foglio deposito bis'!$F$68*IF(ABS(K1544)&lt;'Sollecitazioni nel paramento'!$G$58,ABS(K1544)*'Sollecitazioni nel paramento'!$G$54,'Sollecitazioni nel paramento'!$G$53)*IF(K1544&lt;0,-1,1)</f>
        <v>0</v>
      </c>
      <c r="R1544" s="545">
        <f>'Foglio deposito bis'!$F$69*IF(ABS(L1544)&lt;'Sollecitazioni nel paramento'!$G$58,ABS(L1544)*'Sollecitazioni nel paramento'!$G$54,'Sollecitazioni nel paramento'!$G$53)*IF(L1544&lt;0,-1,1)</f>
        <v>153664.85805602249</v>
      </c>
      <c r="S1544" s="545">
        <f>'Foglio deposito bis'!$F$70*IF(ABS(M1544)&lt;'Sollecitazioni nel paramento'!$G$58,ABS(M1544)*'Sollecitazioni nel paramento'!$G$54,'Sollecitazioni nel paramento'!$G$53)*IF(M1544&lt;0,-1,1)</f>
        <v>0</v>
      </c>
      <c r="T1544" s="545">
        <f>'Foglio deposito bis'!$F$71*IF(ABS(N1544)&lt;'Sollecitazioni nel paramento'!$G$58,ABS(N1544)*'Sollecitazioni nel paramento'!$G$54,'Sollecitazioni nel paramento'!$G$53)*IF(N1544&lt;0,-1,1)</f>
        <v>314705.62929873407</v>
      </c>
      <c r="U1544" s="545">
        <f>'Foglio deposito bis'!$F$72*IF(ABS(O1544)&lt;'Sollecitazioni nel paramento'!$G$58,ABS(O1544)*'Sollecitazioni nel paramento'!$G$54,'Sollecitazioni nel paramento'!$G$53)*IF(O1544&lt;0,-1,1)</f>
        <v>491727.54577927204</v>
      </c>
      <c r="V1544" s="472">
        <f t="shared" si="108"/>
        <v>157881.76730910421</v>
      </c>
      <c r="W1544" s="551"/>
      <c r="X1544" s="551"/>
    </row>
    <row r="1545" spans="1:24" x14ac:dyDescent="0.25">
      <c r="A1545" s="545">
        <f t="shared" si="107"/>
        <v>142152.03660665464</v>
      </c>
      <c r="B1545" s="3">
        <f t="shared" si="109"/>
        <v>2.5999999999999988</v>
      </c>
      <c r="C1545" s="545">
        <f>'Foglio deposito bis'!$E$159/sezione!$B$247*B1545</f>
        <v>21.470089417208023</v>
      </c>
      <c r="D1545" s="603">
        <f>-'Sollecitazioni nel paramento'!$G$47*'Sollecitazioni nel paramento'!$G$41*IF(DATI!$G$211="dx",DATI!$E$61,DATI!$E$64*DATI!$E$63)*1000*C1545^2*sezione!$AD$5*(1-sezione!$AD$6)</f>
        <v>-10255842.231391786</v>
      </c>
      <c r="E1545" s="545">
        <f>-'Foglio deposito bis'!$F$68*(C1545-sezione!$AL$33)*IF(ABS(K1545)&lt;'Sollecitazioni nel paramento'!$G$58,ABS(K1545)*'Sollecitazioni nel paramento'!$G$54,'Sollecitazioni nel paramento'!$G$53)</f>
        <v>0</v>
      </c>
      <c r="F1545" s="545">
        <f>-'Foglio deposito bis'!$F$69*(C1545-sezione!$AM$33)*IF(ABS(L1545)&lt;'Sollecitazioni nel paramento'!$G$58,ABS(L1545)*'Sollecitazioni nel paramento'!$G$54,'Sollecitazioni nel paramento'!$G$53)</f>
        <v>5920693.2406159686</v>
      </c>
      <c r="G1545" s="545">
        <f>-'Foglio deposito bis'!$F$70*(C1545-sezione!$AN$33)*IF(ABS(M1545)&lt;'Sollecitazioni nel paramento'!$G$58,ABS(M1545)*'Sollecitazioni nel paramento'!$G$54,'Sollecitazioni nel paramento'!$G$53)</f>
        <v>0</v>
      </c>
      <c r="H1545" s="545">
        <f>-'Foglio deposito bis'!$F$71*(C1545-sezione!$AO$33)*IF(ABS(N1545)&lt;'Sollecitazioni nel paramento'!$G$58,ABS(N1545)*'Sollecitazioni nel paramento'!$G$54,'Sollecitazioni nel paramento'!$G$53)</f>
        <v>43596142.686654918</v>
      </c>
      <c r="I1545" s="472">
        <f>-'Foglio deposito bis'!$F$72*(C1545-sezione!$AP$33)*IF(ABS(O1545)&lt;'Sollecitazioni nel paramento'!$G$58,ABS(O1545)*'Sollecitazioni nel paramento'!$G$54,'Sollecitazioni nel paramento'!$G$53)</f>
        <v>269848233.19374686</v>
      </c>
      <c r="J1545" s="472">
        <f t="shared" si="106"/>
        <v>309109226.88962597</v>
      </c>
      <c r="K1545" s="550">
        <f>'Sollecitazioni nel paramento'!$G$60*(sezione!$AL$33-C1545)/C1545</f>
        <v>3.0206994381584483E-3</v>
      </c>
      <c r="L1545" s="550">
        <f>'Sollecitazioni nel paramento'!$G$60*(sezione!$AM$33-C1545)/C1545</f>
        <v>6.2810491572376729E-3</v>
      </c>
      <c r="M1545" s="551">
        <f>'Sollecitazioni nel paramento'!$G$60*(sezione!$AN$33-C1545)/C1545</f>
        <v>9.5413988763168971E-3</v>
      </c>
      <c r="N1545" s="551">
        <f>'Sollecitazioni nel paramento'!$G$60*(sezione!$AO$33-C1545)/C1545</f>
        <v>2.2582797752633797E-2</v>
      </c>
      <c r="O1545" s="551">
        <f>'Sollecitazioni nel paramento'!$G$60*(sezione!$AP$33-C1545)/C1545</f>
        <v>8.9460069792610758E-2</v>
      </c>
      <c r="P1545" s="545">
        <f>-'Sollecitazioni nel paramento'!$G$47*'Sollecitazioni nel paramento'!$G$41*IF(DATI!$G$211="dx",DATI!$E$61,DATI!$E$64*DATI!$E$63)*1000*C1545*sezione!$AD$5</f>
        <v>-817945.99652737391</v>
      </c>
      <c r="Q1545" s="545">
        <f>'Foglio deposito bis'!$F$68*IF(ABS(K1545)&lt;'Sollecitazioni nel paramento'!$G$58,ABS(K1545)*'Sollecitazioni nel paramento'!$G$54,'Sollecitazioni nel paramento'!$G$53)*IF(K1545&lt;0,-1,1)</f>
        <v>0</v>
      </c>
      <c r="R1545" s="545">
        <f>'Foglio deposito bis'!$F$69*IF(ABS(L1545)&lt;'Sollecitazioni nel paramento'!$G$58,ABS(L1545)*'Sollecitazioni nel paramento'!$G$54,'Sollecitazioni nel paramento'!$G$53)*IF(L1545&lt;0,-1,1)</f>
        <v>153664.85805602249</v>
      </c>
      <c r="S1545" s="545">
        <f>'Foglio deposito bis'!$F$70*IF(ABS(M1545)&lt;'Sollecitazioni nel paramento'!$G$58,ABS(M1545)*'Sollecitazioni nel paramento'!$G$54,'Sollecitazioni nel paramento'!$G$53)*IF(M1545&lt;0,-1,1)</f>
        <v>0</v>
      </c>
      <c r="T1545" s="545">
        <f>'Foglio deposito bis'!$F$71*IF(ABS(N1545)&lt;'Sollecitazioni nel paramento'!$G$58,ABS(N1545)*'Sollecitazioni nel paramento'!$G$54,'Sollecitazioni nel paramento'!$G$53)*IF(N1545&lt;0,-1,1)</f>
        <v>314705.62929873407</v>
      </c>
      <c r="U1545" s="545">
        <f>'Foglio deposito bis'!$F$72*IF(ABS(O1545)&lt;'Sollecitazioni nel paramento'!$G$58,ABS(O1545)*'Sollecitazioni nel paramento'!$G$54,'Sollecitazioni nel paramento'!$G$53)*IF(O1545&lt;0,-1,1)</f>
        <v>491727.54577927204</v>
      </c>
      <c r="V1545" s="472">
        <f t="shared" si="108"/>
        <v>142152.03660665464</v>
      </c>
      <c r="W1545" s="551"/>
      <c r="X1545" s="551"/>
    </row>
    <row r="1546" spans="1:24" x14ac:dyDescent="0.25">
      <c r="A1546" s="545">
        <f t="shared" si="107"/>
        <v>126422.30590420531</v>
      </c>
      <c r="B1546" s="3">
        <f t="shared" si="109"/>
        <v>2.6499999999999986</v>
      </c>
      <c r="C1546" s="545">
        <f>'Foglio deposito bis'!$E$159/sezione!$B$247*B1546</f>
        <v>21.88297575215433</v>
      </c>
      <c r="D1546" s="603">
        <f>-'Sollecitazioni nel paramento'!$G$47*'Sollecitazioni nel paramento'!$G$41*IF(DATI!$G$211="dx",DATI!$E$61,DATI!$E$64*DATI!$E$63)*1000*C1546^2*sezione!$AD$5*(1-sezione!$AD$6)</f>
        <v>-10654090.542891832</v>
      </c>
      <c r="E1546" s="545">
        <f>-'Foglio deposito bis'!$F$68*(C1546-sezione!$AL$33)*IF(ABS(K1546)&lt;'Sollecitazioni nel paramento'!$G$58,ABS(K1546)*'Sollecitazioni nel paramento'!$G$54,'Sollecitazioni nel paramento'!$G$53)</f>
        <v>0</v>
      </c>
      <c r="F1546" s="545">
        <f>-'Foglio deposito bis'!$F$69*(C1546-sezione!$AM$33)*IF(ABS(L1546)&lt;'Sollecitazioni nel paramento'!$G$58,ABS(L1546)*'Sollecitazioni nel paramento'!$G$54,'Sollecitazioni nel paramento'!$G$53)</f>
        <v>5857247.1205631727</v>
      </c>
      <c r="G1546" s="545">
        <f>-'Foglio deposito bis'!$F$70*(C1546-sezione!$AN$33)*IF(ABS(M1546)&lt;'Sollecitazioni nel paramento'!$G$58,ABS(M1546)*'Sollecitazioni nel paramento'!$G$54,'Sollecitazioni nel paramento'!$G$53)</f>
        <v>0</v>
      </c>
      <c r="H1546" s="545">
        <f>-'Foglio deposito bis'!$F$71*(C1546-sezione!$AO$33)*IF(ABS(N1546)&lt;'Sollecitazioni nel paramento'!$G$58,ABS(N1546)*'Sollecitazioni nel paramento'!$G$54,'Sollecitazioni nel paramento'!$G$53)</f>
        <v>43466205.032786787</v>
      </c>
      <c r="I1546" s="472">
        <f>-'Foglio deposito bis'!$F$72*(C1546-sezione!$AP$33)*IF(ABS(O1546)&lt;'Sollecitazioni nel paramento'!$G$58,ABS(O1546)*'Sollecitazioni nel paramento'!$G$54,'Sollecitazioni nel paramento'!$G$53)</f>
        <v>269645205.60957789</v>
      </c>
      <c r="J1546" s="472">
        <f t="shared" si="106"/>
        <v>308314567.22003603</v>
      </c>
      <c r="K1546" s="550">
        <f>'Sollecitazioni nel paramento'!$G$60*(sezione!$AL$33-C1546)/C1546</f>
        <v>2.8976673732875346E-3</v>
      </c>
      <c r="L1546" s="550">
        <f>'Sollecitazioni nel paramento'!$G$60*(sezione!$AM$33-C1546)/C1546</f>
        <v>6.0965010599313019E-3</v>
      </c>
      <c r="M1546" s="551">
        <f>'Sollecitazioni nel paramento'!$G$60*(sezione!$AN$33-C1546)/C1546</f>
        <v>9.2953347465750697E-3</v>
      </c>
      <c r="N1546" s="551">
        <f>'Sollecitazioni nel paramento'!$G$60*(sezione!$AO$33-C1546)/C1546</f>
        <v>2.2090669493150139E-2</v>
      </c>
      <c r="O1546" s="551">
        <f>'Sollecitazioni nel paramento'!$G$60*(sezione!$AP$33-C1546)/C1546</f>
        <v>8.7706106211618104E-2</v>
      </c>
      <c r="P1546" s="545">
        <f>-'Sollecitazioni nel paramento'!$G$47*'Sollecitazioni nel paramento'!$G$41*IF(DATI!$G$211="dx",DATI!$E$61,DATI!$E$64*DATI!$E$63)*1000*C1546*sezione!$AD$5</f>
        <v>-833675.72722982336</v>
      </c>
      <c r="Q1546" s="545">
        <f>'Foglio deposito bis'!$F$68*IF(ABS(K1546)&lt;'Sollecitazioni nel paramento'!$G$58,ABS(K1546)*'Sollecitazioni nel paramento'!$G$54,'Sollecitazioni nel paramento'!$G$53)*IF(K1546&lt;0,-1,1)</f>
        <v>0</v>
      </c>
      <c r="R1546" s="545">
        <f>'Foglio deposito bis'!$F$69*IF(ABS(L1546)&lt;'Sollecitazioni nel paramento'!$G$58,ABS(L1546)*'Sollecitazioni nel paramento'!$G$54,'Sollecitazioni nel paramento'!$G$53)*IF(L1546&lt;0,-1,1)</f>
        <v>153664.85805602249</v>
      </c>
      <c r="S1546" s="545">
        <f>'Foglio deposito bis'!$F$70*IF(ABS(M1546)&lt;'Sollecitazioni nel paramento'!$G$58,ABS(M1546)*'Sollecitazioni nel paramento'!$G$54,'Sollecitazioni nel paramento'!$G$53)*IF(M1546&lt;0,-1,1)</f>
        <v>0</v>
      </c>
      <c r="T1546" s="545">
        <f>'Foglio deposito bis'!$F$71*IF(ABS(N1546)&lt;'Sollecitazioni nel paramento'!$G$58,ABS(N1546)*'Sollecitazioni nel paramento'!$G$54,'Sollecitazioni nel paramento'!$G$53)*IF(N1546&lt;0,-1,1)</f>
        <v>314705.62929873407</v>
      </c>
      <c r="U1546" s="545">
        <f>'Foglio deposito bis'!$F$72*IF(ABS(O1546)&lt;'Sollecitazioni nel paramento'!$G$58,ABS(O1546)*'Sollecitazioni nel paramento'!$G$54,'Sollecitazioni nel paramento'!$G$53)*IF(O1546&lt;0,-1,1)</f>
        <v>491727.54577927204</v>
      </c>
      <c r="V1546" s="472">
        <f t="shared" si="108"/>
        <v>126422.30590420531</v>
      </c>
      <c r="W1546" s="551"/>
      <c r="X1546" s="551"/>
    </row>
    <row r="1547" spans="1:24" x14ac:dyDescent="0.25">
      <c r="A1547" s="545">
        <f t="shared" si="107"/>
        <v>110692.57520175574</v>
      </c>
      <c r="B1547" s="3">
        <f t="shared" si="109"/>
        <v>2.6999999999999984</v>
      </c>
      <c r="C1547" s="545">
        <f>'Foglio deposito bis'!$E$159/sezione!$B$247*B1547</f>
        <v>22.295862087100637</v>
      </c>
      <c r="D1547" s="603">
        <f>-'Sollecitazioni nel paramento'!$G$47*'Sollecitazioni nel paramento'!$G$41*IF(DATI!$G$211="dx",DATI!$E$61,DATI!$E$64*DATI!$E$63)*1000*C1547^2*sezione!$AD$5*(1-sezione!$AD$6)</f>
        <v>-11059924.536515696</v>
      </c>
      <c r="E1547" s="545">
        <f>-'Foglio deposito bis'!$F$68*(C1547-sezione!$AL$33)*IF(ABS(K1547)&lt;'Sollecitazioni nel paramento'!$G$58,ABS(K1547)*'Sollecitazioni nel paramento'!$G$54,'Sollecitazioni nel paramento'!$G$53)</f>
        <v>0</v>
      </c>
      <c r="F1547" s="545">
        <f>-'Foglio deposito bis'!$F$69*(C1547-sezione!$AM$33)*IF(ABS(L1547)&lt;'Sollecitazioni nel paramento'!$G$58,ABS(L1547)*'Sollecitazioni nel paramento'!$G$54,'Sollecitazioni nel paramento'!$G$53)</f>
        <v>5793801.0005103769</v>
      </c>
      <c r="G1547" s="545">
        <f>-'Foglio deposito bis'!$F$70*(C1547-sezione!$AN$33)*IF(ABS(M1547)&lt;'Sollecitazioni nel paramento'!$G$58,ABS(M1547)*'Sollecitazioni nel paramento'!$G$54,'Sollecitazioni nel paramento'!$G$53)</f>
        <v>0</v>
      </c>
      <c r="H1547" s="545">
        <f>-'Foglio deposito bis'!$F$71*(C1547-sezione!$AO$33)*IF(ABS(N1547)&lt;'Sollecitazioni nel paramento'!$G$58,ABS(N1547)*'Sollecitazioni nel paramento'!$G$54,'Sollecitazioni nel paramento'!$G$53)</f>
        <v>43336267.378918663</v>
      </c>
      <c r="I1547" s="472">
        <f>-'Foglio deposito bis'!$F$72*(C1547-sezione!$AP$33)*IF(ABS(O1547)&lt;'Sollecitazioni nel paramento'!$G$58,ABS(O1547)*'Sollecitazioni nel paramento'!$G$54,'Sollecitazioni nel paramento'!$G$53)</f>
        <v>269442178.02540892</v>
      </c>
      <c r="J1547" s="472">
        <f t="shared" si="106"/>
        <v>307512321.86832225</v>
      </c>
      <c r="K1547" s="550">
        <f>'Sollecitazioni nel paramento'!$G$60*(sezione!$AL$33-C1547)/C1547</f>
        <v>2.7791920515599874E-3</v>
      </c>
      <c r="L1547" s="550">
        <f>'Sollecitazioni nel paramento'!$G$60*(sezione!$AM$33-C1547)/C1547</f>
        <v>5.9187880773399811E-3</v>
      </c>
      <c r="M1547" s="551">
        <f>'Sollecitazioni nel paramento'!$G$60*(sezione!$AN$33-C1547)/C1547</f>
        <v>9.0583841031199753E-3</v>
      </c>
      <c r="N1547" s="551">
        <f>'Sollecitazioni nel paramento'!$G$60*(sezione!$AO$33-C1547)/C1547</f>
        <v>2.1616768206239954E-2</v>
      </c>
      <c r="O1547" s="551">
        <f>'Sollecitazioni nel paramento'!$G$60*(sezione!$AP$33-C1547)/C1547</f>
        <v>8.6017104244736284E-2</v>
      </c>
      <c r="P1547" s="545">
        <f>-'Sollecitazioni nel paramento'!$G$47*'Sollecitazioni nel paramento'!$G$41*IF(DATI!$G$211="dx",DATI!$E$61,DATI!$E$64*DATI!$E$63)*1000*C1547*sezione!$AD$5</f>
        <v>-849405.45793227293</v>
      </c>
      <c r="Q1547" s="545">
        <f>'Foglio deposito bis'!$F$68*IF(ABS(K1547)&lt;'Sollecitazioni nel paramento'!$G$58,ABS(K1547)*'Sollecitazioni nel paramento'!$G$54,'Sollecitazioni nel paramento'!$G$53)*IF(K1547&lt;0,-1,1)</f>
        <v>0</v>
      </c>
      <c r="R1547" s="545">
        <f>'Foglio deposito bis'!$F$69*IF(ABS(L1547)&lt;'Sollecitazioni nel paramento'!$G$58,ABS(L1547)*'Sollecitazioni nel paramento'!$G$54,'Sollecitazioni nel paramento'!$G$53)*IF(L1547&lt;0,-1,1)</f>
        <v>153664.85805602249</v>
      </c>
      <c r="S1547" s="545">
        <f>'Foglio deposito bis'!$F$70*IF(ABS(M1547)&lt;'Sollecitazioni nel paramento'!$G$58,ABS(M1547)*'Sollecitazioni nel paramento'!$G$54,'Sollecitazioni nel paramento'!$G$53)*IF(M1547&lt;0,-1,1)</f>
        <v>0</v>
      </c>
      <c r="T1547" s="545">
        <f>'Foglio deposito bis'!$F$71*IF(ABS(N1547)&lt;'Sollecitazioni nel paramento'!$G$58,ABS(N1547)*'Sollecitazioni nel paramento'!$G$54,'Sollecitazioni nel paramento'!$G$53)*IF(N1547&lt;0,-1,1)</f>
        <v>314705.62929873407</v>
      </c>
      <c r="U1547" s="545">
        <f>'Foglio deposito bis'!$F$72*IF(ABS(O1547)&lt;'Sollecitazioni nel paramento'!$G$58,ABS(O1547)*'Sollecitazioni nel paramento'!$G$54,'Sollecitazioni nel paramento'!$G$53)*IF(O1547&lt;0,-1,1)</f>
        <v>491727.54577927204</v>
      </c>
      <c r="V1547" s="472">
        <f t="shared" si="108"/>
        <v>110692.57520175574</v>
      </c>
      <c r="W1547" s="551"/>
      <c r="X1547" s="551"/>
    </row>
    <row r="1548" spans="1:24" x14ac:dyDescent="0.25">
      <c r="A1548" s="545">
        <f t="shared" si="107"/>
        <v>94962.844499306171</v>
      </c>
      <c r="B1548" s="3">
        <f t="shared" si="109"/>
        <v>2.7499999999999982</v>
      </c>
      <c r="C1548" s="545">
        <f>'Foglio deposito bis'!$E$159/sezione!$B$247*B1548</f>
        <v>22.708748422046945</v>
      </c>
      <c r="D1548" s="603">
        <f>-'Sollecitazioni nel paramento'!$G$47*'Sollecitazioni nel paramento'!$G$41*IF(DATI!$G$211="dx",DATI!$E$61,DATI!$E$64*DATI!$E$63)*1000*C1548^2*sezione!$AD$5*(1-sezione!$AD$6)</f>
        <v>-11473344.212263366</v>
      </c>
      <c r="E1548" s="545">
        <f>-'Foglio deposito bis'!$F$68*(C1548-sezione!$AL$33)*IF(ABS(K1548)&lt;'Sollecitazioni nel paramento'!$G$58,ABS(K1548)*'Sollecitazioni nel paramento'!$G$54,'Sollecitazioni nel paramento'!$G$53)</f>
        <v>0</v>
      </c>
      <c r="F1548" s="545">
        <f>-'Foglio deposito bis'!$F$69*(C1548-sezione!$AM$33)*IF(ABS(L1548)&lt;'Sollecitazioni nel paramento'!$G$58,ABS(L1548)*'Sollecitazioni nel paramento'!$G$54,'Sollecitazioni nel paramento'!$G$53)</f>
        <v>5730354.880457581</v>
      </c>
      <c r="G1548" s="545">
        <f>-'Foglio deposito bis'!$F$70*(C1548-sezione!$AN$33)*IF(ABS(M1548)&lt;'Sollecitazioni nel paramento'!$G$58,ABS(M1548)*'Sollecitazioni nel paramento'!$G$54,'Sollecitazioni nel paramento'!$G$53)</f>
        <v>0</v>
      </c>
      <c r="H1548" s="545">
        <f>-'Foglio deposito bis'!$F$71*(C1548-sezione!$AO$33)*IF(ABS(N1548)&lt;'Sollecitazioni nel paramento'!$G$58,ABS(N1548)*'Sollecitazioni nel paramento'!$G$54,'Sollecitazioni nel paramento'!$G$53)</f>
        <v>43206329.725050539</v>
      </c>
      <c r="I1548" s="472">
        <f>-'Foglio deposito bis'!$F$72*(C1548-sezione!$AP$33)*IF(ABS(O1548)&lt;'Sollecitazioni nel paramento'!$G$58,ABS(O1548)*'Sollecitazioni nel paramento'!$G$54,'Sollecitazioni nel paramento'!$G$53)</f>
        <v>269239150.44124001</v>
      </c>
      <c r="J1548" s="472">
        <f t="shared" si="106"/>
        <v>306702490.83448476</v>
      </c>
      <c r="K1548" s="550">
        <f>'Sollecitazioni nel paramento'!$G$60*(sezione!$AL$33-C1548)/C1548</f>
        <v>2.6650249233498065E-3</v>
      </c>
      <c r="L1548" s="550">
        <f>'Sollecitazioni nel paramento'!$G$60*(sezione!$AM$33-C1548)/C1548</f>
        <v>5.7475373850247088E-3</v>
      </c>
      <c r="M1548" s="551">
        <f>'Sollecitazioni nel paramento'!$G$60*(sezione!$AN$33-C1548)/C1548</f>
        <v>8.8300498466996127E-3</v>
      </c>
      <c r="N1548" s="551">
        <f>'Sollecitazioni nel paramento'!$G$60*(sezione!$AO$33-C1548)/C1548</f>
        <v>2.1160099693399225E-2</v>
      </c>
      <c r="O1548" s="551">
        <f>'Sollecitazioni nel paramento'!$G$60*(sezione!$AP$33-C1548)/C1548</f>
        <v>8.4389520531195639E-2</v>
      </c>
      <c r="P1548" s="545">
        <f>-'Sollecitazioni nel paramento'!$G$47*'Sollecitazioni nel paramento'!$G$41*IF(DATI!$G$211="dx",DATI!$E$61,DATI!$E$64*DATI!$E$63)*1000*C1548*sezione!$AD$5</f>
        <v>-865135.18863472238</v>
      </c>
      <c r="Q1548" s="545">
        <f>'Foglio deposito bis'!$F$68*IF(ABS(K1548)&lt;'Sollecitazioni nel paramento'!$G$58,ABS(K1548)*'Sollecitazioni nel paramento'!$G$54,'Sollecitazioni nel paramento'!$G$53)*IF(K1548&lt;0,-1,1)</f>
        <v>0</v>
      </c>
      <c r="R1548" s="545">
        <f>'Foglio deposito bis'!$F$69*IF(ABS(L1548)&lt;'Sollecitazioni nel paramento'!$G$58,ABS(L1548)*'Sollecitazioni nel paramento'!$G$54,'Sollecitazioni nel paramento'!$G$53)*IF(L1548&lt;0,-1,1)</f>
        <v>153664.85805602249</v>
      </c>
      <c r="S1548" s="545">
        <f>'Foglio deposito bis'!$F$70*IF(ABS(M1548)&lt;'Sollecitazioni nel paramento'!$G$58,ABS(M1548)*'Sollecitazioni nel paramento'!$G$54,'Sollecitazioni nel paramento'!$G$53)*IF(M1548&lt;0,-1,1)</f>
        <v>0</v>
      </c>
      <c r="T1548" s="545">
        <f>'Foglio deposito bis'!$F$71*IF(ABS(N1548)&lt;'Sollecitazioni nel paramento'!$G$58,ABS(N1548)*'Sollecitazioni nel paramento'!$G$54,'Sollecitazioni nel paramento'!$G$53)*IF(N1548&lt;0,-1,1)</f>
        <v>314705.62929873407</v>
      </c>
      <c r="U1548" s="545">
        <f>'Foglio deposito bis'!$F$72*IF(ABS(O1548)&lt;'Sollecitazioni nel paramento'!$G$58,ABS(O1548)*'Sollecitazioni nel paramento'!$G$54,'Sollecitazioni nel paramento'!$G$53)*IF(O1548&lt;0,-1,1)</f>
        <v>491727.54577927204</v>
      </c>
      <c r="V1548" s="472">
        <f t="shared" si="108"/>
        <v>94962.844499306171</v>
      </c>
      <c r="W1548" s="551"/>
      <c r="X1548" s="551"/>
    </row>
    <row r="1549" spans="1:24" x14ac:dyDescent="0.25">
      <c r="A1549" s="545">
        <f t="shared" si="107"/>
        <v>79233.113796856836</v>
      </c>
      <c r="B1549" s="3">
        <f t="shared" si="109"/>
        <v>2.799999999999998</v>
      </c>
      <c r="C1549" s="545">
        <f>'Foglio deposito bis'!$E$159/sezione!$B$247*B1549</f>
        <v>23.121634756993249</v>
      </c>
      <c r="D1549" s="603">
        <f>-'Sollecitazioni nel paramento'!$G$47*'Sollecitazioni nel paramento'!$G$41*IF(DATI!$G$211="dx",DATI!$E$61,DATI!$E$64*DATI!$E$63)*1000*C1549^2*sezione!$AD$5*(1-sezione!$AD$6)</f>
        <v>-11894349.570134845</v>
      </c>
      <c r="E1549" s="545">
        <f>-'Foglio deposito bis'!$F$68*(C1549-sezione!$AL$33)*IF(ABS(K1549)&lt;'Sollecitazioni nel paramento'!$G$58,ABS(K1549)*'Sollecitazioni nel paramento'!$G$54,'Sollecitazioni nel paramento'!$G$53)</f>
        <v>0</v>
      </c>
      <c r="F1549" s="545">
        <f>-'Foglio deposito bis'!$F$69*(C1549-sezione!$AM$33)*IF(ABS(L1549)&lt;'Sollecitazioni nel paramento'!$G$58,ABS(L1549)*'Sollecitazioni nel paramento'!$G$54,'Sollecitazioni nel paramento'!$G$53)</f>
        <v>5666908.760404787</v>
      </c>
      <c r="G1549" s="545">
        <f>-'Foglio deposito bis'!$F$70*(C1549-sezione!$AN$33)*IF(ABS(M1549)&lt;'Sollecitazioni nel paramento'!$G$58,ABS(M1549)*'Sollecitazioni nel paramento'!$G$54,'Sollecitazioni nel paramento'!$G$53)</f>
        <v>0</v>
      </c>
      <c r="H1549" s="545">
        <f>-'Foglio deposito bis'!$F$71*(C1549-sezione!$AO$33)*IF(ABS(N1549)&lt;'Sollecitazioni nel paramento'!$G$58,ABS(N1549)*'Sollecitazioni nel paramento'!$G$54,'Sollecitazioni nel paramento'!$G$53)</f>
        <v>43076392.071182415</v>
      </c>
      <c r="I1549" s="472">
        <f>-'Foglio deposito bis'!$F$72*(C1549-sezione!$AP$33)*IF(ABS(O1549)&lt;'Sollecitazioni nel paramento'!$G$58,ABS(O1549)*'Sollecitazioni nel paramento'!$G$54,'Sollecitazioni nel paramento'!$G$53)</f>
        <v>269036122.8570711</v>
      </c>
      <c r="J1549" s="472">
        <f t="shared" si="106"/>
        <v>305885074.11852348</v>
      </c>
      <c r="K1549" s="550">
        <f>'Sollecitazioni nel paramento'!$G$60*(sezione!$AL$33-C1549)/C1549</f>
        <v>2.5549351925757036E-3</v>
      </c>
      <c r="L1549" s="550">
        <f>'Sollecitazioni nel paramento'!$G$60*(sezione!$AM$33-C1549)/C1549</f>
        <v>5.5824027888635563E-3</v>
      </c>
      <c r="M1549" s="551">
        <f>'Sollecitazioni nel paramento'!$G$60*(sezione!$AN$33-C1549)/C1549</f>
        <v>8.6098703851514094E-3</v>
      </c>
      <c r="N1549" s="551">
        <f>'Sollecitazioni nel paramento'!$G$60*(sezione!$AO$33-C1549)/C1549</f>
        <v>2.0719740770302815E-2</v>
      </c>
      <c r="O1549" s="551">
        <f>'Sollecitazioni nel paramento'!$G$60*(sezione!$AP$33-C1549)/C1549</f>
        <v>8.2820064807424307E-2</v>
      </c>
      <c r="P1549" s="545">
        <f>-'Sollecitazioni nel paramento'!$G$47*'Sollecitazioni nel paramento'!$G$41*IF(DATI!$G$211="dx",DATI!$E$61,DATI!$E$64*DATI!$E$63)*1000*C1549*sezione!$AD$5</f>
        <v>-880864.91933717171</v>
      </c>
      <c r="Q1549" s="545">
        <f>'Foglio deposito bis'!$F$68*IF(ABS(K1549)&lt;'Sollecitazioni nel paramento'!$G$58,ABS(K1549)*'Sollecitazioni nel paramento'!$G$54,'Sollecitazioni nel paramento'!$G$53)*IF(K1549&lt;0,-1,1)</f>
        <v>0</v>
      </c>
      <c r="R1549" s="545">
        <f>'Foglio deposito bis'!$F$69*IF(ABS(L1549)&lt;'Sollecitazioni nel paramento'!$G$58,ABS(L1549)*'Sollecitazioni nel paramento'!$G$54,'Sollecitazioni nel paramento'!$G$53)*IF(L1549&lt;0,-1,1)</f>
        <v>153664.85805602249</v>
      </c>
      <c r="S1549" s="545">
        <f>'Foglio deposito bis'!$F$70*IF(ABS(M1549)&lt;'Sollecitazioni nel paramento'!$G$58,ABS(M1549)*'Sollecitazioni nel paramento'!$G$54,'Sollecitazioni nel paramento'!$G$53)*IF(M1549&lt;0,-1,1)</f>
        <v>0</v>
      </c>
      <c r="T1549" s="545">
        <f>'Foglio deposito bis'!$F$71*IF(ABS(N1549)&lt;'Sollecitazioni nel paramento'!$G$58,ABS(N1549)*'Sollecitazioni nel paramento'!$G$54,'Sollecitazioni nel paramento'!$G$53)*IF(N1549&lt;0,-1,1)</f>
        <v>314705.62929873407</v>
      </c>
      <c r="U1549" s="545">
        <f>'Foglio deposito bis'!$F$72*IF(ABS(O1549)&lt;'Sollecitazioni nel paramento'!$G$58,ABS(O1549)*'Sollecitazioni nel paramento'!$G$54,'Sollecitazioni nel paramento'!$G$53)*IF(O1549&lt;0,-1,1)</f>
        <v>491727.54577927204</v>
      </c>
      <c r="V1549" s="472">
        <f t="shared" si="108"/>
        <v>79233.113796856836</v>
      </c>
      <c r="W1549" s="551"/>
      <c r="X1549" s="551"/>
    </row>
    <row r="1550" spans="1:24" x14ac:dyDescent="0.25">
      <c r="A1550" s="545">
        <f t="shared" si="107"/>
        <v>63503.383094407502</v>
      </c>
      <c r="B1550" s="3">
        <f t="shared" si="109"/>
        <v>2.8499999999999979</v>
      </c>
      <c r="C1550" s="545">
        <f>'Foglio deposito bis'!$E$159/sezione!$B$247*B1550</f>
        <v>23.534521091939556</v>
      </c>
      <c r="D1550" s="603">
        <f>-'Sollecitazioni nel paramento'!$G$47*'Sollecitazioni nel paramento'!$G$41*IF(DATI!$G$211="dx",DATI!$E$61,DATI!$E$64*DATI!$E$63)*1000*C1550^2*sezione!$AD$5*(1-sezione!$AD$6)</f>
        <v>-12322940.610130135</v>
      </c>
      <c r="E1550" s="545">
        <f>-'Foglio deposito bis'!$F$68*(C1550-sezione!$AL$33)*IF(ABS(K1550)&lt;'Sollecitazioni nel paramento'!$G$58,ABS(K1550)*'Sollecitazioni nel paramento'!$G$54,'Sollecitazioni nel paramento'!$G$53)</f>
        <v>0</v>
      </c>
      <c r="F1550" s="545">
        <f>-'Foglio deposito bis'!$F$69*(C1550-sezione!$AM$33)*IF(ABS(L1550)&lt;'Sollecitazioni nel paramento'!$G$58,ABS(L1550)*'Sollecitazioni nel paramento'!$G$54,'Sollecitazioni nel paramento'!$G$53)</f>
        <v>5603462.6403519912</v>
      </c>
      <c r="G1550" s="545">
        <f>-'Foglio deposito bis'!$F$70*(C1550-sezione!$AN$33)*IF(ABS(M1550)&lt;'Sollecitazioni nel paramento'!$G$58,ABS(M1550)*'Sollecitazioni nel paramento'!$G$54,'Sollecitazioni nel paramento'!$G$53)</f>
        <v>0</v>
      </c>
      <c r="H1550" s="545">
        <f>-'Foglio deposito bis'!$F$71*(C1550-sezione!$AO$33)*IF(ABS(N1550)&lt;'Sollecitazioni nel paramento'!$G$58,ABS(N1550)*'Sollecitazioni nel paramento'!$G$54,'Sollecitazioni nel paramento'!$G$53)</f>
        <v>42946454.417314284</v>
      </c>
      <c r="I1550" s="472">
        <f>-'Foglio deposito bis'!$F$72*(C1550-sezione!$AP$33)*IF(ABS(O1550)&lt;'Sollecitazioni nel paramento'!$G$58,ABS(O1550)*'Sollecitazioni nel paramento'!$G$54,'Sollecitazioni nel paramento'!$G$53)</f>
        <v>268833095.27290207</v>
      </c>
      <c r="J1550" s="472">
        <f t="shared" si="106"/>
        <v>305060071.72043824</v>
      </c>
      <c r="K1550" s="550">
        <f>'Sollecitazioni nel paramento'!$G$60*(sezione!$AL$33-C1550)/C1550</f>
        <v>2.4487082593726214E-3</v>
      </c>
      <c r="L1550" s="550">
        <f>'Sollecitazioni nel paramento'!$G$60*(sezione!$AM$33-C1550)/C1550</f>
        <v>5.4230623890589328E-3</v>
      </c>
      <c r="M1550" s="551">
        <f>'Sollecitazioni nel paramento'!$G$60*(sezione!$AN$33-C1550)/C1550</f>
        <v>8.3974165187452442E-3</v>
      </c>
      <c r="N1550" s="551">
        <f>'Sollecitazioni nel paramento'!$G$60*(sezione!$AO$33-C1550)/C1550</f>
        <v>2.0294833037490488E-2</v>
      </c>
      <c r="O1550" s="551">
        <f>'Sollecitazioni nel paramento'!$G$60*(sezione!$AP$33-C1550)/C1550</f>
        <v>8.1305677705539661E-2</v>
      </c>
      <c r="P1550" s="545">
        <f>-'Sollecitazioni nel paramento'!$G$47*'Sollecitazioni nel paramento'!$G$41*IF(DATI!$G$211="dx",DATI!$E$61,DATI!$E$64*DATI!$E$63)*1000*C1550*sezione!$AD$5</f>
        <v>-896594.65003962116</v>
      </c>
      <c r="Q1550" s="545">
        <f>'Foglio deposito bis'!$F$68*IF(ABS(K1550)&lt;'Sollecitazioni nel paramento'!$G$58,ABS(K1550)*'Sollecitazioni nel paramento'!$G$54,'Sollecitazioni nel paramento'!$G$53)*IF(K1550&lt;0,-1,1)</f>
        <v>0</v>
      </c>
      <c r="R1550" s="545">
        <f>'Foglio deposito bis'!$F$69*IF(ABS(L1550)&lt;'Sollecitazioni nel paramento'!$G$58,ABS(L1550)*'Sollecitazioni nel paramento'!$G$54,'Sollecitazioni nel paramento'!$G$53)*IF(L1550&lt;0,-1,1)</f>
        <v>153664.85805602249</v>
      </c>
      <c r="S1550" s="545">
        <f>'Foglio deposito bis'!$F$70*IF(ABS(M1550)&lt;'Sollecitazioni nel paramento'!$G$58,ABS(M1550)*'Sollecitazioni nel paramento'!$G$54,'Sollecitazioni nel paramento'!$G$53)*IF(M1550&lt;0,-1,1)</f>
        <v>0</v>
      </c>
      <c r="T1550" s="545">
        <f>'Foglio deposito bis'!$F$71*IF(ABS(N1550)&lt;'Sollecitazioni nel paramento'!$G$58,ABS(N1550)*'Sollecitazioni nel paramento'!$G$54,'Sollecitazioni nel paramento'!$G$53)*IF(N1550&lt;0,-1,1)</f>
        <v>314705.62929873407</v>
      </c>
      <c r="U1550" s="545">
        <f>'Foglio deposito bis'!$F$72*IF(ABS(O1550)&lt;'Sollecitazioni nel paramento'!$G$58,ABS(O1550)*'Sollecitazioni nel paramento'!$G$54,'Sollecitazioni nel paramento'!$G$53)*IF(O1550&lt;0,-1,1)</f>
        <v>491727.54577927204</v>
      </c>
      <c r="V1550" s="472">
        <f t="shared" si="108"/>
        <v>63503.383094407502</v>
      </c>
      <c r="W1550" s="551"/>
      <c r="X1550" s="551"/>
    </row>
    <row r="1551" spans="1:24" x14ac:dyDescent="0.25">
      <c r="A1551" s="545">
        <f t="shared" si="107"/>
        <v>47773.652391958167</v>
      </c>
      <c r="B1551" s="3">
        <f t="shared" si="109"/>
        <v>2.8999999999999977</v>
      </c>
      <c r="C1551" s="545">
        <f>'Foglio deposito bis'!$E$159/sezione!$B$247*B1551</f>
        <v>23.947407426885864</v>
      </c>
      <c r="D1551" s="603">
        <f>-'Sollecitazioni nel paramento'!$G$47*'Sollecitazioni nel paramento'!$G$41*IF(DATI!$G$211="dx",DATI!$E$61,DATI!$E$64*DATI!$E$63)*1000*C1551^2*sezione!$AD$5*(1-sezione!$AD$6)</f>
        <v>-12759117.332249241</v>
      </c>
      <c r="E1551" s="545">
        <f>-'Foglio deposito bis'!$F$68*(C1551-sezione!$AL$33)*IF(ABS(K1551)&lt;'Sollecitazioni nel paramento'!$G$58,ABS(K1551)*'Sollecitazioni nel paramento'!$G$54,'Sollecitazioni nel paramento'!$G$53)</f>
        <v>0</v>
      </c>
      <c r="F1551" s="545">
        <f>-'Foglio deposito bis'!$F$69*(C1551-sezione!$AM$33)*IF(ABS(L1551)&lt;'Sollecitazioni nel paramento'!$G$58,ABS(L1551)*'Sollecitazioni nel paramento'!$G$54,'Sollecitazioni nel paramento'!$G$53)</f>
        <v>5540016.5202991953</v>
      </c>
      <c r="G1551" s="545">
        <f>-'Foglio deposito bis'!$F$70*(C1551-sezione!$AN$33)*IF(ABS(M1551)&lt;'Sollecitazioni nel paramento'!$G$58,ABS(M1551)*'Sollecitazioni nel paramento'!$G$54,'Sollecitazioni nel paramento'!$G$53)</f>
        <v>0</v>
      </c>
      <c r="H1551" s="545">
        <f>-'Foglio deposito bis'!$F$71*(C1551-sezione!$AO$33)*IF(ABS(N1551)&lt;'Sollecitazioni nel paramento'!$G$58,ABS(N1551)*'Sollecitazioni nel paramento'!$G$54,'Sollecitazioni nel paramento'!$G$53)</f>
        <v>42816516.76344616</v>
      </c>
      <c r="I1551" s="472">
        <f>-'Foglio deposito bis'!$F$72*(C1551-sezione!$AP$33)*IF(ABS(O1551)&lt;'Sollecitazioni nel paramento'!$G$58,ABS(O1551)*'Sollecitazioni nel paramento'!$G$54,'Sollecitazioni nel paramento'!$G$53)</f>
        <v>268630067.68873316</v>
      </c>
      <c r="J1551" s="472">
        <f t="shared" si="106"/>
        <v>304227483.64022928</v>
      </c>
      <c r="K1551" s="550">
        <f>'Sollecitazioni nel paramento'!$G$60*(sezione!$AL$33-C1551)/C1551</f>
        <v>2.346144323866197E-3</v>
      </c>
      <c r="L1551" s="550">
        <f>'Sollecitazioni nel paramento'!$G$60*(sezione!$AM$33-C1551)/C1551</f>
        <v>5.2692164857992959E-3</v>
      </c>
      <c r="M1551" s="551">
        <f>'Sollecitazioni nel paramento'!$G$60*(sezione!$AN$33-C1551)/C1551</f>
        <v>8.1922886477323945E-3</v>
      </c>
      <c r="N1551" s="551">
        <f>'Sollecitazioni nel paramento'!$G$60*(sezione!$AO$33-C1551)/C1551</f>
        <v>1.9884577295464789E-2</v>
      </c>
      <c r="O1551" s="551">
        <f>'Sollecitazioni nel paramento'!$G$60*(sezione!$AP$33-C1551)/C1551</f>
        <v>7.98435108485476E-2</v>
      </c>
      <c r="P1551" s="545">
        <f>-'Sollecitazioni nel paramento'!$G$47*'Sollecitazioni nel paramento'!$G$41*IF(DATI!$G$211="dx",DATI!$E$61,DATI!$E$64*DATI!$E$63)*1000*C1551*sezione!$AD$5</f>
        <v>-912324.3807420705</v>
      </c>
      <c r="Q1551" s="545">
        <f>'Foglio deposito bis'!$F$68*IF(ABS(K1551)&lt;'Sollecitazioni nel paramento'!$G$58,ABS(K1551)*'Sollecitazioni nel paramento'!$G$54,'Sollecitazioni nel paramento'!$G$53)*IF(K1551&lt;0,-1,1)</f>
        <v>0</v>
      </c>
      <c r="R1551" s="545">
        <f>'Foglio deposito bis'!$F$69*IF(ABS(L1551)&lt;'Sollecitazioni nel paramento'!$G$58,ABS(L1551)*'Sollecitazioni nel paramento'!$G$54,'Sollecitazioni nel paramento'!$G$53)*IF(L1551&lt;0,-1,1)</f>
        <v>153664.85805602249</v>
      </c>
      <c r="S1551" s="545">
        <f>'Foglio deposito bis'!$F$70*IF(ABS(M1551)&lt;'Sollecitazioni nel paramento'!$G$58,ABS(M1551)*'Sollecitazioni nel paramento'!$G$54,'Sollecitazioni nel paramento'!$G$53)*IF(M1551&lt;0,-1,1)</f>
        <v>0</v>
      </c>
      <c r="T1551" s="545">
        <f>'Foglio deposito bis'!$F$71*IF(ABS(N1551)&lt;'Sollecitazioni nel paramento'!$G$58,ABS(N1551)*'Sollecitazioni nel paramento'!$G$54,'Sollecitazioni nel paramento'!$G$53)*IF(N1551&lt;0,-1,1)</f>
        <v>314705.62929873407</v>
      </c>
      <c r="U1551" s="545">
        <f>'Foglio deposito bis'!$F$72*IF(ABS(O1551)&lt;'Sollecitazioni nel paramento'!$G$58,ABS(O1551)*'Sollecitazioni nel paramento'!$G$54,'Sollecitazioni nel paramento'!$G$53)*IF(O1551&lt;0,-1,1)</f>
        <v>491727.54577927204</v>
      </c>
      <c r="V1551" s="472">
        <f t="shared" si="108"/>
        <v>47773.652391958167</v>
      </c>
      <c r="W1551" s="551"/>
      <c r="X1551" s="551"/>
    </row>
    <row r="1552" spans="1:24" x14ac:dyDescent="0.25">
      <c r="A1552" s="545">
        <f t="shared" si="107"/>
        <v>32043.921689508599</v>
      </c>
      <c r="B1552" s="3">
        <f t="shared" si="109"/>
        <v>2.9499999999999975</v>
      </c>
      <c r="C1552" s="545">
        <f>'Foglio deposito bis'!$E$159/sezione!$B$247*B1552</f>
        <v>24.360293761832171</v>
      </c>
      <c r="D1552" s="603">
        <f>-'Sollecitazioni nel paramento'!$G$47*'Sollecitazioni nel paramento'!$G$41*IF(DATI!$G$211="dx",DATI!$E$61,DATI!$E$64*DATI!$E$63)*1000*C1552^2*sezione!$AD$5*(1-sezione!$AD$6)</f>
        <v>-13202879.736492151</v>
      </c>
      <c r="E1552" s="545">
        <f>-'Foglio deposito bis'!$F$68*(C1552-sezione!$AL$33)*IF(ABS(K1552)&lt;'Sollecitazioni nel paramento'!$G$58,ABS(K1552)*'Sollecitazioni nel paramento'!$G$54,'Sollecitazioni nel paramento'!$G$53)</f>
        <v>0</v>
      </c>
      <c r="F1552" s="545">
        <f>-'Foglio deposito bis'!$F$69*(C1552-sezione!$AM$33)*IF(ABS(L1552)&lt;'Sollecitazioni nel paramento'!$G$58,ABS(L1552)*'Sollecitazioni nel paramento'!$G$54,'Sollecitazioni nel paramento'!$G$53)</f>
        <v>5476570.4002463995</v>
      </c>
      <c r="G1552" s="545">
        <f>-'Foglio deposito bis'!$F$70*(C1552-sezione!$AN$33)*IF(ABS(M1552)&lt;'Sollecitazioni nel paramento'!$G$58,ABS(M1552)*'Sollecitazioni nel paramento'!$G$54,'Sollecitazioni nel paramento'!$G$53)</f>
        <v>0</v>
      </c>
      <c r="H1552" s="545">
        <f>-'Foglio deposito bis'!$F$71*(C1552-sezione!$AO$33)*IF(ABS(N1552)&lt;'Sollecitazioni nel paramento'!$G$58,ABS(N1552)*'Sollecitazioni nel paramento'!$G$54,'Sollecitazioni nel paramento'!$G$53)</f>
        <v>42686579.109578036</v>
      </c>
      <c r="I1552" s="472">
        <f>-'Foglio deposito bis'!$F$72*(C1552-sezione!$AP$33)*IF(ABS(O1552)&lt;'Sollecitazioni nel paramento'!$G$58,ABS(O1552)*'Sollecitazioni nel paramento'!$G$54,'Sollecitazioni nel paramento'!$G$53)</f>
        <v>268427040.10456425</v>
      </c>
      <c r="J1552" s="472">
        <f t="shared" si="106"/>
        <v>303387309.87789655</v>
      </c>
      <c r="K1552" s="550">
        <f>'Sollecitazioni nel paramento'!$G$60*(sezione!$AL$33-C1552)/C1552</f>
        <v>2.2470571319362616E-3</v>
      </c>
      <c r="L1552" s="550">
        <f>'Sollecitazioni nel paramento'!$G$60*(sezione!$AM$33-C1552)/C1552</f>
        <v>5.1205856979043927E-3</v>
      </c>
      <c r="M1552" s="551">
        <f>'Sollecitazioni nel paramento'!$G$60*(sezione!$AN$33-C1552)/C1552</f>
        <v>7.9941142638725229E-3</v>
      </c>
      <c r="N1552" s="551">
        <f>'Sollecitazioni nel paramento'!$G$60*(sezione!$AO$33-C1552)/C1552</f>
        <v>1.9488228527745049E-2</v>
      </c>
      <c r="O1552" s="551">
        <f>'Sollecitazioni nel paramento'!$G$60*(sezione!$AP$33-C1552)/C1552</f>
        <v>7.843090896975867E-2</v>
      </c>
      <c r="P1552" s="545">
        <f>-'Sollecitazioni nel paramento'!$G$47*'Sollecitazioni nel paramento'!$G$41*IF(DATI!$G$211="dx",DATI!$E$61,DATI!$E$64*DATI!$E$63)*1000*C1552*sezione!$AD$5</f>
        <v>-928054.11144451995</v>
      </c>
      <c r="Q1552" s="545">
        <f>'Foglio deposito bis'!$F$68*IF(ABS(K1552)&lt;'Sollecitazioni nel paramento'!$G$58,ABS(K1552)*'Sollecitazioni nel paramento'!$G$54,'Sollecitazioni nel paramento'!$G$53)*IF(K1552&lt;0,-1,1)</f>
        <v>0</v>
      </c>
      <c r="R1552" s="545">
        <f>'Foglio deposito bis'!$F$69*IF(ABS(L1552)&lt;'Sollecitazioni nel paramento'!$G$58,ABS(L1552)*'Sollecitazioni nel paramento'!$G$54,'Sollecitazioni nel paramento'!$G$53)*IF(L1552&lt;0,-1,1)</f>
        <v>153664.85805602249</v>
      </c>
      <c r="S1552" s="545">
        <f>'Foglio deposito bis'!$F$70*IF(ABS(M1552)&lt;'Sollecitazioni nel paramento'!$G$58,ABS(M1552)*'Sollecitazioni nel paramento'!$G$54,'Sollecitazioni nel paramento'!$G$53)*IF(M1552&lt;0,-1,1)</f>
        <v>0</v>
      </c>
      <c r="T1552" s="545">
        <f>'Foglio deposito bis'!$F$71*IF(ABS(N1552)&lt;'Sollecitazioni nel paramento'!$G$58,ABS(N1552)*'Sollecitazioni nel paramento'!$G$54,'Sollecitazioni nel paramento'!$G$53)*IF(N1552&lt;0,-1,1)</f>
        <v>314705.62929873407</v>
      </c>
      <c r="U1552" s="545">
        <f>'Foglio deposito bis'!$F$72*IF(ABS(O1552)&lt;'Sollecitazioni nel paramento'!$G$58,ABS(O1552)*'Sollecitazioni nel paramento'!$G$54,'Sollecitazioni nel paramento'!$G$53)*IF(O1552&lt;0,-1,1)</f>
        <v>491727.54577927204</v>
      </c>
      <c r="V1552" s="472">
        <f t="shared" si="108"/>
        <v>32043.921689508599</v>
      </c>
      <c r="W1552" s="551"/>
      <c r="X1552" s="551"/>
    </row>
    <row r="1553" spans="1:24" x14ac:dyDescent="0.25">
      <c r="A1553" s="545">
        <f t="shared" si="107"/>
        <v>16314.190987059032</v>
      </c>
      <c r="B1553" s="3">
        <f t="shared" si="109"/>
        <v>2.9999999999999973</v>
      </c>
      <c r="C1553" s="545">
        <f>'Foglio deposito bis'!$E$159/sezione!$B$247*B1553</f>
        <v>24.773180096778479</v>
      </c>
      <c r="D1553" s="603">
        <f>-'Sollecitazioni nel paramento'!$G$47*'Sollecitazioni nel paramento'!$G$41*IF(DATI!$G$211="dx",DATI!$E$61,DATI!$E$64*DATI!$E$63)*1000*C1553^2*sezione!$AD$5*(1-sezione!$AD$6)</f>
        <v>-13654227.822858876</v>
      </c>
      <c r="E1553" s="545">
        <f>-'Foglio deposito bis'!$F$68*(C1553-sezione!$AL$33)*IF(ABS(K1553)&lt;'Sollecitazioni nel paramento'!$G$58,ABS(K1553)*'Sollecitazioni nel paramento'!$G$54,'Sollecitazioni nel paramento'!$G$53)</f>
        <v>0</v>
      </c>
      <c r="F1553" s="545">
        <f>-'Foglio deposito bis'!$F$69*(C1553-sezione!$AM$33)*IF(ABS(L1553)&lt;'Sollecitazioni nel paramento'!$G$58,ABS(L1553)*'Sollecitazioni nel paramento'!$G$54,'Sollecitazioni nel paramento'!$G$53)</f>
        <v>5413124.2801936036</v>
      </c>
      <c r="G1553" s="545">
        <f>-'Foglio deposito bis'!$F$70*(C1553-sezione!$AN$33)*IF(ABS(M1553)&lt;'Sollecitazioni nel paramento'!$G$58,ABS(M1553)*'Sollecitazioni nel paramento'!$G$54,'Sollecitazioni nel paramento'!$G$53)</f>
        <v>0</v>
      </c>
      <c r="H1553" s="545">
        <f>-'Foglio deposito bis'!$F$71*(C1553-sezione!$AO$33)*IF(ABS(N1553)&lt;'Sollecitazioni nel paramento'!$G$58,ABS(N1553)*'Sollecitazioni nel paramento'!$G$54,'Sollecitazioni nel paramento'!$G$53)</f>
        <v>42556641.455709912</v>
      </c>
      <c r="I1553" s="472">
        <f>-'Foglio deposito bis'!$F$72*(C1553-sezione!$AP$33)*IF(ABS(O1553)&lt;'Sollecitazioni nel paramento'!$G$58,ABS(O1553)*'Sollecitazioni nel paramento'!$G$54,'Sollecitazioni nel paramento'!$G$53)</f>
        <v>268224012.52039528</v>
      </c>
      <c r="J1553" s="472">
        <f t="shared" si="106"/>
        <v>302539550.43343991</v>
      </c>
      <c r="K1553" s="550">
        <f>'Sollecitazioni nel paramento'!$G$60*(sezione!$AL$33-C1553)/C1553</f>
        <v>2.1512728464039908E-3</v>
      </c>
      <c r="L1553" s="550">
        <f>'Sollecitazioni nel paramento'!$G$60*(sezione!$AM$33-C1553)/C1553</f>
        <v>4.9769092696059867E-3</v>
      </c>
      <c r="M1553" s="551">
        <f>'Sollecitazioni nel paramento'!$G$60*(sezione!$AN$33-C1553)/C1553</f>
        <v>7.8025456928079821E-3</v>
      </c>
      <c r="N1553" s="551">
        <f>'Sollecitazioni nel paramento'!$G$60*(sezione!$AO$33-C1553)/C1553</f>
        <v>1.9105091385615964E-2</v>
      </c>
      <c r="O1553" s="551">
        <f>'Sollecitazioni nel paramento'!$G$60*(sezione!$AP$33-C1553)/C1553</f>
        <v>7.7065393820262687E-2</v>
      </c>
      <c r="P1553" s="545">
        <f>-'Sollecitazioni nel paramento'!$G$47*'Sollecitazioni nel paramento'!$G$41*IF(DATI!$G$211="dx",DATI!$E$61,DATI!$E$64*DATI!$E$63)*1000*C1553*sezione!$AD$5</f>
        <v>-943783.84214696952</v>
      </c>
      <c r="Q1553" s="545">
        <f>'Foglio deposito bis'!$F$68*IF(ABS(K1553)&lt;'Sollecitazioni nel paramento'!$G$58,ABS(K1553)*'Sollecitazioni nel paramento'!$G$54,'Sollecitazioni nel paramento'!$G$53)*IF(K1553&lt;0,-1,1)</f>
        <v>0</v>
      </c>
      <c r="R1553" s="545">
        <f>'Foglio deposito bis'!$F$69*IF(ABS(L1553)&lt;'Sollecitazioni nel paramento'!$G$58,ABS(L1553)*'Sollecitazioni nel paramento'!$G$54,'Sollecitazioni nel paramento'!$G$53)*IF(L1553&lt;0,-1,1)</f>
        <v>153664.85805602249</v>
      </c>
      <c r="S1553" s="545">
        <f>'Foglio deposito bis'!$F$70*IF(ABS(M1553)&lt;'Sollecitazioni nel paramento'!$G$58,ABS(M1553)*'Sollecitazioni nel paramento'!$G$54,'Sollecitazioni nel paramento'!$G$53)*IF(M1553&lt;0,-1,1)</f>
        <v>0</v>
      </c>
      <c r="T1553" s="545">
        <f>'Foglio deposito bis'!$F$71*IF(ABS(N1553)&lt;'Sollecitazioni nel paramento'!$G$58,ABS(N1553)*'Sollecitazioni nel paramento'!$G$54,'Sollecitazioni nel paramento'!$G$53)*IF(N1553&lt;0,-1,1)</f>
        <v>314705.62929873407</v>
      </c>
      <c r="U1553" s="545">
        <f>'Foglio deposito bis'!$F$72*IF(ABS(O1553)&lt;'Sollecitazioni nel paramento'!$G$58,ABS(O1553)*'Sollecitazioni nel paramento'!$G$54,'Sollecitazioni nel paramento'!$G$53)*IF(O1553&lt;0,-1,1)</f>
        <v>491727.54577927204</v>
      </c>
      <c r="V1553" s="472">
        <f t="shared" si="108"/>
        <v>16314.190987059032</v>
      </c>
      <c r="W1553" s="551"/>
      <c r="X1553" s="551"/>
    </row>
    <row r="1554" spans="1:24" x14ac:dyDescent="0.25">
      <c r="A1554" s="545">
        <f t="shared" si="107"/>
        <v>584.46028460969683</v>
      </c>
      <c r="B1554" s="3">
        <f t="shared" si="109"/>
        <v>3.0499999999999972</v>
      </c>
      <c r="C1554" s="545">
        <f>'Foglio deposito bis'!$E$159/sezione!$B$247*B1554</f>
        <v>25.186066431724786</v>
      </c>
      <c r="D1554" s="603">
        <f>-'Sollecitazioni nel paramento'!$G$47*'Sollecitazioni nel paramento'!$G$41*IF(DATI!$G$211="dx",DATI!$E$61,DATI!$E$64*DATI!$E$63)*1000*C1554^2*sezione!$AD$5*(1-sezione!$AD$6)</f>
        <v>-14113161.591349408</v>
      </c>
      <c r="E1554" s="545">
        <f>-'Foglio deposito bis'!$F$68*(C1554-sezione!$AL$33)*IF(ABS(K1554)&lt;'Sollecitazioni nel paramento'!$G$58,ABS(K1554)*'Sollecitazioni nel paramento'!$G$54,'Sollecitazioni nel paramento'!$G$53)</f>
        <v>0</v>
      </c>
      <c r="F1554" s="545">
        <f>-'Foglio deposito bis'!$F$69*(C1554-sezione!$AM$33)*IF(ABS(L1554)&lt;'Sollecitazioni nel paramento'!$G$58,ABS(L1554)*'Sollecitazioni nel paramento'!$G$54,'Sollecitazioni nel paramento'!$G$53)</f>
        <v>5349678.1601408077</v>
      </c>
      <c r="G1554" s="545">
        <f>-'Foglio deposito bis'!$F$70*(C1554-sezione!$AN$33)*IF(ABS(M1554)&lt;'Sollecitazioni nel paramento'!$G$58,ABS(M1554)*'Sollecitazioni nel paramento'!$G$54,'Sollecitazioni nel paramento'!$G$53)</f>
        <v>0</v>
      </c>
      <c r="H1554" s="545">
        <f>-'Foglio deposito bis'!$F$71*(C1554-sezione!$AO$33)*IF(ABS(N1554)&lt;'Sollecitazioni nel paramento'!$G$58,ABS(N1554)*'Sollecitazioni nel paramento'!$G$54,'Sollecitazioni nel paramento'!$G$53)</f>
        <v>42426703.801841781</v>
      </c>
      <c r="I1554" s="472">
        <f>-'Foglio deposito bis'!$F$72*(C1554-sezione!$AP$33)*IF(ABS(O1554)&lt;'Sollecitazioni nel paramento'!$G$58,ABS(O1554)*'Sollecitazioni nel paramento'!$G$54,'Sollecitazioni nel paramento'!$G$53)</f>
        <v>268020984.93622631</v>
      </c>
      <c r="J1554" s="472">
        <f t="shared" si="106"/>
        <v>301684205.30685949</v>
      </c>
      <c r="K1554" s="550">
        <f>'Sollecitazioni nel paramento'!$G$60*(sezione!$AL$33-C1554)/C1554</f>
        <v>2.0586290292498271E-3</v>
      </c>
      <c r="L1554" s="550">
        <f>'Sollecitazioni nel paramento'!$G$60*(sezione!$AM$33-C1554)/C1554</f>
        <v>4.8379435438747412E-3</v>
      </c>
      <c r="M1554" s="551">
        <f>'Sollecitazioni nel paramento'!$G$60*(sezione!$AN$33-C1554)/C1554</f>
        <v>7.6172580584996548E-3</v>
      </c>
      <c r="N1554" s="551">
        <f>'Sollecitazioni nel paramento'!$G$60*(sezione!$AO$33-C1554)/C1554</f>
        <v>1.8734516116999309E-2</v>
      </c>
      <c r="O1554" s="551">
        <f>'Sollecitazioni nel paramento'!$G$60*(sezione!$AP$33-C1554)/C1554</f>
        <v>7.5744649659274771E-2</v>
      </c>
      <c r="P1554" s="545">
        <f>-'Sollecitazioni nel paramento'!$G$47*'Sollecitazioni nel paramento'!$G$41*IF(DATI!$G$211="dx",DATI!$E$61,DATI!$E$64*DATI!$E$63)*1000*C1554*sezione!$AD$5</f>
        <v>-959513.57284941897</v>
      </c>
      <c r="Q1554" s="545">
        <f>'Foglio deposito bis'!$F$68*IF(ABS(K1554)&lt;'Sollecitazioni nel paramento'!$G$58,ABS(K1554)*'Sollecitazioni nel paramento'!$G$54,'Sollecitazioni nel paramento'!$G$53)*IF(K1554&lt;0,-1,1)</f>
        <v>0</v>
      </c>
      <c r="R1554" s="545">
        <f>'Foglio deposito bis'!$F$69*IF(ABS(L1554)&lt;'Sollecitazioni nel paramento'!$G$58,ABS(L1554)*'Sollecitazioni nel paramento'!$G$54,'Sollecitazioni nel paramento'!$G$53)*IF(L1554&lt;0,-1,1)</f>
        <v>153664.85805602249</v>
      </c>
      <c r="S1554" s="545">
        <f>'Foglio deposito bis'!$F$70*IF(ABS(M1554)&lt;'Sollecitazioni nel paramento'!$G$58,ABS(M1554)*'Sollecitazioni nel paramento'!$G$54,'Sollecitazioni nel paramento'!$G$53)*IF(M1554&lt;0,-1,1)</f>
        <v>0</v>
      </c>
      <c r="T1554" s="545">
        <f>'Foglio deposito bis'!$F$71*IF(ABS(N1554)&lt;'Sollecitazioni nel paramento'!$G$58,ABS(N1554)*'Sollecitazioni nel paramento'!$G$54,'Sollecitazioni nel paramento'!$G$53)*IF(N1554&lt;0,-1,1)</f>
        <v>314705.62929873407</v>
      </c>
      <c r="U1554" s="545">
        <f>'Foglio deposito bis'!$F$72*IF(ABS(O1554)&lt;'Sollecitazioni nel paramento'!$G$58,ABS(O1554)*'Sollecitazioni nel paramento'!$G$54,'Sollecitazioni nel paramento'!$G$53)*IF(O1554&lt;0,-1,1)</f>
        <v>491727.54577927204</v>
      </c>
      <c r="V1554" s="472">
        <f t="shared" si="108"/>
        <v>584.46028460969683</v>
      </c>
      <c r="W1554" s="551"/>
      <c r="X1554" s="551"/>
    </row>
    <row r="1555" spans="1:24" x14ac:dyDescent="0.25">
      <c r="A1555" s="545">
        <f t="shared" si="107"/>
        <v>15145.270417839638</v>
      </c>
      <c r="B1555" s="3">
        <f t="shared" si="109"/>
        <v>3.099999999999997</v>
      </c>
      <c r="C1555" s="545">
        <f>'Foglio deposito bis'!$E$159/sezione!$B$247*B1555</f>
        <v>25.59895276667109</v>
      </c>
      <c r="D1555" s="603">
        <f>-'Sollecitazioni nel paramento'!$G$47*'Sollecitazioni nel paramento'!$G$41*IF(DATI!$G$211="dx",DATI!$E$61,DATI!$E$64*DATI!$E$63)*1000*C1555^2*sezione!$AD$5*(1-sezione!$AD$6)</f>
        <v>-14579681.041963749</v>
      </c>
      <c r="E1555" s="545">
        <f>-'Foglio deposito bis'!$F$68*(C1555-sezione!$AL$33)*IF(ABS(K1555)&lt;'Sollecitazioni nel paramento'!$G$58,ABS(K1555)*'Sollecitazioni nel paramento'!$G$54,'Sollecitazioni nel paramento'!$G$53)</f>
        <v>0</v>
      </c>
      <c r="F1555" s="545">
        <f>-'Foglio deposito bis'!$F$69*(C1555-sezione!$AM$33)*IF(ABS(L1555)&lt;'Sollecitazioni nel paramento'!$G$58,ABS(L1555)*'Sollecitazioni nel paramento'!$G$54,'Sollecitazioni nel paramento'!$G$53)</f>
        <v>5286232.0400880119</v>
      </c>
      <c r="G1555" s="545">
        <f>-'Foglio deposito bis'!$F$70*(C1555-sezione!$AN$33)*IF(ABS(M1555)&lt;'Sollecitazioni nel paramento'!$G$58,ABS(M1555)*'Sollecitazioni nel paramento'!$G$54,'Sollecitazioni nel paramento'!$G$53)</f>
        <v>0</v>
      </c>
      <c r="H1555" s="545">
        <f>-'Foglio deposito bis'!$F$71*(C1555-sezione!$AO$33)*IF(ABS(N1555)&lt;'Sollecitazioni nel paramento'!$G$58,ABS(N1555)*'Sollecitazioni nel paramento'!$G$54,'Sollecitazioni nel paramento'!$G$53)</f>
        <v>42296766.147973664</v>
      </c>
      <c r="I1555" s="472">
        <f>-'Foglio deposito bis'!$F$72*(C1555-sezione!$AP$33)*IF(ABS(O1555)&lt;'Sollecitazioni nel paramento'!$G$58,ABS(O1555)*'Sollecitazioni nel paramento'!$G$54,'Sollecitazioni nel paramento'!$G$53)</f>
        <v>267817957.3520574</v>
      </c>
      <c r="J1555" s="472">
        <f t="shared" si="106"/>
        <v>300821274.49815536</v>
      </c>
      <c r="K1555" s="550">
        <f>'Sollecitazioni nel paramento'!$G$60*(sezione!$AL$33-C1555)/C1555</f>
        <v>1.9689737223264436E-3</v>
      </c>
      <c r="L1555" s="550">
        <f>'Sollecitazioni nel paramento'!$G$60*(sezione!$AM$33-C1555)/C1555</f>
        <v>4.703460583489665E-3</v>
      </c>
      <c r="M1555" s="551">
        <f>'Sollecitazioni nel paramento'!$G$60*(sezione!$AN$33-C1555)/C1555</f>
        <v>7.4379474446528869E-3</v>
      </c>
      <c r="N1555" s="551">
        <f>'Sollecitazioni nel paramento'!$G$60*(sezione!$AO$33-C1555)/C1555</f>
        <v>1.8375894889305775E-2</v>
      </c>
      <c r="O1555" s="551">
        <f>'Sollecitazioni nel paramento'!$G$60*(sezione!$AP$33-C1555)/C1555</f>
        <v>7.4466510148641321E-2</v>
      </c>
      <c r="P1555" s="545">
        <f>-'Sollecitazioni nel paramento'!$G$47*'Sollecitazioni nel paramento'!$G$41*IF(DATI!$G$211="dx",DATI!$E$61,DATI!$E$64*DATI!$E$63)*1000*C1555*sezione!$AD$5</f>
        <v>-975243.3035518683</v>
      </c>
      <c r="Q1555" s="545">
        <f>'Foglio deposito bis'!$F$68*IF(ABS(K1555)&lt;'Sollecitazioni nel paramento'!$G$58,ABS(K1555)*'Sollecitazioni nel paramento'!$G$54,'Sollecitazioni nel paramento'!$G$53)*IF(K1555&lt;0,-1,1)</f>
        <v>0</v>
      </c>
      <c r="R1555" s="545">
        <f>'Foglio deposito bis'!$F$69*IF(ABS(L1555)&lt;'Sollecitazioni nel paramento'!$G$58,ABS(L1555)*'Sollecitazioni nel paramento'!$G$54,'Sollecitazioni nel paramento'!$G$53)*IF(L1555&lt;0,-1,1)</f>
        <v>153664.85805602249</v>
      </c>
      <c r="S1555" s="545">
        <f>'Foglio deposito bis'!$F$70*IF(ABS(M1555)&lt;'Sollecitazioni nel paramento'!$G$58,ABS(M1555)*'Sollecitazioni nel paramento'!$G$54,'Sollecitazioni nel paramento'!$G$53)*IF(M1555&lt;0,-1,1)</f>
        <v>0</v>
      </c>
      <c r="T1555" s="545">
        <f>'Foglio deposito bis'!$F$71*IF(ABS(N1555)&lt;'Sollecitazioni nel paramento'!$G$58,ABS(N1555)*'Sollecitazioni nel paramento'!$G$54,'Sollecitazioni nel paramento'!$G$53)*IF(N1555&lt;0,-1,1)</f>
        <v>314705.62929873407</v>
      </c>
      <c r="U1555" s="545">
        <f>'Foglio deposito bis'!$F$72*IF(ABS(O1555)&lt;'Sollecitazioni nel paramento'!$G$58,ABS(O1555)*'Sollecitazioni nel paramento'!$G$54,'Sollecitazioni nel paramento'!$G$53)*IF(O1555&lt;0,-1,1)</f>
        <v>491727.54577927204</v>
      </c>
      <c r="V1555" s="472">
        <f t="shared" si="108"/>
        <v>-15145.270417839638</v>
      </c>
      <c r="W1555" s="551"/>
      <c r="X1555" s="551"/>
    </row>
    <row r="1556" spans="1:24" x14ac:dyDescent="0.25">
      <c r="A1556" s="545">
        <f t="shared" si="107"/>
        <v>30875.001120289206</v>
      </c>
      <c r="B1556" s="3">
        <f t="shared" si="109"/>
        <v>3.1499999999999968</v>
      </c>
      <c r="C1556" s="545">
        <f>'Foglio deposito bis'!$E$159/sezione!$B$247*B1556</f>
        <v>26.011839101617397</v>
      </c>
      <c r="D1556" s="603">
        <f>-'Sollecitazioni nel paramento'!$G$47*'Sollecitazioni nel paramento'!$G$41*IF(DATI!$G$211="dx",DATI!$E$61,DATI!$E$64*DATI!$E$63)*1000*C1556^2*sezione!$AD$5*(1-sezione!$AD$6)</f>
        <v>-15053786.174701905</v>
      </c>
      <c r="E1556" s="545">
        <f>-'Foglio deposito bis'!$F$68*(C1556-sezione!$AL$33)*IF(ABS(K1556)&lt;'Sollecitazioni nel paramento'!$G$58,ABS(K1556)*'Sollecitazioni nel paramento'!$G$54,'Sollecitazioni nel paramento'!$G$53)</f>
        <v>0</v>
      </c>
      <c r="F1556" s="545">
        <f>-'Foglio deposito bis'!$F$69*(C1556-sezione!$AM$33)*IF(ABS(L1556)&lt;'Sollecitazioni nel paramento'!$G$58,ABS(L1556)*'Sollecitazioni nel paramento'!$G$54,'Sollecitazioni nel paramento'!$G$53)</f>
        <v>5222785.920035217</v>
      </c>
      <c r="G1556" s="545">
        <f>-'Foglio deposito bis'!$F$70*(C1556-sezione!$AN$33)*IF(ABS(M1556)&lt;'Sollecitazioni nel paramento'!$G$58,ABS(M1556)*'Sollecitazioni nel paramento'!$G$54,'Sollecitazioni nel paramento'!$G$53)</f>
        <v>0</v>
      </c>
      <c r="H1556" s="545">
        <f>-'Foglio deposito bis'!$F$71*(C1556-sezione!$AO$33)*IF(ABS(N1556)&lt;'Sollecitazioni nel paramento'!$G$58,ABS(N1556)*'Sollecitazioni nel paramento'!$G$54,'Sollecitazioni nel paramento'!$G$53)</f>
        <v>42166828.494105533</v>
      </c>
      <c r="I1556" s="472">
        <f>-'Foglio deposito bis'!$F$72*(C1556-sezione!$AP$33)*IF(ABS(O1556)&lt;'Sollecitazioni nel paramento'!$G$58,ABS(O1556)*'Sollecitazioni nel paramento'!$G$54,'Sollecitazioni nel paramento'!$G$53)</f>
        <v>267614929.76788846</v>
      </c>
      <c r="J1556" s="472">
        <f t="shared" si="106"/>
        <v>299950758.00732732</v>
      </c>
      <c r="K1556" s="550">
        <f>'Sollecitazioni nel paramento'!$G$60*(sezione!$AL$33-C1556)/C1556</f>
        <v>1.8821646156228493E-3</v>
      </c>
      <c r="L1556" s="550">
        <f>'Sollecitazioni nel paramento'!$G$60*(sezione!$AM$33-C1556)/C1556</f>
        <v>4.5732469234342739E-3</v>
      </c>
      <c r="M1556" s="551">
        <f>'Sollecitazioni nel paramento'!$G$60*(sezione!$AN$33-C1556)/C1556</f>
        <v>7.2643292312456987E-3</v>
      </c>
      <c r="N1556" s="551">
        <f>'Sollecitazioni nel paramento'!$G$60*(sezione!$AO$33-C1556)/C1556</f>
        <v>1.8028658462491399E-2</v>
      </c>
      <c r="O1556" s="551">
        <f>'Sollecitazioni nel paramento'!$G$60*(sezione!$AP$33-C1556)/C1556</f>
        <v>7.3228946495488292E-2</v>
      </c>
      <c r="P1556" s="545">
        <f>-'Sollecitazioni nel paramento'!$G$47*'Sollecitazioni nel paramento'!$G$41*IF(DATI!$G$211="dx",DATI!$E$61,DATI!$E$64*DATI!$E$63)*1000*C1556*sezione!$AD$5</f>
        <v>-990973.03425431787</v>
      </c>
      <c r="Q1556" s="545">
        <f>'Foglio deposito bis'!$F$68*IF(ABS(K1556)&lt;'Sollecitazioni nel paramento'!$G$58,ABS(K1556)*'Sollecitazioni nel paramento'!$G$54,'Sollecitazioni nel paramento'!$G$53)*IF(K1556&lt;0,-1,1)</f>
        <v>0</v>
      </c>
      <c r="R1556" s="545">
        <f>'Foglio deposito bis'!$F$69*IF(ABS(L1556)&lt;'Sollecitazioni nel paramento'!$G$58,ABS(L1556)*'Sollecitazioni nel paramento'!$G$54,'Sollecitazioni nel paramento'!$G$53)*IF(L1556&lt;0,-1,1)</f>
        <v>153664.85805602249</v>
      </c>
      <c r="S1556" s="545">
        <f>'Foglio deposito bis'!$F$70*IF(ABS(M1556)&lt;'Sollecitazioni nel paramento'!$G$58,ABS(M1556)*'Sollecitazioni nel paramento'!$G$54,'Sollecitazioni nel paramento'!$G$53)*IF(M1556&lt;0,-1,1)</f>
        <v>0</v>
      </c>
      <c r="T1556" s="545">
        <f>'Foglio deposito bis'!$F$71*IF(ABS(N1556)&lt;'Sollecitazioni nel paramento'!$G$58,ABS(N1556)*'Sollecitazioni nel paramento'!$G$54,'Sollecitazioni nel paramento'!$G$53)*IF(N1556&lt;0,-1,1)</f>
        <v>314705.62929873407</v>
      </c>
      <c r="U1556" s="545">
        <f>'Foglio deposito bis'!$F$72*IF(ABS(O1556)&lt;'Sollecitazioni nel paramento'!$G$58,ABS(O1556)*'Sollecitazioni nel paramento'!$G$54,'Sollecitazioni nel paramento'!$G$53)*IF(O1556&lt;0,-1,1)</f>
        <v>491727.54577927204</v>
      </c>
      <c r="V1556" s="472">
        <f t="shared" si="108"/>
        <v>-30875.001120289206</v>
      </c>
      <c r="W1556" s="551"/>
      <c r="X1556" s="551"/>
    </row>
    <row r="1557" spans="1:24" x14ac:dyDescent="0.25">
      <c r="A1557" s="545">
        <f t="shared" si="107"/>
        <v>46604.731822738831</v>
      </c>
      <c r="B1557" s="3">
        <f t="shared" si="109"/>
        <v>3.1999999999999966</v>
      </c>
      <c r="C1557" s="545">
        <f>'Foglio deposito bis'!$E$159/sezione!$B$247*B1557</f>
        <v>26.424725436563705</v>
      </c>
      <c r="D1557" s="603">
        <f>-'Sollecitazioni nel paramento'!$G$47*'Sollecitazioni nel paramento'!$G$41*IF(DATI!$G$211="dx",DATI!$E$61,DATI!$E$64*DATI!$E$63)*1000*C1557^2*sezione!$AD$5*(1-sezione!$AD$6)</f>
        <v>-15535476.989563867</v>
      </c>
      <c r="E1557" s="545">
        <f>-'Foglio deposito bis'!$F$68*(C1557-sezione!$AL$33)*IF(ABS(K1557)&lt;'Sollecitazioni nel paramento'!$G$58,ABS(K1557)*'Sollecitazioni nel paramento'!$G$54,'Sollecitazioni nel paramento'!$G$53)</f>
        <v>0</v>
      </c>
      <c r="F1557" s="545">
        <f>-'Foglio deposito bis'!$F$69*(C1557-sezione!$AM$33)*IF(ABS(L1557)&lt;'Sollecitazioni nel paramento'!$G$58,ABS(L1557)*'Sollecitazioni nel paramento'!$G$54,'Sollecitazioni nel paramento'!$G$53)</f>
        <v>5159339.7999824211</v>
      </c>
      <c r="G1557" s="545">
        <f>-'Foglio deposito bis'!$F$70*(C1557-sezione!$AN$33)*IF(ABS(M1557)&lt;'Sollecitazioni nel paramento'!$G$58,ABS(M1557)*'Sollecitazioni nel paramento'!$G$54,'Sollecitazioni nel paramento'!$G$53)</f>
        <v>0</v>
      </c>
      <c r="H1557" s="545">
        <f>-'Foglio deposito bis'!$F$71*(C1557-sezione!$AO$33)*IF(ABS(N1557)&lt;'Sollecitazioni nel paramento'!$G$58,ABS(N1557)*'Sollecitazioni nel paramento'!$G$54,'Sollecitazioni nel paramento'!$G$53)</f>
        <v>42036890.840237409</v>
      </c>
      <c r="I1557" s="472">
        <f>-'Foglio deposito bis'!$F$72*(C1557-sezione!$AP$33)*IF(ABS(O1557)&lt;'Sollecitazioni nel paramento'!$G$58,ABS(O1557)*'Sollecitazioni nel paramento'!$G$54,'Sollecitazioni nel paramento'!$G$53)</f>
        <v>267411902.18371955</v>
      </c>
      <c r="J1557" s="472">
        <f t="shared" ref="J1557:J1620" si="110">D1557+E1557+F1557+G1557+H1557+I1557</f>
        <v>299072655.8343755</v>
      </c>
      <c r="K1557" s="550">
        <f>'Sollecitazioni nel paramento'!$G$60*(sezione!$AL$33-C1557)/C1557</f>
        <v>1.7980682935037425E-3</v>
      </c>
      <c r="L1557" s="550">
        <f>'Sollecitazioni nel paramento'!$G$60*(sezione!$AM$33-C1557)/C1557</f>
        <v>4.4471024402556137E-3</v>
      </c>
      <c r="M1557" s="551">
        <f>'Sollecitazioni nel paramento'!$G$60*(sezione!$AN$33-C1557)/C1557</f>
        <v>7.0961365870074846E-3</v>
      </c>
      <c r="N1557" s="551">
        <f>'Sollecitazioni nel paramento'!$G$60*(sezione!$AO$33-C1557)/C1557</f>
        <v>1.7692273174014971E-2</v>
      </c>
      <c r="O1557" s="551">
        <f>'Sollecitazioni nel paramento'!$G$60*(sezione!$AP$33-C1557)/C1557</f>
        <v>7.2030056706496287E-2</v>
      </c>
      <c r="P1557" s="545">
        <f>-'Sollecitazioni nel paramento'!$G$47*'Sollecitazioni nel paramento'!$G$41*IF(DATI!$G$211="dx",DATI!$E$61,DATI!$E$64*DATI!$E$63)*1000*C1557*sezione!$AD$5</f>
        <v>-1006702.7649567673</v>
      </c>
      <c r="Q1557" s="545">
        <f>'Foglio deposito bis'!$F$68*IF(ABS(K1557)&lt;'Sollecitazioni nel paramento'!$G$58,ABS(K1557)*'Sollecitazioni nel paramento'!$G$54,'Sollecitazioni nel paramento'!$G$53)*IF(K1557&lt;0,-1,1)</f>
        <v>0</v>
      </c>
      <c r="R1557" s="545">
        <f>'Foglio deposito bis'!$F$69*IF(ABS(L1557)&lt;'Sollecitazioni nel paramento'!$G$58,ABS(L1557)*'Sollecitazioni nel paramento'!$G$54,'Sollecitazioni nel paramento'!$G$53)*IF(L1557&lt;0,-1,1)</f>
        <v>153664.85805602249</v>
      </c>
      <c r="S1557" s="545">
        <f>'Foglio deposito bis'!$F$70*IF(ABS(M1557)&lt;'Sollecitazioni nel paramento'!$G$58,ABS(M1557)*'Sollecitazioni nel paramento'!$G$54,'Sollecitazioni nel paramento'!$G$53)*IF(M1557&lt;0,-1,1)</f>
        <v>0</v>
      </c>
      <c r="T1557" s="545">
        <f>'Foglio deposito bis'!$F$71*IF(ABS(N1557)&lt;'Sollecitazioni nel paramento'!$G$58,ABS(N1557)*'Sollecitazioni nel paramento'!$G$54,'Sollecitazioni nel paramento'!$G$53)*IF(N1557&lt;0,-1,1)</f>
        <v>314705.62929873407</v>
      </c>
      <c r="U1557" s="545">
        <f>'Foglio deposito bis'!$F$72*IF(ABS(O1557)&lt;'Sollecitazioni nel paramento'!$G$58,ABS(O1557)*'Sollecitazioni nel paramento'!$G$54,'Sollecitazioni nel paramento'!$G$53)*IF(O1557&lt;0,-1,1)</f>
        <v>491727.54577927204</v>
      </c>
      <c r="V1557" s="472">
        <f t="shared" si="108"/>
        <v>-46604.731822738831</v>
      </c>
      <c r="W1557" s="551"/>
      <c r="X1557" s="551"/>
    </row>
    <row r="1558" spans="1:24" x14ac:dyDescent="0.25">
      <c r="A1558" s="545">
        <f t="shared" ref="A1558:A1621" si="111">ABS(V1558)</f>
        <v>62334.462525188166</v>
      </c>
      <c r="B1558" s="3">
        <f t="shared" si="109"/>
        <v>3.2499999999999964</v>
      </c>
      <c r="C1558" s="545">
        <f>'Foglio deposito bis'!$E$159/sezione!$B$247*B1558</f>
        <v>26.837611771510012</v>
      </c>
      <c r="D1558" s="603">
        <f>-'Sollecitazioni nel paramento'!$G$47*'Sollecitazioni nel paramento'!$G$41*IF(DATI!$G$211="dx",DATI!$E$61,DATI!$E$64*DATI!$E$63)*1000*C1558^2*sezione!$AD$5*(1-sezione!$AD$6)</f>
        <v>-16024753.486549644</v>
      </c>
      <c r="E1558" s="545">
        <f>-'Foglio deposito bis'!$F$68*(C1558-sezione!$AL$33)*IF(ABS(K1558)&lt;'Sollecitazioni nel paramento'!$G$58,ABS(K1558)*'Sollecitazioni nel paramento'!$G$54,'Sollecitazioni nel paramento'!$G$53)</f>
        <v>0</v>
      </c>
      <c r="F1558" s="545">
        <f>-'Foglio deposito bis'!$F$69*(C1558-sezione!$AM$33)*IF(ABS(L1558)&lt;'Sollecitazioni nel paramento'!$G$58,ABS(L1558)*'Sollecitazioni nel paramento'!$G$54,'Sollecitazioni nel paramento'!$G$53)</f>
        <v>5095893.6799296252</v>
      </c>
      <c r="G1558" s="545">
        <f>-'Foglio deposito bis'!$F$70*(C1558-sezione!$AN$33)*IF(ABS(M1558)&lt;'Sollecitazioni nel paramento'!$G$58,ABS(M1558)*'Sollecitazioni nel paramento'!$G$54,'Sollecitazioni nel paramento'!$G$53)</f>
        <v>0</v>
      </c>
      <c r="H1558" s="545">
        <f>-'Foglio deposito bis'!$F$71*(C1558-sezione!$AO$33)*IF(ABS(N1558)&lt;'Sollecitazioni nel paramento'!$G$58,ABS(N1558)*'Sollecitazioni nel paramento'!$G$54,'Sollecitazioni nel paramento'!$G$53)</f>
        <v>41906953.186369285</v>
      </c>
      <c r="I1558" s="472">
        <f>-'Foglio deposito bis'!$F$72*(C1558-sezione!$AP$33)*IF(ABS(O1558)&lt;'Sollecitazioni nel paramento'!$G$58,ABS(O1558)*'Sollecitazioni nel paramento'!$G$54,'Sollecitazioni nel paramento'!$G$53)</f>
        <v>267208874.59955055</v>
      </c>
      <c r="J1558" s="472">
        <f t="shared" si="110"/>
        <v>298186967.97929978</v>
      </c>
      <c r="K1558" s="550">
        <f>'Sollecitazioni nel paramento'!$G$60*(sezione!$AL$33-C1558)/C1558</f>
        <v>1.7165595505267619E-3</v>
      </c>
      <c r="L1558" s="550">
        <f>'Sollecitazioni nel paramento'!$G$60*(sezione!$AM$33-C1558)/C1558</f>
        <v>4.3248393257901427E-3</v>
      </c>
      <c r="M1558" s="551">
        <f>'Sollecitazioni nel paramento'!$G$60*(sezione!$AN$33-C1558)/C1558</f>
        <v>6.9331191010535229E-3</v>
      </c>
      <c r="N1558" s="551">
        <f>'Sollecitazioni nel paramento'!$G$60*(sezione!$AO$33-C1558)/C1558</f>
        <v>1.7366238202107049E-2</v>
      </c>
      <c r="O1558" s="551">
        <f>'Sollecitazioni nel paramento'!$G$60*(sezione!$AP$33-C1558)/C1558</f>
        <v>7.0868055834088645E-2</v>
      </c>
      <c r="P1558" s="545">
        <f>-'Sollecitazioni nel paramento'!$G$47*'Sollecitazioni nel paramento'!$G$41*IF(DATI!$G$211="dx",DATI!$E$61,DATI!$E$64*DATI!$E$63)*1000*C1558*sezione!$AD$5</f>
        <v>-1022432.4956592168</v>
      </c>
      <c r="Q1558" s="545">
        <f>'Foglio deposito bis'!$F$68*IF(ABS(K1558)&lt;'Sollecitazioni nel paramento'!$G$58,ABS(K1558)*'Sollecitazioni nel paramento'!$G$54,'Sollecitazioni nel paramento'!$G$53)*IF(K1558&lt;0,-1,1)</f>
        <v>0</v>
      </c>
      <c r="R1558" s="545">
        <f>'Foglio deposito bis'!$F$69*IF(ABS(L1558)&lt;'Sollecitazioni nel paramento'!$G$58,ABS(L1558)*'Sollecitazioni nel paramento'!$G$54,'Sollecitazioni nel paramento'!$G$53)*IF(L1558&lt;0,-1,1)</f>
        <v>153664.85805602249</v>
      </c>
      <c r="S1558" s="545">
        <f>'Foglio deposito bis'!$F$70*IF(ABS(M1558)&lt;'Sollecitazioni nel paramento'!$G$58,ABS(M1558)*'Sollecitazioni nel paramento'!$G$54,'Sollecitazioni nel paramento'!$G$53)*IF(M1558&lt;0,-1,1)</f>
        <v>0</v>
      </c>
      <c r="T1558" s="545">
        <f>'Foglio deposito bis'!$F$71*IF(ABS(N1558)&lt;'Sollecitazioni nel paramento'!$G$58,ABS(N1558)*'Sollecitazioni nel paramento'!$G$54,'Sollecitazioni nel paramento'!$G$53)*IF(N1558&lt;0,-1,1)</f>
        <v>314705.62929873407</v>
      </c>
      <c r="U1558" s="545">
        <f>'Foglio deposito bis'!$F$72*IF(ABS(O1558)&lt;'Sollecitazioni nel paramento'!$G$58,ABS(O1558)*'Sollecitazioni nel paramento'!$G$54,'Sollecitazioni nel paramento'!$G$53)*IF(O1558&lt;0,-1,1)</f>
        <v>491727.54577927204</v>
      </c>
      <c r="V1558" s="472">
        <f t="shared" ref="V1558:V1621" si="112">P1558+Q1558+R1558+S1558+T1558+U1558</f>
        <v>-62334.462525188166</v>
      </c>
      <c r="W1558" s="551"/>
      <c r="X1558" s="551"/>
    </row>
    <row r="1559" spans="1:24" x14ac:dyDescent="0.25">
      <c r="A1559" s="545">
        <f t="shared" si="111"/>
        <v>78064.193227637501</v>
      </c>
      <c r="B1559" s="3">
        <f t="shared" ref="B1559:B1595" si="113">B1558+0.05</f>
        <v>3.2999999999999963</v>
      </c>
      <c r="C1559" s="545">
        <f>'Foglio deposito bis'!$E$159/sezione!$B$247*B1559</f>
        <v>27.25049810645632</v>
      </c>
      <c r="D1559" s="603">
        <f>-'Sollecitazioni nel paramento'!$G$47*'Sollecitazioni nel paramento'!$G$41*IF(DATI!$G$211="dx",DATI!$E$61,DATI!$E$64*DATI!$E$63)*1000*C1559^2*sezione!$AD$5*(1-sezione!$AD$6)</f>
        <v>-16521615.66565923</v>
      </c>
      <c r="E1559" s="545">
        <f>-'Foglio deposito bis'!$F$68*(C1559-sezione!$AL$33)*IF(ABS(K1559)&lt;'Sollecitazioni nel paramento'!$G$58,ABS(K1559)*'Sollecitazioni nel paramento'!$G$54,'Sollecitazioni nel paramento'!$G$53)</f>
        <v>0</v>
      </c>
      <c r="F1559" s="545">
        <f>-'Foglio deposito bis'!$F$69*(C1559-sezione!$AM$33)*IF(ABS(L1559)&lt;'Sollecitazioni nel paramento'!$G$58,ABS(L1559)*'Sollecitazioni nel paramento'!$G$54,'Sollecitazioni nel paramento'!$G$53)</f>
        <v>5032447.5598768294</v>
      </c>
      <c r="G1559" s="545">
        <f>-'Foglio deposito bis'!$F$70*(C1559-sezione!$AN$33)*IF(ABS(M1559)&lt;'Sollecitazioni nel paramento'!$G$58,ABS(M1559)*'Sollecitazioni nel paramento'!$G$54,'Sollecitazioni nel paramento'!$G$53)</f>
        <v>0</v>
      </c>
      <c r="H1559" s="545">
        <f>-'Foglio deposito bis'!$F$71*(C1559-sezione!$AO$33)*IF(ABS(N1559)&lt;'Sollecitazioni nel paramento'!$G$58,ABS(N1559)*'Sollecitazioni nel paramento'!$G$54,'Sollecitazioni nel paramento'!$G$53)</f>
        <v>41777015.532501161</v>
      </c>
      <c r="I1559" s="472">
        <f>-'Foglio deposito bis'!$F$72*(C1559-sezione!$AP$33)*IF(ABS(O1559)&lt;'Sollecitazioni nel paramento'!$G$58,ABS(O1559)*'Sollecitazioni nel paramento'!$G$54,'Sollecitazioni nel paramento'!$G$53)</f>
        <v>267005847.0153816</v>
      </c>
      <c r="J1559" s="472">
        <f t="shared" si="110"/>
        <v>297293694.44210035</v>
      </c>
      <c r="K1559" s="550">
        <f>'Sollecitazioni nel paramento'!$G$60*(sezione!$AL$33-C1559)/C1559</f>
        <v>1.6375207694581744E-3</v>
      </c>
      <c r="L1559" s="550">
        <f>'Sollecitazioni nel paramento'!$G$60*(sezione!$AM$33-C1559)/C1559</f>
        <v>4.206281154187262E-3</v>
      </c>
      <c r="M1559" s="551">
        <f>'Sollecitazioni nel paramento'!$G$60*(sezione!$AN$33-C1559)/C1559</f>
        <v>6.7750415389163498E-3</v>
      </c>
      <c r="N1559" s="551">
        <f>'Sollecitazioni nel paramento'!$G$60*(sezione!$AO$33-C1559)/C1559</f>
        <v>1.7050083077832699E-2</v>
      </c>
      <c r="O1559" s="551">
        <f>'Sollecitazioni nel paramento'!$G$60*(sezione!$AP$33-C1559)/C1559</f>
        <v>6.9741267109329735E-2</v>
      </c>
      <c r="P1559" s="545">
        <f>-'Sollecitazioni nel paramento'!$G$47*'Sollecitazioni nel paramento'!$G$41*IF(DATI!$G$211="dx",DATI!$E$61,DATI!$E$64*DATI!$E$63)*1000*C1559*sezione!$AD$5</f>
        <v>-1038162.2263616661</v>
      </c>
      <c r="Q1559" s="545">
        <f>'Foglio deposito bis'!$F$68*IF(ABS(K1559)&lt;'Sollecitazioni nel paramento'!$G$58,ABS(K1559)*'Sollecitazioni nel paramento'!$G$54,'Sollecitazioni nel paramento'!$G$53)*IF(K1559&lt;0,-1,1)</f>
        <v>0</v>
      </c>
      <c r="R1559" s="545">
        <f>'Foglio deposito bis'!$F$69*IF(ABS(L1559)&lt;'Sollecitazioni nel paramento'!$G$58,ABS(L1559)*'Sollecitazioni nel paramento'!$G$54,'Sollecitazioni nel paramento'!$G$53)*IF(L1559&lt;0,-1,1)</f>
        <v>153664.85805602249</v>
      </c>
      <c r="S1559" s="545">
        <f>'Foglio deposito bis'!$F$70*IF(ABS(M1559)&lt;'Sollecitazioni nel paramento'!$G$58,ABS(M1559)*'Sollecitazioni nel paramento'!$G$54,'Sollecitazioni nel paramento'!$G$53)*IF(M1559&lt;0,-1,1)</f>
        <v>0</v>
      </c>
      <c r="T1559" s="545">
        <f>'Foglio deposito bis'!$F$71*IF(ABS(N1559)&lt;'Sollecitazioni nel paramento'!$G$58,ABS(N1559)*'Sollecitazioni nel paramento'!$G$54,'Sollecitazioni nel paramento'!$G$53)*IF(N1559&lt;0,-1,1)</f>
        <v>314705.62929873407</v>
      </c>
      <c r="U1559" s="545">
        <f>'Foglio deposito bis'!$F$72*IF(ABS(O1559)&lt;'Sollecitazioni nel paramento'!$G$58,ABS(O1559)*'Sollecitazioni nel paramento'!$G$54,'Sollecitazioni nel paramento'!$G$53)*IF(O1559&lt;0,-1,1)</f>
        <v>491727.54577927204</v>
      </c>
      <c r="V1559" s="472">
        <f t="shared" si="112"/>
        <v>-78064.193227637501</v>
      </c>
      <c r="W1559" s="551"/>
      <c r="X1559" s="551"/>
    </row>
    <row r="1560" spans="1:24" x14ac:dyDescent="0.25">
      <c r="A1560" s="545">
        <f t="shared" si="111"/>
        <v>93793.923930087069</v>
      </c>
      <c r="B1560" s="3">
        <f t="shared" si="113"/>
        <v>3.3499999999999961</v>
      </c>
      <c r="C1560" s="545">
        <f>'Foglio deposito bis'!$E$159/sezione!$B$247*B1560</f>
        <v>27.663384441402627</v>
      </c>
      <c r="D1560" s="603">
        <f>-'Sollecitazioni nel paramento'!$G$47*'Sollecitazioni nel paramento'!$G$41*IF(DATI!$G$211="dx",DATI!$E$61,DATI!$E$64*DATI!$E$63)*1000*C1560^2*sezione!$AD$5*(1-sezione!$AD$6)</f>
        <v>-17026063.526892629</v>
      </c>
      <c r="E1560" s="545">
        <f>-'Foglio deposito bis'!$F$68*(C1560-sezione!$AL$33)*IF(ABS(K1560)&lt;'Sollecitazioni nel paramento'!$G$58,ABS(K1560)*'Sollecitazioni nel paramento'!$G$54,'Sollecitazioni nel paramento'!$G$53)</f>
        <v>0</v>
      </c>
      <c r="F1560" s="545">
        <f>-'Foglio deposito bis'!$F$69*(C1560-sezione!$AM$33)*IF(ABS(L1560)&lt;'Sollecitazioni nel paramento'!$G$58,ABS(L1560)*'Sollecitazioni nel paramento'!$G$54,'Sollecitazioni nel paramento'!$G$53)</f>
        <v>4969001.4398240335</v>
      </c>
      <c r="G1560" s="545">
        <f>-'Foglio deposito bis'!$F$70*(C1560-sezione!$AN$33)*IF(ABS(M1560)&lt;'Sollecitazioni nel paramento'!$G$58,ABS(M1560)*'Sollecitazioni nel paramento'!$G$54,'Sollecitazioni nel paramento'!$G$53)</f>
        <v>0</v>
      </c>
      <c r="H1560" s="545">
        <f>-'Foglio deposito bis'!$F$71*(C1560-sezione!$AO$33)*IF(ABS(N1560)&lt;'Sollecitazioni nel paramento'!$G$58,ABS(N1560)*'Sollecitazioni nel paramento'!$G$54,'Sollecitazioni nel paramento'!$G$53)</f>
        <v>41647077.87863303</v>
      </c>
      <c r="I1560" s="472">
        <f>-'Foglio deposito bis'!$F$72*(C1560-sezione!$AP$33)*IF(ABS(O1560)&lt;'Sollecitazioni nel paramento'!$G$58,ABS(O1560)*'Sollecitazioni nel paramento'!$G$54,'Sollecitazioni nel paramento'!$G$53)</f>
        <v>266802819.43121266</v>
      </c>
      <c r="J1560" s="472">
        <f t="shared" si="110"/>
        <v>296392835.22277713</v>
      </c>
      <c r="K1560" s="550">
        <f>'Sollecitazioni nel paramento'!$G$60*(sezione!$AL$33-C1560)/C1560</f>
        <v>1.5608413549886497E-3</v>
      </c>
      <c r="L1560" s="550">
        <f>'Sollecitazioni nel paramento'!$G$60*(sezione!$AM$33-C1560)/C1560</f>
        <v>4.0912620324829747E-3</v>
      </c>
      <c r="M1560" s="551">
        <f>'Sollecitazioni nel paramento'!$G$60*(sezione!$AN$33-C1560)/C1560</f>
        <v>6.6216827099772994E-3</v>
      </c>
      <c r="N1560" s="551">
        <f>'Sollecitazioni nel paramento'!$G$60*(sezione!$AO$33-C1560)/C1560</f>
        <v>1.6743365419954599E-2</v>
      </c>
      <c r="O1560" s="551">
        <f>'Sollecitazioni nel paramento'!$G$60*(sezione!$AP$33-C1560)/C1560</f>
        <v>6.8648113868891969E-2</v>
      </c>
      <c r="P1560" s="545">
        <f>-'Sollecitazioni nel paramento'!$G$47*'Sollecitazioni nel paramento'!$G$41*IF(DATI!$G$211="dx",DATI!$E$61,DATI!$E$64*DATI!$E$63)*1000*C1560*sezione!$AD$5</f>
        <v>-1053891.9570641157</v>
      </c>
      <c r="Q1560" s="545">
        <f>'Foglio deposito bis'!$F$68*IF(ABS(K1560)&lt;'Sollecitazioni nel paramento'!$G$58,ABS(K1560)*'Sollecitazioni nel paramento'!$G$54,'Sollecitazioni nel paramento'!$G$53)*IF(K1560&lt;0,-1,1)</f>
        <v>0</v>
      </c>
      <c r="R1560" s="545">
        <f>'Foglio deposito bis'!$F$69*IF(ABS(L1560)&lt;'Sollecitazioni nel paramento'!$G$58,ABS(L1560)*'Sollecitazioni nel paramento'!$G$54,'Sollecitazioni nel paramento'!$G$53)*IF(L1560&lt;0,-1,1)</f>
        <v>153664.85805602249</v>
      </c>
      <c r="S1560" s="545">
        <f>'Foglio deposito bis'!$F$70*IF(ABS(M1560)&lt;'Sollecitazioni nel paramento'!$G$58,ABS(M1560)*'Sollecitazioni nel paramento'!$G$54,'Sollecitazioni nel paramento'!$G$53)*IF(M1560&lt;0,-1,1)</f>
        <v>0</v>
      </c>
      <c r="T1560" s="545">
        <f>'Foglio deposito bis'!$F$71*IF(ABS(N1560)&lt;'Sollecitazioni nel paramento'!$G$58,ABS(N1560)*'Sollecitazioni nel paramento'!$G$54,'Sollecitazioni nel paramento'!$G$53)*IF(N1560&lt;0,-1,1)</f>
        <v>314705.62929873407</v>
      </c>
      <c r="U1560" s="545">
        <f>'Foglio deposito bis'!$F$72*IF(ABS(O1560)&lt;'Sollecitazioni nel paramento'!$G$58,ABS(O1560)*'Sollecitazioni nel paramento'!$G$54,'Sollecitazioni nel paramento'!$G$53)*IF(O1560&lt;0,-1,1)</f>
        <v>491727.54577927204</v>
      </c>
      <c r="V1560" s="472">
        <f t="shared" si="112"/>
        <v>-93793.923930087069</v>
      </c>
      <c r="W1560" s="551"/>
      <c r="X1560" s="551"/>
    </row>
    <row r="1561" spans="1:24" x14ac:dyDescent="0.25">
      <c r="A1561" s="545">
        <f t="shared" si="111"/>
        <v>109523.65463253664</v>
      </c>
      <c r="B1561" s="3">
        <f t="shared" si="113"/>
        <v>3.3999999999999959</v>
      </c>
      <c r="C1561" s="545">
        <f>'Foglio deposito bis'!$E$159/sezione!$B$247*B1561</f>
        <v>28.076270776348935</v>
      </c>
      <c r="D1561" s="603">
        <f>-'Sollecitazioni nel paramento'!$G$47*'Sollecitazioni nel paramento'!$G$41*IF(DATI!$G$211="dx",DATI!$E$61,DATI!$E$64*DATI!$E$63)*1000*C1561^2*sezione!$AD$5*(1-sezione!$AD$6)</f>
        <v>-17538097.070249833</v>
      </c>
      <c r="E1561" s="545">
        <f>-'Foglio deposito bis'!$F$68*(C1561-sezione!$AL$33)*IF(ABS(K1561)&lt;'Sollecitazioni nel paramento'!$G$58,ABS(K1561)*'Sollecitazioni nel paramento'!$G$54,'Sollecitazioni nel paramento'!$G$53)</f>
        <v>0</v>
      </c>
      <c r="F1561" s="545">
        <f>-'Foglio deposito bis'!$F$69*(C1561-sezione!$AM$33)*IF(ABS(L1561)&lt;'Sollecitazioni nel paramento'!$G$58,ABS(L1561)*'Sollecitazioni nel paramento'!$G$54,'Sollecitazioni nel paramento'!$G$53)</f>
        <v>4905555.3197712386</v>
      </c>
      <c r="G1561" s="545">
        <f>-'Foglio deposito bis'!$F$70*(C1561-sezione!$AN$33)*IF(ABS(M1561)&lt;'Sollecitazioni nel paramento'!$G$58,ABS(M1561)*'Sollecitazioni nel paramento'!$G$54,'Sollecitazioni nel paramento'!$G$53)</f>
        <v>0</v>
      </c>
      <c r="H1561" s="545">
        <f>-'Foglio deposito bis'!$F$71*(C1561-sezione!$AO$33)*IF(ABS(N1561)&lt;'Sollecitazioni nel paramento'!$G$58,ABS(N1561)*'Sollecitazioni nel paramento'!$G$54,'Sollecitazioni nel paramento'!$G$53)</f>
        <v>41517140.224764906</v>
      </c>
      <c r="I1561" s="472">
        <f>-'Foglio deposito bis'!$F$72*(C1561-sezione!$AP$33)*IF(ABS(O1561)&lt;'Sollecitazioni nel paramento'!$G$58,ABS(O1561)*'Sollecitazioni nel paramento'!$G$54,'Sollecitazioni nel paramento'!$G$53)</f>
        <v>266599791.84704375</v>
      </c>
      <c r="J1561" s="472">
        <f t="shared" si="110"/>
        <v>295484390.32133007</v>
      </c>
      <c r="K1561" s="550">
        <f>'Sollecitazioni nel paramento'!$G$60*(sezione!$AL$33-C1561)/C1561</f>
        <v>1.4864172174152872E-3</v>
      </c>
      <c r="L1561" s="550">
        <f>'Sollecitazioni nel paramento'!$G$60*(sezione!$AM$33-C1561)/C1561</f>
        <v>3.979625826122931E-3</v>
      </c>
      <c r="M1561" s="551">
        <f>'Sollecitazioni nel paramento'!$G$60*(sezione!$AN$33-C1561)/C1561</f>
        <v>6.4728344348305746E-3</v>
      </c>
      <c r="N1561" s="551">
        <f>'Sollecitazioni nel paramento'!$G$60*(sezione!$AO$33-C1561)/C1561</f>
        <v>1.6445668869661149E-2</v>
      </c>
      <c r="O1561" s="551">
        <f>'Sollecitazioni nel paramento'!$G$60*(sezione!$AP$33-C1561)/C1561</f>
        <v>6.7587112194349458E-2</v>
      </c>
      <c r="P1561" s="545">
        <f>-'Sollecitazioni nel paramento'!$G$47*'Sollecitazioni nel paramento'!$G$41*IF(DATI!$G$211="dx",DATI!$E$61,DATI!$E$64*DATI!$E$63)*1000*C1561*sezione!$AD$5</f>
        <v>-1069621.6877665652</v>
      </c>
      <c r="Q1561" s="545">
        <f>'Foglio deposito bis'!$F$68*IF(ABS(K1561)&lt;'Sollecitazioni nel paramento'!$G$58,ABS(K1561)*'Sollecitazioni nel paramento'!$G$54,'Sollecitazioni nel paramento'!$G$53)*IF(K1561&lt;0,-1,1)</f>
        <v>0</v>
      </c>
      <c r="R1561" s="545">
        <f>'Foglio deposito bis'!$F$69*IF(ABS(L1561)&lt;'Sollecitazioni nel paramento'!$G$58,ABS(L1561)*'Sollecitazioni nel paramento'!$G$54,'Sollecitazioni nel paramento'!$G$53)*IF(L1561&lt;0,-1,1)</f>
        <v>153664.85805602249</v>
      </c>
      <c r="S1561" s="545">
        <f>'Foglio deposito bis'!$F$70*IF(ABS(M1561)&lt;'Sollecitazioni nel paramento'!$G$58,ABS(M1561)*'Sollecitazioni nel paramento'!$G$54,'Sollecitazioni nel paramento'!$G$53)*IF(M1561&lt;0,-1,1)</f>
        <v>0</v>
      </c>
      <c r="T1561" s="545">
        <f>'Foglio deposito bis'!$F$71*IF(ABS(N1561)&lt;'Sollecitazioni nel paramento'!$G$58,ABS(N1561)*'Sollecitazioni nel paramento'!$G$54,'Sollecitazioni nel paramento'!$G$53)*IF(N1561&lt;0,-1,1)</f>
        <v>314705.62929873407</v>
      </c>
      <c r="U1561" s="545">
        <f>'Foglio deposito bis'!$F$72*IF(ABS(O1561)&lt;'Sollecitazioni nel paramento'!$G$58,ABS(O1561)*'Sollecitazioni nel paramento'!$G$54,'Sollecitazioni nel paramento'!$G$53)*IF(O1561&lt;0,-1,1)</f>
        <v>491727.54577927204</v>
      </c>
      <c r="V1561" s="472">
        <f t="shared" si="112"/>
        <v>-109523.65463253664</v>
      </c>
      <c r="W1561" s="551"/>
      <c r="X1561" s="551"/>
    </row>
    <row r="1562" spans="1:24" x14ac:dyDescent="0.25">
      <c r="A1562" s="545">
        <f t="shared" si="111"/>
        <v>125253.38533498574</v>
      </c>
      <c r="B1562" s="3">
        <f t="shared" si="113"/>
        <v>3.4499999999999957</v>
      </c>
      <c r="C1562" s="545">
        <f>'Foglio deposito bis'!$E$159/sezione!$B$247*B1562</f>
        <v>28.489157111295238</v>
      </c>
      <c r="D1562" s="603">
        <f>-'Sollecitazioni nel paramento'!$G$47*'Sollecitazioni nel paramento'!$G$41*IF(DATI!$G$211="dx",DATI!$E$61,DATI!$E$64*DATI!$E$63)*1000*C1562^2*sezione!$AD$5*(1-sezione!$AD$6)</f>
        <v>-18057716.295730848</v>
      </c>
      <c r="E1562" s="545">
        <f>-'Foglio deposito bis'!$F$68*(C1562-sezione!$AL$33)*IF(ABS(K1562)&lt;'Sollecitazioni nel paramento'!$G$58,ABS(K1562)*'Sollecitazioni nel paramento'!$G$54,'Sollecitazioni nel paramento'!$G$53)</f>
        <v>0</v>
      </c>
      <c r="F1562" s="545">
        <f>-'Foglio deposito bis'!$F$69*(C1562-sezione!$AM$33)*IF(ABS(L1562)&lt;'Sollecitazioni nel paramento'!$G$58,ABS(L1562)*'Sollecitazioni nel paramento'!$G$54,'Sollecitazioni nel paramento'!$G$53)</f>
        <v>4842109.1997184427</v>
      </c>
      <c r="G1562" s="545">
        <f>-'Foglio deposito bis'!$F$70*(C1562-sezione!$AN$33)*IF(ABS(M1562)&lt;'Sollecitazioni nel paramento'!$G$58,ABS(M1562)*'Sollecitazioni nel paramento'!$G$54,'Sollecitazioni nel paramento'!$G$53)</f>
        <v>0</v>
      </c>
      <c r="H1562" s="545">
        <f>-'Foglio deposito bis'!$F$71*(C1562-sezione!$AO$33)*IF(ABS(N1562)&lt;'Sollecitazioni nel paramento'!$G$58,ABS(N1562)*'Sollecitazioni nel paramento'!$G$54,'Sollecitazioni nel paramento'!$G$53)</f>
        <v>41387202.570896782</v>
      </c>
      <c r="I1562" s="472">
        <f>-'Foglio deposito bis'!$F$72*(C1562-sezione!$AP$33)*IF(ABS(O1562)&lt;'Sollecitazioni nel paramento'!$G$58,ABS(O1562)*'Sollecitazioni nel paramento'!$G$54,'Sollecitazioni nel paramento'!$G$53)</f>
        <v>266396764.26287481</v>
      </c>
      <c r="J1562" s="472">
        <f t="shared" si="110"/>
        <v>294568359.73775917</v>
      </c>
      <c r="K1562" s="550">
        <f>'Sollecitazioni nel paramento'!$G$60*(sezione!$AL$33-C1562)/C1562</f>
        <v>1.4141503012208634E-3</v>
      </c>
      <c r="L1562" s="550">
        <f>'Sollecitazioni nel paramento'!$G$60*(sezione!$AM$33-C1562)/C1562</f>
        <v>3.8712254518312953E-3</v>
      </c>
      <c r="M1562" s="551">
        <f>'Sollecitazioni nel paramento'!$G$60*(sezione!$AN$33-C1562)/C1562</f>
        <v>6.328300602441727E-3</v>
      </c>
      <c r="N1562" s="551">
        <f>'Sollecitazioni nel paramento'!$G$60*(sezione!$AO$33-C1562)/C1562</f>
        <v>1.6156601204883454E-2</v>
      </c>
      <c r="O1562" s="551">
        <f>'Sollecitazioni nel paramento'!$G$60*(sezione!$AP$33-C1562)/C1562</f>
        <v>6.6556864191532811E-2</v>
      </c>
      <c r="P1562" s="545">
        <f>-'Sollecitazioni nel paramento'!$G$47*'Sollecitazioni nel paramento'!$G$41*IF(DATI!$G$211="dx",DATI!$E$61,DATI!$E$64*DATI!$E$63)*1000*C1562*sezione!$AD$5</f>
        <v>-1085351.4184690143</v>
      </c>
      <c r="Q1562" s="545">
        <f>'Foglio deposito bis'!$F$68*IF(ABS(K1562)&lt;'Sollecitazioni nel paramento'!$G$58,ABS(K1562)*'Sollecitazioni nel paramento'!$G$54,'Sollecitazioni nel paramento'!$G$53)*IF(K1562&lt;0,-1,1)</f>
        <v>0</v>
      </c>
      <c r="R1562" s="545">
        <f>'Foglio deposito bis'!$F$69*IF(ABS(L1562)&lt;'Sollecitazioni nel paramento'!$G$58,ABS(L1562)*'Sollecitazioni nel paramento'!$G$54,'Sollecitazioni nel paramento'!$G$53)*IF(L1562&lt;0,-1,1)</f>
        <v>153664.85805602249</v>
      </c>
      <c r="S1562" s="545">
        <f>'Foglio deposito bis'!$F$70*IF(ABS(M1562)&lt;'Sollecitazioni nel paramento'!$G$58,ABS(M1562)*'Sollecitazioni nel paramento'!$G$54,'Sollecitazioni nel paramento'!$G$53)*IF(M1562&lt;0,-1,1)</f>
        <v>0</v>
      </c>
      <c r="T1562" s="545">
        <f>'Foglio deposito bis'!$F$71*IF(ABS(N1562)&lt;'Sollecitazioni nel paramento'!$G$58,ABS(N1562)*'Sollecitazioni nel paramento'!$G$54,'Sollecitazioni nel paramento'!$G$53)*IF(N1562&lt;0,-1,1)</f>
        <v>314705.62929873407</v>
      </c>
      <c r="U1562" s="545">
        <f>'Foglio deposito bis'!$F$72*IF(ABS(O1562)&lt;'Sollecitazioni nel paramento'!$G$58,ABS(O1562)*'Sollecitazioni nel paramento'!$G$54,'Sollecitazioni nel paramento'!$G$53)*IF(O1562&lt;0,-1,1)</f>
        <v>491727.54577927204</v>
      </c>
      <c r="V1562" s="472">
        <f t="shared" si="112"/>
        <v>-125253.38533498574</v>
      </c>
      <c r="W1562" s="551"/>
      <c r="X1562" s="551"/>
    </row>
    <row r="1563" spans="1:24" x14ac:dyDescent="0.25">
      <c r="A1563" s="545">
        <f t="shared" si="111"/>
        <v>140983.11603743531</v>
      </c>
      <c r="B1563" s="3">
        <f t="shared" si="113"/>
        <v>3.4999999999999956</v>
      </c>
      <c r="C1563" s="545">
        <f>'Foglio deposito bis'!$E$159/sezione!$B$247*B1563</f>
        <v>28.902043446241546</v>
      </c>
      <c r="D1563" s="603">
        <f>-'Sollecitazioni nel paramento'!$G$47*'Sollecitazioni nel paramento'!$G$41*IF(DATI!$G$211="dx",DATI!$E$61,DATI!$E$64*DATI!$E$63)*1000*C1563^2*sezione!$AD$5*(1-sezione!$AD$6)</f>
        <v>-18584921.203335673</v>
      </c>
      <c r="E1563" s="545">
        <f>-'Foglio deposito bis'!$F$68*(C1563-sezione!$AL$33)*IF(ABS(K1563)&lt;'Sollecitazioni nel paramento'!$G$58,ABS(K1563)*'Sollecitazioni nel paramento'!$G$54,'Sollecitazioni nel paramento'!$G$53)</f>
        <v>0</v>
      </c>
      <c r="F1563" s="545">
        <f>-'Foglio deposito bis'!$F$69*(C1563-sezione!$AM$33)*IF(ABS(L1563)&lt;'Sollecitazioni nel paramento'!$G$58,ABS(L1563)*'Sollecitazioni nel paramento'!$G$54,'Sollecitazioni nel paramento'!$G$53)</f>
        <v>4778663.0796656469</v>
      </c>
      <c r="G1563" s="545">
        <f>-'Foglio deposito bis'!$F$70*(C1563-sezione!$AN$33)*IF(ABS(M1563)&lt;'Sollecitazioni nel paramento'!$G$58,ABS(M1563)*'Sollecitazioni nel paramento'!$G$54,'Sollecitazioni nel paramento'!$G$53)</f>
        <v>0</v>
      </c>
      <c r="H1563" s="545">
        <f>-'Foglio deposito bis'!$F$71*(C1563-sezione!$AO$33)*IF(ABS(N1563)&lt;'Sollecitazioni nel paramento'!$G$58,ABS(N1563)*'Sollecitazioni nel paramento'!$G$54,'Sollecitazioni nel paramento'!$G$53)</f>
        <v>41257264.917028658</v>
      </c>
      <c r="I1563" s="472">
        <f>-'Foglio deposito bis'!$F$72*(C1563-sezione!$AP$33)*IF(ABS(O1563)&lt;'Sollecitazioni nel paramento'!$G$58,ABS(O1563)*'Sollecitazioni nel paramento'!$G$54,'Sollecitazioni nel paramento'!$G$53)</f>
        <v>266193736.67870581</v>
      </c>
      <c r="J1563" s="472">
        <f t="shared" si="110"/>
        <v>293644743.47206444</v>
      </c>
      <c r="K1563" s="550">
        <f>'Sollecitazioni nel paramento'!$G$60*(sezione!$AL$33-C1563)/C1563</f>
        <v>1.3439481540605655E-3</v>
      </c>
      <c r="L1563" s="550">
        <f>'Sollecitazioni nel paramento'!$G$60*(sezione!$AM$33-C1563)/C1563</f>
        <v>3.765922231090848E-3</v>
      </c>
      <c r="M1563" s="551">
        <f>'Sollecitazioni nel paramento'!$G$60*(sezione!$AN$33-C1563)/C1563</f>
        <v>6.1878963081211311E-3</v>
      </c>
      <c r="N1563" s="551">
        <f>'Sollecitazioni nel paramento'!$G$60*(sezione!$AO$33-C1563)/C1563</f>
        <v>1.5875792616242262E-2</v>
      </c>
      <c r="O1563" s="551">
        <f>'Sollecitazioni nel paramento'!$G$60*(sezione!$AP$33-C1563)/C1563</f>
        <v>6.5556051845939475E-2</v>
      </c>
      <c r="P1563" s="545">
        <f>-'Sollecitazioni nel paramento'!$G$47*'Sollecitazioni nel paramento'!$G$41*IF(DATI!$G$211="dx",DATI!$E$61,DATI!$E$64*DATI!$E$63)*1000*C1563*sezione!$AD$5</f>
        <v>-1101081.1491714639</v>
      </c>
      <c r="Q1563" s="545">
        <f>'Foglio deposito bis'!$F$68*IF(ABS(K1563)&lt;'Sollecitazioni nel paramento'!$G$58,ABS(K1563)*'Sollecitazioni nel paramento'!$G$54,'Sollecitazioni nel paramento'!$G$53)*IF(K1563&lt;0,-1,1)</f>
        <v>0</v>
      </c>
      <c r="R1563" s="545">
        <f>'Foglio deposito bis'!$F$69*IF(ABS(L1563)&lt;'Sollecitazioni nel paramento'!$G$58,ABS(L1563)*'Sollecitazioni nel paramento'!$G$54,'Sollecitazioni nel paramento'!$G$53)*IF(L1563&lt;0,-1,1)</f>
        <v>153664.85805602249</v>
      </c>
      <c r="S1563" s="545">
        <f>'Foglio deposito bis'!$F$70*IF(ABS(M1563)&lt;'Sollecitazioni nel paramento'!$G$58,ABS(M1563)*'Sollecitazioni nel paramento'!$G$54,'Sollecitazioni nel paramento'!$G$53)*IF(M1563&lt;0,-1,1)</f>
        <v>0</v>
      </c>
      <c r="T1563" s="545">
        <f>'Foglio deposito bis'!$F$71*IF(ABS(N1563)&lt;'Sollecitazioni nel paramento'!$G$58,ABS(N1563)*'Sollecitazioni nel paramento'!$G$54,'Sollecitazioni nel paramento'!$G$53)*IF(N1563&lt;0,-1,1)</f>
        <v>314705.62929873407</v>
      </c>
      <c r="U1563" s="545">
        <f>'Foglio deposito bis'!$F$72*IF(ABS(O1563)&lt;'Sollecitazioni nel paramento'!$G$58,ABS(O1563)*'Sollecitazioni nel paramento'!$G$54,'Sollecitazioni nel paramento'!$G$53)*IF(O1563&lt;0,-1,1)</f>
        <v>491727.54577927204</v>
      </c>
      <c r="V1563" s="472">
        <f t="shared" si="112"/>
        <v>-140983.11603743531</v>
      </c>
      <c r="W1563" s="551"/>
      <c r="X1563" s="551"/>
    </row>
    <row r="1564" spans="1:24" x14ac:dyDescent="0.25">
      <c r="A1564" s="545">
        <f t="shared" si="111"/>
        <v>156712.84673988487</v>
      </c>
      <c r="B1564" s="3">
        <f t="shared" si="113"/>
        <v>3.5499999999999954</v>
      </c>
      <c r="C1564" s="545">
        <f>'Foglio deposito bis'!$E$159/sezione!$B$247*B1564</f>
        <v>29.314929781187853</v>
      </c>
      <c r="D1564" s="603">
        <f>-'Sollecitazioni nel paramento'!$G$47*'Sollecitazioni nel paramento'!$G$41*IF(DATI!$G$211="dx",DATI!$E$61,DATI!$E$64*DATI!$E$63)*1000*C1564^2*sezione!$AD$5*(1-sezione!$AD$6)</f>
        <v>-19119711.793064311</v>
      </c>
      <c r="E1564" s="545">
        <f>-'Foglio deposito bis'!$F$68*(C1564-sezione!$AL$33)*IF(ABS(K1564)&lt;'Sollecitazioni nel paramento'!$G$58,ABS(K1564)*'Sollecitazioni nel paramento'!$G$54,'Sollecitazioni nel paramento'!$G$53)</f>
        <v>0</v>
      </c>
      <c r="F1564" s="545">
        <f>-'Foglio deposito bis'!$F$69*(C1564-sezione!$AM$33)*IF(ABS(L1564)&lt;'Sollecitazioni nel paramento'!$G$58,ABS(L1564)*'Sollecitazioni nel paramento'!$G$54,'Sollecitazioni nel paramento'!$G$53)</f>
        <v>4715216.959612852</v>
      </c>
      <c r="G1564" s="545">
        <f>-'Foglio deposito bis'!$F$70*(C1564-sezione!$AN$33)*IF(ABS(M1564)&lt;'Sollecitazioni nel paramento'!$G$58,ABS(M1564)*'Sollecitazioni nel paramento'!$G$54,'Sollecitazioni nel paramento'!$G$53)</f>
        <v>0</v>
      </c>
      <c r="H1564" s="545">
        <f>-'Foglio deposito bis'!$F$71*(C1564-sezione!$AO$33)*IF(ABS(N1564)&lt;'Sollecitazioni nel paramento'!$G$58,ABS(N1564)*'Sollecitazioni nel paramento'!$G$54,'Sollecitazioni nel paramento'!$G$53)</f>
        <v>41127327.263160527</v>
      </c>
      <c r="I1564" s="472">
        <f>-'Foglio deposito bis'!$F$72*(C1564-sezione!$AP$33)*IF(ABS(O1564)&lt;'Sollecitazioni nel paramento'!$G$58,ABS(O1564)*'Sollecitazioni nel paramento'!$G$54,'Sollecitazioni nel paramento'!$G$53)</f>
        <v>265990709.0945369</v>
      </c>
      <c r="J1564" s="472">
        <f t="shared" si="110"/>
        <v>292713541.52424598</v>
      </c>
      <c r="K1564" s="550">
        <f>'Sollecitazioni nel paramento'!$G$60*(sezione!$AL$33-C1564)/C1564</f>
        <v>1.2757235321723887E-3</v>
      </c>
      <c r="L1564" s="550">
        <f>'Sollecitazioni nel paramento'!$G$60*(sezione!$AM$33-C1564)/C1564</f>
        <v>3.6635852982585828E-3</v>
      </c>
      <c r="M1564" s="551">
        <f>'Sollecitazioni nel paramento'!$G$60*(sezione!$AN$33-C1564)/C1564</f>
        <v>6.0514470643447766E-3</v>
      </c>
      <c r="N1564" s="551">
        <f>'Sollecitazioni nel paramento'!$G$60*(sezione!$AO$33-C1564)/C1564</f>
        <v>1.5602894128689555E-2</v>
      </c>
      <c r="O1564" s="551">
        <f>'Sollecitazioni nel paramento'!$G$60*(sezione!$AP$33-C1564)/C1564</f>
        <v>6.4583431397405119E-2</v>
      </c>
      <c r="P1564" s="545">
        <f>-'Sollecitazioni nel paramento'!$G$47*'Sollecitazioni nel paramento'!$G$41*IF(DATI!$G$211="dx",DATI!$E$61,DATI!$E$64*DATI!$E$63)*1000*C1564*sezione!$AD$5</f>
        <v>-1116810.8798739135</v>
      </c>
      <c r="Q1564" s="545">
        <f>'Foglio deposito bis'!$F$68*IF(ABS(K1564)&lt;'Sollecitazioni nel paramento'!$G$58,ABS(K1564)*'Sollecitazioni nel paramento'!$G$54,'Sollecitazioni nel paramento'!$G$53)*IF(K1564&lt;0,-1,1)</f>
        <v>0</v>
      </c>
      <c r="R1564" s="545">
        <f>'Foglio deposito bis'!$F$69*IF(ABS(L1564)&lt;'Sollecitazioni nel paramento'!$G$58,ABS(L1564)*'Sollecitazioni nel paramento'!$G$54,'Sollecitazioni nel paramento'!$G$53)*IF(L1564&lt;0,-1,1)</f>
        <v>153664.85805602249</v>
      </c>
      <c r="S1564" s="545">
        <f>'Foglio deposito bis'!$F$70*IF(ABS(M1564)&lt;'Sollecitazioni nel paramento'!$G$58,ABS(M1564)*'Sollecitazioni nel paramento'!$G$54,'Sollecitazioni nel paramento'!$G$53)*IF(M1564&lt;0,-1,1)</f>
        <v>0</v>
      </c>
      <c r="T1564" s="545">
        <f>'Foglio deposito bis'!$F$71*IF(ABS(N1564)&lt;'Sollecitazioni nel paramento'!$G$58,ABS(N1564)*'Sollecitazioni nel paramento'!$G$54,'Sollecitazioni nel paramento'!$G$53)*IF(N1564&lt;0,-1,1)</f>
        <v>314705.62929873407</v>
      </c>
      <c r="U1564" s="545">
        <f>'Foglio deposito bis'!$F$72*IF(ABS(O1564)&lt;'Sollecitazioni nel paramento'!$G$58,ABS(O1564)*'Sollecitazioni nel paramento'!$G$54,'Sollecitazioni nel paramento'!$G$53)*IF(O1564&lt;0,-1,1)</f>
        <v>491727.54577927204</v>
      </c>
      <c r="V1564" s="472">
        <f t="shared" si="112"/>
        <v>-156712.84673988487</v>
      </c>
      <c r="W1564" s="551"/>
      <c r="X1564" s="551"/>
    </row>
    <row r="1565" spans="1:24" x14ac:dyDescent="0.25">
      <c r="A1565" s="545">
        <f t="shared" si="111"/>
        <v>172442.57744233444</v>
      </c>
      <c r="B1565" s="3">
        <f t="shared" si="113"/>
        <v>3.5999999999999952</v>
      </c>
      <c r="C1565" s="545">
        <f>'Foglio deposito bis'!$E$159/sezione!$B$247*B1565</f>
        <v>29.727816116134161</v>
      </c>
      <c r="D1565" s="603">
        <f>-'Sollecitazioni nel paramento'!$G$47*'Sollecitazioni nel paramento'!$G$41*IF(DATI!$G$211="dx",DATI!$E$61,DATI!$E$64*DATI!$E$63)*1000*C1565^2*sezione!$AD$5*(1-sezione!$AD$6)</f>
        <v>-19662088.06491676</v>
      </c>
      <c r="E1565" s="545">
        <f>-'Foglio deposito bis'!$F$68*(C1565-sezione!$AL$33)*IF(ABS(K1565)&lt;'Sollecitazioni nel paramento'!$G$58,ABS(K1565)*'Sollecitazioni nel paramento'!$G$54,'Sollecitazioni nel paramento'!$G$53)</f>
        <v>0</v>
      </c>
      <c r="F1565" s="545">
        <f>-'Foglio deposito bis'!$F$69*(C1565-sezione!$AM$33)*IF(ABS(L1565)&lt;'Sollecitazioni nel paramento'!$G$58,ABS(L1565)*'Sollecitazioni nel paramento'!$G$54,'Sollecitazioni nel paramento'!$G$53)</f>
        <v>4651770.8395600561</v>
      </c>
      <c r="G1565" s="545">
        <f>-'Foglio deposito bis'!$F$70*(C1565-sezione!$AN$33)*IF(ABS(M1565)&lt;'Sollecitazioni nel paramento'!$G$58,ABS(M1565)*'Sollecitazioni nel paramento'!$G$54,'Sollecitazioni nel paramento'!$G$53)</f>
        <v>0</v>
      </c>
      <c r="H1565" s="545">
        <f>-'Foglio deposito bis'!$F$71*(C1565-sezione!$AO$33)*IF(ABS(N1565)&lt;'Sollecitazioni nel paramento'!$G$58,ABS(N1565)*'Sollecitazioni nel paramento'!$G$54,'Sollecitazioni nel paramento'!$G$53)</f>
        <v>40997389.609292403</v>
      </c>
      <c r="I1565" s="472">
        <f>-'Foglio deposito bis'!$F$72*(C1565-sezione!$AP$33)*IF(ABS(O1565)&lt;'Sollecitazioni nel paramento'!$G$58,ABS(O1565)*'Sollecitazioni nel paramento'!$G$54,'Sollecitazioni nel paramento'!$G$53)</f>
        <v>265787681.51036796</v>
      </c>
      <c r="J1565" s="472">
        <f t="shared" si="110"/>
        <v>291774753.89430368</v>
      </c>
      <c r="K1565" s="550">
        <f>'Sollecitazioni nel paramento'!$G$60*(sezione!$AL$33-C1565)/C1565</f>
        <v>1.2093940386699944E-3</v>
      </c>
      <c r="L1565" s="550">
        <f>'Sollecitazioni nel paramento'!$G$60*(sezione!$AM$33-C1565)/C1565</f>
        <v>3.5640910580049916E-3</v>
      </c>
      <c r="M1565" s="551">
        <f>'Sollecitazioni nel paramento'!$G$60*(sezione!$AN$33-C1565)/C1565</f>
        <v>5.9187880773399889E-3</v>
      </c>
      <c r="N1565" s="551">
        <f>'Sollecitazioni nel paramento'!$G$60*(sezione!$AO$33-C1565)/C1565</f>
        <v>1.5337576154679977E-2</v>
      </c>
      <c r="O1565" s="551">
        <f>'Sollecitazioni nel paramento'!$G$60*(sezione!$AP$33-C1565)/C1565</f>
        <v>6.3637828183552278E-2</v>
      </c>
      <c r="P1565" s="545">
        <f>-'Sollecitazioni nel paramento'!$G$47*'Sollecitazioni nel paramento'!$G$41*IF(DATI!$G$211="dx",DATI!$E$61,DATI!$E$64*DATI!$E$63)*1000*C1565*sezione!$AD$5</f>
        <v>-1132540.610576363</v>
      </c>
      <c r="Q1565" s="545">
        <f>'Foglio deposito bis'!$F$68*IF(ABS(K1565)&lt;'Sollecitazioni nel paramento'!$G$58,ABS(K1565)*'Sollecitazioni nel paramento'!$G$54,'Sollecitazioni nel paramento'!$G$53)*IF(K1565&lt;0,-1,1)</f>
        <v>0</v>
      </c>
      <c r="R1565" s="545">
        <f>'Foglio deposito bis'!$F$69*IF(ABS(L1565)&lt;'Sollecitazioni nel paramento'!$G$58,ABS(L1565)*'Sollecitazioni nel paramento'!$G$54,'Sollecitazioni nel paramento'!$G$53)*IF(L1565&lt;0,-1,1)</f>
        <v>153664.85805602249</v>
      </c>
      <c r="S1565" s="545">
        <f>'Foglio deposito bis'!$F$70*IF(ABS(M1565)&lt;'Sollecitazioni nel paramento'!$G$58,ABS(M1565)*'Sollecitazioni nel paramento'!$G$54,'Sollecitazioni nel paramento'!$G$53)*IF(M1565&lt;0,-1,1)</f>
        <v>0</v>
      </c>
      <c r="T1565" s="545">
        <f>'Foglio deposito bis'!$F$71*IF(ABS(N1565)&lt;'Sollecitazioni nel paramento'!$G$58,ABS(N1565)*'Sollecitazioni nel paramento'!$G$54,'Sollecitazioni nel paramento'!$G$53)*IF(N1565&lt;0,-1,1)</f>
        <v>314705.62929873407</v>
      </c>
      <c r="U1565" s="545">
        <f>'Foglio deposito bis'!$F$72*IF(ABS(O1565)&lt;'Sollecitazioni nel paramento'!$G$58,ABS(O1565)*'Sollecitazioni nel paramento'!$G$54,'Sollecitazioni nel paramento'!$G$53)*IF(O1565&lt;0,-1,1)</f>
        <v>491727.54577927204</v>
      </c>
      <c r="V1565" s="472">
        <f t="shared" si="112"/>
        <v>-172442.57744233444</v>
      </c>
      <c r="W1565" s="551"/>
      <c r="X1565" s="551"/>
    </row>
    <row r="1566" spans="1:24" x14ac:dyDescent="0.25">
      <c r="A1566" s="545">
        <f t="shared" si="111"/>
        <v>188172.30814478378</v>
      </c>
      <c r="B1566" s="3">
        <f t="shared" si="113"/>
        <v>3.649999999999995</v>
      </c>
      <c r="C1566" s="545">
        <f>'Foglio deposito bis'!$E$159/sezione!$B$247*B1566</f>
        <v>30.140702451080468</v>
      </c>
      <c r="D1566" s="603">
        <f>-'Sollecitazioni nel paramento'!$G$47*'Sollecitazioni nel paramento'!$G$41*IF(DATI!$G$211="dx",DATI!$E$61,DATI!$E$64*DATI!$E$63)*1000*C1566^2*sezione!$AD$5*(1-sezione!$AD$6)</f>
        <v>-20212050.018893018</v>
      </c>
      <c r="E1566" s="545">
        <f>-'Foglio deposito bis'!$F$68*(C1566-sezione!$AL$33)*IF(ABS(K1566)&lt;'Sollecitazioni nel paramento'!$G$58,ABS(K1566)*'Sollecitazioni nel paramento'!$G$54,'Sollecitazioni nel paramento'!$G$53)</f>
        <v>0</v>
      </c>
      <c r="F1566" s="545">
        <f>-'Foglio deposito bis'!$F$69*(C1566-sezione!$AM$33)*IF(ABS(L1566)&lt;'Sollecitazioni nel paramento'!$G$58,ABS(L1566)*'Sollecitazioni nel paramento'!$G$54,'Sollecitazioni nel paramento'!$G$53)</f>
        <v>4588324.7195072602</v>
      </c>
      <c r="G1566" s="545">
        <f>-'Foglio deposito bis'!$F$70*(C1566-sezione!$AN$33)*IF(ABS(M1566)&lt;'Sollecitazioni nel paramento'!$G$58,ABS(M1566)*'Sollecitazioni nel paramento'!$G$54,'Sollecitazioni nel paramento'!$G$53)</f>
        <v>0</v>
      </c>
      <c r="H1566" s="545">
        <f>-'Foglio deposito bis'!$F$71*(C1566-sezione!$AO$33)*IF(ABS(N1566)&lt;'Sollecitazioni nel paramento'!$G$58,ABS(N1566)*'Sollecitazioni nel paramento'!$G$54,'Sollecitazioni nel paramento'!$G$53)</f>
        <v>40867451.955424279</v>
      </c>
      <c r="I1566" s="472">
        <f>-'Foglio deposito bis'!$F$72*(C1566-sezione!$AP$33)*IF(ABS(O1566)&lt;'Sollecitazioni nel paramento'!$G$58,ABS(O1566)*'Sollecitazioni nel paramento'!$G$54,'Sollecitazioni nel paramento'!$G$53)</f>
        <v>265584653.92619902</v>
      </c>
      <c r="J1566" s="472">
        <f t="shared" si="110"/>
        <v>290828380.58223754</v>
      </c>
      <c r="K1566" s="550">
        <f>'Sollecitazioni nel paramento'!$G$60*(sezione!$AL$33-C1566)/C1566</f>
        <v>1.144881791564926E-3</v>
      </c>
      <c r="L1566" s="550">
        <f>'Sollecitazioni nel paramento'!$G$60*(sezione!$AM$33-C1566)/C1566</f>
        <v>3.4673226873473888E-3</v>
      </c>
      <c r="M1566" s="551">
        <f>'Sollecitazioni nel paramento'!$G$60*(sezione!$AN$33-C1566)/C1566</f>
        <v>5.7897635831298516E-3</v>
      </c>
      <c r="N1566" s="551">
        <f>'Sollecitazioni nel paramento'!$G$60*(sezione!$AO$33-C1566)/C1566</f>
        <v>1.5079527166259703E-2</v>
      </c>
      <c r="O1566" s="551">
        <f>'Sollecitazioni nel paramento'!$G$60*(sezione!$AP$33-C1566)/C1566</f>
        <v>6.2718131907065253E-2</v>
      </c>
      <c r="P1566" s="545">
        <f>-'Sollecitazioni nel paramento'!$G$47*'Sollecitazioni nel paramento'!$G$41*IF(DATI!$G$211="dx",DATI!$E$61,DATI!$E$64*DATI!$E$63)*1000*C1566*sezione!$AD$5</f>
        <v>-1148270.3412788124</v>
      </c>
      <c r="Q1566" s="545">
        <f>'Foglio deposito bis'!$F$68*IF(ABS(K1566)&lt;'Sollecitazioni nel paramento'!$G$58,ABS(K1566)*'Sollecitazioni nel paramento'!$G$54,'Sollecitazioni nel paramento'!$G$53)*IF(K1566&lt;0,-1,1)</f>
        <v>0</v>
      </c>
      <c r="R1566" s="545">
        <f>'Foglio deposito bis'!$F$69*IF(ABS(L1566)&lt;'Sollecitazioni nel paramento'!$G$58,ABS(L1566)*'Sollecitazioni nel paramento'!$G$54,'Sollecitazioni nel paramento'!$G$53)*IF(L1566&lt;0,-1,1)</f>
        <v>153664.85805602249</v>
      </c>
      <c r="S1566" s="545">
        <f>'Foglio deposito bis'!$F$70*IF(ABS(M1566)&lt;'Sollecitazioni nel paramento'!$G$58,ABS(M1566)*'Sollecitazioni nel paramento'!$G$54,'Sollecitazioni nel paramento'!$G$53)*IF(M1566&lt;0,-1,1)</f>
        <v>0</v>
      </c>
      <c r="T1566" s="545">
        <f>'Foglio deposito bis'!$F$71*IF(ABS(N1566)&lt;'Sollecitazioni nel paramento'!$G$58,ABS(N1566)*'Sollecitazioni nel paramento'!$G$54,'Sollecitazioni nel paramento'!$G$53)*IF(N1566&lt;0,-1,1)</f>
        <v>314705.62929873407</v>
      </c>
      <c r="U1566" s="545">
        <f>'Foglio deposito bis'!$F$72*IF(ABS(O1566)&lt;'Sollecitazioni nel paramento'!$G$58,ABS(O1566)*'Sollecitazioni nel paramento'!$G$54,'Sollecitazioni nel paramento'!$G$53)*IF(O1566&lt;0,-1,1)</f>
        <v>491727.54577927204</v>
      </c>
      <c r="V1566" s="472">
        <f t="shared" si="112"/>
        <v>-188172.30814478378</v>
      </c>
      <c r="W1566" s="551"/>
      <c r="X1566" s="551"/>
    </row>
    <row r="1567" spans="1:24" x14ac:dyDescent="0.25">
      <c r="A1567" s="545">
        <f t="shared" si="111"/>
        <v>203902.03884723311</v>
      </c>
      <c r="B1567" s="3">
        <f t="shared" si="113"/>
        <v>3.6999999999999948</v>
      </c>
      <c r="C1567" s="545">
        <f>'Foglio deposito bis'!$E$159/sezione!$B$247*B1567</f>
        <v>30.553588786026776</v>
      </c>
      <c r="D1567" s="603">
        <f>-'Sollecitazioni nel paramento'!$G$47*'Sollecitazioni nel paramento'!$G$41*IF(DATI!$G$211="dx",DATI!$E$61,DATI!$E$64*DATI!$E$63)*1000*C1567^2*sezione!$AD$5*(1-sezione!$AD$6)</f>
        <v>-20769597.654993091</v>
      </c>
      <c r="E1567" s="545">
        <f>-'Foglio deposito bis'!$F$68*(C1567-sezione!$AL$33)*IF(ABS(K1567)&lt;'Sollecitazioni nel paramento'!$G$58,ABS(K1567)*'Sollecitazioni nel paramento'!$G$54,'Sollecitazioni nel paramento'!$G$53)</f>
        <v>0</v>
      </c>
      <c r="F1567" s="545">
        <f>-'Foglio deposito bis'!$F$69*(C1567-sezione!$AM$33)*IF(ABS(L1567)&lt;'Sollecitazioni nel paramento'!$G$58,ABS(L1567)*'Sollecitazioni nel paramento'!$G$54,'Sollecitazioni nel paramento'!$G$53)</f>
        <v>4524878.5994544644</v>
      </c>
      <c r="G1567" s="545">
        <f>-'Foglio deposito bis'!$F$70*(C1567-sezione!$AN$33)*IF(ABS(M1567)&lt;'Sollecitazioni nel paramento'!$G$58,ABS(M1567)*'Sollecitazioni nel paramento'!$G$54,'Sollecitazioni nel paramento'!$G$53)</f>
        <v>0</v>
      </c>
      <c r="H1567" s="545">
        <f>-'Foglio deposito bis'!$F$71*(C1567-sezione!$AO$33)*IF(ABS(N1567)&lt;'Sollecitazioni nel paramento'!$G$58,ABS(N1567)*'Sollecitazioni nel paramento'!$G$54,'Sollecitazioni nel paramento'!$G$53)</f>
        <v>40737514.301556148</v>
      </c>
      <c r="I1567" s="472">
        <f>-'Foglio deposito bis'!$F$72*(C1567-sezione!$AP$33)*IF(ABS(O1567)&lt;'Sollecitazioni nel paramento'!$G$58,ABS(O1567)*'Sollecitazioni nel paramento'!$G$54,'Sollecitazioni nel paramento'!$G$53)</f>
        <v>265381626.34203002</v>
      </c>
      <c r="J1567" s="472">
        <f t="shared" si="110"/>
        <v>289874421.58804756</v>
      </c>
      <c r="K1567" s="550">
        <f>'Sollecitazioni nel paramento'!$G$60*(sezione!$AL$33-C1567)/C1567</f>
        <v>1.0821131187059405E-3</v>
      </c>
      <c r="L1567" s="550">
        <f>'Sollecitazioni nel paramento'!$G$60*(sezione!$AM$33-C1567)/C1567</f>
        <v>3.3731696780589107E-3</v>
      </c>
      <c r="M1567" s="551">
        <f>'Sollecitazioni nel paramento'!$G$60*(sezione!$AN$33-C1567)/C1567</f>
        <v>5.6642262374118806E-3</v>
      </c>
      <c r="N1567" s="551">
        <f>'Sollecitazioni nel paramento'!$G$60*(sezione!$AO$33-C1567)/C1567</f>
        <v>1.4828452474823761E-2</v>
      </c>
      <c r="O1567" s="551">
        <f>'Sollecitazioni nel paramento'!$G$60*(sezione!$AP$33-C1567)/C1567</f>
        <v>6.1823292286699499E-2</v>
      </c>
      <c r="P1567" s="545">
        <f>-'Sollecitazioni nel paramento'!$G$47*'Sollecitazioni nel paramento'!$G$41*IF(DATI!$G$211="dx",DATI!$E$61,DATI!$E$64*DATI!$E$63)*1000*C1567*sezione!$AD$5</f>
        <v>-1164000.0719812617</v>
      </c>
      <c r="Q1567" s="545">
        <f>'Foglio deposito bis'!$F$68*IF(ABS(K1567)&lt;'Sollecitazioni nel paramento'!$G$58,ABS(K1567)*'Sollecitazioni nel paramento'!$G$54,'Sollecitazioni nel paramento'!$G$53)*IF(K1567&lt;0,-1,1)</f>
        <v>0</v>
      </c>
      <c r="R1567" s="545">
        <f>'Foglio deposito bis'!$F$69*IF(ABS(L1567)&lt;'Sollecitazioni nel paramento'!$G$58,ABS(L1567)*'Sollecitazioni nel paramento'!$G$54,'Sollecitazioni nel paramento'!$G$53)*IF(L1567&lt;0,-1,1)</f>
        <v>153664.85805602249</v>
      </c>
      <c r="S1567" s="545">
        <f>'Foglio deposito bis'!$F$70*IF(ABS(M1567)&lt;'Sollecitazioni nel paramento'!$G$58,ABS(M1567)*'Sollecitazioni nel paramento'!$G$54,'Sollecitazioni nel paramento'!$G$53)*IF(M1567&lt;0,-1,1)</f>
        <v>0</v>
      </c>
      <c r="T1567" s="545">
        <f>'Foglio deposito bis'!$F$71*IF(ABS(N1567)&lt;'Sollecitazioni nel paramento'!$G$58,ABS(N1567)*'Sollecitazioni nel paramento'!$G$54,'Sollecitazioni nel paramento'!$G$53)*IF(N1567&lt;0,-1,1)</f>
        <v>314705.62929873407</v>
      </c>
      <c r="U1567" s="545">
        <f>'Foglio deposito bis'!$F$72*IF(ABS(O1567)&lt;'Sollecitazioni nel paramento'!$G$58,ABS(O1567)*'Sollecitazioni nel paramento'!$G$54,'Sollecitazioni nel paramento'!$G$53)*IF(O1567&lt;0,-1,1)</f>
        <v>491727.54577927204</v>
      </c>
      <c r="V1567" s="472">
        <f t="shared" si="112"/>
        <v>-203902.03884723311</v>
      </c>
      <c r="W1567" s="551"/>
      <c r="X1567" s="551"/>
    </row>
    <row r="1568" spans="1:24" x14ac:dyDescent="0.25">
      <c r="A1568" s="545">
        <f t="shared" si="111"/>
        <v>219631.76954968268</v>
      </c>
      <c r="B1568" s="3">
        <f t="shared" si="113"/>
        <v>3.7499999999999947</v>
      </c>
      <c r="C1568" s="545">
        <f>'Foglio deposito bis'!$E$159/sezione!$B$247*B1568</f>
        <v>30.96647512097308</v>
      </c>
      <c r="D1568" s="603">
        <f>-'Sollecitazioni nel paramento'!$G$47*'Sollecitazioni nel paramento'!$G$41*IF(DATI!$G$211="dx",DATI!$E$61,DATI!$E$64*DATI!$E$63)*1000*C1568^2*sezione!$AD$5*(1-sezione!$AD$6)</f>
        <v>-21334730.97321697</v>
      </c>
      <c r="E1568" s="545">
        <f>-'Foglio deposito bis'!$F$68*(C1568-sezione!$AL$33)*IF(ABS(K1568)&lt;'Sollecitazioni nel paramento'!$G$58,ABS(K1568)*'Sollecitazioni nel paramento'!$G$54,'Sollecitazioni nel paramento'!$G$53)</f>
        <v>0</v>
      </c>
      <c r="F1568" s="545">
        <f>-'Foglio deposito bis'!$F$69*(C1568-sezione!$AM$33)*IF(ABS(L1568)&lt;'Sollecitazioni nel paramento'!$G$58,ABS(L1568)*'Sollecitazioni nel paramento'!$G$54,'Sollecitazioni nel paramento'!$G$53)</f>
        <v>4461432.4794016695</v>
      </c>
      <c r="G1568" s="545">
        <f>-'Foglio deposito bis'!$F$70*(C1568-sezione!$AN$33)*IF(ABS(M1568)&lt;'Sollecitazioni nel paramento'!$G$58,ABS(M1568)*'Sollecitazioni nel paramento'!$G$54,'Sollecitazioni nel paramento'!$G$53)</f>
        <v>0</v>
      </c>
      <c r="H1568" s="545">
        <f>-'Foglio deposito bis'!$F$71*(C1568-sezione!$AO$33)*IF(ABS(N1568)&lt;'Sollecitazioni nel paramento'!$G$58,ABS(N1568)*'Sollecitazioni nel paramento'!$G$54,'Sollecitazioni nel paramento'!$G$53)</f>
        <v>40607576.647688024</v>
      </c>
      <c r="I1568" s="472">
        <f>-'Foglio deposito bis'!$F$72*(C1568-sezione!$AP$33)*IF(ABS(O1568)&lt;'Sollecitazioni nel paramento'!$G$58,ABS(O1568)*'Sollecitazioni nel paramento'!$G$54,'Sollecitazioni nel paramento'!$G$53)</f>
        <v>265178598.75786111</v>
      </c>
      <c r="J1568" s="472">
        <f t="shared" si="110"/>
        <v>288912876.91173381</v>
      </c>
      <c r="K1568" s="550">
        <f>'Sollecitazioni nel paramento'!$G$60*(sezione!$AL$33-C1568)/C1568</f>
        <v>1.0210182771231951E-3</v>
      </c>
      <c r="L1568" s="550">
        <f>'Sollecitazioni nel paramento'!$G$60*(sezione!$AM$33-C1568)/C1568</f>
        <v>3.2815274156847928E-3</v>
      </c>
      <c r="M1568" s="551">
        <f>'Sollecitazioni nel paramento'!$G$60*(sezione!$AN$33-C1568)/C1568</f>
        <v>5.5420365542463903E-3</v>
      </c>
      <c r="N1568" s="551">
        <f>'Sollecitazioni nel paramento'!$G$60*(sezione!$AO$33-C1568)/C1568</f>
        <v>1.458407310849278E-2</v>
      </c>
      <c r="O1568" s="551">
        <f>'Sollecitazioni nel paramento'!$G$60*(sezione!$AP$33-C1568)/C1568</f>
        <v>6.0952315056210189E-2</v>
      </c>
      <c r="P1568" s="545">
        <f>-'Sollecitazioni nel paramento'!$G$47*'Sollecitazioni nel paramento'!$G$41*IF(DATI!$G$211="dx",DATI!$E$61,DATI!$E$64*DATI!$E$63)*1000*C1568*sezione!$AD$5</f>
        <v>-1179729.8026837113</v>
      </c>
      <c r="Q1568" s="545">
        <f>'Foglio deposito bis'!$F$68*IF(ABS(K1568)&lt;'Sollecitazioni nel paramento'!$G$58,ABS(K1568)*'Sollecitazioni nel paramento'!$G$54,'Sollecitazioni nel paramento'!$G$53)*IF(K1568&lt;0,-1,1)</f>
        <v>0</v>
      </c>
      <c r="R1568" s="545">
        <f>'Foglio deposito bis'!$F$69*IF(ABS(L1568)&lt;'Sollecitazioni nel paramento'!$G$58,ABS(L1568)*'Sollecitazioni nel paramento'!$G$54,'Sollecitazioni nel paramento'!$G$53)*IF(L1568&lt;0,-1,1)</f>
        <v>153664.85805602249</v>
      </c>
      <c r="S1568" s="545">
        <f>'Foglio deposito bis'!$F$70*IF(ABS(M1568)&lt;'Sollecitazioni nel paramento'!$G$58,ABS(M1568)*'Sollecitazioni nel paramento'!$G$54,'Sollecitazioni nel paramento'!$G$53)*IF(M1568&lt;0,-1,1)</f>
        <v>0</v>
      </c>
      <c r="T1568" s="545">
        <f>'Foglio deposito bis'!$F$71*IF(ABS(N1568)&lt;'Sollecitazioni nel paramento'!$G$58,ABS(N1568)*'Sollecitazioni nel paramento'!$G$54,'Sollecitazioni nel paramento'!$G$53)*IF(N1568&lt;0,-1,1)</f>
        <v>314705.62929873407</v>
      </c>
      <c r="U1568" s="545">
        <f>'Foglio deposito bis'!$F$72*IF(ABS(O1568)&lt;'Sollecitazioni nel paramento'!$G$58,ABS(O1568)*'Sollecitazioni nel paramento'!$G$54,'Sollecitazioni nel paramento'!$G$53)*IF(O1568&lt;0,-1,1)</f>
        <v>491727.54577927204</v>
      </c>
      <c r="V1568" s="472">
        <f t="shared" si="112"/>
        <v>-219631.76954968268</v>
      </c>
      <c r="W1568" s="551"/>
      <c r="X1568" s="551"/>
    </row>
    <row r="1569" spans="1:24" x14ac:dyDescent="0.25">
      <c r="A1569" s="545">
        <f t="shared" si="111"/>
        <v>235361.50025213201</v>
      </c>
      <c r="B1569" s="3">
        <f t="shared" si="113"/>
        <v>3.7999999999999945</v>
      </c>
      <c r="C1569" s="545">
        <f>'Foglio deposito bis'!$E$159/sezione!$B$247*B1569</f>
        <v>31.379361455919387</v>
      </c>
      <c r="D1569" s="603">
        <f>-'Sollecitazioni nel paramento'!$G$47*'Sollecitazioni nel paramento'!$G$41*IF(DATI!$G$211="dx",DATI!$E$61,DATI!$E$64*DATI!$E$63)*1000*C1569^2*sezione!$AD$5*(1-sezione!$AD$6)</f>
        <v>-21907449.973564658</v>
      </c>
      <c r="E1569" s="545">
        <f>-'Foglio deposito bis'!$F$68*(C1569-sezione!$AL$33)*IF(ABS(K1569)&lt;'Sollecitazioni nel paramento'!$G$58,ABS(K1569)*'Sollecitazioni nel paramento'!$G$54,'Sollecitazioni nel paramento'!$G$53)</f>
        <v>0</v>
      </c>
      <c r="F1569" s="545">
        <f>-'Foglio deposito bis'!$F$69*(C1569-sezione!$AM$33)*IF(ABS(L1569)&lt;'Sollecitazioni nel paramento'!$G$58,ABS(L1569)*'Sollecitazioni nel paramento'!$G$54,'Sollecitazioni nel paramento'!$G$53)</f>
        <v>4397986.3593488736</v>
      </c>
      <c r="G1569" s="545">
        <f>-'Foglio deposito bis'!$F$70*(C1569-sezione!$AN$33)*IF(ABS(M1569)&lt;'Sollecitazioni nel paramento'!$G$58,ABS(M1569)*'Sollecitazioni nel paramento'!$G$54,'Sollecitazioni nel paramento'!$G$53)</f>
        <v>0</v>
      </c>
      <c r="H1569" s="545">
        <f>-'Foglio deposito bis'!$F$71*(C1569-sezione!$AO$33)*IF(ABS(N1569)&lt;'Sollecitazioni nel paramento'!$G$58,ABS(N1569)*'Sollecitazioni nel paramento'!$G$54,'Sollecitazioni nel paramento'!$G$53)</f>
        <v>40477638.9938199</v>
      </c>
      <c r="I1569" s="472">
        <f>-'Foglio deposito bis'!$F$72*(C1569-sezione!$AP$33)*IF(ABS(O1569)&lt;'Sollecitazioni nel paramento'!$G$58,ABS(O1569)*'Sollecitazioni nel paramento'!$G$54,'Sollecitazioni nel paramento'!$G$53)</f>
        <v>264975571.17369217</v>
      </c>
      <c r="J1569" s="472">
        <f t="shared" si="110"/>
        <v>287943746.55329627</v>
      </c>
      <c r="K1569" s="550">
        <f>'Sollecitazioni nel paramento'!$G$60*(sezione!$AL$33-C1569)/C1569</f>
        <v>9.6153119452946898E-4</v>
      </c>
      <c r="L1569" s="550">
        <f>'Sollecitazioni nel paramento'!$G$60*(sezione!$AM$33-C1569)/C1569</f>
        <v>3.1922967917942034E-3</v>
      </c>
      <c r="M1569" s="551">
        <f>'Sollecitazioni nel paramento'!$G$60*(sezione!$AN$33-C1569)/C1569</f>
        <v>5.423062389058938E-3</v>
      </c>
      <c r="N1569" s="551">
        <f>'Sollecitazioni nel paramento'!$G$60*(sezione!$AO$33-C1569)/C1569</f>
        <v>1.4346124778117876E-2</v>
      </c>
      <c r="O1569" s="551">
        <f>'Sollecitazioni nel paramento'!$G$60*(sezione!$AP$33-C1569)/C1569</f>
        <v>6.010425827915479E-2</v>
      </c>
      <c r="P1569" s="545">
        <f>-'Sollecitazioni nel paramento'!$G$47*'Sollecitazioni nel paramento'!$G$41*IF(DATI!$G$211="dx",DATI!$E$61,DATI!$E$64*DATI!$E$63)*1000*C1569*sezione!$AD$5</f>
        <v>-1195459.5333861606</v>
      </c>
      <c r="Q1569" s="545">
        <f>'Foglio deposito bis'!$F$68*IF(ABS(K1569)&lt;'Sollecitazioni nel paramento'!$G$58,ABS(K1569)*'Sollecitazioni nel paramento'!$G$54,'Sollecitazioni nel paramento'!$G$53)*IF(K1569&lt;0,-1,1)</f>
        <v>0</v>
      </c>
      <c r="R1569" s="545">
        <f>'Foglio deposito bis'!$F$69*IF(ABS(L1569)&lt;'Sollecitazioni nel paramento'!$G$58,ABS(L1569)*'Sollecitazioni nel paramento'!$G$54,'Sollecitazioni nel paramento'!$G$53)*IF(L1569&lt;0,-1,1)</f>
        <v>153664.85805602249</v>
      </c>
      <c r="S1569" s="545">
        <f>'Foglio deposito bis'!$F$70*IF(ABS(M1569)&lt;'Sollecitazioni nel paramento'!$G$58,ABS(M1569)*'Sollecitazioni nel paramento'!$G$54,'Sollecitazioni nel paramento'!$G$53)*IF(M1569&lt;0,-1,1)</f>
        <v>0</v>
      </c>
      <c r="T1569" s="545">
        <f>'Foglio deposito bis'!$F$71*IF(ABS(N1569)&lt;'Sollecitazioni nel paramento'!$G$58,ABS(N1569)*'Sollecitazioni nel paramento'!$G$54,'Sollecitazioni nel paramento'!$G$53)*IF(N1569&lt;0,-1,1)</f>
        <v>314705.62929873407</v>
      </c>
      <c r="U1569" s="545">
        <f>'Foglio deposito bis'!$F$72*IF(ABS(O1569)&lt;'Sollecitazioni nel paramento'!$G$58,ABS(O1569)*'Sollecitazioni nel paramento'!$G$54,'Sollecitazioni nel paramento'!$G$53)*IF(O1569&lt;0,-1,1)</f>
        <v>491727.54577927204</v>
      </c>
      <c r="V1569" s="472">
        <f t="shared" si="112"/>
        <v>-235361.50025213201</v>
      </c>
      <c r="W1569" s="551"/>
      <c r="X1569" s="551"/>
    </row>
    <row r="1570" spans="1:24" x14ac:dyDescent="0.25">
      <c r="A1570" s="545">
        <f t="shared" si="111"/>
        <v>251091.23095458158</v>
      </c>
      <c r="B1570" s="3">
        <f t="shared" si="113"/>
        <v>3.8499999999999943</v>
      </c>
      <c r="C1570" s="545">
        <f>'Foglio deposito bis'!$E$159/sezione!$B$247*B1570</f>
        <v>31.792247790865694</v>
      </c>
      <c r="D1570" s="603">
        <f>-'Sollecitazioni nel paramento'!$G$47*'Sollecitazioni nel paramento'!$G$41*IF(DATI!$G$211="dx",DATI!$E$61,DATI!$E$64*DATI!$E$63)*1000*C1570^2*sezione!$AD$5*(1-sezione!$AD$6)</f>
        <v>-22487754.656036161</v>
      </c>
      <c r="E1570" s="545">
        <f>-'Foglio deposito bis'!$F$68*(C1570-sezione!$AL$33)*IF(ABS(K1570)&lt;'Sollecitazioni nel paramento'!$G$58,ABS(K1570)*'Sollecitazioni nel paramento'!$G$54,'Sollecitazioni nel paramento'!$G$53)</f>
        <v>0</v>
      </c>
      <c r="F1570" s="545">
        <f>-'Foglio deposito bis'!$F$69*(C1570-sezione!$AM$33)*IF(ABS(L1570)&lt;'Sollecitazioni nel paramento'!$G$58,ABS(L1570)*'Sollecitazioni nel paramento'!$G$54,'Sollecitazioni nel paramento'!$G$53)</f>
        <v>4334540.2392960787</v>
      </c>
      <c r="G1570" s="545">
        <f>-'Foglio deposito bis'!$F$70*(C1570-sezione!$AN$33)*IF(ABS(M1570)&lt;'Sollecitazioni nel paramento'!$G$58,ABS(M1570)*'Sollecitazioni nel paramento'!$G$54,'Sollecitazioni nel paramento'!$G$53)</f>
        <v>0</v>
      </c>
      <c r="H1570" s="545">
        <f>-'Foglio deposito bis'!$F$71*(C1570-sezione!$AO$33)*IF(ABS(N1570)&lt;'Sollecitazioni nel paramento'!$G$58,ABS(N1570)*'Sollecitazioni nel paramento'!$G$54,'Sollecitazioni nel paramento'!$G$53)</f>
        <v>40347701.339951776</v>
      </c>
      <c r="I1570" s="472">
        <f>-'Foglio deposito bis'!$F$72*(C1570-sezione!$AP$33)*IF(ABS(O1570)&lt;'Sollecitazioni nel paramento'!$G$58,ABS(O1570)*'Sollecitazioni nel paramento'!$G$54,'Sollecitazioni nel paramento'!$G$53)</f>
        <v>264772543.58952326</v>
      </c>
      <c r="J1570" s="472">
        <f t="shared" si="110"/>
        <v>286967030.51273495</v>
      </c>
      <c r="K1570" s="550">
        <f>'Sollecitazioni nel paramento'!$G$60*(sezione!$AL$33-C1570)/C1570</f>
        <v>9.0358923096415123E-4</v>
      </c>
      <c r="L1570" s="550">
        <f>'Sollecitazioni nel paramento'!$G$60*(sezione!$AM$33-C1570)/C1570</f>
        <v>3.1053838464462271E-3</v>
      </c>
      <c r="M1570" s="551">
        <f>'Sollecitazioni nel paramento'!$G$60*(sezione!$AN$33-C1570)/C1570</f>
        <v>5.3071784619283021E-3</v>
      </c>
      <c r="N1570" s="551">
        <f>'Sollecitazioni nel paramento'!$G$60*(sezione!$AO$33-C1570)/C1570</f>
        <v>1.4114356923856606E-2</v>
      </c>
      <c r="O1570" s="551">
        <f>'Sollecitazioni nel paramento'!$G$60*(sezione!$AP$33-C1570)/C1570</f>
        <v>5.9278228950854092E-2</v>
      </c>
      <c r="P1570" s="545">
        <f>-'Sollecitazioni nel paramento'!$G$47*'Sollecitazioni nel paramento'!$G$41*IF(DATI!$G$211="dx",DATI!$E$61,DATI!$E$64*DATI!$E$63)*1000*C1570*sezione!$AD$5</f>
        <v>-1211189.2640886102</v>
      </c>
      <c r="Q1570" s="545">
        <f>'Foglio deposito bis'!$F$68*IF(ABS(K1570)&lt;'Sollecitazioni nel paramento'!$G$58,ABS(K1570)*'Sollecitazioni nel paramento'!$G$54,'Sollecitazioni nel paramento'!$G$53)*IF(K1570&lt;0,-1,1)</f>
        <v>0</v>
      </c>
      <c r="R1570" s="545">
        <f>'Foglio deposito bis'!$F$69*IF(ABS(L1570)&lt;'Sollecitazioni nel paramento'!$G$58,ABS(L1570)*'Sollecitazioni nel paramento'!$G$54,'Sollecitazioni nel paramento'!$G$53)*IF(L1570&lt;0,-1,1)</f>
        <v>153664.85805602249</v>
      </c>
      <c r="S1570" s="545">
        <f>'Foglio deposito bis'!$F$70*IF(ABS(M1570)&lt;'Sollecitazioni nel paramento'!$G$58,ABS(M1570)*'Sollecitazioni nel paramento'!$G$54,'Sollecitazioni nel paramento'!$G$53)*IF(M1570&lt;0,-1,1)</f>
        <v>0</v>
      </c>
      <c r="T1570" s="545">
        <f>'Foglio deposito bis'!$F$71*IF(ABS(N1570)&lt;'Sollecitazioni nel paramento'!$G$58,ABS(N1570)*'Sollecitazioni nel paramento'!$G$54,'Sollecitazioni nel paramento'!$G$53)*IF(N1570&lt;0,-1,1)</f>
        <v>314705.62929873407</v>
      </c>
      <c r="U1570" s="545">
        <f>'Foglio deposito bis'!$F$72*IF(ABS(O1570)&lt;'Sollecitazioni nel paramento'!$G$58,ABS(O1570)*'Sollecitazioni nel paramento'!$G$54,'Sollecitazioni nel paramento'!$G$53)*IF(O1570&lt;0,-1,1)</f>
        <v>491727.54577927204</v>
      </c>
      <c r="V1570" s="472">
        <f t="shared" si="112"/>
        <v>-251091.23095458158</v>
      </c>
      <c r="W1570" s="551"/>
      <c r="X1570" s="551"/>
    </row>
    <row r="1571" spans="1:24" x14ac:dyDescent="0.25">
      <c r="A1571" s="545">
        <f t="shared" si="111"/>
        <v>266820.96165703092</v>
      </c>
      <c r="B1571" s="3">
        <f t="shared" si="113"/>
        <v>3.8999999999999941</v>
      </c>
      <c r="C1571" s="545">
        <f>'Foglio deposito bis'!$E$159/sezione!$B$247*B1571</f>
        <v>32.205134125812002</v>
      </c>
      <c r="D1571" s="603">
        <f>-'Sollecitazioni nel paramento'!$G$47*'Sollecitazioni nel paramento'!$G$41*IF(DATI!$G$211="dx",DATI!$E$61,DATI!$E$64*DATI!$E$63)*1000*C1571^2*sezione!$AD$5*(1-sezione!$AD$6)</f>
        <v>-23075645.02063147</v>
      </c>
      <c r="E1571" s="545">
        <f>-'Foglio deposito bis'!$F$68*(C1571-sezione!$AL$33)*IF(ABS(K1571)&lt;'Sollecitazioni nel paramento'!$G$58,ABS(K1571)*'Sollecitazioni nel paramento'!$G$54,'Sollecitazioni nel paramento'!$G$53)</f>
        <v>0</v>
      </c>
      <c r="F1571" s="545">
        <f>-'Foglio deposito bis'!$F$69*(C1571-sezione!$AM$33)*IF(ABS(L1571)&lt;'Sollecitazioni nel paramento'!$G$58,ABS(L1571)*'Sollecitazioni nel paramento'!$G$54,'Sollecitazioni nel paramento'!$G$53)</f>
        <v>4271094.1192432828</v>
      </c>
      <c r="G1571" s="545">
        <f>-'Foglio deposito bis'!$F$70*(C1571-sezione!$AN$33)*IF(ABS(M1571)&lt;'Sollecitazioni nel paramento'!$G$58,ABS(M1571)*'Sollecitazioni nel paramento'!$G$54,'Sollecitazioni nel paramento'!$G$53)</f>
        <v>0</v>
      </c>
      <c r="H1571" s="545">
        <f>-'Foglio deposito bis'!$F$71*(C1571-sezione!$AO$33)*IF(ABS(N1571)&lt;'Sollecitazioni nel paramento'!$G$58,ABS(N1571)*'Sollecitazioni nel paramento'!$G$54,'Sollecitazioni nel paramento'!$G$53)</f>
        <v>40217763.686083645</v>
      </c>
      <c r="I1571" s="472">
        <f>-'Foglio deposito bis'!$F$72*(C1571-sezione!$AP$33)*IF(ABS(O1571)&lt;'Sollecitazioni nel paramento'!$G$58,ABS(O1571)*'Sollecitazioni nel paramento'!$G$54,'Sollecitazioni nel paramento'!$G$53)</f>
        <v>264569516.00535426</v>
      </c>
      <c r="J1571" s="472">
        <f t="shared" si="110"/>
        <v>285982728.79004973</v>
      </c>
      <c r="K1571" s="550">
        <f>'Sollecitazioni nel paramento'!$G$60*(sezione!$AL$33-C1571)/C1571</f>
        <v>8.471329587723032E-4</v>
      </c>
      <c r="L1571" s="550">
        <f>'Sollecitazioni nel paramento'!$G$60*(sezione!$AM$33-C1571)/C1571</f>
        <v>3.0206994381584548E-3</v>
      </c>
      <c r="M1571" s="551">
        <f>'Sollecitazioni nel paramento'!$G$60*(sezione!$AN$33-C1571)/C1571</f>
        <v>5.1942659175446063E-3</v>
      </c>
      <c r="N1571" s="551">
        <f>'Sollecitazioni nel paramento'!$G$60*(sezione!$AO$33-C1571)/C1571</f>
        <v>1.3888531835089212E-2</v>
      </c>
      <c r="O1571" s="551">
        <f>'Sollecitazioni nel paramento'!$G$60*(sezione!$AP$33-C1571)/C1571</f>
        <v>5.847337986174056E-2</v>
      </c>
      <c r="P1571" s="545">
        <f>-'Sollecitazioni nel paramento'!$G$47*'Sollecitazioni nel paramento'!$G$41*IF(DATI!$G$211="dx",DATI!$E$61,DATI!$E$64*DATI!$E$63)*1000*C1571*sezione!$AD$5</f>
        <v>-1226918.9947910595</v>
      </c>
      <c r="Q1571" s="545">
        <f>'Foglio deposito bis'!$F$68*IF(ABS(K1571)&lt;'Sollecitazioni nel paramento'!$G$58,ABS(K1571)*'Sollecitazioni nel paramento'!$G$54,'Sollecitazioni nel paramento'!$G$53)*IF(K1571&lt;0,-1,1)</f>
        <v>0</v>
      </c>
      <c r="R1571" s="545">
        <f>'Foglio deposito bis'!$F$69*IF(ABS(L1571)&lt;'Sollecitazioni nel paramento'!$G$58,ABS(L1571)*'Sollecitazioni nel paramento'!$G$54,'Sollecitazioni nel paramento'!$G$53)*IF(L1571&lt;0,-1,1)</f>
        <v>153664.85805602249</v>
      </c>
      <c r="S1571" s="545">
        <f>'Foglio deposito bis'!$F$70*IF(ABS(M1571)&lt;'Sollecitazioni nel paramento'!$G$58,ABS(M1571)*'Sollecitazioni nel paramento'!$G$54,'Sollecitazioni nel paramento'!$G$53)*IF(M1571&lt;0,-1,1)</f>
        <v>0</v>
      </c>
      <c r="T1571" s="545">
        <f>'Foglio deposito bis'!$F$71*IF(ABS(N1571)&lt;'Sollecitazioni nel paramento'!$G$58,ABS(N1571)*'Sollecitazioni nel paramento'!$G$54,'Sollecitazioni nel paramento'!$G$53)*IF(N1571&lt;0,-1,1)</f>
        <v>314705.62929873407</v>
      </c>
      <c r="U1571" s="545">
        <f>'Foglio deposito bis'!$F$72*IF(ABS(O1571)&lt;'Sollecitazioni nel paramento'!$G$58,ABS(O1571)*'Sollecitazioni nel paramento'!$G$54,'Sollecitazioni nel paramento'!$G$53)*IF(O1571&lt;0,-1,1)</f>
        <v>491727.54577927204</v>
      </c>
      <c r="V1571" s="472">
        <f t="shared" si="112"/>
        <v>-266820.96165703092</v>
      </c>
      <c r="W1571" s="551"/>
      <c r="X1571" s="551"/>
    </row>
    <row r="1572" spans="1:24" x14ac:dyDescent="0.25">
      <c r="A1572" s="545">
        <f t="shared" si="111"/>
        <v>282550.69235948048</v>
      </c>
      <c r="B1572" s="3">
        <f t="shared" si="113"/>
        <v>3.949999999999994</v>
      </c>
      <c r="C1572" s="545">
        <f>'Foglio deposito bis'!$E$159/sezione!$B$247*B1572</f>
        <v>32.618020460758309</v>
      </c>
      <c r="D1572" s="603">
        <f>-'Sollecitazioni nel paramento'!$G$47*'Sollecitazioni nel paramento'!$G$41*IF(DATI!$G$211="dx",DATI!$E$61,DATI!$E$64*DATI!$E$63)*1000*C1572^2*sezione!$AD$5*(1-sezione!$AD$6)</f>
        <v>-23671121.067350585</v>
      </c>
      <c r="E1572" s="545">
        <f>-'Foglio deposito bis'!$F$68*(C1572-sezione!$AL$33)*IF(ABS(K1572)&lt;'Sollecitazioni nel paramento'!$G$58,ABS(K1572)*'Sollecitazioni nel paramento'!$G$54,'Sollecitazioni nel paramento'!$G$53)</f>
        <v>0</v>
      </c>
      <c r="F1572" s="545">
        <f>-'Foglio deposito bis'!$F$69*(C1572-sezione!$AM$33)*IF(ABS(L1572)&lt;'Sollecitazioni nel paramento'!$G$58,ABS(L1572)*'Sollecitazioni nel paramento'!$G$54,'Sollecitazioni nel paramento'!$G$53)</f>
        <v>4207647.999190487</v>
      </c>
      <c r="G1572" s="545">
        <f>-'Foglio deposito bis'!$F$70*(C1572-sezione!$AN$33)*IF(ABS(M1572)&lt;'Sollecitazioni nel paramento'!$G$58,ABS(M1572)*'Sollecitazioni nel paramento'!$G$54,'Sollecitazioni nel paramento'!$G$53)</f>
        <v>0</v>
      </c>
      <c r="H1572" s="545">
        <f>-'Foglio deposito bis'!$F$71*(C1572-sezione!$AO$33)*IF(ABS(N1572)&lt;'Sollecitazioni nel paramento'!$G$58,ABS(N1572)*'Sollecitazioni nel paramento'!$G$54,'Sollecitazioni nel paramento'!$G$53)</f>
        <v>40087826.032215528</v>
      </c>
      <c r="I1572" s="472">
        <f>-'Foglio deposito bis'!$F$72*(C1572-sezione!$AP$33)*IF(ABS(O1572)&lt;'Sollecitazioni nel paramento'!$G$58,ABS(O1572)*'Sollecitazioni nel paramento'!$G$54,'Sollecitazioni nel paramento'!$G$53)</f>
        <v>264366488.42118531</v>
      </c>
      <c r="J1572" s="472">
        <f t="shared" si="110"/>
        <v>284990841.38524073</v>
      </c>
      <c r="K1572" s="550">
        <f>'Sollecitazioni nel paramento'!$G$60*(sezione!$AL$33-C1572)/C1572</f>
        <v>7.9210595929417283E-4</v>
      </c>
      <c r="L1572" s="550">
        <f>'Sollecitazioni nel paramento'!$G$60*(sezione!$AM$33-C1572)/C1572</f>
        <v>2.9381589389412591E-3</v>
      </c>
      <c r="M1572" s="551">
        <f>'Sollecitazioni nel paramento'!$G$60*(sezione!$AN$33-C1572)/C1572</f>
        <v>5.084211918588346E-3</v>
      </c>
      <c r="N1572" s="551">
        <f>'Sollecitazioni nel paramento'!$G$60*(sezione!$AO$33-C1572)/C1572</f>
        <v>1.3668423837176692E-2</v>
      </c>
      <c r="O1572" s="551">
        <f>'Sollecitazioni nel paramento'!$G$60*(sezione!$AP$33-C1572)/C1572</f>
        <v>5.7688906698933728E-2</v>
      </c>
      <c r="P1572" s="545">
        <f>-'Sollecitazioni nel paramento'!$G$47*'Sollecitazioni nel paramento'!$G$41*IF(DATI!$G$211="dx",DATI!$E$61,DATI!$E$64*DATI!$E$63)*1000*C1572*sezione!$AD$5</f>
        <v>-1242648.7254935091</v>
      </c>
      <c r="Q1572" s="545">
        <f>'Foglio deposito bis'!$F$68*IF(ABS(K1572)&lt;'Sollecitazioni nel paramento'!$G$58,ABS(K1572)*'Sollecitazioni nel paramento'!$G$54,'Sollecitazioni nel paramento'!$G$53)*IF(K1572&lt;0,-1,1)</f>
        <v>0</v>
      </c>
      <c r="R1572" s="545">
        <f>'Foglio deposito bis'!$F$69*IF(ABS(L1572)&lt;'Sollecitazioni nel paramento'!$G$58,ABS(L1572)*'Sollecitazioni nel paramento'!$G$54,'Sollecitazioni nel paramento'!$G$53)*IF(L1572&lt;0,-1,1)</f>
        <v>153664.85805602249</v>
      </c>
      <c r="S1572" s="545">
        <f>'Foglio deposito bis'!$F$70*IF(ABS(M1572)&lt;'Sollecitazioni nel paramento'!$G$58,ABS(M1572)*'Sollecitazioni nel paramento'!$G$54,'Sollecitazioni nel paramento'!$G$53)*IF(M1572&lt;0,-1,1)</f>
        <v>0</v>
      </c>
      <c r="T1572" s="545">
        <f>'Foglio deposito bis'!$F$71*IF(ABS(N1572)&lt;'Sollecitazioni nel paramento'!$G$58,ABS(N1572)*'Sollecitazioni nel paramento'!$G$54,'Sollecitazioni nel paramento'!$G$53)*IF(N1572&lt;0,-1,1)</f>
        <v>314705.62929873407</v>
      </c>
      <c r="U1572" s="545">
        <f>'Foglio deposito bis'!$F$72*IF(ABS(O1572)&lt;'Sollecitazioni nel paramento'!$G$58,ABS(O1572)*'Sollecitazioni nel paramento'!$G$54,'Sollecitazioni nel paramento'!$G$53)*IF(O1572&lt;0,-1,1)</f>
        <v>491727.54577927204</v>
      </c>
      <c r="V1572" s="472">
        <f t="shared" si="112"/>
        <v>-282550.69235948048</v>
      </c>
      <c r="W1572" s="551"/>
      <c r="X1572" s="551"/>
    </row>
    <row r="1573" spans="1:24" x14ac:dyDescent="0.25">
      <c r="A1573" s="545">
        <f t="shared" si="111"/>
        <v>298280.42306193005</v>
      </c>
      <c r="B1573" s="3">
        <f t="shared" si="113"/>
        <v>3.9999999999999938</v>
      </c>
      <c r="C1573" s="545">
        <f>'Foglio deposito bis'!$E$159/sezione!$B$247*B1573</f>
        <v>33.030906795704617</v>
      </c>
      <c r="D1573" s="603">
        <f>-'Sollecitazioni nel paramento'!$G$47*'Sollecitazioni nel paramento'!$G$41*IF(DATI!$G$211="dx",DATI!$E$61,DATI!$E$64*DATI!$E$63)*1000*C1573^2*sezione!$AD$5*(1-sezione!$AD$6)</f>
        <v>-24274182.796193525</v>
      </c>
      <c r="E1573" s="545">
        <f>-'Foglio deposito bis'!$F$68*(C1573-sezione!$AL$33)*IF(ABS(K1573)&lt;'Sollecitazioni nel paramento'!$G$58,ABS(K1573)*'Sollecitazioni nel paramento'!$G$54,'Sollecitazioni nel paramento'!$G$53)</f>
        <v>0</v>
      </c>
      <c r="F1573" s="545">
        <f>-'Foglio deposito bis'!$F$69*(C1573-sezione!$AM$33)*IF(ABS(L1573)&lt;'Sollecitazioni nel paramento'!$G$58,ABS(L1573)*'Sollecitazioni nel paramento'!$G$54,'Sollecitazioni nel paramento'!$G$53)</f>
        <v>4144201.8791376911</v>
      </c>
      <c r="G1573" s="545">
        <f>-'Foglio deposito bis'!$F$70*(C1573-sezione!$AN$33)*IF(ABS(M1573)&lt;'Sollecitazioni nel paramento'!$G$58,ABS(M1573)*'Sollecitazioni nel paramento'!$G$54,'Sollecitazioni nel paramento'!$G$53)</f>
        <v>0</v>
      </c>
      <c r="H1573" s="545">
        <f>-'Foglio deposito bis'!$F$71*(C1573-sezione!$AO$33)*IF(ABS(N1573)&lt;'Sollecitazioni nel paramento'!$G$58,ABS(N1573)*'Sollecitazioni nel paramento'!$G$54,'Sollecitazioni nel paramento'!$G$53)</f>
        <v>39957888.378347397</v>
      </c>
      <c r="I1573" s="472">
        <f>-'Foglio deposito bis'!$F$72*(C1573-sezione!$AP$33)*IF(ABS(O1573)&lt;'Sollecitazioni nel paramento'!$G$58,ABS(O1573)*'Sollecitazioni nel paramento'!$G$54,'Sollecitazioni nel paramento'!$G$53)</f>
        <v>264163460.83701637</v>
      </c>
      <c r="J1573" s="472">
        <f t="shared" si="110"/>
        <v>283991368.29830796</v>
      </c>
      <c r="K1573" s="550">
        <f>'Sollecitazioni nel paramento'!$G$60*(sezione!$AL$33-C1573)/C1573</f>
        <v>7.384546348029958E-4</v>
      </c>
      <c r="L1573" s="550">
        <f>'Sollecitazioni nel paramento'!$G$60*(sezione!$AM$33-C1573)/C1573</f>
        <v>2.857681952204494E-3</v>
      </c>
      <c r="M1573" s="551">
        <f>'Sollecitazioni nel paramento'!$G$60*(sezione!$AN$33-C1573)/C1573</f>
        <v>4.976909269605991E-3</v>
      </c>
      <c r="N1573" s="551">
        <f>'Sollecitazioni nel paramento'!$G$60*(sezione!$AO$33-C1573)/C1573</f>
        <v>1.3453818539211982E-2</v>
      </c>
      <c r="O1573" s="551">
        <f>'Sollecitazioni nel paramento'!$G$60*(sezione!$AP$33-C1573)/C1573</f>
        <v>5.6924045365197053E-2</v>
      </c>
      <c r="P1573" s="545">
        <f>-'Sollecitazioni nel paramento'!$G$47*'Sollecitazioni nel paramento'!$G$41*IF(DATI!$G$211="dx",DATI!$E$61,DATI!$E$64*DATI!$E$63)*1000*C1573*sezione!$AD$5</f>
        <v>-1258378.4561959587</v>
      </c>
      <c r="Q1573" s="545">
        <f>'Foglio deposito bis'!$F$68*IF(ABS(K1573)&lt;'Sollecitazioni nel paramento'!$G$58,ABS(K1573)*'Sollecitazioni nel paramento'!$G$54,'Sollecitazioni nel paramento'!$G$53)*IF(K1573&lt;0,-1,1)</f>
        <v>0</v>
      </c>
      <c r="R1573" s="545">
        <f>'Foglio deposito bis'!$F$69*IF(ABS(L1573)&lt;'Sollecitazioni nel paramento'!$G$58,ABS(L1573)*'Sollecitazioni nel paramento'!$G$54,'Sollecitazioni nel paramento'!$G$53)*IF(L1573&lt;0,-1,1)</f>
        <v>153664.85805602249</v>
      </c>
      <c r="S1573" s="545">
        <f>'Foglio deposito bis'!$F$70*IF(ABS(M1573)&lt;'Sollecitazioni nel paramento'!$G$58,ABS(M1573)*'Sollecitazioni nel paramento'!$G$54,'Sollecitazioni nel paramento'!$G$53)*IF(M1573&lt;0,-1,1)</f>
        <v>0</v>
      </c>
      <c r="T1573" s="545">
        <f>'Foglio deposito bis'!$F$71*IF(ABS(N1573)&lt;'Sollecitazioni nel paramento'!$G$58,ABS(N1573)*'Sollecitazioni nel paramento'!$G$54,'Sollecitazioni nel paramento'!$G$53)*IF(N1573&lt;0,-1,1)</f>
        <v>314705.62929873407</v>
      </c>
      <c r="U1573" s="545">
        <f>'Foglio deposito bis'!$F$72*IF(ABS(O1573)&lt;'Sollecitazioni nel paramento'!$G$58,ABS(O1573)*'Sollecitazioni nel paramento'!$G$54,'Sollecitazioni nel paramento'!$G$53)*IF(O1573&lt;0,-1,1)</f>
        <v>491727.54577927204</v>
      </c>
      <c r="V1573" s="472">
        <f t="shared" si="112"/>
        <v>-298280.42306193005</v>
      </c>
      <c r="W1573" s="551"/>
      <c r="X1573" s="551"/>
    </row>
    <row r="1574" spans="1:24" x14ac:dyDescent="0.25">
      <c r="A1574" s="545">
        <f t="shared" si="111"/>
        <v>314010.15376437939</v>
      </c>
      <c r="B1574" s="3">
        <f t="shared" si="113"/>
        <v>4.0499999999999936</v>
      </c>
      <c r="C1574" s="545">
        <f>'Foglio deposito bis'!$E$159/sezione!$B$247*B1574</f>
        <v>33.443793130650924</v>
      </c>
      <c r="D1574" s="603">
        <f>-'Sollecitazioni nel paramento'!$G$47*'Sollecitazioni nel paramento'!$G$41*IF(DATI!$G$211="dx",DATI!$E$61,DATI!$E$64*DATI!$E$63)*1000*C1574^2*sezione!$AD$5*(1-sezione!$AD$6)</f>
        <v>-24884830.207160268</v>
      </c>
      <c r="E1574" s="545">
        <f>-'Foglio deposito bis'!$F$68*(C1574-sezione!$AL$33)*IF(ABS(K1574)&lt;'Sollecitazioni nel paramento'!$G$58,ABS(K1574)*'Sollecitazioni nel paramento'!$G$54,'Sollecitazioni nel paramento'!$G$53)</f>
        <v>0</v>
      </c>
      <c r="F1574" s="545">
        <f>-'Foglio deposito bis'!$F$69*(C1574-sezione!$AM$33)*IF(ABS(L1574)&lt;'Sollecitazioni nel paramento'!$G$58,ABS(L1574)*'Sollecitazioni nel paramento'!$G$54,'Sollecitazioni nel paramento'!$G$53)</f>
        <v>4080755.7590848953</v>
      </c>
      <c r="G1574" s="545">
        <f>-'Foglio deposito bis'!$F$70*(C1574-sezione!$AN$33)*IF(ABS(M1574)&lt;'Sollecitazioni nel paramento'!$G$58,ABS(M1574)*'Sollecitazioni nel paramento'!$G$54,'Sollecitazioni nel paramento'!$G$53)</f>
        <v>0</v>
      </c>
      <c r="H1574" s="545">
        <f>-'Foglio deposito bis'!$F$71*(C1574-sezione!$AO$33)*IF(ABS(N1574)&lt;'Sollecitazioni nel paramento'!$G$58,ABS(N1574)*'Sollecitazioni nel paramento'!$G$54,'Sollecitazioni nel paramento'!$G$53)</f>
        <v>39827950.724479273</v>
      </c>
      <c r="I1574" s="472">
        <f>-'Foglio deposito bis'!$F$72*(C1574-sezione!$AP$33)*IF(ABS(O1574)&lt;'Sollecitazioni nel paramento'!$G$58,ABS(O1574)*'Sollecitazioni nel paramento'!$G$54,'Sollecitazioni nel paramento'!$G$53)</f>
        <v>263960433.25284746</v>
      </c>
      <c r="J1574" s="472">
        <f t="shared" si="110"/>
        <v>282984309.52925134</v>
      </c>
      <c r="K1574" s="550">
        <f>'Sollecitazioni nel paramento'!$G$60*(sezione!$AL$33-C1574)/C1574</f>
        <v>6.8612803437332909E-4</v>
      </c>
      <c r="L1574" s="550">
        <f>'Sollecitazioni nel paramento'!$G$60*(sezione!$AM$33-C1574)/C1574</f>
        <v>2.7791920515599935E-3</v>
      </c>
      <c r="M1574" s="551">
        <f>'Sollecitazioni nel paramento'!$G$60*(sezione!$AN$33-C1574)/C1574</f>
        <v>4.8722560687466578E-3</v>
      </c>
      <c r="N1574" s="551">
        <f>'Sollecitazioni nel paramento'!$G$60*(sezione!$AO$33-C1574)/C1574</f>
        <v>1.3244512137493315E-2</v>
      </c>
      <c r="O1574" s="551">
        <f>'Sollecitazioni nel paramento'!$G$60*(sezione!$AP$33-C1574)/C1574</f>
        <v>5.6178069496490922E-2</v>
      </c>
      <c r="P1574" s="545">
        <f>-'Sollecitazioni nel paramento'!$G$47*'Sollecitazioni nel paramento'!$G$41*IF(DATI!$G$211="dx",DATI!$E$61,DATI!$E$64*DATI!$E$63)*1000*C1574*sezione!$AD$5</f>
        <v>-1274108.186898408</v>
      </c>
      <c r="Q1574" s="545">
        <f>'Foglio deposito bis'!$F$68*IF(ABS(K1574)&lt;'Sollecitazioni nel paramento'!$G$58,ABS(K1574)*'Sollecitazioni nel paramento'!$G$54,'Sollecitazioni nel paramento'!$G$53)*IF(K1574&lt;0,-1,1)</f>
        <v>0</v>
      </c>
      <c r="R1574" s="545">
        <f>'Foglio deposito bis'!$F$69*IF(ABS(L1574)&lt;'Sollecitazioni nel paramento'!$G$58,ABS(L1574)*'Sollecitazioni nel paramento'!$G$54,'Sollecitazioni nel paramento'!$G$53)*IF(L1574&lt;0,-1,1)</f>
        <v>153664.85805602249</v>
      </c>
      <c r="S1574" s="545">
        <f>'Foglio deposito bis'!$F$70*IF(ABS(M1574)&lt;'Sollecitazioni nel paramento'!$G$58,ABS(M1574)*'Sollecitazioni nel paramento'!$G$54,'Sollecitazioni nel paramento'!$G$53)*IF(M1574&lt;0,-1,1)</f>
        <v>0</v>
      </c>
      <c r="T1574" s="545">
        <f>'Foglio deposito bis'!$F$71*IF(ABS(N1574)&lt;'Sollecitazioni nel paramento'!$G$58,ABS(N1574)*'Sollecitazioni nel paramento'!$G$54,'Sollecitazioni nel paramento'!$G$53)*IF(N1574&lt;0,-1,1)</f>
        <v>314705.62929873407</v>
      </c>
      <c r="U1574" s="545">
        <f>'Foglio deposito bis'!$F$72*IF(ABS(O1574)&lt;'Sollecitazioni nel paramento'!$G$58,ABS(O1574)*'Sollecitazioni nel paramento'!$G$54,'Sollecitazioni nel paramento'!$G$53)*IF(O1574&lt;0,-1,1)</f>
        <v>491727.54577927204</v>
      </c>
      <c r="V1574" s="472">
        <f t="shared" si="112"/>
        <v>-314010.15376437939</v>
      </c>
      <c r="W1574" s="551"/>
      <c r="X1574" s="551"/>
    </row>
    <row r="1575" spans="1:24" x14ac:dyDescent="0.25">
      <c r="A1575" s="545">
        <f t="shared" si="111"/>
        <v>329739.88446682872</v>
      </c>
      <c r="B1575" s="3">
        <f t="shared" si="113"/>
        <v>4.0999999999999934</v>
      </c>
      <c r="C1575" s="545">
        <f>'Foglio deposito bis'!$E$159/sezione!$B$247*B1575</f>
        <v>33.856679465597232</v>
      </c>
      <c r="D1575" s="603">
        <f>-'Sollecitazioni nel paramento'!$G$47*'Sollecitazioni nel paramento'!$G$41*IF(DATI!$G$211="dx",DATI!$E$61,DATI!$E$64*DATI!$E$63)*1000*C1575^2*sezione!$AD$5*(1-sezione!$AD$6)</f>
        <v>-25503063.300250825</v>
      </c>
      <c r="E1575" s="545">
        <f>-'Foglio deposito bis'!$F$68*(C1575-sezione!$AL$33)*IF(ABS(K1575)&lt;'Sollecitazioni nel paramento'!$G$58,ABS(K1575)*'Sollecitazioni nel paramento'!$G$54,'Sollecitazioni nel paramento'!$G$53)</f>
        <v>0</v>
      </c>
      <c r="F1575" s="545">
        <f>-'Foglio deposito bis'!$F$69*(C1575-sezione!$AM$33)*IF(ABS(L1575)&lt;'Sollecitazioni nel paramento'!$G$58,ABS(L1575)*'Sollecitazioni nel paramento'!$G$54,'Sollecitazioni nel paramento'!$G$53)</f>
        <v>4017309.6390320994</v>
      </c>
      <c r="G1575" s="545">
        <f>-'Foglio deposito bis'!$F$70*(C1575-sezione!$AN$33)*IF(ABS(M1575)&lt;'Sollecitazioni nel paramento'!$G$58,ABS(M1575)*'Sollecitazioni nel paramento'!$G$54,'Sollecitazioni nel paramento'!$G$53)</f>
        <v>0</v>
      </c>
      <c r="H1575" s="545">
        <f>-'Foglio deposito bis'!$F$71*(C1575-sezione!$AO$33)*IF(ABS(N1575)&lt;'Sollecitazioni nel paramento'!$G$58,ABS(N1575)*'Sollecitazioni nel paramento'!$G$54,'Sollecitazioni nel paramento'!$G$53)</f>
        <v>39698013.070611149</v>
      </c>
      <c r="I1575" s="472">
        <f>-'Foglio deposito bis'!$F$72*(C1575-sezione!$AP$33)*IF(ABS(O1575)&lt;'Sollecitazioni nel paramento'!$G$58,ABS(O1575)*'Sollecitazioni nel paramento'!$G$54,'Sollecitazioni nel paramento'!$G$53)</f>
        <v>263757405.66867846</v>
      </c>
      <c r="J1575" s="472">
        <f t="shared" si="110"/>
        <v>281969665.07807088</v>
      </c>
      <c r="K1575" s="550">
        <f>'Sollecitazioni nel paramento'!$G$60*(sezione!$AL$33-C1575)/C1575</f>
        <v>6.3507769249072758E-4</v>
      </c>
      <c r="L1575" s="550">
        <f>'Sollecitazioni nel paramento'!$G$60*(sezione!$AM$33-C1575)/C1575</f>
        <v>2.7026165387360915E-3</v>
      </c>
      <c r="M1575" s="551">
        <f>'Sollecitazioni nel paramento'!$G$60*(sezione!$AN$33-C1575)/C1575</f>
        <v>4.7701553849814555E-3</v>
      </c>
      <c r="N1575" s="551">
        <f>'Sollecitazioni nel paramento'!$G$60*(sezione!$AO$33-C1575)/C1575</f>
        <v>1.3040310769962911E-2</v>
      </c>
      <c r="O1575" s="551">
        <f>'Sollecitazioni nel paramento'!$G$60*(sezione!$AP$33-C1575)/C1575</f>
        <v>5.545028816116785E-2</v>
      </c>
      <c r="P1575" s="545">
        <f>-'Sollecitazioni nel paramento'!$G$47*'Sollecitazioni nel paramento'!$G$41*IF(DATI!$G$211="dx",DATI!$E$61,DATI!$E$64*DATI!$E$63)*1000*C1575*sezione!$AD$5</f>
        <v>-1289837.9176008573</v>
      </c>
      <c r="Q1575" s="545">
        <f>'Foglio deposito bis'!$F$68*IF(ABS(K1575)&lt;'Sollecitazioni nel paramento'!$G$58,ABS(K1575)*'Sollecitazioni nel paramento'!$G$54,'Sollecitazioni nel paramento'!$G$53)*IF(K1575&lt;0,-1,1)</f>
        <v>0</v>
      </c>
      <c r="R1575" s="545">
        <f>'Foglio deposito bis'!$F$69*IF(ABS(L1575)&lt;'Sollecitazioni nel paramento'!$G$58,ABS(L1575)*'Sollecitazioni nel paramento'!$G$54,'Sollecitazioni nel paramento'!$G$53)*IF(L1575&lt;0,-1,1)</f>
        <v>153664.85805602249</v>
      </c>
      <c r="S1575" s="545">
        <f>'Foglio deposito bis'!$F$70*IF(ABS(M1575)&lt;'Sollecitazioni nel paramento'!$G$58,ABS(M1575)*'Sollecitazioni nel paramento'!$G$54,'Sollecitazioni nel paramento'!$G$53)*IF(M1575&lt;0,-1,1)</f>
        <v>0</v>
      </c>
      <c r="T1575" s="545">
        <f>'Foglio deposito bis'!$F$71*IF(ABS(N1575)&lt;'Sollecitazioni nel paramento'!$G$58,ABS(N1575)*'Sollecitazioni nel paramento'!$G$54,'Sollecitazioni nel paramento'!$G$53)*IF(N1575&lt;0,-1,1)</f>
        <v>314705.62929873407</v>
      </c>
      <c r="U1575" s="545">
        <f>'Foglio deposito bis'!$F$72*IF(ABS(O1575)&lt;'Sollecitazioni nel paramento'!$G$58,ABS(O1575)*'Sollecitazioni nel paramento'!$G$54,'Sollecitazioni nel paramento'!$G$53)*IF(O1575&lt;0,-1,1)</f>
        <v>491727.54577927204</v>
      </c>
      <c r="V1575" s="472">
        <f t="shared" si="112"/>
        <v>-329739.88446682872</v>
      </c>
      <c r="W1575" s="551"/>
      <c r="X1575" s="551"/>
    </row>
    <row r="1576" spans="1:24" x14ac:dyDescent="0.25">
      <c r="A1576" s="545">
        <f t="shared" si="111"/>
        <v>345469.61516927829</v>
      </c>
      <c r="B1576" s="3">
        <f t="shared" si="113"/>
        <v>4.1499999999999932</v>
      </c>
      <c r="C1576" s="545">
        <f>'Foglio deposito bis'!$E$159/sezione!$B$247*B1576</f>
        <v>34.269565800543539</v>
      </c>
      <c r="D1576" s="603">
        <f>-'Sollecitazioni nel paramento'!$G$47*'Sollecitazioni nel paramento'!$G$41*IF(DATI!$G$211="dx",DATI!$E$61,DATI!$E$64*DATI!$E$63)*1000*C1576^2*sezione!$AD$5*(1-sezione!$AD$6)</f>
        <v>-26128882.075465184</v>
      </c>
      <c r="E1576" s="545">
        <f>-'Foglio deposito bis'!$F$68*(C1576-sezione!$AL$33)*IF(ABS(K1576)&lt;'Sollecitazioni nel paramento'!$G$58,ABS(K1576)*'Sollecitazioni nel paramento'!$G$54,'Sollecitazioni nel paramento'!$G$53)</f>
        <v>0</v>
      </c>
      <c r="F1576" s="545">
        <f>-'Foglio deposito bis'!$F$69*(C1576-sezione!$AM$33)*IF(ABS(L1576)&lt;'Sollecitazioni nel paramento'!$G$58,ABS(L1576)*'Sollecitazioni nel paramento'!$G$54,'Sollecitazioni nel paramento'!$G$53)</f>
        <v>3953863.5189793035</v>
      </c>
      <c r="G1576" s="545">
        <f>-'Foglio deposito bis'!$F$70*(C1576-sezione!$AN$33)*IF(ABS(M1576)&lt;'Sollecitazioni nel paramento'!$G$58,ABS(M1576)*'Sollecitazioni nel paramento'!$G$54,'Sollecitazioni nel paramento'!$G$53)</f>
        <v>0</v>
      </c>
      <c r="H1576" s="545">
        <f>-'Foglio deposito bis'!$F$71*(C1576-sezione!$AO$33)*IF(ABS(N1576)&lt;'Sollecitazioni nel paramento'!$G$58,ABS(N1576)*'Sollecitazioni nel paramento'!$G$54,'Sollecitazioni nel paramento'!$G$53)</f>
        <v>39568075.416743025</v>
      </c>
      <c r="I1576" s="472">
        <f>-'Foglio deposito bis'!$F$72*(C1576-sezione!$AP$33)*IF(ABS(O1576)&lt;'Sollecitazioni nel paramento'!$G$58,ABS(O1576)*'Sollecitazioni nel paramento'!$G$54,'Sollecitazioni nel paramento'!$G$53)</f>
        <v>263554378.08450952</v>
      </c>
      <c r="J1576" s="472">
        <f t="shared" si="110"/>
        <v>280947434.94476664</v>
      </c>
      <c r="K1576" s="550">
        <f>'Sollecitazioni nel paramento'!$G$60*(sezione!$AL$33-C1576)/C1576</f>
        <v>5.8525747932818874E-4</v>
      </c>
      <c r="L1576" s="550">
        <f>'Sollecitazioni nel paramento'!$G$60*(sezione!$AM$33-C1576)/C1576</f>
        <v>2.6278862189922829E-3</v>
      </c>
      <c r="M1576" s="551">
        <f>'Sollecitazioni nel paramento'!$G$60*(sezione!$AN$33-C1576)/C1576</f>
        <v>4.6705149586563771E-3</v>
      </c>
      <c r="N1576" s="551">
        <f>'Sollecitazioni nel paramento'!$G$60*(sezione!$AO$33-C1576)/C1576</f>
        <v>1.2841029917312756E-2</v>
      </c>
      <c r="O1576" s="551">
        <f>'Sollecitazioni nel paramento'!$G$60*(sezione!$AP$33-C1576)/C1576</f>
        <v>5.4740043725491135E-2</v>
      </c>
      <c r="P1576" s="545">
        <f>-'Sollecitazioni nel paramento'!$G$47*'Sollecitazioni nel paramento'!$G$41*IF(DATI!$G$211="dx",DATI!$E$61,DATI!$E$64*DATI!$E$63)*1000*C1576*sezione!$AD$5</f>
        <v>-1305567.6483033069</v>
      </c>
      <c r="Q1576" s="545">
        <f>'Foglio deposito bis'!$F$68*IF(ABS(K1576)&lt;'Sollecitazioni nel paramento'!$G$58,ABS(K1576)*'Sollecitazioni nel paramento'!$G$54,'Sollecitazioni nel paramento'!$G$53)*IF(K1576&lt;0,-1,1)</f>
        <v>0</v>
      </c>
      <c r="R1576" s="545">
        <f>'Foglio deposito bis'!$F$69*IF(ABS(L1576)&lt;'Sollecitazioni nel paramento'!$G$58,ABS(L1576)*'Sollecitazioni nel paramento'!$G$54,'Sollecitazioni nel paramento'!$G$53)*IF(L1576&lt;0,-1,1)</f>
        <v>153664.85805602249</v>
      </c>
      <c r="S1576" s="545">
        <f>'Foglio deposito bis'!$F$70*IF(ABS(M1576)&lt;'Sollecitazioni nel paramento'!$G$58,ABS(M1576)*'Sollecitazioni nel paramento'!$G$54,'Sollecitazioni nel paramento'!$G$53)*IF(M1576&lt;0,-1,1)</f>
        <v>0</v>
      </c>
      <c r="T1576" s="545">
        <f>'Foglio deposito bis'!$F$71*IF(ABS(N1576)&lt;'Sollecitazioni nel paramento'!$G$58,ABS(N1576)*'Sollecitazioni nel paramento'!$G$54,'Sollecitazioni nel paramento'!$G$53)*IF(N1576&lt;0,-1,1)</f>
        <v>314705.62929873407</v>
      </c>
      <c r="U1576" s="545">
        <f>'Foglio deposito bis'!$F$72*IF(ABS(O1576)&lt;'Sollecitazioni nel paramento'!$G$58,ABS(O1576)*'Sollecitazioni nel paramento'!$G$54,'Sollecitazioni nel paramento'!$G$53)*IF(O1576&lt;0,-1,1)</f>
        <v>491727.54577927204</v>
      </c>
      <c r="V1576" s="472">
        <f t="shared" si="112"/>
        <v>-345469.61516927829</v>
      </c>
      <c r="W1576" s="551"/>
      <c r="X1576" s="551"/>
    </row>
    <row r="1577" spans="1:24" x14ac:dyDescent="0.25">
      <c r="A1577" s="545">
        <f t="shared" si="111"/>
        <v>361199.34587172762</v>
      </c>
      <c r="B1577" s="3">
        <f t="shared" si="113"/>
        <v>4.1999999999999931</v>
      </c>
      <c r="C1577" s="545">
        <f>'Foglio deposito bis'!$E$159/sezione!$B$247*B1577</f>
        <v>34.682452135489839</v>
      </c>
      <c r="D1577" s="603">
        <f>-'Sollecitazioni nel paramento'!$G$47*'Sollecitazioni nel paramento'!$G$41*IF(DATI!$G$211="dx",DATI!$E$61,DATI!$E$64*DATI!$E$63)*1000*C1577^2*sezione!$AD$5*(1-sezione!$AD$6)</f>
        <v>-26762286.532803345</v>
      </c>
      <c r="E1577" s="545">
        <f>-'Foglio deposito bis'!$F$68*(C1577-sezione!$AL$33)*IF(ABS(K1577)&lt;'Sollecitazioni nel paramento'!$G$58,ABS(K1577)*'Sollecitazioni nel paramento'!$G$54,'Sollecitazioni nel paramento'!$G$53)</f>
        <v>0</v>
      </c>
      <c r="F1577" s="545">
        <f>-'Foglio deposito bis'!$F$69*(C1577-sezione!$AM$33)*IF(ABS(L1577)&lt;'Sollecitazioni nel paramento'!$G$58,ABS(L1577)*'Sollecitazioni nel paramento'!$G$54,'Sollecitazioni nel paramento'!$G$53)</f>
        <v>3890417.3989265095</v>
      </c>
      <c r="G1577" s="545">
        <f>-'Foglio deposito bis'!$F$70*(C1577-sezione!$AN$33)*IF(ABS(M1577)&lt;'Sollecitazioni nel paramento'!$G$58,ABS(M1577)*'Sollecitazioni nel paramento'!$G$54,'Sollecitazioni nel paramento'!$G$53)</f>
        <v>0</v>
      </c>
      <c r="H1577" s="545">
        <f>-'Foglio deposito bis'!$F$71*(C1577-sezione!$AO$33)*IF(ABS(N1577)&lt;'Sollecitazioni nel paramento'!$G$58,ABS(N1577)*'Sollecitazioni nel paramento'!$G$54,'Sollecitazioni nel paramento'!$G$53)</f>
        <v>39438137.762874901</v>
      </c>
      <c r="I1577" s="472">
        <f>-'Foglio deposito bis'!$F$72*(C1577-sezione!$AP$33)*IF(ABS(O1577)&lt;'Sollecitazioni nel paramento'!$G$58,ABS(O1577)*'Sollecitazioni nel paramento'!$G$54,'Sollecitazioni nel paramento'!$G$53)</f>
        <v>263351350.50034061</v>
      </c>
      <c r="J1577" s="472">
        <f t="shared" si="110"/>
        <v>279917619.12933868</v>
      </c>
      <c r="K1577" s="550">
        <f>'Sollecitazioni nel paramento'!$G$60*(sezione!$AL$33-C1577)/C1577</f>
        <v>5.3662346171713974E-4</v>
      </c>
      <c r="L1577" s="550">
        <f>'Sollecitazioni nel paramento'!$G$60*(sezione!$AM$33-C1577)/C1577</f>
        <v>2.5549351925757097E-3</v>
      </c>
      <c r="M1577" s="551">
        <f>'Sollecitazioni nel paramento'!$G$60*(sezione!$AN$33-C1577)/C1577</f>
        <v>4.5732469234342791E-3</v>
      </c>
      <c r="N1577" s="551">
        <f>'Sollecitazioni nel paramento'!$G$60*(sezione!$AO$33-C1577)/C1577</f>
        <v>1.264649384686856E-2</v>
      </c>
      <c r="O1577" s="551">
        <f>'Sollecitazioni nel paramento'!$G$60*(sezione!$AP$33-C1577)/C1577</f>
        <v>5.4046709871616257E-2</v>
      </c>
      <c r="P1577" s="545">
        <f>-'Sollecitazioni nel paramento'!$G$47*'Sollecitazioni nel paramento'!$G$41*IF(DATI!$G$211="dx",DATI!$E$61,DATI!$E$64*DATI!$E$63)*1000*C1577*sezione!$AD$5</f>
        <v>-1321297.3790057562</v>
      </c>
      <c r="Q1577" s="545">
        <f>'Foglio deposito bis'!$F$68*IF(ABS(K1577)&lt;'Sollecitazioni nel paramento'!$G$58,ABS(K1577)*'Sollecitazioni nel paramento'!$G$54,'Sollecitazioni nel paramento'!$G$53)*IF(K1577&lt;0,-1,1)</f>
        <v>0</v>
      </c>
      <c r="R1577" s="545">
        <f>'Foglio deposito bis'!$F$69*IF(ABS(L1577)&lt;'Sollecitazioni nel paramento'!$G$58,ABS(L1577)*'Sollecitazioni nel paramento'!$G$54,'Sollecitazioni nel paramento'!$G$53)*IF(L1577&lt;0,-1,1)</f>
        <v>153664.85805602249</v>
      </c>
      <c r="S1577" s="545">
        <f>'Foglio deposito bis'!$F$70*IF(ABS(M1577)&lt;'Sollecitazioni nel paramento'!$G$58,ABS(M1577)*'Sollecitazioni nel paramento'!$G$54,'Sollecitazioni nel paramento'!$G$53)*IF(M1577&lt;0,-1,1)</f>
        <v>0</v>
      </c>
      <c r="T1577" s="545">
        <f>'Foglio deposito bis'!$F$71*IF(ABS(N1577)&lt;'Sollecitazioni nel paramento'!$G$58,ABS(N1577)*'Sollecitazioni nel paramento'!$G$54,'Sollecitazioni nel paramento'!$G$53)*IF(N1577&lt;0,-1,1)</f>
        <v>314705.62929873407</v>
      </c>
      <c r="U1577" s="545">
        <f>'Foglio deposito bis'!$F$72*IF(ABS(O1577)&lt;'Sollecitazioni nel paramento'!$G$58,ABS(O1577)*'Sollecitazioni nel paramento'!$G$54,'Sollecitazioni nel paramento'!$G$53)*IF(O1577&lt;0,-1,1)</f>
        <v>491727.54577927204</v>
      </c>
      <c r="V1577" s="472">
        <f t="shared" si="112"/>
        <v>-361199.34587172762</v>
      </c>
      <c r="W1577" s="551"/>
      <c r="X1577" s="551"/>
    </row>
    <row r="1578" spans="1:24" x14ac:dyDescent="0.25">
      <c r="A1578" s="545">
        <f t="shared" si="111"/>
        <v>376929.07657417719</v>
      </c>
      <c r="B1578" s="3">
        <f t="shared" si="113"/>
        <v>4.2499999999999929</v>
      </c>
      <c r="C1578" s="545">
        <f>'Foglio deposito bis'!$E$159/sezione!$B$247*B1578</f>
        <v>35.095338470436147</v>
      </c>
      <c r="D1578" s="603">
        <f>-'Sollecitazioni nel paramento'!$G$47*'Sollecitazioni nel paramento'!$G$41*IF(DATI!$G$211="dx",DATI!$E$61,DATI!$E$64*DATI!$E$63)*1000*C1578^2*sezione!$AD$5*(1-sezione!$AD$6)</f>
        <v>-27403276.672265336</v>
      </c>
      <c r="E1578" s="545">
        <f>-'Foglio deposito bis'!$F$68*(C1578-sezione!$AL$33)*IF(ABS(K1578)&lt;'Sollecitazioni nel paramento'!$G$58,ABS(K1578)*'Sollecitazioni nel paramento'!$G$54,'Sollecitazioni nel paramento'!$G$53)</f>
        <v>0</v>
      </c>
      <c r="F1578" s="545">
        <f>-'Foglio deposito bis'!$F$69*(C1578-sezione!$AM$33)*IF(ABS(L1578)&lt;'Sollecitazioni nel paramento'!$G$58,ABS(L1578)*'Sollecitazioni nel paramento'!$G$54,'Sollecitazioni nel paramento'!$G$53)</f>
        <v>3826971.2788737137</v>
      </c>
      <c r="G1578" s="545">
        <f>-'Foglio deposito bis'!$F$70*(C1578-sezione!$AN$33)*IF(ABS(M1578)&lt;'Sollecitazioni nel paramento'!$G$58,ABS(M1578)*'Sollecitazioni nel paramento'!$G$54,'Sollecitazioni nel paramento'!$G$53)</f>
        <v>0</v>
      </c>
      <c r="H1578" s="545">
        <f>-'Foglio deposito bis'!$F$71*(C1578-sezione!$AO$33)*IF(ABS(N1578)&lt;'Sollecitazioni nel paramento'!$G$58,ABS(N1578)*'Sollecitazioni nel paramento'!$G$54,'Sollecitazioni nel paramento'!$G$53)</f>
        <v>39308200.10900677</v>
      </c>
      <c r="I1578" s="472">
        <f>-'Foglio deposito bis'!$F$72*(C1578-sezione!$AP$33)*IF(ABS(O1578)&lt;'Sollecitazioni nel paramento'!$G$58,ABS(O1578)*'Sollecitazioni nel paramento'!$G$54,'Sollecitazioni nel paramento'!$G$53)</f>
        <v>263148322.91617167</v>
      </c>
      <c r="J1578" s="472">
        <f t="shared" si="110"/>
        <v>278880217.63178682</v>
      </c>
      <c r="K1578" s="550">
        <f>'Sollecitazioni nel paramento'!$G$60*(sezione!$AL$33-C1578)/C1578</f>
        <v>4.8913377393223221E-4</v>
      </c>
      <c r="L1578" s="550">
        <f>'Sollecitazioni nel paramento'!$G$60*(sezione!$AM$33-C1578)/C1578</f>
        <v>2.4837006608983483E-3</v>
      </c>
      <c r="M1578" s="551">
        <f>'Sollecitazioni nel paramento'!$G$60*(sezione!$AN$33-C1578)/C1578</f>
        <v>4.4782675478644649E-3</v>
      </c>
      <c r="N1578" s="551">
        <f>'Sollecitazioni nel paramento'!$G$60*(sezione!$AO$33-C1578)/C1578</f>
        <v>1.2456535095728929E-2</v>
      </c>
      <c r="O1578" s="551">
        <f>'Sollecitazioni nel paramento'!$G$60*(sezione!$AP$33-C1578)/C1578</f>
        <v>5.33696897554796E-2</v>
      </c>
      <c r="P1578" s="545">
        <f>-'Sollecitazioni nel paramento'!$G$47*'Sollecitazioni nel paramento'!$G$41*IF(DATI!$G$211="dx",DATI!$E$61,DATI!$E$64*DATI!$E$63)*1000*C1578*sezione!$AD$5</f>
        <v>-1337027.1097082058</v>
      </c>
      <c r="Q1578" s="545">
        <f>'Foglio deposito bis'!$F$68*IF(ABS(K1578)&lt;'Sollecitazioni nel paramento'!$G$58,ABS(K1578)*'Sollecitazioni nel paramento'!$G$54,'Sollecitazioni nel paramento'!$G$53)*IF(K1578&lt;0,-1,1)</f>
        <v>0</v>
      </c>
      <c r="R1578" s="545">
        <f>'Foglio deposito bis'!$F$69*IF(ABS(L1578)&lt;'Sollecitazioni nel paramento'!$G$58,ABS(L1578)*'Sollecitazioni nel paramento'!$G$54,'Sollecitazioni nel paramento'!$G$53)*IF(L1578&lt;0,-1,1)</f>
        <v>153664.85805602249</v>
      </c>
      <c r="S1578" s="545">
        <f>'Foglio deposito bis'!$F$70*IF(ABS(M1578)&lt;'Sollecitazioni nel paramento'!$G$58,ABS(M1578)*'Sollecitazioni nel paramento'!$G$54,'Sollecitazioni nel paramento'!$G$53)*IF(M1578&lt;0,-1,1)</f>
        <v>0</v>
      </c>
      <c r="T1578" s="545">
        <f>'Foglio deposito bis'!$F$71*IF(ABS(N1578)&lt;'Sollecitazioni nel paramento'!$G$58,ABS(N1578)*'Sollecitazioni nel paramento'!$G$54,'Sollecitazioni nel paramento'!$G$53)*IF(N1578&lt;0,-1,1)</f>
        <v>314705.62929873407</v>
      </c>
      <c r="U1578" s="545">
        <f>'Foglio deposito bis'!$F$72*IF(ABS(O1578)&lt;'Sollecitazioni nel paramento'!$G$58,ABS(O1578)*'Sollecitazioni nel paramento'!$G$54,'Sollecitazioni nel paramento'!$G$53)*IF(O1578&lt;0,-1,1)</f>
        <v>491727.54577927204</v>
      </c>
      <c r="V1578" s="472">
        <f t="shared" si="112"/>
        <v>-376929.07657417719</v>
      </c>
      <c r="W1578" s="551"/>
      <c r="X1578" s="551"/>
    </row>
    <row r="1579" spans="1:24" x14ac:dyDescent="0.25">
      <c r="A1579" s="545">
        <f t="shared" si="111"/>
        <v>392658.80727662652</v>
      </c>
      <c r="B1579" s="3">
        <f t="shared" si="113"/>
        <v>4.2999999999999927</v>
      </c>
      <c r="C1579" s="545">
        <f>'Foglio deposito bis'!$E$159/sezione!$B$247*B1579</f>
        <v>35.508224805382454</v>
      </c>
      <c r="D1579" s="603">
        <f>-'Sollecitazioni nel paramento'!$G$47*'Sollecitazioni nel paramento'!$G$41*IF(DATI!$G$211="dx",DATI!$E$61,DATI!$E$64*DATI!$E$63)*1000*C1579^2*sezione!$AD$5*(1-sezione!$AD$6)</f>
        <v>-28051852.493851129</v>
      </c>
      <c r="E1579" s="545">
        <f>-'Foglio deposito bis'!$F$68*(C1579-sezione!$AL$33)*IF(ABS(K1579)&lt;'Sollecitazioni nel paramento'!$G$58,ABS(K1579)*'Sollecitazioni nel paramento'!$G$54,'Sollecitazioni nel paramento'!$G$53)</f>
        <v>0</v>
      </c>
      <c r="F1579" s="545">
        <f>-'Foglio deposito bis'!$F$69*(C1579-sezione!$AM$33)*IF(ABS(L1579)&lt;'Sollecitazioni nel paramento'!$G$58,ABS(L1579)*'Sollecitazioni nel paramento'!$G$54,'Sollecitazioni nel paramento'!$G$53)</f>
        <v>3763525.1588209178</v>
      </c>
      <c r="G1579" s="545">
        <f>-'Foglio deposito bis'!$F$70*(C1579-sezione!$AN$33)*IF(ABS(M1579)&lt;'Sollecitazioni nel paramento'!$G$58,ABS(M1579)*'Sollecitazioni nel paramento'!$G$54,'Sollecitazioni nel paramento'!$G$53)</f>
        <v>0</v>
      </c>
      <c r="H1579" s="545">
        <f>-'Foglio deposito bis'!$F$71*(C1579-sezione!$AO$33)*IF(ABS(N1579)&lt;'Sollecitazioni nel paramento'!$G$58,ABS(N1579)*'Sollecitazioni nel paramento'!$G$54,'Sollecitazioni nel paramento'!$G$53)</f>
        <v>39178262.455138654</v>
      </c>
      <c r="I1579" s="472">
        <f>-'Foglio deposito bis'!$F$72*(C1579-sezione!$AP$33)*IF(ABS(O1579)&lt;'Sollecitazioni nel paramento'!$G$58,ABS(O1579)*'Sollecitazioni nel paramento'!$G$54,'Sollecitazioni nel paramento'!$G$53)</f>
        <v>262945295.33200267</v>
      </c>
      <c r="J1579" s="472">
        <f t="shared" si="110"/>
        <v>277835230.45211112</v>
      </c>
      <c r="K1579" s="550">
        <f>'Sollecitazioni nel paramento'!$G$60*(sezione!$AL$33-C1579)/C1579</f>
        <v>4.4274849749115973E-4</v>
      </c>
      <c r="L1579" s="550">
        <f>'Sollecitazioni nel paramento'!$G$60*(sezione!$AM$33-C1579)/C1579</f>
        <v>2.4141227462367398E-3</v>
      </c>
      <c r="M1579" s="551">
        <f>'Sollecitazioni nel paramento'!$G$60*(sezione!$AN$33-C1579)/C1579</f>
        <v>4.3854969949823196E-3</v>
      </c>
      <c r="N1579" s="551">
        <f>'Sollecitazioni nel paramento'!$G$60*(sezione!$AO$33-C1579)/C1579</f>
        <v>1.2270993989964639E-2</v>
      </c>
      <c r="O1579" s="551">
        <f>'Sollecitazioni nel paramento'!$G$60*(sezione!$AP$33-C1579)/C1579</f>
        <v>5.2708414293206572E-2</v>
      </c>
      <c r="P1579" s="545">
        <f>-'Sollecitazioni nel paramento'!$G$47*'Sollecitazioni nel paramento'!$G$41*IF(DATI!$G$211="dx",DATI!$E$61,DATI!$E$64*DATI!$E$63)*1000*C1579*sezione!$AD$5</f>
        <v>-1352756.8404106551</v>
      </c>
      <c r="Q1579" s="545">
        <f>'Foglio deposito bis'!$F$68*IF(ABS(K1579)&lt;'Sollecitazioni nel paramento'!$G$58,ABS(K1579)*'Sollecitazioni nel paramento'!$G$54,'Sollecitazioni nel paramento'!$G$53)*IF(K1579&lt;0,-1,1)</f>
        <v>0</v>
      </c>
      <c r="R1579" s="545">
        <f>'Foglio deposito bis'!$F$69*IF(ABS(L1579)&lt;'Sollecitazioni nel paramento'!$G$58,ABS(L1579)*'Sollecitazioni nel paramento'!$G$54,'Sollecitazioni nel paramento'!$G$53)*IF(L1579&lt;0,-1,1)</f>
        <v>153664.85805602249</v>
      </c>
      <c r="S1579" s="545">
        <f>'Foglio deposito bis'!$F$70*IF(ABS(M1579)&lt;'Sollecitazioni nel paramento'!$G$58,ABS(M1579)*'Sollecitazioni nel paramento'!$G$54,'Sollecitazioni nel paramento'!$G$53)*IF(M1579&lt;0,-1,1)</f>
        <v>0</v>
      </c>
      <c r="T1579" s="545">
        <f>'Foglio deposito bis'!$F$71*IF(ABS(N1579)&lt;'Sollecitazioni nel paramento'!$G$58,ABS(N1579)*'Sollecitazioni nel paramento'!$G$54,'Sollecitazioni nel paramento'!$G$53)*IF(N1579&lt;0,-1,1)</f>
        <v>314705.62929873407</v>
      </c>
      <c r="U1579" s="545">
        <f>'Foglio deposito bis'!$F$72*IF(ABS(O1579)&lt;'Sollecitazioni nel paramento'!$G$58,ABS(O1579)*'Sollecitazioni nel paramento'!$G$54,'Sollecitazioni nel paramento'!$G$53)*IF(O1579&lt;0,-1,1)</f>
        <v>491727.54577927204</v>
      </c>
      <c r="V1579" s="472">
        <f t="shared" si="112"/>
        <v>-392658.80727662652</v>
      </c>
      <c r="W1579" s="551"/>
      <c r="X1579" s="551"/>
    </row>
    <row r="1580" spans="1:24" x14ac:dyDescent="0.25">
      <c r="A1580" s="545">
        <f t="shared" si="111"/>
        <v>408388.53797907586</v>
      </c>
      <c r="B1580" s="3">
        <f t="shared" si="113"/>
        <v>4.3499999999999925</v>
      </c>
      <c r="C1580" s="545">
        <f>'Foglio deposito bis'!$E$159/sezione!$B$247*B1580</f>
        <v>35.921111140328762</v>
      </c>
      <c r="D1580" s="603">
        <f>-'Sollecitazioni nel paramento'!$G$47*'Sollecitazioni nel paramento'!$G$41*IF(DATI!$G$211="dx",DATI!$E$61,DATI!$E$64*DATI!$E$63)*1000*C1580^2*sezione!$AD$5*(1-sezione!$AD$6)</f>
        <v>-28708013.997560736</v>
      </c>
      <c r="E1580" s="545">
        <f>-'Foglio deposito bis'!$F$68*(C1580-sezione!$AL$33)*IF(ABS(K1580)&lt;'Sollecitazioni nel paramento'!$G$58,ABS(K1580)*'Sollecitazioni nel paramento'!$G$54,'Sollecitazioni nel paramento'!$G$53)</f>
        <v>0</v>
      </c>
      <c r="F1580" s="545">
        <f>-'Foglio deposito bis'!$F$69*(C1580-sezione!$AM$33)*IF(ABS(L1580)&lt;'Sollecitazioni nel paramento'!$G$58,ABS(L1580)*'Sollecitazioni nel paramento'!$G$54,'Sollecitazioni nel paramento'!$G$53)</f>
        <v>3700079.038768122</v>
      </c>
      <c r="G1580" s="545">
        <f>-'Foglio deposito bis'!$F$70*(C1580-sezione!$AN$33)*IF(ABS(M1580)&lt;'Sollecitazioni nel paramento'!$G$58,ABS(M1580)*'Sollecitazioni nel paramento'!$G$54,'Sollecitazioni nel paramento'!$G$53)</f>
        <v>0</v>
      </c>
      <c r="H1580" s="545">
        <f>-'Foglio deposito bis'!$F$71*(C1580-sezione!$AO$33)*IF(ABS(N1580)&lt;'Sollecitazioni nel paramento'!$G$58,ABS(N1580)*'Sollecitazioni nel paramento'!$G$54,'Sollecitazioni nel paramento'!$G$53)</f>
        <v>39048324.801270522</v>
      </c>
      <c r="I1580" s="472">
        <f>-'Foglio deposito bis'!$F$72*(C1580-sezione!$AP$33)*IF(ABS(O1580)&lt;'Sollecitazioni nel paramento'!$G$58,ABS(O1580)*'Sollecitazioni nel paramento'!$G$54,'Sollecitazioni nel paramento'!$G$53)</f>
        <v>262742267.74783373</v>
      </c>
      <c r="J1580" s="472">
        <f t="shared" si="110"/>
        <v>276782657.59031165</v>
      </c>
      <c r="K1580" s="550">
        <f>'Sollecitazioni nel paramento'!$G$60*(sezione!$AL$33-C1580)/C1580</f>
        <v>3.9742954924413496E-4</v>
      </c>
      <c r="L1580" s="550">
        <f>'Sollecitazioni nel paramento'!$G$60*(sezione!$AM$33-C1580)/C1580</f>
        <v>2.3461443238662026E-3</v>
      </c>
      <c r="M1580" s="551">
        <f>'Sollecitazioni nel paramento'!$G$60*(sezione!$AN$33-C1580)/C1580</f>
        <v>4.2948590984882695E-3</v>
      </c>
      <c r="N1580" s="551">
        <f>'Sollecitazioni nel paramento'!$G$60*(sezione!$AO$33-C1580)/C1580</f>
        <v>1.208971819697654E-2</v>
      </c>
      <c r="O1580" s="551">
        <f>'Sollecitazioni nel paramento'!$G$60*(sezione!$AP$33-C1580)/C1580</f>
        <v>5.2062340565698452E-2</v>
      </c>
      <c r="P1580" s="545">
        <f>-'Sollecitazioni nel paramento'!$G$47*'Sollecitazioni nel paramento'!$G$41*IF(DATI!$G$211="dx",DATI!$E$61,DATI!$E$64*DATI!$E$63)*1000*C1580*sezione!$AD$5</f>
        <v>-1368486.5711131045</v>
      </c>
      <c r="Q1580" s="545">
        <f>'Foglio deposito bis'!$F$68*IF(ABS(K1580)&lt;'Sollecitazioni nel paramento'!$G$58,ABS(K1580)*'Sollecitazioni nel paramento'!$G$54,'Sollecitazioni nel paramento'!$G$53)*IF(K1580&lt;0,-1,1)</f>
        <v>0</v>
      </c>
      <c r="R1580" s="545">
        <f>'Foglio deposito bis'!$F$69*IF(ABS(L1580)&lt;'Sollecitazioni nel paramento'!$G$58,ABS(L1580)*'Sollecitazioni nel paramento'!$G$54,'Sollecitazioni nel paramento'!$G$53)*IF(L1580&lt;0,-1,1)</f>
        <v>153664.85805602249</v>
      </c>
      <c r="S1580" s="545">
        <f>'Foglio deposito bis'!$F$70*IF(ABS(M1580)&lt;'Sollecitazioni nel paramento'!$G$58,ABS(M1580)*'Sollecitazioni nel paramento'!$G$54,'Sollecitazioni nel paramento'!$G$53)*IF(M1580&lt;0,-1,1)</f>
        <v>0</v>
      </c>
      <c r="T1580" s="545">
        <f>'Foglio deposito bis'!$F$71*IF(ABS(N1580)&lt;'Sollecitazioni nel paramento'!$G$58,ABS(N1580)*'Sollecitazioni nel paramento'!$G$54,'Sollecitazioni nel paramento'!$G$53)*IF(N1580&lt;0,-1,1)</f>
        <v>314705.62929873407</v>
      </c>
      <c r="U1580" s="545">
        <f>'Foglio deposito bis'!$F$72*IF(ABS(O1580)&lt;'Sollecitazioni nel paramento'!$G$58,ABS(O1580)*'Sollecitazioni nel paramento'!$G$54,'Sollecitazioni nel paramento'!$G$53)*IF(O1580&lt;0,-1,1)</f>
        <v>491727.54577927204</v>
      </c>
      <c r="V1580" s="472">
        <f t="shared" si="112"/>
        <v>-408388.53797907586</v>
      </c>
      <c r="W1580" s="551"/>
      <c r="X1580" s="551"/>
    </row>
    <row r="1581" spans="1:24" x14ac:dyDescent="0.25">
      <c r="A1581" s="545">
        <f t="shared" si="111"/>
        <v>424118.26868152543</v>
      </c>
      <c r="B1581" s="3">
        <f t="shared" si="113"/>
        <v>4.3999999999999924</v>
      </c>
      <c r="C1581" s="545">
        <f>'Foglio deposito bis'!$E$159/sezione!$B$247*B1581</f>
        <v>36.333997475275069</v>
      </c>
      <c r="D1581" s="603">
        <f>-'Sollecitazioni nel paramento'!$G$47*'Sollecitazioni nel paramento'!$G$41*IF(DATI!$G$211="dx",DATI!$E$61,DATI!$E$64*DATI!$E$63)*1000*C1581^2*sezione!$AD$5*(1-sezione!$AD$6)</f>
        <v>-29371761.183394149</v>
      </c>
      <c r="E1581" s="545">
        <f>-'Foglio deposito bis'!$F$68*(C1581-sezione!$AL$33)*IF(ABS(K1581)&lt;'Sollecitazioni nel paramento'!$G$58,ABS(K1581)*'Sollecitazioni nel paramento'!$G$54,'Sollecitazioni nel paramento'!$G$53)</f>
        <v>0</v>
      </c>
      <c r="F1581" s="545">
        <f>-'Foglio deposito bis'!$F$69*(C1581-sezione!$AM$33)*IF(ABS(L1581)&lt;'Sollecitazioni nel paramento'!$G$58,ABS(L1581)*'Sollecitazioni nel paramento'!$G$54,'Sollecitazioni nel paramento'!$G$53)</f>
        <v>3636632.9187153266</v>
      </c>
      <c r="G1581" s="545">
        <f>-'Foglio deposito bis'!$F$70*(C1581-sezione!$AN$33)*IF(ABS(M1581)&lt;'Sollecitazioni nel paramento'!$G$58,ABS(M1581)*'Sollecitazioni nel paramento'!$G$54,'Sollecitazioni nel paramento'!$G$53)</f>
        <v>0</v>
      </c>
      <c r="H1581" s="545">
        <f>-'Foglio deposito bis'!$F$71*(C1581-sezione!$AO$33)*IF(ABS(N1581)&lt;'Sollecitazioni nel paramento'!$G$58,ABS(N1581)*'Sollecitazioni nel paramento'!$G$54,'Sollecitazioni nel paramento'!$G$53)</f>
        <v>38918387.147402398</v>
      </c>
      <c r="I1581" s="472">
        <f>-'Foglio deposito bis'!$F$72*(C1581-sezione!$AP$33)*IF(ABS(O1581)&lt;'Sollecitazioni nel paramento'!$G$58,ABS(O1581)*'Sollecitazioni nel paramento'!$G$54,'Sollecitazioni nel paramento'!$G$53)</f>
        <v>262539240.16366482</v>
      </c>
      <c r="J1581" s="472">
        <f t="shared" si="110"/>
        <v>275722499.04638839</v>
      </c>
      <c r="K1581" s="550">
        <f>'Sollecitazioni nel paramento'!$G$60*(sezione!$AL$33-C1581)/C1581</f>
        <v>3.531405770936334E-4</v>
      </c>
      <c r="L1581" s="550">
        <f>'Sollecitazioni nel paramento'!$G$60*(sezione!$AM$33-C1581)/C1581</f>
        <v>2.2797108656404498E-3</v>
      </c>
      <c r="M1581" s="551">
        <f>'Sollecitazioni nel paramento'!$G$60*(sezione!$AN$33-C1581)/C1581</f>
        <v>4.2062811541872672E-3</v>
      </c>
      <c r="N1581" s="551">
        <f>'Sollecitazioni nel paramento'!$G$60*(sezione!$AO$33-C1581)/C1581</f>
        <v>1.1912562308374534E-2</v>
      </c>
      <c r="O1581" s="551">
        <f>'Sollecitazioni nel paramento'!$G$60*(sezione!$AP$33-C1581)/C1581</f>
        <v>5.1430950331997342E-2</v>
      </c>
      <c r="P1581" s="545">
        <f>-'Sollecitazioni nel paramento'!$G$47*'Sollecitazioni nel paramento'!$G$41*IF(DATI!$G$211="dx",DATI!$E$61,DATI!$E$64*DATI!$E$63)*1000*C1581*sezione!$AD$5</f>
        <v>-1384216.301815554</v>
      </c>
      <c r="Q1581" s="545">
        <f>'Foglio deposito bis'!$F$68*IF(ABS(K1581)&lt;'Sollecitazioni nel paramento'!$G$58,ABS(K1581)*'Sollecitazioni nel paramento'!$G$54,'Sollecitazioni nel paramento'!$G$53)*IF(K1581&lt;0,-1,1)</f>
        <v>0</v>
      </c>
      <c r="R1581" s="545">
        <f>'Foglio deposito bis'!$F$69*IF(ABS(L1581)&lt;'Sollecitazioni nel paramento'!$G$58,ABS(L1581)*'Sollecitazioni nel paramento'!$G$54,'Sollecitazioni nel paramento'!$G$53)*IF(L1581&lt;0,-1,1)</f>
        <v>153664.85805602249</v>
      </c>
      <c r="S1581" s="545">
        <f>'Foglio deposito bis'!$F$70*IF(ABS(M1581)&lt;'Sollecitazioni nel paramento'!$G$58,ABS(M1581)*'Sollecitazioni nel paramento'!$G$54,'Sollecitazioni nel paramento'!$G$53)*IF(M1581&lt;0,-1,1)</f>
        <v>0</v>
      </c>
      <c r="T1581" s="545">
        <f>'Foglio deposito bis'!$F$71*IF(ABS(N1581)&lt;'Sollecitazioni nel paramento'!$G$58,ABS(N1581)*'Sollecitazioni nel paramento'!$G$54,'Sollecitazioni nel paramento'!$G$53)*IF(N1581&lt;0,-1,1)</f>
        <v>314705.62929873407</v>
      </c>
      <c r="U1581" s="545">
        <f>'Foglio deposito bis'!$F$72*IF(ABS(O1581)&lt;'Sollecitazioni nel paramento'!$G$58,ABS(O1581)*'Sollecitazioni nel paramento'!$G$54,'Sollecitazioni nel paramento'!$G$53)*IF(O1581&lt;0,-1,1)</f>
        <v>491727.54577927204</v>
      </c>
      <c r="V1581" s="472">
        <f t="shared" si="112"/>
        <v>-424118.26868152543</v>
      </c>
      <c r="W1581" s="551"/>
      <c r="X1581" s="551"/>
    </row>
    <row r="1582" spans="1:24" x14ac:dyDescent="0.25">
      <c r="A1582" s="545">
        <f t="shared" si="111"/>
        <v>439847.99938397499</v>
      </c>
      <c r="B1582" s="3">
        <f t="shared" si="113"/>
        <v>4.4499999999999922</v>
      </c>
      <c r="C1582" s="545">
        <f>'Foglio deposito bis'!$E$159/sezione!$B$247*B1582</f>
        <v>36.746883810221377</v>
      </c>
      <c r="D1582" s="603">
        <f>-'Sollecitazioni nel paramento'!$G$47*'Sollecitazioni nel paramento'!$G$41*IF(DATI!$G$211="dx",DATI!$E$61,DATI!$E$64*DATI!$E$63)*1000*C1582^2*sezione!$AD$5*(1-sezione!$AD$6)</f>
        <v>-30043094.051351376</v>
      </c>
      <c r="E1582" s="545">
        <f>-'Foglio deposito bis'!$F$68*(C1582-sezione!$AL$33)*IF(ABS(K1582)&lt;'Sollecitazioni nel paramento'!$G$58,ABS(K1582)*'Sollecitazioni nel paramento'!$G$54,'Sollecitazioni nel paramento'!$G$53)</f>
        <v>0</v>
      </c>
      <c r="F1582" s="545">
        <f>-'Foglio deposito bis'!$F$69*(C1582-sezione!$AM$33)*IF(ABS(L1582)&lt;'Sollecitazioni nel paramento'!$G$58,ABS(L1582)*'Sollecitazioni nel paramento'!$G$54,'Sollecitazioni nel paramento'!$G$53)</f>
        <v>3573186.7986625307</v>
      </c>
      <c r="G1582" s="545">
        <f>-'Foglio deposito bis'!$F$70*(C1582-sezione!$AN$33)*IF(ABS(M1582)&lt;'Sollecitazioni nel paramento'!$G$58,ABS(M1582)*'Sollecitazioni nel paramento'!$G$54,'Sollecitazioni nel paramento'!$G$53)</f>
        <v>0</v>
      </c>
      <c r="H1582" s="545">
        <f>-'Foglio deposito bis'!$F$71*(C1582-sezione!$AO$33)*IF(ABS(N1582)&lt;'Sollecitazioni nel paramento'!$G$58,ABS(N1582)*'Sollecitazioni nel paramento'!$G$54,'Sollecitazioni nel paramento'!$G$53)</f>
        <v>38788449.493534274</v>
      </c>
      <c r="I1582" s="472">
        <f>-'Foglio deposito bis'!$F$72*(C1582-sezione!$AP$33)*IF(ABS(O1582)&lt;'Sollecitazioni nel paramento'!$G$58,ABS(O1582)*'Sollecitazioni nel paramento'!$G$54,'Sollecitazioni nel paramento'!$G$53)</f>
        <v>262336212.57949588</v>
      </c>
      <c r="J1582" s="472">
        <f t="shared" si="110"/>
        <v>274654754.82034129</v>
      </c>
      <c r="K1582" s="550">
        <f>'Sollecitazioni nel paramento'!$G$60*(sezione!$AL$33-C1582)/C1582</f>
        <v>3.0984686274426678E-4</v>
      </c>
      <c r="L1582" s="550">
        <f>'Sollecitazioni nel paramento'!$G$60*(sezione!$AM$33-C1582)/C1582</f>
        <v>2.2147702941164001E-3</v>
      </c>
      <c r="M1582" s="551">
        <f>'Sollecitazioni nel paramento'!$G$60*(sezione!$AN$33-C1582)/C1582</f>
        <v>4.1196937254885336E-3</v>
      </c>
      <c r="N1582" s="551">
        <f>'Sollecitazioni nel paramento'!$G$60*(sezione!$AO$33-C1582)/C1582</f>
        <v>1.1739387450977069E-2</v>
      </c>
      <c r="O1582" s="551">
        <f>'Sollecitazioni nel paramento'!$G$60*(sezione!$AP$33-C1582)/C1582</f>
        <v>5.0813748642873774E-2</v>
      </c>
      <c r="P1582" s="545">
        <f>-'Sollecitazioni nel paramento'!$G$47*'Sollecitazioni nel paramento'!$G$41*IF(DATI!$G$211="dx",DATI!$E$61,DATI!$E$64*DATI!$E$63)*1000*C1582*sezione!$AD$5</f>
        <v>-1399946.0325180036</v>
      </c>
      <c r="Q1582" s="545">
        <f>'Foglio deposito bis'!$F$68*IF(ABS(K1582)&lt;'Sollecitazioni nel paramento'!$G$58,ABS(K1582)*'Sollecitazioni nel paramento'!$G$54,'Sollecitazioni nel paramento'!$G$53)*IF(K1582&lt;0,-1,1)</f>
        <v>0</v>
      </c>
      <c r="R1582" s="545">
        <f>'Foglio deposito bis'!$F$69*IF(ABS(L1582)&lt;'Sollecitazioni nel paramento'!$G$58,ABS(L1582)*'Sollecitazioni nel paramento'!$G$54,'Sollecitazioni nel paramento'!$G$53)*IF(L1582&lt;0,-1,1)</f>
        <v>153664.85805602249</v>
      </c>
      <c r="S1582" s="545">
        <f>'Foglio deposito bis'!$F$70*IF(ABS(M1582)&lt;'Sollecitazioni nel paramento'!$G$58,ABS(M1582)*'Sollecitazioni nel paramento'!$G$54,'Sollecitazioni nel paramento'!$G$53)*IF(M1582&lt;0,-1,1)</f>
        <v>0</v>
      </c>
      <c r="T1582" s="545">
        <f>'Foglio deposito bis'!$F$71*IF(ABS(N1582)&lt;'Sollecitazioni nel paramento'!$G$58,ABS(N1582)*'Sollecitazioni nel paramento'!$G$54,'Sollecitazioni nel paramento'!$G$53)*IF(N1582&lt;0,-1,1)</f>
        <v>314705.62929873407</v>
      </c>
      <c r="U1582" s="545">
        <f>'Foglio deposito bis'!$F$72*IF(ABS(O1582)&lt;'Sollecitazioni nel paramento'!$G$58,ABS(O1582)*'Sollecitazioni nel paramento'!$G$54,'Sollecitazioni nel paramento'!$G$53)*IF(O1582&lt;0,-1,1)</f>
        <v>491727.54577927204</v>
      </c>
      <c r="V1582" s="472">
        <f t="shared" si="112"/>
        <v>-439847.99938397499</v>
      </c>
      <c r="W1582" s="551"/>
      <c r="X1582" s="551"/>
    </row>
    <row r="1583" spans="1:24" x14ac:dyDescent="0.25">
      <c r="A1583" s="545">
        <f t="shared" si="111"/>
        <v>455577.73008642433</v>
      </c>
      <c r="B1583" s="3">
        <f t="shared" si="113"/>
        <v>4.499999999999992</v>
      </c>
      <c r="C1583" s="545">
        <f>'Foglio deposito bis'!$E$159/sezione!$B$247*B1583</f>
        <v>37.159770145167684</v>
      </c>
      <c r="D1583" s="603">
        <f>-'Sollecitazioni nel paramento'!$G$47*'Sollecitazioni nel paramento'!$G$41*IF(DATI!$G$211="dx",DATI!$E$61,DATI!$E$64*DATI!$E$63)*1000*C1583^2*sezione!$AD$5*(1-sezione!$AD$6)</f>
        <v>-30722012.601432417</v>
      </c>
      <c r="E1583" s="545">
        <f>-'Foglio deposito bis'!$F$68*(C1583-sezione!$AL$33)*IF(ABS(K1583)&lt;'Sollecitazioni nel paramento'!$G$58,ABS(K1583)*'Sollecitazioni nel paramento'!$G$54,'Sollecitazioni nel paramento'!$G$53)</f>
        <v>0</v>
      </c>
      <c r="F1583" s="545">
        <f>-'Foglio deposito bis'!$F$69*(C1583-sezione!$AM$33)*IF(ABS(L1583)&lt;'Sollecitazioni nel paramento'!$G$58,ABS(L1583)*'Sollecitazioni nel paramento'!$G$54,'Sollecitazioni nel paramento'!$G$53)</f>
        <v>3509740.6786097349</v>
      </c>
      <c r="G1583" s="545">
        <f>-'Foglio deposito bis'!$F$70*(C1583-sezione!$AN$33)*IF(ABS(M1583)&lt;'Sollecitazioni nel paramento'!$G$58,ABS(M1583)*'Sollecitazioni nel paramento'!$G$54,'Sollecitazioni nel paramento'!$G$53)</f>
        <v>0</v>
      </c>
      <c r="H1583" s="545">
        <f>-'Foglio deposito bis'!$F$71*(C1583-sezione!$AO$33)*IF(ABS(N1583)&lt;'Sollecitazioni nel paramento'!$G$58,ABS(N1583)*'Sollecitazioni nel paramento'!$G$54,'Sollecitazioni nel paramento'!$G$53)</f>
        <v>38658511.839666151</v>
      </c>
      <c r="I1583" s="472">
        <f>-'Foglio deposito bis'!$F$72*(C1583-sezione!$AP$33)*IF(ABS(O1583)&lt;'Sollecitazioni nel paramento'!$G$58,ABS(O1583)*'Sollecitazioni nel paramento'!$G$54,'Sollecitazioni nel paramento'!$G$53)</f>
        <v>262133184.99532688</v>
      </c>
      <c r="J1583" s="472">
        <f t="shared" si="110"/>
        <v>273579424.91217035</v>
      </c>
      <c r="K1583" s="550">
        <f>'Sollecitazioni nel paramento'!$G$60*(sezione!$AL$33-C1583)/C1583</f>
        <v>2.6751523093599718E-4</v>
      </c>
      <c r="L1583" s="550">
        <f>'Sollecitazioni nel paramento'!$G$60*(sezione!$AM$33-C1583)/C1583</f>
        <v>2.151272846403996E-3</v>
      </c>
      <c r="M1583" s="551">
        <f>'Sollecitazioni nel paramento'!$G$60*(sezione!$AN$33-C1583)/C1583</f>
        <v>4.035030461871994E-3</v>
      </c>
      <c r="N1583" s="551">
        <f>'Sollecitazioni nel paramento'!$G$60*(sezione!$AO$33-C1583)/C1583</f>
        <v>1.1570060923743989E-2</v>
      </c>
      <c r="O1583" s="551">
        <f>'Sollecitazioni nel paramento'!$G$60*(sezione!$AP$33-C1583)/C1583</f>
        <v>5.0210262546841834E-2</v>
      </c>
      <c r="P1583" s="545">
        <f>-'Sollecitazioni nel paramento'!$G$47*'Sollecitazioni nel paramento'!$G$41*IF(DATI!$G$211="dx",DATI!$E$61,DATI!$E$64*DATI!$E$63)*1000*C1583*sezione!$AD$5</f>
        <v>-1415675.7632204529</v>
      </c>
      <c r="Q1583" s="545">
        <f>'Foglio deposito bis'!$F$68*IF(ABS(K1583)&lt;'Sollecitazioni nel paramento'!$G$58,ABS(K1583)*'Sollecitazioni nel paramento'!$G$54,'Sollecitazioni nel paramento'!$G$53)*IF(K1583&lt;0,-1,1)</f>
        <v>0</v>
      </c>
      <c r="R1583" s="545">
        <f>'Foglio deposito bis'!$F$69*IF(ABS(L1583)&lt;'Sollecitazioni nel paramento'!$G$58,ABS(L1583)*'Sollecitazioni nel paramento'!$G$54,'Sollecitazioni nel paramento'!$G$53)*IF(L1583&lt;0,-1,1)</f>
        <v>153664.85805602249</v>
      </c>
      <c r="S1583" s="545">
        <f>'Foglio deposito bis'!$F$70*IF(ABS(M1583)&lt;'Sollecitazioni nel paramento'!$G$58,ABS(M1583)*'Sollecitazioni nel paramento'!$G$54,'Sollecitazioni nel paramento'!$G$53)*IF(M1583&lt;0,-1,1)</f>
        <v>0</v>
      </c>
      <c r="T1583" s="545">
        <f>'Foglio deposito bis'!$F$71*IF(ABS(N1583)&lt;'Sollecitazioni nel paramento'!$G$58,ABS(N1583)*'Sollecitazioni nel paramento'!$G$54,'Sollecitazioni nel paramento'!$G$53)*IF(N1583&lt;0,-1,1)</f>
        <v>314705.62929873407</v>
      </c>
      <c r="U1583" s="545">
        <f>'Foglio deposito bis'!$F$72*IF(ABS(O1583)&lt;'Sollecitazioni nel paramento'!$G$58,ABS(O1583)*'Sollecitazioni nel paramento'!$G$54,'Sollecitazioni nel paramento'!$G$53)*IF(O1583&lt;0,-1,1)</f>
        <v>491727.54577927204</v>
      </c>
      <c r="V1583" s="472">
        <f t="shared" si="112"/>
        <v>-455577.73008642433</v>
      </c>
      <c r="W1583" s="551"/>
      <c r="X1583" s="551"/>
    </row>
    <row r="1584" spans="1:24" x14ac:dyDescent="0.25">
      <c r="A1584" s="545">
        <f t="shared" si="111"/>
        <v>471307.4607888739</v>
      </c>
      <c r="B1584" s="3">
        <f t="shared" si="113"/>
        <v>4.5499999999999918</v>
      </c>
      <c r="C1584" s="545">
        <f>'Foglio deposito bis'!$E$159/sezione!$B$247*B1584</f>
        <v>37.572656480113992</v>
      </c>
      <c r="D1584" s="603">
        <f>-'Sollecitazioni nel paramento'!$G$47*'Sollecitazioni nel paramento'!$G$41*IF(DATI!$G$211="dx",DATI!$E$61,DATI!$E$64*DATI!$E$63)*1000*C1584^2*sezione!$AD$5*(1-sezione!$AD$6)</f>
        <v>-31408516.833637256</v>
      </c>
      <c r="E1584" s="545">
        <f>-'Foglio deposito bis'!$F$68*(C1584-sezione!$AL$33)*IF(ABS(K1584)&lt;'Sollecitazioni nel paramento'!$G$58,ABS(K1584)*'Sollecitazioni nel paramento'!$G$54,'Sollecitazioni nel paramento'!$G$53)</f>
        <v>0</v>
      </c>
      <c r="F1584" s="545">
        <f>-'Foglio deposito bis'!$F$69*(C1584-sezione!$AM$33)*IF(ABS(L1584)&lt;'Sollecitazioni nel paramento'!$G$58,ABS(L1584)*'Sollecitazioni nel paramento'!$G$54,'Sollecitazioni nel paramento'!$G$53)</f>
        <v>3446294.558556939</v>
      </c>
      <c r="G1584" s="545">
        <f>-'Foglio deposito bis'!$F$70*(C1584-sezione!$AN$33)*IF(ABS(M1584)&lt;'Sollecitazioni nel paramento'!$G$58,ABS(M1584)*'Sollecitazioni nel paramento'!$G$54,'Sollecitazioni nel paramento'!$G$53)</f>
        <v>0</v>
      </c>
      <c r="H1584" s="545">
        <f>-'Foglio deposito bis'!$F$71*(C1584-sezione!$AO$33)*IF(ABS(N1584)&lt;'Sollecitazioni nel paramento'!$G$58,ABS(N1584)*'Sollecitazioni nel paramento'!$G$54,'Sollecitazioni nel paramento'!$G$53)</f>
        <v>38528574.185798019</v>
      </c>
      <c r="I1584" s="472">
        <f>-'Foglio deposito bis'!$F$72*(C1584-sezione!$AP$33)*IF(ABS(O1584)&lt;'Sollecitazioni nel paramento'!$G$58,ABS(O1584)*'Sollecitazioni nel paramento'!$G$54,'Sollecitazioni nel paramento'!$G$53)</f>
        <v>261930157.41115797</v>
      </c>
      <c r="J1584" s="472">
        <f t="shared" si="110"/>
        <v>272496509.32187569</v>
      </c>
      <c r="K1584" s="550">
        <f>'Sollecitazioni nel paramento'!$G$60*(sezione!$AL$33-C1584)/C1584</f>
        <v>2.2611396466197525E-4</v>
      </c>
      <c r="L1584" s="550">
        <f>'Sollecitazioni nel paramento'!$G$60*(sezione!$AM$33-C1584)/C1584</f>
        <v>2.0891709469929628E-3</v>
      </c>
      <c r="M1584" s="551">
        <f>'Sollecitazioni nel paramento'!$G$60*(sezione!$AN$33-C1584)/C1584</f>
        <v>3.9522279293239503E-3</v>
      </c>
      <c r="N1584" s="551">
        <f>'Sollecitazioni nel paramento'!$G$60*(sezione!$AO$33-C1584)/C1584</f>
        <v>1.1404455858647902E-2</v>
      </c>
      <c r="O1584" s="551">
        <f>'Sollecitazioni nel paramento'!$G$60*(sezione!$AP$33-C1584)/C1584</f>
        <v>4.9620039881491926E-2</v>
      </c>
      <c r="P1584" s="545">
        <f>-'Sollecitazioni nel paramento'!$G$47*'Sollecitazioni nel paramento'!$G$41*IF(DATI!$G$211="dx",DATI!$E$61,DATI!$E$64*DATI!$E$63)*1000*C1584*sezione!$AD$5</f>
        <v>-1431405.4939229025</v>
      </c>
      <c r="Q1584" s="545">
        <f>'Foglio deposito bis'!$F$68*IF(ABS(K1584)&lt;'Sollecitazioni nel paramento'!$G$58,ABS(K1584)*'Sollecitazioni nel paramento'!$G$54,'Sollecitazioni nel paramento'!$G$53)*IF(K1584&lt;0,-1,1)</f>
        <v>0</v>
      </c>
      <c r="R1584" s="545">
        <f>'Foglio deposito bis'!$F$69*IF(ABS(L1584)&lt;'Sollecitazioni nel paramento'!$G$58,ABS(L1584)*'Sollecitazioni nel paramento'!$G$54,'Sollecitazioni nel paramento'!$G$53)*IF(L1584&lt;0,-1,1)</f>
        <v>153664.85805602249</v>
      </c>
      <c r="S1584" s="545">
        <f>'Foglio deposito bis'!$F$70*IF(ABS(M1584)&lt;'Sollecitazioni nel paramento'!$G$58,ABS(M1584)*'Sollecitazioni nel paramento'!$G$54,'Sollecitazioni nel paramento'!$G$53)*IF(M1584&lt;0,-1,1)</f>
        <v>0</v>
      </c>
      <c r="T1584" s="545">
        <f>'Foglio deposito bis'!$F$71*IF(ABS(N1584)&lt;'Sollecitazioni nel paramento'!$G$58,ABS(N1584)*'Sollecitazioni nel paramento'!$G$54,'Sollecitazioni nel paramento'!$G$53)*IF(N1584&lt;0,-1,1)</f>
        <v>314705.62929873407</v>
      </c>
      <c r="U1584" s="545">
        <f>'Foglio deposito bis'!$F$72*IF(ABS(O1584)&lt;'Sollecitazioni nel paramento'!$G$58,ABS(O1584)*'Sollecitazioni nel paramento'!$G$54,'Sollecitazioni nel paramento'!$G$53)*IF(O1584&lt;0,-1,1)</f>
        <v>491727.54577927204</v>
      </c>
      <c r="V1584" s="472">
        <f t="shared" si="112"/>
        <v>-471307.4607888739</v>
      </c>
      <c r="W1584" s="551"/>
      <c r="X1584" s="551"/>
    </row>
    <row r="1585" spans="1:24" x14ac:dyDescent="0.25">
      <c r="A1585" s="545">
        <f t="shared" si="111"/>
        <v>487037.19149132323</v>
      </c>
      <c r="B1585" s="3">
        <f t="shared" si="113"/>
        <v>4.5999999999999917</v>
      </c>
      <c r="C1585" s="545">
        <f>'Foglio deposito bis'!$E$159/sezione!$B$247*B1585</f>
        <v>37.985542815060299</v>
      </c>
      <c r="D1585" s="603">
        <f>-'Sollecitazioni nel paramento'!$G$47*'Sollecitazioni nel paramento'!$G$41*IF(DATI!$G$211="dx",DATI!$E$61,DATI!$E$64*DATI!$E$63)*1000*C1585^2*sezione!$AD$5*(1-sezione!$AD$6)</f>
        <v>-32102606.747965924</v>
      </c>
      <c r="E1585" s="545">
        <f>-'Foglio deposito bis'!$F$68*(C1585-sezione!$AL$33)*IF(ABS(K1585)&lt;'Sollecitazioni nel paramento'!$G$58,ABS(K1585)*'Sollecitazioni nel paramento'!$G$54,'Sollecitazioni nel paramento'!$G$53)</f>
        <v>0</v>
      </c>
      <c r="F1585" s="545">
        <f>-'Foglio deposito bis'!$F$69*(C1585-sezione!$AM$33)*IF(ABS(L1585)&lt;'Sollecitazioni nel paramento'!$G$58,ABS(L1585)*'Sollecitazioni nel paramento'!$G$54,'Sollecitazioni nel paramento'!$G$53)</f>
        <v>3382848.4385041436</v>
      </c>
      <c r="G1585" s="545">
        <f>-'Foglio deposito bis'!$F$70*(C1585-sezione!$AN$33)*IF(ABS(M1585)&lt;'Sollecitazioni nel paramento'!$G$58,ABS(M1585)*'Sollecitazioni nel paramento'!$G$54,'Sollecitazioni nel paramento'!$G$53)</f>
        <v>0</v>
      </c>
      <c r="H1585" s="545">
        <f>-'Foglio deposito bis'!$F$71*(C1585-sezione!$AO$33)*IF(ABS(N1585)&lt;'Sollecitazioni nel paramento'!$G$58,ABS(N1585)*'Sollecitazioni nel paramento'!$G$54,'Sollecitazioni nel paramento'!$G$53)</f>
        <v>38398636.531929895</v>
      </c>
      <c r="I1585" s="472">
        <f>-'Foglio deposito bis'!$F$72*(C1585-sezione!$AP$33)*IF(ABS(O1585)&lt;'Sollecitazioni nel paramento'!$G$58,ABS(O1585)*'Sollecitazioni nel paramento'!$G$54,'Sollecitazioni nel paramento'!$G$53)</f>
        <v>261727129.82698902</v>
      </c>
      <c r="J1585" s="472">
        <f t="shared" si="110"/>
        <v>271406008.04945713</v>
      </c>
      <c r="K1585" s="550">
        <f>'Sollecitazioni nel paramento'!$G$60*(sezione!$AL$33-C1585)/C1585</f>
        <v>1.8561272591564943E-4</v>
      </c>
      <c r="L1585" s="550">
        <f>'Sollecitazioni nel paramento'!$G$60*(sezione!$AM$33-C1585)/C1585</f>
        <v>2.0284190888734742E-3</v>
      </c>
      <c r="M1585" s="551">
        <f>'Sollecitazioni nel paramento'!$G$60*(sezione!$AN$33-C1585)/C1585</f>
        <v>3.8712254518312992E-3</v>
      </c>
      <c r="N1585" s="551">
        <f>'Sollecitazioni nel paramento'!$G$60*(sezione!$AO$33-C1585)/C1585</f>
        <v>1.1242450903662597E-2</v>
      </c>
      <c r="O1585" s="551">
        <f>'Sollecitazioni nel paramento'!$G$60*(sezione!$AP$33-C1585)/C1585</f>
        <v>4.9042648143649628E-2</v>
      </c>
      <c r="P1585" s="545">
        <f>-'Sollecitazioni nel paramento'!$G$47*'Sollecitazioni nel paramento'!$G$41*IF(DATI!$G$211="dx",DATI!$E$61,DATI!$E$64*DATI!$E$63)*1000*C1585*sezione!$AD$5</f>
        <v>-1447135.2246253518</v>
      </c>
      <c r="Q1585" s="545">
        <f>'Foglio deposito bis'!$F$68*IF(ABS(K1585)&lt;'Sollecitazioni nel paramento'!$G$58,ABS(K1585)*'Sollecitazioni nel paramento'!$G$54,'Sollecitazioni nel paramento'!$G$53)*IF(K1585&lt;0,-1,1)</f>
        <v>0</v>
      </c>
      <c r="R1585" s="545">
        <f>'Foglio deposito bis'!$F$69*IF(ABS(L1585)&lt;'Sollecitazioni nel paramento'!$G$58,ABS(L1585)*'Sollecitazioni nel paramento'!$G$54,'Sollecitazioni nel paramento'!$G$53)*IF(L1585&lt;0,-1,1)</f>
        <v>153664.85805602249</v>
      </c>
      <c r="S1585" s="545">
        <f>'Foglio deposito bis'!$F$70*IF(ABS(M1585)&lt;'Sollecitazioni nel paramento'!$G$58,ABS(M1585)*'Sollecitazioni nel paramento'!$G$54,'Sollecitazioni nel paramento'!$G$53)*IF(M1585&lt;0,-1,1)</f>
        <v>0</v>
      </c>
      <c r="T1585" s="545">
        <f>'Foglio deposito bis'!$F$71*IF(ABS(N1585)&lt;'Sollecitazioni nel paramento'!$G$58,ABS(N1585)*'Sollecitazioni nel paramento'!$G$54,'Sollecitazioni nel paramento'!$G$53)*IF(N1585&lt;0,-1,1)</f>
        <v>314705.62929873407</v>
      </c>
      <c r="U1585" s="545">
        <f>'Foglio deposito bis'!$F$72*IF(ABS(O1585)&lt;'Sollecitazioni nel paramento'!$G$58,ABS(O1585)*'Sollecitazioni nel paramento'!$G$54,'Sollecitazioni nel paramento'!$G$53)*IF(O1585&lt;0,-1,1)</f>
        <v>491727.54577927204</v>
      </c>
      <c r="V1585" s="472">
        <f t="shared" si="112"/>
        <v>-487037.19149132323</v>
      </c>
      <c r="W1585" s="551"/>
      <c r="X1585" s="551"/>
    </row>
    <row r="1586" spans="1:24" x14ac:dyDescent="0.25">
      <c r="A1586" s="545">
        <f t="shared" si="111"/>
        <v>502766.9221937728</v>
      </c>
      <c r="B1586" s="3">
        <f t="shared" si="113"/>
        <v>4.6499999999999915</v>
      </c>
      <c r="C1586" s="545">
        <f>'Foglio deposito bis'!$E$159/sezione!$B$247*B1586</f>
        <v>38.398429150006606</v>
      </c>
      <c r="D1586" s="603">
        <f>-'Sollecitazioni nel paramento'!$G$47*'Sollecitazioni nel paramento'!$G$41*IF(DATI!$G$211="dx",DATI!$E$61,DATI!$E$64*DATI!$E$63)*1000*C1586^2*sezione!$AD$5*(1-sezione!$AD$6)</f>
        <v>-32804282.344418388</v>
      </c>
      <c r="E1586" s="545">
        <f>-'Foglio deposito bis'!$F$68*(C1586-sezione!$AL$33)*IF(ABS(K1586)&lt;'Sollecitazioni nel paramento'!$G$58,ABS(K1586)*'Sollecitazioni nel paramento'!$G$54,'Sollecitazioni nel paramento'!$G$53)</f>
        <v>0</v>
      </c>
      <c r="F1586" s="545">
        <f>-'Foglio deposito bis'!$F$69*(C1586-sezione!$AM$33)*IF(ABS(L1586)&lt;'Sollecitazioni nel paramento'!$G$58,ABS(L1586)*'Sollecitazioni nel paramento'!$G$54,'Sollecitazioni nel paramento'!$G$53)</f>
        <v>3319402.3184513478</v>
      </c>
      <c r="G1586" s="545">
        <f>-'Foglio deposito bis'!$F$70*(C1586-sezione!$AN$33)*IF(ABS(M1586)&lt;'Sollecitazioni nel paramento'!$G$58,ABS(M1586)*'Sollecitazioni nel paramento'!$G$54,'Sollecitazioni nel paramento'!$G$53)</f>
        <v>0</v>
      </c>
      <c r="H1586" s="545">
        <f>-'Foglio deposito bis'!$F$71*(C1586-sezione!$AO$33)*IF(ABS(N1586)&lt;'Sollecitazioni nel paramento'!$G$58,ABS(N1586)*'Sollecitazioni nel paramento'!$G$54,'Sollecitazioni nel paramento'!$G$53)</f>
        <v>38268698.878061771</v>
      </c>
      <c r="I1586" s="472">
        <f>-'Foglio deposito bis'!$F$72*(C1586-sezione!$AP$33)*IF(ABS(O1586)&lt;'Sollecitazioni nel paramento'!$G$58,ABS(O1586)*'Sollecitazioni nel paramento'!$G$54,'Sollecitazioni nel paramento'!$G$53)</f>
        <v>261524102.24282008</v>
      </c>
      <c r="J1586" s="472">
        <f t="shared" si="110"/>
        <v>270307921.09491479</v>
      </c>
      <c r="K1586" s="550">
        <f>'Sollecitazioni nel paramento'!$G$60*(sezione!$AL$33-C1586)/C1586</f>
        <v>1.4598248155096505E-4</v>
      </c>
      <c r="L1586" s="550">
        <f>'Sollecitazioni nel paramento'!$G$60*(sezione!$AM$33-C1586)/C1586</f>
        <v>1.968973722326448E-3</v>
      </c>
      <c r="M1586" s="551">
        <f>'Sollecitazioni nel paramento'!$G$60*(sezione!$AN$33-C1586)/C1586</f>
        <v>3.7919649631019299E-3</v>
      </c>
      <c r="N1586" s="551">
        <f>'Sollecitazioni nel paramento'!$G$60*(sezione!$AO$33-C1586)/C1586</f>
        <v>1.1083929926203859E-2</v>
      </c>
      <c r="O1586" s="551">
        <f>'Sollecitazioni nel paramento'!$G$60*(sezione!$AP$33-C1586)/C1586</f>
        <v>4.8477673432427593E-2</v>
      </c>
      <c r="P1586" s="545">
        <f>-'Sollecitazioni nel paramento'!$G$47*'Sollecitazioni nel paramento'!$G$41*IF(DATI!$G$211="dx",DATI!$E$61,DATI!$E$64*DATI!$E$63)*1000*C1586*sezione!$AD$5</f>
        <v>-1462864.9553278014</v>
      </c>
      <c r="Q1586" s="545">
        <f>'Foglio deposito bis'!$F$68*IF(ABS(K1586)&lt;'Sollecitazioni nel paramento'!$G$58,ABS(K1586)*'Sollecitazioni nel paramento'!$G$54,'Sollecitazioni nel paramento'!$G$53)*IF(K1586&lt;0,-1,1)</f>
        <v>0</v>
      </c>
      <c r="R1586" s="545">
        <f>'Foglio deposito bis'!$F$69*IF(ABS(L1586)&lt;'Sollecitazioni nel paramento'!$G$58,ABS(L1586)*'Sollecitazioni nel paramento'!$G$54,'Sollecitazioni nel paramento'!$G$53)*IF(L1586&lt;0,-1,1)</f>
        <v>153664.85805602249</v>
      </c>
      <c r="S1586" s="545">
        <f>'Foglio deposito bis'!$F$70*IF(ABS(M1586)&lt;'Sollecitazioni nel paramento'!$G$58,ABS(M1586)*'Sollecitazioni nel paramento'!$G$54,'Sollecitazioni nel paramento'!$G$53)*IF(M1586&lt;0,-1,1)</f>
        <v>0</v>
      </c>
      <c r="T1586" s="545">
        <f>'Foglio deposito bis'!$F$71*IF(ABS(N1586)&lt;'Sollecitazioni nel paramento'!$G$58,ABS(N1586)*'Sollecitazioni nel paramento'!$G$54,'Sollecitazioni nel paramento'!$G$53)*IF(N1586&lt;0,-1,1)</f>
        <v>314705.62929873407</v>
      </c>
      <c r="U1586" s="545">
        <f>'Foglio deposito bis'!$F$72*IF(ABS(O1586)&lt;'Sollecitazioni nel paramento'!$G$58,ABS(O1586)*'Sollecitazioni nel paramento'!$G$54,'Sollecitazioni nel paramento'!$G$53)*IF(O1586&lt;0,-1,1)</f>
        <v>491727.54577927204</v>
      </c>
      <c r="V1586" s="472">
        <f t="shared" si="112"/>
        <v>-502766.9221937728</v>
      </c>
      <c r="W1586" s="551"/>
      <c r="X1586" s="551"/>
    </row>
    <row r="1587" spans="1:24" x14ac:dyDescent="0.25">
      <c r="A1587" s="545">
        <f t="shared" si="111"/>
        <v>518496.65289622213</v>
      </c>
      <c r="B1587" s="3">
        <f t="shared" si="113"/>
        <v>4.6999999999999913</v>
      </c>
      <c r="C1587" s="545">
        <f>'Foglio deposito bis'!$E$159/sezione!$B$247*B1587</f>
        <v>38.811315484952914</v>
      </c>
      <c r="D1587" s="603">
        <f>-'Sollecitazioni nel paramento'!$G$47*'Sollecitazioni nel paramento'!$G$41*IF(DATI!$G$211="dx",DATI!$E$61,DATI!$E$64*DATI!$E$63)*1000*C1587^2*sezione!$AD$5*(1-sezione!$AD$6)</f>
        <v>-33513543.622994665</v>
      </c>
      <c r="E1587" s="545">
        <f>-'Foglio deposito bis'!$F$68*(C1587-sezione!$AL$33)*IF(ABS(K1587)&lt;'Sollecitazioni nel paramento'!$G$58,ABS(K1587)*'Sollecitazioni nel paramento'!$G$54,'Sollecitazioni nel paramento'!$G$53)</f>
        <v>0</v>
      </c>
      <c r="F1587" s="545">
        <f>-'Foglio deposito bis'!$F$69*(C1587-sezione!$AM$33)*IF(ABS(L1587)&lt;'Sollecitazioni nel paramento'!$G$58,ABS(L1587)*'Sollecitazioni nel paramento'!$G$54,'Sollecitazioni nel paramento'!$G$53)</f>
        <v>3255956.1983985519</v>
      </c>
      <c r="G1587" s="545">
        <f>-'Foglio deposito bis'!$F$70*(C1587-sezione!$AN$33)*IF(ABS(M1587)&lt;'Sollecitazioni nel paramento'!$G$58,ABS(M1587)*'Sollecitazioni nel paramento'!$G$54,'Sollecitazioni nel paramento'!$G$53)</f>
        <v>0</v>
      </c>
      <c r="H1587" s="545">
        <f>-'Foglio deposito bis'!$F$71*(C1587-sezione!$AO$33)*IF(ABS(N1587)&lt;'Sollecitazioni nel paramento'!$G$58,ABS(N1587)*'Sollecitazioni nel paramento'!$G$54,'Sollecitazioni nel paramento'!$G$53)</f>
        <v>38138761.224193648</v>
      </c>
      <c r="I1587" s="472">
        <f>-'Foglio deposito bis'!$F$72*(C1587-sezione!$AP$33)*IF(ABS(O1587)&lt;'Sollecitazioni nel paramento'!$G$58,ABS(O1587)*'Sollecitazioni nel paramento'!$G$54,'Sollecitazioni nel paramento'!$G$53)</f>
        <v>261321074.65865114</v>
      </c>
      <c r="J1587" s="472">
        <f t="shared" si="110"/>
        <v>269202248.45824867</v>
      </c>
      <c r="K1587" s="550">
        <f>'Sollecitazioni nel paramento'!$G$60*(sezione!$AL$33-C1587)/C1587</f>
        <v>1.0719543387489096E-4</v>
      </c>
      <c r="L1587" s="550">
        <f>'Sollecitazioni nel paramento'!$G$60*(sezione!$AM$33-C1587)/C1587</f>
        <v>1.9107931508123364E-3</v>
      </c>
      <c r="M1587" s="551">
        <f>'Sollecitazioni nel paramento'!$G$60*(sezione!$AN$33-C1587)/C1587</f>
        <v>3.7143908677497819E-3</v>
      </c>
      <c r="N1587" s="551">
        <f>'Sollecitazioni nel paramento'!$G$60*(sezione!$AO$33-C1587)/C1587</f>
        <v>1.0928781735499564E-2</v>
      </c>
      <c r="O1587" s="551">
        <f>'Sollecitazioni nel paramento'!$G$60*(sezione!$AP$33-C1587)/C1587</f>
        <v>4.7924719459742186E-2</v>
      </c>
      <c r="P1587" s="545">
        <f>-'Sollecitazioni nel paramento'!$G$47*'Sollecitazioni nel paramento'!$G$41*IF(DATI!$G$211="dx",DATI!$E$61,DATI!$E$64*DATI!$E$63)*1000*C1587*sezione!$AD$5</f>
        <v>-1478594.6860302507</v>
      </c>
      <c r="Q1587" s="545">
        <f>'Foglio deposito bis'!$F$68*IF(ABS(K1587)&lt;'Sollecitazioni nel paramento'!$G$58,ABS(K1587)*'Sollecitazioni nel paramento'!$G$54,'Sollecitazioni nel paramento'!$G$53)*IF(K1587&lt;0,-1,1)</f>
        <v>0</v>
      </c>
      <c r="R1587" s="545">
        <f>'Foglio deposito bis'!$F$69*IF(ABS(L1587)&lt;'Sollecitazioni nel paramento'!$G$58,ABS(L1587)*'Sollecitazioni nel paramento'!$G$54,'Sollecitazioni nel paramento'!$G$53)*IF(L1587&lt;0,-1,1)</f>
        <v>153664.85805602249</v>
      </c>
      <c r="S1587" s="545">
        <f>'Foglio deposito bis'!$F$70*IF(ABS(M1587)&lt;'Sollecitazioni nel paramento'!$G$58,ABS(M1587)*'Sollecitazioni nel paramento'!$G$54,'Sollecitazioni nel paramento'!$G$53)*IF(M1587&lt;0,-1,1)</f>
        <v>0</v>
      </c>
      <c r="T1587" s="545">
        <f>'Foglio deposito bis'!$F$71*IF(ABS(N1587)&lt;'Sollecitazioni nel paramento'!$G$58,ABS(N1587)*'Sollecitazioni nel paramento'!$G$54,'Sollecitazioni nel paramento'!$G$53)*IF(N1587&lt;0,-1,1)</f>
        <v>314705.62929873407</v>
      </c>
      <c r="U1587" s="545">
        <f>'Foglio deposito bis'!$F$72*IF(ABS(O1587)&lt;'Sollecitazioni nel paramento'!$G$58,ABS(O1587)*'Sollecitazioni nel paramento'!$G$54,'Sollecitazioni nel paramento'!$G$53)*IF(O1587&lt;0,-1,1)</f>
        <v>491727.54577927204</v>
      </c>
      <c r="V1587" s="472">
        <f t="shared" si="112"/>
        <v>-518496.65289622213</v>
      </c>
      <c r="W1587" s="551"/>
      <c r="X1587" s="551"/>
    </row>
    <row r="1588" spans="1:24" x14ac:dyDescent="0.25">
      <c r="A1588" s="545">
        <f t="shared" si="111"/>
        <v>537923.18856256409</v>
      </c>
      <c r="B1588" s="3">
        <f t="shared" si="113"/>
        <v>4.7499999999999911</v>
      </c>
      <c r="C1588" s="545">
        <f>'Foglio deposito bis'!$E$159/sezione!$B$247*B1588</f>
        <v>39.224201819899221</v>
      </c>
      <c r="D1588" s="603">
        <f>-'Sollecitazioni nel paramento'!$G$47*'Sollecitazioni nel paramento'!$G$41*IF(DATI!$G$211="dx",DATI!$E$61,DATI!$E$64*DATI!$E$63)*1000*C1588^2*sezione!$AD$5*(1-sezione!$AD$6)</f>
        <v>-34230390.583694756</v>
      </c>
      <c r="E1588" s="545">
        <f>-'Foglio deposito bis'!$F$68*(C1588-sezione!$AL$33)*IF(ABS(K1588)&lt;'Sollecitazioni nel paramento'!$G$58,ABS(K1588)*'Sollecitazioni nel paramento'!$G$54,'Sollecitazioni nel paramento'!$G$53)</f>
        <v>0</v>
      </c>
      <c r="F1588" s="545">
        <f>-'Foglio deposito bis'!$F$69*(C1588-sezione!$AM$33)*IF(ABS(L1588)&lt;'Sollecitazioni nel paramento'!$G$58,ABS(L1588)*'Sollecitazioni nel paramento'!$G$54,'Sollecitazioni nel paramento'!$G$53)</f>
        <v>3115706.0045047351</v>
      </c>
      <c r="G1588" s="545">
        <f>-'Foglio deposito bis'!$F$70*(C1588-sezione!$AN$33)*IF(ABS(M1588)&lt;'Sollecitazioni nel paramento'!$G$58,ABS(M1588)*'Sollecitazioni nel paramento'!$G$54,'Sollecitazioni nel paramento'!$G$53)</f>
        <v>0</v>
      </c>
      <c r="H1588" s="545">
        <f>-'Foglio deposito bis'!$F$71*(C1588-sezione!$AO$33)*IF(ABS(N1588)&lt;'Sollecitazioni nel paramento'!$G$58,ABS(N1588)*'Sollecitazioni nel paramento'!$G$54,'Sollecitazioni nel paramento'!$G$53)</f>
        <v>38008823.570325516</v>
      </c>
      <c r="I1588" s="472">
        <f>-'Foglio deposito bis'!$F$72*(C1588-sezione!$AP$33)*IF(ABS(O1588)&lt;'Sollecitazioni nel paramento'!$G$58,ABS(O1588)*'Sollecitazioni nel paramento'!$G$54,'Sollecitazioni nel paramento'!$G$53)</f>
        <v>261118047.07448217</v>
      </c>
      <c r="J1588" s="472">
        <f t="shared" si="110"/>
        <v>268012186.06561768</v>
      </c>
      <c r="K1588" s="550">
        <f>'Sollecitazioni nel paramento'!$G$60*(sezione!$AL$33-C1588)/C1588</f>
        <v>6.9224955623576324E-5</v>
      </c>
      <c r="L1588" s="550">
        <f>'Sollecitazioni nel paramento'!$G$60*(sezione!$AM$33-C1588)/C1588</f>
        <v>1.8538374334353645E-3</v>
      </c>
      <c r="M1588" s="551">
        <f>'Sollecitazioni nel paramento'!$G$60*(sezione!$AN$33-C1588)/C1588</f>
        <v>3.638449911247153E-3</v>
      </c>
      <c r="N1588" s="551">
        <f>'Sollecitazioni nel paramento'!$G$60*(sezione!$AO$33-C1588)/C1588</f>
        <v>1.0776899822494307E-2</v>
      </c>
      <c r="O1588" s="551">
        <f>'Sollecitazioni nel paramento'!$G$60*(sezione!$AP$33-C1588)/C1588</f>
        <v>4.7383406623323847E-2</v>
      </c>
      <c r="P1588" s="545">
        <f>-'Sollecitazioni nel paramento'!$G$47*'Sollecitazioni nel paramento'!$G$41*IF(DATI!$G$211="dx",DATI!$E$61,DATI!$E$64*DATI!$E$63)*1000*C1588*sezione!$AD$5</f>
        <v>-1494324.4167327003</v>
      </c>
      <c r="Q1588" s="545">
        <f>'Foglio deposito bis'!$F$68*IF(ABS(K1588)&lt;'Sollecitazioni nel paramento'!$G$58,ABS(K1588)*'Sollecitazioni nel paramento'!$G$54,'Sollecitazioni nel paramento'!$G$53)*IF(K1588&lt;0,-1,1)</f>
        <v>0</v>
      </c>
      <c r="R1588" s="545">
        <f>'Foglio deposito bis'!$F$69*IF(ABS(L1588)&lt;'Sollecitazioni nel paramento'!$G$58,ABS(L1588)*'Sollecitazioni nel paramento'!$G$54,'Sollecitazioni nel paramento'!$G$53)*IF(L1588&lt;0,-1,1)</f>
        <v>149968.05309213017</v>
      </c>
      <c r="S1588" s="545">
        <f>'Foglio deposito bis'!$F$70*IF(ABS(M1588)&lt;'Sollecitazioni nel paramento'!$G$58,ABS(M1588)*'Sollecitazioni nel paramento'!$G$54,'Sollecitazioni nel paramento'!$G$53)*IF(M1588&lt;0,-1,1)</f>
        <v>0</v>
      </c>
      <c r="T1588" s="545">
        <f>'Foglio deposito bis'!$F$71*IF(ABS(N1588)&lt;'Sollecitazioni nel paramento'!$G$58,ABS(N1588)*'Sollecitazioni nel paramento'!$G$54,'Sollecitazioni nel paramento'!$G$53)*IF(N1588&lt;0,-1,1)</f>
        <v>314705.62929873407</v>
      </c>
      <c r="U1588" s="545">
        <f>'Foglio deposito bis'!$F$72*IF(ABS(O1588)&lt;'Sollecitazioni nel paramento'!$G$58,ABS(O1588)*'Sollecitazioni nel paramento'!$G$54,'Sollecitazioni nel paramento'!$G$53)*IF(O1588&lt;0,-1,1)</f>
        <v>491727.54577927204</v>
      </c>
      <c r="V1588" s="472">
        <f t="shared" si="112"/>
        <v>-537923.18856256409</v>
      </c>
      <c r="W1588" s="551"/>
      <c r="X1588" s="551"/>
    </row>
    <row r="1589" spans="1:24" x14ac:dyDescent="0.25">
      <c r="A1589" s="545">
        <f t="shared" si="111"/>
        <v>558164.4202128977</v>
      </c>
      <c r="B1589" s="3">
        <f t="shared" si="113"/>
        <v>4.7999999999999909</v>
      </c>
      <c r="C1589" s="545">
        <f>'Foglio deposito bis'!$E$159/sezione!$B$247*B1589</f>
        <v>39.637088154845522</v>
      </c>
      <c r="D1589" s="603">
        <f>-'Sollecitazioni nel paramento'!$G$47*'Sollecitazioni nel paramento'!$G$41*IF(DATI!$G$211="dx",DATI!$E$61,DATI!$E$64*DATI!$E$63)*1000*C1589^2*sezione!$AD$5*(1-sezione!$AD$6)</f>
        <v>-34954823.226518638</v>
      </c>
      <c r="E1589" s="545">
        <f>-'Foglio deposito bis'!$F$68*(C1589-sezione!$AL$33)*IF(ABS(K1589)&lt;'Sollecitazioni nel paramento'!$G$58,ABS(K1589)*'Sollecitazioni nel paramento'!$G$54,'Sollecitazioni nel paramento'!$G$53)</f>
        <v>0</v>
      </c>
      <c r="F1589" s="545">
        <f>-'Foglio deposito bis'!$F$69*(C1589-sezione!$AM$33)*IF(ABS(L1589)&lt;'Sollecitazioni nel paramento'!$G$58,ABS(L1589)*'Sollecitazioni nel paramento'!$G$54,'Sollecitazioni nel paramento'!$G$53)</f>
        <v>2961918.9486133917</v>
      </c>
      <c r="G1589" s="545">
        <f>-'Foglio deposito bis'!$F$70*(C1589-sezione!$AN$33)*IF(ABS(M1589)&lt;'Sollecitazioni nel paramento'!$G$58,ABS(M1589)*'Sollecitazioni nel paramento'!$G$54,'Sollecitazioni nel paramento'!$G$53)</f>
        <v>0</v>
      </c>
      <c r="H1589" s="545">
        <f>-'Foglio deposito bis'!$F$71*(C1589-sezione!$AO$33)*IF(ABS(N1589)&lt;'Sollecitazioni nel paramento'!$G$58,ABS(N1589)*'Sollecitazioni nel paramento'!$G$54,'Sollecitazioni nel paramento'!$G$53)</f>
        <v>37878885.916457392</v>
      </c>
      <c r="I1589" s="472">
        <f>-'Foglio deposito bis'!$F$72*(C1589-sezione!$AP$33)*IF(ABS(O1589)&lt;'Sollecitazioni nel paramento'!$G$58,ABS(O1589)*'Sollecitazioni nel paramento'!$G$54,'Sollecitazioni nel paramento'!$G$53)</f>
        <v>260915019.49031323</v>
      </c>
      <c r="J1589" s="472">
        <f t="shared" si="110"/>
        <v>266801001.12886536</v>
      </c>
      <c r="K1589" s="550">
        <f>'Sollecitazioni nel paramento'!$G$60*(sezione!$AL$33-C1589)/C1589</f>
        <v>3.2045529002498059E-5</v>
      </c>
      <c r="L1589" s="550">
        <f>'Sollecitazioni nel paramento'!$G$60*(sezione!$AM$33-C1589)/C1589</f>
        <v>1.798068293503747E-3</v>
      </c>
      <c r="M1589" s="551">
        <f>'Sollecitazioni nel paramento'!$G$60*(sezione!$AN$33-C1589)/C1589</f>
        <v>3.5640910580049963E-3</v>
      </c>
      <c r="N1589" s="551">
        <f>'Sollecitazioni nel paramento'!$G$60*(sezione!$AO$33-C1589)/C1589</f>
        <v>1.0628182116009993E-2</v>
      </c>
      <c r="O1589" s="551">
        <f>'Sollecitazioni nel paramento'!$G$60*(sezione!$AP$33-C1589)/C1589</f>
        <v>4.6853371137664239E-2</v>
      </c>
      <c r="P1589" s="545">
        <f>-'Sollecitazioni nel paramento'!$G$47*'Sollecitazioni nel paramento'!$G$41*IF(DATI!$G$211="dx",DATI!$E$61,DATI!$E$64*DATI!$E$63)*1000*C1589*sezione!$AD$5</f>
        <v>-1510054.1474351494</v>
      </c>
      <c r="Q1589" s="545">
        <f>'Foglio deposito bis'!$F$68*IF(ABS(K1589)&lt;'Sollecitazioni nel paramento'!$G$58,ABS(K1589)*'Sollecitazioni nel paramento'!$G$54,'Sollecitazioni nel paramento'!$G$53)*IF(K1589&lt;0,-1,1)</f>
        <v>0</v>
      </c>
      <c r="R1589" s="545">
        <f>'Foglio deposito bis'!$F$69*IF(ABS(L1589)&lt;'Sollecitazioni nel paramento'!$G$58,ABS(L1589)*'Sollecitazioni nel paramento'!$G$54,'Sollecitazioni nel paramento'!$G$53)*IF(L1589&lt;0,-1,1)</f>
        <v>145456.55214424577</v>
      </c>
      <c r="S1589" s="545">
        <f>'Foglio deposito bis'!$F$70*IF(ABS(M1589)&lt;'Sollecitazioni nel paramento'!$G$58,ABS(M1589)*'Sollecitazioni nel paramento'!$G$54,'Sollecitazioni nel paramento'!$G$53)*IF(M1589&lt;0,-1,1)</f>
        <v>0</v>
      </c>
      <c r="T1589" s="545">
        <f>'Foglio deposito bis'!$F$71*IF(ABS(N1589)&lt;'Sollecitazioni nel paramento'!$G$58,ABS(N1589)*'Sollecitazioni nel paramento'!$G$54,'Sollecitazioni nel paramento'!$G$53)*IF(N1589&lt;0,-1,1)</f>
        <v>314705.62929873407</v>
      </c>
      <c r="U1589" s="545">
        <f>'Foglio deposito bis'!$F$72*IF(ABS(O1589)&lt;'Sollecitazioni nel paramento'!$G$58,ABS(O1589)*'Sollecitazioni nel paramento'!$G$54,'Sollecitazioni nel paramento'!$G$53)*IF(O1589&lt;0,-1,1)</f>
        <v>491727.54577927204</v>
      </c>
      <c r="V1589" s="472">
        <f t="shared" si="112"/>
        <v>-558164.4202128977</v>
      </c>
      <c r="W1589" s="551"/>
      <c r="X1589" s="551"/>
    </row>
    <row r="1590" spans="1:24" x14ac:dyDescent="0.25">
      <c r="A1590" s="545">
        <f t="shared" si="111"/>
        <v>578312.63122513099</v>
      </c>
      <c r="B1590" s="3">
        <f t="shared" si="113"/>
        <v>4.8499999999999908</v>
      </c>
      <c r="C1590" s="545">
        <f>'Foglio deposito bis'!$E$159/sezione!$B$247*B1590</f>
        <v>40.049974489791829</v>
      </c>
      <c r="D1590" s="603">
        <f>-'Sollecitazioni nel paramento'!$G$47*'Sollecitazioni nel paramento'!$G$41*IF(DATI!$G$211="dx",DATI!$E$61,DATI!$E$64*DATI!$E$63)*1000*C1590^2*sezione!$AD$5*(1-sezione!$AD$6)</f>
        <v>-35686841.551466346</v>
      </c>
      <c r="E1590" s="545">
        <f>-'Foglio deposito bis'!$F$68*(C1590-sezione!$AL$33)*IF(ABS(K1590)&lt;'Sollecitazioni nel paramento'!$G$58,ABS(K1590)*'Sollecitazioni nel paramento'!$G$54,'Sollecitazioni nel paramento'!$G$53)</f>
        <v>0</v>
      </c>
      <c r="F1590" s="545">
        <f>-'Foglio deposito bis'!$F$69*(C1590-sezione!$AM$33)*IF(ABS(L1590)&lt;'Sollecitazioni nel paramento'!$G$58,ABS(L1590)*'Sollecitazioni nel paramento'!$G$54,'Sollecitazioni nel paramento'!$G$53)</f>
        <v>2813713.1310080891</v>
      </c>
      <c r="G1590" s="545">
        <f>-'Foglio deposito bis'!$F$70*(C1590-sezione!$AN$33)*IF(ABS(M1590)&lt;'Sollecitazioni nel paramento'!$G$58,ABS(M1590)*'Sollecitazioni nel paramento'!$G$54,'Sollecitazioni nel paramento'!$G$53)</f>
        <v>0</v>
      </c>
      <c r="H1590" s="545">
        <f>-'Foglio deposito bis'!$F$71*(C1590-sezione!$AO$33)*IF(ABS(N1590)&lt;'Sollecitazioni nel paramento'!$G$58,ABS(N1590)*'Sollecitazioni nel paramento'!$G$54,'Sollecitazioni nel paramento'!$G$53)</f>
        <v>37748948.262589276</v>
      </c>
      <c r="I1590" s="472">
        <f>-'Foglio deposito bis'!$F$72*(C1590-sezione!$AP$33)*IF(ABS(O1590)&lt;'Sollecitazioni nel paramento'!$G$58,ABS(O1590)*'Sollecitazioni nel paramento'!$G$54,'Sollecitazioni nel paramento'!$G$53)</f>
        <v>260711991.90614432</v>
      </c>
      <c r="J1590" s="472">
        <f t="shared" si="110"/>
        <v>265587811.74827534</v>
      </c>
      <c r="K1590" s="550">
        <f>'Sollecitazioni nel paramento'!$G$60*(sezione!$AL$33-C1590)/C1590</f>
        <v>-4.3673115026823292E-6</v>
      </c>
      <c r="L1590" s="550">
        <f>'Sollecitazioni nel paramento'!$G$60*(sezione!$AM$33-C1590)/C1590</f>
        <v>1.7434490327459765E-3</v>
      </c>
      <c r="M1590" s="551">
        <f>'Sollecitazioni nel paramento'!$G$60*(sezione!$AN$33-C1590)/C1590</f>
        <v>3.4912653769946351E-3</v>
      </c>
      <c r="N1590" s="551">
        <f>'Sollecitazioni nel paramento'!$G$60*(sezione!$AO$33-C1590)/C1590</f>
        <v>1.0482530753989272E-2</v>
      </c>
      <c r="O1590" s="551">
        <f>'Sollecitazioni nel paramento'!$G$60*(sezione!$AP$33-C1590)/C1590</f>
        <v>4.6334264218719244E-2</v>
      </c>
      <c r="P1590" s="545">
        <f>-'Sollecitazioni nel paramento'!$G$47*'Sollecitazioni nel paramento'!$G$41*IF(DATI!$G$211="dx",DATI!$E$61,DATI!$E$64*DATI!$E$63)*1000*C1590*sezione!$AD$5</f>
        <v>-1525783.878137599</v>
      </c>
      <c r="Q1590" s="545">
        <f>'Foglio deposito bis'!$F$68*IF(ABS(K1590)&lt;'Sollecitazioni nel paramento'!$G$58,ABS(K1590)*'Sollecitazioni nel paramento'!$G$54,'Sollecitazioni nel paramento'!$G$53)*IF(K1590&lt;0,-1,1)</f>
        <v>0</v>
      </c>
      <c r="R1590" s="545">
        <f>'Foglio deposito bis'!$F$69*IF(ABS(L1590)&lt;'Sollecitazioni nel paramento'!$G$58,ABS(L1590)*'Sollecitazioni nel paramento'!$G$54,'Sollecitazioni nel paramento'!$G$53)*IF(L1590&lt;0,-1,1)</f>
        <v>141038.071834462</v>
      </c>
      <c r="S1590" s="545">
        <f>'Foglio deposito bis'!$F$70*IF(ABS(M1590)&lt;'Sollecitazioni nel paramento'!$G$58,ABS(M1590)*'Sollecitazioni nel paramento'!$G$54,'Sollecitazioni nel paramento'!$G$53)*IF(M1590&lt;0,-1,1)</f>
        <v>0</v>
      </c>
      <c r="T1590" s="545">
        <f>'Foglio deposito bis'!$F$71*IF(ABS(N1590)&lt;'Sollecitazioni nel paramento'!$G$58,ABS(N1590)*'Sollecitazioni nel paramento'!$G$54,'Sollecitazioni nel paramento'!$G$53)*IF(N1590&lt;0,-1,1)</f>
        <v>314705.62929873407</v>
      </c>
      <c r="U1590" s="545">
        <f>'Foglio deposito bis'!$F$72*IF(ABS(O1590)&lt;'Sollecitazioni nel paramento'!$G$58,ABS(O1590)*'Sollecitazioni nel paramento'!$G$54,'Sollecitazioni nel paramento'!$G$53)*IF(O1590&lt;0,-1,1)</f>
        <v>491727.54577927204</v>
      </c>
      <c r="V1590" s="472">
        <f t="shared" si="112"/>
        <v>-578312.63122513099</v>
      </c>
      <c r="W1590" s="551"/>
      <c r="X1590" s="551"/>
    </row>
    <row r="1591" spans="1:24" x14ac:dyDescent="0.25">
      <c r="A1591" s="545">
        <f t="shared" si="111"/>
        <v>598370.66916981759</v>
      </c>
      <c r="B1591" s="3">
        <f t="shared" si="113"/>
        <v>4.8999999999999906</v>
      </c>
      <c r="C1591" s="545">
        <f>'Foglio deposito bis'!$E$159/sezione!$B$247*B1591</f>
        <v>40.462860824738137</v>
      </c>
      <c r="D1591" s="603">
        <f>-'Sollecitazioni nel paramento'!$G$47*'Sollecitazioni nel paramento'!$G$41*IF(DATI!$G$211="dx",DATI!$E$61,DATI!$E$64*DATI!$E$63)*1000*C1591^2*sezione!$AD$5*(1-sezione!$AD$6)</f>
        <v>-36426445.558537871</v>
      </c>
      <c r="E1591" s="545">
        <f>-'Foglio deposito bis'!$F$68*(C1591-sezione!$AL$33)*IF(ABS(K1591)&lt;'Sollecitazioni nel paramento'!$G$58,ABS(K1591)*'Sollecitazioni nel paramento'!$G$54,'Sollecitazioni nel paramento'!$G$53)</f>
        <v>0</v>
      </c>
      <c r="F1591" s="545">
        <f>-'Foglio deposito bis'!$F$69*(C1591-sezione!$AM$33)*IF(ABS(L1591)&lt;'Sollecitazioni nel paramento'!$G$58,ABS(L1591)*'Sollecitazioni nel paramento'!$G$54,'Sollecitazioni nel paramento'!$G$53)</f>
        <v>2670917.6974555836</v>
      </c>
      <c r="G1591" s="545">
        <f>-'Foglio deposito bis'!$F$70*(C1591-sezione!$AN$33)*IF(ABS(M1591)&lt;'Sollecitazioni nel paramento'!$G$58,ABS(M1591)*'Sollecitazioni nel paramento'!$G$54,'Sollecitazioni nel paramento'!$G$53)</f>
        <v>0</v>
      </c>
      <c r="H1591" s="545">
        <f>-'Foglio deposito bis'!$F$71*(C1591-sezione!$AO$33)*IF(ABS(N1591)&lt;'Sollecitazioni nel paramento'!$G$58,ABS(N1591)*'Sollecitazioni nel paramento'!$G$54,'Sollecitazioni nel paramento'!$G$53)</f>
        <v>37619010.608721144</v>
      </c>
      <c r="I1591" s="472">
        <f>-'Foglio deposito bis'!$F$72*(C1591-sezione!$AP$33)*IF(ABS(O1591)&lt;'Sollecitazioni nel paramento'!$G$58,ABS(O1591)*'Sollecitazioni nel paramento'!$G$54,'Sollecitazioni nel paramento'!$G$53)</f>
        <v>260508964.32197532</v>
      </c>
      <c r="J1591" s="472">
        <f t="shared" si="110"/>
        <v>264372447.06961417</v>
      </c>
      <c r="K1591" s="550">
        <f>'Sollecitazioni nel paramento'!$G$60*(sezione!$AL$33-C1591)/C1591</f>
        <v>-4.0037032813879445E-5</v>
      </c>
      <c r="L1591" s="550">
        <f>'Sollecitazioni nel paramento'!$G$60*(sezione!$AM$33-C1591)/C1591</f>
        <v>1.689944450779181E-3</v>
      </c>
      <c r="M1591" s="551">
        <f>'Sollecitazioni nel paramento'!$G$60*(sezione!$AN$33-C1591)/C1591</f>
        <v>3.4199259343722413E-3</v>
      </c>
      <c r="N1591" s="551">
        <f>'Sollecitazioni nel paramento'!$G$60*(sezione!$AO$33-C1591)/C1591</f>
        <v>1.0339851868744483E-2</v>
      </c>
      <c r="O1591" s="551">
        <f>'Sollecitazioni nel paramento'!$G$60*(sezione!$AP$33-C1591)/C1591</f>
        <v>4.5825751318528223E-2</v>
      </c>
      <c r="P1591" s="545">
        <f>-'Sollecitazioni nel paramento'!$G$47*'Sollecitazioni nel paramento'!$G$41*IF(DATI!$G$211="dx",DATI!$E$61,DATI!$E$64*DATI!$E$63)*1000*C1591*sezione!$AD$5</f>
        <v>-1541513.6088400485</v>
      </c>
      <c r="Q1591" s="545">
        <f>'Foglio deposito bis'!$F$68*IF(ABS(K1591)&lt;'Sollecitazioni nel paramento'!$G$58,ABS(K1591)*'Sollecitazioni nel paramento'!$G$54,'Sollecitazioni nel paramento'!$G$53)*IF(K1591&lt;0,-1,1)</f>
        <v>0</v>
      </c>
      <c r="R1591" s="545">
        <f>'Foglio deposito bis'!$F$69*IF(ABS(L1591)&lt;'Sollecitazioni nel paramento'!$G$58,ABS(L1591)*'Sollecitazioni nel paramento'!$G$54,'Sollecitazioni nel paramento'!$G$53)*IF(L1591&lt;0,-1,1)</f>
        <v>136709.76459222485</v>
      </c>
      <c r="S1591" s="545">
        <f>'Foglio deposito bis'!$F$70*IF(ABS(M1591)&lt;'Sollecitazioni nel paramento'!$G$58,ABS(M1591)*'Sollecitazioni nel paramento'!$G$54,'Sollecitazioni nel paramento'!$G$53)*IF(M1591&lt;0,-1,1)</f>
        <v>0</v>
      </c>
      <c r="T1591" s="545">
        <f>'Foglio deposito bis'!$F$71*IF(ABS(N1591)&lt;'Sollecitazioni nel paramento'!$G$58,ABS(N1591)*'Sollecitazioni nel paramento'!$G$54,'Sollecitazioni nel paramento'!$G$53)*IF(N1591&lt;0,-1,1)</f>
        <v>314705.62929873407</v>
      </c>
      <c r="U1591" s="545">
        <f>'Foglio deposito bis'!$F$72*IF(ABS(O1591)&lt;'Sollecitazioni nel paramento'!$G$58,ABS(O1591)*'Sollecitazioni nel paramento'!$G$54,'Sollecitazioni nel paramento'!$G$53)*IF(O1591&lt;0,-1,1)</f>
        <v>491727.54577927204</v>
      </c>
      <c r="V1591" s="472">
        <f t="shared" si="112"/>
        <v>-598370.66916981759</v>
      </c>
      <c r="W1591" s="551"/>
      <c r="X1591" s="551"/>
    </row>
    <row r="1592" spans="1:24" x14ac:dyDescent="0.25">
      <c r="A1592" s="545">
        <f t="shared" si="111"/>
        <v>618341.26656415593</v>
      </c>
      <c r="B1592" s="3">
        <f t="shared" si="113"/>
        <v>4.9499999999999904</v>
      </c>
      <c r="C1592" s="545">
        <f>'Foglio deposito bis'!$E$159/sezione!$B$247*B1592</f>
        <v>40.875747159684444</v>
      </c>
      <c r="D1592" s="603">
        <f>-'Sollecitazioni nel paramento'!$G$47*'Sollecitazioni nel paramento'!$G$41*IF(DATI!$G$211="dx",DATI!$E$61,DATI!$E$64*DATI!$E$63)*1000*C1592^2*sezione!$AD$5*(1-sezione!$AD$6)</f>
        <v>-37173635.247733198</v>
      </c>
      <c r="E1592" s="545">
        <f>-'Foglio deposito bis'!$F$68*(C1592-sezione!$AL$33)*IF(ABS(K1592)&lt;'Sollecitazioni nel paramento'!$G$58,ABS(K1592)*'Sollecitazioni nel paramento'!$G$54,'Sollecitazioni nel paramento'!$G$53)</f>
        <v>0</v>
      </c>
      <c r="F1592" s="545">
        <f>-'Foglio deposito bis'!$F$69*(C1592-sezione!$AM$33)*IF(ABS(L1592)&lt;'Sollecitazioni nel paramento'!$G$58,ABS(L1592)*'Sollecitazioni nel paramento'!$G$54,'Sollecitazioni nel paramento'!$G$53)</f>
        <v>2533368.6969239698</v>
      </c>
      <c r="G1592" s="545">
        <f>-'Foglio deposito bis'!$F$70*(C1592-sezione!$AN$33)*IF(ABS(M1592)&lt;'Sollecitazioni nel paramento'!$G$58,ABS(M1592)*'Sollecitazioni nel paramento'!$G$54,'Sollecitazioni nel paramento'!$G$53)</f>
        <v>0</v>
      </c>
      <c r="H1592" s="545">
        <f>-'Foglio deposito bis'!$F$71*(C1592-sezione!$AO$33)*IF(ABS(N1592)&lt;'Sollecitazioni nel paramento'!$G$58,ABS(N1592)*'Sollecitazioni nel paramento'!$G$54,'Sollecitazioni nel paramento'!$G$53)</f>
        <v>37489072.954853021</v>
      </c>
      <c r="I1592" s="472">
        <f>-'Foglio deposito bis'!$F$72*(C1592-sezione!$AP$33)*IF(ABS(O1592)&lt;'Sollecitazioni nel paramento'!$G$58,ABS(O1592)*'Sollecitazioni nel paramento'!$G$54,'Sollecitazioni nel paramento'!$G$53)</f>
        <v>260305936.73780638</v>
      </c>
      <c r="J1592" s="472">
        <f t="shared" si="110"/>
        <v>263154743.14185017</v>
      </c>
      <c r="K1592" s="550">
        <f>'Sollecitazioni nel paramento'!$G$60*(sezione!$AL$33-C1592)/C1592</f>
        <v>-7.4986153694547327E-5</v>
      </c>
      <c r="L1592" s="550">
        <f>'Sollecitazioni nel paramento'!$G$60*(sezione!$AM$33-C1592)/C1592</f>
        <v>1.637520769458179E-3</v>
      </c>
      <c r="M1592" s="551">
        <f>'Sollecitazioni nel paramento'!$G$60*(sezione!$AN$33-C1592)/C1592</f>
        <v>3.3500276926109055E-3</v>
      </c>
      <c r="N1592" s="551">
        <f>'Sollecitazioni nel paramento'!$G$60*(sezione!$AO$33-C1592)/C1592</f>
        <v>1.0200055385221812E-2</v>
      </c>
      <c r="O1592" s="551">
        <f>'Sollecitazioni nel paramento'!$G$60*(sezione!$AP$33-C1592)/C1592</f>
        <v>4.5327511406219864E-2</v>
      </c>
      <c r="P1592" s="545">
        <f>-'Sollecitazioni nel paramento'!$G$47*'Sollecitazioni nel paramento'!$G$41*IF(DATI!$G$211="dx",DATI!$E$61,DATI!$E$64*DATI!$E$63)*1000*C1592*sezione!$AD$5</f>
        <v>-1557243.3395424979</v>
      </c>
      <c r="Q1592" s="545">
        <f>'Foglio deposito bis'!$F$68*IF(ABS(K1592)&lt;'Sollecitazioni nel paramento'!$G$58,ABS(K1592)*'Sollecitazioni nel paramento'!$G$54,'Sollecitazioni nel paramento'!$G$53)*IF(K1592&lt;0,-1,1)</f>
        <v>0</v>
      </c>
      <c r="R1592" s="545">
        <f>'Foglio deposito bis'!$F$69*IF(ABS(L1592)&lt;'Sollecitazioni nel paramento'!$G$58,ABS(L1592)*'Sollecitazioni nel paramento'!$G$54,'Sollecitazioni nel paramento'!$G$53)*IF(L1592&lt;0,-1,1)</f>
        <v>132468.89790033587</v>
      </c>
      <c r="S1592" s="545">
        <f>'Foglio deposito bis'!$F$70*IF(ABS(M1592)&lt;'Sollecitazioni nel paramento'!$G$58,ABS(M1592)*'Sollecitazioni nel paramento'!$G$54,'Sollecitazioni nel paramento'!$G$53)*IF(M1592&lt;0,-1,1)</f>
        <v>0</v>
      </c>
      <c r="T1592" s="545">
        <f>'Foglio deposito bis'!$F$71*IF(ABS(N1592)&lt;'Sollecitazioni nel paramento'!$G$58,ABS(N1592)*'Sollecitazioni nel paramento'!$G$54,'Sollecitazioni nel paramento'!$G$53)*IF(N1592&lt;0,-1,1)</f>
        <v>314705.62929873407</v>
      </c>
      <c r="U1592" s="545">
        <f>'Foglio deposito bis'!$F$72*IF(ABS(O1592)&lt;'Sollecitazioni nel paramento'!$G$58,ABS(O1592)*'Sollecitazioni nel paramento'!$G$54,'Sollecitazioni nel paramento'!$G$53)*IF(O1592&lt;0,-1,1)</f>
        <v>491727.54577927204</v>
      </c>
      <c r="V1592" s="472">
        <f t="shared" si="112"/>
        <v>-618341.26656415593</v>
      </c>
      <c r="W1592" s="551"/>
      <c r="X1592" s="551"/>
    </row>
    <row r="1593" spans="1:24" x14ac:dyDescent="0.25">
      <c r="A1593" s="545">
        <f t="shared" si="111"/>
        <v>638227.04662465677</v>
      </c>
      <c r="B1593" s="3">
        <f t="shared" si="113"/>
        <v>4.9999999999999902</v>
      </c>
      <c r="C1593" s="545">
        <f>'Foglio deposito bis'!$E$159/sezione!$B$247*B1593</f>
        <v>41.288633494630751</v>
      </c>
      <c r="D1593" s="603">
        <f>-'Sollecitazioni nel paramento'!$G$47*'Sollecitazioni nel paramento'!$G$41*IF(DATI!$G$211="dx",DATI!$E$61,DATI!$E$64*DATI!$E$63)*1000*C1593^2*sezione!$AD$5*(1-sezione!$AD$6)</f>
        <v>-37928410.619052351</v>
      </c>
      <c r="E1593" s="545">
        <f>-'Foglio deposito bis'!$F$68*(C1593-sezione!$AL$33)*IF(ABS(K1593)&lt;'Sollecitazioni nel paramento'!$G$58,ABS(K1593)*'Sollecitazioni nel paramento'!$G$54,'Sollecitazioni nel paramento'!$G$53)</f>
        <v>0</v>
      </c>
      <c r="F1593" s="545">
        <f>-'Foglio deposito bis'!$F$69*(C1593-sezione!$AM$33)*IF(ABS(L1593)&lt;'Sollecitazioni nel paramento'!$G$58,ABS(L1593)*'Sollecitazioni nel paramento'!$G$54,'Sollecitazioni nel paramento'!$G$53)</f>
        <v>2400908.7364226244</v>
      </c>
      <c r="G1593" s="545">
        <f>-'Foglio deposito bis'!$F$70*(C1593-sezione!$AN$33)*IF(ABS(M1593)&lt;'Sollecitazioni nel paramento'!$G$58,ABS(M1593)*'Sollecitazioni nel paramento'!$G$54,'Sollecitazioni nel paramento'!$G$53)</f>
        <v>0</v>
      </c>
      <c r="H1593" s="545">
        <f>-'Foglio deposito bis'!$F$71*(C1593-sezione!$AO$33)*IF(ABS(N1593)&lt;'Sollecitazioni nel paramento'!$G$58,ABS(N1593)*'Sollecitazioni nel paramento'!$G$54,'Sollecitazioni nel paramento'!$G$53)</f>
        <v>37359135.300984897</v>
      </c>
      <c r="I1593" s="472">
        <f>-'Foglio deposito bis'!$F$72*(C1593-sezione!$AP$33)*IF(ABS(O1593)&lt;'Sollecitazioni nel paramento'!$G$58,ABS(O1593)*'Sollecitazioni nel paramento'!$G$54,'Sollecitazioni nel paramento'!$G$53)</f>
        <v>260102909.15363744</v>
      </c>
      <c r="J1593" s="472">
        <f t="shared" si="110"/>
        <v>261934542.57199261</v>
      </c>
      <c r="K1593" s="550">
        <f>'Sollecitazioni nel paramento'!$G$60*(sezione!$AL$33-C1593)/C1593</f>
        <v>-1.0923629215760184E-4</v>
      </c>
      <c r="L1593" s="550">
        <f>'Sollecitazioni nel paramento'!$G$60*(sezione!$AM$33-C1593)/C1593</f>
        <v>1.5861455617635974E-3</v>
      </c>
      <c r="M1593" s="551">
        <f>'Sollecitazioni nel paramento'!$G$60*(sezione!$AN$33-C1593)/C1593</f>
        <v>3.2815274156847963E-3</v>
      </c>
      <c r="N1593" s="551">
        <f>'Sollecitazioni nel paramento'!$G$60*(sezione!$AO$33-C1593)/C1593</f>
        <v>1.0063054831369593E-2</v>
      </c>
      <c r="O1593" s="551">
        <f>'Sollecitazioni nel paramento'!$G$60*(sezione!$AP$33-C1593)/C1593</f>
        <v>4.4839236292157664E-2</v>
      </c>
      <c r="P1593" s="545">
        <f>-'Sollecitazioni nel paramento'!$G$47*'Sollecitazioni nel paramento'!$G$41*IF(DATI!$G$211="dx",DATI!$E$61,DATI!$E$64*DATI!$E$63)*1000*C1593*sezione!$AD$5</f>
        <v>-1572973.0702449474</v>
      </c>
      <c r="Q1593" s="545">
        <f>'Foglio deposito bis'!$F$68*IF(ABS(K1593)&lt;'Sollecitazioni nel paramento'!$G$58,ABS(K1593)*'Sollecitazioni nel paramento'!$G$54,'Sollecitazioni nel paramento'!$G$53)*IF(K1593&lt;0,-1,1)</f>
        <v>0</v>
      </c>
      <c r="R1593" s="545">
        <f>'Foglio deposito bis'!$F$69*IF(ABS(L1593)&lt;'Sollecitazioni nel paramento'!$G$58,ABS(L1593)*'Sollecitazioni nel paramento'!$G$54,'Sollecitazioni nel paramento'!$G$53)*IF(L1593&lt;0,-1,1)</f>
        <v>128312.84854228476</v>
      </c>
      <c r="S1593" s="545">
        <f>'Foglio deposito bis'!$F$70*IF(ABS(M1593)&lt;'Sollecitazioni nel paramento'!$G$58,ABS(M1593)*'Sollecitazioni nel paramento'!$G$54,'Sollecitazioni nel paramento'!$G$53)*IF(M1593&lt;0,-1,1)</f>
        <v>0</v>
      </c>
      <c r="T1593" s="545">
        <f>'Foglio deposito bis'!$F$71*IF(ABS(N1593)&lt;'Sollecitazioni nel paramento'!$G$58,ABS(N1593)*'Sollecitazioni nel paramento'!$G$54,'Sollecitazioni nel paramento'!$G$53)*IF(N1593&lt;0,-1,1)</f>
        <v>314705.62929873407</v>
      </c>
      <c r="U1593" s="545">
        <f>'Foglio deposito bis'!$F$72*IF(ABS(O1593)&lt;'Sollecitazioni nel paramento'!$G$58,ABS(O1593)*'Sollecitazioni nel paramento'!$G$54,'Sollecitazioni nel paramento'!$G$53)*IF(O1593&lt;0,-1,1)</f>
        <v>491727.54577927204</v>
      </c>
      <c r="V1593" s="472">
        <f t="shared" si="112"/>
        <v>-638227.04662465677</v>
      </c>
      <c r="W1593" s="551"/>
      <c r="X1593" s="551"/>
    </row>
    <row r="1594" spans="1:24" x14ac:dyDescent="0.25">
      <c r="A1594" s="545">
        <f t="shared" si="111"/>
        <v>658030.52867806726</v>
      </c>
      <c r="B1594" s="3">
        <f t="shared" si="113"/>
        <v>5.0499999999999901</v>
      </c>
      <c r="C1594" s="545">
        <f>'Foglio deposito bis'!$E$159/sezione!$B$247*B1594</f>
        <v>41.701519829577059</v>
      </c>
      <c r="D1594" s="603">
        <f>-'Sollecitazioni nel paramento'!$G$47*'Sollecitazioni nel paramento'!$G$41*IF(DATI!$G$211="dx",DATI!$E$61,DATI!$E$64*DATI!$E$63)*1000*C1594^2*sezione!$AD$5*(1-sezione!$AD$6)</f>
        <v>-38690771.672495291</v>
      </c>
      <c r="E1594" s="545">
        <f>-'Foglio deposito bis'!$F$68*(C1594-sezione!$AL$33)*IF(ABS(K1594)&lt;'Sollecitazioni nel paramento'!$G$58,ABS(K1594)*'Sollecitazioni nel paramento'!$G$54,'Sollecitazioni nel paramento'!$G$53)</f>
        <v>0</v>
      </c>
      <c r="F1594" s="545">
        <f>-'Foglio deposito bis'!$F$69*(C1594-sezione!$AM$33)*IF(ABS(L1594)&lt;'Sollecitazioni nel paramento'!$G$58,ABS(L1594)*'Sollecitazioni nel paramento'!$G$54,'Sollecitazioni nel paramento'!$G$53)</f>
        <v>2273386.6563466853</v>
      </c>
      <c r="G1594" s="545">
        <f>-'Foglio deposito bis'!$F$70*(C1594-sezione!$AN$33)*IF(ABS(M1594)&lt;'Sollecitazioni nel paramento'!$G$58,ABS(M1594)*'Sollecitazioni nel paramento'!$G$54,'Sollecitazioni nel paramento'!$G$53)</f>
        <v>0</v>
      </c>
      <c r="H1594" s="545">
        <f>-'Foglio deposito bis'!$F$71*(C1594-sezione!$AO$33)*IF(ABS(N1594)&lt;'Sollecitazioni nel paramento'!$G$58,ABS(N1594)*'Sollecitazioni nel paramento'!$G$54,'Sollecitazioni nel paramento'!$G$53)</f>
        <v>37229197.647116773</v>
      </c>
      <c r="I1594" s="472">
        <f>-'Foglio deposito bis'!$F$72*(C1594-sezione!$AP$33)*IF(ABS(O1594)&lt;'Sollecitazioni nel paramento'!$G$58,ABS(O1594)*'Sollecitazioni nel paramento'!$G$54,'Sollecitazioni nel paramento'!$G$53)</f>
        <v>259899881.56946853</v>
      </c>
      <c r="J1594" s="472">
        <f t="shared" si="110"/>
        <v>260711694.20043671</v>
      </c>
      <c r="K1594" s="550">
        <f>'Sollecitazioni nel paramento'!$G$60*(sezione!$AL$33-C1594)/C1594</f>
        <v>-1.4280821005703152E-4</v>
      </c>
      <c r="L1594" s="550">
        <f>'Sollecitazioni nel paramento'!$G$60*(sezione!$AM$33-C1594)/C1594</f>
        <v>1.5357876849144529E-3</v>
      </c>
      <c r="M1594" s="551">
        <f>'Sollecitazioni nel paramento'!$G$60*(sezione!$AN$33-C1594)/C1594</f>
        <v>3.2143835798859374E-3</v>
      </c>
      <c r="N1594" s="551">
        <f>'Sollecitazioni nel paramento'!$G$60*(sezione!$AO$33-C1594)/C1594</f>
        <v>9.9287671597718744E-3</v>
      </c>
      <c r="O1594" s="551">
        <f>'Sollecitazioni nel paramento'!$G$60*(sezione!$AP$33-C1594)/C1594</f>
        <v>4.436062999223532E-2</v>
      </c>
      <c r="P1594" s="545">
        <f>-'Sollecitazioni nel paramento'!$G$47*'Sollecitazioni nel paramento'!$G$41*IF(DATI!$G$211="dx",DATI!$E$61,DATI!$E$64*DATI!$E$63)*1000*C1594*sezione!$AD$5</f>
        <v>-1588702.800947397</v>
      </c>
      <c r="Q1594" s="545">
        <f>'Foglio deposito bis'!$F$68*IF(ABS(K1594)&lt;'Sollecitazioni nel paramento'!$G$58,ABS(K1594)*'Sollecitazioni nel paramento'!$G$54,'Sollecitazioni nel paramento'!$G$53)*IF(K1594&lt;0,-1,1)</f>
        <v>0</v>
      </c>
      <c r="R1594" s="545">
        <f>'Foglio deposito bis'!$F$69*IF(ABS(L1594)&lt;'Sollecitazioni nel paramento'!$G$58,ABS(L1594)*'Sollecitazioni nel paramento'!$G$54,'Sollecitazioni nel paramento'!$G$53)*IF(L1594&lt;0,-1,1)</f>
        <v>124239.09719132372</v>
      </c>
      <c r="S1594" s="545">
        <f>'Foglio deposito bis'!$F$70*IF(ABS(M1594)&lt;'Sollecitazioni nel paramento'!$G$58,ABS(M1594)*'Sollecitazioni nel paramento'!$G$54,'Sollecitazioni nel paramento'!$G$53)*IF(M1594&lt;0,-1,1)</f>
        <v>0</v>
      </c>
      <c r="T1594" s="545">
        <f>'Foglio deposito bis'!$F$71*IF(ABS(N1594)&lt;'Sollecitazioni nel paramento'!$G$58,ABS(N1594)*'Sollecitazioni nel paramento'!$G$54,'Sollecitazioni nel paramento'!$G$53)*IF(N1594&lt;0,-1,1)</f>
        <v>314705.62929873407</v>
      </c>
      <c r="U1594" s="545">
        <f>'Foglio deposito bis'!$F$72*IF(ABS(O1594)&lt;'Sollecitazioni nel paramento'!$G$58,ABS(O1594)*'Sollecitazioni nel paramento'!$G$54,'Sollecitazioni nel paramento'!$G$53)*IF(O1594&lt;0,-1,1)</f>
        <v>491727.54577927204</v>
      </c>
      <c r="V1594" s="472">
        <f t="shared" si="112"/>
        <v>-658030.52867806726</v>
      </c>
      <c r="W1594" s="551"/>
      <c r="X1594" s="551"/>
    </row>
    <row r="1595" spans="1:24" x14ac:dyDescent="0.25">
      <c r="A1595" s="545">
        <f t="shared" si="111"/>
        <v>677754.1332540079</v>
      </c>
      <c r="B1595" s="3">
        <f t="shared" si="113"/>
        <v>5.0999999999999899</v>
      </c>
      <c r="C1595" s="545">
        <f>'Foglio deposito bis'!$E$159/sezione!$B$247*B1595</f>
        <v>42.114406164523366</v>
      </c>
      <c r="D1595" s="603">
        <f>-'Sollecitazioni nel paramento'!$G$47*'Sollecitazioni nel paramento'!$G$41*IF(DATI!$G$211="dx",DATI!$E$61,DATI!$E$64*DATI!$E$63)*1000*C1595^2*sezione!$AD$5*(1-sezione!$AD$6)</f>
        <v>-39460718.408062063</v>
      </c>
      <c r="E1595" s="545">
        <f>-'Foglio deposito bis'!$F$68*(C1595-sezione!$AL$33)*IF(ABS(K1595)&lt;'Sollecitazioni nel paramento'!$G$58,ABS(K1595)*'Sollecitazioni nel paramento'!$G$54,'Sollecitazioni nel paramento'!$G$53)</f>
        <v>0</v>
      </c>
      <c r="F1595" s="545">
        <f>-'Foglio deposito bis'!$F$69*(C1595-sezione!$AM$33)*IF(ABS(L1595)&lt;'Sollecitazioni nel paramento'!$G$58,ABS(L1595)*'Sollecitazioni nel paramento'!$G$54,'Sollecitazioni nel paramento'!$G$53)</f>
        <v>2150657.2249189359</v>
      </c>
      <c r="G1595" s="545">
        <f>-'Foglio deposito bis'!$F$70*(C1595-sezione!$AN$33)*IF(ABS(M1595)&lt;'Sollecitazioni nel paramento'!$G$58,ABS(M1595)*'Sollecitazioni nel paramento'!$G$54,'Sollecitazioni nel paramento'!$G$53)</f>
        <v>0</v>
      </c>
      <c r="H1595" s="545">
        <f>-'Foglio deposito bis'!$F$71*(C1595-sezione!$AO$33)*IF(ABS(N1595)&lt;'Sollecitazioni nel paramento'!$G$58,ABS(N1595)*'Sollecitazioni nel paramento'!$G$54,'Sollecitazioni nel paramento'!$G$53)</f>
        <v>37099259.993248641</v>
      </c>
      <c r="I1595" s="472">
        <f>-'Foglio deposito bis'!$F$72*(C1595-sezione!$AP$33)*IF(ABS(O1595)&lt;'Sollecitazioni nel paramento'!$G$58,ABS(O1595)*'Sollecitazioni nel paramento'!$G$54,'Sollecitazioni nel paramento'!$G$53)</f>
        <v>259696853.98529953</v>
      </c>
      <c r="J1595" s="472">
        <f t="shared" si="110"/>
        <v>259486052.79540503</v>
      </c>
      <c r="K1595" s="550">
        <f>'Sollecitazioni nel paramento'!$G$60*(sezione!$AL$33-C1595)/C1595</f>
        <v>-1.757218550564724E-4</v>
      </c>
      <c r="L1595" s="550">
        <f>'Sollecitazioni nel paramento'!$G$60*(sezione!$AM$33-C1595)/C1595</f>
        <v>1.4864172174152914E-3</v>
      </c>
      <c r="M1595" s="551">
        <f>'Sollecitazioni nel paramento'!$G$60*(sezione!$AN$33-C1595)/C1595</f>
        <v>3.1485562898870552E-3</v>
      </c>
      <c r="N1595" s="551">
        <f>'Sollecitazioni nel paramento'!$G$60*(sezione!$AO$33-C1595)/C1595</f>
        <v>9.7971125797741126E-3</v>
      </c>
      <c r="O1595" s="551">
        <f>'Sollecitazioni nel paramento'!$G$60*(sezione!$AP$33-C1595)/C1595</f>
        <v>4.3891408129566337E-2</v>
      </c>
      <c r="P1595" s="545">
        <f>-'Sollecitazioni nel paramento'!$G$47*'Sollecitazioni nel paramento'!$G$41*IF(DATI!$G$211="dx",DATI!$E$61,DATI!$E$64*DATI!$E$63)*1000*C1595*sezione!$AD$5</f>
        <v>-1604432.5316498464</v>
      </c>
      <c r="Q1595" s="545">
        <f>'Foglio deposito bis'!$F$68*IF(ABS(K1595)&lt;'Sollecitazioni nel paramento'!$G$58,ABS(K1595)*'Sollecitazioni nel paramento'!$G$54,'Sollecitazioni nel paramento'!$G$53)*IF(K1595&lt;0,-1,1)</f>
        <v>0</v>
      </c>
      <c r="R1595" s="545">
        <f>'Foglio deposito bis'!$F$69*IF(ABS(L1595)&lt;'Sollecitazioni nel paramento'!$G$58,ABS(L1595)*'Sollecitazioni nel paramento'!$G$54,'Sollecitazioni nel paramento'!$G$53)*IF(L1595&lt;0,-1,1)</f>
        <v>120245.22331783248</v>
      </c>
      <c r="S1595" s="545">
        <f>'Foglio deposito bis'!$F$70*IF(ABS(M1595)&lt;'Sollecitazioni nel paramento'!$G$58,ABS(M1595)*'Sollecitazioni nel paramento'!$G$54,'Sollecitazioni nel paramento'!$G$53)*IF(M1595&lt;0,-1,1)</f>
        <v>0</v>
      </c>
      <c r="T1595" s="545">
        <f>'Foglio deposito bis'!$F$71*IF(ABS(N1595)&lt;'Sollecitazioni nel paramento'!$G$58,ABS(N1595)*'Sollecitazioni nel paramento'!$G$54,'Sollecitazioni nel paramento'!$G$53)*IF(N1595&lt;0,-1,1)</f>
        <v>314705.62929873407</v>
      </c>
      <c r="U1595" s="545">
        <f>'Foglio deposito bis'!$F$72*IF(ABS(O1595)&lt;'Sollecitazioni nel paramento'!$G$58,ABS(O1595)*'Sollecitazioni nel paramento'!$G$54,'Sollecitazioni nel paramento'!$G$53)*IF(O1595&lt;0,-1,1)</f>
        <v>491727.54577927204</v>
      </c>
      <c r="V1595" s="472">
        <f t="shared" si="112"/>
        <v>-677754.1332540079</v>
      </c>
      <c r="W1595" s="551"/>
      <c r="X1595" s="551"/>
    </row>
    <row r="1596" spans="1:24" x14ac:dyDescent="0.25">
      <c r="A1596" s="545">
        <f t="shared" si="111"/>
        <v>755894.990449565</v>
      </c>
      <c r="B1596" s="3">
        <f>B1595+0.2</f>
        <v>5.2999999999999901</v>
      </c>
      <c r="C1596" s="545">
        <f>'Foglio deposito bis'!$E$159/sezione!$B$247*B1596</f>
        <v>43.765951504308603</v>
      </c>
      <c r="D1596" s="603">
        <f>-'Sollecitazioni nel paramento'!$G$47*'Sollecitazioni nel paramento'!$G$41*IF(DATI!$G$211="dx",DATI!$E$61,DATI!$E$64*DATI!$E$63)*1000*C1596^2*sezione!$AD$5*(1-sezione!$AD$6)</f>
        <v>-42616362.171567224</v>
      </c>
      <c r="E1596" s="545">
        <f>-'Foglio deposito bis'!$F$68*(C1596-sezione!$AL$33)*IF(ABS(K1596)&lt;'Sollecitazioni nel paramento'!$G$58,ABS(K1596)*'Sollecitazioni nel paramento'!$G$54,'Sollecitazioni nel paramento'!$G$53)</f>
        <v>0</v>
      </c>
      <c r="F1596" s="545">
        <f>-'Foglio deposito bis'!$F$69*(C1596-sezione!$AM$33)*IF(ABS(L1596)&lt;'Sollecitazioni nel paramento'!$G$58,ABS(L1596)*'Sollecitazioni nel paramento'!$G$54,'Sollecitazioni nel paramento'!$G$53)</f>
        <v>1704953.1657002899</v>
      </c>
      <c r="G1596" s="545">
        <f>-'Foglio deposito bis'!$F$70*(C1596-sezione!$AN$33)*IF(ABS(M1596)&lt;'Sollecitazioni nel paramento'!$G$58,ABS(M1596)*'Sollecitazioni nel paramento'!$G$54,'Sollecitazioni nel paramento'!$G$53)</f>
        <v>0</v>
      </c>
      <c r="H1596" s="545">
        <f>-'Foglio deposito bis'!$F$71*(C1596-sezione!$AO$33)*IF(ABS(N1596)&lt;'Sollecitazioni nel paramento'!$G$58,ABS(N1596)*'Sollecitazioni nel paramento'!$G$54,'Sollecitazioni nel paramento'!$G$53)</f>
        <v>36579509.377776138</v>
      </c>
      <c r="I1596" s="472">
        <f>-'Foglio deposito bis'!$F$72*(C1596-sezione!$AP$33)*IF(ABS(O1596)&lt;'Sollecitazioni nel paramento'!$G$58,ABS(O1596)*'Sollecitazioni nel paramento'!$G$54,'Sollecitazioni nel paramento'!$G$53)</f>
        <v>258884743.64862373</v>
      </c>
      <c r="J1596" s="472">
        <f t="shared" si="110"/>
        <v>254552844.02053294</v>
      </c>
      <c r="K1596" s="550">
        <f>'Sollecitazioni nel paramento'!$G$60*(sezione!$AL$33-C1596)/C1596</f>
        <v>-3.0116631335622867E-4</v>
      </c>
      <c r="L1596" s="550">
        <f>'Sollecitazioni nel paramento'!$G$60*(sezione!$AM$33-C1596)/C1596</f>
        <v>1.298250529965657E-3</v>
      </c>
      <c r="M1596" s="551">
        <f>'Sollecitazioni nel paramento'!$G$60*(sezione!$AN$33-C1596)/C1596</f>
        <v>2.8976673732875424E-3</v>
      </c>
      <c r="N1596" s="551">
        <f>'Sollecitazioni nel paramento'!$G$60*(sezione!$AO$33-C1596)/C1596</f>
        <v>9.2953347465750853E-3</v>
      </c>
      <c r="O1596" s="551">
        <f>'Sollecitazioni nel paramento'!$G$60*(sezione!$AP$33-C1596)/C1596</f>
        <v>4.2103053105809106E-2</v>
      </c>
      <c r="P1596" s="545">
        <f>-'Sollecitazioni nel paramento'!$G$47*'Sollecitazioni nel paramento'!$G$41*IF(DATI!$G$211="dx",DATI!$E$61,DATI!$E$64*DATI!$E$63)*1000*C1596*sezione!$AD$5</f>
        <v>-1667351.4544596444</v>
      </c>
      <c r="Q1596" s="545">
        <f>'Foglio deposito bis'!$F$68*IF(ABS(K1596)&lt;'Sollecitazioni nel paramento'!$G$58,ABS(K1596)*'Sollecitazioni nel paramento'!$G$54,'Sollecitazioni nel paramento'!$G$53)*IF(K1596&lt;0,-1,1)</f>
        <v>0</v>
      </c>
      <c r="R1596" s="545">
        <f>'Foglio deposito bis'!$F$69*IF(ABS(L1596)&lt;'Sollecitazioni nel paramento'!$G$58,ABS(L1596)*'Sollecitazioni nel paramento'!$G$54,'Sollecitazioni nel paramento'!$G$53)*IF(L1596&lt;0,-1,1)</f>
        <v>105023.28893207344</v>
      </c>
      <c r="S1596" s="545">
        <f>'Foglio deposito bis'!$F$70*IF(ABS(M1596)&lt;'Sollecitazioni nel paramento'!$G$58,ABS(M1596)*'Sollecitazioni nel paramento'!$G$54,'Sollecitazioni nel paramento'!$G$53)*IF(M1596&lt;0,-1,1)</f>
        <v>0</v>
      </c>
      <c r="T1596" s="545">
        <f>'Foglio deposito bis'!$F$71*IF(ABS(N1596)&lt;'Sollecitazioni nel paramento'!$G$58,ABS(N1596)*'Sollecitazioni nel paramento'!$G$54,'Sollecitazioni nel paramento'!$G$53)*IF(N1596&lt;0,-1,1)</f>
        <v>314705.62929873407</v>
      </c>
      <c r="U1596" s="545">
        <f>'Foglio deposito bis'!$F$72*IF(ABS(O1596)&lt;'Sollecitazioni nel paramento'!$G$58,ABS(O1596)*'Sollecitazioni nel paramento'!$G$54,'Sollecitazioni nel paramento'!$G$53)*IF(O1596&lt;0,-1,1)</f>
        <v>491727.54577927204</v>
      </c>
      <c r="V1596" s="472">
        <f t="shared" si="112"/>
        <v>-755894.990449565</v>
      </c>
      <c r="W1596" s="551"/>
      <c r="X1596" s="551"/>
    </row>
    <row r="1597" spans="1:24" x14ac:dyDescent="0.25">
      <c r="A1597" s="545">
        <f t="shared" si="111"/>
        <v>832928.79787161225</v>
      </c>
      <c r="B1597" s="3">
        <f t="shared" ref="B1597:B1660" si="114">B1596+0.2</f>
        <v>5.4999999999999902</v>
      </c>
      <c r="C1597" s="545">
        <f>'Foglio deposito bis'!$E$159/sezione!$B$247*B1597</f>
        <v>45.417496844093833</v>
      </c>
      <c r="D1597" s="603">
        <f>-'Sollecitazioni nel paramento'!$G$47*'Sollecitazioni nel paramento'!$G$41*IF(DATI!$G$211="dx",DATI!$E$61,DATI!$E$64*DATI!$E$63)*1000*C1597^2*sezione!$AD$5*(1-sezione!$AD$6)</f>
        <v>-45893376.849053353</v>
      </c>
      <c r="E1597" s="545">
        <f>-'Foglio deposito bis'!$F$68*(C1597-sezione!$AL$33)*IF(ABS(K1597)&lt;'Sollecitazioni nel paramento'!$G$58,ABS(K1597)*'Sollecitazioni nel paramento'!$G$54,'Sollecitazioni nel paramento'!$G$53)</f>
        <v>0</v>
      </c>
      <c r="F1597" s="545">
        <f>-'Foglio deposito bis'!$F$69*(C1597-sezione!$AM$33)*IF(ABS(L1597)&lt;'Sollecitazioni nel paramento'!$G$58,ABS(L1597)*'Sollecitazioni nel paramento'!$G$54,'Sollecitazioni nel paramento'!$G$53)</f>
        <v>1325672.0928922307</v>
      </c>
      <c r="G1597" s="545">
        <f>-'Foglio deposito bis'!$F$70*(C1597-sezione!$AN$33)*IF(ABS(M1597)&lt;'Sollecitazioni nel paramento'!$G$58,ABS(M1597)*'Sollecitazioni nel paramento'!$G$54,'Sollecitazioni nel paramento'!$G$53)</f>
        <v>0</v>
      </c>
      <c r="H1597" s="545">
        <f>-'Foglio deposito bis'!$F$71*(C1597-sezione!$AO$33)*IF(ABS(N1597)&lt;'Sollecitazioni nel paramento'!$G$58,ABS(N1597)*'Sollecitazioni nel paramento'!$G$54,'Sollecitazioni nel paramento'!$G$53)</f>
        <v>36059758.762303635</v>
      </c>
      <c r="I1597" s="472">
        <f>-'Foglio deposito bis'!$F$72*(C1597-sezione!$AP$33)*IF(ABS(O1597)&lt;'Sollecitazioni nel paramento'!$G$58,ABS(O1597)*'Sollecitazioni nel paramento'!$G$54,'Sollecitazioni nel paramento'!$G$53)</f>
        <v>258072633.31194794</v>
      </c>
      <c r="J1597" s="472">
        <f t="shared" si="110"/>
        <v>249564687.31809044</v>
      </c>
      <c r="K1597" s="550">
        <f>'Sollecitazioni nel paramento'!$G$60*(sezione!$AL$33-C1597)/C1597</f>
        <v>-4.1748753832509308E-4</v>
      </c>
      <c r="L1597" s="550">
        <f>'Sollecitazioni nel paramento'!$G$60*(sezione!$AM$33-C1597)/C1597</f>
        <v>1.1237686925123604E-3</v>
      </c>
      <c r="M1597" s="551">
        <f>'Sollecitazioni nel paramento'!$G$60*(sezione!$AN$33-C1597)/C1597</f>
        <v>2.6650249233498139E-3</v>
      </c>
      <c r="N1597" s="551">
        <f>'Sollecitazioni nel paramento'!$G$60*(sezione!$AO$33-C1597)/C1597</f>
        <v>8.8300498466996283E-3</v>
      </c>
      <c r="O1597" s="551">
        <f>'Sollecitazioni nel paramento'!$G$60*(sezione!$AP$33-C1597)/C1597</f>
        <v>4.0444760265597873E-2</v>
      </c>
      <c r="P1597" s="545">
        <f>-'Sollecitazioni nel paramento'!$G$47*'Sollecitazioni nel paramento'!$G$41*IF(DATI!$G$211="dx",DATI!$E$61,DATI!$E$64*DATI!$E$63)*1000*C1597*sezione!$AD$5</f>
        <v>-1730270.3772694424</v>
      </c>
      <c r="Q1597" s="545">
        <f>'Foglio deposito bis'!$F$68*IF(ABS(K1597)&lt;'Sollecitazioni nel paramento'!$G$58,ABS(K1597)*'Sollecitazioni nel paramento'!$G$54,'Sollecitazioni nel paramento'!$G$53)*IF(K1597&lt;0,-1,1)</f>
        <v>0</v>
      </c>
      <c r="R1597" s="545">
        <f>'Foglio deposito bis'!$F$69*IF(ABS(L1597)&lt;'Sollecitazioni nel paramento'!$G$58,ABS(L1597)*'Sollecitazioni nel paramento'!$G$54,'Sollecitazioni nel paramento'!$G$53)*IF(L1597&lt;0,-1,1)</f>
        <v>90908.404319824243</v>
      </c>
      <c r="S1597" s="545">
        <f>'Foglio deposito bis'!$F$70*IF(ABS(M1597)&lt;'Sollecitazioni nel paramento'!$G$58,ABS(M1597)*'Sollecitazioni nel paramento'!$G$54,'Sollecitazioni nel paramento'!$G$53)*IF(M1597&lt;0,-1,1)</f>
        <v>0</v>
      </c>
      <c r="T1597" s="545">
        <f>'Foglio deposito bis'!$F$71*IF(ABS(N1597)&lt;'Sollecitazioni nel paramento'!$G$58,ABS(N1597)*'Sollecitazioni nel paramento'!$G$54,'Sollecitazioni nel paramento'!$G$53)*IF(N1597&lt;0,-1,1)</f>
        <v>314705.62929873407</v>
      </c>
      <c r="U1597" s="545">
        <f>'Foglio deposito bis'!$F$72*IF(ABS(O1597)&lt;'Sollecitazioni nel paramento'!$G$58,ABS(O1597)*'Sollecitazioni nel paramento'!$G$54,'Sollecitazioni nel paramento'!$G$53)*IF(O1597&lt;0,-1,1)</f>
        <v>491727.54577927204</v>
      </c>
      <c r="V1597" s="472">
        <f t="shared" si="112"/>
        <v>-832928.79787161225</v>
      </c>
      <c r="W1597" s="551"/>
      <c r="X1597" s="551"/>
    </row>
    <row r="1598" spans="1:24" x14ac:dyDescent="0.25">
      <c r="A1598" s="545">
        <f t="shared" si="111"/>
        <v>908972.08707525604</v>
      </c>
      <c r="B1598" s="3">
        <f t="shared" si="114"/>
        <v>5.6999999999999904</v>
      </c>
      <c r="C1598" s="545">
        <f>'Foglio deposito bis'!$E$159/sezione!$B$247*B1598</f>
        <v>47.06904218387907</v>
      </c>
      <c r="D1598" s="603">
        <f>-'Sollecitazioni nel paramento'!$G$47*'Sollecitazioni nel paramento'!$G$41*IF(DATI!$G$211="dx",DATI!$E$61,DATI!$E$64*DATI!$E$63)*1000*C1598^2*sezione!$AD$5*(1-sezione!$AD$6)</f>
        <v>-49291762.440520458</v>
      </c>
      <c r="E1598" s="545">
        <f>-'Foglio deposito bis'!$F$68*(C1598-sezione!$AL$33)*IF(ABS(K1598)&lt;'Sollecitazioni nel paramento'!$G$58,ABS(K1598)*'Sollecitazioni nel paramento'!$G$54,'Sollecitazioni nel paramento'!$G$53)</f>
        <v>0</v>
      </c>
      <c r="F1598" s="545">
        <f>-'Foglio deposito bis'!$F$69*(C1598-sezione!$AM$33)*IF(ABS(L1598)&lt;'Sollecitazioni nel paramento'!$G$58,ABS(L1598)*'Sollecitazioni nel paramento'!$G$54,'Sollecitazioni nel paramento'!$G$53)</f>
        <v>1005822.1131883776</v>
      </c>
      <c r="G1598" s="545">
        <f>-'Foglio deposito bis'!$F$70*(C1598-sezione!$AN$33)*IF(ABS(M1598)&lt;'Sollecitazioni nel paramento'!$G$58,ABS(M1598)*'Sollecitazioni nel paramento'!$G$54,'Sollecitazioni nel paramento'!$G$53)</f>
        <v>0</v>
      </c>
      <c r="H1598" s="545">
        <f>-'Foglio deposito bis'!$F$71*(C1598-sezione!$AO$33)*IF(ABS(N1598)&lt;'Sollecitazioni nel paramento'!$G$58,ABS(N1598)*'Sollecitazioni nel paramento'!$G$54,'Sollecitazioni nel paramento'!$G$53)</f>
        <v>35540008.146831125</v>
      </c>
      <c r="I1598" s="472">
        <f>-'Foglio deposito bis'!$F$72*(C1598-sezione!$AP$33)*IF(ABS(O1598)&lt;'Sollecitazioni nel paramento'!$G$58,ABS(O1598)*'Sollecitazioni nel paramento'!$G$54,'Sollecitazioni nel paramento'!$G$53)</f>
        <v>257260522.97527221</v>
      </c>
      <c r="J1598" s="472">
        <f t="shared" si="110"/>
        <v>244514590.79477125</v>
      </c>
      <c r="K1598" s="550">
        <f>'Sollecitazioni nel paramento'!$G$60*(sezione!$AL$33-C1598)/C1598</f>
        <v>-5.2564587031368672E-4</v>
      </c>
      <c r="L1598" s="550">
        <f>'Sollecitazioni nel paramento'!$G$60*(sezione!$AM$33-C1598)/C1598</f>
        <v>9.6153119452946996E-4</v>
      </c>
      <c r="M1598" s="551">
        <f>'Sollecitazioni nel paramento'!$G$60*(sezione!$AN$33-C1598)/C1598</f>
        <v>2.4487082593726266E-3</v>
      </c>
      <c r="N1598" s="551">
        <f>'Sollecitazioni nel paramento'!$G$60*(sezione!$AO$33-C1598)/C1598</f>
        <v>8.3974165187452529E-3</v>
      </c>
      <c r="O1598" s="551">
        <f>'Sollecitazioni nel paramento'!$G$60*(sezione!$AP$33-C1598)/C1598</f>
        <v>3.8902838852769871E-2</v>
      </c>
      <c r="P1598" s="545">
        <f>-'Sollecitazioni nel paramento'!$G$47*'Sollecitazioni nel paramento'!$G$41*IF(DATI!$G$211="dx",DATI!$E$61,DATI!$E$64*DATI!$E$63)*1000*C1598*sezione!$AD$5</f>
        <v>-1793189.3000792405</v>
      </c>
      <c r="Q1598" s="545">
        <f>'Foglio deposito bis'!$F$68*IF(ABS(K1598)&lt;'Sollecitazioni nel paramento'!$G$58,ABS(K1598)*'Sollecitazioni nel paramento'!$G$54,'Sollecitazioni nel paramento'!$G$53)*IF(K1598&lt;0,-1,1)</f>
        <v>0</v>
      </c>
      <c r="R1598" s="545">
        <f>'Foglio deposito bis'!$F$69*IF(ABS(L1598)&lt;'Sollecitazioni nel paramento'!$G$58,ABS(L1598)*'Sollecitazioni nel paramento'!$G$54,'Sollecitazioni nel paramento'!$G$53)*IF(L1598&lt;0,-1,1)</f>
        <v>77784.037925978424</v>
      </c>
      <c r="S1598" s="545">
        <f>'Foglio deposito bis'!$F$70*IF(ABS(M1598)&lt;'Sollecitazioni nel paramento'!$G$58,ABS(M1598)*'Sollecitazioni nel paramento'!$G$54,'Sollecitazioni nel paramento'!$G$53)*IF(M1598&lt;0,-1,1)</f>
        <v>0</v>
      </c>
      <c r="T1598" s="545">
        <f>'Foglio deposito bis'!$F$71*IF(ABS(N1598)&lt;'Sollecitazioni nel paramento'!$G$58,ABS(N1598)*'Sollecitazioni nel paramento'!$G$54,'Sollecitazioni nel paramento'!$G$53)*IF(N1598&lt;0,-1,1)</f>
        <v>314705.62929873407</v>
      </c>
      <c r="U1598" s="545">
        <f>'Foglio deposito bis'!$F$72*IF(ABS(O1598)&lt;'Sollecitazioni nel paramento'!$G$58,ABS(O1598)*'Sollecitazioni nel paramento'!$G$54,'Sollecitazioni nel paramento'!$G$53)*IF(O1598&lt;0,-1,1)</f>
        <v>491727.54577927204</v>
      </c>
      <c r="V1598" s="472">
        <f t="shared" si="112"/>
        <v>-908972.08707525604</v>
      </c>
      <c r="W1598" s="551"/>
      <c r="X1598" s="551"/>
    </row>
    <row r="1599" spans="1:24" x14ac:dyDescent="0.25">
      <c r="A1599" s="545">
        <f t="shared" si="111"/>
        <v>984125.58872677526</v>
      </c>
      <c r="B1599" s="3">
        <f t="shared" si="114"/>
        <v>5.8999999999999906</v>
      </c>
      <c r="C1599" s="545">
        <f>'Foglio deposito bis'!$E$159/sezione!$B$247*B1599</f>
        <v>48.720587523664307</v>
      </c>
      <c r="D1599" s="603">
        <f>-'Sollecitazioni nel paramento'!$G$47*'Sollecitazioni nel paramento'!$G$41*IF(DATI!$G$211="dx",DATI!$E$61,DATI!$E$64*DATI!$E$63)*1000*C1599^2*sezione!$AD$5*(1-sezione!$AD$6)</f>
        <v>-52811518.945968516</v>
      </c>
      <c r="E1599" s="545">
        <f>-'Foglio deposito bis'!$F$68*(C1599-sezione!$AL$33)*IF(ABS(K1599)&lt;'Sollecitazioni nel paramento'!$G$58,ABS(K1599)*'Sollecitazioni nel paramento'!$G$54,'Sollecitazioni nel paramento'!$G$53)</f>
        <v>0</v>
      </c>
      <c r="F1599" s="545">
        <f>-'Foglio deposito bis'!$F$69*(C1599-sezione!$AM$33)*IF(ABS(L1599)&lt;'Sollecitazioni nel paramento'!$G$58,ABS(L1599)*'Sollecitazioni nel paramento'!$G$54,'Sollecitazioni nel paramento'!$G$53)</f>
        <v>739359.38661203301</v>
      </c>
      <c r="G1599" s="545">
        <f>-'Foglio deposito bis'!$F$70*(C1599-sezione!$AN$33)*IF(ABS(M1599)&lt;'Sollecitazioni nel paramento'!$G$58,ABS(M1599)*'Sollecitazioni nel paramento'!$G$54,'Sollecitazioni nel paramento'!$G$53)</f>
        <v>0</v>
      </c>
      <c r="H1599" s="545">
        <f>-'Foglio deposito bis'!$F$71*(C1599-sezione!$AO$33)*IF(ABS(N1599)&lt;'Sollecitazioni nel paramento'!$G$58,ABS(N1599)*'Sollecitazioni nel paramento'!$G$54,'Sollecitazioni nel paramento'!$G$53)</f>
        <v>35020257.531358622</v>
      </c>
      <c r="I1599" s="472">
        <f>-'Foglio deposito bis'!$F$72*(C1599-sezione!$AP$33)*IF(ABS(O1599)&lt;'Sollecitazioni nel paramento'!$G$58,ABS(O1599)*'Sollecitazioni nel paramento'!$G$54,'Sollecitazioni nel paramento'!$G$53)</f>
        <v>256448412.63859642</v>
      </c>
      <c r="J1599" s="472">
        <f t="shared" si="110"/>
        <v>239396510.61059856</v>
      </c>
      <c r="K1599" s="550">
        <f>'Sollecitazioni nel paramento'!$G$60*(sezione!$AL$33-C1599)/C1599</f>
        <v>-6.2647143403186717E-4</v>
      </c>
      <c r="L1599" s="550">
        <f>'Sollecitazioni nel paramento'!$G$60*(sezione!$AM$33-C1599)/C1599</f>
        <v>8.1029284895219934E-4</v>
      </c>
      <c r="M1599" s="551">
        <f>'Sollecitazioni nel paramento'!$G$60*(sezione!$AN$33-C1599)/C1599</f>
        <v>2.247057131936266E-3</v>
      </c>
      <c r="N1599" s="551">
        <f>'Sollecitazioni nel paramento'!$G$60*(sezione!$AO$33-C1599)/C1599</f>
        <v>7.9941142638725315E-3</v>
      </c>
      <c r="O1599" s="551">
        <f>'Sollecitazioni nel paramento'!$G$60*(sezione!$AP$33-C1599)/C1599</f>
        <v>3.7465454484879361E-2</v>
      </c>
      <c r="P1599" s="545">
        <f>-'Sollecitazioni nel paramento'!$G$47*'Sollecitazioni nel paramento'!$G$41*IF(DATI!$G$211="dx",DATI!$E$61,DATI!$E$64*DATI!$E$63)*1000*C1599*sezione!$AD$5</f>
        <v>-1856108.222889039</v>
      </c>
      <c r="Q1599" s="545">
        <f>'Foglio deposito bis'!$F$68*IF(ABS(K1599)&lt;'Sollecitazioni nel paramento'!$G$58,ABS(K1599)*'Sollecitazioni nel paramento'!$G$54,'Sollecitazioni nel paramento'!$G$53)*IF(K1599&lt;0,-1,1)</f>
        <v>0</v>
      </c>
      <c r="R1599" s="545">
        <f>'Foglio deposito bis'!$F$69*IF(ABS(L1599)&lt;'Sollecitazioni nel paramento'!$G$58,ABS(L1599)*'Sollecitazioni nel paramento'!$G$54,'Sollecitazioni nel paramento'!$G$53)*IF(L1599&lt;0,-1,1)</f>
        <v>65549.45908425776</v>
      </c>
      <c r="S1599" s="545">
        <f>'Foglio deposito bis'!$F$70*IF(ABS(M1599)&lt;'Sollecitazioni nel paramento'!$G$58,ABS(M1599)*'Sollecitazioni nel paramento'!$G$54,'Sollecitazioni nel paramento'!$G$53)*IF(M1599&lt;0,-1,1)</f>
        <v>0</v>
      </c>
      <c r="T1599" s="545">
        <f>'Foglio deposito bis'!$F$71*IF(ABS(N1599)&lt;'Sollecitazioni nel paramento'!$G$58,ABS(N1599)*'Sollecitazioni nel paramento'!$G$54,'Sollecitazioni nel paramento'!$G$53)*IF(N1599&lt;0,-1,1)</f>
        <v>314705.62929873407</v>
      </c>
      <c r="U1599" s="545">
        <f>'Foglio deposito bis'!$F$72*IF(ABS(O1599)&lt;'Sollecitazioni nel paramento'!$G$58,ABS(O1599)*'Sollecitazioni nel paramento'!$G$54,'Sollecitazioni nel paramento'!$G$53)*IF(O1599&lt;0,-1,1)</f>
        <v>491727.54577927204</v>
      </c>
      <c r="V1599" s="472">
        <f t="shared" si="112"/>
        <v>-984125.58872677526</v>
      </c>
      <c r="W1599" s="551"/>
      <c r="X1599" s="551"/>
    </row>
    <row r="1600" spans="1:24" x14ac:dyDescent="0.25">
      <c r="A1600" s="545">
        <f t="shared" si="111"/>
        <v>1058476.8229132628</v>
      </c>
      <c r="B1600" s="3">
        <f t="shared" si="114"/>
        <v>6.0999999999999908</v>
      </c>
      <c r="C1600" s="545">
        <f>'Foglio deposito bis'!$E$159/sezione!$B$247*B1600</f>
        <v>50.372132863449544</v>
      </c>
      <c r="D1600" s="603">
        <f>-'Sollecitazioni nel paramento'!$G$47*'Sollecitazioni nel paramento'!$G$41*IF(DATI!$G$211="dx",DATI!$E$61,DATI!$E$64*DATI!$E$63)*1000*C1600^2*sezione!$AD$5*(1-sezione!$AD$6)</f>
        <v>-56452646.365397573</v>
      </c>
      <c r="E1600" s="545">
        <f>-'Foglio deposito bis'!$F$68*(C1600-sezione!$AL$33)*IF(ABS(K1600)&lt;'Sollecitazioni nel paramento'!$G$58,ABS(K1600)*'Sollecitazioni nel paramento'!$G$54,'Sollecitazioni nel paramento'!$G$53)</f>
        <v>0</v>
      </c>
      <c r="F1600" s="545">
        <f>-'Foglio deposito bis'!$F$69*(C1600-sezione!$AM$33)*IF(ABS(L1600)&lt;'Sollecitazioni nel paramento'!$G$58,ABS(L1600)*'Sollecitazioni nel paramento'!$G$54,'Sollecitazioni nel paramento'!$G$53)</f>
        <v>521032.70793754025</v>
      </c>
      <c r="G1600" s="545">
        <f>-'Foglio deposito bis'!$F$70*(C1600-sezione!$AN$33)*IF(ABS(M1600)&lt;'Sollecitazioni nel paramento'!$G$58,ABS(M1600)*'Sollecitazioni nel paramento'!$G$54,'Sollecitazioni nel paramento'!$G$53)</f>
        <v>0</v>
      </c>
      <c r="H1600" s="545">
        <f>-'Foglio deposito bis'!$F$71*(C1600-sezione!$AO$33)*IF(ABS(N1600)&lt;'Sollecitazioni nel paramento'!$G$58,ABS(N1600)*'Sollecitazioni nel paramento'!$G$54,'Sollecitazioni nel paramento'!$G$53)</f>
        <v>34500506.915886126</v>
      </c>
      <c r="I1600" s="472">
        <f>-'Foglio deposito bis'!$F$72*(C1600-sezione!$AP$33)*IF(ABS(O1600)&lt;'Sollecitazioni nel paramento'!$G$58,ABS(O1600)*'Sollecitazioni nel paramento'!$G$54,'Sollecitazioni nel paramento'!$G$53)</f>
        <v>255636302.30192062</v>
      </c>
      <c r="J1600" s="472">
        <f t="shared" si="110"/>
        <v>234205195.56034672</v>
      </c>
      <c r="K1600" s="550">
        <f>'Sollecitazioni nel paramento'!$G$60*(sezione!$AL$33-C1600)/C1600</f>
        <v>-7.2068548537508506E-4</v>
      </c>
      <c r="L1600" s="550">
        <f>'Sollecitazioni nel paramento'!$G$60*(sezione!$AM$33-C1600)/C1600</f>
        <v>6.6897177193737251E-4</v>
      </c>
      <c r="M1600" s="551">
        <f>'Sollecitazioni nel paramento'!$G$60*(sezione!$AN$33-C1600)/C1600</f>
        <v>2.0586290292498302E-3</v>
      </c>
      <c r="N1600" s="551">
        <f>'Sollecitazioni nel paramento'!$G$60*(sezione!$AO$33-C1600)/C1600</f>
        <v>7.6172580584996609E-3</v>
      </c>
      <c r="O1600" s="551">
        <f>'Sollecitazioni nel paramento'!$G$60*(sezione!$AP$33-C1600)/C1600</f>
        <v>3.6122324829637412E-2</v>
      </c>
      <c r="P1600" s="545">
        <f>-'Sollecitazioni nel paramento'!$G$47*'Sollecitazioni nel paramento'!$G$41*IF(DATI!$G$211="dx",DATI!$E$61,DATI!$E$64*DATI!$E$63)*1000*C1600*sezione!$AD$5</f>
        <v>-1919027.1456988368</v>
      </c>
      <c r="Q1600" s="545">
        <f>'Foglio deposito bis'!$F$68*IF(ABS(K1600)&lt;'Sollecitazioni nel paramento'!$G$58,ABS(K1600)*'Sollecitazioni nel paramento'!$G$54,'Sollecitazioni nel paramento'!$G$53)*IF(K1600&lt;0,-1,1)</f>
        <v>0</v>
      </c>
      <c r="R1600" s="545">
        <f>'Foglio deposito bis'!$F$69*IF(ABS(L1600)&lt;'Sollecitazioni nel paramento'!$G$58,ABS(L1600)*'Sollecitazioni nel paramento'!$G$54,'Sollecitazioni nel paramento'!$G$53)*IF(L1600&lt;0,-1,1)</f>
        <v>54117.147707567943</v>
      </c>
      <c r="S1600" s="545">
        <f>'Foglio deposito bis'!$F$70*IF(ABS(M1600)&lt;'Sollecitazioni nel paramento'!$G$58,ABS(M1600)*'Sollecitazioni nel paramento'!$G$54,'Sollecitazioni nel paramento'!$G$53)*IF(M1600&lt;0,-1,1)</f>
        <v>0</v>
      </c>
      <c r="T1600" s="545">
        <f>'Foglio deposito bis'!$F$71*IF(ABS(N1600)&lt;'Sollecitazioni nel paramento'!$G$58,ABS(N1600)*'Sollecitazioni nel paramento'!$G$54,'Sollecitazioni nel paramento'!$G$53)*IF(N1600&lt;0,-1,1)</f>
        <v>314705.62929873407</v>
      </c>
      <c r="U1600" s="545">
        <f>'Foglio deposito bis'!$F$72*IF(ABS(O1600)&lt;'Sollecitazioni nel paramento'!$G$58,ABS(O1600)*'Sollecitazioni nel paramento'!$G$54,'Sollecitazioni nel paramento'!$G$53)*IF(O1600&lt;0,-1,1)</f>
        <v>491727.54577927204</v>
      </c>
      <c r="V1600" s="472">
        <f t="shared" si="112"/>
        <v>-1058476.8229132628</v>
      </c>
      <c r="W1600" s="551"/>
      <c r="X1600" s="551"/>
    </row>
    <row r="1601" spans="1:24" x14ac:dyDescent="0.25">
      <c r="A1601" s="545">
        <f t="shared" si="111"/>
        <v>1132102.1960599609</v>
      </c>
      <c r="B1601" s="3">
        <f t="shared" si="114"/>
        <v>6.2999999999999909</v>
      </c>
      <c r="C1601" s="545">
        <f>'Foglio deposito bis'!$E$159/sezione!$B$247*B1601</f>
        <v>52.023678203234773</v>
      </c>
      <c r="D1601" s="603">
        <f>-'Sollecitazioni nel paramento'!$G$47*'Sollecitazioni nel paramento'!$G$41*IF(DATI!$G$211="dx",DATI!$E$61,DATI!$E$64*DATI!$E$63)*1000*C1601^2*sezione!$AD$5*(1-sezione!$AD$6)</f>
        <v>-60215144.698807567</v>
      </c>
      <c r="E1601" s="545">
        <f>-'Foglio deposito bis'!$F$68*(C1601-sezione!$AL$33)*IF(ABS(K1601)&lt;'Sollecitazioni nel paramento'!$G$58,ABS(K1601)*'Sollecitazioni nel paramento'!$G$54,'Sollecitazioni nel paramento'!$G$53)</f>
        <v>0</v>
      </c>
      <c r="F1601" s="545">
        <f>-'Foglio deposito bis'!$F$69*(C1601-sezione!$AM$33)*IF(ABS(L1601)&lt;'Sollecitazioni nel paramento'!$G$58,ABS(L1601)*'Sollecitazioni nel paramento'!$G$54,'Sollecitazioni nel paramento'!$G$53)</f>
        <v>346257.6916504383</v>
      </c>
      <c r="G1601" s="545">
        <f>-'Foglio deposito bis'!$F$70*(C1601-sezione!$AN$33)*IF(ABS(M1601)&lt;'Sollecitazioni nel paramento'!$G$58,ABS(M1601)*'Sollecitazioni nel paramento'!$G$54,'Sollecitazioni nel paramento'!$G$53)</f>
        <v>0</v>
      </c>
      <c r="H1601" s="545">
        <f>-'Foglio deposito bis'!$F$71*(C1601-sezione!$AO$33)*IF(ABS(N1601)&lt;'Sollecitazioni nel paramento'!$G$58,ABS(N1601)*'Sollecitazioni nel paramento'!$G$54,'Sollecitazioni nel paramento'!$G$53)</f>
        <v>33980756.300413623</v>
      </c>
      <c r="I1601" s="472">
        <f>-'Foglio deposito bis'!$F$72*(C1601-sezione!$AP$33)*IF(ABS(O1601)&lt;'Sollecitazioni nel paramento'!$G$58,ABS(O1601)*'Sollecitazioni nel paramento'!$G$54,'Sollecitazioni nel paramento'!$G$53)</f>
        <v>254824191.96524483</v>
      </c>
      <c r="J1601" s="472">
        <f t="shared" si="110"/>
        <v>228936061.25850132</v>
      </c>
      <c r="K1601" s="550">
        <f>'Sollecitazioni nel paramento'!$G$60*(sezione!$AL$33-C1601)/C1601</f>
        <v>-8.0891769218857429E-4</v>
      </c>
      <c r="L1601" s="550">
        <f>'Sollecitazioni nel paramento'!$G$60*(sezione!$AM$33-C1601)/C1601</f>
        <v>5.3662346171713866E-4</v>
      </c>
      <c r="M1601" s="551">
        <f>'Sollecitazioni nel paramento'!$G$60*(sezione!$AN$33-C1601)/C1601</f>
        <v>1.8821646156228515E-3</v>
      </c>
      <c r="N1601" s="551">
        <f>'Sollecitazioni nel paramento'!$G$60*(sezione!$AO$33-C1601)/C1601</f>
        <v>7.2643292312457039E-3</v>
      </c>
      <c r="O1601" s="551">
        <f>'Sollecitazioni nel paramento'!$G$60*(sezione!$AP$33-C1601)/C1601</f>
        <v>3.4864473247744159E-2</v>
      </c>
      <c r="P1601" s="545">
        <f>-'Sollecitazioni nel paramento'!$G$47*'Sollecitazioni nel paramento'!$G$41*IF(DATI!$G$211="dx",DATI!$E$61,DATI!$E$64*DATI!$E$63)*1000*C1601*sezione!$AD$5</f>
        <v>-1981946.0685086348</v>
      </c>
      <c r="Q1601" s="545">
        <f>'Foglio deposito bis'!$F$68*IF(ABS(K1601)&lt;'Sollecitazioni nel paramento'!$G$58,ABS(K1601)*'Sollecitazioni nel paramento'!$G$54,'Sollecitazioni nel paramento'!$G$53)*IF(K1601&lt;0,-1,1)</f>
        <v>0</v>
      </c>
      <c r="R1601" s="545">
        <f>'Foglio deposito bis'!$F$69*IF(ABS(L1601)&lt;'Sollecitazioni nel paramento'!$G$58,ABS(L1601)*'Sollecitazioni nel paramento'!$G$54,'Sollecitazioni nel paramento'!$G$53)*IF(L1601&lt;0,-1,1)</f>
        <v>43410.697370668022</v>
      </c>
      <c r="S1601" s="545">
        <f>'Foglio deposito bis'!$F$70*IF(ABS(M1601)&lt;'Sollecitazioni nel paramento'!$G$58,ABS(M1601)*'Sollecitazioni nel paramento'!$G$54,'Sollecitazioni nel paramento'!$G$53)*IF(M1601&lt;0,-1,1)</f>
        <v>0</v>
      </c>
      <c r="T1601" s="545">
        <f>'Foglio deposito bis'!$F$71*IF(ABS(N1601)&lt;'Sollecitazioni nel paramento'!$G$58,ABS(N1601)*'Sollecitazioni nel paramento'!$G$54,'Sollecitazioni nel paramento'!$G$53)*IF(N1601&lt;0,-1,1)</f>
        <v>314705.62929873407</v>
      </c>
      <c r="U1601" s="545">
        <f>'Foglio deposito bis'!$F$72*IF(ABS(O1601)&lt;'Sollecitazioni nel paramento'!$G$58,ABS(O1601)*'Sollecitazioni nel paramento'!$G$54,'Sollecitazioni nel paramento'!$G$53)*IF(O1601&lt;0,-1,1)</f>
        <v>491727.54577927204</v>
      </c>
      <c r="V1601" s="472">
        <f t="shared" si="112"/>
        <v>-1132102.1960599609</v>
      </c>
      <c r="W1601" s="551"/>
      <c r="X1601" s="551"/>
    </row>
    <row r="1602" spans="1:24" x14ac:dyDescent="0.25">
      <c r="A1602" s="545">
        <f t="shared" si="111"/>
        <v>1205068.710724388</v>
      </c>
      <c r="B1602" s="3">
        <f t="shared" si="114"/>
        <v>6.4999999999999911</v>
      </c>
      <c r="C1602" s="545">
        <f>'Foglio deposito bis'!$E$159/sezione!$B$247*B1602</f>
        <v>53.67522354302001</v>
      </c>
      <c r="D1602" s="603">
        <f>-'Sollecitazioni nel paramento'!$G$47*'Sollecitazioni nel paramento'!$G$41*IF(DATI!$G$211="dx",DATI!$E$61,DATI!$E$64*DATI!$E$63)*1000*C1602^2*sezione!$AD$5*(1-sezione!$AD$6)</f>
        <v>-64099013.946198553</v>
      </c>
      <c r="E1602" s="545">
        <f>-'Foglio deposito bis'!$F$68*(C1602-sezione!$AL$33)*IF(ABS(K1602)&lt;'Sollecitazioni nel paramento'!$G$58,ABS(K1602)*'Sollecitazioni nel paramento'!$G$54,'Sollecitazioni nel paramento'!$G$53)</f>
        <v>0</v>
      </c>
      <c r="F1602" s="545">
        <f>-'Foglio deposito bis'!$F$69*(C1602-sezione!$AM$33)*IF(ABS(L1602)&lt;'Sollecitazioni nel paramento'!$G$58,ABS(L1602)*'Sollecitazioni nel paramento'!$G$54,'Sollecitazioni nel paramento'!$G$53)</f>
        <v>211014.18429958151</v>
      </c>
      <c r="G1602" s="545">
        <f>-'Foglio deposito bis'!$F$70*(C1602-sezione!$AN$33)*IF(ABS(M1602)&lt;'Sollecitazioni nel paramento'!$G$58,ABS(M1602)*'Sollecitazioni nel paramento'!$G$54,'Sollecitazioni nel paramento'!$G$53)</f>
        <v>0</v>
      </c>
      <c r="H1602" s="545">
        <f>-'Foglio deposito bis'!$F$71*(C1602-sezione!$AO$33)*IF(ABS(N1602)&lt;'Sollecitazioni nel paramento'!$G$58,ABS(N1602)*'Sollecitazioni nel paramento'!$G$54,'Sollecitazioni nel paramento'!$G$53)</f>
        <v>33461005.684941113</v>
      </c>
      <c r="I1602" s="472">
        <f>-'Foglio deposito bis'!$F$72*(C1602-sezione!$AP$33)*IF(ABS(O1602)&lt;'Sollecitazioni nel paramento'!$G$58,ABS(O1602)*'Sollecitazioni nel paramento'!$G$54,'Sollecitazioni nel paramento'!$G$53)</f>
        <v>254012081.62856904</v>
      </c>
      <c r="J1602" s="472">
        <f t="shared" si="110"/>
        <v>223585087.55161119</v>
      </c>
      <c r="K1602" s="550">
        <f>'Sollecitazioni nel paramento'!$G$60*(sezione!$AL$33-C1602)/C1602</f>
        <v>-8.9172022473661846E-4</v>
      </c>
      <c r="L1602" s="550">
        <f>'Sollecitazioni nel paramento'!$G$60*(sezione!$AM$33-C1602)/C1602</f>
        <v>4.1241966289507235E-4</v>
      </c>
      <c r="M1602" s="551">
        <f>'Sollecitazioni nel paramento'!$G$60*(sezione!$AN$33-C1602)/C1602</f>
        <v>1.7165595505267634E-3</v>
      </c>
      <c r="N1602" s="551">
        <f>'Sollecitazioni nel paramento'!$G$60*(sezione!$AO$33-C1602)/C1602</f>
        <v>6.9331191010535264E-3</v>
      </c>
      <c r="O1602" s="551">
        <f>'Sollecitazioni nel paramento'!$G$60*(sezione!$AP$33-C1602)/C1602</f>
        <v>3.3684027917044335E-2</v>
      </c>
      <c r="P1602" s="545">
        <f>-'Sollecitazioni nel paramento'!$G$47*'Sollecitazioni nel paramento'!$G$41*IF(DATI!$G$211="dx",DATI!$E$61,DATI!$E$64*DATI!$E$63)*1000*C1602*sezione!$AD$5</f>
        <v>-2044864.9913184328</v>
      </c>
      <c r="Q1602" s="545">
        <f>'Foglio deposito bis'!$F$68*IF(ABS(K1602)&lt;'Sollecitazioni nel paramento'!$G$58,ABS(K1602)*'Sollecitazioni nel paramento'!$G$54,'Sollecitazioni nel paramento'!$G$53)*IF(K1602&lt;0,-1,1)</f>
        <v>0</v>
      </c>
      <c r="R1602" s="545">
        <f>'Foglio deposito bis'!$F$69*IF(ABS(L1602)&lt;'Sollecitazioni nel paramento'!$G$58,ABS(L1602)*'Sollecitazioni nel paramento'!$G$54,'Sollecitazioni nel paramento'!$G$53)*IF(L1602&lt;0,-1,1)</f>
        <v>33363.105516038806</v>
      </c>
      <c r="S1602" s="545">
        <f>'Foglio deposito bis'!$F$70*IF(ABS(M1602)&lt;'Sollecitazioni nel paramento'!$G$58,ABS(M1602)*'Sollecitazioni nel paramento'!$G$54,'Sollecitazioni nel paramento'!$G$53)*IF(M1602&lt;0,-1,1)</f>
        <v>0</v>
      </c>
      <c r="T1602" s="545">
        <f>'Foglio deposito bis'!$F$71*IF(ABS(N1602)&lt;'Sollecitazioni nel paramento'!$G$58,ABS(N1602)*'Sollecitazioni nel paramento'!$G$54,'Sollecitazioni nel paramento'!$G$53)*IF(N1602&lt;0,-1,1)</f>
        <v>314705.62929873407</v>
      </c>
      <c r="U1602" s="545">
        <f>'Foglio deposito bis'!$F$72*IF(ABS(O1602)&lt;'Sollecitazioni nel paramento'!$G$58,ABS(O1602)*'Sollecitazioni nel paramento'!$G$54,'Sollecitazioni nel paramento'!$G$53)*IF(O1602&lt;0,-1,1)</f>
        <v>491727.54577927204</v>
      </c>
      <c r="V1602" s="472">
        <f t="shared" si="112"/>
        <v>-1205068.710724388</v>
      </c>
      <c r="W1602" s="551"/>
      <c r="X1602" s="551"/>
    </row>
    <row r="1603" spans="1:24" x14ac:dyDescent="0.25">
      <c r="A1603" s="545">
        <f t="shared" si="111"/>
        <v>1277435.3691586887</v>
      </c>
      <c r="B1603" s="3">
        <f t="shared" si="114"/>
        <v>6.6999999999999913</v>
      </c>
      <c r="C1603" s="545">
        <f>'Foglio deposito bis'!$E$159/sezione!$B$247*B1603</f>
        <v>55.326768882805247</v>
      </c>
      <c r="D1603" s="603">
        <f>-'Sollecitazioni nel paramento'!$G$47*'Sollecitazioni nel paramento'!$G$41*IF(DATI!$G$211="dx",DATI!$E$61,DATI!$E$64*DATI!$E$63)*1000*C1603^2*sezione!$AD$5*(1-sezione!$AD$6)</f>
        <v>-68104254.107570484</v>
      </c>
      <c r="E1603" s="545">
        <f>-'Foglio deposito bis'!$F$68*(C1603-sezione!$AL$33)*IF(ABS(K1603)&lt;'Sollecitazioni nel paramento'!$G$58,ABS(K1603)*'Sollecitazioni nel paramento'!$G$54,'Sollecitazioni nel paramento'!$G$53)</f>
        <v>0</v>
      </c>
      <c r="F1603" s="545">
        <f>-'Foglio deposito bis'!$F$69*(C1603-sezione!$AM$33)*IF(ABS(L1603)&lt;'Sollecitazioni nel paramento'!$G$58,ABS(L1603)*'Sollecitazioni nel paramento'!$G$54,'Sollecitazioni nel paramento'!$G$53)</f>
        <v>111762.05075635191</v>
      </c>
      <c r="G1603" s="545">
        <f>-'Foglio deposito bis'!$F$70*(C1603-sezione!$AN$33)*IF(ABS(M1603)&lt;'Sollecitazioni nel paramento'!$G$58,ABS(M1603)*'Sollecitazioni nel paramento'!$G$54,'Sollecitazioni nel paramento'!$G$53)</f>
        <v>0</v>
      </c>
      <c r="H1603" s="545">
        <f>-'Foglio deposito bis'!$F$71*(C1603-sezione!$AO$33)*IF(ABS(N1603)&lt;'Sollecitazioni nel paramento'!$G$58,ABS(N1603)*'Sollecitazioni nel paramento'!$G$54,'Sollecitazioni nel paramento'!$G$53)</f>
        <v>32941255.069468606</v>
      </c>
      <c r="I1603" s="472">
        <f>-'Foglio deposito bis'!$F$72*(C1603-sezione!$AP$33)*IF(ABS(O1603)&lt;'Sollecitazioni nel paramento'!$G$58,ABS(O1603)*'Sollecitazioni nel paramento'!$G$54,'Sollecitazioni nel paramento'!$G$53)</f>
        <v>253199971.29189327</v>
      </c>
      <c r="J1603" s="472">
        <f t="shared" si="110"/>
        <v>218148734.30454773</v>
      </c>
      <c r="K1603" s="550">
        <f>'Sollecitazioni nel paramento'!$G$60*(sezione!$AL$33-C1603)/C1603</f>
        <v>-9.6957932250567487E-4</v>
      </c>
      <c r="L1603" s="550">
        <f>'Sollecitazioni nel paramento'!$G$60*(sezione!$AM$33-C1603)/C1603</f>
        <v>2.9563101624148773E-4</v>
      </c>
      <c r="M1603" s="551">
        <f>'Sollecitazioni nel paramento'!$G$60*(sezione!$AN$33-C1603)/C1603</f>
        <v>1.5608413549886501E-3</v>
      </c>
      <c r="N1603" s="551">
        <f>'Sollecitazioni nel paramento'!$G$60*(sezione!$AO$33-C1603)/C1603</f>
        <v>6.6216827099773003E-3</v>
      </c>
      <c r="O1603" s="551">
        <f>'Sollecitazioni nel paramento'!$G$60*(sezione!$AP$33-C1603)/C1603</f>
        <v>3.2574056934445997E-2</v>
      </c>
      <c r="P1603" s="545">
        <f>-'Sollecitazioni nel paramento'!$G$47*'Sollecitazioni nel paramento'!$G$41*IF(DATI!$G$211="dx",DATI!$E$61,DATI!$E$64*DATI!$E$63)*1000*C1603*sezione!$AD$5</f>
        <v>-2107783.9141282314</v>
      </c>
      <c r="Q1603" s="545">
        <f>'Foglio deposito bis'!$F$68*IF(ABS(K1603)&lt;'Sollecitazioni nel paramento'!$G$58,ABS(K1603)*'Sollecitazioni nel paramento'!$G$54,'Sollecitazioni nel paramento'!$G$53)*IF(K1603&lt;0,-1,1)</f>
        <v>0</v>
      </c>
      <c r="R1603" s="545">
        <f>'Foglio deposito bis'!$F$69*IF(ABS(L1603)&lt;'Sollecitazioni nel paramento'!$G$58,ABS(L1603)*'Sollecitazioni nel paramento'!$G$54,'Sollecitazioni nel paramento'!$G$53)*IF(L1603&lt;0,-1,1)</f>
        <v>23915.36989153672</v>
      </c>
      <c r="S1603" s="545">
        <f>'Foglio deposito bis'!$F$70*IF(ABS(M1603)&lt;'Sollecitazioni nel paramento'!$G$58,ABS(M1603)*'Sollecitazioni nel paramento'!$G$54,'Sollecitazioni nel paramento'!$G$53)*IF(M1603&lt;0,-1,1)</f>
        <v>0</v>
      </c>
      <c r="T1603" s="545">
        <f>'Foglio deposito bis'!$F$71*IF(ABS(N1603)&lt;'Sollecitazioni nel paramento'!$G$58,ABS(N1603)*'Sollecitazioni nel paramento'!$G$54,'Sollecitazioni nel paramento'!$G$53)*IF(N1603&lt;0,-1,1)</f>
        <v>314705.62929873407</v>
      </c>
      <c r="U1603" s="545">
        <f>'Foglio deposito bis'!$F$72*IF(ABS(O1603)&lt;'Sollecitazioni nel paramento'!$G$58,ABS(O1603)*'Sollecitazioni nel paramento'!$G$54,'Sollecitazioni nel paramento'!$G$53)*IF(O1603&lt;0,-1,1)</f>
        <v>491727.54577927204</v>
      </c>
      <c r="V1603" s="472">
        <f t="shared" si="112"/>
        <v>-1277435.3691586887</v>
      </c>
      <c r="W1603" s="551"/>
      <c r="X1603" s="551"/>
    </row>
    <row r="1604" spans="1:24" x14ac:dyDescent="0.25">
      <c r="A1604" s="545">
        <f t="shared" si="111"/>
        <v>1349254.3327741763</v>
      </c>
      <c r="B1604" s="3">
        <f t="shared" si="114"/>
        <v>6.8999999999999915</v>
      </c>
      <c r="C1604" s="545">
        <f>'Foglio deposito bis'!$E$159/sezione!$B$247*B1604</f>
        <v>56.978314222590477</v>
      </c>
      <c r="D1604" s="603">
        <f>-'Sollecitazioni nel paramento'!$G$47*'Sollecitazioni nel paramento'!$G$41*IF(DATI!$G$211="dx",DATI!$E$61,DATI!$E$64*DATI!$E$63)*1000*C1604^2*sezione!$AD$5*(1-sezione!$AD$6)</f>
        <v>-72230865.182923391</v>
      </c>
      <c r="E1604" s="545">
        <f>-'Foglio deposito bis'!$F$68*(C1604-sezione!$AL$33)*IF(ABS(K1604)&lt;'Sollecitazioni nel paramento'!$G$58,ABS(K1604)*'Sollecitazioni nel paramento'!$G$54,'Sollecitazioni nel paramento'!$G$53)</f>
        <v>0</v>
      </c>
      <c r="F1604" s="545">
        <f>-'Foglio deposito bis'!$F$69*(C1604-sezione!$AM$33)*IF(ABS(L1604)&lt;'Sollecitazioni nel paramento'!$G$58,ABS(L1604)*'Sollecitazioni nel paramento'!$G$54,'Sollecitazioni nel paramento'!$G$53)</f>
        <v>45371.606341825558</v>
      </c>
      <c r="G1604" s="545">
        <f>-'Foglio deposito bis'!$F$70*(C1604-sezione!$AN$33)*IF(ABS(M1604)&lt;'Sollecitazioni nel paramento'!$G$58,ABS(M1604)*'Sollecitazioni nel paramento'!$G$54,'Sollecitazioni nel paramento'!$G$53)</f>
        <v>0</v>
      </c>
      <c r="H1604" s="545">
        <f>-'Foglio deposito bis'!$F$71*(C1604-sezione!$AO$33)*IF(ABS(N1604)&lt;'Sollecitazioni nel paramento'!$G$58,ABS(N1604)*'Sollecitazioni nel paramento'!$G$54,'Sollecitazioni nel paramento'!$G$53)</f>
        <v>32421504.453996103</v>
      </c>
      <c r="I1604" s="472">
        <f>-'Foglio deposito bis'!$F$72*(C1604-sezione!$AP$33)*IF(ABS(O1604)&lt;'Sollecitazioni nel paramento'!$G$58,ABS(O1604)*'Sollecitazioni nel paramento'!$G$54,'Sollecitazioni nel paramento'!$G$53)</f>
        <v>252387860.95521748</v>
      </c>
      <c r="J1604" s="472">
        <f t="shared" si="110"/>
        <v>212623871.83263201</v>
      </c>
      <c r="K1604" s="550">
        <f>'Sollecitazioni nel paramento'!$G$60*(sezione!$AL$33-C1604)/C1604</f>
        <v>-1.0429248493895684E-3</v>
      </c>
      <c r="L1604" s="550">
        <f>'Sollecitazioni nel paramento'!$G$60*(sezione!$AM$33-C1604)/C1604</f>
        <v>1.8561272591564759E-4</v>
      </c>
      <c r="M1604" s="551">
        <f>'Sollecitazioni nel paramento'!$G$60*(sezione!$AN$33-C1604)/C1604</f>
        <v>1.4141503012208634E-3</v>
      </c>
      <c r="N1604" s="551">
        <f>'Sollecitazioni nel paramento'!$G$60*(sezione!$AO$33-C1604)/C1604</f>
        <v>6.328300602441727E-3</v>
      </c>
      <c r="O1604" s="551">
        <f>'Sollecitazioni nel paramento'!$G$60*(sezione!$AP$33-C1604)/C1604</f>
        <v>3.1528432095766404E-2</v>
      </c>
      <c r="P1604" s="545">
        <f>-'Sollecitazioni nel paramento'!$G$47*'Sollecitazioni nel paramento'!$G$41*IF(DATI!$G$211="dx",DATI!$E$61,DATI!$E$64*DATI!$E$63)*1000*C1604*sezione!$AD$5</f>
        <v>-2170702.8369380287</v>
      </c>
      <c r="Q1604" s="545">
        <f>'Foglio deposito bis'!$F$68*IF(ABS(K1604)&lt;'Sollecitazioni nel paramento'!$G$58,ABS(K1604)*'Sollecitazioni nel paramento'!$G$54,'Sollecitazioni nel paramento'!$G$53)*IF(K1604&lt;0,-1,1)</f>
        <v>0</v>
      </c>
      <c r="R1604" s="545">
        <f>'Foglio deposito bis'!$F$69*IF(ABS(L1604)&lt;'Sollecitazioni nel paramento'!$G$58,ABS(L1604)*'Sollecitazioni nel paramento'!$G$54,'Sollecitazioni nel paramento'!$G$53)*IF(L1604&lt;0,-1,1)</f>
        <v>15015.329085846386</v>
      </c>
      <c r="S1604" s="545">
        <f>'Foglio deposito bis'!$F$70*IF(ABS(M1604)&lt;'Sollecitazioni nel paramento'!$G$58,ABS(M1604)*'Sollecitazioni nel paramento'!$G$54,'Sollecitazioni nel paramento'!$G$53)*IF(M1604&lt;0,-1,1)</f>
        <v>0</v>
      </c>
      <c r="T1604" s="545">
        <f>'Foglio deposito bis'!$F$71*IF(ABS(N1604)&lt;'Sollecitazioni nel paramento'!$G$58,ABS(N1604)*'Sollecitazioni nel paramento'!$G$54,'Sollecitazioni nel paramento'!$G$53)*IF(N1604&lt;0,-1,1)</f>
        <v>314705.62929873407</v>
      </c>
      <c r="U1604" s="545">
        <f>'Foglio deposito bis'!$F$72*IF(ABS(O1604)&lt;'Sollecitazioni nel paramento'!$G$58,ABS(O1604)*'Sollecitazioni nel paramento'!$G$54,'Sollecitazioni nel paramento'!$G$53)*IF(O1604&lt;0,-1,1)</f>
        <v>491727.54577927204</v>
      </c>
      <c r="V1604" s="472">
        <f t="shared" si="112"/>
        <v>-1349254.3327741763</v>
      </c>
      <c r="W1604" s="551"/>
      <c r="X1604" s="551"/>
    </row>
    <row r="1605" spans="1:24" x14ac:dyDescent="0.25">
      <c r="A1605" s="545">
        <f t="shared" si="111"/>
        <v>1420571.8856400489</v>
      </c>
      <c r="B1605" s="3">
        <f t="shared" si="114"/>
        <v>7.0999999999999917</v>
      </c>
      <c r="C1605" s="545">
        <f>'Foglio deposito bis'!$E$159/sezione!$B$247*B1605</f>
        <v>58.629859562375714</v>
      </c>
      <c r="D1605" s="603">
        <f>-'Sollecitazioni nel paramento'!$G$47*'Sollecitazioni nel paramento'!$G$41*IF(DATI!$G$211="dx",DATI!$E$61,DATI!$E$64*DATI!$E$63)*1000*C1605^2*sezione!$AD$5*(1-sezione!$AD$6)</f>
        <v>-76478847.172257274</v>
      </c>
      <c r="E1605" s="545">
        <f>-'Foglio deposito bis'!$F$68*(C1605-sezione!$AL$33)*IF(ABS(K1605)&lt;'Sollecitazioni nel paramento'!$G$58,ABS(K1605)*'Sollecitazioni nel paramento'!$G$54,'Sollecitazioni nel paramento'!$G$53)</f>
        <v>0</v>
      </c>
      <c r="F1605" s="545">
        <f>-'Foglio deposito bis'!$F$69*(C1605-sezione!$AM$33)*IF(ABS(L1605)&lt;'Sollecitazioni nel paramento'!$G$58,ABS(L1605)*'Sollecitazioni nel paramento'!$G$54,'Sollecitazioni nel paramento'!$G$53)</f>
        <v>9065.8069042805109</v>
      </c>
      <c r="G1605" s="545">
        <f>-'Foglio deposito bis'!$F$70*(C1605-sezione!$AN$33)*IF(ABS(M1605)&lt;'Sollecitazioni nel paramento'!$G$58,ABS(M1605)*'Sollecitazioni nel paramento'!$G$54,'Sollecitazioni nel paramento'!$G$53)</f>
        <v>0</v>
      </c>
      <c r="H1605" s="545">
        <f>-'Foglio deposito bis'!$F$71*(C1605-sezione!$AO$33)*IF(ABS(N1605)&lt;'Sollecitazioni nel paramento'!$G$58,ABS(N1605)*'Sollecitazioni nel paramento'!$G$54,'Sollecitazioni nel paramento'!$G$53)</f>
        <v>31901753.838523604</v>
      </c>
      <c r="I1605" s="472">
        <f>-'Foglio deposito bis'!$F$72*(C1605-sezione!$AP$33)*IF(ABS(O1605)&lt;'Sollecitazioni nel paramento'!$G$58,ABS(O1605)*'Sollecitazioni nel paramento'!$G$54,'Sollecitazioni nel paramento'!$G$53)</f>
        <v>251575750.61854169</v>
      </c>
      <c r="J1605" s="472">
        <f t="shared" si="110"/>
        <v>207007723.0917123</v>
      </c>
      <c r="K1605" s="550">
        <f>'Sollecitazioni nel paramento'!$G$60*(sezione!$AL$33-C1605)/C1605</f>
        <v>-1.1121382339138062E-3</v>
      </c>
      <c r="L1605" s="550">
        <f>'Sollecitazioni nel paramento'!$G$60*(sezione!$AM$33-C1605)/C1605</f>
        <v>8.1792649129290974E-5</v>
      </c>
      <c r="M1605" s="551">
        <f>'Sollecitazioni nel paramento'!$G$60*(sezione!$AN$33-C1605)/C1605</f>
        <v>1.2757235321723881E-3</v>
      </c>
      <c r="N1605" s="551">
        <f>'Sollecitazioni nel paramento'!$G$60*(sezione!$AO$33-C1605)/C1605</f>
        <v>6.0514470643447758E-3</v>
      </c>
      <c r="O1605" s="551">
        <f>'Sollecitazioni nel paramento'!$G$60*(sezione!$AP$33-C1605)/C1605</f>
        <v>3.0541715698702555E-2</v>
      </c>
      <c r="P1605" s="545">
        <f>-'Sollecitazioni nel paramento'!$G$47*'Sollecitazioni nel paramento'!$G$41*IF(DATI!$G$211="dx",DATI!$E$61,DATI!$E$64*DATI!$E$63)*1000*C1605*sezione!$AD$5</f>
        <v>-2233621.7597478274</v>
      </c>
      <c r="Q1605" s="545">
        <f>'Foglio deposito bis'!$F$68*IF(ABS(K1605)&lt;'Sollecitazioni nel paramento'!$G$58,ABS(K1605)*'Sollecitazioni nel paramento'!$G$54,'Sollecitazioni nel paramento'!$G$53)*IF(K1605&lt;0,-1,1)</f>
        <v>0</v>
      </c>
      <c r="R1605" s="545">
        <f>'Foglio deposito bis'!$F$69*IF(ABS(L1605)&lt;'Sollecitazioni nel paramento'!$G$58,ABS(L1605)*'Sollecitazioni nel paramento'!$G$54,'Sollecitazioni nel paramento'!$G$53)*IF(L1605&lt;0,-1,1)</f>
        <v>6616.6990297723733</v>
      </c>
      <c r="S1605" s="545">
        <f>'Foglio deposito bis'!$F$70*IF(ABS(M1605)&lt;'Sollecitazioni nel paramento'!$G$58,ABS(M1605)*'Sollecitazioni nel paramento'!$G$54,'Sollecitazioni nel paramento'!$G$53)*IF(M1605&lt;0,-1,1)</f>
        <v>0</v>
      </c>
      <c r="T1605" s="545">
        <f>'Foglio deposito bis'!$F$71*IF(ABS(N1605)&lt;'Sollecitazioni nel paramento'!$G$58,ABS(N1605)*'Sollecitazioni nel paramento'!$G$54,'Sollecitazioni nel paramento'!$G$53)*IF(N1605&lt;0,-1,1)</f>
        <v>314705.62929873407</v>
      </c>
      <c r="U1605" s="545">
        <f>'Foglio deposito bis'!$F$72*IF(ABS(O1605)&lt;'Sollecitazioni nel paramento'!$G$58,ABS(O1605)*'Sollecitazioni nel paramento'!$G$54,'Sollecitazioni nel paramento'!$G$53)*IF(O1605&lt;0,-1,1)</f>
        <v>491727.54577927204</v>
      </c>
      <c r="V1605" s="472">
        <f t="shared" si="112"/>
        <v>-1420571.8856400489</v>
      </c>
      <c r="W1605" s="551"/>
      <c r="X1605" s="551"/>
    </row>
    <row r="1606" spans="1:24" x14ac:dyDescent="0.25">
      <c r="A1606" s="545">
        <f t="shared" si="111"/>
        <v>1491429.239598739</v>
      </c>
      <c r="B1606" s="3">
        <f t="shared" si="114"/>
        <v>7.2999999999999918</v>
      </c>
      <c r="C1606" s="545">
        <f>'Foglio deposito bis'!$E$159/sezione!$B$247*B1606</f>
        <v>60.281404902160951</v>
      </c>
      <c r="D1606" s="603">
        <f>-'Sollecitazioni nel paramento'!$G$47*'Sollecitazioni nel paramento'!$G$41*IF(DATI!$G$211="dx",DATI!$E$61,DATI!$E$64*DATI!$E$63)*1000*C1606^2*sezione!$AD$5*(1-sezione!$AD$6)</f>
        <v>-80848200.075572133</v>
      </c>
      <c r="E1606" s="545">
        <f>-'Foglio deposito bis'!$F$68*(C1606-sezione!$AL$33)*IF(ABS(K1606)&lt;'Sollecitazioni nel paramento'!$G$58,ABS(K1606)*'Sollecitazioni nel paramento'!$G$54,'Sollecitazioni nel paramento'!$G$53)</f>
        <v>0</v>
      </c>
      <c r="F1606" s="545">
        <f>-'Foglio deposito bis'!$F$69*(C1606-sezione!$AM$33)*IF(ABS(L1606)&lt;'Sollecitazioni nel paramento'!$G$58,ABS(L1606)*'Sollecitazioni nel paramento'!$G$54,'Sollecitazioni nel paramento'!$G$53)</f>
        <v>-371.94189766380896</v>
      </c>
      <c r="G1606" s="545">
        <f>-'Foglio deposito bis'!$F$70*(C1606-sezione!$AN$33)*IF(ABS(M1606)&lt;'Sollecitazioni nel paramento'!$G$58,ABS(M1606)*'Sollecitazioni nel paramento'!$G$54,'Sollecitazioni nel paramento'!$G$53)</f>
        <v>0</v>
      </c>
      <c r="H1606" s="545">
        <f>-'Foglio deposito bis'!$F$71*(C1606-sezione!$AO$33)*IF(ABS(N1606)&lt;'Sollecitazioni nel paramento'!$G$58,ABS(N1606)*'Sollecitazioni nel paramento'!$G$54,'Sollecitazioni nel paramento'!$G$53)</f>
        <v>31382003.223051101</v>
      </c>
      <c r="I1606" s="472">
        <f>-'Foglio deposito bis'!$F$72*(C1606-sezione!$AP$33)*IF(ABS(O1606)&lt;'Sollecitazioni nel paramento'!$G$58,ABS(O1606)*'Sollecitazioni nel paramento'!$G$54,'Sollecitazioni nel paramento'!$G$53)</f>
        <v>250763640.28186589</v>
      </c>
      <c r="J1606" s="472">
        <f t="shared" si="110"/>
        <v>201297071.4874472</v>
      </c>
      <c r="K1606" s="550">
        <f>'Sollecitazioni nel paramento'!$G$60*(sezione!$AL$33-C1606)/C1606</f>
        <v>-1.1775591042175377E-3</v>
      </c>
      <c r="L1606" s="550">
        <f>'Sollecitazioni nel paramento'!$G$60*(sezione!$AM$33-C1606)/C1606</f>
        <v>-1.6338656326306358E-5</v>
      </c>
      <c r="M1606" s="551">
        <f>'Sollecitazioni nel paramento'!$G$60*(sezione!$AN$33-C1606)/C1606</f>
        <v>1.1448817915649249E-3</v>
      </c>
      <c r="N1606" s="551">
        <f>'Sollecitazioni nel paramento'!$G$60*(sezione!$AO$33-C1606)/C1606</f>
        <v>5.7897635831298507E-3</v>
      </c>
      <c r="O1606" s="551">
        <f>'Sollecitazioni nel paramento'!$G$60*(sezione!$AP$33-C1606)/C1606</f>
        <v>2.9609065953532618E-2</v>
      </c>
      <c r="P1606" s="545">
        <f>-'Sollecitazioni nel paramento'!$G$47*'Sollecitazioni nel paramento'!$G$41*IF(DATI!$G$211="dx",DATI!$E$61,DATI!$E$64*DATI!$E$63)*1000*C1606*sezione!$AD$5</f>
        <v>-2296540.6825576252</v>
      </c>
      <c r="Q1606" s="545">
        <f>'Foglio deposito bis'!$F$68*IF(ABS(K1606)&lt;'Sollecitazioni nel paramento'!$G$58,ABS(K1606)*'Sollecitazioni nel paramento'!$G$54,'Sollecitazioni nel paramento'!$G$53)*IF(K1606&lt;0,-1,1)</f>
        <v>0</v>
      </c>
      <c r="R1606" s="545">
        <f>'Foglio deposito bis'!$F$69*IF(ABS(L1606)&lt;'Sollecitazioni nel paramento'!$G$58,ABS(L1606)*'Sollecitazioni nel paramento'!$G$54,'Sollecitazioni nel paramento'!$G$53)*IF(L1606&lt;0,-1,1)</f>
        <v>-1321.7321191195006</v>
      </c>
      <c r="S1606" s="545">
        <f>'Foglio deposito bis'!$F$70*IF(ABS(M1606)&lt;'Sollecitazioni nel paramento'!$G$58,ABS(M1606)*'Sollecitazioni nel paramento'!$G$54,'Sollecitazioni nel paramento'!$G$53)*IF(M1606&lt;0,-1,1)</f>
        <v>0</v>
      </c>
      <c r="T1606" s="545">
        <f>'Foglio deposito bis'!$F$71*IF(ABS(N1606)&lt;'Sollecitazioni nel paramento'!$G$58,ABS(N1606)*'Sollecitazioni nel paramento'!$G$54,'Sollecitazioni nel paramento'!$G$53)*IF(N1606&lt;0,-1,1)</f>
        <v>314705.62929873407</v>
      </c>
      <c r="U1606" s="545">
        <f>'Foglio deposito bis'!$F$72*IF(ABS(O1606)&lt;'Sollecitazioni nel paramento'!$G$58,ABS(O1606)*'Sollecitazioni nel paramento'!$G$54,'Sollecitazioni nel paramento'!$G$53)*IF(O1606&lt;0,-1,1)</f>
        <v>491727.54577927204</v>
      </c>
      <c r="V1606" s="472">
        <f t="shared" si="112"/>
        <v>-1491429.239598739</v>
      </c>
      <c r="W1606" s="551"/>
      <c r="X1606" s="551"/>
    </row>
    <row r="1607" spans="1:24" x14ac:dyDescent="0.25">
      <c r="A1607" s="545">
        <f t="shared" si="111"/>
        <v>1561863.2105628215</v>
      </c>
      <c r="B1607" s="3">
        <f t="shared" si="114"/>
        <v>7.499999999999992</v>
      </c>
      <c r="C1607" s="545">
        <f>'Foglio deposito bis'!$E$159/sezione!$B$247*B1607</f>
        <v>61.93295024194618</v>
      </c>
      <c r="D1607" s="603">
        <f>-'Sollecitazioni nel paramento'!$G$47*'Sollecitazioni nel paramento'!$G$41*IF(DATI!$G$211="dx",DATI!$E$61,DATI!$E$64*DATI!$E$63)*1000*C1607^2*sezione!$AD$5*(1-sezione!$AD$6)</f>
        <v>-85338923.892867923</v>
      </c>
      <c r="E1607" s="545">
        <f>-'Foglio deposito bis'!$F$68*(C1607-sezione!$AL$33)*IF(ABS(K1607)&lt;'Sollecitazioni nel paramento'!$G$58,ABS(K1607)*'Sollecitazioni nel paramento'!$G$54,'Sollecitazioni nel paramento'!$G$53)</f>
        <v>0</v>
      </c>
      <c r="F1607" s="545">
        <f>-'Foglio deposito bis'!$F$69*(C1607-sezione!$AM$33)*IF(ABS(L1607)&lt;'Sollecitazioni nel paramento'!$G$58,ABS(L1607)*'Sollecitazioni nel paramento'!$G$54,'Sollecitazioni nel paramento'!$G$53)</f>
        <v>-17081.056567501062</v>
      </c>
      <c r="G1607" s="545">
        <f>-'Foglio deposito bis'!$F$70*(C1607-sezione!$AN$33)*IF(ABS(M1607)&lt;'Sollecitazioni nel paramento'!$G$58,ABS(M1607)*'Sollecitazioni nel paramento'!$G$54,'Sollecitazioni nel paramento'!$G$53)</f>
        <v>0</v>
      </c>
      <c r="H1607" s="545">
        <f>-'Foglio deposito bis'!$F$71*(C1607-sezione!$AO$33)*IF(ABS(N1607)&lt;'Sollecitazioni nel paramento'!$G$58,ABS(N1607)*'Sollecitazioni nel paramento'!$G$54,'Sollecitazioni nel paramento'!$G$53)</f>
        <v>30862252.607578598</v>
      </c>
      <c r="I1607" s="472">
        <f>-'Foglio deposito bis'!$F$72*(C1607-sezione!$AP$33)*IF(ABS(O1607)&lt;'Sollecitazioni nel paramento'!$G$58,ABS(O1607)*'Sollecitazioni nel paramento'!$G$54,'Sollecitazioni nel paramento'!$G$53)</f>
        <v>249951529.94519013</v>
      </c>
      <c r="J1607" s="472">
        <f t="shared" si="110"/>
        <v>195457777.60333329</v>
      </c>
      <c r="K1607" s="550">
        <f>'Sollecitazioni nel paramento'!$G$60*(sezione!$AL$33-C1607)/C1607</f>
        <v>-1.2394908614384032E-3</v>
      </c>
      <c r="L1607" s="550">
        <f>'Sollecitazioni nel paramento'!$G$60*(sezione!$AM$33-C1607)/C1607</f>
        <v>-1.0923629215760476E-4</v>
      </c>
      <c r="M1607" s="551">
        <f>'Sollecitazioni nel paramento'!$G$60*(sezione!$AN$33-C1607)/C1607</f>
        <v>1.0210182771231936E-3</v>
      </c>
      <c r="N1607" s="551">
        <f>'Sollecitazioni nel paramento'!$G$60*(sezione!$AO$33-C1607)/C1607</f>
        <v>5.5420365542463886E-3</v>
      </c>
      <c r="O1607" s="551">
        <f>'Sollecitazioni nel paramento'!$G$60*(sezione!$AP$33-C1607)/C1607</f>
        <v>2.8726157528105083E-2</v>
      </c>
      <c r="P1607" s="545">
        <f>-'Sollecitazioni nel paramento'!$G$47*'Sollecitazioni nel paramento'!$G$41*IF(DATI!$G$211="dx",DATI!$E$61,DATI!$E$64*DATI!$E$63)*1000*C1607*sezione!$AD$5</f>
        <v>-2359459.6053674235</v>
      </c>
      <c r="Q1607" s="545">
        <f>'Foglio deposito bis'!$F$68*IF(ABS(K1607)&lt;'Sollecitazioni nel paramento'!$G$58,ABS(K1607)*'Sollecitazioni nel paramento'!$G$54,'Sollecitazioni nel paramento'!$G$53)*IF(K1607&lt;0,-1,1)</f>
        <v>0</v>
      </c>
      <c r="R1607" s="545">
        <f>'Foglio deposito bis'!$F$69*IF(ABS(L1607)&lt;'Sollecitazioni nel paramento'!$G$58,ABS(L1607)*'Sollecitazioni nel paramento'!$G$54,'Sollecitazioni nel paramento'!$G$53)*IF(L1607&lt;0,-1,1)</f>
        <v>-8836.7802734037741</v>
      </c>
      <c r="S1607" s="545">
        <f>'Foglio deposito bis'!$F$70*IF(ABS(M1607)&lt;'Sollecitazioni nel paramento'!$G$58,ABS(M1607)*'Sollecitazioni nel paramento'!$G$54,'Sollecitazioni nel paramento'!$G$53)*IF(M1607&lt;0,-1,1)</f>
        <v>0</v>
      </c>
      <c r="T1607" s="545">
        <f>'Foglio deposito bis'!$F$71*IF(ABS(N1607)&lt;'Sollecitazioni nel paramento'!$G$58,ABS(N1607)*'Sollecitazioni nel paramento'!$G$54,'Sollecitazioni nel paramento'!$G$53)*IF(N1607&lt;0,-1,1)</f>
        <v>314705.62929873407</v>
      </c>
      <c r="U1607" s="545">
        <f>'Foglio deposito bis'!$F$72*IF(ABS(O1607)&lt;'Sollecitazioni nel paramento'!$G$58,ABS(O1607)*'Sollecitazioni nel paramento'!$G$54,'Sollecitazioni nel paramento'!$G$53)*IF(O1607&lt;0,-1,1)</f>
        <v>491727.54577927204</v>
      </c>
      <c r="V1607" s="472">
        <f t="shared" si="112"/>
        <v>-1561863.2105628215</v>
      </c>
      <c r="W1607" s="551"/>
      <c r="X1607" s="551"/>
    </row>
    <row r="1608" spans="1:24" x14ac:dyDescent="0.25">
      <c r="A1608" s="545">
        <f t="shared" si="111"/>
        <v>1631906.7894149926</v>
      </c>
      <c r="B1608" s="3">
        <f t="shared" si="114"/>
        <v>7.6999999999999922</v>
      </c>
      <c r="C1608" s="545">
        <f>'Foglio deposito bis'!$E$159/sezione!$B$247*B1608</f>
        <v>63.584495581731417</v>
      </c>
      <c r="D1608" s="603">
        <f>-'Sollecitazioni nel paramento'!$G$47*'Sollecitazioni nel paramento'!$G$41*IF(DATI!$G$211="dx",DATI!$E$61,DATI!$E$64*DATI!$E$63)*1000*C1608^2*sezione!$AD$5*(1-sezione!$AD$6)</f>
        <v>-89951018.624144733</v>
      </c>
      <c r="E1608" s="545">
        <f>-'Foglio deposito bis'!$F$68*(C1608-sezione!$AL$33)*IF(ABS(K1608)&lt;'Sollecitazioni nel paramento'!$G$58,ABS(K1608)*'Sollecitazioni nel paramento'!$G$54,'Sollecitazioni nel paramento'!$G$53)</f>
        <v>0</v>
      </c>
      <c r="F1608" s="545">
        <f>-'Foglio deposito bis'!$F$69*(C1608-sezione!$AM$33)*IF(ABS(L1608)&lt;'Sollecitazioni nel paramento'!$G$58,ABS(L1608)*'Sollecitazioni nel paramento'!$G$54,'Sollecitazioni nel paramento'!$G$53)</f>
        <v>-57213.697951990798</v>
      </c>
      <c r="G1608" s="545">
        <f>-'Foglio deposito bis'!$F$70*(C1608-sezione!$AN$33)*IF(ABS(M1608)&lt;'Sollecitazioni nel paramento'!$G$58,ABS(M1608)*'Sollecitazioni nel paramento'!$G$54,'Sollecitazioni nel paramento'!$G$53)</f>
        <v>0</v>
      </c>
      <c r="H1608" s="545">
        <f>-'Foglio deposito bis'!$F$71*(C1608-sezione!$AO$33)*IF(ABS(N1608)&lt;'Sollecitazioni nel paramento'!$G$58,ABS(N1608)*'Sollecitazioni nel paramento'!$G$54,'Sollecitazioni nel paramento'!$G$53)</f>
        <v>30342501.992106091</v>
      </c>
      <c r="I1608" s="472">
        <f>-'Foglio deposito bis'!$F$72*(C1608-sezione!$AP$33)*IF(ABS(O1608)&lt;'Sollecitazioni nel paramento'!$G$58,ABS(O1608)*'Sollecitazioni nel paramento'!$G$54,'Sollecitazioni nel paramento'!$G$53)</f>
        <v>249139419.60851434</v>
      </c>
      <c r="J1608" s="472">
        <f t="shared" si="110"/>
        <v>189473689.27852371</v>
      </c>
      <c r="K1608" s="550">
        <f>'Sollecitazioni nel paramento'!$G$60*(sezione!$AL$33-C1608)/C1608</f>
        <v>-1.2982053845179253E-3</v>
      </c>
      <c r="L1608" s="550">
        <f>'Sollecitazioni nel paramento'!$G$60*(sezione!$AM$33-C1608)/C1608</f>
        <v>-1.9730807677688806E-4</v>
      </c>
      <c r="M1608" s="551">
        <f>'Sollecitazioni nel paramento'!$G$60*(sezione!$AN$33-C1608)/C1608</f>
        <v>9.0358923096414939E-4</v>
      </c>
      <c r="N1608" s="551">
        <f>'Sollecitazioni nel paramento'!$G$60*(sezione!$AO$33-C1608)/C1608</f>
        <v>5.3071784619282986E-3</v>
      </c>
      <c r="O1608" s="551">
        <f>'Sollecitazioni nel paramento'!$G$60*(sezione!$AP$33-C1608)/C1608</f>
        <v>2.7889114475427027E-2</v>
      </c>
      <c r="P1608" s="545">
        <f>-'Sollecitazioni nel paramento'!$G$47*'Sollecitazioni nel paramento'!$G$41*IF(DATI!$G$211="dx",DATI!$E$61,DATI!$E$64*DATI!$E$63)*1000*C1608*sezione!$AD$5</f>
        <v>-2422378.5281772213</v>
      </c>
      <c r="Q1608" s="545">
        <f>'Foglio deposito bis'!$F$68*IF(ABS(K1608)&lt;'Sollecitazioni nel paramento'!$G$58,ABS(K1608)*'Sollecitazioni nel paramento'!$G$54,'Sollecitazioni nel paramento'!$G$53)*IF(K1608&lt;0,-1,1)</f>
        <v>0</v>
      </c>
      <c r="R1608" s="545">
        <f>'Foglio deposito bis'!$F$69*IF(ABS(L1608)&lt;'Sollecitazioni nel paramento'!$G$58,ABS(L1608)*'Sollecitazioni nel paramento'!$G$54,'Sollecitazioni nel paramento'!$G$53)*IF(L1608&lt;0,-1,1)</f>
        <v>-15961.436315777211</v>
      </c>
      <c r="S1608" s="545">
        <f>'Foglio deposito bis'!$F$70*IF(ABS(M1608)&lt;'Sollecitazioni nel paramento'!$G$58,ABS(M1608)*'Sollecitazioni nel paramento'!$G$54,'Sollecitazioni nel paramento'!$G$53)*IF(M1608&lt;0,-1,1)</f>
        <v>0</v>
      </c>
      <c r="T1608" s="545">
        <f>'Foglio deposito bis'!$F$71*IF(ABS(N1608)&lt;'Sollecitazioni nel paramento'!$G$58,ABS(N1608)*'Sollecitazioni nel paramento'!$G$54,'Sollecitazioni nel paramento'!$G$53)*IF(N1608&lt;0,-1,1)</f>
        <v>314705.62929873407</v>
      </c>
      <c r="U1608" s="545">
        <f>'Foglio deposito bis'!$F$72*IF(ABS(O1608)&lt;'Sollecitazioni nel paramento'!$G$58,ABS(O1608)*'Sollecitazioni nel paramento'!$G$54,'Sollecitazioni nel paramento'!$G$53)*IF(O1608&lt;0,-1,1)</f>
        <v>491727.54577927204</v>
      </c>
      <c r="V1608" s="472">
        <f t="shared" si="112"/>
        <v>-1631906.7894149926</v>
      </c>
      <c r="W1608" s="551"/>
      <c r="X1608" s="551"/>
    </row>
    <row r="1609" spans="1:24" x14ac:dyDescent="0.25">
      <c r="A1609" s="545">
        <f t="shared" si="111"/>
        <v>1701589.6261890689</v>
      </c>
      <c r="B1609" s="3">
        <f t="shared" si="114"/>
        <v>7.8999999999999924</v>
      </c>
      <c r="C1609" s="545">
        <f>'Foglio deposito bis'!$E$159/sezione!$B$247*B1609</f>
        <v>65.236040921516647</v>
      </c>
      <c r="D1609" s="603">
        <f>-'Sollecitazioni nel paramento'!$G$47*'Sollecitazioni nel paramento'!$G$41*IF(DATI!$G$211="dx",DATI!$E$61,DATI!$E$64*DATI!$E$63)*1000*C1609^2*sezione!$AD$5*(1-sezione!$AD$6)</f>
        <v>-94684484.269402429</v>
      </c>
      <c r="E1609" s="545">
        <f>-'Foglio deposito bis'!$F$68*(C1609-sezione!$AL$33)*IF(ABS(K1609)&lt;'Sollecitazioni nel paramento'!$G$58,ABS(K1609)*'Sollecitazioni nel paramento'!$G$54,'Sollecitazioni nel paramento'!$G$53)</f>
        <v>0</v>
      </c>
      <c r="F1609" s="545">
        <f>-'Foglio deposito bis'!$F$69*(C1609-sezione!$AM$33)*IF(ABS(L1609)&lt;'Sollecitazioni nel paramento'!$G$58,ABS(L1609)*'Sollecitazioni nel paramento'!$G$54,'Sollecitazioni nel paramento'!$G$53)</f>
        <v>-118990.86402217172</v>
      </c>
      <c r="G1609" s="545">
        <f>-'Foglio deposito bis'!$F$70*(C1609-sezione!$AN$33)*IF(ABS(M1609)&lt;'Sollecitazioni nel paramento'!$G$58,ABS(M1609)*'Sollecitazioni nel paramento'!$G$54,'Sollecitazioni nel paramento'!$G$53)</f>
        <v>0</v>
      </c>
      <c r="H1609" s="545">
        <f>-'Foglio deposito bis'!$F$71*(C1609-sezione!$AO$33)*IF(ABS(N1609)&lt;'Sollecitazioni nel paramento'!$G$58,ABS(N1609)*'Sollecitazioni nel paramento'!$G$54,'Sollecitazioni nel paramento'!$G$53)</f>
        <v>29822751.376633592</v>
      </c>
      <c r="I1609" s="472">
        <f>-'Foglio deposito bis'!$F$72*(C1609-sezione!$AP$33)*IF(ABS(O1609)&lt;'Sollecitazioni nel paramento'!$G$58,ABS(O1609)*'Sollecitazioni nel paramento'!$G$54,'Sollecitazioni nel paramento'!$G$53)</f>
        <v>248327309.27183855</v>
      </c>
      <c r="J1609" s="472">
        <f t="shared" si="110"/>
        <v>183346585.51504755</v>
      </c>
      <c r="K1609" s="550">
        <f>'Sollecitazioni nel paramento'!$G$60*(sezione!$AL$33-C1609)/C1609</f>
        <v>-1.3539470203529145E-3</v>
      </c>
      <c r="L1609" s="550">
        <f>'Sollecitazioni nel paramento'!$G$60*(sezione!$AM$33-C1609)/C1609</f>
        <v>-2.8092053052937178E-4</v>
      </c>
      <c r="M1609" s="551">
        <f>'Sollecitazioni nel paramento'!$G$60*(sezione!$AN$33-C1609)/C1609</f>
        <v>7.9210595929417099E-4</v>
      </c>
      <c r="N1609" s="551">
        <f>'Sollecitazioni nel paramento'!$G$60*(sezione!$AO$33-C1609)/C1609</f>
        <v>5.0842119185883416E-3</v>
      </c>
      <c r="O1609" s="551">
        <f>'Sollecitazioni nel paramento'!$G$60*(sezione!$AP$33-C1609)/C1609</f>
        <v>2.7094453349466849E-2</v>
      </c>
      <c r="P1609" s="545">
        <f>-'Sollecitazioni nel paramento'!$G$47*'Sollecitazioni nel paramento'!$G$41*IF(DATI!$G$211="dx",DATI!$E$61,DATI!$E$64*DATI!$E$63)*1000*C1609*sezione!$AD$5</f>
        <v>-2485297.4509870191</v>
      </c>
      <c r="Q1609" s="545">
        <f>'Foglio deposito bis'!$F$68*IF(ABS(K1609)&lt;'Sollecitazioni nel paramento'!$G$58,ABS(K1609)*'Sollecitazioni nel paramento'!$G$54,'Sollecitazioni nel paramento'!$G$53)*IF(K1609&lt;0,-1,1)</f>
        <v>0</v>
      </c>
      <c r="R1609" s="545">
        <f>'Foglio deposito bis'!$F$69*IF(ABS(L1609)&lt;'Sollecitazioni nel paramento'!$G$58,ABS(L1609)*'Sollecitazioni nel paramento'!$G$54,'Sollecitazioni nel paramento'!$G$53)*IF(L1609&lt;0,-1,1)</f>
        <v>-22725.350280055754</v>
      </c>
      <c r="S1609" s="545">
        <f>'Foglio deposito bis'!$F$70*IF(ABS(M1609)&lt;'Sollecitazioni nel paramento'!$G$58,ABS(M1609)*'Sollecitazioni nel paramento'!$G$54,'Sollecitazioni nel paramento'!$G$53)*IF(M1609&lt;0,-1,1)</f>
        <v>0</v>
      </c>
      <c r="T1609" s="545">
        <f>'Foglio deposito bis'!$F$71*IF(ABS(N1609)&lt;'Sollecitazioni nel paramento'!$G$58,ABS(N1609)*'Sollecitazioni nel paramento'!$G$54,'Sollecitazioni nel paramento'!$G$53)*IF(N1609&lt;0,-1,1)</f>
        <v>314705.62929873407</v>
      </c>
      <c r="U1609" s="545">
        <f>'Foglio deposito bis'!$F$72*IF(ABS(O1609)&lt;'Sollecitazioni nel paramento'!$G$58,ABS(O1609)*'Sollecitazioni nel paramento'!$G$54,'Sollecitazioni nel paramento'!$G$53)*IF(O1609&lt;0,-1,1)</f>
        <v>491727.54577927204</v>
      </c>
      <c r="V1609" s="472">
        <f t="shared" si="112"/>
        <v>-1701589.6261890689</v>
      </c>
      <c r="W1609" s="551"/>
      <c r="X1609" s="551"/>
    </row>
    <row r="1610" spans="1:24" x14ac:dyDescent="0.25">
      <c r="A1610" s="545">
        <f t="shared" si="111"/>
        <v>1770938.4425204657</v>
      </c>
      <c r="B1610" s="3">
        <f t="shared" si="114"/>
        <v>8.0999999999999925</v>
      </c>
      <c r="C1610" s="545">
        <f>'Foglio deposito bis'!$E$159/sezione!$B$247*B1610</f>
        <v>66.887586261301891</v>
      </c>
      <c r="D1610" s="603">
        <f>-'Sollecitazioni nel paramento'!$G$47*'Sollecitazioni nel paramento'!$G$41*IF(DATI!$G$211="dx",DATI!$E$61,DATI!$E$64*DATI!$E$63)*1000*C1610^2*sezione!$AD$5*(1-sezione!$AD$6)</f>
        <v>-99539320.828641176</v>
      </c>
      <c r="E1610" s="545">
        <f>-'Foglio deposito bis'!$F$68*(C1610-sezione!$AL$33)*IF(ABS(K1610)&lt;'Sollecitazioni nel paramento'!$G$58,ABS(K1610)*'Sollecitazioni nel paramento'!$G$54,'Sollecitazioni nel paramento'!$G$53)</f>
        <v>0</v>
      </c>
      <c r="F1610" s="545">
        <f>-'Foglio deposito bis'!$F$69*(C1610-sezione!$AM$33)*IF(ABS(L1610)&lt;'Sollecitazioni nel paramento'!$G$58,ABS(L1610)*'Sollecitazioni nel paramento'!$G$54,'Sollecitazioni nel paramento'!$G$53)</f>
        <v>-200809.25665317872</v>
      </c>
      <c r="G1610" s="545">
        <f>-'Foglio deposito bis'!$F$70*(C1610-sezione!$AN$33)*IF(ABS(M1610)&lt;'Sollecitazioni nel paramento'!$G$58,ABS(M1610)*'Sollecitazioni nel paramento'!$G$54,'Sollecitazioni nel paramento'!$G$53)</f>
        <v>0</v>
      </c>
      <c r="H1610" s="545">
        <f>-'Foglio deposito bis'!$F$71*(C1610-sezione!$AO$33)*IF(ABS(N1610)&lt;'Sollecitazioni nel paramento'!$G$58,ABS(N1610)*'Sollecitazioni nel paramento'!$G$54,'Sollecitazioni nel paramento'!$G$53)</f>
        <v>29303000.761161081</v>
      </c>
      <c r="I1610" s="472">
        <f>-'Foglio deposito bis'!$F$72*(C1610-sezione!$AP$33)*IF(ABS(O1610)&lt;'Sollecitazioni nel paramento'!$G$58,ABS(O1610)*'Sollecitazioni nel paramento'!$G$54,'Sollecitazioni nel paramento'!$G$53)</f>
        <v>247515198.93516275</v>
      </c>
      <c r="J1610" s="472">
        <f t="shared" si="110"/>
        <v>177078069.61102948</v>
      </c>
      <c r="K1610" s="550">
        <f>'Sollecitazioni nel paramento'!$G$60*(sezione!$AL$33-C1610)/C1610</f>
        <v>-1.4069359828133368E-3</v>
      </c>
      <c r="L1610" s="550">
        <f>'Sollecitazioni nel paramento'!$G$60*(sezione!$AM$33-C1610)/C1610</f>
        <v>-3.6040397422000515E-4</v>
      </c>
      <c r="M1610" s="551">
        <f>'Sollecitazioni nel paramento'!$G$60*(sezione!$AN$33-C1610)/C1610</f>
        <v>6.8612803437332649E-4</v>
      </c>
      <c r="N1610" s="551">
        <f>'Sollecitazioni nel paramento'!$G$60*(sezione!$AO$33-C1610)/C1610</f>
        <v>4.8722560687466535E-3</v>
      </c>
      <c r="O1610" s="551">
        <f>'Sollecitazioni nel paramento'!$G$60*(sezione!$AP$33-C1610)/C1610</f>
        <v>2.6339034748245442E-2</v>
      </c>
      <c r="P1610" s="545">
        <f>-'Sollecitazioni nel paramento'!$G$47*'Sollecitazioni nel paramento'!$G$41*IF(DATI!$G$211="dx",DATI!$E$61,DATI!$E$64*DATI!$E$63)*1000*C1610*sezione!$AD$5</f>
        <v>-2548216.3737968178</v>
      </c>
      <c r="Q1610" s="545">
        <f>'Foglio deposito bis'!$F$68*IF(ABS(K1610)&lt;'Sollecitazioni nel paramento'!$G$58,ABS(K1610)*'Sollecitazioni nel paramento'!$G$54,'Sollecitazioni nel paramento'!$G$53)*IF(K1610&lt;0,-1,1)</f>
        <v>0</v>
      </c>
      <c r="R1610" s="545">
        <f>'Foglio deposito bis'!$F$69*IF(ABS(L1610)&lt;'Sollecitazioni nel paramento'!$G$58,ABS(L1610)*'Sollecitazioni nel paramento'!$G$54,'Sollecitazioni nel paramento'!$G$53)*IF(L1610&lt;0,-1,1)</f>
        <v>-29155.243801653931</v>
      </c>
      <c r="S1610" s="545">
        <f>'Foglio deposito bis'!$F$70*IF(ABS(M1610)&lt;'Sollecitazioni nel paramento'!$G$58,ABS(M1610)*'Sollecitazioni nel paramento'!$G$54,'Sollecitazioni nel paramento'!$G$53)*IF(M1610&lt;0,-1,1)</f>
        <v>0</v>
      </c>
      <c r="T1610" s="545">
        <f>'Foglio deposito bis'!$F$71*IF(ABS(N1610)&lt;'Sollecitazioni nel paramento'!$G$58,ABS(N1610)*'Sollecitazioni nel paramento'!$G$54,'Sollecitazioni nel paramento'!$G$53)*IF(N1610&lt;0,-1,1)</f>
        <v>314705.62929873407</v>
      </c>
      <c r="U1610" s="545">
        <f>'Foglio deposito bis'!$F$72*IF(ABS(O1610)&lt;'Sollecitazioni nel paramento'!$G$58,ABS(O1610)*'Sollecitazioni nel paramento'!$G$54,'Sollecitazioni nel paramento'!$G$53)*IF(O1610&lt;0,-1,1)</f>
        <v>491727.54577927204</v>
      </c>
      <c r="V1610" s="472">
        <f t="shared" si="112"/>
        <v>-1770938.4425204657</v>
      </c>
      <c r="W1610" s="551"/>
      <c r="X1610" s="551"/>
    </row>
    <row r="1611" spans="1:24" x14ac:dyDescent="0.25">
      <c r="A1611" s="545">
        <f t="shared" si="111"/>
        <v>1839977.3844652786</v>
      </c>
      <c r="B1611" s="3">
        <f t="shared" si="114"/>
        <v>8.2999999999999918</v>
      </c>
      <c r="C1611" s="545">
        <f>'Foglio deposito bis'!$E$159/sezione!$B$247*B1611</f>
        <v>68.539131601087121</v>
      </c>
      <c r="D1611" s="603">
        <f>-'Sollecitazioni nel paramento'!$G$47*'Sollecitazioni nel paramento'!$G$41*IF(DATI!$G$211="dx",DATI!$E$61,DATI!$E$64*DATI!$E$63)*1000*C1611^2*sezione!$AD$5*(1-sezione!$AD$6)</f>
        <v>-104515528.30186087</v>
      </c>
      <c r="E1611" s="545">
        <f>-'Foglio deposito bis'!$F$68*(C1611-sezione!$AL$33)*IF(ABS(K1611)&lt;'Sollecitazioni nel paramento'!$G$58,ABS(K1611)*'Sollecitazioni nel paramento'!$G$54,'Sollecitazioni nel paramento'!$G$53)</f>
        <v>0</v>
      </c>
      <c r="F1611" s="545">
        <f>-'Foglio deposito bis'!$F$69*(C1611-sezione!$AM$33)*IF(ABS(L1611)&lt;'Sollecitazioni nel paramento'!$G$58,ABS(L1611)*'Sollecitazioni nel paramento'!$G$54,'Sollecitazioni nel paramento'!$G$53)</f>
        <v>-301220.11247916764</v>
      </c>
      <c r="G1611" s="545">
        <f>-'Foglio deposito bis'!$F$70*(C1611-sezione!$AN$33)*IF(ABS(M1611)&lt;'Sollecitazioni nel paramento'!$G$58,ABS(M1611)*'Sollecitazioni nel paramento'!$G$54,'Sollecitazioni nel paramento'!$G$53)</f>
        <v>0</v>
      </c>
      <c r="H1611" s="545">
        <f>-'Foglio deposito bis'!$F$71*(C1611-sezione!$AO$33)*IF(ABS(N1611)&lt;'Sollecitazioni nel paramento'!$G$58,ABS(N1611)*'Sollecitazioni nel paramento'!$G$54,'Sollecitazioni nel paramento'!$G$53)</f>
        <v>28783250.145688582</v>
      </c>
      <c r="I1611" s="472">
        <f>-'Foglio deposito bis'!$F$72*(C1611-sezione!$AP$33)*IF(ABS(O1611)&lt;'Sollecitazioni nel paramento'!$G$58,ABS(O1611)*'Sollecitazioni nel paramento'!$G$54,'Sollecitazioni nel paramento'!$G$53)</f>
        <v>246703088.59848696</v>
      </c>
      <c r="J1611" s="472">
        <f t="shared" si="110"/>
        <v>170669590.3298355</v>
      </c>
      <c r="K1611" s="550">
        <f>'Sollecitazioni nel paramento'!$G$60*(sezione!$AL$33-C1611)/C1611</f>
        <v>-1.457371260335907E-3</v>
      </c>
      <c r="L1611" s="550">
        <f>'Sollecitazioni nel paramento'!$G$60*(sezione!$AM$33-C1611)/C1611</f>
        <v>-4.3605689050386036E-4</v>
      </c>
      <c r="M1611" s="551">
        <f>'Sollecitazioni nel paramento'!$G$60*(sezione!$AN$33-C1611)/C1611</f>
        <v>5.8525747932818624E-4</v>
      </c>
      <c r="N1611" s="551">
        <f>'Sollecitazioni nel paramento'!$G$60*(sezione!$AO$33-C1611)/C1611</f>
        <v>4.6705149586563719E-3</v>
      </c>
      <c r="O1611" s="551">
        <f>'Sollecitazioni nel paramento'!$G$60*(sezione!$AP$33-C1611)/C1611</f>
        <v>2.5620021862745552E-2</v>
      </c>
      <c r="P1611" s="545">
        <f>-'Sollecitazioni nel paramento'!$G$47*'Sollecitazioni nel paramento'!$G$41*IF(DATI!$G$211="dx",DATI!$E$61,DATI!$E$64*DATI!$E$63)*1000*C1611*sezione!$AD$5</f>
        <v>-2611135.2966066157</v>
      </c>
      <c r="Q1611" s="545">
        <f>'Foglio deposito bis'!$F$68*IF(ABS(K1611)&lt;'Sollecitazioni nel paramento'!$G$58,ABS(K1611)*'Sollecitazioni nel paramento'!$G$54,'Sollecitazioni nel paramento'!$G$53)*IF(K1611&lt;0,-1,1)</f>
        <v>0</v>
      </c>
      <c r="R1611" s="545">
        <f>'Foglio deposito bis'!$F$69*IF(ABS(L1611)&lt;'Sollecitazioni nel paramento'!$G$58,ABS(L1611)*'Sollecitazioni nel paramento'!$G$54,'Sollecitazioni nel paramento'!$G$53)*IF(L1611&lt;0,-1,1)</f>
        <v>-35275.262936669009</v>
      </c>
      <c r="S1611" s="545">
        <f>'Foglio deposito bis'!$F$70*IF(ABS(M1611)&lt;'Sollecitazioni nel paramento'!$G$58,ABS(M1611)*'Sollecitazioni nel paramento'!$G$54,'Sollecitazioni nel paramento'!$G$53)*IF(M1611&lt;0,-1,1)</f>
        <v>0</v>
      </c>
      <c r="T1611" s="545">
        <f>'Foglio deposito bis'!$F$71*IF(ABS(N1611)&lt;'Sollecitazioni nel paramento'!$G$58,ABS(N1611)*'Sollecitazioni nel paramento'!$G$54,'Sollecitazioni nel paramento'!$G$53)*IF(N1611&lt;0,-1,1)</f>
        <v>314705.62929873407</v>
      </c>
      <c r="U1611" s="545">
        <f>'Foglio deposito bis'!$F$72*IF(ABS(O1611)&lt;'Sollecitazioni nel paramento'!$G$58,ABS(O1611)*'Sollecitazioni nel paramento'!$G$54,'Sollecitazioni nel paramento'!$G$53)*IF(O1611&lt;0,-1,1)</f>
        <v>491727.54577927204</v>
      </c>
      <c r="V1611" s="472">
        <f t="shared" si="112"/>
        <v>-1839977.3844652786</v>
      </c>
      <c r="W1611" s="551"/>
      <c r="X1611" s="551"/>
    </row>
    <row r="1612" spans="1:24" x14ac:dyDescent="0.25">
      <c r="A1612" s="545">
        <f t="shared" si="111"/>
        <v>1908728.3255096199</v>
      </c>
      <c r="B1612" s="3">
        <f t="shared" si="114"/>
        <v>8.4999999999999911</v>
      </c>
      <c r="C1612" s="545">
        <f>'Foglio deposito bis'!$E$159/sezione!$B$247*B1612</f>
        <v>70.190676940872336</v>
      </c>
      <c r="D1612" s="603">
        <f>-'Sollecitazioni nel paramento'!$G$47*'Sollecitazioni nel paramento'!$G$41*IF(DATI!$G$211="dx",DATI!$E$61,DATI!$E$64*DATI!$E$63)*1000*C1612^2*sezione!$AD$5*(1-sezione!$AD$6)</f>
        <v>-109613106.68906145</v>
      </c>
      <c r="E1612" s="545">
        <f>-'Foglio deposito bis'!$F$68*(C1612-sezione!$AL$33)*IF(ABS(K1612)&lt;'Sollecitazioni nel paramento'!$G$58,ABS(K1612)*'Sollecitazioni nel paramento'!$G$54,'Sollecitazioni nel paramento'!$G$53)</f>
        <v>0</v>
      </c>
      <c r="F1612" s="545">
        <f>-'Foglio deposito bis'!$F$69*(C1612-sezione!$AM$33)*IF(ABS(L1612)&lt;'Sollecitazioni nel paramento'!$G$58,ABS(L1612)*'Sollecitazioni nel paramento'!$G$54,'Sollecitazioni nel paramento'!$G$53)</f>
        <v>-418911.02233343339</v>
      </c>
      <c r="G1612" s="545">
        <f>-'Foglio deposito bis'!$F$70*(C1612-sezione!$AN$33)*IF(ABS(M1612)&lt;'Sollecitazioni nel paramento'!$G$58,ABS(M1612)*'Sollecitazioni nel paramento'!$G$54,'Sollecitazioni nel paramento'!$G$53)</f>
        <v>0</v>
      </c>
      <c r="H1612" s="545">
        <f>-'Foglio deposito bis'!$F$71*(C1612-sezione!$AO$33)*IF(ABS(N1612)&lt;'Sollecitazioni nel paramento'!$G$58,ABS(N1612)*'Sollecitazioni nel paramento'!$G$54,'Sollecitazioni nel paramento'!$G$53)</f>
        <v>28263499.530216079</v>
      </c>
      <c r="I1612" s="472">
        <f>-'Foglio deposito bis'!$F$72*(C1612-sezione!$AP$33)*IF(ABS(O1612)&lt;'Sollecitazioni nel paramento'!$G$58,ABS(O1612)*'Sollecitazioni nel paramento'!$G$54,'Sollecitazioni nel paramento'!$G$53)</f>
        <v>245890978.26181123</v>
      </c>
      <c r="J1612" s="472">
        <f t="shared" si="110"/>
        <v>164122460.08063245</v>
      </c>
      <c r="K1612" s="550">
        <f>'Sollecitazioni nel paramento'!$G$60*(sezione!$AL$33-C1612)/C1612</f>
        <v>-1.505433113033885E-3</v>
      </c>
      <c r="L1612" s="550">
        <f>'Sollecitazioni nel paramento'!$G$60*(sezione!$AM$33-C1612)/C1612</f>
        <v>-5.0814966955082771E-4</v>
      </c>
      <c r="M1612" s="551">
        <f>'Sollecitazioni nel paramento'!$G$60*(sezione!$AN$33-C1612)/C1612</f>
        <v>4.8913377393222982E-4</v>
      </c>
      <c r="N1612" s="551">
        <f>'Sollecitazioni nel paramento'!$G$60*(sezione!$AO$33-C1612)/C1612</f>
        <v>4.4782675478644597E-3</v>
      </c>
      <c r="O1612" s="551">
        <f>'Sollecitazioni nel paramento'!$G$60*(sezione!$AP$33-C1612)/C1612</f>
        <v>2.4934844877739781E-2</v>
      </c>
      <c r="P1612" s="545">
        <f>-'Sollecitazioni nel paramento'!$G$47*'Sollecitazioni nel paramento'!$G$41*IF(DATI!$G$211="dx",DATI!$E$61,DATI!$E$64*DATI!$E$63)*1000*C1612*sezione!$AD$5</f>
        <v>-2674054.219416413</v>
      </c>
      <c r="Q1612" s="545">
        <f>'Foglio deposito bis'!$F$68*IF(ABS(K1612)&lt;'Sollecitazioni nel paramento'!$G$58,ABS(K1612)*'Sollecitazioni nel paramento'!$G$54,'Sollecitazioni nel paramento'!$G$53)*IF(K1612&lt;0,-1,1)</f>
        <v>0</v>
      </c>
      <c r="R1612" s="545">
        <f>'Foglio deposito bis'!$F$69*IF(ABS(L1612)&lt;'Sollecitazioni nel paramento'!$G$58,ABS(L1612)*'Sollecitazioni nel paramento'!$G$54,'Sollecitazioni nel paramento'!$G$53)*IF(L1612&lt;0,-1,1)</f>
        <v>-41107.281171212751</v>
      </c>
      <c r="S1612" s="545">
        <f>'Foglio deposito bis'!$F$70*IF(ABS(M1612)&lt;'Sollecitazioni nel paramento'!$G$58,ABS(M1612)*'Sollecitazioni nel paramento'!$G$54,'Sollecitazioni nel paramento'!$G$53)*IF(M1612&lt;0,-1,1)</f>
        <v>0</v>
      </c>
      <c r="T1612" s="545">
        <f>'Foglio deposito bis'!$F$71*IF(ABS(N1612)&lt;'Sollecitazioni nel paramento'!$G$58,ABS(N1612)*'Sollecitazioni nel paramento'!$G$54,'Sollecitazioni nel paramento'!$G$53)*IF(N1612&lt;0,-1,1)</f>
        <v>314705.62929873407</v>
      </c>
      <c r="U1612" s="545">
        <f>'Foglio deposito bis'!$F$72*IF(ABS(O1612)&lt;'Sollecitazioni nel paramento'!$G$58,ABS(O1612)*'Sollecitazioni nel paramento'!$G$54,'Sollecitazioni nel paramento'!$G$53)*IF(O1612&lt;0,-1,1)</f>
        <v>491727.54577927204</v>
      </c>
      <c r="V1612" s="472">
        <f t="shared" si="112"/>
        <v>-1908728.3255096199</v>
      </c>
      <c r="W1612" s="551"/>
      <c r="X1612" s="551"/>
    </row>
    <row r="1613" spans="1:24" x14ac:dyDescent="0.25">
      <c r="A1613" s="545">
        <f t="shared" si="111"/>
        <v>1977211.1277845572</v>
      </c>
      <c r="B1613" s="3">
        <f t="shared" si="114"/>
        <v>8.6999999999999904</v>
      </c>
      <c r="C1613" s="545">
        <f>'Foglio deposito bis'!$E$159/sezione!$B$247*B1613</f>
        <v>71.842222280657566</v>
      </c>
      <c r="D1613" s="603">
        <f>-'Sollecitazioni nel paramento'!$G$47*'Sollecitazioni nel paramento'!$G$41*IF(DATI!$G$211="dx",DATI!$E$61,DATI!$E$64*DATI!$E$63)*1000*C1613^2*sezione!$AD$5*(1-sezione!$AD$6)</f>
        <v>-114832055.99024309</v>
      </c>
      <c r="E1613" s="545">
        <f>-'Foglio deposito bis'!$F$68*(C1613-sezione!$AL$33)*IF(ABS(K1613)&lt;'Sollecitazioni nel paramento'!$G$58,ABS(K1613)*'Sollecitazioni nel paramento'!$G$54,'Sollecitazioni nel paramento'!$G$53)</f>
        <v>0</v>
      </c>
      <c r="F1613" s="545">
        <f>-'Foglio deposito bis'!$F$69*(C1613-sezione!$AM$33)*IF(ABS(L1613)&lt;'Sollecitazioni nel paramento'!$G$58,ABS(L1613)*'Sollecitazioni nel paramento'!$G$54,'Sollecitazioni nel paramento'!$G$53)</f>
        <v>-552690.25835195871</v>
      </c>
      <c r="G1613" s="545">
        <f>-'Foglio deposito bis'!$F$70*(C1613-sezione!$AN$33)*IF(ABS(M1613)&lt;'Sollecitazioni nel paramento'!$G$58,ABS(M1613)*'Sollecitazioni nel paramento'!$G$54,'Sollecitazioni nel paramento'!$G$53)</f>
        <v>0</v>
      </c>
      <c r="H1613" s="545">
        <f>-'Foglio deposito bis'!$F$71*(C1613-sezione!$AO$33)*IF(ABS(N1613)&lt;'Sollecitazioni nel paramento'!$G$58,ABS(N1613)*'Sollecitazioni nel paramento'!$G$54,'Sollecitazioni nel paramento'!$G$53)</f>
        <v>27743748.914743576</v>
      </c>
      <c r="I1613" s="472">
        <f>-'Foglio deposito bis'!$F$72*(C1613-sezione!$AP$33)*IF(ABS(O1613)&lt;'Sollecitazioni nel paramento'!$G$58,ABS(O1613)*'Sollecitazioni nel paramento'!$G$54,'Sollecitazioni nel paramento'!$G$53)</f>
        <v>245078867.9251354</v>
      </c>
      <c r="J1613" s="472">
        <f t="shared" si="110"/>
        <v>157437870.59128392</v>
      </c>
      <c r="K1613" s="550">
        <f>'Sollecitazioni nel paramento'!$G$60*(sezione!$AL$33-C1613)/C1613</f>
        <v>-1.5512852253779339E-3</v>
      </c>
      <c r="L1613" s="550">
        <f>'Sollecitazioni nel paramento'!$G$60*(sezione!$AM$33-C1613)/C1613</f>
        <v>-5.7692783806690057E-4</v>
      </c>
      <c r="M1613" s="551">
        <f>'Sollecitazioni nel paramento'!$G$60*(sezione!$AN$33-C1613)/C1613</f>
        <v>3.9742954924413263E-4</v>
      </c>
      <c r="N1613" s="551">
        <f>'Sollecitazioni nel paramento'!$G$60*(sezione!$AO$33-C1613)/C1613</f>
        <v>4.294859098488266E-3</v>
      </c>
      <c r="O1613" s="551">
        <f>'Sollecitazioni nel paramento'!$G$60*(sezione!$AP$33-C1613)/C1613</f>
        <v>2.4281170282849211E-2</v>
      </c>
      <c r="P1613" s="545">
        <f>-'Sollecitazioni nel paramento'!$G$47*'Sollecitazioni nel paramento'!$G$41*IF(DATI!$G$211="dx",DATI!$E$61,DATI!$E$64*DATI!$E$63)*1000*C1613*sezione!$AD$5</f>
        <v>-2736973.1422262108</v>
      </c>
      <c r="Q1613" s="545">
        <f>'Foglio deposito bis'!$F$68*IF(ABS(K1613)&lt;'Sollecitazioni nel paramento'!$G$58,ABS(K1613)*'Sollecitazioni nel paramento'!$G$54,'Sollecitazioni nel paramento'!$G$53)*IF(K1613&lt;0,-1,1)</f>
        <v>0</v>
      </c>
      <c r="R1613" s="545">
        <f>'Foglio deposito bis'!$F$69*IF(ABS(L1613)&lt;'Sollecitazioni nel paramento'!$G$58,ABS(L1613)*'Sollecitazioni nel paramento'!$G$54,'Sollecitazioni nel paramento'!$G$53)*IF(L1613&lt;0,-1,1)</f>
        <v>-46671.16063635223</v>
      </c>
      <c r="S1613" s="545">
        <f>'Foglio deposito bis'!$F$70*IF(ABS(M1613)&lt;'Sollecitazioni nel paramento'!$G$58,ABS(M1613)*'Sollecitazioni nel paramento'!$G$54,'Sollecitazioni nel paramento'!$G$53)*IF(M1613&lt;0,-1,1)</f>
        <v>0</v>
      </c>
      <c r="T1613" s="545">
        <f>'Foglio deposito bis'!$F$71*IF(ABS(N1613)&lt;'Sollecitazioni nel paramento'!$G$58,ABS(N1613)*'Sollecitazioni nel paramento'!$G$54,'Sollecitazioni nel paramento'!$G$53)*IF(N1613&lt;0,-1,1)</f>
        <v>314705.62929873407</v>
      </c>
      <c r="U1613" s="545">
        <f>'Foglio deposito bis'!$F$72*IF(ABS(O1613)&lt;'Sollecitazioni nel paramento'!$G$58,ABS(O1613)*'Sollecitazioni nel paramento'!$G$54,'Sollecitazioni nel paramento'!$G$53)*IF(O1613&lt;0,-1,1)</f>
        <v>491727.54577927204</v>
      </c>
      <c r="V1613" s="472">
        <f t="shared" si="112"/>
        <v>-1977211.1277845572</v>
      </c>
      <c r="W1613" s="551"/>
      <c r="X1613" s="551"/>
    </row>
    <row r="1614" spans="1:24" x14ac:dyDescent="0.25">
      <c r="A1614" s="545">
        <f t="shared" si="111"/>
        <v>2045443.868061061</v>
      </c>
      <c r="B1614" s="3">
        <f t="shared" si="114"/>
        <v>8.8999999999999897</v>
      </c>
      <c r="C1614" s="545">
        <f>'Foglio deposito bis'!$E$159/sezione!$B$247*B1614</f>
        <v>73.493767620442796</v>
      </c>
      <c r="D1614" s="603">
        <f>-'Sollecitazioni nel paramento'!$G$47*'Sollecitazioni nel paramento'!$G$41*IF(DATI!$G$211="dx",DATI!$E$61,DATI!$E$64*DATI!$E$63)*1000*C1614^2*sezione!$AD$5*(1-sezione!$AD$6)</f>
        <v>-120172376.20540562</v>
      </c>
      <c r="E1614" s="545">
        <f>-'Foglio deposito bis'!$F$68*(C1614-sezione!$AL$33)*IF(ABS(K1614)&lt;'Sollecitazioni nel paramento'!$G$58,ABS(K1614)*'Sollecitazioni nel paramento'!$G$54,'Sollecitazioni nel paramento'!$G$53)</f>
        <v>0</v>
      </c>
      <c r="F1614" s="545">
        <f>-'Foglio deposito bis'!$F$69*(C1614-sezione!$AM$33)*IF(ABS(L1614)&lt;'Sollecitazioni nel paramento'!$G$58,ABS(L1614)*'Sollecitazioni nel paramento'!$G$54,'Sollecitazioni nel paramento'!$G$53)</f>
        <v>-701473.21427647804</v>
      </c>
      <c r="G1614" s="545">
        <f>-'Foglio deposito bis'!$F$70*(C1614-sezione!$AN$33)*IF(ABS(M1614)&lt;'Sollecitazioni nel paramento'!$G$58,ABS(M1614)*'Sollecitazioni nel paramento'!$G$54,'Sollecitazioni nel paramento'!$G$53)</f>
        <v>0</v>
      </c>
      <c r="H1614" s="545">
        <f>-'Foglio deposito bis'!$F$71*(C1614-sezione!$AO$33)*IF(ABS(N1614)&lt;'Sollecitazioni nel paramento'!$G$58,ABS(N1614)*'Sollecitazioni nel paramento'!$G$54,'Sollecitazioni nel paramento'!$G$53)</f>
        <v>27223998.299271077</v>
      </c>
      <c r="I1614" s="472">
        <f>-'Foglio deposito bis'!$F$72*(C1614-sezione!$AP$33)*IF(ABS(O1614)&lt;'Sollecitazioni nel paramento'!$G$58,ABS(O1614)*'Sollecitazioni nel paramento'!$G$54,'Sollecitazioni nel paramento'!$G$53)</f>
        <v>244266757.58845961</v>
      </c>
      <c r="J1614" s="472">
        <f t="shared" si="110"/>
        <v>150616906.46804857</v>
      </c>
      <c r="K1614" s="550">
        <f>'Sollecitazioni nel paramento'!$G$60*(sezione!$AL$33-C1614)/C1614</f>
        <v>-1.5950765686278676E-3</v>
      </c>
      <c r="L1614" s="550">
        <f>'Sollecitazioni nel paramento'!$G$60*(sezione!$AM$33-C1614)/C1614</f>
        <v>-6.4261485294180162E-4</v>
      </c>
      <c r="M1614" s="551">
        <f>'Sollecitazioni nel paramento'!$G$60*(sezione!$AN$33-C1614)/C1614</f>
        <v>3.0984686274426455E-4</v>
      </c>
      <c r="N1614" s="551">
        <f>'Sollecitazioni nel paramento'!$G$60*(sezione!$AO$33-C1614)/C1614</f>
        <v>4.1196937254885293E-3</v>
      </c>
      <c r="O1614" s="551">
        <f>'Sollecitazioni nel paramento'!$G$60*(sezione!$AP$33-C1614)/C1614</f>
        <v>2.3656874321436868E-2</v>
      </c>
      <c r="P1614" s="545">
        <f>-'Sollecitazioni nel paramento'!$G$47*'Sollecitazioni nel paramento'!$G$41*IF(DATI!$G$211="dx",DATI!$E$61,DATI!$E$64*DATI!$E$63)*1000*C1614*sezione!$AD$5</f>
        <v>-2799892.0650360086</v>
      </c>
      <c r="Q1614" s="545">
        <f>'Foglio deposito bis'!$F$68*IF(ABS(K1614)&lt;'Sollecitazioni nel paramento'!$G$58,ABS(K1614)*'Sollecitazioni nel paramento'!$G$54,'Sollecitazioni nel paramento'!$G$53)*IF(K1614&lt;0,-1,1)</f>
        <v>0</v>
      </c>
      <c r="R1614" s="545">
        <f>'Foglio deposito bis'!$F$69*IF(ABS(L1614)&lt;'Sollecitazioni nel paramento'!$G$58,ABS(L1614)*'Sollecitazioni nel paramento'!$G$54,'Sollecitazioni nel paramento'!$G$53)*IF(L1614&lt;0,-1,1)</f>
        <v>-51984.978103058456</v>
      </c>
      <c r="S1614" s="545">
        <f>'Foglio deposito bis'!$F$70*IF(ABS(M1614)&lt;'Sollecitazioni nel paramento'!$G$58,ABS(M1614)*'Sollecitazioni nel paramento'!$G$54,'Sollecitazioni nel paramento'!$G$53)*IF(M1614&lt;0,-1,1)</f>
        <v>0</v>
      </c>
      <c r="T1614" s="545">
        <f>'Foglio deposito bis'!$F$71*IF(ABS(N1614)&lt;'Sollecitazioni nel paramento'!$G$58,ABS(N1614)*'Sollecitazioni nel paramento'!$G$54,'Sollecitazioni nel paramento'!$G$53)*IF(N1614&lt;0,-1,1)</f>
        <v>314705.62929873407</v>
      </c>
      <c r="U1614" s="545">
        <f>'Foglio deposito bis'!$F$72*IF(ABS(O1614)&lt;'Sollecitazioni nel paramento'!$G$58,ABS(O1614)*'Sollecitazioni nel paramento'!$G$54,'Sollecitazioni nel paramento'!$G$53)*IF(O1614&lt;0,-1,1)</f>
        <v>491727.54577927204</v>
      </c>
      <c r="V1614" s="472">
        <f t="shared" si="112"/>
        <v>-2045443.868061061</v>
      </c>
      <c r="W1614" s="551"/>
      <c r="X1614" s="551"/>
    </row>
    <row r="1615" spans="1:24" x14ac:dyDescent="0.25">
      <c r="A1615" s="545">
        <f t="shared" si="111"/>
        <v>2113443.033943424</v>
      </c>
      <c r="B1615" s="3">
        <f t="shared" si="114"/>
        <v>9.099999999999989</v>
      </c>
      <c r="C1615" s="545">
        <f>'Foglio deposito bis'!$E$159/sezione!$B$247*B1615</f>
        <v>75.145312960228026</v>
      </c>
      <c r="D1615" s="603">
        <f>-'Sollecitazioni nel paramento'!$G$47*'Sollecitazioni nel paramento'!$G$41*IF(DATI!$G$211="dx",DATI!$E$61,DATI!$E$64*DATI!$E$63)*1000*C1615^2*sezione!$AD$5*(1-sezione!$AD$6)</f>
        <v>-125634067.33454917</v>
      </c>
      <c r="E1615" s="545">
        <f>-'Foglio deposito bis'!$F$68*(C1615-sezione!$AL$33)*IF(ABS(K1615)&lt;'Sollecitazioni nel paramento'!$G$58,ABS(K1615)*'Sollecitazioni nel paramento'!$G$54,'Sollecitazioni nel paramento'!$G$53)</f>
        <v>0</v>
      </c>
      <c r="F1615" s="545">
        <f>-'Foglio deposito bis'!$F$69*(C1615-sezione!$AM$33)*IF(ABS(L1615)&lt;'Sollecitazioni nel paramento'!$G$58,ABS(L1615)*'Sollecitazioni nel paramento'!$G$54,'Sollecitazioni nel paramento'!$G$53)</f>
        <v>-864270.63384945341</v>
      </c>
      <c r="G1615" s="545">
        <f>-'Foglio deposito bis'!$F$70*(C1615-sezione!$AN$33)*IF(ABS(M1615)&lt;'Sollecitazioni nel paramento'!$G$58,ABS(M1615)*'Sollecitazioni nel paramento'!$G$54,'Sollecitazioni nel paramento'!$G$53)</f>
        <v>0</v>
      </c>
      <c r="H1615" s="545">
        <f>-'Foglio deposito bis'!$F$71*(C1615-sezione!$AO$33)*IF(ABS(N1615)&lt;'Sollecitazioni nel paramento'!$G$58,ABS(N1615)*'Sollecitazioni nel paramento'!$G$54,'Sollecitazioni nel paramento'!$G$53)</f>
        <v>26704247.683798574</v>
      </c>
      <c r="I1615" s="472">
        <f>-'Foglio deposito bis'!$F$72*(C1615-sezione!$AP$33)*IF(ABS(O1615)&lt;'Sollecitazioni nel paramento'!$G$58,ABS(O1615)*'Sollecitazioni nel paramento'!$G$54,'Sollecitazioni nel paramento'!$G$53)</f>
        <v>243454647.25178382</v>
      </c>
      <c r="J1615" s="472">
        <f t="shared" si="110"/>
        <v>143660556.96718377</v>
      </c>
      <c r="K1615" s="550">
        <f>'Sollecitazioni nel paramento'!$G$60*(sezione!$AL$33-C1615)/C1615</f>
        <v>-1.6369430176690135E-3</v>
      </c>
      <c r="L1615" s="550">
        <f>'Sollecitazioni nel paramento'!$G$60*(sezione!$AM$33-C1615)/C1615</f>
        <v>-7.0541452650352016E-4</v>
      </c>
      <c r="M1615" s="551">
        <f>'Sollecitazioni nel paramento'!$G$60*(sezione!$AN$33-C1615)/C1615</f>
        <v>2.2611396466197314E-4</v>
      </c>
      <c r="N1615" s="551">
        <f>'Sollecitazioni nel paramento'!$G$60*(sezione!$AO$33-C1615)/C1615</f>
        <v>3.9522279293239468E-3</v>
      </c>
      <c r="O1615" s="551">
        <f>'Sollecitazioni nel paramento'!$G$60*(sezione!$AP$33-C1615)/C1615</f>
        <v>2.3060019940745951E-2</v>
      </c>
      <c r="P1615" s="545">
        <f>-'Sollecitazioni nel paramento'!$G$47*'Sollecitazioni nel paramento'!$G$41*IF(DATI!$G$211="dx",DATI!$E$61,DATI!$E$64*DATI!$E$63)*1000*C1615*sezione!$AD$5</f>
        <v>-2862810.9878458064</v>
      </c>
      <c r="Q1615" s="545">
        <f>'Foglio deposito bis'!$F$68*IF(ABS(K1615)&lt;'Sollecitazioni nel paramento'!$G$58,ABS(K1615)*'Sollecitazioni nel paramento'!$G$54,'Sollecitazioni nel paramento'!$G$53)*IF(K1615&lt;0,-1,1)</f>
        <v>0</v>
      </c>
      <c r="R1615" s="545">
        <f>'Foglio deposito bis'!$F$69*IF(ABS(L1615)&lt;'Sollecitazioni nel paramento'!$G$58,ABS(L1615)*'Sollecitazioni nel paramento'!$G$54,'Sollecitazioni nel paramento'!$G$53)*IF(L1615&lt;0,-1,1)</f>
        <v>-57065.221175623767</v>
      </c>
      <c r="S1615" s="545">
        <f>'Foglio deposito bis'!$F$70*IF(ABS(M1615)&lt;'Sollecitazioni nel paramento'!$G$58,ABS(M1615)*'Sollecitazioni nel paramento'!$G$54,'Sollecitazioni nel paramento'!$G$53)*IF(M1615&lt;0,-1,1)</f>
        <v>0</v>
      </c>
      <c r="T1615" s="545">
        <f>'Foglio deposito bis'!$F$71*IF(ABS(N1615)&lt;'Sollecitazioni nel paramento'!$G$58,ABS(N1615)*'Sollecitazioni nel paramento'!$G$54,'Sollecitazioni nel paramento'!$G$53)*IF(N1615&lt;0,-1,1)</f>
        <v>314705.62929873407</v>
      </c>
      <c r="U1615" s="545">
        <f>'Foglio deposito bis'!$F$72*IF(ABS(O1615)&lt;'Sollecitazioni nel paramento'!$G$58,ABS(O1615)*'Sollecitazioni nel paramento'!$G$54,'Sollecitazioni nel paramento'!$G$53)*IF(O1615&lt;0,-1,1)</f>
        <v>491727.54577927204</v>
      </c>
      <c r="V1615" s="472">
        <f t="shared" si="112"/>
        <v>-2113443.033943424</v>
      </c>
      <c r="W1615" s="551"/>
      <c r="X1615" s="551"/>
    </row>
    <row r="1616" spans="1:24" x14ac:dyDescent="0.25">
      <c r="A1616" s="545">
        <f t="shared" si="111"/>
        <v>2181223.6947473977</v>
      </c>
      <c r="B1616" s="3">
        <f t="shared" si="114"/>
        <v>9.2999999999999883</v>
      </c>
      <c r="C1616" s="545">
        <f>'Foglio deposito bis'!$E$159/sezione!$B$247*B1616</f>
        <v>76.796858300013255</v>
      </c>
      <c r="D1616" s="603">
        <f>-'Sollecitazioni nel paramento'!$G$47*'Sollecitazioni nel paramento'!$G$41*IF(DATI!$G$211="dx",DATI!$E$61,DATI!$E$64*DATI!$E$63)*1000*C1616^2*sezione!$AD$5*(1-sezione!$AD$6)</f>
        <v>-131217129.37767369</v>
      </c>
      <c r="E1616" s="545">
        <f>-'Foglio deposito bis'!$F$68*(C1616-sezione!$AL$33)*IF(ABS(K1616)&lt;'Sollecitazioni nel paramento'!$G$58,ABS(K1616)*'Sollecitazioni nel paramento'!$G$54,'Sollecitazioni nel paramento'!$G$53)</f>
        <v>0</v>
      </c>
      <c r="F1616" s="545">
        <f>-'Foglio deposito bis'!$F$69*(C1616-sezione!$AM$33)*IF(ABS(L1616)&lt;'Sollecitazioni nel paramento'!$G$58,ABS(L1616)*'Sollecitazioni nel paramento'!$G$54,'Sollecitazioni nel paramento'!$G$53)</f>
        <v>-1040178.3581258232</v>
      </c>
      <c r="G1616" s="545">
        <f>-'Foglio deposito bis'!$F$70*(C1616-sezione!$AN$33)*IF(ABS(M1616)&lt;'Sollecitazioni nel paramento'!$G$58,ABS(M1616)*'Sollecitazioni nel paramento'!$G$54,'Sollecitazioni nel paramento'!$G$53)</f>
        <v>0</v>
      </c>
      <c r="H1616" s="545">
        <f>-'Foglio deposito bis'!$F$71*(C1616-sezione!$AO$33)*IF(ABS(N1616)&lt;'Sollecitazioni nel paramento'!$G$58,ABS(N1616)*'Sollecitazioni nel paramento'!$G$54,'Sollecitazioni nel paramento'!$G$53)</f>
        <v>26184497.068326071</v>
      </c>
      <c r="I1616" s="472">
        <f>-'Foglio deposito bis'!$F$72*(C1616-sezione!$AP$33)*IF(ABS(O1616)&lt;'Sollecitazioni nel paramento'!$G$58,ABS(O1616)*'Sollecitazioni nel paramento'!$G$54,'Sollecitazioni nel paramento'!$G$53)</f>
        <v>242642536.91510803</v>
      </c>
      <c r="J1616" s="472">
        <f t="shared" si="110"/>
        <v>136569726.24763459</v>
      </c>
      <c r="K1616" s="550">
        <f>'Sollecitazioni nel paramento'!$G$60*(sezione!$AL$33-C1616)/C1616</f>
        <v>-1.6770087592245186E-3</v>
      </c>
      <c r="L1616" s="550">
        <f>'Sollecitazioni nel paramento'!$G$60*(sezione!$AM$33-C1616)/C1616</f>
        <v>-7.655131388367778E-4</v>
      </c>
      <c r="M1616" s="551">
        <f>'Sollecitazioni nel paramento'!$G$60*(sezione!$AN$33-C1616)/C1616</f>
        <v>1.4598248155096302E-4</v>
      </c>
      <c r="N1616" s="551">
        <f>'Sollecitazioni nel paramento'!$G$60*(sezione!$AO$33-C1616)/C1616</f>
        <v>3.791964963101926E-3</v>
      </c>
      <c r="O1616" s="551">
        <f>'Sollecitazioni nel paramento'!$G$60*(sezione!$AP$33-C1616)/C1616</f>
        <v>2.2488836716213781E-2</v>
      </c>
      <c r="P1616" s="545">
        <f>-'Sollecitazioni nel paramento'!$G$47*'Sollecitazioni nel paramento'!$G$41*IF(DATI!$G$211="dx",DATI!$E$61,DATI!$E$64*DATI!$E$63)*1000*C1616*sezione!$AD$5</f>
        <v>-2925729.9106556047</v>
      </c>
      <c r="Q1616" s="545">
        <f>'Foglio deposito bis'!$F$68*IF(ABS(K1616)&lt;'Sollecitazioni nel paramento'!$G$58,ABS(K1616)*'Sollecitazioni nel paramento'!$G$54,'Sollecitazioni nel paramento'!$G$53)*IF(K1616&lt;0,-1,1)</f>
        <v>0</v>
      </c>
      <c r="R1616" s="545">
        <f>'Foglio deposito bis'!$F$69*IF(ABS(L1616)&lt;'Sollecitazioni nel paramento'!$G$58,ABS(L1616)*'Sollecitazioni nel paramento'!$G$54,'Sollecitazioni nel paramento'!$G$53)*IF(L1616&lt;0,-1,1)</f>
        <v>-61926.959169799164</v>
      </c>
      <c r="S1616" s="545">
        <f>'Foglio deposito bis'!$F$70*IF(ABS(M1616)&lt;'Sollecitazioni nel paramento'!$G$58,ABS(M1616)*'Sollecitazioni nel paramento'!$G$54,'Sollecitazioni nel paramento'!$G$53)*IF(M1616&lt;0,-1,1)</f>
        <v>0</v>
      </c>
      <c r="T1616" s="545">
        <f>'Foglio deposito bis'!$F$71*IF(ABS(N1616)&lt;'Sollecitazioni nel paramento'!$G$58,ABS(N1616)*'Sollecitazioni nel paramento'!$G$54,'Sollecitazioni nel paramento'!$G$53)*IF(N1616&lt;0,-1,1)</f>
        <v>314705.62929873407</v>
      </c>
      <c r="U1616" s="545">
        <f>'Foglio deposito bis'!$F$72*IF(ABS(O1616)&lt;'Sollecitazioni nel paramento'!$G$58,ABS(O1616)*'Sollecitazioni nel paramento'!$G$54,'Sollecitazioni nel paramento'!$G$53)*IF(O1616&lt;0,-1,1)</f>
        <v>491727.54577927204</v>
      </c>
      <c r="V1616" s="472">
        <f t="shared" si="112"/>
        <v>-2181223.6947473977</v>
      </c>
      <c r="W1616" s="551"/>
      <c r="X1616" s="551"/>
    </row>
    <row r="1617" spans="1:24" x14ac:dyDescent="0.25">
      <c r="A1617" s="545">
        <f t="shared" si="111"/>
        <v>2248799.650793721</v>
      </c>
      <c r="B1617" s="3">
        <f t="shared" si="114"/>
        <v>9.4999999999999876</v>
      </c>
      <c r="C1617" s="545">
        <f>'Foglio deposito bis'!$E$159/sezione!$B$247*B1617</f>
        <v>78.448403639798485</v>
      </c>
      <c r="D1617" s="603">
        <f>-'Sollecitazioni nel paramento'!$G$47*'Sollecitazioni nel paramento'!$G$41*IF(DATI!$G$211="dx",DATI!$E$61,DATI!$E$64*DATI!$E$63)*1000*C1617^2*sezione!$AD$5*(1-sezione!$AD$6)</f>
        <v>-136921562.33477917</v>
      </c>
      <c r="E1617" s="545">
        <f>-'Foglio deposito bis'!$F$68*(C1617-sezione!$AL$33)*IF(ABS(K1617)&lt;'Sollecitazioni nel paramento'!$G$58,ABS(K1617)*'Sollecitazioni nel paramento'!$G$54,'Sollecitazioni nel paramento'!$G$53)</f>
        <v>0</v>
      </c>
      <c r="F1617" s="545">
        <f>-'Foglio deposito bis'!$F$69*(C1617-sezione!$AM$33)*IF(ABS(L1617)&lt;'Sollecitazioni nel paramento'!$G$58,ABS(L1617)*'Sollecitazioni nel paramento'!$G$54,'Sollecitazioni nel paramento'!$G$53)</f>
        <v>-1228368.3678611624</v>
      </c>
      <c r="G1617" s="545">
        <f>-'Foglio deposito bis'!$F$70*(C1617-sezione!$AN$33)*IF(ABS(M1617)&lt;'Sollecitazioni nel paramento'!$G$58,ABS(M1617)*'Sollecitazioni nel paramento'!$G$54,'Sollecitazioni nel paramento'!$G$53)</f>
        <v>0</v>
      </c>
      <c r="H1617" s="545">
        <f>-'Foglio deposito bis'!$F$71*(C1617-sezione!$AO$33)*IF(ABS(N1617)&lt;'Sollecitazioni nel paramento'!$G$58,ABS(N1617)*'Sollecitazioni nel paramento'!$G$54,'Sollecitazioni nel paramento'!$G$53)</f>
        <v>25664746.452853572</v>
      </c>
      <c r="I1617" s="472">
        <f>-'Foglio deposito bis'!$F$72*(C1617-sezione!$AP$33)*IF(ABS(O1617)&lt;'Sollecitazioni nel paramento'!$G$58,ABS(O1617)*'Sollecitazioni nel paramento'!$G$54,'Sollecitazioni nel paramento'!$G$53)</f>
        <v>241830426.57843229</v>
      </c>
      <c r="J1617" s="472">
        <f t="shared" si="110"/>
        <v>129345242.32864554</v>
      </c>
      <c r="K1617" s="550">
        <f>'Sollecitazioni nel paramento'!$G$60*(sezione!$AL$33-C1617)/C1617</f>
        <v>-1.7153875221882129E-3</v>
      </c>
      <c r="L1617" s="550">
        <f>'Sollecitazioni nel paramento'!$G$60*(sezione!$AM$33-C1617)/C1617</f>
        <v>-8.2308128328231929E-4</v>
      </c>
      <c r="M1617" s="551">
        <f>'Sollecitazioni nel paramento'!$G$60*(sezione!$AN$33-C1617)/C1617</f>
        <v>6.9224955623574386E-5</v>
      </c>
      <c r="N1617" s="551">
        <f>'Sollecitazioni nel paramento'!$G$60*(sezione!$AO$33-C1617)/C1617</f>
        <v>3.6384499112471487E-3</v>
      </c>
      <c r="O1617" s="551">
        <f>'Sollecitazioni nel paramento'!$G$60*(sezione!$AP$33-C1617)/C1617</f>
        <v>2.1941703311661911E-2</v>
      </c>
      <c r="P1617" s="545">
        <f>-'Sollecitazioni nel paramento'!$G$47*'Sollecitazioni nel paramento'!$G$41*IF(DATI!$G$211="dx",DATI!$E$61,DATI!$E$64*DATI!$E$63)*1000*C1617*sezione!$AD$5</f>
        <v>-2988648.833465402</v>
      </c>
      <c r="Q1617" s="545">
        <f>'Foglio deposito bis'!$F$68*IF(ABS(K1617)&lt;'Sollecitazioni nel paramento'!$G$58,ABS(K1617)*'Sollecitazioni nel paramento'!$G$54,'Sollecitazioni nel paramento'!$G$53)*IF(K1617&lt;0,-1,1)</f>
        <v>0</v>
      </c>
      <c r="R1617" s="545">
        <f>'Foglio deposito bis'!$F$69*IF(ABS(L1617)&lt;'Sollecitazioni nel paramento'!$G$58,ABS(L1617)*'Sollecitazioni nel paramento'!$G$54,'Sollecitazioni nel paramento'!$G$53)*IF(L1617&lt;0,-1,1)</f>
        <v>-66583.99240632508</v>
      </c>
      <c r="S1617" s="545">
        <f>'Foglio deposito bis'!$F$70*IF(ABS(M1617)&lt;'Sollecitazioni nel paramento'!$G$58,ABS(M1617)*'Sollecitazioni nel paramento'!$G$54,'Sollecitazioni nel paramento'!$G$53)*IF(M1617&lt;0,-1,1)</f>
        <v>0</v>
      </c>
      <c r="T1617" s="545">
        <f>'Foglio deposito bis'!$F$71*IF(ABS(N1617)&lt;'Sollecitazioni nel paramento'!$G$58,ABS(N1617)*'Sollecitazioni nel paramento'!$G$54,'Sollecitazioni nel paramento'!$G$53)*IF(N1617&lt;0,-1,1)</f>
        <v>314705.62929873407</v>
      </c>
      <c r="U1617" s="545">
        <f>'Foglio deposito bis'!$F$72*IF(ABS(O1617)&lt;'Sollecitazioni nel paramento'!$G$58,ABS(O1617)*'Sollecitazioni nel paramento'!$G$54,'Sollecitazioni nel paramento'!$G$53)*IF(O1617&lt;0,-1,1)</f>
        <v>491727.54577927204</v>
      </c>
      <c r="V1617" s="472">
        <f t="shared" si="112"/>
        <v>-2248799.650793721</v>
      </c>
      <c r="W1617" s="551"/>
      <c r="X1617" s="551"/>
    </row>
    <row r="1618" spans="1:24" x14ac:dyDescent="0.25">
      <c r="A1618" s="545">
        <f t="shared" si="111"/>
        <v>2316183.5642323531</v>
      </c>
      <c r="B1618" s="3">
        <f t="shared" si="114"/>
        <v>9.6999999999999869</v>
      </c>
      <c r="C1618" s="545">
        <f>'Foglio deposito bis'!$E$159/sezione!$B$247*B1618</f>
        <v>80.099948979583701</v>
      </c>
      <c r="D1618" s="603">
        <f>-'Sollecitazioni nel paramento'!$G$47*'Sollecitazioni nel paramento'!$G$41*IF(DATI!$G$211="dx",DATI!$E$61,DATI!$E$64*DATI!$E$63)*1000*C1618^2*sezione!$AD$5*(1-sezione!$AD$6)</f>
        <v>-142747366.20586556</v>
      </c>
      <c r="E1618" s="545">
        <f>-'Foglio deposito bis'!$F$68*(C1618-sezione!$AL$33)*IF(ABS(K1618)&lt;'Sollecitazioni nel paramento'!$G$58,ABS(K1618)*'Sollecitazioni nel paramento'!$G$54,'Sollecitazioni nel paramento'!$G$53)</f>
        <v>0</v>
      </c>
      <c r="F1618" s="545">
        <f>-'Foglio deposito bis'!$F$69*(C1618-sezione!$AM$33)*IF(ABS(L1618)&lt;'Sollecitazioni nel paramento'!$G$58,ABS(L1618)*'Sollecitazioni nel paramento'!$G$54,'Sollecitazioni nel paramento'!$G$53)</f>
        <v>-1428080.9340580071</v>
      </c>
      <c r="G1618" s="545">
        <f>-'Foglio deposito bis'!$F$70*(C1618-sezione!$AN$33)*IF(ABS(M1618)&lt;'Sollecitazioni nel paramento'!$G$58,ABS(M1618)*'Sollecitazioni nel paramento'!$G$54,'Sollecitazioni nel paramento'!$G$53)</f>
        <v>0</v>
      </c>
      <c r="H1618" s="545">
        <f>-'Foglio deposito bis'!$F$71*(C1618-sezione!$AO$33)*IF(ABS(N1618)&lt;'Sollecitazioni nel paramento'!$G$58,ABS(N1618)*'Sollecitazioni nel paramento'!$G$54,'Sollecitazioni nel paramento'!$G$53)</f>
        <v>25144995.837381072</v>
      </c>
      <c r="I1618" s="472">
        <f>-'Foglio deposito bis'!$F$72*(C1618-sezione!$AP$33)*IF(ABS(O1618)&lt;'Sollecitazioni nel paramento'!$G$58,ABS(O1618)*'Sollecitazioni nel paramento'!$G$54,'Sollecitazioni nel paramento'!$G$53)</f>
        <v>241018316.2417565</v>
      </c>
      <c r="J1618" s="472">
        <f t="shared" si="110"/>
        <v>121987864.93921399</v>
      </c>
      <c r="K1618" s="550">
        <f>'Sollecitazioni nel paramento'!$G$60*(sezione!$AL$33-C1618)/C1618</f>
        <v>-1.7521836557513422E-3</v>
      </c>
      <c r="L1618" s="550">
        <f>'Sollecitazioni nel paramento'!$G$60*(sezione!$AM$33-C1618)/C1618</f>
        <v>-8.782754836270132E-4</v>
      </c>
      <c r="M1618" s="551">
        <f>'Sollecitazioni nel paramento'!$G$60*(sezione!$AN$33-C1618)/C1618</f>
        <v>-4.3673115026841901E-6</v>
      </c>
      <c r="N1618" s="551">
        <f>'Sollecitazioni nel paramento'!$G$60*(sezione!$AO$33-C1618)/C1618</f>
        <v>3.491265376994632E-3</v>
      </c>
      <c r="O1618" s="551">
        <f>'Sollecitazioni nel paramento'!$G$60*(sezione!$AP$33-C1618)/C1618</f>
        <v>2.141713210935961E-2</v>
      </c>
      <c r="P1618" s="545">
        <f>-'Sollecitazioni nel paramento'!$G$47*'Sollecitazioni nel paramento'!$G$41*IF(DATI!$G$211="dx",DATI!$E$61,DATI!$E$64*DATI!$E$63)*1000*C1618*sezione!$AD$5</f>
        <v>-3051567.7562751998</v>
      </c>
      <c r="Q1618" s="545">
        <f>'Foglio deposito bis'!$F$68*IF(ABS(K1618)&lt;'Sollecitazioni nel paramento'!$G$58,ABS(K1618)*'Sollecitazioni nel paramento'!$G$54,'Sollecitazioni nel paramento'!$G$53)*IF(K1618&lt;0,-1,1)</f>
        <v>0</v>
      </c>
      <c r="R1618" s="545">
        <f>'Foglio deposito bis'!$F$69*IF(ABS(L1618)&lt;'Sollecitazioni nel paramento'!$G$58,ABS(L1618)*'Sollecitazioni nel paramento'!$G$54,'Sollecitazioni nel paramento'!$G$53)*IF(L1618&lt;0,-1,1)</f>
        <v>-71048.983035159166</v>
      </c>
      <c r="S1618" s="545">
        <f>'Foglio deposito bis'!$F$70*IF(ABS(M1618)&lt;'Sollecitazioni nel paramento'!$G$58,ABS(M1618)*'Sollecitazioni nel paramento'!$G$54,'Sollecitazioni nel paramento'!$G$53)*IF(M1618&lt;0,-1,1)</f>
        <v>0</v>
      </c>
      <c r="T1618" s="545">
        <f>'Foglio deposito bis'!$F$71*IF(ABS(N1618)&lt;'Sollecitazioni nel paramento'!$G$58,ABS(N1618)*'Sollecitazioni nel paramento'!$G$54,'Sollecitazioni nel paramento'!$G$53)*IF(N1618&lt;0,-1,1)</f>
        <v>314705.62929873407</v>
      </c>
      <c r="U1618" s="545">
        <f>'Foglio deposito bis'!$F$72*IF(ABS(O1618)&lt;'Sollecitazioni nel paramento'!$G$58,ABS(O1618)*'Sollecitazioni nel paramento'!$G$54,'Sollecitazioni nel paramento'!$G$53)*IF(O1618&lt;0,-1,1)</f>
        <v>491727.54577927204</v>
      </c>
      <c r="V1618" s="472">
        <f t="shared" si="112"/>
        <v>-2316183.5642323531</v>
      </c>
      <c r="W1618" s="551"/>
      <c r="X1618" s="551"/>
    </row>
    <row r="1619" spans="1:24" x14ac:dyDescent="0.25">
      <c r="A1619" s="545">
        <f t="shared" si="111"/>
        <v>2383387.0740092141</v>
      </c>
      <c r="B1619" s="3">
        <f t="shared" si="114"/>
        <v>9.8999999999999861</v>
      </c>
      <c r="C1619" s="545">
        <f>'Foglio deposito bis'!$E$159/sezione!$B$247*B1619</f>
        <v>81.751494319368931</v>
      </c>
      <c r="D1619" s="603">
        <f>-'Sollecitazioni nel paramento'!$G$47*'Sollecitazioni nel paramento'!$G$41*IF(DATI!$G$211="dx",DATI!$E$61,DATI!$E$64*DATI!$E$63)*1000*C1619^2*sezione!$AD$5*(1-sezione!$AD$6)</f>
        <v>-148694540.99093297</v>
      </c>
      <c r="E1619" s="545">
        <f>-'Foglio deposito bis'!$F$68*(C1619-sezione!$AL$33)*IF(ABS(K1619)&lt;'Sollecitazioni nel paramento'!$G$58,ABS(K1619)*'Sollecitazioni nel paramento'!$G$54,'Sollecitazioni nel paramento'!$G$53)</f>
        <v>0</v>
      </c>
      <c r="F1619" s="545">
        <f>-'Foglio deposito bis'!$F$69*(C1619-sezione!$AM$33)*IF(ABS(L1619)&lt;'Sollecitazioni nel paramento'!$G$58,ABS(L1619)*'Sollecitazioni nel paramento'!$G$54,'Sollecitazioni nel paramento'!$G$53)</f>
        <v>-1638617.7199611177</v>
      </c>
      <c r="G1619" s="545">
        <f>-'Foglio deposito bis'!$F$70*(C1619-sezione!$AN$33)*IF(ABS(M1619)&lt;'Sollecitazioni nel paramento'!$G$58,ABS(M1619)*'Sollecitazioni nel paramento'!$G$54,'Sollecitazioni nel paramento'!$G$53)</f>
        <v>0</v>
      </c>
      <c r="H1619" s="545">
        <f>-'Foglio deposito bis'!$F$71*(C1619-sezione!$AO$33)*IF(ABS(N1619)&lt;'Sollecitazioni nel paramento'!$G$58,ABS(N1619)*'Sollecitazioni nel paramento'!$G$54,'Sollecitazioni nel paramento'!$G$53)</f>
        <v>24625245.221908569</v>
      </c>
      <c r="I1619" s="472">
        <f>-'Foglio deposito bis'!$F$72*(C1619-sezione!$AP$33)*IF(ABS(O1619)&lt;'Sollecitazioni nel paramento'!$G$58,ABS(O1619)*'Sollecitazioni nel paramento'!$G$54,'Sollecitazioni nel paramento'!$G$53)</f>
        <v>240206205.90508071</v>
      </c>
      <c r="J1619" s="472">
        <f t="shared" si="110"/>
        <v>114498292.4160952</v>
      </c>
      <c r="K1619" s="550">
        <f>'Sollecitazioni nel paramento'!$G$60*(sezione!$AL$33-C1619)/C1619</f>
        <v>-1.7874930768472744E-3</v>
      </c>
      <c r="L1619" s="550">
        <f>'Sollecitazioni nel paramento'!$G$60*(sezione!$AM$33-C1619)/C1619</f>
        <v>-9.3123961527091185E-4</v>
      </c>
      <c r="M1619" s="551">
        <f>'Sollecitazioni nel paramento'!$G$60*(sezione!$AN$33-C1619)/C1619</f>
        <v>-7.4986153694549116E-5</v>
      </c>
      <c r="N1619" s="551">
        <f>'Sollecitazioni nel paramento'!$G$60*(sezione!$AO$33-C1619)/C1619</f>
        <v>3.3500276926109016E-3</v>
      </c>
      <c r="O1619" s="551">
        <f>'Sollecitazioni nel paramento'!$G$60*(sezione!$AP$33-C1619)/C1619</f>
        <v>2.091375570310992E-2</v>
      </c>
      <c r="P1619" s="545">
        <f>-'Sollecitazioni nel paramento'!$G$47*'Sollecitazioni nel paramento'!$G$41*IF(DATI!$G$211="dx",DATI!$E$61,DATI!$E$64*DATI!$E$63)*1000*C1619*sezione!$AD$5</f>
        <v>-3114486.6790849976</v>
      </c>
      <c r="Q1619" s="545">
        <f>'Foglio deposito bis'!$F$68*IF(ABS(K1619)&lt;'Sollecitazioni nel paramento'!$G$58,ABS(K1619)*'Sollecitazioni nel paramento'!$G$54,'Sollecitazioni nel paramento'!$G$53)*IF(K1619&lt;0,-1,1)</f>
        <v>0</v>
      </c>
      <c r="R1619" s="545">
        <f>'Foglio deposito bis'!$F$69*IF(ABS(L1619)&lt;'Sollecitazioni nel paramento'!$G$58,ABS(L1619)*'Sollecitazioni nel paramento'!$G$54,'Sollecitazioni nel paramento'!$G$53)*IF(L1619&lt;0,-1,1)</f>
        <v>-75333.570002222201</v>
      </c>
      <c r="S1619" s="545">
        <f>'Foglio deposito bis'!$F$70*IF(ABS(M1619)&lt;'Sollecitazioni nel paramento'!$G$58,ABS(M1619)*'Sollecitazioni nel paramento'!$G$54,'Sollecitazioni nel paramento'!$G$53)*IF(M1619&lt;0,-1,1)</f>
        <v>0</v>
      </c>
      <c r="T1619" s="545">
        <f>'Foglio deposito bis'!$F$71*IF(ABS(N1619)&lt;'Sollecitazioni nel paramento'!$G$58,ABS(N1619)*'Sollecitazioni nel paramento'!$G$54,'Sollecitazioni nel paramento'!$G$53)*IF(N1619&lt;0,-1,1)</f>
        <v>314705.62929873407</v>
      </c>
      <c r="U1619" s="545">
        <f>'Foglio deposito bis'!$F$72*IF(ABS(O1619)&lt;'Sollecitazioni nel paramento'!$G$58,ABS(O1619)*'Sollecitazioni nel paramento'!$G$54,'Sollecitazioni nel paramento'!$G$53)*IF(O1619&lt;0,-1,1)</f>
        <v>491727.54577927204</v>
      </c>
      <c r="V1619" s="472">
        <f t="shared" si="112"/>
        <v>-2383387.0740092141</v>
      </c>
      <c r="W1619" s="551"/>
      <c r="X1619" s="551"/>
    </row>
    <row r="1620" spans="1:24" x14ac:dyDescent="0.25">
      <c r="A1620" s="545">
        <f t="shared" si="111"/>
        <v>2450420.8971735178</v>
      </c>
      <c r="B1620" s="3">
        <f t="shared" si="114"/>
        <v>10.099999999999985</v>
      </c>
      <c r="C1620" s="545">
        <f>'Foglio deposito bis'!$E$159/sezione!$B$247*B1620</f>
        <v>83.40303965915416</v>
      </c>
      <c r="D1620" s="603">
        <f>-'Sollecitazioni nel paramento'!$G$47*'Sollecitazioni nel paramento'!$G$41*IF(DATI!$G$211="dx",DATI!$E$61,DATI!$E$64*DATI!$E$63)*1000*C1620^2*sezione!$AD$5*(1-sezione!$AD$6)</f>
        <v>-154763086.68998134</v>
      </c>
      <c r="E1620" s="545">
        <f>-'Foglio deposito bis'!$F$68*(C1620-sezione!$AL$33)*IF(ABS(K1620)&lt;'Sollecitazioni nel paramento'!$G$58,ABS(K1620)*'Sollecitazioni nel paramento'!$G$54,'Sollecitazioni nel paramento'!$G$53)</f>
        <v>0</v>
      </c>
      <c r="F1620" s="545">
        <f>-'Foglio deposito bis'!$F$69*(C1620-sezione!$AM$33)*IF(ABS(L1620)&lt;'Sollecitazioni nel paramento'!$G$58,ABS(L1620)*'Sollecitazioni nel paramento'!$G$54,'Sollecitazioni nel paramento'!$G$53)</f>
        <v>-1859335.702617646</v>
      </c>
      <c r="G1620" s="545">
        <f>-'Foglio deposito bis'!$F$70*(C1620-sezione!$AN$33)*IF(ABS(M1620)&lt;'Sollecitazioni nel paramento'!$G$58,ABS(M1620)*'Sollecitazioni nel paramento'!$G$54,'Sollecitazioni nel paramento'!$G$53)</f>
        <v>0</v>
      </c>
      <c r="H1620" s="545">
        <f>-'Foglio deposito bis'!$F$71*(C1620-sezione!$AO$33)*IF(ABS(N1620)&lt;'Sollecitazioni nel paramento'!$G$58,ABS(N1620)*'Sollecitazioni nel paramento'!$G$54,'Sollecitazioni nel paramento'!$G$53)</f>
        <v>24105494.60643607</v>
      </c>
      <c r="I1620" s="472">
        <f>-'Foglio deposito bis'!$F$72*(C1620-sezione!$AP$33)*IF(ABS(O1620)&lt;'Sollecitazioni nel paramento'!$G$58,ABS(O1620)*'Sollecitazioni nel paramento'!$G$54,'Sollecitazioni nel paramento'!$G$53)</f>
        <v>239394095.56840491</v>
      </c>
      <c r="J1620" s="472">
        <f t="shared" si="110"/>
        <v>106877167.782242</v>
      </c>
      <c r="K1620" s="550">
        <f>'Sollecitazioni nel paramento'!$G$60*(sezione!$AL$33-C1620)/C1620</f>
        <v>-1.8214041050285167E-3</v>
      </c>
      <c r="L1620" s="550">
        <f>'Sollecitazioni nel paramento'!$G$60*(sezione!$AM$33-C1620)/C1620</f>
        <v>-9.82106157542775E-4</v>
      </c>
      <c r="M1620" s="551">
        <f>'Sollecitazioni nel paramento'!$G$60*(sezione!$AN$33-C1620)/C1620</f>
        <v>-1.4280821005703323E-4</v>
      </c>
      <c r="N1620" s="551">
        <f>'Sollecitazioni nel paramento'!$G$60*(sezione!$AO$33-C1620)/C1620</f>
        <v>3.2143835798859339E-3</v>
      </c>
      <c r="O1620" s="551">
        <f>'Sollecitazioni nel paramento'!$G$60*(sezione!$AP$33-C1620)/C1620</f>
        <v>2.0430314996117645E-2</v>
      </c>
      <c r="P1620" s="545">
        <f>-'Sollecitazioni nel paramento'!$G$47*'Sollecitazioni nel paramento'!$G$41*IF(DATI!$G$211="dx",DATI!$E$61,DATI!$E$64*DATI!$E$63)*1000*C1620*sezione!$AD$5</f>
        <v>-3177405.6018947954</v>
      </c>
      <c r="Q1620" s="545">
        <f>'Foglio deposito bis'!$F$68*IF(ABS(K1620)&lt;'Sollecitazioni nel paramento'!$G$58,ABS(K1620)*'Sollecitazioni nel paramento'!$G$54,'Sollecitazioni nel paramento'!$G$53)*IF(K1620&lt;0,-1,1)</f>
        <v>0</v>
      </c>
      <c r="R1620" s="545">
        <f>'Foglio deposito bis'!$F$69*IF(ABS(L1620)&lt;'Sollecitazioni nel paramento'!$G$58,ABS(L1620)*'Sollecitazioni nel paramento'!$G$54,'Sollecitazioni nel paramento'!$G$53)*IF(L1620&lt;0,-1,1)</f>
        <v>-79448.4703567283</v>
      </c>
      <c r="S1620" s="545">
        <f>'Foglio deposito bis'!$F$70*IF(ABS(M1620)&lt;'Sollecitazioni nel paramento'!$G$58,ABS(M1620)*'Sollecitazioni nel paramento'!$G$54,'Sollecitazioni nel paramento'!$G$53)*IF(M1620&lt;0,-1,1)</f>
        <v>0</v>
      </c>
      <c r="T1620" s="545">
        <f>'Foglio deposito bis'!$F$71*IF(ABS(N1620)&lt;'Sollecitazioni nel paramento'!$G$58,ABS(N1620)*'Sollecitazioni nel paramento'!$G$54,'Sollecitazioni nel paramento'!$G$53)*IF(N1620&lt;0,-1,1)</f>
        <v>314705.62929873407</v>
      </c>
      <c r="U1620" s="545">
        <f>'Foglio deposito bis'!$F$72*IF(ABS(O1620)&lt;'Sollecitazioni nel paramento'!$G$58,ABS(O1620)*'Sollecitazioni nel paramento'!$G$54,'Sollecitazioni nel paramento'!$G$53)*IF(O1620&lt;0,-1,1)</f>
        <v>491727.54577927204</v>
      </c>
      <c r="V1620" s="472">
        <f t="shared" si="112"/>
        <v>-2450420.8971735178</v>
      </c>
      <c r="W1620" s="551"/>
      <c r="X1620" s="551"/>
    </row>
    <row r="1621" spans="1:24" x14ac:dyDescent="0.25">
      <c r="A1621" s="545">
        <f t="shared" si="111"/>
        <v>2517294.918382307</v>
      </c>
      <c r="B1621" s="3">
        <f t="shared" si="114"/>
        <v>10.299999999999985</v>
      </c>
      <c r="C1621" s="545">
        <f>'Foglio deposito bis'!$E$159/sezione!$B$247*B1621</f>
        <v>85.05458499893939</v>
      </c>
      <c r="D1621" s="603">
        <f>-'Sollecitazioni nel paramento'!$G$47*'Sollecitazioni nel paramento'!$G$41*IF(DATI!$G$211="dx",DATI!$E$61,DATI!$E$64*DATI!$E$63)*1000*C1621^2*sezione!$AD$5*(1-sezione!$AD$6)</f>
        <v>-160953003.3030107</v>
      </c>
      <c r="E1621" s="545">
        <f>-'Foglio deposito bis'!$F$68*(C1621-sezione!$AL$33)*IF(ABS(K1621)&lt;'Sollecitazioni nel paramento'!$G$58,ABS(K1621)*'Sollecitazioni nel paramento'!$G$54,'Sollecitazioni nel paramento'!$G$53)</f>
        <v>0</v>
      </c>
      <c r="F1621" s="545">
        <f>-'Foglio deposito bis'!$F$69*(C1621-sezione!$AM$33)*IF(ABS(L1621)&lt;'Sollecitazioni nel paramento'!$G$58,ABS(L1621)*'Sollecitazioni nel paramento'!$G$54,'Sollecitazioni nel paramento'!$G$53)</f>
        <v>-2089641.8026050623</v>
      </c>
      <c r="G1621" s="545">
        <f>-'Foglio deposito bis'!$F$70*(C1621-sezione!$AN$33)*IF(ABS(M1621)&lt;'Sollecitazioni nel paramento'!$G$58,ABS(M1621)*'Sollecitazioni nel paramento'!$G$54,'Sollecitazioni nel paramento'!$G$53)</f>
        <v>0</v>
      </c>
      <c r="H1621" s="545">
        <f>-'Foglio deposito bis'!$F$71*(C1621-sezione!$AO$33)*IF(ABS(N1621)&lt;'Sollecitazioni nel paramento'!$G$58,ABS(N1621)*'Sollecitazioni nel paramento'!$G$54,'Sollecitazioni nel paramento'!$G$53)</f>
        <v>23585743.990963563</v>
      </c>
      <c r="I1621" s="472">
        <f>-'Foglio deposito bis'!$F$72*(C1621-sezione!$AP$33)*IF(ABS(O1621)&lt;'Sollecitazioni nel paramento'!$G$58,ABS(O1621)*'Sollecitazioni nel paramento'!$G$54,'Sollecitazioni nel paramento'!$G$53)</f>
        <v>238581985.23172912</v>
      </c>
      <c r="J1621" s="472">
        <f t="shared" ref="J1621:J1684" si="115">D1621+E1621+F1621+G1621+H1621+I1621</f>
        <v>99125084.117076904</v>
      </c>
      <c r="K1621" s="550">
        <f>'Sollecitazioni nel paramento'!$G$60*(sezione!$AL$33-C1621)/C1621</f>
        <v>-1.8539982000765067E-3</v>
      </c>
      <c r="L1621" s="550">
        <f>'Sollecitazioni nel paramento'!$G$60*(sezione!$AM$33-C1621)/C1621</f>
        <v>-1.0309973001147599E-3</v>
      </c>
      <c r="M1621" s="551">
        <f>'Sollecitazioni nel paramento'!$G$60*(sezione!$AN$33-C1621)/C1621</f>
        <v>-2.0799640015301313E-4</v>
      </c>
      <c r="N1621" s="551">
        <f>'Sollecitazioni nel paramento'!$G$60*(sezione!$AO$33-C1621)/C1621</f>
        <v>3.0840071996939742E-3</v>
      </c>
      <c r="O1621" s="551">
        <f>'Sollecitazioni nel paramento'!$G$60*(sezione!$AP$33-C1621)/C1621</f>
        <v>1.9965648685513416E-2</v>
      </c>
      <c r="P1621" s="545">
        <f>-'Sollecitazioni nel paramento'!$G$47*'Sollecitazioni nel paramento'!$G$41*IF(DATI!$G$211="dx",DATI!$E$61,DATI!$E$64*DATI!$E$63)*1000*C1621*sezione!$AD$5</f>
        <v>-3240324.5247045932</v>
      </c>
      <c r="Q1621" s="545">
        <f>'Foglio deposito bis'!$F$68*IF(ABS(K1621)&lt;'Sollecitazioni nel paramento'!$G$58,ABS(K1621)*'Sollecitazioni nel paramento'!$G$54,'Sollecitazioni nel paramento'!$G$53)*IF(K1621&lt;0,-1,1)</f>
        <v>0</v>
      </c>
      <c r="R1621" s="545">
        <f>'Foglio deposito bis'!$F$69*IF(ABS(L1621)&lt;'Sollecitazioni nel paramento'!$G$58,ABS(L1621)*'Sollecitazioni nel paramento'!$G$54,'Sollecitazioni nel paramento'!$G$53)*IF(L1621&lt;0,-1,1)</f>
        <v>-83403.568755719592</v>
      </c>
      <c r="S1621" s="545">
        <f>'Foglio deposito bis'!$F$70*IF(ABS(M1621)&lt;'Sollecitazioni nel paramento'!$G$58,ABS(M1621)*'Sollecitazioni nel paramento'!$G$54,'Sollecitazioni nel paramento'!$G$53)*IF(M1621&lt;0,-1,1)</f>
        <v>0</v>
      </c>
      <c r="T1621" s="545">
        <f>'Foglio deposito bis'!$F$71*IF(ABS(N1621)&lt;'Sollecitazioni nel paramento'!$G$58,ABS(N1621)*'Sollecitazioni nel paramento'!$G$54,'Sollecitazioni nel paramento'!$G$53)*IF(N1621&lt;0,-1,1)</f>
        <v>314705.62929873407</v>
      </c>
      <c r="U1621" s="545">
        <f>'Foglio deposito bis'!$F$72*IF(ABS(O1621)&lt;'Sollecitazioni nel paramento'!$G$58,ABS(O1621)*'Sollecitazioni nel paramento'!$G$54,'Sollecitazioni nel paramento'!$G$53)*IF(O1621&lt;0,-1,1)</f>
        <v>491727.54577927204</v>
      </c>
      <c r="V1621" s="472">
        <f t="shared" si="112"/>
        <v>-2517294.918382307</v>
      </c>
      <c r="W1621" s="551"/>
      <c r="X1621" s="551"/>
    </row>
    <row r="1622" spans="1:24" x14ac:dyDescent="0.25">
      <c r="A1622" s="545">
        <f t="shared" ref="A1622:A1685" si="116">ABS(V1622)</f>
        <v>2584018.2691758964</v>
      </c>
      <c r="B1622" s="3">
        <f t="shared" si="114"/>
        <v>10.499999999999984</v>
      </c>
      <c r="C1622" s="545">
        <f>'Foglio deposito bis'!$E$159/sezione!$B$247*B1622</f>
        <v>86.70613033872462</v>
      </c>
      <c r="D1622" s="603">
        <f>-'Sollecitazioni nel paramento'!$G$47*'Sollecitazioni nel paramento'!$G$41*IF(DATI!$G$211="dx",DATI!$E$61,DATI!$E$64*DATI!$E$63)*1000*C1622^2*sezione!$AD$5*(1-sezione!$AD$6)</f>
        <v>-167264290.83002102</v>
      </c>
      <c r="E1622" s="545">
        <f>-'Foglio deposito bis'!$F$68*(C1622-sezione!$AL$33)*IF(ABS(K1622)&lt;'Sollecitazioni nel paramento'!$G$58,ABS(K1622)*'Sollecitazioni nel paramento'!$G$54,'Sollecitazioni nel paramento'!$G$53)</f>
        <v>0</v>
      </c>
      <c r="F1622" s="545">
        <f>-'Foglio deposito bis'!$F$69*(C1622-sezione!$AM$33)*IF(ABS(L1622)&lt;'Sollecitazioni nel paramento'!$G$58,ABS(L1622)*'Sollecitazioni nel paramento'!$G$54,'Sollecitazioni nel paramento'!$G$53)</f>
        <v>-2328988.1275044582</v>
      </c>
      <c r="G1622" s="545">
        <f>-'Foglio deposito bis'!$F$70*(C1622-sezione!$AN$33)*IF(ABS(M1622)&lt;'Sollecitazioni nel paramento'!$G$58,ABS(M1622)*'Sollecitazioni nel paramento'!$G$54,'Sollecitazioni nel paramento'!$G$53)</f>
        <v>0</v>
      </c>
      <c r="H1622" s="545">
        <f>-'Foglio deposito bis'!$F$71*(C1622-sezione!$AO$33)*IF(ABS(N1622)&lt;'Sollecitazioni nel paramento'!$G$58,ABS(N1622)*'Sollecitazioni nel paramento'!$G$54,'Sollecitazioni nel paramento'!$G$53)</f>
        <v>23065993.375491064</v>
      </c>
      <c r="I1622" s="472">
        <f>-'Foglio deposito bis'!$F$72*(C1622-sezione!$AP$33)*IF(ABS(O1622)&lt;'Sollecitazioni nel paramento'!$G$58,ABS(O1622)*'Sollecitazioni nel paramento'!$G$54,'Sollecitazioni nel paramento'!$G$53)</f>
        <v>237769874.89505336</v>
      </c>
      <c r="J1622" s="472">
        <f t="shared" si="115"/>
        <v>91242589.313018918</v>
      </c>
      <c r="K1622" s="550">
        <f>'Sollecitazioni nel paramento'!$G$60*(sezione!$AL$33-C1622)/C1622</f>
        <v>-1.8853506153131447E-3</v>
      </c>
      <c r="L1622" s="550">
        <f>'Sollecitazioni nel paramento'!$G$60*(sezione!$AM$33-C1622)/C1622</f>
        <v>-1.078025922969717E-3</v>
      </c>
      <c r="M1622" s="551">
        <f>'Sollecitazioni nel paramento'!$G$60*(sezione!$AN$33-C1622)/C1622</f>
        <v>-2.7070123062628904E-4</v>
      </c>
      <c r="N1622" s="551">
        <f>'Sollecitazioni nel paramento'!$G$60*(sezione!$AO$33-C1622)/C1622</f>
        <v>2.958597538747422E-3</v>
      </c>
      <c r="O1622" s="551">
        <f>'Sollecitazioni nel paramento'!$G$60*(sezione!$AP$33-C1622)/C1622</f>
        <v>1.9518683948646497E-2</v>
      </c>
      <c r="P1622" s="545">
        <f>-'Sollecitazioni nel paramento'!$G$47*'Sollecitazioni nel paramento'!$G$41*IF(DATI!$G$211="dx",DATI!$E$61,DATI!$E$64*DATI!$E$63)*1000*C1622*sezione!$AD$5</f>
        <v>-3303243.447514391</v>
      </c>
      <c r="Q1622" s="545">
        <f>'Foglio deposito bis'!$F$68*IF(ABS(K1622)&lt;'Sollecitazioni nel paramento'!$G$58,ABS(K1622)*'Sollecitazioni nel paramento'!$G$54,'Sollecitazioni nel paramento'!$G$53)*IF(K1622&lt;0,-1,1)</f>
        <v>0</v>
      </c>
      <c r="R1622" s="545">
        <f>'Foglio deposito bis'!$F$69*IF(ABS(L1622)&lt;'Sollecitazioni nel paramento'!$G$58,ABS(L1622)*'Sollecitazioni nel paramento'!$G$54,'Sollecitazioni nel paramento'!$G$53)*IF(L1622&lt;0,-1,1)</f>
        <v>-87207.996739511233</v>
      </c>
      <c r="S1622" s="545">
        <f>'Foglio deposito bis'!$F$70*IF(ABS(M1622)&lt;'Sollecitazioni nel paramento'!$G$58,ABS(M1622)*'Sollecitazioni nel paramento'!$G$54,'Sollecitazioni nel paramento'!$G$53)*IF(M1622&lt;0,-1,1)</f>
        <v>0</v>
      </c>
      <c r="T1622" s="545">
        <f>'Foglio deposito bis'!$F$71*IF(ABS(N1622)&lt;'Sollecitazioni nel paramento'!$G$58,ABS(N1622)*'Sollecitazioni nel paramento'!$G$54,'Sollecitazioni nel paramento'!$G$53)*IF(N1622&lt;0,-1,1)</f>
        <v>314705.62929873407</v>
      </c>
      <c r="U1622" s="545">
        <f>'Foglio deposito bis'!$F$72*IF(ABS(O1622)&lt;'Sollecitazioni nel paramento'!$G$58,ABS(O1622)*'Sollecitazioni nel paramento'!$G$54,'Sollecitazioni nel paramento'!$G$53)*IF(O1622&lt;0,-1,1)</f>
        <v>491727.54577927204</v>
      </c>
      <c r="V1622" s="472">
        <f t="shared" ref="V1622:V1685" si="117">P1622+Q1622+R1622+S1622+T1622+U1622</f>
        <v>-2584018.2691758964</v>
      </c>
      <c r="W1622" s="551"/>
      <c r="X1622" s="551"/>
    </row>
    <row r="1623" spans="1:24" x14ac:dyDescent="0.25">
      <c r="A1623" s="545">
        <f t="shared" si="116"/>
        <v>2650599.3983626156</v>
      </c>
      <c r="B1623" s="3">
        <f t="shared" si="114"/>
        <v>10.699999999999983</v>
      </c>
      <c r="C1623" s="545">
        <f>'Foglio deposito bis'!$E$159/sezione!$B$247*B1623</f>
        <v>88.35767567850985</v>
      </c>
      <c r="D1623" s="603">
        <f>-'Sollecitazioni nel paramento'!$G$47*'Sollecitazioni nel paramento'!$G$41*IF(DATI!$G$211="dx",DATI!$E$61,DATI!$E$64*DATI!$E$63)*1000*C1623^2*sezione!$AD$5*(1-sezione!$AD$6)</f>
        <v>-173696949.27101228</v>
      </c>
      <c r="E1623" s="545">
        <f>-'Foglio deposito bis'!$F$68*(C1623-sezione!$AL$33)*IF(ABS(K1623)&lt;'Sollecitazioni nel paramento'!$G$58,ABS(K1623)*'Sollecitazioni nel paramento'!$G$54,'Sollecitazioni nel paramento'!$G$53)</f>
        <v>0</v>
      </c>
      <c r="F1623" s="545">
        <f>-'Foglio deposito bis'!$F$69*(C1623-sezione!$AM$33)*IF(ABS(L1623)&lt;'Sollecitazioni nel paramento'!$G$58,ABS(L1623)*'Sollecitazioni nel paramento'!$G$54,'Sollecitazioni nel paramento'!$G$53)</f>
        <v>-2576867.7488160972</v>
      </c>
      <c r="G1623" s="545">
        <f>-'Foglio deposito bis'!$F$70*(C1623-sezione!$AN$33)*IF(ABS(M1623)&lt;'Sollecitazioni nel paramento'!$G$58,ABS(M1623)*'Sollecitazioni nel paramento'!$G$54,'Sollecitazioni nel paramento'!$G$53)</f>
        <v>0</v>
      </c>
      <c r="H1623" s="545">
        <f>-'Foglio deposito bis'!$F$71*(C1623-sezione!$AO$33)*IF(ABS(N1623)&lt;'Sollecitazioni nel paramento'!$G$58,ABS(N1623)*'Sollecitazioni nel paramento'!$G$54,'Sollecitazioni nel paramento'!$G$53)</f>
        <v>22546242.760018561</v>
      </c>
      <c r="I1623" s="472">
        <f>-'Foglio deposito bis'!$F$72*(C1623-sezione!$AP$33)*IF(ABS(O1623)&lt;'Sollecitazioni nel paramento'!$G$58,ABS(O1623)*'Sollecitazioni nel paramento'!$G$54,'Sollecitazioni nel paramento'!$G$53)</f>
        <v>236957764.55837756</v>
      </c>
      <c r="J1623" s="472">
        <f t="shared" si="115"/>
        <v>83230190.298567742</v>
      </c>
      <c r="K1623" s="550">
        <f>'Sollecitazioni nel paramento'!$G$60*(sezione!$AL$33-C1623)/C1623</f>
        <v>-1.91553097764374E-3</v>
      </c>
      <c r="L1623" s="550">
        <f>'Sollecitazioni nel paramento'!$G$60*(sezione!$AM$33-C1623)/C1623</f>
        <v>-1.1232964664656098E-3</v>
      </c>
      <c r="M1623" s="551">
        <f>'Sollecitazioni nel paramento'!$G$60*(sezione!$AN$33-C1623)/C1623</f>
        <v>-3.3106195528747982E-4</v>
      </c>
      <c r="N1623" s="551">
        <f>'Sollecitazioni nel paramento'!$G$60*(sezione!$AO$33-C1623)/C1623</f>
        <v>2.8378760894250403E-3</v>
      </c>
      <c r="O1623" s="551">
        <f>'Sollecitazioni nel paramento'!$G$60*(sezione!$AP$33-C1623)/C1623</f>
        <v>1.9088428173905443E-2</v>
      </c>
      <c r="P1623" s="545">
        <f>-'Sollecitazioni nel paramento'!$G$47*'Sollecitazioni nel paramento'!$G$41*IF(DATI!$G$211="dx",DATI!$E$61,DATI!$E$64*DATI!$E$63)*1000*C1623*sezione!$AD$5</f>
        <v>-3366162.3703241893</v>
      </c>
      <c r="Q1623" s="545">
        <f>'Foglio deposito bis'!$F$68*IF(ABS(K1623)&lt;'Sollecitazioni nel paramento'!$G$58,ABS(K1623)*'Sollecitazioni nel paramento'!$G$54,'Sollecitazioni nel paramento'!$G$53)*IF(K1623&lt;0,-1,1)</f>
        <v>0</v>
      </c>
      <c r="R1623" s="545">
        <f>'Foglio deposito bis'!$F$69*IF(ABS(L1623)&lt;'Sollecitazioni nel paramento'!$G$58,ABS(L1623)*'Sollecitazioni nel paramento'!$G$54,'Sollecitazioni nel paramento'!$G$53)*IF(L1623&lt;0,-1,1)</f>
        <v>-90870.203116432123</v>
      </c>
      <c r="S1623" s="545">
        <f>'Foglio deposito bis'!$F$70*IF(ABS(M1623)&lt;'Sollecitazioni nel paramento'!$G$58,ABS(M1623)*'Sollecitazioni nel paramento'!$G$54,'Sollecitazioni nel paramento'!$G$53)*IF(M1623&lt;0,-1,1)</f>
        <v>0</v>
      </c>
      <c r="T1623" s="545">
        <f>'Foglio deposito bis'!$F$71*IF(ABS(N1623)&lt;'Sollecitazioni nel paramento'!$G$58,ABS(N1623)*'Sollecitazioni nel paramento'!$G$54,'Sollecitazioni nel paramento'!$G$53)*IF(N1623&lt;0,-1,1)</f>
        <v>314705.62929873407</v>
      </c>
      <c r="U1623" s="545">
        <f>'Foglio deposito bis'!$F$72*IF(ABS(O1623)&lt;'Sollecitazioni nel paramento'!$G$58,ABS(O1623)*'Sollecitazioni nel paramento'!$G$54,'Sollecitazioni nel paramento'!$G$53)*IF(O1623&lt;0,-1,1)</f>
        <v>491727.54577927204</v>
      </c>
      <c r="V1623" s="472">
        <f t="shared" si="117"/>
        <v>-2650599.3983626156</v>
      </c>
      <c r="W1623" s="551"/>
      <c r="X1623" s="551"/>
    </row>
    <row r="1624" spans="1:24" x14ac:dyDescent="0.25">
      <c r="A1624" s="545">
        <f t="shared" si="116"/>
        <v>2717046.1346547683</v>
      </c>
      <c r="B1624" s="3">
        <f t="shared" si="114"/>
        <v>10.899999999999983</v>
      </c>
      <c r="C1624" s="545">
        <f>'Foglio deposito bis'!$E$159/sezione!$B$247*B1624</f>
        <v>90.009221018295079</v>
      </c>
      <c r="D1624" s="603">
        <f>-'Sollecitazioni nel paramento'!$G$47*'Sollecitazioni nel paramento'!$G$41*IF(DATI!$G$211="dx",DATI!$E$61,DATI!$E$64*DATI!$E$63)*1000*C1624^2*sezione!$AD$5*(1-sezione!$AD$6)</f>
        <v>-180250978.62598452</v>
      </c>
      <c r="E1624" s="545">
        <f>-'Foglio deposito bis'!$F$68*(C1624-sezione!$AL$33)*IF(ABS(K1624)&lt;'Sollecitazioni nel paramento'!$G$58,ABS(K1624)*'Sollecitazioni nel paramento'!$G$54,'Sollecitazioni nel paramento'!$G$53)</f>
        <v>0</v>
      </c>
      <c r="F1624" s="545">
        <f>-'Foglio deposito bis'!$F$69*(C1624-sezione!$AM$33)*IF(ABS(L1624)&lt;'Sollecitazioni nel paramento'!$G$58,ABS(L1624)*'Sollecitazioni nel paramento'!$G$54,'Sollecitazioni nel paramento'!$G$53)</f>
        <v>-2832810.9438016908</v>
      </c>
      <c r="G1624" s="545">
        <f>-'Foglio deposito bis'!$F$70*(C1624-sezione!$AN$33)*IF(ABS(M1624)&lt;'Sollecitazioni nel paramento'!$G$58,ABS(M1624)*'Sollecitazioni nel paramento'!$G$54,'Sollecitazioni nel paramento'!$G$53)</f>
        <v>0</v>
      </c>
      <c r="H1624" s="545">
        <f>-'Foglio deposito bis'!$F$71*(C1624-sezione!$AO$33)*IF(ABS(N1624)&lt;'Sollecitazioni nel paramento'!$G$58,ABS(N1624)*'Sollecitazioni nel paramento'!$G$54,'Sollecitazioni nel paramento'!$G$53)</f>
        <v>22026492.144546058</v>
      </c>
      <c r="I1624" s="472">
        <f>-'Foglio deposito bis'!$F$72*(C1624-sezione!$AP$33)*IF(ABS(O1624)&lt;'Sollecitazioni nel paramento'!$G$58,ABS(O1624)*'Sollecitazioni nel paramento'!$G$54,'Sollecitazioni nel paramento'!$G$53)</f>
        <v>236145654.22170177</v>
      </c>
      <c r="J1624" s="472">
        <f t="shared" si="115"/>
        <v>75088356.796461612</v>
      </c>
      <c r="K1624" s="550">
        <f>'Sollecitazioni nel paramento'!$G$60*(sezione!$AL$33-C1624)/C1624</f>
        <v>-1.94460380374202E-3</v>
      </c>
      <c r="L1624" s="550">
        <f>'Sollecitazioni nel paramento'!$G$60*(sezione!$AM$33-C1624)/C1624</f>
        <v>-1.1669057056130298E-3</v>
      </c>
      <c r="M1624" s="551">
        <f>'Sollecitazioni nel paramento'!$G$60*(sezione!$AN$33-C1624)/C1624</f>
        <v>-3.8920760748403988E-4</v>
      </c>
      <c r="N1624" s="551">
        <f>'Sollecitazioni nel paramento'!$G$60*(sezione!$AO$33-C1624)/C1624</f>
        <v>2.7215847850319205E-3</v>
      </c>
      <c r="O1624" s="551">
        <f>'Sollecitazioni nel paramento'!$G$60*(sezione!$AP$33-C1624)/C1624</f>
        <v>1.8673961601907176E-2</v>
      </c>
      <c r="P1624" s="545">
        <f>-'Sollecitazioni nel paramento'!$G$47*'Sollecitazioni nel paramento'!$G$41*IF(DATI!$G$211="dx",DATI!$E$61,DATI!$E$64*DATI!$E$63)*1000*C1624*sezione!$AD$5</f>
        <v>-3429081.2931339871</v>
      </c>
      <c r="Q1624" s="545">
        <f>'Foglio deposito bis'!$F$68*IF(ABS(K1624)&lt;'Sollecitazioni nel paramento'!$G$58,ABS(K1624)*'Sollecitazioni nel paramento'!$G$54,'Sollecitazioni nel paramento'!$G$53)*IF(K1624&lt;0,-1,1)</f>
        <v>0</v>
      </c>
      <c r="R1624" s="545">
        <f>'Foglio deposito bis'!$F$69*IF(ABS(L1624)&lt;'Sollecitazioni nel paramento'!$G$58,ABS(L1624)*'Sollecitazioni nel paramento'!$G$54,'Sollecitazioni nel paramento'!$G$53)*IF(L1624&lt;0,-1,1)</f>
        <v>-94398.01659878713</v>
      </c>
      <c r="S1624" s="545">
        <f>'Foglio deposito bis'!$F$70*IF(ABS(M1624)&lt;'Sollecitazioni nel paramento'!$G$58,ABS(M1624)*'Sollecitazioni nel paramento'!$G$54,'Sollecitazioni nel paramento'!$G$53)*IF(M1624&lt;0,-1,1)</f>
        <v>0</v>
      </c>
      <c r="T1624" s="545">
        <f>'Foglio deposito bis'!$F$71*IF(ABS(N1624)&lt;'Sollecitazioni nel paramento'!$G$58,ABS(N1624)*'Sollecitazioni nel paramento'!$G$54,'Sollecitazioni nel paramento'!$G$53)*IF(N1624&lt;0,-1,1)</f>
        <v>314705.62929873407</v>
      </c>
      <c r="U1624" s="545">
        <f>'Foglio deposito bis'!$F$72*IF(ABS(O1624)&lt;'Sollecitazioni nel paramento'!$G$58,ABS(O1624)*'Sollecitazioni nel paramento'!$G$54,'Sollecitazioni nel paramento'!$G$53)*IF(O1624&lt;0,-1,1)</f>
        <v>491727.54577927204</v>
      </c>
      <c r="V1624" s="472">
        <f t="shared" si="117"/>
        <v>-2717046.1346547683</v>
      </c>
      <c r="W1624" s="551"/>
      <c r="X1624" s="551"/>
    </row>
    <row r="1625" spans="1:24" x14ac:dyDescent="0.25">
      <c r="A1625" s="545">
        <f t="shared" si="116"/>
        <v>2783365.7425331422</v>
      </c>
      <c r="B1625" s="3">
        <f t="shared" si="114"/>
        <v>11.099999999999982</v>
      </c>
      <c r="C1625" s="545">
        <f>'Foglio deposito bis'!$E$159/sezione!$B$247*B1625</f>
        <v>91.660766358080295</v>
      </c>
      <c r="D1625" s="603">
        <f>-'Sollecitazioni nel paramento'!$G$47*'Sollecitazioni nel paramento'!$G$41*IF(DATI!$G$211="dx",DATI!$E$61,DATI!$E$64*DATI!$E$63)*1000*C1625^2*sezione!$AD$5*(1-sezione!$AD$6)</f>
        <v>-186926378.89493766</v>
      </c>
      <c r="E1625" s="545">
        <f>-'Foglio deposito bis'!$F$68*(C1625-sezione!$AL$33)*IF(ABS(K1625)&lt;'Sollecitazioni nel paramento'!$G$58,ABS(K1625)*'Sollecitazioni nel paramento'!$G$54,'Sollecitazioni nel paramento'!$G$53)</f>
        <v>0</v>
      </c>
      <c r="F1625" s="545">
        <f>-'Foglio deposito bis'!$F$69*(C1625-sezione!$AM$33)*IF(ABS(L1625)&lt;'Sollecitazioni nel paramento'!$G$58,ABS(L1625)*'Sollecitazioni nel paramento'!$G$54,'Sollecitazioni nel paramento'!$G$53)</f>
        <v>-3096381.8436139952</v>
      </c>
      <c r="G1625" s="545">
        <f>-'Foglio deposito bis'!$F$70*(C1625-sezione!$AN$33)*IF(ABS(M1625)&lt;'Sollecitazioni nel paramento'!$G$58,ABS(M1625)*'Sollecitazioni nel paramento'!$G$54,'Sollecitazioni nel paramento'!$G$53)</f>
        <v>0</v>
      </c>
      <c r="H1625" s="545">
        <f>-'Foglio deposito bis'!$F$71*(C1625-sezione!$AO$33)*IF(ABS(N1625)&lt;'Sollecitazioni nel paramento'!$G$58,ABS(N1625)*'Sollecitazioni nel paramento'!$G$54,'Sollecitazioni nel paramento'!$G$53)</f>
        <v>21506741.529073559</v>
      </c>
      <c r="I1625" s="472">
        <f>-'Foglio deposito bis'!$F$72*(C1625-sezione!$AP$33)*IF(ABS(O1625)&lt;'Sollecitazioni nel paramento'!$G$58,ABS(O1625)*'Sollecitazioni nel paramento'!$G$54,'Sollecitazioni nel paramento'!$G$53)</f>
        <v>235333543.88502598</v>
      </c>
      <c r="J1625" s="472">
        <f t="shared" si="115"/>
        <v>66817524.675547898</v>
      </c>
      <c r="K1625" s="550">
        <f>'Sollecitazioni nel paramento'!$G$60*(sezione!$AL$33-C1625)/C1625</f>
        <v>-1.9726289604313526E-3</v>
      </c>
      <c r="L1625" s="550">
        <f>'Sollecitazioni nel paramento'!$G$60*(sezione!$AM$33-C1625)/C1625</f>
        <v>-1.2089434406470289E-3</v>
      </c>
      <c r="M1625" s="551">
        <f>'Sollecitazioni nel paramento'!$G$60*(sezione!$AN$33-C1625)/C1625</f>
        <v>-4.4525792086270522E-4</v>
      </c>
      <c r="N1625" s="551">
        <f>'Sollecitazioni nel paramento'!$G$60*(sezione!$AO$33-C1625)/C1625</f>
        <v>2.6094841582745896E-3</v>
      </c>
      <c r="O1625" s="551">
        <f>'Sollecitazioni nel paramento'!$G$60*(sezione!$AP$33-C1625)/C1625</f>
        <v>1.8274430762233177E-2</v>
      </c>
      <c r="P1625" s="545">
        <f>-'Sollecitazioni nel paramento'!$G$47*'Sollecitazioni nel paramento'!$G$41*IF(DATI!$G$211="dx",DATI!$E$61,DATI!$E$64*DATI!$E$63)*1000*C1625*sezione!$AD$5</f>
        <v>-3492000.2159437845</v>
      </c>
      <c r="Q1625" s="545">
        <f>'Foglio deposito bis'!$F$68*IF(ABS(K1625)&lt;'Sollecitazioni nel paramento'!$G$58,ABS(K1625)*'Sollecitazioni nel paramento'!$G$54,'Sollecitazioni nel paramento'!$G$53)*IF(K1625&lt;0,-1,1)</f>
        <v>0</v>
      </c>
      <c r="R1625" s="545">
        <f>'Foglio deposito bis'!$F$69*IF(ABS(L1625)&lt;'Sollecitazioni nel paramento'!$G$58,ABS(L1625)*'Sollecitazioni nel paramento'!$G$54,'Sollecitazioni nel paramento'!$G$53)*IF(L1625&lt;0,-1,1)</f>
        <v>-97798.701667363552</v>
      </c>
      <c r="S1625" s="545">
        <f>'Foglio deposito bis'!$F$70*IF(ABS(M1625)&lt;'Sollecitazioni nel paramento'!$G$58,ABS(M1625)*'Sollecitazioni nel paramento'!$G$54,'Sollecitazioni nel paramento'!$G$53)*IF(M1625&lt;0,-1,1)</f>
        <v>0</v>
      </c>
      <c r="T1625" s="545">
        <f>'Foglio deposito bis'!$F$71*IF(ABS(N1625)&lt;'Sollecitazioni nel paramento'!$G$58,ABS(N1625)*'Sollecitazioni nel paramento'!$G$54,'Sollecitazioni nel paramento'!$G$53)*IF(N1625&lt;0,-1,1)</f>
        <v>314705.62929873407</v>
      </c>
      <c r="U1625" s="545">
        <f>'Foglio deposito bis'!$F$72*IF(ABS(O1625)&lt;'Sollecitazioni nel paramento'!$G$58,ABS(O1625)*'Sollecitazioni nel paramento'!$G$54,'Sollecitazioni nel paramento'!$G$53)*IF(O1625&lt;0,-1,1)</f>
        <v>491727.54577927204</v>
      </c>
      <c r="V1625" s="472">
        <f t="shared" si="117"/>
        <v>-2783365.7425331422</v>
      </c>
      <c r="W1625" s="551"/>
      <c r="X1625" s="551"/>
    </row>
    <row r="1626" spans="1:24" x14ac:dyDescent="0.25">
      <c r="A1626" s="545">
        <f t="shared" si="116"/>
        <v>2849564.9721790003</v>
      </c>
      <c r="B1626" s="3">
        <f t="shared" si="114"/>
        <v>11.299999999999981</v>
      </c>
      <c r="C1626" s="545">
        <f>'Foglio deposito bis'!$E$159/sezione!$B$247*B1626</f>
        <v>93.312311697865525</v>
      </c>
      <c r="D1626" s="603">
        <f>-'Sollecitazioni nel paramento'!$G$47*'Sollecitazioni nel paramento'!$G$41*IF(DATI!$G$211="dx",DATI!$E$61,DATI!$E$64*DATI!$E$63)*1000*C1626^2*sezione!$AD$5*(1-sezione!$AD$6)</f>
        <v>-193723150.07787189</v>
      </c>
      <c r="E1626" s="545">
        <f>-'Foglio deposito bis'!$F$68*(C1626-sezione!$AL$33)*IF(ABS(K1626)&lt;'Sollecitazioni nel paramento'!$G$58,ABS(K1626)*'Sollecitazioni nel paramento'!$G$54,'Sollecitazioni nel paramento'!$G$53)</f>
        <v>0</v>
      </c>
      <c r="F1626" s="545">
        <f>-'Foglio deposito bis'!$F$69*(C1626-sezione!$AM$33)*IF(ABS(L1626)&lt;'Sollecitazioni nel paramento'!$G$58,ABS(L1626)*'Sollecitazioni nel paramento'!$G$54,'Sollecitazioni nel paramento'!$G$53)</f>
        <v>-3367175.437377261</v>
      </c>
      <c r="G1626" s="545">
        <f>-'Foglio deposito bis'!$F$70*(C1626-sezione!$AN$33)*IF(ABS(M1626)&lt;'Sollecitazioni nel paramento'!$G$58,ABS(M1626)*'Sollecitazioni nel paramento'!$G$54,'Sollecitazioni nel paramento'!$G$53)</f>
        <v>0</v>
      </c>
      <c r="H1626" s="545">
        <f>-'Foglio deposito bis'!$F$71*(C1626-sezione!$AO$33)*IF(ABS(N1626)&lt;'Sollecitazioni nel paramento'!$G$58,ABS(N1626)*'Sollecitazioni nel paramento'!$G$54,'Sollecitazioni nel paramento'!$G$53)</f>
        <v>20986990.913601059</v>
      </c>
      <c r="I1626" s="472">
        <f>-'Foglio deposito bis'!$F$72*(C1626-sezione!$AP$33)*IF(ABS(O1626)&lt;'Sollecitazioni nel paramento'!$G$58,ABS(O1626)*'Sollecitazioni nel paramento'!$G$54,'Sollecitazioni nel paramento'!$G$53)</f>
        <v>234521433.54835021</v>
      </c>
      <c r="J1626" s="472">
        <f t="shared" si="115"/>
        <v>58418098.946702123</v>
      </c>
      <c r="K1626" s="550">
        <f>'Sollecitazioni nel paramento'!$G$60*(sezione!$AL$33-C1626)/C1626</f>
        <v>-1.9996620761759307E-3</v>
      </c>
      <c r="L1626" s="550">
        <f>'Sollecitazioni nel paramento'!$G$60*(sezione!$AM$33-C1626)/C1626</f>
        <v>-1.2494931142638958E-3</v>
      </c>
      <c r="M1626" s="551">
        <f>'Sollecitazioni nel paramento'!$G$60*(sezione!$AN$33-C1626)/C1626</f>
        <v>-4.9932415235186094E-4</v>
      </c>
      <c r="N1626" s="551">
        <f>'Sollecitazioni nel paramento'!$G$60*(sezione!$AO$33-C1626)/C1626</f>
        <v>2.5013516952962782E-3</v>
      </c>
      <c r="O1626" s="551">
        <f>'Sollecitazioni nel paramento'!$G$60*(sezione!$AP$33-C1626)/C1626</f>
        <v>1.7889042607149401E-2</v>
      </c>
      <c r="P1626" s="545">
        <f>-'Sollecitazioni nel paramento'!$G$47*'Sollecitazioni nel paramento'!$G$41*IF(DATI!$G$211="dx",DATI!$E$61,DATI!$E$64*DATI!$E$63)*1000*C1626*sezione!$AD$5</f>
        <v>-3554919.1387535823</v>
      </c>
      <c r="Q1626" s="545">
        <f>'Foglio deposito bis'!$F$68*IF(ABS(K1626)&lt;'Sollecitazioni nel paramento'!$G$58,ABS(K1626)*'Sollecitazioni nel paramento'!$G$54,'Sollecitazioni nel paramento'!$G$53)*IF(K1626&lt;0,-1,1)</f>
        <v>0</v>
      </c>
      <c r="R1626" s="545">
        <f>'Foglio deposito bis'!$F$69*IF(ABS(L1626)&lt;'Sollecitazioni nel paramento'!$G$58,ABS(L1626)*'Sollecitazioni nel paramento'!$G$54,'Sollecitazioni nel paramento'!$G$53)*IF(L1626&lt;0,-1,1)</f>
        <v>-101079.00850342403</v>
      </c>
      <c r="S1626" s="545">
        <f>'Foglio deposito bis'!$F$70*IF(ABS(M1626)&lt;'Sollecitazioni nel paramento'!$G$58,ABS(M1626)*'Sollecitazioni nel paramento'!$G$54,'Sollecitazioni nel paramento'!$G$53)*IF(M1626&lt;0,-1,1)</f>
        <v>0</v>
      </c>
      <c r="T1626" s="545">
        <f>'Foglio deposito bis'!$F$71*IF(ABS(N1626)&lt;'Sollecitazioni nel paramento'!$G$58,ABS(N1626)*'Sollecitazioni nel paramento'!$G$54,'Sollecitazioni nel paramento'!$G$53)*IF(N1626&lt;0,-1,1)</f>
        <v>314705.62929873407</v>
      </c>
      <c r="U1626" s="545">
        <f>'Foglio deposito bis'!$F$72*IF(ABS(O1626)&lt;'Sollecitazioni nel paramento'!$G$58,ABS(O1626)*'Sollecitazioni nel paramento'!$G$54,'Sollecitazioni nel paramento'!$G$53)*IF(O1626&lt;0,-1,1)</f>
        <v>491727.54577927204</v>
      </c>
      <c r="V1626" s="472">
        <f t="shared" si="117"/>
        <v>-2849564.9721790003</v>
      </c>
      <c r="W1626" s="551"/>
      <c r="X1626" s="551"/>
    </row>
    <row r="1627" spans="1:24" x14ac:dyDescent="0.25">
      <c r="A1627" s="545">
        <f t="shared" si="116"/>
        <v>2915650.1041957787</v>
      </c>
      <c r="B1627" s="3">
        <f t="shared" si="114"/>
        <v>11.49999999999998</v>
      </c>
      <c r="C1627" s="545">
        <f>'Foglio deposito bis'!$E$159/sezione!$B$247*B1627</f>
        <v>94.963857037650754</v>
      </c>
      <c r="D1627" s="603">
        <f>-'Sollecitazioni nel paramento'!$G$47*'Sollecitazioni nel paramento'!$G$41*IF(DATI!$G$211="dx",DATI!$E$61,DATI!$E$64*DATI!$E$63)*1000*C1627^2*sezione!$AD$5*(1-sezione!$AD$6)</f>
        <v>-200641292.17478701</v>
      </c>
      <c r="E1627" s="545">
        <f>-'Foglio deposito bis'!$F$68*(C1627-sezione!$AL$33)*IF(ABS(K1627)&lt;'Sollecitazioni nel paramento'!$G$58,ABS(K1627)*'Sollecitazioni nel paramento'!$G$54,'Sollecitazioni nel paramento'!$G$53)</f>
        <v>0</v>
      </c>
      <c r="F1627" s="545">
        <f>-'Foglio deposito bis'!$F$69*(C1627-sezione!$AM$33)*IF(ABS(L1627)&lt;'Sollecitazioni nel paramento'!$G$58,ABS(L1627)*'Sollecitazioni nel paramento'!$G$54,'Sollecitazioni nel paramento'!$G$53)</f>
        <v>-3644814.8888853486</v>
      </c>
      <c r="G1627" s="545">
        <f>-'Foglio deposito bis'!$F$70*(C1627-sezione!$AN$33)*IF(ABS(M1627)&lt;'Sollecitazioni nel paramento'!$G$58,ABS(M1627)*'Sollecitazioni nel paramento'!$G$54,'Sollecitazioni nel paramento'!$G$53)</f>
        <v>0</v>
      </c>
      <c r="H1627" s="545">
        <f>-'Foglio deposito bis'!$F$71*(C1627-sezione!$AO$33)*IF(ABS(N1627)&lt;'Sollecitazioni nel paramento'!$G$58,ABS(N1627)*'Sollecitazioni nel paramento'!$G$54,'Sollecitazioni nel paramento'!$G$53)</f>
        <v>20467240.298128556</v>
      </c>
      <c r="I1627" s="472">
        <f>-'Foglio deposito bis'!$F$72*(C1627-sezione!$AP$33)*IF(ABS(O1627)&lt;'Sollecitazioni nel paramento'!$G$58,ABS(O1627)*'Sollecitazioni nel paramento'!$G$54,'Sollecitazioni nel paramento'!$G$53)</f>
        <v>233709323.21167442</v>
      </c>
      <c r="J1627" s="472">
        <f t="shared" si="115"/>
        <v>49890456.446130604</v>
      </c>
      <c r="K1627" s="550">
        <f>'Sollecitazioni nel paramento'!$G$60*(sezione!$AL$33-C1627)/C1627</f>
        <v>-2.0257549096337401E-3</v>
      </c>
      <c r="L1627" s="550">
        <f>'Sollecitazioni nel paramento'!$G$60*(sezione!$AM$33-C1627)/C1627</f>
        <v>-1.2886323644506106E-3</v>
      </c>
      <c r="M1627" s="551">
        <f>'Sollecitazioni nel paramento'!$G$60*(sezione!$AN$33-C1627)/C1627</f>
        <v>-5.5150981926748073E-4</v>
      </c>
      <c r="N1627" s="551">
        <f>'Sollecitazioni nel paramento'!$G$60*(sezione!$AO$33-C1627)/C1627</f>
        <v>2.3969803614650384E-3</v>
      </c>
      <c r="O1627" s="551">
        <f>'Sollecitazioni nel paramento'!$G$60*(sezione!$AP$33-C1627)/C1627</f>
        <v>1.7517059257459847E-2</v>
      </c>
      <c r="P1627" s="545">
        <f>-'Sollecitazioni nel paramento'!$G$47*'Sollecitazioni nel paramento'!$G$41*IF(DATI!$G$211="dx",DATI!$E$61,DATI!$E$64*DATI!$E$63)*1000*C1627*sezione!$AD$5</f>
        <v>-3617838.0615633805</v>
      </c>
      <c r="Q1627" s="545">
        <f>'Foglio deposito bis'!$F$68*IF(ABS(K1627)&lt;'Sollecitazioni nel paramento'!$G$58,ABS(K1627)*'Sollecitazioni nel paramento'!$G$54,'Sollecitazioni nel paramento'!$G$53)*IF(K1627&lt;0,-1,1)</f>
        <v>0</v>
      </c>
      <c r="R1627" s="545">
        <f>'Foglio deposito bis'!$F$69*IF(ABS(L1627)&lt;'Sollecitazioni nel paramento'!$G$58,ABS(L1627)*'Sollecitazioni nel paramento'!$G$54,'Sollecitazioni nel paramento'!$G$53)*IF(L1627&lt;0,-1,1)</f>
        <v>-104245.21771040413</v>
      </c>
      <c r="S1627" s="545">
        <f>'Foglio deposito bis'!$F$70*IF(ABS(M1627)&lt;'Sollecitazioni nel paramento'!$G$58,ABS(M1627)*'Sollecitazioni nel paramento'!$G$54,'Sollecitazioni nel paramento'!$G$53)*IF(M1627&lt;0,-1,1)</f>
        <v>0</v>
      </c>
      <c r="T1627" s="545">
        <f>'Foglio deposito bis'!$F$71*IF(ABS(N1627)&lt;'Sollecitazioni nel paramento'!$G$58,ABS(N1627)*'Sollecitazioni nel paramento'!$G$54,'Sollecitazioni nel paramento'!$G$53)*IF(N1627&lt;0,-1,1)</f>
        <v>314705.62929873407</v>
      </c>
      <c r="U1627" s="545">
        <f>'Foglio deposito bis'!$F$72*IF(ABS(O1627)&lt;'Sollecitazioni nel paramento'!$G$58,ABS(O1627)*'Sollecitazioni nel paramento'!$G$54,'Sollecitazioni nel paramento'!$G$53)*IF(O1627&lt;0,-1,1)</f>
        <v>491727.54577927204</v>
      </c>
      <c r="V1627" s="472">
        <f t="shared" si="117"/>
        <v>-2915650.1041957787</v>
      </c>
      <c r="W1627" s="551"/>
      <c r="X1627" s="551"/>
    </row>
    <row r="1628" spans="1:24" x14ac:dyDescent="0.25">
      <c r="A1628" s="545">
        <f t="shared" si="116"/>
        <v>2981626.9897439419</v>
      </c>
      <c r="B1628" s="3">
        <f t="shared" si="114"/>
        <v>11.69999999999998</v>
      </c>
      <c r="C1628" s="545">
        <f>'Foglio deposito bis'!$E$159/sezione!$B$247*B1628</f>
        <v>96.615402377435984</v>
      </c>
      <c r="D1628" s="603">
        <f>-'Sollecitazioni nel paramento'!$G$47*'Sollecitazioni nel paramento'!$G$41*IF(DATI!$G$211="dx",DATI!$E$61,DATI!$E$64*DATI!$E$63)*1000*C1628^2*sezione!$AD$5*(1-sezione!$AD$6)</f>
        <v>-207680805.18568316</v>
      </c>
      <c r="E1628" s="545">
        <f>-'Foglio deposito bis'!$F$68*(C1628-sezione!$AL$33)*IF(ABS(K1628)&lt;'Sollecitazioni nel paramento'!$G$58,ABS(K1628)*'Sollecitazioni nel paramento'!$G$54,'Sollecitazioni nel paramento'!$G$53)</f>
        <v>0</v>
      </c>
      <c r="F1628" s="545">
        <f>-'Foglio deposito bis'!$F$69*(C1628-sezione!$AM$33)*IF(ABS(L1628)&lt;'Sollecitazioni nel paramento'!$G$58,ABS(L1628)*'Sollecitazioni nel paramento'!$G$54,'Sollecitazioni nel paramento'!$G$53)</f>
        <v>-3928949.1285103187</v>
      </c>
      <c r="G1628" s="545">
        <f>-'Foglio deposito bis'!$F$70*(C1628-sezione!$AN$33)*IF(ABS(M1628)&lt;'Sollecitazioni nel paramento'!$G$58,ABS(M1628)*'Sollecitazioni nel paramento'!$G$54,'Sollecitazioni nel paramento'!$G$53)</f>
        <v>0</v>
      </c>
      <c r="H1628" s="545">
        <f>-'Foglio deposito bis'!$F$71*(C1628-sezione!$AO$33)*IF(ABS(N1628)&lt;'Sollecitazioni nel paramento'!$G$58,ABS(N1628)*'Sollecitazioni nel paramento'!$G$54,'Sollecitazioni nel paramento'!$G$53)</f>
        <v>19947489.682656053</v>
      </c>
      <c r="I1628" s="472">
        <f>-'Foglio deposito bis'!$F$72*(C1628-sezione!$AP$33)*IF(ABS(O1628)&lt;'Sollecitazioni nel paramento'!$G$58,ABS(O1628)*'Sollecitazioni nel paramento'!$G$54,'Sollecitazioni nel paramento'!$G$53)</f>
        <v>232897212.87499863</v>
      </c>
      <c r="J1628" s="472">
        <f t="shared" si="115"/>
        <v>41234948.243461192</v>
      </c>
      <c r="K1628" s="550">
        <f>'Sollecitazioni nel paramento'!$G$60*(sezione!$AL$33-C1628)/C1628</f>
        <v>-2.0509556804092321E-3</v>
      </c>
      <c r="L1628" s="550">
        <f>'Sollecitazioni nel paramento'!$G$60*(sezione!$AM$33-C1628)/C1628</f>
        <v>-1.3264335206138479E-3</v>
      </c>
      <c r="M1628" s="551">
        <f>'Sollecitazioni nel paramento'!$G$60*(sezione!$AN$33-C1628)/C1628</f>
        <v>-6.0191136081846387E-4</v>
      </c>
      <c r="N1628" s="551">
        <f>'Sollecitazioni nel paramento'!$G$60*(sezione!$AO$33-C1628)/C1628</f>
        <v>2.2961772783630725E-3</v>
      </c>
      <c r="O1628" s="551">
        <f>'Sollecitazioni nel paramento'!$G$60*(sezione!$AP$33-C1628)/C1628</f>
        <v>1.7157793287246859E-2</v>
      </c>
      <c r="P1628" s="545">
        <f>-'Sollecitazioni nel paramento'!$G$47*'Sollecitazioni nel paramento'!$G$41*IF(DATI!$G$211="dx",DATI!$E$61,DATI!$E$64*DATI!$E$63)*1000*C1628*sezione!$AD$5</f>
        <v>-3680756.9843731783</v>
      </c>
      <c r="Q1628" s="545">
        <f>'Foglio deposito bis'!$F$68*IF(ABS(K1628)&lt;'Sollecitazioni nel paramento'!$G$58,ABS(K1628)*'Sollecitazioni nel paramento'!$G$54,'Sollecitazioni nel paramento'!$G$53)*IF(K1628&lt;0,-1,1)</f>
        <v>0</v>
      </c>
      <c r="R1628" s="545">
        <f>'Foglio deposito bis'!$F$69*IF(ABS(L1628)&lt;'Sollecitazioni nel paramento'!$G$58,ABS(L1628)*'Sollecitazioni nel paramento'!$G$54,'Sollecitazioni nel paramento'!$G$53)*IF(L1628&lt;0,-1,1)</f>
        <v>-107303.18044876953</v>
      </c>
      <c r="S1628" s="545">
        <f>'Foglio deposito bis'!$F$70*IF(ABS(M1628)&lt;'Sollecitazioni nel paramento'!$G$58,ABS(M1628)*'Sollecitazioni nel paramento'!$G$54,'Sollecitazioni nel paramento'!$G$53)*IF(M1628&lt;0,-1,1)</f>
        <v>0</v>
      </c>
      <c r="T1628" s="545">
        <f>'Foglio deposito bis'!$F$71*IF(ABS(N1628)&lt;'Sollecitazioni nel paramento'!$G$58,ABS(N1628)*'Sollecitazioni nel paramento'!$G$54,'Sollecitazioni nel paramento'!$G$53)*IF(N1628&lt;0,-1,1)</f>
        <v>314705.62929873407</v>
      </c>
      <c r="U1628" s="545">
        <f>'Foglio deposito bis'!$F$72*IF(ABS(O1628)&lt;'Sollecitazioni nel paramento'!$G$58,ABS(O1628)*'Sollecitazioni nel paramento'!$G$54,'Sollecitazioni nel paramento'!$G$53)*IF(O1628&lt;0,-1,1)</f>
        <v>491727.54577927204</v>
      </c>
      <c r="V1628" s="472">
        <f t="shared" si="117"/>
        <v>-2981626.9897439419</v>
      </c>
      <c r="W1628" s="551"/>
      <c r="X1628" s="551"/>
    </row>
    <row r="1629" spans="1:24" x14ac:dyDescent="0.25">
      <c r="A1629" s="545">
        <f t="shared" si="116"/>
        <v>3047501.0866286303</v>
      </c>
      <c r="B1629" s="3">
        <f t="shared" si="114"/>
        <v>11.899999999999979</v>
      </c>
      <c r="C1629" s="545">
        <f>'Foglio deposito bis'!$E$159/sezione!$B$247*B1629</f>
        <v>98.266947717221214</v>
      </c>
      <c r="D1629" s="603">
        <f>-'Sollecitazioni nel paramento'!$G$47*'Sollecitazioni nel paramento'!$G$41*IF(DATI!$G$211="dx",DATI!$E$61,DATI!$E$64*DATI!$E$63)*1000*C1629^2*sezione!$AD$5*(1-sezione!$AD$6)</f>
        <v>-214841689.11056021</v>
      </c>
      <c r="E1629" s="545">
        <f>-'Foglio deposito bis'!$F$68*(C1629-sezione!$AL$33)*IF(ABS(K1629)&lt;'Sollecitazioni nel paramento'!$G$58,ABS(K1629)*'Sollecitazioni nel paramento'!$G$54,'Sollecitazioni nel paramento'!$G$53)</f>
        <v>0</v>
      </c>
      <c r="F1629" s="545">
        <f>-'Foglio deposito bis'!$F$69*(C1629-sezione!$AM$33)*IF(ABS(L1629)&lt;'Sollecitazioni nel paramento'!$G$58,ABS(L1629)*'Sollecitazioni nel paramento'!$G$54,'Sollecitazioni nel paramento'!$G$53)</f>
        <v>-4219250.6879437556</v>
      </c>
      <c r="G1629" s="545">
        <f>-'Foglio deposito bis'!$F$70*(C1629-sezione!$AN$33)*IF(ABS(M1629)&lt;'Sollecitazioni nel paramento'!$G$58,ABS(M1629)*'Sollecitazioni nel paramento'!$G$54,'Sollecitazioni nel paramento'!$G$53)</f>
        <v>0</v>
      </c>
      <c r="H1629" s="545">
        <f>-'Foglio deposito bis'!$F$71*(C1629-sezione!$AO$33)*IF(ABS(N1629)&lt;'Sollecitazioni nel paramento'!$G$58,ABS(N1629)*'Sollecitazioni nel paramento'!$G$54,'Sollecitazioni nel paramento'!$G$53)</f>
        <v>19427739.06718355</v>
      </c>
      <c r="I1629" s="472">
        <f>-'Foglio deposito bis'!$F$72*(C1629-sezione!$AP$33)*IF(ABS(O1629)&lt;'Sollecitazioni nel paramento'!$G$58,ABS(O1629)*'Sollecitazioni nel paramento'!$G$54,'Sollecitazioni nel paramento'!$G$53)</f>
        <v>232085102.53832284</v>
      </c>
      <c r="J1629" s="472">
        <f t="shared" si="115"/>
        <v>32451901.807002425</v>
      </c>
      <c r="K1629" s="550">
        <f>'Sollecitazioni nel paramento'!$G$60*(sezione!$AL$33-C1629)/C1629</f>
        <v>-2.0753093664527744E-3</v>
      </c>
      <c r="L1629" s="550">
        <f>'Sollecitazioni nel paramento'!$G$60*(sezione!$AM$33-C1629)/C1629</f>
        <v>-1.3629640496791613E-3</v>
      </c>
      <c r="M1629" s="551">
        <f>'Sollecitazioni nel paramento'!$G$60*(sezione!$AN$33-C1629)/C1629</f>
        <v>-6.5061873290554848E-4</v>
      </c>
      <c r="N1629" s="551">
        <f>'Sollecitazioni nel paramento'!$G$60*(sezione!$AO$33-C1629)/C1629</f>
        <v>2.1987625341889031E-3</v>
      </c>
      <c r="O1629" s="551">
        <f>'Sollecitazioni nel paramento'!$G$60*(sezione!$AP$33-C1629)/C1629</f>
        <v>1.6810603484099854E-2</v>
      </c>
      <c r="P1629" s="545">
        <f>-'Sollecitazioni nel paramento'!$G$47*'Sollecitazioni nel paramento'!$G$41*IF(DATI!$G$211="dx",DATI!$E$61,DATI!$E$64*DATI!$E$63)*1000*C1629*sezione!$AD$5</f>
        <v>-3743675.9071829757</v>
      </c>
      <c r="Q1629" s="545">
        <f>'Foglio deposito bis'!$F$68*IF(ABS(K1629)&lt;'Sollecitazioni nel paramento'!$G$58,ABS(K1629)*'Sollecitazioni nel paramento'!$G$54,'Sollecitazioni nel paramento'!$G$53)*IF(K1629&lt;0,-1,1)</f>
        <v>0</v>
      </c>
      <c r="R1629" s="545">
        <f>'Foglio deposito bis'!$F$69*IF(ABS(L1629)&lt;'Sollecitazioni nel paramento'!$G$58,ABS(L1629)*'Sollecitazioni nel paramento'!$G$54,'Sollecitazioni nel paramento'!$G$53)*IF(L1629&lt;0,-1,1)</f>
        <v>-110258.35452366046</v>
      </c>
      <c r="S1629" s="545">
        <f>'Foglio deposito bis'!$F$70*IF(ABS(M1629)&lt;'Sollecitazioni nel paramento'!$G$58,ABS(M1629)*'Sollecitazioni nel paramento'!$G$54,'Sollecitazioni nel paramento'!$G$53)*IF(M1629&lt;0,-1,1)</f>
        <v>0</v>
      </c>
      <c r="T1629" s="545">
        <f>'Foglio deposito bis'!$F$71*IF(ABS(N1629)&lt;'Sollecitazioni nel paramento'!$G$58,ABS(N1629)*'Sollecitazioni nel paramento'!$G$54,'Sollecitazioni nel paramento'!$G$53)*IF(N1629&lt;0,-1,1)</f>
        <v>314705.62929873407</v>
      </c>
      <c r="U1629" s="545">
        <f>'Foglio deposito bis'!$F$72*IF(ABS(O1629)&lt;'Sollecitazioni nel paramento'!$G$58,ABS(O1629)*'Sollecitazioni nel paramento'!$G$54,'Sollecitazioni nel paramento'!$G$53)*IF(O1629&lt;0,-1,1)</f>
        <v>491727.54577927204</v>
      </c>
      <c r="V1629" s="472">
        <f t="shared" si="117"/>
        <v>-3047501.0866286303</v>
      </c>
      <c r="W1629" s="551"/>
      <c r="X1629" s="551"/>
    </row>
    <row r="1630" spans="1:24" x14ac:dyDescent="0.25">
      <c r="A1630" s="545">
        <f t="shared" si="116"/>
        <v>3113277.4918083637</v>
      </c>
      <c r="B1630" s="3">
        <f t="shared" si="114"/>
        <v>12.099999999999978</v>
      </c>
      <c r="C1630" s="545">
        <f>'Foglio deposito bis'!$E$159/sezione!$B$247*B1630</f>
        <v>99.918493057006444</v>
      </c>
      <c r="D1630" s="603">
        <f>-'Sollecitazioni nel paramento'!$G$47*'Sollecitazioni nel paramento'!$G$41*IF(DATI!$G$211="dx",DATI!$E$61,DATI!$E$64*DATI!$E$63)*1000*C1630^2*sezione!$AD$5*(1-sezione!$AD$6)</f>
        <v>-222123943.94941828</v>
      </c>
      <c r="E1630" s="545">
        <f>-'Foglio deposito bis'!$F$68*(C1630-sezione!$AL$33)*IF(ABS(K1630)&lt;'Sollecitazioni nel paramento'!$G$58,ABS(K1630)*'Sollecitazioni nel paramento'!$G$54,'Sollecitazioni nel paramento'!$G$53)</f>
        <v>0</v>
      </c>
      <c r="F1630" s="545">
        <f>-'Foglio deposito bis'!$F$69*(C1630-sezione!$AM$33)*IF(ABS(L1630)&lt;'Sollecitazioni nel paramento'!$G$58,ABS(L1630)*'Sollecitazioni nel paramento'!$G$54,'Sollecitazioni nel paramento'!$G$53)</f>
        <v>-4515413.7496744981</v>
      </c>
      <c r="G1630" s="545">
        <f>-'Foglio deposito bis'!$F$70*(C1630-sezione!$AN$33)*IF(ABS(M1630)&lt;'Sollecitazioni nel paramento'!$G$58,ABS(M1630)*'Sollecitazioni nel paramento'!$G$54,'Sollecitazioni nel paramento'!$G$53)</f>
        <v>0</v>
      </c>
      <c r="H1630" s="545">
        <f>-'Foglio deposito bis'!$F$71*(C1630-sezione!$AO$33)*IF(ABS(N1630)&lt;'Sollecitazioni nel paramento'!$G$58,ABS(N1630)*'Sollecitazioni nel paramento'!$G$54,'Sollecitazioni nel paramento'!$G$53)</f>
        <v>18907988.451711047</v>
      </c>
      <c r="I1630" s="472">
        <f>-'Foglio deposito bis'!$F$72*(C1630-sezione!$AP$33)*IF(ABS(O1630)&lt;'Sollecitazioni nel paramento'!$G$58,ABS(O1630)*'Sollecitazioni nel paramento'!$G$54,'Sollecitazioni nel paramento'!$G$53)</f>
        <v>231272992.20164704</v>
      </c>
      <c r="J1630" s="472">
        <f t="shared" si="115"/>
        <v>23541622.954265326</v>
      </c>
      <c r="K1630" s="550">
        <f>'Sollecitazioni nel paramento'!$G$60*(sezione!$AL$33-C1630)/C1630</f>
        <v>-2.0988579719659517E-3</v>
      </c>
      <c r="L1630" s="550">
        <f>'Sollecitazioni nel paramento'!$G$60*(sezione!$AM$33-C1630)/C1630</f>
        <v>-1.3982869579489273E-3</v>
      </c>
      <c r="M1630" s="551">
        <f>'Sollecitazioni nel paramento'!$G$60*(sezione!$AN$33-C1630)/C1630</f>
        <v>-6.9771594393190314E-4</v>
      </c>
      <c r="N1630" s="551">
        <f>'Sollecitazioni nel paramento'!$G$60*(sezione!$AO$33-C1630)/C1630</f>
        <v>2.1045681121361938E-3</v>
      </c>
      <c r="O1630" s="551">
        <f>'Sollecitazioni nel paramento'!$G$60*(sezione!$AP$33-C1630)/C1630</f>
        <v>1.6474891029817213E-2</v>
      </c>
      <c r="P1630" s="545">
        <f>-'Sollecitazioni nel paramento'!$G$47*'Sollecitazioni nel paramento'!$G$41*IF(DATI!$G$211="dx",DATI!$E$61,DATI!$E$64*DATI!$E$63)*1000*C1630*sezione!$AD$5</f>
        <v>-3806594.8299927735</v>
      </c>
      <c r="Q1630" s="545">
        <f>'Foglio deposito bis'!$F$68*IF(ABS(K1630)&lt;'Sollecitazioni nel paramento'!$G$58,ABS(K1630)*'Sollecitazioni nel paramento'!$G$54,'Sollecitazioni nel paramento'!$G$53)*IF(K1630&lt;0,-1,1)</f>
        <v>0</v>
      </c>
      <c r="R1630" s="545">
        <f>'Foglio deposito bis'!$F$69*IF(ABS(L1630)&lt;'Sollecitazioni nel paramento'!$G$58,ABS(L1630)*'Sollecitazioni nel paramento'!$G$54,'Sollecitazioni nel paramento'!$G$53)*IF(L1630&lt;0,-1,1)</f>
        <v>-113115.83689359631</v>
      </c>
      <c r="S1630" s="545">
        <f>'Foglio deposito bis'!$F$70*IF(ABS(M1630)&lt;'Sollecitazioni nel paramento'!$G$58,ABS(M1630)*'Sollecitazioni nel paramento'!$G$54,'Sollecitazioni nel paramento'!$G$53)*IF(M1630&lt;0,-1,1)</f>
        <v>0</v>
      </c>
      <c r="T1630" s="545">
        <f>'Foglio deposito bis'!$F$71*IF(ABS(N1630)&lt;'Sollecitazioni nel paramento'!$G$58,ABS(N1630)*'Sollecitazioni nel paramento'!$G$54,'Sollecitazioni nel paramento'!$G$53)*IF(N1630&lt;0,-1,1)</f>
        <v>314705.62929873407</v>
      </c>
      <c r="U1630" s="545">
        <f>'Foglio deposito bis'!$F$72*IF(ABS(O1630)&lt;'Sollecitazioni nel paramento'!$G$58,ABS(O1630)*'Sollecitazioni nel paramento'!$G$54,'Sollecitazioni nel paramento'!$G$53)*IF(O1630&lt;0,-1,1)</f>
        <v>491727.54577927204</v>
      </c>
      <c r="V1630" s="472">
        <f t="shared" si="117"/>
        <v>-3113277.4918083637</v>
      </c>
      <c r="W1630" s="551"/>
      <c r="X1630" s="551"/>
    </row>
    <row r="1631" spans="1:24" x14ac:dyDescent="0.25">
      <c r="A1631" s="545">
        <f t="shared" si="116"/>
        <v>3178960.9707321641</v>
      </c>
      <c r="B1631" s="3">
        <f t="shared" si="114"/>
        <v>12.299999999999978</v>
      </c>
      <c r="C1631" s="545">
        <f>'Foglio deposito bis'!$E$159/sezione!$B$247*B1631</f>
        <v>101.57003839679166</v>
      </c>
      <c r="D1631" s="603">
        <f>-'Sollecitazioni nel paramento'!$G$47*'Sollecitazioni nel paramento'!$G$41*IF(DATI!$G$211="dx",DATI!$E$61,DATI!$E$64*DATI!$E$63)*1000*C1631^2*sezione!$AD$5*(1-sezione!$AD$6)</f>
        <v>-229527569.70225725</v>
      </c>
      <c r="E1631" s="545">
        <f>-'Foglio deposito bis'!$F$68*(C1631-sezione!$AL$33)*IF(ABS(K1631)&lt;'Sollecitazioni nel paramento'!$G$58,ABS(K1631)*'Sollecitazioni nel paramento'!$G$54,'Sollecitazioni nel paramento'!$G$53)</f>
        <v>0</v>
      </c>
      <c r="F1631" s="545">
        <f>-'Foglio deposito bis'!$F$69*(C1631-sezione!$AM$33)*IF(ABS(L1631)&lt;'Sollecitazioni nel paramento'!$G$58,ABS(L1631)*'Sollecitazioni nel paramento'!$G$54,'Sollecitazioni nel paramento'!$G$53)</f>
        <v>-4817152.3867612109</v>
      </c>
      <c r="G1631" s="545">
        <f>-'Foglio deposito bis'!$F$70*(C1631-sezione!$AN$33)*IF(ABS(M1631)&lt;'Sollecitazioni nel paramento'!$G$58,ABS(M1631)*'Sollecitazioni nel paramento'!$G$54,'Sollecitazioni nel paramento'!$G$53)</f>
        <v>0</v>
      </c>
      <c r="H1631" s="545">
        <f>-'Foglio deposito bis'!$F$71*(C1631-sezione!$AO$33)*IF(ABS(N1631)&lt;'Sollecitazioni nel paramento'!$G$58,ABS(N1631)*'Sollecitazioni nel paramento'!$G$54,'Sollecitazioni nel paramento'!$G$53)</f>
        <v>18388237.836238548</v>
      </c>
      <c r="I1631" s="472">
        <f>-'Foglio deposito bis'!$F$72*(C1631-sezione!$AP$33)*IF(ABS(O1631)&lt;'Sollecitazioni nel paramento'!$G$58,ABS(O1631)*'Sollecitazioni nel paramento'!$G$54,'Sollecitazioni nel paramento'!$G$53)</f>
        <v>230460881.86497131</v>
      </c>
      <c r="J1631" s="472">
        <f t="shared" si="115"/>
        <v>14504397.612191409</v>
      </c>
      <c r="K1631" s="550">
        <f>'Sollecitazioni nel paramento'!$G$60*(sezione!$AL$33-C1631)/C1631</f>
        <v>-2.1216407691697571E-3</v>
      </c>
      <c r="L1631" s="550">
        <f>'Sollecitazioni nel paramento'!$G$60*(sezione!$AM$33-C1631)/C1631</f>
        <v>-1.4324611537546357E-3</v>
      </c>
      <c r="M1631" s="551">
        <f>'Sollecitazioni nel paramento'!$G$60*(sezione!$AN$33-C1631)/C1631</f>
        <v>-7.4328153833951407E-4</v>
      </c>
      <c r="N1631" s="551">
        <f>'Sollecitazioni nel paramento'!$G$60*(sezione!$AO$33-C1631)/C1631</f>
        <v>2.0134369233209722E-3</v>
      </c>
      <c r="O1631" s="551">
        <f>'Sollecitazioni nel paramento'!$G$60*(sezione!$AP$33-C1631)/C1631</f>
        <v>1.6150096053722626E-2</v>
      </c>
      <c r="P1631" s="545">
        <f>-'Sollecitazioni nel paramento'!$G$47*'Sollecitazioni nel paramento'!$G$41*IF(DATI!$G$211="dx",DATI!$E$61,DATI!$E$64*DATI!$E$63)*1000*C1631*sezione!$AD$5</f>
        <v>-3869513.7528025708</v>
      </c>
      <c r="Q1631" s="545">
        <f>'Foglio deposito bis'!$F$68*IF(ABS(K1631)&lt;'Sollecitazioni nel paramento'!$G$58,ABS(K1631)*'Sollecitazioni nel paramento'!$G$54,'Sollecitazioni nel paramento'!$G$53)*IF(K1631&lt;0,-1,1)</f>
        <v>0</v>
      </c>
      <c r="R1631" s="545">
        <f>'Foglio deposito bis'!$F$69*IF(ABS(L1631)&lt;'Sollecitazioni nel paramento'!$G$58,ABS(L1631)*'Sollecitazioni nel paramento'!$G$54,'Sollecitazioni nel paramento'!$G$53)*IF(L1631&lt;0,-1,1)</f>
        <v>-115880.3930075993</v>
      </c>
      <c r="S1631" s="545">
        <f>'Foglio deposito bis'!$F$70*IF(ABS(M1631)&lt;'Sollecitazioni nel paramento'!$G$58,ABS(M1631)*'Sollecitazioni nel paramento'!$G$54,'Sollecitazioni nel paramento'!$G$53)*IF(M1631&lt;0,-1,1)</f>
        <v>0</v>
      </c>
      <c r="T1631" s="545">
        <f>'Foglio deposito bis'!$F$71*IF(ABS(N1631)&lt;'Sollecitazioni nel paramento'!$G$58,ABS(N1631)*'Sollecitazioni nel paramento'!$G$54,'Sollecitazioni nel paramento'!$G$53)*IF(N1631&lt;0,-1,1)</f>
        <v>314705.62929873407</v>
      </c>
      <c r="U1631" s="545">
        <f>'Foglio deposito bis'!$F$72*IF(ABS(O1631)&lt;'Sollecitazioni nel paramento'!$G$58,ABS(O1631)*'Sollecitazioni nel paramento'!$G$54,'Sollecitazioni nel paramento'!$G$53)*IF(O1631&lt;0,-1,1)</f>
        <v>491727.54577927204</v>
      </c>
      <c r="V1631" s="472">
        <f t="shared" si="117"/>
        <v>-3178960.9707321641</v>
      </c>
      <c r="W1631" s="551"/>
      <c r="X1631" s="551"/>
    </row>
    <row r="1632" spans="1:24" x14ac:dyDescent="0.25">
      <c r="A1632" s="545">
        <f t="shared" si="116"/>
        <v>3244555.9838603172</v>
      </c>
      <c r="B1632" s="3">
        <f t="shared" si="114"/>
        <v>12.499999999999977</v>
      </c>
      <c r="C1632" s="545">
        <f>'Foglio deposito bis'!$E$159/sezione!$B$247*B1632</f>
        <v>103.22158373657689</v>
      </c>
      <c r="D1632" s="603">
        <f>-'Sollecitazioni nel paramento'!$G$47*'Sollecitazioni nel paramento'!$G$41*IF(DATI!$G$211="dx",DATI!$E$61,DATI!$E$64*DATI!$E$63)*1000*C1632^2*sezione!$AD$5*(1-sezione!$AD$6)</f>
        <v>-237052566.36907721</v>
      </c>
      <c r="E1632" s="545">
        <f>-'Foglio deposito bis'!$F$68*(C1632-sezione!$AL$33)*IF(ABS(K1632)&lt;'Sollecitazioni nel paramento'!$G$58,ABS(K1632)*'Sollecitazioni nel paramento'!$G$54,'Sollecitazioni nel paramento'!$G$53)</f>
        <v>0</v>
      </c>
      <c r="F1632" s="545">
        <f>-'Foglio deposito bis'!$F$69*(C1632-sezione!$AM$33)*IF(ABS(L1632)&lt;'Sollecitazioni nel paramento'!$G$58,ABS(L1632)*'Sollecitazioni nel paramento'!$G$54,'Sollecitazioni nel paramento'!$G$53)</f>
        <v>-5124198.9715868104</v>
      </c>
      <c r="G1632" s="545">
        <f>-'Foglio deposito bis'!$F$70*(C1632-sezione!$AN$33)*IF(ABS(M1632)&lt;'Sollecitazioni nel paramento'!$G$58,ABS(M1632)*'Sollecitazioni nel paramento'!$G$54,'Sollecitazioni nel paramento'!$G$53)</f>
        <v>0</v>
      </c>
      <c r="H1632" s="545">
        <f>-'Foglio deposito bis'!$F$71*(C1632-sezione!$AO$33)*IF(ABS(N1632)&lt;'Sollecitazioni nel paramento'!$G$58,ABS(N1632)*'Sollecitazioni nel paramento'!$G$54,'Sollecitazioni nel paramento'!$G$53)</f>
        <v>17868487.220766049</v>
      </c>
      <c r="I1632" s="472">
        <f>-'Foglio deposito bis'!$F$72*(C1632-sezione!$AP$33)*IF(ABS(O1632)&lt;'Sollecitazioni nel paramento'!$G$58,ABS(O1632)*'Sollecitazioni nel paramento'!$G$54,'Sollecitazioni nel paramento'!$G$53)</f>
        <v>229648771.52829552</v>
      </c>
      <c r="J1632" s="472">
        <f t="shared" si="115"/>
        <v>5340493.4083975255</v>
      </c>
      <c r="K1632" s="550">
        <f>'Sollecitazioni nel paramento'!$G$60*(sezione!$AL$33-C1632)/C1632</f>
        <v>-2.1436945168630409E-3</v>
      </c>
      <c r="L1632" s="550">
        <f>'Sollecitazioni nel paramento'!$G$60*(sezione!$AM$33-C1632)/C1632</f>
        <v>-1.4655417752945613E-3</v>
      </c>
      <c r="M1632" s="551">
        <f>'Sollecitazioni nel paramento'!$G$60*(sezione!$AN$33-C1632)/C1632</f>
        <v>-7.8738903372608171E-4</v>
      </c>
      <c r="N1632" s="551">
        <f>'Sollecitazioni nel paramento'!$G$60*(sezione!$AO$33-C1632)/C1632</f>
        <v>1.9252219325478367E-3</v>
      </c>
      <c r="O1632" s="551">
        <f>'Sollecitazioni nel paramento'!$G$60*(sezione!$AP$33-C1632)/C1632</f>
        <v>1.5835694516863064E-2</v>
      </c>
      <c r="P1632" s="545">
        <f>-'Sollecitazioni nel paramento'!$G$47*'Sollecitazioni nel paramento'!$G$41*IF(DATI!$G$211="dx",DATI!$E$61,DATI!$E$64*DATI!$E$63)*1000*C1632*sezione!$AD$5</f>
        <v>-3932432.6756123691</v>
      </c>
      <c r="Q1632" s="545">
        <f>'Foglio deposito bis'!$F$68*IF(ABS(K1632)&lt;'Sollecitazioni nel paramento'!$G$58,ABS(K1632)*'Sollecitazioni nel paramento'!$G$54,'Sollecitazioni nel paramento'!$G$53)*IF(K1632&lt;0,-1,1)</f>
        <v>0</v>
      </c>
      <c r="R1632" s="545">
        <f>'Foglio deposito bis'!$F$69*IF(ABS(L1632)&lt;'Sollecitazioni nel paramento'!$G$58,ABS(L1632)*'Sollecitazioni nel paramento'!$G$54,'Sollecitazioni nel paramento'!$G$53)*IF(L1632&lt;0,-1,1)</f>
        <v>-118556.48332595418</v>
      </c>
      <c r="S1632" s="545">
        <f>'Foglio deposito bis'!$F$70*IF(ABS(M1632)&lt;'Sollecitazioni nel paramento'!$G$58,ABS(M1632)*'Sollecitazioni nel paramento'!$G$54,'Sollecitazioni nel paramento'!$G$53)*IF(M1632&lt;0,-1,1)</f>
        <v>0</v>
      </c>
      <c r="T1632" s="545">
        <f>'Foglio deposito bis'!$F$71*IF(ABS(N1632)&lt;'Sollecitazioni nel paramento'!$G$58,ABS(N1632)*'Sollecitazioni nel paramento'!$G$54,'Sollecitazioni nel paramento'!$G$53)*IF(N1632&lt;0,-1,1)</f>
        <v>314705.62929873407</v>
      </c>
      <c r="U1632" s="545">
        <f>'Foglio deposito bis'!$F$72*IF(ABS(O1632)&lt;'Sollecitazioni nel paramento'!$G$58,ABS(O1632)*'Sollecitazioni nel paramento'!$G$54,'Sollecitazioni nel paramento'!$G$53)*IF(O1632&lt;0,-1,1)</f>
        <v>491727.54577927204</v>
      </c>
      <c r="V1632" s="472">
        <f t="shared" si="117"/>
        <v>-3244555.9838603172</v>
      </c>
      <c r="W1632" s="551"/>
      <c r="X1632" s="551"/>
    </row>
    <row r="1633" spans="1:24" x14ac:dyDescent="0.25">
      <c r="A1633" s="545">
        <f t="shared" si="116"/>
        <v>3319965.8438289082</v>
      </c>
      <c r="B1633" s="3">
        <f t="shared" si="114"/>
        <v>12.699999999999976</v>
      </c>
      <c r="C1633" s="545">
        <f>'Foglio deposito bis'!$E$159/sezione!$B$247*B1633</f>
        <v>104.87312907636212</v>
      </c>
      <c r="D1633" s="603">
        <f>-'Sollecitazioni nel paramento'!$G$47*'Sollecitazioni nel paramento'!$G$41*IF(DATI!$G$211="dx",DATI!$E$61,DATI!$E$64*DATI!$E$63)*1000*C1633^2*sezione!$AD$5*(1-sezione!$AD$6)</f>
        <v>-244698933.94987819</v>
      </c>
      <c r="E1633" s="545">
        <f>-'Foglio deposito bis'!$F$68*(C1633-sezione!$AL$33)*IF(ABS(K1633)&lt;'Sollecitazioni nel paramento'!$G$58,ABS(K1633)*'Sollecitazioni nel paramento'!$G$54,'Sollecitazioni nel paramento'!$G$53)</f>
        <v>0</v>
      </c>
      <c r="F1633" s="545">
        <f>-'Foglio deposito bis'!$F$69*(C1633-sezione!$AM$33)*IF(ABS(L1633)&lt;'Sollecitazioni nel paramento'!$G$58,ABS(L1633)*'Sollecitazioni nel paramento'!$G$54,'Sollecitazioni nel paramento'!$G$53)</f>
        <v>-5436302.7349667819</v>
      </c>
      <c r="G1633" s="545">
        <f>-'Foglio deposito bis'!$F$70*(C1633-sezione!$AN$33)*IF(ABS(M1633)&lt;'Sollecitazioni nel paramento'!$G$58,ABS(M1633)*'Sollecitazioni nel paramento'!$G$54,'Sollecitazioni nel paramento'!$G$53)</f>
        <v>0</v>
      </c>
      <c r="H1633" s="545">
        <f>-'Foglio deposito bis'!$F$71*(C1633-sezione!$AO$33)*IF(ABS(N1633)&lt;'Sollecitazioni nel paramento'!$G$58,ABS(N1633)*'Sollecitazioni nel paramento'!$G$54,'Sollecitazioni nel paramento'!$G$53)</f>
        <v>16803028.36989535</v>
      </c>
      <c r="I1633" s="472">
        <f>-'Foglio deposito bis'!$F$72*(C1633-sezione!$AP$33)*IF(ABS(O1633)&lt;'Sollecitazioni nel paramento'!$G$58,ABS(O1633)*'Sollecitazioni nel paramento'!$G$54,'Sollecitazioni nel paramento'!$G$53)</f>
        <v>228836661.19161969</v>
      </c>
      <c r="J1633" s="472">
        <f t="shared" si="115"/>
        <v>-4495547.1233299375</v>
      </c>
      <c r="K1633" s="550">
        <f>'Sollecitazioni nel paramento'!$G$60*(sezione!$AL$33-C1633)/C1633</f>
        <v>-2.1650536583297645E-3</v>
      </c>
      <c r="L1633" s="550">
        <f>'Sollecitazioni nel paramento'!$G$60*(sezione!$AM$33-C1633)/C1633</f>
        <v>-1.497580487494647E-3</v>
      </c>
      <c r="M1633" s="551">
        <f>'Sollecitazioni nel paramento'!$G$60*(sezione!$AN$33-C1633)/C1633</f>
        <v>-8.3010731665952929E-4</v>
      </c>
      <c r="N1633" s="551">
        <f>'Sollecitazioni nel paramento'!$G$60*(sezione!$AO$33-C1633)/C1633</f>
        <v>1.8397853666809415E-3</v>
      </c>
      <c r="O1633" s="551">
        <f>'Sollecitazioni nel paramento'!$G$60*(sezione!$AP$33-C1633)/C1633</f>
        <v>1.5531195390613251E-2</v>
      </c>
      <c r="P1633" s="545">
        <f>-'Sollecitazioni nel paramento'!$G$47*'Sollecitazioni nel paramento'!$G$41*IF(DATI!$G$211="dx",DATI!$E$61,DATI!$E$64*DATI!$E$63)*1000*C1633*sezione!$AD$5</f>
        <v>-3995351.5984221669</v>
      </c>
      <c r="Q1633" s="545">
        <f>'Foglio deposito bis'!$F$68*IF(ABS(K1633)&lt;'Sollecitazioni nel paramento'!$G$58,ABS(K1633)*'Sollecitazioni nel paramento'!$G$54,'Sollecitazioni nel paramento'!$G$53)*IF(K1633&lt;0,-1,1)</f>
        <v>0</v>
      </c>
      <c r="R1633" s="545">
        <f>'Foglio deposito bis'!$F$69*IF(ABS(L1633)&lt;'Sollecitazioni nel paramento'!$G$58,ABS(L1633)*'Sollecitazioni nel paramento'!$G$54,'Sollecitazioni nel paramento'!$G$53)*IF(L1633&lt;0,-1,1)</f>
        <v>-121148.28733506954</v>
      </c>
      <c r="S1633" s="545">
        <f>'Foglio deposito bis'!$F$70*IF(ABS(M1633)&lt;'Sollecitazioni nel paramento'!$G$58,ABS(M1633)*'Sollecitazioni nel paramento'!$G$54,'Sollecitazioni nel paramento'!$G$53)*IF(M1633&lt;0,-1,1)</f>
        <v>0</v>
      </c>
      <c r="T1633" s="545">
        <f>'Foglio deposito bis'!$F$71*IF(ABS(N1633)&lt;'Sollecitazioni nel paramento'!$G$58,ABS(N1633)*'Sollecitazioni nel paramento'!$G$54,'Sollecitazioni nel paramento'!$G$53)*IF(N1633&lt;0,-1,1)</f>
        <v>304806.49614905624</v>
      </c>
      <c r="U1633" s="545">
        <f>'Foglio deposito bis'!$F$72*IF(ABS(O1633)&lt;'Sollecitazioni nel paramento'!$G$58,ABS(O1633)*'Sollecitazioni nel paramento'!$G$54,'Sollecitazioni nel paramento'!$G$53)*IF(O1633&lt;0,-1,1)</f>
        <v>491727.54577927204</v>
      </c>
      <c r="V1633" s="472">
        <f t="shared" si="117"/>
        <v>-3319965.8438289082</v>
      </c>
      <c r="W1633" s="551"/>
      <c r="X1633" s="551"/>
    </row>
    <row r="1634" spans="1:24" x14ac:dyDescent="0.25">
      <c r="A1634" s="545">
        <f t="shared" si="116"/>
        <v>3399112.0046596015</v>
      </c>
      <c r="B1634" s="3">
        <f t="shared" si="114"/>
        <v>12.899999999999975</v>
      </c>
      <c r="C1634" s="545">
        <f>'Foglio deposito bis'!$E$159/sezione!$B$247*B1634</f>
        <v>106.52467441614735</v>
      </c>
      <c r="D1634" s="603">
        <f>-'Sollecitazioni nel paramento'!$G$47*'Sollecitazioni nel paramento'!$G$41*IF(DATI!$G$211="dx",DATI!$E$61,DATI!$E$64*DATI!$E$63)*1000*C1634^2*sezione!$AD$5*(1-sezione!$AD$6)</f>
        <v>-252466672.4446601</v>
      </c>
      <c r="E1634" s="545">
        <f>-'Foglio deposito bis'!$F$68*(C1634-sezione!$AL$33)*IF(ABS(K1634)&lt;'Sollecitazioni nel paramento'!$G$58,ABS(K1634)*'Sollecitazioni nel paramento'!$G$54,'Sollecitazioni nel paramento'!$G$53)</f>
        <v>0</v>
      </c>
      <c r="F1634" s="545">
        <f>-'Foglio deposito bis'!$F$69*(C1634-sezione!$AM$33)*IF(ABS(L1634)&lt;'Sollecitazioni nel paramento'!$G$58,ABS(L1634)*'Sollecitazioni nel paramento'!$G$54,'Sollecitazioni nel paramento'!$G$53)</f>
        <v>-5753228.4592939448</v>
      </c>
      <c r="G1634" s="545">
        <f>-'Foglio deposito bis'!$F$70*(C1634-sezione!$AN$33)*IF(ABS(M1634)&lt;'Sollecitazioni nel paramento'!$G$58,ABS(M1634)*'Sollecitazioni nel paramento'!$G$54,'Sollecitazioni nel paramento'!$G$53)</f>
        <v>0</v>
      </c>
      <c r="H1634" s="545">
        <f>-'Foglio deposito bis'!$F$71*(C1634-sezione!$AO$33)*IF(ABS(N1634)&lt;'Sollecitazioni nel paramento'!$G$58,ABS(N1634)*'Sollecitazioni nel paramento'!$G$54,'Sollecitazioni nel paramento'!$G$53)</f>
        <v>15566169.749526974</v>
      </c>
      <c r="I1634" s="472">
        <f>-'Foglio deposito bis'!$F$72*(C1634-sezione!$AP$33)*IF(ABS(O1634)&lt;'Sollecitazioni nel paramento'!$G$58,ABS(O1634)*'Sollecitazioni nel paramento'!$G$54,'Sollecitazioni nel paramento'!$G$53)</f>
        <v>228024550.8549439</v>
      </c>
      <c r="J1634" s="472">
        <f t="shared" si="115"/>
        <v>-14629180.29948315</v>
      </c>
      <c r="K1634" s="550">
        <f>'Sollecitazioni nel paramento'!$G$60*(sezione!$AL$33-C1634)/C1634</f>
        <v>-2.1857505008362802E-3</v>
      </c>
      <c r="L1634" s="550">
        <f>'Sollecitazioni nel paramento'!$G$60*(sezione!$AM$33-C1634)/C1634</f>
        <v>-1.52862575125442E-3</v>
      </c>
      <c r="M1634" s="551">
        <f>'Sollecitazioni nel paramento'!$G$60*(sezione!$AN$33-C1634)/C1634</f>
        <v>-8.7150100167255977E-4</v>
      </c>
      <c r="N1634" s="551">
        <f>'Sollecitazioni nel paramento'!$G$60*(sezione!$AO$33-C1634)/C1634</f>
        <v>1.7569979966548803E-3</v>
      </c>
      <c r="O1634" s="551">
        <f>'Sollecitazioni nel paramento'!$G$60*(sezione!$AP$33-C1634)/C1634</f>
        <v>1.5236138097735526E-2</v>
      </c>
      <c r="P1634" s="545">
        <f>-'Sollecitazioni nel paramento'!$G$47*'Sollecitazioni nel paramento'!$G$41*IF(DATI!$G$211="dx",DATI!$E$61,DATI!$E$64*DATI!$E$63)*1000*C1634*sezione!$AD$5</f>
        <v>-4058270.5212319647</v>
      </c>
      <c r="Q1634" s="545">
        <f>'Foglio deposito bis'!$F$68*IF(ABS(K1634)&lt;'Sollecitazioni nel paramento'!$G$58,ABS(K1634)*'Sollecitazioni nel paramento'!$G$54,'Sollecitazioni nel paramento'!$G$53)*IF(K1634&lt;0,-1,1)</f>
        <v>0</v>
      </c>
      <c r="R1634" s="545">
        <f>'Foglio deposito bis'!$F$69*IF(ABS(L1634)&lt;'Sollecitazioni nel paramento'!$G$58,ABS(L1634)*'Sollecitazioni nel paramento'!$G$54,'Sollecitazioni nel paramento'!$G$53)*IF(L1634&lt;0,-1,1)</f>
        <v>-123659.7253283984</v>
      </c>
      <c r="S1634" s="545">
        <f>'Foglio deposito bis'!$F$70*IF(ABS(M1634)&lt;'Sollecitazioni nel paramento'!$G$58,ABS(M1634)*'Sollecitazioni nel paramento'!$G$54,'Sollecitazioni nel paramento'!$G$53)*IF(M1634&lt;0,-1,1)</f>
        <v>0</v>
      </c>
      <c r="T1634" s="545">
        <f>'Foglio deposito bis'!$F$71*IF(ABS(N1634)&lt;'Sollecitazioni nel paramento'!$G$58,ABS(N1634)*'Sollecitazioni nel paramento'!$G$54,'Sollecitazioni nel paramento'!$G$53)*IF(N1634&lt;0,-1,1)</f>
        <v>291090.69612148963</v>
      </c>
      <c r="U1634" s="545">
        <f>'Foglio deposito bis'!$F$72*IF(ABS(O1634)&lt;'Sollecitazioni nel paramento'!$G$58,ABS(O1634)*'Sollecitazioni nel paramento'!$G$54,'Sollecitazioni nel paramento'!$G$53)*IF(O1634&lt;0,-1,1)</f>
        <v>491727.54577927204</v>
      </c>
      <c r="V1634" s="472">
        <f t="shared" si="117"/>
        <v>-3399112.0046596015</v>
      </c>
      <c r="W1634" s="551"/>
      <c r="X1634" s="551"/>
    </row>
    <row r="1635" spans="1:24" x14ac:dyDescent="0.25">
      <c r="A1635" s="545">
        <f t="shared" si="116"/>
        <v>3477762.6773064514</v>
      </c>
      <c r="B1635" s="3">
        <f t="shared" si="114"/>
        <v>13.099999999999975</v>
      </c>
      <c r="C1635" s="545">
        <f>'Foglio deposito bis'!$E$159/sezione!$B$247*B1635</f>
        <v>108.17621975593258</v>
      </c>
      <c r="D1635" s="603">
        <f>-'Sollecitazioni nel paramento'!$G$47*'Sollecitazioni nel paramento'!$G$41*IF(DATI!$G$211="dx",DATI!$E$61,DATI!$E$64*DATI!$E$63)*1000*C1635^2*sezione!$AD$5*(1-sezione!$AD$6)</f>
        <v>-260355781.853423</v>
      </c>
      <c r="E1635" s="545">
        <f>-'Foglio deposito bis'!$F$68*(C1635-sezione!$AL$33)*IF(ABS(K1635)&lt;'Sollecitazioni nel paramento'!$G$58,ABS(K1635)*'Sollecitazioni nel paramento'!$G$54,'Sollecitazioni nel paramento'!$G$53)</f>
        <v>0</v>
      </c>
      <c r="F1635" s="545">
        <f>-'Foglio deposito bis'!$F$69*(C1635-sezione!$AM$33)*IF(ABS(L1635)&lt;'Sollecitazioni nel paramento'!$G$58,ABS(L1635)*'Sollecitazioni nel paramento'!$G$54,'Sollecitazioni nel paramento'!$G$53)</f>
        <v>-6074755.2913951455</v>
      </c>
      <c r="G1635" s="545">
        <f>-'Foglio deposito bis'!$F$70*(C1635-sezione!$AN$33)*IF(ABS(M1635)&lt;'Sollecitazioni nel paramento'!$G$58,ABS(M1635)*'Sollecitazioni nel paramento'!$G$54,'Sollecitazioni nel paramento'!$G$53)</f>
        <v>0</v>
      </c>
      <c r="H1635" s="545">
        <f>-'Foglio deposito bis'!$F$71*(C1635-sezione!$AO$33)*IF(ABS(N1635)&lt;'Sollecitazioni nel paramento'!$G$58,ABS(N1635)*'Sollecitazioni nel paramento'!$G$54,'Sollecitazioni nel paramento'!$G$53)</f>
        <v>14396319.617842892</v>
      </c>
      <c r="I1635" s="472">
        <f>-'Foglio deposito bis'!$F$72*(C1635-sezione!$AP$33)*IF(ABS(O1635)&lt;'Sollecitazioni nel paramento'!$G$58,ABS(O1635)*'Sollecitazioni nel paramento'!$G$54,'Sollecitazioni nel paramento'!$G$53)</f>
        <v>227212440.51826811</v>
      </c>
      <c r="J1635" s="472">
        <f t="shared" si="115"/>
        <v>-24821777.008707166</v>
      </c>
      <c r="K1635" s="550">
        <f>'Sollecitazioni nel paramento'!$G$60*(sezione!$AL$33-C1635)/C1635</f>
        <v>-2.2058153786861075E-3</v>
      </c>
      <c r="L1635" s="550">
        <f>'Sollecitazioni nel paramento'!$G$60*(sezione!$AM$33-C1635)/C1635</f>
        <v>-1.5587230680291617E-3</v>
      </c>
      <c r="M1635" s="551">
        <f>'Sollecitazioni nel paramento'!$G$60*(sezione!$AN$33-C1635)/C1635</f>
        <v>-9.1163075737221548E-4</v>
      </c>
      <c r="N1635" s="551">
        <f>'Sollecitazioni nel paramento'!$G$60*(sezione!$AO$33-C1635)/C1635</f>
        <v>1.6767384852555691E-3</v>
      </c>
      <c r="O1635" s="551">
        <f>'Sollecitazioni nel paramento'!$G$60*(sezione!$AP$33-C1635)/C1635</f>
        <v>1.4950090187846436E-2</v>
      </c>
      <c r="P1635" s="545">
        <f>-'Sollecitazioni nel paramento'!$G$47*'Sollecitazioni nel paramento'!$G$41*IF(DATI!$G$211="dx",DATI!$E$61,DATI!$E$64*DATI!$E$63)*1000*C1635*sezione!$AD$5</f>
        <v>-4121189.444041763</v>
      </c>
      <c r="Q1635" s="545">
        <f>'Foglio deposito bis'!$F$68*IF(ABS(K1635)&lt;'Sollecitazioni nel paramento'!$G$58,ABS(K1635)*'Sollecitazioni nel paramento'!$G$54,'Sollecitazioni nel paramento'!$G$53)*IF(K1635&lt;0,-1,1)</f>
        <v>0</v>
      </c>
      <c r="R1635" s="545">
        <f>'Foglio deposito bis'!$F$69*IF(ABS(L1635)&lt;'Sollecitazioni nel paramento'!$G$58,ABS(L1635)*'Sollecitazioni nel paramento'!$G$54,'Sollecitazioni nel paramento'!$G$53)*IF(L1635&lt;0,-1,1)</f>
        <v>-126094.47819215995</v>
      </c>
      <c r="S1635" s="545">
        <f>'Foglio deposito bis'!$F$70*IF(ABS(M1635)&lt;'Sollecitazioni nel paramento'!$G$58,ABS(M1635)*'Sollecitazioni nel paramento'!$G$54,'Sollecitazioni nel paramento'!$G$53)*IF(M1635&lt;0,-1,1)</f>
        <v>0</v>
      </c>
      <c r="T1635" s="545">
        <f>'Foglio deposito bis'!$F$71*IF(ABS(N1635)&lt;'Sollecitazioni nel paramento'!$G$58,ABS(N1635)*'Sollecitazioni nel paramento'!$G$54,'Sollecitazioni nel paramento'!$G$53)*IF(N1635&lt;0,-1,1)</f>
        <v>277793.69914819987</v>
      </c>
      <c r="U1635" s="545">
        <f>'Foglio deposito bis'!$F$72*IF(ABS(O1635)&lt;'Sollecitazioni nel paramento'!$G$58,ABS(O1635)*'Sollecitazioni nel paramento'!$G$54,'Sollecitazioni nel paramento'!$G$53)*IF(O1635&lt;0,-1,1)</f>
        <v>491727.54577927204</v>
      </c>
      <c r="V1635" s="472">
        <f t="shared" si="117"/>
        <v>-3477762.6773064514</v>
      </c>
      <c r="W1635" s="551"/>
      <c r="X1635" s="551"/>
    </row>
    <row r="1636" spans="1:24" x14ac:dyDescent="0.25">
      <c r="A1636" s="545">
        <f t="shared" si="116"/>
        <v>3555940.2146198549</v>
      </c>
      <c r="B1636" s="3">
        <f t="shared" si="114"/>
        <v>13.299999999999974</v>
      </c>
      <c r="C1636" s="545">
        <f>'Foglio deposito bis'!$E$159/sezione!$B$247*B1636</f>
        <v>109.82776509571781</v>
      </c>
      <c r="D1636" s="603">
        <f>-'Sollecitazioni nel paramento'!$G$47*'Sollecitazioni nel paramento'!$G$41*IF(DATI!$G$211="dx",DATI!$E$61,DATI!$E$64*DATI!$E$63)*1000*C1636^2*sezione!$AD$5*(1-sezione!$AD$6)</f>
        <v>-268366262.17616683</v>
      </c>
      <c r="E1636" s="545">
        <f>-'Foglio deposito bis'!$F$68*(C1636-sezione!$AL$33)*IF(ABS(K1636)&lt;'Sollecitazioni nel paramento'!$G$58,ABS(K1636)*'Sollecitazioni nel paramento'!$G$54,'Sollecitazioni nel paramento'!$G$53)</f>
        <v>0</v>
      </c>
      <c r="F1636" s="545">
        <f>-'Foglio deposito bis'!$F$69*(C1636-sezione!$AM$33)*IF(ABS(L1636)&lt;'Sollecitazioni nel paramento'!$G$58,ABS(L1636)*'Sollecitazioni nel paramento'!$G$54,'Sollecitazioni nel paramento'!$G$53)</f>
        <v>-6400675.6624986222</v>
      </c>
      <c r="G1636" s="545">
        <f>-'Foglio deposito bis'!$F$70*(C1636-sezione!$AN$33)*IF(ABS(M1636)&lt;'Sollecitazioni nel paramento'!$G$58,ABS(M1636)*'Sollecitazioni nel paramento'!$G$54,'Sollecitazioni nel paramento'!$G$53)</f>
        <v>0</v>
      </c>
      <c r="H1636" s="545">
        <f>-'Foglio deposito bis'!$F$71*(C1636-sezione!$AO$33)*IF(ABS(N1636)&lt;'Sollecitazioni nel paramento'!$G$58,ABS(N1636)*'Sollecitazioni nel paramento'!$G$54,'Sollecitazioni nel paramento'!$G$53)</f>
        <v>13290455.035503961</v>
      </c>
      <c r="I1636" s="472">
        <f>-'Foglio deposito bis'!$F$72*(C1636-sezione!$AP$33)*IF(ABS(O1636)&lt;'Sollecitazioni nel paramento'!$G$58,ABS(O1636)*'Sollecitazioni nel paramento'!$G$54,'Sollecitazioni nel paramento'!$G$53)</f>
        <v>226400330.18159238</v>
      </c>
      <c r="J1636" s="472">
        <f t="shared" si="115"/>
        <v>-35076152.621569097</v>
      </c>
      <c r="K1636" s="550">
        <f>'Sollecitazioni nel paramento'!$G$60*(sezione!$AL$33-C1636)/C1636</f>
        <v>-2.2252768015630082E-3</v>
      </c>
      <c r="L1636" s="550">
        <f>'Sollecitazioni nel paramento'!$G$60*(sezione!$AM$33-C1636)/C1636</f>
        <v>-1.5879152023445125E-3</v>
      </c>
      <c r="M1636" s="551">
        <f>'Sollecitazioni nel paramento'!$G$60*(sezione!$AN$33-C1636)/C1636</f>
        <v>-9.5055360312601661E-4</v>
      </c>
      <c r="N1636" s="551">
        <f>'Sollecitazioni nel paramento'!$G$60*(sezione!$AO$33-C1636)/C1636</f>
        <v>1.5988927937479669E-3</v>
      </c>
      <c r="O1636" s="551">
        <f>'Sollecitazioni nel paramento'!$G$60*(sezione!$AP$33-C1636)/C1636</f>
        <v>1.4672645222615662E-2</v>
      </c>
      <c r="P1636" s="545">
        <f>-'Sollecitazioni nel paramento'!$G$47*'Sollecitazioni nel paramento'!$G$41*IF(DATI!$G$211="dx",DATI!$E$61,DATI!$E$64*DATI!$E$63)*1000*C1636*sezione!$AD$5</f>
        <v>-4184108.3668515608</v>
      </c>
      <c r="Q1636" s="545">
        <f>'Foglio deposito bis'!$F$68*IF(ABS(K1636)&lt;'Sollecitazioni nel paramento'!$G$58,ABS(K1636)*'Sollecitazioni nel paramento'!$G$54,'Sollecitazioni nel paramento'!$G$53)*IF(K1636&lt;0,-1,1)</f>
        <v>0</v>
      </c>
      <c r="R1636" s="545">
        <f>'Foglio deposito bis'!$F$69*IF(ABS(L1636)&lt;'Sollecitazioni nel paramento'!$G$58,ABS(L1636)*'Sollecitazioni nel paramento'!$G$54,'Sollecitazioni nel paramento'!$G$53)*IF(L1636&lt;0,-1,1)</f>
        <v>-128456.00540588355</v>
      </c>
      <c r="S1636" s="545">
        <f>'Foglio deposito bis'!$F$70*IF(ABS(M1636)&lt;'Sollecitazioni nel paramento'!$G$58,ABS(M1636)*'Sollecitazioni nel paramento'!$G$54,'Sollecitazioni nel paramento'!$G$53)*IF(M1636&lt;0,-1,1)</f>
        <v>0</v>
      </c>
      <c r="T1636" s="545">
        <f>'Foglio deposito bis'!$F$71*IF(ABS(N1636)&lt;'Sollecitazioni nel paramento'!$G$58,ABS(N1636)*'Sollecitazioni nel paramento'!$G$54,'Sollecitazioni nel paramento'!$G$53)*IF(N1636&lt;0,-1,1)</f>
        <v>264896.61185831734</v>
      </c>
      <c r="U1636" s="545">
        <f>'Foglio deposito bis'!$F$72*IF(ABS(O1636)&lt;'Sollecitazioni nel paramento'!$G$58,ABS(O1636)*'Sollecitazioni nel paramento'!$G$54,'Sollecitazioni nel paramento'!$G$53)*IF(O1636&lt;0,-1,1)</f>
        <v>491727.54577927204</v>
      </c>
      <c r="V1636" s="472">
        <f t="shared" si="117"/>
        <v>-3555940.2146198549</v>
      </c>
      <c r="W1636" s="551"/>
      <c r="X1636" s="551"/>
    </row>
    <row r="1637" spans="1:24" x14ac:dyDescent="0.25">
      <c r="A1637" s="545">
        <f t="shared" si="116"/>
        <v>3633665.6448368551</v>
      </c>
      <c r="B1637" s="3">
        <f t="shared" si="114"/>
        <v>13.499999999999973</v>
      </c>
      <c r="C1637" s="545">
        <f>'Foglio deposito bis'!$E$159/sezione!$B$247*B1637</f>
        <v>111.47931043550302</v>
      </c>
      <c r="D1637" s="603">
        <f>-'Sollecitazioni nel paramento'!$G$47*'Sollecitazioni nel paramento'!$G$41*IF(DATI!$G$211="dx",DATI!$E$61,DATI!$E$64*DATI!$E$63)*1000*C1637^2*sezione!$AD$5*(1-sezione!$AD$6)</f>
        <v>-276498113.41289157</v>
      </c>
      <c r="E1637" s="545">
        <f>-'Foglio deposito bis'!$F$68*(C1637-sezione!$AL$33)*IF(ABS(K1637)&lt;'Sollecitazioni nel paramento'!$G$58,ABS(K1637)*'Sollecitazioni nel paramento'!$G$54,'Sollecitazioni nel paramento'!$G$53)</f>
        <v>0</v>
      </c>
      <c r="F1637" s="545">
        <f>-'Foglio deposito bis'!$F$69*(C1637-sezione!$AM$33)*IF(ABS(L1637)&lt;'Sollecitazioni nel paramento'!$G$58,ABS(L1637)*'Sollecitazioni nel paramento'!$G$54,'Sollecitazioni nel paramento'!$G$53)</f>
        <v>-6730794.3042042721</v>
      </c>
      <c r="G1637" s="545">
        <f>-'Foglio deposito bis'!$F$70*(C1637-sezione!$AN$33)*IF(ABS(M1637)&lt;'Sollecitazioni nel paramento'!$G$58,ABS(M1637)*'Sollecitazioni nel paramento'!$G$54,'Sollecitazioni nel paramento'!$G$53)</f>
        <v>0</v>
      </c>
      <c r="H1637" s="545">
        <f>-'Foglio deposito bis'!$F$71*(C1637-sezione!$AO$33)*IF(ABS(N1637)&lt;'Sollecitazioni nel paramento'!$G$58,ABS(N1637)*'Sollecitazioni nel paramento'!$G$54,'Sollecitazioni nel paramento'!$G$53)</f>
        <v>12245732.200317077</v>
      </c>
      <c r="I1637" s="472">
        <f>-'Foglio deposito bis'!$F$72*(C1637-sezione!$AP$33)*IF(ABS(O1637)&lt;'Sollecitazioni nel paramento'!$G$58,ABS(O1637)*'Sollecitazioni nel paramento'!$G$54,'Sollecitazioni nel paramento'!$G$53)</f>
        <v>225588219.84491658</v>
      </c>
      <c r="J1637" s="472">
        <f t="shared" si="115"/>
        <v>-45394955.671862185</v>
      </c>
      <c r="K1637" s="550">
        <f>'Sollecitazioni nel paramento'!$G$60*(sezione!$AL$33-C1637)/C1637</f>
        <v>-2.2441615896880008E-3</v>
      </c>
      <c r="L1637" s="550">
        <f>'Sollecitazioni nel paramento'!$G$60*(sezione!$AM$33-C1637)/C1637</f>
        <v>-1.616242384532001E-3</v>
      </c>
      <c r="M1637" s="551">
        <f>'Sollecitazioni nel paramento'!$G$60*(sezione!$AN$33-C1637)/C1637</f>
        <v>-9.8832317937600118E-4</v>
      </c>
      <c r="N1637" s="551">
        <f>'Sollecitazioni nel paramento'!$G$60*(sezione!$AO$33-C1637)/C1637</f>
        <v>1.5233536412479975E-3</v>
      </c>
      <c r="O1637" s="551">
        <f>'Sollecitazioni nel paramento'!$G$60*(sezione!$AP$33-C1637)/C1637</f>
        <v>1.4403420848947286E-2</v>
      </c>
      <c r="P1637" s="545">
        <f>-'Sollecitazioni nel paramento'!$G$47*'Sollecitazioni nel paramento'!$G$41*IF(DATI!$G$211="dx",DATI!$E$61,DATI!$E$64*DATI!$E$63)*1000*C1637*sezione!$AD$5</f>
        <v>-4247027.2896613581</v>
      </c>
      <c r="Q1637" s="545">
        <f>'Foglio deposito bis'!$F$68*IF(ABS(K1637)&lt;'Sollecitazioni nel paramento'!$G$58,ABS(K1637)*'Sollecitazioni nel paramento'!$G$54,'Sollecitazioni nel paramento'!$G$53)*IF(K1637&lt;0,-1,1)</f>
        <v>0</v>
      </c>
      <c r="R1637" s="545">
        <f>'Foglio deposito bis'!$F$69*IF(ABS(L1637)&lt;'Sollecitazioni nel paramento'!$G$58,ABS(L1637)*'Sollecitazioni nel paramento'!$G$54,'Sollecitazioni nel paramento'!$G$53)*IF(L1637&lt;0,-1,1)</f>
        <v>-130747.56144290422</v>
      </c>
      <c r="S1637" s="545">
        <f>'Foglio deposito bis'!$F$70*IF(ABS(M1637)&lt;'Sollecitazioni nel paramento'!$G$58,ABS(M1637)*'Sollecitazioni nel paramento'!$G$54,'Sollecitazioni nel paramento'!$G$53)*IF(M1637&lt;0,-1,1)</f>
        <v>0</v>
      </c>
      <c r="T1637" s="545">
        <f>'Foglio deposito bis'!$F$71*IF(ABS(N1637)&lt;'Sollecitazioni nel paramento'!$G$58,ABS(N1637)*'Sollecitazioni nel paramento'!$G$54,'Sollecitazioni nel paramento'!$G$53)*IF(N1637&lt;0,-1,1)</f>
        <v>252381.66048813515</v>
      </c>
      <c r="U1637" s="545">
        <f>'Foglio deposito bis'!$F$72*IF(ABS(O1637)&lt;'Sollecitazioni nel paramento'!$G$58,ABS(O1637)*'Sollecitazioni nel paramento'!$G$54,'Sollecitazioni nel paramento'!$G$53)*IF(O1637&lt;0,-1,1)</f>
        <v>491727.54577927204</v>
      </c>
      <c r="V1637" s="472">
        <f t="shared" si="117"/>
        <v>-3633665.6448368551</v>
      </c>
      <c r="W1637" s="551"/>
      <c r="X1637" s="551"/>
    </row>
    <row r="1638" spans="1:24" x14ac:dyDescent="0.25">
      <c r="A1638" s="545">
        <f t="shared" si="116"/>
        <v>3710958.7682682443</v>
      </c>
      <c r="B1638" s="3">
        <f t="shared" si="114"/>
        <v>13.699999999999973</v>
      </c>
      <c r="C1638" s="545">
        <f>'Foglio deposito bis'!$E$159/sezione!$B$247*B1638</f>
        <v>113.13085577528825</v>
      </c>
      <c r="D1638" s="603">
        <f>-'Sollecitazioni nel paramento'!$G$47*'Sollecitazioni nel paramento'!$G$41*IF(DATI!$G$211="dx",DATI!$E$61,DATI!$E$64*DATI!$E$63)*1000*C1638^2*sezione!$AD$5*(1-sezione!$AD$6)</f>
        <v>-284751335.56359738</v>
      </c>
      <c r="E1638" s="545">
        <f>-'Foglio deposito bis'!$F$68*(C1638-sezione!$AL$33)*IF(ABS(K1638)&lt;'Sollecitazioni nel paramento'!$G$58,ABS(K1638)*'Sollecitazioni nel paramento'!$G$54,'Sollecitazioni nel paramento'!$G$53)</f>
        <v>0</v>
      </c>
      <c r="F1638" s="545">
        <f>-'Foglio deposito bis'!$F$69*(C1638-sezione!$AM$33)*IF(ABS(L1638)&lt;'Sollecitazioni nel paramento'!$G$58,ABS(L1638)*'Sollecitazioni nel paramento'!$G$54,'Sollecitazioni nel paramento'!$G$53)</f>
        <v>-7064927.3506463105</v>
      </c>
      <c r="G1638" s="545">
        <f>-'Foglio deposito bis'!$F$70*(C1638-sezione!$AN$33)*IF(ABS(M1638)&lt;'Sollecitazioni nel paramento'!$G$58,ABS(M1638)*'Sollecitazioni nel paramento'!$G$54,'Sollecitazioni nel paramento'!$G$53)</f>
        <v>0</v>
      </c>
      <c r="H1638" s="545">
        <f>-'Foglio deposito bis'!$F$71*(C1638-sezione!$AO$33)*IF(ABS(N1638)&lt;'Sollecitazioni nel paramento'!$G$58,ABS(N1638)*'Sollecitazioni nel paramento'!$G$54,'Sollecitazioni nel paramento'!$G$53)</f>
        <v>11259473.371531036</v>
      </c>
      <c r="I1638" s="472">
        <f>-'Foglio deposito bis'!$F$72*(C1638-sezione!$AP$33)*IF(ABS(O1638)&lt;'Sollecitazioni nel paramento'!$G$58,ABS(O1638)*'Sollecitazioni nel paramento'!$G$54,'Sollecitazioni nel paramento'!$G$53)</f>
        <v>224776109.50824082</v>
      </c>
      <c r="J1638" s="472">
        <f t="shared" si="115"/>
        <v>-55780680.034471869</v>
      </c>
      <c r="K1638" s="550">
        <f>'Sollecitazioni nel paramento'!$G$60*(sezione!$AL$33-C1638)/C1638</f>
        <v>-2.2624949971378106E-3</v>
      </c>
      <c r="L1638" s="550">
        <f>'Sollecitazioni nel paramento'!$G$60*(sezione!$AM$33-C1638)/C1638</f>
        <v>-1.6437424957067162E-3</v>
      </c>
      <c r="M1638" s="551">
        <f>'Sollecitazioni nel paramento'!$G$60*(sezione!$AN$33-C1638)/C1638</f>
        <v>-1.0249899942756217E-3</v>
      </c>
      <c r="N1638" s="551">
        <f>'Sollecitazioni nel paramento'!$G$60*(sezione!$AO$33-C1638)/C1638</f>
        <v>1.4500200114487567E-3</v>
      </c>
      <c r="O1638" s="551">
        <f>'Sollecitazioni nel paramento'!$G$60*(sezione!$AP$33-C1638)/C1638</f>
        <v>1.4142057040933456E-2</v>
      </c>
      <c r="P1638" s="545">
        <f>-'Sollecitazioni nel paramento'!$G$47*'Sollecitazioni nel paramento'!$G$41*IF(DATI!$G$211="dx",DATI!$E$61,DATI!$E$64*DATI!$E$63)*1000*C1638*sezione!$AD$5</f>
        <v>-4309946.2124711564</v>
      </c>
      <c r="Q1638" s="545">
        <f>'Foglio deposito bis'!$F$68*IF(ABS(K1638)&lt;'Sollecitazioni nel paramento'!$G$58,ABS(K1638)*'Sollecitazioni nel paramento'!$G$54,'Sollecitazioni nel paramento'!$G$53)*IF(K1638&lt;0,-1,1)</f>
        <v>0</v>
      </c>
      <c r="R1638" s="545">
        <f>'Foglio deposito bis'!$F$69*IF(ABS(L1638)&lt;'Sollecitazioni nel paramento'!$G$58,ABS(L1638)*'Sollecitazioni nel paramento'!$G$54,'Sollecitazioni nel paramento'!$G$53)*IF(L1638&lt;0,-1,1)</f>
        <v>-132972.21073431845</v>
      </c>
      <c r="S1638" s="545">
        <f>'Foglio deposito bis'!$F$70*IF(ABS(M1638)&lt;'Sollecitazioni nel paramento'!$G$58,ABS(M1638)*'Sollecitazioni nel paramento'!$G$54,'Sollecitazioni nel paramento'!$G$53)*IF(M1638&lt;0,-1,1)</f>
        <v>0</v>
      </c>
      <c r="T1638" s="545">
        <f>'Foglio deposito bis'!$F$71*IF(ABS(N1638)&lt;'Sollecitazioni nel paramento'!$G$58,ABS(N1638)*'Sollecitazioni nel paramento'!$G$54,'Sollecitazioni nel paramento'!$G$53)*IF(N1638&lt;0,-1,1)</f>
        <v>240232.10915795816</v>
      </c>
      <c r="U1638" s="545">
        <f>'Foglio deposito bis'!$F$72*IF(ABS(O1638)&lt;'Sollecitazioni nel paramento'!$G$58,ABS(O1638)*'Sollecitazioni nel paramento'!$G$54,'Sollecitazioni nel paramento'!$G$53)*IF(O1638&lt;0,-1,1)</f>
        <v>491727.54577927204</v>
      </c>
      <c r="V1638" s="472">
        <f t="shared" si="117"/>
        <v>-3710958.7682682443</v>
      </c>
      <c r="W1638" s="551"/>
      <c r="X1638" s="551"/>
    </row>
    <row r="1639" spans="1:24" x14ac:dyDescent="0.25">
      <c r="A1639" s="545">
        <f t="shared" si="116"/>
        <v>3787838.2456385801</v>
      </c>
      <c r="B1639" s="3">
        <f t="shared" si="114"/>
        <v>13.899999999999972</v>
      </c>
      <c r="C1639" s="545">
        <f>'Foglio deposito bis'!$E$159/sezione!$B$247*B1639</f>
        <v>114.78240111507348</v>
      </c>
      <c r="D1639" s="603">
        <f>-'Sollecitazioni nel paramento'!$G$47*'Sollecitazioni nel paramento'!$G$41*IF(DATI!$G$211="dx",DATI!$E$61,DATI!$E$64*DATI!$E$63)*1000*C1639^2*sezione!$AD$5*(1-sezione!$AD$6)</f>
        <v>-293125928.6282841</v>
      </c>
      <c r="E1639" s="545">
        <f>-'Foglio deposito bis'!$F$68*(C1639-sezione!$AL$33)*IF(ABS(K1639)&lt;'Sollecitazioni nel paramento'!$G$58,ABS(K1639)*'Sollecitazioni nel paramento'!$G$54,'Sollecitazioni nel paramento'!$G$53)</f>
        <v>0</v>
      </c>
      <c r="F1639" s="545">
        <f>-'Foglio deposito bis'!$F$69*(C1639-sezione!$AM$33)*IF(ABS(L1639)&lt;'Sollecitazioni nel paramento'!$G$58,ABS(L1639)*'Sollecitazioni nel paramento'!$G$54,'Sollecitazioni nel paramento'!$G$53)</f>
        <v>-7402901.5181670506</v>
      </c>
      <c r="G1639" s="545">
        <f>-'Foglio deposito bis'!$F$70*(C1639-sezione!$AN$33)*IF(ABS(M1639)&lt;'Sollecitazioni nel paramento'!$G$58,ABS(M1639)*'Sollecitazioni nel paramento'!$G$54,'Sollecitazioni nel paramento'!$G$53)</f>
        <v>0</v>
      </c>
      <c r="H1639" s="545">
        <f>-'Foglio deposito bis'!$F$71*(C1639-sezione!$AO$33)*IF(ABS(N1639)&lt;'Sollecitazioni nel paramento'!$G$58,ABS(N1639)*'Sollecitazioni nel paramento'!$G$54,'Sollecitazioni nel paramento'!$G$53)</f>
        <v>10329154.922970269</v>
      </c>
      <c r="I1639" s="472">
        <f>-'Foglio deposito bis'!$F$72*(C1639-sezione!$AP$33)*IF(ABS(O1639)&lt;'Sollecitazioni nel paramento'!$G$58,ABS(O1639)*'Sollecitazioni nel paramento'!$G$54,'Sollecitazioni nel paramento'!$G$53)</f>
        <v>223963999.17156503</v>
      </c>
      <c r="J1639" s="472">
        <f t="shared" si="115"/>
        <v>-66235676.051915854</v>
      </c>
      <c r="K1639" s="550">
        <f>'Sollecitazioni nel paramento'!$G$60*(sezione!$AL$33-C1639)/C1639</f>
        <v>-2.2803008245171233E-3</v>
      </c>
      <c r="L1639" s="550">
        <f>'Sollecitazioni nel paramento'!$G$60*(sezione!$AM$33-C1639)/C1639</f>
        <v>-1.6704512367756844E-3</v>
      </c>
      <c r="M1639" s="551">
        <f>'Sollecitazioni nel paramento'!$G$60*(sezione!$AN$33-C1639)/C1639</f>
        <v>-1.0606016490342458E-3</v>
      </c>
      <c r="N1639" s="551">
        <f>'Sollecitazioni nel paramento'!$G$60*(sezione!$AO$33-C1639)/C1639</f>
        <v>1.3787967019315084E-3</v>
      </c>
      <c r="O1639" s="551">
        <f>'Sollecitazioni nel paramento'!$G$60*(sezione!$AP$33-C1639)/C1639</f>
        <v>1.3888214493581895E-2</v>
      </c>
      <c r="P1639" s="545">
        <f>-'Sollecitazioni nel paramento'!$G$47*'Sollecitazioni nel paramento'!$G$41*IF(DATI!$G$211="dx",DATI!$E$61,DATI!$E$64*DATI!$E$63)*1000*C1639*sezione!$AD$5</f>
        <v>-4372865.1352809537</v>
      </c>
      <c r="Q1639" s="545">
        <f>'Foglio deposito bis'!$F$68*IF(ABS(K1639)&lt;'Sollecitazioni nel paramento'!$G$58,ABS(K1639)*'Sollecitazioni nel paramento'!$G$54,'Sollecitazioni nel paramento'!$G$53)*IF(K1639&lt;0,-1,1)</f>
        <v>0</v>
      </c>
      <c r="R1639" s="545">
        <f>'Foglio deposito bis'!$F$69*IF(ABS(L1639)&lt;'Sollecitazioni nel paramento'!$G$58,ABS(L1639)*'Sollecitazioni nel paramento'!$G$54,'Sollecitazioni nel paramento'!$G$53)*IF(L1639&lt;0,-1,1)</f>
        <v>-135132.84134108768</v>
      </c>
      <c r="S1639" s="545">
        <f>'Foglio deposito bis'!$F$70*IF(ABS(M1639)&lt;'Sollecitazioni nel paramento'!$G$58,ABS(M1639)*'Sollecitazioni nel paramento'!$G$54,'Sollecitazioni nel paramento'!$G$53)*IF(M1639&lt;0,-1,1)</f>
        <v>0</v>
      </c>
      <c r="T1639" s="545">
        <f>'Foglio deposito bis'!$F$71*IF(ABS(N1639)&lt;'Sollecitazioni nel paramento'!$G$58,ABS(N1639)*'Sollecitazioni nel paramento'!$G$54,'Sollecitazioni nel paramento'!$G$53)*IF(N1639&lt;0,-1,1)</f>
        <v>228432.18520418913</v>
      </c>
      <c r="U1639" s="545">
        <f>'Foglio deposito bis'!$F$72*IF(ABS(O1639)&lt;'Sollecitazioni nel paramento'!$G$58,ABS(O1639)*'Sollecitazioni nel paramento'!$G$54,'Sollecitazioni nel paramento'!$G$53)*IF(O1639&lt;0,-1,1)</f>
        <v>491727.54577927204</v>
      </c>
      <c r="V1639" s="472">
        <f t="shared" si="117"/>
        <v>-3787838.2456385801</v>
      </c>
      <c r="W1639" s="551"/>
      <c r="X1639" s="551"/>
    </row>
    <row r="1640" spans="1:24" x14ac:dyDescent="0.25">
      <c r="A1640" s="545">
        <f t="shared" si="116"/>
        <v>3864321.6789079076</v>
      </c>
      <c r="B1640" s="3">
        <f t="shared" si="114"/>
        <v>14.099999999999971</v>
      </c>
      <c r="C1640" s="545">
        <f>'Foglio deposito bis'!$E$159/sezione!$B$247*B1640</f>
        <v>116.43394645485871</v>
      </c>
      <c r="D1640" s="603">
        <f>-'Sollecitazioni nel paramento'!$G$47*'Sollecitazioni nel paramento'!$G$41*IF(DATI!$G$211="dx",DATI!$E$61,DATI!$E$64*DATI!$E$63)*1000*C1640^2*sezione!$AD$5*(1-sezione!$AD$6)</f>
        <v>-301621892.60695183</v>
      </c>
      <c r="E1640" s="545">
        <f>-'Foglio deposito bis'!$F$68*(C1640-sezione!$AL$33)*IF(ABS(K1640)&lt;'Sollecitazioni nel paramento'!$G$58,ABS(K1640)*'Sollecitazioni nel paramento'!$G$54,'Sollecitazioni nel paramento'!$G$53)</f>
        <v>0</v>
      </c>
      <c r="F1640" s="545">
        <f>-'Foglio deposito bis'!$F$69*(C1640-sezione!$AM$33)*IF(ABS(L1640)&lt;'Sollecitazioni nel paramento'!$G$58,ABS(L1640)*'Sollecitazioni nel paramento'!$G$54,'Sollecitazioni nel paramento'!$G$53)</f>
        <v>-7744553.354805694</v>
      </c>
      <c r="G1640" s="545">
        <f>-'Foglio deposito bis'!$F$70*(C1640-sezione!$AN$33)*IF(ABS(M1640)&lt;'Sollecitazioni nel paramento'!$G$58,ABS(M1640)*'Sollecitazioni nel paramento'!$G$54,'Sollecitazioni nel paramento'!$G$53)</f>
        <v>0</v>
      </c>
      <c r="H1640" s="545">
        <f>-'Foglio deposito bis'!$F$71*(C1640-sezione!$AO$33)*IF(ABS(N1640)&lt;'Sollecitazioni nel paramento'!$G$58,ABS(N1640)*'Sollecitazioni nel paramento'!$G$54,'Sollecitazioni nel paramento'!$G$53)</f>
        <v>9452396.4129230641</v>
      </c>
      <c r="I1640" s="472">
        <f>-'Foglio deposito bis'!$F$72*(C1640-sezione!$AP$33)*IF(ABS(O1640)&lt;'Sollecitazioni nel paramento'!$G$58,ABS(O1640)*'Sollecitazioni nel paramento'!$G$54,'Sollecitazioni nel paramento'!$G$53)</f>
        <v>223151888.83488923</v>
      </c>
      <c r="J1640" s="472">
        <f t="shared" si="115"/>
        <v>-76762160.71394527</v>
      </c>
      <c r="K1640" s="550">
        <f>'Sollecitazioni nel paramento'!$G$60*(sezione!$AL$33-C1640)/C1640</f>
        <v>-2.2976015220417026E-3</v>
      </c>
      <c r="L1640" s="550">
        <f>'Sollecitazioni nel paramento'!$G$60*(sezione!$AM$33-C1640)/C1640</f>
        <v>-1.6964022830625539E-3</v>
      </c>
      <c r="M1640" s="551">
        <f>'Sollecitazioni nel paramento'!$G$60*(sezione!$AN$33-C1640)/C1640</f>
        <v>-1.0952030440834057E-3</v>
      </c>
      <c r="N1640" s="551">
        <f>'Sollecitazioni nel paramento'!$G$60*(sezione!$AO$33-C1640)/C1640</f>
        <v>1.3095939118331892E-3</v>
      </c>
      <c r="O1640" s="551">
        <f>'Sollecitazioni nel paramento'!$G$60*(sezione!$AP$33-C1640)/C1640</f>
        <v>1.36415731532474E-2</v>
      </c>
      <c r="P1640" s="545">
        <f>-'Sollecitazioni nel paramento'!$G$47*'Sollecitazioni nel paramento'!$G$41*IF(DATI!$G$211="dx",DATI!$E$61,DATI!$E$64*DATI!$E$63)*1000*C1640*sezione!$AD$5</f>
        <v>-4435784.0580907511</v>
      </c>
      <c r="Q1640" s="545">
        <f>'Foglio deposito bis'!$F$68*IF(ABS(K1640)&lt;'Sollecitazioni nel paramento'!$G$58,ABS(K1640)*'Sollecitazioni nel paramento'!$G$54,'Sollecitazioni nel paramento'!$G$53)*IF(K1640&lt;0,-1,1)</f>
        <v>0</v>
      </c>
      <c r="R1640" s="545">
        <f>'Foglio deposito bis'!$F$69*IF(ABS(L1640)&lt;'Sollecitazioni nel paramento'!$G$58,ABS(L1640)*'Sollecitazioni nel paramento'!$G$54,'Sollecitazioni nel paramento'!$G$53)*IF(L1640&lt;0,-1,1)</f>
        <v>-137232.17746255849</v>
      </c>
      <c r="S1640" s="545">
        <f>'Foglio deposito bis'!$F$70*IF(ABS(M1640)&lt;'Sollecitazioni nel paramento'!$G$58,ABS(M1640)*'Sollecitazioni nel paramento'!$G$54,'Sollecitazioni nel paramento'!$G$53)*IF(M1640&lt;0,-1,1)</f>
        <v>0</v>
      </c>
      <c r="T1640" s="545">
        <f>'Foglio deposito bis'!$F$71*IF(ABS(N1640)&lt;'Sollecitazioni nel paramento'!$G$58,ABS(N1640)*'Sollecitazioni nel paramento'!$G$54,'Sollecitazioni nel paramento'!$G$53)*IF(N1640&lt;0,-1,1)</f>
        <v>216967.01086612986</v>
      </c>
      <c r="U1640" s="545">
        <f>'Foglio deposito bis'!$F$72*IF(ABS(O1640)&lt;'Sollecitazioni nel paramento'!$G$58,ABS(O1640)*'Sollecitazioni nel paramento'!$G$54,'Sollecitazioni nel paramento'!$G$53)*IF(O1640&lt;0,-1,1)</f>
        <v>491727.54577927204</v>
      </c>
      <c r="V1640" s="472">
        <f t="shared" si="117"/>
        <v>-3864321.6789079076</v>
      </c>
      <c r="W1640" s="551"/>
      <c r="X1640" s="551"/>
    </row>
    <row r="1641" spans="1:24" x14ac:dyDescent="0.25">
      <c r="A1641" s="545">
        <f t="shared" si="116"/>
        <v>3940425.6853112355</v>
      </c>
      <c r="B1641" s="3">
        <f t="shared" si="114"/>
        <v>14.299999999999971</v>
      </c>
      <c r="C1641" s="545">
        <f>'Foglio deposito bis'!$E$159/sezione!$B$247*B1641</f>
        <v>118.08549179464394</v>
      </c>
      <c r="D1641" s="603">
        <f>-'Sollecitazioni nel paramento'!$G$47*'Sollecitazioni nel paramento'!$G$41*IF(DATI!$G$211="dx",DATI!$E$61,DATI!$E$64*DATI!$E$63)*1000*C1641^2*sezione!$AD$5*(1-sezione!$AD$6)</f>
        <v>-310239227.49960053</v>
      </c>
      <c r="E1641" s="545">
        <f>-'Foglio deposito bis'!$F$68*(C1641-sezione!$AL$33)*IF(ABS(K1641)&lt;'Sollecitazioni nel paramento'!$G$58,ABS(K1641)*'Sollecitazioni nel paramento'!$G$54,'Sollecitazioni nel paramento'!$G$53)</f>
        <v>0</v>
      </c>
      <c r="F1641" s="545">
        <f>-'Foglio deposito bis'!$F$69*(C1641-sezione!$AM$33)*IF(ABS(L1641)&lt;'Sollecitazioni nel paramento'!$G$58,ABS(L1641)*'Sollecitazioni nel paramento'!$G$54,'Sollecitazioni nel paramento'!$G$53)</f>
        <v>-8089728.5527670886</v>
      </c>
      <c r="G1641" s="545">
        <f>-'Foglio deposito bis'!$F$70*(C1641-sezione!$AN$33)*IF(ABS(M1641)&lt;'Sollecitazioni nel paramento'!$G$58,ABS(M1641)*'Sollecitazioni nel paramento'!$G$54,'Sollecitazioni nel paramento'!$G$53)</f>
        <v>0</v>
      </c>
      <c r="H1641" s="545">
        <f>-'Foglio deposito bis'!$F$71*(C1641-sezione!$AO$33)*IF(ABS(N1641)&lt;'Sollecitazioni nel paramento'!$G$58,ABS(N1641)*'Sollecitazioni nel paramento'!$G$54,'Sollecitazioni nel paramento'!$G$53)</f>
        <v>8626950.5712419972</v>
      </c>
      <c r="I1641" s="472">
        <f>-'Foglio deposito bis'!$F$72*(C1641-sezione!$AP$33)*IF(ABS(O1641)&lt;'Sollecitazioni nel paramento'!$G$58,ABS(O1641)*'Sollecitazioni nel paramento'!$G$54,'Sollecitazioni nel paramento'!$G$53)</f>
        <v>222339778.49821344</v>
      </c>
      <c r="J1641" s="472">
        <f t="shared" si="115"/>
        <v>-87362226.982912213</v>
      </c>
      <c r="K1641" s="550">
        <f>'Sollecitazioni nel paramento'!$G$60*(sezione!$AL$33-C1641)/C1641</f>
        <v>-2.3144182839711894E-3</v>
      </c>
      <c r="L1641" s="550">
        <f>'Sollecitazioni nel paramento'!$G$60*(sezione!$AM$33-C1641)/C1641</f>
        <v>-1.721627425956784E-3</v>
      </c>
      <c r="M1641" s="551">
        <f>'Sollecitazioni nel paramento'!$G$60*(sezione!$AN$33-C1641)/C1641</f>
        <v>-1.1288365679423787E-3</v>
      </c>
      <c r="N1641" s="551">
        <f>'Sollecitazioni nel paramento'!$G$60*(sezione!$AO$33-C1641)/C1641</f>
        <v>1.2423268641152424E-3</v>
      </c>
      <c r="O1641" s="551">
        <f>'Sollecitazioni nel paramento'!$G$60*(sezione!$AP$33-C1641)/C1641</f>
        <v>1.34018308713838E-2</v>
      </c>
      <c r="P1641" s="545">
        <f>-'Sollecitazioni nel paramento'!$G$47*'Sollecitazioni nel paramento'!$G$41*IF(DATI!$G$211="dx",DATI!$E$61,DATI!$E$64*DATI!$E$63)*1000*C1641*sezione!$AD$5</f>
        <v>-4498702.9809005493</v>
      </c>
      <c r="Q1641" s="545">
        <f>'Foglio deposito bis'!$F$68*IF(ABS(K1641)&lt;'Sollecitazioni nel paramento'!$G$58,ABS(K1641)*'Sollecitazioni nel paramento'!$G$54,'Sollecitazioni nel paramento'!$G$53)*IF(K1641&lt;0,-1,1)</f>
        <v>0</v>
      </c>
      <c r="R1641" s="545">
        <f>'Foglio deposito bis'!$F$69*IF(ABS(L1641)&lt;'Sollecitazioni nel paramento'!$G$58,ABS(L1641)*'Sollecitazioni nel paramento'!$G$54,'Sollecitazioni nel paramento'!$G$53)*IF(L1641&lt;0,-1,1)</f>
        <v>-139272.79089531684</v>
      </c>
      <c r="S1641" s="545">
        <f>'Foglio deposito bis'!$F$70*IF(ABS(M1641)&lt;'Sollecitazioni nel paramento'!$G$58,ABS(M1641)*'Sollecitazioni nel paramento'!$G$54,'Sollecitazioni nel paramento'!$G$53)*IF(M1641&lt;0,-1,1)</f>
        <v>0</v>
      </c>
      <c r="T1641" s="545">
        <f>'Foglio deposito bis'!$F$71*IF(ABS(N1641)&lt;'Sollecitazioni nel paramento'!$G$58,ABS(N1641)*'Sollecitazioni nel paramento'!$G$54,'Sollecitazioni nel paramento'!$G$53)*IF(N1641&lt;0,-1,1)</f>
        <v>205822.54070535893</v>
      </c>
      <c r="U1641" s="545">
        <f>'Foglio deposito bis'!$F$72*IF(ABS(O1641)&lt;'Sollecitazioni nel paramento'!$G$58,ABS(O1641)*'Sollecitazioni nel paramento'!$G$54,'Sollecitazioni nel paramento'!$G$53)*IF(O1641&lt;0,-1,1)</f>
        <v>491727.54577927204</v>
      </c>
      <c r="V1641" s="472">
        <f t="shared" si="117"/>
        <v>-3940425.6853112355</v>
      </c>
      <c r="W1641" s="551"/>
      <c r="X1641" s="551"/>
    </row>
    <row r="1642" spans="1:24" x14ac:dyDescent="0.25">
      <c r="A1642" s="545">
        <f t="shared" si="116"/>
        <v>4016165.9652706031</v>
      </c>
      <c r="B1642" s="3">
        <f t="shared" si="114"/>
        <v>14.49999999999997</v>
      </c>
      <c r="C1642" s="545">
        <f>'Foglio deposito bis'!$E$159/sezione!$B$247*B1642</f>
        <v>119.73703713442917</v>
      </c>
      <c r="D1642" s="603">
        <f>-'Sollecitazioni nel paramento'!$G$47*'Sollecitazioni nel paramento'!$G$41*IF(DATI!$G$211="dx",DATI!$E$61,DATI!$E$64*DATI!$E$63)*1000*C1642^2*sezione!$AD$5*(1-sezione!$AD$6)</f>
        <v>-318977933.30623019</v>
      </c>
      <c r="E1642" s="545">
        <f>-'Foglio deposito bis'!$F$68*(C1642-sezione!$AL$33)*IF(ABS(K1642)&lt;'Sollecitazioni nel paramento'!$G$58,ABS(K1642)*'Sollecitazioni nel paramento'!$G$54,'Sollecitazioni nel paramento'!$G$53)</f>
        <v>0</v>
      </c>
      <c r="F1642" s="545">
        <f>-'Foglio deposito bis'!$F$69*(C1642-sezione!$AM$33)*IF(ABS(L1642)&lt;'Sollecitazioni nel paramento'!$G$58,ABS(L1642)*'Sollecitazioni nel paramento'!$G$54,'Sollecitazioni nel paramento'!$G$53)</f>
        <v>-8438281.3177895993</v>
      </c>
      <c r="G1642" s="545">
        <f>-'Foglio deposito bis'!$F$70*(C1642-sezione!$AN$33)*IF(ABS(M1642)&lt;'Sollecitazioni nel paramento'!$G$58,ABS(M1642)*'Sollecitazioni nel paramento'!$G$54,'Sollecitazioni nel paramento'!$G$53)</f>
        <v>0</v>
      </c>
      <c r="H1642" s="545">
        <f>-'Foglio deposito bis'!$F$71*(C1642-sezione!$AO$33)*IF(ABS(N1642)&lt;'Sollecitazioni nel paramento'!$G$58,ABS(N1642)*'Sollecitazioni nel paramento'!$G$54,'Sollecitazioni nel paramento'!$G$53)</f>
        <v>7850694.1150981272</v>
      </c>
      <c r="I1642" s="472">
        <f>-'Foglio deposito bis'!$F$72*(C1642-sezione!$AP$33)*IF(ABS(O1642)&lt;'Sollecitazioni nel paramento'!$G$58,ABS(O1642)*'Sollecitazioni nel paramento'!$G$54,'Sollecitazioni nel paramento'!$G$53)</f>
        <v>221527668.16153771</v>
      </c>
      <c r="J1642" s="472">
        <f t="shared" si="115"/>
        <v>-98037852.347383976</v>
      </c>
      <c r="K1642" s="550">
        <f>'Sollecitazioni nel paramento'!$G$60*(sezione!$AL$33-C1642)/C1642</f>
        <v>-2.3307711352267592E-3</v>
      </c>
      <c r="L1642" s="550">
        <f>'Sollecitazioni nel paramento'!$G$60*(sezione!$AM$33-C1642)/C1642</f>
        <v>-1.746156702840139E-3</v>
      </c>
      <c r="M1642" s="551">
        <f>'Sollecitazioni nel paramento'!$G$60*(sezione!$AN$33-C1642)/C1642</f>
        <v>-1.1615422704535183E-3</v>
      </c>
      <c r="N1642" s="551">
        <f>'Sollecitazioni nel paramento'!$G$60*(sezione!$AO$33-C1642)/C1642</f>
        <v>1.1769154590929632E-3</v>
      </c>
      <c r="O1642" s="551">
        <f>'Sollecitazioni nel paramento'!$G$60*(sezione!$AP$33-C1642)/C1642</f>
        <v>1.3168702169709542E-2</v>
      </c>
      <c r="P1642" s="545">
        <f>-'Sollecitazioni nel paramento'!$G$47*'Sollecitazioni nel paramento'!$G$41*IF(DATI!$G$211="dx",DATI!$E$61,DATI!$E$64*DATI!$E$63)*1000*C1642*sezione!$AD$5</f>
        <v>-4561621.9037103476</v>
      </c>
      <c r="Q1642" s="545">
        <f>'Foglio deposito bis'!$F$68*IF(ABS(K1642)&lt;'Sollecitazioni nel paramento'!$G$58,ABS(K1642)*'Sollecitazioni nel paramento'!$G$54,'Sollecitazioni nel paramento'!$G$53)*IF(K1642&lt;0,-1,1)</f>
        <v>0</v>
      </c>
      <c r="R1642" s="545">
        <f>'Foglio deposito bis'!$F$69*IF(ABS(L1642)&lt;'Sollecitazioni nel paramento'!$G$58,ABS(L1642)*'Sollecitazioni nel paramento'!$G$54,'Sollecitazioni nel paramento'!$G$53)*IF(L1642&lt;0,-1,1)</f>
        <v>-141257.11154372327</v>
      </c>
      <c r="S1642" s="545">
        <f>'Foglio deposito bis'!$F$70*IF(ABS(M1642)&lt;'Sollecitazioni nel paramento'!$G$58,ABS(M1642)*'Sollecitazioni nel paramento'!$G$54,'Sollecitazioni nel paramento'!$G$53)*IF(M1642&lt;0,-1,1)</f>
        <v>0</v>
      </c>
      <c r="T1642" s="545">
        <f>'Foglio deposito bis'!$F$71*IF(ABS(N1642)&lt;'Sollecitazioni nel paramento'!$G$58,ABS(N1642)*'Sollecitazioni nel paramento'!$G$54,'Sollecitazioni nel paramento'!$G$53)*IF(N1642&lt;0,-1,1)</f>
        <v>194985.50420419549</v>
      </c>
      <c r="U1642" s="545">
        <f>'Foglio deposito bis'!$F$72*IF(ABS(O1642)&lt;'Sollecitazioni nel paramento'!$G$58,ABS(O1642)*'Sollecitazioni nel paramento'!$G$54,'Sollecitazioni nel paramento'!$G$53)*IF(O1642&lt;0,-1,1)</f>
        <v>491727.54577927204</v>
      </c>
      <c r="V1642" s="472">
        <f t="shared" si="117"/>
        <v>-4016165.9652706031</v>
      </c>
      <c r="W1642" s="551"/>
      <c r="X1642" s="551"/>
    </row>
    <row r="1643" spans="1:24" x14ac:dyDescent="0.25">
      <c r="A1643" s="545">
        <f t="shared" si="116"/>
        <v>4091557.3647633148</v>
      </c>
      <c r="B1643" s="3">
        <f t="shared" si="114"/>
        <v>14.699999999999969</v>
      </c>
      <c r="C1643" s="545">
        <f>'Foglio deposito bis'!$E$159/sezione!$B$247*B1643</f>
        <v>121.38858247421439</v>
      </c>
      <c r="D1643" s="603">
        <f>-'Sollecitazioni nel paramento'!$G$47*'Sollecitazioni nel paramento'!$G$41*IF(DATI!$G$211="dx",DATI!$E$61,DATI!$E$64*DATI!$E$63)*1000*C1643^2*sezione!$AD$5*(1-sezione!$AD$6)</f>
        <v>-327838010.02684075</v>
      </c>
      <c r="E1643" s="545">
        <f>-'Foglio deposito bis'!$F$68*(C1643-sezione!$AL$33)*IF(ABS(K1643)&lt;'Sollecitazioni nel paramento'!$G$58,ABS(K1643)*'Sollecitazioni nel paramento'!$G$54,'Sollecitazioni nel paramento'!$G$53)</f>
        <v>0</v>
      </c>
      <c r="F1643" s="545">
        <f>-'Foglio deposito bis'!$F$69*(C1643-sezione!$AM$33)*IF(ABS(L1643)&lt;'Sollecitazioni nel paramento'!$G$58,ABS(L1643)*'Sollecitazioni nel paramento'!$G$54,'Sollecitazioni nel paramento'!$G$53)</f>
        <v>-8790073.7899931781</v>
      </c>
      <c r="G1643" s="545">
        <f>-'Foglio deposito bis'!$F$70*(C1643-sezione!$AN$33)*IF(ABS(M1643)&lt;'Sollecitazioni nel paramento'!$G$58,ABS(M1643)*'Sollecitazioni nel paramento'!$G$54,'Sollecitazioni nel paramento'!$G$53)</f>
        <v>0</v>
      </c>
      <c r="H1643" s="545">
        <f>-'Foglio deposito bis'!$F$71*(C1643-sezione!$AO$33)*IF(ABS(N1643)&lt;'Sollecitazioni nel paramento'!$G$58,ABS(N1643)*'Sollecitazioni nel paramento'!$G$54,'Sollecitazioni nel paramento'!$G$53)</f>
        <v>7121619.3144695321</v>
      </c>
      <c r="I1643" s="472">
        <f>-'Foglio deposito bis'!$F$72*(C1643-sezione!$AP$33)*IF(ABS(O1643)&lt;'Sollecitazioni nel paramento'!$G$58,ABS(O1643)*'Sollecitazioni nel paramento'!$G$54,'Sollecitazioni nel paramento'!$G$53)</f>
        <v>220715557.82486188</v>
      </c>
      <c r="J1643" s="472">
        <f t="shared" si="115"/>
        <v>-108790906.67750251</v>
      </c>
      <c r="K1643" s="550">
        <f>'Sollecitazioni nel paramento'!$G$60*(sezione!$AL$33-C1643)/C1643</f>
        <v>-2.3466790109379597E-3</v>
      </c>
      <c r="L1643" s="550">
        <f>'Sollecitazioni nel paramento'!$G$60*(sezione!$AM$33-C1643)/C1643</f>
        <v>-1.7700185164069395E-3</v>
      </c>
      <c r="M1643" s="551">
        <f>'Sollecitazioni nel paramento'!$G$60*(sezione!$AN$33-C1643)/C1643</f>
        <v>-1.1933580218759193E-3</v>
      </c>
      <c r="N1643" s="551">
        <f>'Sollecitazioni nel paramento'!$G$60*(sezione!$AO$33-C1643)/C1643</f>
        <v>1.1132839562481615E-3</v>
      </c>
      <c r="O1643" s="551">
        <f>'Sollecitazioni nel paramento'!$G$60*(sezione!$AP$33-C1643)/C1643</f>
        <v>1.2941917106176081E-2</v>
      </c>
      <c r="P1643" s="545">
        <f>-'Sollecitazioni nel paramento'!$G$47*'Sollecitazioni nel paramento'!$G$41*IF(DATI!$G$211="dx",DATI!$E$61,DATI!$E$64*DATI!$E$63)*1000*C1643*sezione!$AD$5</f>
        <v>-4624540.8265201449</v>
      </c>
      <c r="Q1643" s="545">
        <f>'Foglio deposito bis'!$F$68*IF(ABS(K1643)&lt;'Sollecitazioni nel paramento'!$G$58,ABS(K1643)*'Sollecitazioni nel paramento'!$G$54,'Sollecitazioni nel paramento'!$G$53)*IF(K1643&lt;0,-1,1)</f>
        <v>0</v>
      </c>
      <c r="R1643" s="545">
        <f>'Foglio deposito bis'!$F$69*IF(ABS(L1643)&lt;'Sollecitazioni nel paramento'!$G$58,ABS(L1643)*'Sollecitazioni nel paramento'!$G$54,'Sollecitazioni nel paramento'!$G$53)*IF(L1643&lt;0,-1,1)</f>
        <v>-143187.43707244509</v>
      </c>
      <c r="S1643" s="545">
        <f>'Foglio deposito bis'!$F$70*IF(ABS(M1643)&lt;'Sollecitazioni nel paramento'!$G$58,ABS(M1643)*'Sollecitazioni nel paramento'!$G$54,'Sollecitazioni nel paramento'!$G$53)*IF(M1643&lt;0,-1,1)</f>
        <v>0</v>
      </c>
      <c r="T1643" s="545">
        <f>'Foglio deposito bis'!$F$71*IF(ABS(N1643)&lt;'Sollecitazioni nel paramento'!$G$58,ABS(N1643)*'Sollecitazioni nel paramento'!$G$54,'Sollecitazioni nel paramento'!$G$53)*IF(N1643&lt;0,-1,1)</f>
        <v>184443.35305000257</v>
      </c>
      <c r="U1643" s="545">
        <f>'Foglio deposito bis'!$F$72*IF(ABS(O1643)&lt;'Sollecitazioni nel paramento'!$G$58,ABS(O1643)*'Sollecitazioni nel paramento'!$G$54,'Sollecitazioni nel paramento'!$G$53)*IF(O1643&lt;0,-1,1)</f>
        <v>491727.54577927204</v>
      </c>
      <c r="V1643" s="472">
        <f t="shared" si="117"/>
        <v>-4091557.3647633148</v>
      </c>
      <c r="W1643" s="551"/>
      <c r="X1643" s="551"/>
    </row>
    <row r="1644" spans="1:24" x14ac:dyDescent="0.25">
      <c r="A1644" s="545">
        <f t="shared" si="116"/>
        <v>4166613.9326672247</v>
      </c>
      <c r="B1644" s="3">
        <f t="shared" si="114"/>
        <v>14.899999999999968</v>
      </c>
      <c r="C1644" s="545">
        <f>'Foglio deposito bis'!$E$159/sezione!$B$247*B1644</f>
        <v>123.04012781399962</v>
      </c>
      <c r="D1644" s="603">
        <f>-'Sollecitazioni nel paramento'!$G$47*'Sollecitazioni nel paramento'!$G$41*IF(DATI!$G$211="dx",DATI!$E$61,DATI!$E$64*DATI!$E$63)*1000*C1644^2*sezione!$AD$5*(1-sezione!$AD$6)</f>
        <v>-336819457.66143233</v>
      </c>
      <c r="E1644" s="545">
        <f>-'Foglio deposito bis'!$F$68*(C1644-sezione!$AL$33)*IF(ABS(K1644)&lt;'Sollecitazioni nel paramento'!$G$58,ABS(K1644)*'Sollecitazioni nel paramento'!$G$54,'Sollecitazioni nel paramento'!$G$53)</f>
        <v>0</v>
      </c>
      <c r="F1644" s="545">
        <f>-'Foglio deposito bis'!$F$69*(C1644-sezione!$AM$33)*IF(ABS(L1644)&lt;'Sollecitazioni nel paramento'!$G$58,ABS(L1644)*'Sollecitazioni nel paramento'!$G$54,'Sollecitazioni nel paramento'!$G$53)</f>
        <v>-9144975.5113705415</v>
      </c>
      <c r="G1644" s="545">
        <f>-'Foglio deposito bis'!$F$70*(C1644-sezione!$AN$33)*IF(ABS(M1644)&lt;'Sollecitazioni nel paramento'!$G$58,ABS(M1644)*'Sollecitazioni nel paramento'!$G$54,'Sollecitazioni nel paramento'!$G$53)</f>
        <v>0</v>
      </c>
      <c r="H1644" s="545">
        <f>-'Foglio deposito bis'!$F$71*(C1644-sezione!$AO$33)*IF(ABS(N1644)&lt;'Sollecitazioni nel paramento'!$G$58,ABS(N1644)*'Sollecitazioni nel paramento'!$G$54,'Sollecitazioni nel paramento'!$G$53)</f>
        <v>6437826.2369193453</v>
      </c>
      <c r="I1644" s="472">
        <f>-'Foglio deposito bis'!$F$72*(C1644-sezione!$AP$33)*IF(ABS(O1644)&lt;'Sollecitazioni nel paramento'!$G$58,ABS(O1644)*'Sollecitazioni nel paramento'!$G$54,'Sollecitazioni nel paramento'!$G$53)</f>
        <v>219903447.48818609</v>
      </c>
      <c r="J1644" s="472">
        <f t="shared" si="115"/>
        <v>-119623159.44769743</v>
      </c>
      <c r="K1644" s="550">
        <f>'Sollecitazioni nel paramento'!$G$60*(sezione!$AL$33-C1644)/C1644</f>
        <v>-2.3621598295830879E-3</v>
      </c>
      <c r="L1644" s="550">
        <f>'Sollecitazioni nel paramento'!$G$60*(sezione!$AM$33-C1644)/C1644</f>
        <v>-1.7932397443746317E-3</v>
      </c>
      <c r="M1644" s="551">
        <f>'Sollecitazioni nel paramento'!$G$60*(sezione!$AN$33-C1644)/C1644</f>
        <v>-1.2243196591661754E-3</v>
      </c>
      <c r="N1644" s="551">
        <f>'Sollecitazioni nel paramento'!$G$60*(sezione!$AO$33-C1644)/C1644</f>
        <v>1.0513606816676495E-3</v>
      </c>
      <c r="O1644" s="551">
        <f>'Sollecitazioni nel paramento'!$G$60*(sezione!$AP$33-C1644)/C1644</f>
        <v>1.2721220232267676E-2</v>
      </c>
      <c r="P1644" s="545">
        <f>-'Sollecitazioni nel paramento'!$G$47*'Sollecitazioni nel paramento'!$G$41*IF(DATI!$G$211="dx",DATI!$E$61,DATI!$E$64*DATI!$E$63)*1000*C1644*sezione!$AD$5</f>
        <v>-4687459.7493299423</v>
      </c>
      <c r="Q1644" s="545">
        <f>'Foglio deposito bis'!$F$68*IF(ABS(K1644)&lt;'Sollecitazioni nel paramento'!$G$58,ABS(K1644)*'Sollecitazioni nel paramento'!$G$54,'Sollecitazioni nel paramento'!$G$53)*IF(K1644&lt;0,-1,1)</f>
        <v>0</v>
      </c>
      <c r="R1644" s="545">
        <f>'Foglio deposito bis'!$F$69*IF(ABS(L1644)&lt;'Sollecitazioni nel paramento'!$G$58,ABS(L1644)*'Sollecitazioni nel paramento'!$G$54,'Sollecitazioni nel paramento'!$G$53)*IF(L1644&lt;0,-1,1)</f>
        <v>-145065.94178160396</v>
      </c>
      <c r="S1644" s="545">
        <f>'Foglio deposito bis'!$F$70*IF(ABS(M1644)&lt;'Sollecitazioni nel paramento'!$G$58,ABS(M1644)*'Sollecitazioni nel paramento'!$G$54,'Sollecitazioni nel paramento'!$G$53)*IF(M1644&lt;0,-1,1)</f>
        <v>0</v>
      </c>
      <c r="T1644" s="545">
        <f>'Foglio deposito bis'!$F$71*IF(ABS(N1644)&lt;'Sollecitazioni nel paramento'!$G$58,ABS(N1644)*'Sollecitazioni nel paramento'!$G$54,'Sollecitazioni nel paramento'!$G$53)*IF(N1644&lt;0,-1,1)</f>
        <v>174184.21266504971</v>
      </c>
      <c r="U1644" s="545">
        <f>'Foglio deposito bis'!$F$72*IF(ABS(O1644)&lt;'Sollecitazioni nel paramento'!$G$58,ABS(O1644)*'Sollecitazioni nel paramento'!$G$54,'Sollecitazioni nel paramento'!$G$53)*IF(O1644&lt;0,-1,1)</f>
        <v>491727.54577927204</v>
      </c>
      <c r="V1644" s="472">
        <f t="shared" si="117"/>
        <v>-4166613.9326672247</v>
      </c>
      <c r="W1644" s="551"/>
      <c r="X1644" s="551"/>
    </row>
    <row r="1645" spans="1:24" x14ac:dyDescent="0.25">
      <c r="A1645" s="545">
        <f t="shared" si="116"/>
        <v>4241348.9735487737</v>
      </c>
      <c r="B1645" s="3">
        <f t="shared" si="114"/>
        <v>15.099999999999968</v>
      </c>
      <c r="C1645" s="545">
        <f>'Foglio deposito bis'!$E$159/sezione!$B$247*B1645</f>
        <v>124.69167315378485</v>
      </c>
      <c r="D1645" s="603">
        <f>-'Sollecitazioni nel paramento'!$G$47*'Sollecitazioni nel paramento'!$G$41*IF(DATI!$G$211="dx",DATI!$E$61,DATI!$E$64*DATI!$E$63)*1000*C1645^2*sezione!$AD$5*(1-sezione!$AD$6)</f>
        <v>-345922276.21000487</v>
      </c>
      <c r="E1645" s="545">
        <f>-'Foglio deposito bis'!$F$68*(C1645-sezione!$AL$33)*IF(ABS(K1645)&lt;'Sollecitazioni nel paramento'!$G$58,ABS(K1645)*'Sollecitazioni nel paramento'!$G$54,'Sollecitazioni nel paramento'!$G$53)</f>
        <v>0</v>
      </c>
      <c r="F1645" s="545">
        <f>-'Foglio deposito bis'!$F$69*(C1645-sezione!$AM$33)*IF(ABS(L1645)&lt;'Sollecitazioni nel paramento'!$G$58,ABS(L1645)*'Sollecitazioni nel paramento'!$G$54,'Sollecitazioni nel paramento'!$G$53)</f>
        <v>-9502862.9355968982</v>
      </c>
      <c r="G1645" s="545">
        <f>-'Foglio deposito bis'!$F$70*(C1645-sezione!$AN$33)*IF(ABS(M1645)&lt;'Sollecitazioni nel paramento'!$G$58,ABS(M1645)*'Sollecitazioni nel paramento'!$G$54,'Sollecitazioni nel paramento'!$G$53)</f>
        <v>0</v>
      </c>
      <c r="H1645" s="545">
        <f>-'Foglio deposito bis'!$F$71*(C1645-sezione!$AO$33)*IF(ABS(N1645)&lt;'Sollecitazioni nel paramento'!$G$58,ABS(N1645)*'Sollecitazioni nel paramento'!$G$54,'Sollecitazioni nel paramento'!$G$53)</f>
        <v>5797515.6086828653</v>
      </c>
      <c r="I1645" s="472">
        <f>-'Foglio deposito bis'!$F$72*(C1645-sezione!$AP$33)*IF(ABS(O1645)&lt;'Sollecitazioni nel paramento'!$G$58,ABS(O1645)*'Sollecitazioni nel paramento'!$G$54,'Sollecitazioni nel paramento'!$G$53)</f>
        <v>219091337.1515103</v>
      </c>
      <c r="J1645" s="472">
        <f t="shared" si="115"/>
        <v>-130536286.38540858</v>
      </c>
      <c r="K1645" s="550">
        <f>'Sollecitazioni nel paramento'!$G$60*(sezione!$AL$33-C1645)/C1645</f>
        <v>-2.3772305603170867E-3</v>
      </c>
      <c r="L1645" s="550">
        <f>'Sollecitazioni nel paramento'!$G$60*(sezione!$AM$33-C1645)/C1645</f>
        <v>-1.8158458404756298E-3</v>
      </c>
      <c r="M1645" s="551">
        <f>'Sollecitazioni nel paramento'!$G$60*(sezione!$AN$33-C1645)/C1645</f>
        <v>-1.2544611206341729E-3</v>
      </c>
      <c r="N1645" s="551">
        <f>'Sollecitazioni nel paramento'!$G$60*(sezione!$AO$33-C1645)/C1645</f>
        <v>9.9107775873165404E-4</v>
      </c>
      <c r="O1645" s="551">
        <f>'Sollecitazioni nel paramento'!$G$60*(sezione!$AP$33-C1645)/C1645</f>
        <v>1.2506369633164793E-2</v>
      </c>
      <c r="P1645" s="545">
        <f>-'Sollecitazioni nel paramento'!$G$47*'Sollecitazioni nel paramento'!$G$41*IF(DATI!$G$211="dx",DATI!$E$61,DATI!$E$64*DATI!$E$63)*1000*C1645*sezione!$AD$5</f>
        <v>-4750378.6721397405</v>
      </c>
      <c r="Q1645" s="545">
        <f>'Foglio deposito bis'!$F$68*IF(ABS(K1645)&lt;'Sollecitazioni nel paramento'!$G$58,ABS(K1645)*'Sollecitazioni nel paramento'!$G$54,'Sollecitazioni nel paramento'!$G$53)*IF(K1645&lt;0,-1,1)</f>
        <v>0</v>
      </c>
      <c r="R1645" s="545">
        <f>'Foglio deposito bis'!$F$69*IF(ABS(L1645)&lt;'Sollecitazioni nel paramento'!$G$58,ABS(L1645)*'Sollecitazioni nel paramento'!$G$54,'Sollecitazioni nel paramento'!$G$53)*IF(L1645&lt;0,-1,1)</f>
        <v>-146894.68477661291</v>
      </c>
      <c r="S1645" s="545">
        <f>'Foglio deposito bis'!$F$70*IF(ABS(M1645)&lt;'Sollecitazioni nel paramento'!$G$58,ABS(M1645)*'Sollecitazioni nel paramento'!$G$54,'Sollecitazioni nel paramento'!$G$53)*IF(M1645&lt;0,-1,1)</f>
        <v>0</v>
      </c>
      <c r="T1645" s="545">
        <f>'Foglio deposito bis'!$F$71*IF(ABS(N1645)&lt;'Sollecitazioni nel paramento'!$G$58,ABS(N1645)*'Sollecitazioni nel paramento'!$G$54,'Sollecitazioni nel paramento'!$G$53)*IF(N1645&lt;0,-1,1)</f>
        <v>164196.83758830745</v>
      </c>
      <c r="U1645" s="545">
        <f>'Foglio deposito bis'!$F$72*IF(ABS(O1645)&lt;'Sollecitazioni nel paramento'!$G$58,ABS(O1645)*'Sollecitazioni nel paramento'!$G$54,'Sollecitazioni nel paramento'!$G$53)*IF(O1645&lt;0,-1,1)</f>
        <v>491727.54577927204</v>
      </c>
      <c r="V1645" s="472">
        <f t="shared" si="117"/>
        <v>-4241348.9735487737</v>
      </c>
      <c r="W1645" s="551"/>
      <c r="X1645" s="551"/>
    </row>
    <row r="1646" spans="1:24" x14ac:dyDescent="0.25">
      <c r="A1646" s="545">
        <f t="shared" si="116"/>
        <v>4315775.0963108009</v>
      </c>
      <c r="B1646" s="3">
        <f t="shared" si="114"/>
        <v>15.299999999999967</v>
      </c>
      <c r="C1646" s="545">
        <f>'Foglio deposito bis'!$E$159/sezione!$B$247*B1646</f>
        <v>126.34321849357008</v>
      </c>
      <c r="D1646" s="603">
        <f>-'Sollecitazioni nel paramento'!$G$47*'Sollecitazioni nel paramento'!$G$41*IF(DATI!$G$211="dx",DATI!$E$61,DATI!$E$64*DATI!$E$63)*1000*C1646^2*sezione!$AD$5*(1-sezione!$AD$6)</f>
        <v>-355146465.67255849</v>
      </c>
      <c r="E1646" s="545">
        <f>-'Foglio deposito bis'!$F$68*(C1646-sezione!$AL$33)*IF(ABS(K1646)&lt;'Sollecitazioni nel paramento'!$G$58,ABS(K1646)*'Sollecitazioni nel paramento'!$G$54,'Sollecitazioni nel paramento'!$G$53)</f>
        <v>0</v>
      </c>
      <c r="F1646" s="545">
        <f>-'Foglio deposito bis'!$F$69*(C1646-sezione!$AM$33)*IF(ABS(L1646)&lt;'Sollecitazioni nel paramento'!$G$58,ABS(L1646)*'Sollecitazioni nel paramento'!$G$54,'Sollecitazioni nel paramento'!$G$53)</f>
        <v>-9863618.9762860127</v>
      </c>
      <c r="G1646" s="545">
        <f>-'Foglio deposito bis'!$F$70*(C1646-sezione!$AN$33)*IF(ABS(M1646)&lt;'Sollecitazioni nel paramento'!$G$58,ABS(M1646)*'Sollecitazioni nel paramento'!$G$54,'Sollecitazioni nel paramento'!$G$53)</f>
        <v>0</v>
      </c>
      <c r="H1646" s="545">
        <f>-'Foglio deposito bis'!$F$71*(C1646-sezione!$AO$33)*IF(ABS(N1646)&lt;'Sollecitazioni nel paramento'!$G$58,ABS(N1646)*'Sollecitazioni nel paramento'!$G$54,'Sollecitazioni nel paramento'!$G$53)</f>
        <v>5198982.2356693586</v>
      </c>
      <c r="I1646" s="472">
        <f>-'Foglio deposito bis'!$F$72*(C1646-sezione!$AP$33)*IF(ABS(O1646)&lt;'Sollecitazioni nel paramento'!$G$58,ABS(O1646)*'Sollecitazioni nel paramento'!$G$54,'Sollecitazioni nel paramento'!$G$53)</f>
        <v>218279226.81483451</v>
      </c>
      <c r="J1646" s="472">
        <f t="shared" si="115"/>
        <v>-141531875.5983406</v>
      </c>
      <c r="K1646" s="550">
        <f>'Sollecitazioni nel paramento'!$G$60*(sezione!$AL$33-C1646)/C1646</f>
        <v>-2.3919072850188236E-3</v>
      </c>
      <c r="L1646" s="550">
        <f>'Sollecitazioni nel paramento'!$G$60*(sezione!$AM$33-C1646)/C1646</f>
        <v>-1.837860927528236E-3</v>
      </c>
      <c r="M1646" s="551">
        <f>'Sollecitazioni nel paramento'!$G$60*(sezione!$AN$33-C1646)/C1646</f>
        <v>-1.2838145700376478E-3</v>
      </c>
      <c r="N1646" s="551">
        <f>'Sollecitazioni nel paramento'!$G$60*(sezione!$AO$33-C1646)/C1646</f>
        <v>9.3237085992470422E-4</v>
      </c>
      <c r="O1646" s="551">
        <f>'Sollecitazioni nel paramento'!$G$60*(sezione!$AP$33-C1646)/C1646</f>
        <v>1.2297136043188783E-2</v>
      </c>
      <c r="P1646" s="545">
        <f>-'Sollecitazioni nel paramento'!$G$47*'Sollecitazioni nel paramento'!$G$41*IF(DATI!$G$211="dx",DATI!$E$61,DATI!$E$64*DATI!$E$63)*1000*C1646*sezione!$AD$5</f>
        <v>-4813297.5949495388</v>
      </c>
      <c r="Q1646" s="545">
        <f>'Foglio deposito bis'!$F$68*IF(ABS(K1646)&lt;'Sollecitazioni nel paramento'!$G$58,ABS(K1646)*'Sollecitazioni nel paramento'!$G$54,'Sollecitazioni nel paramento'!$G$53)*IF(K1646&lt;0,-1,1)</f>
        <v>0</v>
      </c>
      <c r="R1646" s="545">
        <f>'Foglio deposito bis'!$F$69*IF(ABS(L1646)&lt;'Sollecitazioni nel paramento'!$G$58,ABS(L1646)*'Sollecitazioni nel paramento'!$G$54,'Sollecitazioni nel paramento'!$G$53)*IF(L1646&lt;0,-1,1)</f>
        <v>-148675.61749724255</v>
      </c>
      <c r="S1646" s="545">
        <f>'Foglio deposito bis'!$F$70*IF(ABS(M1646)&lt;'Sollecitazioni nel paramento'!$G$58,ABS(M1646)*'Sollecitazioni nel paramento'!$G$54,'Sollecitazioni nel paramento'!$G$53)*IF(M1646&lt;0,-1,1)</f>
        <v>0</v>
      </c>
      <c r="T1646" s="545">
        <f>'Foglio deposito bis'!$F$71*IF(ABS(N1646)&lt;'Sollecitazioni nel paramento'!$G$58,ABS(N1646)*'Sollecitazioni nel paramento'!$G$54,'Sollecitazioni nel paramento'!$G$53)*IF(N1646&lt;0,-1,1)</f>
        <v>154470.57035670878</v>
      </c>
      <c r="U1646" s="545">
        <f>'Foglio deposito bis'!$F$72*IF(ABS(O1646)&lt;'Sollecitazioni nel paramento'!$G$58,ABS(O1646)*'Sollecitazioni nel paramento'!$G$54,'Sollecitazioni nel paramento'!$G$53)*IF(O1646&lt;0,-1,1)</f>
        <v>491727.54577927204</v>
      </c>
      <c r="V1646" s="472">
        <f t="shared" si="117"/>
        <v>-4315775.0963108009</v>
      </c>
      <c r="W1646" s="551"/>
      <c r="X1646" s="551"/>
    </row>
    <row r="1647" spans="1:24" x14ac:dyDescent="0.25">
      <c r="A1647" s="545">
        <f t="shared" si="116"/>
        <v>4389904.2590740593</v>
      </c>
      <c r="B1647" s="3">
        <f t="shared" si="114"/>
        <v>15.499999999999966</v>
      </c>
      <c r="C1647" s="545">
        <f>'Foglio deposito bis'!$E$159/sezione!$B$247*B1647</f>
        <v>127.99476383335531</v>
      </c>
      <c r="D1647" s="603">
        <f>-'Sollecitazioni nel paramento'!$G$47*'Sollecitazioni nel paramento'!$G$41*IF(DATI!$G$211="dx",DATI!$E$61,DATI!$E$64*DATI!$E$63)*1000*C1647^2*sezione!$AD$5*(1-sezione!$AD$6)</f>
        <v>-364492026.04909295</v>
      </c>
      <c r="E1647" s="545">
        <f>-'Foglio deposito bis'!$F$68*(C1647-sezione!$AL$33)*IF(ABS(K1647)&lt;'Sollecitazioni nel paramento'!$G$58,ABS(K1647)*'Sollecitazioni nel paramento'!$G$54,'Sollecitazioni nel paramento'!$G$53)</f>
        <v>0</v>
      </c>
      <c r="F1647" s="545">
        <f>-'Foglio deposito bis'!$F$69*(C1647-sezione!$AM$33)*IF(ABS(L1647)&lt;'Sollecitazioni nel paramento'!$G$58,ABS(L1647)*'Sollecitazioni nel paramento'!$G$54,'Sollecitazioni nel paramento'!$G$53)</f>
        <v>-10227132.590219976</v>
      </c>
      <c r="G1647" s="545">
        <f>-'Foglio deposito bis'!$F$70*(C1647-sezione!$AN$33)*IF(ABS(M1647)&lt;'Sollecitazioni nel paramento'!$G$58,ABS(M1647)*'Sollecitazioni nel paramento'!$G$54,'Sollecitazioni nel paramento'!$G$53)</f>
        <v>0</v>
      </c>
      <c r="H1647" s="545">
        <f>-'Foglio deposito bis'!$F$71*(C1647-sezione!$AO$33)*IF(ABS(N1647)&lt;'Sollecitazioni nel paramento'!$G$58,ABS(N1647)*'Sollecitazioni nel paramento'!$G$54,'Sollecitazioni nel paramento'!$G$53)</f>
        <v>4640608.933805678</v>
      </c>
      <c r="I1647" s="472">
        <f>-'Foglio deposito bis'!$F$72*(C1647-sezione!$AP$33)*IF(ABS(O1647)&lt;'Sollecitazioni nel paramento'!$G$58,ABS(O1647)*'Sollecitazioni nel paramento'!$G$54,'Sollecitazioni nel paramento'!$G$53)</f>
        <v>217467116.47815877</v>
      </c>
      <c r="J1647" s="472">
        <f t="shared" si="115"/>
        <v>-152611433.22734845</v>
      </c>
      <c r="K1647" s="550">
        <f>'Sollecitazioni nel paramento'!$G$60*(sezione!$AL$33-C1647)/C1647</f>
        <v>-2.4062052555347104E-3</v>
      </c>
      <c r="L1647" s="550">
        <f>'Sollecitazioni nel paramento'!$G$60*(sezione!$AM$33-C1647)/C1647</f>
        <v>-1.8593078833020653E-3</v>
      </c>
      <c r="M1647" s="551">
        <f>'Sollecitazioni nel paramento'!$G$60*(sezione!$AN$33-C1647)/C1647</f>
        <v>-1.3124105110694203E-3</v>
      </c>
      <c r="N1647" s="551">
        <f>'Sollecitazioni nel paramento'!$G$60*(sezione!$AO$33-C1647)/C1647</f>
        <v>8.7517897786115967E-4</v>
      </c>
      <c r="O1647" s="551">
        <f>'Sollecitazioni nel paramento'!$G$60*(sezione!$AP$33-C1647)/C1647</f>
        <v>1.2093302029728281E-2</v>
      </c>
      <c r="P1647" s="545">
        <f>-'Sollecitazioni nel paramento'!$G$47*'Sollecitazioni nel paramento'!$G$41*IF(DATI!$G$211="dx",DATI!$E$61,DATI!$E$64*DATI!$E$63)*1000*C1647*sezione!$AD$5</f>
        <v>-4876216.5177593362</v>
      </c>
      <c r="Q1647" s="545">
        <f>'Foglio deposito bis'!$F$68*IF(ABS(K1647)&lt;'Sollecitazioni nel paramento'!$G$58,ABS(K1647)*'Sollecitazioni nel paramento'!$G$54,'Sollecitazioni nel paramento'!$G$53)*IF(K1647&lt;0,-1,1)</f>
        <v>0</v>
      </c>
      <c r="R1647" s="545">
        <f>'Foglio deposito bis'!$F$69*IF(ABS(L1647)&lt;'Sollecitazioni nel paramento'!$G$58,ABS(L1647)*'Sollecitazioni nel paramento'!$G$54,'Sollecitazioni nel paramento'!$G$53)*IF(L1647&lt;0,-1,1)</f>
        <v>-150410.59066379143</v>
      </c>
      <c r="S1647" s="545">
        <f>'Foglio deposito bis'!$F$70*IF(ABS(M1647)&lt;'Sollecitazioni nel paramento'!$G$58,ABS(M1647)*'Sollecitazioni nel paramento'!$G$54,'Sollecitazioni nel paramento'!$G$53)*IF(M1647&lt;0,-1,1)</f>
        <v>0</v>
      </c>
      <c r="T1647" s="545">
        <f>'Foglio deposito bis'!$F$71*IF(ABS(N1647)&lt;'Sollecitazioni nel paramento'!$G$58,ABS(N1647)*'Sollecitazioni nel paramento'!$G$54,'Sollecitazioni nel paramento'!$G$53)*IF(N1647&lt;0,-1,1)</f>
        <v>144995.30356979652</v>
      </c>
      <c r="U1647" s="545">
        <f>'Foglio deposito bis'!$F$72*IF(ABS(O1647)&lt;'Sollecitazioni nel paramento'!$G$58,ABS(O1647)*'Sollecitazioni nel paramento'!$G$54,'Sollecitazioni nel paramento'!$G$53)*IF(O1647&lt;0,-1,1)</f>
        <v>491727.54577927204</v>
      </c>
      <c r="V1647" s="472">
        <f t="shared" si="117"/>
        <v>-4389904.2590740593</v>
      </c>
      <c r="W1647" s="551"/>
      <c r="X1647" s="551"/>
    </row>
    <row r="1648" spans="1:24" x14ac:dyDescent="0.25">
      <c r="A1648" s="545">
        <f t="shared" si="116"/>
        <v>4465311.3079919955</v>
      </c>
      <c r="B1648" s="3">
        <f t="shared" si="114"/>
        <v>15.699999999999966</v>
      </c>
      <c r="C1648" s="545">
        <f>'Foglio deposito bis'!$E$159/sezione!$B$247*B1648</f>
        <v>129.64630917314054</v>
      </c>
      <c r="D1648" s="603">
        <f>-'Sollecitazioni nel paramento'!$G$47*'Sollecitazioni nel paramento'!$G$41*IF(DATI!$G$211="dx",DATI!$E$61,DATI!$E$64*DATI!$E$63)*1000*C1648^2*sezione!$AD$5*(1-sezione!$AD$6)</f>
        <v>-373958957.33960837</v>
      </c>
      <c r="E1648" s="545">
        <f>-'Foglio deposito bis'!$F$68*(C1648-sezione!$AL$33)*IF(ABS(K1648)&lt;'Sollecitazioni nel paramento'!$G$58,ABS(K1648)*'Sollecitazioni nel paramento'!$G$54,'Sollecitazioni nel paramento'!$G$53)</f>
        <v>0</v>
      </c>
      <c r="F1648" s="545">
        <f>-'Foglio deposito bis'!$F$69*(C1648-sezione!$AM$33)*IF(ABS(L1648)&lt;'Sollecitazioni nel paramento'!$G$58,ABS(L1648)*'Sollecitazioni nel paramento'!$G$54,'Sollecitazioni nel paramento'!$G$53)</f>
        <v>-10702190.213216497</v>
      </c>
      <c r="G1648" s="545">
        <f>-'Foglio deposito bis'!$F$70*(C1648-sezione!$AN$33)*IF(ABS(M1648)&lt;'Sollecitazioni nel paramento'!$G$58,ABS(M1648)*'Sollecitazioni nel paramento'!$G$54,'Sollecitazioni nel paramento'!$G$53)</f>
        <v>0</v>
      </c>
      <c r="H1648" s="545">
        <f>-'Foglio deposito bis'!$F$71*(C1648-sezione!$AO$33)*IF(ABS(N1648)&lt;'Sollecitazioni nel paramento'!$G$58,ABS(N1648)*'Sollecitazioni nel paramento'!$G$54,'Sollecitazioni nel paramento'!$G$53)</f>
        <v>4120860.9233026602</v>
      </c>
      <c r="I1648" s="472">
        <f>-'Foglio deposito bis'!$F$72*(C1648-sezione!$AP$33)*IF(ABS(O1648)&lt;'Sollecitazioni nel paramento'!$G$58,ABS(O1648)*'Sollecitazioni nel paramento'!$G$54,'Sollecitazioni nel paramento'!$G$53)</f>
        <v>216655006.14148298</v>
      </c>
      <c r="J1648" s="472">
        <f t="shared" si="115"/>
        <v>-163885280.48803923</v>
      </c>
      <c r="K1648" s="550">
        <f>'Sollecitazioni nel paramento'!$G$60*(sezione!$AL$33-C1648)/C1648</f>
        <v>-2.4201389465470066E-3</v>
      </c>
      <c r="L1648" s="550">
        <f>'Sollecitazioni nel paramento'!$G$60*(sezione!$AM$33-C1648)/C1648</f>
        <v>-1.8802084198205101E-3</v>
      </c>
      <c r="M1648" s="551">
        <f>'Sollecitazioni nel paramento'!$G$60*(sezione!$AN$33-C1648)/C1648</f>
        <v>-1.3402778930940136E-3</v>
      </c>
      <c r="N1648" s="551">
        <f>'Sollecitazioni nel paramento'!$G$60*(sezione!$AO$33-C1648)/C1648</f>
        <v>8.1944421381197291E-4</v>
      </c>
      <c r="O1648" s="551">
        <f>'Sollecitazioni nel paramento'!$G$60*(sezione!$AP$33-C1648)/C1648</f>
        <v>1.1894661239540661E-2</v>
      </c>
      <c r="P1648" s="545">
        <f>-'Sollecitazioni nel paramento'!$G$47*'Sollecitazioni nel paramento'!$G$41*IF(DATI!$G$211="dx",DATI!$E$61,DATI!$E$64*DATI!$E$63)*1000*C1648*sezione!$AD$5</f>
        <v>-4939135.4405691335</v>
      </c>
      <c r="Q1648" s="545">
        <f>'Foglio deposito bis'!$F$68*IF(ABS(K1648)&lt;'Sollecitazioni nel paramento'!$G$58,ABS(K1648)*'Sollecitazioni nel paramento'!$G$54,'Sollecitazioni nel paramento'!$G$53)*IF(K1648&lt;0,-1,1)</f>
        <v>0</v>
      </c>
      <c r="R1648" s="545">
        <f>'Foglio deposito bis'!$F$69*IF(ABS(L1648)&lt;'Sollecitazioni nel paramento'!$G$58,ABS(L1648)*'Sollecitazioni nel paramento'!$G$54,'Sollecitazioni nel paramento'!$G$53)*IF(L1648&lt;0,-1,1)</f>
        <v>-153664.85805602249</v>
      </c>
      <c r="S1648" s="545">
        <f>'Foglio deposito bis'!$F$70*IF(ABS(M1648)&lt;'Sollecitazioni nel paramento'!$G$58,ABS(M1648)*'Sollecitazioni nel paramento'!$G$54,'Sollecitazioni nel paramento'!$G$53)*IF(M1648&lt;0,-1,1)</f>
        <v>0</v>
      </c>
      <c r="T1648" s="545">
        <f>'Foglio deposito bis'!$F$71*IF(ABS(N1648)&lt;'Sollecitazioni nel paramento'!$G$58,ABS(N1648)*'Sollecitazioni nel paramento'!$G$54,'Sollecitazioni nel paramento'!$G$53)*IF(N1648&lt;0,-1,1)</f>
        <v>135761.44485388842</v>
      </c>
      <c r="U1648" s="545">
        <f>'Foglio deposito bis'!$F$72*IF(ABS(O1648)&lt;'Sollecitazioni nel paramento'!$G$58,ABS(O1648)*'Sollecitazioni nel paramento'!$G$54,'Sollecitazioni nel paramento'!$G$53)*IF(O1648&lt;0,-1,1)</f>
        <v>491727.54577927204</v>
      </c>
      <c r="V1648" s="472">
        <f t="shared" si="117"/>
        <v>-4465311.3079919955</v>
      </c>
      <c r="W1648" s="551"/>
      <c r="X1648" s="551"/>
    </row>
    <row r="1649" spans="1:24" x14ac:dyDescent="0.25">
      <c r="A1649" s="545">
        <f t="shared" si="116"/>
        <v>4537231.7911852263</v>
      </c>
      <c r="B1649" s="3">
        <f t="shared" si="114"/>
        <v>15.899999999999965</v>
      </c>
      <c r="C1649" s="545">
        <f>'Foglio deposito bis'!$E$159/sezione!$B$247*B1649</f>
        <v>131.29785451292577</v>
      </c>
      <c r="D1649" s="603">
        <f>-'Sollecitazioni nel paramento'!$G$47*'Sollecitazioni nel paramento'!$G$41*IF(DATI!$G$211="dx",DATI!$E$61,DATI!$E$64*DATI!$E$63)*1000*C1649^2*sezione!$AD$5*(1-sezione!$AD$6)</f>
        <v>-383547259.54410481</v>
      </c>
      <c r="E1649" s="545">
        <f>-'Foglio deposito bis'!$F$68*(C1649-sezione!$AL$33)*IF(ABS(K1649)&lt;'Sollecitazioni nel paramento'!$G$58,ABS(K1649)*'Sollecitazioni nel paramento'!$G$54,'Sollecitazioni nel paramento'!$G$53)</f>
        <v>0</v>
      </c>
      <c r="F1649" s="545">
        <f>-'Foglio deposito bis'!$F$69*(C1649-sezione!$AM$33)*IF(ABS(L1649)&lt;'Sollecitazioni nel paramento'!$G$58,ABS(L1649)*'Sollecitazioni nel paramento'!$G$54,'Sollecitazioni nel paramento'!$G$53)</f>
        <v>-10955974.69342768</v>
      </c>
      <c r="G1649" s="545">
        <f>-'Foglio deposito bis'!$F$70*(C1649-sezione!$AN$33)*IF(ABS(M1649)&lt;'Sollecitazioni nel paramento'!$G$58,ABS(M1649)*'Sollecitazioni nel paramento'!$G$54,'Sollecitazioni nel paramento'!$G$53)</f>
        <v>0</v>
      </c>
      <c r="H1649" s="545">
        <f>-'Foglio deposito bis'!$F$71*(C1649-sezione!$AO$33)*IF(ABS(N1649)&lt;'Sollecitazioni nel paramento'!$G$58,ABS(N1649)*'Sollecitazioni nel paramento'!$G$54,'Sollecitazioni nel paramento'!$G$53)</f>
        <v>3638280.6459957506</v>
      </c>
      <c r="I1649" s="472">
        <f>-'Foglio deposito bis'!$F$72*(C1649-sezione!$AP$33)*IF(ABS(O1649)&lt;'Sollecitazioni nel paramento'!$G$58,ABS(O1649)*'Sollecitazioni nel paramento'!$G$54,'Sollecitazioni nel paramento'!$G$53)</f>
        <v>215842895.80480719</v>
      </c>
      <c r="J1649" s="472">
        <f t="shared" si="115"/>
        <v>-175022057.78672957</v>
      </c>
      <c r="K1649" s="550">
        <f>'Sollecitazioni nel paramento'!$G$60*(sezione!$AL$33-C1649)/C1649</f>
        <v>-2.4337221044520756E-3</v>
      </c>
      <c r="L1649" s="550">
        <f>'Sollecitazioni nel paramento'!$G$60*(sezione!$AM$33-C1649)/C1649</f>
        <v>-1.9005831566781138E-3</v>
      </c>
      <c r="M1649" s="551">
        <f>'Sollecitazioni nel paramento'!$G$60*(sezione!$AN$33-C1649)/C1649</f>
        <v>-1.3674442089041518E-3</v>
      </c>
      <c r="N1649" s="551">
        <f>'Sollecitazioni nel paramento'!$G$60*(sezione!$AO$33-C1649)/C1649</f>
        <v>7.6511158219169661E-4</v>
      </c>
      <c r="O1649" s="551">
        <f>'Sollecitazioni nel paramento'!$G$60*(sezione!$AP$33-C1649)/C1649</f>
        <v>1.1701017701936376E-2</v>
      </c>
      <c r="P1649" s="545">
        <f>-'Sollecitazioni nel paramento'!$G$47*'Sollecitazioni nel paramento'!$G$41*IF(DATI!$G$211="dx",DATI!$E$61,DATI!$E$64*DATI!$E$63)*1000*C1649*sezione!$AD$5</f>
        <v>-5002054.3633789318</v>
      </c>
      <c r="Q1649" s="545">
        <f>'Foglio deposito bis'!$F$68*IF(ABS(K1649)&lt;'Sollecitazioni nel paramento'!$G$58,ABS(K1649)*'Sollecitazioni nel paramento'!$G$54,'Sollecitazioni nel paramento'!$G$53)*IF(K1649&lt;0,-1,1)</f>
        <v>0</v>
      </c>
      <c r="R1649" s="545">
        <f>'Foglio deposito bis'!$F$69*IF(ABS(L1649)&lt;'Sollecitazioni nel paramento'!$G$58,ABS(L1649)*'Sollecitazioni nel paramento'!$G$54,'Sollecitazioni nel paramento'!$G$53)*IF(L1649&lt;0,-1,1)</f>
        <v>-153664.85805602249</v>
      </c>
      <c r="S1649" s="545">
        <f>'Foglio deposito bis'!$F$70*IF(ABS(M1649)&lt;'Sollecitazioni nel paramento'!$G$58,ABS(M1649)*'Sollecitazioni nel paramento'!$G$54,'Sollecitazioni nel paramento'!$G$53)*IF(M1649&lt;0,-1,1)</f>
        <v>0</v>
      </c>
      <c r="T1649" s="545">
        <f>'Foglio deposito bis'!$F$71*IF(ABS(N1649)&lt;'Sollecitazioni nel paramento'!$G$58,ABS(N1649)*'Sollecitazioni nel paramento'!$G$54,'Sollecitazioni nel paramento'!$G$53)*IF(N1649&lt;0,-1,1)</f>
        <v>126759.88447045602</v>
      </c>
      <c r="U1649" s="545">
        <f>'Foglio deposito bis'!$F$72*IF(ABS(O1649)&lt;'Sollecitazioni nel paramento'!$G$58,ABS(O1649)*'Sollecitazioni nel paramento'!$G$54,'Sollecitazioni nel paramento'!$G$53)*IF(O1649&lt;0,-1,1)</f>
        <v>491727.54577927204</v>
      </c>
      <c r="V1649" s="472">
        <f t="shared" si="117"/>
        <v>-4537231.7911852263</v>
      </c>
      <c r="W1649" s="551"/>
      <c r="X1649" s="551"/>
    </row>
    <row r="1650" spans="1:24" x14ac:dyDescent="0.25">
      <c r="A1650" s="545">
        <f t="shared" si="116"/>
        <v>4608928.6331266947</v>
      </c>
      <c r="B1650" s="3">
        <f t="shared" si="114"/>
        <v>16.099999999999966</v>
      </c>
      <c r="C1650" s="545">
        <f>'Foglio deposito bis'!$E$159/sezione!$B$247*B1650</f>
        <v>132.949399852711</v>
      </c>
      <c r="D1650" s="603">
        <f>-'Sollecitazioni nel paramento'!$G$47*'Sollecitazioni nel paramento'!$G$41*IF(DATI!$G$211="dx",DATI!$E$61,DATI!$E$64*DATI!$E$63)*1000*C1650^2*sezione!$AD$5*(1-sezione!$AD$6)</f>
        <v>-393256932.66258216</v>
      </c>
      <c r="E1650" s="545">
        <f>-'Foglio deposito bis'!$F$68*(C1650-sezione!$AL$33)*IF(ABS(K1650)&lt;'Sollecitazioni nel paramento'!$G$58,ABS(K1650)*'Sollecitazioni nel paramento'!$G$54,'Sollecitazioni nel paramento'!$G$53)</f>
        <v>0</v>
      </c>
      <c r="F1650" s="545">
        <f>-'Foglio deposito bis'!$F$69*(C1650-sezione!$AM$33)*IF(ABS(L1650)&lt;'Sollecitazioni nel paramento'!$G$58,ABS(L1650)*'Sollecitazioni nel paramento'!$G$54,'Sollecitazioni nel paramento'!$G$53)</f>
        <v>-11209759.173638863</v>
      </c>
      <c r="G1650" s="545">
        <f>-'Foglio deposito bis'!$F$70*(C1650-sezione!$AN$33)*IF(ABS(M1650)&lt;'Sollecitazioni nel paramento'!$G$58,ABS(M1650)*'Sollecitazioni nel paramento'!$G$54,'Sollecitazioni nel paramento'!$G$53)</f>
        <v>0</v>
      </c>
      <c r="H1650" s="545">
        <f>-'Foglio deposito bis'!$F$71*(C1650-sezione!$AO$33)*IF(ABS(N1650)&lt;'Sollecitazioni nel paramento'!$G$58,ABS(N1650)*'Sollecitazioni nel paramento'!$G$54,'Sollecitazioni nel paramento'!$G$53)</f>
        <v>3191482.9689708068</v>
      </c>
      <c r="I1650" s="472">
        <f>-'Foglio deposito bis'!$F$72*(C1650-sezione!$AP$33)*IF(ABS(O1650)&lt;'Sollecitazioni nel paramento'!$G$58,ABS(O1650)*'Sollecitazioni nel paramento'!$G$54,'Sollecitazioni nel paramento'!$G$53)</f>
        <v>215030785.46813139</v>
      </c>
      <c r="J1650" s="472">
        <f t="shared" si="115"/>
        <v>-186244423.39911881</v>
      </c>
      <c r="K1650" s="550">
        <f>'Sollecitazioni nel paramento'!$G$60*(sezione!$AL$33-C1650)/C1650</f>
        <v>-2.4469677925955283E-3</v>
      </c>
      <c r="L1650" s="550">
        <f>'Sollecitazioni nel paramento'!$G$60*(sezione!$AM$33-C1650)/C1650</f>
        <v>-1.9204516888932926E-3</v>
      </c>
      <c r="M1650" s="551">
        <f>'Sollecitazioni nel paramento'!$G$60*(sezione!$AN$33-C1650)/C1650</f>
        <v>-1.3939355851910566E-3</v>
      </c>
      <c r="N1650" s="551">
        <f>'Sollecitazioni nel paramento'!$G$60*(sezione!$AO$33-C1650)/C1650</f>
        <v>7.1212882961788656E-4</v>
      </c>
      <c r="O1650" s="551">
        <f>'Sollecitazioni nel paramento'!$G$60*(sezione!$AP$33-C1650)/C1650</f>
        <v>1.1512185183899898E-2</v>
      </c>
      <c r="P1650" s="545">
        <f>-'Sollecitazioni nel paramento'!$G$47*'Sollecitazioni nel paramento'!$G$41*IF(DATI!$G$211="dx",DATI!$E$61,DATI!$E$64*DATI!$E$63)*1000*C1650*sezione!$AD$5</f>
        <v>-5064973.28618873</v>
      </c>
      <c r="Q1650" s="545">
        <f>'Foglio deposito bis'!$F$68*IF(ABS(K1650)&lt;'Sollecitazioni nel paramento'!$G$58,ABS(K1650)*'Sollecitazioni nel paramento'!$G$54,'Sollecitazioni nel paramento'!$G$53)*IF(K1650&lt;0,-1,1)</f>
        <v>0</v>
      </c>
      <c r="R1650" s="545">
        <f>'Foglio deposito bis'!$F$69*IF(ABS(L1650)&lt;'Sollecitazioni nel paramento'!$G$58,ABS(L1650)*'Sollecitazioni nel paramento'!$G$54,'Sollecitazioni nel paramento'!$G$53)*IF(L1650&lt;0,-1,1)</f>
        <v>-153664.85805602249</v>
      </c>
      <c r="S1650" s="545">
        <f>'Foglio deposito bis'!$F$70*IF(ABS(M1650)&lt;'Sollecitazioni nel paramento'!$G$58,ABS(M1650)*'Sollecitazioni nel paramento'!$G$54,'Sollecitazioni nel paramento'!$G$53)*IF(M1650&lt;0,-1,1)</f>
        <v>0</v>
      </c>
      <c r="T1650" s="545">
        <f>'Foglio deposito bis'!$F$71*IF(ABS(N1650)&lt;'Sollecitazioni nel paramento'!$G$58,ABS(N1650)*'Sollecitazioni nel paramento'!$G$54,'Sollecitazioni nel paramento'!$G$53)*IF(N1650&lt;0,-1,1)</f>
        <v>117981.96533878586</v>
      </c>
      <c r="U1650" s="545">
        <f>'Foglio deposito bis'!$F$72*IF(ABS(O1650)&lt;'Sollecitazioni nel paramento'!$G$58,ABS(O1650)*'Sollecitazioni nel paramento'!$G$54,'Sollecitazioni nel paramento'!$G$53)*IF(O1650&lt;0,-1,1)</f>
        <v>491727.54577927204</v>
      </c>
      <c r="V1650" s="472">
        <f t="shared" si="117"/>
        <v>-4608928.6331266947</v>
      </c>
      <c r="W1650" s="551"/>
      <c r="X1650" s="551"/>
    </row>
    <row r="1651" spans="1:24" x14ac:dyDescent="0.25">
      <c r="A1651" s="545">
        <f t="shared" si="116"/>
        <v>4680410.0660097171</v>
      </c>
      <c r="B1651" s="3">
        <f t="shared" si="114"/>
        <v>16.299999999999965</v>
      </c>
      <c r="C1651" s="545">
        <f>'Foglio deposito bis'!$E$159/sezione!$B$247*B1651</f>
        <v>134.60094519249623</v>
      </c>
      <c r="D1651" s="603">
        <f>-'Sollecitazioni nel paramento'!$G$47*'Sollecitazioni nel paramento'!$G$41*IF(DATI!$G$211="dx",DATI!$E$61,DATI!$E$64*DATI!$E$63)*1000*C1651^2*sezione!$AD$5*(1-sezione!$AD$6)</f>
        <v>-403087976.69504058</v>
      </c>
      <c r="E1651" s="545">
        <f>-'Foglio deposito bis'!$F$68*(C1651-sezione!$AL$33)*IF(ABS(K1651)&lt;'Sollecitazioni nel paramento'!$G$58,ABS(K1651)*'Sollecitazioni nel paramento'!$G$54,'Sollecitazioni nel paramento'!$G$53)</f>
        <v>0</v>
      </c>
      <c r="F1651" s="545">
        <f>-'Foglio deposito bis'!$F$69*(C1651-sezione!$AM$33)*IF(ABS(L1651)&lt;'Sollecitazioni nel paramento'!$G$58,ABS(L1651)*'Sollecitazioni nel paramento'!$G$54,'Sollecitazioni nel paramento'!$G$53)</f>
        <v>-11463543.653850047</v>
      </c>
      <c r="G1651" s="545">
        <f>-'Foglio deposito bis'!$F$70*(C1651-sezione!$AN$33)*IF(ABS(M1651)&lt;'Sollecitazioni nel paramento'!$G$58,ABS(M1651)*'Sollecitazioni nel paramento'!$G$54,'Sollecitazioni nel paramento'!$G$53)</f>
        <v>0</v>
      </c>
      <c r="H1651" s="545">
        <f>-'Foglio deposito bis'!$F$71*(C1651-sezione!$AO$33)*IF(ABS(N1651)&lt;'Sollecitazioni nel paramento'!$G$58,ABS(N1651)*'Sollecitazioni nel paramento'!$G$54,'Sollecitazioni nel paramento'!$G$53)</f>
        <v>2779150.7412972073</v>
      </c>
      <c r="I1651" s="472">
        <f>-'Foglio deposito bis'!$F$72*(C1651-sezione!$AP$33)*IF(ABS(O1651)&lt;'Sollecitazioni nel paramento'!$G$58,ABS(O1651)*'Sollecitazioni nel paramento'!$G$54,'Sollecitazioni nel paramento'!$G$53)</f>
        <v>214218675.1314556</v>
      </c>
      <c r="J1651" s="472">
        <f t="shared" si="115"/>
        <v>-197553694.47613782</v>
      </c>
      <c r="K1651" s="550">
        <f>'Sollecitazioni nel paramento'!$G$60*(sezione!$AL$33-C1651)/C1651</f>
        <v>-2.4598884331771781E-3</v>
      </c>
      <c r="L1651" s="550">
        <f>'Sollecitazioni nel paramento'!$G$60*(sezione!$AM$33-C1651)/C1651</f>
        <v>-1.9398326497657673E-3</v>
      </c>
      <c r="M1651" s="551">
        <f>'Sollecitazioni nel paramento'!$G$60*(sezione!$AN$33-C1651)/C1651</f>
        <v>-1.4197768663543567E-3</v>
      </c>
      <c r="N1651" s="551">
        <f>'Sollecitazioni nel paramento'!$G$60*(sezione!$AO$33-C1651)/C1651</f>
        <v>6.6044626729128684E-4</v>
      </c>
      <c r="O1651" s="551">
        <f>'Sollecitazioni nel paramento'!$G$60*(sezione!$AP$33-C1651)/C1651</f>
        <v>1.1327986592686403E-2</v>
      </c>
      <c r="P1651" s="545">
        <f>-'Sollecitazioni nel paramento'!$G$47*'Sollecitazioni nel paramento'!$G$41*IF(DATI!$G$211="dx",DATI!$E$61,DATI!$E$64*DATI!$E$63)*1000*C1651*sezione!$AD$5</f>
        <v>-5127892.2089985283</v>
      </c>
      <c r="Q1651" s="545">
        <f>'Foglio deposito bis'!$F$68*IF(ABS(K1651)&lt;'Sollecitazioni nel paramento'!$G$58,ABS(K1651)*'Sollecitazioni nel paramento'!$G$54,'Sollecitazioni nel paramento'!$G$53)*IF(K1651&lt;0,-1,1)</f>
        <v>0</v>
      </c>
      <c r="R1651" s="545">
        <f>'Foglio deposito bis'!$F$69*IF(ABS(L1651)&lt;'Sollecitazioni nel paramento'!$G$58,ABS(L1651)*'Sollecitazioni nel paramento'!$G$54,'Sollecitazioni nel paramento'!$G$53)*IF(L1651&lt;0,-1,1)</f>
        <v>-153664.85805602249</v>
      </c>
      <c r="S1651" s="545">
        <f>'Foglio deposito bis'!$F$70*IF(ABS(M1651)&lt;'Sollecitazioni nel paramento'!$G$58,ABS(M1651)*'Sollecitazioni nel paramento'!$G$54,'Sollecitazioni nel paramento'!$G$53)*IF(M1651&lt;0,-1,1)</f>
        <v>0</v>
      </c>
      <c r="T1651" s="545">
        <f>'Foglio deposito bis'!$F$71*IF(ABS(N1651)&lt;'Sollecitazioni nel paramento'!$G$58,ABS(N1651)*'Sollecitazioni nel paramento'!$G$54,'Sollecitazioni nel paramento'!$G$53)*IF(N1651&lt;0,-1,1)</f>
        <v>109419.45526556164</v>
      </c>
      <c r="U1651" s="545">
        <f>'Foglio deposito bis'!$F$72*IF(ABS(O1651)&lt;'Sollecitazioni nel paramento'!$G$58,ABS(O1651)*'Sollecitazioni nel paramento'!$G$54,'Sollecitazioni nel paramento'!$G$53)*IF(O1651&lt;0,-1,1)</f>
        <v>491727.54577927204</v>
      </c>
      <c r="V1651" s="472">
        <f t="shared" si="117"/>
        <v>-4680410.0660097171</v>
      </c>
      <c r="W1651" s="551"/>
      <c r="X1651" s="551"/>
    </row>
    <row r="1652" spans="1:24" x14ac:dyDescent="0.25">
      <c r="A1652" s="545">
        <f t="shared" si="116"/>
        <v>4751683.922890964</v>
      </c>
      <c r="B1652" s="3">
        <f t="shared" si="114"/>
        <v>16.499999999999964</v>
      </c>
      <c r="C1652" s="545">
        <f>'Foglio deposito bis'!$E$159/sezione!$B$247*B1652</f>
        <v>136.25249053228146</v>
      </c>
      <c r="D1652" s="603">
        <f>-'Sollecitazioni nel paramento'!$G$47*'Sollecitazioni nel paramento'!$G$41*IF(DATI!$G$211="dx",DATI!$E$61,DATI!$E$64*DATI!$E$63)*1000*C1652^2*sezione!$AD$5*(1-sezione!$AD$6)</f>
        <v>-413040391.64147991</v>
      </c>
      <c r="E1652" s="545">
        <f>-'Foglio deposito bis'!$F$68*(C1652-sezione!$AL$33)*IF(ABS(K1652)&lt;'Sollecitazioni nel paramento'!$G$58,ABS(K1652)*'Sollecitazioni nel paramento'!$G$54,'Sollecitazioni nel paramento'!$G$53)</f>
        <v>0</v>
      </c>
      <c r="F1652" s="545">
        <f>-'Foglio deposito bis'!$F$69*(C1652-sezione!$AM$33)*IF(ABS(L1652)&lt;'Sollecitazioni nel paramento'!$G$58,ABS(L1652)*'Sollecitazioni nel paramento'!$G$54,'Sollecitazioni nel paramento'!$G$53)</f>
        <v>-11717328.134061228</v>
      </c>
      <c r="G1652" s="545">
        <f>-'Foglio deposito bis'!$F$70*(C1652-sezione!$AN$33)*IF(ABS(M1652)&lt;'Sollecitazioni nel paramento'!$G$58,ABS(M1652)*'Sollecitazioni nel paramento'!$G$54,'Sollecitazioni nel paramento'!$G$53)</f>
        <v>0</v>
      </c>
      <c r="H1652" s="545">
        <f>-'Foglio deposito bis'!$F$71*(C1652-sezione!$AO$33)*IF(ABS(N1652)&lt;'Sollecitazioni nel paramento'!$G$58,ABS(N1652)*'Sollecitazioni nel paramento'!$G$54,'Sollecitazioni nel paramento'!$G$53)</f>
        <v>2400030.6739076287</v>
      </c>
      <c r="I1652" s="472">
        <f>-'Foglio deposito bis'!$F$72*(C1652-sezione!$AP$33)*IF(ABS(O1652)&lt;'Sollecitazioni nel paramento'!$G$58,ABS(O1652)*'Sollecitazioni nel paramento'!$G$54,'Sollecitazioni nel paramento'!$G$53)</f>
        <v>213406564.79477984</v>
      </c>
      <c r="J1652" s="472">
        <f t="shared" si="115"/>
        <v>-208951124.30685365</v>
      </c>
      <c r="K1652" s="550">
        <f>'Sollecitazioni nel paramento'!$G$60*(sezione!$AL$33-C1652)/C1652</f>
        <v>-2.4724958461083643E-3</v>
      </c>
      <c r="L1652" s="550">
        <f>'Sollecitazioni nel paramento'!$G$60*(sezione!$AM$33-C1652)/C1652</f>
        <v>-1.9587437691625464E-3</v>
      </c>
      <c r="M1652" s="551">
        <f>'Sollecitazioni nel paramento'!$G$60*(sezione!$AN$33-C1652)/C1652</f>
        <v>-1.4449916922167282E-3</v>
      </c>
      <c r="N1652" s="551">
        <f>'Sollecitazioni nel paramento'!$G$60*(sezione!$AO$33-C1652)/C1652</f>
        <v>6.1001661556654393E-4</v>
      </c>
      <c r="O1652" s="551">
        <f>'Sollecitazioni nel paramento'!$G$60*(sezione!$AP$33-C1652)/C1652</f>
        <v>1.1148253421865961E-2</v>
      </c>
      <c r="P1652" s="545">
        <f>-'Sollecitazioni nel paramento'!$G$47*'Sollecitazioni nel paramento'!$G$41*IF(DATI!$G$211="dx",DATI!$E$61,DATI!$E$64*DATI!$E$63)*1000*C1652*sezione!$AD$5</f>
        <v>-5190811.1318083256</v>
      </c>
      <c r="Q1652" s="545">
        <f>'Foglio deposito bis'!$F$68*IF(ABS(K1652)&lt;'Sollecitazioni nel paramento'!$G$58,ABS(K1652)*'Sollecitazioni nel paramento'!$G$54,'Sollecitazioni nel paramento'!$G$53)*IF(K1652&lt;0,-1,1)</f>
        <v>0</v>
      </c>
      <c r="R1652" s="545">
        <f>'Foglio deposito bis'!$F$69*IF(ABS(L1652)&lt;'Sollecitazioni nel paramento'!$G$58,ABS(L1652)*'Sollecitazioni nel paramento'!$G$54,'Sollecitazioni nel paramento'!$G$53)*IF(L1652&lt;0,-1,1)</f>
        <v>-153664.85805602249</v>
      </c>
      <c r="S1652" s="545">
        <f>'Foglio deposito bis'!$F$70*IF(ABS(M1652)&lt;'Sollecitazioni nel paramento'!$G$58,ABS(M1652)*'Sollecitazioni nel paramento'!$G$54,'Sollecitazioni nel paramento'!$G$53)*IF(M1652&lt;0,-1,1)</f>
        <v>0</v>
      </c>
      <c r="T1652" s="545">
        <f>'Foglio deposito bis'!$F$71*IF(ABS(N1652)&lt;'Sollecitazioni nel paramento'!$G$58,ABS(N1652)*'Sollecitazioni nel paramento'!$G$54,'Sollecitazioni nel paramento'!$G$53)*IF(N1652&lt;0,-1,1)</f>
        <v>101064.52119411253</v>
      </c>
      <c r="U1652" s="545">
        <f>'Foglio deposito bis'!$F$72*IF(ABS(O1652)&lt;'Sollecitazioni nel paramento'!$G$58,ABS(O1652)*'Sollecitazioni nel paramento'!$G$54,'Sollecitazioni nel paramento'!$G$53)*IF(O1652&lt;0,-1,1)</f>
        <v>491727.54577927204</v>
      </c>
      <c r="V1652" s="472">
        <f t="shared" si="117"/>
        <v>-4751683.922890964</v>
      </c>
      <c r="W1652" s="551"/>
      <c r="X1652" s="551"/>
    </row>
    <row r="1653" spans="1:24" x14ac:dyDescent="0.25">
      <c r="A1653" s="545">
        <f t="shared" si="116"/>
        <v>4822757.6615908584</v>
      </c>
      <c r="B1653" s="3">
        <f t="shared" si="114"/>
        <v>16.699999999999964</v>
      </c>
      <c r="C1653" s="545">
        <f>'Foglio deposito bis'!$E$159/sezione!$B$247*B1653</f>
        <v>137.90403587206669</v>
      </c>
      <c r="D1653" s="603">
        <f>-'Sollecitazioni nel paramento'!$G$47*'Sollecitazioni nel paramento'!$G$41*IF(DATI!$G$211="dx",DATI!$E$61,DATI!$E$64*DATI!$E$63)*1000*C1653^2*sezione!$AD$5*(1-sezione!$AD$6)</f>
        <v>-423114177.50190026</v>
      </c>
      <c r="E1653" s="545">
        <f>-'Foglio deposito bis'!$F$68*(C1653-sezione!$AL$33)*IF(ABS(K1653)&lt;'Sollecitazioni nel paramento'!$G$58,ABS(K1653)*'Sollecitazioni nel paramento'!$G$54,'Sollecitazioni nel paramento'!$G$53)</f>
        <v>0</v>
      </c>
      <c r="F1653" s="545">
        <f>-'Foglio deposito bis'!$F$69*(C1653-sezione!$AM$33)*IF(ABS(L1653)&lt;'Sollecitazioni nel paramento'!$G$58,ABS(L1653)*'Sollecitazioni nel paramento'!$G$54,'Sollecitazioni nel paramento'!$G$53)</f>
        <v>-11971112.614272412</v>
      </c>
      <c r="G1653" s="545">
        <f>-'Foglio deposito bis'!$F$70*(C1653-sezione!$AN$33)*IF(ABS(M1653)&lt;'Sollecitazioni nel paramento'!$G$58,ABS(M1653)*'Sollecitazioni nel paramento'!$G$54,'Sollecitazioni nel paramento'!$G$53)</f>
        <v>0</v>
      </c>
      <c r="H1653" s="545">
        <f>-'Foglio deposito bis'!$F$71*(C1653-sezione!$AO$33)*IF(ABS(N1653)&lt;'Sollecitazioni nel paramento'!$G$58,ABS(N1653)*'Sollecitazioni nel paramento'!$G$54,'Sollecitazioni nel paramento'!$G$53)</f>
        <v>2052929.5155343823</v>
      </c>
      <c r="I1653" s="472">
        <f>-'Foglio deposito bis'!$F$72*(C1653-sezione!$AP$33)*IF(ABS(O1653)&lt;'Sollecitazioni nel paramento'!$G$58,ABS(O1653)*'Sollecitazioni nel paramento'!$G$54,'Sollecitazioni nel paramento'!$G$53)</f>
        <v>212594454.45810404</v>
      </c>
      <c r="J1653" s="472">
        <f t="shared" si="115"/>
        <v>-220437906.14253423</v>
      </c>
      <c r="K1653" s="550">
        <f>'Sollecitazioni nel paramento'!$G$60*(sezione!$AL$33-C1653)/C1653</f>
        <v>-2.484801285077126E-3</v>
      </c>
      <c r="L1653" s="550">
        <f>'Sollecitazioni nel paramento'!$G$60*(sezione!$AM$33-C1653)/C1653</f>
        <v>-1.9772019276156892E-3</v>
      </c>
      <c r="M1653" s="551">
        <f>'Sollecitazioni nel paramento'!$G$60*(sezione!$AN$33-C1653)/C1653</f>
        <v>-1.4696025701542521E-3</v>
      </c>
      <c r="N1653" s="551">
        <f>'Sollecitazioni nel paramento'!$G$60*(sezione!$AO$33-C1653)/C1653</f>
        <v>5.6079485969149549E-4</v>
      </c>
      <c r="O1653" s="551">
        <f>'Sollecitazioni nel paramento'!$G$60*(sezione!$AP$33-C1653)/C1653</f>
        <v>1.0972825237172955E-2</v>
      </c>
      <c r="P1653" s="545">
        <f>-'Sollecitazioni nel paramento'!$G$47*'Sollecitazioni nel paramento'!$G$41*IF(DATI!$G$211="dx",DATI!$E$61,DATI!$E$64*DATI!$E$63)*1000*C1653*sezione!$AD$5</f>
        <v>-5253730.054618123</v>
      </c>
      <c r="Q1653" s="545">
        <f>'Foglio deposito bis'!$F$68*IF(ABS(K1653)&lt;'Sollecitazioni nel paramento'!$G$58,ABS(K1653)*'Sollecitazioni nel paramento'!$G$54,'Sollecitazioni nel paramento'!$G$53)*IF(K1653&lt;0,-1,1)</f>
        <v>0</v>
      </c>
      <c r="R1653" s="545">
        <f>'Foglio deposito bis'!$F$69*IF(ABS(L1653)&lt;'Sollecitazioni nel paramento'!$G$58,ABS(L1653)*'Sollecitazioni nel paramento'!$G$54,'Sollecitazioni nel paramento'!$G$53)*IF(L1653&lt;0,-1,1)</f>
        <v>-153664.85805602249</v>
      </c>
      <c r="S1653" s="545">
        <f>'Foglio deposito bis'!$F$70*IF(ABS(M1653)&lt;'Sollecitazioni nel paramento'!$G$58,ABS(M1653)*'Sollecitazioni nel paramento'!$G$54,'Sollecitazioni nel paramento'!$G$53)*IF(M1653&lt;0,-1,1)</f>
        <v>0</v>
      </c>
      <c r="T1653" s="545">
        <f>'Foglio deposito bis'!$F$71*IF(ABS(N1653)&lt;'Sollecitazioni nel paramento'!$G$58,ABS(N1653)*'Sollecitazioni nel paramento'!$G$54,'Sollecitazioni nel paramento'!$G$53)*IF(N1653&lt;0,-1,1)</f>
        <v>92909.705304015501</v>
      </c>
      <c r="U1653" s="545">
        <f>'Foglio deposito bis'!$F$72*IF(ABS(O1653)&lt;'Sollecitazioni nel paramento'!$G$58,ABS(O1653)*'Sollecitazioni nel paramento'!$G$54,'Sollecitazioni nel paramento'!$G$53)*IF(O1653&lt;0,-1,1)</f>
        <v>491727.54577927204</v>
      </c>
      <c r="V1653" s="472">
        <f t="shared" si="117"/>
        <v>-4822757.6615908584</v>
      </c>
      <c r="W1653" s="551"/>
      <c r="X1653" s="551"/>
    </row>
    <row r="1654" spans="1:24" x14ac:dyDescent="0.25">
      <c r="A1654" s="545">
        <f t="shared" si="116"/>
        <v>4893638.3868969055</v>
      </c>
      <c r="B1654" s="3">
        <f t="shared" si="114"/>
        <v>16.899999999999963</v>
      </c>
      <c r="C1654" s="545">
        <f>'Foglio deposito bis'!$E$159/sezione!$B$247*B1654</f>
        <v>139.55558121185192</v>
      </c>
      <c r="D1654" s="603">
        <f>-'Sollecitazioni nel paramento'!$G$47*'Sollecitazioni nel paramento'!$G$41*IF(DATI!$G$211="dx",DATI!$E$61,DATI!$E$64*DATI!$E$63)*1000*C1654^2*sezione!$AD$5*(1-sezione!$AD$6)</f>
        <v>-433309334.27630144</v>
      </c>
      <c r="E1654" s="545">
        <f>-'Foglio deposito bis'!$F$68*(C1654-sezione!$AL$33)*IF(ABS(K1654)&lt;'Sollecitazioni nel paramento'!$G$58,ABS(K1654)*'Sollecitazioni nel paramento'!$G$54,'Sollecitazioni nel paramento'!$G$53)</f>
        <v>0</v>
      </c>
      <c r="F1654" s="545">
        <f>-'Foglio deposito bis'!$F$69*(C1654-sezione!$AM$33)*IF(ABS(L1654)&lt;'Sollecitazioni nel paramento'!$G$58,ABS(L1654)*'Sollecitazioni nel paramento'!$G$54,'Sollecitazioni nel paramento'!$G$53)</f>
        <v>-12224897.094483595</v>
      </c>
      <c r="G1654" s="545">
        <f>-'Foglio deposito bis'!$F$70*(C1654-sezione!$AN$33)*IF(ABS(M1654)&lt;'Sollecitazioni nel paramento'!$G$58,ABS(M1654)*'Sollecitazioni nel paramento'!$G$54,'Sollecitazioni nel paramento'!$G$53)</f>
        <v>0</v>
      </c>
      <c r="H1654" s="545">
        <f>-'Foglio deposito bis'!$F$71*(C1654-sezione!$AO$33)*IF(ABS(N1654)&lt;'Sollecitazioni nel paramento'!$G$58,ABS(N1654)*'Sollecitazioni nel paramento'!$G$54,'Sollecitazioni nel paramento'!$G$53)</f>
        <v>1736710.5001768877</v>
      </c>
      <c r="I1654" s="472">
        <f>-'Foglio deposito bis'!$F$72*(C1654-sezione!$AP$33)*IF(ABS(O1654)&lt;'Sollecitazioni nel paramento'!$G$58,ABS(O1654)*'Sollecitazioni nel paramento'!$G$54,'Sollecitazioni nel paramento'!$G$53)</f>
        <v>211782344.12142825</v>
      </c>
      <c r="J1654" s="472">
        <f t="shared" si="115"/>
        <v>-232015176.7491799</v>
      </c>
      <c r="K1654" s="550">
        <f>'Sollecitazioni nel paramento'!$G$60*(sezione!$AL$33-C1654)/C1654</f>
        <v>-2.4968154710525445E-3</v>
      </c>
      <c r="L1654" s="550">
        <f>'Sollecitazioni nel paramento'!$G$60*(sezione!$AM$33-C1654)/C1654</f>
        <v>-1.9952232065788169E-3</v>
      </c>
      <c r="M1654" s="551">
        <f>'Sollecitazioni nel paramento'!$G$60*(sezione!$AN$33-C1654)/C1654</f>
        <v>-1.4936309421050896E-3</v>
      </c>
      <c r="N1654" s="551">
        <f>'Sollecitazioni nel paramento'!$G$60*(sezione!$AO$33-C1654)/C1654</f>
        <v>5.1273811578982109E-4</v>
      </c>
      <c r="O1654" s="551">
        <f>'Sollecitazioni nel paramento'!$G$60*(sezione!$AP$33-C1654)/C1654</f>
        <v>1.0801549198863218E-2</v>
      </c>
      <c r="P1654" s="545">
        <f>-'Sollecitazioni nel paramento'!$G$47*'Sollecitazioni nel paramento'!$G$41*IF(DATI!$G$211="dx",DATI!$E$61,DATI!$E$64*DATI!$E$63)*1000*C1654*sezione!$AD$5</f>
        <v>-5316648.9774279213</v>
      </c>
      <c r="Q1654" s="545">
        <f>'Foglio deposito bis'!$F$68*IF(ABS(K1654)&lt;'Sollecitazioni nel paramento'!$G$58,ABS(K1654)*'Sollecitazioni nel paramento'!$G$54,'Sollecitazioni nel paramento'!$G$53)*IF(K1654&lt;0,-1,1)</f>
        <v>0</v>
      </c>
      <c r="R1654" s="545">
        <f>'Foglio deposito bis'!$F$69*IF(ABS(L1654)&lt;'Sollecitazioni nel paramento'!$G$58,ABS(L1654)*'Sollecitazioni nel paramento'!$G$54,'Sollecitazioni nel paramento'!$G$53)*IF(L1654&lt;0,-1,1)</f>
        <v>-153664.85805602249</v>
      </c>
      <c r="S1654" s="545">
        <f>'Foglio deposito bis'!$F$70*IF(ABS(M1654)&lt;'Sollecitazioni nel paramento'!$G$58,ABS(M1654)*'Sollecitazioni nel paramento'!$G$54,'Sollecitazioni nel paramento'!$G$53)*IF(M1654&lt;0,-1,1)</f>
        <v>0</v>
      </c>
      <c r="T1654" s="545">
        <f>'Foglio deposito bis'!$F$71*IF(ABS(N1654)&lt;'Sollecitazioni nel paramento'!$G$58,ABS(N1654)*'Sollecitazioni nel paramento'!$G$54,'Sollecitazioni nel paramento'!$G$53)*IF(N1654&lt;0,-1,1)</f>
        <v>84947.902807766935</v>
      </c>
      <c r="U1654" s="545">
        <f>'Foglio deposito bis'!$F$72*IF(ABS(O1654)&lt;'Sollecitazioni nel paramento'!$G$58,ABS(O1654)*'Sollecitazioni nel paramento'!$G$54,'Sollecitazioni nel paramento'!$G$53)*IF(O1654&lt;0,-1,1)</f>
        <v>491727.54577927204</v>
      </c>
      <c r="V1654" s="472">
        <f t="shared" si="117"/>
        <v>-4893638.3868969055</v>
      </c>
      <c r="W1654" s="551"/>
      <c r="X1654" s="551"/>
    </row>
    <row r="1655" spans="1:24" x14ac:dyDescent="0.25">
      <c r="A1655" s="545">
        <f t="shared" si="116"/>
        <v>4964332.8712088875</v>
      </c>
      <c r="B1655" s="3">
        <f t="shared" si="114"/>
        <v>17.099999999999962</v>
      </c>
      <c r="C1655" s="545">
        <f>'Foglio deposito bis'!$E$159/sezione!$B$247*B1655</f>
        <v>141.20712655163715</v>
      </c>
      <c r="D1655" s="603">
        <f>-'Sollecitazioni nel paramento'!$G$47*'Sollecitazioni nel paramento'!$G$41*IF(DATI!$G$211="dx",DATI!$E$61,DATI!$E$64*DATI!$E$63)*1000*C1655^2*sezione!$AD$5*(1-sezione!$AD$6)</f>
        <v>-443625861.96468371</v>
      </c>
      <c r="E1655" s="545">
        <f>-'Foglio deposito bis'!$F$68*(C1655-sezione!$AL$33)*IF(ABS(K1655)&lt;'Sollecitazioni nel paramento'!$G$58,ABS(K1655)*'Sollecitazioni nel paramento'!$G$54,'Sollecitazioni nel paramento'!$G$53)</f>
        <v>0</v>
      </c>
      <c r="F1655" s="545">
        <f>-'Foglio deposito bis'!$F$69*(C1655-sezione!$AM$33)*IF(ABS(L1655)&lt;'Sollecitazioni nel paramento'!$G$58,ABS(L1655)*'Sollecitazioni nel paramento'!$G$54,'Sollecitazioni nel paramento'!$G$53)</f>
        <v>-12478681.574694777</v>
      </c>
      <c r="G1655" s="545">
        <f>-'Foglio deposito bis'!$F$70*(C1655-sezione!$AN$33)*IF(ABS(M1655)&lt;'Sollecitazioni nel paramento'!$G$58,ABS(M1655)*'Sollecitazioni nel paramento'!$G$54,'Sollecitazioni nel paramento'!$G$53)</f>
        <v>0</v>
      </c>
      <c r="H1655" s="545">
        <f>-'Foglio deposito bis'!$F$71*(C1655-sezione!$AO$33)*IF(ABS(N1655)&lt;'Sollecitazioni nel paramento'!$G$58,ABS(N1655)*'Sollecitazioni nel paramento'!$G$54,'Sollecitazioni nel paramento'!$G$53)</f>
        <v>1450290.0438696796</v>
      </c>
      <c r="I1655" s="472">
        <f>-'Foglio deposito bis'!$F$72*(C1655-sezione!$AP$33)*IF(ABS(O1655)&lt;'Sollecitazioni nel paramento'!$G$58,ABS(O1655)*'Sollecitazioni nel paramento'!$G$54,'Sollecitazioni nel paramento'!$G$53)</f>
        <v>210970233.78475246</v>
      </c>
      <c r="J1655" s="472">
        <f t="shared" si="115"/>
        <v>-243684019.71075633</v>
      </c>
      <c r="K1655" s="550">
        <f>'Sollecitazioni nel paramento'!$G$60*(sezione!$AL$33-C1655)/C1655</f>
        <v>-2.5085486234378953E-3</v>
      </c>
      <c r="L1655" s="550">
        <f>'Sollecitazioni nel paramento'!$G$60*(sezione!$AM$33-C1655)/C1655</f>
        <v>-2.0128229351568426E-3</v>
      </c>
      <c r="M1655" s="551">
        <f>'Sollecitazioni nel paramento'!$G$60*(sezione!$AN$33-C1655)/C1655</f>
        <v>-1.5170972468757902E-3</v>
      </c>
      <c r="N1655" s="551">
        <f>'Sollecitazioni nel paramento'!$G$60*(sezione!$AO$33-C1655)/C1655</f>
        <v>4.6580550624841956E-4</v>
      </c>
      <c r="O1655" s="551">
        <f>'Sollecitazioni nel paramento'!$G$60*(sezione!$AP$33-C1655)/C1655</f>
        <v>1.0634279617589963E-2</v>
      </c>
      <c r="P1655" s="545">
        <f>-'Sollecitazioni nel paramento'!$G$47*'Sollecitazioni nel paramento'!$G$41*IF(DATI!$G$211="dx",DATI!$E$61,DATI!$E$64*DATI!$E$63)*1000*C1655*sezione!$AD$5</f>
        <v>-5379567.9002377195</v>
      </c>
      <c r="Q1655" s="545">
        <f>'Foglio deposito bis'!$F$68*IF(ABS(K1655)&lt;'Sollecitazioni nel paramento'!$G$58,ABS(K1655)*'Sollecitazioni nel paramento'!$G$54,'Sollecitazioni nel paramento'!$G$53)*IF(K1655&lt;0,-1,1)</f>
        <v>0</v>
      </c>
      <c r="R1655" s="545">
        <f>'Foglio deposito bis'!$F$69*IF(ABS(L1655)&lt;'Sollecitazioni nel paramento'!$G$58,ABS(L1655)*'Sollecitazioni nel paramento'!$G$54,'Sollecitazioni nel paramento'!$G$53)*IF(L1655&lt;0,-1,1)</f>
        <v>-153664.85805602249</v>
      </c>
      <c r="S1655" s="545">
        <f>'Foglio deposito bis'!$F$70*IF(ABS(M1655)&lt;'Sollecitazioni nel paramento'!$G$58,ABS(M1655)*'Sollecitazioni nel paramento'!$G$54,'Sollecitazioni nel paramento'!$G$53)*IF(M1655&lt;0,-1,1)</f>
        <v>0</v>
      </c>
      <c r="T1655" s="545">
        <f>'Foglio deposito bis'!$F$71*IF(ABS(N1655)&lt;'Sollecitazioni nel paramento'!$G$58,ABS(N1655)*'Sollecitazioni nel paramento'!$G$54,'Sollecitazioni nel paramento'!$G$53)*IF(N1655&lt;0,-1,1)</f>
        <v>77172.341305582624</v>
      </c>
      <c r="U1655" s="545">
        <f>'Foglio deposito bis'!$F$72*IF(ABS(O1655)&lt;'Sollecitazioni nel paramento'!$G$58,ABS(O1655)*'Sollecitazioni nel paramento'!$G$54,'Sollecitazioni nel paramento'!$G$53)*IF(O1655&lt;0,-1,1)</f>
        <v>491727.54577927204</v>
      </c>
      <c r="V1655" s="472">
        <f t="shared" si="117"/>
        <v>-4964332.8712088875</v>
      </c>
      <c r="W1655" s="551"/>
      <c r="X1655" s="551"/>
    </row>
    <row r="1656" spans="1:24" x14ac:dyDescent="0.25">
      <c r="A1656" s="545">
        <f t="shared" si="116"/>
        <v>5034847.5737520326</v>
      </c>
      <c r="B1656" s="3">
        <f t="shared" si="114"/>
        <v>17.299999999999962</v>
      </c>
      <c r="C1656" s="545">
        <f>'Foglio deposito bis'!$E$159/sezione!$B$247*B1656</f>
        <v>142.85867189142238</v>
      </c>
      <c r="D1656" s="603">
        <f>-'Sollecitazioni nel paramento'!$G$47*'Sollecitazioni nel paramento'!$G$41*IF(DATI!$G$211="dx",DATI!$E$61,DATI!$E$64*DATI!$E$63)*1000*C1656^2*sezione!$AD$5*(1-sezione!$AD$6)</f>
        <v>-454063760.56704688</v>
      </c>
      <c r="E1656" s="545">
        <f>-'Foglio deposito bis'!$F$68*(C1656-sezione!$AL$33)*IF(ABS(K1656)&lt;'Sollecitazioni nel paramento'!$G$58,ABS(K1656)*'Sollecitazioni nel paramento'!$G$54,'Sollecitazioni nel paramento'!$G$53)</f>
        <v>0</v>
      </c>
      <c r="F1656" s="545">
        <f>-'Foglio deposito bis'!$F$69*(C1656-sezione!$AM$33)*IF(ABS(L1656)&lt;'Sollecitazioni nel paramento'!$G$58,ABS(L1656)*'Sollecitazioni nel paramento'!$G$54,'Sollecitazioni nel paramento'!$G$53)</f>
        <v>-12732466.05490596</v>
      </c>
      <c r="G1656" s="545">
        <f>-'Foglio deposito bis'!$F$70*(C1656-sezione!$AN$33)*IF(ABS(M1656)&lt;'Sollecitazioni nel paramento'!$G$58,ABS(M1656)*'Sollecitazioni nel paramento'!$G$54,'Sollecitazioni nel paramento'!$G$53)</f>
        <v>0</v>
      </c>
      <c r="H1656" s="545">
        <f>-'Foglio deposito bis'!$F$71*(C1656-sezione!$AO$33)*IF(ABS(N1656)&lt;'Sollecitazioni nel paramento'!$G$58,ABS(N1656)*'Sollecitazioni nel paramento'!$G$54,'Sollecitazioni nel paramento'!$G$53)</f>
        <v>1192634.6705763331</v>
      </c>
      <c r="I1656" s="472">
        <f>-'Foglio deposito bis'!$F$72*(C1656-sezione!$AP$33)*IF(ABS(O1656)&lt;'Sollecitazioni nel paramento'!$G$58,ABS(O1656)*'Sollecitazioni nel paramento'!$G$54,'Sollecitazioni nel paramento'!$G$53)</f>
        <v>210158123.4480767</v>
      </c>
      <c r="J1656" s="472">
        <f t="shared" si="115"/>
        <v>-255445468.5032998</v>
      </c>
      <c r="K1656" s="550">
        <f>'Sollecitazioni nel paramento'!$G$60*(sezione!$AL$33-C1656)/C1656</f>
        <v>-2.5200104890628905E-3</v>
      </c>
      <c r="L1656" s="550">
        <f>'Sollecitazioni nel paramento'!$G$60*(sezione!$AM$33-C1656)/C1656</f>
        <v>-2.0300157335943359E-3</v>
      </c>
      <c r="M1656" s="551">
        <f>'Sollecitazioni nel paramento'!$G$60*(sezione!$AN$33-C1656)/C1656</f>
        <v>-1.5400209781257811E-3</v>
      </c>
      <c r="N1656" s="551">
        <f>'Sollecitazioni nel paramento'!$G$60*(sezione!$AO$33-C1656)/C1656</f>
        <v>4.1995804374843782E-4</v>
      </c>
      <c r="O1656" s="551">
        <f>'Sollecitazioni nel paramento'!$G$60*(sezione!$AP$33-C1656)/C1656</f>
        <v>1.0470877541086034E-2</v>
      </c>
      <c r="P1656" s="545">
        <f>-'Sollecitazioni nel paramento'!$G$47*'Sollecitazioni nel paramento'!$G$41*IF(DATI!$G$211="dx",DATI!$E$61,DATI!$E$64*DATI!$E$63)*1000*C1656*sezione!$AD$5</f>
        <v>-5442486.8230475169</v>
      </c>
      <c r="Q1656" s="545">
        <f>'Foglio deposito bis'!$F$68*IF(ABS(K1656)&lt;'Sollecitazioni nel paramento'!$G$58,ABS(K1656)*'Sollecitazioni nel paramento'!$G$54,'Sollecitazioni nel paramento'!$G$53)*IF(K1656&lt;0,-1,1)</f>
        <v>0</v>
      </c>
      <c r="R1656" s="545">
        <f>'Foglio deposito bis'!$F$69*IF(ABS(L1656)&lt;'Sollecitazioni nel paramento'!$G$58,ABS(L1656)*'Sollecitazioni nel paramento'!$G$54,'Sollecitazioni nel paramento'!$G$53)*IF(L1656&lt;0,-1,1)</f>
        <v>-153664.85805602249</v>
      </c>
      <c r="S1656" s="545">
        <f>'Foglio deposito bis'!$F$70*IF(ABS(M1656)&lt;'Sollecitazioni nel paramento'!$G$58,ABS(M1656)*'Sollecitazioni nel paramento'!$G$54,'Sollecitazioni nel paramento'!$G$53)*IF(M1656&lt;0,-1,1)</f>
        <v>0</v>
      </c>
      <c r="T1656" s="545">
        <f>'Foglio deposito bis'!$F$71*IF(ABS(N1656)&lt;'Sollecitazioni nel paramento'!$G$58,ABS(N1656)*'Sollecitazioni nel paramento'!$G$54,'Sollecitazioni nel paramento'!$G$53)*IF(N1656&lt;0,-1,1)</f>
        <v>69576.561572234976</v>
      </c>
      <c r="U1656" s="545">
        <f>'Foglio deposito bis'!$F$72*IF(ABS(O1656)&lt;'Sollecitazioni nel paramento'!$G$58,ABS(O1656)*'Sollecitazioni nel paramento'!$G$54,'Sollecitazioni nel paramento'!$G$53)*IF(O1656&lt;0,-1,1)</f>
        <v>491727.54577927204</v>
      </c>
      <c r="V1656" s="472">
        <f t="shared" si="117"/>
        <v>-5034847.5737520326</v>
      </c>
      <c r="W1656" s="551"/>
      <c r="X1656" s="551"/>
    </row>
    <row r="1657" spans="1:24" x14ac:dyDescent="0.25">
      <c r="A1657" s="545">
        <f t="shared" si="116"/>
        <v>5105188.6584727019</v>
      </c>
      <c r="B1657" s="3">
        <f t="shared" si="114"/>
        <v>17.499999999999961</v>
      </c>
      <c r="C1657" s="545">
        <f>'Foglio deposito bis'!$E$159/sezione!$B$247*B1657</f>
        <v>144.5102172312076</v>
      </c>
      <c r="D1657" s="603">
        <f>-'Sollecitazioni nel paramento'!$G$47*'Sollecitazioni nel paramento'!$G$41*IF(DATI!$G$211="dx",DATI!$E$61,DATI!$E$64*DATI!$E$63)*1000*C1657^2*sezione!$AD$5*(1-sezione!$AD$6)</f>
        <v>-464623030.08339113</v>
      </c>
      <c r="E1657" s="545">
        <f>-'Foglio deposito bis'!$F$68*(C1657-sezione!$AL$33)*IF(ABS(K1657)&lt;'Sollecitazioni nel paramento'!$G$58,ABS(K1657)*'Sollecitazioni nel paramento'!$G$54,'Sollecitazioni nel paramento'!$G$53)</f>
        <v>0</v>
      </c>
      <c r="F1657" s="545">
        <f>-'Foglio deposito bis'!$F$69*(C1657-sezione!$AM$33)*IF(ABS(L1657)&lt;'Sollecitazioni nel paramento'!$G$58,ABS(L1657)*'Sollecitazioni nel paramento'!$G$54,'Sollecitazioni nel paramento'!$G$53)</f>
        <v>-12986250.535117142</v>
      </c>
      <c r="G1657" s="545">
        <f>-'Foglio deposito bis'!$F$70*(C1657-sezione!$AN$33)*IF(ABS(M1657)&lt;'Sollecitazioni nel paramento'!$G$58,ABS(M1657)*'Sollecitazioni nel paramento'!$G$54,'Sollecitazioni nel paramento'!$G$53)</f>
        <v>0</v>
      </c>
      <c r="H1657" s="545">
        <f>-'Foglio deposito bis'!$F$71*(C1657-sezione!$AO$33)*IF(ABS(N1657)&lt;'Sollecitazioni nel paramento'!$G$58,ABS(N1657)*'Sollecitazioni nel paramento'!$G$54,'Sollecitazioni nel paramento'!$G$53)</f>
        <v>962758.14887922944</v>
      </c>
      <c r="I1657" s="472">
        <f>-'Foglio deposito bis'!$F$72*(C1657-sezione!$AP$33)*IF(ABS(O1657)&lt;'Sollecitazioni nel paramento'!$G$58,ABS(O1657)*'Sollecitazioni nel paramento'!$G$54,'Sollecitazioni nel paramento'!$G$53)</f>
        <v>209346013.1114009</v>
      </c>
      <c r="J1657" s="472">
        <f t="shared" si="115"/>
        <v>-267300509.35822815</v>
      </c>
      <c r="K1657" s="550">
        <f>'Sollecitazioni nel paramento'!$G$60*(sezione!$AL$33-C1657)/C1657</f>
        <v>-2.5312103691878859E-3</v>
      </c>
      <c r="L1657" s="550">
        <f>'Sollecitazioni nel paramento'!$G$60*(sezione!$AM$33-C1657)/C1657</f>
        <v>-2.046815553781829E-3</v>
      </c>
      <c r="M1657" s="551">
        <f>'Sollecitazioni nel paramento'!$G$60*(sezione!$AN$33-C1657)/C1657</f>
        <v>-1.5624207383757721E-3</v>
      </c>
      <c r="N1657" s="551">
        <f>'Sollecitazioni nel paramento'!$G$60*(sezione!$AO$33-C1657)/C1657</f>
        <v>3.7515852324845569E-4</v>
      </c>
      <c r="O1657" s="551">
        <f>'Sollecitazioni nel paramento'!$G$60*(sezione!$AP$33-C1657)/C1657</f>
        <v>1.0311210369187907E-2</v>
      </c>
      <c r="P1657" s="545">
        <f>-'Sollecitazioni nel paramento'!$G$47*'Sollecitazioni nel paramento'!$G$41*IF(DATI!$G$211="dx",DATI!$E$61,DATI!$E$64*DATI!$E$63)*1000*C1657*sezione!$AD$5</f>
        <v>-5505405.7458573151</v>
      </c>
      <c r="Q1657" s="545">
        <f>'Foglio deposito bis'!$F$68*IF(ABS(K1657)&lt;'Sollecitazioni nel paramento'!$G$58,ABS(K1657)*'Sollecitazioni nel paramento'!$G$54,'Sollecitazioni nel paramento'!$G$53)*IF(K1657&lt;0,-1,1)</f>
        <v>0</v>
      </c>
      <c r="R1657" s="545">
        <f>'Foglio deposito bis'!$F$69*IF(ABS(L1657)&lt;'Sollecitazioni nel paramento'!$G$58,ABS(L1657)*'Sollecitazioni nel paramento'!$G$54,'Sollecitazioni nel paramento'!$G$53)*IF(L1657&lt;0,-1,1)</f>
        <v>-153664.85805602249</v>
      </c>
      <c r="S1657" s="545">
        <f>'Foglio deposito bis'!$F$70*IF(ABS(M1657)&lt;'Sollecitazioni nel paramento'!$G$58,ABS(M1657)*'Sollecitazioni nel paramento'!$G$54,'Sollecitazioni nel paramento'!$G$53)*IF(M1657&lt;0,-1,1)</f>
        <v>0</v>
      </c>
      <c r="T1657" s="545">
        <f>'Foglio deposito bis'!$F$71*IF(ABS(N1657)&lt;'Sollecitazioni nel paramento'!$G$58,ABS(N1657)*'Sollecitazioni nel paramento'!$G$54,'Sollecitazioni nel paramento'!$G$53)*IF(N1657&lt;0,-1,1)</f>
        <v>62154.39966136383</v>
      </c>
      <c r="U1657" s="545">
        <f>'Foglio deposito bis'!$F$72*IF(ABS(O1657)&lt;'Sollecitazioni nel paramento'!$G$58,ABS(O1657)*'Sollecitazioni nel paramento'!$G$54,'Sollecitazioni nel paramento'!$G$53)*IF(O1657&lt;0,-1,1)</f>
        <v>491727.54577927204</v>
      </c>
      <c r="V1657" s="472">
        <f t="shared" si="117"/>
        <v>-5105188.6584727019</v>
      </c>
      <c r="W1657" s="551"/>
      <c r="X1657" s="551"/>
    </row>
    <row r="1658" spans="1:24" x14ac:dyDescent="0.25">
      <c r="A1658" s="545">
        <f t="shared" si="116"/>
        <v>5175362.010720809</v>
      </c>
      <c r="B1658" s="3">
        <f t="shared" si="114"/>
        <v>17.69999999999996</v>
      </c>
      <c r="C1658" s="545">
        <f>'Foglio deposito bis'!$E$159/sezione!$B$247*B1658</f>
        <v>146.16176257099283</v>
      </c>
      <c r="D1658" s="603">
        <f>-'Sollecitazioni nel paramento'!$G$47*'Sollecitazioni nel paramento'!$G$41*IF(DATI!$G$211="dx",DATI!$E$61,DATI!$E$64*DATI!$E$63)*1000*C1658^2*sezione!$AD$5*(1-sezione!$AD$6)</f>
        <v>-475303670.51371622</v>
      </c>
      <c r="E1658" s="545">
        <f>-'Foglio deposito bis'!$F$68*(C1658-sezione!$AL$33)*IF(ABS(K1658)&lt;'Sollecitazioni nel paramento'!$G$58,ABS(K1658)*'Sollecitazioni nel paramento'!$G$54,'Sollecitazioni nel paramento'!$G$53)</f>
        <v>0</v>
      </c>
      <c r="F1658" s="545">
        <f>-'Foglio deposito bis'!$F$69*(C1658-sezione!$AM$33)*IF(ABS(L1658)&lt;'Sollecitazioni nel paramento'!$G$58,ABS(L1658)*'Sollecitazioni nel paramento'!$G$54,'Sollecitazioni nel paramento'!$G$53)</f>
        <v>-13240035.015328325</v>
      </c>
      <c r="G1658" s="545">
        <f>-'Foglio deposito bis'!$F$70*(C1658-sezione!$AN$33)*IF(ABS(M1658)&lt;'Sollecitazioni nel paramento'!$G$58,ABS(M1658)*'Sollecitazioni nel paramento'!$G$54,'Sollecitazioni nel paramento'!$G$53)</f>
        <v>0</v>
      </c>
      <c r="H1658" s="545">
        <f>-'Foglio deposito bis'!$F$71*(C1658-sezione!$AO$33)*IF(ABS(N1658)&lt;'Sollecitazioni nel paramento'!$G$58,ABS(N1658)*'Sollecitazioni nel paramento'!$G$54,'Sollecitazioni nel paramento'!$G$53)</f>
        <v>759718.82279205532</v>
      </c>
      <c r="I1658" s="472">
        <f>-'Foglio deposito bis'!$F$72*(C1658-sezione!$AP$33)*IF(ABS(O1658)&lt;'Sollecitazioni nel paramento'!$G$58,ABS(O1658)*'Sollecitazioni nel paramento'!$G$54,'Sollecitazioni nel paramento'!$G$53)</f>
        <v>208533902.77472511</v>
      </c>
      <c r="J1658" s="472">
        <f t="shared" si="115"/>
        <v>-279250083.93152738</v>
      </c>
      <c r="K1658" s="550">
        <f>'Sollecitazioni nel paramento'!$G$60*(sezione!$AL$33-C1658)/C1658</f>
        <v>-2.5421571446772886E-3</v>
      </c>
      <c r="L1658" s="550">
        <f>'Sollecitazioni nel paramento'!$G$60*(sezione!$AM$33-C1658)/C1658</f>
        <v>-2.0632357170159328E-3</v>
      </c>
      <c r="M1658" s="551">
        <f>'Sollecitazioni nel paramento'!$G$60*(sezione!$AN$33-C1658)/C1658</f>
        <v>-1.5843142893545771E-3</v>
      </c>
      <c r="N1658" s="551">
        <f>'Sollecitazioni nel paramento'!$G$60*(sezione!$AO$33-C1658)/C1658</f>
        <v>3.3137142129084608E-4</v>
      </c>
      <c r="O1658" s="551">
        <f>'Sollecitazioni nel paramento'!$G$60*(sezione!$AP$33-C1658)/C1658</f>
        <v>1.0155151494959795E-2</v>
      </c>
      <c r="P1658" s="545">
        <f>-'Sollecitazioni nel paramento'!$G$47*'Sollecitazioni nel paramento'!$G$41*IF(DATI!$G$211="dx",DATI!$E$61,DATI!$E$64*DATI!$E$63)*1000*C1658*sezione!$AD$5</f>
        <v>-5568324.6686671134</v>
      </c>
      <c r="Q1658" s="545">
        <f>'Foglio deposito bis'!$F$68*IF(ABS(K1658)&lt;'Sollecitazioni nel paramento'!$G$58,ABS(K1658)*'Sollecitazioni nel paramento'!$G$54,'Sollecitazioni nel paramento'!$G$53)*IF(K1658&lt;0,-1,1)</f>
        <v>0</v>
      </c>
      <c r="R1658" s="545">
        <f>'Foglio deposito bis'!$F$69*IF(ABS(L1658)&lt;'Sollecitazioni nel paramento'!$G$58,ABS(L1658)*'Sollecitazioni nel paramento'!$G$54,'Sollecitazioni nel paramento'!$G$53)*IF(L1658&lt;0,-1,1)</f>
        <v>-153664.85805602249</v>
      </c>
      <c r="S1658" s="545">
        <f>'Foglio deposito bis'!$F$70*IF(ABS(M1658)&lt;'Sollecitazioni nel paramento'!$G$58,ABS(M1658)*'Sollecitazioni nel paramento'!$G$54,'Sollecitazioni nel paramento'!$G$53)*IF(M1658&lt;0,-1,1)</f>
        <v>0</v>
      </c>
      <c r="T1658" s="545">
        <f>'Foglio deposito bis'!$F$71*IF(ABS(N1658)&lt;'Sollecitazioni nel paramento'!$G$58,ABS(N1658)*'Sollecitazioni nel paramento'!$G$54,'Sollecitazioni nel paramento'!$G$53)*IF(N1658&lt;0,-1,1)</f>
        <v>54899.970223054763</v>
      </c>
      <c r="U1658" s="545">
        <f>'Foglio deposito bis'!$F$72*IF(ABS(O1658)&lt;'Sollecitazioni nel paramento'!$G$58,ABS(O1658)*'Sollecitazioni nel paramento'!$G$54,'Sollecitazioni nel paramento'!$G$53)*IF(O1658&lt;0,-1,1)</f>
        <v>491727.54577927204</v>
      </c>
      <c r="V1658" s="472">
        <f t="shared" si="117"/>
        <v>-5175362.010720809</v>
      </c>
      <c r="W1658" s="551"/>
      <c r="X1658" s="551"/>
    </row>
    <row r="1659" spans="1:24" x14ac:dyDescent="0.25">
      <c r="A1659" s="545">
        <f t="shared" si="116"/>
        <v>5245373.2528138692</v>
      </c>
      <c r="B1659" s="3">
        <f t="shared" si="114"/>
        <v>17.899999999999959</v>
      </c>
      <c r="C1659" s="545">
        <f>'Foglio deposito bis'!$E$159/sezione!$B$247*B1659</f>
        <v>147.81330791077804</v>
      </c>
      <c r="D1659" s="603">
        <f>-'Sollecitazioni nel paramento'!$G$47*'Sollecitazioni nel paramento'!$G$41*IF(DATI!$G$211="dx",DATI!$E$61,DATI!$E$64*DATI!$E$63)*1000*C1659^2*sezione!$AD$5*(1-sezione!$AD$6)</f>
        <v>-486105681.85802215</v>
      </c>
      <c r="E1659" s="545">
        <f>-'Foglio deposito bis'!$F$68*(C1659-sezione!$AL$33)*IF(ABS(K1659)&lt;'Sollecitazioni nel paramento'!$G$58,ABS(K1659)*'Sollecitazioni nel paramento'!$G$54,'Sollecitazioni nel paramento'!$G$53)</f>
        <v>0</v>
      </c>
      <c r="F1659" s="545">
        <f>-'Foglio deposito bis'!$F$69*(C1659-sezione!$AM$33)*IF(ABS(L1659)&lt;'Sollecitazioni nel paramento'!$G$58,ABS(L1659)*'Sollecitazioni nel paramento'!$G$54,'Sollecitazioni nel paramento'!$G$53)</f>
        <v>-13493819.495539503</v>
      </c>
      <c r="G1659" s="545">
        <f>-'Foglio deposito bis'!$F$70*(C1659-sezione!$AN$33)*IF(ABS(M1659)&lt;'Sollecitazioni nel paramento'!$G$58,ABS(M1659)*'Sollecitazioni nel paramento'!$G$54,'Sollecitazioni nel paramento'!$G$53)</f>
        <v>0</v>
      </c>
      <c r="H1659" s="545">
        <f>-'Foglio deposito bis'!$F$71*(C1659-sezione!$AO$33)*IF(ABS(N1659)&lt;'Sollecitazioni nel paramento'!$G$58,ABS(N1659)*'Sollecitazioni nel paramento'!$G$54,'Sollecitazioni nel paramento'!$G$53)</f>
        <v>582617.12151224585</v>
      </c>
      <c r="I1659" s="472">
        <f>-'Foglio deposito bis'!$F$72*(C1659-sezione!$AP$33)*IF(ABS(O1659)&lt;'Sollecitazioni nel paramento'!$G$58,ABS(O1659)*'Sollecitazioni nel paramento'!$G$54,'Sollecitazioni nel paramento'!$G$53)</f>
        <v>207721792.43804938</v>
      </c>
      <c r="J1659" s="472">
        <f t="shared" si="115"/>
        <v>-291295091.79400003</v>
      </c>
      <c r="K1659" s="550">
        <f>'Sollecitazioni nel paramento'!$G$60*(sezione!$AL$33-C1659)/C1659</f>
        <v>-2.5528592994853634E-3</v>
      </c>
      <c r="L1659" s="550">
        <f>'Sollecitazioni nel paramento'!$G$60*(sezione!$AM$33-C1659)/C1659</f>
        <v>-2.079288949228045E-3</v>
      </c>
      <c r="M1659" s="551">
        <f>'Sollecitazioni nel paramento'!$G$60*(sezione!$AN$33-C1659)/C1659</f>
        <v>-1.6057185989707267E-3</v>
      </c>
      <c r="N1659" s="551">
        <f>'Sollecitazioni nel paramento'!$G$60*(sezione!$AO$33-C1659)/C1659</f>
        <v>2.8856280205854682E-4</v>
      </c>
      <c r="O1659" s="551">
        <f>'Sollecitazioni nel paramento'!$G$60*(sezione!$AP$33-C1659)/C1659</f>
        <v>1.0002579969876448E-2</v>
      </c>
      <c r="P1659" s="545">
        <f>-'Sollecitazioni nel paramento'!$G$47*'Sollecitazioni nel paramento'!$G$41*IF(DATI!$G$211="dx",DATI!$E$61,DATI!$E$64*DATI!$E$63)*1000*C1659*sezione!$AD$5</f>
        <v>-5631243.5914769098</v>
      </c>
      <c r="Q1659" s="545">
        <f>'Foglio deposito bis'!$F$68*IF(ABS(K1659)&lt;'Sollecitazioni nel paramento'!$G$58,ABS(K1659)*'Sollecitazioni nel paramento'!$G$54,'Sollecitazioni nel paramento'!$G$53)*IF(K1659&lt;0,-1,1)</f>
        <v>0</v>
      </c>
      <c r="R1659" s="545">
        <f>'Foglio deposito bis'!$F$69*IF(ABS(L1659)&lt;'Sollecitazioni nel paramento'!$G$58,ABS(L1659)*'Sollecitazioni nel paramento'!$G$54,'Sollecitazioni nel paramento'!$G$53)*IF(L1659&lt;0,-1,1)</f>
        <v>-153664.85805602249</v>
      </c>
      <c r="S1659" s="545">
        <f>'Foglio deposito bis'!$F$70*IF(ABS(M1659)&lt;'Sollecitazioni nel paramento'!$G$58,ABS(M1659)*'Sollecitazioni nel paramento'!$G$54,'Sollecitazioni nel paramento'!$G$53)*IF(M1659&lt;0,-1,1)</f>
        <v>0</v>
      </c>
      <c r="T1659" s="545">
        <f>'Foglio deposito bis'!$F$71*IF(ABS(N1659)&lt;'Sollecitazioni nel paramento'!$G$58,ABS(N1659)*'Sollecitazioni nel paramento'!$G$54,'Sollecitazioni nel paramento'!$G$53)*IF(N1659&lt;0,-1,1)</f>
        <v>47807.650939791813</v>
      </c>
      <c r="U1659" s="545">
        <f>'Foglio deposito bis'!$F$72*IF(ABS(O1659)&lt;'Sollecitazioni nel paramento'!$G$58,ABS(O1659)*'Sollecitazioni nel paramento'!$G$54,'Sollecitazioni nel paramento'!$G$53)*IF(O1659&lt;0,-1,1)</f>
        <v>491727.54577927204</v>
      </c>
      <c r="V1659" s="472">
        <f t="shared" si="117"/>
        <v>-5245373.2528138692</v>
      </c>
      <c r="W1659" s="551"/>
      <c r="X1659" s="551"/>
    </row>
    <row r="1660" spans="1:24" x14ac:dyDescent="0.25">
      <c r="A1660" s="545">
        <f t="shared" si="116"/>
        <v>5315227.7585691782</v>
      </c>
      <c r="B1660" s="3">
        <f t="shared" si="114"/>
        <v>18.099999999999959</v>
      </c>
      <c r="C1660" s="545">
        <f>'Foglio deposito bis'!$E$159/sezione!$B$247*B1660</f>
        <v>149.46485325056327</v>
      </c>
      <c r="D1660" s="603">
        <f>-'Sollecitazioni nel paramento'!$G$47*'Sollecitazioni nel paramento'!$G$41*IF(DATI!$G$211="dx",DATI!$E$61,DATI!$E$64*DATI!$E$63)*1000*C1660^2*sezione!$AD$5*(1-sezione!$AD$6)</f>
        <v>-497029064.11630917</v>
      </c>
      <c r="E1660" s="545">
        <f>-'Foglio deposito bis'!$F$68*(C1660-sezione!$AL$33)*IF(ABS(K1660)&lt;'Sollecitazioni nel paramento'!$G$58,ABS(K1660)*'Sollecitazioni nel paramento'!$G$54,'Sollecitazioni nel paramento'!$G$53)</f>
        <v>0</v>
      </c>
      <c r="F1660" s="545">
        <f>-'Foglio deposito bis'!$F$69*(C1660-sezione!$AM$33)*IF(ABS(L1660)&lt;'Sollecitazioni nel paramento'!$G$58,ABS(L1660)*'Sollecitazioni nel paramento'!$G$54,'Sollecitazioni nel paramento'!$G$53)</f>
        <v>-13747603.975750687</v>
      </c>
      <c r="G1660" s="545">
        <f>-'Foglio deposito bis'!$F$70*(C1660-sezione!$AN$33)*IF(ABS(M1660)&lt;'Sollecitazioni nel paramento'!$G$58,ABS(M1660)*'Sollecitazioni nel paramento'!$G$54,'Sollecitazioni nel paramento'!$G$53)</f>
        <v>0</v>
      </c>
      <c r="H1660" s="545">
        <f>-'Foglio deposito bis'!$F$71*(C1660-sezione!$AO$33)*IF(ABS(N1660)&lt;'Sollecitazioni nel paramento'!$G$58,ABS(N1660)*'Sollecitazioni nel paramento'!$G$54,'Sollecitazioni nel paramento'!$G$53)</f>
        <v>430593.23427270044</v>
      </c>
      <c r="I1660" s="472">
        <f>-'Foglio deposito bis'!$F$72*(C1660-sezione!$AP$33)*IF(ABS(O1660)&lt;'Sollecitazioni nel paramento'!$G$58,ABS(O1660)*'Sollecitazioni nel paramento'!$G$54,'Sollecitazioni nel paramento'!$G$53)</f>
        <v>206909682.10137358</v>
      </c>
      <c r="J1660" s="472">
        <f t="shared" si="115"/>
        <v>-303436392.75641358</v>
      </c>
      <c r="K1660" s="550">
        <f>'Sollecitazioni nel paramento'!$G$60*(sezione!$AL$33-C1660)/C1660</f>
        <v>-2.5633249425849728E-3</v>
      </c>
      <c r="L1660" s="550">
        <f>'Sollecitazioni nel paramento'!$G$60*(sezione!$AM$33-C1660)/C1660</f>
        <v>-2.0949874138774588E-3</v>
      </c>
      <c r="M1660" s="551">
        <f>'Sollecitazioni nel paramento'!$G$60*(sezione!$AN$33-C1660)/C1660</f>
        <v>-1.6266498851699451E-3</v>
      </c>
      <c r="N1660" s="551">
        <f>'Sollecitazioni nel paramento'!$G$60*(sezione!$AO$33-C1660)/C1660</f>
        <v>2.4670022966010981E-4</v>
      </c>
      <c r="O1660" s="551">
        <f>'Sollecitazioni nel paramento'!$G$60*(sezione!$AP$33-C1660)/C1660</f>
        <v>9.8533801912037804E-3</v>
      </c>
      <c r="P1660" s="545">
        <f>-'Sollecitazioni nel paramento'!$G$47*'Sollecitazioni nel paramento'!$G$41*IF(DATI!$G$211="dx",DATI!$E$61,DATI!$E$64*DATI!$E$63)*1000*C1660*sezione!$AD$5</f>
        <v>-5694162.5142867081</v>
      </c>
      <c r="Q1660" s="545">
        <f>'Foglio deposito bis'!$F$68*IF(ABS(K1660)&lt;'Sollecitazioni nel paramento'!$G$58,ABS(K1660)*'Sollecitazioni nel paramento'!$G$54,'Sollecitazioni nel paramento'!$G$53)*IF(K1660&lt;0,-1,1)</f>
        <v>0</v>
      </c>
      <c r="R1660" s="545">
        <f>'Foglio deposito bis'!$F$69*IF(ABS(L1660)&lt;'Sollecitazioni nel paramento'!$G$58,ABS(L1660)*'Sollecitazioni nel paramento'!$G$54,'Sollecitazioni nel paramento'!$G$53)*IF(L1660&lt;0,-1,1)</f>
        <v>-153664.85805602249</v>
      </c>
      <c r="S1660" s="545">
        <f>'Foglio deposito bis'!$F$70*IF(ABS(M1660)&lt;'Sollecitazioni nel paramento'!$G$58,ABS(M1660)*'Sollecitazioni nel paramento'!$G$54,'Sollecitazioni nel paramento'!$G$53)*IF(M1660&lt;0,-1,1)</f>
        <v>0</v>
      </c>
      <c r="T1660" s="545">
        <f>'Foglio deposito bis'!$F$71*IF(ABS(N1660)&lt;'Sollecitazioni nel paramento'!$G$58,ABS(N1660)*'Sollecitazioni nel paramento'!$G$54,'Sollecitazioni nel paramento'!$G$53)*IF(N1660&lt;0,-1,1)</f>
        <v>40872.067994280405</v>
      </c>
      <c r="U1660" s="545">
        <f>'Foglio deposito bis'!$F$72*IF(ABS(O1660)&lt;'Sollecitazioni nel paramento'!$G$58,ABS(O1660)*'Sollecitazioni nel paramento'!$G$54,'Sollecitazioni nel paramento'!$G$53)*IF(O1660&lt;0,-1,1)</f>
        <v>491727.54577927204</v>
      </c>
      <c r="V1660" s="472">
        <f t="shared" si="117"/>
        <v>-5315227.7585691782</v>
      </c>
      <c r="W1660" s="551"/>
      <c r="X1660" s="551"/>
    </row>
    <row r="1661" spans="1:24" x14ac:dyDescent="0.25">
      <c r="A1661" s="545">
        <f t="shared" si="116"/>
        <v>5384930.6668830551</v>
      </c>
      <c r="B1661" s="3">
        <f t="shared" ref="B1661:B1684" si="118">B1660+0.2</f>
        <v>18.299999999999958</v>
      </c>
      <c r="C1661" s="545">
        <f>'Foglio deposito bis'!$E$159/sezione!$B$247*B1661</f>
        <v>151.1163985903485</v>
      </c>
      <c r="D1661" s="603">
        <f>-'Sollecitazioni nel paramento'!$G$47*'Sollecitazioni nel paramento'!$G$41*IF(DATI!$G$211="dx",DATI!$E$61,DATI!$E$64*DATI!$E$63)*1000*C1661^2*sezione!$AD$5*(1-sezione!$AD$6)</f>
        <v>-508073817.28857726</v>
      </c>
      <c r="E1661" s="545">
        <f>-'Foglio deposito bis'!$F$68*(C1661-sezione!$AL$33)*IF(ABS(K1661)&lt;'Sollecitazioni nel paramento'!$G$58,ABS(K1661)*'Sollecitazioni nel paramento'!$G$54,'Sollecitazioni nel paramento'!$G$53)</f>
        <v>0</v>
      </c>
      <c r="F1661" s="545">
        <f>-'Foglio deposito bis'!$F$69*(C1661-sezione!$AM$33)*IF(ABS(L1661)&lt;'Sollecitazioni nel paramento'!$G$58,ABS(L1661)*'Sollecitazioni nel paramento'!$G$54,'Sollecitazioni nel paramento'!$G$53)</f>
        <v>-14001388.455961868</v>
      </c>
      <c r="G1661" s="545">
        <f>-'Foglio deposito bis'!$F$70*(C1661-sezione!$AN$33)*IF(ABS(M1661)&lt;'Sollecitazioni nel paramento'!$G$58,ABS(M1661)*'Sollecitazioni nel paramento'!$G$54,'Sollecitazioni nel paramento'!$G$53)</f>
        <v>0</v>
      </c>
      <c r="H1661" s="545">
        <f>-'Foglio deposito bis'!$F$71*(C1661-sezione!$AO$33)*IF(ABS(N1661)&lt;'Sollecitazioni nel paramento'!$G$58,ABS(N1661)*'Sollecitazioni nel paramento'!$G$54,'Sollecitazioni nel paramento'!$G$53)</f>
        <v>302824.93766226596</v>
      </c>
      <c r="I1661" s="472">
        <f>-'Foglio deposito bis'!$F$72*(C1661-sezione!$AP$33)*IF(ABS(O1661)&lt;'Sollecitazioni nel paramento'!$G$58,ABS(O1661)*'Sollecitazioni nel paramento'!$G$54,'Sollecitazioni nel paramento'!$G$53)</f>
        <v>206097571.76469779</v>
      </c>
      <c r="J1661" s="472">
        <f t="shared" si="115"/>
        <v>-315674809.04217911</v>
      </c>
      <c r="K1661" s="550">
        <f>'Sollecitazioni nel paramento'!$G$60*(sezione!$AL$33-C1661)/C1661</f>
        <v>-2.5735618284583608E-3</v>
      </c>
      <c r="L1661" s="550">
        <f>'Sollecitazioni nel paramento'!$G$60*(sezione!$AM$33-C1661)/C1661</f>
        <v>-2.1103427426875411E-3</v>
      </c>
      <c r="M1661" s="551">
        <f>'Sollecitazioni nel paramento'!$G$60*(sezione!$AN$33-C1661)/C1661</f>
        <v>-1.6471236569167217E-3</v>
      </c>
      <c r="N1661" s="551">
        <f>'Sollecitazioni nel paramento'!$G$60*(sezione!$AO$33-C1661)/C1661</f>
        <v>2.057526861665567E-4</v>
      </c>
      <c r="O1661" s="551">
        <f>'Sollecitazioni nel paramento'!$G$60*(sezione!$AP$33-C1661)/C1661</f>
        <v>9.7074416098791496E-3</v>
      </c>
      <c r="P1661" s="545">
        <f>-'Sollecitazioni nel paramento'!$G$47*'Sollecitazioni nel paramento'!$G$41*IF(DATI!$G$211="dx",DATI!$E$61,DATI!$E$64*DATI!$E$63)*1000*C1661*sezione!$AD$5</f>
        <v>-5757081.4370965054</v>
      </c>
      <c r="Q1661" s="545">
        <f>'Foglio deposito bis'!$F$68*IF(ABS(K1661)&lt;'Sollecitazioni nel paramento'!$G$58,ABS(K1661)*'Sollecitazioni nel paramento'!$G$54,'Sollecitazioni nel paramento'!$G$53)*IF(K1661&lt;0,-1,1)</f>
        <v>0</v>
      </c>
      <c r="R1661" s="545">
        <f>'Foglio deposito bis'!$F$69*IF(ABS(L1661)&lt;'Sollecitazioni nel paramento'!$G$58,ABS(L1661)*'Sollecitazioni nel paramento'!$G$54,'Sollecitazioni nel paramento'!$G$53)*IF(L1661&lt;0,-1,1)</f>
        <v>-153664.85805602249</v>
      </c>
      <c r="S1661" s="545">
        <f>'Foglio deposito bis'!$F$70*IF(ABS(M1661)&lt;'Sollecitazioni nel paramento'!$G$58,ABS(M1661)*'Sollecitazioni nel paramento'!$G$54,'Sollecitazioni nel paramento'!$G$53)*IF(M1661&lt;0,-1,1)</f>
        <v>0</v>
      </c>
      <c r="T1661" s="545">
        <f>'Foglio deposito bis'!$F$71*IF(ABS(N1661)&lt;'Sollecitazioni nel paramento'!$G$58,ABS(N1661)*'Sollecitazioni nel paramento'!$G$54,'Sollecitazioni nel paramento'!$G$53)*IF(N1661&lt;0,-1,1)</f>
        <v>34088.082490200955</v>
      </c>
      <c r="U1661" s="545">
        <f>'Foglio deposito bis'!$F$72*IF(ABS(O1661)&lt;'Sollecitazioni nel paramento'!$G$58,ABS(O1661)*'Sollecitazioni nel paramento'!$G$54,'Sollecitazioni nel paramento'!$G$53)*IF(O1661&lt;0,-1,1)</f>
        <v>491727.54577927204</v>
      </c>
      <c r="V1661" s="472">
        <f t="shared" si="117"/>
        <v>-5384930.6668830551</v>
      </c>
      <c r="W1661" s="551"/>
      <c r="X1661" s="551"/>
    </row>
    <row r="1662" spans="1:24" x14ac:dyDescent="0.25">
      <c r="A1662" s="545">
        <f t="shared" si="116"/>
        <v>5454486.8944292776</v>
      </c>
      <c r="B1662" s="3">
        <f t="shared" si="118"/>
        <v>18.499999999999957</v>
      </c>
      <c r="C1662" s="545">
        <f>'Foglio deposito bis'!$E$159/sezione!$B$247*B1662</f>
        <v>152.76794393013373</v>
      </c>
      <c r="D1662" s="603">
        <f>-'Sollecitazioni nel paramento'!$G$47*'Sollecitazioni nel paramento'!$G$41*IF(DATI!$G$211="dx",DATI!$E$61,DATI!$E$64*DATI!$E$63)*1000*C1662^2*sezione!$AD$5*(1-sezione!$AD$6)</f>
        <v>-519239941.37482625</v>
      </c>
      <c r="E1662" s="545">
        <f>-'Foglio deposito bis'!$F$68*(C1662-sezione!$AL$33)*IF(ABS(K1662)&lt;'Sollecitazioni nel paramento'!$G$58,ABS(K1662)*'Sollecitazioni nel paramento'!$G$54,'Sollecitazioni nel paramento'!$G$53)</f>
        <v>0</v>
      </c>
      <c r="F1662" s="545">
        <f>-'Foglio deposito bis'!$F$69*(C1662-sezione!$AM$33)*IF(ABS(L1662)&lt;'Sollecitazioni nel paramento'!$G$58,ABS(L1662)*'Sollecitazioni nel paramento'!$G$54,'Sollecitazioni nel paramento'!$G$53)</f>
        <v>-14255172.936173052</v>
      </c>
      <c r="G1662" s="545">
        <f>-'Foglio deposito bis'!$F$70*(C1662-sezione!$AN$33)*IF(ABS(M1662)&lt;'Sollecitazioni nel paramento'!$G$58,ABS(M1662)*'Sollecitazioni nel paramento'!$G$54,'Sollecitazioni nel paramento'!$G$53)</f>
        <v>0</v>
      </c>
      <c r="H1662" s="545">
        <f>-'Foglio deposito bis'!$F$71*(C1662-sezione!$AO$33)*IF(ABS(N1662)&lt;'Sollecitazioni nel paramento'!$G$58,ABS(N1662)*'Sollecitazioni nel paramento'!$G$54,'Sollecitazioni nel paramento'!$G$53)</f>
        <v>198525.56387675504</v>
      </c>
      <c r="I1662" s="472">
        <f>-'Foglio deposito bis'!$F$72*(C1662-sezione!$AP$33)*IF(ABS(O1662)&lt;'Sollecitazioni nel paramento'!$G$58,ABS(O1662)*'Sollecitazioni nel paramento'!$G$54,'Sollecitazioni nel paramento'!$G$53)</f>
        <v>205285461.42802197</v>
      </c>
      <c r="J1662" s="472">
        <f t="shared" si="115"/>
        <v>-328011127.31910056</v>
      </c>
      <c r="K1662" s="550">
        <f>'Sollecitazioni nel paramento'!$G$60*(sezione!$AL$33-C1662)/C1662</f>
        <v>-2.5835773762588111E-3</v>
      </c>
      <c r="L1662" s="550">
        <f>'Sollecitazioni nel paramento'!$G$60*(sezione!$AM$33-C1662)/C1662</f>
        <v>-2.1253660643882162E-3</v>
      </c>
      <c r="M1662" s="551">
        <f>'Sollecitazioni nel paramento'!$G$60*(sezione!$AN$33-C1662)/C1662</f>
        <v>-1.6671547525176221E-3</v>
      </c>
      <c r="N1662" s="551">
        <f>'Sollecitazioni nel paramento'!$G$60*(sezione!$AO$33-C1662)/C1662</f>
        <v>1.6569049496475608E-4</v>
      </c>
      <c r="O1662" s="551">
        <f>'Sollecitazioni nel paramento'!$G$60*(sezione!$AP$33-C1662)/C1662</f>
        <v>9.5646584573399161E-3</v>
      </c>
      <c r="P1662" s="545">
        <f>-'Sollecitazioni nel paramento'!$G$47*'Sollecitazioni nel paramento'!$G$41*IF(DATI!$G$211="dx",DATI!$E$61,DATI!$E$64*DATI!$E$63)*1000*C1662*sezione!$AD$5</f>
        <v>-5820000.3599063037</v>
      </c>
      <c r="Q1662" s="545">
        <f>'Foglio deposito bis'!$F$68*IF(ABS(K1662)&lt;'Sollecitazioni nel paramento'!$G$58,ABS(K1662)*'Sollecitazioni nel paramento'!$G$54,'Sollecitazioni nel paramento'!$G$53)*IF(K1662&lt;0,-1,1)</f>
        <v>0</v>
      </c>
      <c r="R1662" s="545">
        <f>'Foglio deposito bis'!$F$69*IF(ABS(L1662)&lt;'Sollecitazioni nel paramento'!$G$58,ABS(L1662)*'Sollecitazioni nel paramento'!$G$54,'Sollecitazioni nel paramento'!$G$53)*IF(L1662&lt;0,-1,1)</f>
        <v>-153664.85805602249</v>
      </c>
      <c r="S1662" s="545">
        <f>'Foglio deposito bis'!$F$70*IF(ABS(M1662)&lt;'Sollecitazioni nel paramento'!$G$58,ABS(M1662)*'Sollecitazioni nel paramento'!$G$54,'Sollecitazioni nel paramento'!$G$53)*IF(M1662&lt;0,-1,1)</f>
        <v>0</v>
      </c>
      <c r="T1662" s="545">
        <f>'Foglio deposito bis'!$F$71*IF(ABS(N1662)&lt;'Sollecitazioni nel paramento'!$G$58,ABS(N1662)*'Sollecitazioni nel paramento'!$G$54,'Sollecitazioni nel paramento'!$G$53)*IF(N1662&lt;0,-1,1)</f>
        <v>27450.777753777274</v>
      </c>
      <c r="U1662" s="545">
        <f>'Foglio deposito bis'!$F$72*IF(ABS(O1662)&lt;'Sollecitazioni nel paramento'!$G$58,ABS(O1662)*'Sollecitazioni nel paramento'!$G$54,'Sollecitazioni nel paramento'!$G$53)*IF(O1662&lt;0,-1,1)</f>
        <v>491727.54577927204</v>
      </c>
      <c r="V1662" s="472">
        <f t="shared" si="117"/>
        <v>-5454486.8944292776</v>
      </c>
      <c r="W1662" s="551"/>
      <c r="X1662" s="551"/>
    </row>
    <row r="1663" spans="1:24" x14ac:dyDescent="0.25">
      <c r="A1663" s="545">
        <f t="shared" si="116"/>
        <v>5523901.1475426331</v>
      </c>
      <c r="B1663" s="3">
        <f t="shared" si="118"/>
        <v>18.699999999999957</v>
      </c>
      <c r="C1663" s="545">
        <f>'Foglio deposito bis'!$E$159/sezione!$B$247*B1663</f>
        <v>154.41948926991896</v>
      </c>
      <c r="D1663" s="603">
        <f>-'Sollecitazioni nel paramento'!$G$47*'Sollecitazioni nel paramento'!$G$41*IF(DATI!$G$211="dx",DATI!$E$61,DATI!$E$64*DATI!$E$63)*1000*C1663^2*sezione!$AD$5*(1-sezione!$AD$6)</f>
        <v>-530527436.37505621</v>
      </c>
      <c r="E1663" s="545">
        <f>-'Foglio deposito bis'!$F$68*(C1663-sezione!$AL$33)*IF(ABS(K1663)&lt;'Sollecitazioni nel paramento'!$G$58,ABS(K1663)*'Sollecitazioni nel paramento'!$G$54,'Sollecitazioni nel paramento'!$G$53)</f>
        <v>0</v>
      </c>
      <c r="F1663" s="545">
        <f>-'Foglio deposito bis'!$F$69*(C1663-sezione!$AM$33)*IF(ABS(L1663)&lt;'Sollecitazioni nel paramento'!$G$58,ABS(L1663)*'Sollecitazioni nel paramento'!$G$54,'Sollecitazioni nel paramento'!$G$53)</f>
        <v>-14508957.416384235</v>
      </c>
      <c r="G1663" s="545">
        <f>-'Foglio deposito bis'!$F$70*(C1663-sezione!$AN$33)*IF(ABS(M1663)&lt;'Sollecitazioni nel paramento'!$G$58,ABS(M1663)*'Sollecitazioni nel paramento'!$G$54,'Sollecitazioni nel paramento'!$G$53)</f>
        <v>0</v>
      </c>
      <c r="H1663" s="545">
        <f>-'Foglio deposito bis'!$F$71*(C1663-sezione!$AO$33)*IF(ABS(N1663)&lt;'Sollecitazioni nel paramento'!$G$58,ABS(N1663)*'Sollecitazioni nel paramento'!$G$54,'Sollecitazioni nel paramento'!$G$53)</f>
        <v>116942.09934959251</v>
      </c>
      <c r="I1663" s="472">
        <f>-'Foglio deposito bis'!$F$72*(C1663-sezione!$AP$33)*IF(ABS(O1663)&lt;'Sollecitazioni nel paramento'!$G$58,ABS(O1663)*'Sollecitazioni nel paramento'!$G$54,'Sollecitazioni nel paramento'!$G$53)</f>
        <v>204473351.0913462</v>
      </c>
      <c r="J1663" s="472">
        <f t="shared" si="115"/>
        <v>-340446100.60074466</v>
      </c>
      <c r="K1663" s="550">
        <f>'Sollecitazioni nel paramento'!$G$60*(sezione!$AL$33-C1663)/C1663</f>
        <v>-2.5933786877426739E-3</v>
      </c>
      <c r="L1663" s="550">
        <f>'Sollecitazioni nel paramento'!$G$60*(sezione!$AM$33-C1663)/C1663</f>
        <v>-2.1400680316140111E-3</v>
      </c>
      <c r="M1663" s="551">
        <f>'Sollecitazioni nel paramento'!$G$60*(sezione!$AN$33-C1663)/C1663</f>
        <v>-1.686757375485348E-3</v>
      </c>
      <c r="N1663" s="551">
        <f>'Sollecitazioni nel paramento'!$G$60*(sezione!$AO$33-C1663)/C1663</f>
        <v>1.2648524902930414E-4</v>
      </c>
      <c r="O1663" s="551">
        <f>'Sollecitazioni nel paramento'!$G$60*(sezione!$AP$33-C1663)/C1663</f>
        <v>9.4249294898817344E-3</v>
      </c>
      <c r="P1663" s="545">
        <f>-'Sollecitazioni nel paramento'!$G$47*'Sollecitazioni nel paramento'!$G$41*IF(DATI!$G$211="dx",DATI!$E$61,DATI!$E$64*DATI!$E$63)*1000*C1663*sezione!$AD$5</f>
        <v>-5882919.282716101</v>
      </c>
      <c r="Q1663" s="545">
        <f>'Foglio deposito bis'!$F$68*IF(ABS(K1663)&lt;'Sollecitazioni nel paramento'!$G$58,ABS(K1663)*'Sollecitazioni nel paramento'!$G$54,'Sollecitazioni nel paramento'!$G$53)*IF(K1663&lt;0,-1,1)</f>
        <v>0</v>
      </c>
      <c r="R1663" s="545">
        <f>'Foglio deposito bis'!$F$69*IF(ABS(L1663)&lt;'Sollecitazioni nel paramento'!$G$58,ABS(L1663)*'Sollecitazioni nel paramento'!$G$54,'Sollecitazioni nel paramento'!$G$53)*IF(L1663&lt;0,-1,1)</f>
        <v>-153664.85805602249</v>
      </c>
      <c r="S1663" s="545">
        <f>'Foglio deposito bis'!$F$70*IF(ABS(M1663)&lt;'Sollecitazioni nel paramento'!$G$58,ABS(M1663)*'Sollecitazioni nel paramento'!$G$54,'Sollecitazioni nel paramento'!$G$53)*IF(M1663&lt;0,-1,1)</f>
        <v>0</v>
      </c>
      <c r="T1663" s="545">
        <f>'Foglio deposito bis'!$F$71*IF(ABS(N1663)&lt;'Sollecitazioni nel paramento'!$G$58,ABS(N1663)*'Sollecitazioni nel paramento'!$G$54,'Sollecitazioni nel paramento'!$G$53)*IF(N1663&lt;0,-1,1)</f>
        <v>20955.447450218267</v>
      </c>
      <c r="U1663" s="545">
        <f>'Foglio deposito bis'!$F$72*IF(ABS(O1663)&lt;'Sollecitazioni nel paramento'!$G$58,ABS(O1663)*'Sollecitazioni nel paramento'!$G$54,'Sollecitazioni nel paramento'!$G$53)*IF(O1663&lt;0,-1,1)</f>
        <v>491727.54577927204</v>
      </c>
      <c r="V1663" s="472">
        <f t="shared" si="117"/>
        <v>-5523901.1475426331</v>
      </c>
      <c r="W1663" s="551"/>
      <c r="X1663" s="551"/>
    </row>
    <row r="1664" spans="1:24" x14ac:dyDescent="0.25">
      <c r="A1664" s="545">
        <f t="shared" si="116"/>
        <v>5593177.9333479786</v>
      </c>
      <c r="B1664" s="3">
        <f t="shared" si="118"/>
        <v>18.899999999999956</v>
      </c>
      <c r="C1664" s="545">
        <f>'Foglio deposito bis'!$E$159/sezione!$B$247*B1664</f>
        <v>156.07103460970418</v>
      </c>
      <c r="D1664" s="603">
        <f>-'Sollecitazioni nel paramento'!$G$47*'Sollecitazioni nel paramento'!$G$41*IF(DATI!$G$211="dx",DATI!$E$61,DATI!$E$64*DATI!$E$63)*1000*C1664^2*sezione!$AD$5*(1-sezione!$AD$6)</f>
        <v>-541936302.28926718</v>
      </c>
      <c r="E1664" s="545">
        <f>-'Foglio deposito bis'!$F$68*(C1664-sezione!$AL$33)*IF(ABS(K1664)&lt;'Sollecitazioni nel paramento'!$G$58,ABS(K1664)*'Sollecitazioni nel paramento'!$G$54,'Sollecitazioni nel paramento'!$G$53)</f>
        <v>0</v>
      </c>
      <c r="F1664" s="545">
        <f>-'Foglio deposito bis'!$F$69*(C1664-sezione!$AM$33)*IF(ABS(L1664)&lt;'Sollecitazioni nel paramento'!$G$58,ABS(L1664)*'Sollecitazioni nel paramento'!$G$54,'Sollecitazioni nel paramento'!$G$53)</f>
        <v>-14762741.896595418</v>
      </c>
      <c r="G1664" s="545">
        <f>-'Foglio deposito bis'!$F$70*(C1664-sezione!$AN$33)*IF(ABS(M1664)&lt;'Sollecitazioni nel paramento'!$G$58,ABS(M1664)*'Sollecitazioni nel paramento'!$G$54,'Sollecitazioni nel paramento'!$G$53)</f>
        <v>0</v>
      </c>
      <c r="H1664" s="545">
        <f>-'Foglio deposito bis'!$F$71*(C1664-sezione!$AO$33)*IF(ABS(N1664)&lt;'Sollecitazioni nel paramento'!$G$58,ABS(N1664)*'Sollecitazioni nel paramento'!$G$54,'Sollecitazioni nel paramento'!$G$53)</f>
        <v>57353.404104322923</v>
      </c>
      <c r="I1664" s="472">
        <f>-'Foglio deposito bis'!$F$72*(C1664-sezione!$AP$33)*IF(ABS(O1664)&lt;'Sollecitazioni nel paramento'!$G$58,ABS(O1664)*'Sollecitazioni nel paramento'!$G$54,'Sollecitazioni nel paramento'!$G$53)</f>
        <v>203661240.75467044</v>
      </c>
      <c r="J1664" s="472">
        <f t="shared" si="115"/>
        <v>-352980450.02708775</v>
      </c>
      <c r="K1664" s="550">
        <f>'Sollecitazioni nel paramento'!$G$60*(sezione!$AL$33-C1664)/C1664</f>
        <v>-2.6029725640628575E-3</v>
      </c>
      <c r="L1664" s="550">
        <f>'Sollecitazioni nel paramento'!$G$60*(sezione!$AM$33-C1664)/C1664</f>
        <v>-2.1544588460942859E-3</v>
      </c>
      <c r="M1664" s="551">
        <f>'Sollecitazioni nel paramento'!$G$60*(sezione!$AN$33-C1664)/C1664</f>
        <v>-1.7059451281257146E-3</v>
      </c>
      <c r="N1664" s="551">
        <f>'Sollecitazioni nel paramento'!$G$60*(sezione!$AO$33-C1664)/C1664</f>
        <v>8.8109743748570753E-5</v>
      </c>
      <c r="O1664" s="551">
        <f>'Sollecitazioni nel paramento'!$G$60*(sezione!$AP$33-C1664)/C1664</f>
        <v>9.2881577492480646E-3</v>
      </c>
      <c r="P1664" s="545">
        <f>-'Sollecitazioni nel paramento'!$G$47*'Sollecitazioni nel paramento'!$G$41*IF(DATI!$G$211="dx",DATI!$E$61,DATI!$E$64*DATI!$E$63)*1000*C1664*sezione!$AD$5</f>
        <v>-5945838.2055258993</v>
      </c>
      <c r="Q1664" s="545">
        <f>'Foglio deposito bis'!$F$68*IF(ABS(K1664)&lt;'Sollecitazioni nel paramento'!$G$58,ABS(K1664)*'Sollecitazioni nel paramento'!$G$54,'Sollecitazioni nel paramento'!$G$53)*IF(K1664&lt;0,-1,1)</f>
        <v>0</v>
      </c>
      <c r="R1664" s="545">
        <f>'Foglio deposito bis'!$F$69*IF(ABS(L1664)&lt;'Sollecitazioni nel paramento'!$G$58,ABS(L1664)*'Sollecitazioni nel paramento'!$G$54,'Sollecitazioni nel paramento'!$G$53)*IF(L1664&lt;0,-1,1)</f>
        <v>-153664.85805602249</v>
      </c>
      <c r="S1664" s="545">
        <f>'Foglio deposito bis'!$F$70*IF(ABS(M1664)&lt;'Sollecitazioni nel paramento'!$G$58,ABS(M1664)*'Sollecitazioni nel paramento'!$G$54,'Sollecitazioni nel paramento'!$G$53)*IF(M1664&lt;0,-1,1)</f>
        <v>0</v>
      </c>
      <c r="T1664" s="545">
        <f>'Foglio deposito bis'!$F$71*IF(ABS(N1664)&lt;'Sollecitazioni nel paramento'!$G$58,ABS(N1664)*'Sollecitazioni nel paramento'!$G$54,'Sollecitazioni nel paramento'!$G$53)*IF(N1664&lt;0,-1,1)</f>
        <v>14597.58445467109</v>
      </c>
      <c r="U1664" s="545">
        <f>'Foglio deposito bis'!$F$72*IF(ABS(O1664)&lt;'Sollecitazioni nel paramento'!$G$58,ABS(O1664)*'Sollecitazioni nel paramento'!$G$54,'Sollecitazioni nel paramento'!$G$53)*IF(O1664&lt;0,-1,1)</f>
        <v>491727.54577927204</v>
      </c>
      <c r="V1664" s="472">
        <f t="shared" si="117"/>
        <v>-5593177.9333479786</v>
      </c>
      <c r="W1664" s="551"/>
      <c r="X1664" s="551"/>
    </row>
    <row r="1665" spans="1:24" x14ac:dyDescent="0.25">
      <c r="A1665" s="545">
        <f t="shared" si="116"/>
        <v>5662321.5701900655</v>
      </c>
      <c r="B1665" s="3">
        <f t="shared" si="118"/>
        <v>19.099999999999955</v>
      </c>
      <c r="C1665" s="545">
        <f>'Foglio deposito bis'!$E$159/sezione!$B$247*B1665</f>
        <v>157.72257994948941</v>
      </c>
      <c r="D1665" s="603">
        <f>-'Sollecitazioni nel paramento'!$G$47*'Sollecitazioni nel paramento'!$G$41*IF(DATI!$G$211="dx",DATI!$E$61,DATI!$E$64*DATI!$E$63)*1000*C1665^2*sezione!$AD$5*(1-sezione!$AD$6)</f>
        <v>-553466539.11745894</v>
      </c>
      <c r="E1665" s="545">
        <f>-'Foglio deposito bis'!$F$68*(C1665-sezione!$AL$33)*IF(ABS(K1665)&lt;'Sollecitazioni nel paramento'!$G$58,ABS(K1665)*'Sollecitazioni nel paramento'!$G$54,'Sollecitazioni nel paramento'!$G$53)</f>
        <v>0</v>
      </c>
      <c r="F1665" s="545">
        <f>-'Foglio deposito bis'!$F$69*(C1665-sezione!$AM$33)*IF(ABS(L1665)&lt;'Sollecitazioni nel paramento'!$G$58,ABS(L1665)*'Sollecitazioni nel paramento'!$G$54,'Sollecitazioni nel paramento'!$G$53)</f>
        <v>-15016526.3768066</v>
      </c>
      <c r="G1665" s="545">
        <f>-'Foglio deposito bis'!$F$70*(C1665-sezione!$AN$33)*IF(ABS(M1665)&lt;'Sollecitazioni nel paramento'!$G$58,ABS(M1665)*'Sollecitazioni nel paramento'!$G$54,'Sollecitazioni nel paramento'!$G$53)</f>
        <v>0</v>
      </c>
      <c r="H1665" s="545">
        <f>-'Foglio deposito bis'!$F$71*(C1665-sezione!$AO$33)*IF(ABS(N1665)&lt;'Sollecitazioni nel paramento'!$G$58,ABS(N1665)*'Sollecitazioni nel paramento'!$G$54,'Sollecitazioni nel paramento'!$G$53)</f>
        <v>19068.542980258546</v>
      </c>
      <c r="I1665" s="472">
        <f>-'Foglio deposito bis'!$F$72*(C1665-sezione!$AP$33)*IF(ABS(O1665)&lt;'Sollecitazioni nel paramento'!$G$58,ABS(O1665)*'Sollecitazioni nel paramento'!$G$54,'Sollecitazioni nel paramento'!$G$53)</f>
        <v>202849130.41799465</v>
      </c>
      <c r="J1665" s="472">
        <f t="shared" si="115"/>
        <v>-365614866.53329062</v>
      </c>
      <c r="K1665" s="550">
        <f>'Sollecitazioni nel paramento'!$G$60*(sezione!$AL$33-C1665)/C1665</f>
        <v>-2.6123655215072252E-3</v>
      </c>
      <c r="L1665" s="550">
        <f>'Sollecitazioni nel paramento'!$G$60*(sezione!$AM$33-C1665)/C1665</f>
        <v>-2.1685482822608381E-3</v>
      </c>
      <c r="M1665" s="551">
        <f>'Sollecitazioni nel paramento'!$G$60*(sezione!$AN$33-C1665)/C1665</f>
        <v>-1.7247310430144507E-3</v>
      </c>
      <c r="N1665" s="551">
        <f>'Sollecitazioni nel paramento'!$G$60*(sezione!$AO$33-C1665)/C1665</f>
        <v>5.0537913971098803E-5</v>
      </c>
      <c r="O1665" s="551">
        <f>'Sollecitazioni nel paramento'!$G$60*(sezione!$AP$33-C1665)/C1665</f>
        <v>9.1542503382611735E-3</v>
      </c>
      <c r="P1665" s="545">
        <f>-'Sollecitazioni nel paramento'!$G$47*'Sollecitazioni nel paramento'!$G$41*IF(DATI!$G$211="dx",DATI!$E$61,DATI!$E$64*DATI!$E$63)*1000*C1665*sezione!$AD$5</f>
        <v>-6008757.1283356966</v>
      </c>
      <c r="Q1665" s="545">
        <f>'Foglio deposito bis'!$F$68*IF(ABS(K1665)&lt;'Sollecitazioni nel paramento'!$G$58,ABS(K1665)*'Sollecitazioni nel paramento'!$G$54,'Sollecitazioni nel paramento'!$G$53)*IF(K1665&lt;0,-1,1)</f>
        <v>0</v>
      </c>
      <c r="R1665" s="545">
        <f>'Foglio deposito bis'!$F$69*IF(ABS(L1665)&lt;'Sollecitazioni nel paramento'!$G$58,ABS(L1665)*'Sollecitazioni nel paramento'!$G$54,'Sollecitazioni nel paramento'!$G$53)*IF(L1665&lt;0,-1,1)</f>
        <v>-153664.85805602249</v>
      </c>
      <c r="S1665" s="545">
        <f>'Foglio deposito bis'!$F$70*IF(ABS(M1665)&lt;'Sollecitazioni nel paramento'!$G$58,ABS(M1665)*'Sollecitazioni nel paramento'!$G$54,'Sollecitazioni nel paramento'!$G$53)*IF(M1665&lt;0,-1,1)</f>
        <v>0</v>
      </c>
      <c r="T1665" s="545">
        <f>'Foglio deposito bis'!$F$71*IF(ABS(N1665)&lt;'Sollecitazioni nel paramento'!$G$58,ABS(N1665)*'Sollecitazioni nel paramento'!$G$54,'Sollecitazioni nel paramento'!$G$53)*IF(N1665&lt;0,-1,1)</f>
        <v>8372.8704223814493</v>
      </c>
      <c r="U1665" s="545">
        <f>'Foglio deposito bis'!$F$72*IF(ABS(O1665)&lt;'Sollecitazioni nel paramento'!$G$58,ABS(O1665)*'Sollecitazioni nel paramento'!$G$54,'Sollecitazioni nel paramento'!$G$53)*IF(O1665&lt;0,-1,1)</f>
        <v>491727.54577927204</v>
      </c>
      <c r="V1665" s="472">
        <f t="shared" si="117"/>
        <v>-5662321.5701900655</v>
      </c>
      <c r="W1665" s="551"/>
      <c r="X1665" s="551"/>
    </row>
    <row r="1666" spans="1:24" x14ac:dyDescent="0.25">
      <c r="A1666" s="545">
        <f t="shared" si="116"/>
        <v>5731336.1974149048</v>
      </c>
      <c r="B1666" s="3">
        <f t="shared" si="118"/>
        <v>19.299999999999955</v>
      </c>
      <c r="C1666" s="545">
        <f>'Foglio deposito bis'!$E$159/sezione!$B$247*B1666</f>
        <v>159.37412528927464</v>
      </c>
      <c r="D1666" s="603">
        <f>-'Sollecitazioni nel paramento'!$G$47*'Sollecitazioni nel paramento'!$G$41*IF(DATI!$G$211="dx",DATI!$E$61,DATI!$E$64*DATI!$E$63)*1000*C1666^2*sezione!$AD$5*(1-sezione!$AD$6)</f>
        <v>-565118146.8596319</v>
      </c>
      <c r="E1666" s="545">
        <f>-'Foglio deposito bis'!$F$68*(C1666-sezione!$AL$33)*IF(ABS(K1666)&lt;'Sollecitazioni nel paramento'!$G$58,ABS(K1666)*'Sollecitazioni nel paramento'!$G$54,'Sollecitazioni nel paramento'!$G$53)</f>
        <v>0</v>
      </c>
      <c r="F1666" s="545">
        <f>-'Foglio deposito bis'!$F$69*(C1666-sezione!$AM$33)*IF(ABS(L1666)&lt;'Sollecitazioni nel paramento'!$G$58,ABS(L1666)*'Sollecitazioni nel paramento'!$G$54,'Sollecitazioni nel paramento'!$G$53)</f>
        <v>-15270310.857017783</v>
      </c>
      <c r="G1666" s="545">
        <f>-'Foglio deposito bis'!$F$70*(C1666-sezione!$AN$33)*IF(ABS(M1666)&lt;'Sollecitazioni nel paramento'!$G$58,ABS(M1666)*'Sollecitazioni nel paramento'!$G$54,'Sollecitazioni nel paramento'!$G$53)</f>
        <v>0</v>
      </c>
      <c r="H1666" s="545">
        <f>-'Foglio deposito bis'!$F$71*(C1666-sezione!$AO$33)*IF(ABS(N1666)&lt;'Sollecitazioni nel paramento'!$G$58,ABS(N1666)*'Sollecitazioni nel paramento'!$G$54,'Sollecitazioni nel paramento'!$G$53)</f>
        <v>1425.220616118369</v>
      </c>
      <c r="I1666" s="472">
        <f>-'Foglio deposito bis'!$F$72*(C1666-sezione!$AP$33)*IF(ABS(O1666)&lt;'Sollecitazioni nel paramento'!$G$58,ABS(O1666)*'Sollecitazioni nel paramento'!$G$54,'Sollecitazioni nel paramento'!$G$53)</f>
        <v>202037020.08131889</v>
      </c>
      <c r="J1666" s="472">
        <f t="shared" si="115"/>
        <v>-378350012.41471469</v>
      </c>
      <c r="K1666" s="550">
        <f>'Sollecitazioni nel paramento'!$G$60*(sezione!$AL$33-C1666)/C1666</f>
        <v>-2.6215638062584458E-3</v>
      </c>
      <c r="L1666" s="550">
        <f>'Sollecitazioni nel paramento'!$G$60*(sezione!$AM$33-C1666)/C1666</f>
        <v>-2.1823457093876689E-3</v>
      </c>
      <c r="M1666" s="551">
        <f>'Sollecitazioni nel paramento'!$G$60*(sezione!$AN$33-C1666)/C1666</f>
        <v>-1.7431276125168915E-3</v>
      </c>
      <c r="N1666" s="551">
        <f>'Sollecitazioni nel paramento'!$G$60*(sezione!$AO$33-C1666)/C1666</f>
        <v>1.3744774966216941E-5</v>
      </c>
      <c r="O1666" s="551">
        <f>'Sollecitazioni nel paramento'!$G$60*(sezione!$AP$33-C1666)/C1666</f>
        <v>9.0231182104035454E-3</v>
      </c>
      <c r="P1666" s="545">
        <f>-'Sollecitazioni nel paramento'!$G$47*'Sollecitazioni nel paramento'!$G$41*IF(DATI!$G$211="dx",DATI!$E$61,DATI!$E$64*DATI!$E$63)*1000*C1666*sezione!$AD$5</f>
        <v>-6071676.0511454949</v>
      </c>
      <c r="Q1666" s="545">
        <f>'Foglio deposito bis'!$F$68*IF(ABS(K1666)&lt;'Sollecitazioni nel paramento'!$G$58,ABS(K1666)*'Sollecitazioni nel paramento'!$G$54,'Sollecitazioni nel paramento'!$G$53)*IF(K1666&lt;0,-1,1)</f>
        <v>0</v>
      </c>
      <c r="R1666" s="545">
        <f>'Foglio deposito bis'!$F$69*IF(ABS(L1666)&lt;'Sollecitazioni nel paramento'!$G$58,ABS(L1666)*'Sollecitazioni nel paramento'!$G$54,'Sollecitazioni nel paramento'!$G$53)*IF(L1666&lt;0,-1,1)</f>
        <v>-153664.85805602249</v>
      </c>
      <c r="S1666" s="545">
        <f>'Foglio deposito bis'!$F$70*IF(ABS(M1666)&lt;'Sollecitazioni nel paramento'!$G$58,ABS(M1666)*'Sollecitazioni nel paramento'!$G$54,'Sollecitazioni nel paramento'!$G$53)*IF(M1666&lt;0,-1,1)</f>
        <v>0</v>
      </c>
      <c r="T1666" s="545">
        <f>'Foglio deposito bis'!$F$71*IF(ABS(N1666)&lt;'Sollecitazioni nel paramento'!$G$58,ABS(N1666)*'Sollecitazioni nel paramento'!$G$54,'Sollecitazioni nel paramento'!$G$53)*IF(N1666&lt;0,-1,1)</f>
        <v>2277.1660073413323</v>
      </c>
      <c r="U1666" s="545">
        <f>'Foglio deposito bis'!$F$72*IF(ABS(O1666)&lt;'Sollecitazioni nel paramento'!$G$58,ABS(O1666)*'Sollecitazioni nel paramento'!$G$54,'Sollecitazioni nel paramento'!$G$53)*IF(O1666&lt;0,-1,1)</f>
        <v>491727.54577927204</v>
      </c>
      <c r="V1666" s="472">
        <f t="shared" si="117"/>
        <v>-5731336.1974149048</v>
      </c>
      <c r="W1666" s="551"/>
      <c r="X1666" s="551"/>
    </row>
    <row r="1667" spans="1:24" x14ac:dyDescent="0.25">
      <c r="A1667" s="545">
        <f t="shared" si="116"/>
        <v>5800225.7845491776</v>
      </c>
      <c r="B1667" s="3">
        <f t="shared" si="118"/>
        <v>19.499999999999954</v>
      </c>
      <c r="C1667" s="545">
        <f>'Foglio deposito bis'!$E$159/sezione!$B$247*B1667</f>
        <v>161.02567062905987</v>
      </c>
      <c r="D1667" s="603">
        <f>-'Sollecitazioni nel paramento'!$G$47*'Sollecitazioni nel paramento'!$G$41*IF(DATI!$G$211="dx",DATI!$E$61,DATI!$E$64*DATI!$E$63)*1000*C1667^2*sezione!$AD$5*(1-sezione!$AD$6)</f>
        <v>-576891125.51578569</v>
      </c>
      <c r="E1667" s="545">
        <f>-'Foglio deposito bis'!$F$68*(C1667-sezione!$AL$33)*IF(ABS(K1667)&lt;'Sollecitazioni nel paramento'!$G$58,ABS(K1667)*'Sollecitazioni nel paramento'!$G$54,'Sollecitazioni nel paramento'!$G$53)</f>
        <v>0</v>
      </c>
      <c r="F1667" s="545">
        <f>-'Foglio deposito bis'!$F$69*(C1667-sezione!$AM$33)*IF(ABS(L1667)&lt;'Sollecitazioni nel paramento'!$G$58,ABS(L1667)*'Sollecitazioni nel paramento'!$G$54,'Sollecitazioni nel paramento'!$G$53)</f>
        <v>-15524095.337228967</v>
      </c>
      <c r="G1667" s="545">
        <f>-'Foglio deposito bis'!$F$70*(C1667-sezione!$AN$33)*IF(ABS(M1667)&lt;'Sollecitazioni nel paramento'!$G$58,ABS(M1667)*'Sollecitazioni nel paramento'!$G$54,'Sollecitazioni nel paramento'!$G$53)</f>
        <v>0</v>
      </c>
      <c r="H1667" s="545">
        <f>-'Foglio deposito bis'!$F$71*(C1667-sezione!$AO$33)*IF(ABS(N1667)&lt;'Sollecitazioni nel paramento'!$G$58,ABS(N1667)*'Sollecitazioni nel paramento'!$G$54,'Sollecitazioni nel paramento'!$G$53)</f>
        <v>-3788.3127423662709</v>
      </c>
      <c r="I1667" s="472">
        <f>-'Foglio deposito bis'!$F$72*(C1667-sezione!$AP$33)*IF(ABS(O1667)&lt;'Sollecitazioni nel paramento'!$G$58,ABS(O1667)*'Sollecitazioni nel paramento'!$G$54,'Sollecitazioni nel paramento'!$G$53)</f>
        <v>201224909.74464309</v>
      </c>
      <c r="J1667" s="472">
        <f t="shared" si="115"/>
        <v>-391194099.42111397</v>
      </c>
      <c r="K1667" s="550">
        <f>'Sollecitazioni nel paramento'!$G$60*(sezione!$AL$33-C1667)/C1667</f>
        <v>-2.6305734082455387E-3</v>
      </c>
      <c r="L1667" s="550">
        <f>'Sollecitazioni nel paramento'!$G$60*(sezione!$AM$33-C1667)/C1667</f>
        <v>-2.1958601123683078E-3</v>
      </c>
      <c r="M1667" s="551">
        <f>'Sollecitazioni nel paramento'!$G$60*(sezione!$AN$33-C1667)/C1667</f>
        <v>-1.7611468164910771E-3</v>
      </c>
      <c r="N1667" s="551">
        <f>'Sollecitazioni nel paramento'!$G$60*(sezione!$AO$33-C1667)/C1667</f>
        <v>-2.229363298215452E-5</v>
      </c>
      <c r="O1667" s="551">
        <f>'Sollecitazioni nel paramento'!$G$60*(sezione!$AP$33-C1667)/C1667</f>
        <v>8.8946759723481251E-3</v>
      </c>
      <c r="P1667" s="545">
        <f>-'Sollecitazioni nel paramento'!$G$47*'Sollecitazioni nel paramento'!$G$41*IF(DATI!$G$211="dx",DATI!$E$61,DATI!$E$64*DATI!$E$63)*1000*C1667*sezione!$AD$5</f>
        <v>-6134594.9739552932</v>
      </c>
      <c r="Q1667" s="545">
        <f>'Foglio deposito bis'!$F$68*IF(ABS(K1667)&lt;'Sollecitazioni nel paramento'!$G$58,ABS(K1667)*'Sollecitazioni nel paramento'!$G$54,'Sollecitazioni nel paramento'!$G$53)*IF(K1667&lt;0,-1,1)</f>
        <v>0</v>
      </c>
      <c r="R1667" s="545">
        <f>'Foglio deposito bis'!$F$69*IF(ABS(L1667)&lt;'Sollecitazioni nel paramento'!$G$58,ABS(L1667)*'Sollecitazioni nel paramento'!$G$54,'Sollecitazioni nel paramento'!$G$53)*IF(L1667&lt;0,-1,1)</f>
        <v>-153664.85805602249</v>
      </c>
      <c r="S1667" s="545">
        <f>'Foglio deposito bis'!$F$70*IF(ABS(M1667)&lt;'Sollecitazioni nel paramento'!$G$58,ABS(M1667)*'Sollecitazioni nel paramento'!$G$54,'Sollecitazioni nel paramento'!$G$53)*IF(M1667&lt;0,-1,1)</f>
        <v>0</v>
      </c>
      <c r="T1667" s="545">
        <f>'Foglio deposito bis'!$F$71*IF(ABS(N1667)&lt;'Sollecitazioni nel paramento'!$G$58,ABS(N1667)*'Sollecitazioni nel paramento'!$G$54,'Sollecitazioni nel paramento'!$G$53)*IF(N1667&lt;0,-1,1)</f>
        <v>-3693.4983171338577</v>
      </c>
      <c r="U1667" s="545">
        <f>'Foglio deposito bis'!$F$72*IF(ABS(O1667)&lt;'Sollecitazioni nel paramento'!$G$58,ABS(O1667)*'Sollecitazioni nel paramento'!$G$54,'Sollecitazioni nel paramento'!$G$53)*IF(O1667&lt;0,-1,1)</f>
        <v>491727.54577927204</v>
      </c>
      <c r="V1667" s="472">
        <f t="shared" si="117"/>
        <v>-5800225.7845491776</v>
      </c>
      <c r="W1667" s="551"/>
      <c r="X1667" s="551"/>
    </row>
    <row r="1668" spans="1:24" x14ac:dyDescent="0.25">
      <c r="A1668" s="545">
        <f t="shared" si="116"/>
        <v>5868994.1399205178</v>
      </c>
      <c r="B1668" s="3">
        <f t="shared" si="118"/>
        <v>19.699999999999953</v>
      </c>
      <c r="C1668" s="545">
        <f>'Foglio deposito bis'!$E$159/sezione!$B$247*B1668</f>
        <v>162.6772159688451</v>
      </c>
      <c r="D1668" s="603">
        <f>-'Sollecitazioni nel paramento'!$G$47*'Sollecitazioni nel paramento'!$G$41*IF(DATI!$G$211="dx",DATI!$E$61,DATI!$E$64*DATI!$E$63)*1000*C1668^2*sezione!$AD$5*(1-sezione!$AD$6)</f>
        <v>-588785475.08592045</v>
      </c>
      <c r="E1668" s="545">
        <f>-'Foglio deposito bis'!$F$68*(C1668-sezione!$AL$33)*IF(ABS(K1668)&lt;'Sollecitazioni nel paramento'!$G$58,ABS(K1668)*'Sollecitazioni nel paramento'!$G$54,'Sollecitazioni nel paramento'!$G$53)</f>
        <v>0</v>
      </c>
      <c r="F1668" s="545">
        <f>-'Foglio deposito bis'!$F$69*(C1668-sezione!$AM$33)*IF(ABS(L1668)&lt;'Sollecitazioni nel paramento'!$G$58,ABS(L1668)*'Sollecitazioni nel paramento'!$G$54,'Sollecitazioni nel paramento'!$G$53)</f>
        <v>-15777879.81744015</v>
      </c>
      <c r="G1668" s="545">
        <f>-'Foglio deposito bis'!$F$70*(C1668-sezione!$AN$33)*IF(ABS(M1668)&lt;'Sollecitazioni nel paramento'!$G$58,ABS(M1668)*'Sollecitazioni nel paramento'!$G$54,'Sollecitazioni nel paramento'!$G$53)</f>
        <v>0</v>
      </c>
      <c r="H1668" s="545">
        <f>-'Foglio deposito bis'!$F$71*(C1668-sezione!$AO$33)*IF(ABS(N1668)&lt;'Sollecitazioni nel paramento'!$G$58,ABS(N1668)*'Sollecitazioni nel paramento'!$G$54,'Sollecitazioni nel paramento'!$G$53)</f>
        <v>-25548.486937975202</v>
      </c>
      <c r="I1668" s="472">
        <f>-'Foglio deposito bis'!$F$72*(C1668-sezione!$AP$33)*IF(ABS(O1668)&lt;'Sollecitazioni nel paramento'!$G$58,ABS(O1668)*'Sollecitazioni nel paramento'!$G$54,'Sollecitazioni nel paramento'!$G$53)</f>
        <v>200412799.40796727</v>
      </c>
      <c r="J1668" s="472">
        <f t="shared" si="115"/>
        <v>-404176103.98233134</v>
      </c>
      <c r="K1668" s="550">
        <f>'Sollecitazioni nel paramento'!$G$60*(sezione!$AL$33-C1668)/C1668</f>
        <v>-2.6394000741516753E-3</v>
      </c>
      <c r="L1668" s="550">
        <f>'Sollecitazioni nel paramento'!$G$60*(sezione!$AM$33-C1668)/C1668</f>
        <v>-2.2091001112275132E-3</v>
      </c>
      <c r="M1668" s="551">
        <f>'Sollecitazioni nel paramento'!$G$60*(sezione!$AN$33-C1668)/C1668</f>
        <v>-1.7788001483033508E-3</v>
      </c>
      <c r="N1668" s="551">
        <f>'Sollecitazioni nel paramento'!$G$60*(sezione!$AO$33-C1668)/C1668</f>
        <v>-5.7600296606701179E-5</v>
      </c>
      <c r="O1668" s="551">
        <f>'Sollecitazioni nel paramento'!$G$60*(sezione!$AP$33-C1668)/C1668</f>
        <v>8.7688416985171793E-3</v>
      </c>
      <c r="P1668" s="545">
        <f>-'Sollecitazioni nel paramento'!$G$47*'Sollecitazioni nel paramento'!$G$41*IF(DATI!$G$211="dx",DATI!$E$61,DATI!$E$64*DATI!$E$63)*1000*C1668*sezione!$AD$5</f>
        <v>-6197513.8967650915</v>
      </c>
      <c r="Q1668" s="545">
        <f>'Foglio deposito bis'!$F$68*IF(ABS(K1668)&lt;'Sollecitazioni nel paramento'!$G$58,ABS(K1668)*'Sollecitazioni nel paramento'!$G$54,'Sollecitazioni nel paramento'!$G$53)*IF(K1668&lt;0,-1,1)</f>
        <v>0</v>
      </c>
      <c r="R1668" s="545">
        <f>'Foglio deposito bis'!$F$69*IF(ABS(L1668)&lt;'Sollecitazioni nel paramento'!$G$58,ABS(L1668)*'Sollecitazioni nel paramento'!$G$54,'Sollecitazioni nel paramento'!$G$53)*IF(L1668&lt;0,-1,1)</f>
        <v>-153664.85805602249</v>
      </c>
      <c r="S1668" s="545">
        <f>'Foglio deposito bis'!$F$70*IF(ABS(M1668)&lt;'Sollecitazioni nel paramento'!$G$58,ABS(M1668)*'Sollecitazioni nel paramento'!$G$54,'Sollecitazioni nel paramento'!$G$53)*IF(M1668&lt;0,-1,1)</f>
        <v>0</v>
      </c>
      <c r="T1668" s="545">
        <f>'Foglio deposito bis'!$F$71*IF(ABS(N1668)&lt;'Sollecitazioni nel paramento'!$G$58,ABS(N1668)*'Sollecitazioni nel paramento'!$G$54,'Sollecitazioni nel paramento'!$G$53)*IF(N1668&lt;0,-1,1)</f>
        <v>-9542.9308786755428</v>
      </c>
      <c r="U1668" s="545">
        <f>'Foglio deposito bis'!$F$72*IF(ABS(O1668)&lt;'Sollecitazioni nel paramento'!$G$58,ABS(O1668)*'Sollecitazioni nel paramento'!$G$54,'Sollecitazioni nel paramento'!$G$53)*IF(O1668&lt;0,-1,1)</f>
        <v>491727.54577927204</v>
      </c>
      <c r="V1668" s="472">
        <f t="shared" si="117"/>
        <v>-5868994.1399205178</v>
      </c>
      <c r="W1668" s="551"/>
      <c r="X1668" s="551"/>
    </row>
    <row r="1669" spans="1:24" x14ac:dyDescent="0.25">
      <c r="A1669" s="545">
        <f t="shared" si="116"/>
        <v>5937644.9187579555</v>
      </c>
      <c r="B1669" s="3">
        <f t="shared" si="118"/>
        <v>19.899999999999952</v>
      </c>
      <c r="C1669" s="545">
        <f>'Foglio deposito bis'!$E$159/sezione!$B$247*B1669</f>
        <v>164.32876130863033</v>
      </c>
      <c r="D1669" s="603">
        <f>-'Sollecitazioni nel paramento'!$G$47*'Sollecitazioni nel paramento'!$G$41*IF(DATI!$G$211="dx",DATI!$E$61,DATI!$E$64*DATI!$E$63)*1000*C1669^2*sezione!$AD$5*(1-sezione!$AD$6)</f>
        <v>-600801195.57003641</v>
      </c>
      <c r="E1669" s="545">
        <f>-'Foglio deposito bis'!$F$68*(C1669-sezione!$AL$33)*IF(ABS(K1669)&lt;'Sollecitazioni nel paramento'!$G$58,ABS(K1669)*'Sollecitazioni nel paramento'!$G$54,'Sollecitazioni nel paramento'!$G$53)</f>
        <v>0</v>
      </c>
      <c r="F1669" s="545">
        <f>-'Foglio deposito bis'!$F$69*(C1669-sezione!$AM$33)*IF(ABS(L1669)&lt;'Sollecitazioni nel paramento'!$G$58,ABS(L1669)*'Sollecitazioni nel paramento'!$G$54,'Sollecitazioni nel paramento'!$G$53)</f>
        <v>-16031664.297651334</v>
      </c>
      <c r="G1669" s="545">
        <f>-'Foglio deposito bis'!$F$70*(C1669-sezione!$AN$33)*IF(ABS(M1669)&lt;'Sollecitazioni nel paramento'!$G$58,ABS(M1669)*'Sollecitazioni nel paramento'!$G$54,'Sollecitazioni nel paramento'!$G$53)</f>
        <v>0</v>
      </c>
      <c r="H1669" s="545">
        <f>-'Foglio deposito bis'!$F$71*(C1669-sezione!$AO$33)*IF(ABS(N1669)&lt;'Sollecitazioni nel paramento'!$G$58,ABS(N1669)*'Sollecitazioni nel paramento'!$G$54,'Sollecitazioni nel paramento'!$G$53)</f>
        <v>-66120.906557637791</v>
      </c>
      <c r="I1669" s="472">
        <f>-'Foglio deposito bis'!$F$72*(C1669-sezione!$AP$33)*IF(ABS(O1669)&lt;'Sollecitazioni nel paramento'!$G$58,ABS(O1669)*'Sollecitazioni nel paramento'!$G$54,'Sollecitazioni nel paramento'!$G$53)</f>
        <v>199600689.07129151</v>
      </c>
      <c r="J1669" s="472">
        <f t="shared" si="115"/>
        <v>-417298291.70295388</v>
      </c>
      <c r="K1669" s="550">
        <f>'Sollecitazioni nel paramento'!$G$60*(sezione!$AL$33-C1669)/C1669</f>
        <v>-2.6480493196375881E-3</v>
      </c>
      <c r="L1669" s="550">
        <f>'Sollecitazioni nel paramento'!$G$60*(sezione!$AM$33-C1669)/C1669</f>
        <v>-2.2220739794563821E-3</v>
      </c>
      <c r="M1669" s="551">
        <f>'Sollecitazioni nel paramento'!$G$60*(sezione!$AN$33-C1669)/C1669</f>
        <v>-1.7960986392751763E-3</v>
      </c>
      <c r="N1669" s="551">
        <f>'Sollecitazioni nel paramento'!$G$60*(sezione!$AO$33-C1669)/C1669</f>
        <v>-9.2197278550352433E-5</v>
      </c>
      <c r="O1669" s="551">
        <f>'Sollecitazioni nel paramento'!$G$60*(sezione!$AP$33-C1669)/C1669</f>
        <v>8.6455367568235384E-3</v>
      </c>
      <c r="P1669" s="545">
        <f>-'Sollecitazioni nel paramento'!$G$47*'Sollecitazioni nel paramento'!$G$41*IF(DATI!$G$211="dx",DATI!$E$61,DATI!$E$64*DATI!$E$63)*1000*C1669*sezione!$AD$5</f>
        <v>-6260432.8195748879</v>
      </c>
      <c r="Q1669" s="545">
        <f>'Foglio deposito bis'!$F$68*IF(ABS(K1669)&lt;'Sollecitazioni nel paramento'!$G$58,ABS(K1669)*'Sollecitazioni nel paramento'!$G$54,'Sollecitazioni nel paramento'!$G$53)*IF(K1669&lt;0,-1,1)</f>
        <v>0</v>
      </c>
      <c r="R1669" s="545">
        <f>'Foglio deposito bis'!$F$69*IF(ABS(L1669)&lt;'Sollecitazioni nel paramento'!$G$58,ABS(L1669)*'Sollecitazioni nel paramento'!$G$54,'Sollecitazioni nel paramento'!$G$53)*IF(L1669&lt;0,-1,1)</f>
        <v>-153664.85805602249</v>
      </c>
      <c r="S1669" s="545">
        <f>'Foglio deposito bis'!$F$70*IF(ABS(M1669)&lt;'Sollecitazioni nel paramento'!$G$58,ABS(M1669)*'Sollecitazioni nel paramento'!$G$54,'Sollecitazioni nel paramento'!$G$53)*IF(M1669&lt;0,-1,1)</f>
        <v>0</v>
      </c>
      <c r="T1669" s="545">
        <f>'Foglio deposito bis'!$F$71*IF(ABS(N1669)&lt;'Sollecitazioni nel paramento'!$G$58,ABS(N1669)*'Sollecitazioni nel paramento'!$G$54,'Sollecitazioni nel paramento'!$G$53)*IF(N1669&lt;0,-1,1)</f>
        <v>-15274.786906316891</v>
      </c>
      <c r="U1669" s="545">
        <f>'Foglio deposito bis'!$F$72*IF(ABS(O1669)&lt;'Sollecitazioni nel paramento'!$G$58,ABS(O1669)*'Sollecitazioni nel paramento'!$G$54,'Sollecitazioni nel paramento'!$G$53)*IF(O1669&lt;0,-1,1)</f>
        <v>491727.54577927204</v>
      </c>
      <c r="V1669" s="472">
        <f t="shared" si="117"/>
        <v>-5937644.9187579555</v>
      </c>
      <c r="W1669" s="551"/>
      <c r="X1669" s="551"/>
    </row>
    <row r="1670" spans="1:24" x14ac:dyDescent="0.25">
      <c r="A1670" s="545">
        <f t="shared" si="116"/>
        <v>6006181.6308087753</v>
      </c>
      <c r="B1670" s="3">
        <f t="shared" si="118"/>
        <v>20.099999999999952</v>
      </c>
      <c r="C1670" s="545">
        <f>'Foglio deposito bis'!$E$159/sezione!$B$247*B1670</f>
        <v>165.98030664841556</v>
      </c>
      <c r="D1670" s="603">
        <f>-'Sollecitazioni nel paramento'!$G$47*'Sollecitazioni nel paramento'!$G$41*IF(DATI!$G$211="dx",DATI!$E$61,DATI!$E$64*DATI!$E$63)*1000*C1670^2*sezione!$AD$5*(1-sezione!$AD$6)</f>
        <v>-612938286.96813309</v>
      </c>
      <c r="E1670" s="545">
        <f>-'Foglio deposito bis'!$F$68*(C1670-sezione!$AL$33)*IF(ABS(K1670)&lt;'Sollecitazioni nel paramento'!$G$58,ABS(K1670)*'Sollecitazioni nel paramento'!$G$54,'Sollecitazioni nel paramento'!$G$53)</f>
        <v>0</v>
      </c>
      <c r="F1670" s="545">
        <f>-'Foglio deposito bis'!$F$69*(C1670-sezione!$AM$33)*IF(ABS(L1670)&lt;'Sollecitazioni nel paramento'!$G$58,ABS(L1670)*'Sollecitazioni nel paramento'!$G$54,'Sollecitazioni nel paramento'!$G$53)</f>
        <v>-16285448.777862515</v>
      </c>
      <c r="G1670" s="545">
        <f>-'Foglio deposito bis'!$F$70*(C1670-sezione!$AN$33)*IF(ABS(M1670)&lt;'Sollecitazioni nel paramento'!$G$58,ABS(M1670)*'Sollecitazioni nel paramento'!$G$54,'Sollecitazioni nel paramento'!$G$53)</f>
        <v>0</v>
      </c>
      <c r="H1670" s="545">
        <f>-'Foglio deposito bis'!$F$71*(C1670-sezione!$AO$33)*IF(ABS(N1670)&lt;'Sollecitazioni nel paramento'!$G$58,ABS(N1670)*'Sollecitazioni nel paramento'!$G$54,'Sollecitazioni nel paramento'!$G$53)</f>
        <v>-124944.01203645693</v>
      </c>
      <c r="I1670" s="472">
        <f>-'Foglio deposito bis'!$F$72*(C1670-sezione!$AP$33)*IF(ABS(O1670)&lt;'Sollecitazioni nel paramento'!$G$58,ABS(O1670)*'Sollecitazioni nel paramento'!$G$54,'Sollecitazioni nel paramento'!$G$53)</f>
        <v>198788578.73461571</v>
      </c>
      <c r="J1670" s="472">
        <f t="shared" si="115"/>
        <v>-430560101.0234164</v>
      </c>
      <c r="K1670" s="550">
        <f>'Sollecitazioni nel paramento'!$G$60*(sezione!$AL$33-C1670)/C1670</f>
        <v>-2.656526440835224E-3</v>
      </c>
      <c r="L1670" s="550">
        <f>'Sollecitazioni nel paramento'!$G$60*(sezione!$AM$33-C1670)/C1670</f>
        <v>-2.234789661252836E-3</v>
      </c>
      <c r="M1670" s="551">
        <f>'Sollecitazioni nel paramento'!$G$60*(sezione!$AN$33-C1670)/C1670</f>
        <v>-1.8130528816704479E-3</v>
      </c>
      <c r="N1670" s="551">
        <f>'Sollecitazioni nel paramento'!$G$60*(sezione!$AO$33-C1670)/C1670</f>
        <v>-1.2610576334089622E-4</v>
      </c>
      <c r="O1670" s="551">
        <f>'Sollecitazioni nel paramento'!$G$60*(sezione!$AP$33-C1670)/C1670</f>
        <v>8.5246856448153441E-3</v>
      </c>
      <c r="P1670" s="545">
        <f>-'Sollecitazioni nel paramento'!$G$47*'Sollecitazioni nel paramento'!$G$41*IF(DATI!$G$211="dx",DATI!$E$61,DATI!$E$64*DATI!$E$63)*1000*C1670*sezione!$AD$5</f>
        <v>-6323351.7423846861</v>
      </c>
      <c r="Q1670" s="545">
        <f>'Foglio deposito bis'!$F$68*IF(ABS(K1670)&lt;'Sollecitazioni nel paramento'!$G$58,ABS(K1670)*'Sollecitazioni nel paramento'!$G$54,'Sollecitazioni nel paramento'!$G$53)*IF(K1670&lt;0,-1,1)</f>
        <v>0</v>
      </c>
      <c r="R1670" s="545">
        <f>'Foglio deposito bis'!$F$69*IF(ABS(L1670)&lt;'Sollecitazioni nel paramento'!$G$58,ABS(L1670)*'Sollecitazioni nel paramento'!$G$54,'Sollecitazioni nel paramento'!$G$53)*IF(L1670&lt;0,-1,1)</f>
        <v>-153664.85805602249</v>
      </c>
      <c r="S1670" s="545">
        <f>'Foglio deposito bis'!$F$70*IF(ABS(M1670)&lt;'Sollecitazioni nel paramento'!$G$58,ABS(M1670)*'Sollecitazioni nel paramento'!$G$54,'Sollecitazioni nel paramento'!$G$53)*IF(M1670&lt;0,-1,1)</f>
        <v>0</v>
      </c>
      <c r="T1670" s="545">
        <f>'Foglio deposito bis'!$F$71*IF(ABS(N1670)&lt;'Sollecitazioni nel paramento'!$G$58,ABS(N1670)*'Sollecitazioni nel paramento'!$G$54,'Sollecitazioni nel paramento'!$G$53)*IF(N1670&lt;0,-1,1)</f>
        <v>-20892.576147338514</v>
      </c>
      <c r="U1670" s="545">
        <f>'Foglio deposito bis'!$F$72*IF(ABS(O1670)&lt;'Sollecitazioni nel paramento'!$G$58,ABS(O1670)*'Sollecitazioni nel paramento'!$G$54,'Sollecitazioni nel paramento'!$G$53)*IF(O1670&lt;0,-1,1)</f>
        <v>491727.54577927204</v>
      </c>
      <c r="V1670" s="472">
        <f t="shared" si="117"/>
        <v>-6006181.6308087753</v>
      </c>
      <c r="W1670" s="551"/>
      <c r="X1670" s="551"/>
    </row>
    <row r="1671" spans="1:24" x14ac:dyDescent="0.25">
      <c r="A1671" s="545">
        <f t="shared" si="116"/>
        <v>6074607.6475050915</v>
      </c>
      <c r="B1671" s="3">
        <f t="shared" si="118"/>
        <v>20.299999999999951</v>
      </c>
      <c r="C1671" s="545">
        <f>'Foglio deposito bis'!$E$159/sezione!$B$247*B1671</f>
        <v>167.63185198820076</v>
      </c>
      <c r="D1671" s="603">
        <f>-'Sollecitazioni nel paramento'!$G$47*'Sollecitazioni nel paramento'!$G$41*IF(DATI!$G$211="dx",DATI!$E$61,DATI!$E$64*DATI!$E$63)*1000*C1671^2*sezione!$AD$5*(1-sezione!$AD$6)</f>
        <v>-625196749.28021061</v>
      </c>
      <c r="E1671" s="545">
        <f>-'Foglio deposito bis'!$F$68*(C1671-sezione!$AL$33)*IF(ABS(K1671)&lt;'Sollecitazioni nel paramento'!$G$58,ABS(K1671)*'Sollecitazioni nel paramento'!$G$54,'Sollecitazioni nel paramento'!$G$53)</f>
        <v>0</v>
      </c>
      <c r="F1671" s="545">
        <f>-'Foglio deposito bis'!$F$69*(C1671-sezione!$AM$33)*IF(ABS(L1671)&lt;'Sollecitazioni nel paramento'!$G$58,ABS(L1671)*'Sollecitazioni nel paramento'!$G$54,'Sollecitazioni nel paramento'!$G$53)</f>
        <v>-16539233.258073693</v>
      </c>
      <c r="G1671" s="545">
        <f>-'Foglio deposito bis'!$F$70*(C1671-sezione!$AN$33)*IF(ABS(M1671)&lt;'Sollecitazioni nel paramento'!$G$58,ABS(M1671)*'Sollecitazioni nel paramento'!$G$54,'Sollecitazioni nel paramento'!$G$53)</f>
        <v>0</v>
      </c>
      <c r="H1671" s="545">
        <f>-'Foglio deposito bis'!$F$71*(C1671-sezione!$AO$33)*IF(ABS(N1671)&lt;'Sollecitazioni nel paramento'!$G$58,ABS(N1671)*'Sollecitazioni nel paramento'!$G$54,'Sollecitazioni nel paramento'!$G$53)</f>
        <v>-201478.37423573685</v>
      </c>
      <c r="I1671" s="472">
        <f>-'Foglio deposito bis'!$F$72*(C1671-sezione!$AP$33)*IF(ABS(O1671)&lt;'Sollecitazioni nel paramento'!$G$58,ABS(O1671)*'Sollecitazioni nel paramento'!$G$54,'Sollecitazioni nel paramento'!$G$53)</f>
        <v>197976468.39793995</v>
      </c>
      <c r="J1671" s="472">
        <f t="shared" si="115"/>
        <v>-443960992.51458013</v>
      </c>
      <c r="K1671" s="550">
        <f>'Sollecitazioni nel paramento'!$G$60*(sezione!$AL$33-C1671)/C1671</f>
        <v>-2.6648365251619706E-3</v>
      </c>
      <c r="L1671" s="550">
        <f>'Sollecitazioni nel paramento'!$G$60*(sezione!$AM$33-C1671)/C1671</f>
        <v>-2.2472547877429557E-3</v>
      </c>
      <c r="M1671" s="551">
        <f>'Sollecitazioni nel paramento'!$G$60*(sezione!$AN$33-C1671)/C1671</f>
        <v>-1.829673050323941E-3</v>
      </c>
      <c r="N1671" s="551">
        <f>'Sollecitazioni nel paramento'!$G$60*(sezione!$AO$33-C1671)/C1671</f>
        <v>-1.5934610064788189E-4</v>
      </c>
      <c r="O1671" s="551">
        <f>'Sollecitazioni nel paramento'!$G$60*(sezione!$AP$33-C1671)/C1671</f>
        <v>8.4062158355068198E-3</v>
      </c>
      <c r="P1671" s="545">
        <f>-'Sollecitazioni nel paramento'!$G$47*'Sollecitazioni nel paramento'!$G$41*IF(DATI!$G$211="dx",DATI!$E$61,DATI!$E$64*DATI!$E$63)*1000*C1671*sezione!$AD$5</f>
        <v>-6386270.6651944835</v>
      </c>
      <c r="Q1671" s="545">
        <f>'Foglio deposito bis'!$F$68*IF(ABS(K1671)&lt;'Sollecitazioni nel paramento'!$G$58,ABS(K1671)*'Sollecitazioni nel paramento'!$G$54,'Sollecitazioni nel paramento'!$G$53)*IF(K1671&lt;0,-1,1)</f>
        <v>0</v>
      </c>
      <c r="R1671" s="545">
        <f>'Foglio deposito bis'!$F$69*IF(ABS(L1671)&lt;'Sollecitazioni nel paramento'!$G$58,ABS(L1671)*'Sollecitazioni nel paramento'!$G$54,'Sollecitazioni nel paramento'!$G$53)*IF(L1671&lt;0,-1,1)</f>
        <v>-153664.85805602249</v>
      </c>
      <c r="S1671" s="545">
        <f>'Foglio deposito bis'!$F$70*IF(ABS(M1671)&lt;'Sollecitazioni nel paramento'!$G$58,ABS(M1671)*'Sollecitazioni nel paramento'!$G$54,'Sollecitazioni nel paramento'!$G$53)*IF(M1671&lt;0,-1,1)</f>
        <v>0</v>
      </c>
      <c r="T1671" s="545">
        <f>'Foglio deposito bis'!$F$71*IF(ABS(N1671)&lt;'Sollecitazioni nel paramento'!$G$58,ABS(N1671)*'Sollecitazioni nel paramento'!$G$54,'Sollecitazioni nel paramento'!$G$53)*IF(N1671&lt;0,-1,1)</f>
        <v>-26399.67003385715</v>
      </c>
      <c r="U1671" s="545">
        <f>'Foglio deposito bis'!$F$72*IF(ABS(O1671)&lt;'Sollecitazioni nel paramento'!$G$58,ABS(O1671)*'Sollecitazioni nel paramento'!$G$54,'Sollecitazioni nel paramento'!$G$53)*IF(O1671&lt;0,-1,1)</f>
        <v>491727.54577927204</v>
      </c>
      <c r="V1671" s="472">
        <f t="shared" si="117"/>
        <v>-6074607.6475050915</v>
      </c>
      <c r="W1671" s="551"/>
      <c r="X1671" s="551"/>
    </row>
    <row r="1672" spans="1:24" x14ac:dyDescent="0.25">
      <c r="A1672" s="545">
        <f t="shared" si="116"/>
        <v>6142926.2087109396</v>
      </c>
      <c r="B1672" s="3">
        <f t="shared" si="118"/>
        <v>20.49999999999995</v>
      </c>
      <c r="C1672" s="545">
        <f>'Foglio deposito bis'!$E$159/sezione!$B$247*B1672</f>
        <v>169.28339732798599</v>
      </c>
      <c r="D1672" s="603">
        <f>-'Sollecitazioni nel paramento'!$G$47*'Sollecitazioni nel paramento'!$G$41*IF(DATI!$G$211="dx",DATI!$E$61,DATI!$E$64*DATI!$E$63)*1000*C1672^2*sezione!$AD$5*(1-sezione!$AD$6)</f>
        <v>-637576582.50626945</v>
      </c>
      <c r="E1672" s="545">
        <f>-'Foglio deposito bis'!$F$68*(C1672-sezione!$AL$33)*IF(ABS(K1672)&lt;'Sollecitazioni nel paramento'!$G$58,ABS(K1672)*'Sollecitazioni nel paramento'!$G$54,'Sollecitazioni nel paramento'!$G$53)</f>
        <v>0</v>
      </c>
      <c r="F1672" s="545">
        <f>-'Foglio deposito bis'!$F$69*(C1672-sezione!$AM$33)*IF(ABS(L1672)&lt;'Sollecitazioni nel paramento'!$G$58,ABS(L1672)*'Sollecitazioni nel paramento'!$G$54,'Sollecitazioni nel paramento'!$G$53)</f>
        <v>-16793017.738284875</v>
      </c>
      <c r="G1672" s="545">
        <f>-'Foglio deposito bis'!$F$70*(C1672-sezione!$AN$33)*IF(ABS(M1672)&lt;'Sollecitazioni nel paramento'!$G$58,ABS(M1672)*'Sollecitazioni nel paramento'!$G$54,'Sollecitazioni nel paramento'!$G$53)</f>
        <v>0</v>
      </c>
      <c r="H1672" s="545">
        <f>-'Foglio deposito bis'!$F$71*(C1672-sezione!$AO$33)*IF(ABS(N1672)&lt;'Sollecitazioni nel paramento'!$G$58,ABS(N1672)*'Sollecitazioni nel paramento'!$G$54,'Sollecitazioni nel paramento'!$G$53)</f>
        <v>-295205.61491000326</v>
      </c>
      <c r="I1672" s="472">
        <f>-'Foglio deposito bis'!$F$72*(C1672-sezione!$AP$33)*IF(ABS(O1672)&lt;'Sollecitazioni nel paramento'!$G$58,ABS(O1672)*'Sollecitazioni nel paramento'!$G$54,'Sollecitazioni nel paramento'!$G$53)</f>
        <v>197164358.06126416</v>
      </c>
      <c r="J1672" s="472">
        <f t="shared" si="115"/>
        <v>-457500447.79820013</v>
      </c>
      <c r="K1672" s="550">
        <f>'Sollecitazioni nel paramento'!$G$60*(sezione!$AL$33-C1672)/C1672</f>
        <v>-2.6729844615018539E-3</v>
      </c>
      <c r="L1672" s="550">
        <f>'Sollecitazioni nel paramento'!$G$60*(sezione!$AM$33-C1672)/C1672</f>
        <v>-2.2594766922527806E-3</v>
      </c>
      <c r="M1672" s="551">
        <f>'Sollecitazioni nel paramento'!$G$60*(sezione!$AN$33-C1672)/C1672</f>
        <v>-1.8459689230037072E-3</v>
      </c>
      <c r="N1672" s="551">
        <f>'Sollecitazioni nel paramento'!$G$60*(sezione!$AO$33-C1672)/C1672</f>
        <v>-1.9193784600741475E-4</v>
      </c>
      <c r="O1672" s="551">
        <f>'Sollecitazioni nel paramento'!$G$60*(sezione!$AP$33-C1672)/C1672</f>
        <v>8.2900576322335832E-3</v>
      </c>
      <c r="P1672" s="545">
        <f>-'Sollecitazioni nel paramento'!$G$47*'Sollecitazioni nel paramento'!$G$41*IF(DATI!$G$211="dx",DATI!$E$61,DATI!$E$64*DATI!$E$63)*1000*C1672*sezione!$AD$5</f>
        <v>-6449189.5880042817</v>
      </c>
      <c r="Q1672" s="545">
        <f>'Foglio deposito bis'!$F$68*IF(ABS(K1672)&lt;'Sollecitazioni nel paramento'!$G$58,ABS(K1672)*'Sollecitazioni nel paramento'!$G$54,'Sollecitazioni nel paramento'!$G$53)*IF(K1672&lt;0,-1,1)</f>
        <v>0</v>
      </c>
      <c r="R1672" s="545">
        <f>'Foglio deposito bis'!$F$69*IF(ABS(L1672)&lt;'Sollecitazioni nel paramento'!$G$58,ABS(L1672)*'Sollecitazioni nel paramento'!$G$54,'Sollecitazioni nel paramento'!$G$53)*IF(L1672&lt;0,-1,1)</f>
        <v>-153664.85805602249</v>
      </c>
      <c r="S1672" s="545">
        <f>'Foglio deposito bis'!$F$70*IF(ABS(M1672)&lt;'Sollecitazioni nel paramento'!$G$58,ABS(M1672)*'Sollecitazioni nel paramento'!$G$54,'Sollecitazioni nel paramento'!$G$53)*IF(M1672&lt;0,-1,1)</f>
        <v>0</v>
      </c>
      <c r="T1672" s="545">
        <f>'Foglio deposito bis'!$F$71*IF(ABS(N1672)&lt;'Sollecitazioni nel paramento'!$G$58,ABS(N1672)*'Sollecitazioni nel paramento'!$G$54,'Sollecitazioni nel paramento'!$G$53)*IF(N1672&lt;0,-1,1)</f>
        <v>-31799.308429907225</v>
      </c>
      <c r="U1672" s="545">
        <f>'Foglio deposito bis'!$F$72*IF(ABS(O1672)&lt;'Sollecitazioni nel paramento'!$G$58,ABS(O1672)*'Sollecitazioni nel paramento'!$G$54,'Sollecitazioni nel paramento'!$G$53)*IF(O1672&lt;0,-1,1)</f>
        <v>491727.54577927204</v>
      </c>
      <c r="V1672" s="472">
        <f t="shared" si="117"/>
        <v>-6142926.2087109396</v>
      </c>
      <c r="W1672" s="551"/>
      <c r="X1672" s="551"/>
    </row>
    <row r="1673" spans="1:24" x14ac:dyDescent="0.25">
      <c r="A1673" s="545">
        <f t="shared" si="116"/>
        <v>6211140.4290782157</v>
      </c>
      <c r="B1673" s="3">
        <f t="shared" si="118"/>
        <v>20.69999999999995</v>
      </c>
      <c r="C1673" s="545">
        <f>'Foglio deposito bis'!$E$159/sezione!$B$247*B1673</f>
        <v>170.93494266777122</v>
      </c>
      <c r="D1673" s="603">
        <f>-'Sollecitazioni nel paramento'!$G$47*'Sollecitazioni nel paramento'!$G$41*IF(DATI!$G$211="dx",DATI!$E$61,DATI!$E$64*DATI!$E$63)*1000*C1673^2*sezione!$AD$5*(1-sezione!$AD$6)</f>
        <v>-650077786.6463089</v>
      </c>
      <c r="E1673" s="545">
        <f>-'Foglio deposito bis'!$F$68*(C1673-sezione!$AL$33)*IF(ABS(K1673)&lt;'Sollecitazioni nel paramento'!$G$58,ABS(K1673)*'Sollecitazioni nel paramento'!$G$54,'Sollecitazioni nel paramento'!$G$53)</f>
        <v>0</v>
      </c>
      <c r="F1673" s="545">
        <f>-'Foglio deposito bis'!$F$69*(C1673-sezione!$AM$33)*IF(ABS(L1673)&lt;'Sollecitazioni nel paramento'!$G$58,ABS(L1673)*'Sollecitazioni nel paramento'!$G$54,'Sollecitazioni nel paramento'!$G$53)</f>
        <v>-17046802.218496058</v>
      </c>
      <c r="G1673" s="545">
        <f>-'Foglio deposito bis'!$F$70*(C1673-sezione!$AN$33)*IF(ABS(M1673)&lt;'Sollecitazioni nel paramento'!$G$58,ABS(M1673)*'Sollecitazioni nel paramento'!$G$54,'Sollecitazioni nel paramento'!$G$53)</f>
        <v>0</v>
      </c>
      <c r="H1673" s="545">
        <f>-'Foglio deposito bis'!$F$71*(C1673-sezione!$AO$33)*IF(ABS(N1673)&lt;'Sollecitazioni nel paramento'!$G$58,ABS(N1673)*'Sollecitazioni nel paramento'!$G$54,'Sollecitazioni nel paramento'!$G$53)</f>
        <v>-405627.3897556322</v>
      </c>
      <c r="I1673" s="472">
        <f>-'Foglio deposito bis'!$F$72*(C1673-sezione!$AP$33)*IF(ABS(O1673)&lt;'Sollecitazioni nel paramento'!$G$58,ABS(O1673)*'Sollecitazioni nel paramento'!$G$54,'Sollecitazioni nel paramento'!$G$53)</f>
        <v>196352247.72458836</v>
      </c>
      <c r="J1673" s="472">
        <f t="shared" si="115"/>
        <v>-471177968.5299722</v>
      </c>
      <c r="K1673" s="550">
        <f>'Sollecitazioni nel paramento'!$G$60*(sezione!$AL$33-C1673)/C1673</f>
        <v>-2.6809749497965218E-3</v>
      </c>
      <c r="L1673" s="550">
        <f>'Sollecitazioni nel paramento'!$G$60*(sezione!$AM$33-C1673)/C1673</f>
        <v>-2.2714624246947829E-3</v>
      </c>
      <c r="M1673" s="551">
        <f>'Sollecitazioni nel paramento'!$G$60*(sezione!$AN$33-C1673)/C1673</f>
        <v>-1.8619498995930436E-3</v>
      </c>
      <c r="N1673" s="551">
        <f>'Sollecitazioni nel paramento'!$G$60*(sezione!$AO$33-C1673)/C1673</f>
        <v>-2.2389979918608708E-4</v>
      </c>
      <c r="O1673" s="551">
        <f>'Sollecitazioni nel paramento'!$G$60*(sezione!$AP$33-C1673)/C1673</f>
        <v>8.176144031922147E-3</v>
      </c>
      <c r="P1673" s="545">
        <f>-'Sollecitazioni nel paramento'!$G$47*'Sollecitazioni nel paramento'!$G$41*IF(DATI!$G$211="dx",DATI!$E$61,DATI!$E$64*DATI!$E$63)*1000*C1673*sezione!$AD$5</f>
        <v>-6512108.5108140791</v>
      </c>
      <c r="Q1673" s="545">
        <f>'Foglio deposito bis'!$F$68*IF(ABS(K1673)&lt;'Sollecitazioni nel paramento'!$G$58,ABS(K1673)*'Sollecitazioni nel paramento'!$G$54,'Sollecitazioni nel paramento'!$G$53)*IF(K1673&lt;0,-1,1)</f>
        <v>0</v>
      </c>
      <c r="R1673" s="545">
        <f>'Foglio deposito bis'!$F$69*IF(ABS(L1673)&lt;'Sollecitazioni nel paramento'!$G$58,ABS(L1673)*'Sollecitazioni nel paramento'!$G$54,'Sollecitazioni nel paramento'!$G$53)*IF(L1673&lt;0,-1,1)</f>
        <v>-153664.85805602249</v>
      </c>
      <c r="S1673" s="545">
        <f>'Foglio deposito bis'!$F$70*IF(ABS(M1673)&lt;'Sollecitazioni nel paramento'!$G$58,ABS(M1673)*'Sollecitazioni nel paramento'!$G$54,'Sollecitazioni nel paramento'!$G$53)*IF(M1673&lt;0,-1,1)</f>
        <v>0</v>
      </c>
      <c r="T1673" s="545">
        <f>'Foglio deposito bis'!$F$71*IF(ABS(N1673)&lt;'Sollecitazioni nel paramento'!$G$58,ABS(N1673)*'Sollecitazioni nel paramento'!$G$54,'Sollecitazioni nel paramento'!$G$53)*IF(N1673&lt;0,-1,1)</f>
        <v>-37094.605987386283</v>
      </c>
      <c r="U1673" s="545">
        <f>'Foglio deposito bis'!$F$72*IF(ABS(O1673)&lt;'Sollecitazioni nel paramento'!$G$58,ABS(O1673)*'Sollecitazioni nel paramento'!$G$54,'Sollecitazioni nel paramento'!$G$53)*IF(O1673&lt;0,-1,1)</f>
        <v>491727.54577927204</v>
      </c>
      <c r="V1673" s="472">
        <f t="shared" si="117"/>
        <v>-6211140.4290782157</v>
      </c>
      <c r="W1673" s="551"/>
      <c r="X1673" s="551"/>
    </row>
    <row r="1674" spans="1:24" x14ac:dyDescent="0.25">
      <c r="A1674" s="545">
        <f t="shared" si="116"/>
        <v>6279253.3040376939</v>
      </c>
      <c r="B1674" s="3">
        <f t="shared" si="118"/>
        <v>20.899999999999949</v>
      </c>
      <c r="C1674" s="545">
        <f>'Foglio deposito bis'!$E$159/sezione!$B$247*B1674</f>
        <v>172.58648800755645</v>
      </c>
      <c r="D1674" s="603">
        <f>-'Sollecitazioni nel paramento'!$G$47*'Sollecitazioni nel paramento'!$G$41*IF(DATI!$G$211="dx",DATI!$E$61,DATI!$E$64*DATI!$E$63)*1000*C1674^2*sezione!$AD$5*(1-sezione!$AD$6)</f>
        <v>-662700361.70032954</v>
      </c>
      <c r="E1674" s="545">
        <f>-'Foglio deposito bis'!$F$68*(C1674-sezione!$AL$33)*IF(ABS(K1674)&lt;'Sollecitazioni nel paramento'!$G$58,ABS(K1674)*'Sollecitazioni nel paramento'!$G$54,'Sollecitazioni nel paramento'!$G$53)</f>
        <v>0</v>
      </c>
      <c r="F1674" s="545">
        <f>-'Foglio deposito bis'!$F$69*(C1674-sezione!$AM$33)*IF(ABS(L1674)&lt;'Sollecitazioni nel paramento'!$G$58,ABS(L1674)*'Sollecitazioni nel paramento'!$G$54,'Sollecitazioni nel paramento'!$G$53)</f>
        <v>-17300586.698707242</v>
      </c>
      <c r="G1674" s="545">
        <f>-'Foglio deposito bis'!$F$70*(C1674-sezione!$AN$33)*IF(ABS(M1674)&lt;'Sollecitazioni nel paramento'!$G$58,ABS(M1674)*'Sollecitazioni nel paramento'!$G$54,'Sollecitazioni nel paramento'!$G$53)</f>
        <v>0</v>
      </c>
      <c r="H1674" s="545">
        <f>-'Foglio deposito bis'!$F$71*(C1674-sezione!$AO$33)*IF(ABS(N1674)&lt;'Sollecitazioni nel paramento'!$G$58,ABS(N1674)*'Sollecitazioni nel paramento'!$G$54,'Sollecitazioni nel paramento'!$G$53)</f>
        <v>-532264.42984904395</v>
      </c>
      <c r="I1674" s="472">
        <f>-'Foglio deposito bis'!$F$72*(C1674-sezione!$AP$33)*IF(ABS(O1674)&lt;'Sollecitazioni nel paramento'!$G$58,ABS(O1674)*'Sollecitazioni nel paramento'!$G$54,'Sollecitazioni nel paramento'!$G$53)</f>
        <v>195540137.38791257</v>
      </c>
      <c r="J1674" s="472">
        <f t="shared" si="115"/>
        <v>-484993075.44097322</v>
      </c>
      <c r="K1674" s="550">
        <f>'Sollecitazioni nel paramento'!$G$60*(sezione!$AL$33-C1674)/C1674</f>
        <v>-2.6888125100855502E-3</v>
      </c>
      <c r="L1674" s="550">
        <f>'Sollecitazioni nel paramento'!$G$60*(sezione!$AM$33-C1674)/C1674</f>
        <v>-2.2832187651283253E-3</v>
      </c>
      <c r="M1674" s="551">
        <f>'Sollecitazioni nel paramento'!$G$60*(sezione!$AN$33-C1674)/C1674</f>
        <v>-1.8776250201711006E-3</v>
      </c>
      <c r="N1674" s="551">
        <f>'Sollecitazioni nel paramento'!$G$60*(sezione!$AO$33-C1674)/C1674</f>
        <v>-2.5525004034220109E-4</v>
      </c>
      <c r="O1674" s="551">
        <f>'Sollecitazioni nel paramento'!$G$60*(sezione!$AP$33-C1674)/C1674</f>
        <v>8.0644105962099748E-3</v>
      </c>
      <c r="P1674" s="545">
        <f>-'Sollecitazioni nel paramento'!$G$47*'Sollecitazioni nel paramento'!$G$41*IF(DATI!$G$211="dx",DATI!$E$61,DATI!$E$64*DATI!$E$63)*1000*C1674*sezione!$AD$5</f>
        <v>-6575027.4336238764</v>
      </c>
      <c r="Q1674" s="545">
        <f>'Foglio deposito bis'!$F$68*IF(ABS(K1674)&lt;'Sollecitazioni nel paramento'!$G$58,ABS(K1674)*'Sollecitazioni nel paramento'!$G$54,'Sollecitazioni nel paramento'!$G$53)*IF(K1674&lt;0,-1,1)</f>
        <v>0</v>
      </c>
      <c r="R1674" s="545">
        <f>'Foglio deposito bis'!$F$69*IF(ABS(L1674)&lt;'Sollecitazioni nel paramento'!$G$58,ABS(L1674)*'Sollecitazioni nel paramento'!$G$54,'Sollecitazioni nel paramento'!$G$53)*IF(L1674&lt;0,-1,1)</f>
        <v>-153664.85805602249</v>
      </c>
      <c r="S1674" s="545">
        <f>'Foglio deposito bis'!$F$70*IF(ABS(M1674)&lt;'Sollecitazioni nel paramento'!$G$58,ABS(M1674)*'Sollecitazioni nel paramento'!$G$54,'Sollecitazioni nel paramento'!$G$53)*IF(M1674&lt;0,-1,1)</f>
        <v>0</v>
      </c>
      <c r="T1674" s="545">
        <f>'Foglio deposito bis'!$F$71*IF(ABS(N1674)&lt;'Sollecitazioni nel paramento'!$G$58,ABS(N1674)*'Sollecitazioni nel paramento'!$G$54,'Sollecitazioni nel paramento'!$G$53)*IF(N1674&lt;0,-1,1)</f>
        <v>-42288.558137066699</v>
      </c>
      <c r="U1674" s="545">
        <f>'Foglio deposito bis'!$F$72*IF(ABS(O1674)&lt;'Sollecitazioni nel paramento'!$G$58,ABS(O1674)*'Sollecitazioni nel paramento'!$G$54,'Sollecitazioni nel paramento'!$G$53)*IF(O1674&lt;0,-1,1)</f>
        <v>491727.54577927204</v>
      </c>
      <c r="V1674" s="472">
        <f t="shared" si="117"/>
        <v>-6279253.3040376939</v>
      </c>
      <c r="W1674" s="551"/>
      <c r="X1674" s="551"/>
    </row>
    <row r="1675" spans="1:24" x14ac:dyDescent="0.25">
      <c r="A1675" s="545">
        <f t="shared" si="116"/>
        <v>6347267.7154493118</v>
      </c>
      <c r="B1675" s="3">
        <f t="shared" si="118"/>
        <v>21.099999999999948</v>
      </c>
      <c r="C1675" s="545">
        <f>'Foglio deposito bis'!$E$159/sezione!$B$247*B1675</f>
        <v>174.23803334734168</v>
      </c>
      <c r="D1675" s="603">
        <f>-'Sollecitazioni nel paramento'!$G$47*'Sollecitazioni nel paramento'!$G$41*IF(DATI!$G$211="dx",DATI!$E$61,DATI!$E$64*DATI!$E$63)*1000*C1675^2*sezione!$AD$5*(1-sezione!$AD$6)</f>
        <v>-675444307.66833103</v>
      </c>
      <c r="E1675" s="545">
        <f>-'Foglio deposito bis'!$F$68*(C1675-sezione!$AL$33)*IF(ABS(K1675)&lt;'Sollecitazioni nel paramento'!$G$58,ABS(K1675)*'Sollecitazioni nel paramento'!$G$54,'Sollecitazioni nel paramento'!$G$53)</f>
        <v>0</v>
      </c>
      <c r="F1675" s="545">
        <f>-'Foglio deposito bis'!$F$69*(C1675-sezione!$AM$33)*IF(ABS(L1675)&lt;'Sollecitazioni nel paramento'!$G$58,ABS(L1675)*'Sollecitazioni nel paramento'!$G$54,'Sollecitazioni nel paramento'!$G$53)</f>
        <v>-17554371.178918425</v>
      </c>
      <c r="G1675" s="545">
        <f>-'Foglio deposito bis'!$F$70*(C1675-sezione!$AN$33)*IF(ABS(M1675)&lt;'Sollecitazioni nel paramento'!$G$58,ABS(M1675)*'Sollecitazioni nel paramento'!$G$54,'Sollecitazioni nel paramento'!$G$53)</f>
        <v>0</v>
      </c>
      <c r="H1675" s="545">
        <f>-'Foglio deposito bis'!$F$71*(C1675-sezione!$AO$33)*IF(ABS(N1675)&lt;'Sollecitazioni nel paramento'!$G$58,ABS(N1675)*'Sollecitazioni nel paramento'!$G$54,'Sollecitazioni nel paramento'!$G$53)</f>
        <v>-674655.63760025403</v>
      </c>
      <c r="I1675" s="472">
        <f>-'Foglio deposito bis'!$F$72*(C1675-sezione!$AP$33)*IF(ABS(O1675)&lt;'Sollecitazioni nel paramento'!$G$58,ABS(O1675)*'Sollecitazioni nel paramento'!$G$54,'Sollecitazioni nel paramento'!$G$53)</f>
        <v>194728027.05123678</v>
      </c>
      <c r="J1675" s="472">
        <f t="shared" si="115"/>
        <v>-498945307.43361306</v>
      </c>
      <c r="K1675" s="550">
        <f>'Sollecitazioni nel paramento'!$G$60*(sezione!$AL$33-C1675)/C1675</f>
        <v>-2.6965014910326065E-3</v>
      </c>
      <c r="L1675" s="550">
        <f>'Sollecitazioni nel paramento'!$G$60*(sezione!$AM$33-C1675)/C1675</f>
        <v>-2.29475223654891E-3</v>
      </c>
      <c r="M1675" s="551">
        <f>'Sollecitazioni nel paramento'!$G$60*(sezione!$AN$33-C1675)/C1675</f>
        <v>-1.8930029820652132E-3</v>
      </c>
      <c r="N1675" s="551">
        <f>'Sollecitazioni nel paramento'!$G$60*(sezione!$AO$33-C1675)/C1675</f>
        <v>-2.8600596413042668E-4</v>
      </c>
      <c r="O1675" s="551">
        <f>'Sollecitazioni nel paramento'!$G$60*(sezione!$AP$33-C1675)/C1675</f>
        <v>7.9547953298951882E-3</v>
      </c>
      <c r="P1675" s="545">
        <f>-'Sollecitazioni nel paramento'!$G$47*'Sollecitazioni nel paramento'!$G$41*IF(DATI!$G$211="dx",DATI!$E$61,DATI!$E$64*DATI!$E$63)*1000*C1675*sezione!$AD$5</f>
        <v>-6637946.3564336747</v>
      </c>
      <c r="Q1675" s="545">
        <f>'Foglio deposito bis'!$F$68*IF(ABS(K1675)&lt;'Sollecitazioni nel paramento'!$G$58,ABS(K1675)*'Sollecitazioni nel paramento'!$G$54,'Sollecitazioni nel paramento'!$G$53)*IF(K1675&lt;0,-1,1)</f>
        <v>0</v>
      </c>
      <c r="R1675" s="545">
        <f>'Foglio deposito bis'!$F$69*IF(ABS(L1675)&lt;'Sollecitazioni nel paramento'!$G$58,ABS(L1675)*'Sollecitazioni nel paramento'!$G$54,'Sollecitazioni nel paramento'!$G$53)*IF(L1675&lt;0,-1,1)</f>
        <v>-153664.85805602249</v>
      </c>
      <c r="S1675" s="545">
        <f>'Foglio deposito bis'!$F$70*IF(ABS(M1675)&lt;'Sollecitazioni nel paramento'!$G$58,ABS(M1675)*'Sollecitazioni nel paramento'!$G$54,'Sollecitazioni nel paramento'!$G$53)*IF(M1675&lt;0,-1,1)</f>
        <v>0</v>
      </c>
      <c r="T1675" s="545">
        <f>'Foglio deposito bis'!$F$71*IF(ABS(N1675)&lt;'Sollecitazioni nel paramento'!$G$58,ABS(N1675)*'Sollecitazioni nel paramento'!$G$54,'Sollecitazioni nel paramento'!$G$53)*IF(N1675&lt;0,-1,1)</f>
        <v>-47384.046738885874</v>
      </c>
      <c r="U1675" s="545">
        <f>'Foglio deposito bis'!$F$72*IF(ABS(O1675)&lt;'Sollecitazioni nel paramento'!$G$58,ABS(O1675)*'Sollecitazioni nel paramento'!$G$54,'Sollecitazioni nel paramento'!$G$53)*IF(O1675&lt;0,-1,1)</f>
        <v>491727.54577927204</v>
      </c>
      <c r="V1675" s="472">
        <f t="shared" si="117"/>
        <v>-6347267.7154493118</v>
      </c>
      <c r="W1675" s="551"/>
      <c r="X1675" s="551"/>
    </row>
    <row r="1676" spans="1:24" x14ac:dyDescent="0.25">
      <c r="A1676" s="545">
        <f t="shared" si="116"/>
        <v>6415186.436934134</v>
      </c>
      <c r="B1676" s="3">
        <f t="shared" si="118"/>
        <v>21.299999999999947</v>
      </c>
      <c r="C1676" s="545">
        <f>'Foglio deposito bis'!$E$159/sezione!$B$247*B1676</f>
        <v>175.88957868712691</v>
      </c>
      <c r="D1676" s="603">
        <f>-'Sollecitazioni nel paramento'!$G$47*'Sollecitazioni nel paramento'!$G$41*IF(DATI!$G$211="dx",DATI!$E$61,DATI!$E$64*DATI!$E$63)*1000*C1676^2*sezione!$AD$5*(1-sezione!$AD$6)</f>
        <v>-688309624.55031371</v>
      </c>
      <c r="E1676" s="545">
        <f>-'Foglio deposito bis'!$F$68*(C1676-sezione!$AL$33)*IF(ABS(K1676)&lt;'Sollecitazioni nel paramento'!$G$58,ABS(K1676)*'Sollecitazioni nel paramento'!$G$54,'Sollecitazioni nel paramento'!$G$53)</f>
        <v>0</v>
      </c>
      <c r="F1676" s="545">
        <f>-'Foglio deposito bis'!$F$69*(C1676-sezione!$AM$33)*IF(ABS(L1676)&lt;'Sollecitazioni nel paramento'!$G$58,ABS(L1676)*'Sollecitazioni nel paramento'!$G$54,'Sollecitazioni nel paramento'!$G$53)</f>
        <v>-17808155.659129608</v>
      </c>
      <c r="G1676" s="545">
        <f>-'Foglio deposito bis'!$F$70*(C1676-sezione!$AN$33)*IF(ABS(M1676)&lt;'Sollecitazioni nel paramento'!$G$58,ABS(M1676)*'Sollecitazioni nel paramento'!$G$54,'Sollecitazioni nel paramento'!$G$53)</f>
        <v>0</v>
      </c>
      <c r="H1676" s="545">
        <f>-'Foglio deposito bis'!$F$71*(C1676-sezione!$AO$33)*IF(ABS(N1676)&lt;'Sollecitazioni nel paramento'!$G$58,ABS(N1676)*'Sollecitazioni nel paramento'!$G$54,'Sollecitazioni nel paramento'!$G$53)</f>
        <v>-832357.23363862047</v>
      </c>
      <c r="I1676" s="472">
        <f>-'Foglio deposito bis'!$F$72*(C1676-sezione!$AP$33)*IF(ABS(O1676)&lt;'Sollecitazioni nel paramento'!$G$58,ABS(O1676)*'Sollecitazioni nel paramento'!$G$54,'Sollecitazioni nel paramento'!$G$53)</f>
        <v>193915916.71456102</v>
      </c>
      <c r="J1676" s="472">
        <f t="shared" si="115"/>
        <v>-513034220.72852099</v>
      </c>
      <c r="K1676" s="550">
        <f>'Sollecitazioni nel paramento'!$G$60*(sezione!$AL$33-C1676)/C1676</f>
        <v>-2.7040460779712678E-3</v>
      </c>
      <c r="L1676" s="550">
        <f>'Sollecitazioni nel paramento'!$G$60*(sezione!$AM$33-C1676)/C1676</f>
        <v>-2.3060691169569016E-3</v>
      </c>
      <c r="M1676" s="551">
        <f>'Sollecitazioni nel paramento'!$G$60*(sezione!$AN$33-C1676)/C1676</f>
        <v>-1.9080921559425353E-3</v>
      </c>
      <c r="N1676" s="551">
        <f>'Sollecitazioni nel paramento'!$G$60*(sezione!$AO$33-C1676)/C1676</f>
        <v>-3.1618431188507057E-4</v>
      </c>
      <c r="O1676" s="551">
        <f>'Sollecitazioni nel paramento'!$G$60*(sezione!$AP$33-C1676)/C1676</f>
        <v>7.8472385662341996E-3</v>
      </c>
      <c r="P1676" s="545">
        <f>-'Sollecitazioni nel paramento'!$G$47*'Sollecitazioni nel paramento'!$G$41*IF(DATI!$G$211="dx",DATI!$E$61,DATI!$E$64*DATI!$E$63)*1000*C1676*sezione!$AD$5</f>
        <v>-6700865.279243473</v>
      </c>
      <c r="Q1676" s="545">
        <f>'Foglio deposito bis'!$F$68*IF(ABS(K1676)&lt;'Sollecitazioni nel paramento'!$G$58,ABS(K1676)*'Sollecitazioni nel paramento'!$G$54,'Sollecitazioni nel paramento'!$G$53)*IF(K1676&lt;0,-1,1)</f>
        <v>0</v>
      </c>
      <c r="R1676" s="545">
        <f>'Foglio deposito bis'!$F$69*IF(ABS(L1676)&lt;'Sollecitazioni nel paramento'!$G$58,ABS(L1676)*'Sollecitazioni nel paramento'!$G$54,'Sollecitazioni nel paramento'!$G$53)*IF(L1676&lt;0,-1,1)</f>
        <v>-153664.85805602249</v>
      </c>
      <c r="S1676" s="545">
        <f>'Foglio deposito bis'!$F$70*IF(ABS(M1676)&lt;'Sollecitazioni nel paramento'!$G$58,ABS(M1676)*'Sollecitazioni nel paramento'!$G$54,'Sollecitazioni nel paramento'!$G$53)*IF(M1676&lt;0,-1,1)</f>
        <v>0</v>
      </c>
      <c r="T1676" s="545">
        <f>'Foglio deposito bis'!$F$71*IF(ABS(N1676)&lt;'Sollecitazioni nel paramento'!$G$58,ABS(N1676)*'Sollecitazioni nel paramento'!$G$54,'Sollecitazioni nel paramento'!$G$53)*IF(N1676&lt;0,-1,1)</f>
        <v>-52383.845413910327</v>
      </c>
      <c r="U1676" s="545">
        <f>'Foglio deposito bis'!$F$72*IF(ABS(O1676)&lt;'Sollecitazioni nel paramento'!$G$58,ABS(O1676)*'Sollecitazioni nel paramento'!$G$54,'Sollecitazioni nel paramento'!$G$53)*IF(O1676&lt;0,-1,1)</f>
        <v>491727.54577927204</v>
      </c>
      <c r="V1676" s="472">
        <f t="shared" si="117"/>
        <v>-6415186.436934134</v>
      </c>
      <c r="W1676" s="551"/>
      <c r="X1676" s="551"/>
    </row>
    <row r="1677" spans="1:24" x14ac:dyDescent="0.25">
      <c r="A1677" s="545">
        <f t="shared" si="116"/>
        <v>6483012.1389087234</v>
      </c>
      <c r="B1677" s="3">
        <f t="shared" si="118"/>
        <v>21.499999999999947</v>
      </c>
      <c r="C1677" s="545">
        <f>'Foglio deposito bis'!$E$159/sezione!$B$247*B1677</f>
        <v>177.54112402691214</v>
      </c>
      <c r="D1677" s="603">
        <f>-'Sollecitazioni nel paramento'!$G$47*'Sollecitazioni nel paramento'!$G$41*IF(DATI!$G$211="dx",DATI!$E$61,DATI!$E$64*DATI!$E$63)*1000*C1677^2*sezione!$AD$5*(1-sezione!$AD$6)</f>
        <v>-701296312.34627712</v>
      </c>
      <c r="E1677" s="545">
        <f>-'Foglio deposito bis'!$F$68*(C1677-sezione!$AL$33)*IF(ABS(K1677)&lt;'Sollecitazioni nel paramento'!$G$58,ABS(K1677)*'Sollecitazioni nel paramento'!$G$54,'Sollecitazioni nel paramento'!$G$53)</f>
        <v>0</v>
      </c>
      <c r="F1677" s="545">
        <f>-'Foglio deposito bis'!$F$69*(C1677-sezione!$AM$33)*IF(ABS(L1677)&lt;'Sollecitazioni nel paramento'!$G$58,ABS(L1677)*'Sollecitazioni nel paramento'!$G$54,'Sollecitazioni nel paramento'!$G$53)</f>
        <v>-18061940.139340792</v>
      </c>
      <c r="G1677" s="545">
        <f>-'Foglio deposito bis'!$F$70*(C1677-sezione!$AN$33)*IF(ABS(M1677)&lt;'Sollecitazioni nel paramento'!$G$58,ABS(M1677)*'Sollecitazioni nel paramento'!$G$54,'Sollecitazioni nel paramento'!$G$53)</f>
        <v>0</v>
      </c>
      <c r="H1677" s="545">
        <f>-'Foglio deposito bis'!$F$71*(C1677-sezione!$AO$33)*IF(ABS(N1677)&lt;'Sollecitazioni nel paramento'!$G$58,ABS(N1677)*'Sollecitazioni nel paramento'!$G$54,'Sollecitazioni nel paramento'!$G$53)</f>
        <v>-1004941.9513142689</v>
      </c>
      <c r="I1677" s="472">
        <f>-'Foglio deposito bis'!$F$72*(C1677-sezione!$AP$33)*IF(ABS(O1677)&lt;'Sollecitazioni nel paramento'!$G$58,ABS(O1677)*'Sollecitazioni nel paramento'!$G$54,'Sollecitazioni nel paramento'!$G$53)</f>
        <v>193103806.37788522</v>
      </c>
      <c r="J1677" s="472">
        <f t="shared" si="115"/>
        <v>-527259388.05904686</v>
      </c>
      <c r="K1677" s="550">
        <f>'Sollecitazioni nel paramento'!$G$60*(sezione!$AL$33-C1677)/C1677</f>
        <v>-2.7114503005017674E-3</v>
      </c>
      <c r="L1677" s="550">
        <f>'Sollecitazioni nel paramento'!$G$60*(sezione!$AM$33-C1677)/C1677</f>
        <v>-2.3171754507526512E-3</v>
      </c>
      <c r="M1677" s="551">
        <f>'Sollecitazioni nel paramento'!$G$60*(sezione!$AN$33-C1677)/C1677</f>
        <v>-1.9229006010035349E-3</v>
      </c>
      <c r="N1677" s="551">
        <f>'Sollecitazioni nel paramento'!$G$60*(sezione!$AO$33-C1677)/C1677</f>
        <v>-3.4580120200706994E-4</v>
      </c>
      <c r="O1677" s="551">
        <f>'Sollecitazioni nel paramento'!$G$60*(sezione!$AP$33-C1677)/C1677</f>
        <v>7.7416828586413227E-3</v>
      </c>
      <c r="P1677" s="545">
        <f>-'Sollecitazioni nel paramento'!$G$47*'Sollecitazioni nel paramento'!$G$41*IF(DATI!$G$211="dx",DATI!$E$61,DATI!$E$64*DATI!$E$63)*1000*C1677*sezione!$AD$5</f>
        <v>-6763784.2020532712</v>
      </c>
      <c r="Q1677" s="545">
        <f>'Foglio deposito bis'!$F$68*IF(ABS(K1677)&lt;'Sollecitazioni nel paramento'!$G$58,ABS(K1677)*'Sollecitazioni nel paramento'!$G$54,'Sollecitazioni nel paramento'!$G$53)*IF(K1677&lt;0,-1,1)</f>
        <v>0</v>
      </c>
      <c r="R1677" s="545">
        <f>'Foglio deposito bis'!$F$69*IF(ABS(L1677)&lt;'Sollecitazioni nel paramento'!$G$58,ABS(L1677)*'Sollecitazioni nel paramento'!$G$54,'Sollecitazioni nel paramento'!$G$53)*IF(L1677&lt;0,-1,1)</f>
        <v>-153664.85805602249</v>
      </c>
      <c r="S1677" s="545">
        <f>'Foglio deposito bis'!$F$70*IF(ABS(M1677)&lt;'Sollecitazioni nel paramento'!$G$58,ABS(M1677)*'Sollecitazioni nel paramento'!$G$54,'Sollecitazioni nel paramento'!$G$53)*IF(M1677&lt;0,-1,1)</f>
        <v>0</v>
      </c>
      <c r="T1677" s="545">
        <f>'Foglio deposito bis'!$F$71*IF(ABS(N1677)&lt;'Sollecitazioni nel paramento'!$G$58,ABS(N1677)*'Sollecitazioni nel paramento'!$G$54,'Sollecitazioni nel paramento'!$G$53)*IF(N1677&lt;0,-1,1)</f>
        <v>-57290.624578701761</v>
      </c>
      <c r="U1677" s="545">
        <f>'Foglio deposito bis'!$F$72*IF(ABS(O1677)&lt;'Sollecitazioni nel paramento'!$G$58,ABS(O1677)*'Sollecitazioni nel paramento'!$G$54,'Sollecitazioni nel paramento'!$G$53)*IF(O1677&lt;0,-1,1)</f>
        <v>491727.54577927204</v>
      </c>
      <c r="V1677" s="472">
        <f t="shared" si="117"/>
        <v>-6483012.1389087234</v>
      </c>
      <c r="W1677" s="551"/>
      <c r="X1677" s="551"/>
    </row>
    <row r="1678" spans="1:24" x14ac:dyDescent="0.25">
      <c r="A1678" s="545">
        <f t="shared" si="116"/>
        <v>6550747.3933411045</v>
      </c>
      <c r="B1678" s="3">
        <f t="shared" si="118"/>
        <v>21.699999999999946</v>
      </c>
      <c r="C1678" s="545">
        <f>'Foglio deposito bis'!$E$159/sezione!$B$247*B1678</f>
        <v>179.19266936669737</v>
      </c>
      <c r="D1678" s="603">
        <f>-'Sollecitazioni nel paramento'!$G$47*'Sollecitazioni nel paramento'!$G$41*IF(DATI!$G$211="dx",DATI!$E$61,DATI!$E$64*DATI!$E$63)*1000*C1678^2*sezione!$AD$5*(1-sezione!$AD$6)</f>
        <v>-714404371.0562216</v>
      </c>
      <c r="E1678" s="545">
        <f>-'Foglio deposito bis'!$F$68*(C1678-sezione!$AL$33)*IF(ABS(K1678)&lt;'Sollecitazioni nel paramento'!$G$58,ABS(K1678)*'Sollecitazioni nel paramento'!$G$54,'Sollecitazioni nel paramento'!$G$53)</f>
        <v>0</v>
      </c>
      <c r="F1678" s="545">
        <f>-'Foglio deposito bis'!$F$69*(C1678-sezione!$AM$33)*IF(ABS(L1678)&lt;'Sollecitazioni nel paramento'!$G$58,ABS(L1678)*'Sollecitazioni nel paramento'!$G$54,'Sollecitazioni nel paramento'!$G$53)</f>
        <v>-18315724.619551975</v>
      </c>
      <c r="G1678" s="545">
        <f>-'Foglio deposito bis'!$F$70*(C1678-sezione!$AN$33)*IF(ABS(M1678)&lt;'Sollecitazioni nel paramento'!$G$58,ABS(M1678)*'Sollecitazioni nel paramento'!$G$54,'Sollecitazioni nel paramento'!$G$53)</f>
        <v>0</v>
      </c>
      <c r="H1678" s="545">
        <f>-'Foglio deposito bis'!$F$71*(C1678-sezione!$AO$33)*IF(ABS(N1678)&lt;'Sollecitazioni nel paramento'!$G$58,ABS(N1678)*'Sollecitazioni nel paramento'!$G$54,'Sollecitazioni nel paramento'!$G$53)</f>
        <v>-1191998.2757432195</v>
      </c>
      <c r="I1678" s="472">
        <f>-'Foglio deposito bis'!$F$72*(C1678-sezione!$AP$33)*IF(ABS(O1678)&lt;'Sollecitazioni nel paramento'!$G$58,ABS(O1678)*'Sollecitazioni nel paramento'!$G$54,'Sollecitazioni nel paramento'!$G$53)</f>
        <v>192291696.04120946</v>
      </c>
      <c r="J1678" s="472">
        <f t="shared" si="115"/>
        <v>-541620397.91030741</v>
      </c>
      <c r="K1678" s="550">
        <f>'Sollecitazioni nel paramento'!$G$60*(sezione!$AL$33-C1678)/C1678</f>
        <v>-2.7187180396676495E-3</v>
      </c>
      <c r="L1678" s="550">
        <f>'Sollecitazioni nel paramento'!$G$60*(sezione!$AM$33-C1678)/C1678</f>
        <v>-2.3280770595014745E-3</v>
      </c>
      <c r="M1678" s="551">
        <f>'Sollecitazioni nel paramento'!$G$60*(sezione!$AN$33-C1678)/C1678</f>
        <v>-1.9374360793352999E-3</v>
      </c>
      <c r="N1678" s="551">
        <f>'Sollecitazioni nel paramento'!$G$60*(sezione!$AO$33-C1678)/C1678</f>
        <v>-3.7487215867059928E-4</v>
      </c>
      <c r="O1678" s="551">
        <f>'Sollecitazioni nel paramento'!$G$60*(sezione!$AP$33-C1678)/C1678</f>
        <v>7.6380728783773475E-3</v>
      </c>
      <c r="P1678" s="545">
        <f>-'Sollecitazioni nel paramento'!$G$47*'Sollecitazioni nel paramento'!$G$41*IF(DATI!$G$211="dx",DATI!$E$61,DATI!$E$64*DATI!$E$63)*1000*C1678*sezione!$AD$5</f>
        <v>-6826703.1248630686</v>
      </c>
      <c r="Q1678" s="545">
        <f>'Foglio deposito bis'!$F$68*IF(ABS(K1678)&lt;'Sollecitazioni nel paramento'!$G$58,ABS(K1678)*'Sollecitazioni nel paramento'!$G$54,'Sollecitazioni nel paramento'!$G$53)*IF(K1678&lt;0,-1,1)</f>
        <v>0</v>
      </c>
      <c r="R1678" s="545">
        <f>'Foglio deposito bis'!$F$69*IF(ABS(L1678)&lt;'Sollecitazioni nel paramento'!$G$58,ABS(L1678)*'Sollecitazioni nel paramento'!$G$54,'Sollecitazioni nel paramento'!$G$53)*IF(L1678&lt;0,-1,1)</f>
        <v>-153664.85805602249</v>
      </c>
      <c r="S1678" s="545">
        <f>'Foglio deposito bis'!$F$70*IF(ABS(M1678)&lt;'Sollecitazioni nel paramento'!$G$58,ABS(M1678)*'Sollecitazioni nel paramento'!$G$54,'Sollecitazioni nel paramento'!$G$53)*IF(M1678&lt;0,-1,1)</f>
        <v>0</v>
      </c>
      <c r="T1678" s="545">
        <f>'Foglio deposito bis'!$F$71*IF(ABS(N1678)&lt;'Sollecitazioni nel paramento'!$G$58,ABS(N1678)*'Sollecitazioni nel paramento'!$G$54,'Sollecitazioni nel paramento'!$G$53)*IF(N1678&lt;0,-1,1)</f>
        <v>-62106.956201285073</v>
      </c>
      <c r="U1678" s="545">
        <f>'Foglio deposito bis'!$F$72*IF(ABS(O1678)&lt;'Sollecitazioni nel paramento'!$G$58,ABS(O1678)*'Sollecitazioni nel paramento'!$G$54,'Sollecitazioni nel paramento'!$G$53)*IF(O1678&lt;0,-1,1)</f>
        <v>491727.54577927204</v>
      </c>
      <c r="V1678" s="472">
        <f t="shared" si="117"/>
        <v>-6550747.3933411045</v>
      </c>
      <c r="W1678" s="551"/>
      <c r="X1678" s="551"/>
    </row>
    <row r="1679" spans="1:24" x14ac:dyDescent="0.25">
      <c r="A1679" s="545">
        <f t="shared" si="116"/>
        <v>6618394.6782461321</v>
      </c>
      <c r="B1679" s="3">
        <f t="shared" si="118"/>
        <v>21.899999999999945</v>
      </c>
      <c r="C1679" s="545">
        <f>'Foglio deposito bis'!$E$159/sezione!$B$247*B1679</f>
        <v>180.8442147064826</v>
      </c>
      <c r="D1679" s="603">
        <f>-'Sollecitazioni nel paramento'!$G$47*'Sollecitazioni nel paramento'!$G$41*IF(DATI!$G$211="dx",DATI!$E$61,DATI!$E$64*DATI!$E$63)*1000*C1679^2*sezione!$AD$5*(1-sezione!$AD$6)</f>
        <v>-727633800.68014705</v>
      </c>
      <c r="E1679" s="545">
        <f>-'Foglio deposito bis'!$F$68*(C1679-sezione!$AL$33)*IF(ABS(K1679)&lt;'Sollecitazioni nel paramento'!$G$58,ABS(K1679)*'Sollecitazioni nel paramento'!$G$54,'Sollecitazioni nel paramento'!$G$53)</f>
        <v>0</v>
      </c>
      <c r="F1679" s="545">
        <f>-'Foglio deposito bis'!$F$69*(C1679-sezione!$AM$33)*IF(ABS(L1679)&lt;'Sollecitazioni nel paramento'!$G$58,ABS(L1679)*'Sollecitazioni nel paramento'!$G$54,'Sollecitazioni nel paramento'!$G$53)</f>
        <v>-18569509.099763155</v>
      </c>
      <c r="G1679" s="545">
        <f>-'Foglio deposito bis'!$F$70*(C1679-sezione!$AN$33)*IF(ABS(M1679)&lt;'Sollecitazioni nel paramento'!$G$58,ABS(M1679)*'Sollecitazioni nel paramento'!$G$54,'Sollecitazioni nel paramento'!$G$53)</f>
        <v>0</v>
      </c>
      <c r="H1679" s="545">
        <f>-'Foglio deposito bis'!$F$71*(C1679-sezione!$AO$33)*IF(ABS(N1679)&lt;'Sollecitazioni nel paramento'!$G$58,ABS(N1679)*'Sollecitazioni nel paramento'!$G$54,'Sollecitazioni nel paramento'!$G$53)</f>
        <v>-1393129.7245486686</v>
      </c>
      <c r="I1679" s="472">
        <f>-'Foglio deposito bis'!$F$72*(C1679-sezione!$AP$33)*IF(ABS(O1679)&lt;'Sollecitazioni nel paramento'!$G$58,ABS(O1679)*'Sollecitazioni nel paramento'!$G$54,'Sollecitazioni nel paramento'!$G$53)</f>
        <v>191479585.70453367</v>
      </c>
      <c r="J1679" s="472">
        <f t="shared" si="115"/>
        <v>-556116853.79992521</v>
      </c>
      <c r="K1679" s="550">
        <f>'Sollecitazioni nel paramento'!$G$60*(sezione!$AL$33-C1679)/C1679</f>
        <v>-2.7258530347391784E-3</v>
      </c>
      <c r="L1679" s="550">
        <f>'Sollecitazioni nel paramento'!$G$60*(sezione!$AM$33-C1679)/C1679</f>
        <v>-2.3387795521087672E-3</v>
      </c>
      <c r="M1679" s="551">
        <f>'Sollecitazioni nel paramento'!$G$60*(sezione!$AN$33-C1679)/C1679</f>
        <v>-1.9517060694783563E-3</v>
      </c>
      <c r="N1679" s="551">
        <f>'Sollecitazioni nel paramento'!$G$60*(sezione!$AO$33-C1679)/C1679</f>
        <v>-4.0341213895671248E-4</v>
      </c>
      <c r="O1679" s="551">
        <f>'Sollecitazioni nel paramento'!$G$60*(sezione!$AP$33-C1679)/C1679</f>
        <v>7.5363553178442212E-3</v>
      </c>
      <c r="P1679" s="545">
        <f>-'Sollecitazioni nel paramento'!$G$47*'Sollecitazioni nel paramento'!$G$41*IF(DATI!$G$211="dx",DATI!$E$61,DATI!$E$64*DATI!$E$63)*1000*C1679*sezione!$AD$5</f>
        <v>-6889622.0476728659</v>
      </c>
      <c r="Q1679" s="545">
        <f>'Foglio deposito bis'!$F$68*IF(ABS(K1679)&lt;'Sollecitazioni nel paramento'!$G$58,ABS(K1679)*'Sollecitazioni nel paramento'!$G$54,'Sollecitazioni nel paramento'!$G$53)*IF(K1679&lt;0,-1,1)</f>
        <v>0</v>
      </c>
      <c r="R1679" s="545">
        <f>'Foglio deposito bis'!$F$69*IF(ABS(L1679)&lt;'Sollecitazioni nel paramento'!$G$58,ABS(L1679)*'Sollecitazioni nel paramento'!$G$54,'Sollecitazioni nel paramento'!$G$53)*IF(L1679&lt;0,-1,1)</f>
        <v>-153664.85805602249</v>
      </c>
      <c r="S1679" s="545">
        <f>'Foglio deposito bis'!$F$70*IF(ABS(M1679)&lt;'Sollecitazioni nel paramento'!$G$58,ABS(M1679)*'Sollecitazioni nel paramento'!$G$54,'Sollecitazioni nel paramento'!$G$53)*IF(M1679&lt;0,-1,1)</f>
        <v>0</v>
      </c>
      <c r="T1679" s="545">
        <f>'Foglio deposito bis'!$F$71*IF(ABS(N1679)&lt;'Sollecitazioni nel paramento'!$G$58,ABS(N1679)*'Sollecitazioni nel paramento'!$G$54,'Sollecitazioni nel paramento'!$G$53)*IF(N1679&lt;0,-1,1)</f>
        <v>-66835.318296515237</v>
      </c>
      <c r="U1679" s="545">
        <f>'Foglio deposito bis'!$F$72*IF(ABS(O1679)&lt;'Sollecitazioni nel paramento'!$G$58,ABS(O1679)*'Sollecitazioni nel paramento'!$G$54,'Sollecitazioni nel paramento'!$G$53)*IF(O1679&lt;0,-1,1)</f>
        <v>491727.54577927204</v>
      </c>
      <c r="V1679" s="472">
        <f t="shared" si="117"/>
        <v>-6618394.6782461321</v>
      </c>
      <c r="W1679" s="551"/>
      <c r="X1679" s="551"/>
    </row>
    <row r="1680" spans="1:24" x14ac:dyDescent="0.25">
      <c r="A1680" s="545">
        <f t="shared" si="116"/>
        <v>6685956.3819367681</v>
      </c>
      <c r="B1680" s="3">
        <f t="shared" si="118"/>
        <v>22.099999999999945</v>
      </c>
      <c r="C1680" s="545">
        <f>'Foglio deposito bis'!$E$159/sezione!$B$247*B1680</f>
        <v>182.49576004626783</v>
      </c>
      <c r="D1680" s="603">
        <f>-'Sollecitazioni nel paramento'!$G$47*'Sollecitazioni nel paramento'!$G$41*IF(DATI!$G$211="dx",DATI!$E$61,DATI!$E$64*DATI!$E$63)*1000*C1680^2*sezione!$AD$5*(1-sezione!$AD$6)</f>
        <v>-740984601.21805346</v>
      </c>
      <c r="E1680" s="545">
        <f>-'Foglio deposito bis'!$F$68*(C1680-sezione!$AL$33)*IF(ABS(K1680)&lt;'Sollecitazioni nel paramento'!$G$58,ABS(K1680)*'Sollecitazioni nel paramento'!$G$54,'Sollecitazioni nel paramento'!$G$53)</f>
        <v>0</v>
      </c>
      <c r="F1680" s="545">
        <f>-'Foglio deposito bis'!$F$69*(C1680-sezione!$AM$33)*IF(ABS(L1680)&lt;'Sollecitazioni nel paramento'!$G$58,ABS(L1680)*'Sollecitazioni nel paramento'!$G$54,'Sollecitazioni nel paramento'!$G$53)</f>
        <v>-18823293.579974338</v>
      </c>
      <c r="G1680" s="545">
        <f>-'Foglio deposito bis'!$F$70*(C1680-sezione!$AN$33)*IF(ABS(M1680)&lt;'Sollecitazioni nel paramento'!$G$58,ABS(M1680)*'Sollecitazioni nel paramento'!$G$54,'Sollecitazioni nel paramento'!$G$53)</f>
        <v>0</v>
      </c>
      <c r="H1680" s="545">
        <f>-'Foglio deposito bis'!$F$71*(C1680-sezione!$AO$33)*IF(ABS(N1680)&lt;'Sollecitazioni nel paramento'!$G$58,ABS(N1680)*'Sollecitazioni nel paramento'!$G$54,'Sollecitazioni nel paramento'!$G$53)</f>
        <v>-1607954.1676570475</v>
      </c>
      <c r="I1680" s="472">
        <f>-'Foglio deposito bis'!$F$72*(C1680-sezione!$AP$33)*IF(ABS(O1680)&lt;'Sollecitazioni nel paramento'!$G$58,ABS(O1680)*'Sollecitazioni nel paramento'!$G$54,'Sollecitazioni nel paramento'!$G$53)</f>
        <v>190667475.36785787</v>
      </c>
      <c r="J1680" s="472">
        <f t="shared" si="115"/>
        <v>-570748373.59782696</v>
      </c>
      <c r="K1680" s="550">
        <f>'Sollecitazioni nel paramento'!$G$60*(sezione!$AL$33-C1680)/C1680</f>
        <v>-2.7328588896284164E-3</v>
      </c>
      <c r="L1680" s="550">
        <f>'Sollecitazioni nel paramento'!$G$60*(sezione!$AM$33-C1680)/C1680</f>
        <v>-2.3492883344426244E-3</v>
      </c>
      <c r="M1680" s="551">
        <f>'Sollecitazioni nel paramento'!$G$60*(sezione!$AN$33-C1680)/C1680</f>
        <v>-1.9657177792568327E-3</v>
      </c>
      <c r="N1680" s="551">
        <f>'Sollecitazioni nel paramento'!$G$60*(sezione!$AO$33-C1680)/C1680</f>
        <v>-4.3143555851366536E-4</v>
      </c>
      <c r="O1680" s="551">
        <f>'Sollecitazioni nel paramento'!$G$60*(sezione!$AP$33-C1680)/C1680</f>
        <v>7.4364787991306998E-3</v>
      </c>
      <c r="P1680" s="545">
        <f>-'Sollecitazioni nel paramento'!$G$47*'Sollecitazioni nel paramento'!$G$41*IF(DATI!$G$211="dx",DATI!$E$61,DATI!$E$64*DATI!$E$63)*1000*C1680*sezione!$AD$5</f>
        <v>-6952540.9704826651</v>
      </c>
      <c r="Q1680" s="545">
        <f>'Foglio deposito bis'!$F$68*IF(ABS(K1680)&lt;'Sollecitazioni nel paramento'!$G$58,ABS(K1680)*'Sollecitazioni nel paramento'!$G$54,'Sollecitazioni nel paramento'!$G$53)*IF(K1680&lt;0,-1,1)</f>
        <v>0</v>
      </c>
      <c r="R1680" s="545">
        <f>'Foglio deposito bis'!$F$69*IF(ABS(L1680)&lt;'Sollecitazioni nel paramento'!$G$58,ABS(L1680)*'Sollecitazioni nel paramento'!$G$54,'Sollecitazioni nel paramento'!$G$53)*IF(L1680&lt;0,-1,1)</f>
        <v>-153664.85805602249</v>
      </c>
      <c r="S1680" s="545">
        <f>'Foglio deposito bis'!$F$70*IF(ABS(M1680)&lt;'Sollecitazioni nel paramento'!$G$58,ABS(M1680)*'Sollecitazioni nel paramento'!$G$54,'Sollecitazioni nel paramento'!$G$53)*IF(M1680&lt;0,-1,1)</f>
        <v>0</v>
      </c>
      <c r="T1680" s="545">
        <f>'Foglio deposito bis'!$F$71*IF(ABS(N1680)&lt;'Sollecitazioni nel paramento'!$G$58,ABS(N1680)*'Sollecitazioni nel paramento'!$G$54,'Sollecitazioni nel paramento'!$G$53)*IF(N1680&lt;0,-1,1)</f>
        <v>-71478.099177352124</v>
      </c>
      <c r="U1680" s="545">
        <f>'Foglio deposito bis'!$F$72*IF(ABS(O1680)&lt;'Sollecitazioni nel paramento'!$G$58,ABS(O1680)*'Sollecitazioni nel paramento'!$G$54,'Sollecitazioni nel paramento'!$G$53)*IF(O1680&lt;0,-1,1)</f>
        <v>491727.54577927204</v>
      </c>
      <c r="V1680" s="472">
        <f t="shared" si="117"/>
        <v>-6685956.3819367681</v>
      </c>
      <c r="W1680" s="551"/>
      <c r="X1680" s="551"/>
    </row>
    <row r="1681" spans="1:24" x14ac:dyDescent="0.25">
      <c r="A1681" s="545">
        <f t="shared" si="116"/>
        <v>6753434.8070465801</v>
      </c>
      <c r="B1681" s="3">
        <f t="shared" si="118"/>
        <v>22.299999999999944</v>
      </c>
      <c r="C1681" s="545">
        <f>'Foglio deposito bis'!$E$159/sezione!$B$247*B1681</f>
        <v>184.14730538605306</v>
      </c>
      <c r="D1681" s="603">
        <f>-'Sollecitazioni nel paramento'!$G$47*'Sollecitazioni nel paramento'!$G$41*IF(DATI!$G$211="dx",DATI!$E$61,DATI!$E$64*DATI!$E$63)*1000*C1681^2*sezione!$AD$5*(1-sezione!$AD$6)</f>
        <v>-754456772.66994083</v>
      </c>
      <c r="E1681" s="545">
        <f>-'Foglio deposito bis'!$F$68*(C1681-sezione!$AL$33)*IF(ABS(K1681)&lt;'Sollecitazioni nel paramento'!$G$58,ABS(K1681)*'Sollecitazioni nel paramento'!$G$54,'Sollecitazioni nel paramento'!$G$53)</f>
        <v>0</v>
      </c>
      <c r="F1681" s="545">
        <f>-'Foglio deposito bis'!$F$69*(C1681-sezione!$AM$33)*IF(ABS(L1681)&lt;'Sollecitazioni nel paramento'!$G$58,ABS(L1681)*'Sollecitazioni nel paramento'!$G$54,'Sollecitazioni nel paramento'!$G$53)</f>
        <v>-19077078.060185522</v>
      </c>
      <c r="G1681" s="545">
        <f>-'Foglio deposito bis'!$F$70*(C1681-sezione!$AN$33)*IF(ABS(M1681)&lt;'Sollecitazioni nel paramento'!$G$58,ABS(M1681)*'Sollecitazioni nel paramento'!$G$54,'Sollecitazioni nel paramento'!$G$53)</f>
        <v>0</v>
      </c>
      <c r="H1681" s="545">
        <f>-'Foglio deposito bis'!$F$71*(C1681-sezione!$AO$33)*IF(ABS(N1681)&lt;'Sollecitazioni nel paramento'!$G$58,ABS(N1681)*'Sollecitazioni nel paramento'!$G$54,'Sollecitazioni nel paramento'!$G$53)</f>
        <v>-1836103.1836969757</v>
      </c>
      <c r="I1681" s="472">
        <f>-'Foglio deposito bis'!$F$72*(C1681-sezione!$AP$33)*IF(ABS(O1681)&lt;'Sollecitazioni nel paramento'!$G$58,ABS(O1681)*'Sollecitazioni nel paramento'!$G$54,'Sollecitazioni nel paramento'!$G$53)</f>
        <v>189855365.03118208</v>
      </c>
      <c r="J1681" s="472">
        <f t="shared" si="115"/>
        <v>-585514588.88264132</v>
      </c>
      <c r="K1681" s="550">
        <f>'Sollecitazioni nel paramento'!$G$60*(sezione!$AL$33-C1681)/C1681</f>
        <v>-2.7397390789591033E-3</v>
      </c>
      <c r="L1681" s="550">
        <f>'Sollecitazioni nel paramento'!$G$60*(sezione!$AM$33-C1681)/C1681</f>
        <v>-2.3596086184386549E-3</v>
      </c>
      <c r="M1681" s="551">
        <f>'Sollecitazioni nel paramento'!$G$60*(sezione!$AN$33-C1681)/C1681</f>
        <v>-1.9794781579182065E-3</v>
      </c>
      <c r="N1681" s="551">
        <f>'Sollecitazioni nel paramento'!$G$60*(sezione!$AO$33-C1681)/C1681</f>
        <v>-4.5895631583641274E-4</v>
      </c>
      <c r="O1681" s="551">
        <f>'Sollecitazioni nel paramento'!$G$60*(sezione!$AP$33-C1681)/C1681</f>
        <v>7.3383937874793026E-3</v>
      </c>
      <c r="P1681" s="545">
        <f>-'Sollecitazioni nel paramento'!$G$47*'Sollecitazioni nel paramento'!$G$41*IF(DATI!$G$211="dx",DATI!$E$61,DATI!$E$64*DATI!$E$63)*1000*C1681*sezione!$AD$5</f>
        <v>-7015459.8932924625</v>
      </c>
      <c r="Q1681" s="545">
        <f>'Foglio deposito bis'!$F$68*IF(ABS(K1681)&lt;'Sollecitazioni nel paramento'!$G$58,ABS(K1681)*'Sollecitazioni nel paramento'!$G$54,'Sollecitazioni nel paramento'!$G$53)*IF(K1681&lt;0,-1,1)</f>
        <v>0</v>
      </c>
      <c r="R1681" s="545">
        <f>'Foglio deposito bis'!$F$69*IF(ABS(L1681)&lt;'Sollecitazioni nel paramento'!$G$58,ABS(L1681)*'Sollecitazioni nel paramento'!$G$54,'Sollecitazioni nel paramento'!$G$53)*IF(L1681&lt;0,-1,1)</f>
        <v>-153664.85805602249</v>
      </c>
      <c r="S1681" s="545">
        <f>'Foglio deposito bis'!$F$70*IF(ABS(M1681)&lt;'Sollecitazioni nel paramento'!$G$58,ABS(M1681)*'Sollecitazioni nel paramento'!$G$54,'Sollecitazioni nel paramento'!$G$53)*IF(M1681&lt;0,-1,1)</f>
        <v>0</v>
      </c>
      <c r="T1681" s="545">
        <f>'Foglio deposito bis'!$F$71*IF(ABS(N1681)&lt;'Sollecitazioni nel paramento'!$G$58,ABS(N1681)*'Sollecitazioni nel paramento'!$G$54,'Sollecitazioni nel paramento'!$G$53)*IF(N1681&lt;0,-1,1)</f>
        <v>-76037.601477366814</v>
      </c>
      <c r="U1681" s="545">
        <f>'Foglio deposito bis'!$F$72*IF(ABS(O1681)&lt;'Sollecitazioni nel paramento'!$G$58,ABS(O1681)*'Sollecitazioni nel paramento'!$G$54,'Sollecitazioni nel paramento'!$G$53)*IF(O1681&lt;0,-1,1)</f>
        <v>491727.54577927204</v>
      </c>
      <c r="V1681" s="472">
        <f t="shared" si="117"/>
        <v>-6753434.8070465801</v>
      </c>
      <c r="W1681" s="551"/>
      <c r="X1681" s="551"/>
    </row>
    <row r="1682" spans="1:24" x14ac:dyDescent="0.25">
      <c r="A1682" s="545">
        <f t="shared" si="116"/>
        <v>6820832.1743377261</v>
      </c>
      <c r="B1682" s="3">
        <f t="shared" si="118"/>
        <v>22.499999999999943</v>
      </c>
      <c r="C1682" s="545">
        <f>'Foglio deposito bis'!$E$159/sezione!$B$247*B1682</f>
        <v>185.79885072583829</v>
      </c>
      <c r="D1682" s="603">
        <f>-'Sollecitazioni nel paramento'!$G$47*'Sollecitazioni nel paramento'!$G$41*IF(DATI!$G$211="dx",DATI!$E$61,DATI!$E$64*DATI!$E$63)*1000*C1682^2*sezione!$AD$5*(1-sezione!$AD$6)</f>
        <v>-768050315.03580928</v>
      </c>
      <c r="E1682" s="545">
        <f>-'Foglio deposito bis'!$F$68*(C1682-sezione!$AL$33)*IF(ABS(K1682)&lt;'Sollecitazioni nel paramento'!$G$58,ABS(K1682)*'Sollecitazioni nel paramento'!$G$54,'Sollecitazioni nel paramento'!$G$53)</f>
        <v>0</v>
      </c>
      <c r="F1682" s="545">
        <f>-'Foglio deposito bis'!$F$69*(C1682-sezione!$AM$33)*IF(ABS(L1682)&lt;'Sollecitazioni nel paramento'!$G$58,ABS(L1682)*'Sollecitazioni nel paramento'!$G$54,'Sollecitazioni nel paramento'!$G$53)</f>
        <v>-19330862.540396702</v>
      </c>
      <c r="G1682" s="545">
        <f>-'Foglio deposito bis'!$F$70*(C1682-sezione!$AN$33)*IF(ABS(M1682)&lt;'Sollecitazioni nel paramento'!$G$58,ABS(M1682)*'Sollecitazioni nel paramento'!$G$54,'Sollecitazioni nel paramento'!$G$53)</f>
        <v>0</v>
      </c>
      <c r="H1682" s="545">
        <f>-'Foglio deposito bis'!$F$71*(C1682-sezione!$AO$33)*IF(ABS(N1682)&lt;'Sollecitazioni nel paramento'!$G$58,ABS(N1682)*'Sollecitazioni nel paramento'!$G$54,'Sollecitazioni nel paramento'!$G$53)</f>
        <v>-2077221.4507236129</v>
      </c>
      <c r="I1682" s="472">
        <f>-'Foglio deposito bis'!$F$72*(C1682-sezione!$AP$33)*IF(ABS(O1682)&lt;'Sollecitazioni nel paramento'!$G$58,ABS(O1682)*'Sollecitazioni nel paramento'!$G$54,'Sollecitazioni nel paramento'!$G$53)</f>
        <v>189043254.69450629</v>
      </c>
      <c r="J1682" s="472">
        <f t="shared" si="115"/>
        <v>-600415144.33242333</v>
      </c>
      <c r="K1682" s="550">
        <f>'Sollecitazioni nel paramento'!$G$60*(sezione!$AL$33-C1682)/C1682</f>
        <v>-2.7464969538127998E-3</v>
      </c>
      <c r="L1682" s="550">
        <f>'Sollecitazioni nel paramento'!$G$60*(sezione!$AM$33-C1682)/C1682</f>
        <v>-2.3697454307192002E-3</v>
      </c>
      <c r="M1682" s="551">
        <f>'Sollecitazioni nel paramento'!$G$60*(sezione!$AN$33-C1682)/C1682</f>
        <v>-1.9929939076256003E-3</v>
      </c>
      <c r="N1682" s="551">
        <f>'Sollecitazioni nel paramento'!$G$60*(sezione!$AO$33-C1682)/C1682</f>
        <v>-4.8598781525120021E-4</v>
      </c>
      <c r="O1682" s="551">
        <f>'Sollecitazioni nel paramento'!$G$60*(sezione!$AP$33-C1682)/C1682</f>
        <v>7.2420525093683753E-3</v>
      </c>
      <c r="P1682" s="545">
        <f>-'Sollecitazioni nel paramento'!$G$47*'Sollecitazioni nel paramento'!$G$41*IF(DATI!$G$211="dx",DATI!$E$61,DATI!$E$64*DATI!$E$63)*1000*C1682*sezione!$AD$5</f>
        <v>-7078378.8161022607</v>
      </c>
      <c r="Q1682" s="545">
        <f>'Foglio deposito bis'!$F$68*IF(ABS(K1682)&lt;'Sollecitazioni nel paramento'!$G$58,ABS(K1682)*'Sollecitazioni nel paramento'!$G$54,'Sollecitazioni nel paramento'!$G$53)*IF(K1682&lt;0,-1,1)</f>
        <v>0</v>
      </c>
      <c r="R1682" s="545">
        <f>'Foglio deposito bis'!$F$69*IF(ABS(L1682)&lt;'Sollecitazioni nel paramento'!$G$58,ABS(L1682)*'Sollecitazioni nel paramento'!$G$54,'Sollecitazioni nel paramento'!$G$53)*IF(L1682&lt;0,-1,1)</f>
        <v>-153664.85805602249</v>
      </c>
      <c r="S1682" s="545">
        <f>'Foglio deposito bis'!$F$70*IF(ABS(M1682)&lt;'Sollecitazioni nel paramento'!$G$58,ABS(M1682)*'Sollecitazioni nel paramento'!$G$54,'Sollecitazioni nel paramento'!$G$53)*IF(M1682&lt;0,-1,1)</f>
        <v>0</v>
      </c>
      <c r="T1682" s="545">
        <f>'Foglio deposito bis'!$F$71*IF(ABS(N1682)&lt;'Sollecitazioni nel paramento'!$G$58,ABS(N1682)*'Sollecitazioni nel paramento'!$G$54,'Sollecitazioni nel paramento'!$G$53)*IF(N1682&lt;0,-1,1)</f>
        <v>-80516.045958714574</v>
      </c>
      <c r="U1682" s="545">
        <f>'Foglio deposito bis'!$F$72*IF(ABS(O1682)&lt;'Sollecitazioni nel paramento'!$G$58,ABS(O1682)*'Sollecitazioni nel paramento'!$G$54,'Sollecitazioni nel paramento'!$G$53)*IF(O1682&lt;0,-1,1)</f>
        <v>491727.54577927204</v>
      </c>
      <c r="V1682" s="472">
        <f t="shared" si="117"/>
        <v>-6820832.1743377261</v>
      </c>
      <c r="W1682" s="551"/>
      <c r="X1682" s="551"/>
    </row>
    <row r="1683" spans="1:24" x14ac:dyDescent="0.25">
      <c r="A1683" s="545">
        <f t="shared" si="116"/>
        <v>6888150.6263076123</v>
      </c>
      <c r="B1683" s="3">
        <f t="shared" si="118"/>
        <v>22.699999999999942</v>
      </c>
      <c r="C1683" s="545">
        <f>'Foglio deposito bis'!$E$159/sezione!$B$247*B1683</f>
        <v>187.45039606562349</v>
      </c>
      <c r="D1683" s="603">
        <f>-'Sollecitazioni nel paramento'!$G$47*'Sollecitazioni nel paramento'!$G$41*IF(DATI!$G$211="dx",DATI!$E$61,DATI!$E$64*DATI!$E$63)*1000*C1683^2*sezione!$AD$5*(1-sezione!$AD$6)</f>
        <v>-781765228.31565833</v>
      </c>
      <c r="E1683" s="545">
        <f>-'Foglio deposito bis'!$F$68*(C1683-sezione!$AL$33)*IF(ABS(K1683)&lt;'Sollecitazioni nel paramento'!$G$58,ABS(K1683)*'Sollecitazioni nel paramento'!$G$54,'Sollecitazioni nel paramento'!$G$53)</f>
        <v>0</v>
      </c>
      <c r="F1683" s="545">
        <f>-'Foglio deposito bis'!$F$69*(C1683-sezione!$AM$33)*IF(ABS(L1683)&lt;'Sollecitazioni nel paramento'!$G$58,ABS(L1683)*'Sollecitazioni nel paramento'!$G$54,'Sollecitazioni nel paramento'!$G$53)</f>
        <v>-19584647.020607881</v>
      </c>
      <c r="G1683" s="545">
        <f>-'Foglio deposito bis'!$F$70*(C1683-sezione!$AN$33)*IF(ABS(M1683)&lt;'Sollecitazioni nel paramento'!$G$58,ABS(M1683)*'Sollecitazioni nel paramento'!$G$54,'Sollecitazioni nel paramento'!$G$53)</f>
        <v>0</v>
      </c>
      <c r="H1683" s="545">
        <f>-'Foglio deposito bis'!$F$71*(C1683-sezione!$AO$33)*IF(ABS(N1683)&lt;'Sollecitazioni nel paramento'!$G$58,ABS(N1683)*'Sollecitazioni nel paramento'!$G$54,'Sollecitazioni nel paramento'!$G$53)</f>
        <v>-2330966.1691514016</v>
      </c>
      <c r="I1683" s="472">
        <f>-'Foglio deposito bis'!$F$72*(C1683-sezione!$AP$33)*IF(ABS(O1683)&lt;'Sollecitazioni nel paramento'!$G$58,ABS(O1683)*'Sollecitazioni nel paramento'!$G$54,'Sollecitazioni nel paramento'!$G$53)</f>
        <v>188231144.35783052</v>
      </c>
      <c r="J1683" s="472">
        <f t="shared" si="115"/>
        <v>-615449697.14758706</v>
      </c>
      <c r="K1683" s="550">
        <f>'Sollecitazioni nel paramento'!$G$60*(sezione!$AL$33-C1683)/C1683</f>
        <v>-2.7531357471712774E-3</v>
      </c>
      <c r="L1683" s="550">
        <f>'Sollecitazioni nel paramento'!$G$60*(sezione!$AM$33-C1683)/C1683</f>
        <v>-2.3797036207569163E-3</v>
      </c>
      <c r="M1683" s="551">
        <f>'Sollecitazioni nel paramento'!$G$60*(sezione!$AN$33-C1683)/C1683</f>
        <v>-2.0062714943425552E-3</v>
      </c>
      <c r="N1683" s="551">
        <f>'Sollecitazioni nel paramento'!$G$60*(sezione!$AO$33-C1683)/C1683</f>
        <v>-5.1254298868510986E-4</v>
      </c>
      <c r="O1683" s="551">
        <f>'Sollecitazioni nel paramento'!$G$60*(sezione!$AP$33-C1683)/C1683</f>
        <v>7.1474088749246024E-3</v>
      </c>
      <c r="P1683" s="545">
        <f>-'Sollecitazioni nel paramento'!$G$47*'Sollecitazioni nel paramento'!$G$41*IF(DATI!$G$211="dx",DATI!$E$61,DATI!$E$64*DATI!$E$63)*1000*C1683*sezione!$AD$5</f>
        <v>-7141297.7389120562</v>
      </c>
      <c r="Q1683" s="545">
        <f>'Foglio deposito bis'!$F$68*IF(ABS(K1683)&lt;'Sollecitazioni nel paramento'!$G$58,ABS(K1683)*'Sollecitazioni nel paramento'!$G$54,'Sollecitazioni nel paramento'!$G$53)*IF(K1683&lt;0,-1,1)</f>
        <v>0</v>
      </c>
      <c r="R1683" s="545">
        <f>'Foglio deposito bis'!$F$69*IF(ABS(L1683)&lt;'Sollecitazioni nel paramento'!$G$58,ABS(L1683)*'Sollecitazioni nel paramento'!$G$54,'Sollecitazioni nel paramento'!$G$53)*IF(L1683&lt;0,-1,1)</f>
        <v>-153664.85805602249</v>
      </c>
      <c r="S1683" s="545">
        <f>'Foglio deposito bis'!$F$70*IF(ABS(M1683)&lt;'Sollecitazioni nel paramento'!$G$58,ABS(M1683)*'Sollecitazioni nel paramento'!$G$54,'Sollecitazioni nel paramento'!$G$53)*IF(M1683&lt;0,-1,1)</f>
        <v>0</v>
      </c>
      <c r="T1683" s="545">
        <f>'Foglio deposito bis'!$F$71*IF(ABS(N1683)&lt;'Sollecitazioni nel paramento'!$G$58,ABS(N1683)*'Sollecitazioni nel paramento'!$G$54,'Sollecitazioni nel paramento'!$G$53)*IF(N1683&lt;0,-1,1)</f>
        <v>-84915.57511880502</v>
      </c>
      <c r="U1683" s="545">
        <f>'Foglio deposito bis'!$F$72*IF(ABS(O1683)&lt;'Sollecitazioni nel paramento'!$G$58,ABS(O1683)*'Sollecitazioni nel paramento'!$G$54,'Sollecitazioni nel paramento'!$G$53)*IF(O1683&lt;0,-1,1)</f>
        <v>491727.54577927204</v>
      </c>
      <c r="V1683" s="472">
        <f t="shared" si="117"/>
        <v>-6888150.6263076123</v>
      </c>
      <c r="W1683" s="551"/>
      <c r="X1683" s="551"/>
    </row>
    <row r="1684" spans="1:24" x14ac:dyDescent="0.25">
      <c r="A1684" s="545">
        <f t="shared" si="116"/>
        <v>6955392.2306065829</v>
      </c>
      <c r="B1684" s="3">
        <f t="shared" si="118"/>
        <v>22.899999999999942</v>
      </c>
      <c r="C1684" s="545">
        <f>'Foglio deposito bis'!$E$159/sezione!$B$247*B1684</f>
        <v>189.10194140540872</v>
      </c>
      <c r="D1684" s="603">
        <f>-'Sollecitazioni nel paramento'!$G$47*'Sollecitazioni nel paramento'!$G$41*IF(DATI!$G$211="dx",DATI!$E$61,DATI!$E$64*DATI!$E$63)*1000*C1684^2*sezione!$AD$5*(1-sezione!$AD$6)</f>
        <v>-795601512.5094887</v>
      </c>
      <c r="E1684" s="545">
        <f>-'Foglio deposito bis'!$F$68*(C1684-sezione!$AL$33)*IF(ABS(K1684)&lt;'Sollecitazioni nel paramento'!$G$58,ABS(K1684)*'Sollecitazioni nel paramento'!$G$54,'Sollecitazioni nel paramento'!$G$53)</f>
        <v>0</v>
      </c>
      <c r="F1684" s="545">
        <f>-'Foglio deposito bis'!$F$69*(C1684-sezione!$AM$33)*IF(ABS(L1684)&lt;'Sollecitazioni nel paramento'!$G$58,ABS(L1684)*'Sollecitazioni nel paramento'!$G$54,'Sollecitazioni nel paramento'!$G$53)</f>
        <v>-19838431.500819065</v>
      </c>
      <c r="G1684" s="545">
        <f>-'Foglio deposito bis'!$F$70*(C1684-sezione!$AN$33)*IF(ABS(M1684)&lt;'Sollecitazioni nel paramento'!$G$58,ABS(M1684)*'Sollecitazioni nel paramento'!$G$54,'Sollecitazioni nel paramento'!$G$53)</f>
        <v>0</v>
      </c>
      <c r="H1684" s="545">
        <f>-'Foglio deposito bis'!$F$71*(C1684-sezione!$AO$33)*IF(ABS(N1684)&lt;'Sollecitazioni nel paramento'!$G$58,ABS(N1684)*'Sollecitazioni nel paramento'!$G$54,'Sollecitazioni nel paramento'!$G$53)</f>
        <v>-2597006.5149261728</v>
      </c>
      <c r="I1684" s="472">
        <f>-'Foglio deposito bis'!$F$72*(C1684-sezione!$AP$33)*IF(ABS(O1684)&lt;'Sollecitazioni nel paramento'!$G$58,ABS(O1684)*'Sollecitazioni nel paramento'!$G$54,'Sollecitazioni nel paramento'!$G$53)</f>
        <v>187419034.02115473</v>
      </c>
      <c r="J1684" s="472">
        <f t="shared" si="115"/>
        <v>-630617916.50407922</v>
      </c>
      <c r="K1684" s="550">
        <f>'Sollecitazioni nel paramento'!$G$60*(sezione!$AL$33-C1684)/C1684</f>
        <v>-2.7596585790737121E-3</v>
      </c>
      <c r="L1684" s="550">
        <f>'Sollecitazioni nel paramento'!$G$60*(sezione!$AM$33-C1684)/C1684</f>
        <v>-2.3894878686105676E-3</v>
      </c>
      <c r="M1684" s="551">
        <f>'Sollecitazioni nel paramento'!$G$60*(sezione!$AN$33-C1684)/C1684</f>
        <v>-2.0193171581474236E-3</v>
      </c>
      <c r="N1684" s="551">
        <f>'Sollecitazioni nel paramento'!$G$60*(sezione!$AO$33-C1684)/C1684</f>
        <v>-5.3863431629484694E-4</v>
      </c>
      <c r="O1684" s="551">
        <f>'Sollecitazioni nel paramento'!$G$60*(sezione!$AP$33-C1684)/C1684</f>
        <v>7.0544184044012432E-3</v>
      </c>
      <c r="P1684" s="545">
        <f>-'Sollecitazioni nel paramento'!$G$47*'Sollecitazioni nel paramento'!$G$41*IF(DATI!$G$211="dx",DATI!$E$61,DATI!$E$64*DATI!$E$63)*1000*C1684*sezione!$AD$5</f>
        <v>-7204216.6617218554</v>
      </c>
      <c r="Q1684" s="545">
        <f>'Foglio deposito bis'!$F$68*IF(ABS(K1684)&lt;'Sollecitazioni nel paramento'!$G$58,ABS(K1684)*'Sollecitazioni nel paramento'!$G$54,'Sollecitazioni nel paramento'!$G$53)*IF(K1684&lt;0,-1,1)</f>
        <v>0</v>
      </c>
      <c r="R1684" s="545">
        <f>'Foglio deposito bis'!$F$69*IF(ABS(L1684)&lt;'Sollecitazioni nel paramento'!$G$58,ABS(L1684)*'Sollecitazioni nel paramento'!$G$54,'Sollecitazioni nel paramento'!$G$53)*IF(L1684&lt;0,-1,1)</f>
        <v>-153664.85805602249</v>
      </c>
      <c r="S1684" s="545">
        <f>'Foglio deposito bis'!$F$70*IF(ABS(M1684)&lt;'Sollecitazioni nel paramento'!$G$58,ABS(M1684)*'Sollecitazioni nel paramento'!$G$54,'Sollecitazioni nel paramento'!$G$53)*IF(M1684&lt;0,-1,1)</f>
        <v>0</v>
      </c>
      <c r="T1684" s="545">
        <f>'Foglio deposito bis'!$F$71*IF(ABS(N1684)&lt;'Sollecitazioni nel paramento'!$G$58,ABS(N1684)*'Sollecitazioni nel paramento'!$G$54,'Sollecitazioni nel paramento'!$G$53)*IF(N1684&lt;0,-1,1)</f>
        <v>-89238.256607976946</v>
      </c>
      <c r="U1684" s="545">
        <f>'Foglio deposito bis'!$F$72*IF(ABS(O1684)&lt;'Sollecitazioni nel paramento'!$G$58,ABS(O1684)*'Sollecitazioni nel paramento'!$G$54,'Sollecitazioni nel paramento'!$G$53)*IF(O1684&lt;0,-1,1)</f>
        <v>491727.54577927204</v>
      </c>
      <c r="V1684" s="472">
        <f t="shared" si="117"/>
        <v>-6955392.2306065829</v>
      </c>
      <c r="W1684" s="551"/>
      <c r="X1684" s="551"/>
    </row>
    <row r="1685" spans="1:24" x14ac:dyDescent="0.25">
      <c r="A1685" s="545">
        <f t="shared" si="116"/>
        <v>7290515.0600957824</v>
      </c>
      <c r="B1685" s="3">
        <f t="shared" ref="B1685:B1734" si="119">B1684+1</f>
        <v>23.899999999999942</v>
      </c>
      <c r="C1685" s="545">
        <f>'Foglio deposito bis'!$E$159/sezione!$B$247*B1685</f>
        <v>197.3596681043349</v>
      </c>
      <c r="D1685" s="603">
        <f>-'Sollecitazioni nel paramento'!$G$47*'Sollecitazioni nel paramento'!$G$41*IF(DATI!$G$211="dx",DATI!$E$61,DATI!$E$64*DATI!$E$63)*1000*C1685^2*sezione!$AD$5*(1-sezione!$AD$6)</f>
        <v>-866603497.18835473</v>
      </c>
      <c r="E1685" s="545">
        <f>-'Foglio deposito bis'!$F$68*(C1685-sezione!$AL$33)*IF(ABS(K1685)&lt;'Sollecitazioni nel paramento'!$G$58,ABS(K1685)*'Sollecitazioni nel paramento'!$G$54,'Sollecitazioni nel paramento'!$G$53)</f>
        <v>0</v>
      </c>
      <c r="F1685" s="545">
        <f>-'Foglio deposito bis'!$F$69*(C1685-sezione!$AM$33)*IF(ABS(L1685)&lt;'Sollecitazioni nel paramento'!$G$58,ABS(L1685)*'Sollecitazioni nel paramento'!$G$54,'Sollecitazioni nel paramento'!$G$53)</f>
        <v>-21107353.901874986</v>
      </c>
      <c r="G1685" s="545">
        <f>-'Foglio deposito bis'!$F$70*(C1685-sezione!$AN$33)*IF(ABS(M1685)&lt;'Sollecitazioni nel paramento'!$G$58,ABS(M1685)*'Sollecitazioni nel paramento'!$G$54,'Sollecitazioni nel paramento'!$G$53)</f>
        <v>0</v>
      </c>
      <c r="H1685" s="545">
        <f>-'Foglio deposito bis'!$F$71*(C1685-sezione!$AO$33)*IF(ABS(N1685)&lt;'Sollecitazioni nel paramento'!$G$58,ABS(N1685)*'Sollecitazioni nel paramento'!$G$54,'Sollecitazioni nel paramento'!$G$53)</f>
        <v>-4100838.9647040111</v>
      </c>
      <c r="I1685" s="472">
        <f>-'Foglio deposito bis'!$F$72*(C1685-sezione!$AP$33)*IF(ABS(O1685)&lt;'Sollecitazioni nel paramento'!$G$58,ABS(O1685)*'Sollecitazioni nel paramento'!$G$54,'Sollecitazioni nel paramento'!$G$53)</f>
        <v>183358482.3377758</v>
      </c>
      <c r="J1685" s="472">
        <f t="shared" ref="J1685:J1735" si="120">D1685+E1685+F1685+G1685+H1685+I1685</f>
        <v>-708453207.71715796</v>
      </c>
      <c r="K1685" s="550">
        <f>'Sollecitazioni nel paramento'!$G$60*(sezione!$AL$33-C1685)/C1685</f>
        <v>-2.7906352075643516E-3</v>
      </c>
      <c r="L1685" s="550">
        <f>'Sollecitazioni nel paramento'!$G$60*(sezione!$AM$33-C1685)/C1685</f>
        <v>-2.4359528113465272E-3</v>
      </c>
      <c r="M1685" s="551">
        <f>'Sollecitazioni nel paramento'!$G$60*(sezione!$AN$33-C1685)/C1685</f>
        <v>-2.0812704151287032E-3</v>
      </c>
      <c r="N1685" s="551">
        <f>'Sollecitazioni nel paramento'!$G$60*(sezione!$AO$33-C1685)/C1685</f>
        <v>-6.625408302574061E-4</v>
      </c>
      <c r="O1685" s="551">
        <f>'Sollecitazioni nel paramento'!$G$60*(sezione!$AP$33-C1685)/C1685</f>
        <v>6.6128109397819435E-3</v>
      </c>
      <c r="P1685" s="545">
        <f>-'Sollecitazioni nel paramento'!$G$47*'Sollecitazioni nel paramento'!$G$41*IF(DATI!$G$211="dx",DATI!$E$61,DATI!$E$64*DATI!$E$63)*1000*C1685*sezione!$AD$5</f>
        <v>-7518811.2757708449</v>
      </c>
      <c r="Q1685" s="545">
        <f>'Foglio deposito bis'!$F$68*IF(ABS(K1685)&lt;'Sollecitazioni nel paramento'!$G$58,ABS(K1685)*'Sollecitazioni nel paramento'!$G$54,'Sollecitazioni nel paramento'!$G$53)*IF(K1685&lt;0,-1,1)</f>
        <v>0</v>
      </c>
      <c r="R1685" s="545">
        <f>'Foglio deposito bis'!$F$69*IF(ABS(L1685)&lt;'Sollecitazioni nel paramento'!$G$58,ABS(L1685)*'Sollecitazioni nel paramento'!$G$54,'Sollecitazioni nel paramento'!$G$53)*IF(L1685&lt;0,-1,1)</f>
        <v>-153664.85805602249</v>
      </c>
      <c r="S1685" s="545">
        <f>'Foglio deposito bis'!$F$70*IF(ABS(M1685)&lt;'Sollecitazioni nel paramento'!$G$58,ABS(M1685)*'Sollecitazioni nel paramento'!$G$54,'Sollecitazioni nel paramento'!$G$53)*IF(M1685&lt;0,-1,1)</f>
        <v>0</v>
      </c>
      <c r="T1685" s="545">
        <f>'Foglio deposito bis'!$F$71*IF(ABS(N1685)&lt;'Sollecitazioni nel paramento'!$G$58,ABS(N1685)*'Sollecitazioni nel paramento'!$G$54,'Sollecitazioni nel paramento'!$G$53)*IF(N1685&lt;0,-1,1)</f>
        <v>-109766.47204818676</v>
      </c>
      <c r="U1685" s="545">
        <f>'Foglio deposito bis'!$F$72*IF(ABS(O1685)&lt;'Sollecitazioni nel paramento'!$G$58,ABS(O1685)*'Sollecitazioni nel paramento'!$G$54,'Sollecitazioni nel paramento'!$G$53)*IF(O1685&lt;0,-1,1)</f>
        <v>491727.54577927204</v>
      </c>
      <c r="V1685" s="472">
        <f t="shared" si="117"/>
        <v>-7290515.0600957824</v>
      </c>
      <c r="W1685" s="551"/>
      <c r="X1685" s="551"/>
    </row>
    <row r="1686" spans="1:24" x14ac:dyDescent="0.25">
      <c r="A1686" s="545">
        <f t="shared" ref="A1686:A1735" si="121">ABS(V1686)</f>
        <v>7623989.0369391823</v>
      </c>
      <c r="B1686" s="3">
        <f t="shared" si="119"/>
        <v>24.899999999999942</v>
      </c>
      <c r="C1686" s="545">
        <f>'Foglio deposito bis'!$E$159/sezione!$B$247*B1686</f>
        <v>205.61739480326108</v>
      </c>
      <c r="D1686" s="603">
        <f>-'Sollecitazioni nel paramento'!$G$47*'Sollecitazioni nel paramento'!$G$41*IF(DATI!$G$211="dx",DATI!$E$61,DATI!$E$64*DATI!$E$63)*1000*C1686^2*sezione!$AD$5*(1-sezione!$AD$6)</f>
        <v>-940639754.71674514</v>
      </c>
      <c r="E1686" s="545">
        <f>-'Foglio deposito bis'!$F$68*(C1686-sezione!$AL$33)*IF(ABS(K1686)&lt;'Sollecitazioni nel paramento'!$G$58,ABS(K1686)*'Sollecitazioni nel paramento'!$G$54,'Sollecitazioni nel paramento'!$G$53)</f>
        <v>0</v>
      </c>
      <c r="F1686" s="545">
        <f>-'Foglio deposito bis'!$F$69*(C1686-sezione!$AM$33)*IF(ABS(L1686)&lt;'Sollecitazioni nel paramento'!$G$58,ABS(L1686)*'Sollecitazioni nel paramento'!$G$54,'Sollecitazioni nel paramento'!$G$53)</f>
        <v>-22376276.302930903</v>
      </c>
      <c r="G1686" s="545">
        <f>-'Foglio deposito bis'!$F$70*(C1686-sezione!$AN$33)*IF(ABS(M1686)&lt;'Sollecitazioni nel paramento'!$G$58,ABS(M1686)*'Sollecitazioni nel paramento'!$G$54,'Sollecitazioni nel paramento'!$G$53)</f>
        <v>0</v>
      </c>
      <c r="H1686" s="545">
        <f>-'Foglio deposito bis'!$F$71*(C1686-sezione!$AO$33)*IF(ABS(N1686)&lt;'Sollecitazioni nel paramento'!$G$58,ABS(N1686)*'Sollecitazioni nel paramento'!$G$54,'Sollecitazioni nel paramento'!$G$53)</f>
        <v>-5868487.8378098486</v>
      </c>
      <c r="I1686" s="472">
        <f>-'Foglio deposito bis'!$F$72*(C1686-sezione!$AP$33)*IF(ABS(O1686)&lt;'Sollecitazioni nel paramento'!$G$58,ABS(O1686)*'Sollecitazioni nel paramento'!$G$54,'Sollecitazioni nel paramento'!$G$53)</f>
        <v>179297930.65439686</v>
      </c>
      <c r="J1686" s="472">
        <f t="shared" si="120"/>
        <v>-789586588.203089</v>
      </c>
      <c r="K1686" s="550">
        <f>'Sollecitazioni nel paramento'!$G$60*(sezione!$AL$33-C1686)/C1686</f>
        <v>-2.8191237534453011E-3</v>
      </c>
      <c r="L1686" s="550">
        <f>'Sollecitazioni nel paramento'!$G$60*(sezione!$AM$33-C1686)/C1686</f>
        <v>-2.4786856301679521E-3</v>
      </c>
      <c r="M1686" s="551">
        <f>'Sollecitazioni nel paramento'!$G$60*(sezione!$AN$33-C1686)/C1686</f>
        <v>-2.1382475068906026E-3</v>
      </c>
      <c r="N1686" s="551">
        <f>'Sollecitazioni nel paramento'!$G$60*(sezione!$AO$33-C1686)/C1686</f>
        <v>-7.7649501378120544E-4</v>
      </c>
      <c r="O1686" s="551">
        <f>'Sollecitazioni nel paramento'!$G$60*(sezione!$AP$33-C1686)/C1686</f>
        <v>6.2066739542485311E-3</v>
      </c>
      <c r="P1686" s="545">
        <f>-'Sollecitazioni nel paramento'!$G$47*'Sollecitazioni nel paramento'!$G$41*IF(DATI!$G$211="dx",DATI!$E$61,DATI!$E$64*DATI!$E$63)*1000*C1686*sezione!$AD$5</f>
        <v>-7833405.8898198353</v>
      </c>
      <c r="Q1686" s="545">
        <f>'Foglio deposito bis'!$F$68*IF(ABS(K1686)&lt;'Sollecitazioni nel paramento'!$G$58,ABS(K1686)*'Sollecitazioni nel paramento'!$G$54,'Sollecitazioni nel paramento'!$G$53)*IF(K1686&lt;0,-1,1)</f>
        <v>0</v>
      </c>
      <c r="R1686" s="545">
        <f>'Foglio deposito bis'!$F$69*IF(ABS(L1686)&lt;'Sollecitazioni nel paramento'!$G$58,ABS(L1686)*'Sollecitazioni nel paramento'!$G$54,'Sollecitazioni nel paramento'!$G$53)*IF(L1686&lt;0,-1,1)</f>
        <v>-153664.85805602249</v>
      </c>
      <c r="S1686" s="545">
        <f>'Foglio deposito bis'!$F$70*IF(ABS(M1686)&lt;'Sollecitazioni nel paramento'!$G$58,ABS(M1686)*'Sollecitazioni nel paramento'!$G$54,'Sollecitazioni nel paramento'!$G$53)*IF(M1686&lt;0,-1,1)</f>
        <v>0</v>
      </c>
      <c r="T1686" s="545">
        <f>'Foglio deposito bis'!$F$71*IF(ABS(N1686)&lt;'Sollecitazioni nel paramento'!$G$58,ABS(N1686)*'Sollecitazioni nel paramento'!$G$54,'Sollecitazioni nel paramento'!$G$53)*IF(N1686&lt;0,-1,1)</f>
        <v>-128645.83484259658</v>
      </c>
      <c r="U1686" s="545">
        <f>'Foglio deposito bis'!$F$72*IF(ABS(O1686)&lt;'Sollecitazioni nel paramento'!$G$58,ABS(O1686)*'Sollecitazioni nel paramento'!$G$54,'Sollecitazioni nel paramento'!$G$53)*IF(O1686&lt;0,-1,1)</f>
        <v>491727.54577927204</v>
      </c>
      <c r="V1686" s="472">
        <f t="shared" ref="V1686:V1735" si="122">P1686+Q1686+R1686+S1686+T1686+U1686</f>
        <v>-7623989.0369391823</v>
      </c>
      <c r="W1686" s="551"/>
      <c r="X1686" s="551"/>
    </row>
    <row r="1687" spans="1:24" x14ac:dyDescent="0.25">
      <c r="A1687" s="545">
        <f t="shared" si="121"/>
        <v>7956005.1479297327</v>
      </c>
      <c r="B1687" s="3">
        <f t="shared" si="119"/>
        <v>25.899999999999942</v>
      </c>
      <c r="C1687" s="545">
        <f>'Foglio deposito bis'!$E$159/sezione!$B$247*B1687</f>
        <v>213.87512150218723</v>
      </c>
      <c r="D1687" s="603">
        <f>-'Sollecitazioni nel paramento'!$G$47*'Sollecitazioni nel paramento'!$G$41*IF(DATI!$G$211="dx",DATI!$E$61,DATI!$E$64*DATI!$E$63)*1000*C1687^2*sezione!$AD$5*(1-sezione!$AD$6)</f>
        <v>-1017710285.0946596</v>
      </c>
      <c r="E1687" s="545">
        <f>-'Foglio deposito bis'!$F$68*(C1687-sezione!$AL$33)*IF(ABS(K1687)&lt;'Sollecitazioni nel paramento'!$G$58,ABS(K1687)*'Sollecitazioni nel paramento'!$G$54,'Sollecitazioni nel paramento'!$G$53)</f>
        <v>0</v>
      </c>
      <c r="F1687" s="545">
        <f>-'Foglio deposito bis'!$F$69*(C1687-sezione!$AM$33)*IF(ABS(L1687)&lt;'Sollecitazioni nel paramento'!$G$58,ABS(L1687)*'Sollecitazioni nel paramento'!$G$54,'Sollecitazioni nel paramento'!$G$53)</f>
        <v>-23645198.703986816</v>
      </c>
      <c r="G1687" s="545">
        <f>-'Foglio deposito bis'!$F$70*(C1687-sezione!$AN$33)*IF(ABS(M1687)&lt;'Sollecitazioni nel paramento'!$G$58,ABS(M1687)*'Sollecitazioni nel paramento'!$G$54,'Sollecitazioni nel paramento'!$G$53)</f>
        <v>0</v>
      </c>
      <c r="H1687" s="545">
        <f>-'Foglio deposito bis'!$F$71*(C1687-sezione!$AO$33)*IF(ABS(N1687)&lt;'Sollecitazioni nel paramento'!$G$58,ABS(N1687)*'Sollecitazioni nel paramento'!$G$54,'Sollecitazioni nel paramento'!$G$53)</f>
        <v>-7869395.247371708</v>
      </c>
      <c r="I1687" s="472">
        <f>-'Foglio deposito bis'!$F$72*(C1687-sezione!$AP$33)*IF(ABS(O1687)&lt;'Sollecitazioni nel paramento'!$G$58,ABS(O1687)*'Sollecitazioni nel paramento'!$G$54,'Sollecitazioni nel paramento'!$G$53)</f>
        <v>175237378.97101796</v>
      </c>
      <c r="J1687" s="472">
        <f t="shared" si="120"/>
        <v>-873987500.07500005</v>
      </c>
      <c r="K1687" s="550">
        <f>'Sollecitazioni nel paramento'!$G$60*(sezione!$AL$33-C1687)/C1687</f>
        <v>-2.8454124116134368E-3</v>
      </c>
      <c r="L1687" s="550">
        <f>'Sollecitazioni nel paramento'!$G$60*(sezione!$AM$33-C1687)/C1687</f>
        <v>-2.5181186174201547E-3</v>
      </c>
      <c r="M1687" s="551">
        <f>'Sollecitazioni nel paramento'!$G$60*(sezione!$AN$33-C1687)/C1687</f>
        <v>-2.190824823226873E-3</v>
      </c>
      <c r="N1687" s="551">
        <f>'Sollecitazioni nel paramento'!$G$60*(sezione!$AO$33-C1687)/C1687</f>
        <v>-8.8164964645374587E-4</v>
      </c>
      <c r="O1687" s="551">
        <f>'Sollecitazioni nel paramento'!$G$60*(sezione!$AP$33-C1687)/C1687</f>
        <v>5.8318988980999393E-3</v>
      </c>
      <c r="P1687" s="545">
        <f>-'Sollecitazioni nel paramento'!$G$47*'Sollecitazioni nel paramento'!$G$41*IF(DATI!$G$211="dx",DATI!$E$61,DATI!$E$64*DATI!$E$63)*1000*C1687*sezione!$AD$5</f>
        <v>-8148000.5038688248</v>
      </c>
      <c r="Q1687" s="545">
        <f>'Foglio deposito bis'!$F$68*IF(ABS(K1687)&lt;'Sollecitazioni nel paramento'!$G$58,ABS(K1687)*'Sollecitazioni nel paramento'!$G$54,'Sollecitazioni nel paramento'!$G$53)*IF(K1687&lt;0,-1,1)</f>
        <v>0</v>
      </c>
      <c r="R1687" s="545">
        <f>'Foglio deposito bis'!$F$69*IF(ABS(L1687)&lt;'Sollecitazioni nel paramento'!$G$58,ABS(L1687)*'Sollecitazioni nel paramento'!$G$54,'Sollecitazioni nel paramento'!$G$53)*IF(L1687&lt;0,-1,1)</f>
        <v>-153664.85805602249</v>
      </c>
      <c r="S1687" s="545">
        <f>'Foglio deposito bis'!$F$70*IF(ABS(M1687)&lt;'Sollecitazioni nel paramento'!$G$58,ABS(M1687)*'Sollecitazioni nel paramento'!$G$54,'Sollecitazioni nel paramento'!$G$53)*IF(M1687&lt;0,-1,1)</f>
        <v>0</v>
      </c>
      <c r="T1687" s="545">
        <f>'Foglio deposito bis'!$F$71*IF(ABS(N1687)&lt;'Sollecitazioni nel paramento'!$G$58,ABS(N1687)*'Sollecitazioni nel paramento'!$G$54,'Sollecitazioni nel paramento'!$G$53)*IF(N1687&lt;0,-1,1)</f>
        <v>-146067.33178415618</v>
      </c>
      <c r="U1687" s="545">
        <f>'Foglio deposito bis'!$F$72*IF(ABS(O1687)&lt;'Sollecitazioni nel paramento'!$G$58,ABS(O1687)*'Sollecitazioni nel paramento'!$G$54,'Sollecitazioni nel paramento'!$G$53)*IF(O1687&lt;0,-1,1)</f>
        <v>491727.54577927204</v>
      </c>
      <c r="V1687" s="472">
        <f t="shared" si="122"/>
        <v>-7956005.1479297327</v>
      </c>
      <c r="W1687" s="551"/>
      <c r="X1687" s="551"/>
    </row>
    <row r="1688" spans="1:24" x14ac:dyDescent="0.25">
      <c r="A1688" s="545">
        <f t="shared" si="121"/>
        <v>8286725.9803372649</v>
      </c>
      <c r="B1688" s="3">
        <f t="shared" si="119"/>
        <v>26.899999999999942</v>
      </c>
      <c r="C1688" s="545">
        <f>'Foglio deposito bis'!$E$159/sezione!$B$247*B1688</f>
        <v>222.1328482011134</v>
      </c>
      <c r="D1688" s="603">
        <f>-'Sollecitazioni nel paramento'!$G$47*'Sollecitazioni nel paramento'!$G$41*IF(DATI!$G$211="dx",DATI!$E$61,DATI!$E$64*DATI!$E$63)*1000*C1688^2*sezione!$AD$5*(1-sezione!$AD$6)</f>
        <v>-1097815088.3220985</v>
      </c>
      <c r="E1688" s="545">
        <f>-'Foglio deposito bis'!$F$68*(C1688-sezione!$AL$33)*IF(ABS(K1688)&lt;'Sollecitazioni nel paramento'!$G$58,ABS(K1688)*'Sollecitazioni nel paramento'!$G$54,'Sollecitazioni nel paramento'!$G$53)</f>
        <v>0</v>
      </c>
      <c r="F1688" s="545">
        <f>-'Foglio deposito bis'!$F$69*(C1688-sezione!$AM$33)*IF(ABS(L1688)&lt;'Sollecitazioni nel paramento'!$G$58,ABS(L1688)*'Sollecitazioni nel paramento'!$G$54,'Sollecitazioni nel paramento'!$G$53)</f>
        <v>-24914121.105042733</v>
      </c>
      <c r="G1688" s="545">
        <f>-'Foglio deposito bis'!$F$70*(C1688-sezione!$AN$33)*IF(ABS(M1688)&lt;'Sollecitazioni nel paramento'!$G$58,ABS(M1688)*'Sollecitazioni nel paramento'!$G$54,'Sollecitazioni nel paramento'!$G$53)</f>
        <v>0</v>
      </c>
      <c r="H1688" s="545">
        <f>-'Foglio deposito bis'!$F$71*(C1688-sezione!$AO$33)*IF(ABS(N1688)&lt;'Sollecitazioni nel paramento'!$G$58,ABS(N1688)*'Sollecitazioni nel paramento'!$G$54,'Sollecitazioni nel paramento'!$G$53)</f>
        <v>-10077547.230216067</v>
      </c>
      <c r="I1688" s="472">
        <f>-'Foglio deposito bis'!$F$72*(C1688-sezione!$AP$33)*IF(ABS(O1688)&lt;'Sollecitazioni nel paramento'!$G$58,ABS(O1688)*'Sollecitazioni nel paramento'!$G$54,'Sollecitazioni nel paramento'!$G$53)</f>
        <v>171176827.28763899</v>
      </c>
      <c r="J1688" s="472">
        <f t="shared" si="120"/>
        <v>-961629929.36971819</v>
      </c>
      <c r="K1688" s="550">
        <f>'Sollecitazioni nel paramento'!$G$60*(sezione!$AL$33-C1688)/C1688</f>
        <v>-2.8697465227058737E-3</v>
      </c>
      <c r="L1688" s="550">
        <f>'Sollecitazioni nel paramento'!$G$60*(sezione!$AM$33-C1688)/C1688</f>
        <v>-2.5546197840588111E-3</v>
      </c>
      <c r="M1688" s="551">
        <f>'Sollecitazioni nel paramento'!$G$60*(sezione!$AN$33-C1688)/C1688</f>
        <v>-2.2394930454117477E-3</v>
      </c>
      <c r="N1688" s="551">
        <f>'Sollecitazioni nel paramento'!$G$60*(sezione!$AO$33-C1688)/C1688</f>
        <v>-9.7898609082349547E-4</v>
      </c>
      <c r="O1688" s="551">
        <f>'Sollecitazioni nel paramento'!$G$60*(sezione!$AP$33-C1688)/C1688</f>
        <v>5.4849881583936199E-3</v>
      </c>
      <c r="P1688" s="545">
        <f>-'Sollecitazioni nel paramento'!$G$47*'Sollecitazioni nel paramento'!$G$41*IF(DATI!$G$211="dx",DATI!$E$61,DATI!$E$64*DATI!$E$63)*1000*C1688*sezione!$AD$5</f>
        <v>-8462595.1179178152</v>
      </c>
      <c r="Q1688" s="545">
        <f>'Foglio deposito bis'!$F$68*IF(ABS(K1688)&lt;'Sollecitazioni nel paramento'!$G$58,ABS(K1688)*'Sollecitazioni nel paramento'!$G$54,'Sollecitazioni nel paramento'!$G$53)*IF(K1688&lt;0,-1,1)</f>
        <v>0</v>
      </c>
      <c r="R1688" s="545">
        <f>'Foglio deposito bis'!$F$69*IF(ABS(L1688)&lt;'Sollecitazioni nel paramento'!$G$58,ABS(L1688)*'Sollecitazioni nel paramento'!$G$54,'Sollecitazioni nel paramento'!$G$53)*IF(L1688&lt;0,-1,1)</f>
        <v>-153664.85805602249</v>
      </c>
      <c r="S1688" s="545">
        <f>'Foglio deposito bis'!$F$70*IF(ABS(M1688)&lt;'Sollecitazioni nel paramento'!$G$58,ABS(M1688)*'Sollecitazioni nel paramento'!$G$54,'Sollecitazioni nel paramento'!$G$53)*IF(M1688&lt;0,-1,1)</f>
        <v>0</v>
      </c>
      <c r="T1688" s="545">
        <f>'Foglio deposito bis'!$F$71*IF(ABS(N1688)&lt;'Sollecitazioni nel paramento'!$G$58,ABS(N1688)*'Sollecitazioni nel paramento'!$G$54,'Sollecitazioni nel paramento'!$G$53)*IF(N1688&lt;0,-1,1)</f>
        <v>-162193.55014270023</v>
      </c>
      <c r="U1688" s="545">
        <f>'Foglio deposito bis'!$F$72*IF(ABS(O1688)&lt;'Sollecitazioni nel paramento'!$G$58,ABS(O1688)*'Sollecitazioni nel paramento'!$G$54,'Sollecitazioni nel paramento'!$G$53)*IF(O1688&lt;0,-1,1)</f>
        <v>491727.54577927204</v>
      </c>
      <c r="V1688" s="472">
        <f t="shared" si="122"/>
        <v>-8286725.9803372649</v>
      </c>
      <c r="W1688" s="551"/>
      <c r="X1688" s="551"/>
    </row>
    <row r="1689" spans="1:24" x14ac:dyDescent="0.25">
      <c r="A1689" s="545">
        <f t="shared" si="121"/>
        <v>8616290.8114287741</v>
      </c>
      <c r="B1689" s="3">
        <f t="shared" si="119"/>
        <v>27.899999999999942</v>
      </c>
      <c r="C1689" s="545">
        <f>'Foglio deposito bis'!$E$159/sezione!$B$247*B1689</f>
        <v>230.39057490003958</v>
      </c>
      <c r="D1689" s="603">
        <f>-'Sollecitazioni nel paramento'!$G$47*'Sollecitazioni nel paramento'!$G$41*IF(DATI!$G$211="dx",DATI!$E$61,DATI!$E$64*DATI!$E$63)*1000*C1689^2*sezione!$AD$5*(1-sezione!$AD$6)</f>
        <v>-1180954164.3990612</v>
      </c>
      <c r="E1689" s="545">
        <f>-'Foglio deposito bis'!$F$68*(C1689-sezione!$AL$33)*IF(ABS(K1689)&lt;'Sollecitazioni nel paramento'!$G$58,ABS(K1689)*'Sollecitazioni nel paramento'!$G$54,'Sollecitazioni nel paramento'!$G$53)</f>
        <v>0</v>
      </c>
      <c r="F1689" s="545">
        <f>-'Foglio deposito bis'!$F$69*(C1689-sezione!$AM$33)*IF(ABS(L1689)&lt;'Sollecitazioni nel paramento'!$G$58,ABS(L1689)*'Sollecitazioni nel paramento'!$G$54,'Sollecitazioni nel paramento'!$G$53)</f>
        <v>-26183043.50609865</v>
      </c>
      <c r="G1689" s="545">
        <f>-'Foglio deposito bis'!$F$70*(C1689-sezione!$AN$33)*IF(ABS(M1689)&lt;'Sollecitazioni nel paramento'!$G$58,ABS(M1689)*'Sollecitazioni nel paramento'!$G$54,'Sollecitazioni nel paramento'!$G$53)</f>
        <v>0</v>
      </c>
      <c r="H1689" s="545">
        <f>-'Foglio deposito bis'!$F$71*(C1689-sezione!$AO$33)*IF(ABS(N1689)&lt;'Sollecitazioni nel paramento'!$G$58,ABS(N1689)*'Sollecitazioni nel paramento'!$G$54,'Sollecitazioni nel paramento'!$G$53)</f>
        <v>-12470659.423624374</v>
      </c>
      <c r="I1689" s="472">
        <f>-'Foglio deposito bis'!$F$72*(C1689-sezione!$AP$33)*IF(ABS(O1689)&lt;'Sollecitazioni nel paramento'!$G$58,ABS(O1689)*'Sollecitazioni nel paramento'!$G$54,'Sollecitazioni nel paramento'!$G$53)</f>
        <v>167116275.60426006</v>
      </c>
      <c r="J1689" s="472">
        <f t="shared" si="120"/>
        <v>-1052491591.7245241</v>
      </c>
      <c r="K1689" s="550">
        <f>'Sollecitazioni nel paramento'!$G$60*(sezione!$AL$33-C1689)/C1689</f>
        <v>-2.8923362530748394E-3</v>
      </c>
      <c r="L1689" s="550">
        <f>'Sollecitazioni nel paramento'!$G$60*(sezione!$AM$33-C1689)/C1689</f>
        <v>-2.5885043796122584E-3</v>
      </c>
      <c r="M1689" s="551">
        <f>'Sollecitazioni nel paramento'!$G$60*(sezione!$AN$33-C1689)/C1689</f>
        <v>-2.2846725061496783E-3</v>
      </c>
      <c r="N1689" s="551">
        <f>'Sollecitazioni nel paramento'!$G$60*(sezione!$AO$33-C1689)/C1689</f>
        <v>-1.069345012299356E-3</v>
      </c>
      <c r="O1689" s="551">
        <f>'Sollecitazioni nel paramento'!$G$60*(sezione!$AP$33-C1689)/C1689</f>
        <v>5.1629455720712657E-3</v>
      </c>
      <c r="P1689" s="545">
        <f>-'Sollecitazioni nel paramento'!$G$47*'Sollecitazioni nel paramento'!$G$41*IF(DATI!$G$211="dx",DATI!$E$61,DATI!$E$64*DATI!$E$63)*1000*C1689*sezione!$AD$5</f>
        <v>-8777189.7319668066</v>
      </c>
      <c r="Q1689" s="545">
        <f>'Foglio deposito bis'!$F$68*IF(ABS(K1689)&lt;'Sollecitazioni nel paramento'!$G$58,ABS(K1689)*'Sollecitazioni nel paramento'!$G$54,'Sollecitazioni nel paramento'!$G$53)*IF(K1689&lt;0,-1,1)</f>
        <v>0</v>
      </c>
      <c r="R1689" s="545">
        <f>'Foglio deposito bis'!$F$69*IF(ABS(L1689)&lt;'Sollecitazioni nel paramento'!$G$58,ABS(L1689)*'Sollecitazioni nel paramento'!$G$54,'Sollecitazioni nel paramento'!$G$53)*IF(L1689&lt;0,-1,1)</f>
        <v>-153664.85805602249</v>
      </c>
      <c r="S1689" s="545">
        <f>'Foglio deposito bis'!$F$70*IF(ABS(M1689)&lt;'Sollecitazioni nel paramento'!$G$58,ABS(M1689)*'Sollecitazioni nel paramento'!$G$54,'Sollecitazioni nel paramento'!$G$53)*IF(M1689&lt;0,-1,1)</f>
        <v>0</v>
      </c>
      <c r="T1689" s="545">
        <f>'Foglio deposito bis'!$F$71*IF(ABS(N1689)&lt;'Sollecitazioni nel paramento'!$G$58,ABS(N1689)*'Sollecitazioni nel paramento'!$G$54,'Sollecitazioni nel paramento'!$G$53)*IF(N1689&lt;0,-1,1)</f>
        <v>-177163.76718521956</v>
      </c>
      <c r="U1689" s="545">
        <f>'Foglio deposito bis'!$F$72*IF(ABS(O1689)&lt;'Sollecitazioni nel paramento'!$G$58,ABS(O1689)*'Sollecitazioni nel paramento'!$G$54,'Sollecitazioni nel paramento'!$G$53)*IF(O1689&lt;0,-1,1)</f>
        <v>491727.54577927204</v>
      </c>
      <c r="V1689" s="472">
        <f t="shared" si="122"/>
        <v>-8616290.8114287741</v>
      </c>
      <c r="W1689" s="551"/>
      <c r="X1689" s="551"/>
    </row>
    <row r="1690" spans="1:24" x14ac:dyDescent="0.25">
      <c r="A1690" s="545">
        <f t="shared" si="121"/>
        <v>8944819.6413408704</v>
      </c>
      <c r="B1690" s="3">
        <f t="shared" si="119"/>
        <v>28.899999999999942</v>
      </c>
      <c r="C1690" s="545">
        <f>'Foglio deposito bis'!$E$159/sezione!$B$247*B1690</f>
        <v>238.64830159896573</v>
      </c>
      <c r="D1690" s="603">
        <f>-'Sollecitazioni nel paramento'!$G$47*'Sollecitazioni nel paramento'!$G$41*IF(DATI!$G$211="dx",DATI!$E$61,DATI!$E$64*DATI!$E$63)*1000*C1690^2*sezione!$AD$5*(1-sezione!$AD$6)</f>
        <v>-1267127513.3255482</v>
      </c>
      <c r="E1690" s="545">
        <f>-'Foglio deposito bis'!$F$68*(C1690-sezione!$AL$33)*IF(ABS(K1690)&lt;'Sollecitazioni nel paramento'!$G$58,ABS(K1690)*'Sollecitazioni nel paramento'!$G$54,'Sollecitazioni nel paramento'!$G$53)</f>
        <v>0</v>
      </c>
      <c r="F1690" s="545">
        <f>-'Foglio deposito bis'!$F$69*(C1690-sezione!$AM$33)*IF(ABS(L1690)&lt;'Sollecitazioni nel paramento'!$G$58,ABS(L1690)*'Sollecitazioni nel paramento'!$G$54,'Sollecitazioni nel paramento'!$G$53)</f>
        <v>-27451965.907154564</v>
      </c>
      <c r="G1690" s="545">
        <f>-'Foglio deposito bis'!$F$70*(C1690-sezione!$AN$33)*IF(ABS(M1690)&lt;'Sollecitazioni nel paramento'!$G$58,ABS(M1690)*'Sollecitazioni nel paramento'!$G$54,'Sollecitazioni nel paramento'!$G$53)</f>
        <v>0</v>
      </c>
      <c r="H1690" s="545">
        <f>-'Foglio deposito bis'!$F$71*(C1690-sezione!$AO$33)*IF(ABS(N1690)&lt;'Sollecitazioni nel paramento'!$G$58,ABS(N1690)*'Sollecitazioni nel paramento'!$G$54,'Sollecitazioni nel paramento'!$G$53)</f>
        <v>-15029531.805738769</v>
      </c>
      <c r="I1690" s="472">
        <f>-'Foglio deposito bis'!$F$72*(C1690-sezione!$AP$33)*IF(ABS(O1690)&lt;'Sollecitazioni nel paramento'!$G$58,ABS(O1690)*'Sollecitazioni nel paramento'!$G$54,'Sollecitazioni nel paramento'!$G$53)</f>
        <v>163055723.92088112</v>
      </c>
      <c r="J1690" s="472">
        <f t="shared" si="120"/>
        <v>-1146553287.1175604</v>
      </c>
      <c r="K1690" s="550">
        <f>'Sollecitazioni nel paramento'!$G$60*(sezione!$AL$33-C1690)/C1690</f>
        <v>-2.9133626803040835E-3</v>
      </c>
      <c r="L1690" s="550">
        <f>'Sollecitazioni nel paramento'!$G$60*(sezione!$AM$33-C1690)/C1690</f>
        <v>-2.6200440204561248E-3</v>
      </c>
      <c r="M1690" s="551">
        <f>'Sollecitazioni nel paramento'!$G$60*(sezione!$AN$33-C1690)/C1690</f>
        <v>-2.3267253606081666E-3</v>
      </c>
      <c r="N1690" s="551">
        <f>'Sollecitazioni nel paramento'!$G$60*(sezione!$AO$33-C1690)/C1690</f>
        <v>-1.1534507212163333E-3</v>
      </c>
      <c r="O1690" s="551">
        <f>'Sollecitazioni nel paramento'!$G$60*(sezione!$AP$33-C1690)/C1690</f>
        <v>4.8631896699234713E-3</v>
      </c>
      <c r="P1690" s="545">
        <f>-'Sollecitazioni nel paramento'!$G$47*'Sollecitazioni nel paramento'!$G$41*IF(DATI!$G$211="dx",DATI!$E$61,DATI!$E$64*DATI!$E$63)*1000*C1690*sezione!$AD$5</f>
        <v>-9091784.3460157961</v>
      </c>
      <c r="Q1690" s="545">
        <f>'Foglio deposito bis'!$F$68*IF(ABS(K1690)&lt;'Sollecitazioni nel paramento'!$G$58,ABS(K1690)*'Sollecitazioni nel paramento'!$G$54,'Sollecitazioni nel paramento'!$G$53)*IF(K1690&lt;0,-1,1)</f>
        <v>0</v>
      </c>
      <c r="R1690" s="545">
        <f>'Foglio deposito bis'!$F$69*IF(ABS(L1690)&lt;'Sollecitazioni nel paramento'!$G$58,ABS(L1690)*'Sollecitazioni nel paramento'!$G$54,'Sollecitazioni nel paramento'!$G$53)*IF(L1690&lt;0,-1,1)</f>
        <v>-153664.85805602249</v>
      </c>
      <c r="S1690" s="545">
        <f>'Foglio deposito bis'!$F$70*IF(ABS(M1690)&lt;'Sollecitazioni nel paramento'!$G$58,ABS(M1690)*'Sollecitazioni nel paramento'!$G$54,'Sollecitazioni nel paramento'!$G$53)*IF(M1690&lt;0,-1,1)</f>
        <v>0</v>
      </c>
      <c r="T1690" s="545">
        <f>'Foglio deposito bis'!$F$71*IF(ABS(N1690)&lt;'Sollecitazioni nel paramento'!$G$58,ABS(N1690)*'Sollecitazioni nel paramento'!$G$54,'Sollecitazioni nel paramento'!$G$53)*IF(N1690&lt;0,-1,1)</f>
        <v>-191097.98304832581</v>
      </c>
      <c r="U1690" s="545">
        <f>'Foglio deposito bis'!$F$72*IF(ABS(O1690)&lt;'Sollecitazioni nel paramento'!$G$58,ABS(O1690)*'Sollecitazioni nel paramento'!$G$54,'Sollecitazioni nel paramento'!$G$53)*IF(O1690&lt;0,-1,1)</f>
        <v>491727.54577927204</v>
      </c>
      <c r="V1690" s="472">
        <f t="shared" si="122"/>
        <v>-8944819.6413408704</v>
      </c>
      <c r="W1690" s="551"/>
      <c r="X1690" s="551"/>
    </row>
    <row r="1691" spans="1:24" x14ac:dyDescent="0.25">
      <c r="A1691" s="545">
        <f t="shared" si="121"/>
        <v>9272416.4166801833</v>
      </c>
      <c r="B1691" s="3">
        <f t="shared" si="119"/>
        <v>29.899999999999942</v>
      </c>
      <c r="C1691" s="545">
        <f>'Foglio deposito bis'!$E$159/sezione!$B$247*B1691</f>
        <v>246.90602829789191</v>
      </c>
      <c r="D1691" s="603">
        <f>-'Sollecitazioni nel paramento'!$G$47*'Sollecitazioni nel paramento'!$G$41*IF(DATI!$G$211="dx",DATI!$E$61,DATI!$E$64*DATI!$E$63)*1000*C1691^2*sezione!$AD$5*(1-sezione!$AD$6)</f>
        <v>-1356335135.1015594</v>
      </c>
      <c r="E1691" s="545">
        <f>-'Foglio deposito bis'!$F$68*(C1691-sezione!$AL$33)*IF(ABS(K1691)&lt;'Sollecitazioni nel paramento'!$G$58,ABS(K1691)*'Sollecitazioni nel paramento'!$G$54,'Sollecitazioni nel paramento'!$G$53)</f>
        <v>0</v>
      </c>
      <c r="F1691" s="545">
        <f>-'Foglio deposito bis'!$F$69*(C1691-sezione!$AM$33)*IF(ABS(L1691)&lt;'Sollecitazioni nel paramento'!$G$58,ABS(L1691)*'Sollecitazioni nel paramento'!$G$54,'Sollecitazioni nel paramento'!$G$53)</f>
        <v>-28720888.308210481</v>
      </c>
      <c r="G1691" s="545">
        <f>-'Foglio deposito bis'!$F$70*(C1691-sezione!$AN$33)*IF(ABS(M1691)&lt;'Sollecitazioni nel paramento'!$G$58,ABS(M1691)*'Sollecitazioni nel paramento'!$G$54,'Sollecitazioni nel paramento'!$G$53)</f>
        <v>0</v>
      </c>
      <c r="H1691" s="545">
        <f>-'Foglio deposito bis'!$F$71*(C1691-sezione!$AO$33)*IF(ABS(N1691)&lt;'Sollecitazioni nel paramento'!$G$58,ABS(N1691)*'Sollecitazioni nel paramento'!$G$54,'Sollecitazioni nel paramento'!$G$53)</f>
        <v>-17737532.919498459</v>
      </c>
      <c r="I1691" s="472">
        <f>-'Foglio deposito bis'!$F$72*(C1691-sezione!$AP$33)*IF(ABS(O1691)&lt;'Sollecitazioni nel paramento'!$G$58,ABS(O1691)*'Sollecitazioni nel paramento'!$G$54,'Sollecitazioni nel paramento'!$G$53)</f>
        <v>158995172.23750222</v>
      </c>
      <c r="J1691" s="472">
        <f t="shared" si="120"/>
        <v>-1243798384.0917659</v>
      </c>
      <c r="K1691" s="550">
        <f>'Sollecitazioni nel paramento'!$G$60*(sezione!$AL$33-C1691)/C1691</f>
        <v>-2.9329826575514384E-3</v>
      </c>
      <c r="L1691" s="550">
        <f>'Sollecitazioni nel paramento'!$G$60*(sezione!$AM$33-C1691)/C1691</f>
        <v>-2.6494739863271578E-3</v>
      </c>
      <c r="M1691" s="551">
        <f>'Sollecitazioni nel paramento'!$G$60*(sezione!$AN$33-C1691)/C1691</f>
        <v>-2.3659653151028768E-3</v>
      </c>
      <c r="N1691" s="551">
        <f>'Sollecitazioni nel paramento'!$G$60*(sezione!$AO$33-C1691)/C1691</f>
        <v>-1.2319306302057539E-3</v>
      </c>
      <c r="O1691" s="551">
        <f>'Sollecitazioni nel paramento'!$G$60*(sezione!$AP$33-C1691)/C1691</f>
        <v>4.5834843297922513E-3</v>
      </c>
      <c r="P1691" s="545">
        <f>-'Sollecitazioni nel paramento'!$G$47*'Sollecitazioni nel paramento'!$G$41*IF(DATI!$G$211="dx",DATI!$E$61,DATI!$E$64*DATI!$E$63)*1000*C1691*sezione!$AD$5</f>
        <v>-9406378.9600647856</v>
      </c>
      <c r="Q1691" s="545">
        <f>'Foglio deposito bis'!$F$68*IF(ABS(K1691)&lt;'Sollecitazioni nel paramento'!$G$58,ABS(K1691)*'Sollecitazioni nel paramento'!$G$54,'Sollecitazioni nel paramento'!$G$53)*IF(K1691&lt;0,-1,1)</f>
        <v>0</v>
      </c>
      <c r="R1691" s="545">
        <f>'Foglio deposito bis'!$F$69*IF(ABS(L1691)&lt;'Sollecitazioni nel paramento'!$G$58,ABS(L1691)*'Sollecitazioni nel paramento'!$G$54,'Sollecitazioni nel paramento'!$G$53)*IF(L1691&lt;0,-1,1)</f>
        <v>-153664.85805602249</v>
      </c>
      <c r="S1691" s="545">
        <f>'Foglio deposito bis'!$F$70*IF(ABS(M1691)&lt;'Sollecitazioni nel paramento'!$G$58,ABS(M1691)*'Sollecitazioni nel paramento'!$G$54,'Sollecitazioni nel paramento'!$G$53)*IF(M1691&lt;0,-1,1)</f>
        <v>0</v>
      </c>
      <c r="T1691" s="545">
        <f>'Foglio deposito bis'!$F$71*IF(ABS(N1691)&lt;'Sollecitazioni nel paramento'!$G$58,ABS(N1691)*'Sollecitazioni nel paramento'!$G$54,'Sollecitazioni nel paramento'!$G$53)*IF(N1691&lt;0,-1,1)</f>
        <v>-204100.14433864909</v>
      </c>
      <c r="U1691" s="545">
        <f>'Foglio deposito bis'!$F$72*IF(ABS(O1691)&lt;'Sollecitazioni nel paramento'!$G$58,ABS(O1691)*'Sollecitazioni nel paramento'!$G$54,'Sollecitazioni nel paramento'!$G$53)*IF(O1691&lt;0,-1,1)</f>
        <v>491727.54577927204</v>
      </c>
      <c r="V1691" s="472">
        <f t="shared" si="122"/>
        <v>-9272416.4166801833</v>
      </c>
      <c r="W1691" s="551"/>
      <c r="X1691" s="551"/>
    </row>
    <row r="1692" spans="1:24" x14ac:dyDescent="0.25">
      <c r="A1692" s="545">
        <f t="shared" si="121"/>
        <v>9599171.6281819344</v>
      </c>
      <c r="B1692" s="3">
        <f t="shared" si="119"/>
        <v>30.899999999999942</v>
      </c>
      <c r="C1692" s="545">
        <f>'Foglio deposito bis'!$E$159/sezione!$B$247*B1692</f>
        <v>255.16375499681806</v>
      </c>
      <c r="D1692" s="603">
        <f>-'Sollecitazioni nel paramento'!$G$47*'Sollecitazioni nel paramento'!$G$41*IF(DATI!$G$211="dx",DATI!$E$61,DATI!$E$64*DATI!$E$63)*1000*C1692^2*sezione!$AD$5*(1-sezione!$AD$6)</f>
        <v>-1448577029.7270949</v>
      </c>
      <c r="E1692" s="545">
        <f>-'Foglio deposito bis'!$F$68*(C1692-sezione!$AL$33)*IF(ABS(K1692)&lt;'Sollecitazioni nel paramento'!$G$58,ABS(K1692)*'Sollecitazioni nel paramento'!$G$54,'Sollecitazioni nel paramento'!$G$53)</f>
        <v>0</v>
      </c>
      <c r="F1692" s="545">
        <f>-'Foglio deposito bis'!$F$69*(C1692-sezione!$AM$33)*IF(ABS(L1692)&lt;'Sollecitazioni nel paramento'!$G$58,ABS(L1692)*'Sollecitazioni nel paramento'!$G$54,'Sollecitazioni nel paramento'!$G$53)</f>
        <v>-29989810.709266398</v>
      </c>
      <c r="G1692" s="545">
        <f>-'Foglio deposito bis'!$F$70*(C1692-sezione!$AN$33)*IF(ABS(M1692)&lt;'Sollecitazioni nel paramento'!$G$58,ABS(M1692)*'Sollecitazioni nel paramento'!$G$54,'Sollecitazioni nel paramento'!$G$53)</f>
        <v>0</v>
      </c>
      <c r="H1692" s="545">
        <f>-'Foglio deposito bis'!$F$71*(C1692-sezione!$AO$33)*IF(ABS(N1692)&lt;'Sollecitazioni nel paramento'!$G$58,ABS(N1692)*'Sollecitazioni nel paramento'!$G$54,'Sollecitazioni nel paramento'!$G$53)</f>
        <v>-20580184.247267958</v>
      </c>
      <c r="I1692" s="472">
        <f>-'Foglio deposito bis'!$F$72*(C1692-sezione!$AP$33)*IF(ABS(O1692)&lt;'Sollecitazioni nel paramento'!$G$58,ABS(O1692)*'Sollecitazioni nel paramento'!$G$54,'Sollecitazioni nel paramento'!$G$53)</f>
        <v>154934620.55412328</v>
      </c>
      <c r="J1692" s="472">
        <f t="shared" si="120"/>
        <v>-1344212404.1295061</v>
      </c>
      <c r="K1692" s="550">
        <f>'Sollecitazioni nel paramento'!$G$60*(sezione!$AL$33-C1692)/C1692</f>
        <v>-2.9513327333588356E-3</v>
      </c>
      <c r="L1692" s="550">
        <f>'Sollecitazioni nel paramento'!$G$60*(sezione!$AM$33-C1692)/C1692</f>
        <v>-2.6769991000382531E-3</v>
      </c>
      <c r="M1692" s="551">
        <f>'Sollecitazioni nel paramento'!$G$60*(sezione!$AN$33-C1692)/C1692</f>
        <v>-2.4026654667176706E-3</v>
      </c>
      <c r="N1692" s="551">
        <f>'Sollecitazioni nel paramento'!$G$60*(sezione!$AO$33-C1692)/C1692</f>
        <v>-1.3053309334353411E-3</v>
      </c>
      <c r="O1692" s="551">
        <f>'Sollecitazioni nel paramento'!$G$60*(sezione!$AP$33-C1692)/C1692</f>
        <v>4.3218828951711429E-3</v>
      </c>
      <c r="P1692" s="545">
        <f>-'Sollecitazioni nel paramento'!$G$47*'Sollecitazioni nel paramento'!$G$41*IF(DATI!$G$211="dx",DATI!$E$61,DATI!$E$64*DATI!$E$63)*1000*C1692*sezione!$AD$5</f>
        <v>-9720973.574113775</v>
      </c>
      <c r="Q1692" s="545">
        <f>'Foglio deposito bis'!$F$68*IF(ABS(K1692)&lt;'Sollecitazioni nel paramento'!$G$58,ABS(K1692)*'Sollecitazioni nel paramento'!$G$54,'Sollecitazioni nel paramento'!$G$53)*IF(K1692&lt;0,-1,1)</f>
        <v>0</v>
      </c>
      <c r="R1692" s="545">
        <f>'Foglio deposito bis'!$F$69*IF(ABS(L1692)&lt;'Sollecitazioni nel paramento'!$G$58,ABS(L1692)*'Sollecitazioni nel paramento'!$G$54,'Sollecitazioni nel paramento'!$G$53)*IF(L1692&lt;0,-1,1)</f>
        <v>-153664.85805602249</v>
      </c>
      <c r="S1692" s="545">
        <f>'Foglio deposito bis'!$F$70*IF(ABS(M1692)&lt;'Sollecitazioni nel paramento'!$G$58,ABS(M1692)*'Sollecitazioni nel paramento'!$G$54,'Sollecitazioni nel paramento'!$G$53)*IF(M1692&lt;0,-1,1)</f>
        <v>0</v>
      </c>
      <c r="T1692" s="545">
        <f>'Foglio deposito bis'!$F$71*IF(ABS(N1692)&lt;'Sollecitazioni nel paramento'!$G$58,ABS(N1692)*'Sollecitazioni nel paramento'!$G$54,'Sollecitazioni nel paramento'!$G$53)*IF(N1692&lt;0,-1,1)</f>
        <v>-216260.7417914109</v>
      </c>
      <c r="U1692" s="545">
        <f>'Foglio deposito bis'!$F$72*IF(ABS(O1692)&lt;'Sollecitazioni nel paramento'!$G$58,ABS(O1692)*'Sollecitazioni nel paramento'!$G$54,'Sollecitazioni nel paramento'!$G$53)*IF(O1692&lt;0,-1,1)</f>
        <v>491727.54577927204</v>
      </c>
      <c r="V1692" s="472">
        <f t="shared" si="122"/>
        <v>-9599171.6281819344</v>
      </c>
      <c r="W1692" s="551"/>
      <c r="X1692" s="551"/>
    </row>
    <row r="1693" spans="1:24" x14ac:dyDescent="0.25">
      <c r="A1693" s="545">
        <f t="shared" si="121"/>
        <v>9925164.4197806958</v>
      </c>
      <c r="B1693" s="3">
        <f t="shared" si="119"/>
        <v>31.899999999999942</v>
      </c>
      <c r="C1693" s="545">
        <f>'Foglio deposito bis'!$E$159/sezione!$B$247*B1693</f>
        <v>263.42148169574426</v>
      </c>
      <c r="D1693" s="603">
        <f>-'Sollecitazioni nel paramento'!$G$47*'Sollecitazioni nel paramento'!$G$41*IF(DATI!$G$211="dx",DATI!$E$61,DATI!$E$64*DATI!$E$63)*1000*C1693^2*sezione!$AD$5*(1-sezione!$AD$6)</f>
        <v>-1543853197.2021551</v>
      </c>
      <c r="E1693" s="545">
        <f>-'Foglio deposito bis'!$F$68*(C1693-sezione!$AL$33)*IF(ABS(K1693)&lt;'Sollecitazioni nel paramento'!$G$58,ABS(K1693)*'Sollecitazioni nel paramento'!$G$54,'Sollecitazioni nel paramento'!$G$53)</f>
        <v>0</v>
      </c>
      <c r="F1693" s="545">
        <f>-'Foglio deposito bis'!$F$69*(C1693-sezione!$AM$33)*IF(ABS(L1693)&lt;'Sollecitazioni nel paramento'!$G$58,ABS(L1693)*'Sollecitazioni nel paramento'!$G$54,'Sollecitazioni nel paramento'!$G$53)</f>
        <v>-31258733.110322323</v>
      </c>
      <c r="G1693" s="545">
        <f>-'Foglio deposito bis'!$F$70*(C1693-sezione!$AN$33)*IF(ABS(M1693)&lt;'Sollecitazioni nel paramento'!$G$58,ABS(M1693)*'Sollecitazioni nel paramento'!$G$54,'Sollecitazioni nel paramento'!$G$53)</f>
        <v>0</v>
      </c>
      <c r="H1693" s="545">
        <f>-'Foglio deposito bis'!$F$71*(C1693-sezione!$AO$33)*IF(ABS(N1693)&lt;'Sollecitazioni nel paramento'!$G$58,ABS(N1693)*'Sollecitazioni nel paramento'!$G$54,'Sollecitazioni nel paramento'!$G$53)</f>
        <v>-23544822.759516597</v>
      </c>
      <c r="I1693" s="472">
        <f>-'Foglio deposito bis'!$F$72*(C1693-sezione!$AP$33)*IF(ABS(O1693)&lt;'Sollecitazioni nel paramento'!$G$58,ABS(O1693)*'Sollecitazioni nel paramento'!$G$54,'Sollecitazioni nel paramento'!$G$53)</f>
        <v>150874068.87074435</v>
      </c>
      <c r="J1693" s="472">
        <f t="shared" si="120"/>
        <v>-1447782684.2012496</v>
      </c>
      <c r="K1693" s="550">
        <f>'Sollecitazioni nel paramento'!$G$60*(sezione!$AL$33-C1693)/C1693</f>
        <v>-2.9685323341939818E-3</v>
      </c>
      <c r="L1693" s="550">
        <f>'Sollecitazioni nel paramento'!$G$60*(sezione!$AM$33-C1693)/C1693</f>
        <v>-2.7027985012909725E-3</v>
      </c>
      <c r="M1693" s="551">
        <f>'Sollecitazioni nel paramento'!$G$60*(sezione!$AN$33-C1693)/C1693</f>
        <v>-2.4370646683879635E-3</v>
      </c>
      <c r="N1693" s="551">
        <f>'Sollecitazioni nel paramento'!$G$60*(sezione!$AO$33-C1693)/C1693</f>
        <v>-1.3741293367759266E-3</v>
      </c>
      <c r="O1693" s="551">
        <f>'Sollecitazioni nel paramento'!$G$60*(sezione!$AP$33-C1693)/C1693</f>
        <v>4.0766828044134255E-3</v>
      </c>
      <c r="P1693" s="545">
        <f>-'Sollecitazioni nel paramento'!$G$47*'Sollecitazioni nel paramento'!$G$41*IF(DATI!$G$211="dx",DATI!$E$61,DATI!$E$64*DATI!$E$63)*1000*C1693*sezione!$AD$5</f>
        <v>-10035568.188162768</v>
      </c>
      <c r="Q1693" s="545">
        <f>'Foglio deposito bis'!$F$68*IF(ABS(K1693)&lt;'Sollecitazioni nel paramento'!$G$58,ABS(K1693)*'Sollecitazioni nel paramento'!$G$54,'Sollecitazioni nel paramento'!$G$53)*IF(K1693&lt;0,-1,1)</f>
        <v>0</v>
      </c>
      <c r="R1693" s="545">
        <f>'Foglio deposito bis'!$F$69*IF(ABS(L1693)&lt;'Sollecitazioni nel paramento'!$G$58,ABS(L1693)*'Sollecitazioni nel paramento'!$G$54,'Sollecitazioni nel paramento'!$G$53)*IF(L1693&lt;0,-1,1)</f>
        <v>-153664.85805602249</v>
      </c>
      <c r="S1693" s="545">
        <f>'Foglio deposito bis'!$F$70*IF(ABS(M1693)&lt;'Sollecitazioni nel paramento'!$G$58,ABS(M1693)*'Sollecitazioni nel paramento'!$G$54,'Sollecitazioni nel paramento'!$G$53)*IF(M1693&lt;0,-1,1)</f>
        <v>0</v>
      </c>
      <c r="T1693" s="545">
        <f>'Foglio deposito bis'!$F$71*IF(ABS(N1693)&lt;'Sollecitazioni nel paramento'!$G$58,ABS(N1693)*'Sollecitazioni nel paramento'!$G$54,'Sollecitazioni nel paramento'!$G$53)*IF(N1693&lt;0,-1,1)</f>
        <v>-227658.91934117835</v>
      </c>
      <c r="U1693" s="545">
        <f>'Foglio deposito bis'!$F$72*IF(ABS(O1693)&lt;'Sollecitazioni nel paramento'!$G$58,ABS(O1693)*'Sollecitazioni nel paramento'!$G$54,'Sollecitazioni nel paramento'!$G$53)*IF(O1693&lt;0,-1,1)</f>
        <v>491727.54577927204</v>
      </c>
      <c r="V1693" s="472">
        <f t="shared" si="122"/>
        <v>-9925164.4197806958</v>
      </c>
      <c r="W1693" s="551"/>
      <c r="X1693" s="551"/>
    </row>
    <row r="1694" spans="1:24" x14ac:dyDescent="0.25">
      <c r="A1694" s="545">
        <f t="shared" si="121"/>
        <v>10250464.31304816</v>
      </c>
      <c r="B1694" s="3">
        <f t="shared" si="119"/>
        <v>32.899999999999942</v>
      </c>
      <c r="C1694" s="545">
        <f>'Foglio deposito bis'!$E$159/sezione!$B$247*B1694</f>
        <v>271.67920839467041</v>
      </c>
      <c r="D1694" s="603">
        <f>-'Sollecitazioni nel paramento'!$G$47*'Sollecitazioni nel paramento'!$G$41*IF(DATI!$G$211="dx",DATI!$E$61,DATI!$E$64*DATI!$E$63)*1000*C1694^2*sezione!$AD$5*(1-sezione!$AD$6)</f>
        <v>-1642163637.5267386</v>
      </c>
      <c r="E1694" s="545">
        <f>-'Foglio deposito bis'!$F$68*(C1694-sezione!$AL$33)*IF(ABS(K1694)&lt;'Sollecitazioni nel paramento'!$G$58,ABS(K1694)*'Sollecitazioni nel paramento'!$G$54,'Sollecitazioni nel paramento'!$G$53)</f>
        <v>0</v>
      </c>
      <c r="F1694" s="545">
        <f>-'Foglio deposito bis'!$F$69*(C1694-sezione!$AM$33)*IF(ABS(L1694)&lt;'Sollecitazioni nel paramento'!$G$58,ABS(L1694)*'Sollecitazioni nel paramento'!$G$54,'Sollecitazioni nel paramento'!$G$53)</f>
        <v>-32527655.511378236</v>
      </c>
      <c r="G1694" s="545">
        <f>-'Foglio deposito bis'!$F$70*(C1694-sezione!$AN$33)*IF(ABS(M1694)&lt;'Sollecitazioni nel paramento'!$G$58,ABS(M1694)*'Sollecitazioni nel paramento'!$G$54,'Sollecitazioni nel paramento'!$G$53)</f>
        <v>0</v>
      </c>
      <c r="H1694" s="545">
        <f>-'Foglio deposito bis'!$F$71*(C1694-sezione!$AO$33)*IF(ABS(N1694)&lt;'Sollecitazioni nel paramento'!$G$58,ABS(N1694)*'Sollecitazioni nel paramento'!$G$54,'Sollecitazioni nel paramento'!$G$53)</f>
        <v>-26620325.004772067</v>
      </c>
      <c r="I1694" s="472">
        <f>-'Foglio deposito bis'!$F$72*(C1694-sezione!$AP$33)*IF(ABS(O1694)&lt;'Sollecitazioni nel paramento'!$G$58,ABS(O1694)*'Sollecitazioni nel paramento'!$G$54,'Sollecitazioni nel paramento'!$G$53)</f>
        <v>146813517.18736541</v>
      </c>
      <c r="J1694" s="472">
        <f t="shared" si="120"/>
        <v>-1554498100.8555236</v>
      </c>
      <c r="K1694" s="550">
        <f>'Sollecitazioni nel paramento'!$G$60*(sezione!$AL$33-C1694)/C1694</f>
        <v>-2.9846863665893013E-3</v>
      </c>
      <c r="L1694" s="550">
        <f>'Sollecitazioni nel paramento'!$G$60*(sezione!$AM$33-C1694)/C1694</f>
        <v>-2.7270295498839523E-3</v>
      </c>
      <c r="M1694" s="551">
        <f>'Sollecitazioni nel paramento'!$G$60*(sezione!$AN$33-C1694)/C1694</f>
        <v>-2.4693727331786025E-3</v>
      </c>
      <c r="N1694" s="551">
        <f>'Sollecitazioni nel paramento'!$G$60*(sezione!$AO$33-C1694)/C1694</f>
        <v>-1.4387454663572054E-3</v>
      </c>
      <c r="O1694" s="551">
        <f>'Sollecitazioni nel paramento'!$G$60*(sezione!$AP$33-C1694)/C1694</f>
        <v>3.8463884942488841E-3</v>
      </c>
      <c r="P1694" s="545">
        <f>-'Sollecitazioni nel paramento'!$G$47*'Sollecitazioni nel paramento'!$G$41*IF(DATI!$G$211="dx",DATI!$E$61,DATI!$E$64*DATI!$E$63)*1000*C1694*sezione!$AD$5</f>
        <v>-10350162.802211758</v>
      </c>
      <c r="Q1694" s="545">
        <f>'Foglio deposito bis'!$F$68*IF(ABS(K1694)&lt;'Sollecitazioni nel paramento'!$G$58,ABS(K1694)*'Sollecitazioni nel paramento'!$G$54,'Sollecitazioni nel paramento'!$G$53)*IF(K1694&lt;0,-1,1)</f>
        <v>0</v>
      </c>
      <c r="R1694" s="545">
        <f>'Foglio deposito bis'!$F$69*IF(ABS(L1694)&lt;'Sollecitazioni nel paramento'!$G$58,ABS(L1694)*'Sollecitazioni nel paramento'!$G$54,'Sollecitazioni nel paramento'!$G$53)*IF(L1694&lt;0,-1,1)</f>
        <v>-153664.85805602249</v>
      </c>
      <c r="S1694" s="545">
        <f>'Foglio deposito bis'!$F$70*IF(ABS(M1694)&lt;'Sollecitazioni nel paramento'!$G$58,ABS(M1694)*'Sollecitazioni nel paramento'!$G$54,'Sollecitazioni nel paramento'!$G$53)*IF(M1694&lt;0,-1,1)</f>
        <v>0</v>
      </c>
      <c r="T1694" s="545">
        <f>'Foglio deposito bis'!$F$71*IF(ABS(N1694)&lt;'Sollecitazioni nel paramento'!$G$58,ABS(N1694)*'Sollecitazioni nel paramento'!$G$54,'Sollecitazioni nel paramento'!$G$53)*IF(N1694&lt;0,-1,1)</f>
        <v>-238364.19855965287</v>
      </c>
      <c r="U1694" s="545">
        <f>'Foglio deposito bis'!$F$72*IF(ABS(O1694)&lt;'Sollecitazioni nel paramento'!$G$58,ABS(O1694)*'Sollecitazioni nel paramento'!$G$54,'Sollecitazioni nel paramento'!$G$53)*IF(O1694&lt;0,-1,1)</f>
        <v>491727.54577927204</v>
      </c>
      <c r="V1694" s="472">
        <f t="shared" si="122"/>
        <v>-10250464.31304816</v>
      </c>
      <c r="W1694" s="551"/>
      <c r="X1694" s="551"/>
    </row>
    <row r="1695" spans="1:24" x14ac:dyDescent="0.25">
      <c r="A1695" s="545">
        <f t="shared" si="121"/>
        <v>10575132.626420727</v>
      </c>
      <c r="B1695" s="3">
        <f t="shared" si="119"/>
        <v>33.899999999999942</v>
      </c>
      <c r="C1695" s="545">
        <f>'Foglio deposito bis'!$E$159/sezione!$B$247*B1695</f>
        <v>279.93693509359656</v>
      </c>
      <c r="D1695" s="603">
        <f>-'Sollecitazioni nel paramento'!$G$47*'Sollecitazioni nel paramento'!$G$41*IF(DATI!$G$211="dx",DATI!$E$61,DATI!$E$64*DATI!$E$63)*1000*C1695^2*sezione!$AD$5*(1-sezione!$AD$6)</f>
        <v>-1743508350.7008464</v>
      </c>
      <c r="E1695" s="545">
        <f>-'Foglio deposito bis'!$F$68*(C1695-sezione!$AL$33)*IF(ABS(K1695)&lt;'Sollecitazioni nel paramento'!$G$58,ABS(K1695)*'Sollecitazioni nel paramento'!$G$54,'Sollecitazioni nel paramento'!$G$53)</f>
        <v>0</v>
      </c>
      <c r="F1695" s="545">
        <f>-'Foglio deposito bis'!$F$69*(C1695-sezione!$AM$33)*IF(ABS(L1695)&lt;'Sollecitazioni nel paramento'!$G$58,ABS(L1695)*'Sollecitazioni nel paramento'!$G$54,'Sollecitazioni nel paramento'!$G$53)</f>
        <v>-33796577.912434146</v>
      </c>
      <c r="G1695" s="545">
        <f>-'Foglio deposito bis'!$F$70*(C1695-sezione!$AN$33)*IF(ABS(M1695)&lt;'Sollecitazioni nel paramento'!$G$58,ABS(M1695)*'Sollecitazioni nel paramento'!$G$54,'Sollecitazioni nel paramento'!$G$53)</f>
        <v>0</v>
      </c>
      <c r="H1695" s="545">
        <f>-'Foglio deposito bis'!$F$71*(C1695-sezione!$AO$33)*IF(ABS(N1695)&lt;'Sollecitazioni nel paramento'!$G$58,ABS(N1695)*'Sollecitazioni nel paramento'!$G$54,'Sollecitazioni nel paramento'!$G$53)</f>
        <v>-29796880.03321078</v>
      </c>
      <c r="I1695" s="472">
        <f>-'Foglio deposito bis'!$F$72*(C1695-sezione!$AP$33)*IF(ABS(O1695)&lt;'Sollecitazioni nel paramento'!$G$58,ABS(O1695)*'Sollecitazioni nel paramento'!$G$54,'Sollecitazioni nel paramento'!$G$53)</f>
        <v>142752965.50398648</v>
      </c>
      <c r="J1695" s="472">
        <f t="shared" si="120"/>
        <v>-1664348843.1425047</v>
      </c>
      <c r="K1695" s="550">
        <f>'Sollecitazioni nel paramento'!$G$60*(sezione!$AL$33-C1695)/C1695</f>
        <v>-2.9998873587253104E-3</v>
      </c>
      <c r="L1695" s="550">
        <f>'Sollecitazioni nel paramento'!$G$60*(sezione!$AM$33-C1695)/C1695</f>
        <v>-2.749831038087965E-3</v>
      </c>
      <c r="M1695" s="551">
        <f>'Sollecitazioni nel paramento'!$G$60*(sezione!$AN$33-C1695)/C1695</f>
        <v>-2.4997747174506204E-3</v>
      </c>
      <c r="N1695" s="551">
        <f>'Sollecitazioni nel paramento'!$G$60*(sezione!$AO$33-C1695)/C1695</f>
        <v>-1.4995494349012406E-3</v>
      </c>
      <c r="O1695" s="551">
        <f>'Sollecitazioni nel paramento'!$G$60*(sezione!$AP$33-C1695)/C1695</f>
        <v>3.6296808690498015E-3</v>
      </c>
      <c r="P1695" s="545">
        <f>-'Sollecitazioni nel paramento'!$G$47*'Sollecitazioni nel paramento'!$G$41*IF(DATI!$G$211="dx",DATI!$E$61,DATI!$E$64*DATI!$E$63)*1000*C1695*sezione!$AD$5</f>
        <v>-10664757.416260745</v>
      </c>
      <c r="Q1695" s="545">
        <f>'Foglio deposito bis'!$F$68*IF(ABS(K1695)&lt;'Sollecitazioni nel paramento'!$G$58,ABS(K1695)*'Sollecitazioni nel paramento'!$G$54,'Sollecitazioni nel paramento'!$G$53)*IF(K1695&lt;0,-1,1)</f>
        <v>0</v>
      </c>
      <c r="R1695" s="545">
        <f>'Foglio deposito bis'!$F$69*IF(ABS(L1695)&lt;'Sollecitazioni nel paramento'!$G$58,ABS(L1695)*'Sollecitazioni nel paramento'!$G$54,'Sollecitazioni nel paramento'!$G$53)*IF(L1695&lt;0,-1,1)</f>
        <v>-153664.85805602249</v>
      </c>
      <c r="S1695" s="545">
        <f>'Foglio deposito bis'!$F$70*IF(ABS(M1695)&lt;'Sollecitazioni nel paramento'!$G$58,ABS(M1695)*'Sollecitazioni nel paramento'!$G$54,'Sollecitazioni nel paramento'!$G$53)*IF(M1695&lt;0,-1,1)</f>
        <v>0</v>
      </c>
      <c r="T1695" s="545">
        <f>'Foglio deposito bis'!$F$71*IF(ABS(N1695)&lt;'Sollecitazioni nel paramento'!$G$58,ABS(N1695)*'Sollecitazioni nel paramento'!$G$54,'Sollecitazioni nel paramento'!$G$53)*IF(N1695&lt;0,-1,1)</f>
        <v>-248437.8978832321</v>
      </c>
      <c r="U1695" s="545">
        <f>'Foglio deposito bis'!$F$72*IF(ABS(O1695)&lt;'Sollecitazioni nel paramento'!$G$58,ABS(O1695)*'Sollecitazioni nel paramento'!$G$54,'Sollecitazioni nel paramento'!$G$53)*IF(O1695&lt;0,-1,1)</f>
        <v>491727.54577927204</v>
      </c>
      <c r="V1695" s="472">
        <f t="shared" si="122"/>
        <v>-10575132.626420727</v>
      </c>
      <c r="W1695" s="551"/>
      <c r="X1695" s="551"/>
    </row>
    <row r="1696" spans="1:24" x14ac:dyDescent="0.25">
      <c r="A1696" s="545">
        <f t="shared" si="121"/>
        <v>10899223.650433777</v>
      </c>
      <c r="B1696" s="3">
        <f t="shared" si="119"/>
        <v>34.899999999999942</v>
      </c>
      <c r="C1696" s="545">
        <f>'Foglio deposito bis'!$E$159/sezione!$B$247*B1696</f>
        <v>288.19466179252271</v>
      </c>
      <c r="D1696" s="603">
        <f>-'Sollecitazioni nel paramento'!$G$47*'Sollecitazioni nel paramento'!$G$41*IF(DATI!$G$211="dx",DATI!$E$61,DATI!$E$64*DATI!$E$63)*1000*C1696^2*sezione!$AD$5*(1-sezione!$AD$6)</f>
        <v>-1847887336.7244787</v>
      </c>
      <c r="E1696" s="545">
        <f>-'Foglio deposito bis'!$F$68*(C1696-sezione!$AL$33)*IF(ABS(K1696)&lt;'Sollecitazioni nel paramento'!$G$58,ABS(K1696)*'Sollecitazioni nel paramento'!$G$54,'Sollecitazioni nel paramento'!$G$53)</f>
        <v>0</v>
      </c>
      <c r="F1696" s="545">
        <f>-'Foglio deposito bis'!$F$69*(C1696-sezione!$AM$33)*IF(ABS(L1696)&lt;'Sollecitazioni nel paramento'!$G$58,ABS(L1696)*'Sollecitazioni nel paramento'!$G$54,'Sollecitazioni nel paramento'!$G$53)</f>
        <v>-35065500.313490063</v>
      </c>
      <c r="G1696" s="545">
        <f>-'Foglio deposito bis'!$F$70*(C1696-sezione!$AN$33)*IF(ABS(M1696)&lt;'Sollecitazioni nel paramento'!$G$58,ABS(M1696)*'Sollecitazioni nel paramento'!$G$54,'Sollecitazioni nel paramento'!$G$53)</f>
        <v>0</v>
      </c>
      <c r="H1696" s="545">
        <f>-'Foglio deposito bis'!$F$71*(C1696-sezione!$AO$33)*IF(ABS(N1696)&lt;'Sollecitazioni nel paramento'!$G$58,ABS(N1696)*'Sollecitazioni nel paramento'!$G$54,'Sollecitazioni nel paramento'!$G$53)</f>
        <v>-33065801.359172273</v>
      </c>
      <c r="I1696" s="472">
        <f>-'Foglio deposito bis'!$F$72*(C1696-sezione!$AP$33)*IF(ABS(O1696)&lt;'Sollecitazioni nel paramento'!$G$58,ABS(O1696)*'Sollecitazioni nel paramento'!$G$54,'Sollecitazioni nel paramento'!$G$53)</f>
        <v>138692413.82060754</v>
      </c>
      <c r="J1696" s="472">
        <f t="shared" si="120"/>
        <v>-1777326224.5765338</v>
      </c>
      <c r="K1696" s="550">
        <f>'Sollecitazioni nel paramento'!$G$60*(sezione!$AL$33-C1696)/C1696</f>
        <v>-3.0142172338334674E-3</v>
      </c>
      <c r="L1696" s="550">
        <f>'Sollecitazioni nel paramento'!$G$60*(sezione!$AM$33-C1696)/C1696</f>
        <v>-2.7713258507502015E-3</v>
      </c>
      <c r="M1696" s="551">
        <f>'Sollecitazioni nel paramento'!$G$60*(sezione!$AN$33-C1696)/C1696</f>
        <v>-2.5284344676669347E-3</v>
      </c>
      <c r="N1696" s="551">
        <f>'Sollecitazioni nel paramento'!$G$60*(sezione!$AO$33-C1696)/C1696</f>
        <v>-1.5568689353338697E-3</v>
      </c>
      <c r="O1696" s="551">
        <f>'Sollecitazioni nel paramento'!$G$60*(sezione!$AP$33-C1696)/C1696</f>
        <v>3.4253920189337614E-3</v>
      </c>
      <c r="P1696" s="545">
        <f>-'Sollecitazioni nel paramento'!$G$47*'Sollecitazioni nel paramento'!$G$41*IF(DATI!$G$211="dx",DATI!$E$61,DATI!$E$64*DATI!$E$63)*1000*C1696*sezione!$AD$5</f>
        <v>-10979352.030309735</v>
      </c>
      <c r="Q1696" s="545">
        <f>'Foglio deposito bis'!$F$68*IF(ABS(K1696)&lt;'Sollecitazioni nel paramento'!$G$58,ABS(K1696)*'Sollecitazioni nel paramento'!$G$54,'Sollecitazioni nel paramento'!$G$53)*IF(K1696&lt;0,-1,1)</f>
        <v>0</v>
      </c>
      <c r="R1696" s="545">
        <f>'Foglio deposito bis'!$F$69*IF(ABS(L1696)&lt;'Sollecitazioni nel paramento'!$G$58,ABS(L1696)*'Sollecitazioni nel paramento'!$G$54,'Sollecitazioni nel paramento'!$G$53)*IF(L1696&lt;0,-1,1)</f>
        <v>-153664.85805602249</v>
      </c>
      <c r="S1696" s="545">
        <f>'Foglio deposito bis'!$F$70*IF(ABS(M1696)&lt;'Sollecitazioni nel paramento'!$G$58,ABS(M1696)*'Sollecitazioni nel paramento'!$G$54,'Sollecitazioni nel paramento'!$G$53)*IF(M1696&lt;0,-1,1)</f>
        <v>0</v>
      </c>
      <c r="T1696" s="545">
        <f>'Foglio deposito bis'!$F$71*IF(ABS(N1696)&lt;'Sollecitazioni nel paramento'!$G$58,ABS(N1696)*'Sollecitazioni nel paramento'!$G$54,'Sollecitazioni nel paramento'!$G$53)*IF(N1696&lt;0,-1,1)</f>
        <v>-257934.30784729388</v>
      </c>
      <c r="U1696" s="545">
        <f>'Foglio deposito bis'!$F$72*IF(ABS(O1696)&lt;'Sollecitazioni nel paramento'!$G$58,ABS(O1696)*'Sollecitazioni nel paramento'!$G$54,'Sollecitazioni nel paramento'!$G$53)*IF(O1696&lt;0,-1,1)</f>
        <v>491727.54577927204</v>
      </c>
      <c r="V1696" s="472">
        <f t="shared" si="122"/>
        <v>-10899223.650433777</v>
      </c>
      <c r="W1696" s="551"/>
      <c r="X1696" s="551"/>
    </row>
    <row r="1697" spans="1:24" x14ac:dyDescent="0.25">
      <c r="A1697" s="545">
        <f t="shared" si="121"/>
        <v>11222785.626537971</v>
      </c>
      <c r="B1697" s="3">
        <f t="shared" si="119"/>
        <v>35.899999999999942</v>
      </c>
      <c r="C1697" s="545">
        <f>'Foglio deposito bis'!$E$159/sezione!$B$247*B1697</f>
        <v>296.45238849144891</v>
      </c>
      <c r="D1697" s="603">
        <f>-'Sollecitazioni nel paramento'!$G$47*'Sollecitazioni nel paramento'!$G$41*IF(DATI!$G$211="dx",DATI!$E$61,DATI!$E$64*DATI!$E$63)*1000*C1697^2*sezione!$AD$5*(1-sezione!$AD$6)</f>
        <v>-1955300595.5976355</v>
      </c>
      <c r="E1697" s="545">
        <f>-'Foglio deposito bis'!$F$68*(C1697-sezione!$AL$33)*IF(ABS(K1697)&lt;'Sollecitazioni nel paramento'!$G$58,ABS(K1697)*'Sollecitazioni nel paramento'!$G$54,'Sollecitazioni nel paramento'!$G$53)</f>
        <v>0</v>
      </c>
      <c r="F1697" s="545">
        <f>-'Foglio deposito bis'!$F$69*(C1697-sezione!$AM$33)*IF(ABS(L1697)&lt;'Sollecitazioni nel paramento'!$G$58,ABS(L1697)*'Sollecitazioni nel paramento'!$G$54,'Sollecitazioni nel paramento'!$G$53)</f>
        <v>-36334422.71454598</v>
      </c>
      <c r="G1697" s="545">
        <f>-'Foglio deposito bis'!$F$70*(C1697-sezione!$AN$33)*IF(ABS(M1697)&lt;'Sollecitazioni nel paramento'!$G$58,ABS(M1697)*'Sollecitazioni nel paramento'!$G$54,'Sollecitazioni nel paramento'!$G$53)</f>
        <v>0</v>
      </c>
      <c r="H1697" s="545">
        <f>-'Foglio deposito bis'!$F$71*(C1697-sezione!$AO$33)*IF(ABS(N1697)&lt;'Sollecitazioni nel paramento'!$G$58,ABS(N1697)*'Sollecitazioni nel paramento'!$G$54,'Sollecitazioni nel paramento'!$G$53)</f>
        <v>-36419370.350551628</v>
      </c>
      <c r="I1697" s="472">
        <f>-'Foglio deposito bis'!$F$72*(C1697-sezione!$AP$33)*IF(ABS(O1697)&lt;'Sollecitazioni nel paramento'!$G$58,ABS(O1697)*'Sollecitazioni nel paramento'!$G$54,'Sollecitazioni nel paramento'!$G$53)</f>
        <v>134631862.13722861</v>
      </c>
      <c r="J1697" s="472">
        <f t="shared" si="120"/>
        <v>-1893422526.5255046</v>
      </c>
      <c r="K1697" s="550">
        <f>'Sollecitazioni nel paramento'!$G$60*(sezione!$AL$33-C1697)/C1697</f>
        <v>-3.0277487872085798E-3</v>
      </c>
      <c r="L1697" s="550">
        <f>'Sollecitazioni nel paramento'!$G$60*(sezione!$AM$33-C1697)/C1697</f>
        <v>-2.7916231808128699E-3</v>
      </c>
      <c r="M1697" s="551">
        <f>'Sollecitazioni nel paramento'!$G$60*(sezione!$AN$33-C1697)/C1697</f>
        <v>-2.5554975744171596E-3</v>
      </c>
      <c r="N1697" s="551">
        <f>'Sollecitazioni nel paramento'!$G$60*(sezione!$AO$33-C1697)/C1697</f>
        <v>-1.6109951488343193E-3</v>
      </c>
      <c r="O1697" s="551">
        <f>'Sollecitazioni nel paramento'!$G$60*(sezione!$AP$33-C1697)/C1697</f>
        <v>3.2324841632531539E-3</v>
      </c>
      <c r="P1697" s="545">
        <f>-'Sollecitazioni nel paramento'!$G$47*'Sollecitazioni nel paramento'!$G$41*IF(DATI!$G$211="dx",DATI!$E$61,DATI!$E$64*DATI!$E$63)*1000*C1697*sezione!$AD$5</f>
        <v>-11293946.644358728</v>
      </c>
      <c r="Q1697" s="545">
        <f>'Foglio deposito bis'!$F$68*IF(ABS(K1697)&lt;'Sollecitazioni nel paramento'!$G$58,ABS(K1697)*'Sollecitazioni nel paramento'!$G$54,'Sollecitazioni nel paramento'!$G$53)*IF(K1697&lt;0,-1,1)</f>
        <v>0</v>
      </c>
      <c r="R1697" s="545">
        <f>'Foglio deposito bis'!$F$69*IF(ABS(L1697)&lt;'Sollecitazioni nel paramento'!$G$58,ABS(L1697)*'Sollecitazioni nel paramento'!$G$54,'Sollecitazioni nel paramento'!$G$53)*IF(L1697&lt;0,-1,1)</f>
        <v>-153664.85805602249</v>
      </c>
      <c r="S1697" s="545">
        <f>'Foglio deposito bis'!$F$70*IF(ABS(M1697)&lt;'Sollecitazioni nel paramento'!$G$58,ABS(M1697)*'Sollecitazioni nel paramento'!$G$54,'Sollecitazioni nel paramento'!$G$53)*IF(M1697&lt;0,-1,1)</f>
        <v>0</v>
      </c>
      <c r="T1697" s="545">
        <f>'Foglio deposito bis'!$F$71*IF(ABS(N1697)&lt;'Sollecitazioni nel paramento'!$G$58,ABS(N1697)*'Sollecitazioni nel paramento'!$G$54,'Sollecitazioni nel paramento'!$G$53)*IF(N1697&lt;0,-1,1)</f>
        <v>-266901.66990249441</v>
      </c>
      <c r="U1697" s="545">
        <f>'Foglio deposito bis'!$F$72*IF(ABS(O1697)&lt;'Sollecitazioni nel paramento'!$G$58,ABS(O1697)*'Sollecitazioni nel paramento'!$G$54,'Sollecitazioni nel paramento'!$G$53)*IF(O1697&lt;0,-1,1)</f>
        <v>491727.54577927204</v>
      </c>
      <c r="V1697" s="472">
        <f t="shared" si="122"/>
        <v>-11222785.626537971</v>
      </c>
      <c r="W1697" s="551"/>
      <c r="X1697" s="551"/>
    </row>
    <row r="1698" spans="1:24" x14ac:dyDescent="0.25">
      <c r="A1698" s="545">
        <f t="shared" si="121"/>
        <v>11545861.566758411</v>
      </c>
      <c r="B1698" s="3">
        <f t="shared" si="119"/>
        <v>36.899999999999942</v>
      </c>
      <c r="C1698" s="545">
        <f>'Foglio deposito bis'!$E$159/sezione!$B$247*B1698</f>
        <v>304.71011519037506</v>
      </c>
      <c r="D1698" s="603">
        <f>-'Sollecitazioni nel paramento'!$G$47*'Sollecitazioni nel paramento'!$G$41*IF(DATI!$G$211="dx",DATI!$E$61,DATI!$E$64*DATI!$E$63)*1000*C1698^2*sezione!$AD$5*(1-sezione!$AD$6)</f>
        <v>-2065748127.3203163</v>
      </c>
      <c r="E1698" s="545">
        <f>-'Foglio deposito bis'!$F$68*(C1698-sezione!$AL$33)*IF(ABS(K1698)&lt;'Sollecitazioni nel paramento'!$G$58,ABS(K1698)*'Sollecitazioni nel paramento'!$G$54,'Sollecitazioni nel paramento'!$G$53)</f>
        <v>0</v>
      </c>
      <c r="F1698" s="545">
        <f>-'Foglio deposito bis'!$F$69*(C1698-sezione!$AM$33)*IF(ABS(L1698)&lt;'Sollecitazioni nel paramento'!$G$58,ABS(L1698)*'Sollecitazioni nel paramento'!$G$54,'Sollecitazioni nel paramento'!$G$53)</f>
        <v>-37603345.115601897</v>
      </c>
      <c r="G1698" s="545">
        <f>-'Foglio deposito bis'!$F$70*(C1698-sezione!$AN$33)*IF(ABS(M1698)&lt;'Sollecitazioni nel paramento'!$G$58,ABS(M1698)*'Sollecitazioni nel paramento'!$G$54,'Sollecitazioni nel paramento'!$G$53)</f>
        <v>0</v>
      </c>
      <c r="H1698" s="545">
        <f>-'Foglio deposito bis'!$F$71*(C1698-sezione!$AO$33)*IF(ABS(N1698)&lt;'Sollecitazioni nel paramento'!$G$58,ABS(N1698)*'Sollecitazioni nel paramento'!$G$54,'Sollecitazioni nel paramento'!$G$53)</f>
        <v>-39850705.083331063</v>
      </c>
      <c r="I1698" s="472">
        <f>-'Foglio deposito bis'!$F$72*(C1698-sezione!$AP$33)*IF(ABS(O1698)&lt;'Sollecitazioni nel paramento'!$G$58,ABS(O1698)*'Sollecitazioni nel paramento'!$G$54,'Sollecitazioni nel paramento'!$G$53)</f>
        <v>130571310.45384967</v>
      </c>
      <c r="J1698" s="472">
        <f t="shared" si="120"/>
        <v>-2012630867.0653996</v>
      </c>
      <c r="K1698" s="550">
        <f>'Sollecitazioni nel paramento'!$G$60*(sezione!$AL$33-C1698)/C1698</f>
        <v>-3.0405469230565859E-3</v>
      </c>
      <c r="L1698" s="550">
        <f>'Sollecitazioni nel paramento'!$G$60*(sezione!$AM$33-C1698)/C1698</f>
        <v>-2.8108203845848786E-3</v>
      </c>
      <c r="M1698" s="551">
        <f>'Sollecitazioni nel paramento'!$G$60*(sezione!$AN$33-C1698)/C1698</f>
        <v>-2.5810938461131717E-3</v>
      </c>
      <c r="N1698" s="551">
        <f>'Sollecitazioni nel paramento'!$G$60*(sezione!$AO$33-C1698)/C1698</f>
        <v>-1.6621876922263432E-3</v>
      </c>
      <c r="O1698" s="551">
        <f>'Sollecitazioni nel paramento'!$G$60*(sezione!$AP$33-C1698)/C1698</f>
        <v>3.0500320179075403E-3</v>
      </c>
      <c r="P1698" s="545">
        <f>-'Sollecitazioni nel paramento'!$G$47*'Sollecitazioni nel paramento'!$G$41*IF(DATI!$G$211="dx",DATI!$E$61,DATI!$E$64*DATI!$E$63)*1000*C1698*sezione!$AD$5</f>
        <v>-11608541.258407718</v>
      </c>
      <c r="Q1698" s="545">
        <f>'Foglio deposito bis'!$F$68*IF(ABS(K1698)&lt;'Sollecitazioni nel paramento'!$G$58,ABS(K1698)*'Sollecitazioni nel paramento'!$G$54,'Sollecitazioni nel paramento'!$G$53)*IF(K1698&lt;0,-1,1)</f>
        <v>0</v>
      </c>
      <c r="R1698" s="545">
        <f>'Foglio deposito bis'!$F$69*IF(ABS(L1698)&lt;'Sollecitazioni nel paramento'!$G$58,ABS(L1698)*'Sollecitazioni nel paramento'!$G$54,'Sollecitazioni nel paramento'!$G$53)*IF(L1698&lt;0,-1,1)</f>
        <v>-153664.85805602249</v>
      </c>
      <c r="S1698" s="545">
        <f>'Foglio deposito bis'!$F$70*IF(ABS(M1698)&lt;'Sollecitazioni nel paramento'!$G$58,ABS(M1698)*'Sollecitazioni nel paramento'!$G$54,'Sollecitazioni nel paramento'!$G$53)*IF(M1698&lt;0,-1,1)</f>
        <v>0</v>
      </c>
      <c r="T1698" s="545">
        <f>'Foglio deposito bis'!$F$71*IF(ABS(N1698)&lt;'Sollecitazioni nel paramento'!$G$58,ABS(N1698)*'Sollecitazioni nel paramento'!$G$54,'Sollecitazioni nel paramento'!$G$53)*IF(N1698&lt;0,-1,1)</f>
        <v>-275382.99607394414</v>
      </c>
      <c r="U1698" s="545">
        <f>'Foglio deposito bis'!$F$72*IF(ABS(O1698)&lt;'Sollecitazioni nel paramento'!$G$58,ABS(O1698)*'Sollecitazioni nel paramento'!$G$54,'Sollecitazioni nel paramento'!$G$53)*IF(O1698&lt;0,-1,1)</f>
        <v>491727.54577927204</v>
      </c>
      <c r="V1698" s="472">
        <f t="shared" si="122"/>
        <v>-11545861.566758411</v>
      </c>
      <c r="W1698" s="551"/>
      <c r="X1698" s="551"/>
    </row>
    <row r="1699" spans="1:24" x14ac:dyDescent="0.25">
      <c r="A1699" s="545">
        <f t="shared" si="121"/>
        <v>11868489.943592494</v>
      </c>
      <c r="B1699" s="3">
        <f t="shared" si="119"/>
        <v>37.899999999999942</v>
      </c>
      <c r="C1699" s="545">
        <f>'Foglio deposito bis'!$E$159/sezione!$B$247*B1699</f>
        <v>312.96784188930121</v>
      </c>
      <c r="D1699" s="603">
        <f>-'Sollecitazioni nel paramento'!$G$47*'Sollecitazioni nel paramento'!$G$41*IF(DATI!$G$211="dx",DATI!$E$61,DATI!$E$64*DATI!$E$63)*1000*C1699^2*sezione!$AD$5*(1-sezione!$AD$6)</f>
        <v>-2179229931.8925204</v>
      </c>
      <c r="E1699" s="545">
        <f>-'Foglio deposito bis'!$F$68*(C1699-sezione!$AL$33)*IF(ABS(K1699)&lt;'Sollecitazioni nel paramento'!$G$58,ABS(K1699)*'Sollecitazioni nel paramento'!$G$54,'Sollecitazioni nel paramento'!$G$53)</f>
        <v>0</v>
      </c>
      <c r="F1699" s="545">
        <f>-'Foglio deposito bis'!$F$69*(C1699-sezione!$AM$33)*IF(ABS(L1699)&lt;'Sollecitazioni nel paramento'!$G$58,ABS(L1699)*'Sollecitazioni nel paramento'!$G$54,'Sollecitazioni nel paramento'!$G$53)</f>
        <v>-38872267.516657814</v>
      </c>
      <c r="G1699" s="545">
        <f>-'Foglio deposito bis'!$F$70*(C1699-sezione!$AN$33)*IF(ABS(M1699)&lt;'Sollecitazioni nel paramento'!$G$58,ABS(M1699)*'Sollecitazioni nel paramento'!$G$54,'Sollecitazioni nel paramento'!$G$53)</f>
        <v>0</v>
      </c>
      <c r="H1699" s="545">
        <f>-'Foglio deposito bis'!$F$71*(C1699-sezione!$AO$33)*IF(ABS(N1699)&lt;'Sollecitazioni nel paramento'!$G$58,ABS(N1699)*'Sollecitazioni nel paramento'!$G$54,'Sollecitazioni nel paramento'!$G$53)</f>
        <v>-43353649.95792748</v>
      </c>
      <c r="I1699" s="472">
        <f>-'Foglio deposito bis'!$F$72*(C1699-sezione!$AP$33)*IF(ABS(O1699)&lt;'Sollecitazioni nel paramento'!$G$58,ABS(O1699)*'Sollecitazioni nel paramento'!$G$54,'Sollecitazioni nel paramento'!$G$53)</f>
        <v>126510758.77047074</v>
      </c>
      <c r="J1699" s="472">
        <f t="shared" si="120"/>
        <v>-2134945090.5966353</v>
      </c>
      <c r="K1699" s="550">
        <f>'Sollecitazioni nel paramento'!$G$60*(sezione!$AL$33-C1699)/C1699</f>
        <v>-3.0526696955353039E-3</v>
      </c>
      <c r="L1699" s="550">
        <f>'Sollecitazioni nel paramento'!$G$60*(sezione!$AM$33-C1699)/C1699</f>
        <v>-2.829004543302956E-3</v>
      </c>
      <c r="M1699" s="551">
        <f>'Sollecitazioni nel paramento'!$G$60*(sezione!$AN$33-C1699)/C1699</f>
        <v>-2.6053393910706077E-3</v>
      </c>
      <c r="N1699" s="551">
        <f>'Sollecitazioni nel paramento'!$G$60*(sezione!$AO$33-C1699)/C1699</f>
        <v>-1.7106787821412153E-3</v>
      </c>
      <c r="O1699" s="551">
        <f>'Sollecitazioni nel paramento'!$G$60*(sezione!$AP$33-C1699)/C1699</f>
        <v>2.8772079541105077E-3</v>
      </c>
      <c r="P1699" s="545">
        <f>-'Sollecitazioni nel paramento'!$G$47*'Sollecitazioni nel paramento'!$G$41*IF(DATI!$G$211="dx",DATI!$E$61,DATI!$E$64*DATI!$E$63)*1000*C1699*sezione!$AD$5</f>
        <v>-11923135.872456707</v>
      </c>
      <c r="Q1699" s="545">
        <f>'Foglio deposito bis'!$F$68*IF(ABS(K1699)&lt;'Sollecitazioni nel paramento'!$G$58,ABS(K1699)*'Sollecitazioni nel paramento'!$G$54,'Sollecitazioni nel paramento'!$G$53)*IF(K1699&lt;0,-1,1)</f>
        <v>0</v>
      </c>
      <c r="R1699" s="545">
        <f>'Foglio deposito bis'!$F$69*IF(ABS(L1699)&lt;'Sollecitazioni nel paramento'!$G$58,ABS(L1699)*'Sollecitazioni nel paramento'!$G$54,'Sollecitazioni nel paramento'!$G$53)*IF(L1699&lt;0,-1,1)</f>
        <v>-153664.85805602249</v>
      </c>
      <c r="S1699" s="545">
        <f>'Foglio deposito bis'!$F$70*IF(ABS(M1699)&lt;'Sollecitazioni nel paramento'!$G$58,ABS(M1699)*'Sollecitazioni nel paramento'!$G$54,'Sollecitazioni nel paramento'!$G$53)*IF(M1699&lt;0,-1,1)</f>
        <v>0</v>
      </c>
      <c r="T1699" s="545">
        <f>'Foglio deposito bis'!$F$71*IF(ABS(N1699)&lt;'Sollecitazioni nel paramento'!$G$58,ABS(N1699)*'Sollecitazioni nel paramento'!$G$54,'Sollecitazioni nel paramento'!$G$53)*IF(N1699&lt;0,-1,1)</f>
        <v>-283416.75885903765</v>
      </c>
      <c r="U1699" s="545">
        <f>'Foglio deposito bis'!$F$72*IF(ABS(O1699)&lt;'Sollecitazioni nel paramento'!$G$58,ABS(O1699)*'Sollecitazioni nel paramento'!$G$54,'Sollecitazioni nel paramento'!$G$53)*IF(O1699&lt;0,-1,1)</f>
        <v>491727.54577927204</v>
      </c>
      <c r="V1699" s="472">
        <f t="shared" si="122"/>
        <v>-11868489.943592494</v>
      </c>
      <c r="W1699" s="551"/>
      <c r="X1699" s="551"/>
    </row>
    <row r="1700" spans="1:24" x14ac:dyDescent="0.25">
      <c r="A1700" s="545">
        <f t="shared" si="121"/>
        <v>12190705.273496753</v>
      </c>
      <c r="B1700" s="3">
        <f t="shared" si="119"/>
        <v>38.899999999999942</v>
      </c>
      <c r="C1700" s="545">
        <f>'Foglio deposito bis'!$E$159/sezione!$B$247*B1700</f>
        <v>321.22556858822742</v>
      </c>
      <c r="D1700" s="603">
        <f>-'Sollecitazioni nel paramento'!$G$47*'Sollecitazioni nel paramento'!$G$41*IF(DATI!$G$211="dx",DATI!$E$61,DATI!$E$64*DATI!$E$63)*1000*C1700^2*sezione!$AD$5*(1-sezione!$AD$6)</f>
        <v>-2295746009.3142505</v>
      </c>
      <c r="E1700" s="545">
        <f>-'Foglio deposito bis'!$F$68*(C1700-sezione!$AL$33)*IF(ABS(K1700)&lt;'Sollecitazioni nel paramento'!$G$58,ABS(K1700)*'Sollecitazioni nel paramento'!$G$54,'Sollecitazioni nel paramento'!$G$53)</f>
        <v>0</v>
      </c>
      <c r="F1700" s="545">
        <f>-'Foglio deposito bis'!$F$69*(C1700-sezione!$AM$33)*IF(ABS(L1700)&lt;'Sollecitazioni nel paramento'!$G$58,ABS(L1700)*'Sollecitazioni nel paramento'!$G$54,'Sollecitazioni nel paramento'!$G$53)</f>
        <v>-40141189.917713739</v>
      </c>
      <c r="G1700" s="545">
        <f>-'Foglio deposito bis'!$F$70*(C1700-sezione!$AN$33)*IF(ABS(M1700)&lt;'Sollecitazioni nel paramento'!$G$58,ABS(M1700)*'Sollecitazioni nel paramento'!$G$54,'Sollecitazioni nel paramento'!$G$53)</f>
        <v>0</v>
      </c>
      <c r="H1700" s="545">
        <f>-'Foglio deposito bis'!$F$71*(C1700-sezione!$AO$33)*IF(ABS(N1700)&lt;'Sollecitazioni nel paramento'!$G$58,ABS(N1700)*'Sollecitazioni nel paramento'!$G$54,'Sollecitazioni nel paramento'!$G$53)</f>
        <v>-46922682.34129592</v>
      </c>
      <c r="I1700" s="472">
        <f>-'Foglio deposito bis'!$F$72*(C1700-sezione!$AP$33)*IF(ABS(O1700)&lt;'Sollecitazioni nel paramento'!$G$58,ABS(O1700)*'Sollecitazioni nel paramento'!$G$54,'Sollecitazioni nel paramento'!$G$53)</f>
        <v>122450207.08709179</v>
      </c>
      <c r="J1700" s="472">
        <f t="shared" si="120"/>
        <v>-2260359674.4861679</v>
      </c>
      <c r="K1700" s="550">
        <f>'Sollecitazioni nel paramento'!$G$60*(sezione!$AL$33-C1700)/C1700</f>
        <v>-3.0641691892233426E-3</v>
      </c>
      <c r="L1700" s="550">
        <f>'Sollecitazioni nel paramento'!$G$60*(sezione!$AM$33-C1700)/C1700</f>
        <v>-2.8462537838350138E-3</v>
      </c>
      <c r="M1700" s="551">
        <f>'Sollecitazioni nel paramento'!$G$60*(sezione!$AN$33-C1700)/C1700</f>
        <v>-2.6283383784466846E-3</v>
      </c>
      <c r="N1700" s="551">
        <f>'Sollecitazioni nel paramento'!$G$60*(sezione!$AO$33-C1700)/C1700</f>
        <v>-1.7566767568933698E-3</v>
      </c>
      <c r="O1700" s="551">
        <f>'Sollecitazioni nel paramento'!$G$60*(sezione!$AP$33-C1700)/C1700</f>
        <v>2.7132694462927557E-3</v>
      </c>
      <c r="P1700" s="545">
        <f>-'Sollecitazioni nel paramento'!$G$47*'Sollecitazioni nel paramento'!$G$41*IF(DATI!$G$211="dx",DATI!$E$61,DATI!$E$64*DATI!$E$63)*1000*C1700*sezione!$AD$5</f>
        <v>-12237730.486505697</v>
      </c>
      <c r="Q1700" s="545">
        <f>'Foglio deposito bis'!$F$68*IF(ABS(K1700)&lt;'Sollecitazioni nel paramento'!$G$58,ABS(K1700)*'Sollecitazioni nel paramento'!$G$54,'Sollecitazioni nel paramento'!$G$53)*IF(K1700&lt;0,-1,1)</f>
        <v>0</v>
      </c>
      <c r="R1700" s="545">
        <f>'Foglio deposito bis'!$F$69*IF(ABS(L1700)&lt;'Sollecitazioni nel paramento'!$G$58,ABS(L1700)*'Sollecitazioni nel paramento'!$G$54,'Sollecitazioni nel paramento'!$G$53)*IF(L1700&lt;0,-1,1)</f>
        <v>-153664.85805602249</v>
      </c>
      <c r="S1700" s="545">
        <f>'Foglio deposito bis'!$F$70*IF(ABS(M1700)&lt;'Sollecitazioni nel paramento'!$G$58,ABS(M1700)*'Sollecitazioni nel paramento'!$G$54,'Sollecitazioni nel paramento'!$G$53)*IF(M1700&lt;0,-1,1)</f>
        <v>0</v>
      </c>
      <c r="T1700" s="545">
        <f>'Foglio deposito bis'!$F$71*IF(ABS(N1700)&lt;'Sollecitazioni nel paramento'!$G$58,ABS(N1700)*'Sollecitazioni nel paramento'!$G$54,'Sollecitazioni nel paramento'!$G$53)*IF(N1700&lt;0,-1,1)</f>
        <v>-291037.47471430647</v>
      </c>
      <c r="U1700" s="545">
        <f>'Foglio deposito bis'!$F$72*IF(ABS(O1700)&lt;'Sollecitazioni nel paramento'!$G$58,ABS(O1700)*'Sollecitazioni nel paramento'!$G$54,'Sollecitazioni nel paramento'!$G$53)*IF(O1700&lt;0,-1,1)</f>
        <v>491727.54577927204</v>
      </c>
      <c r="V1700" s="472">
        <f t="shared" si="122"/>
        <v>-12190705.273496753</v>
      </c>
      <c r="W1700" s="551"/>
      <c r="X1700" s="551"/>
    </row>
    <row r="1701" spans="1:24" x14ac:dyDescent="0.25">
      <c r="A1701" s="545">
        <f t="shared" si="121"/>
        <v>12512538.612631323</v>
      </c>
      <c r="B1701" s="3">
        <f t="shared" si="119"/>
        <v>39.899999999999942</v>
      </c>
      <c r="C1701" s="545">
        <f>'Foglio deposito bis'!$E$159/sezione!$B$247*B1701</f>
        <v>329.48329528715357</v>
      </c>
      <c r="D1701" s="603">
        <f>-'Sollecitazioni nel paramento'!$G$47*'Sollecitazioni nel paramento'!$G$41*IF(DATI!$G$211="dx",DATI!$E$61,DATI!$E$64*DATI!$E$63)*1000*C1701^2*sezione!$AD$5*(1-sezione!$AD$6)</f>
        <v>-2415296359.5855031</v>
      </c>
      <c r="E1701" s="545">
        <f>-'Foglio deposito bis'!$F$68*(C1701-sezione!$AL$33)*IF(ABS(K1701)&lt;'Sollecitazioni nel paramento'!$G$58,ABS(K1701)*'Sollecitazioni nel paramento'!$G$54,'Sollecitazioni nel paramento'!$G$53)</f>
        <v>0</v>
      </c>
      <c r="F1701" s="545">
        <f>-'Foglio deposito bis'!$F$69*(C1701-sezione!$AM$33)*IF(ABS(L1701)&lt;'Sollecitazioni nel paramento'!$G$58,ABS(L1701)*'Sollecitazioni nel paramento'!$G$54,'Sollecitazioni nel paramento'!$G$53)</f>
        <v>-41410112.318769649</v>
      </c>
      <c r="G1701" s="545">
        <f>-'Foglio deposito bis'!$F$70*(C1701-sezione!$AN$33)*IF(ABS(M1701)&lt;'Sollecitazioni nel paramento'!$G$58,ABS(M1701)*'Sollecitazioni nel paramento'!$G$54,'Sollecitazioni nel paramento'!$G$53)</f>
        <v>0</v>
      </c>
      <c r="H1701" s="545">
        <f>-'Foglio deposito bis'!$F$71*(C1701-sezione!$AO$33)*IF(ABS(N1701)&lt;'Sollecitazioni nel paramento'!$G$58,ABS(N1701)*'Sollecitazioni nel paramento'!$G$54,'Sollecitazioni nel paramento'!$G$53)</f>
        <v>-50552833.247814342</v>
      </c>
      <c r="I1701" s="472">
        <f>-'Foglio deposito bis'!$F$72*(C1701-sezione!$AP$33)*IF(ABS(O1701)&lt;'Sollecitazioni nel paramento'!$G$58,ABS(O1701)*'Sollecitazioni nel paramento'!$G$54,'Sollecitazioni nel paramento'!$G$53)</f>
        <v>118389655.40371287</v>
      </c>
      <c r="J1701" s="472">
        <f t="shared" si="120"/>
        <v>-2388869649.748374</v>
      </c>
      <c r="K1701" s="550">
        <f>'Sollecitazioni nel paramento'!$G$60*(sezione!$AL$33-C1701)/C1701</f>
        <v>-3.0750922671876693E-3</v>
      </c>
      <c r="L1701" s="550">
        <f>'Sollecitazioni nel paramento'!$G$60*(sezione!$AM$33-C1701)/C1701</f>
        <v>-2.8626384007815046E-3</v>
      </c>
      <c r="M1701" s="551">
        <f>'Sollecitazioni nel paramento'!$G$60*(sezione!$AN$33-C1701)/C1701</f>
        <v>-2.6501845343753394E-3</v>
      </c>
      <c r="N1701" s="551">
        <f>'Sollecitazioni nel paramento'!$G$60*(sezione!$AO$33-C1701)/C1701</f>
        <v>-1.8003690687506786E-3</v>
      </c>
      <c r="O1701" s="551">
        <f>'Sollecitazioni nel paramento'!$G$60*(sezione!$AP$33-C1701)/C1701</f>
        <v>2.5575484075385517E-3</v>
      </c>
      <c r="P1701" s="545">
        <f>-'Sollecitazioni nel paramento'!$G$47*'Sollecitazioni nel paramento'!$G$41*IF(DATI!$G$211="dx",DATI!$E$61,DATI!$E$64*DATI!$E$63)*1000*C1701*sezione!$AD$5</f>
        <v>-12552325.100554686</v>
      </c>
      <c r="Q1701" s="545">
        <f>'Foglio deposito bis'!$F$68*IF(ABS(K1701)&lt;'Sollecitazioni nel paramento'!$G$58,ABS(K1701)*'Sollecitazioni nel paramento'!$G$54,'Sollecitazioni nel paramento'!$G$53)*IF(K1701&lt;0,-1,1)</f>
        <v>0</v>
      </c>
      <c r="R1701" s="545">
        <f>'Foglio deposito bis'!$F$69*IF(ABS(L1701)&lt;'Sollecitazioni nel paramento'!$G$58,ABS(L1701)*'Sollecitazioni nel paramento'!$G$54,'Sollecitazioni nel paramento'!$G$53)*IF(L1701&lt;0,-1,1)</f>
        <v>-153664.85805602249</v>
      </c>
      <c r="S1701" s="545">
        <f>'Foglio deposito bis'!$F$70*IF(ABS(M1701)&lt;'Sollecitazioni nel paramento'!$G$58,ABS(M1701)*'Sollecitazioni nel paramento'!$G$54,'Sollecitazioni nel paramento'!$G$53)*IF(M1701&lt;0,-1,1)</f>
        <v>0</v>
      </c>
      <c r="T1701" s="545">
        <f>'Foglio deposito bis'!$F$71*IF(ABS(N1701)&lt;'Sollecitazioni nel paramento'!$G$58,ABS(N1701)*'Sollecitazioni nel paramento'!$G$54,'Sollecitazioni nel paramento'!$G$53)*IF(N1701&lt;0,-1,1)</f>
        <v>-298276.19979988743</v>
      </c>
      <c r="U1701" s="545">
        <f>'Foglio deposito bis'!$F$72*IF(ABS(O1701)&lt;'Sollecitazioni nel paramento'!$G$58,ABS(O1701)*'Sollecitazioni nel paramento'!$G$54,'Sollecitazioni nel paramento'!$G$53)*IF(O1701&lt;0,-1,1)</f>
        <v>491727.54577927204</v>
      </c>
      <c r="V1701" s="472">
        <f t="shared" si="122"/>
        <v>-12512538.612631323</v>
      </c>
      <c r="W1701" s="551"/>
      <c r="X1701" s="551"/>
    </row>
    <row r="1702" spans="1:24" x14ac:dyDescent="0.25">
      <c r="A1702" s="545">
        <f t="shared" si="121"/>
        <v>12834017.979879068</v>
      </c>
      <c r="B1702" s="3">
        <f t="shared" si="119"/>
        <v>40.899999999999942</v>
      </c>
      <c r="C1702" s="545">
        <f>'Foglio deposito bis'!$E$159/sezione!$B$247*B1702</f>
        <v>337.74102198607972</v>
      </c>
      <c r="D1702" s="603">
        <f>-'Sollecitazioni nel paramento'!$G$47*'Sollecitazioni nel paramento'!$G$41*IF(DATI!$G$211="dx",DATI!$E$61,DATI!$E$64*DATI!$E$63)*1000*C1702^2*sezione!$AD$5*(1-sezione!$AD$6)</f>
        <v>-2537880982.7062812</v>
      </c>
      <c r="E1702" s="545">
        <f>-'Foglio deposito bis'!$F$68*(C1702-sezione!$AL$33)*IF(ABS(K1702)&lt;'Sollecitazioni nel paramento'!$G$58,ABS(K1702)*'Sollecitazioni nel paramento'!$G$54,'Sollecitazioni nel paramento'!$G$53)</f>
        <v>0</v>
      </c>
      <c r="F1702" s="545">
        <f>-'Foglio deposito bis'!$F$69*(C1702-sezione!$AM$33)*IF(ABS(L1702)&lt;'Sollecitazioni nel paramento'!$G$58,ABS(L1702)*'Sollecitazioni nel paramento'!$G$54,'Sollecitazioni nel paramento'!$G$53)</f>
        <v>-42679034.719825566</v>
      </c>
      <c r="G1702" s="545">
        <f>-'Foglio deposito bis'!$F$70*(C1702-sezione!$AN$33)*IF(ABS(M1702)&lt;'Sollecitazioni nel paramento'!$G$58,ABS(M1702)*'Sollecitazioni nel paramento'!$G$54,'Sollecitazioni nel paramento'!$G$53)</f>
        <v>0</v>
      </c>
      <c r="H1702" s="545">
        <f>-'Foglio deposito bis'!$F$71*(C1702-sezione!$AO$33)*IF(ABS(N1702)&lt;'Sollecitazioni nel paramento'!$G$58,ABS(N1702)*'Sollecitazioni nel paramento'!$G$54,'Sollecitazioni nel paramento'!$G$53)</f>
        <v>-54239619.656224839</v>
      </c>
      <c r="I1702" s="472">
        <f>-'Foglio deposito bis'!$F$72*(C1702-sezione!$AP$33)*IF(ABS(O1702)&lt;'Sollecitazioni nel paramento'!$G$58,ABS(O1702)*'Sollecitazioni nel paramento'!$G$54,'Sollecitazioni nel paramento'!$G$53)</f>
        <v>114329103.72033393</v>
      </c>
      <c r="J1702" s="472">
        <f t="shared" si="120"/>
        <v>-2520470533.3619976</v>
      </c>
      <c r="K1702" s="550">
        <f>'Sollecitazioni nel paramento'!$G$60*(sezione!$AL$33-C1702)/C1702</f>
        <v>-3.0854812093102208E-3</v>
      </c>
      <c r="L1702" s="550">
        <f>'Sollecitazioni nel paramento'!$G$60*(sezione!$AM$33-C1702)/C1702</f>
        <v>-2.8782218139653307E-3</v>
      </c>
      <c r="M1702" s="551">
        <f>'Sollecitazioni nel paramento'!$G$60*(sezione!$AN$33-C1702)/C1702</f>
        <v>-2.6709624186204411E-3</v>
      </c>
      <c r="N1702" s="551">
        <f>'Sollecitazioni nel paramento'!$G$60*(sezione!$AO$33-C1702)/C1702</f>
        <v>-1.8419248372408819E-3</v>
      </c>
      <c r="O1702" s="551">
        <f>'Sollecitazioni nel paramento'!$G$60*(sezione!$AP$33-C1702)/C1702</f>
        <v>2.4094420895058241E-3</v>
      </c>
      <c r="P1702" s="545">
        <f>-'Sollecitazioni nel paramento'!$G$47*'Sollecitazioni nel paramento'!$G$41*IF(DATI!$G$211="dx",DATI!$E$61,DATI!$E$64*DATI!$E$63)*1000*C1702*sezione!$AD$5</f>
        <v>-12866919.714603676</v>
      </c>
      <c r="Q1702" s="545">
        <f>'Foglio deposito bis'!$F$68*IF(ABS(K1702)&lt;'Sollecitazioni nel paramento'!$G$58,ABS(K1702)*'Sollecitazioni nel paramento'!$G$54,'Sollecitazioni nel paramento'!$G$53)*IF(K1702&lt;0,-1,1)</f>
        <v>0</v>
      </c>
      <c r="R1702" s="545">
        <f>'Foglio deposito bis'!$F$69*IF(ABS(L1702)&lt;'Sollecitazioni nel paramento'!$G$58,ABS(L1702)*'Sollecitazioni nel paramento'!$G$54,'Sollecitazioni nel paramento'!$G$53)*IF(L1702&lt;0,-1,1)</f>
        <v>-153664.85805602249</v>
      </c>
      <c r="S1702" s="545">
        <f>'Foglio deposito bis'!$F$70*IF(ABS(M1702)&lt;'Sollecitazioni nel paramento'!$G$58,ABS(M1702)*'Sollecitazioni nel paramento'!$G$54,'Sollecitazioni nel paramento'!$G$53)*IF(M1702&lt;0,-1,1)</f>
        <v>0</v>
      </c>
      <c r="T1702" s="545">
        <f>'Foglio deposito bis'!$F$71*IF(ABS(N1702)&lt;'Sollecitazioni nel paramento'!$G$58,ABS(N1702)*'Sollecitazioni nel paramento'!$G$54,'Sollecitazioni nel paramento'!$G$53)*IF(N1702&lt;0,-1,1)</f>
        <v>-305160.95299864298</v>
      </c>
      <c r="U1702" s="545">
        <f>'Foglio deposito bis'!$F$72*IF(ABS(O1702)&lt;'Sollecitazioni nel paramento'!$G$58,ABS(O1702)*'Sollecitazioni nel paramento'!$G$54,'Sollecitazioni nel paramento'!$G$53)*IF(O1702&lt;0,-1,1)</f>
        <v>491727.54577927204</v>
      </c>
      <c r="V1702" s="472">
        <f t="shared" si="122"/>
        <v>-12834017.979879068</v>
      </c>
      <c r="W1702" s="551"/>
      <c r="X1702" s="551"/>
    </row>
    <row r="1703" spans="1:24" x14ac:dyDescent="0.25">
      <c r="A1703" s="545">
        <f t="shared" si="121"/>
        <v>13158157.270228151</v>
      </c>
      <c r="B1703" s="3">
        <f t="shared" si="119"/>
        <v>41.899999999999942</v>
      </c>
      <c r="C1703" s="545">
        <f>'Foglio deposito bis'!$E$159/sezione!$B$247*B1703</f>
        <v>345.99874868500592</v>
      </c>
      <c r="D1703" s="603">
        <f>-'Sollecitazioni nel paramento'!$G$47*'Sollecitazioni nel paramento'!$G$41*IF(DATI!$G$211="dx",DATI!$E$61,DATI!$E$64*DATI!$E$63)*1000*C1703^2*sezione!$AD$5*(1-sezione!$AD$6)</f>
        <v>-2663499878.6765828</v>
      </c>
      <c r="E1703" s="545">
        <f>-'Foglio deposito bis'!$F$68*(C1703-sezione!$AL$33)*IF(ABS(K1703)&lt;'Sollecitazioni nel paramento'!$G$58,ABS(K1703)*'Sollecitazioni nel paramento'!$G$54,'Sollecitazioni nel paramento'!$G$53)</f>
        <v>0</v>
      </c>
      <c r="F1703" s="545">
        <f>-'Foglio deposito bis'!$F$69*(C1703-sezione!$AM$33)*IF(ABS(L1703)&lt;'Sollecitazioni nel paramento'!$G$58,ABS(L1703)*'Sollecitazioni nel paramento'!$G$54,'Sollecitazioni nel paramento'!$G$53)</f>
        <v>-43947957.120881483</v>
      </c>
      <c r="G1703" s="545">
        <f>-'Foglio deposito bis'!$F$70*(C1703-sezione!$AN$33)*IF(ABS(M1703)&lt;'Sollecitazioni nel paramento'!$G$58,ABS(M1703)*'Sollecitazioni nel paramento'!$G$54,'Sollecitazioni nel paramento'!$G$53)</f>
        <v>0</v>
      </c>
      <c r="H1703" s="545">
        <f>-'Foglio deposito bis'!$F$71*(C1703-sezione!$AO$33)*IF(ABS(N1703)&lt;'Sollecitazioni nel paramento'!$G$58,ABS(N1703)*'Sollecitazioni nel paramento'!$G$54,'Sollecitazioni nel paramento'!$G$53)</f>
        <v>-58534853.253691882</v>
      </c>
      <c r="I1703" s="472">
        <f>-'Foglio deposito bis'!$F$72*(C1703-sezione!$AP$33)*IF(ABS(O1703)&lt;'Sollecitazioni nel paramento'!$G$58,ABS(O1703)*'Sollecitazioni nel paramento'!$G$54,'Sollecitazioni nel paramento'!$G$53)</f>
        <v>110268552.03695498</v>
      </c>
      <c r="J1703" s="472">
        <f t="shared" si="120"/>
        <v>-2655714137.0142012</v>
      </c>
      <c r="K1703" s="550">
        <f>'Sollecitazioni nel paramento'!$G$60*(sezione!$AL$33-C1703)/C1703</f>
        <v>-3.0953742592073515E-3</v>
      </c>
      <c r="L1703" s="550">
        <f>'Sollecitazioni nel paramento'!$G$60*(sezione!$AM$33-C1703)/C1703</f>
        <v>-2.8930613888110269E-3</v>
      </c>
      <c r="M1703" s="551">
        <f>'Sollecitazioni nel paramento'!$G$60*(sezione!$AN$33-C1703)/C1703</f>
        <v>-2.6907485184147024E-3</v>
      </c>
      <c r="N1703" s="551">
        <f>'Sollecitazioni nel paramento'!$G$60*(sezione!$AO$33-C1703)/C1703</f>
        <v>-1.8814970368294054E-3</v>
      </c>
      <c r="O1703" s="551">
        <f>'Sollecitazioni nel paramento'!$G$60*(sezione!$AP$33-C1703)/C1703</f>
        <v>2.2684052854603383E-3</v>
      </c>
      <c r="P1703" s="545">
        <f>-'Sollecitazioni nel paramento'!$G$47*'Sollecitazioni nel paramento'!$G$41*IF(DATI!$G$211="dx",DATI!$E$61,DATI!$E$64*DATI!$E$63)*1000*C1703*sezione!$AD$5</f>
        <v>-13181514.328652669</v>
      </c>
      <c r="Q1703" s="545">
        <f>'Foglio deposito bis'!$F$68*IF(ABS(K1703)&lt;'Sollecitazioni nel paramento'!$G$58,ABS(K1703)*'Sollecitazioni nel paramento'!$G$54,'Sollecitazioni nel paramento'!$G$53)*IF(K1703&lt;0,-1,1)</f>
        <v>0</v>
      </c>
      <c r="R1703" s="545">
        <f>'Foglio deposito bis'!$F$69*IF(ABS(L1703)&lt;'Sollecitazioni nel paramento'!$G$58,ABS(L1703)*'Sollecitazioni nel paramento'!$G$54,'Sollecitazioni nel paramento'!$G$53)*IF(L1703&lt;0,-1,1)</f>
        <v>-153664.85805602249</v>
      </c>
      <c r="S1703" s="545">
        <f>'Foglio deposito bis'!$F$70*IF(ABS(M1703)&lt;'Sollecitazioni nel paramento'!$G$58,ABS(M1703)*'Sollecitazioni nel paramento'!$G$54,'Sollecitazioni nel paramento'!$G$53)*IF(M1703&lt;0,-1,1)</f>
        <v>0</v>
      </c>
      <c r="T1703" s="545">
        <f>'Foglio deposito bis'!$F$71*IF(ABS(N1703)&lt;'Sollecitazioni nel paramento'!$G$58,ABS(N1703)*'Sollecitazioni nel paramento'!$G$54,'Sollecitazioni nel paramento'!$G$53)*IF(N1703&lt;0,-1,1)</f>
        <v>-314705.62929873407</v>
      </c>
      <c r="U1703" s="545">
        <f>'Foglio deposito bis'!$F$72*IF(ABS(O1703)&lt;'Sollecitazioni nel paramento'!$G$58,ABS(O1703)*'Sollecitazioni nel paramento'!$G$54,'Sollecitazioni nel paramento'!$G$53)*IF(O1703&lt;0,-1,1)</f>
        <v>491727.54577927204</v>
      </c>
      <c r="V1703" s="472">
        <f t="shared" si="122"/>
        <v>-13158157.270228151</v>
      </c>
      <c r="W1703" s="551"/>
      <c r="X1703" s="551"/>
    </row>
    <row r="1704" spans="1:24" x14ac:dyDescent="0.25">
      <c r="A1704" s="545">
        <f t="shared" si="121"/>
        <v>13472751.884277139</v>
      </c>
      <c r="B1704" s="3">
        <f t="shared" si="119"/>
        <v>42.899999999999942</v>
      </c>
      <c r="C1704" s="545">
        <f>'Foglio deposito bis'!$E$159/sezione!$B$247*B1704</f>
        <v>354.25647538393207</v>
      </c>
      <c r="D1704" s="603">
        <f>-'Sollecitazioni nel paramento'!$G$47*'Sollecitazioni nel paramento'!$G$41*IF(DATI!$G$211="dx",DATI!$E$61,DATI!$E$64*DATI!$E$63)*1000*C1704^2*sezione!$AD$5*(1-sezione!$AD$6)</f>
        <v>-2792153047.4964089</v>
      </c>
      <c r="E1704" s="545">
        <f>-'Foglio deposito bis'!$F$68*(C1704-sezione!$AL$33)*IF(ABS(K1704)&lt;'Sollecitazioni nel paramento'!$G$58,ABS(K1704)*'Sollecitazioni nel paramento'!$G$54,'Sollecitazioni nel paramento'!$G$53)</f>
        <v>0</v>
      </c>
      <c r="F1704" s="545">
        <f>-'Foglio deposito bis'!$F$69*(C1704-sezione!$AM$33)*IF(ABS(L1704)&lt;'Sollecitazioni nel paramento'!$G$58,ABS(L1704)*'Sollecitazioni nel paramento'!$G$54,'Sollecitazioni nel paramento'!$G$53)</f>
        <v>-45216879.5219374</v>
      </c>
      <c r="G1704" s="545">
        <f>-'Foglio deposito bis'!$F$70*(C1704-sezione!$AN$33)*IF(ABS(M1704)&lt;'Sollecitazioni nel paramento'!$G$58,ABS(M1704)*'Sollecitazioni nel paramento'!$G$54,'Sollecitazioni nel paramento'!$G$53)</f>
        <v>0</v>
      </c>
      <c r="H1704" s="545">
        <f>-'Foglio deposito bis'!$F$71*(C1704-sezione!$AO$33)*IF(ABS(N1704)&lt;'Sollecitazioni nel paramento'!$G$58,ABS(N1704)*'Sollecitazioni nel paramento'!$G$54,'Sollecitazioni nel paramento'!$G$53)</f>
        <v>-61133606.331054389</v>
      </c>
      <c r="I1704" s="472">
        <f>-'Foglio deposito bis'!$F$72*(C1704-sezione!$AP$33)*IF(ABS(O1704)&lt;'Sollecitazioni nel paramento'!$G$58,ABS(O1704)*'Sollecitazioni nel paramento'!$G$54,'Sollecitazioni nel paramento'!$G$53)</f>
        <v>106208000.35357606</v>
      </c>
      <c r="J1704" s="472">
        <f t="shared" si="120"/>
        <v>-2792295532.9958243</v>
      </c>
      <c r="K1704" s="550">
        <f>'Sollecitazioni nel paramento'!$G$60*(sezione!$AL$33-C1704)/C1704</f>
        <v>-3.1048060946570638E-3</v>
      </c>
      <c r="L1704" s="550">
        <f>'Sollecitazioni nel paramento'!$G$60*(sezione!$AM$33-C1704)/C1704</f>
        <v>-2.9072091419855952E-3</v>
      </c>
      <c r="M1704" s="551">
        <f>'Sollecitazioni nel paramento'!$G$60*(sezione!$AN$33-C1704)/C1704</f>
        <v>-2.709612189314127E-3</v>
      </c>
      <c r="N1704" s="551">
        <f>'Sollecitazioni nel paramento'!$G$60*(sezione!$AO$33-C1704)/C1704</f>
        <v>-1.9192243786282537E-3</v>
      </c>
      <c r="O1704" s="551">
        <f>'Sollecitazioni nel paramento'!$G$60*(sezione!$AP$33-C1704)/C1704</f>
        <v>2.1339436237945964E-3</v>
      </c>
      <c r="P1704" s="545">
        <f>-'Sollecitazioni nel paramento'!$G$47*'Sollecitazioni nel paramento'!$G$41*IF(DATI!$G$211="dx",DATI!$E$61,DATI!$E$64*DATI!$E$63)*1000*C1704*sezione!$AD$5</f>
        <v>-13496108.942701656</v>
      </c>
      <c r="Q1704" s="545">
        <f>'Foglio deposito bis'!$F$68*IF(ABS(K1704)&lt;'Sollecitazioni nel paramento'!$G$58,ABS(K1704)*'Sollecitazioni nel paramento'!$G$54,'Sollecitazioni nel paramento'!$G$53)*IF(K1704&lt;0,-1,1)</f>
        <v>0</v>
      </c>
      <c r="R1704" s="545">
        <f>'Foglio deposito bis'!$F$69*IF(ABS(L1704)&lt;'Sollecitazioni nel paramento'!$G$58,ABS(L1704)*'Sollecitazioni nel paramento'!$G$54,'Sollecitazioni nel paramento'!$G$53)*IF(L1704&lt;0,-1,1)</f>
        <v>-153664.85805602249</v>
      </c>
      <c r="S1704" s="545">
        <f>'Foglio deposito bis'!$F$70*IF(ABS(M1704)&lt;'Sollecitazioni nel paramento'!$G$58,ABS(M1704)*'Sollecitazioni nel paramento'!$G$54,'Sollecitazioni nel paramento'!$G$53)*IF(M1704&lt;0,-1,1)</f>
        <v>0</v>
      </c>
      <c r="T1704" s="545">
        <f>'Foglio deposito bis'!$F$71*IF(ABS(N1704)&lt;'Sollecitazioni nel paramento'!$G$58,ABS(N1704)*'Sollecitazioni nel paramento'!$G$54,'Sollecitazioni nel paramento'!$G$53)*IF(N1704&lt;0,-1,1)</f>
        <v>-314705.62929873407</v>
      </c>
      <c r="U1704" s="545">
        <f>'Foglio deposito bis'!$F$72*IF(ABS(O1704)&lt;'Sollecitazioni nel paramento'!$G$58,ABS(O1704)*'Sollecitazioni nel paramento'!$G$54,'Sollecitazioni nel paramento'!$G$53)*IF(O1704&lt;0,-1,1)</f>
        <v>491727.54577927204</v>
      </c>
      <c r="V1704" s="472">
        <f t="shared" si="122"/>
        <v>-13472751.884277139</v>
      </c>
      <c r="W1704" s="551"/>
      <c r="X1704" s="551"/>
    </row>
    <row r="1705" spans="1:24" x14ac:dyDescent="0.25">
      <c r="A1705" s="545">
        <f t="shared" si="121"/>
        <v>13787346.49832613</v>
      </c>
      <c r="B1705" s="3">
        <f t="shared" si="119"/>
        <v>43.899999999999942</v>
      </c>
      <c r="C1705" s="545">
        <f>'Foglio deposito bis'!$E$159/sezione!$B$247*B1705</f>
        <v>362.51420208285822</v>
      </c>
      <c r="D1705" s="603">
        <f>-'Sollecitazioni nel paramento'!$G$47*'Sollecitazioni nel paramento'!$G$41*IF(DATI!$G$211="dx",DATI!$E$61,DATI!$E$64*DATI!$E$63)*1000*C1705^2*sezione!$AD$5*(1-sezione!$AD$6)</f>
        <v>-2923840489.1657586</v>
      </c>
      <c r="E1705" s="545">
        <f>-'Foglio deposito bis'!$F$68*(C1705-sezione!$AL$33)*IF(ABS(K1705)&lt;'Sollecitazioni nel paramento'!$G$58,ABS(K1705)*'Sollecitazioni nel paramento'!$G$54,'Sollecitazioni nel paramento'!$G$53)</f>
        <v>0</v>
      </c>
      <c r="F1705" s="545">
        <f>-'Foglio deposito bis'!$F$69*(C1705-sezione!$AM$33)*IF(ABS(L1705)&lt;'Sollecitazioni nel paramento'!$G$58,ABS(L1705)*'Sollecitazioni nel paramento'!$G$54,'Sollecitazioni nel paramento'!$G$53)</f>
        <v>-46485801.92299331</v>
      </c>
      <c r="G1705" s="545">
        <f>-'Foglio deposito bis'!$F$70*(C1705-sezione!$AN$33)*IF(ABS(M1705)&lt;'Sollecitazioni nel paramento'!$G$58,ABS(M1705)*'Sollecitazioni nel paramento'!$G$54,'Sollecitazioni nel paramento'!$G$53)</f>
        <v>0</v>
      </c>
      <c r="H1705" s="545">
        <f>-'Foglio deposito bis'!$F$71*(C1705-sezione!$AO$33)*IF(ABS(N1705)&lt;'Sollecitazioni nel paramento'!$G$58,ABS(N1705)*'Sollecitazioni nel paramento'!$G$54,'Sollecitazioni nel paramento'!$G$53)</f>
        <v>-63732359.408416897</v>
      </c>
      <c r="I1705" s="472">
        <f>-'Foglio deposito bis'!$F$72*(C1705-sezione!$AP$33)*IF(ABS(O1705)&lt;'Sollecitazioni nel paramento'!$G$58,ABS(O1705)*'Sollecitazioni nel paramento'!$G$54,'Sollecitazioni nel paramento'!$G$53)</f>
        <v>102147448.67019714</v>
      </c>
      <c r="J1705" s="472">
        <f t="shared" si="120"/>
        <v>-2931911201.8269715</v>
      </c>
      <c r="K1705" s="550">
        <f>'Sollecitazioni nel paramento'!$G$60*(sezione!$AL$33-C1705)/C1705</f>
        <v>-3.1138082337309344E-3</v>
      </c>
      <c r="L1705" s="550">
        <f>'Sollecitazioni nel paramento'!$G$60*(sezione!$AM$33-C1705)/C1705</f>
        <v>-2.9207123505964015E-3</v>
      </c>
      <c r="M1705" s="551">
        <f>'Sollecitazioni nel paramento'!$G$60*(sezione!$AN$33-C1705)/C1705</f>
        <v>-2.7276164674618687E-3</v>
      </c>
      <c r="N1705" s="551">
        <f>'Sollecitazioni nel paramento'!$G$60*(sezione!$AO$33-C1705)/C1705</f>
        <v>-1.9552329349237373E-3</v>
      </c>
      <c r="O1705" s="551">
        <f>'Sollecitazioni nel paramento'!$G$60*(sezione!$AP$33-C1705)/C1705</f>
        <v>2.0056077781500726E-3</v>
      </c>
      <c r="P1705" s="545">
        <f>-'Sollecitazioni nel paramento'!$G$47*'Sollecitazioni nel paramento'!$G$41*IF(DATI!$G$211="dx",DATI!$E$61,DATI!$E$64*DATI!$E$63)*1000*C1705*sezione!$AD$5</f>
        <v>-13810703.556750648</v>
      </c>
      <c r="Q1705" s="545">
        <f>'Foglio deposito bis'!$F$68*IF(ABS(K1705)&lt;'Sollecitazioni nel paramento'!$G$58,ABS(K1705)*'Sollecitazioni nel paramento'!$G$54,'Sollecitazioni nel paramento'!$G$53)*IF(K1705&lt;0,-1,1)</f>
        <v>0</v>
      </c>
      <c r="R1705" s="545">
        <f>'Foglio deposito bis'!$F$69*IF(ABS(L1705)&lt;'Sollecitazioni nel paramento'!$G$58,ABS(L1705)*'Sollecitazioni nel paramento'!$G$54,'Sollecitazioni nel paramento'!$G$53)*IF(L1705&lt;0,-1,1)</f>
        <v>-153664.85805602249</v>
      </c>
      <c r="S1705" s="545">
        <f>'Foglio deposito bis'!$F$70*IF(ABS(M1705)&lt;'Sollecitazioni nel paramento'!$G$58,ABS(M1705)*'Sollecitazioni nel paramento'!$G$54,'Sollecitazioni nel paramento'!$G$53)*IF(M1705&lt;0,-1,1)</f>
        <v>0</v>
      </c>
      <c r="T1705" s="545">
        <f>'Foglio deposito bis'!$F$71*IF(ABS(N1705)&lt;'Sollecitazioni nel paramento'!$G$58,ABS(N1705)*'Sollecitazioni nel paramento'!$G$54,'Sollecitazioni nel paramento'!$G$53)*IF(N1705&lt;0,-1,1)</f>
        <v>-314705.62929873407</v>
      </c>
      <c r="U1705" s="545">
        <f>'Foglio deposito bis'!$F$72*IF(ABS(O1705)&lt;'Sollecitazioni nel paramento'!$G$58,ABS(O1705)*'Sollecitazioni nel paramento'!$G$54,'Sollecitazioni nel paramento'!$G$53)*IF(O1705&lt;0,-1,1)</f>
        <v>491727.54577927204</v>
      </c>
      <c r="V1705" s="472">
        <f t="shared" si="122"/>
        <v>-13787346.49832613</v>
      </c>
      <c r="W1705" s="551"/>
      <c r="X1705" s="551"/>
    </row>
    <row r="1706" spans="1:24" x14ac:dyDescent="0.25">
      <c r="A1706" s="545">
        <f t="shared" si="121"/>
        <v>14101941.112375122</v>
      </c>
      <c r="B1706" s="3">
        <f t="shared" si="119"/>
        <v>44.899999999999942</v>
      </c>
      <c r="C1706" s="545">
        <f>'Foglio deposito bis'!$E$159/sezione!$B$247*B1706</f>
        <v>370.77192878178442</v>
      </c>
      <c r="D1706" s="603">
        <f>-'Sollecitazioni nel paramento'!$G$47*'Sollecitazioni nel paramento'!$G$41*IF(DATI!$G$211="dx",DATI!$E$61,DATI!$E$64*DATI!$E$63)*1000*C1706^2*sezione!$AD$5*(1-sezione!$AD$6)</f>
        <v>-3058562203.6846333</v>
      </c>
      <c r="E1706" s="545">
        <f>-'Foglio deposito bis'!$F$68*(C1706-sezione!$AL$33)*IF(ABS(K1706)&lt;'Sollecitazioni nel paramento'!$G$58,ABS(K1706)*'Sollecitazioni nel paramento'!$G$54,'Sollecitazioni nel paramento'!$G$53)</f>
        <v>0</v>
      </c>
      <c r="F1706" s="545">
        <f>-'Foglio deposito bis'!$F$69*(C1706-sezione!$AM$33)*IF(ABS(L1706)&lt;'Sollecitazioni nel paramento'!$G$58,ABS(L1706)*'Sollecitazioni nel paramento'!$G$54,'Sollecitazioni nel paramento'!$G$53)</f>
        <v>-47754724.324049234</v>
      </c>
      <c r="G1706" s="545">
        <f>-'Foglio deposito bis'!$F$70*(C1706-sezione!$AN$33)*IF(ABS(M1706)&lt;'Sollecitazioni nel paramento'!$G$58,ABS(M1706)*'Sollecitazioni nel paramento'!$G$54,'Sollecitazioni nel paramento'!$G$53)</f>
        <v>0</v>
      </c>
      <c r="H1706" s="545">
        <f>-'Foglio deposito bis'!$F$71*(C1706-sezione!$AO$33)*IF(ABS(N1706)&lt;'Sollecitazioni nel paramento'!$G$58,ABS(N1706)*'Sollecitazioni nel paramento'!$G$54,'Sollecitazioni nel paramento'!$G$53)</f>
        <v>-66331112.485779427</v>
      </c>
      <c r="I1706" s="472">
        <f>-'Foglio deposito bis'!$F$72*(C1706-sezione!$AP$33)*IF(ABS(O1706)&lt;'Sollecitazioni nel paramento'!$G$58,ABS(O1706)*'Sollecitazioni nel paramento'!$G$54,'Sollecitazioni nel paramento'!$G$53)</f>
        <v>98086896.986818194</v>
      </c>
      <c r="J1706" s="472">
        <f t="shared" si="120"/>
        <v>-3074561143.5076432</v>
      </c>
      <c r="K1706" s="550">
        <f>'Sollecitazioni nel paramento'!$G$60*(sezione!$AL$33-C1706)/C1706</f>
        <v>-3.1224093866545218E-3</v>
      </c>
      <c r="L1706" s="550">
        <f>'Sollecitazioni nel paramento'!$G$60*(sezione!$AM$33-C1706)/C1706</f>
        <v>-2.9336140799817822E-3</v>
      </c>
      <c r="M1706" s="551">
        <f>'Sollecitazioni nel paramento'!$G$60*(sezione!$AN$33-C1706)/C1706</f>
        <v>-2.7448187733090435E-3</v>
      </c>
      <c r="N1706" s="551">
        <f>'Sollecitazioni nel paramento'!$G$60*(sezione!$AO$33-C1706)/C1706</f>
        <v>-1.9896375466180866E-3</v>
      </c>
      <c r="O1706" s="551">
        <f>'Sollecitazioni nel paramento'!$G$60*(sezione!$AP$33-C1706)/C1706</f>
        <v>1.8829884512424977E-3</v>
      </c>
      <c r="P1706" s="545">
        <f>-'Sollecitazioni nel paramento'!$G$47*'Sollecitazioni nel paramento'!$G$41*IF(DATI!$G$211="dx",DATI!$E$61,DATI!$E$64*DATI!$E$63)*1000*C1706*sezione!$AD$5</f>
        <v>-14125298.170799639</v>
      </c>
      <c r="Q1706" s="545">
        <f>'Foglio deposito bis'!$F$68*IF(ABS(K1706)&lt;'Sollecitazioni nel paramento'!$G$58,ABS(K1706)*'Sollecitazioni nel paramento'!$G$54,'Sollecitazioni nel paramento'!$G$53)*IF(K1706&lt;0,-1,1)</f>
        <v>0</v>
      </c>
      <c r="R1706" s="545">
        <f>'Foglio deposito bis'!$F$69*IF(ABS(L1706)&lt;'Sollecitazioni nel paramento'!$G$58,ABS(L1706)*'Sollecitazioni nel paramento'!$G$54,'Sollecitazioni nel paramento'!$G$53)*IF(L1706&lt;0,-1,1)</f>
        <v>-153664.85805602249</v>
      </c>
      <c r="S1706" s="545">
        <f>'Foglio deposito bis'!$F$70*IF(ABS(M1706)&lt;'Sollecitazioni nel paramento'!$G$58,ABS(M1706)*'Sollecitazioni nel paramento'!$G$54,'Sollecitazioni nel paramento'!$G$53)*IF(M1706&lt;0,-1,1)</f>
        <v>0</v>
      </c>
      <c r="T1706" s="545">
        <f>'Foglio deposito bis'!$F$71*IF(ABS(N1706)&lt;'Sollecitazioni nel paramento'!$G$58,ABS(N1706)*'Sollecitazioni nel paramento'!$G$54,'Sollecitazioni nel paramento'!$G$53)*IF(N1706&lt;0,-1,1)</f>
        <v>-314705.62929873407</v>
      </c>
      <c r="U1706" s="545">
        <f>'Foglio deposito bis'!$F$72*IF(ABS(O1706)&lt;'Sollecitazioni nel paramento'!$G$58,ABS(O1706)*'Sollecitazioni nel paramento'!$G$54,'Sollecitazioni nel paramento'!$G$53)*IF(O1706&lt;0,-1,1)</f>
        <v>491727.54577927204</v>
      </c>
      <c r="V1706" s="472">
        <f t="shared" si="122"/>
        <v>-14101941.112375122</v>
      </c>
      <c r="W1706" s="551"/>
      <c r="X1706" s="551"/>
    </row>
    <row r="1707" spans="1:24" x14ac:dyDescent="0.25">
      <c r="A1707" s="545">
        <f t="shared" si="121"/>
        <v>14451178.285838103</v>
      </c>
      <c r="B1707" s="3">
        <f t="shared" si="119"/>
        <v>45.899999999999942</v>
      </c>
      <c r="C1707" s="545">
        <f>'Foglio deposito bis'!$E$159/sezione!$B$247*B1707</f>
        <v>379.02965548071057</v>
      </c>
      <c r="D1707" s="603">
        <f>-'Sollecitazioni nel paramento'!$G$47*'Sollecitazioni nel paramento'!$G$41*IF(DATI!$G$211="dx",DATI!$E$61,DATI!$E$64*DATI!$E$63)*1000*C1707^2*sezione!$AD$5*(1-sezione!$AD$6)</f>
        <v>-3196318191.0530319</v>
      </c>
      <c r="E1707" s="545">
        <f>-'Foglio deposito bis'!$F$68*(C1707-sezione!$AL$33)*IF(ABS(K1707)&lt;'Sollecitazioni nel paramento'!$G$58,ABS(K1707)*'Sollecitazioni nel paramento'!$G$54,'Sollecitazioni nel paramento'!$G$53)</f>
        <v>0</v>
      </c>
      <c r="F1707" s="545">
        <f>-'Foglio deposito bis'!$F$69*(C1707-sezione!$AM$33)*IF(ABS(L1707)&lt;'Sollecitazioni nel paramento'!$G$58,ABS(L1707)*'Sollecitazioni nel paramento'!$G$54,'Sollecitazioni nel paramento'!$G$53)</f>
        <v>-49023646.725105152</v>
      </c>
      <c r="G1707" s="545">
        <f>-'Foglio deposito bis'!$F$70*(C1707-sezione!$AN$33)*IF(ABS(M1707)&lt;'Sollecitazioni nel paramento'!$G$58,ABS(M1707)*'Sollecitazioni nel paramento'!$G$54,'Sollecitazioni nel paramento'!$G$53)</f>
        <v>0</v>
      </c>
      <c r="H1707" s="545">
        <f>-'Foglio deposito bis'!$F$71*(C1707-sezione!$AO$33)*IF(ABS(N1707)&lt;'Sollecitazioni nel paramento'!$G$58,ABS(N1707)*'Sollecitazioni nel paramento'!$G$54,'Sollecitazioni nel paramento'!$G$53)</f>
        <v>-68929865.563141942</v>
      </c>
      <c r="I1707" s="472">
        <f>-'Foglio deposito bis'!$F$72*(C1707-sezione!$AP$33)*IF(ABS(O1707)&lt;'Sollecitazioni nel paramento'!$G$58,ABS(O1707)*'Sollecitazioni nel paramento'!$G$54,'Sollecitazioni nel paramento'!$G$53)</f>
        <v>87402121.62182115</v>
      </c>
      <c r="J1707" s="472">
        <f t="shared" si="120"/>
        <v>-3226869581.7194581</v>
      </c>
      <c r="K1707" s="550">
        <f>'Sollecitazioni nel paramento'!$G$60*(sezione!$AL$33-C1707)/C1707</f>
        <v>-3.1306357616729414E-3</v>
      </c>
      <c r="L1707" s="550">
        <f>'Sollecitazioni nel paramento'!$G$60*(sezione!$AM$33-C1707)/C1707</f>
        <v>-2.9459536425094127E-3</v>
      </c>
      <c r="M1707" s="551">
        <f>'Sollecitazioni nel paramento'!$G$60*(sezione!$AN$33-C1707)/C1707</f>
        <v>-2.7612715233458836E-3</v>
      </c>
      <c r="N1707" s="551">
        <f>'Sollecitazioni nel paramento'!$G$60*(sezione!$AO$33-C1707)/C1707</f>
        <v>-2.0225430466917667E-3</v>
      </c>
      <c r="O1707" s="551">
        <f>'Sollecitazioni nel paramento'!$G$60*(sezione!$AP$33-C1707)/C1707</f>
        <v>1.7657120143962561E-3</v>
      </c>
      <c r="P1707" s="545">
        <f>-'Sollecitazioni nel paramento'!$G$47*'Sollecitazioni nel paramento'!$G$41*IF(DATI!$G$211="dx",DATI!$E$61,DATI!$E$64*DATI!$E$63)*1000*C1707*sezione!$AD$5</f>
        <v>-14439892.784848627</v>
      </c>
      <c r="Q1707" s="545">
        <f>'Foglio deposito bis'!$F$68*IF(ABS(K1707)&lt;'Sollecitazioni nel paramento'!$G$58,ABS(K1707)*'Sollecitazioni nel paramento'!$G$54,'Sollecitazioni nel paramento'!$G$53)*IF(K1707&lt;0,-1,1)</f>
        <v>0</v>
      </c>
      <c r="R1707" s="545">
        <f>'Foglio deposito bis'!$F$69*IF(ABS(L1707)&lt;'Sollecitazioni nel paramento'!$G$58,ABS(L1707)*'Sollecitazioni nel paramento'!$G$54,'Sollecitazioni nel paramento'!$G$53)*IF(L1707&lt;0,-1,1)</f>
        <v>-153664.85805602249</v>
      </c>
      <c r="S1707" s="545">
        <f>'Foglio deposito bis'!$F$70*IF(ABS(M1707)&lt;'Sollecitazioni nel paramento'!$G$58,ABS(M1707)*'Sollecitazioni nel paramento'!$G$54,'Sollecitazioni nel paramento'!$G$53)*IF(M1707&lt;0,-1,1)</f>
        <v>0</v>
      </c>
      <c r="T1707" s="545">
        <f>'Foglio deposito bis'!$F$71*IF(ABS(N1707)&lt;'Sollecitazioni nel paramento'!$G$58,ABS(N1707)*'Sollecitazioni nel paramento'!$G$54,'Sollecitazioni nel paramento'!$G$53)*IF(N1707&lt;0,-1,1)</f>
        <v>-314705.62929873407</v>
      </c>
      <c r="U1707" s="545">
        <f>'Foglio deposito bis'!$F$72*IF(ABS(O1707)&lt;'Sollecitazioni nel paramento'!$G$58,ABS(O1707)*'Sollecitazioni nel paramento'!$G$54,'Sollecitazioni nel paramento'!$G$53)*IF(O1707&lt;0,-1,1)</f>
        <v>457084.98636527912</v>
      </c>
      <c r="V1707" s="472">
        <f t="shared" si="122"/>
        <v>-14451178.285838103</v>
      </c>
      <c r="W1707" s="551"/>
      <c r="X1707" s="551"/>
    </row>
    <row r="1708" spans="1:24" x14ac:dyDescent="0.25">
      <c r="A1708" s="545">
        <f t="shared" si="121"/>
        <v>14794837.298771115</v>
      </c>
      <c r="B1708" s="3">
        <f t="shared" si="119"/>
        <v>46.899999999999942</v>
      </c>
      <c r="C1708" s="545">
        <f>'Foglio deposito bis'!$E$159/sezione!$B$247*B1708</f>
        <v>387.28738217963672</v>
      </c>
      <c r="D1708" s="603">
        <f>-'Sollecitazioni nel paramento'!$G$47*'Sollecitazioni nel paramento'!$G$41*IF(DATI!$G$211="dx",DATI!$E$61,DATI!$E$64*DATI!$E$63)*1000*C1708^2*sezione!$AD$5*(1-sezione!$AD$6)</f>
        <v>-3337108451.2709537</v>
      </c>
      <c r="E1708" s="545">
        <f>-'Foglio deposito bis'!$F$68*(C1708-sezione!$AL$33)*IF(ABS(K1708)&lt;'Sollecitazioni nel paramento'!$G$58,ABS(K1708)*'Sollecitazioni nel paramento'!$G$54,'Sollecitazioni nel paramento'!$G$53)</f>
        <v>0</v>
      </c>
      <c r="F1708" s="545">
        <f>-'Foglio deposito bis'!$F$69*(C1708-sezione!$AM$33)*IF(ABS(L1708)&lt;'Sollecitazioni nel paramento'!$G$58,ABS(L1708)*'Sollecitazioni nel paramento'!$G$54,'Sollecitazioni nel paramento'!$G$53)</f>
        <v>-50292569.126161069</v>
      </c>
      <c r="G1708" s="545">
        <f>-'Foglio deposito bis'!$F$70*(C1708-sezione!$AN$33)*IF(ABS(M1708)&lt;'Sollecitazioni nel paramento'!$G$58,ABS(M1708)*'Sollecitazioni nel paramento'!$G$54,'Sollecitazioni nel paramento'!$G$53)</f>
        <v>0</v>
      </c>
      <c r="H1708" s="545">
        <f>-'Foglio deposito bis'!$F$71*(C1708-sezione!$AO$33)*IF(ABS(N1708)&lt;'Sollecitazioni nel paramento'!$G$58,ABS(N1708)*'Sollecitazioni nel paramento'!$G$54,'Sollecitazioni nel paramento'!$G$53)</f>
        <v>-71528618.640504465</v>
      </c>
      <c r="I1708" s="472">
        <f>-'Foglio deposito bis'!$F$72*(C1708-sezione!$AP$33)*IF(ABS(O1708)&lt;'Sollecitazioni nel paramento'!$G$58,ABS(O1708)*'Sollecitazioni nel paramento'!$G$54,'Sollecitazioni nel paramento'!$G$53)</f>
        <v>78310056.389969021</v>
      </c>
      <c r="J1708" s="472">
        <f t="shared" si="120"/>
        <v>-3380619582.6476502</v>
      </c>
      <c r="K1708" s="550">
        <f>'Sollecitazioni nel paramento'!$G$60*(sezione!$AL$33-C1708)/C1708</f>
        <v>-3.1385113317865254E-3</v>
      </c>
      <c r="L1708" s="550">
        <f>'Sollecitazioni nel paramento'!$G$60*(sezione!$AM$33-C1708)/C1708</f>
        <v>-2.9577669976797874E-3</v>
      </c>
      <c r="M1708" s="551">
        <f>'Sollecitazioni nel paramento'!$G$60*(sezione!$AN$33-C1708)/C1708</f>
        <v>-2.7770226635730499E-3</v>
      </c>
      <c r="N1708" s="551">
        <f>'Sollecitazioni nel paramento'!$G$60*(sezione!$AO$33-C1708)/C1708</f>
        <v>-2.0540453271460997E-3</v>
      </c>
      <c r="O1708" s="551">
        <f>'Sollecitazioni nel paramento'!$G$60*(sezione!$AP$33-C1708)/C1708</f>
        <v>1.6534367049208562E-3</v>
      </c>
      <c r="P1708" s="545">
        <f>-'Sollecitazioni nel paramento'!$G$47*'Sollecitazioni nel paramento'!$G$41*IF(DATI!$G$211="dx",DATI!$E$61,DATI!$E$64*DATI!$E$63)*1000*C1708*sezione!$AD$5</f>
        <v>-14754487.398897618</v>
      </c>
      <c r="Q1708" s="545">
        <f>'Foglio deposito bis'!$F$68*IF(ABS(K1708)&lt;'Sollecitazioni nel paramento'!$G$58,ABS(K1708)*'Sollecitazioni nel paramento'!$G$54,'Sollecitazioni nel paramento'!$G$53)*IF(K1708&lt;0,-1,1)</f>
        <v>0</v>
      </c>
      <c r="R1708" s="545">
        <f>'Foglio deposito bis'!$F$69*IF(ABS(L1708)&lt;'Sollecitazioni nel paramento'!$G$58,ABS(L1708)*'Sollecitazioni nel paramento'!$G$54,'Sollecitazioni nel paramento'!$G$53)*IF(L1708&lt;0,-1,1)</f>
        <v>-153664.85805602249</v>
      </c>
      <c r="S1708" s="545">
        <f>'Foglio deposito bis'!$F$70*IF(ABS(M1708)&lt;'Sollecitazioni nel paramento'!$G$58,ABS(M1708)*'Sollecitazioni nel paramento'!$G$54,'Sollecitazioni nel paramento'!$G$53)*IF(M1708&lt;0,-1,1)</f>
        <v>0</v>
      </c>
      <c r="T1708" s="545">
        <f>'Foglio deposito bis'!$F$71*IF(ABS(N1708)&lt;'Sollecitazioni nel paramento'!$G$58,ABS(N1708)*'Sollecitazioni nel paramento'!$G$54,'Sollecitazioni nel paramento'!$G$53)*IF(N1708&lt;0,-1,1)</f>
        <v>-314705.62929873407</v>
      </c>
      <c r="U1708" s="545">
        <f>'Foglio deposito bis'!$F$72*IF(ABS(O1708)&lt;'Sollecitazioni nel paramento'!$G$58,ABS(O1708)*'Sollecitazioni nel paramento'!$G$54,'Sollecitazioni nel paramento'!$G$53)*IF(O1708&lt;0,-1,1)</f>
        <v>428020.58748125826</v>
      </c>
      <c r="V1708" s="472">
        <f t="shared" si="122"/>
        <v>-14794837.298771115</v>
      </c>
      <c r="W1708" s="551"/>
      <c r="X1708" s="551"/>
    </row>
    <row r="1709" spans="1:24" x14ac:dyDescent="0.25">
      <c r="A1709" s="545">
        <f t="shared" si="121"/>
        <v>15137282.766865544</v>
      </c>
      <c r="B1709" s="3">
        <f t="shared" si="119"/>
        <v>47.899999999999942</v>
      </c>
      <c r="C1709" s="545">
        <f>'Foglio deposito bis'!$E$159/sezione!$B$247*B1709</f>
        <v>395.54510887856293</v>
      </c>
      <c r="D1709" s="603">
        <f>-'Sollecitazioni nel paramento'!$G$47*'Sollecitazioni nel paramento'!$G$41*IF(DATI!$G$211="dx",DATI!$E$61,DATI!$E$64*DATI!$E$63)*1000*C1709^2*sezione!$AD$5*(1-sezione!$AD$6)</f>
        <v>-3480932984.3384008</v>
      </c>
      <c r="E1709" s="545">
        <f>-'Foglio deposito bis'!$F$68*(C1709-sezione!$AL$33)*IF(ABS(K1709)&lt;'Sollecitazioni nel paramento'!$G$58,ABS(K1709)*'Sollecitazioni nel paramento'!$G$54,'Sollecitazioni nel paramento'!$G$53)</f>
        <v>0</v>
      </c>
      <c r="F1709" s="545">
        <f>-'Foglio deposito bis'!$F$69*(C1709-sezione!$AM$33)*IF(ABS(L1709)&lt;'Sollecitazioni nel paramento'!$G$58,ABS(L1709)*'Sollecitazioni nel paramento'!$G$54,'Sollecitazioni nel paramento'!$G$53)</f>
        <v>-51561491.527216986</v>
      </c>
      <c r="G1709" s="545">
        <f>-'Foglio deposito bis'!$F$70*(C1709-sezione!$AN$33)*IF(ABS(M1709)&lt;'Sollecitazioni nel paramento'!$G$58,ABS(M1709)*'Sollecitazioni nel paramento'!$G$54,'Sollecitazioni nel paramento'!$G$53)</f>
        <v>0</v>
      </c>
      <c r="H1709" s="545">
        <f>-'Foglio deposito bis'!$F$71*(C1709-sezione!$AO$33)*IF(ABS(N1709)&lt;'Sollecitazioni nel paramento'!$G$58,ABS(N1709)*'Sollecitazioni nel paramento'!$G$54,'Sollecitazioni nel paramento'!$G$53)</f>
        <v>-74127371.717866987</v>
      </c>
      <c r="I1709" s="472">
        <f>-'Foglio deposito bis'!$F$72*(C1709-sezione!$AP$33)*IF(ABS(O1709)&lt;'Sollecitazioni nel paramento'!$G$58,ABS(O1709)*'Sollecitazioni nel paramento'!$G$54,'Sollecitazioni nel paramento'!$G$53)</f>
        <v>69910010.251840547</v>
      </c>
      <c r="J1709" s="472">
        <f t="shared" si="120"/>
        <v>-3536711837.3316441</v>
      </c>
      <c r="K1709" s="550">
        <f>'Sollecitazioni nel paramento'!$G$60*(sezione!$AL$33-C1709)/C1709</f>
        <v>-3.146058068074907E-3</v>
      </c>
      <c r="L1709" s="550">
        <f>'Sollecitazioni nel paramento'!$G$60*(sezione!$AM$33-C1709)/C1709</f>
        <v>-2.9690871021123598E-3</v>
      </c>
      <c r="M1709" s="551">
        <f>'Sollecitazioni nel paramento'!$G$60*(sezione!$AN$33-C1709)/C1709</f>
        <v>-2.7921161361498131E-3</v>
      </c>
      <c r="N1709" s="551">
        <f>'Sollecitazioni nel paramento'!$G$60*(sezione!$AO$33-C1709)/C1709</f>
        <v>-2.0842322722996265E-3</v>
      </c>
      <c r="O1709" s="551">
        <f>'Sollecitazioni nel paramento'!$G$60*(sezione!$AP$33-C1709)/C1709</f>
        <v>1.5458492998076854E-3</v>
      </c>
      <c r="P1709" s="545">
        <f>-'Sollecitazioni nel paramento'!$G$47*'Sollecitazioni nel paramento'!$G$41*IF(DATI!$G$211="dx",DATI!$E$61,DATI!$E$64*DATI!$E$63)*1000*C1709*sezione!$AD$5</f>
        <v>-15069082.012946608</v>
      </c>
      <c r="Q1709" s="545">
        <f>'Foglio deposito bis'!$F$68*IF(ABS(K1709)&lt;'Sollecitazioni nel paramento'!$G$58,ABS(K1709)*'Sollecitazioni nel paramento'!$G$54,'Sollecitazioni nel paramento'!$G$53)*IF(K1709&lt;0,-1,1)</f>
        <v>0</v>
      </c>
      <c r="R1709" s="545">
        <f>'Foglio deposito bis'!$F$69*IF(ABS(L1709)&lt;'Sollecitazioni nel paramento'!$G$58,ABS(L1709)*'Sollecitazioni nel paramento'!$G$54,'Sollecitazioni nel paramento'!$G$53)*IF(L1709&lt;0,-1,1)</f>
        <v>-153664.85805602249</v>
      </c>
      <c r="S1709" s="545">
        <f>'Foglio deposito bis'!$F$70*IF(ABS(M1709)&lt;'Sollecitazioni nel paramento'!$G$58,ABS(M1709)*'Sollecitazioni nel paramento'!$G$54,'Sollecitazioni nel paramento'!$G$53)*IF(M1709&lt;0,-1,1)</f>
        <v>0</v>
      </c>
      <c r="T1709" s="545">
        <f>'Foglio deposito bis'!$F$71*IF(ABS(N1709)&lt;'Sollecitazioni nel paramento'!$G$58,ABS(N1709)*'Sollecitazioni nel paramento'!$G$54,'Sollecitazioni nel paramento'!$G$53)*IF(N1709&lt;0,-1,1)</f>
        <v>-314705.62929873407</v>
      </c>
      <c r="U1709" s="545">
        <f>'Foglio deposito bis'!$F$72*IF(ABS(O1709)&lt;'Sollecitazioni nel paramento'!$G$58,ABS(O1709)*'Sollecitazioni nel paramento'!$G$54,'Sollecitazioni nel paramento'!$G$53)*IF(O1709&lt;0,-1,1)</f>
        <v>400169.73343581863</v>
      </c>
      <c r="V1709" s="472">
        <f t="shared" si="122"/>
        <v>-15137282.766865544</v>
      </c>
      <c r="W1709" s="551"/>
      <c r="X1709" s="551"/>
    </row>
    <row r="1710" spans="1:24" x14ac:dyDescent="0.25">
      <c r="A1710" s="545">
        <f t="shared" si="121"/>
        <v>15478589.140724989</v>
      </c>
      <c r="B1710" s="3">
        <f t="shared" si="119"/>
        <v>48.899999999999942</v>
      </c>
      <c r="C1710" s="545">
        <f>'Foglio deposito bis'!$E$159/sezione!$B$247*B1710</f>
        <v>403.80283557748908</v>
      </c>
      <c r="D1710" s="603">
        <f>-'Sollecitazioni nel paramento'!$G$47*'Sollecitazioni nel paramento'!$G$41*IF(DATI!$G$211="dx",DATI!$E$61,DATI!$E$64*DATI!$E$63)*1000*C1710^2*sezione!$AD$5*(1-sezione!$AD$6)</f>
        <v>-3627791790.2553725</v>
      </c>
      <c r="E1710" s="545">
        <f>-'Foglio deposito bis'!$F$68*(C1710-sezione!$AL$33)*IF(ABS(K1710)&lt;'Sollecitazioni nel paramento'!$G$58,ABS(K1710)*'Sollecitazioni nel paramento'!$G$54,'Sollecitazioni nel paramento'!$G$53)</f>
        <v>0</v>
      </c>
      <c r="F1710" s="545">
        <f>-'Foglio deposito bis'!$F$69*(C1710-sezione!$AM$33)*IF(ABS(L1710)&lt;'Sollecitazioni nel paramento'!$G$58,ABS(L1710)*'Sollecitazioni nel paramento'!$G$54,'Sollecitazioni nel paramento'!$G$53)</f>
        <v>-52830413.928272903</v>
      </c>
      <c r="G1710" s="545">
        <f>-'Foglio deposito bis'!$F$70*(C1710-sezione!$AN$33)*IF(ABS(M1710)&lt;'Sollecitazioni nel paramento'!$G$58,ABS(M1710)*'Sollecitazioni nel paramento'!$G$54,'Sollecitazioni nel paramento'!$G$53)</f>
        <v>0</v>
      </c>
      <c r="H1710" s="545">
        <f>-'Foglio deposito bis'!$F$71*(C1710-sezione!$AO$33)*IF(ABS(N1710)&lt;'Sollecitazioni nel paramento'!$G$58,ABS(N1710)*'Sollecitazioni nel paramento'!$G$54,'Sollecitazioni nel paramento'!$G$53)</f>
        <v>-76726124.795229495</v>
      </c>
      <c r="I1710" s="472">
        <f>-'Foglio deposito bis'!$F$72*(C1710-sezione!$AP$33)*IF(ABS(O1710)&lt;'Sollecitazioni nel paramento'!$G$58,ABS(O1710)*'Sollecitazioni nel paramento'!$G$54,'Sollecitazioni nel paramento'!$G$53)</f>
        <v>62159528.048311658</v>
      </c>
      <c r="J1710" s="472">
        <f t="shared" si="120"/>
        <v>-3695188800.930563</v>
      </c>
      <c r="K1710" s="550">
        <f>'Sollecitazioni nel paramento'!$G$60*(sezione!$AL$33-C1710)/C1710</f>
        <v>-3.1532961443923933E-3</v>
      </c>
      <c r="L1710" s="550">
        <f>'Sollecitazioni nel paramento'!$G$60*(sezione!$AM$33-C1710)/C1710</f>
        <v>-2.9799442165885895E-3</v>
      </c>
      <c r="M1710" s="551">
        <f>'Sollecitazioni nel paramento'!$G$60*(sezione!$AN$33-C1710)/C1710</f>
        <v>-2.8065922887847861E-3</v>
      </c>
      <c r="N1710" s="551">
        <f>'Sollecitazioni nel paramento'!$G$60*(sezione!$AO$33-C1710)/C1710</f>
        <v>-2.1131845775695726E-3</v>
      </c>
      <c r="O1710" s="551">
        <f>'Sollecitazioni nel paramento'!$G$60*(sezione!$AP$33-C1710)/C1710</f>
        <v>1.4426621975621296E-3</v>
      </c>
      <c r="P1710" s="545">
        <f>-'Sollecitazioni nel paramento'!$G$47*'Sollecitazioni nel paramento'!$G$41*IF(DATI!$G$211="dx",DATI!$E$61,DATI!$E$64*DATI!$E$63)*1000*C1710*sezione!$AD$5</f>
        <v>-15383676.626995599</v>
      </c>
      <c r="Q1710" s="545">
        <f>'Foglio deposito bis'!$F$68*IF(ABS(K1710)&lt;'Sollecitazioni nel paramento'!$G$58,ABS(K1710)*'Sollecitazioni nel paramento'!$G$54,'Sollecitazioni nel paramento'!$G$53)*IF(K1710&lt;0,-1,1)</f>
        <v>0</v>
      </c>
      <c r="R1710" s="545">
        <f>'Foglio deposito bis'!$F$69*IF(ABS(L1710)&lt;'Sollecitazioni nel paramento'!$G$58,ABS(L1710)*'Sollecitazioni nel paramento'!$G$54,'Sollecitazioni nel paramento'!$G$53)*IF(L1710&lt;0,-1,1)</f>
        <v>-153664.85805602249</v>
      </c>
      <c r="S1710" s="545">
        <f>'Foglio deposito bis'!$F$70*IF(ABS(M1710)&lt;'Sollecitazioni nel paramento'!$G$58,ABS(M1710)*'Sollecitazioni nel paramento'!$G$54,'Sollecitazioni nel paramento'!$G$53)*IF(M1710&lt;0,-1,1)</f>
        <v>0</v>
      </c>
      <c r="T1710" s="545">
        <f>'Foglio deposito bis'!$F$71*IF(ABS(N1710)&lt;'Sollecitazioni nel paramento'!$G$58,ABS(N1710)*'Sollecitazioni nel paramento'!$G$54,'Sollecitazioni nel paramento'!$G$53)*IF(N1710&lt;0,-1,1)</f>
        <v>-314705.62929873407</v>
      </c>
      <c r="U1710" s="545">
        <f>'Foglio deposito bis'!$F$72*IF(ABS(O1710)&lt;'Sollecitazioni nel paramento'!$G$58,ABS(O1710)*'Sollecitazioni nel paramento'!$G$54,'Sollecitazioni nel paramento'!$G$53)*IF(O1710&lt;0,-1,1)</f>
        <v>373457.9736253664</v>
      </c>
      <c r="V1710" s="472">
        <f t="shared" si="122"/>
        <v>-15478589.140724989</v>
      </c>
      <c r="W1710" s="551"/>
      <c r="X1710" s="551"/>
    </row>
    <row r="1711" spans="1:24" x14ac:dyDescent="0.25">
      <c r="A1711" s="545">
        <f t="shared" si="121"/>
        <v>15818824.902968779</v>
      </c>
      <c r="B1711" s="3">
        <f t="shared" si="119"/>
        <v>49.899999999999942</v>
      </c>
      <c r="C1711" s="545">
        <f>'Foglio deposito bis'!$E$159/sezione!$B$247*B1711</f>
        <v>412.06056227641523</v>
      </c>
      <c r="D1711" s="603">
        <f>-'Sollecitazioni nel paramento'!$G$47*'Sollecitazioni nel paramento'!$G$41*IF(DATI!$G$211="dx",DATI!$E$61,DATI!$E$64*DATI!$E$63)*1000*C1711^2*sezione!$AD$5*(1-sezione!$AD$6)</f>
        <v>-3777684869.0218673</v>
      </c>
      <c r="E1711" s="545">
        <f>-'Foglio deposito bis'!$F$68*(C1711-sezione!$AL$33)*IF(ABS(K1711)&lt;'Sollecitazioni nel paramento'!$G$58,ABS(K1711)*'Sollecitazioni nel paramento'!$G$54,'Sollecitazioni nel paramento'!$G$53)</f>
        <v>0</v>
      </c>
      <c r="F1711" s="545">
        <f>-'Foglio deposito bis'!$F$69*(C1711-sezione!$AM$33)*IF(ABS(L1711)&lt;'Sollecitazioni nel paramento'!$G$58,ABS(L1711)*'Sollecitazioni nel paramento'!$G$54,'Sollecitazioni nel paramento'!$G$53)</f>
        <v>-54099336.32932882</v>
      </c>
      <c r="G1711" s="545">
        <f>-'Foglio deposito bis'!$F$70*(C1711-sezione!$AN$33)*IF(ABS(M1711)&lt;'Sollecitazioni nel paramento'!$G$58,ABS(M1711)*'Sollecitazioni nel paramento'!$G$54,'Sollecitazioni nel paramento'!$G$53)</f>
        <v>0</v>
      </c>
      <c r="H1711" s="545">
        <f>-'Foglio deposito bis'!$F$71*(C1711-sezione!$AO$33)*IF(ABS(N1711)&lt;'Sollecitazioni nel paramento'!$G$58,ABS(N1711)*'Sollecitazioni nel paramento'!$G$54,'Sollecitazioni nel paramento'!$G$53)</f>
        <v>-79324877.872592002</v>
      </c>
      <c r="I1711" s="472">
        <f>-'Foglio deposito bis'!$F$72*(C1711-sezione!$AP$33)*IF(ABS(O1711)&lt;'Sollecitazioni nel paramento'!$G$58,ABS(O1711)*'Sollecitazioni nel paramento'!$G$54,'Sollecitazioni nel paramento'!$G$53)</f>
        <v>55019557.839426421</v>
      </c>
      <c r="J1711" s="472">
        <f t="shared" si="120"/>
        <v>-3856089525.3843617</v>
      </c>
      <c r="K1711" s="550">
        <f>'Sollecitazioni nel paramento'!$G$60*(sezione!$AL$33-C1711)/C1711</f>
        <v>-3.160244117450662E-3</v>
      </c>
      <c r="L1711" s="550">
        <f>'Sollecitazioni nel paramento'!$G$60*(sezione!$AM$33-C1711)/C1711</f>
        <v>-2.9903661761759926E-3</v>
      </c>
      <c r="M1711" s="551">
        <f>'Sollecitazioni nel paramento'!$G$60*(sezione!$AN$33-C1711)/C1711</f>
        <v>-2.820488234901324E-3</v>
      </c>
      <c r="N1711" s="551">
        <f>'Sollecitazioni nel paramento'!$G$60*(sezione!$AO$33-C1711)/C1711</f>
        <v>-2.140976469802647E-3</v>
      </c>
      <c r="O1711" s="551">
        <f>'Sollecitazioni nel paramento'!$G$60*(sezione!$AP$33-C1711)/C1711</f>
        <v>1.343610850917598E-3</v>
      </c>
      <c r="P1711" s="545">
        <f>-'Sollecitazioni nel paramento'!$G$47*'Sollecitazioni nel paramento'!$G$41*IF(DATI!$G$211="dx",DATI!$E$61,DATI!$E$64*DATI!$E$63)*1000*C1711*sezione!$AD$5</f>
        <v>-15698271.241044587</v>
      </c>
      <c r="Q1711" s="545">
        <f>'Foglio deposito bis'!$F$68*IF(ABS(K1711)&lt;'Sollecitazioni nel paramento'!$G$58,ABS(K1711)*'Sollecitazioni nel paramento'!$G$54,'Sollecitazioni nel paramento'!$G$53)*IF(K1711&lt;0,-1,1)</f>
        <v>0</v>
      </c>
      <c r="R1711" s="545">
        <f>'Foglio deposito bis'!$F$69*IF(ABS(L1711)&lt;'Sollecitazioni nel paramento'!$G$58,ABS(L1711)*'Sollecitazioni nel paramento'!$G$54,'Sollecitazioni nel paramento'!$G$53)*IF(L1711&lt;0,-1,1)</f>
        <v>-153664.85805602249</v>
      </c>
      <c r="S1711" s="545">
        <f>'Foglio deposito bis'!$F$70*IF(ABS(M1711)&lt;'Sollecitazioni nel paramento'!$G$58,ABS(M1711)*'Sollecitazioni nel paramento'!$G$54,'Sollecitazioni nel paramento'!$G$53)*IF(M1711&lt;0,-1,1)</f>
        <v>0</v>
      </c>
      <c r="T1711" s="545">
        <f>'Foglio deposito bis'!$F$71*IF(ABS(N1711)&lt;'Sollecitazioni nel paramento'!$G$58,ABS(N1711)*'Sollecitazioni nel paramento'!$G$54,'Sollecitazioni nel paramento'!$G$53)*IF(N1711&lt;0,-1,1)</f>
        <v>-314705.62929873407</v>
      </c>
      <c r="U1711" s="545">
        <f>'Foglio deposito bis'!$F$72*IF(ABS(O1711)&lt;'Sollecitazioni nel paramento'!$G$58,ABS(O1711)*'Sollecitazioni nel paramento'!$G$54,'Sollecitazioni nel paramento'!$G$53)*IF(O1711&lt;0,-1,1)</f>
        <v>347816.82543056359</v>
      </c>
      <c r="V1711" s="472">
        <f t="shared" si="122"/>
        <v>-15818824.902968779</v>
      </c>
      <c r="W1711" s="551"/>
      <c r="X1711" s="551"/>
    </row>
    <row r="1712" spans="1:24" x14ac:dyDescent="0.25">
      <c r="A1712" s="545">
        <f t="shared" si="121"/>
        <v>16158053.154478002</v>
      </c>
      <c r="B1712" s="3">
        <f t="shared" si="119"/>
        <v>50.899999999999942</v>
      </c>
      <c r="C1712" s="545">
        <f>'Foglio deposito bis'!$E$159/sezione!$B$247*B1712</f>
        <v>420.31828897534137</v>
      </c>
      <c r="D1712" s="603">
        <f>-'Sollecitazioni nel paramento'!$G$47*'Sollecitazioni nel paramento'!$G$41*IF(DATI!$G$211="dx",DATI!$E$61,DATI!$E$64*DATI!$E$63)*1000*C1712^2*sezione!$AD$5*(1-sezione!$AD$6)</f>
        <v>-3930612220.637886</v>
      </c>
      <c r="E1712" s="545">
        <f>-'Foglio deposito bis'!$F$68*(C1712-sezione!$AL$33)*IF(ABS(K1712)&lt;'Sollecitazioni nel paramento'!$G$58,ABS(K1712)*'Sollecitazioni nel paramento'!$G$54,'Sollecitazioni nel paramento'!$G$53)</f>
        <v>0</v>
      </c>
      <c r="F1712" s="545">
        <f>-'Foglio deposito bis'!$F$69*(C1712-sezione!$AM$33)*IF(ABS(L1712)&lt;'Sollecitazioni nel paramento'!$G$58,ABS(L1712)*'Sollecitazioni nel paramento'!$G$54,'Sollecitazioni nel paramento'!$G$53)</f>
        <v>-55368258.730384722</v>
      </c>
      <c r="G1712" s="545">
        <f>-'Foglio deposito bis'!$F$70*(C1712-sezione!$AN$33)*IF(ABS(M1712)&lt;'Sollecitazioni nel paramento'!$G$58,ABS(M1712)*'Sollecitazioni nel paramento'!$G$54,'Sollecitazioni nel paramento'!$G$53)</f>
        <v>0</v>
      </c>
      <c r="H1712" s="545">
        <f>-'Foglio deposito bis'!$F$71*(C1712-sezione!$AO$33)*IF(ABS(N1712)&lt;'Sollecitazioni nel paramento'!$G$58,ABS(N1712)*'Sollecitazioni nel paramento'!$G$54,'Sollecitazioni nel paramento'!$G$53)</f>
        <v>-81923630.94995451</v>
      </c>
      <c r="I1712" s="472">
        <f>-'Foglio deposito bis'!$F$72*(C1712-sezione!$AP$33)*IF(ABS(O1712)&lt;'Sollecitazioni nel paramento'!$G$58,ABS(O1712)*'Sollecitazioni nel paramento'!$G$54,'Sollecitazioni nel paramento'!$G$53)</f>
        <v>48454116.599960275</v>
      </c>
      <c r="J1712" s="472">
        <f t="shared" si="120"/>
        <v>-4019449993.7182651</v>
      </c>
      <c r="K1712" s="550">
        <f>'Sollecitazioni nel paramento'!$G$60*(sezione!$AL$33-C1712)/C1712</f>
        <v>-3.1669190856736351E-3</v>
      </c>
      <c r="L1712" s="550">
        <f>'Sollecitazioni nel paramento'!$G$60*(sezione!$AM$33-C1712)/C1712</f>
        <v>-3.000378628510453E-3</v>
      </c>
      <c r="M1712" s="551">
        <f>'Sollecitazioni nel paramento'!$G$60*(sezione!$AN$33-C1712)/C1712</f>
        <v>-2.8338381713472701E-3</v>
      </c>
      <c r="N1712" s="551">
        <f>'Sollecitazioni nel paramento'!$G$60*(sezione!$AO$33-C1712)/C1712</f>
        <v>-2.1676763426945402E-3</v>
      </c>
      <c r="O1712" s="551">
        <f>'Sollecitazioni nel paramento'!$G$60*(sezione!$AP$33-C1712)/C1712</f>
        <v>1.2484515021765844E-3</v>
      </c>
      <c r="P1712" s="545">
        <f>-'Sollecitazioni nel paramento'!$G$47*'Sollecitazioni nel paramento'!$G$41*IF(DATI!$G$211="dx",DATI!$E$61,DATI!$E$64*DATI!$E$63)*1000*C1712*sezione!$AD$5</f>
        <v>-16012865.855093578</v>
      </c>
      <c r="Q1712" s="545">
        <f>'Foglio deposito bis'!$F$68*IF(ABS(K1712)&lt;'Sollecitazioni nel paramento'!$G$58,ABS(K1712)*'Sollecitazioni nel paramento'!$G$54,'Sollecitazioni nel paramento'!$G$53)*IF(K1712&lt;0,-1,1)</f>
        <v>0</v>
      </c>
      <c r="R1712" s="545">
        <f>'Foglio deposito bis'!$F$69*IF(ABS(L1712)&lt;'Sollecitazioni nel paramento'!$G$58,ABS(L1712)*'Sollecitazioni nel paramento'!$G$54,'Sollecitazioni nel paramento'!$G$53)*IF(L1712&lt;0,-1,1)</f>
        <v>-153664.85805602249</v>
      </c>
      <c r="S1712" s="545">
        <f>'Foglio deposito bis'!$F$70*IF(ABS(M1712)&lt;'Sollecitazioni nel paramento'!$G$58,ABS(M1712)*'Sollecitazioni nel paramento'!$G$54,'Sollecitazioni nel paramento'!$G$53)*IF(M1712&lt;0,-1,1)</f>
        <v>0</v>
      </c>
      <c r="T1712" s="545">
        <f>'Foglio deposito bis'!$F$71*IF(ABS(N1712)&lt;'Sollecitazioni nel paramento'!$G$58,ABS(N1712)*'Sollecitazioni nel paramento'!$G$54,'Sollecitazioni nel paramento'!$G$53)*IF(N1712&lt;0,-1,1)</f>
        <v>-314705.62929873407</v>
      </c>
      <c r="U1712" s="545">
        <f>'Foglio deposito bis'!$F$72*IF(ABS(O1712)&lt;'Sollecitazioni nel paramento'!$G$58,ABS(O1712)*'Sollecitazioni nel paramento'!$G$54,'Sollecitazioni nel paramento'!$G$53)*IF(O1712&lt;0,-1,1)</f>
        <v>323183.18797033065</v>
      </c>
      <c r="V1712" s="472">
        <f t="shared" si="122"/>
        <v>-16158053.154478002</v>
      </c>
      <c r="W1712" s="551"/>
      <c r="X1712" s="551"/>
    </row>
    <row r="1713" spans="1:24" x14ac:dyDescent="0.25">
      <c r="A1713" s="545">
        <f t="shared" si="121"/>
        <v>16496332.13286737</v>
      </c>
      <c r="B1713" s="3">
        <f t="shared" si="119"/>
        <v>51.899999999999942</v>
      </c>
      <c r="C1713" s="545">
        <f>'Foglio deposito bis'!$E$159/sezione!$B$247*B1713</f>
        <v>428.57601567426758</v>
      </c>
      <c r="D1713" s="603">
        <f>-'Sollecitazioni nel paramento'!$G$47*'Sollecitazioni nel paramento'!$G$41*IF(DATI!$G$211="dx",DATI!$E$61,DATI!$E$64*DATI!$E$63)*1000*C1713^2*sezione!$AD$5*(1-sezione!$AD$6)</f>
        <v>-4086573845.1034312</v>
      </c>
      <c r="E1713" s="545">
        <f>-'Foglio deposito bis'!$F$68*(C1713-sezione!$AL$33)*IF(ABS(K1713)&lt;'Sollecitazioni nel paramento'!$G$58,ABS(K1713)*'Sollecitazioni nel paramento'!$G$54,'Sollecitazioni nel paramento'!$G$53)</f>
        <v>0</v>
      </c>
      <c r="F1713" s="545">
        <f>-'Foglio deposito bis'!$F$69*(C1713-sezione!$AM$33)*IF(ABS(L1713)&lt;'Sollecitazioni nel paramento'!$G$58,ABS(L1713)*'Sollecitazioni nel paramento'!$G$54,'Sollecitazioni nel paramento'!$G$53)</f>
        <v>-56637181.131440654</v>
      </c>
      <c r="G1713" s="545">
        <f>-'Foglio deposito bis'!$F$70*(C1713-sezione!$AN$33)*IF(ABS(M1713)&lt;'Sollecitazioni nel paramento'!$G$58,ABS(M1713)*'Sollecitazioni nel paramento'!$G$54,'Sollecitazioni nel paramento'!$G$53)</f>
        <v>0</v>
      </c>
      <c r="H1713" s="545">
        <f>-'Foglio deposito bis'!$F$71*(C1713-sezione!$AO$33)*IF(ABS(N1713)&lt;'Sollecitazioni nel paramento'!$G$58,ABS(N1713)*'Sollecitazioni nel paramento'!$G$54,'Sollecitazioni nel paramento'!$G$53)</f>
        <v>-84522384.027317047</v>
      </c>
      <c r="I1713" s="472">
        <f>-'Foglio deposito bis'!$F$72*(C1713-sezione!$AP$33)*IF(ABS(O1713)&lt;'Sollecitazioni nel paramento'!$G$58,ABS(O1713)*'Sollecitazioni nel paramento'!$G$54,'Sollecitazioni nel paramento'!$G$53)</f>
        <v>42429994.562894695</v>
      </c>
      <c r="J1713" s="472">
        <f t="shared" si="120"/>
        <v>-4185303415.6992941</v>
      </c>
      <c r="K1713" s="550">
        <f>'Sollecitazioni nel paramento'!$G$60*(sezione!$AL$33-C1713)/C1713</f>
        <v>-3.1733368296876304E-3</v>
      </c>
      <c r="L1713" s="550">
        <f>'Sollecitazioni nel paramento'!$G$60*(sezione!$AM$33-C1713)/C1713</f>
        <v>-3.0100052445314459E-3</v>
      </c>
      <c r="M1713" s="551">
        <f>'Sollecitazioni nel paramento'!$G$60*(sezione!$AN$33-C1713)/C1713</f>
        <v>-2.8466736593752611E-3</v>
      </c>
      <c r="N1713" s="551">
        <f>'Sollecitazioni nel paramento'!$G$60*(sezione!$AO$33-C1713)/C1713</f>
        <v>-2.1933473187505221E-3</v>
      </c>
      <c r="O1713" s="551">
        <f>'Sollecitazioni nel paramento'!$G$60*(sezione!$AP$33-C1713)/C1713</f>
        <v>1.1569591803620061E-3</v>
      </c>
      <c r="P1713" s="545">
        <f>-'Sollecitazioni nel paramento'!$G$47*'Sollecitazioni nel paramento'!$G$41*IF(DATI!$G$211="dx",DATI!$E$61,DATI!$E$64*DATI!$E$63)*1000*C1713*sezione!$AD$5</f>
        <v>-16327460.469142567</v>
      </c>
      <c r="Q1713" s="545">
        <f>'Foglio deposito bis'!$F$68*IF(ABS(K1713)&lt;'Sollecitazioni nel paramento'!$G$58,ABS(K1713)*'Sollecitazioni nel paramento'!$G$54,'Sollecitazioni nel paramento'!$G$53)*IF(K1713&lt;0,-1,1)</f>
        <v>0</v>
      </c>
      <c r="R1713" s="545">
        <f>'Foglio deposito bis'!$F$69*IF(ABS(L1713)&lt;'Sollecitazioni nel paramento'!$G$58,ABS(L1713)*'Sollecitazioni nel paramento'!$G$54,'Sollecitazioni nel paramento'!$G$53)*IF(L1713&lt;0,-1,1)</f>
        <v>-153664.85805602249</v>
      </c>
      <c r="S1713" s="545">
        <f>'Foglio deposito bis'!$F$70*IF(ABS(M1713)&lt;'Sollecitazioni nel paramento'!$G$58,ABS(M1713)*'Sollecitazioni nel paramento'!$G$54,'Sollecitazioni nel paramento'!$G$53)*IF(M1713&lt;0,-1,1)</f>
        <v>0</v>
      </c>
      <c r="T1713" s="545">
        <f>'Foglio deposito bis'!$F$71*IF(ABS(N1713)&lt;'Sollecitazioni nel paramento'!$G$58,ABS(N1713)*'Sollecitazioni nel paramento'!$G$54,'Sollecitazioni nel paramento'!$G$53)*IF(N1713&lt;0,-1,1)</f>
        <v>-314705.62929873407</v>
      </c>
      <c r="U1713" s="545">
        <f>'Foglio deposito bis'!$F$72*IF(ABS(O1713)&lt;'Sollecitazioni nel paramento'!$G$58,ABS(O1713)*'Sollecitazioni nel paramento'!$G$54,'Sollecitazioni nel paramento'!$G$53)*IF(O1713&lt;0,-1,1)</f>
        <v>299498.82362995227</v>
      </c>
      <c r="V1713" s="472">
        <f t="shared" si="122"/>
        <v>-16496332.13286737</v>
      </c>
      <c r="W1713" s="551"/>
      <c r="X1713" s="551"/>
    </row>
    <row r="1714" spans="1:24" x14ac:dyDescent="0.25">
      <c r="A1714" s="545">
        <f t="shared" si="121"/>
        <v>16833715.672151249</v>
      </c>
      <c r="B1714" s="3">
        <f t="shared" si="119"/>
        <v>52.899999999999942</v>
      </c>
      <c r="C1714" s="545">
        <f>'Foglio deposito bis'!$E$159/sezione!$B$247*B1714</f>
        <v>436.83374237319373</v>
      </c>
      <c r="D1714" s="603">
        <f>-'Sollecitazioni nel paramento'!$G$47*'Sollecitazioni nel paramento'!$G$41*IF(DATI!$G$211="dx",DATI!$E$61,DATI!$E$64*DATI!$E$63)*1000*C1714^2*sezione!$AD$5*(1-sezione!$AD$6)</f>
        <v>-4245569742.4184985</v>
      </c>
      <c r="E1714" s="545">
        <f>-'Foglio deposito bis'!$F$68*(C1714-sezione!$AL$33)*IF(ABS(K1714)&lt;'Sollecitazioni nel paramento'!$G$58,ABS(K1714)*'Sollecitazioni nel paramento'!$G$54,'Sollecitazioni nel paramento'!$G$53)</f>
        <v>0</v>
      </c>
      <c r="F1714" s="545">
        <f>-'Foglio deposito bis'!$F$69*(C1714-sezione!$AM$33)*IF(ABS(L1714)&lt;'Sollecitazioni nel paramento'!$G$58,ABS(L1714)*'Sollecitazioni nel paramento'!$G$54,'Sollecitazioni nel paramento'!$G$53)</f>
        <v>-57906103.532496564</v>
      </c>
      <c r="G1714" s="545">
        <f>-'Foglio deposito bis'!$F$70*(C1714-sezione!$AN$33)*IF(ABS(M1714)&lt;'Sollecitazioni nel paramento'!$G$58,ABS(M1714)*'Sollecitazioni nel paramento'!$G$54,'Sollecitazioni nel paramento'!$G$53)</f>
        <v>0</v>
      </c>
      <c r="H1714" s="545">
        <f>-'Foglio deposito bis'!$F$71*(C1714-sezione!$AO$33)*IF(ABS(N1714)&lt;'Sollecitazioni nel paramento'!$G$58,ABS(N1714)*'Sollecitazioni nel paramento'!$G$54,'Sollecitazioni nel paramento'!$G$53)</f>
        <v>-87121137.104679555</v>
      </c>
      <c r="I1714" s="472">
        <f>-'Foglio deposito bis'!$F$72*(C1714-sezione!$AP$33)*IF(ABS(O1714)&lt;'Sollecitazioni nel paramento'!$G$58,ABS(O1714)*'Sollecitazioni nel paramento'!$G$54,'Sollecitazioni nel paramento'!$G$53)</f>
        <v>36916493.096713714</v>
      </c>
      <c r="J1714" s="472">
        <f t="shared" si="120"/>
        <v>-4353680489.9589605</v>
      </c>
      <c r="K1714" s="550">
        <f>'Sollecitazioni nel paramento'!$G$60*(sezione!$AL$33-C1714)/C1714</f>
        <v>-3.1795119368769006E-3</v>
      </c>
      <c r="L1714" s="550">
        <f>'Sollecitazioni nel paramento'!$G$60*(sezione!$AM$33-C1714)/C1714</f>
        <v>-3.0192679053153504E-3</v>
      </c>
      <c r="M1714" s="551">
        <f>'Sollecitazioni nel paramento'!$G$60*(sezione!$AN$33-C1714)/C1714</f>
        <v>-2.8590238737538007E-3</v>
      </c>
      <c r="N1714" s="551">
        <f>'Sollecitazioni nel paramento'!$G$60*(sezione!$AO$33-C1714)/C1714</f>
        <v>-2.2180477475076009E-3</v>
      </c>
      <c r="O1714" s="551">
        <f>'Sollecitazioni nel paramento'!$G$60*(sezione!$AP$33-C1714)/C1714</f>
        <v>1.068925925534747E-3</v>
      </c>
      <c r="P1714" s="545">
        <f>-'Sollecitazioni nel paramento'!$G$47*'Sollecitazioni nel paramento'!$G$41*IF(DATI!$G$211="dx",DATI!$E$61,DATI!$E$64*DATI!$E$63)*1000*C1714*sezione!$AD$5</f>
        <v>-16642055.083191559</v>
      </c>
      <c r="Q1714" s="545">
        <f>'Foglio deposito bis'!$F$68*IF(ABS(K1714)&lt;'Sollecitazioni nel paramento'!$G$58,ABS(K1714)*'Sollecitazioni nel paramento'!$G$54,'Sollecitazioni nel paramento'!$G$53)*IF(K1714&lt;0,-1,1)</f>
        <v>0</v>
      </c>
      <c r="R1714" s="545">
        <f>'Foglio deposito bis'!$F$69*IF(ABS(L1714)&lt;'Sollecitazioni nel paramento'!$G$58,ABS(L1714)*'Sollecitazioni nel paramento'!$G$54,'Sollecitazioni nel paramento'!$G$53)*IF(L1714&lt;0,-1,1)</f>
        <v>-153664.85805602249</v>
      </c>
      <c r="S1714" s="545">
        <f>'Foglio deposito bis'!$F$70*IF(ABS(M1714)&lt;'Sollecitazioni nel paramento'!$G$58,ABS(M1714)*'Sollecitazioni nel paramento'!$G$54,'Sollecitazioni nel paramento'!$G$53)*IF(M1714&lt;0,-1,1)</f>
        <v>0</v>
      </c>
      <c r="T1714" s="545">
        <f>'Foglio deposito bis'!$F$71*IF(ABS(N1714)&lt;'Sollecitazioni nel paramento'!$G$58,ABS(N1714)*'Sollecitazioni nel paramento'!$G$54,'Sollecitazioni nel paramento'!$G$53)*IF(N1714&lt;0,-1,1)</f>
        <v>-314705.62929873407</v>
      </c>
      <c r="U1714" s="545">
        <f>'Foglio deposito bis'!$F$72*IF(ABS(O1714)&lt;'Sollecitazioni nel paramento'!$G$58,ABS(O1714)*'Sollecitazioni nel paramento'!$G$54,'Sollecitazioni nel paramento'!$G$53)*IF(O1714&lt;0,-1,1)</f>
        <v>276709.89839507046</v>
      </c>
      <c r="V1714" s="472">
        <f t="shared" si="122"/>
        <v>-16833715.672151249</v>
      </c>
      <c r="W1714" s="551"/>
      <c r="X1714" s="551"/>
    </row>
    <row r="1715" spans="1:24" x14ac:dyDescent="0.25">
      <c r="A1715" s="545">
        <f t="shared" si="121"/>
        <v>17170253.611240871</v>
      </c>
      <c r="B1715" s="3">
        <f t="shared" si="119"/>
        <v>53.899999999999942</v>
      </c>
      <c r="C1715" s="545">
        <f>'Foglio deposito bis'!$E$159/sezione!$B$247*B1715</f>
        <v>445.09146907211988</v>
      </c>
      <c r="D1715" s="603">
        <f>-'Sollecitazioni nel paramento'!$G$47*'Sollecitazioni nel paramento'!$G$41*IF(DATI!$G$211="dx",DATI!$E$61,DATI!$E$64*DATI!$E$63)*1000*C1715^2*sezione!$AD$5*(1-sezione!$AD$6)</f>
        <v>-4407599912.5830908</v>
      </c>
      <c r="E1715" s="545">
        <f>-'Foglio deposito bis'!$F$68*(C1715-sezione!$AL$33)*IF(ABS(K1715)&lt;'Sollecitazioni nel paramento'!$G$58,ABS(K1715)*'Sollecitazioni nel paramento'!$G$54,'Sollecitazioni nel paramento'!$G$53)</f>
        <v>0</v>
      </c>
      <c r="F1715" s="545">
        <f>-'Foglio deposito bis'!$F$69*(C1715-sezione!$AM$33)*IF(ABS(L1715)&lt;'Sollecitazioni nel paramento'!$G$58,ABS(L1715)*'Sollecitazioni nel paramento'!$G$54,'Sollecitazioni nel paramento'!$G$53)</f>
        <v>-59175025.933552481</v>
      </c>
      <c r="G1715" s="545">
        <f>-'Foglio deposito bis'!$F$70*(C1715-sezione!$AN$33)*IF(ABS(M1715)&lt;'Sollecitazioni nel paramento'!$G$58,ABS(M1715)*'Sollecitazioni nel paramento'!$G$54,'Sollecitazioni nel paramento'!$G$53)</f>
        <v>0</v>
      </c>
      <c r="H1715" s="545">
        <f>-'Foglio deposito bis'!$F$71*(C1715-sezione!$AO$33)*IF(ABS(N1715)&lt;'Sollecitazioni nel paramento'!$G$58,ABS(N1715)*'Sollecitazioni nel paramento'!$G$54,'Sollecitazioni nel paramento'!$G$53)</f>
        <v>-89719890.182042077</v>
      </c>
      <c r="I1715" s="472">
        <f>-'Foglio deposito bis'!$F$72*(C1715-sezione!$AP$33)*IF(ABS(O1715)&lt;'Sollecitazioni nel paramento'!$G$58,ABS(O1715)*'Sollecitazioni nel paramento'!$G$54,'Sollecitazioni nel paramento'!$G$53)</f>
        <v>31885191.76147934</v>
      </c>
      <c r="J1715" s="472">
        <f t="shared" si="120"/>
        <v>-4524609636.9372063</v>
      </c>
      <c r="K1715" s="550">
        <f>'Sollecitazioni nel paramento'!$G$60*(sezione!$AL$33-C1715)/C1715</f>
        <v>-3.1854579120739893E-3</v>
      </c>
      <c r="L1715" s="550">
        <f>'Sollecitazioni nel paramento'!$G$60*(sezione!$AM$33-C1715)/C1715</f>
        <v>-3.0281868681109841E-3</v>
      </c>
      <c r="M1715" s="551">
        <f>'Sollecitazioni nel paramento'!$G$60*(sezione!$AN$33-C1715)/C1715</f>
        <v>-2.8709158241479785E-3</v>
      </c>
      <c r="N1715" s="551">
        <f>'Sollecitazioni nel paramento'!$G$60*(sezione!$AO$33-C1715)/C1715</f>
        <v>-2.2418316482959574E-3</v>
      </c>
      <c r="O1715" s="551">
        <f>'Sollecitazioni nel paramento'!$G$60*(sezione!$AP$33-C1715)/C1715</f>
        <v>9.8415921077528988E-4</v>
      </c>
      <c r="P1715" s="545">
        <f>-'Sollecitazioni nel paramento'!$G$47*'Sollecitazioni nel paramento'!$G$41*IF(DATI!$G$211="dx",DATI!$E$61,DATI!$E$64*DATI!$E$63)*1000*C1715*sezione!$AD$5</f>
        <v>-16956649.697240546</v>
      </c>
      <c r="Q1715" s="545">
        <f>'Foglio deposito bis'!$F$68*IF(ABS(K1715)&lt;'Sollecitazioni nel paramento'!$G$58,ABS(K1715)*'Sollecitazioni nel paramento'!$G$54,'Sollecitazioni nel paramento'!$G$53)*IF(K1715&lt;0,-1,1)</f>
        <v>0</v>
      </c>
      <c r="R1715" s="545">
        <f>'Foglio deposito bis'!$F$69*IF(ABS(L1715)&lt;'Sollecitazioni nel paramento'!$G$58,ABS(L1715)*'Sollecitazioni nel paramento'!$G$54,'Sollecitazioni nel paramento'!$G$53)*IF(L1715&lt;0,-1,1)</f>
        <v>-153664.85805602249</v>
      </c>
      <c r="S1715" s="545">
        <f>'Foglio deposito bis'!$F$70*IF(ABS(M1715)&lt;'Sollecitazioni nel paramento'!$G$58,ABS(M1715)*'Sollecitazioni nel paramento'!$G$54,'Sollecitazioni nel paramento'!$G$53)*IF(M1715&lt;0,-1,1)</f>
        <v>0</v>
      </c>
      <c r="T1715" s="545">
        <f>'Foglio deposito bis'!$F$71*IF(ABS(N1715)&lt;'Sollecitazioni nel paramento'!$G$58,ABS(N1715)*'Sollecitazioni nel paramento'!$G$54,'Sollecitazioni nel paramento'!$G$53)*IF(N1715&lt;0,-1,1)</f>
        <v>-314705.62929873407</v>
      </c>
      <c r="U1715" s="545">
        <f>'Foglio deposito bis'!$F$72*IF(ABS(O1715)&lt;'Sollecitazioni nel paramento'!$G$58,ABS(O1715)*'Sollecitazioni nel paramento'!$G$54,'Sollecitazioni nel paramento'!$G$53)*IF(O1715&lt;0,-1,1)</f>
        <v>254766.57335443288</v>
      </c>
      <c r="V1715" s="472">
        <f t="shared" si="122"/>
        <v>-17170253.611240871</v>
      </c>
      <c r="W1715" s="551"/>
      <c r="X1715" s="551"/>
    </row>
    <row r="1716" spans="1:24" x14ac:dyDescent="0.25">
      <c r="A1716" s="545">
        <f t="shared" si="121"/>
        <v>17505992.15779715</v>
      </c>
      <c r="B1716" s="3">
        <f t="shared" si="119"/>
        <v>54.899999999999942</v>
      </c>
      <c r="C1716" s="545">
        <f>'Foglio deposito bis'!$E$159/sezione!$B$247*B1716</f>
        <v>453.34919577104608</v>
      </c>
      <c r="D1716" s="603">
        <f>-'Sollecitazioni nel paramento'!$G$47*'Sollecitazioni nel paramento'!$G$41*IF(DATI!$G$211="dx",DATI!$E$61,DATI!$E$64*DATI!$E$63)*1000*C1716^2*sezione!$AD$5*(1-sezione!$AD$6)</f>
        <v>-4572664355.5972071</v>
      </c>
      <c r="E1716" s="545">
        <f>-'Foglio deposito bis'!$F$68*(C1716-sezione!$AL$33)*IF(ABS(K1716)&lt;'Sollecitazioni nel paramento'!$G$58,ABS(K1716)*'Sollecitazioni nel paramento'!$G$54,'Sollecitazioni nel paramento'!$G$53)</f>
        <v>0</v>
      </c>
      <c r="F1716" s="545">
        <f>-'Foglio deposito bis'!$F$69*(C1716-sezione!$AM$33)*IF(ABS(L1716)&lt;'Sollecitazioni nel paramento'!$G$58,ABS(L1716)*'Sollecitazioni nel paramento'!$G$54,'Sollecitazioni nel paramento'!$G$53)</f>
        <v>-60443948.334608398</v>
      </c>
      <c r="G1716" s="545">
        <f>-'Foglio deposito bis'!$F$70*(C1716-sezione!$AN$33)*IF(ABS(M1716)&lt;'Sollecitazioni nel paramento'!$G$58,ABS(M1716)*'Sollecitazioni nel paramento'!$G$54,'Sollecitazioni nel paramento'!$G$53)</f>
        <v>0</v>
      </c>
      <c r="H1716" s="545">
        <f>-'Foglio deposito bis'!$F$71*(C1716-sezione!$AO$33)*IF(ABS(N1716)&lt;'Sollecitazioni nel paramento'!$G$58,ABS(N1716)*'Sollecitazioni nel paramento'!$G$54,'Sollecitazioni nel paramento'!$G$53)</f>
        <v>-92318643.259404615</v>
      </c>
      <c r="I1716" s="472">
        <f>-'Foglio deposito bis'!$F$72*(C1716-sezione!$AP$33)*IF(ABS(O1716)&lt;'Sollecitazioni nel paramento'!$G$58,ABS(O1716)*'Sollecitazioni nel paramento'!$G$54,'Sollecitazioni nel paramento'!$G$53)</f>
        <v>27309740.823260039</v>
      </c>
      <c r="J1716" s="472">
        <f t="shared" si="120"/>
        <v>-4698117206.367959</v>
      </c>
      <c r="K1716" s="550">
        <f>'Sollecitazioni nel paramento'!$G$60*(sezione!$AL$33-C1716)/C1716</f>
        <v>-3.1911872761527875E-3</v>
      </c>
      <c r="L1716" s="550">
        <f>'Sollecitazioni nel paramento'!$G$60*(sezione!$AM$33-C1716)/C1716</f>
        <v>-3.0367809142291808E-3</v>
      </c>
      <c r="M1716" s="551">
        <f>'Sollecitazioni nel paramento'!$G$60*(sezione!$AN$33-C1716)/C1716</f>
        <v>-2.8823745523055746E-3</v>
      </c>
      <c r="N1716" s="551">
        <f>'Sollecitazioni nel paramento'!$G$60*(sezione!$AO$33-C1716)/C1716</f>
        <v>-2.2647491046111491E-3</v>
      </c>
      <c r="O1716" s="551">
        <f>'Sollecitazioni nel paramento'!$G$60*(sezione!$AP$33-C1716)/C1716</f>
        <v>9.0248053662637701E-4</v>
      </c>
      <c r="P1716" s="545">
        <f>-'Sollecitazioni nel paramento'!$G$47*'Sollecitazioni nel paramento'!$G$41*IF(DATI!$G$211="dx",DATI!$E$61,DATI!$E$64*DATI!$E$63)*1000*C1716*sezione!$AD$5</f>
        <v>-17271244.311289541</v>
      </c>
      <c r="Q1716" s="545">
        <f>'Foglio deposito bis'!$F$68*IF(ABS(K1716)&lt;'Sollecitazioni nel paramento'!$G$58,ABS(K1716)*'Sollecitazioni nel paramento'!$G$54,'Sollecitazioni nel paramento'!$G$53)*IF(K1716&lt;0,-1,1)</f>
        <v>0</v>
      </c>
      <c r="R1716" s="545">
        <f>'Foglio deposito bis'!$F$69*IF(ABS(L1716)&lt;'Sollecitazioni nel paramento'!$G$58,ABS(L1716)*'Sollecitazioni nel paramento'!$G$54,'Sollecitazioni nel paramento'!$G$53)*IF(L1716&lt;0,-1,1)</f>
        <v>-153664.85805602249</v>
      </c>
      <c r="S1716" s="545">
        <f>'Foglio deposito bis'!$F$70*IF(ABS(M1716)&lt;'Sollecitazioni nel paramento'!$G$58,ABS(M1716)*'Sollecitazioni nel paramento'!$G$54,'Sollecitazioni nel paramento'!$G$53)*IF(M1716&lt;0,-1,1)</f>
        <v>0</v>
      </c>
      <c r="T1716" s="545">
        <f>'Foglio deposito bis'!$F$71*IF(ABS(N1716)&lt;'Sollecitazioni nel paramento'!$G$58,ABS(N1716)*'Sollecitazioni nel paramento'!$G$54,'Sollecitazioni nel paramento'!$G$53)*IF(N1716&lt;0,-1,1)</f>
        <v>-314705.62929873407</v>
      </c>
      <c r="U1716" s="545">
        <f>'Foglio deposito bis'!$F$72*IF(ABS(O1716)&lt;'Sollecitazioni nel paramento'!$G$58,ABS(O1716)*'Sollecitazioni nel paramento'!$G$54,'Sollecitazioni nel paramento'!$G$53)*IF(O1716&lt;0,-1,1)</f>
        <v>233622.64084715169</v>
      </c>
      <c r="V1716" s="472">
        <f t="shared" si="122"/>
        <v>-17505992.15779715</v>
      </c>
      <c r="W1716" s="551"/>
      <c r="X1716" s="551"/>
    </row>
    <row r="1717" spans="1:24" x14ac:dyDescent="0.25">
      <c r="A1717" s="545">
        <f t="shared" si="121"/>
        <v>17840974.213029366</v>
      </c>
      <c r="B1717" s="3">
        <f t="shared" si="119"/>
        <v>55.899999999999942</v>
      </c>
      <c r="C1717" s="545">
        <f>'Foglio deposito bis'!$E$159/sezione!$B$247*B1717</f>
        <v>461.60692246997223</v>
      </c>
      <c r="D1717" s="603">
        <f>-'Sollecitazioni nel paramento'!$G$47*'Sollecitazioni nel paramento'!$G$41*IF(DATI!$G$211="dx",DATI!$E$61,DATI!$E$64*DATI!$E$63)*1000*C1717^2*sezione!$AD$5*(1-sezione!$AD$6)</f>
        <v>-4740763071.4608479</v>
      </c>
      <c r="E1717" s="545">
        <f>-'Foglio deposito bis'!$F$68*(C1717-sezione!$AL$33)*IF(ABS(K1717)&lt;'Sollecitazioni nel paramento'!$G$58,ABS(K1717)*'Sollecitazioni nel paramento'!$G$54,'Sollecitazioni nel paramento'!$G$53)</f>
        <v>0</v>
      </c>
      <c r="F1717" s="545">
        <f>-'Foglio deposito bis'!$F$69*(C1717-sezione!$AM$33)*IF(ABS(L1717)&lt;'Sollecitazioni nel paramento'!$G$58,ABS(L1717)*'Sollecitazioni nel paramento'!$G$54,'Sollecitazioni nel paramento'!$G$53)</f>
        <v>-61712870.735664316</v>
      </c>
      <c r="G1717" s="545">
        <f>-'Foglio deposito bis'!$F$70*(C1717-sezione!$AN$33)*IF(ABS(M1717)&lt;'Sollecitazioni nel paramento'!$G$58,ABS(M1717)*'Sollecitazioni nel paramento'!$G$54,'Sollecitazioni nel paramento'!$G$53)</f>
        <v>0</v>
      </c>
      <c r="H1717" s="545">
        <f>-'Foglio deposito bis'!$F$71*(C1717-sezione!$AO$33)*IF(ABS(N1717)&lt;'Sollecitazioni nel paramento'!$G$58,ABS(N1717)*'Sollecitazioni nel paramento'!$G$54,'Sollecitazioni nel paramento'!$G$53)</f>
        <v>-94917396.336767122</v>
      </c>
      <c r="I1717" s="472">
        <f>-'Foglio deposito bis'!$F$72*(C1717-sezione!$AP$33)*IF(ABS(O1717)&lt;'Sollecitazioni nel paramento'!$G$58,ABS(O1717)*'Sollecitazioni nel paramento'!$G$54,'Sollecitazioni nel paramento'!$G$53)</f>
        <v>23165676.038924474</v>
      </c>
      <c r="J1717" s="472">
        <f t="shared" si="120"/>
        <v>-4874227662.4943552</v>
      </c>
      <c r="K1717" s="550">
        <f>'Sollecitazioni nel paramento'!$G$60*(sezione!$AL$33-C1717)/C1717</f>
        <v>-3.1967116540391419E-3</v>
      </c>
      <c r="L1717" s="550">
        <f>'Sollecitazioni nel paramento'!$G$60*(sezione!$AM$33-C1717)/C1717</f>
        <v>-3.0450674810587127E-3</v>
      </c>
      <c r="M1717" s="551">
        <f>'Sollecitazioni nel paramento'!$G$60*(sezione!$AN$33-C1717)/C1717</f>
        <v>-2.8934233080782838E-3</v>
      </c>
      <c r="N1717" s="551">
        <f>'Sollecitazioni nel paramento'!$G$60*(sezione!$AO$33-C1717)/C1717</f>
        <v>-2.2868466161565671E-3</v>
      </c>
      <c r="O1717" s="551">
        <f>'Sollecitazioni nel paramento'!$G$60*(sezione!$AP$33-C1717)/C1717</f>
        <v>8.2372417640050267E-4</v>
      </c>
      <c r="P1717" s="545">
        <f>-'Sollecitazioni nel paramento'!$G$47*'Sollecitazioni nel paramento'!$G$41*IF(DATI!$G$211="dx",DATI!$E$61,DATI!$E$64*DATI!$E$63)*1000*C1717*sezione!$AD$5</f>
        <v>-17585838.925338529</v>
      </c>
      <c r="Q1717" s="545">
        <f>'Foglio deposito bis'!$F$68*IF(ABS(K1717)&lt;'Sollecitazioni nel paramento'!$G$58,ABS(K1717)*'Sollecitazioni nel paramento'!$G$54,'Sollecitazioni nel paramento'!$G$53)*IF(K1717&lt;0,-1,1)</f>
        <v>0</v>
      </c>
      <c r="R1717" s="545">
        <f>'Foglio deposito bis'!$F$69*IF(ABS(L1717)&lt;'Sollecitazioni nel paramento'!$G$58,ABS(L1717)*'Sollecitazioni nel paramento'!$G$54,'Sollecitazioni nel paramento'!$G$53)*IF(L1717&lt;0,-1,1)</f>
        <v>-153664.85805602249</v>
      </c>
      <c r="S1717" s="545">
        <f>'Foglio deposito bis'!$F$70*IF(ABS(M1717)&lt;'Sollecitazioni nel paramento'!$G$58,ABS(M1717)*'Sollecitazioni nel paramento'!$G$54,'Sollecitazioni nel paramento'!$G$53)*IF(M1717&lt;0,-1,1)</f>
        <v>0</v>
      </c>
      <c r="T1717" s="545">
        <f>'Foglio deposito bis'!$F$71*IF(ABS(N1717)&lt;'Sollecitazioni nel paramento'!$G$58,ABS(N1717)*'Sollecitazioni nel paramento'!$G$54,'Sollecitazioni nel paramento'!$G$53)*IF(N1717&lt;0,-1,1)</f>
        <v>-314705.62929873407</v>
      </c>
      <c r="U1717" s="545">
        <f>'Foglio deposito bis'!$F$72*IF(ABS(O1717)&lt;'Sollecitazioni nel paramento'!$G$58,ABS(O1717)*'Sollecitazioni nel paramento'!$G$54,'Sollecitazioni nel paramento'!$G$53)*IF(O1717&lt;0,-1,1)</f>
        <v>213235.19966392365</v>
      </c>
      <c r="V1717" s="472">
        <f t="shared" si="122"/>
        <v>-17840974.213029366</v>
      </c>
      <c r="W1717" s="551"/>
      <c r="X1717" s="551"/>
    </row>
    <row r="1718" spans="1:24" x14ac:dyDescent="0.25">
      <c r="A1718" s="545">
        <f t="shared" si="121"/>
        <v>18175239.662244599</v>
      </c>
      <c r="B1718" s="3">
        <f t="shared" si="119"/>
        <v>56.899999999999942</v>
      </c>
      <c r="C1718" s="545">
        <f>'Foglio deposito bis'!$E$159/sezione!$B$247*B1718</f>
        <v>469.86464916889838</v>
      </c>
      <c r="D1718" s="603">
        <f>-'Sollecitazioni nel paramento'!$G$47*'Sollecitazioni nel paramento'!$G$41*IF(DATI!$G$211="dx",DATI!$E$61,DATI!$E$64*DATI!$E$63)*1000*C1718^2*sezione!$AD$5*(1-sezione!$AD$6)</f>
        <v>-4911896060.1740122</v>
      </c>
      <c r="E1718" s="545">
        <f>-'Foglio deposito bis'!$F$68*(C1718-sezione!$AL$33)*IF(ABS(K1718)&lt;'Sollecitazioni nel paramento'!$G$58,ABS(K1718)*'Sollecitazioni nel paramento'!$G$54,'Sollecitazioni nel paramento'!$G$53)</f>
        <v>0</v>
      </c>
      <c r="F1718" s="545">
        <f>-'Foglio deposito bis'!$F$69*(C1718-sezione!$AM$33)*IF(ABS(L1718)&lt;'Sollecitazioni nel paramento'!$G$58,ABS(L1718)*'Sollecitazioni nel paramento'!$G$54,'Sollecitazioni nel paramento'!$G$53)</f>
        <v>-62981793.136720233</v>
      </c>
      <c r="G1718" s="545">
        <f>-'Foglio deposito bis'!$F$70*(C1718-sezione!$AN$33)*IF(ABS(M1718)&lt;'Sollecitazioni nel paramento'!$G$58,ABS(M1718)*'Sollecitazioni nel paramento'!$G$54,'Sollecitazioni nel paramento'!$G$53)</f>
        <v>0</v>
      </c>
      <c r="H1718" s="545">
        <f>-'Foglio deposito bis'!$F$71*(C1718-sezione!$AO$33)*IF(ABS(N1718)&lt;'Sollecitazioni nel paramento'!$G$58,ABS(N1718)*'Sollecitazioni nel paramento'!$G$54,'Sollecitazioni nel paramento'!$G$53)</f>
        <v>-97516149.41412963</v>
      </c>
      <c r="I1718" s="472">
        <f>-'Foglio deposito bis'!$F$72*(C1718-sezione!$AP$33)*IF(ABS(O1718)&lt;'Sollecitazioni nel paramento'!$G$58,ABS(O1718)*'Sollecitazioni nel paramento'!$G$54,'Sollecitazioni nel paramento'!$G$53)</f>
        <v>19430252.971536748</v>
      </c>
      <c r="J1718" s="472">
        <f t="shared" si="120"/>
        <v>-5052963749.7533255</v>
      </c>
      <c r="K1718" s="550">
        <f>'Sollecitazioni nel paramento'!$G$60*(sezione!$AL$33-C1718)/C1718</f>
        <v>-3.2020418534409144E-3</v>
      </c>
      <c r="L1718" s="550">
        <f>'Sollecitazioni nel paramento'!$G$60*(sezione!$AM$33-C1718)/C1718</f>
        <v>-3.0530627801613718E-3</v>
      </c>
      <c r="M1718" s="551">
        <f>'Sollecitazioni nel paramento'!$G$60*(sezione!$AN$33-C1718)/C1718</f>
        <v>-2.9040837068818287E-3</v>
      </c>
      <c r="N1718" s="551">
        <f>'Sollecitazioni nel paramento'!$G$60*(sezione!$AO$33-C1718)/C1718</f>
        <v>-2.3081674137636573E-3</v>
      </c>
      <c r="O1718" s="551">
        <f>'Sollecitazioni nel paramento'!$G$60*(sezione!$AP$33-C1718)/C1718</f>
        <v>7.4773605379240948E-4</v>
      </c>
      <c r="P1718" s="545">
        <f>-'Sollecitazioni nel paramento'!$G$47*'Sollecitazioni nel paramento'!$G$41*IF(DATI!$G$211="dx",DATI!$E$61,DATI!$E$64*DATI!$E$63)*1000*C1718*sezione!$AD$5</f>
        <v>-17900433.53938752</v>
      </c>
      <c r="Q1718" s="545">
        <f>'Foglio deposito bis'!$F$68*IF(ABS(K1718)&lt;'Sollecitazioni nel paramento'!$G$58,ABS(K1718)*'Sollecitazioni nel paramento'!$G$54,'Sollecitazioni nel paramento'!$G$53)*IF(K1718&lt;0,-1,1)</f>
        <v>0</v>
      </c>
      <c r="R1718" s="545">
        <f>'Foglio deposito bis'!$F$69*IF(ABS(L1718)&lt;'Sollecitazioni nel paramento'!$G$58,ABS(L1718)*'Sollecitazioni nel paramento'!$G$54,'Sollecitazioni nel paramento'!$G$53)*IF(L1718&lt;0,-1,1)</f>
        <v>-153664.85805602249</v>
      </c>
      <c r="S1718" s="545">
        <f>'Foglio deposito bis'!$F$70*IF(ABS(M1718)&lt;'Sollecitazioni nel paramento'!$G$58,ABS(M1718)*'Sollecitazioni nel paramento'!$G$54,'Sollecitazioni nel paramento'!$G$53)*IF(M1718&lt;0,-1,1)</f>
        <v>0</v>
      </c>
      <c r="T1718" s="545">
        <f>'Foglio deposito bis'!$F$71*IF(ABS(N1718)&lt;'Sollecitazioni nel paramento'!$G$58,ABS(N1718)*'Sollecitazioni nel paramento'!$G$54,'Sollecitazioni nel paramento'!$G$53)*IF(N1718&lt;0,-1,1)</f>
        <v>-314705.62929873407</v>
      </c>
      <c r="U1718" s="545">
        <f>'Foglio deposito bis'!$F$72*IF(ABS(O1718)&lt;'Sollecitazioni nel paramento'!$G$58,ABS(O1718)*'Sollecitazioni nel paramento'!$G$54,'Sollecitazioni nel paramento'!$G$53)*IF(O1718&lt;0,-1,1)</f>
        <v>193564.36449768077</v>
      </c>
      <c r="V1718" s="472">
        <f t="shared" si="122"/>
        <v>-18175239.662244599</v>
      </c>
      <c r="W1718" s="551"/>
      <c r="X1718" s="551"/>
    </row>
    <row r="1719" spans="1:24" x14ac:dyDescent="0.25">
      <c r="A1719" s="545">
        <f t="shared" si="121"/>
        <v>18508825.635288283</v>
      </c>
      <c r="B1719" s="3">
        <f t="shared" si="119"/>
        <v>57.899999999999942</v>
      </c>
      <c r="C1719" s="545">
        <f>'Foglio deposito bis'!$E$159/sezione!$B$247*B1719</f>
        <v>478.12237586782459</v>
      </c>
      <c r="D1719" s="603">
        <f>-'Sollecitazioni nel paramento'!$G$47*'Sollecitazioni nel paramento'!$G$41*IF(DATI!$G$211="dx",DATI!$E$61,DATI!$E$64*DATI!$E$63)*1000*C1719^2*sezione!$AD$5*(1-sezione!$AD$6)</f>
        <v>-5086063321.736702</v>
      </c>
      <c r="E1719" s="545">
        <f>-'Foglio deposito bis'!$F$68*(C1719-sezione!$AL$33)*IF(ABS(K1719)&lt;'Sollecitazioni nel paramento'!$G$58,ABS(K1719)*'Sollecitazioni nel paramento'!$G$54,'Sollecitazioni nel paramento'!$G$53)</f>
        <v>0</v>
      </c>
      <c r="F1719" s="545">
        <f>-'Foglio deposito bis'!$F$69*(C1719-sezione!$AM$33)*IF(ABS(L1719)&lt;'Sollecitazioni nel paramento'!$G$58,ABS(L1719)*'Sollecitazioni nel paramento'!$G$54,'Sollecitazioni nel paramento'!$G$53)</f>
        <v>-64250715.53777615</v>
      </c>
      <c r="G1719" s="545">
        <f>-'Foglio deposito bis'!$F$70*(C1719-sezione!$AN$33)*IF(ABS(M1719)&lt;'Sollecitazioni nel paramento'!$G$58,ABS(M1719)*'Sollecitazioni nel paramento'!$G$54,'Sollecitazioni nel paramento'!$G$53)</f>
        <v>0</v>
      </c>
      <c r="H1719" s="545">
        <f>-'Foglio deposito bis'!$F$71*(C1719-sezione!$AO$33)*IF(ABS(N1719)&lt;'Sollecitazioni nel paramento'!$G$58,ABS(N1719)*'Sollecitazioni nel paramento'!$G$54,'Sollecitazioni nel paramento'!$G$53)</f>
        <v>-100114902.49149215</v>
      </c>
      <c r="I1719" s="472">
        <f>-'Foglio deposito bis'!$F$72*(C1719-sezione!$AP$33)*IF(ABS(O1719)&lt;'Sollecitazioni nel paramento'!$G$58,ABS(O1719)*'Sollecitazioni nel paramento'!$G$54,'Sollecitazioni nel paramento'!$G$53)</f>
        <v>16082298.475140989</v>
      </c>
      <c r="J1719" s="472">
        <f t="shared" si="120"/>
        <v>-5234346641.2908297</v>
      </c>
      <c r="K1719" s="550">
        <f>'Sollecitazioni nel paramento'!$G$60*(sezione!$AL$33-C1719)/C1719</f>
        <v>-3.2071879354194821E-3</v>
      </c>
      <c r="L1719" s="550">
        <f>'Sollecitazioni nel paramento'!$G$60*(sezione!$AM$33-C1719)/C1719</f>
        <v>-3.0607819031292236E-3</v>
      </c>
      <c r="M1719" s="551">
        <f>'Sollecitazioni nel paramento'!$G$60*(sezione!$AN$33-C1719)/C1719</f>
        <v>-2.9143758708389646E-3</v>
      </c>
      <c r="N1719" s="551">
        <f>'Sollecitazioni nel paramento'!$G$60*(sezione!$AO$33-C1719)/C1719</f>
        <v>-2.3287517416779291E-3</v>
      </c>
      <c r="O1719" s="551">
        <f>'Sollecitazioni nel paramento'!$G$60*(sezione!$AP$33-C1719)/C1719</f>
        <v>6.7437273680117586E-4</v>
      </c>
      <c r="P1719" s="545">
        <f>-'Sollecitazioni nel paramento'!$G$47*'Sollecitazioni nel paramento'!$G$41*IF(DATI!$G$211="dx",DATI!$E$61,DATI!$E$64*DATI!$E$63)*1000*C1719*sezione!$AD$5</f>
        <v>-18215028.153436508</v>
      </c>
      <c r="Q1719" s="545">
        <f>'Foglio deposito bis'!$F$68*IF(ABS(K1719)&lt;'Sollecitazioni nel paramento'!$G$58,ABS(K1719)*'Sollecitazioni nel paramento'!$G$54,'Sollecitazioni nel paramento'!$G$53)*IF(K1719&lt;0,-1,1)</f>
        <v>0</v>
      </c>
      <c r="R1719" s="545">
        <f>'Foglio deposito bis'!$F$69*IF(ABS(L1719)&lt;'Sollecitazioni nel paramento'!$G$58,ABS(L1719)*'Sollecitazioni nel paramento'!$G$54,'Sollecitazioni nel paramento'!$G$53)*IF(L1719&lt;0,-1,1)</f>
        <v>-153664.85805602249</v>
      </c>
      <c r="S1719" s="545">
        <f>'Foglio deposito bis'!$F$70*IF(ABS(M1719)&lt;'Sollecitazioni nel paramento'!$G$58,ABS(M1719)*'Sollecitazioni nel paramento'!$G$54,'Sollecitazioni nel paramento'!$G$53)*IF(M1719&lt;0,-1,1)</f>
        <v>0</v>
      </c>
      <c r="T1719" s="545">
        <f>'Foglio deposito bis'!$F$71*IF(ABS(N1719)&lt;'Sollecitazioni nel paramento'!$G$58,ABS(N1719)*'Sollecitazioni nel paramento'!$G$54,'Sollecitazioni nel paramento'!$G$53)*IF(N1719&lt;0,-1,1)</f>
        <v>-314705.62929873407</v>
      </c>
      <c r="U1719" s="545">
        <f>'Foglio deposito bis'!$F$72*IF(ABS(O1719)&lt;'Sollecitazioni nel paramento'!$G$58,ABS(O1719)*'Sollecitazioni nel paramento'!$G$54,'Sollecitazioni nel paramento'!$G$53)*IF(O1719&lt;0,-1,1)</f>
        <v>174573.00550298335</v>
      </c>
      <c r="V1719" s="472">
        <f t="shared" si="122"/>
        <v>-18508825.635288283</v>
      </c>
      <c r="W1719" s="551"/>
      <c r="X1719" s="551"/>
    </row>
    <row r="1720" spans="1:24" x14ac:dyDescent="0.25">
      <c r="A1720" s="545">
        <f t="shared" si="121"/>
        <v>18841766.740454394</v>
      </c>
      <c r="B1720" s="3">
        <f t="shared" si="119"/>
        <v>58.899999999999942</v>
      </c>
      <c r="C1720" s="545">
        <f>'Foglio deposito bis'!$E$159/sezione!$B$247*B1720</f>
        <v>486.38010256675074</v>
      </c>
      <c r="D1720" s="603">
        <f>-'Sollecitazioni nel paramento'!$G$47*'Sollecitazioni nel paramento'!$G$41*IF(DATI!$G$211="dx",DATI!$E$61,DATI!$E$64*DATI!$E$63)*1000*C1720^2*sezione!$AD$5*(1-sezione!$AD$6)</f>
        <v>-5263264856.1489134</v>
      </c>
      <c r="E1720" s="545">
        <f>-'Foglio deposito bis'!$F$68*(C1720-sezione!$AL$33)*IF(ABS(K1720)&lt;'Sollecitazioni nel paramento'!$G$58,ABS(K1720)*'Sollecitazioni nel paramento'!$G$54,'Sollecitazioni nel paramento'!$G$53)</f>
        <v>0</v>
      </c>
      <c r="F1720" s="545">
        <f>-'Foglio deposito bis'!$F$69*(C1720-sezione!$AM$33)*IF(ABS(L1720)&lt;'Sollecitazioni nel paramento'!$G$58,ABS(L1720)*'Sollecitazioni nel paramento'!$G$54,'Sollecitazioni nel paramento'!$G$53)</f>
        <v>-65519637.938832067</v>
      </c>
      <c r="G1720" s="545">
        <f>-'Foglio deposito bis'!$F$70*(C1720-sezione!$AN$33)*IF(ABS(M1720)&lt;'Sollecitazioni nel paramento'!$G$58,ABS(M1720)*'Sollecitazioni nel paramento'!$G$54,'Sollecitazioni nel paramento'!$G$53)</f>
        <v>0</v>
      </c>
      <c r="H1720" s="545">
        <f>-'Foglio deposito bis'!$F$71*(C1720-sezione!$AO$33)*IF(ABS(N1720)&lt;'Sollecitazioni nel paramento'!$G$58,ABS(N1720)*'Sollecitazioni nel paramento'!$G$54,'Sollecitazioni nel paramento'!$G$53)</f>
        <v>-102713655.56885467</v>
      </c>
      <c r="I1720" s="472">
        <f>-'Foglio deposito bis'!$F$72*(C1720-sezione!$AP$33)*IF(ABS(O1720)&lt;'Sollecitazioni nel paramento'!$G$58,ABS(O1720)*'Sollecitazioni nel paramento'!$G$54,'Sollecitazioni nel paramento'!$G$53)</f>
        <v>13102077.308430344</v>
      </c>
      <c r="J1720" s="472">
        <f t="shared" si="120"/>
        <v>-5418396072.3481693</v>
      </c>
      <c r="K1720" s="550">
        <f>'Sollecitazioni nel paramento'!$G$60*(sezione!$AL$33-C1720)/C1720</f>
        <v>-3.2121592777722926E-3</v>
      </c>
      <c r="L1720" s="550">
        <f>'Sollecitazioni nel paramento'!$G$60*(sezione!$AM$33-C1720)/C1720</f>
        <v>-3.0682389166584389E-3</v>
      </c>
      <c r="M1720" s="551">
        <f>'Sollecitazioni nel paramento'!$G$60*(sezione!$AN$33-C1720)/C1720</f>
        <v>-2.9243185555445851E-3</v>
      </c>
      <c r="N1720" s="551">
        <f>'Sollecitazioni nel paramento'!$G$60*(sezione!$AO$33-C1720)/C1720</f>
        <v>-2.3486371110891698E-3</v>
      </c>
      <c r="O1720" s="551">
        <f>'Sollecitazioni nel paramento'!$G$60*(sezione!$AP$33-C1720)/C1720</f>
        <v>6.0350053413901674E-4</v>
      </c>
      <c r="P1720" s="545">
        <f>-'Sollecitazioni nel paramento'!$G$47*'Sollecitazioni nel paramento'!$G$41*IF(DATI!$G$211="dx",DATI!$E$61,DATI!$E$64*DATI!$E$63)*1000*C1720*sezione!$AD$5</f>
        <v>-18529622.767485499</v>
      </c>
      <c r="Q1720" s="545">
        <f>'Foglio deposito bis'!$F$68*IF(ABS(K1720)&lt;'Sollecitazioni nel paramento'!$G$58,ABS(K1720)*'Sollecitazioni nel paramento'!$G$54,'Sollecitazioni nel paramento'!$G$53)*IF(K1720&lt;0,-1,1)</f>
        <v>0</v>
      </c>
      <c r="R1720" s="545">
        <f>'Foglio deposito bis'!$F$69*IF(ABS(L1720)&lt;'Sollecitazioni nel paramento'!$G$58,ABS(L1720)*'Sollecitazioni nel paramento'!$G$54,'Sollecitazioni nel paramento'!$G$53)*IF(L1720&lt;0,-1,1)</f>
        <v>-153664.85805602249</v>
      </c>
      <c r="S1720" s="545">
        <f>'Foglio deposito bis'!$F$70*IF(ABS(M1720)&lt;'Sollecitazioni nel paramento'!$G$58,ABS(M1720)*'Sollecitazioni nel paramento'!$G$54,'Sollecitazioni nel paramento'!$G$53)*IF(M1720&lt;0,-1,1)</f>
        <v>0</v>
      </c>
      <c r="T1720" s="545">
        <f>'Foglio deposito bis'!$F$71*IF(ABS(N1720)&lt;'Sollecitazioni nel paramento'!$G$58,ABS(N1720)*'Sollecitazioni nel paramento'!$G$54,'Sollecitazioni nel paramento'!$G$53)*IF(N1720&lt;0,-1,1)</f>
        <v>-314705.62929873407</v>
      </c>
      <c r="U1720" s="545">
        <f>'Foglio deposito bis'!$F$72*IF(ABS(O1720)&lt;'Sollecitazioni nel paramento'!$G$58,ABS(O1720)*'Sollecitazioni nel paramento'!$G$54,'Sollecitazioni nel paramento'!$G$53)*IF(O1720&lt;0,-1,1)</f>
        <v>156226.51438586487</v>
      </c>
      <c r="V1720" s="472">
        <f t="shared" si="122"/>
        <v>-18841766.740454394</v>
      </c>
      <c r="W1720" s="551"/>
      <c r="X1720" s="551"/>
    </row>
    <row r="1721" spans="1:24" x14ac:dyDescent="0.25">
      <c r="A1721" s="545">
        <f t="shared" si="121"/>
        <v>19174095.274965502</v>
      </c>
      <c r="B1721" s="3">
        <f t="shared" si="119"/>
        <v>59.899999999999942</v>
      </c>
      <c r="C1721" s="545">
        <f>'Foglio deposito bis'!$E$159/sezione!$B$247*B1721</f>
        <v>494.63782926567688</v>
      </c>
      <c r="D1721" s="603">
        <f>-'Sollecitazioni nel paramento'!$G$47*'Sollecitazioni nel paramento'!$G$41*IF(DATI!$G$211="dx",DATI!$E$61,DATI!$E$64*DATI!$E$63)*1000*C1721^2*sezione!$AD$5*(1-sezione!$AD$6)</f>
        <v>-5443500663.4106503</v>
      </c>
      <c r="E1721" s="545">
        <f>-'Foglio deposito bis'!$F$68*(C1721-sezione!$AL$33)*IF(ABS(K1721)&lt;'Sollecitazioni nel paramento'!$G$58,ABS(K1721)*'Sollecitazioni nel paramento'!$G$54,'Sollecitazioni nel paramento'!$G$53)</f>
        <v>0</v>
      </c>
      <c r="F1721" s="545">
        <f>-'Foglio deposito bis'!$F$69*(C1721-sezione!$AM$33)*IF(ABS(L1721)&lt;'Sollecitazioni nel paramento'!$G$58,ABS(L1721)*'Sollecitazioni nel paramento'!$G$54,'Sollecitazioni nel paramento'!$G$53)</f>
        <v>-66788560.339887977</v>
      </c>
      <c r="G1721" s="545">
        <f>-'Foglio deposito bis'!$F$70*(C1721-sezione!$AN$33)*IF(ABS(M1721)&lt;'Sollecitazioni nel paramento'!$G$58,ABS(M1721)*'Sollecitazioni nel paramento'!$G$54,'Sollecitazioni nel paramento'!$G$53)</f>
        <v>0</v>
      </c>
      <c r="H1721" s="545">
        <f>-'Foglio deposito bis'!$F$71*(C1721-sezione!$AO$33)*IF(ABS(N1721)&lt;'Sollecitazioni nel paramento'!$G$58,ABS(N1721)*'Sollecitazioni nel paramento'!$G$54,'Sollecitazioni nel paramento'!$G$53)</f>
        <v>-105312408.64621717</v>
      </c>
      <c r="I1721" s="472">
        <f>-'Foglio deposito bis'!$F$72*(C1721-sezione!$AP$33)*IF(ABS(O1721)&lt;'Sollecitazioni nel paramento'!$G$58,ABS(O1721)*'Sollecitazioni nel paramento'!$G$54,'Sollecitazioni nel paramento'!$G$53)</f>
        <v>10471172.109317061</v>
      </c>
      <c r="J1721" s="472">
        <f t="shared" si="120"/>
        <v>-5605130460.2874384</v>
      </c>
      <c r="K1721" s="550">
        <f>'Sollecitazioni nel paramento'!$G$60*(sezione!$AL$33-C1721)/C1721</f>
        <v>-3.2169646320665784E-3</v>
      </c>
      <c r="L1721" s="550">
        <f>'Sollecitazioni nel paramento'!$G$60*(sezione!$AM$33-C1721)/C1721</f>
        <v>-3.0754469480998672E-3</v>
      </c>
      <c r="M1721" s="551">
        <f>'Sollecitazioni nel paramento'!$G$60*(sezione!$AN$33-C1721)/C1721</f>
        <v>-2.9339292641331559E-3</v>
      </c>
      <c r="N1721" s="551">
        <f>'Sollecitazioni nel paramento'!$G$60*(sezione!$AO$33-C1721)/C1721</f>
        <v>-2.3678585282663122E-3</v>
      </c>
      <c r="O1721" s="551">
        <f>'Sollecitazioni nel paramento'!$G$60*(sezione!$AP$33-C1721)/C1721</f>
        <v>5.3499468215005151E-4</v>
      </c>
      <c r="P1721" s="545">
        <f>-'Sollecitazioni nel paramento'!$G$47*'Sollecitazioni nel paramento'!$G$41*IF(DATI!$G$211="dx",DATI!$E$61,DATI!$E$64*DATI!$E$63)*1000*C1721*sezione!$AD$5</f>
        <v>-18844217.381534487</v>
      </c>
      <c r="Q1721" s="545">
        <f>'Foglio deposito bis'!$F$68*IF(ABS(K1721)&lt;'Sollecitazioni nel paramento'!$G$58,ABS(K1721)*'Sollecitazioni nel paramento'!$G$54,'Sollecitazioni nel paramento'!$G$53)*IF(K1721&lt;0,-1,1)</f>
        <v>0</v>
      </c>
      <c r="R1721" s="545">
        <f>'Foglio deposito bis'!$F$69*IF(ABS(L1721)&lt;'Sollecitazioni nel paramento'!$G$58,ABS(L1721)*'Sollecitazioni nel paramento'!$G$54,'Sollecitazioni nel paramento'!$G$53)*IF(L1721&lt;0,-1,1)</f>
        <v>-153664.85805602249</v>
      </c>
      <c r="S1721" s="545">
        <f>'Foglio deposito bis'!$F$70*IF(ABS(M1721)&lt;'Sollecitazioni nel paramento'!$G$58,ABS(M1721)*'Sollecitazioni nel paramento'!$G$54,'Sollecitazioni nel paramento'!$G$53)*IF(M1721&lt;0,-1,1)</f>
        <v>0</v>
      </c>
      <c r="T1721" s="545">
        <f>'Foglio deposito bis'!$F$71*IF(ABS(N1721)&lt;'Sollecitazioni nel paramento'!$G$58,ABS(N1721)*'Sollecitazioni nel paramento'!$G$54,'Sollecitazioni nel paramento'!$G$53)*IF(N1721&lt;0,-1,1)</f>
        <v>-314705.62929873407</v>
      </c>
      <c r="U1721" s="545">
        <f>'Foglio deposito bis'!$F$72*IF(ABS(O1721)&lt;'Sollecitazioni nel paramento'!$G$58,ABS(O1721)*'Sollecitazioni nel paramento'!$G$54,'Sollecitazioni nel paramento'!$G$53)*IF(O1721&lt;0,-1,1)</f>
        <v>138492.59392374198</v>
      </c>
      <c r="V1721" s="472">
        <f t="shared" si="122"/>
        <v>-19174095.274965502</v>
      </c>
      <c r="W1721" s="551"/>
      <c r="X1721" s="551"/>
    </row>
    <row r="1722" spans="1:24" x14ac:dyDescent="0.25">
      <c r="A1722" s="545">
        <f t="shared" si="121"/>
        <v>19505841.414715957</v>
      </c>
      <c r="B1722" s="3">
        <f t="shared" si="119"/>
        <v>60.899999999999942</v>
      </c>
      <c r="C1722" s="545">
        <f>'Foglio deposito bis'!$E$159/sezione!$B$247*B1722</f>
        <v>502.89555596460309</v>
      </c>
      <c r="D1722" s="603">
        <f>-'Sollecitazioni nel paramento'!$G$47*'Sollecitazioni nel paramento'!$G$41*IF(DATI!$G$211="dx",DATI!$E$61,DATI!$E$64*DATI!$E$63)*1000*C1722^2*sezione!$AD$5*(1-sezione!$AD$6)</f>
        <v>-5626770743.5219126</v>
      </c>
      <c r="E1722" s="545">
        <f>-'Foglio deposito bis'!$F$68*(C1722-sezione!$AL$33)*IF(ABS(K1722)&lt;'Sollecitazioni nel paramento'!$G$58,ABS(K1722)*'Sollecitazioni nel paramento'!$G$54,'Sollecitazioni nel paramento'!$G$53)</f>
        <v>0</v>
      </c>
      <c r="F1722" s="545">
        <f>-'Foglio deposito bis'!$F$69*(C1722-sezione!$AM$33)*IF(ABS(L1722)&lt;'Sollecitazioni nel paramento'!$G$58,ABS(L1722)*'Sollecitazioni nel paramento'!$G$54,'Sollecitazioni nel paramento'!$G$53)</f>
        <v>-68057482.740943909</v>
      </c>
      <c r="G1722" s="545">
        <f>-'Foglio deposito bis'!$F$70*(C1722-sezione!$AN$33)*IF(ABS(M1722)&lt;'Sollecitazioni nel paramento'!$G$58,ABS(M1722)*'Sollecitazioni nel paramento'!$G$54,'Sollecitazioni nel paramento'!$G$53)</f>
        <v>0</v>
      </c>
      <c r="H1722" s="545">
        <f>-'Foglio deposito bis'!$F$71*(C1722-sezione!$AO$33)*IF(ABS(N1722)&lt;'Sollecitazioni nel paramento'!$G$58,ABS(N1722)*'Sollecitazioni nel paramento'!$G$54,'Sollecitazioni nel paramento'!$G$53)</f>
        <v>-107911161.72357972</v>
      </c>
      <c r="I1722" s="472">
        <f>-'Foglio deposito bis'!$F$72*(C1722-sezione!$AP$33)*IF(ABS(O1722)&lt;'Sollecitazioni nel paramento'!$G$58,ABS(O1722)*'Sollecitazioni nel paramento'!$G$54,'Sollecitazioni nel paramento'!$G$53)</f>
        <v>8172375.1946682474</v>
      </c>
      <c r="J1722" s="472">
        <f t="shared" si="120"/>
        <v>-5794567012.7917681</v>
      </c>
      <c r="K1722" s="550">
        <f>'Sollecitazioni nel paramento'!$G$60*(sezione!$AL$33-C1722)/C1722</f>
        <v>-3.2216121750539908E-3</v>
      </c>
      <c r="L1722" s="550">
        <f>'Sollecitazioni nel paramento'!$G$60*(sezione!$AM$33-C1722)/C1722</f>
        <v>-3.082418262580986E-3</v>
      </c>
      <c r="M1722" s="551">
        <f>'Sollecitazioni nel paramento'!$G$60*(sezione!$AN$33-C1722)/C1722</f>
        <v>-2.9432243501079812E-3</v>
      </c>
      <c r="N1722" s="551">
        <f>'Sollecitazioni nel paramento'!$G$60*(sezione!$AO$33-C1722)/C1722</f>
        <v>-2.3864487002159623E-3</v>
      </c>
      <c r="O1722" s="551">
        <f>'Sollecitazioni nel paramento'!$G$60*(sezione!$AP$33-C1722)/C1722</f>
        <v>4.6873861183560042E-4</v>
      </c>
      <c r="P1722" s="545">
        <f>-'Sollecitazioni nel paramento'!$G$47*'Sollecitazioni nel paramento'!$G$41*IF(DATI!$G$211="dx",DATI!$E$61,DATI!$E$64*DATI!$E$63)*1000*C1722*sezione!$AD$5</f>
        <v>-19158811.995583478</v>
      </c>
      <c r="Q1722" s="545">
        <f>'Foglio deposito bis'!$F$68*IF(ABS(K1722)&lt;'Sollecitazioni nel paramento'!$G$58,ABS(K1722)*'Sollecitazioni nel paramento'!$G$54,'Sollecitazioni nel paramento'!$G$53)*IF(K1722&lt;0,-1,1)</f>
        <v>0</v>
      </c>
      <c r="R1722" s="545">
        <f>'Foglio deposito bis'!$F$69*IF(ABS(L1722)&lt;'Sollecitazioni nel paramento'!$G$58,ABS(L1722)*'Sollecitazioni nel paramento'!$G$54,'Sollecitazioni nel paramento'!$G$53)*IF(L1722&lt;0,-1,1)</f>
        <v>-153664.85805602249</v>
      </c>
      <c r="S1722" s="545">
        <f>'Foglio deposito bis'!$F$70*IF(ABS(M1722)&lt;'Sollecitazioni nel paramento'!$G$58,ABS(M1722)*'Sollecitazioni nel paramento'!$G$54,'Sollecitazioni nel paramento'!$G$53)*IF(M1722&lt;0,-1,1)</f>
        <v>0</v>
      </c>
      <c r="T1722" s="545">
        <f>'Foglio deposito bis'!$F$71*IF(ABS(N1722)&lt;'Sollecitazioni nel paramento'!$G$58,ABS(N1722)*'Sollecitazioni nel paramento'!$G$54,'Sollecitazioni nel paramento'!$G$53)*IF(N1722&lt;0,-1,1)</f>
        <v>-314705.62929873407</v>
      </c>
      <c r="U1722" s="545">
        <f>'Foglio deposito bis'!$F$72*IF(ABS(O1722)&lt;'Sollecitazioni nel paramento'!$G$58,ABS(O1722)*'Sollecitazioni nel paramento'!$G$54,'Sollecitazioni nel paramento'!$G$53)*IF(O1722&lt;0,-1,1)</f>
        <v>121341.06822227985</v>
      </c>
      <c r="V1722" s="472">
        <f t="shared" si="122"/>
        <v>-19505841.414715957</v>
      </c>
      <c r="W1722" s="551"/>
      <c r="X1722" s="551"/>
    </row>
    <row r="1723" spans="1:24" x14ac:dyDescent="0.25">
      <c r="A1723" s="545">
        <f t="shared" si="121"/>
        <v>19837033.385623068</v>
      </c>
      <c r="B1723" s="3">
        <f t="shared" si="119"/>
        <v>61.899999999999942</v>
      </c>
      <c r="C1723" s="545">
        <f>'Foglio deposito bis'!$E$159/sezione!$B$247*B1723</f>
        <v>511.15328266352924</v>
      </c>
      <c r="D1723" s="603">
        <f>-'Sollecitazioni nel paramento'!$G$47*'Sollecitazioni nel paramento'!$G$41*IF(DATI!$G$211="dx",DATI!$E$61,DATI!$E$64*DATI!$E$63)*1000*C1723^2*sezione!$AD$5*(1-sezione!$AD$6)</f>
        <v>-5813075096.4826984</v>
      </c>
      <c r="E1723" s="545">
        <f>-'Foglio deposito bis'!$F$68*(C1723-sezione!$AL$33)*IF(ABS(K1723)&lt;'Sollecitazioni nel paramento'!$G$58,ABS(K1723)*'Sollecitazioni nel paramento'!$G$54,'Sollecitazioni nel paramento'!$G$53)</f>
        <v>0</v>
      </c>
      <c r="F1723" s="545">
        <f>-'Foglio deposito bis'!$F$69*(C1723-sezione!$AM$33)*IF(ABS(L1723)&lt;'Sollecitazioni nel paramento'!$G$58,ABS(L1723)*'Sollecitazioni nel paramento'!$G$54,'Sollecitazioni nel paramento'!$G$53)</f>
        <v>-69326405.141999826</v>
      </c>
      <c r="G1723" s="545">
        <f>-'Foglio deposito bis'!$F$70*(C1723-sezione!$AN$33)*IF(ABS(M1723)&lt;'Sollecitazioni nel paramento'!$G$58,ABS(M1723)*'Sollecitazioni nel paramento'!$G$54,'Sollecitazioni nel paramento'!$G$53)</f>
        <v>0</v>
      </c>
      <c r="H1723" s="545">
        <f>-'Foglio deposito bis'!$F$71*(C1723-sezione!$AO$33)*IF(ABS(N1723)&lt;'Sollecitazioni nel paramento'!$G$58,ABS(N1723)*'Sollecitazioni nel paramento'!$G$54,'Sollecitazioni nel paramento'!$G$53)</f>
        <v>-110509914.80094221</v>
      </c>
      <c r="I1723" s="472">
        <f>-'Foglio deposito bis'!$F$72*(C1723-sezione!$AP$33)*IF(ABS(O1723)&lt;'Sollecitazioni nel paramento'!$G$58,ABS(O1723)*'Sollecitazioni nel paramento'!$G$54,'Sollecitazioni nel paramento'!$G$53)</f>
        <v>6189590.8479509261</v>
      </c>
      <c r="J1723" s="472">
        <f t="shared" si="120"/>
        <v>-5986721825.5776901</v>
      </c>
      <c r="K1723" s="550">
        <f>'Sollecitazioni nel paramento'!$G$60*(sezione!$AL$33-C1723)/C1723</f>
        <v>-3.2261095551015836E-3</v>
      </c>
      <c r="L1723" s="550">
        <f>'Sollecitazioni nel paramento'!$G$60*(sezione!$AM$33-C1723)/C1723</f>
        <v>-3.0891643326523754E-3</v>
      </c>
      <c r="M1723" s="551">
        <f>'Sollecitazioni nel paramento'!$G$60*(sezione!$AN$33-C1723)/C1723</f>
        <v>-2.9522191102031676E-3</v>
      </c>
      <c r="N1723" s="551">
        <f>'Sollecitazioni nel paramento'!$G$60*(sezione!$AO$33-C1723)/C1723</f>
        <v>-2.4044382204063347E-3</v>
      </c>
      <c r="O1723" s="551">
        <f>'Sollecitazioni nel paramento'!$G$60*(sezione!$AP$33-C1723)/C1723</f>
        <v>4.0462328692710946E-4</v>
      </c>
      <c r="P1723" s="545">
        <f>-'Sollecitazioni nel paramento'!$G$47*'Sollecitazioni nel paramento'!$G$41*IF(DATI!$G$211="dx",DATI!$E$61,DATI!$E$64*DATI!$E$63)*1000*C1723*sezione!$AD$5</f>
        <v>-19473406.60963247</v>
      </c>
      <c r="Q1723" s="545">
        <f>'Foglio deposito bis'!$F$68*IF(ABS(K1723)&lt;'Sollecitazioni nel paramento'!$G$58,ABS(K1723)*'Sollecitazioni nel paramento'!$G$54,'Sollecitazioni nel paramento'!$G$53)*IF(K1723&lt;0,-1,1)</f>
        <v>0</v>
      </c>
      <c r="R1723" s="545">
        <f>'Foglio deposito bis'!$F$69*IF(ABS(L1723)&lt;'Sollecitazioni nel paramento'!$G$58,ABS(L1723)*'Sollecitazioni nel paramento'!$G$54,'Sollecitazioni nel paramento'!$G$53)*IF(L1723&lt;0,-1,1)</f>
        <v>-153664.85805602249</v>
      </c>
      <c r="S1723" s="545">
        <f>'Foglio deposito bis'!$F$70*IF(ABS(M1723)&lt;'Sollecitazioni nel paramento'!$G$58,ABS(M1723)*'Sollecitazioni nel paramento'!$G$54,'Sollecitazioni nel paramento'!$G$53)*IF(M1723&lt;0,-1,1)</f>
        <v>0</v>
      </c>
      <c r="T1723" s="545">
        <f>'Foglio deposito bis'!$F$71*IF(ABS(N1723)&lt;'Sollecitazioni nel paramento'!$G$58,ABS(N1723)*'Sollecitazioni nel paramento'!$G$54,'Sollecitazioni nel paramento'!$G$53)*IF(N1723&lt;0,-1,1)</f>
        <v>-314705.62929873407</v>
      </c>
      <c r="U1723" s="545">
        <f>'Foglio deposito bis'!$F$72*IF(ABS(O1723)&lt;'Sollecitazioni nel paramento'!$G$58,ABS(O1723)*'Sollecitazioni nel paramento'!$G$54,'Sollecitazioni nel paramento'!$G$53)*IF(O1723&lt;0,-1,1)</f>
        <v>104743.71136416073</v>
      </c>
      <c r="V1723" s="472">
        <f t="shared" si="122"/>
        <v>-19837033.385623068</v>
      </c>
      <c r="W1723" s="551"/>
      <c r="X1723" s="551"/>
    </row>
    <row r="1724" spans="1:24" x14ac:dyDescent="0.25">
      <c r="A1724" s="545">
        <f t="shared" si="121"/>
        <v>20167697.618633255</v>
      </c>
      <c r="B1724" s="3">
        <f t="shared" si="119"/>
        <v>62.899999999999942</v>
      </c>
      <c r="C1724" s="545">
        <f>'Foglio deposito bis'!$E$159/sezione!$B$247*B1724</f>
        <v>519.41100936245539</v>
      </c>
      <c r="D1724" s="603">
        <f>-'Sollecitazioni nel paramento'!$G$47*'Sollecitazioni nel paramento'!$G$41*IF(DATI!$G$211="dx",DATI!$E$61,DATI!$E$64*DATI!$E$63)*1000*C1724^2*sezione!$AD$5*(1-sezione!$AD$6)</f>
        <v>-6002413722.2930088</v>
      </c>
      <c r="E1724" s="545">
        <f>-'Foglio deposito bis'!$F$68*(C1724-sezione!$AL$33)*IF(ABS(K1724)&lt;'Sollecitazioni nel paramento'!$G$58,ABS(K1724)*'Sollecitazioni nel paramento'!$G$54,'Sollecitazioni nel paramento'!$G$53)</f>
        <v>0</v>
      </c>
      <c r="F1724" s="545">
        <f>-'Foglio deposito bis'!$F$69*(C1724-sezione!$AM$33)*IF(ABS(L1724)&lt;'Sollecitazioni nel paramento'!$G$58,ABS(L1724)*'Sollecitazioni nel paramento'!$G$54,'Sollecitazioni nel paramento'!$G$53)</f>
        <v>-70595327.543055728</v>
      </c>
      <c r="G1724" s="545">
        <f>-'Foglio deposito bis'!$F$70*(C1724-sezione!$AN$33)*IF(ABS(M1724)&lt;'Sollecitazioni nel paramento'!$G$58,ABS(M1724)*'Sollecitazioni nel paramento'!$G$54,'Sollecitazioni nel paramento'!$G$53)</f>
        <v>0</v>
      </c>
      <c r="H1724" s="545">
        <f>-'Foglio deposito bis'!$F$71*(C1724-sezione!$AO$33)*IF(ABS(N1724)&lt;'Sollecitazioni nel paramento'!$G$58,ABS(N1724)*'Sollecitazioni nel paramento'!$G$54,'Sollecitazioni nel paramento'!$G$53)</f>
        <v>-113108667.87830473</v>
      </c>
      <c r="I1724" s="472">
        <f>-'Foglio deposito bis'!$F$72*(C1724-sezione!$AP$33)*IF(ABS(O1724)&lt;'Sollecitazioni nel paramento'!$G$58,ABS(O1724)*'Sollecitazioni nel paramento'!$G$54,'Sollecitazioni nel paramento'!$G$53)</f>
        <v>4507746.9276103145</v>
      </c>
      <c r="J1724" s="472">
        <f t="shared" si="120"/>
        <v>-6181609970.7867584</v>
      </c>
      <c r="K1724" s="550">
        <f>'Sollecitazioni nel paramento'!$G$60*(sezione!$AL$33-C1724)/C1724</f>
        <v>-3.2304639341937682E-3</v>
      </c>
      <c r="L1724" s="550">
        <f>'Sollecitazioni nel paramento'!$G$60*(sezione!$AM$33-C1724)/C1724</f>
        <v>-3.0956959012906527E-3</v>
      </c>
      <c r="M1724" s="551">
        <f>'Sollecitazioni nel paramento'!$G$60*(sezione!$AN$33-C1724)/C1724</f>
        <v>-2.9609278683875367E-3</v>
      </c>
      <c r="N1724" s="551">
        <f>'Sollecitazioni nel paramento'!$G$60*(sezione!$AO$33-C1724)/C1724</f>
        <v>-2.4218557367750733E-3</v>
      </c>
      <c r="O1724" s="551">
        <f>'Sollecitazioni nel paramento'!$G$60*(sezione!$AP$33-C1724)/C1724</f>
        <v>3.4254660509996942E-4</v>
      </c>
      <c r="P1724" s="545">
        <f>-'Sollecitazioni nel paramento'!$G$47*'Sollecitazioni nel paramento'!$G$41*IF(DATI!$G$211="dx",DATI!$E$61,DATI!$E$64*DATI!$E$63)*1000*C1724*sezione!$AD$5</f>
        <v>-19788001.223681457</v>
      </c>
      <c r="Q1724" s="545">
        <f>'Foglio deposito bis'!$F$68*IF(ABS(K1724)&lt;'Sollecitazioni nel paramento'!$G$58,ABS(K1724)*'Sollecitazioni nel paramento'!$G$54,'Sollecitazioni nel paramento'!$G$53)*IF(K1724&lt;0,-1,1)</f>
        <v>0</v>
      </c>
      <c r="R1724" s="545">
        <f>'Foglio deposito bis'!$F$69*IF(ABS(L1724)&lt;'Sollecitazioni nel paramento'!$G$58,ABS(L1724)*'Sollecitazioni nel paramento'!$G$54,'Sollecitazioni nel paramento'!$G$53)*IF(L1724&lt;0,-1,1)</f>
        <v>-153664.85805602249</v>
      </c>
      <c r="S1724" s="545">
        <f>'Foglio deposito bis'!$F$70*IF(ABS(M1724)&lt;'Sollecitazioni nel paramento'!$G$58,ABS(M1724)*'Sollecitazioni nel paramento'!$G$54,'Sollecitazioni nel paramento'!$G$53)*IF(M1724&lt;0,-1,1)</f>
        <v>0</v>
      </c>
      <c r="T1724" s="545">
        <f>'Foglio deposito bis'!$F$71*IF(ABS(N1724)&lt;'Sollecitazioni nel paramento'!$G$58,ABS(N1724)*'Sollecitazioni nel paramento'!$G$54,'Sollecitazioni nel paramento'!$G$53)*IF(N1724&lt;0,-1,1)</f>
        <v>-314705.62929873407</v>
      </c>
      <c r="U1724" s="545">
        <f>'Foglio deposito bis'!$F$72*IF(ABS(O1724)&lt;'Sollecitazioni nel paramento'!$G$58,ABS(O1724)*'Sollecitazioni nel paramento'!$G$54,'Sollecitazioni nel paramento'!$G$53)*IF(O1724&lt;0,-1,1)</f>
        <v>88674.092402961091</v>
      </c>
      <c r="V1724" s="472">
        <f t="shared" si="122"/>
        <v>-20167697.618633255</v>
      </c>
      <c r="W1724" s="551"/>
      <c r="X1724" s="551"/>
    </row>
    <row r="1725" spans="1:24" x14ac:dyDescent="0.25">
      <c r="A1725" s="545">
        <f t="shared" si="121"/>
        <v>20497858.890173614</v>
      </c>
      <c r="B1725" s="3">
        <f t="shared" si="119"/>
        <v>63.899999999999942</v>
      </c>
      <c r="C1725" s="545">
        <f>'Foglio deposito bis'!$E$159/sezione!$B$247*B1725</f>
        <v>527.66873606138154</v>
      </c>
      <c r="D1725" s="603">
        <f>-'Sollecitazioni nel paramento'!$G$47*'Sollecitazioni nel paramento'!$G$41*IF(DATI!$G$211="dx",DATI!$E$61,DATI!$E$64*DATI!$E$63)*1000*C1725^2*sezione!$AD$5*(1-sezione!$AD$6)</f>
        <v>-6194786620.9528408</v>
      </c>
      <c r="E1725" s="545">
        <f>-'Foglio deposito bis'!$F$68*(C1725-sezione!$AL$33)*IF(ABS(K1725)&lt;'Sollecitazioni nel paramento'!$G$58,ABS(K1725)*'Sollecitazioni nel paramento'!$G$54,'Sollecitazioni nel paramento'!$G$53)</f>
        <v>0</v>
      </c>
      <c r="F1725" s="545">
        <f>-'Foglio deposito bis'!$F$69*(C1725-sezione!$AM$33)*IF(ABS(L1725)&lt;'Sollecitazioni nel paramento'!$G$58,ABS(L1725)*'Sollecitazioni nel paramento'!$G$54,'Sollecitazioni nel paramento'!$G$53)</f>
        <v>-71864249.944111645</v>
      </c>
      <c r="G1725" s="545">
        <f>-'Foglio deposito bis'!$F$70*(C1725-sezione!$AN$33)*IF(ABS(M1725)&lt;'Sollecitazioni nel paramento'!$G$58,ABS(M1725)*'Sollecitazioni nel paramento'!$G$54,'Sollecitazioni nel paramento'!$G$53)</f>
        <v>0</v>
      </c>
      <c r="H1725" s="545">
        <f>-'Foglio deposito bis'!$F$71*(C1725-sezione!$AO$33)*IF(ABS(N1725)&lt;'Sollecitazioni nel paramento'!$G$58,ABS(N1725)*'Sollecitazioni nel paramento'!$G$54,'Sollecitazioni nel paramento'!$G$53)</f>
        <v>-115707420.95566726</v>
      </c>
      <c r="I1725" s="472">
        <f>-'Foglio deposito bis'!$F$72*(C1725-sezione!$AP$33)*IF(ABS(O1725)&lt;'Sollecitazioni nel paramento'!$G$58,ABS(O1725)*'Sollecitazioni nel paramento'!$G$54,'Sollecitazioni nel paramento'!$G$53)</f>
        <v>3112714.775131078</v>
      </c>
      <c r="J1725" s="472">
        <f t="shared" si="120"/>
        <v>-6379245577.0774889</v>
      </c>
      <c r="K1725" s="550">
        <f>'Sollecitazioni nel paramento'!$G$60*(sezione!$AL$33-C1725)/C1725</f>
        <v>-3.2346820259904229E-3</v>
      </c>
      <c r="L1725" s="550">
        <f>'Sollecitazioni nel paramento'!$G$60*(sezione!$AM$33-C1725)/C1725</f>
        <v>-3.1020230389856348E-3</v>
      </c>
      <c r="M1725" s="551">
        <f>'Sollecitazioni nel paramento'!$G$60*(sezione!$AN$33-C1725)/C1725</f>
        <v>-2.9693640519808458E-3</v>
      </c>
      <c r="N1725" s="551">
        <f>'Sollecitazioni nel paramento'!$G$60*(sezione!$AO$33-C1725)/C1725</f>
        <v>-2.4387281039616919E-3</v>
      </c>
      <c r="O1725" s="551">
        <f>'Sollecitazioni nel paramento'!$G$60*(sezione!$AP$33-C1725)/C1725</f>
        <v>2.8241285541139407E-4</v>
      </c>
      <c r="P1725" s="545">
        <f>-'Sollecitazioni nel paramento'!$G$47*'Sollecitazioni nel paramento'!$G$41*IF(DATI!$G$211="dx",DATI!$E$61,DATI!$E$64*DATI!$E$63)*1000*C1725*sezione!$AD$5</f>
        <v>-20102595.837730449</v>
      </c>
      <c r="Q1725" s="545">
        <f>'Foglio deposito bis'!$F$68*IF(ABS(K1725)&lt;'Sollecitazioni nel paramento'!$G$58,ABS(K1725)*'Sollecitazioni nel paramento'!$G$54,'Sollecitazioni nel paramento'!$G$53)*IF(K1725&lt;0,-1,1)</f>
        <v>0</v>
      </c>
      <c r="R1725" s="545">
        <f>'Foglio deposito bis'!$F$69*IF(ABS(L1725)&lt;'Sollecitazioni nel paramento'!$G$58,ABS(L1725)*'Sollecitazioni nel paramento'!$G$54,'Sollecitazioni nel paramento'!$G$53)*IF(L1725&lt;0,-1,1)</f>
        <v>-153664.85805602249</v>
      </c>
      <c r="S1725" s="545">
        <f>'Foglio deposito bis'!$F$70*IF(ABS(M1725)&lt;'Sollecitazioni nel paramento'!$G$58,ABS(M1725)*'Sollecitazioni nel paramento'!$G$54,'Sollecitazioni nel paramento'!$G$53)*IF(M1725&lt;0,-1,1)</f>
        <v>0</v>
      </c>
      <c r="T1725" s="545">
        <f>'Foglio deposito bis'!$F$71*IF(ABS(N1725)&lt;'Sollecitazioni nel paramento'!$G$58,ABS(N1725)*'Sollecitazioni nel paramento'!$G$54,'Sollecitazioni nel paramento'!$G$53)*IF(N1725&lt;0,-1,1)</f>
        <v>-314705.62929873407</v>
      </c>
      <c r="U1725" s="545">
        <f>'Foglio deposito bis'!$F$72*IF(ABS(O1725)&lt;'Sollecitazioni nel paramento'!$G$58,ABS(O1725)*'Sollecitazioni nel paramento'!$G$54,'Sollecitazioni nel paramento'!$G$53)*IF(O1725&lt;0,-1,1)</f>
        <v>73107.43491159557</v>
      </c>
      <c r="V1725" s="472">
        <f t="shared" si="122"/>
        <v>-20497858.890173614</v>
      </c>
      <c r="W1725" s="551"/>
      <c r="X1725" s="551"/>
    </row>
    <row r="1726" spans="1:24" x14ac:dyDescent="0.25">
      <c r="A1726" s="545">
        <f t="shared" si="121"/>
        <v>20827540.449618708</v>
      </c>
      <c r="B1726" s="3">
        <f t="shared" si="119"/>
        <v>64.899999999999949</v>
      </c>
      <c r="C1726" s="545">
        <f>'Foglio deposito bis'!$E$159/sezione!$B$247*B1726</f>
        <v>535.9264627603078</v>
      </c>
      <c r="D1726" s="603">
        <f>-'Sollecitazioni nel paramento'!$G$47*'Sollecitazioni nel paramento'!$G$41*IF(DATI!$G$211="dx",DATI!$E$61,DATI!$E$64*DATI!$E$63)*1000*C1726^2*sezione!$AD$5*(1-sezione!$AD$6)</f>
        <v>-6390193792.4622021</v>
      </c>
      <c r="E1726" s="545">
        <f>-'Foglio deposito bis'!$F$68*(C1726-sezione!$AL$33)*IF(ABS(K1726)&lt;'Sollecitazioni nel paramento'!$G$58,ABS(K1726)*'Sollecitazioni nel paramento'!$G$54,'Sollecitazioni nel paramento'!$G$53)</f>
        <v>0</v>
      </c>
      <c r="F1726" s="545">
        <f>-'Foglio deposito bis'!$F$69*(C1726-sezione!$AM$33)*IF(ABS(L1726)&lt;'Sollecitazioni nel paramento'!$G$58,ABS(L1726)*'Sollecitazioni nel paramento'!$G$54,'Sollecitazioni nel paramento'!$G$53)</f>
        <v>-73133172.345167577</v>
      </c>
      <c r="G1726" s="545">
        <f>-'Foglio deposito bis'!$F$70*(C1726-sezione!$AN$33)*IF(ABS(M1726)&lt;'Sollecitazioni nel paramento'!$G$58,ABS(M1726)*'Sollecitazioni nel paramento'!$G$54,'Sollecitazioni nel paramento'!$G$53)</f>
        <v>0</v>
      </c>
      <c r="H1726" s="545">
        <f>-'Foglio deposito bis'!$F$71*(C1726-sezione!$AO$33)*IF(ABS(N1726)&lt;'Sollecitazioni nel paramento'!$G$58,ABS(N1726)*'Sollecitazioni nel paramento'!$G$54,'Sollecitazioni nel paramento'!$G$53)</f>
        <v>-118306174.03302979</v>
      </c>
      <c r="I1726" s="472">
        <f>-'Foglio deposito bis'!$F$72*(C1726-sezione!$AP$33)*IF(ABS(O1726)&lt;'Sollecitazioni nel paramento'!$G$58,ABS(O1726)*'Sollecitazioni nel paramento'!$G$54,'Sollecitazioni nel paramento'!$G$53)</f>
        <v>1991236.5275920287</v>
      </c>
      <c r="J1726" s="472">
        <f t="shared" si="120"/>
        <v>-6579641902.3128071</v>
      </c>
      <c r="K1726" s="550">
        <f>'Sollecitazioni nel paramento'!$G$60*(sezione!$AL$33-C1726)/C1726</f>
        <v>-3.2387701303665333E-3</v>
      </c>
      <c r="L1726" s="550">
        <f>'Sollecitazioni nel paramento'!$G$60*(sezione!$AM$33-C1726)/C1726</f>
        <v>-3.1081551955498003E-3</v>
      </c>
      <c r="M1726" s="551">
        <f>'Sollecitazioni nel paramento'!$G$60*(sezione!$AN$33-C1726)/C1726</f>
        <v>-2.9775402607330674E-3</v>
      </c>
      <c r="N1726" s="551">
        <f>'Sollecitazioni nel paramento'!$G$60*(sezione!$AO$33-C1726)/C1726</f>
        <v>-2.4550805214661343E-3</v>
      </c>
      <c r="O1726" s="551">
        <f>'Sollecitazioni nel paramento'!$G$60*(sezione!$AP$33-C1726)/C1726</f>
        <v>2.2413222589812073E-4</v>
      </c>
      <c r="P1726" s="545">
        <f>-'Sollecitazioni nel paramento'!$G$47*'Sollecitazioni nel paramento'!$G$41*IF(DATI!$G$211="dx",DATI!$E$61,DATI!$E$64*DATI!$E$63)*1000*C1726*sezione!$AD$5</f>
        <v>-20417190.451779444</v>
      </c>
      <c r="Q1726" s="545">
        <f>'Foglio deposito bis'!$F$68*IF(ABS(K1726)&lt;'Sollecitazioni nel paramento'!$G$58,ABS(K1726)*'Sollecitazioni nel paramento'!$G$54,'Sollecitazioni nel paramento'!$G$53)*IF(K1726&lt;0,-1,1)</f>
        <v>0</v>
      </c>
      <c r="R1726" s="545">
        <f>'Foglio deposito bis'!$F$69*IF(ABS(L1726)&lt;'Sollecitazioni nel paramento'!$G$58,ABS(L1726)*'Sollecitazioni nel paramento'!$G$54,'Sollecitazioni nel paramento'!$G$53)*IF(L1726&lt;0,-1,1)</f>
        <v>-153664.85805602249</v>
      </c>
      <c r="S1726" s="545">
        <f>'Foglio deposito bis'!$F$70*IF(ABS(M1726)&lt;'Sollecitazioni nel paramento'!$G$58,ABS(M1726)*'Sollecitazioni nel paramento'!$G$54,'Sollecitazioni nel paramento'!$G$53)*IF(M1726&lt;0,-1,1)</f>
        <v>0</v>
      </c>
      <c r="T1726" s="545">
        <f>'Foglio deposito bis'!$F$71*IF(ABS(N1726)&lt;'Sollecitazioni nel paramento'!$G$58,ABS(N1726)*'Sollecitazioni nel paramento'!$G$54,'Sollecitazioni nel paramento'!$G$53)*IF(N1726&lt;0,-1,1)</f>
        <v>-314705.62929873407</v>
      </c>
      <c r="U1726" s="545">
        <f>'Foglio deposito bis'!$F$72*IF(ABS(O1726)&lt;'Sollecitazioni nel paramento'!$G$58,ABS(O1726)*'Sollecitazioni nel paramento'!$G$54,'Sollecitazioni nel paramento'!$G$53)*IF(O1726&lt;0,-1,1)</f>
        <v>58020.489515495356</v>
      </c>
      <c r="V1726" s="472">
        <f t="shared" si="122"/>
        <v>-20827540.449618708</v>
      </c>
      <c r="W1726" s="551"/>
      <c r="X1726" s="551"/>
    </row>
    <row r="1727" spans="1:24" x14ac:dyDescent="0.25">
      <c r="A1727" s="545">
        <f t="shared" si="121"/>
        <v>21156764.135151926</v>
      </c>
      <c r="B1727" s="3">
        <f t="shared" si="119"/>
        <v>65.899999999999949</v>
      </c>
      <c r="C1727" s="545">
        <f>'Foglio deposito bis'!$E$159/sezione!$B$247*B1727</f>
        <v>544.18418945923395</v>
      </c>
      <c r="D1727" s="603">
        <f>-'Sollecitazioni nel paramento'!$G$47*'Sollecitazioni nel paramento'!$G$41*IF(DATI!$G$211="dx",DATI!$E$61,DATI!$E$64*DATI!$E$63)*1000*C1727^2*sezione!$AD$5*(1-sezione!$AD$6)</f>
        <v>-6588635236.821084</v>
      </c>
      <c r="E1727" s="545">
        <f>-'Foglio deposito bis'!$F$68*(C1727-sezione!$AL$33)*IF(ABS(K1727)&lt;'Sollecitazioni nel paramento'!$G$58,ABS(K1727)*'Sollecitazioni nel paramento'!$G$54,'Sollecitazioni nel paramento'!$G$53)</f>
        <v>0</v>
      </c>
      <c r="F1727" s="545">
        <f>-'Foglio deposito bis'!$F$69*(C1727-sezione!$AM$33)*IF(ABS(L1727)&lt;'Sollecitazioni nel paramento'!$G$58,ABS(L1727)*'Sollecitazioni nel paramento'!$G$54,'Sollecitazioni nel paramento'!$G$53)</f>
        <v>-74402094.746223494</v>
      </c>
      <c r="G1727" s="545">
        <f>-'Foglio deposito bis'!$F$70*(C1727-sezione!$AN$33)*IF(ABS(M1727)&lt;'Sollecitazioni nel paramento'!$G$58,ABS(M1727)*'Sollecitazioni nel paramento'!$G$54,'Sollecitazioni nel paramento'!$G$53)</f>
        <v>0</v>
      </c>
      <c r="H1727" s="545">
        <f>-'Foglio deposito bis'!$F$71*(C1727-sezione!$AO$33)*IF(ABS(N1727)&lt;'Sollecitazioni nel paramento'!$G$58,ABS(N1727)*'Sollecitazioni nel paramento'!$G$54,'Sollecitazioni nel paramento'!$G$53)</f>
        <v>-120904927.11039229</v>
      </c>
      <c r="I1727" s="472">
        <f>-'Foglio deposito bis'!$F$72*(C1727-sezione!$AP$33)*IF(ABS(O1727)&lt;'Sollecitazioni nel paramento'!$G$58,ABS(O1727)*'Sollecitazioni nel paramento'!$G$54,'Sollecitazioni nel paramento'!$G$53)</f>
        <v>1130859.0481977412</v>
      </c>
      <c r="J1727" s="472">
        <f t="shared" si="120"/>
        <v>-6782811399.6295023</v>
      </c>
      <c r="K1727" s="550">
        <f>'Sollecitazioni nel paramento'!$G$60*(sezione!$AL$33-C1727)/C1727</f>
        <v>-3.2427341648071021E-3</v>
      </c>
      <c r="L1727" s="550">
        <f>'Sollecitazioni nel paramento'!$G$60*(sezione!$AM$33-C1727)/C1727</f>
        <v>-3.1141012472106532E-3</v>
      </c>
      <c r="M1727" s="551">
        <f>'Sollecitazioni nel paramento'!$G$60*(sezione!$AN$33-C1727)/C1727</f>
        <v>-2.9854683296142042E-3</v>
      </c>
      <c r="N1727" s="551">
        <f>'Sollecitazioni nel paramento'!$G$60*(sezione!$AO$33-C1727)/C1727</f>
        <v>-2.4709366592284084E-3</v>
      </c>
      <c r="O1727" s="551">
        <f>'Sollecitazioni nel paramento'!$G$60*(sezione!$AP$33-C1727)/C1727</f>
        <v>1.6762035600588831E-4</v>
      </c>
      <c r="P1727" s="545">
        <f>-'Sollecitazioni nel paramento'!$G$47*'Sollecitazioni nel paramento'!$G$41*IF(DATI!$G$211="dx",DATI!$E$61,DATI!$E$64*DATI!$E$63)*1000*C1727*sezione!$AD$5</f>
        <v>-20731785.065828431</v>
      </c>
      <c r="Q1727" s="545">
        <f>'Foglio deposito bis'!$F$68*IF(ABS(K1727)&lt;'Sollecitazioni nel paramento'!$G$58,ABS(K1727)*'Sollecitazioni nel paramento'!$G$54,'Sollecitazioni nel paramento'!$G$53)*IF(K1727&lt;0,-1,1)</f>
        <v>0</v>
      </c>
      <c r="R1727" s="545">
        <f>'Foglio deposito bis'!$F$69*IF(ABS(L1727)&lt;'Sollecitazioni nel paramento'!$G$58,ABS(L1727)*'Sollecitazioni nel paramento'!$G$54,'Sollecitazioni nel paramento'!$G$53)*IF(L1727&lt;0,-1,1)</f>
        <v>-153664.85805602249</v>
      </c>
      <c r="S1727" s="545">
        <f>'Foglio deposito bis'!$F$70*IF(ABS(M1727)&lt;'Sollecitazioni nel paramento'!$G$58,ABS(M1727)*'Sollecitazioni nel paramento'!$G$54,'Sollecitazioni nel paramento'!$G$53)*IF(M1727&lt;0,-1,1)</f>
        <v>0</v>
      </c>
      <c r="T1727" s="545">
        <f>'Foglio deposito bis'!$F$71*IF(ABS(N1727)&lt;'Sollecitazioni nel paramento'!$G$58,ABS(N1727)*'Sollecitazioni nel paramento'!$G$54,'Sollecitazioni nel paramento'!$G$53)*IF(N1727&lt;0,-1,1)</f>
        <v>-314705.62929873407</v>
      </c>
      <c r="U1727" s="545">
        <f>'Foglio deposito bis'!$F$72*IF(ABS(O1727)&lt;'Sollecitazioni nel paramento'!$G$58,ABS(O1727)*'Sollecitazioni nel paramento'!$G$54,'Sollecitazioni nel paramento'!$G$53)*IF(O1727&lt;0,-1,1)</f>
        <v>43391.418031264853</v>
      </c>
      <c r="V1727" s="472">
        <f t="shared" si="122"/>
        <v>-21156764.135151926</v>
      </c>
      <c r="W1727" s="551"/>
      <c r="X1727" s="551"/>
    </row>
    <row r="1728" spans="1:24" x14ac:dyDescent="0.25">
      <c r="A1728" s="545">
        <f t="shared" si="121"/>
        <v>21485550.47923569</v>
      </c>
      <c r="B1728" s="3">
        <f t="shared" si="119"/>
        <v>66.899999999999949</v>
      </c>
      <c r="C1728" s="545">
        <f>'Foglio deposito bis'!$E$159/sezione!$B$247*B1728</f>
        <v>552.4419161581601</v>
      </c>
      <c r="D1728" s="603">
        <f>-'Sollecitazioni nel paramento'!$G$47*'Sollecitazioni nel paramento'!$G$41*IF(DATI!$G$211="dx",DATI!$E$61,DATI!$E$64*DATI!$E$63)*1000*C1728^2*sezione!$AD$5*(1-sezione!$AD$6)</f>
        <v>-6790110954.0294914</v>
      </c>
      <c r="E1728" s="545">
        <f>-'Foglio deposito bis'!$F$68*(C1728-sezione!$AL$33)*IF(ABS(K1728)&lt;'Sollecitazioni nel paramento'!$G$58,ABS(K1728)*'Sollecitazioni nel paramento'!$G$54,'Sollecitazioni nel paramento'!$G$53)</f>
        <v>0</v>
      </c>
      <c r="F1728" s="545">
        <f>-'Foglio deposito bis'!$F$69*(C1728-sezione!$AM$33)*IF(ABS(L1728)&lt;'Sollecitazioni nel paramento'!$G$58,ABS(L1728)*'Sollecitazioni nel paramento'!$G$54,'Sollecitazioni nel paramento'!$G$53)</f>
        <v>-75671017.147279397</v>
      </c>
      <c r="G1728" s="545">
        <f>-'Foglio deposito bis'!$F$70*(C1728-sezione!$AN$33)*IF(ABS(M1728)&lt;'Sollecitazioni nel paramento'!$G$58,ABS(M1728)*'Sollecitazioni nel paramento'!$G$54,'Sollecitazioni nel paramento'!$G$53)</f>
        <v>0</v>
      </c>
      <c r="H1728" s="545">
        <f>-'Foglio deposito bis'!$F$71*(C1728-sezione!$AO$33)*IF(ABS(N1728)&lt;'Sollecitazioni nel paramento'!$G$58,ABS(N1728)*'Sollecitazioni nel paramento'!$G$54,'Sollecitazioni nel paramento'!$G$53)</f>
        <v>-123503680.18775481</v>
      </c>
      <c r="I1728" s="472">
        <f>-'Foglio deposito bis'!$F$72*(C1728-sezione!$AP$33)*IF(ABS(O1728)&lt;'Sollecitazioni nel paramento'!$G$58,ABS(O1728)*'Sollecitazioni nel paramento'!$G$54,'Sollecitazioni nel paramento'!$G$53)</f>
        <v>519873.78232287272</v>
      </c>
      <c r="J1728" s="472">
        <f t="shared" si="120"/>
        <v>-6988765777.5822029</v>
      </c>
      <c r="K1728" s="550">
        <f>'Sollecitazioni nel paramento'!$G$60*(sezione!$AL$33-C1728)/C1728</f>
        <v>-3.2465796929863682E-3</v>
      </c>
      <c r="L1728" s="550">
        <f>'Sollecitazioni nel paramento'!$G$60*(sezione!$AM$33-C1728)/C1728</f>
        <v>-3.1198695394795521E-3</v>
      </c>
      <c r="M1728" s="551">
        <f>'Sollecitazioni nel paramento'!$G$60*(sezione!$AN$33-C1728)/C1728</f>
        <v>-2.993159385972736E-3</v>
      </c>
      <c r="N1728" s="551">
        <f>'Sollecitazioni nel paramento'!$G$60*(sezione!$AO$33-C1728)/C1728</f>
        <v>-2.4863187719454723E-3</v>
      </c>
      <c r="O1728" s="551">
        <f>'Sollecitazioni nel paramento'!$G$60*(sezione!$AP$33-C1728)/C1728</f>
        <v>1.127979291597615E-4</v>
      </c>
      <c r="P1728" s="545">
        <f>-'Sollecitazioni nel paramento'!$G$47*'Sollecitazioni nel paramento'!$G$41*IF(DATI!$G$211="dx",DATI!$E$61,DATI!$E$64*DATI!$E$63)*1000*C1728*sezione!$AD$5</f>
        <v>-21046379.679877419</v>
      </c>
      <c r="Q1728" s="545">
        <f>'Foglio deposito bis'!$F$68*IF(ABS(K1728)&lt;'Sollecitazioni nel paramento'!$G$58,ABS(K1728)*'Sollecitazioni nel paramento'!$G$54,'Sollecitazioni nel paramento'!$G$53)*IF(K1728&lt;0,-1,1)</f>
        <v>0</v>
      </c>
      <c r="R1728" s="545">
        <f>'Foglio deposito bis'!$F$69*IF(ABS(L1728)&lt;'Sollecitazioni nel paramento'!$G$58,ABS(L1728)*'Sollecitazioni nel paramento'!$G$54,'Sollecitazioni nel paramento'!$G$53)*IF(L1728&lt;0,-1,1)</f>
        <v>-153664.85805602249</v>
      </c>
      <c r="S1728" s="545">
        <f>'Foglio deposito bis'!$F$70*IF(ABS(M1728)&lt;'Sollecitazioni nel paramento'!$G$58,ABS(M1728)*'Sollecitazioni nel paramento'!$G$54,'Sollecitazioni nel paramento'!$G$53)*IF(M1728&lt;0,-1,1)</f>
        <v>0</v>
      </c>
      <c r="T1728" s="545">
        <f>'Foglio deposito bis'!$F$71*IF(ABS(N1728)&lt;'Sollecitazioni nel paramento'!$G$58,ABS(N1728)*'Sollecitazioni nel paramento'!$G$54,'Sollecitazioni nel paramento'!$G$53)*IF(N1728&lt;0,-1,1)</f>
        <v>-314705.62929873407</v>
      </c>
      <c r="U1728" s="545">
        <f>'Foglio deposito bis'!$F$72*IF(ABS(O1728)&lt;'Sollecitazioni nel paramento'!$G$58,ABS(O1728)*'Sollecitazioni nel paramento'!$G$54,'Sollecitazioni nel paramento'!$G$53)*IF(O1728&lt;0,-1,1)</f>
        <v>29199.687996488166</v>
      </c>
      <c r="V1728" s="472">
        <f t="shared" si="122"/>
        <v>-21485550.47923569</v>
      </c>
      <c r="W1728" s="551"/>
      <c r="X1728" s="551"/>
    </row>
    <row r="1729" spans="1:24" x14ac:dyDescent="0.25">
      <c r="A1729" s="545">
        <f t="shared" si="121"/>
        <v>21813918.804761734</v>
      </c>
      <c r="B1729" s="3">
        <f t="shared" si="119"/>
        <v>67.899999999999949</v>
      </c>
      <c r="C1729" s="545">
        <f>'Foglio deposito bis'!$E$159/sezione!$B$247*B1729</f>
        <v>560.69964285708625</v>
      </c>
      <c r="D1729" s="603">
        <f>-'Sollecitazioni nel paramento'!$G$47*'Sollecitazioni nel paramento'!$G$41*IF(DATI!$G$211="dx",DATI!$E$61,DATI!$E$64*DATI!$E$63)*1000*C1729^2*sezione!$AD$5*(1-sezione!$AD$6)</f>
        <v>-6994620944.0874224</v>
      </c>
      <c r="E1729" s="545">
        <f>-'Foglio deposito bis'!$F$68*(C1729-sezione!$AL$33)*IF(ABS(K1729)&lt;'Sollecitazioni nel paramento'!$G$58,ABS(K1729)*'Sollecitazioni nel paramento'!$G$54,'Sollecitazioni nel paramento'!$G$53)</f>
        <v>0</v>
      </c>
      <c r="F1729" s="545">
        <f>-'Foglio deposito bis'!$F$69*(C1729-sezione!$AM$33)*IF(ABS(L1729)&lt;'Sollecitazioni nel paramento'!$G$58,ABS(L1729)*'Sollecitazioni nel paramento'!$G$54,'Sollecitazioni nel paramento'!$G$53)</f>
        <v>-76939939.548335314</v>
      </c>
      <c r="G1729" s="545">
        <f>-'Foglio deposito bis'!$F$70*(C1729-sezione!$AN$33)*IF(ABS(M1729)&lt;'Sollecitazioni nel paramento'!$G$58,ABS(M1729)*'Sollecitazioni nel paramento'!$G$54,'Sollecitazioni nel paramento'!$G$53)</f>
        <v>0</v>
      </c>
      <c r="H1729" s="545">
        <f>-'Foglio deposito bis'!$F$71*(C1729-sezione!$AO$33)*IF(ABS(N1729)&lt;'Sollecitazioni nel paramento'!$G$58,ABS(N1729)*'Sollecitazioni nel paramento'!$G$54,'Sollecitazioni nel paramento'!$G$53)</f>
        <v>-126102433.26511733</v>
      </c>
      <c r="I1729" s="472">
        <f>-'Foglio deposito bis'!$F$72*(C1729-sezione!$AP$33)*IF(ABS(O1729)&lt;'Sollecitazioni nel paramento'!$G$58,ABS(O1729)*'Sollecitazioni nel paramento'!$G$54,'Sollecitazioni nel paramento'!$G$53)</f>
        <v>147261.9281918972</v>
      </c>
      <c r="J1729" s="472">
        <f t="shared" si="120"/>
        <v>-7197516054.972683</v>
      </c>
      <c r="K1729" s="550">
        <f>'Sollecitazioni nel paramento'!$G$60*(sezione!$AL$33-C1729)/C1729</f>
        <v>-3.2503119508216203E-3</v>
      </c>
      <c r="L1729" s="550">
        <f>'Sollecitazioni nel paramento'!$G$60*(sezione!$AM$33-C1729)/C1729</f>
        <v>-3.1254679262324304E-3</v>
      </c>
      <c r="M1729" s="551">
        <f>'Sollecitazioni nel paramento'!$G$60*(sezione!$AN$33-C1729)/C1729</f>
        <v>-3.000623901643241E-3</v>
      </c>
      <c r="N1729" s="551">
        <f>'Sollecitazioni nel paramento'!$G$60*(sezione!$AO$33-C1729)/C1729</f>
        <v>-2.5012478032864819E-3</v>
      </c>
      <c r="O1729" s="551">
        <f>'Sollecitazioni nel paramento'!$G$60*(sezione!$AP$33-C1729)/C1729</f>
        <v>5.9590301337084676E-5</v>
      </c>
      <c r="P1729" s="545">
        <f>-'Sollecitazioni nel paramento'!$G$47*'Sollecitazioni nel paramento'!$G$41*IF(DATI!$G$211="dx",DATI!$E$61,DATI!$E$64*DATI!$E$63)*1000*C1729*sezione!$AD$5</f>
        <v>-21360974.29392641</v>
      </c>
      <c r="Q1729" s="545">
        <f>'Foglio deposito bis'!$F$68*IF(ABS(K1729)&lt;'Sollecitazioni nel paramento'!$G$58,ABS(K1729)*'Sollecitazioni nel paramento'!$G$54,'Sollecitazioni nel paramento'!$G$53)*IF(K1729&lt;0,-1,1)</f>
        <v>0</v>
      </c>
      <c r="R1729" s="545">
        <f>'Foglio deposito bis'!$F$69*IF(ABS(L1729)&lt;'Sollecitazioni nel paramento'!$G$58,ABS(L1729)*'Sollecitazioni nel paramento'!$G$54,'Sollecitazioni nel paramento'!$G$53)*IF(L1729&lt;0,-1,1)</f>
        <v>-153664.85805602249</v>
      </c>
      <c r="S1729" s="545">
        <f>'Foglio deposito bis'!$F$70*IF(ABS(M1729)&lt;'Sollecitazioni nel paramento'!$G$58,ABS(M1729)*'Sollecitazioni nel paramento'!$G$54,'Sollecitazioni nel paramento'!$G$53)*IF(M1729&lt;0,-1,1)</f>
        <v>0</v>
      </c>
      <c r="T1729" s="545">
        <f>'Foglio deposito bis'!$F$71*IF(ABS(N1729)&lt;'Sollecitazioni nel paramento'!$G$58,ABS(N1729)*'Sollecitazioni nel paramento'!$G$54,'Sollecitazioni nel paramento'!$G$53)*IF(N1729&lt;0,-1,1)</f>
        <v>-314705.62929873407</v>
      </c>
      <c r="U1729" s="545">
        <f>'Foglio deposito bis'!$F$72*IF(ABS(O1729)&lt;'Sollecitazioni nel paramento'!$G$58,ABS(O1729)*'Sollecitazioni nel paramento'!$G$54,'Sollecitazioni nel paramento'!$G$53)*IF(O1729&lt;0,-1,1)</f>
        <v>15425.97651943687</v>
      </c>
      <c r="V1729" s="472">
        <f t="shared" si="122"/>
        <v>-21813918.804761734</v>
      </c>
      <c r="W1729" s="551"/>
      <c r="X1729" s="551"/>
    </row>
    <row r="1730" spans="1:24" x14ac:dyDescent="0.25">
      <c r="A1730" s="545">
        <f t="shared" si="121"/>
        <v>22141887.312828358</v>
      </c>
      <c r="B1730" s="3">
        <f t="shared" si="119"/>
        <v>68.899999999999949</v>
      </c>
      <c r="C1730" s="545">
        <f>'Foglio deposito bis'!$E$159/sezione!$B$247*B1730</f>
        <v>568.95736955601251</v>
      </c>
      <c r="D1730" s="603">
        <f>-'Sollecitazioni nel paramento'!$G$47*'Sollecitazioni nel paramento'!$G$41*IF(DATI!$G$211="dx",DATI!$E$61,DATI!$E$64*DATI!$E$63)*1000*C1730^2*sezione!$AD$5*(1-sezione!$AD$6)</f>
        <v>-7202165206.9948778</v>
      </c>
      <c r="E1730" s="545">
        <f>-'Foglio deposito bis'!$F$68*(C1730-sezione!$AL$33)*IF(ABS(K1730)&lt;'Sollecitazioni nel paramento'!$G$58,ABS(K1730)*'Sollecitazioni nel paramento'!$G$54,'Sollecitazioni nel paramento'!$G$53)</f>
        <v>0</v>
      </c>
      <c r="F1730" s="545">
        <f>-'Foglio deposito bis'!$F$69*(C1730-sezione!$AM$33)*IF(ABS(L1730)&lt;'Sollecitazioni nel paramento'!$G$58,ABS(L1730)*'Sollecitazioni nel paramento'!$G$54,'Sollecitazioni nel paramento'!$G$53)</f>
        <v>-78208861.949391246</v>
      </c>
      <c r="G1730" s="545">
        <f>-'Foglio deposito bis'!$F$70*(C1730-sezione!$AN$33)*IF(ABS(M1730)&lt;'Sollecitazioni nel paramento'!$G$58,ABS(M1730)*'Sollecitazioni nel paramento'!$G$54,'Sollecitazioni nel paramento'!$G$53)</f>
        <v>0</v>
      </c>
      <c r="H1730" s="545">
        <f>-'Foglio deposito bis'!$F$71*(C1730-sezione!$AO$33)*IF(ABS(N1730)&lt;'Sollecitazioni nel paramento'!$G$58,ABS(N1730)*'Sollecitazioni nel paramento'!$G$54,'Sollecitazioni nel paramento'!$G$53)</f>
        <v>-128701186.34247987</v>
      </c>
      <c r="I1730" s="472">
        <f>-'Foglio deposito bis'!$F$72*(C1730-sezione!$AP$33)*IF(ABS(O1730)&lt;'Sollecitazioni nel paramento'!$G$58,ABS(O1730)*'Sollecitazioni nel paramento'!$G$54,'Sollecitazioni nel paramento'!$G$53)</f>
        <v>2644.3822455732825</v>
      </c>
      <c r="J1730" s="472">
        <f t="shared" si="120"/>
        <v>-7409072610.9045029</v>
      </c>
      <c r="K1730" s="550">
        <f>'Sollecitazioni nel paramento'!$G$60*(sezione!$AL$33-C1730)/C1730</f>
        <v>-3.2539358702581718E-3</v>
      </c>
      <c r="L1730" s="550">
        <f>'Sollecitazioni nel paramento'!$G$60*(sezione!$AM$33-C1730)/C1730</f>
        <v>-3.1309038053872577E-3</v>
      </c>
      <c r="M1730" s="551">
        <f>'Sollecitazioni nel paramento'!$G$60*(sezione!$AN$33-C1730)/C1730</f>
        <v>-3.0078717405163436E-3</v>
      </c>
      <c r="N1730" s="551">
        <f>'Sollecitazioni nel paramento'!$G$60*(sezione!$AO$33-C1730)/C1730</f>
        <v>-2.5157434810326872E-3</v>
      </c>
      <c r="O1730" s="551">
        <f>'Sollecitazioni nel paramento'!$G$60*(sezione!$AP$33-C1730)/C1730</f>
        <v>7.9271619853121254E-6</v>
      </c>
      <c r="P1730" s="545">
        <f>-'Sollecitazioni nel paramento'!$G$47*'Sollecitazioni nel paramento'!$G$41*IF(DATI!$G$211="dx",DATI!$E$61,DATI!$E$64*DATI!$E$63)*1000*C1730*sezione!$AD$5</f>
        <v>-21675568.907975405</v>
      </c>
      <c r="Q1730" s="545">
        <f>'Foglio deposito bis'!$F$68*IF(ABS(K1730)&lt;'Sollecitazioni nel paramento'!$G$58,ABS(K1730)*'Sollecitazioni nel paramento'!$G$54,'Sollecitazioni nel paramento'!$G$53)*IF(K1730&lt;0,-1,1)</f>
        <v>0</v>
      </c>
      <c r="R1730" s="545">
        <f>'Foglio deposito bis'!$F$69*IF(ABS(L1730)&lt;'Sollecitazioni nel paramento'!$G$58,ABS(L1730)*'Sollecitazioni nel paramento'!$G$54,'Sollecitazioni nel paramento'!$G$53)*IF(L1730&lt;0,-1,1)</f>
        <v>-153664.85805602249</v>
      </c>
      <c r="S1730" s="545">
        <f>'Foglio deposito bis'!$F$70*IF(ABS(M1730)&lt;'Sollecitazioni nel paramento'!$G$58,ABS(M1730)*'Sollecitazioni nel paramento'!$G$54,'Sollecitazioni nel paramento'!$G$53)*IF(M1730&lt;0,-1,1)</f>
        <v>0</v>
      </c>
      <c r="T1730" s="545">
        <f>'Foglio deposito bis'!$F$71*IF(ABS(N1730)&lt;'Sollecitazioni nel paramento'!$G$58,ABS(N1730)*'Sollecitazioni nel paramento'!$G$54,'Sollecitazioni nel paramento'!$G$53)*IF(N1730&lt;0,-1,1)</f>
        <v>-314705.62929873407</v>
      </c>
      <c r="U1730" s="545">
        <f>'Foglio deposito bis'!$F$72*IF(ABS(O1730)&lt;'Sollecitazioni nel paramento'!$G$58,ABS(O1730)*'Sollecitazioni nel paramento'!$G$54,'Sollecitazioni nel paramento'!$G$53)*IF(O1730&lt;0,-1,1)</f>
        <v>2052.0825018063229</v>
      </c>
      <c r="V1730" s="472">
        <f t="shared" si="122"/>
        <v>-22141887.312828358</v>
      </c>
      <c r="W1730" s="551"/>
      <c r="X1730" s="551"/>
    </row>
    <row r="1731" spans="1:24" x14ac:dyDescent="0.25">
      <c r="A1731" s="545">
        <f t="shared" si="121"/>
        <v>22469473.162983172</v>
      </c>
      <c r="B1731" s="3">
        <f t="shared" si="119"/>
        <v>69.899999999999949</v>
      </c>
      <c r="C1731" s="545">
        <f>'Foglio deposito bis'!$E$159/sezione!$B$247*B1731</f>
        <v>577.21509625493866</v>
      </c>
      <c r="D1731" s="603">
        <f>-'Sollecitazioni nel paramento'!$G$47*'Sollecitazioni nel paramento'!$G$41*IF(DATI!$G$211="dx",DATI!$E$61,DATI!$E$64*DATI!$E$63)*1000*C1731^2*sezione!$AD$5*(1-sezione!$AD$6)</f>
        <v>-7412743742.7518559</v>
      </c>
      <c r="E1731" s="545">
        <f>-'Foglio deposito bis'!$F$68*(C1731-sezione!$AL$33)*IF(ABS(K1731)&lt;'Sollecitazioni nel paramento'!$G$58,ABS(K1731)*'Sollecitazioni nel paramento'!$G$54,'Sollecitazioni nel paramento'!$G$53)</f>
        <v>0</v>
      </c>
      <c r="F1731" s="545">
        <f>-'Foglio deposito bis'!$F$69*(C1731-sezione!$AM$33)*IF(ABS(L1731)&lt;'Sollecitazioni nel paramento'!$G$58,ABS(L1731)*'Sollecitazioni nel paramento'!$G$54,'Sollecitazioni nel paramento'!$G$53)</f>
        <v>-79477784.350447163</v>
      </c>
      <c r="G1731" s="545">
        <f>-'Foglio deposito bis'!$F$70*(C1731-sezione!$AN$33)*IF(ABS(M1731)&lt;'Sollecitazioni nel paramento'!$G$58,ABS(M1731)*'Sollecitazioni nel paramento'!$G$54,'Sollecitazioni nel paramento'!$G$53)</f>
        <v>0</v>
      </c>
      <c r="H1731" s="545">
        <f>-'Foglio deposito bis'!$F$71*(C1731-sezione!$AO$33)*IF(ABS(N1731)&lt;'Sollecitazioni nel paramento'!$G$58,ABS(N1731)*'Sollecitazioni nel paramento'!$G$54,'Sollecitazioni nel paramento'!$G$53)</f>
        <v>-131299939.41984239</v>
      </c>
      <c r="I1731" s="472">
        <f>-'Foglio deposito bis'!$F$72*(C1731-sezione!$AP$33)*IF(ABS(O1731)&lt;'Sollecitazioni nel paramento'!$G$58,ABS(O1731)*'Sollecitazioni nel paramento'!$G$54,'Sollecitazioni nel paramento'!$G$53)</f>
        <v>-76235.981042503554</v>
      </c>
      <c r="J1731" s="472">
        <f t="shared" si="120"/>
        <v>-7623597702.5031881</v>
      </c>
      <c r="K1731" s="550">
        <f>'Sollecitazioni nel paramento'!$G$60*(sezione!$AL$33-C1731)/C1731</f>
        <v>-3.2574561010127044E-3</v>
      </c>
      <c r="L1731" s="550">
        <f>'Sollecitazioni nel paramento'!$G$60*(sezione!$AM$33-C1731)/C1731</f>
        <v>-3.1361841515190566E-3</v>
      </c>
      <c r="M1731" s="551">
        <f>'Sollecitazioni nel paramento'!$G$60*(sezione!$AN$33-C1731)/C1731</f>
        <v>-3.0149122020254088E-3</v>
      </c>
      <c r="N1731" s="551">
        <f>'Sollecitazioni nel paramento'!$G$60*(sezione!$AO$33-C1731)/C1731</f>
        <v>-2.5298244040508175E-3</v>
      </c>
      <c r="O1731" s="551">
        <f>'Sollecitazioni nel paramento'!$G$60*(sezione!$AP$33-C1731)/C1731</f>
        <v>-4.2257775954391838E-5</v>
      </c>
      <c r="P1731" s="545">
        <f>-'Sollecitazioni nel paramento'!$G$47*'Sollecitazioni nel paramento'!$G$41*IF(DATI!$G$211="dx",DATI!$E$61,DATI!$E$64*DATI!$E$63)*1000*C1731*sezione!$AD$5</f>
        <v>-21990163.522024393</v>
      </c>
      <c r="Q1731" s="545">
        <f>'Foglio deposito bis'!$F$68*IF(ABS(K1731)&lt;'Sollecitazioni nel paramento'!$G$58,ABS(K1731)*'Sollecitazioni nel paramento'!$G$54,'Sollecitazioni nel paramento'!$G$53)*IF(K1731&lt;0,-1,1)</f>
        <v>0</v>
      </c>
      <c r="R1731" s="545">
        <f>'Foglio deposito bis'!$F$69*IF(ABS(L1731)&lt;'Sollecitazioni nel paramento'!$G$58,ABS(L1731)*'Sollecitazioni nel paramento'!$G$54,'Sollecitazioni nel paramento'!$G$53)*IF(L1731&lt;0,-1,1)</f>
        <v>-153664.85805602249</v>
      </c>
      <c r="S1731" s="545">
        <f>'Foglio deposito bis'!$F$70*IF(ABS(M1731)&lt;'Sollecitazioni nel paramento'!$G$58,ABS(M1731)*'Sollecitazioni nel paramento'!$G$54,'Sollecitazioni nel paramento'!$G$53)*IF(M1731&lt;0,-1,1)</f>
        <v>0</v>
      </c>
      <c r="T1731" s="545">
        <f>'Foglio deposito bis'!$F$71*IF(ABS(N1731)&lt;'Sollecitazioni nel paramento'!$G$58,ABS(N1731)*'Sollecitazioni nel paramento'!$G$54,'Sollecitazioni nel paramento'!$G$53)*IF(N1731&lt;0,-1,1)</f>
        <v>-314705.62929873407</v>
      </c>
      <c r="U1731" s="545">
        <f>'Foglio deposito bis'!$F$72*IF(ABS(O1731)&lt;'Sollecitazioni nel paramento'!$G$58,ABS(O1731)*'Sollecitazioni nel paramento'!$G$54,'Sollecitazioni nel paramento'!$G$53)*IF(O1731&lt;0,-1,1)</f>
        <v>-10939.153604017731</v>
      </c>
      <c r="V1731" s="472">
        <f t="shared" si="122"/>
        <v>-22469473.162983172</v>
      </c>
      <c r="W1731" s="551"/>
      <c r="X1731" s="551"/>
    </row>
    <row r="1732" spans="1:24" x14ac:dyDescent="0.25">
      <c r="A1732" s="545">
        <f t="shared" si="121"/>
        <v>22796692.546675198</v>
      </c>
      <c r="B1732" s="3">
        <f t="shared" si="119"/>
        <v>70.899999999999949</v>
      </c>
      <c r="C1732" s="545">
        <f>'Foglio deposito bis'!$E$159/sezione!$B$247*B1732</f>
        <v>585.47282295386481</v>
      </c>
      <c r="D1732" s="603">
        <f>-'Sollecitazioni nel paramento'!$G$47*'Sollecitazioni nel paramento'!$G$41*IF(DATI!$G$211="dx",DATI!$E$61,DATI!$E$64*DATI!$E$63)*1000*C1732^2*sezione!$AD$5*(1-sezione!$AD$6)</f>
        <v>-7626356551.3583612</v>
      </c>
      <c r="E1732" s="545">
        <f>-'Foglio deposito bis'!$F$68*(C1732-sezione!$AL$33)*IF(ABS(K1732)&lt;'Sollecitazioni nel paramento'!$G$58,ABS(K1732)*'Sollecitazioni nel paramento'!$G$54,'Sollecitazioni nel paramento'!$G$53)</f>
        <v>0</v>
      </c>
      <c r="F1732" s="545">
        <f>-'Foglio deposito bis'!$F$69*(C1732-sezione!$AM$33)*IF(ABS(L1732)&lt;'Sollecitazioni nel paramento'!$G$58,ABS(L1732)*'Sollecitazioni nel paramento'!$G$54,'Sollecitazioni nel paramento'!$G$53)</f>
        <v>-80746706.75150308</v>
      </c>
      <c r="G1732" s="545">
        <f>-'Foglio deposito bis'!$F$70*(C1732-sezione!$AN$33)*IF(ABS(M1732)&lt;'Sollecitazioni nel paramento'!$G$58,ABS(M1732)*'Sollecitazioni nel paramento'!$G$54,'Sollecitazioni nel paramento'!$G$53)</f>
        <v>0</v>
      </c>
      <c r="H1732" s="545">
        <f>-'Foglio deposito bis'!$F$71*(C1732-sezione!$AO$33)*IF(ABS(N1732)&lt;'Sollecitazioni nel paramento'!$G$58,ABS(N1732)*'Sollecitazioni nel paramento'!$G$54,'Sollecitazioni nel paramento'!$G$53)</f>
        <v>-133898692.4972049</v>
      </c>
      <c r="I1732" s="472">
        <f>-'Foglio deposito bis'!$F$72*(C1732-sezione!$AP$33)*IF(ABS(O1732)&lt;'Sollecitazioni nel paramento'!$G$58,ABS(O1732)*'Sollecitazioni nel paramento'!$G$54,'Sollecitazioni nel paramento'!$G$53)</f>
        <v>-358803.6154962281</v>
      </c>
      <c r="J1732" s="472">
        <f t="shared" si="120"/>
        <v>-7841360754.2225657</v>
      </c>
      <c r="K1732" s="550">
        <f>'Sollecitazioni nel paramento'!$G$60*(sezione!$AL$33-C1732)/C1732</f>
        <v>-3.2608770304765589E-3</v>
      </c>
      <c r="L1732" s="550">
        <f>'Sollecitazioni nel paramento'!$G$60*(sezione!$AM$33-C1732)/C1732</f>
        <v>-3.1413155457148388E-3</v>
      </c>
      <c r="M1732" s="551">
        <f>'Sollecitazioni nel paramento'!$G$60*(sezione!$AN$33-C1732)/C1732</f>
        <v>-3.0217540609531182E-3</v>
      </c>
      <c r="N1732" s="551">
        <f>'Sollecitazioni nel paramento'!$G$60*(sezione!$AO$33-C1732)/C1732</f>
        <v>-2.5435081219062359E-3</v>
      </c>
      <c r="O1732" s="551">
        <f>'Sollecitazioni nel paramento'!$G$60*(sezione!$AP$33-C1732)/C1732</f>
        <v>-9.1027059791424315E-5</v>
      </c>
      <c r="P1732" s="545">
        <f>-'Sollecitazioni nel paramento'!$G$47*'Sollecitazioni nel paramento'!$G$41*IF(DATI!$G$211="dx",DATI!$E$61,DATI!$E$64*DATI!$E$63)*1000*C1732*sezione!$AD$5</f>
        <v>-22304758.136073384</v>
      </c>
      <c r="Q1732" s="545">
        <f>'Foglio deposito bis'!$F$68*IF(ABS(K1732)&lt;'Sollecitazioni nel paramento'!$G$58,ABS(K1732)*'Sollecitazioni nel paramento'!$G$54,'Sollecitazioni nel paramento'!$G$53)*IF(K1732&lt;0,-1,1)</f>
        <v>0</v>
      </c>
      <c r="R1732" s="545">
        <f>'Foglio deposito bis'!$F$69*IF(ABS(L1732)&lt;'Sollecitazioni nel paramento'!$G$58,ABS(L1732)*'Sollecitazioni nel paramento'!$G$54,'Sollecitazioni nel paramento'!$G$53)*IF(L1732&lt;0,-1,1)</f>
        <v>-153664.85805602249</v>
      </c>
      <c r="S1732" s="545">
        <f>'Foglio deposito bis'!$F$70*IF(ABS(M1732)&lt;'Sollecitazioni nel paramento'!$G$58,ABS(M1732)*'Sollecitazioni nel paramento'!$G$54,'Sollecitazioni nel paramento'!$G$53)*IF(M1732&lt;0,-1,1)</f>
        <v>0</v>
      </c>
      <c r="T1732" s="545">
        <f>'Foglio deposito bis'!$F$71*IF(ABS(N1732)&lt;'Sollecitazioni nel paramento'!$G$58,ABS(N1732)*'Sollecitazioni nel paramento'!$G$54,'Sollecitazioni nel paramento'!$G$53)*IF(N1732&lt;0,-1,1)</f>
        <v>-314705.62929873407</v>
      </c>
      <c r="U1732" s="545">
        <f>'Foglio deposito bis'!$F$72*IF(ABS(O1732)&lt;'Sollecitazioni nel paramento'!$G$58,ABS(O1732)*'Sollecitazioni nel paramento'!$G$54,'Sollecitazioni nel paramento'!$G$53)*IF(O1732&lt;0,-1,1)</f>
        <v>-23563.923247054081</v>
      </c>
      <c r="V1732" s="472">
        <f t="shared" si="122"/>
        <v>-22796692.546675198</v>
      </c>
      <c r="W1732" s="551"/>
      <c r="X1732" s="551"/>
    </row>
    <row r="1733" spans="1:24" x14ac:dyDescent="0.25">
      <c r="A1733" s="545">
        <f t="shared" si="121"/>
        <v>23123560.754577428</v>
      </c>
      <c r="B1733" s="3">
        <f t="shared" si="119"/>
        <v>71.899999999999949</v>
      </c>
      <c r="C1733" s="545">
        <f>'Foglio deposito bis'!$E$159/sezione!$B$247*B1733</f>
        <v>593.73054965279096</v>
      </c>
      <c r="D1733" s="603">
        <f>-'Sollecitazioni nel paramento'!$G$47*'Sollecitazioni nel paramento'!$G$41*IF(DATI!$G$211="dx",DATI!$E$61,DATI!$E$64*DATI!$E$63)*1000*C1733^2*sezione!$AD$5*(1-sezione!$AD$6)</f>
        <v>-7843003632.8143883</v>
      </c>
      <c r="E1733" s="545">
        <f>-'Foglio deposito bis'!$F$68*(C1733-sezione!$AL$33)*IF(ABS(K1733)&lt;'Sollecitazioni nel paramento'!$G$58,ABS(K1733)*'Sollecitazioni nel paramento'!$G$54,'Sollecitazioni nel paramento'!$G$53)</f>
        <v>0</v>
      </c>
      <c r="F1733" s="545">
        <f>-'Foglio deposito bis'!$F$69*(C1733-sezione!$AM$33)*IF(ABS(L1733)&lt;'Sollecitazioni nel paramento'!$G$58,ABS(L1733)*'Sollecitazioni nel paramento'!$G$54,'Sollecitazioni nel paramento'!$G$53)</f>
        <v>-82015629.152558982</v>
      </c>
      <c r="G1733" s="545">
        <f>-'Foglio deposito bis'!$F$70*(C1733-sezione!$AN$33)*IF(ABS(M1733)&lt;'Sollecitazioni nel paramento'!$G$58,ABS(M1733)*'Sollecitazioni nel paramento'!$G$54,'Sollecitazioni nel paramento'!$G$53)</f>
        <v>0</v>
      </c>
      <c r="H1733" s="545">
        <f>-'Foglio deposito bis'!$F$71*(C1733-sezione!$AO$33)*IF(ABS(N1733)&lt;'Sollecitazioni nel paramento'!$G$58,ABS(N1733)*'Sollecitazioni nel paramento'!$G$54,'Sollecitazioni nel paramento'!$G$53)</f>
        <v>-136497445.57456741</v>
      </c>
      <c r="I1733" s="472">
        <f>-'Foglio deposito bis'!$F$72*(C1733-sezione!$AP$33)*IF(ABS(O1733)&lt;'Sollecitazioni nel paramento'!$G$58,ABS(O1733)*'Sollecitazioni nel paramento'!$G$54,'Sollecitazioni nel paramento'!$G$53)</f>
        <v>-841627.84044721466</v>
      </c>
      <c r="J1733" s="472">
        <f t="shared" si="120"/>
        <v>-8062358335.3819628</v>
      </c>
      <c r="K1733" s="550">
        <f>'Sollecitazioni nel paramento'!$G$60*(sezione!$AL$33-C1733)/C1733</f>
        <v>-3.2642028019581092E-3</v>
      </c>
      <c r="L1733" s="550">
        <f>'Sollecitazioni nel paramento'!$G$60*(sezione!$AM$33-C1733)/C1733</f>
        <v>-3.1463042029371635E-3</v>
      </c>
      <c r="M1733" s="551">
        <f>'Sollecitazioni nel paramento'!$G$60*(sezione!$AN$33-C1733)/C1733</f>
        <v>-3.0284056039162179E-3</v>
      </c>
      <c r="N1733" s="551">
        <f>'Sollecitazioni nel paramento'!$G$60*(sezione!$AO$33-C1733)/C1733</f>
        <v>-2.5568112078324357E-3</v>
      </c>
      <c r="O1733" s="551">
        <f>'Sollecitazioni nel paramento'!$G$60*(sezione!$AP$33-C1733)/C1733</f>
        <v>-1.3843975715176606E-4</v>
      </c>
      <c r="P1733" s="545">
        <f>-'Sollecitazioni nel paramento'!$G$47*'Sollecitazioni nel paramento'!$G$41*IF(DATI!$G$211="dx",DATI!$E$61,DATI!$E$64*DATI!$E$63)*1000*C1733*sezione!$AD$5</f>
        <v>-22619352.750122372</v>
      </c>
      <c r="Q1733" s="545">
        <f>'Foglio deposito bis'!$F$68*IF(ABS(K1733)&lt;'Sollecitazioni nel paramento'!$G$58,ABS(K1733)*'Sollecitazioni nel paramento'!$G$54,'Sollecitazioni nel paramento'!$G$53)*IF(K1733&lt;0,-1,1)</f>
        <v>0</v>
      </c>
      <c r="R1733" s="545">
        <f>'Foglio deposito bis'!$F$69*IF(ABS(L1733)&lt;'Sollecitazioni nel paramento'!$G$58,ABS(L1733)*'Sollecitazioni nel paramento'!$G$54,'Sollecitazioni nel paramento'!$G$53)*IF(L1733&lt;0,-1,1)</f>
        <v>-153664.85805602249</v>
      </c>
      <c r="S1733" s="545">
        <f>'Foglio deposito bis'!$F$70*IF(ABS(M1733)&lt;'Sollecitazioni nel paramento'!$G$58,ABS(M1733)*'Sollecitazioni nel paramento'!$G$54,'Sollecitazioni nel paramento'!$G$53)*IF(M1733&lt;0,-1,1)</f>
        <v>0</v>
      </c>
      <c r="T1733" s="545">
        <f>'Foglio deposito bis'!$F$71*IF(ABS(N1733)&lt;'Sollecitazioni nel paramento'!$G$58,ABS(N1733)*'Sollecitazioni nel paramento'!$G$54,'Sollecitazioni nel paramento'!$G$53)*IF(N1733&lt;0,-1,1)</f>
        <v>-314705.62929873407</v>
      </c>
      <c r="U1733" s="545">
        <f>'Foglio deposito bis'!$F$72*IF(ABS(O1733)&lt;'Sollecitazioni nel paramento'!$G$58,ABS(O1733)*'Sollecitazioni nel paramento'!$G$54,'Sollecitazioni nel paramento'!$G$53)*IF(O1733&lt;0,-1,1)</f>
        <v>-35837.51710029805</v>
      </c>
      <c r="V1733" s="472">
        <f t="shared" si="122"/>
        <v>-23123560.754577428</v>
      </c>
      <c r="W1733" s="551"/>
      <c r="X1733" s="551"/>
    </row>
    <row r="1734" spans="1:24" x14ac:dyDescent="0.25">
      <c r="A1734" s="545">
        <f>ABS(V1734)</f>
        <v>23450092.238368463</v>
      </c>
      <c r="B1734" s="3">
        <f t="shared" si="119"/>
        <v>72.899999999999949</v>
      </c>
      <c r="C1734" s="545">
        <f>'Foglio deposito bis'!$E$159/sezione!$B$247*B1734</f>
        <v>601.9882763517171</v>
      </c>
      <c r="D1734" s="603">
        <f>-'Sollecitazioni nel paramento'!$G$47*'Sollecitazioni nel paramento'!$G$41*IF(DATI!$G$211="dx",DATI!$E$61,DATI!$E$64*DATI!$E$63)*1000*C1734^2*sezione!$AD$5*(1-sezione!$AD$6)</f>
        <v>-8062684987.1199389</v>
      </c>
      <c r="E1734" s="545">
        <f>-'Foglio deposito bis'!$F$68*(C1734-sezione!$AL$33)*IF(ABS(K1734)&lt;'Sollecitazioni nel paramento'!$G$58,ABS(K1734)*'Sollecitazioni nel paramento'!$G$54,'Sollecitazioni nel paramento'!$G$53)</f>
        <v>0</v>
      </c>
      <c r="F1734" s="545">
        <f>-'Foglio deposito bis'!$F$69*(C1734-sezione!$AM$33)*IF(ABS(L1734)&lt;'Sollecitazioni nel paramento'!$G$58,ABS(L1734)*'Sollecitazioni nel paramento'!$G$54,'Sollecitazioni nel paramento'!$G$53)</f>
        <v>-83284551.5536149</v>
      </c>
      <c r="G1734" s="545">
        <f>-'Foglio deposito bis'!$F$70*(C1734-sezione!$AN$33)*IF(ABS(M1734)&lt;'Sollecitazioni nel paramento'!$G$58,ABS(M1734)*'Sollecitazioni nel paramento'!$G$54,'Sollecitazioni nel paramento'!$G$53)</f>
        <v>0</v>
      </c>
      <c r="H1734" s="545">
        <f>-'Foglio deposito bis'!$F$71*(C1734-sezione!$AO$33)*IF(ABS(N1734)&lt;'Sollecitazioni nel paramento'!$G$58,ABS(N1734)*'Sollecitazioni nel paramento'!$G$54,'Sollecitazioni nel paramento'!$G$53)</f>
        <v>-139096198.65192991</v>
      </c>
      <c r="I1734" s="472">
        <f>-'Foglio deposito bis'!$F$72*(C1734-sezione!$AP$33)*IF(ABS(O1734)&lt;'Sollecitazioni nel paramento'!$G$58,ABS(O1734)*'Sollecitazioni nel paramento'!$G$54,'Sollecitazioni nel paramento'!$G$53)</f>
        <v>-1516467.6439408432</v>
      </c>
      <c r="J1734" s="472">
        <f t="shared" si="120"/>
        <v>-8286582204.9694242</v>
      </c>
      <c r="K1734" s="550">
        <f>'Sollecitazioni nel paramento'!$G$60*(sezione!$AL$33-C1734)/C1734</f>
        <v>-3.2674373314237042E-3</v>
      </c>
      <c r="L1734" s="550">
        <f>'Sollecitazioni nel paramento'!$G$60*(sezione!$AM$33-C1734)/C1734</f>
        <v>-3.1511559971355561E-3</v>
      </c>
      <c r="M1734" s="551">
        <f>'Sollecitazioni nel paramento'!$G$60*(sezione!$AN$33-C1734)/C1734</f>
        <v>-3.0348746628474079E-3</v>
      </c>
      <c r="N1734" s="551">
        <f>'Sollecitazioni nel paramento'!$G$60*(sezione!$AO$33-C1734)/C1734</f>
        <v>-2.5697493256948167E-3</v>
      </c>
      <c r="O1734" s="551">
        <f>'Sollecitazioni nel paramento'!$G$60*(sezione!$AP$33-C1734)/C1734</f>
        <v>-1.8455169463939608E-4</v>
      </c>
      <c r="P1734" s="545">
        <f>-'Sollecitazioni nel paramento'!$G$47*'Sollecitazioni nel paramento'!$G$41*IF(DATI!$G$211="dx",DATI!$E$61,DATI!$E$64*DATI!$E$63)*1000*C1734*sezione!$AD$5</f>
        <v>-22933947.364171363</v>
      </c>
      <c r="Q1734" s="545">
        <f>'Foglio deposito bis'!$F$68*IF(ABS(K1734)&lt;'Sollecitazioni nel paramento'!$G$58,ABS(K1734)*'Sollecitazioni nel paramento'!$G$54,'Sollecitazioni nel paramento'!$G$53)*IF(K1734&lt;0,-1,1)</f>
        <v>0</v>
      </c>
      <c r="R1734" s="545">
        <f>'Foglio deposito bis'!$F$69*IF(ABS(L1734)&lt;'Sollecitazioni nel paramento'!$G$58,ABS(L1734)*'Sollecitazioni nel paramento'!$G$54,'Sollecitazioni nel paramento'!$G$53)*IF(L1734&lt;0,-1,1)</f>
        <v>-153664.85805602249</v>
      </c>
      <c r="S1734" s="545">
        <f>'Foglio deposito bis'!$F$70*IF(ABS(M1734)&lt;'Sollecitazioni nel paramento'!$G$58,ABS(M1734)*'Sollecitazioni nel paramento'!$G$54,'Sollecitazioni nel paramento'!$G$53)*IF(M1734&lt;0,-1,1)</f>
        <v>0</v>
      </c>
      <c r="T1734" s="545">
        <f>'Foglio deposito bis'!$F$71*IF(ABS(N1734)&lt;'Sollecitazioni nel paramento'!$G$58,ABS(N1734)*'Sollecitazioni nel paramento'!$G$54,'Sollecitazioni nel paramento'!$G$53)*IF(N1734&lt;0,-1,1)</f>
        <v>-314705.62929873407</v>
      </c>
      <c r="U1734" s="545">
        <f>'Foglio deposito bis'!$F$72*IF(ABS(O1734)&lt;'Sollecitazioni nel paramento'!$G$58,ABS(O1734)*'Sollecitazioni nel paramento'!$G$54,'Sollecitazioni nel paramento'!$G$53)*IF(O1734&lt;0,-1,1)</f>
        <v>-47774.386842341897</v>
      </c>
      <c r="V1734" s="472">
        <f t="shared" si="122"/>
        <v>-23450092.238368463</v>
      </c>
      <c r="W1734" s="551"/>
      <c r="X1734" s="551"/>
    </row>
    <row r="1735" spans="1:24" x14ac:dyDescent="0.25">
      <c r="A1735" s="545">
        <f t="shared" si="121"/>
        <v>23776300.667498007</v>
      </c>
      <c r="B1735" s="3">
        <f>B1734+1</f>
        <v>73.899999999999949</v>
      </c>
      <c r="C1735" s="545">
        <f>'Foglio deposito bis'!$E$159/sezione!$B$247*B1735</f>
        <v>610.24600305064325</v>
      </c>
      <c r="D1735" s="31">
        <f>-'Sollecitazioni nel paramento'!$G$47*'Sollecitazioni nel paramento'!$G$41*IF(DATI!$G$211="dx",DATI!$E$61,DATI!$E$64*DATI!$E$63)*1000*C1735^2*sezione!$AD$5*(1-sezione!$AD$6)</f>
        <v>-8285400614.2750139</v>
      </c>
      <c r="E1735" s="545">
        <f>-'Foglio deposito bis'!$F$68*(C1735-sezione!$AL$33)*IF(ABS(K1735)&lt;'Sollecitazioni nel paramento'!$G$58,ABS(K1735)*'Sollecitazioni nel paramento'!$G$54,'Sollecitazioni nel paramento'!$G$53)</f>
        <v>0</v>
      </c>
      <c r="F1735" s="545">
        <f>-'Foglio deposito bis'!$F$69*(C1735-sezione!$AM$33)*IF(ABS(L1735)&lt;'Sollecitazioni nel paramento'!$G$58,ABS(L1735)*'Sollecitazioni nel paramento'!$G$54,'Sollecitazioni nel paramento'!$G$53)</f>
        <v>-84553473.954670817</v>
      </c>
      <c r="G1735" s="545">
        <f>-'Foglio deposito bis'!$F$70*(C1735-sezione!$AN$33)*IF(ABS(M1735)&lt;'Sollecitazioni nel paramento'!$G$58,ABS(M1735)*'Sollecitazioni nel paramento'!$G$54,'Sollecitazioni nel paramento'!$G$53)</f>
        <v>0</v>
      </c>
      <c r="H1735" s="545">
        <f>-'Foglio deposito bis'!$F$71*(C1735-sezione!$AO$33)*IF(ABS(N1735)&lt;'Sollecitazioni nel paramento'!$G$58,ABS(N1735)*'Sollecitazioni nel paramento'!$G$54,'Sollecitazioni nel paramento'!$G$53)</f>
        <v>-141694951.72929242</v>
      </c>
      <c r="I1735" s="472">
        <f>-'Foglio deposito bis'!$F$72*(C1735-sezione!$AP$33)*IF(ABS(O1735)&lt;'Sollecitazioni nel paramento'!$G$58,ABS(O1735)*'Sollecitazioni nel paramento'!$G$54,'Sollecitazioni nel paramento'!$G$53)</f>
        <v>-2375528.0769158429</v>
      </c>
      <c r="J1735" s="472">
        <f t="shared" si="120"/>
        <v>-8514024568.0358934</v>
      </c>
      <c r="K1735" s="550">
        <f>'Sollecitazioni nel paramento'!$G$60*(sezione!$AL$33-C1735)/C1735</f>
        <v>-3.2705843228794051E-3</v>
      </c>
      <c r="L1735" s="550">
        <f>'Sollecitazioni nel paramento'!$G$60*(sezione!$AM$33-C1735)/C1735</f>
        <v>-3.1558764843191076E-3</v>
      </c>
      <c r="M1735" s="551">
        <f>'Sollecitazioni nel paramento'!$G$60*(sezione!$AN$33-C1735)/C1735</f>
        <v>-3.04116864575881E-3</v>
      </c>
      <c r="N1735" s="551">
        <f>'Sollecitazioni nel paramento'!$G$60*(sezione!$AO$33-C1735)/C1735</f>
        <v>-2.58233729151762E-3</v>
      </c>
      <c r="O1735" s="551">
        <f>'Sollecitazioni nel paramento'!$G$60*(sezione!$AP$33-C1735)/C1735</f>
        <v>-2.2941567712059501E-4</v>
      </c>
      <c r="P1735" s="545">
        <f>-'Sollecitazioni nel paramento'!$G$47*'Sollecitazioni nel paramento'!$G$41*IF(DATI!$G$211="dx",DATI!$E$61,DATI!$E$64*DATI!$E$63)*1000*C1735*sezione!$AD$5</f>
        <v>-23248541.978220351</v>
      </c>
      <c r="Q1735" s="545">
        <f>'Foglio deposito bis'!$F$68*IF(ABS(K1735)&lt;'Sollecitazioni nel paramento'!$G$58,ABS(K1735)*'Sollecitazioni nel paramento'!$G$54,'Sollecitazioni nel paramento'!$G$53)*IF(K1735&lt;0,-1,1)</f>
        <v>0</v>
      </c>
      <c r="R1735" s="545">
        <f>'Foglio deposito bis'!$F$69*IF(ABS(L1735)&lt;'Sollecitazioni nel paramento'!$G$58,ABS(L1735)*'Sollecitazioni nel paramento'!$G$54,'Sollecitazioni nel paramento'!$G$53)*IF(L1735&lt;0,-1,1)</f>
        <v>-153664.85805602249</v>
      </c>
      <c r="S1735" s="545">
        <f>'Foglio deposito bis'!$F$70*IF(ABS(M1735)&lt;'Sollecitazioni nel paramento'!$G$58,ABS(M1735)*'Sollecitazioni nel paramento'!$G$54,'Sollecitazioni nel paramento'!$G$53)*IF(M1735&lt;0,-1,1)</f>
        <v>0</v>
      </c>
      <c r="T1735" s="545">
        <f>'Foglio deposito bis'!$F$71*IF(ABS(N1735)&lt;'Sollecitazioni nel paramento'!$G$58,ABS(N1735)*'Sollecitazioni nel paramento'!$G$54,'Sollecitazioni nel paramento'!$G$53)*IF(N1735&lt;0,-1,1)</f>
        <v>-314705.62929873407</v>
      </c>
      <c r="U1735" s="545">
        <f>'Foglio deposito bis'!$F$72*IF(ABS(O1735)&lt;'Sollecitazioni nel paramento'!$G$58,ABS(O1735)*'Sollecitazioni nel paramento'!$G$54,'Sollecitazioni nel paramento'!$G$53)*IF(O1735&lt;0,-1,1)</f>
        <v>-59388.201922896078</v>
      </c>
      <c r="V1735" s="472">
        <f t="shared" si="122"/>
        <v>-23776300.667498007</v>
      </c>
      <c r="W1735" s="551"/>
      <c r="X1735" s="551"/>
    </row>
    <row r="1736" spans="1:24" x14ac:dyDescent="0.25">
      <c r="P1736" s="545"/>
      <c r="Q1736" s="545"/>
      <c r="R1736" s="545"/>
      <c r="S1736" s="545"/>
      <c r="T1736" s="545"/>
      <c r="U1736" s="545"/>
      <c r="V1736" s="472"/>
    </row>
    <row r="1737" spans="1:24" x14ac:dyDescent="0.25">
      <c r="P1737" s="545"/>
      <c r="Q1737" s="545"/>
      <c r="R1737" s="545"/>
      <c r="S1737" s="545"/>
      <c r="T1737" s="545"/>
      <c r="U1737" s="545"/>
      <c r="V1737" s="472"/>
    </row>
    <row r="1738" spans="1:24" ht="15.75" x14ac:dyDescent="0.25">
      <c r="A1738" s="1035" t="s">
        <v>955</v>
      </c>
      <c r="B1738" s="1036"/>
      <c r="C1738" s="1036"/>
      <c r="D1738" s="1036"/>
      <c r="E1738" s="1036"/>
      <c r="F1738" s="1036"/>
      <c r="G1738" s="1036"/>
      <c r="H1738" s="1036"/>
      <c r="I1738" s="1036"/>
      <c r="J1738" s="1036"/>
      <c r="K1738" s="1036"/>
      <c r="L1738" s="1036"/>
      <c r="M1738" s="1036"/>
      <c r="N1738" s="1036"/>
      <c r="O1738" s="1037"/>
      <c r="P1738" s="545"/>
      <c r="Q1738" s="545"/>
      <c r="R1738" s="545"/>
      <c r="S1738" s="545"/>
      <c r="T1738" s="545"/>
      <c r="U1738" s="545"/>
      <c r="V1738" s="472"/>
      <c r="W1738" s="605"/>
      <c r="X1738" s="605"/>
    </row>
    <row r="1739" spans="1:24" x14ac:dyDescent="0.25">
      <c r="A1739" s="533">
        <v>1</v>
      </c>
      <c r="B1739" s="533">
        <v>2</v>
      </c>
      <c r="C1739" s="533">
        <v>3</v>
      </c>
      <c r="D1739" s="533">
        <v>4</v>
      </c>
      <c r="E1739" s="533">
        <v>5</v>
      </c>
      <c r="F1739" s="533">
        <v>6</v>
      </c>
      <c r="G1739" s="533">
        <v>7</v>
      </c>
      <c r="H1739" s="533">
        <v>8</v>
      </c>
      <c r="I1739" s="533">
        <v>9</v>
      </c>
      <c r="J1739" s="533">
        <v>10</v>
      </c>
      <c r="K1739" s="533">
        <v>11</v>
      </c>
      <c r="L1739" s="533">
        <v>12</v>
      </c>
      <c r="M1739" s="533">
        <v>13</v>
      </c>
      <c r="N1739" s="533">
        <v>14</v>
      </c>
      <c r="O1739" s="533">
        <v>15</v>
      </c>
      <c r="P1739" s="598">
        <v>4</v>
      </c>
      <c r="Q1739" s="598">
        <v>5</v>
      </c>
      <c r="R1739" s="598">
        <v>6</v>
      </c>
      <c r="S1739" s="598">
        <v>7</v>
      </c>
      <c r="T1739" s="598">
        <v>8</v>
      </c>
      <c r="U1739" s="598">
        <v>9</v>
      </c>
      <c r="V1739" s="598">
        <v>10</v>
      </c>
      <c r="W1739" s="46"/>
      <c r="X1739" s="46"/>
    </row>
    <row r="1740" spans="1:24" x14ac:dyDescent="0.25">
      <c r="A1740" s="553" t="s">
        <v>930</v>
      </c>
      <c r="B1740" s="80" t="s">
        <v>918</v>
      </c>
      <c r="C1740" s="533" t="s">
        <v>137</v>
      </c>
      <c r="D1740" s="533" t="s">
        <v>912</v>
      </c>
      <c r="E1740" s="533" t="s">
        <v>913</v>
      </c>
      <c r="F1740" s="533" t="s">
        <v>914</v>
      </c>
      <c r="G1740" s="533" t="s">
        <v>915</v>
      </c>
      <c r="H1740" s="533" t="s">
        <v>916</v>
      </c>
      <c r="I1740" s="533" t="s">
        <v>917</v>
      </c>
      <c r="J1740" s="554" t="s">
        <v>911</v>
      </c>
      <c r="K1740" s="553" t="s">
        <v>924</v>
      </c>
      <c r="L1740" s="553" t="s">
        <v>925</v>
      </c>
      <c r="M1740" s="553" t="s">
        <v>926</v>
      </c>
      <c r="N1740" s="553" t="s">
        <v>927</v>
      </c>
      <c r="O1740" s="553" t="s">
        <v>928</v>
      </c>
      <c r="P1740" s="598" t="s">
        <v>296</v>
      </c>
      <c r="Q1740" s="598" t="s">
        <v>969</v>
      </c>
      <c r="R1740" s="598" t="s">
        <v>970</v>
      </c>
      <c r="S1740" s="598" t="s">
        <v>971</v>
      </c>
      <c r="T1740" s="598" t="s">
        <v>972</v>
      </c>
      <c r="U1740" s="598" t="s">
        <v>973</v>
      </c>
      <c r="V1740" s="599" t="s">
        <v>1022</v>
      </c>
      <c r="W1740" s="57"/>
      <c r="X1740" s="57"/>
    </row>
    <row r="1741" spans="1:24" x14ac:dyDescent="0.25">
      <c r="A1741" s="545">
        <f>ABS(V1741)</f>
        <v>1444068.6957266117</v>
      </c>
      <c r="B1741" s="3">
        <v>0</v>
      </c>
      <c r="C1741" s="41">
        <v>0.01</v>
      </c>
      <c r="D1741" s="603">
        <f>-'Sollecitazioni nel paramento'!$G$47*'Sollecitazioni nel paramento'!$G$41*IF(DATI!$G$211="dx",DATI!$E$61,DATI!$E$64*DATI!$E$63)*1000*C1741^2*sezione!$AD$5*(1-sezione!$AD$6)</f>
        <v>-2.2248647999999998</v>
      </c>
      <c r="E1741" s="545">
        <f>-'Foglio deposito bis'!$F$78*(C1741-sezione!$AL$34)*IF(ABS(K1741)&lt;'Sollecitazioni nel paramento'!$G$58,ABS(K1741)*'Sollecitazioni nel paramento'!$G$54,'Sollecitazioni nel paramento'!$G$53)</f>
        <v>0</v>
      </c>
      <c r="F1741" s="545">
        <f>-'Foglio deposito bis'!$F$79*(C1741-sezione!$AM$34)*IF(ABS(L1741)&lt;'Sollecitazioni nel paramento'!$G$58,ABS(L1741)*'Sollecitazioni nel paramento'!$G$54,'Sollecitazioni nel paramento'!$G$53)</f>
        <v>9218354.8347807899</v>
      </c>
      <c r="G1741" s="545">
        <f>-'Foglio deposito bis'!$F$80*(C1741-sezione!$AN$34)*IF(ABS(M1741)&lt;'Sollecitazioni nel paramento'!$G$58,ABS(M1741)*'Sollecitazioni nel paramento'!$G$54,'Sollecitazioni nel paramento'!$G$53)</f>
        <v>0</v>
      </c>
      <c r="H1741" s="545">
        <f>-'Foglio deposito bis'!$F$81*(C1741-sezione!$AO$34)*IF(ABS(N1741)&lt;'Sollecitazioni nel paramento'!$G$58,ABS(N1741)*'Sollecitazioni nel paramento'!$G$54,'Sollecitazioni nel paramento'!$G$53)</f>
        <v>63723906.939872839</v>
      </c>
      <c r="I1741" s="472">
        <f>-'Foglio deposito bis'!$F$82*(C1741-sezione!$AP$34)*IF(ABS(O1741)&lt;'Sollecitazioni nel paramento'!$G$58,ABS(O1741)*'Sollecitazioni nel paramento'!$G$54,'Sollecitazioni nel paramento'!$G$53)</f>
        <v>565005536.52712739</v>
      </c>
      <c r="J1741" s="472">
        <f t="shared" ref="J1741:J1804" si="123">D1741+E1741+F1741+G1741+H1741+I1741</f>
        <v>637947796.07691622</v>
      </c>
      <c r="K1741" s="550">
        <f>'Sollecitazioni nel paramento'!$G$60*(sezione!$AL$34-C1741)/C1741</f>
        <v>13.996500000000001</v>
      </c>
      <c r="L1741" s="550">
        <f>'Sollecitazioni nel paramento'!$G$60*(sezione!$AM$34-C1741)/C1741</f>
        <v>20.996500000000001</v>
      </c>
      <c r="M1741" s="551">
        <f>'Sollecitazioni nel paramento'!$G$60*(sezione!$AN$34-C1741)/C1741</f>
        <v>27.996499999999997</v>
      </c>
      <c r="N1741" s="551">
        <f>'Sollecitazioni nel paramento'!$G$60*(sezione!$AO$34-C1741)/C1741</f>
        <v>55.996500000000005</v>
      </c>
      <c r="O1741" s="551">
        <f>'Sollecitazioni nel paramento'!$G$60*(sezione!$AP$34-C1741)/C1741</f>
        <v>221.57439954125343</v>
      </c>
      <c r="P1741" s="545">
        <f>-'Sollecitazioni nel paramento'!$G$47*'Sollecitazioni nel paramento'!$G$41*IF(DATI!$G$211="dx",DATI!$E$61,DATI!$E$64*DATI!$E$63)*1000*C1741*sezione!$AD$5</f>
        <v>-380.96999999999991</v>
      </c>
      <c r="Q1741" s="545">
        <f>'Foglio deposito bis'!$F$78*IF(ABS(K1741)&lt;'Sollecitazioni nel paramento'!$G$58,ABS(K1741)*'Sollecitazioni nel paramento'!$G$54,'Sollecitazioni nel paramento'!$G$53)*IF(K1741&lt;0,-1,1)</f>
        <v>0</v>
      </c>
      <c r="R1741" s="545">
        <f>'Foglio deposito bis'!$F$79*IF(ABS(L1741)&lt;'Sollecitazioni nel paramento'!$G$58,ABS(L1741)*'Sollecitazioni nel paramento'!$G$54,'Sollecitazioni nel paramento'!$G$53)*IF(L1741&lt;0,-1,1)</f>
        <v>153664.85805602249</v>
      </c>
      <c r="S1741" s="545">
        <f>'Foglio deposito bis'!$F$80*IF(ABS(M1741)&lt;'Sollecitazioni nel paramento'!$G$58,ABS(M1741)*'Sollecitazioni nel paramento'!$G$54,'Sollecitazioni nel paramento'!$G$53)*IF(M1741&lt;0,-1,1)</f>
        <v>0</v>
      </c>
      <c r="T1741" s="545">
        <f>'Foglio deposito bis'!$F$81*IF(ABS(N1741)&lt;'Sollecitazioni nel paramento'!$G$58,ABS(N1741)*'Sollecitazioni nel paramento'!$G$54,'Sollecitazioni nel paramento'!$G$53)*IF(N1741&lt;0,-1,1)</f>
        <v>398299.31208121032</v>
      </c>
      <c r="U1741" s="545">
        <f>'Foglio deposito bis'!$F$82*IF(ABS(O1741)&lt;'Sollecitazioni nel paramento'!$G$58,ABS(O1741)*'Sollecitazioni nel paramento'!$G$54,'Sollecitazioni nel paramento'!$G$53)*IF(O1741&lt;0,-1,1)</f>
        <v>892485.49558937876</v>
      </c>
      <c r="V1741" s="472">
        <f>P1741+Q1741+R1741+S1741+T1741+U1741</f>
        <v>1444068.6957266117</v>
      </c>
      <c r="W1741" s="551"/>
      <c r="X1741" s="551"/>
    </row>
    <row r="1742" spans="1:24" x14ac:dyDescent="0.25">
      <c r="A1742" s="545">
        <f t="shared" ref="A1742:A1805" si="124">ABS(V1742)</f>
        <v>1427100.3302562402</v>
      </c>
      <c r="B1742" s="3">
        <f>B1741+0.05</f>
        <v>0.05</v>
      </c>
      <c r="C1742" s="545">
        <f>'Foglio deposito bis'!$E$160/sezione!$B$247*B1742</f>
        <v>0.45539899389378236</v>
      </c>
      <c r="D1742" s="603">
        <f>-'Sollecitazioni nel paramento'!$G$47*'Sollecitazioni nel paramento'!$G$41*IF(DATI!$G$211="dx",DATI!$E$61,DATI!$E$64*DATI!$E$63)*1000*C1742^2*sezione!$AD$5*(1-sezione!$AD$6)</f>
        <v>-4614.1080320727897</v>
      </c>
      <c r="E1742" s="545">
        <f>-'Foglio deposito bis'!$F$78*(C1742-sezione!$AL$34)*IF(ABS(K1742)&lt;'Sollecitazioni nel paramento'!$G$58,ABS(K1742)*'Sollecitazioni nel paramento'!$G$54,'Sollecitazioni nel paramento'!$G$53)</f>
        <v>0</v>
      </c>
      <c r="F1742" s="545">
        <f>-'Foglio deposito bis'!$F$79*(C1742-sezione!$AM$34)*IF(ABS(L1742)&lt;'Sollecitazioni nel paramento'!$G$58,ABS(L1742)*'Sollecitazioni nel paramento'!$G$54,'Sollecitazioni nel paramento'!$G$53)</f>
        <v>9149912.661605807</v>
      </c>
      <c r="G1742" s="545">
        <f>-'Foglio deposito bis'!$F$80*(C1742-sezione!$AN$34)*IF(ABS(M1742)&lt;'Sollecitazioni nel paramento'!$G$58,ABS(M1742)*'Sollecitazioni nel paramento'!$G$54,'Sollecitazioni nel paramento'!$G$53)</f>
        <v>0</v>
      </c>
      <c r="H1742" s="545">
        <f>-'Foglio deposito bis'!$F$81*(C1742-sezione!$AO$34)*IF(ABS(N1742)&lt;'Sollecitazioni nel paramento'!$G$58,ABS(N1742)*'Sollecitazioni nel paramento'!$G$54,'Sollecitazioni nel paramento'!$G$53)</f>
        <v>63546504.827003278</v>
      </c>
      <c r="I1742" s="472">
        <f>-'Foglio deposito bis'!$F$82*(C1742-sezione!$AP$34)*IF(ABS(O1742)&lt;'Sollecitazioni nel paramento'!$G$58,ABS(O1742)*'Sollecitazioni nel paramento'!$G$54,'Sollecitazioni nel paramento'!$G$53)</f>
        <v>564608024.3853271</v>
      </c>
      <c r="J1742" s="472">
        <f t="shared" si="123"/>
        <v>637299827.76590407</v>
      </c>
      <c r="K1742" s="550">
        <f>'Sollecitazioni nel paramento'!$G$60*(sezione!$AL$34-C1742)/C1742</f>
        <v>0.30392272573543222</v>
      </c>
      <c r="L1742" s="550">
        <f>'Sollecitazioni nel paramento'!$G$60*(sezione!$AM$34-C1742)/C1742</f>
        <v>0.45763408860314825</v>
      </c>
      <c r="M1742" s="551">
        <f>'Sollecitazioni nel paramento'!$G$60*(sezione!$AN$34-C1742)/C1742</f>
        <v>0.61134545147086439</v>
      </c>
      <c r="N1742" s="551">
        <f>'Sollecitazioni nel paramento'!$G$60*(sezione!$AO$34-C1742)/C1742</f>
        <v>1.2261909029417286</v>
      </c>
      <c r="O1742" s="551">
        <f>'Sollecitazioni nel paramento'!$G$60*(sezione!$AP$34-C1742)/C1742</f>
        <v>4.8620772742645642</v>
      </c>
      <c r="P1742" s="545">
        <f>-'Sollecitazioni nel paramento'!$G$47*'Sollecitazioni nel paramento'!$G$41*IF(DATI!$G$211="dx",DATI!$E$61,DATI!$E$64*DATI!$E$63)*1000*C1742*sezione!$AD$5</f>
        <v>-17349.335470371421</v>
      </c>
      <c r="Q1742" s="545">
        <f>'Foglio deposito bis'!$F$78*IF(ABS(K1742)&lt;'Sollecitazioni nel paramento'!$G$58,ABS(K1742)*'Sollecitazioni nel paramento'!$G$54,'Sollecitazioni nel paramento'!$G$53)*IF(K1742&lt;0,-1,1)</f>
        <v>0</v>
      </c>
      <c r="R1742" s="545">
        <f>'Foglio deposito bis'!$F$79*IF(ABS(L1742)&lt;'Sollecitazioni nel paramento'!$G$58,ABS(L1742)*'Sollecitazioni nel paramento'!$G$54,'Sollecitazioni nel paramento'!$G$53)*IF(L1742&lt;0,-1,1)</f>
        <v>153664.85805602249</v>
      </c>
      <c r="S1742" s="545">
        <f>'Foglio deposito bis'!$F$80*IF(ABS(M1742)&lt;'Sollecitazioni nel paramento'!$G$58,ABS(M1742)*'Sollecitazioni nel paramento'!$G$54,'Sollecitazioni nel paramento'!$G$53)*IF(M1742&lt;0,-1,1)</f>
        <v>0</v>
      </c>
      <c r="T1742" s="545">
        <f>'Foglio deposito bis'!$F$81*IF(ABS(N1742)&lt;'Sollecitazioni nel paramento'!$G$58,ABS(N1742)*'Sollecitazioni nel paramento'!$G$54,'Sollecitazioni nel paramento'!$G$53)*IF(N1742&lt;0,-1,1)</f>
        <v>398299.31208121032</v>
      </c>
      <c r="U1742" s="545">
        <f>'Foglio deposito bis'!$F$82*IF(ABS(O1742)&lt;'Sollecitazioni nel paramento'!$G$58,ABS(O1742)*'Sollecitazioni nel paramento'!$G$54,'Sollecitazioni nel paramento'!$G$53)*IF(O1742&lt;0,-1,1)</f>
        <v>892485.49558937876</v>
      </c>
      <c r="V1742" s="472">
        <f t="shared" ref="V1742:V1805" si="125">P1742+Q1742+R1742+S1742+T1742+U1742</f>
        <v>1427100.3302562402</v>
      </c>
      <c r="W1742" s="551"/>
      <c r="X1742" s="551"/>
    </row>
    <row r="1743" spans="1:24" x14ac:dyDescent="0.25">
      <c r="A1743" s="545">
        <f t="shared" si="124"/>
        <v>1409750.9947858688</v>
      </c>
      <c r="B1743" s="3">
        <f t="shared" ref="B1743:B1806" si="126">B1742+0.05</f>
        <v>0.1</v>
      </c>
      <c r="C1743" s="545">
        <f>'Foglio deposito bis'!$E$160/sezione!$B$247*B1743</f>
        <v>0.91079798778756471</v>
      </c>
      <c r="D1743" s="603">
        <f>-'Sollecitazioni nel paramento'!$G$47*'Sollecitazioni nel paramento'!$G$41*IF(DATI!$G$211="dx",DATI!$E$61,DATI!$E$64*DATI!$E$63)*1000*C1743^2*sezione!$AD$5*(1-sezione!$AD$6)</f>
        <v>-18456.432128291159</v>
      </c>
      <c r="E1743" s="545">
        <f>-'Foglio deposito bis'!$F$78*(C1743-sezione!$AL$34)*IF(ABS(K1743)&lt;'Sollecitazioni nel paramento'!$G$58,ABS(K1743)*'Sollecitazioni nel paramento'!$G$54,'Sollecitazioni nel paramento'!$G$53)</f>
        <v>0</v>
      </c>
      <c r="F1743" s="545">
        <f>-'Foglio deposito bis'!$F$79*(C1743-sezione!$AM$34)*IF(ABS(L1743)&lt;'Sollecitazioni nel paramento'!$G$58,ABS(L1743)*'Sollecitazioni nel paramento'!$G$54,'Sollecitazioni nel paramento'!$G$53)</f>
        <v>9079933.8398502618</v>
      </c>
      <c r="G1743" s="545">
        <f>-'Foglio deposito bis'!$F$80*(C1743-sezione!$AN$34)*IF(ABS(M1743)&lt;'Sollecitazioni nel paramento'!$G$58,ABS(M1743)*'Sollecitazioni nel paramento'!$G$54,'Sollecitazioni nel paramento'!$G$53)</f>
        <v>0</v>
      </c>
      <c r="H1743" s="545">
        <f>-'Foglio deposito bis'!$F$81*(C1743-sezione!$AO$34)*IF(ABS(N1743)&lt;'Sollecitazioni nel paramento'!$G$58,ABS(N1743)*'Sollecitazioni nel paramento'!$G$54,'Sollecitazioni nel paramento'!$G$53)</f>
        <v>63365119.72101292</v>
      </c>
      <c r="I1743" s="472">
        <f>-'Foglio deposito bis'!$F$82*(C1743-sezione!$AP$34)*IF(ABS(O1743)&lt;'Sollecitazioni nel paramento'!$G$58,ABS(O1743)*'Sollecitazioni nel paramento'!$G$54,'Sollecitazioni nel paramento'!$G$53)</f>
        <v>564201587.3885709</v>
      </c>
      <c r="J1743" s="472">
        <f t="shared" si="123"/>
        <v>636628184.51730585</v>
      </c>
      <c r="K1743" s="550">
        <f>'Sollecitazioni nel paramento'!$G$60*(sezione!$AL$34-C1743)/C1743</f>
        <v>0.15021136286771608</v>
      </c>
      <c r="L1743" s="550">
        <f>'Sollecitazioni nel paramento'!$G$60*(sezione!$AM$34-C1743)/C1743</f>
        <v>0.22706704430157412</v>
      </c>
      <c r="M1743" s="551">
        <f>'Sollecitazioni nel paramento'!$G$60*(sezione!$AN$34-C1743)/C1743</f>
        <v>0.30392272573543222</v>
      </c>
      <c r="N1743" s="551">
        <f>'Sollecitazioni nel paramento'!$G$60*(sezione!$AO$34-C1743)/C1743</f>
        <v>0.61134545147086439</v>
      </c>
      <c r="O1743" s="551">
        <f>'Sollecitazioni nel paramento'!$G$60*(sezione!$AP$34-C1743)/C1743</f>
        <v>2.4292886371322822</v>
      </c>
      <c r="P1743" s="545">
        <f>-'Sollecitazioni nel paramento'!$G$47*'Sollecitazioni nel paramento'!$G$41*IF(DATI!$G$211="dx",DATI!$E$61,DATI!$E$64*DATI!$E$63)*1000*C1743*sezione!$AD$5</f>
        <v>-34698.670940742843</v>
      </c>
      <c r="Q1743" s="545">
        <f>'Foglio deposito bis'!$F$78*IF(ABS(K1743)&lt;'Sollecitazioni nel paramento'!$G$58,ABS(K1743)*'Sollecitazioni nel paramento'!$G$54,'Sollecitazioni nel paramento'!$G$53)*IF(K1743&lt;0,-1,1)</f>
        <v>0</v>
      </c>
      <c r="R1743" s="545">
        <f>'Foglio deposito bis'!$F$79*IF(ABS(L1743)&lt;'Sollecitazioni nel paramento'!$G$58,ABS(L1743)*'Sollecitazioni nel paramento'!$G$54,'Sollecitazioni nel paramento'!$G$53)*IF(L1743&lt;0,-1,1)</f>
        <v>153664.85805602249</v>
      </c>
      <c r="S1743" s="545">
        <f>'Foglio deposito bis'!$F$80*IF(ABS(M1743)&lt;'Sollecitazioni nel paramento'!$G$58,ABS(M1743)*'Sollecitazioni nel paramento'!$G$54,'Sollecitazioni nel paramento'!$G$53)*IF(M1743&lt;0,-1,1)</f>
        <v>0</v>
      </c>
      <c r="T1743" s="545">
        <f>'Foglio deposito bis'!$F$81*IF(ABS(N1743)&lt;'Sollecitazioni nel paramento'!$G$58,ABS(N1743)*'Sollecitazioni nel paramento'!$G$54,'Sollecitazioni nel paramento'!$G$53)*IF(N1743&lt;0,-1,1)</f>
        <v>398299.31208121032</v>
      </c>
      <c r="U1743" s="545">
        <f>'Foglio deposito bis'!$F$82*IF(ABS(O1743)&lt;'Sollecitazioni nel paramento'!$G$58,ABS(O1743)*'Sollecitazioni nel paramento'!$G$54,'Sollecitazioni nel paramento'!$G$53)*IF(O1743&lt;0,-1,1)</f>
        <v>892485.49558937876</v>
      </c>
      <c r="V1743" s="472">
        <f t="shared" si="125"/>
        <v>1409750.9947858688</v>
      </c>
      <c r="W1743" s="551"/>
      <c r="X1743" s="551"/>
    </row>
    <row r="1744" spans="1:24" x14ac:dyDescent="0.25">
      <c r="A1744" s="545">
        <f t="shared" si="124"/>
        <v>1392401.6593154971</v>
      </c>
      <c r="B1744" s="3">
        <f t="shared" si="126"/>
        <v>0.15000000000000002</v>
      </c>
      <c r="C1744" s="545">
        <f>'Foglio deposito bis'!$E$160/sezione!$B$247*B1744</f>
        <v>1.3661969816813471</v>
      </c>
      <c r="D1744" s="603">
        <f>-'Sollecitazioni nel paramento'!$G$47*'Sollecitazioni nel paramento'!$G$41*IF(DATI!$G$211="dx",DATI!$E$61,DATI!$E$64*DATI!$E$63)*1000*C1744^2*sezione!$AD$5*(1-sezione!$AD$6)</f>
        <v>-41526.972288655103</v>
      </c>
      <c r="E1744" s="545">
        <f>-'Foglio deposito bis'!$F$78*(C1744-sezione!$AL$34)*IF(ABS(K1744)&lt;'Sollecitazioni nel paramento'!$G$58,ABS(K1744)*'Sollecitazioni nel paramento'!$G$54,'Sollecitazioni nel paramento'!$G$53)</f>
        <v>0</v>
      </c>
      <c r="F1744" s="545">
        <f>-'Foglio deposito bis'!$F$79*(C1744-sezione!$AM$34)*IF(ABS(L1744)&lt;'Sollecitazioni nel paramento'!$G$58,ABS(L1744)*'Sollecitazioni nel paramento'!$G$54,'Sollecitazioni nel paramento'!$G$53)</f>
        <v>9009955.0180947203</v>
      </c>
      <c r="G1744" s="545">
        <f>-'Foglio deposito bis'!$F$80*(C1744-sezione!$AN$34)*IF(ABS(M1744)&lt;'Sollecitazioni nel paramento'!$G$58,ABS(M1744)*'Sollecitazioni nel paramento'!$G$54,'Sollecitazioni nel paramento'!$G$53)</f>
        <v>0</v>
      </c>
      <c r="H1744" s="545">
        <f>-'Foglio deposito bis'!$F$81*(C1744-sezione!$AO$34)*IF(ABS(N1744)&lt;'Sollecitazioni nel paramento'!$G$58,ABS(N1744)*'Sollecitazioni nel paramento'!$G$54,'Sollecitazioni nel paramento'!$G$53)</f>
        <v>63183734.615022533</v>
      </c>
      <c r="I1744" s="472">
        <f>-'Foglio deposito bis'!$F$82*(C1744-sezione!$AP$34)*IF(ABS(O1744)&lt;'Sollecitazioni nel paramento'!$G$58,ABS(O1744)*'Sollecitazioni nel paramento'!$G$54,'Sollecitazioni nel paramento'!$G$53)</f>
        <v>563795150.39181471</v>
      </c>
      <c r="J1744" s="472">
        <f t="shared" si="123"/>
        <v>635947313.0526433</v>
      </c>
      <c r="K1744" s="550">
        <f>'Sollecitazioni nel paramento'!$G$60*(sezione!$AL$34-C1744)/C1744</f>
        <v>9.8974241911810729E-2</v>
      </c>
      <c r="L1744" s="550">
        <f>'Sollecitazioni nel paramento'!$G$60*(sezione!$AM$34-C1744)/C1744</f>
        <v>0.15021136286771608</v>
      </c>
      <c r="M1744" s="551">
        <f>'Sollecitazioni nel paramento'!$G$60*(sezione!$AN$34-C1744)/C1744</f>
        <v>0.20144848382362149</v>
      </c>
      <c r="N1744" s="551">
        <f>'Sollecitazioni nel paramento'!$G$60*(sezione!$AO$34-C1744)/C1744</f>
        <v>0.40639696764724292</v>
      </c>
      <c r="O1744" s="551">
        <f>'Sollecitazioni nel paramento'!$G$60*(sezione!$AP$34-C1744)/C1744</f>
        <v>1.6183590914215213</v>
      </c>
      <c r="P1744" s="545">
        <f>-'Sollecitazioni nel paramento'!$G$47*'Sollecitazioni nel paramento'!$G$41*IF(DATI!$G$211="dx",DATI!$E$61,DATI!$E$64*DATI!$E$63)*1000*C1744*sezione!$AD$5</f>
        <v>-52048.006411114264</v>
      </c>
      <c r="Q1744" s="545">
        <f>'Foglio deposito bis'!$F$78*IF(ABS(K1744)&lt;'Sollecitazioni nel paramento'!$G$58,ABS(K1744)*'Sollecitazioni nel paramento'!$G$54,'Sollecitazioni nel paramento'!$G$53)*IF(K1744&lt;0,-1,1)</f>
        <v>0</v>
      </c>
      <c r="R1744" s="545">
        <f>'Foglio deposito bis'!$F$79*IF(ABS(L1744)&lt;'Sollecitazioni nel paramento'!$G$58,ABS(L1744)*'Sollecitazioni nel paramento'!$G$54,'Sollecitazioni nel paramento'!$G$53)*IF(L1744&lt;0,-1,1)</f>
        <v>153664.85805602249</v>
      </c>
      <c r="S1744" s="545">
        <f>'Foglio deposito bis'!$F$80*IF(ABS(M1744)&lt;'Sollecitazioni nel paramento'!$G$58,ABS(M1744)*'Sollecitazioni nel paramento'!$G$54,'Sollecitazioni nel paramento'!$G$53)*IF(M1744&lt;0,-1,1)</f>
        <v>0</v>
      </c>
      <c r="T1744" s="545">
        <f>'Foglio deposito bis'!$F$81*IF(ABS(N1744)&lt;'Sollecitazioni nel paramento'!$G$58,ABS(N1744)*'Sollecitazioni nel paramento'!$G$54,'Sollecitazioni nel paramento'!$G$53)*IF(N1744&lt;0,-1,1)</f>
        <v>398299.31208121032</v>
      </c>
      <c r="U1744" s="545">
        <f>'Foglio deposito bis'!$F$82*IF(ABS(O1744)&lt;'Sollecitazioni nel paramento'!$G$58,ABS(O1744)*'Sollecitazioni nel paramento'!$G$54,'Sollecitazioni nel paramento'!$G$53)*IF(O1744&lt;0,-1,1)</f>
        <v>892485.49558937876</v>
      </c>
      <c r="V1744" s="472">
        <f t="shared" si="125"/>
        <v>1392401.6593154971</v>
      </c>
      <c r="W1744" s="551"/>
      <c r="X1744" s="551"/>
    </row>
    <row r="1745" spans="1:24" x14ac:dyDescent="0.25">
      <c r="A1745" s="545">
        <f t="shared" si="124"/>
        <v>1375052.3238451257</v>
      </c>
      <c r="B1745" s="3">
        <f t="shared" si="126"/>
        <v>0.2</v>
      </c>
      <c r="C1745" s="545">
        <f>'Foglio deposito bis'!$E$160/sezione!$B$247*B1745</f>
        <v>1.8215959755751294</v>
      </c>
      <c r="D1745" s="603">
        <f>-'Sollecitazioni nel paramento'!$G$47*'Sollecitazioni nel paramento'!$G$41*IF(DATI!$G$211="dx",DATI!$E$61,DATI!$E$64*DATI!$E$63)*1000*C1745^2*sezione!$AD$5*(1-sezione!$AD$6)</f>
        <v>-73825.728513164635</v>
      </c>
      <c r="E1745" s="545">
        <f>-'Foglio deposito bis'!$F$78*(C1745-sezione!$AL$34)*IF(ABS(K1745)&lt;'Sollecitazioni nel paramento'!$G$58,ABS(K1745)*'Sollecitazioni nel paramento'!$G$54,'Sollecitazioni nel paramento'!$G$53)</f>
        <v>0</v>
      </c>
      <c r="F1745" s="545">
        <f>-'Foglio deposito bis'!$F$79*(C1745-sezione!$AM$34)*IF(ABS(L1745)&lt;'Sollecitazioni nel paramento'!$G$58,ABS(L1745)*'Sollecitazioni nel paramento'!$G$54,'Sollecitazioni nel paramento'!$G$53)</f>
        <v>8939976.1963391751</v>
      </c>
      <c r="G1745" s="545">
        <f>-'Foglio deposito bis'!$F$80*(C1745-sezione!$AN$34)*IF(ABS(M1745)&lt;'Sollecitazioni nel paramento'!$G$58,ABS(M1745)*'Sollecitazioni nel paramento'!$G$54,'Sollecitazioni nel paramento'!$G$53)</f>
        <v>0</v>
      </c>
      <c r="H1745" s="545">
        <f>-'Foglio deposito bis'!$F$81*(C1745-sezione!$AO$34)*IF(ABS(N1745)&lt;'Sollecitazioni nel paramento'!$G$58,ABS(N1745)*'Sollecitazioni nel paramento'!$G$54,'Sollecitazioni nel paramento'!$G$53)</f>
        <v>63002349.509032175</v>
      </c>
      <c r="I1745" s="472">
        <f>-'Foglio deposito bis'!$F$82*(C1745-sezione!$AP$34)*IF(ABS(O1745)&lt;'Sollecitazioni nel paramento'!$G$58,ABS(O1745)*'Sollecitazioni nel paramento'!$G$54,'Sollecitazioni nel paramento'!$G$53)</f>
        <v>563388713.39505839</v>
      </c>
      <c r="J1745" s="472">
        <f t="shared" si="123"/>
        <v>635257213.37191653</v>
      </c>
      <c r="K1745" s="550">
        <f>'Sollecitazioni nel paramento'!$G$60*(sezione!$AL$34-C1745)/C1745</f>
        <v>7.3355681433858053E-2</v>
      </c>
      <c r="L1745" s="550">
        <f>'Sollecitazioni nel paramento'!$G$60*(sezione!$AM$34-C1745)/C1745</f>
        <v>0.11178352215078707</v>
      </c>
      <c r="M1745" s="551">
        <f>'Sollecitazioni nel paramento'!$G$60*(sezione!$AN$34-C1745)/C1745</f>
        <v>0.15021136286771608</v>
      </c>
      <c r="N1745" s="551">
        <f>'Sollecitazioni nel paramento'!$G$60*(sezione!$AO$34-C1745)/C1745</f>
        <v>0.30392272573543222</v>
      </c>
      <c r="O1745" s="551">
        <f>'Sollecitazioni nel paramento'!$G$60*(sezione!$AP$34-C1745)/C1745</f>
        <v>1.2128943185661409</v>
      </c>
      <c r="P1745" s="545">
        <f>-'Sollecitazioni nel paramento'!$G$47*'Sollecitazioni nel paramento'!$G$41*IF(DATI!$G$211="dx",DATI!$E$61,DATI!$E$64*DATI!$E$63)*1000*C1745*sezione!$AD$5</f>
        <v>-69397.341881485685</v>
      </c>
      <c r="Q1745" s="545">
        <f>'Foglio deposito bis'!$F$78*IF(ABS(K1745)&lt;'Sollecitazioni nel paramento'!$G$58,ABS(K1745)*'Sollecitazioni nel paramento'!$G$54,'Sollecitazioni nel paramento'!$G$53)*IF(K1745&lt;0,-1,1)</f>
        <v>0</v>
      </c>
      <c r="R1745" s="545">
        <f>'Foglio deposito bis'!$F$79*IF(ABS(L1745)&lt;'Sollecitazioni nel paramento'!$G$58,ABS(L1745)*'Sollecitazioni nel paramento'!$G$54,'Sollecitazioni nel paramento'!$G$53)*IF(L1745&lt;0,-1,1)</f>
        <v>153664.85805602249</v>
      </c>
      <c r="S1745" s="545">
        <f>'Foglio deposito bis'!$F$80*IF(ABS(M1745)&lt;'Sollecitazioni nel paramento'!$G$58,ABS(M1745)*'Sollecitazioni nel paramento'!$G$54,'Sollecitazioni nel paramento'!$G$53)*IF(M1745&lt;0,-1,1)</f>
        <v>0</v>
      </c>
      <c r="T1745" s="545">
        <f>'Foglio deposito bis'!$F$81*IF(ABS(N1745)&lt;'Sollecitazioni nel paramento'!$G$58,ABS(N1745)*'Sollecitazioni nel paramento'!$G$54,'Sollecitazioni nel paramento'!$G$53)*IF(N1745&lt;0,-1,1)</f>
        <v>398299.31208121032</v>
      </c>
      <c r="U1745" s="545">
        <f>'Foglio deposito bis'!$F$82*IF(ABS(O1745)&lt;'Sollecitazioni nel paramento'!$G$58,ABS(O1745)*'Sollecitazioni nel paramento'!$G$54,'Sollecitazioni nel paramento'!$G$53)*IF(O1745&lt;0,-1,1)</f>
        <v>892485.49558937876</v>
      </c>
      <c r="V1745" s="472">
        <f t="shared" si="125"/>
        <v>1375052.3238451257</v>
      </c>
      <c r="W1745" s="551"/>
      <c r="X1745" s="551"/>
    </row>
    <row r="1746" spans="1:24" x14ac:dyDescent="0.25">
      <c r="A1746" s="545">
        <f t="shared" si="124"/>
        <v>1357702.9883747543</v>
      </c>
      <c r="B1746" s="3">
        <f t="shared" si="126"/>
        <v>0.25</v>
      </c>
      <c r="C1746" s="545">
        <f>'Foglio deposito bis'!$E$160/sezione!$B$247*B1746</f>
        <v>2.2769949694689116</v>
      </c>
      <c r="D1746" s="603">
        <f>-'Sollecitazioni nel paramento'!$G$47*'Sollecitazioni nel paramento'!$G$41*IF(DATI!$G$211="dx",DATI!$E$61,DATI!$E$64*DATI!$E$63)*1000*C1746^2*sezione!$AD$5*(1-sezione!$AD$6)</f>
        <v>-115352.70080181971</v>
      </c>
      <c r="E1746" s="545">
        <f>-'Foglio deposito bis'!$F$78*(C1746-sezione!$AL$34)*IF(ABS(K1746)&lt;'Sollecitazioni nel paramento'!$G$58,ABS(K1746)*'Sollecitazioni nel paramento'!$G$54,'Sollecitazioni nel paramento'!$G$53)</f>
        <v>0</v>
      </c>
      <c r="F1746" s="545">
        <f>-'Foglio deposito bis'!$F$79*(C1746-sezione!$AM$34)*IF(ABS(L1746)&lt;'Sollecitazioni nel paramento'!$G$58,ABS(L1746)*'Sollecitazioni nel paramento'!$G$54,'Sollecitazioni nel paramento'!$G$53)</f>
        <v>8869997.3745836336</v>
      </c>
      <c r="G1746" s="545">
        <f>-'Foglio deposito bis'!$F$80*(C1746-sezione!$AN$34)*IF(ABS(M1746)&lt;'Sollecitazioni nel paramento'!$G$58,ABS(M1746)*'Sollecitazioni nel paramento'!$G$54,'Sollecitazioni nel paramento'!$G$53)</f>
        <v>0</v>
      </c>
      <c r="H1746" s="545">
        <f>-'Foglio deposito bis'!$F$81*(C1746-sezione!$AO$34)*IF(ABS(N1746)&lt;'Sollecitazioni nel paramento'!$G$58,ABS(N1746)*'Sollecitazioni nel paramento'!$G$54,'Sollecitazioni nel paramento'!$G$53)</f>
        <v>62820964.403041802</v>
      </c>
      <c r="I1746" s="472">
        <f>-'Foglio deposito bis'!$F$82*(C1746-sezione!$AP$34)*IF(ABS(O1746)&lt;'Sollecitazioni nel paramento'!$G$58,ABS(O1746)*'Sollecitazioni nel paramento'!$G$54,'Sollecitazioni nel paramento'!$G$53)</f>
        <v>562982276.39830232</v>
      </c>
      <c r="J1746" s="472">
        <f t="shared" si="123"/>
        <v>634557885.47512591</v>
      </c>
      <c r="K1746" s="550">
        <f>'Sollecitazioni nel paramento'!$G$60*(sezione!$AL$34-C1746)/C1746</f>
        <v>5.7984545147086446E-2</v>
      </c>
      <c r="L1746" s="550">
        <f>'Sollecitazioni nel paramento'!$G$60*(sezione!$AM$34-C1746)/C1746</f>
        <v>8.8726817720629667E-2</v>
      </c>
      <c r="M1746" s="551">
        <f>'Sollecitazioni nel paramento'!$G$60*(sezione!$AN$34-C1746)/C1746</f>
        <v>0.11946909029417288</v>
      </c>
      <c r="N1746" s="551">
        <f>'Sollecitazioni nel paramento'!$G$60*(sezione!$AO$34-C1746)/C1746</f>
        <v>0.24243818058834576</v>
      </c>
      <c r="O1746" s="551">
        <f>'Sollecitazioni nel paramento'!$G$60*(sezione!$AP$34-C1746)/C1746</f>
        <v>0.96961545485291301</v>
      </c>
      <c r="P1746" s="545">
        <f>-'Sollecitazioni nel paramento'!$G$47*'Sollecitazioni nel paramento'!$G$41*IF(DATI!$G$211="dx",DATI!$E$61,DATI!$E$64*DATI!$E$63)*1000*C1746*sezione!$AD$5</f>
        <v>-86746.677351857114</v>
      </c>
      <c r="Q1746" s="545">
        <f>'Foglio deposito bis'!$F$78*IF(ABS(K1746)&lt;'Sollecitazioni nel paramento'!$G$58,ABS(K1746)*'Sollecitazioni nel paramento'!$G$54,'Sollecitazioni nel paramento'!$G$53)*IF(K1746&lt;0,-1,1)</f>
        <v>0</v>
      </c>
      <c r="R1746" s="545">
        <f>'Foglio deposito bis'!$F$79*IF(ABS(L1746)&lt;'Sollecitazioni nel paramento'!$G$58,ABS(L1746)*'Sollecitazioni nel paramento'!$G$54,'Sollecitazioni nel paramento'!$G$53)*IF(L1746&lt;0,-1,1)</f>
        <v>153664.85805602249</v>
      </c>
      <c r="S1746" s="545">
        <f>'Foglio deposito bis'!$F$80*IF(ABS(M1746)&lt;'Sollecitazioni nel paramento'!$G$58,ABS(M1746)*'Sollecitazioni nel paramento'!$G$54,'Sollecitazioni nel paramento'!$G$53)*IF(M1746&lt;0,-1,1)</f>
        <v>0</v>
      </c>
      <c r="T1746" s="545">
        <f>'Foglio deposito bis'!$F$81*IF(ABS(N1746)&lt;'Sollecitazioni nel paramento'!$G$58,ABS(N1746)*'Sollecitazioni nel paramento'!$G$54,'Sollecitazioni nel paramento'!$G$53)*IF(N1746&lt;0,-1,1)</f>
        <v>398299.31208121032</v>
      </c>
      <c r="U1746" s="545">
        <f>'Foglio deposito bis'!$F$82*IF(ABS(O1746)&lt;'Sollecitazioni nel paramento'!$G$58,ABS(O1746)*'Sollecitazioni nel paramento'!$G$54,'Sollecitazioni nel paramento'!$G$53)*IF(O1746&lt;0,-1,1)</f>
        <v>892485.49558937876</v>
      </c>
      <c r="V1746" s="472">
        <f t="shared" si="125"/>
        <v>1357702.9883747543</v>
      </c>
      <c r="W1746" s="551"/>
      <c r="X1746" s="551"/>
    </row>
    <row r="1747" spans="1:24" x14ac:dyDescent="0.25">
      <c r="A1747" s="545">
        <f t="shared" si="124"/>
        <v>1340353.6529043829</v>
      </c>
      <c r="B1747" s="3">
        <f t="shared" si="126"/>
        <v>0.3</v>
      </c>
      <c r="C1747" s="545">
        <f>'Foglio deposito bis'!$E$160/sezione!$B$247*B1747</f>
        <v>2.7323939633626937</v>
      </c>
      <c r="D1747" s="603">
        <f>-'Sollecitazioni nel paramento'!$G$47*'Sollecitazioni nel paramento'!$G$41*IF(DATI!$G$211="dx",DATI!$E$61,DATI!$E$64*DATI!$E$63)*1000*C1747^2*sezione!$AD$5*(1-sezione!$AD$6)</f>
        <v>-166107.88915462035</v>
      </c>
      <c r="E1747" s="545">
        <f>-'Foglio deposito bis'!$F$78*(C1747-sezione!$AL$34)*IF(ABS(K1747)&lt;'Sollecitazioni nel paramento'!$G$58,ABS(K1747)*'Sollecitazioni nel paramento'!$G$54,'Sollecitazioni nel paramento'!$G$53)</f>
        <v>0</v>
      </c>
      <c r="F1747" s="545">
        <f>-'Foglio deposito bis'!$F$79*(C1747-sezione!$AM$34)*IF(ABS(L1747)&lt;'Sollecitazioni nel paramento'!$G$58,ABS(L1747)*'Sollecitazioni nel paramento'!$G$54,'Sollecitazioni nel paramento'!$G$53)</f>
        <v>8800018.5528280884</v>
      </c>
      <c r="G1747" s="545">
        <f>-'Foglio deposito bis'!$F$80*(C1747-sezione!$AN$34)*IF(ABS(M1747)&lt;'Sollecitazioni nel paramento'!$G$58,ABS(M1747)*'Sollecitazioni nel paramento'!$G$54,'Sollecitazioni nel paramento'!$G$53)</f>
        <v>0</v>
      </c>
      <c r="H1747" s="545">
        <f>-'Foglio deposito bis'!$F$81*(C1747-sezione!$AO$34)*IF(ABS(N1747)&lt;'Sollecitazioni nel paramento'!$G$58,ABS(N1747)*'Sollecitazioni nel paramento'!$G$54,'Sollecitazioni nel paramento'!$G$53)</f>
        <v>62639579.297051445</v>
      </c>
      <c r="I1747" s="472">
        <f>-'Foglio deposito bis'!$F$82*(C1747-sezione!$AP$34)*IF(ABS(O1747)&lt;'Sollecitazioni nel paramento'!$G$58,ABS(O1747)*'Sollecitazioni nel paramento'!$G$54,'Sollecitazioni nel paramento'!$G$53)</f>
        <v>562575839.40154612</v>
      </c>
      <c r="J1747" s="472">
        <f t="shared" si="123"/>
        <v>633849329.36227107</v>
      </c>
      <c r="K1747" s="550">
        <f>'Sollecitazioni nel paramento'!$G$60*(sezione!$AL$34-C1747)/C1747</f>
        <v>4.773712095590537E-2</v>
      </c>
      <c r="L1747" s="550">
        <f>'Sollecitazioni nel paramento'!$G$60*(sezione!$AM$34-C1747)/C1747</f>
        <v>7.3355681433858053E-2</v>
      </c>
      <c r="M1747" s="551">
        <f>'Sollecitazioni nel paramento'!$G$60*(sezione!$AN$34-C1747)/C1747</f>
        <v>9.8974241911810742E-2</v>
      </c>
      <c r="N1747" s="551">
        <f>'Sollecitazioni nel paramento'!$G$60*(sezione!$AO$34-C1747)/C1747</f>
        <v>0.20144848382362152</v>
      </c>
      <c r="O1747" s="551">
        <f>'Sollecitazioni nel paramento'!$G$60*(sezione!$AP$34-C1747)/C1747</f>
        <v>0.80742954571076075</v>
      </c>
      <c r="P1747" s="545">
        <f>-'Sollecitazioni nel paramento'!$G$47*'Sollecitazioni nel paramento'!$G$41*IF(DATI!$G$211="dx",DATI!$E$61,DATI!$E$64*DATI!$E$63)*1000*C1747*sezione!$AD$5</f>
        <v>-104096.01282222853</v>
      </c>
      <c r="Q1747" s="545">
        <f>'Foglio deposito bis'!$F$78*IF(ABS(K1747)&lt;'Sollecitazioni nel paramento'!$G$58,ABS(K1747)*'Sollecitazioni nel paramento'!$G$54,'Sollecitazioni nel paramento'!$G$53)*IF(K1747&lt;0,-1,1)</f>
        <v>0</v>
      </c>
      <c r="R1747" s="545">
        <f>'Foglio deposito bis'!$F$79*IF(ABS(L1747)&lt;'Sollecitazioni nel paramento'!$G$58,ABS(L1747)*'Sollecitazioni nel paramento'!$G$54,'Sollecitazioni nel paramento'!$G$53)*IF(L1747&lt;0,-1,1)</f>
        <v>153664.85805602249</v>
      </c>
      <c r="S1747" s="545">
        <f>'Foglio deposito bis'!$F$80*IF(ABS(M1747)&lt;'Sollecitazioni nel paramento'!$G$58,ABS(M1747)*'Sollecitazioni nel paramento'!$G$54,'Sollecitazioni nel paramento'!$G$53)*IF(M1747&lt;0,-1,1)</f>
        <v>0</v>
      </c>
      <c r="T1747" s="545">
        <f>'Foglio deposito bis'!$F$81*IF(ABS(N1747)&lt;'Sollecitazioni nel paramento'!$G$58,ABS(N1747)*'Sollecitazioni nel paramento'!$G$54,'Sollecitazioni nel paramento'!$G$53)*IF(N1747&lt;0,-1,1)</f>
        <v>398299.31208121032</v>
      </c>
      <c r="U1747" s="545">
        <f>'Foglio deposito bis'!$F$82*IF(ABS(O1747)&lt;'Sollecitazioni nel paramento'!$G$58,ABS(O1747)*'Sollecitazioni nel paramento'!$G$54,'Sollecitazioni nel paramento'!$G$53)*IF(O1747&lt;0,-1,1)</f>
        <v>892485.49558937876</v>
      </c>
      <c r="V1747" s="472">
        <f t="shared" si="125"/>
        <v>1340353.6529043829</v>
      </c>
      <c r="W1747" s="551"/>
      <c r="X1747" s="551"/>
    </row>
    <row r="1748" spans="1:24" x14ac:dyDescent="0.25">
      <c r="A1748" s="545">
        <f t="shared" si="124"/>
        <v>1323004.3174340115</v>
      </c>
      <c r="B1748" s="3">
        <f t="shared" si="126"/>
        <v>0.35</v>
      </c>
      <c r="C1748" s="545">
        <f>'Foglio deposito bis'!$E$160/sezione!$B$247*B1748</f>
        <v>3.1877929572564758</v>
      </c>
      <c r="D1748" s="603">
        <f>-'Sollecitazioni nel paramento'!$G$47*'Sollecitazioni nel paramento'!$G$41*IF(DATI!$G$211="dx",DATI!$E$61,DATI!$E$64*DATI!$E$63)*1000*C1748^2*sezione!$AD$5*(1-sezione!$AD$6)</f>
        <v>-226091.29357156658</v>
      </c>
      <c r="E1748" s="545">
        <f>-'Foglio deposito bis'!$F$78*(C1748-sezione!$AL$34)*IF(ABS(K1748)&lt;'Sollecitazioni nel paramento'!$G$58,ABS(K1748)*'Sollecitazioni nel paramento'!$G$54,'Sollecitazioni nel paramento'!$G$53)</f>
        <v>0</v>
      </c>
      <c r="F1748" s="545">
        <f>-'Foglio deposito bis'!$F$79*(C1748-sezione!$AM$34)*IF(ABS(L1748)&lt;'Sollecitazioni nel paramento'!$G$58,ABS(L1748)*'Sollecitazioni nel paramento'!$G$54,'Sollecitazioni nel paramento'!$G$53)</f>
        <v>8730039.7310725451</v>
      </c>
      <c r="G1748" s="545">
        <f>-'Foglio deposito bis'!$F$80*(C1748-sezione!$AN$34)*IF(ABS(M1748)&lt;'Sollecitazioni nel paramento'!$G$58,ABS(M1748)*'Sollecitazioni nel paramento'!$G$54,'Sollecitazioni nel paramento'!$G$53)</f>
        <v>0</v>
      </c>
      <c r="H1748" s="545">
        <f>-'Foglio deposito bis'!$F$81*(C1748-sezione!$AO$34)*IF(ABS(N1748)&lt;'Sollecitazioni nel paramento'!$G$58,ABS(N1748)*'Sollecitazioni nel paramento'!$G$54,'Sollecitazioni nel paramento'!$G$53)</f>
        <v>62458194.191061065</v>
      </c>
      <c r="I1748" s="472">
        <f>-'Foglio deposito bis'!$F$82*(C1748-sezione!$AP$34)*IF(ABS(O1748)&lt;'Sollecitazioni nel paramento'!$G$58,ABS(O1748)*'Sollecitazioni nel paramento'!$G$54,'Sollecitazioni nel paramento'!$G$53)</f>
        <v>562169402.40478992</v>
      </c>
      <c r="J1748" s="472">
        <f t="shared" si="123"/>
        <v>633131545.03335202</v>
      </c>
      <c r="K1748" s="550">
        <f>'Sollecitazioni nel paramento'!$G$60*(sezione!$AL$34-C1748)/C1748</f>
        <v>4.0417532247918893E-2</v>
      </c>
      <c r="L1748" s="550">
        <f>'Sollecitazioni nel paramento'!$G$60*(sezione!$AM$34-C1748)/C1748</f>
        <v>6.2376298371878337E-2</v>
      </c>
      <c r="M1748" s="551">
        <f>'Sollecitazioni nel paramento'!$G$60*(sezione!$AN$34-C1748)/C1748</f>
        <v>8.4335064495837789E-2</v>
      </c>
      <c r="N1748" s="551">
        <f>'Sollecitazioni nel paramento'!$G$60*(sezione!$AO$34-C1748)/C1748</f>
        <v>0.17217012899167558</v>
      </c>
      <c r="O1748" s="551">
        <f>'Sollecitazioni nel paramento'!$G$60*(sezione!$AP$34-C1748)/C1748</f>
        <v>0.69158246775208077</v>
      </c>
      <c r="P1748" s="545">
        <f>-'Sollecitazioni nel paramento'!$G$47*'Sollecitazioni nel paramento'!$G$41*IF(DATI!$G$211="dx",DATI!$E$61,DATI!$E$64*DATI!$E$63)*1000*C1748*sezione!$AD$5</f>
        <v>-121445.34829259993</v>
      </c>
      <c r="Q1748" s="545">
        <f>'Foglio deposito bis'!$F$78*IF(ABS(K1748)&lt;'Sollecitazioni nel paramento'!$G$58,ABS(K1748)*'Sollecitazioni nel paramento'!$G$54,'Sollecitazioni nel paramento'!$G$53)*IF(K1748&lt;0,-1,1)</f>
        <v>0</v>
      </c>
      <c r="R1748" s="545">
        <f>'Foglio deposito bis'!$F$79*IF(ABS(L1748)&lt;'Sollecitazioni nel paramento'!$G$58,ABS(L1748)*'Sollecitazioni nel paramento'!$G$54,'Sollecitazioni nel paramento'!$G$53)*IF(L1748&lt;0,-1,1)</f>
        <v>153664.85805602249</v>
      </c>
      <c r="S1748" s="545">
        <f>'Foglio deposito bis'!$F$80*IF(ABS(M1748)&lt;'Sollecitazioni nel paramento'!$G$58,ABS(M1748)*'Sollecitazioni nel paramento'!$G$54,'Sollecitazioni nel paramento'!$G$53)*IF(M1748&lt;0,-1,1)</f>
        <v>0</v>
      </c>
      <c r="T1748" s="545">
        <f>'Foglio deposito bis'!$F$81*IF(ABS(N1748)&lt;'Sollecitazioni nel paramento'!$G$58,ABS(N1748)*'Sollecitazioni nel paramento'!$G$54,'Sollecitazioni nel paramento'!$G$53)*IF(N1748&lt;0,-1,1)</f>
        <v>398299.31208121032</v>
      </c>
      <c r="U1748" s="545">
        <f>'Foglio deposito bis'!$F$82*IF(ABS(O1748)&lt;'Sollecitazioni nel paramento'!$G$58,ABS(O1748)*'Sollecitazioni nel paramento'!$G$54,'Sollecitazioni nel paramento'!$G$53)*IF(O1748&lt;0,-1,1)</f>
        <v>892485.49558937876</v>
      </c>
      <c r="V1748" s="472">
        <f t="shared" si="125"/>
        <v>1323004.3174340115</v>
      </c>
      <c r="W1748" s="551"/>
      <c r="X1748" s="551"/>
    </row>
    <row r="1749" spans="1:24" x14ac:dyDescent="0.25">
      <c r="A1749" s="545">
        <f t="shared" si="124"/>
        <v>1305654.9819636401</v>
      </c>
      <c r="B1749" s="3">
        <f t="shared" si="126"/>
        <v>0.39999999999999997</v>
      </c>
      <c r="C1749" s="545">
        <f>'Foglio deposito bis'!$E$160/sezione!$B$247*B1749</f>
        <v>3.6431919511502584</v>
      </c>
      <c r="D1749" s="603">
        <f>-'Sollecitazioni nel paramento'!$G$47*'Sollecitazioni nel paramento'!$G$41*IF(DATI!$G$211="dx",DATI!$E$61,DATI!$E$64*DATI!$E$63)*1000*C1749^2*sezione!$AD$5*(1-sezione!$AD$6)</f>
        <v>-295302.91405265842</v>
      </c>
      <c r="E1749" s="545">
        <f>-'Foglio deposito bis'!$F$78*(C1749-sezione!$AL$34)*IF(ABS(K1749)&lt;'Sollecitazioni nel paramento'!$G$58,ABS(K1749)*'Sollecitazioni nel paramento'!$G$54,'Sollecitazioni nel paramento'!$G$53)</f>
        <v>0</v>
      </c>
      <c r="F1749" s="545">
        <f>-'Foglio deposito bis'!$F$79*(C1749-sezione!$AM$34)*IF(ABS(L1749)&lt;'Sollecitazioni nel paramento'!$G$58,ABS(L1749)*'Sollecitazioni nel paramento'!$G$54,'Sollecitazioni nel paramento'!$G$53)</f>
        <v>8660060.9093170017</v>
      </c>
      <c r="G1749" s="545">
        <f>-'Foglio deposito bis'!$F$80*(C1749-sezione!$AN$34)*IF(ABS(M1749)&lt;'Sollecitazioni nel paramento'!$G$58,ABS(M1749)*'Sollecitazioni nel paramento'!$G$54,'Sollecitazioni nel paramento'!$G$53)</f>
        <v>0</v>
      </c>
      <c r="H1749" s="545">
        <f>-'Foglio deposito bis'!$F$81*(C1749-sezione!$AO$34)*IF(ABS(N1749)&lt;'Sollecitazioni nel paramento'!$G$58,ABS(N1749)*'Sollecitazioni nel paramento'!$G$54,'Sollecitazioni nel paramento'!$G$53)</f>
        <v>62276809.085070692</v>
      </c>
      <c r="I1749" s="472">
        <f>-'Foglio deposito bis'!$F$82*(C1749-sezione!$AP$34)*IF(ABS(O1749)&lt;'Sollecitazioni nel paramento'!$G$58,ABS(O1749)*'Sollecitazioni nel paramento'!$G$54,'Sollecitazioni nel paramento'!$G$53)</f>
        <v>561762965.40803373</v>
      </c>
      <c r="J1749" s="472">
        <f t="shared" si="123"/>
        <v>632404532.48836875</v>
      </c>
      <c r="K1749" s="550">
        <f>'Sollecitazioni nel paramento'!$G$60*(sezione!$AL$34-C1749)/C1749</f>
        <v>3.4927840716929025E-2</v>
      </c>
      <c r="L1749" s="550">
        <f>'Sollecitazioni nel paramento'!$G$60*(sezione!$AM$34-C1749)/C1749</f>
        <v>5.4141761075393542E-2</v>
      </c>
      <c r="M1749" s="551">
        <f>'Sollecitazioni nel paramento'!$G$60*(sezione!$AN$34-C1749)/C1749</f>
        <v>7.3355681433858053E-2</v>
      </c>
      <c r="N1749" s="551">
        <f>'Sollecitazioni nel paramento'!$G$60*(sezione!$AO$34-C1749)/C1749</f>
        <v>0.15021136286771611</v>
      </c>
      <c r="O1749" s="551">
        <f>'Sollecitazioni nel paramento'!$G$60*(sezione!$AP$34-C1749)/C1749</f>
        <v>0.60469715928307055</v>
      </c>
      <c r="P1749" s="545">
        <f>-'Sollecitazioni nel paramento'!$G$47*'Sollecitazioni nel paramento'!$G$41*IF(DATI!$G$211="dx",DATI!$E$61,DATI!$E$64*DATI!$E$63)*1000*C1749*sezione!$AD$5</f>
        <v>-138794.68376297137</v>
      </c>
      <c r="Q1749" s="545">
        <f>'Foglio deposito bis'!$F$78*IF(ABS(K1749)&lt;'Sollecitazioni nel paramento'!$G$58,ABS(K1749)*'Sollecitazioni nel paramento'!$G$54,'Sollecitazioni nel paramento'!$G$53)*IF(K1749&lt;0,-1,1)</f>
        <v>0</v>
      </c>
      <c r="R1749" s="545">
        <f>'Foglio deposito bis'!$F$79*IF(ABS(L1749)&lt;'Sollecitazioni nel paramento'!$G$58,ABS(L1749)*'Sollecitazioni nel paramento'!$G$54,'Sollecitazioni nel paramento'!$G$53)*IF(L1749&lt;0,-1,1)</f>
        <v>153664.85805602249</v>
      </c>
      <c r="S1749" s="545">
        <f>'Foglio deposito bis'!$F$80*IF(ABS(M1749)&lt;'Sollecitazioni nel paramento'!$G$58,ABS(M1749)*'Sollecitazioni nel paramento'!$G$54,'Sollecitazioni nel paramento'!$G$53)*IF(M1749&lt;0,-1,1)</f>
        <v>0</v>
      </c>
      <c r="T1749" s="545">
        <f>'Foglio deposito bis'!$F$81*IF(ABS(N1749)&lt;'Sollecitazioni nel paramento'!$G$58,ABS(N1749)*'Sollecitazioni nel paramento'!$G$54,'Sollecitazioni nel paramento'!$G$53)*IF(N1749&lt;0,-1,1)</f>
        <v>398299.31208121032</v>
      </c>
      <c r="U1749" s="545">
        <f>'Foglio deposito bis'!$F$82*IF(ABS(O1749)&lt;'Sollecitazioni nel paramento'!$G$58,ABS(O1749)*'Sollecitazioni nel paramento'!$G$54,'Sollecitazioni nel paramento'!$G$53)*IF(O1749&lt;0,-1,1)</f>
        <v>892485.49558937876</v>
      </c>
      <c r="V1749" s="472">
        <f t="shared" si="125"/>
        <v>1305654.9819636401</v>
      </c>
      <c r="W1749" s="551"/>
      <c r="X1749" s="551"/>
    </row>
    <row r="1750" spans="1:24" x14ac:dyDescent="0.25">
      <c r="A1750" s="545">
        <f t="shared" si="124"/>
        <v>1288305.6464932687</v>
      </c>
      <c r="B1750" s="3">
        <f t="shared" si="126"/>
        <v>0.44999999999999996</v>
      </c>
      <c r="C1750" s="545">
        <f>'Foglio deposito bis'!$E$160/sezione!$B$247*B1750</f>
        <v>4.0985909450440401</v>
      </c>
      <c r="D1750" s="603">
        <f>-'Sollecitazioni nel paramento'!$G$47*'Sollecitazioni nel paramento'!$G$41*IF(DATI!$G$211="dx",DATI!$E$61,DATI!$E$64*DATI!$E$63)*1000*C1750^2*sezione!$AD$5*(1-sezione!$AD$6)</f>
        <v>-373742.75059789576</v>
      </c>
      <c r="E1750" s="545">
        <f>-'Foglio deposito bis'!$F$78*(C1750-sezione!$AL$34)*IF(ABS(K1750)&lt;'Sollecitazioni nel paramento'!$G$58,ABS(K1750)*'Sollecitazioni nel paramento'!$G$54,'Sollecitazioni nel paramento'!$G$53)</f>
        <v>0</v>
      </c>
      <c r="F1750" s="545">
        <f>-'Foglio deposito bis'!$F$79*(C1750-sezione!$AM$34)*IF(ABS(L1750)&lt;'Sollecitazioni nel paramento'!$G$58,ABS(L1750)*'Sollecitazioni nel paramento'!$G$54,'Sollecitazioni nel paramento'!$G$53)</f>
        <v>8590082.0875614583</v>
      </c>
      <c r="G1750" s="545">
        <f>-'Foglio deposito bis'!$F$80*(C1750-sezione!$AN$34)*IF(ABS(M1750)&lt;'Sollecitazioni nel paramento'!$G$58,ABS(M1750)*'Sollecitazioni nel paramento'!$G$54,'Sollecitazioni nel paramento'!$G$53)</f>
        <v>0</v>
      </c>
      <c r="H1750" s="545">
        <f>-'Foglio deposito bis'!$F$81*(C1750-sezione!$AO$34)*IF(ABS(N1750)&lt;'Sollecitazioni nel paramento'!$G$58,ABS(N1750)*'Sollecitazioni nel paramento'!$G$54,'Sollecitazioni nel paramento'!$G$53)</f>
        <v>62095423.979080334</v>
      </c>
      <c r="I1750" s="472">
        <f>-'Foglio deposito bis'!$F$82*(C1750-sezione!$AP$34)*IF(ABS(O1750)&lt;'Sollecitazioni nel paramento'!$G$58,ABS(O1750)*'Sollecitazioni nel paramento'!$G$54,'Sollecitazioni nel paramento'!$G$53)</f>
        <v>561356528.41127741</v>
      </c>
      <c r="J1750" s="472">
        <f t="shared" si="123"/>
        <v>631668291.72732127</v>
      </c>
      <c r="K1750" s="550">
        <f>'Sollecitazioni nel paramento'!$G$60*(sezione!$AL$34-C1750)/C1750</f>
        <v>3.0658080637270251E-2</v>
      </c>
      <c r="L1750" s="550">
        <f>'Sollecitazioni nel paramento'!$G$60*(sezione!$AM$34-C1750)/C1750</f>
        <v>4.7737120955905377E-2</v>
      </c>
      <c r="M1750" s="551">
        <f>'Sollecitazioni nel paramento'!$G$60*(sezione!$AN$34-C1750)/C1750</f>
        <v>6.4816161274540512E-2</v>
      </c>
      <c r="N1750" s="551">
        <f>'Sollecitazioni nel paramento'!$G$60*(sezione!$AO$34-C1750)/C1750</f>
        <v>0.133132322549081</v>
      </c>
      <c r="O1750" s="551">
        <f>'Sollecitazioni nel paramento'!$G$60*(sezione!$AP$34-C1750)/C1750</f>
        <v>0.53711969714050722</v>
      </c>
      <c r="P1750" s="545">
        <f>-'Sollecitazioni nel paramento'!$G$47*'Sollecitazioni nel paramento'!$G$41*IF(DATI!$G$211="dx",DATI!$E$61,DATI!$E$64*DATI!$E$63)*1000*C1750*sezione!$AD$5</f>
        <v>-156144.01923334275</v>
      </c>
      <c r="Q1750" s="545">
        <f>'Foglio deposito bis'!$F$78*IF(ABS(K1750)&lt;'Sollecitazioni nel paramento'!$G$58,ABS(K1750)*'Sollecitazioni nel paramento'!$G$54,'Sollecitazioni nel paramento'!$G$53)*IF(K1750&lt;0,-1,1)</f>
        <v>0</v>
      </c>
      <c r="R1750" s="545">
        <f>'Foglio deposito bis'!$F$79*IF(ABS(L1750)&lt;'Sollecitazioni nel paramento'!$G$58,ABS(L1750)*'Sollecitazioni nel paramento'!$G$54,'Sollecitazioni nel paramento'!$G$53)*IF(L1750&lt;0,-1,1)</f>
        <v>153664.85805602249</v>
      </c>
      <c r="S1750" s="545">
        <f>'Foglio deposito bis'!$F$80*IF(ABS(M1750)&lt;'Sollecitazioni nel paramento'!$G$58,ABS(M1750)*'Sollecitazioni nel paramento'!$G$54,'Sollecitazioni nel paramento'!$G$53)*IF(M1750&lt;0,-1,1)</f>
        <v>0</v>
      </c>
      <c r="T1750" s="545">
        <f>'Foglio deposito bis'!$F$81*IF(ABS(N1750)&lt;'Sollecitazioni nel paramento'!$G$58,ABS(N1750)*'Sollecitazioni nel paramento'!$G$54,'Sollecitazioni nel paramento'!$G$53)*IF(N1750&lt;0,-1,1)</f>
        <v>398299.31208121032</v>
      </c>
      <c r="U1750" s="545">
        <f>'Foglio deposito bis'!$F$82*IF(ABS(O1750)&lt;'Sollecitazioni nel paramento'!$G$58,ABS(O1750)*'Sollecitazioni nel paramento'!$G$54,'Sollecitazioni nel paramento'!$G$53)*IF(O1750&lt;0,-1,1)</f>
        <v>892485.49558937876</v>
      </c>
      <c r="V1750" s="472">
        <f t="shared" si="125"/>
        <v>1288305.6464932687</v>
      </c>
      <c r="W1750" s="551"/>
      <c r="X1750" s="551"/>
    </row>
    <row r="1751" spans="1:24" x14ac:dyDescent="0.25">
      <c r="A1751" s="545">
        <f t="shared" si="124"/>
        <v>1270956.3110228973</v>
      </c>
      <c r="B1751" s="3">
        <f t="shared" si="126"/>
        <v>0.49999999999999994</v>
      </c>
      <c r="C1751" s="545">
        <f>'Foglio deposito bis'!$E$160/sezione!$B$247*B1751</f>
        <v>4.5539899389378222</v>
      </c>
      <c r="D1751" s="603">
        <f>-'Sollecitazioni nel paramento'!$G$47*'Sollecitazioni nel paramento'!$G$41*IF(DATI!$G$211="dx",DATI!$E$61,DATI!$E$64*DATI!$E$63)*1000*C1751^2*sezione!$AD$5*(1-sezione!$AD$6)</f>
        <v>-461410.80320727866</v>
      </c>
      <c r="E1751" s="545">
        <f>-'Foglio deposito bis'!$F$78*(C1751-sezione!$AL$34)*IF(ABS(K1751)&lt;'Sollecitazioni nel paramento'!$G$58,ABS(K1751)*'Sollecitazioni nel paramento'!$G$54,'Sollecitazioni nel paramento'!$G$53)</f>
        <v>0</v>
      </c>
      <c r="F1751" s="545">
        <f>-'Foglio deposito bis'!$F$79*(C1751-sezione!$AM$34)*IF(ABS(L1751)&lt;'Sollecitazioni nel paramento'!$G$58,ABS(L1751)*'Sollecitazioni nel paramento'!$G$54,'Sollecitazioni nel paramento'!$G$53)</f>
        <v>8520103.265805915</v>
      </c>
      <c r="G1751" s="545">
        <f>-'Foglio deposito bis'!$F$80*(C1751-sezione!$AN$34)*IF(ABS(M1751)&lt;'Sollecitazioni nel paramento'!$G$58,ABS(M1751)*'Sollecitazioni nel paramento'!$G$54,'Sollecitazioni nel paramento'!$G$53)</f>
        <v>0</v>
      </c>
      <c r="H1751" s="545">
        <f>-'Foglio deposito bis'!$F$81*(C1751-sezione!$AO$34)*IF(ABS(N1751)&lt;'Sollecitazioni nel paramento'!$G$58,ABS(N1751)*'Sollecitazioni nel paramento'!$G$54,'Sollecitazioni nel paramento'!$G$53)</f>
        <v>61914038.873089962</v>
      </c>
      <c r="I1751" s="472">
        <f>-'Foglio deposito bis'!$F$82*(C1751-sezione!$AP$34)*IF(ABS(O1751)&lt;'Sollecitazioni nel paramento'!$G$58,ABS(O1751)*'Sollecitazioni nel paramento'!$G$54,'Sollecitazioni nel paramento'!$G$53)</f>
        <v>560950091.41452134</v>
      </c>
      <c r="J1751" s="472">
        <f t="shared" si="123"/>
        <v>630922822.75020993</v>
      </c>
      <c r="K1751" s="550">
        <f>'Sollecitazioni nel paramento'!$G$60*(sezione!$AL$34-C1751)/C1751</f>
        <v>2.7242272573543225E-2</v>
      </c>
      <c r="L1751" s="550">
        <f>'Sollecitazioni nel paramento'!$G$60*(sezione!$AM$34-C1751)/C1751</f>
        <v>4.2613408860314839E-2</v>
      </c>
      <c r="M1751" s="551">
        <f>'Sollecitazioni nel paramento'!$G$60*(sezione!$AN$34-C1751)/C1751</f>
        <v>5.798454514708646E-2</v>
      </c>
      <c r="N1751" s="551">
        <f>'Sollecitazioni nel paramento'!$G$60*(sezione!$AO$34-C1751)/C1751</f>
        <v>0.11946909029417291</v>
      </c>
      <c r="O1751" s="551">
        <f>'Sollecitazioni nel paramento'!$G$60*(sezione!$AP$34-C1751)/C1751</f>
        <v>0.48305772742645658</v>
      </c>
      <c r="P1751" s="545">
        <f>-'Sollecitazioni nel paramento'!$G$47*'Sollecitazioni nel paramento'!$G$41*IF(DATI!$G$211="dx",DATI!$E$61,DATI!$E$64*DATI!$E$63)*1000*C1751*sezione!$AD$5</f>
        <v>-173493.35470371417</v>
      </c>
      <c r="Q1751" s="545">
        <f>'Foglio deposito bis'!$F$78*IF(ABS(K1751)&lt;'Sollecitazioni nel paramento'!$G$58,ABS(K1751)*'Sollecitazioni nel paramento'!$G$54,'Sollecitazioni nel paramento'!$G$53)*IF(K1751&lt;0,-1,1)</f>
        <v>0</v>
      </c>
      <c r="R1751" s="545">
        <f>'Foglio deposito bis'!$F$79*IF(ABS(L1751)&lt;'Sollecitazioni nel paramento'!$G$58,ABS(L1751)*'Sollecitazioni nel paramento'!$G$54,'Sollecitazioni nel paramento'!$G$53)*IF(L1751&lt;0,-1,1)</f>
        <v>153664.85805602249</v>
      </c>
      <c r="S1751" s="545">
        <f>'Foglio deposito bis'!$F$80*IF(ABS(M1751)&lt;'Sollecitazioni nel paramento'!$G$58,ABS(M1751)*'Sollecitazioni nel paramento'!$G$54,'Sollecitazioni nel paramento'!$G$53)*IF(M1751&lt;0,-1,1)</f>
        <v>0</v>
      </c>
      <c r="T1751" s="545">
        <f>'Foglio deposito bis'!$F$81*IF(ABS(N1751)&lt;'Sollecitazioni nel paramento'!$G$58,ABS(N1751)*'Sollecitazioni nel paramento'!$G$54,'Sollecitazioni nel paramento'!$G$53)*IF(N1751&lt;0,-1,1)</f>
        <v>398299.31208121032</v>
      </c>
      <c r="U1751" s="545">
        <f>'Foglio deposito bis'!$F$82*IF(ABS(O1751)&lt;'Sollecitazioni nel paramento'!$G$58,ABS(O1751)*'Sollecitazioni nel paramento'!$G$54,'Sollecitazioni nel paramento'!$G$53)*IF(O1751&lt;0,-1,1)</f>
        <v>892485.49558937876</v>
      </c>
      <c r="V1751" s="472">
        <f t="shared" si="125"/>
        <v>1270956.3110228973</v>
      </c>
      <c r="W1751" s="551"/>
      <c r="X1751" s="551"/>
    </row>
    <row r="1752" spans="1:24" x14ac:dyDescent="0.25">
      <c r="A1752" s="545">
        <f t="shared" si="124"/>
        <v>1253606.9755525258</v>
      </c>
      <c r="B1752" s="3">
        <f t="shared" si="126"/>
        <v>0.54999999999999993</v>
      </c>
      <c r="C1752" s="545">
        <f>'Foglio deposito bis'!$E$160/sezione!$B$247*B1752</f>
        <v>5.0093889328316052</v>
      </c>
      <c r="D1752" s="603">
        <f>-'Sollecitazioni nel paramento'!$G$47*'Sollecitazioni nel paramento'!$G$41*IF(DATI!$G$211="dx",DATI!$E$61,DATI!$E$64*DATI!$E$63)*1000*C1752^2*sezione!$AD$5*(1-sezione!$AD$6)</f>
        <v>-558307.0718808074</v>
      </c>
      <c r="E1752" s="545">
        <f>-'Foglio deposito bis'!$F$78*(C1752-sezione!$AL$34)*IF(ABS(K1752)&lt;'Sollecitazioni nel paramento'!$G$58,ABS(K1752)*'Sollecitazioni nel paramento'!$G$54,'Sollecitazioni nel paramento'!$G$53)</f>
        <v>0</v>
      </c>
      <c r="F1752" s="545">
        <f>-'Foglio deposito bis'!$F$79*(C1752-sezione!$AM$34)*IF(ABS(L1752)&lt;'Sollecitazioni nel paramento'!$G$58,ABS(L1752)*'Sollecitazioni nel paramento'!$G$54,'Sollecitazioni nel paramento'!$G$53)</f>
        <v>8450124.4440503716</v>
      </c>
      <c r="G1752" s="545">
        <f>-'Foglio deposito bis'!$F$80*(C1752-sezione!$AN$34)*IF(ABS(M1752)&lt;'Sollecitazioni nel paramento'!$G$58,ABS(M1752)*'Sollecitazioni nel paramento'!$G$54,'Sollecitazioni nel paramento'!$G$53)</f>
        <v>0</v>
      </c>
      <c r="H1752" s="545">
        <f>-'Foglio deposito bis'!$F$81*(C1752-sezione!$AO$34)*IF(ABS(N1752)&lt;'Sollecitazioni nel paramento'!$G$58,ABS(N1752)*'Sollecitazioni nel paramento'!$G$54,'Sollecitazioni nel paramento'!$G$53)</f>
        <v>61732653.767099589</v>
      </c>
      <c r="I1752" s="472">
        <f>-'Foglio deposito bis'!$F$82*(C1752-sezione!$AP$34)*IF(ABS(O1752)&lt;'Sollecitazioni nel paramento'!$G$58,ABS(O1752)*'Sollecitazioni nel paramento'!$G$54,'Sollecitazioni nel paramento'!$G$53)</f>
        <v>560543654.41776514</v>
      </c>
      <c r="J1752" s="472">
        <f t="shared" si="123"/>
        <v>630168125.55703425</v>
      </c>
      <c r="K1752" s="550">
        <f>'Sollecitazioni nel paramento'!$G$60*(sezione!$AL$34-C1752)/C1752</f>
        <v>2.4447520521402928E-2</v>
      </c>
      <c r="L1752" s="550">
        <f>'Sollecitazioni nel paramento'!$G$60*(sezione!$AM$34-C1752)/C1752</f>
        <v>3.842128078210439E-2</v>
      </c>
      <c r="M1752" s="551">
        <f>'Sollecitazioni nel paramento'!$G$60*(sezione!$AN$34-C1752)/C1752</f>
        <v>5.2395041042805866E-2</v>
      </c>
      <c r="N1752" s="551">
        <f>'Sollecitazioni nel paramento'!$G$60*(sezione!$AO$34-C1752)/C1752</f>
        <v>0.10829008208561172</v>
      </c>
      <c r="O1752" s="551">
        <f>'Sollecitazioni nel paramento'!$G$60*(sezione!$AP$34-C1752)/C1752</f>
        <v>0.43882520675132408</v>
      </c>
      <c r="P1752" s="545">
        <f>-'Sollecitazioni nel paramento'!$G$47*'Sollecitazioni nel paramento'!$G$41*IF(DATI!$G$211="dx",DATI!$E$61,DATI!$E$64*DATI!$E$63)*1000*C1752*sezione!$AD$5</f>
        <v>-190842.69017408561</v>
      </c>
      <c r="Q1752" s="545">
        <f>'Foglio deposito bis'!$F$78*IF(ABS(K1752)&lt;'Sollecitazioni nel paramento'!$G$58,ABS(K1752)*'Sollecitazioni nel paramento'!$G$54,'Sollecitazioni nel paramento'!$G$53)*IF(K1752&lt;0,-1,1)</f>
        <v>0</v>
      </c>
      <c r="R1752" s="545">
        <f>'Foglio deposito bis'!$F$79*IF(ABS(L1752)&lt;'Sollecitazioni nel paramento'!$G$58,ABS(L1752)*'Sollecitazioni nel paramento'!$G$54,'Sollecitazioni nel paramento'!$G$53)*IF(L1752&lt;0,-1,1)</f>
        <v>153664.85805602249</v>
      </c>
      <c r="S1752" s="545">
        <f>'Foglio deposito bis'!$F$80*IF(ABS(M1752)&lt;'Sollecitazioni nel paramento'!$G$58,ABS(M1752)*'Sollecitazioni nel paramento'!$G$54,'Sollecitazioni nel paramento'!$G$53)*IF(M1752&lt;0,-1,1)</f>
        <v>0</v>
      </c>
      <c r="T1752" s="545">
        <f>'Foglio deposito bis'!$F$81*IF(ABS(N1752)&lt;'Sollecitazioni nel paramento'!$G$58,ABS(N1752)*'Sollecitazioni nel paramento'!$G$54,'Sollecitazioni nel paramento'!$G$53)*IF(N1752&lt;0,-1,1)</f>
        <v>398299.31208121032</v>
      </c>
      <c r="U1752" s="545">
        <f>'Foglio deposito bis'!$F$82*IF(ABS(O1752)&lt;'Sollecitazioni nel paramento'!$G$58,ABS(O1752)*'Sollecitazioni nel paramento'!$G$54,'Sollecitazioni nel paramento'!$G$53)*IF(O1752&lt;0,-1,1)</f>
        <v>892485.49558937876</v>
      </c>
      <c r="V1752" s="472">
        <f t="shared" si="125"/>
        <v>1253606.9755525258</v>
      </c>
      <c r="W1752" s="551"/>
      <c r="X1752" s="551"/>
    </row>
    <row r="1753" spans="1:24" x14ac:dyDescent="0.25">
      <c r="A1753" s="545">
        <f t="shared" si="124"/>
        <v>1236257.6400821544</v>
      </c>
      <c r="B1753" s="3">
        <f t="shared" si="126"/>
        <v>0.6</v>
      </c>
      <c r="C1753" s="545">
        <f>'Foglio deposito bis'!$E$160/sezione!$B$247*B1753</f>
        <v>5.4647879267253874</v>
      </c>
      <c r="D1753" s="603">
        <f>-'Sollecitazioni nel paramento'!$G$47*'Sollecitazioni nel paramento'!$G$41*IF(DATI!$G$211="dx",DATI!$E$61,DATI!$E$64*DATI!$E$63)*1000*C1753^2*sezione!$AD$5*(1-sezione!$AD$6)</f>
        <v>-664431.55661848141</v>
      </c>
      <c r="E1753" s="545">
        <f>-'Foglio deposito bis'!$F$78*(C1753-sezione!$AL$34)*IF(ABS(K1753)&lt;'Sollecitazioni nel paramento'!$G$58,ABS(K1753)*'Sollecitazioni nel paramento'!$G$54,'Sollecitazioni nel paramento'!$G$53)</f>
        <v>0</v>
      </c>
      <c r="F1753" s="545">
        <f>-'Foglio deposito bis'!$F$79*(C1753-sezione!$AM$34)*IF(ABS(L1753)&lt;'Sollecitazioni nel paramento'!$G$58,ABS(L1753)*'Sollecitazioni nel paramento'!$G$54,'Sollecitazioni nel paramento'!$G$53)</f>
        <v>8380145.6222948283</v>
      </c>
      <c r="G1753" s="545">
        <f>-'Foglio deposito bis'!$F$80*(C1753-sezione!$AN$34)*IF(ABS(M1753)&lt;'Sollecitazioni nel paramento'!$G$58,ABS(M1753)*'Sollecitazioni nel paramento'!$G$54,'Sollecitazioni nel paramento'!$G$53)</f>
        <v>0</v>
      </c>
      <c r="H1753" s="545">
        <f>-'Foglio deposito bis'!$F$81*(C1753-sezione!$AO$34)*IF(ABS(N1753)&lt;'Sollecitazioni nel paramento'!$G$58,ABS(N1753)*'Sollecitazioni nel paramento'!$G$54,'Sollecitazioni nel paramento'!$G$53)</f>
        <v>61551268.661109224</v>
      </c>
      <c r="I1753" s="472">
        <f>-'Foglio deposito bis'!$F$82*(C1753-sezione!$AP$34)*IF(ABS(O1753)&lt;'Sollecitazioni nel paramento'!$G$58,ABS(O1753)*'Sollecitazioni nel paramento'!$G$54,'Sollecitazioni nel paramento'!$G$53)</f>
        <v>560137217.42100883</v>
      </c>
      <c r="J1753" s="472">
        <f t="shared" si="123"/>
        <v>629404200.14779437</v>
      </c>
      <c r="K1753" s="550">
        <f>'Sollecitazioni nel paramento'!$G$60*(sezione!$AL$34-C1753)/C1753</f>
        <v>2.2118560477952687E-2</v>
      </c>
      <c r="L1753" s="550">
        <f>'Sollecitazioni nel paramento'!$G$60*(sezione!$AM$34-C1753)/C1753</f>
        <v>3.4927840716929032E-2</v>
      </c>
      <c r="M1753" s="551">
        <f>'Sollecitazioni nel paramento'!$G$60*(sezione!$AN$34-C1753)/C1753</f>
        <v>4.773712095590537E-2</v>
      </c>
      <c r="N1753" s="551">
        <f>'Sollecitazioni nel paramento'!$G$60*(sezione!$AO$34-C1753)/C1753</f>
        <v>9.8974241911810742E-2</v>
      </c>
      <c r="O1753" s="551">
        <f>'Sollecitazioni nel paramento'!$G$60*(sezione!$AP$34-C1753)/C1753</f>
        <v>0.4019647728553804</v>
      </c>
      <c r="P1753" s="545">
        <f>-'Sollecitazioni nel paramento'!$G$47*'Sollecitazioni nel paramento'!$G$41*IF(DATI!$G$211="dx",DATI!$E$61,DATI!$E$64*DATI!$E$63)*1000*C1753*sezione!$AD$5</f>
        <v>-208192.02564445706</v>
      </c>
      <c r="Q1753" s="545">
        <f>'Foglio deposito bis'!$F$78*IF(ABS(K1753)&lt;'Sollecitazioni nel paramento'!$G$58,ABS(K1753)*'Sollecitazioni nel paramento'!$G$54,'Sollecitazioni nel paramento'!$G$53)*IF(K1753&lt;0,-1,1)</f>
        <v>0</v>
      </c>
      <c r="R1753" s="545">
        <f>'Foglio deposito bis'!$F$79*IF(ABS(L1753)&lt;'Sollecitazioni nel paramento'!$G$58,ABS(L1753)*'Sollecitazioni nel paramento'!$G$54,'Sollecitazioni nel paramento'!$G$53)*IF(L1753&lt;0,-1,1)</f>
        <v>153664.85805602249</v>
      </c>
      <c r="S1753" s="545">
        <f>'Foglio deposito bis'!$F$80*IF(ABS(M1753)&lt;'Sollecitazioni nel paramento'!$G$58,ABS(M1753)*'Sollecitazioni nel paramento'!$G$54,'Sollecitazioni nel paramento'!$G$53)*IF(M1753&lt;0,-1,1)</f>
        <v>0</v>
      </c>
      <c r="T1753" s="545">
        <f>'Foglio deposito bis'!$F$81*IF(ABS(N1753)&lt;'Sollecitazioni nel paramento'!$G$58,ABS(N1753)*'Sollecitazioni nel paramento'!$G$54,'Sollecitazioni nel paramento'!$G$53)*IF(N1753&lt;0,-1,1)</f>
        <v>398299.31208121032</v>
      </c>
      <c r="U1753" s="545">
        <f>'Foglio deposito bis'!$F$82*IF(ABS(O1753)&lt;'Sollecitazioni nel paramento'!$G$58,ABS(O1753)*'Sollecitazioni nel paramento'!$G$54,'Sollecitazioni nel paramento'!$G$53)*IF(O1753&lt;0,-1,1)</f>
        <v>892485.49558937876</v>
      </c>
      <c r="V1753" s="472">
        <f t="shared" si="125"/>
        <v>1236257.6400821544</v>
      </c>
      <c r="W1753" s="551"/>
      <c r="X1753" s="551"/>
    </row>
    <row r="1754" spans="1:24" x14ac:dyDescent="0.25">
      <c r="A1754" s="545">
        <f t="shared" si="124"/>
        <v>1218908.304611783</v>
      </c>
      <c r="B1754" s="3">
        <f t="shared" si="126"/>
        <v>0.65</v>
      </c>
      <c r="C1754" s="545">
        <f>'Foglio deposito bis'!$E$160/sezione!$B$247*B1754</f>
        <v>5.9201869206191704</v>
      </c>
      <c r="D1754" s="603">
        <f>-'Sollecitazioni nel paramento'!$G$47*'Sollecitazioni nel paramento'!$G$41*IF(DATI!$G$211="dx",DATI!$E$61,DATI!$E$64*DATI!$E$63)*1000*C1754^2*sezione!$AD$5*(1-sezione!$AD$6)</f>
        <v>-779784.25742030132</v>
      </c>
      <c r="E1754" s="545">
        <f>-'Foglio deposito bis'!$F$78*(C1754-sezione!$AL$34)*IF(ABS(K1754)&lt;'Sollecitazioni nel paramento'!$G$58,ABS(K1754)*'Sollecitazioni nel paramento'!$G$54,'Sollecitazioni nel paramento'!$G$53)</f>
        <v>0</v>
      </c>
      <c r="F1754" s="545">
        <f>-'Foglio deposito bis'!$F$79*(C1754-sezione!$AM$34)*IF(ABS(L1754)&lt;'Sollecitazioni nel paramento'!$G$58,ABS(L1754)*'Sollecitazioni nel paramento'!$G$54,'Sollecitazioni nel paramento'!$G$53)</f>
        <v>8310166.800539284</v>
      </c>
      <c r="G1754" s="545">
        <f>-'Foglio deposito bis'!$F$80*(C1754-sezione!$AN$34)*IF(ABS(M1754)&lt;'Sollecitazioni nel paramento'!$G$58,ABS(M1754)*'Sollecitazioni nel paramento'!$G$54,'Sollecitazioni nel paramento'!$G$53)</f>
        <v>0</v>
      </c>
      <c r="H1754" s="545">
        <f>-'Foglio deposito bis'!$F$81*(C1754-sezione!$AO$34)*IF(ABS(N1754)&lt;'Sollecitazioni nel paramento'!$G$58,ABS(N1754)*'Sollecitazioni nel paramento'!$G$54,'Sollecitazioni nel paramento'!$G$53)</f>
        <v>61369883.555118859</v>
      </c>
      <c r="I1754" s="472">
        <f>-'Foglio deposito bis'!$F$82*(C1754-sezione!$AP$34)*IF(ABS(O1754)&lt;'Sollecitazioni nel paramento'!$G$58,ABS(O1754)*'Sollecitazioni nel paramento'!$G$54,'Sollecitazioni nel paramento'!$G$53)</f>
        <v>559730780.42425275</v>
      </c>
      <c r="J1754" s="472">
        <f t="shared" si="123"/>
        <v>628631046.52249062</v>
      </c>
      <c r="K1754" s="550">
        <f>'Sollecitazioni nel paramento'!$G$60*(sezione!$AL$34-C1754)/C1754</f>
        <v>2.0147901979648625E-2</v>
      </c>
      <c r="L1754" s="550">
        <f>'Sollecitazioni nel paramento'!$G$60*(sezione!$AM$34-C1754)/C1754</f>
        <v>3.1971852969472941E-2</v>
      </c>
      <c r="M1754" s="551">
        <f>'Sollecitazioni nel paramento'!$G$60*(sezione!$AN$34-C1754)/C1754</f>
        <v>4.3795803959297261E-2</v>
      </c>
      <c r="N1754" s="551">
        <f>'Sollecitazioni nel paramento'!$G$60*(sezione!$AO$34-C1754)/C1754</f>
        <v>9.1091607918594525E-2</v>
      </c>
      <c r="O1754" s="551">
        <f>'Sollecitazioni nel paramento'!$G$60*(sezione!$AP$34-C1754)/C1754</f>
        <v>0.37077517494342804</v>
      </c>
      <c r="P1754" s="545">
        <f>-'Sollecitazioni nel paramento'!$G$47*'Sollecitazioni nel paramento'!$G$41*IF(DATI!$G$211="dx",DATI!$E$61,DATI!$E$64*DATI!$E$63)*1000*C1754*sezione!$AD$5</f>
        <v>-225541.36111482853</v>
      </c>
      <c r="Q1754" s="545">
        <f>'Foglio deposito bis'!$F$78*IF(ABS(K1754)&lt;'Sollecitazioni nel paramento'!$G$58,ABS(K1754)*'Sollecitazioni nel paramento'!$G$54,'Sollecitazioni nel paramento'!$G$53)*IF(K1754&lt;0,-1,1)</f>
        <v>0</v>
      </c>
      <c r="R1754" s="545">
        <f>'Foglio deposito bis'!$F$79*IF(ABS(L1754)&lt;'Sollecitazioni nel paramento'!$G$58,ABS(L1754)*'Sollecitazioni nel paramento'!$G$54,'Sollecitazioni nel paramento'!$G$53)*IF(L1754&lt;0,-1,1)</f>
        <v>153664.85805602249</v>
      </c>
      <c r="S1754" s="545">
        <f>'Foglio deposito bis'!$F$80*IF(ABS(M1754)&lt;'Sollecitazioni nel paramento'!$G$58,ABS(M1754)*'Sollecitazioni nel paramento'!$G$54,'Sollecitazioni nel paramento'!$G$53)*IF(M1754&lt;0,-1,1)</f>
        <v>0</v>
      </c>
      <c r="T1754" s="545">
        <f>'Foglio deposito bis'!$F$81*IF(ABS(N1754)&lt;'Sollecitazioni nel paramento'!$G$58,ABS(N1754)*'Sollecitazioni nel paramento'!$G$54,'Sollecitazioni nel paramento'!$G$53)*IF(N1754&lt;0,-1,1)</f>
        <v>398299.31208121032</v>
      </c>
      <c r="U1754" s="545">
        <f>'Foglio deposito bis'!$F$82*IF(ABS(O1754)&lt;'Sollecitazioni nel paramento'!$G$58,ABS(O1754)*'Sollecitazioni nel paramento'!$G$54,'Sollecitazioni nel paramento'!$G$53)*IF(O1754&lt;0,-1,1)</f>
        <v>892485.49558937876</v>
      </c>
      <c r="V1754" s="472">
        <f t="shared" si="125"/>
        <v>1218908.304611783</v>
      </c>
      <c r="W1754" s="551"/>
      <c r="X1754" s="551"/>
    </row>
    <row r="1755" spans="1:24" x14ac:dyDescent="0.25">
      <c r="A1755" s="545">
        <f t="shared" si="124"/>
        <v>1201558.9691414116</v>
      </c>
      <c r="B1755" s="3">
        <f t="shared" si="126"/>
        <v>0.70000000000000007</v>
      </c>
      <c r="C1755" s="545">
        <f>'Foglio deposito bis'!$E$160/sezione!$B$247*B1755</f>
        <v>6.3755859145129525</v>
      </c>
      <c r="D1755" s="603">
        <f>-'Sollecitazioni nel paramento'!$G$47*'Sollecitazioni nel paramento'!$G$41*IF(DATI!$G$211="dx",DATI!$E$61,DATI!$E$64*DATI!$E$63)*1000*C1755^2*sezione!$AD$5*(1-sezione!$AD$6)</f>
        <v>-904365.17428626644</v>
      </c>
      <c r="E1755" s="545">
        <f>-'Foglio deposito bis'!$F$78*(C1755-sezione!$AL$34)*IF(ABS(K1755)&lt;'Sollecitazioni nel paramento'!$G$58,ABS(K1755)*'Sollecitazioni nel paramento'!$G$54,'Sollecitazioni nel paramento'!$G$53)</f>
        <v>0</v>
      </c>
      <c r="F1755" s="545">
        <f>-'Foglio deposito bis'!$F$79*(C1755-sezione!$AM$34)*IF(ABS(L1755)&lt;'Sollecitazioni nel paramento'!$G$58,ABS(L1755)*'Sollecitazioni nel paramento'!$G$54,'Sollecitazioni nel paramento'!$G$53)</f>
        <v>8240187.9787837397</v>
      </c>
      <c r="G1755" s="545">
        <f>-'Foglio deposito bis'!$F$80*(C1755-sezione!$AN$34)*IF(ABS(M1755)&lt;'Sollecitazioni nel paramento'!$G$58,ABS(M1755)*'Sollecitazioni nel paramento'!$G$54,'Sollecitazioni nel paramento'!$G$53)</f>
        <v>0</v>
      </c>
      <c r="H1755" s="545">
        <f>-'Foglio deposito bis'!$F$81*(C1755-sezione!$AO$34)*IF(ABS(N1755)&lt;'Sollecitazioni nel paramento'!$G$58,ABS(N1755)*'Sollecitazioni nel paramento'!$G$54,'Sollecitazioni nel paramento'!$G$53)</f>
        <v>61188498.449128494</v>
      </c>
      <c r="I1755" s="472">
        <f>-'Foglio deposito bis'!$F$82*(C1755-sezione!$AP$34)*IF(ABS(O1755)&lt;'Sollecitazioni nel paramento'!$G$58,ABS(O1755)*'Sollecitazioni nel paramento'!$G$54,'Sollecitazioni nel paramento'!$G$53)</f>
        <v>559324343.42749655</v>
      </c>
      <c r="J1755" s="472">
        <f t="shared" si="123"/>
        <v>627848664.68112254</v>
      </c>
      <c r="K1755" s="550">
        <f>'Sollecitazioni nel paramento'!$G$60*(sezione!$AL$34-C1755)/C1755</f>
        <v>1.8458766123959441E-2</v>
      </c>
      <c r="L1755" s="550">
        <f>'Sollecitazioni nel paramento'!$G$60*(sezione!$AM$34-C1755)/C1755</f>
        <v>2.9438149185939164E-2</v>
      </c>
      <c r="M1755" s="551">
        <f>'Sollecitazioni nel paramento'!$G$60*(sezione!$AN$34-C1755)/C1755</f>
        <v>4.0417532247918886E-2</v>
      </c>
      <c r="N1755" s="551">
        <f>'Sollecitazioni nel paramento'!$G$60*(sezione!$AO$34-C1755)/C1755</f>
        <v>8.4335064495837775E-2</v>
      </c>
      <c r="O1755" s="551">
        <f>'Sollecitazioni nel paramento'!$G$60*(sezione!$AP$34-C1755)/C1755</f>
        <v>0.3440412338760403</v>
      </c>
      <c r="P1755" s="545">
        <f>-'Sollecitazioni nel paramento'!$G$47*'Sollecitazioni nel paramento'!$G$41*IF(DATI!$G$211="dx",DATI!$E$61,DATI!$E$64*DATI!$E$63)*1000*C1755*sezione!$AD$5</f>
        <v>-242890.69658519991</v>
      </c>
      <c r="Q1755" s="545">
        <f>'Foglio deposito bis'!$F$78*IF(ABS(K1755)&lt;'Sollecitazioni nel paramento'!$G$58,ABS(K1755)*'Sollecitazioni nel paramento'!$G$54,'Sollecitazioni nel paramento'!$G$53)*IF(K1755&lt;0,-1,1)</f>
        <v>0</v>
      </c>
      <c r="R1755" s="545">
        <f>'Foglio deposito bis'!$F$79*IF(ABS(L1755)&lt;'Sollecitazioni nel paramento'!$G$58,ABS(L1755)*'Sollecitazioni nel paramento'!$G$54,'Sollecitazioni nel paramento'!$G$53)*IF(L1755&lt;0,-1,1)</f>
        <v>153664.85805602249</v>
      </c>
      <c r="S1755" s="545">
        <f>'Foglio deposito bis'!$F$80*IF(ABS(M1755)&lt;'Sollecitazioni nel paramento'!$G$58,ABS(M1755)*'Sollecitazioni nel paramento'!$G$54,'Sollecitazioni nel paramento'!$G$53)*IF(M1755&lt;0,-1,1)</f>
        <v>0</v>
      </c>
      <c r="T1755" s="545">
        <f>'Foglio deposito bis'!$F$81*IF(ABS(N1755)&lt;'Sollecitazioni nel paramento'!$G$58,ABS(N1755)*'Sollecitazioni nel paramento'!$G$54,'Sollecitazioni nel paramento'!$G$53)*IF(N1755&lt;0,-1,1)</f>
        <v>398299.31208121032</v>
      </c>
      <c r="U1755" s="545">
        <f>'Foglio deposito bis'!$F$82*IF(ABS(O1755)&lt;'Sollecitazioni nel paramento'!$G$58,ABS(O1755)*'Sollecitazioni nel paramento'!$G$54,'Sollecitazioni nel paramento'!$G$53)*IF(O1755&lt;0,-1,1)</f>
        <v>892485.49558937876</v>
      </c>
      <c r="V1755" s="472">
        <f t="shared" si="125"/>
        <v>1201558.9691414116</v>
      </c>
      <c r="W1755" s="551"/>
      <c r="X1755" s="551"/>
    </row>
    <row r="1756" spans="1:24" x14ac:dyDescent="0.25">
      <c r="A1756" s="545">
        <f t="shared" si="124"/>
        <v>1184209.6336710402</v>
      </c>
      <c r="B1756" s="3">
        <f t="shared" si="126"/>
        <v>0.75000000000000011</v>
      </c>
      <c r="C1756" s="545">
        <f>'Foglio deposito bis'!$E$160/sezione!$B$247*B1756</f>
        <v>6.8309849084067356</v>
      </c>
      <c r="D1756" s="603">
        <f>-'Sollecitazioni nel paramento'!$G$47*'Sollecitazioni nel paramento'!$G$41*IF(DATI!$G$211="dx",DATI!$E$61,DATI!$E$64*DATI!$E$63)*1000*C1756^2*sezione!$AD$5*(1-sezione!$AD$6)</f>
        <v>-1038174.3072163777</v>
      </c>
      <c r="E1756" s="545">
        <f>-'Foglio deposito bis'!$F$78*(C1756-sezione!$AL$34)*IF(ABS(K1756)&lt;'Sollecitazioni nel paramento'!$G$58,ABS(K1756)*'Sollecitazioni nel paramento'!$G$54,'Sollecitazioni nel paramento'!$G$53)</f>
        <v>0</v>
      </c>
      <c r="F1756" s="545">
        <f>-'Foglio deposito bis'!$F$79*(C1756-sezione!$AM$34)*IF(ABS(L1756)&lt;'Sollecitazioni nel paramento'!$G$58,ABS(L1756)*'Sollecitazioni nel paramento'!$G$54,'Sollecitazioni nel paramento'!$G$53)</f>
        <v>8170209.1570281973</v>
      </c>
      <c r="G1756" s="545">
        <f>-'Foglio deposito bis'!$F$80*(C1756-sezione!$AN$34)*IF(ABS(M1756)&lt;'Sollecitazioni nel paramento'!$G$58,ABS(M1756)*'Sollecitazioni nel paramento'!$G$54,'Sollecitazioni nel paramento'!$G$53)</f>
        <v>0</v>
      </c>
      <c r="H1756" s="545">
        <f>-'Foglio deposito bis'!$F$81*(C1756-sezione!$AO$34)*IF(ABS(N1756)&lt;'Sollecitazioni nel paramento'!$G$58,ABS(N1756)*'Sollecitazioni nel paramento'!$G$54,'Sollecitazioni nel paramento'!$G$53)</f>
        <v>61007113.343138106</v>
      </c>
      <c r="I1756" s="472">
        <f>-'Foglio deposito bis'!$F$82*(C1756-sezione!$AP$34)*IF(ABS(O1756)&lt;'Sollecitazioni nel paramento'!$G$58,ABS(O1756)*'Sollecitazioni nel paramento'!$G$54,'Sollecitazioni nel paramento'!$G$53)</f>
        <v>558917906.43074036</v>
      </c>
      <c r="J1756" s="472">
        <f t="shared" si="123"/>
        <v>627057054.62369025</v>
      </c>
      <c r="K1756" s="550">
        <f>'Sollecitazioni nel paramento'!$G$60*(sezione!$AL$34-C1756)/C1756</f>
        <v>1.6994848382362145E-2</v>
      </c>
      <c r="L1756" s="550">
        <f>'Sollecitazioni nel paramento'!$G$60*(sezione!$AM$34-C1756)/C1756</f>
        <v>2.7242272573543218E-2</v>
      </c>
      <c r="M1756" s="551">
        <f>'Sollecitazioni nel paramento'!$G$60*(sezione!$AN$34-C1756)/C1756</f>
        <v>3.7489696764724287E-2</v>
      </c>
      <c r="N1756" s="551">
        <f>'Sollecitazioni nel paramento'!$G$60*(sezione!$AO$34-C1756)/C1756</f>
        <v>7.8479393529448577E-2</v>
      </c>
      <c r="O1756" s="551">
        <f>'Sollecitazioni nel paramento'!$G$60*(sezione!$AP$34-C1756)/C1756</f>
        <v>0.32087181828430422</v>
      </c>
      <c r="P1756" s="545">
        <f>-'Sollecitazioni nel paramento'!$G$47*'Sollecitazioni nel paramento'!$G$41*IF(DATI!$G$211="dx",DATI!$E$61,DATI!$E$64*DATI!$E$63)*1000*C1756*sezione!$AD$5</f>
        <v>-260240.03205557136</v>
      </c>
      <c r="Q1756" s="545">
        <f>'Foglio deposito bis'!$F$78*IF(ABS(K1756)&lt;'Sollecitazioni nel paramento'!$G$58,ABS(K1756)*'Sollecitazioni nel paramento'!$G$54,'Sollecitazioni nel paramento'!$G$53)*IF(K1756&lt;0,-1,1)</f>
        <v>0</v>
      </c>
      <c r="R1756" s="545">
        <f>'Foglio deposito bis'!$F$79*IF(ABS(L1756)&lt;'Sollecitazioni nel paramento'!$G$58,ABS(L1756)*'Sollecitazioni nel paramento'!$G$54,'Sollecitazioni nel paramento'!$G$53)*IF(L1756&lt;0,-1,1)</f>
        <v>153664.85805602249</v>
      </c>
      <c r="S1756" s="545">
        <f>'Foglio deposito bis'!$F$80*IF(ABS(M1756)&lt;'Sollecitazioni nel paramento'!$G$58,ABS(M1756)*'Sollecitazioni nel paramento'!$G$54,'Sollecitazioni nel paramento'!$G$53)*IF(M1756&lt;0,-1,1)</f>
        <v>0</v>
      </c>
      <c r="T1756" s="545">
        <f>'Foglio deposito bis'!$F$81*IF(ABS(N1756)&lt;'Sollecitazioni nel paramento'!$G$58,ABS(N1756)*'Sollecitazioni nel paramento'!$G$54,'Sollecitazioni nel paramento'!$G$53)*IF(N1756&lt;0,-1,1)</f>
        <v>398299.31208121032</v>
      </c>
      <c r="U1756" s="545">
        <f>'Foglio deposito bis'!$F$82*IF(ABS(O1756)&lt;'Sollecitazioni nel paramento'!$G$58,ABS(O1756)*'Sollecitazioni nel paramento'!$G$54,'Sollecitazioni nel paramento'!$G$53)*IF(O1756&lt;0,-1,1)</f>
        <v>892485.49558937876</v>
      </c>
      <c r="V1756" s="472">
        <f t="shared" si="125"/>
        <v>1184209.6336710402</v>
      </c>
      <c r="W1756" s="551"/>
      <c r="X1756" s="551"/>
    </row>
    <row r="1757" spans="1:24" x14ac:dyDescent="0.25">
      <c r="A1757" s="545">
        <f t="shared" si="124"/>
        <v>1166860.2982006688</v>
      </c>
      <c r="B1757" s="3">
        <f t="shared" si="126"/>
        <v>0.80000000000000016</v>
      </c>
      <c r="C1757" s="545">
        <f>'Foglio deposito bis'!$E$160/sezione!$B$247*B1757</f>
        <v>7.2863839023005186</v>
      </c>
      <c r="D1757" s="603">
        <f>-'Sollecitazioni nel paramento'!$G$47*'Sollecitazioni nel paramento'!$G$41*IF(DATI!$G$211="dx",DATI!$E$61,DATI!$E$64*DATI!$E$63)*1000*C1757^2*sezione!$AD$5*(1-sezione!$AD$6)</f>
        <v>-1181211.6562106344</v>
      </c>
      <c r="E1757" s="545">
        <f>-'Foglio deposito bis'!$F$78*(C1757-sezione!$AL$34)*IF(ABS(K1757)&lt;'Sollecitazioni nel paramento'!$G$58,ABS(K1757)*'Sollecitazioni nel paramento'!$G$54,'Sollecitazioni nel paramento'!$G$53)</f>
        <v>0</v>
      </c>
      <c r="F1757" s="545">
        <f>-'Foglio deposito bis'!$F$79*(C1757-sezione!$AM$34)*IF(ABS(L1757)&lt;'Sollecitazioni nel paramento'!$G$58,ABS(L1757)*'Sollecitazioni nel paramento'!$G$54,'Sollecitazioni nel paramento'!$G$53)</f>
        <v>8100230.335272653</v>
      </c>
      <c r="G1757" s="545">
        <f>-'Foglio deposito bis'!$F$80*(C1757-sezione!$AN$34)*IF(ABS(M1757)&lt;'Sollecitazioni nel paramento'!$G$58,ABS(M1757)*'Sollecitazioni nel paramento'!$G$54,'Sollecitazioni nel paramento'!$G$53)</f>
        <v>0</v>
      </c>
      <c r="H1757" s="545">
        <f>-'Foglio deposito bis'!$F$81*(C1757-sezione!$AO$34)*IF(ABS(N1757)&lt;'Sollecitazioni nel paramento'!$G$58,ABS(N1757)*'Sollecitazioni nel paramento'!$G$54,'Sollecitazioni nel paramento'!$G$53)</f>
        <v>60825728.237147748</v>
      </c>
      <c r="I1757" s="472">
        <f>-'Foglio deposito bis'!$F$82*(C1757-sezione!$AP$34)*IF(ABS(O1757)&lt;'Sollecitazioni nel paramento'!$G$58,ABS(O1757)*'Sollecitazioni nel paramento'!$G$54,'Sollecitazioni nel paramento'!$G$53)</f>
        <v>558511469.43398416</v>
      </c>
      <c r="J1757" s="472">
        <f t="shared" si="123"/>
        <v>626256216.35019398</v>
      </c>
      <c r="K1757" s="550">
        <f>'Sollecitazioni nel paramento'!$G$60*(sezione!$AL$34-C1757)/C1757</f>
        <v>1.5713920358464507E-2</v>
      </c>
      <c r="L1757" s="550">
        <f>'Sollecitazioni nel paramento'!$G$60*(sezione!$AM$34-C1757)/C1757</f>
        <v>2.5320880537696759E-2</v>
      </c>
      <c r="M1757" s="551">
        <f>'Sollecitazioni nel paramento'!$G$60*(sezione!$AN$34-C1757)/C1757</f>
        <v>3.4927840716929018E-2</v>
      </c>
      <c r="N1757" s="551">
        <f>'Sollecitazioni nel paramento'!$G$60*(sezione!$AO$34-C1757)/C1757</f>
        <v>7.3355681433858039E-2</v>
      </c>
      <c r="O1757" s="551">
        <f>'Sollecitazioni nel paramento'!$G$60*(sezione!$AP$34-C1757)/C1757</f>
        <v>0.30059857964153525</v>
      </c>
      <c r="P1757" s="545">
        <f>-'Sollecitazioni nel paramento'!$G$47*'Sollecitazioni nel paramento'!$G$41*IF(DATI!$G$211="dx",DATI!$E$61,DATI!$E$64*DATI!$E$63)*1000*C1757*sezione!$AD$5</f>
        <v>-277589.3675259428</v>
      </c>
      <c r="Q1757" s="545">
        <f>'Foglio deposito bis'!$F$78*IF(ABS(K1757)&lt;'Sollecitazioni nel paramento'!$G$58,ABS(K1757)*'Sollecitazioni nel paramento'!$G$54,'Sollecitazioni nel paramento'!$G$53)*IF(K1757&lt;0,-1,1)</f>
        <v>0</v>
      </c>
      <c r="R1757" s="545">
        <f>'Foglio deposito bis'!$F$79*IF(ABS(L1757)&lt;'Sollecitazioni nel paramento'!$G$58,ABS(L1757)*'Sollecitazioni nel paramento'!$G$54,'Sollecitazioni nel paramento'!$G$53)*IF(L1757&lt;0,-1,1)</f>
        <v>153664.85805602249</v>
      </c>
      <c r="S1757" s="545">
        <f>'Foglio deposito bis'!$F$80*IF(ABS(M1757)&lt;'Sollecitazioni nel paramento'!$G$58,ABS(M1757)*'Sollecitazioni nel paramento'!$G$54,'Sollecitazioni nel paramento'!$G$53)*IF(M1757&lt;0,-1,1)</f>
        <v>0</v>
      </c>
      <c r="T1757" s="545">
        <f>'Foglio deposito bis'!$F$81*IF(ABS(N1757)&lt;'Sollecitazioni nel paramento'!$G$58,ABS(N1757)*'Sollecitazioni nel paramento'!$G$54,'Sollecitazioni nel paramento'!$G$53)*IF(N1757&lt;0,-1,1)</f>
        <v>398299.31208121032</v>
      </c>
      <c r="U1757" s="545">
        <f>'Foglio deposito bis'!$F$82*IF(ABS(O1757)&lt;'Sollecitazioni nel paramento'!$G$58,ABS(O1757)*'Sollecitazioni nel paramento'!$G$54,'Sollecitazioni nel paramento'!$G$53)*IF(O1757&lt;0,-1,1)</f>
        <v>892485.49558937876</v>
      </c>
      <c r="V1757" s="472">
        <f t="shared" si="125"/>
        <v>1166860.2982006688</v>
      </c>
      <c r="W1757" s="551"/>
      <c r="X1757" s="551"/>
    </row>
    <row r="1758" spans="1:24" x14ac:dyDescent="0.25">
      <c r="A1758" s="545">
        <f t="shared" si="124"/>
        <v>1149510.9627302974</v>
      </c>
      <c r="B1758" s="3">
        <f t="shared" si="126"/>
        <v>0.8500000000000002</v>
      </c>
      <c r="C1758" s="545">
        <f>'Foglio deposito bis'!$E$160/sezione!$B$247*B1758</f>
        <v>7.7417828961943007</v>
      </c>
      <c r="D1758" s="603">
        <f>-'Sollecitazioni nel paramento'!$G$47*'Sollecitazioni nel paramento'!$G$41*IF(DATI!$G$211="dx",DATI!$E$61,DATI!$E$64*DATI!$E$63)*1000*C1758^2*sezione!$AD$5*(1-sezione!$AD$6)</f>
        <v>-1333477.2212690362</v>
      </c>
      <c r="E1758" s="545">
        <f>-'Foglio deposito bis'!$F$78*(C1758-sezione!$AL$34)*IF(ABS(K1758)&lt;'Sollecitazioni nel paramento'!$G$58,ABS(K1758)*'Sollecitazioni nel paramento'!$G$54,'Sollecitazioni nel paramento'!$G$53)</f>
        <v>0</v>
      </c>
      <c r="F1758" s="545">
        <f>-'Foglio deposito bis'!$F$79*(C1758-sezione!$AM$34)*IF(ABS(L1758)&lt;'Sollecitazioni nel paramento'!$G$58,ABS(L1758)*'Sollecitazioni nel paramento'!$G$54,'Sollecitazioni nel paramento'!$G$53)</f>
        <v>8030251.5135171087</v>
      </c>
      <c r="G1758" s="545">
        <f>-'Foglio deposito bis'!$F$80*(C1758-sezione!$AN$34)*IF(ABS(M1758)&lt;'Sollecitazioni nel paramento'!$G$58,ABS(M1758)*'Sollecitazioni nel paramento'!$G$54,'Sollecitazioni nel paramento'!$G$53)</f>
        <v>0</v>
      </c>
      <c r="H1758" s="545">
        <f>-'Foglio deposito bis'!$F$81*(C1758-sezione!$AO$34)*IF(ABS(N1758)&lt;'Sollecitazioni nel paramento'!$G$58,ABS(N1758)*'Sollecitazioni nel paramento'!$G$54,'Sollecitazioni nel paramento'!$G$53)</f>
        <v>60644343.131157376</v>
      </c>
      <c r="I1758" s="472">
        <f>-'Foglio deposito bis'!$F$82*(C1758-sezione!$AP$34)*IF(ABS(O1758)&lt;'Sollecitazioni nel paramento'!$G$58,ABS(O1758)*'Sollecitazioni nel paramento'!$G$54,'Sollecitazioni nel paramento'!$G$53)</f>
        <v>558105032.43722796</v>
      </c>
      <c r="J1758" s="472">
        <f t="shared" si="123"/>
        <v>625446149.86063337</v>
      </c>
      <c r="K1758" s="550">
        <f>'Sollecitazioni nel paramento'!$G$60*(sezione!$AL$34-C1758)/C1758</f>
        <v>1.4583689749143067E-2</v>
      </c>
      <c r="L1758" s="550">
        <f>'Sollecitazioni nel paramento'!$G$60*(sezione!$AM$34-C1758)/C1758</f>
        <v>2.3625534623714601E-2</v>
      </c>
      <c r="M1758" s="551">
        <f>'Sollecitazioni nel paramento'!$G$60*(sezione!$AN$34-C1758)/C1758</f>
        <v>3.2667379498286138E-2</v>
      </c>
      <c r="N1758" s="551">
        <f>'Sollecitazioni nel paramento'!$G$60*(sezione!$AO$34-C1758)/C1758</f>
        <v>6.8834758996572265E-2</v>
      </c>
      <c r="O1758" s="551">
        <f>'Sollecitazioni nel paramento'!$G$60*(sezione!$AP$34-C1758)/C1758</f>
        <v>0.28271042789791551</v>
      </c>
      <c r="P1758" s="545">
        <f>-'Sollecitazioni nel paramento'!$G$47*'Sollecitazioni nel paramento'!$G$41*IF(DATI!$G$211="dx",DATI!$E$61,DATI!$E$64*DATI!$E$63)*1000*C1758*sezione!$AD$5</f>
        <v>-294938.70299631421</v>
      </c>
      <c r="Q1758" s="545">
        <f>'Foglio deposito bis'!$F$78*IF(ABS(K1758)&lt;'Sollecitazioni nel paramento'!$G$58,ABS(K1758)*'Sollecitazioni nel paramento'!$G$54,'Sollecitazioni nel paramento'!$G$53)*IF(K1758&lt;0,-1,1)</f>
        <v>0</v>
      </c>
      <c r="R1758" s="545">
        <f>'Foglio deposito bis'!$F$79*IF(ABS(L1758)&lt;'Sollecitazioni nel paramento'!$G$58,ABS(L1758)*'Sollecitazioni nel paramento'!$G$54,'Sollecitazioni nel paramento'!$G$53)*IF(L1758&lt;0,-1,1)</f>
        <v>153664.85805602249</v>
      </c>
      <c r="S1758" s="545">
        <f>'Foglio deposito bis'!$F$80*IF(ABS(M1758)&lt;'Sollecitazioni nel paramento'!$G$58,ABS(M1758)*'Sollecitazioni nel paramento'!$G$54,'Sollecitazioni nel paramento'!$G$53)*IF(M1758&lt;0,-1,1)</f>
        <v>0</v>
      </c>
      <c r="T1758" s="545">
        <f>'Foglio deposito bis'!$F$81*IF(ABS(N1758)&lt;'Sollecitazioni nel paramento'!$G$58,ABS(N1758)*'Sollecitazioni nel paramento'!$G$54,'Sollecitazioni nel paramento'!$G$53)*IF(N1758&lt;0,-1,1)</f>
        <v>398299.31208121032</v>
      </c>
      <c r="U1758" s="545">
        <f>'Foglio deposito bis'!$F$82*IF(ABS(O1758)&lt;'Sollecitazioni nel paramento'!$G$58,ABS(O1758)*'Sollecitazioni nel paramento'!$G$54,'Sollecitazioni nel paramento'!$G$53)*IF(O1758&lt;0,-1,1)</f>
        <v>892485.49558937876</v>
      </c>
      <c r="V1758" s="472">
        <f t="shared" si="125"/>
        <v>1149510.9627302974</v>
      </c>
      <c r="W1758" s="551"/>
      <c r="X1758" s="551"/>
    </row>
    <row r="1759" spans="1:24" x14ac:dyDescent="0.25">
      <c r="A1759" s="545">
        <f t="shared" si="124"/>
        <v>1132161.6272599259</v>
      </c>
      <c r="B1759" s="3">
        <f t="shared" si="126"/>
        <v>0.90000000000000024</v>
      </c>
      <c r="C1759" s="545">
        <f>'Foglio deposito bis'!$E$160/sezione!$B$247*B1759</f>
        <v>8.1971818900880837</v>
      </c>
      <c r="D1759" s="603">
        <f>-'Sollecitazioni nel paramento'!$G$47*'Sollecitazioni nel paramento'!$G$41*IF(DATI!$G$211="dx",DATI!$E$61,DATI!$E$64*DATI!$E$63)*1000*C1759^2*sezione!$AD$5*(1-sezione!$AD$6)</f>
        <v>-1494971.0023915842</v>
      </c>
      <c r="E1759" s="545">
        <f>-'Foglio deposito bis'!$F$78*(C1759-sezione!$AL$34)*IF(ABS(K1759)&lt;'Sollecitazioni nel paramento'!$G$58,ABS(K1759)*'Sollecitazioni nel paramento'!$G$54,'Sollecitazioni nel paramento'!$G$53)</f>
        <v>0</v>
      </c>
      <c r="F1759" s="545">
        <f>-'Foglio deposito bis'!$F$79*(C1759-sezione!$AM$34)*IF(ABS(L1759)&lt;'Sollecitazioni nel paramento'!$G$58,ABS(L1759)*'Sollecitazioni nel paramento'!$G$54,'Sollecitazioni nel paramento'!$G$53)</f>
        <v>7960272.6917615663</v>
      </c>
      <c r="G1759" s="545">
        <f>-'Foglio deposito bis'!$F$80*(C1759-sezione!$AN$34)*IF(ABS(M1759)&lt;'Sollecitazioni nel paramento'!$G$58,ABS(M1759)*'Sollecitazioni nel paramento'!$G$54,'Sollecitazioni nel paramento'!$G$53)</f>
        <v>0</v>
      </c>
      <c r="H1759" s="545">
        <f>-'Foglio deposito bis'!$F$81*(C1759-sezione!$AO$34)*IF(ABS(N1759)&lt;'Sollecitazioni nel paramento'!$G$58,ABS(N1759)*'Sollecitazioni nel paramento'!$G$54,'Sollecitazioni nel paramento'!$G$53)</f>
        <v>60462958.025167018</v>
      </c>
      <c r="I1759" s="472">
        <f>-'Foglio deposito bis'!$F$82*(C1759-sezione!$AP$34)*IF(ABS(O1759)&lt;'Sollecitazioni nel paramento'!$G$58,ABS(O1759)*'Sollecitazioni nel paramento'!$G$54,'Sollecitazioni nel paramento'!$G$53)</f>
        <v>557698595.44047177</v>
      </c>
      <c r="J1759" s="472">
        <f t="shared" si="123"/>
        <v>624626855.15500879</v>
      </c>
      <c r="K1759" s="550">
        <f>'Sollecitazioni nel paramento'!$G$60*(sezione!$AL$34-C1759)/C1759</f>
        <v>1.3579040318635119E-2</v>
      </c>
      <c r="L1759" s="550">
        <f>'Sollecitazioni nel paramento'!$G$60*(sezione!$AM$34-C1759)/C1759</f>
        <v>2.2118560477952676E-2</v>
      </c>
      <c r="M1759" s="551">
        <f>'Sollecitazioni nel paramento'!$G$60*(sezione!$AN$34-C1759)/C1759</f>
        <v>3.0658080637270234E-2</v>
      </c>
      <c r="N1759" s="551">
        <f>'Sollecitazioni nel paramento'!$G$60*(sezione!$AO$34-C1759)/C1759</f>
        <v>6.4816161274540471E-2</v>
      </c>
      <c r="O1759" s="551">
        <f>'Sollecitazioni nel paramento'!$G$60*(sezione!$AP$34-C1759)/C1759</f>
        <v>0.26680984857025347</v>
      </c>
      <c r="P1759" s="545">
        <f>-'Sollecitazioni nel paramento'!$G$47*'Sollecitazioni nel paramento'!$G$41*IF(DATI!$G$211="dx",DATI!$E$61,DATI!$E$64*DATI!$E$63)*1000*C1759*sezione!$AD$5</f>
        <v>-312288.03846668563</v>
      </c>
      <c r="Q1759" s="545">
        <f>'Foglio deposito bis'!$F$78*IF(ABS(K1759)&lt;'Sollecitazioni nel paramento'!$G$58,ABS(K1759)*'Sollecitazioni nel paramento'!$G$54,'Sollecitazioni nel paramento'!$G$53)*IF(K1759&lt;0,-1,1)</f>
        <v>0</v>
      </c>
      <c r="R1759" s="545">
        <f>'Foglio deposito bis'!$F$79*IF(ABS(L1759)&lt;'Sollecitazioni nel paramento'!$G$58,ABS(L1759)*'Sollecitazioni nel paramento'!$G$54,'Sollecitazioni nel paramento'!$G$53)*IF(L1759&lt;0,-1,1)</f>
        <v>153664.85805602249</v>
      </c>
      <c r="S1759" s="545">
        <f>'Foglio deposito bis'!$F$80*IF(ABS(M1759)&lt;'Sollecitazioni nel paramento'!$G$58,ABS(M1759)*'Sollecitazioni nel paramento'!$G$54,'Sollecitazioni nel paramento'!$G$53)*IF(M1759&lt;0,-1,1)</f>
        <v>0</v>
      </c>
      <c r="T1759" s="545">
        <f>'Foglio deposito bis'!$F$81*IF(ABS(N1759)&lt;'Sollecitazioni nel paramento'!$G$58,ABS(N1759)*'Sollecitazioni nel paramento'!$G$54,'Sollecitazioni nel paramento'!$G$53)*IF(N1759&lt;0,-1,1)</f>
        <v>398299.31208121032</v>
      </c>
      <c r="U1759" s="545">
        <f>'Foglio deposito bis'!$F$82*IF(ABS(O1759)&lt;'Sollecitazioni nel paramento'!$G$58,ABS(O1759)*'Sollecitazioni nel paramento'!$G$54,'Sollecitazioni nel paramento'!$G$53)*IF(O1759&lt;0,-1,1)</f>
        <v>892485.49558937876</v>
      </c>
      <c r="V1759" s="472">
        <f t="shared" si="125"/>
        <v>1132161.6272599259</v>
      </c>
      <c r="W1759" s="551"/>
      <c r="X1759" s="551"/>
    </row>
    <row r="1760" spans="1:24" x14ac:dyDescent="0.25">
      <c r="A1760" s="545">
        <f t="shared" si="124"/>
        <v>1114812.2917895545</v>
      </c>
      <c r="B1760" s="3">
        <f t="shared" si="126"/>
        <v>0.95000000000000029</v>
      </c>
      <c r="C1760" s="545">
        <f>'Foglio deposito bis'!$E$160/sezione!$B$247*B1760</f>
        <v>8.6525808839818659</v>
      </c>
      <c r="D1760" s="603">
        <f>-'Sollecitazioni nel paramento'!$G$47*'Sollecitazioni nel paramento'!$G$41*IF(DATI!$G$211="dx",DATI!$E$61,DATI!$E$64*DATI!$E$63)*1000*C1760^2*sezione!$AD$5*(1-sezione!$AD$6)</f>
        <v>-1665692.9995782773</v>
      </c>
      <c r="E1760" s="545">
        <f>-'Foglio deposito bis'!$F$78*(C1760-sezione!$AL$34)*IF(ABS(K1760)&lt;'Sollecitazioni nel paramento'!$G$58,ABS(K1760)*'Sollecitazioni nel paramento'!$G$54,'Sollecitazioni nel paramento'!$G$53)</f>
        <v>0</v>
      </c>
      <c r="F1760" s="545">
        <f>-'Foglio deposito bis'!$F$79*(C1760-sezione!$AM$34)*IF(ABS(L1760)&lt;'Sollecitazioni nel paramento'!$G$58,ABS(L1760)*'Sollecitazioni nel paramento'!$G$54,'Sollecitazioni nel paramento'!$G$53)</f>
        <v>7890293.870006022</v>
      </c>
      <c r="G1760" s="545">
        <f>-'Foglio deposito bis'!$F$80*(C1760-sezione!$AN$34)*IF(ABS(M1760)&lt;'Sollecitazioni nel paramento'!$G$58,ABS(M1760)*'Sollecitazioni nel paramento'!$G$54,'Sollecitazioni nel paramento'!$G$53)</f>
        <v>0</v>
      </c>
      <c r="H1760" s="545">
        <f>-'Foglio deposito bis'!$F$81*(C1760-sezione!$AO$34)*IF(ABS(N1760)&lt;'Sollecitazioni nel paramento'!$G$58,ABS(N1760)*'Sollecitazioni nel paramento'!$G$54,'Sollecitazioni nel paramento'!$G$53)</f>
        <v>60281572.919176638</v>
      </c>
      <c r="I1760" s="472">
        <f>-'Foglio deposito bis'!$F$82*(C1760-sezione!$AP$34)*IF(ABS(O1760)&lt;'Sollecitazioni nel paramento'!$G$58,ABS(O1760)*'Sollecitazioni nel paramento'!$G$54,'Sollecitazioni nel paramento'!$G$53)</f>
        <v>557292158.44371557</v>
      </c>
      <c r="J1760" s="472">
        <f t="shared" si="123"/>
        <v>623798332.23332</v>
      </c>
      <c r="K1760" s="550">
        <f>'Sollecitazioni nel paramento'!$G$60*(sezione!$AL$34-C1760)/C1760</f>
        <v>1.2680143459759586E-2</v>
      </c>
      <c r="L1760" s="550">
        <f>'Sollecitazioni nel paramento'!$G$60*(sezione!$AM$34-C1760)/C1760</f>
        <v>2.0770215189639375E-2</v>
      </c>
      <c r="M1760" s="551">
        <f>'Sollecitazioni nel paramento'!$G$60*(sezione!$AN$34-C1760)/C1760</f>
        <v>2.8860286919519168E-2</v>
      </c>
      <c r="N1760" s="551">
        <f>'Sollecitazioni nel paramento'!$G$60*(sezione!$AO$34-C1760)/C1760</f>
        <v>6.1220573839038346E-2</v>
      </c>
      <c r="O1760" s="551">
        <f>'Sollecitazioni nel paramento'!$G$60*(sezione!$AP$34-C1760)/C1760</f>
        <v>0.25258301443497705</v>
      </c>
      <c r="P1760" s="545">
        <f>-'Sollecitazioni nel paramento'!$G$47*'Sollecitazioni nel paramento'!$G$41*IF(DATI!$G$211="dx",DATI!$E$61,DATI!$E$64*DATI!$E$63)*1000*C1760*sezione!$AD$5</f>
        <v>-329637.3739370571</v>
      </c>
      <c r="Q1760" s="545">
        <f>'Foglio deposito bis'!$F$78*IF(ABS(K1760)&lt;'Sollecitazioni nel paramento'!$G$58,ABS(K1760)*'Sollecitazioni nel paramento'!$G$54,'Sollecitazioni nel paramento'!$G$53)*IF(K1760&lt;0,-1,1)</f>
        <v>0</v>
      </c>
      <c r="R1760" s="545">
        <f>'Foglio deposito bis'!$F$79*IF(ABS(L1760)&lt;'Sollecitazioni nel paramento'!$G$58,ABS(L1760)*'Sollecitazioni nel paramento'!$G$54,'Sollecitazioni nel paramento'!$G$53)*IF(L1760&lt;0,-1,1)</f>
        <v>153664.85805602249</v>
      </c>
      <c r="S1760" s="545">
        <f>'Foglio deposito bis'!$F$80*IF(ABS(M1760)&lt;'Sollecitazioni nel paramento'!$G$58,ABS(M1760)*'Sollecitazioni nel paramento'!$G$54,'Sollecitazioni nel paramento'!$G$53)*IF(M1760&lt;0,-1,1)</f>
        <v>0</v>
      </c>
      <c r="T1760" s="545">
        <f>'Foglio deposito bis'!$F$81*IF(ABS(N1760)&lt;'Sollecitazioni nel paramento'!$G$58,ABS(N1760)*'Sollecitazioni nel paramento'!$G$54,'Sollecitazioni nel paramento'!$G$53)*IF(N1760&lt;0,-1,1)</f>
        <v>398299.31208121032</v>
      </c>
      <c r="U1760" s="545">
        <f>'Foglio deposito bis'!$F$82*IF(ABS(O1760)&lt;'Sollecitazioni nel paramento'!$G$58,ABS(O1760)*'Sollecitazioni nel paramento'!$G$54,'Sollecitazioni nel paramento'!$G$53)*IF(O1760&lt;0,-1,1)</f>
        <v>892485.49558937876</v>
      </c>
      <c r="V1760" s="472">
        <f t="shared" si="125"/>
        <v>1114812.2917895545</v>
      </c>
      <c r="W1760" s="551"/>
      <c r="X1760" s="551"/>
    </row>
    <row r="1761" spans="1:24" x14ac:dyDescent="0.25">
      <c r="A1761" s="545">
        <f t="shared" si="124"/>
        <v>1097462.9563191831</v>
      </c>
      <c r="B1761" s="3">
        <f t="shared" si="126"/>
        <v>1.0000000000000002</v>
      </c>
      <c r="C1761" s="545">
        <f>'Foglio deposito bis'!$E$160/sezione!$B$247*B1761</f>
        <v>9.107979877875648</v>
      </c>
      <c r="D1761" s="603">
        <f>-'Sollecitazioni nel paramento'!$G$47*'Sollecitazioni nel paramento'!$G$41*IF(DATI!$G$211="dx",DATI!$E$61,DATI!$E$64*DATI!$E$63)*1000*C1761^2*sezione!$AD$5*(1-sezione!$AD$6)</f>
        <v>-1845643.212829116</v>
      </c>
      <c r="E1761" s="545">
        <f>-'Foglio deposito bis'!$F$78*(C1761-sezione!$AL$34)*IF(ABS(K1761)&lt;'Sollecitazioni nel paramento'!$G$58,ABS(K1761)*'Sollecitazioni nel paramento'!$G$54,'Sollecitazioni nel paramento'!$G$53)</f>
        <v>0</v>
      </c>
      <c r="F1761" s="545">
        <f>-'Foglio deposito bis'!$F$79*(C1761-sezione!$AM$34)*IF(ABS(L1761)&lt;'Sollecitazioni nel paramento'!$G$58,ABS(L1761)*'Sollecitazioni nel paramento'!$G$54,'Sollecitazioni nel paramento'!$G$53)</f>
        <v>7820315.0482504796</v>
      </c>
      <c r="G1761" s="545">
        <f>-'Foglio deposito bis'!$F$80*(C1761-sezione!$AN$34)*IF(ABS(M1761)&lt;'Sollecitazioni nel paramento'!$G$58,ABS(M1761)*'Sollecitazioni nel paramento'!$G$54,'Sollecitazioni nel paramento'!$G$53)</f>
        <v>0</v>
      </c>
      <c r="H1761" s="545">
        <f>-'Foglio deposito bis'!$F$81*(C1761-sezione!$AO$34)*IF(ABS(N1761)&lt;'Sollecitazioni nel paramento'!$G$58,ABS(N1761)*'Sollecitazioni nel paramento'!$G$54,'Sollecitazioni nel paramento'!$G$53)</f>
        <v>60100187.81318628</v>
      </c>
      <c r="I1761" s="472">
        <f>-'Foglio deposito bis'!$F$82*(C1761-sezione!$AP$34)*IF(ABS(O1761)&lt;'Sollecitazioni nel paramento'!$G$58,ABS(O1761)*'Sollecitazioni nel paramento'!$G$54,'Sollecitazioni nel paramento'!$G$53)</f>
        <v>556885721.44695938</v>
      </c>
      <c r="J1761" s="472">
        <f t="shared" si="123"/>
        <v>622960581.09556699</v>
      </c>
      <c r="K1761" s="550">
        <f>'Sollecitazioni nel paramento'!$G$60*(sezione!$AL$34-C1761)/C1761</f>
        <v>1.1871136286771606E-2</v>
      </c>
      <c r="L1761" s="550">
        <f>'Sollecitazioni nel paramento'!$G$60*(sezione!$AM$34-C1761)/C1761</f>
        <v>1.9556704430157407E-2</v>
      </c>
      <c r="M1761" s="551">
        <f>'Sollecitazioni nel paramento'!$G$60*(sezione!$AN$34-C1761)/C1761</f>
        <v>2.7242272573543214E-2</v>
      </c>
      <c r="N1761" s="551">
        <f>'Sollecitazioni nel paramento'!$G$60*(sezione!$AO$34-C1761)/C1761</f>
        <v>5.7984545147086439E-2</v>
      </c>
      <c r="O1761" s="551">
        <f>'Sollecitazioni nel paramento'!$G$60*(sezione!$AP$34-C1761)/C1761</f>
        <v>0.23977886371322818</v>
      </c>
      <c r="P1761" s="545">
        <f>-'Sollecitazioni nel paramento'!$G$47*'Sollecitazioni nel paramento'!$G$41*IF(DATI!$G$211="dx",DATI!$E$61,DATI!$E$64*DATI!$E$63)*1000*C1761*sezione!$AD$5</f>
        <v>-346986.70940742851</v>
      </c>
      <c r="Q1761" s="545">
        <f>'Foglio deposito bis'!$F$78*IF(ABS(K1761)&lt;'Sollecitazioni nel paramento'!$G$58,ABS(K1761)*'Sollecitazioni nel paramento'!$G$54,'Sollecitazioni nel paramento'!$G$53)*IF(K1761&lt;0,-1,1)</f>
        <v>0</v>
      </c>
      <c r="R1761" s="545">
        <f>'Foglio deposito bis'!$F$79*IF(ABS(L1761)&lt;'Sollecitazioni nel paramento'!$G$58,ABS(L1761)*'Sollecitazioni nel paramento'!$G$54,'Sollecitazioni nel paramento'!$G$53)*IF(L1761&lt;0,-1,1)</f>
        <v>153664.85805602249</v>
      </c>
      <c r="S1761" s="545">
        <f>'Foglio deposito bis'!$F$80*IF(ABS(M1761)&lt;'Sollecitazioni nel paramento'!$G$58,ABS(M1761)*'Sollecitazioni nel paramento'!$G$54,'Sollecitazioni nel paramento'!$G$53)*IF(M1761&lt;0,-1,1)</f>
        <v>0</v>
      </c>
      <c r="T1761" s="545">
        <f>'Foglio deposito bis'!$F$81*IF(ABS(N1761)&lt;'Sollecitazioni nel paramento'!$G$58,ABS(N1761)*'Sollecitazioni nel paramento'!$G$54,'Sollecitazioni nel paramento'!$G$53)*IF(N1761&lt;0,-1,1)</f>
        <v>398299.31208121032</v>
      </c>
      <c r="U1761" s="545">
        <f>'Foglio deposito bis'!$F$82*IF(ABS(O1761)&lt;'Sollecitazioni nel paramento'!$G$58,ABS(O1761)*'Sollecitazioni nel paramento'!$G$54,'Sollecitazioni nel paramento'!$G$53)*IF(O1761&lt;0,-1,1)</f>
        <v>892485.49558937876</v>
      </c>
      <c r="V1761" s="472">
        <f t="shared" si="125"/>
        <v>1097462.9563191831</v>
      </c>
      <c r="W1761" s="551"/>
      <c r="X1761" s="551"/>
    </row>
    <row r="1762" spans="1:24" x14ac:dyDescent="0.25">
      <c r="A1762" s="545">
        <f t="shared" si="124"/>
        <v>1080113.6208488117</v>
      </c>
      <c r="B1762" s="3">
        <f t="shared" si="126"/>
        <v>1.0500000000000003</v>
      </c>
      <c r="C1762" s="545">
        <f>'Foglio deposito bis'!$E$160/sezione!$B$247*B1762</f>
        <v>9.5633788717694301</v>
      </c>
      <c r="D1762" s="603">
        <f>-'Sollecitazioni nel paramento'!$G$47*'Sollecitazioni nel paramento'!$G$41*IF(DATI!$G$211="dx",DATI!$E$61,DATI!$E$64*DATI!$E$63)*1000*C1762^2*sezione!$AD$5*(1-sezione!$AD$6)</f>
        <v>-2034821.6421441005</v>
      </c>
      <c r="E1762" s="545">
        <f>-'Foglio deposito bis'!$F$78*(C1762-sezione!$AL$34)*IF(ABS(K1762)&lt;'Sollecitazioni nel paramento'!$G$58,ABS(K1762)*'Sollecitazioni nel paramento'!$G$54,'Sollecitazioni nel paramento'!$G$53)</f>
        <v>0</v>
      </c>
      <c r="F1762" s="545">
        <f>-'Foglio deposito bis'!$F$79*(C1762-sezione!$AM$34)*IF(ABS(L1762)&lt;'Sollecitazioni nel paramento'!$G$58,ABS(L1762)*'Sollecitazioni nel paramento'!$G$54,'Sollecitazioni nel paramento'!$G$53)</f>
        <v>7750336.2264949353</v>
      </c>
      <c r="G1762" s="545">
        <f>-'Foglio deposito bis'!$F$80*(C1762-sezione!$AN$34)*IF(ABS(M1762)&lt;'Sollecitazioni nel paramento'!$G$58,ABS(M1762)*'Sollecitazioni nel paramento'!$G$54,'Sollecitazioni nel paramento'!$G$53)</f>
        <v>0</v>
      </c>
      <c r="H1762" s="545">
        <f>-'Foglio deposito bis'!$F$81*(C1762-sezione!$AO$34)*IF(ABS(N1762)&lt;'Sollecitazioni nel paramento'!$G$58,ABS(N1762)*'Sollecitazioni nel paramento'!$G$54,'Sollecitazioni nel paramento'!$G$53)</f>
        <v>59918802.707195908</v>
      </c>
      <c r="I1762" s="472">
        <f>-'Foglio deposito bis'!$F$82*(C1762-sezione!$AP$34)*IF(ABS(O1762)&lt;'Sollecitazioni nel paramento'!$G$58,ABS(O1762)*'Sollecitazioni nel paramento'!$G$54,'Sollecitazioni nel paramento'!$G$53)</f>
        <v>556479284.45020318</v>
      </c>
      <c r="J1762" s="472">
        <f t="shared" si="123"/>
        <v>622113601.74174988</v>
      </c>
      <c r="K1762" s="550">
        <f>'Sollecitazioni nel paramento'!$G$60*(sezione!$AL$34-C1762)/C1762</f>
        <v>1.1139177415972959E-2</v>
      </c>
      <c r="L1762" s="550">
        <f>'Sollecitazioni nel paramento'!$G$60*(sezione!$AM$34-C1762)/C1762</f>
        <v>1.8458766123959438E-2</v>
      </c>
      <c r="M1762" s="551">
        <f>'Sollecitazioni nel paramento'!$G$60*(sezione!$AN$34-C1762)/C1762</f>
        <v>2.5778354831945918E-2</v>
      </c>
      <c r="N1762" s="551">
        <f>'Sollecitazioni nel paramento'!$G$60*(sezione!$AO$34-C1762)/C1762</f>
        <v>5.505670966389184E-2</v>
      </c>
      <c r="O1762" s="551">
        <f>'Sollecitazioni nel paramento'!$G$60*(sezione!$AP$34-C1762)/C1762</f>
        <v>0.22819415591736014</v>
      </c>
      <c r="P1762" s="545">
        <f>-'Sollecitazioni nel paramento'!$G$47*'Sollecitazioni nel paramento'!$G$41*IF(DATI!$G$211="dx",DATI!$E$61,DATI!$E$64*DATI!$E$63)*1000*C1762*sezione!$AD$5</f>
        <v>-364336.04487779987</v>
      </c>
      <c r="Q1762" s="545">
        <f>'Foglio deposito bis'!$F$78*IF(ABS(K1762)&lt;'Sollecitazioni nel paramento'!$G$58,ABS(K1762)*'Sollecitazioni nel paramento'!$G$54,'Sollecitazioni nel paramento'!$G$53)*IF(K1762&lt;0,-1,1)</f>
        <v>0</v>
      </c>
      <c r="R1762" s="545">
        <f>'Foglio deposito bis'!$F$79*IF(ABS(L1762)&lt;'Sollecitazioni nel paramento'!$G$58,ABS(L1762)*'Sollecitazioni nel paramento'!$G$54,'Sollecitazioni nel paramento'!$G$53)*IF(L1762&lt;0,-1,1)</f>
        <v>153664.85805602249</v>
      </c>
      <c r="S1762" s="545">
        <f>'Foglio deposito bis'!$F$80*IF(ABS(M1762)&lt;'Sollecitazioni nel paramento'!$G$58,ABS(M1762)*'Sollecitazioni nel paramento'!$G$54,'Sollecitazioni nel paramento'!$G$53)*IF(M1762&lt;0,-1,1)</f>
        <v>0</v>
      </c>
      <c r="T1762" s="545">
        <f>'Foglio deposito bis'!$F$81*IF(ABS(N1762)&lt;'Sollecitazioni nel paramento'!$G$58,ABS(N1762)*'Sollecitazioni nel paramento'!$G$54,'Sollecitazioni nel paramento'!$G$53)*IF(N1762&lt;0,-1,1)</f>
        <v>398299.31208121032</v>
      </c>
      <c r="U1762" s="545">
        <f>'Foglio deposito bis'!$F$82*IF(ABS(O1762)&lt;'Sollecitazioni nel paramento'!$G$58,ABS(O1762)*'Sollecitazioni nel paramento'!$G$54,'Sollecitazioni nel paramento'!$G$53)*IF(O1762&lt;0,-1,1)</f>
        <v>892485.49558937876</v>
      </c>
      <c r="V1762" s="472">
        <f t="shared" si="125"/>
        <v>1080113.6208488117</v>
      </c>
      <c r="W1762" s="551"/>
      <c r="X1762" s="551"/>
    </row>
    <row r="1763" spans="1:24" x14ac:dyDescent="0.25">
      <c r="A1763" s="545">
        <f t="shared" si="124"/>
        <v>1062764.2853784403</v>
      </c>
      <c r="B1763" s="3">
        <f t="shared" si="126"/>
        <v>1.1000000000000003</v>
      </c>
      <c r="C1763" s="545">
        <f>'Foglio deposito bis'!$E$160/sezione!$B$247*B1763</f>
        <v>10.018777865663214</v>
      </c>
      <c r="D1763" s="603">
        <f>-'Sollecitazioni nel paramento'!$G$47*'Sollecitazioni nel paramento'!$G$41*IF(DATI!$G$211="dx",DATI!$E$61,DATI!$E$64*DATI!$E$63)*1000*C1763^2*sezione!$AD$5*(1-sezione!$AD$6)</f>
        <v>-2233228.287523231</v>
      </c>
      <c r="E1763" s="545">
        <f>-'Foglio deposito bis'!$F$78*(C1763-sezione!$AL$34)*IF(ABS(K1763)&lt;'Sollecitazioni nel paramento'!$G$58,ABS(K1763)*'Sollecitazioni nel paramento'!$G$54,'Sollecitazioni nel paramento'!$G$53)</f>
        <v>0</v>
      </c>
      <c r="F1763" s="545">
        <f>-'Foglio deposito bis'!$F$79*(C1763-sezione!$AM$34)*IF(ABS(L1763)&lt;'Sollecitazioni nel paramento'!$G$58,ABS(L1763)*'Sollecitazioni nel paramento'!$G$54,'Sollecitazioni nel paramento'!$G$53)</f>
        <v>7680357.4047393929</v>
      </c>
      <c r="G1763" s="545">
        <f>-'Foglio deposito bis'!$F$80*(C1763-sezione!$AN$34)*IF(ABS(M1763)&lt;'Sollecitazioni nel paramento'!$G$58,ABS(M1763)*'Sollecitazioni nel paramento'!$G$54,'Sollecitazioni nel paramento'!$G$53)</f>
        <v>0</v>
      </c>
      <c r="H1763" s="545">
        <f>-'Foglio deposito bis'!$F$81*(C1763-sezione!$AO$34)*IF(ABS(N1763)&lt;'Sollecitazioni nel paramento'!$G$58,ABS(N1763)*'Sollecitazioni nel paramento'!$G$54,'Sollecitazioni nel paramento'!$G$53)</f>
        <v>59737417.601205528</v>
      </c>
      <c r="I1763" s="472">
        <f>-'Foglio deposito bis'!$F$82*(C1763-sezione!$AP$34)*IF(ABS(O1763)&lt;'Sollecitazioni nel paramento'!$G$58,ABS(O1763)*'Sollecitazioni nel paramento'!$G$54,'Sollecitazioni nel paramento'!$G$53)</f>
        <v>556072847.45344698</v>
      </c>
      <c r="J1763" s="472">
        <f t="shared" si="123"/>
        <v>621257394.17186868</v>
      </c>
      <c r="K1763" s="550">
        <f>'Sollecitazioni nel paramento'!$G$60*(sezione!$AL$34-C1763)/C1763</f>
        <v>1.0473760260701459E-2</v>
      </c>
      <c r="L1763" s="550">
        <f>'Sollecitazioni nel paramento'!$G$60*(sezione!$AM$34-C1763)/C1763</f>
        <v>1.746064039105219E-2</v>
      </c>
      <c r="M1763" s="551">
        <f>'Sollecitazioni nel paramento'!$G$60*(sezione!$AN$34-C1763)/C1763</f>
        <v>2.4447520521402918E-2</v>
      </c>
      <c r="N1763" s="551">
        <f>'Sollecitazioni nel paramento'!$G$60*(sezione!$AO$34-C1763)/C1763</f>
        <v>5.2395041042805832E-2</v>
      </c>
      <c r="O1763" s="551">
        <f>'Sollecitazioni nel paramento'!$G$60*(sezione!$AP$34-C1763)/C1763</f>
        <v>0.21766260337566196</v>
      </c>
      <c r="P1763" s="545">
        <f>-'Sollecitazioni nel paramento'!$G$47*'Sollecitazioni nel paramento'!$G$41*IF(DATI!$G$211="dx",DATI!$E$61,DATI!$E$64*DATI!$E$63)*1000*C1763*sezione!$AD$5</f>
        <v>-381685.3803481714</v>
      </c>
      <c r="Q1763" s="545">
        <f>'Foglio deposito bis'!$F$78*IF(ABS(K1763)&lt;'Sollecitazioni nel paramento'!$G$58,ABS(K1763)*'Sollecitazioni nel paramento'!$G$54,'Sollecitazioni nel paramento'!$G$53)*IF(K1763&lt;0,-1,1)</f>
        <v>0</v>
      </c>
      <c r="R1763" s="545">
        <f>'Foglio deposito bis'!$F$79*IF(ABS(L1763)&lt;'Sollecitazioni nel paramento'!$G$58,ABS(L1763)*'Sollecitazioni nel paramento'!$G$54,'Sollecitazioni nel paramento'!$G$53)*IF(L1763&lt;0,-1,1)</f>
        <v>153664.85805602249</v>
      </c>
      <c r="S1763" s="545">
        <f>'Foglio deposito bis'!$F$80*IF(ABS(M1763)&lt;'Sollecitazioni nel paramento'!$G$58,ABS(M1763)*'Sollecitazioni nel paramento'!$G$54,'Sollecitazioni nel paramento'!$G$53)*IF(M1763&lt;0,-1,1)</f>
        <v>0</v>
      </c>
      <c r="T1763" s="545">
        <f>'Foglio deposito bis'!$F$81*IF(ABS(N1763)&lt;'Sollecitazioni nel paramento'!$G$58,ABS(N1763)*'Sollecitazioni nel paramento'!$G$54,'Sollecitazioni nel paramento'!$G$53)*IF(N1763&lt;0,-1,1)</f>
        <v>398299.31208121032</v>
      </c>
      <c r="U1763" s="545">
        <f>'Foglio deposito bis'!$F$82*IF(ABS(O1763)&lt;'Sollecitazioni nel paramento'!$G$58,ABS(O1763)*'Sollecitazioni nel paramento'!$G$54,'Sollecitazioni nel paramento'!$G$53)*IF(O1763&lt;0,-1,1)</f>
        <v>892485.49558937876</v>
      </c>
      <c r="V1763" s="472">
        <f t="shared" si="125"/>
        <v>1062764.2853784403</v>
      </c>
      <c r="W1763" s="551"/>
      <c r="X1763" s="551"/>
    </row>
    <row r="1764" spans="1:24" x14ac:dyDescent="0.25">
      <c r="A1764" s="545">
        <f t="shared" si="124"/>
        <v>1045414.9499080688</v>
      </c>
      <c r="B1764" s="3">
        <f t="shared" si="126"/>
        <v>1.1500000000000004</v>
      </c>
      <c r="C1764" s="545">
        <f>'Foglio deposito bis'!$E$160/sezione!$B$247*B1764</f>
        <v>10.474176859556996</v>
      </c>
      <c r="D1764" s="603">
        <f>-'Sollecitazioni nel paramento'!$G$47*'Sollecitazioni nel paramento'!$G$41*IF(DATI!$G$211="dx",DATI!$E$61,DATI!$E$64*DATI!$E$63)*1000*C1764^2*sezione!$AD$5*(1-sezione!$AD$6)</f>
        <v>-2440863.1489665061</v>
      </c>
      <c r="E1764" s="545">
        <f>-'Foglio deposito bis'!$F$78*(C1764-sezione!$AL$34)*IF(ABS(K1764)&lt;'Sollecitazioni nel paramento'!$G$58,ABS(K1764)*'Sollecitazioni nel paramento'!$G$54,'Sollecitazioni nel paramento'!$G$53)</f>
        <v>0</v>
      </c>
      <c r="F1764" s="545">
        <f>-'Foglio deposito bis'!$F$79*(C1764-sezione!$AM$34)*IF(ABS(L1764)&lt;'Sollecitazioni nel paramento'!$G$58,ABS(L1764)*'Sollecitazioni nel paramento'!$G$54,'Sollecitazioni nel paramento'!$G$53)</f>
        <v>7610378.5829838486</v>
      </c>
      <c r="G1764" s="545">
        <f>-'Foglio deposito bis'!$F$80*(C1764-sezione!$AN$34)*IF(ABS(M1764)&lt;'Sollecitazioni nel paramento'!$G$58,ABS(M1764)*'Sollecitazioni nel paramento'!$G$54,'Sollecitazioni nel paramento'!$G$53)</f>
        <v>0</v>
      </c>
      <c r="H1764" s="545">
        <f>-'Foglio deposito bis'!$F$81*(C1764-sezione!$AO$34)*IF(ABS(N1764)&lt;'Sollecitazioni nel paramento'!$G$58,ABS(N1764)*'Sollecitazioni nel paramento'!$G$54,'Sollecitazioni nel paramento'!$G$53)</f>
        <v>59556032.49521517</v>
      </c>
      <c r="I1764" s="472">
        <f>-'Foglio deposito bis'!$F$82*(C1764-sezione!$AP$34)*IF(ABS(O1764)&lt;'Sollecitazioni nel paramento'!$G$58,ABS(O1764)*'Sollecitazioni nel paramento'!$G$54,'Sollecitazioni nel paramento'!$G$53)</f>
        <v>555666410.45669079</v>
      </c>
      <c r="J1764" s="472">
        <f t="shared" si="123"/>
        <v>620391958.38592327</v>
      </c>
      <c r="K1764" s="550">
        <f>'Sollecitazioni nel paramento'!$G$60*(sezione!$AL$34-C1764)/C1764</f>
        <v>9.8662054667579165E-3</v>
      </c>
      <c r="L1764" s="550">
        <f>'Sollecitazioni nel paramento'!$G$60*(sezione!$AM$34-C1764)/C1764</f>
        <v>1.6549308200136878E-2</v>
      </c>
      <c r="M1764" s="551">
        <f>'Sollecitazioni nel paramento'!$G$60*(sezione!$AN$34-C1764)/C1764</f>
        <v>2.3232410933515836E-2</v>
      </c>
      <c r="N1764" s="551">
        <f>'Sollecitazioni nel paramento'!$G$60*(sezione!$AO$34-C1764)/C1764</f>
        <v>4.9964821867031675E-2</v>
      </c>
      <c r="O1764" s="551">
        <f>'Sollecitazioni nel paramento'!$G$60*(sezione!$AP$34-C1764)/C1764</f>
        <v>0.20804683801150273</v>
      </c>
      <c r="P1764" s="545">
        <f>-'Sollecitazioni nel paramento'!$G$47*'Sollecitazioni nel paramento'!$G$41*IF(DATI!$G$211="dx",DATI!$E$61,DATI!$E$64*DATI!$E$63)*1000*C1764*sezione!$AD$5</f>
        <v>-399034.71581854281</v>
      </c>
      <c r="Q1764" s="545">
        <f>'Foglio deposito bis'!$F$78*IF(ABS(K1764)&lt;'Sollecitazioni nel paramento'!$G$58,ABS(K1764)*'Sollecitazioni nel paramento'!$G$54,'Sollecitazioni nel paramento'!$G$53)*IF(K1764&lt;0,-1,1)</f>
        <v>0</v>
      </c>
      <c r="R1764" s="545">
        <f>'Foglio deposito bis'!$F$79*IF(ABS(L1764)&lt;'Sollecitazioni nel paramento'!$G$58,ABS(L1764)*'Sollecitazioni nel paramento'!$G$54,'Sollecitazioni nel paramento'!$G$53)*IF(L1764&lt;0,-1,1)</f>
        <v>153664.85805602249</v>
      </c>
      <c r="S1764" s="545">
        <f>'Foglio deposito bis'!$F$80*IF(ABS(M1764)&lt;'Sollecitazioni nel paramento'!$G$58,ABS(M1764)*'Sollecitazioni nel paramento'!$G$54,'Sollecitazioni nel paramento'!$G$53)*IF(M1764&lt;0,-1,1)</f>
        <v>0</v>
      </c>
      <c r="T1764" s="545">
        <f>'Foglio deposito bis'!$F$81*IF(ABS(N1764)&lt;'Sollecitazioni nel paramento'!$G$58,ABS(N1764)*'Sollecitazioni nel paramento'!$G$54,'Sollecitazioni nel paramento'!$G$53)*IF(N1764&lt;0,-1,1)</f>
        <v>398299.31208121032</v>
      </c>
      <c r="U1764" s="545">
        <f>'Foglio deposito bis'!$F$82*IF(ABS(O1764)&lt;'Sollecitazioni nel paramento'!$G$58,ABS(O1764)*'Sollecitazioni nel paramento'!$G$54,'Sollecitazioni nel paramento'!$G$53)*IF(O1764&lt;0,-1,1)</f>
        <v>892485.49558937876</v>
      </c>
      <c r="V1764" s="472">
        <f t="shared" si="125"/>
        <v>1045414.9499080688</v>
      </c>
      <c r="W1764" s="551"/>
      <c r="X1764" s="551"/>
    </row>
    <row r="1765" spans="1:24" x14ac:dyDescent="0.25">
      <c r="A1765" s="545">
        <f t="shared" si="124"/>
        <v>1028065.6144376973</v>
      </c>
      <c r="B1765" s="3">
        <f t="shared" si="126"/>
        <v>1.2000000000000004</v>
      </c>
      <c r="C1765" s="545">
        <f>'Foglio deposito bis'!$E$160/sezione!$B$247*B1765</f>
        <v>10.929575853450778</v>
      </c>
      <c r="D1765" s="603">
        <f>-'Sollecitazioni nel paramento'!$G$47*'Sollecitazioni nel paramento'!$G$41*IF(DATI!$G$211="dx",DATI!$E$61,DATI!$E$64*DATI!$E$63)*1000*C1765^2*sezione!$AD$5*(1-sezione!$AD$6)</f>
        <v>-2657726.2264739275</v>
      </c>
      <c r="E1765" s="545">
        <f>-'Foglio deposito bis'!$F$78*(C1765-sezione!$AL$34)*IF(ABS(K1765)&lt;'Sollecitazioni nel paramento'!$G$58,ABS(K1765)*'Sollecitazioni nel paramento'!$G$54,'Sollecitazioni nel paramento'!$G$53)</f>
        <v>0</v>
      </c>
      <c r="F1765" s="545">
        <f>-'Foglio deposito bis'!$F$79*(C1765-sezione!$AM$34)*IF(ABS(L1765)&lt;'Sollecitazioni nel paramento'!$G$58,ABS(L1765)*'Sollecitazioni nel paramento'!$G$54,'Sollecitazioni nel paramento'!$G$53)</f>
        <v>7540399.7612283044</v>
      </c>
      <c r="G1765" s="545">
        <f>-'Foglio deposito bis'!$F$80*(C1765-sezione!$AN$34)*IF(ABS(M1765)&lt;'Sollecitazioni nel paramento'!$G$58,ABS(M1765)*'Sollecitazioni nel paramento'!$G$54,'Sollecitazioni nel paramento'!$G$53)</f>
        <v>0</v>
      </c>
      <c r="H1765" s="545">
        <f>-'Foglio deposito bis'!$F$81*(C1765-sezione!$AO$34)*IF(ABS(N1765)&lt;'Sollecitazioni nel paramento'!$G$58,ABS(N1765)*'Sollecitazioni nel paramento'!$G$54,'Sollecitazioni nel paramento'!$G$53)</f>
        <v>59374647.389224797</v>
      </c>
      <c r="I1765" s="472">
        <f>-'Foglio deposito bis'!$F$82*(C1765-sezione!$AP$34)*IF(ABS(O1765)&lt;'Sollecitazioni nel paramento'!$G$58,ABS(O1765)*'Sollecitazioni nel paramento'!$G$54,'Sollecitazioni nel paramento'!$G$53)</f>
        <v>555259973.45993459</v>
      </c>
      <c r="J1765" s="472">
        <f t="shared" si="123"/>
        <v>619517294.38391376</v>
      </c>
      <c r="K1765" s="550">
        <f>'Sollecitazioni nel paramento'!$G$60*(sezione!$AL$34-C1765)/C1765</f>
        <v>9.3092802389763384E-3</v>
      </c>
      <c r="L1765" s="550">
        <f>'Sollecitazioni nel paramento'!$G$60*(sezione!$AM$34-C1765)/C1765</f>
        <v>1.5713920358464507E-2</v>
      </c>
      <c r="M1765" s="551">
        <f>'Sollecitazioni nel paramento'!$G$60*(sezione!$AN$34-C1765)/C1765</f>
        <v>2.2118560477952673E-2</v>
      </c>
      <c r="N1765" s="551">
        <f>'Sollecitazioni nel paramento'!$G$60*(sezione!$AO$34-C1765)/C1765</f>
        <v>4.7737120955905349E-2</v>
      </c>
      <c r="O1765" s="551">
        <f>'Sollecitazioni nel paramento'!$G$60*(sezione!$AP$34-C1765)/C1765</f>
        <v>0.19923238642769014</v>
      </c>
      <c r="P1765" s="545">
        <f>-'Sollecitazioni nel paramento'!$G$47*'Sollecitazioni nel paramento'!$G$41*IF(DATI!$G$211="dx",DATI!$E$61,DATI!$E$64*DATI!$E$63)*1000*C1765*sezione!$AD$5</f>
        <v>-416384.05128891423</v>
      </c>
      <c r="Q1765" s="545">
        <f>'Foglio deposito bis'!$F$78*IF(ABS(K1765)&lt;'Sollecitazioni nel paramento'!$G$58,ABS(K1765)*'Sollecitazioni nel paramento'!$G$54,'Sollecitazioni nel paramento'!$G$53)*IF(K1765&lt;0,-1,1)</f>
        <v>0</v>
      </c>
      <c r="R1765" s="545">
        <f>'Foglio deposito bis'!$F$79*IF(ABS(L1765)&lt;'Sollecitazioni nel paramento'!$G$58,ABS(L1765)*'Sollecitazioni nel paramento'!$G$54,'Sollecitazioni nel paramento'!$G$53)*IF(L1765&lt;0,-1,1)</f>
        <v>153664.85805602249</v>
      </c>
      <c r="S1765" s="545">
        <f>'Foglio deposito bis'!$F$80*IF(ABS(M1765)&lt;'Sollecitazioni nel paramento'!$G$58,ABS(M1765)*'Sollecitazioni nel paramento'!$G$54,'Sollecitazioni nel paramento'!$G$53)*IF(M1765&lt;0,-1,1)</f>
        <v>0</v>
      </c>
      <c r="T1765" s="545">
        <f>'Foglio deposito bis'!$F$81*IF(ABS(N1765)&lt;'Sollecitazioni nel paramento'!$G$58,ABS(N1765)*'Sollecitazioni nel paramento'!$G$54,'Sollecitazioni nel paramento'!$G$53)*IF(N1765&lt;0,-1,1)</f>
        <v>398299.31208121032</v>
      </c>
      <c r="U1765" s="545">
        <f>'Foglio deposito bis'!$F$82*IF(ABS(O1765)&lt;'Sollecitazioni nel paramento'!$G$58,ABS(O1765)*'Sollecitazioni nel paramento'!$G$54,'Sollecitazioni nel paramento'!$G$53)*IF(O1765&lt;0,-1,1)</f>
        <v>892485.49558937876</v>
      </c>
      <c r="V1765" s="472">
        <f t="shared" si="125"/>
        <v>1028065.6144376973</v>
      </c>
      <c r="W1765" s="551"/>
      <c r="X1765" s="551"/>
    </row>
    <row r="1766" spans="1:24" x14ac:dyDescent="0.25">
      <c r="A1766" s="545">
        <f t="shared" si="124"/>
        <v>1010716.2789673258</v>
      </c>
      <c r="B1766" s="3">
        <f t="shared" si="126"/>
        <v>1.2500000000000004</v>
      </c>
      <c r="C1766" s="545">
        <f>'Foglio deposito bis'!$E$160/sezione!$B$247*B1766</f>
        <v>11.384974847344562</v>
      </c>
      <c r="D1766" s="603">
        <f>-'Sollecitazioni nel paramento'!$G$47*'Sollecitazioni nel paramento'!$G$41*IF(DATI!$G$211="dx",DATI!$E$61,DATI!$E$64*DATI!$E$63)*1000*C1766^2*sezione!$AD$5*(1-sezione!$AD$6)</f>
        <v>-2883817.5200454951</v>
      </c>
      <c r="E1766" s="545">
        <f>-'Foglio deposito bis'!$F$78*(C1766-sezione!$AL$34)*IF(ABS(K1766)&lt;'Sollecitazioni nel paramento'!$G$58,ABS(K1766)*'Sollecitazioni nel paramento'!$G$54,'Sollecitazioni nel paramento'!$G$53)</f>
        <v>0</v>
      </c>
      <c r="F1766" s="545">
        <f>-'Foglio deposito bis'!$F$79*(C1766-sezione!$AM$34)*IF(ABS(L1766)&lt;'Sollecitazioni nel paramento'!$G$58,ABS(L1766)*'Sollecitazioni nel paramento'!$G$54,'Sollecitazioni nel paramento'!$G$53)</f>
        <v>7470420.9394727601</v>
      </c>
      <c r="G1766" s="545">
        <f>-'Foglio deposito bis'!$F$80*(C1766-sezione!$AN$34)*IF(ABS(M1766)&lt;'Sollecitazioni nel paramento'!$G$58,ABS(M1766)*'Sollecitazioni nel paramento'!$G$54,'Sollecitazioni nel paramento'!$G$53)</f>
        <v>0</v>
      </c>
      <c r="H1766" s="545">
        <f>-'Foglio deposito bis'!$F$81*(C1766-sezione!$AO$34)*IF(ABS(N1766)&lt;'Sollecitazioni nel paramento'!$G$58,ABS(N1766)*'Sollecitazioni nel paramento'!$G$54,'Sollecitazioni nel paramento'!$G$53)</f>
        <v>59193262.28323444</v>
      </c>
      <c r="I1766" s="472">
        <f>-'Foglio deposito bis'!$F$82*(C1766-sezione!$AP$34)*IF(ABS(O1766)&lt;'Sollecitazioni nel paramento'!$G$58,ABS(O1766)*'Sollecitazioni nel paramento'!$G$54,'Sollecitazioni nel paramento'!$G$53)</f>
        <v>554853536.4631784</v>
      </c>
      <c r="J1766" s="472">
        <f t="shared" si="123"/>
        <v>618633402.16584015</v>
      </c>
      <c r="K1766" s="550">
        <f>'Sollecitazioni nel paramento'!$G$60*(sezione!$AL$34-C1766)/C1766</f>
        <v>8.7969090294172832E-3</v>
      </c>
      <c r="L1766" s="550">
        <f>'Sollecitazioni nel paramento'!$G$60*(sezione!$AM$34-C1766)/C1766</f>
        <v>1.4945363544125925E-2</v>
      </c>
      <c r="M1766" s="551">
        <f>'Sollecitazioni nel paramento'!$G$60*(sezione!$AN$34-C1766)/C1766</f>
        <v>2.1093818058834563E-2</v>
      </c>
      <c r="N1766" s="551">
        <f>'Sollecitazioni nel paramento'!$G$60*(sezione!$AO$34-C1766)/C1766</f>
        <v>4.5687636117669135E-2</v>
      </c>
      <c r="O1766" s="551">
        <f>'Sollecitazioni nel paramento'!$G$60*(sezione!$AP$34-C1766)/C1766</f>
        <v>0.1911230909705825</v>
      </c>
      <c r="P1766" s="545">
        <f>-'Sollecitazioni nel paramento'!$G$47*'Sollecitazioni nel paramento'!$G$41*IF(DATI!$G$211="dx",DATI!$E$61,DATI!$E$64*DATI!$E$63)*1000*C1766*sezione!$AD$5</f>
        <v>-433733.3867592857</v>
      </c>
      <c r="Q1766" s="545">
        <f>'Foglio deposito bis'!$F$78*IF(ABS(K1766)&lt;'Sollecitazioni nel paramento'!$G$58,ABS(K1766)*'Sollecitazioni nel paramento'!$G$54,'Sollecitazioni nel paramento'!$G$53)*IF(K1766&lt;0,-1,1)</f>
        <v>0</v>
      </c>
      <c r="R1766" s="545">
        <f>'Foglio deposito bis'!$F$79*IF(ABS(L1766)&lt;'Sollecitazioni nel paramento'!$G$58,ABS(L1766)*'Sollecitazioni nel paramento'!$G$54,'Sollecitazioni nel paramento'!$G$53)*IF(L1766&lt;0,-1,1)</f>
        <v>153664.85805602249</v>
      </c>
      <c r="S1766" s="545">
        <f>'Foglio deposito bis'!$F$80*IF(ABS(M1766)&lt;'Sollecitazioni nel paramento'!$G$58,ABS(M1766)*'Sollecitazioni nel paramento'!$G$54,'Sollecitazioni nel paramento'!$G$53)*IF(M1766&lt;0,-1,1)</f>
        <v>0</v>
      </c>
      <c r="T1766" s="545">
        <f>'Foglio deposito bis'!$F$81*IF(ABS(N1766)&lt;'Sollecitazioni nel paramento'!$G$58,ABS(N1766)*'Sollecitazioni nel paramento'!$G$54,'Sollecitazioni nel paramento'!$G$53)*IF(N1766&lt;0,-1,1)</f>
        <v>398299.31208121032</v>
      </c>
      <c r="U1766" s="545">
        <f>'Foglio deposito bis'!$F$82*IF(ABS(O1766)&lt;'Sollecitazioni nel paramento'!$G$58,ABS(O1766)*'Sollecitazioni nel paramento'!$G$54,'Sollecitazioni nel paramento'!$G$53)*IF(O1766&lt;0,-1,1)</f>
        <v>892485.49558937876</v>
      </c>
      <c r="V1766" s="472">
        <f t="shared" si="125"/>
        <v>1010716.2789673258</v>
      </c>
      <c r="W1766" s="551"/>
      <c r="X1766" s="551"/>
    </row>
    <row r="1767" spans="1:24" x14ac:dyDescent="0.25">
      <c r="A1767" s="545">
        <f t="shared" si="124"/>
        <v>993366.94349695439</v>
      </c>
      <c r="B1767" s="3">
        <f t="shared" si="126"/>
        <v>1.3000000000000005</v>
      </c>
      <c r="C1767" s="545">
        <f>'Foglio deposito bis'!$E$160/sezione!$B$247*B1767</f>
        <v>11.840373841238344</v>
      </c>
      <c r="D1767" s="603">
        <f>-'Sollecitazioni nel paramento'!$G$47*'Sollecitazioni nel paramento'!$G$41*IF(DATI!$G$211="dx",DATI!$E$61,DATI!$E$64*DATI!$E$63)*1000*C1767^2*sezione!$AD$5*(1-sezione!$AD$6)</f>
        <v>-3119137.0296812067</v>
      </c>
      <c r="E1767" s="545">
        <f>-'Foglio deposito bis'!$F$78*(C1767-sezione!$AL$34)*IF(ABS(K1767)&lt;'Sollecitazioni nel paramento'!$G$58,ABS(K1767)*'Sollecitazioni nel paramento'!$G$54,'Sollecitazioni nel paramento'!$G$53)</f>
        <v>0</v>
      </c>
      <c r="F1767" s="545">
        <f>-'Foglio deposito bis'!$F$79*(C1767-sezione!$AM$34)*IF(ABS(L1767)&lt;'Sollecitazioni nel paramento'!$G$58,ABS(L1767)*'Sollecitazioni nel paramento'!$G$54,'Sollecitazioni nel paramento'!$G$53)</f>
        <v>7400442.1177172177</v>
      </c>
      <c r="G1767" s="545">
        <f>-'Foglio deposito bis'!$F$80*(C1767-sezione!$AN$34)*IF(ABS(M1767)&lt;'Sollecitazioni nel paramento'!$G$58,ABS(M1767)*'Sollecitazioni nel paramento'!$G$54,'Sollecitazioni nel paramento'!$G$53)</f>
        <v>0</v>
      </c>
      <c r="H1767" s="545">
        <f>-'Foglio deposito bis'!$F$81*(C1767-sezione!$AO$34)*IF(ABS(N1767)&lt;'Sollecitazioni nel paramento'!$G$58,ABS(N1767)*'Sollecitazioni nel paramento'!$G$54,'Sollecitazioni nel paramento'!$G$53)</f>
        <v>59011877.177244052</v>
      </c>
      <c r="I1767" s="472">
        <f>-'Foglio deposito bis'!$F$82*(C1767-sezione!$AP$34)*IF(ABS(O1767)&lt;'Sollecitazioni nel paramento'!$G$58,ABS(O1767)*'Sollecitazioni nel paramento'!$G$54,'Sollecitazioni nel paramento'!$G$53)</f>
        <v>554447099.4664222</v>
      </c>
      <c r="J1767" s="472">
        <f t="shared" si="123"/>
        <v>617740281.73170221</v>
      </c>
      <c r="K1767" s="550">
        <f>'Sollecitazioni nel paramento'!$G$60*(sezione!$AL$34-C1767)/C1767</f>
        <v>8.3239509898243112E-3</v>
      </c>
      <c r="L1767" s="550">
        <f>'Sollecitazioni nel paramento'!$G$60*(sezione!$AM$34-C1767)/C1767</f>
        <v>1.4235926484736467E-2</v>
      </c>
      <c r="M1767" s="551">
        <f>'Sollecitazioni nel paramento'!$G$60*(sezione!$AN$34-C1767)/C1767</f>
        <v>2.0147901979648622E-2</v>
      </c>
      <c r="N1767" s="551">
        <f>'Sollecitazioni nel paramento'!$G$60*(sezione!$AO$34-C1767)/C1767</f>
        <v>4.3795803959297247E-2</v>
      </c>
      <c r="O1767" s="551">
        <f>'Sollecitazioni nel paramento'!$G$60*(sezione!$AP$34-C1767)/C1767</f>
        <v>0.18363758747171394</v>
      </c>
      <c r="P1767" s="545">
        <f>-'Sollecitazioni nel paramento'!$G$47*'Sollecitazioni nel paramento'!$G$41*IF(DATI!$G$211="dx",DATI!$E$61,DATI!$E$64*DATI!$E$63)*1000*C1767*sezione!$AD$5</f>
        <v>-451082.72222965711</v>
      </c>
      <c r="Q1767" s="545">
        <f>'Foglio deposito bis'!$F$78*IF(ABS(K1767)&lt;'Sollecitazioni nel paramento'!$G$58,ABS(K1767)*'Sollecitazioni nel paramento'!$G$54,'Sollecitazioni nel paramento'!$G$53)*IF(K1767&lt;0,-1,1)</f>
        <v>0</v>
      </c>
      <c r="R1767" s="545">
        <f>'Foglio deposito bis'!$F$79*IF(ABS(L1767)&lt;'Sollecitazioni nel paramento'!$G$58,ABS(L1767)*'Sollecitazioni nel paramento'!$G$54,'Sollecitazioni nel paramento'!$G$53)*IF(L1767&lt;0,-1,1)</f>
        <v>153664.85805602249</v>
      </c>
      <c r="S1767" s="545">
        <f>'Foglio deposito bis'!$F$80*IF(ABS(M1767)&lt;'Sollecitazioni nel paramento'!$G$58,ABS(M1767)*'Sollecitazioni nel paramento'!$G$54,'Sollecitazioni nel paramento'!$G$53)*IF(M1767&lt;0,-1,1)</f>
        <v>0</v>
      </c>
      <c r="T1767" s="545">
        <f>'Foglio deposito bis'!$F$81*IF(ABS(N1767)&lt;'Sollecitazioni nel paramento'!$G$58,ABS(N1767)*'Sollecitazioni nel paramento'!$G$54,'Sollecitazioni nel paramento'!$G$53)*IF(N1767&lt;0,-1,1)</f>
        <v>398299.31208121032</v>
      </c>
      <c r="U1767" s="545">
        <f>'Foglio deposito bis'!$F$82*IF(ABS(O1767)&lt;'Sollecitazioni nel paramento'!$G$58,ABS(O1767)*'Sollecitazioni nel paramento'!$G$54,'Sollecitazioni nel paramento'!$G$53)*IF(O1767&lt;0,-1,1)</f>
        <v>892485.49558937876</v>
      </c>
      <c r="V1767" s="472">
        <f t="shared" si="125"/>
        <v>993366.94349695439</v>
      </c>
      <c r="W1767" s="551"/>
      <c r="X1767" s="551"/>
    </row>
    <row r="1768" spans="1:24" x14ac:dyDescent="0.25">
      <c r="A1768" s="545">
        <f t="shared" si="124"/>
        <v>976017.60802658298</v>
      </c>
      <c r="B1768" s="3">
        <f t="shared" si="126"/>
        <v>1.3500000000000005</v>
      </c>
      <c r="C1768" s="545">
        <f>'Foglio deposito bis'!$E$160/sezione!$B$247*B1768</f>
        <v>12.295772835132126</v>
      </c>
      <c r="D1768" s="603">
        <f>-'Sollecitazioni nel paramento'!$G$47*'Sollecitazioni nel paramento'!$G$41*IF(DATI!$G$211="dx",DATI!$E$61,DATI!$E$64*DATI!$E$63)*1000*C1768^2*sezione!$AD$5*(1-sezione!$AD$6)</f>
        <v>-3363684.755381065</v>
      </c>
      <c r="E1768" s="545">
        <f>-'Foglio deposito bis'!$F$78*(C1768-sezione!$AL$34)*IF(ABS(K1768)&lt;'Sollecitazioni nel paramento'!$G$58,ABS(K1768)*'Sollecitazioni nel paramento'!$G$54,'Sollecitazioni nel paramento'!$G$53)</f>
        <v>0</v>
      </c>
      <c r="F1768" s="545">
        <f>-'Foglio deposito bis'!$F$79*(C1768-sezione!$AM$34)*IF(ABS(L1768)&lt;'Sollecitazioni nel paramento'!$G$58,ABS(L1768)*'Sollecitazioni nel paramento'!$G$54,'Sollecitazioni nel paramento'!$G$53)</f>
        <v>7330463.2959616734</v>
      </c>
      <c r="G1768" s="545">
        <f>-'Foglio deposito bis'!$F$80*(C1768-sezione!$AN$34)*IF(ABS(M1768)&lt;'Sollecitazioni nel paramento'!$G$58,ABS(M1768)*'Sollecitazioni nel paramento'!$G$54,'Sollecitazioni nel paramento'!$G$53)</f>
        <v>0</v>
      </c>
      <c r="H1768" s="545">
        <f>-'Foglio deposito bis'!$F$81*(C1768-sezione!$AO$34)*IF(ABS(N1768)&lt;'Sollecitazioni nel paramento'!$G$58,ABS(N1768)*'Sollecitazioni nel paramento'!$G$54,'Sollecitazioni nel paramento'!$G$53)</f>
        <v>58830492.071253687</v>
      </c>
      <c r="I1768" s="472">
        <f>-'Foglio deposito bis'!$F$82*(C1768-sezione!$AP$34)*IF(ABS(O1768)&lt;'Sollecitazioni nel paramento'!$G$58,ABS(O1768)*'Sollecitazioni nel paramento'!$G$54,'Sollecitazioni nel paramento'!$G$53)</f>
        <v>554040662.469666</v>
      </c>
      <c r="J1768" s="472">
        <f t="shared" si="123"/>
        <v>616837933.08150029</v>
      </c>
      <c r="K1768" s="550">
        <f>'Sollecitazioni nel paramento'!$G$60*(sezione!$AL$34-C1768)/C1768</f>
        <v>7.8860268790900776E-3</v>
      </c>
      <c r="L1768" s="550">
        <f>'Sollecitazioni nel paramento'!$G$60*(sezione!$AM$34-C1768)/C1768</f>
        <v>1.3579040318635117E-2</v>
      </c>
      <c r="M1768" s="551">
        <f>'Sollecitazioni nel paramento'!$G$60*(sezione!$AN$34-C1768)/C1768</f>
        <v>1.9272053758180155E-2</v>
      </c>
      <c r="N1768" s="551">
        <f>'Sollecitazioni nel paramento'!$G$60*(sezione!$AO$34-C1768)/C1768</f>
        <v>4.2044107516360306E-2</v>
      </c>
      <c r="O1768" s="551">
        <f>'Sollecitazioni nel paramento'!$G$60*(sezione!$AP$34-C1768)/C1768</f>
        <v>0.17670656571350235</v>
      </c>
      <c r="P1768" s="545">
        <f>-'Sollecitazioni nel paramento'!$G$47*'Sollecitazioni nel paramento'!$G$41*IF(DATI!$G$211="dx",DATI!$E$61,DATI!$E$64*DATI!$E$63)*1000*C1768*sezione!$AD$5</f>
        <v>-468432.05770002853</v>
      </c>
      <c r="Q1768" s="545">
        <f>'Foglio deposito bis'!$F$78*IF(ABS(K1768)&lt;'Sollecitazioni nel paramento'!$G$58,ABS(K1768)*'Sollecitazioni nel paramento'!$G$54,'Sollecitazioni nel paramento'!$G$53)*IF(K1768&lt;0,-1,1)</f>
        <v>0</v>
      </c>
      <c r="R1768" s="545">
        <f>'Foglio deposito bis'!$F$79*IF(ABS(L1768)&lt;'Sollecitazioni nel paramento'!$G$58,ABS(L1768)*'Sollecitazioni nel paramento'!$G$54,'Sollecitazioni nel paramento'!$G$53)*IF(L1768&lt;0,-1,1)</f>
        <v>153664.85805602249</v>
      </c>
      <c r="S1768" s="545">
        <f>'Foglio deposito bis'!$F$80*IF(ABS(M1768)&lt;'Sollecitazioni nel paramento'!$G$58,ABS(M1768)*'Sollecitazioni nel paramento'!$G$54,'Sollecitazioni nel paramento'!$G$53)*IF(M1768&lt;0,-1,1)</f>
        <v>0</v>
      </c>
      <c r="T1768" s="545">
        <f>'Foglio deposito bis'!$F$81*IF(ABS(N1768)&lt;'Sollecitazioni nel paramento'!$G$58,ABS(N1768)*'Sollecitazioni nel paramento'!$G$54,'Sollecitazioni nel paramento'!$G$53)*IF(N1768&lt;0,-1,1)</f>
        <v>398299.31208121032</v>
      </c>
      <c r="U1768" s="545">
        <f>'Foglio deposito bis'!$F$82*IF(ABS(O1768)&lt;'Sollecitazioni nel paramento'!$G$58,ABS(O1768)*'Sollecitazioni nel paramento'!$G$54,'Sollecitazioni nel paramento'!$G$53)*IF(O1768&lt;0,-1,1)</f>
        <v>892485.49558937876</v>
      </c>
      <c r="V1768" s="472">
        <f t="shared" si="125"/>
        <v>976017.60802658298</v>
      </c>
      <c r="W1768" s="551"/>
      <c r="X1768" s="551"/>
    </row>
    <row r="1769" spans="1:24" x14ac:dyDescent="0.25">
      <c r="A1769" s="545">
        <f t="shared" si="124"/>
        <v>958668.27255621157</v>
      </c>
      <c r="B1769" s="3">
        <f t="shared" si="126"/>
        <v>1.4000000000000006</v>
      </c>
      <c r="C1769" s="545">
        <f>'Foglio deposito bis'!$E$160/sezione!$B$247*B1769</f>
        <v>12.75117182902591</v>
      </c>
      <c r="D1769" s="603">
        <f>-'Sollecitazioni nel paramento'!$G$47*'Sollecitazioni nel paramento'!$G$41*IF(DATI!$G$211="dx",DATI!$E$61,DATI!$E$64*DATI!$E$63)*1000*C1769^2*sezione!$AD$5*(1-sezione!$AD$6)</f>
        <v>-3617460.6971450695</v>
      </c>
      <c r="E1769" s="545">
        <f>-'Foglio deposito bis'!$F$78*(C1769-sezione!$AL$34)*IF(ABS(K1769)&lt;'Sollecitazioni nel paramento'!$G$58,ABS(K1769)*'Sollecitazioni nel paramento'!$G$54,'Sollecitazioni nel paramento'!$G$53)</f>
        <v>0</v>
      </c>
      <c r="F1769" s="545">
        <f>-'Foglio deposito bis'!$F$79*(C1769-sezione!$AM$34)*IF(ABS(L1769)&lt;'Sollecitazioni nel paramento'!$G$58,ABS(L1769)*'Sollecitazioni nel paramento'!$G$54,'Sollecitazioni nel paramento'!$G$53)</f>
        <v>7260484.474206131</v>
      </c>
      <c r="G1769" s="545">
        <f>-'Foglio deposito bis'!$F$80*(C1769-sezione!$AN$34)*IF(ABS(M1769)&lt;'Sollecitazioni nel paramento'!$G$58,ABS(M1769)*'Sollecitazioni nel paramento'!$G$54,'Sollecitazioni nel paramento'!$G$53)</f>
        <v>0</v>
      </c>
      <c r="H1769" s="545">
        <f>-'Foglio deposito bis'!$F$81*(C1769-sezione!$AO$34)*IF(ABS(N1769)&lt;'Sollecitazioni nel paramento'!$G$58,ABS(N1769)*'Sollecitazioni nel paramento'!$G$54,'Sollecitazioni nel paramento'!$G$53)</f>
        <v>58649106.965263322</v>
      </c>
      <c r="I1769" s="472">
        <f>-'Foglio deposito bis'!$F$82*(C1769-sezione!$AP$34)*IF(ABS(O1769)&lt;'Sollecitazioni nel paramento'!$G$58,ABS(O1769)*'Sollecitazioni nel paramento'!$G$54,'Sollecitazioni nel paramento'!$G$53)</f>
        <v>553634225.47290981</v>
      </c>
      <c r="J1769" s="472">
        <f t="shared" si="123"/>
        <v>615926356.21523416</v>
      </c>
      <c r="K1769" s="550">
        <f>'Sollecitazioni nel paramento'!$G$60*(sezione!$AL$34-C1769)/C1769</f>
        <v>7.4793830619797165E-3</v>
      </c>
      <c r="L1769" s="550">
        <f>'Sollecitazioni nel paramento'!$G$60*(sezione!$AM$34-C1769)/C1769</f>
        <v>1.2969074592969577E-2</v>
      </c>
      <c r="M1769" s="551">
        <f>'Sollecitazioni nel paramento'!$G$60*(sezione!$AN$34-C1769)/C1769</f>
        <v>1.8458766123959434E-2</v>
      </c>
      <c r="N1769" s="551">
        <f>'Sollecitazioni nel paramento'!$G$60*(sezione!$AO$34-C1769)/C1769</f>
        <v>4.0417532247918865E-2</v>
      </c>
      <c r="O1769" s="551">
        <f>'Sollecitazioni nel paramento'!$G$60*(sezione!$AP$34-C1769)/C1769</f>
        <v>0.17027061693802009</v>
      </c>
      <c r="P1769" s="545">
        <f>-'Sollecitazioni nel paramento'!$G$47*'Sollecitazioni nel paramento'!$G$41*IF(DATI!$G$211="dx",DATI!$E$61,DATI!$E$64*DATI!$E$63)*1000*C1769*sezione!$AD$5</f>
        <v>-485781.3931704</v>
      </c>
      <c r="Q1769" s="545">
        <f>'Foglio deposito bis'!$F$78*IF(ABS(K1769)&lt;'Sollecitazioni nel paramento'!$G$58,ABS(K1769)*'Sollecitazioni nel paramento'!$G$54,'Sollecitazioni nel paramento'!$G$53)*IF(K1769&lt;0,-1,1)</f>
        <v>0</v>
      </c>
      <c r="R1769" s="545">
        <f>'Foglio deposito bis'!$F$79*IF(ABS(L1769)&lt;'Sollecitazioni nel paramento'!$G$58,ABS(L1769)*'Sollecitazioni nel paramento'!$G$54,'Sollecitazioni nel paramento'!$G$53)*IF(L1769&lt;0,-1,1)</f>
        <v>153664.85805602249</v>
      </c>
      <c r="S1769" s="545">
        <f>'Foglio deposito bis'!$F$80*IF(ABS(M1769)&lt;'Sollecitazioni nel paramento'!$G$58,ABS(M1769)*'Sollecitazioni nel paramento'!$G$54,'Sollecitazioni nel paramento'!$G$53)*IF(M1769&lt;0,-1,1)</f>
        <v>0</v>
      </c>
      <c r="T1769" s="545">
        <f>'Foglio deposito bis'!$F$81*IF(ABS(N1769)&lt;'Sollecitazioni nel paramento'!$G$58,ABS(N1769)*'Sollecitazioni nel paramento'!$G$54,'Sollecitazioni nel paramento'!$G$53)*IF(N1769&lt;0,-1,1)</f>
        <v>398299.31208121032</v>
      </c>
      <c r="U1769" s="545">
        <f>'Foglio deposito bis'!$F$82*IF(ABS(O1769)&lt;'Sollecitazioni nel paramento'!$G$58,ABS(O1769)*'Sollecitazioni nel paramento'!$G$54,'Sollecitazioni nel paramento'!$G$53)*IF(O1769&lt;0,-1,1)</f>
        <v>892485.49558937876</v>
      </c>
      <c r="V1769" s="472">
        <f t="shared" si="125"/>
        <v>958668.27255621157</v>
      </c>
      <c r="W1769" s="551"/>
      <c r="X1769" s="551"/>
    </row>
    <row r="1770" spans="1:24" x14ac:dyDescent="0.25">
      <c r="A1770" s="545">
        <f t="shared" si="124"/>
        <v>941318.93708584015</v>
      </c>
      <c r="B1770" s="3">
        <f t="shared" si="126"/>
        <v>1.4500000000000006</v>
      </c>
      <c r="C1770" s="545">
        <f>'Foglio deposito bis'!$E$160/sezione!$B$247*B1770</f>
        <v>13.206570822919693</v>
      </c>
      <c r="D1770" s="603">
        <f>-'Sollecitazioni nel paramento'!$G$47*'Sollecitazioni nel paramento'!$G$41*IF(DATI!$G$211="dx",DATI!$E$61,DATI!$E$64*DATI!$E$63)*1000*C1770^2*sezione!$AD$5*(1-sezione!$AD$6)</f>
        <v>-3880464.8549732189</v>
      </c>
      <c r="E1770" s="545">
        <f>-'Foglio deposito bis'!$F$78*(C1770-sezione!$AL$34)*IF(ABS(K1770)&lt;'Sollecitazioni nel paramento'!$G$58,ABS(K1770)*'Sollecitazioni nel paramento'!$G$54,'Sollecitazioni nel paramento'!$G$53)</f>
        <v>0</v>
      </c>
      <c r="F1770" s="545">
        <f>-'Foglio deposito bis'!$F$79*(C1770-sezione!$AM$34)*IF(ABS(L1770)&lt;'Sollecitazioni nel paramento'!$G$58,ABS(L1770)*'Sollecitazioni nel paramento'!$G$54,'Sollecitazioni nel paramento'!$G$53)</f>
        <v>7190505.6524505867</v>
      </c>
      <c r="G1770" s="545">
        <f>-'Foglio deposito bis'!$F$80*(C1770-sezione!$AN$34)*IF(ABS(M1770)&lt;'Sollecitazioni nel paramento'!$G$58,ABS(M1770)*'Sollecitazioni nel paramento'!$G$54,'Sollecitazioni nel paramento'!$G$53)</f>
        <v>0</v>
      </c>
      <c r="H1770" s="545">
        <f>-'Foglio deposito bis'!$F$81*(C1770-sezione!$AO$34)*IF(ABS(N1770)&lt;'Sollecitazioni nel paramento'!$G$58,ABS(N1770)*'Sollecitazioni nel paramento'!$G$54,'Sollecitazioni nel paramento'!$G$53)</f>
        <v>58467721.859272957</v>
      </c>
      <c r="I1770" s="472">
        <f>-'Foglio deposito bis'!$F$82*(C1770-sezione!$AP$34)*IF(ABS(O1770)&lt;'Sollecitazioni nel paramento'!$G$58,ABS(O1770)*'Sollecitazioni nel paramento'!$G$54,'Sollecitazioni nel paramento'!$G$53)</f>
        <v>553227788.47615349</v>
      </c>
      <c r="J1770" s="472">
        <f t="shared" si="123"/>
        <v>615005551.13290381</v>
      </c>
      <c r="K1770" s="550">
        <f>'Sollecitazioni nel paramento'!$G$60*(sezione!$AL$34-C1770)/C1770</f>
        <v>7.1007836460493809E-3</v>
      </c>
      <c r="L1770" s="550">
        <f>'Sollecitazioni nel paramento'!$G$60*(sezione!$AM$34-C1770)/C1770</f>
        <v>1.2401175469074073E-2</v>
      </c>
      <c r="M1770" s="551">
        <f>'Sollecitazioni nel paramento'!$G$60*(sezione!$AN$34-C1770)/C1770</f>
        <v>1.7701567292098767E-2</v>
      </c>
      <c r="N1770" s="551">
        <f>'Sollecitazioni nel paramento'!$G$60*(sezione!$AO$34-C1770)/C1770</f>
        <v>3.8903134584197523E-2</v>
      </c>
      <c r="O1770" s="551">
        <f>'Sollecitazioni nel paramento'!$G$60*(sezione!$AP$34-C1770)/C1770</f>
        <v>0.16427852669877802</v>
      </c>
      <c r="P1770" s="545">
        <f>-'Sollecitazioni nel paramento'!$G$47*'Sollecitazioni nel paramento'!$G$41*IF(DATI!$G$211="dx",DATI!$E$61,DATI!$E$64*DATI!$E$63)*1000*C1770*sezione!$AD$5</f>
        <v>-503130.72864077141</v>
      </c>
      <c r="Q1770" s="545">
        <f>'Foglio deposito bis'!$F$78*IF(ABS(K1770)&lt;'Sollecitazioni nel paramento'!$G$58,ABS(K1770)*'Sollecitazioni nel paramento'!$G$54,'Sollecitazioni nel paramento'!$G$53)*IF(K1770&lt;0,-1,1)</f>
        <v>0</v>
      </c>
      <c r="R1770" s="545">
        <f>'Foglio deposito bis'!$F$79*IF(ABS(L1770)&lt;'Sollecitazioni nel paramento'!$G$58,ABS(L1770)*'Sollecitazioni nel paramento'!$G$54,'Sollecitazioni nel paramento'!$G$53)*IF(L1770&lt;0,-1,1)</f>
        <v>153664.85805602249</v>
      </c>
      <c r="S1770" s="545">
        <f>'Foglio deposito bis'!$F$80*IF(ABS(M1770)&lt;'Sollecitazioni nel paramento'!$G$58,ABS(M1770)*'Sollecitazioni nel paramento'!$G$54,'Sollecitazioni nel paramento'!$G$53)*IF(M1770&lt;0,-1,1)</f>
        <v>0</v>
      </c>
      <c r="T1770" s="545">
        <f>'Foglio deposito bis'!$F$81*IF(ABS(N1770)&lt;'Sollecitazioni nel paramento'!$G$58,ABS(N1770)*'Sollecitazioni nel paramento'!$G$54,'Sollecitazioni nel paramento'!$G$53)*IF(N1770&lt;0,-1,1)</f>
        <v>398299.31208121032</v>
      </c>
      <c r="U1770" s="545">
        <f>'Foglio deposito bis'!$F$82*IF(ABS(O1770)&lt;'Sollecitazioni nel paramento'!$G$58,ABS(O1770)*'Sollecitazioni nel paramento'!$G$54,'Sollecitazioni nel paramento'!$G$53)*IF(O1770&lt;0,-1,1)</f>
        <v>892485.49558937876</v>
      </c>
      <c r="V1770" s="472">
        <f t="shared" si="125"/>
        <v>941318.93708584015</v>
      </c>
      <c r="W1770" s="551"/>
      <c r="X1770" s="551"/>
    </row>
    <row r="1771" spans="1:24" x14ac:dyDescent="0.25">
      <c r="A1771" s="545">
        <f t="shared" si="124"/>
        <v>923969.60161546874</v>
      </c>
      <c r="B1771" s="3">
        <f t="shared" si="126"/>
        <v>1.5000000000000007</v>
      </c>
      <c r="C1771" s="545">
        <f>'Foglio deposito bis'!$E$160/sezione!$B$247*B1771</f>
        <v>13.661969816813475</v>
      </c>
      <c r="D1771" s="603">
        <f>-'Sollecitazioni nel paramento'!$G$47*'Sollecitazioni nel paramento'!$G$41*IF(DATI!$G$211="dx",DATI!$E$61,DATI!$E$64*DATI!$E$63)*1000*C1771^2*sezione!$AD$5*(1-sezione!$AD$6)</f>
        <v>-4152697.2288655126</v>
      </c>
      <c r="E1771" s="545">
        <f>-'Foglio deposito bis'!$F$78*(C1771-sezione!$AL$34)*IF(ABS(K1771)&lt;'Sollecitazioni nel paramento'!$G$58,ABS(K1771)*'Sollecitazioni nel paramento'!$G$54,'Sollecitazioni nel paramento'!$G$53)</f>
        <v>0</v>
      </c>
      <c r="F1771" s="545">
        <f>-'Foglio deposito bis'!$F$79*(C1771-sezione!$AM$34)*IF(ABS(L1771)&lt;'Sollecitazioni nel paramento'!$G$58,ABS(L1771)*'Sollecitazioni nel paramento'!$G$54,'Sollecitazioni nel paramento'!$G$53)</f>
        <v>7120526.8306950442</v>
      </c>
      <c r="G1771" s="545">
        <f>-'Foglio deposito bis'!$F$80*(C1771-sezione!$AN$34)*IF(ABS(M1771)&lt;'Sollecitazioni nel paramento'!$G$58,ABS(M1771)*'Sollecitazioni nel paramento'!$G$54,'Sollecitazioni nel paramento'!$G$53)</f>
        <v>0</v>
      </c>
      <c r="H1771" s="545">
        <f>-'Foglio deposito bis'!$F$81*(C1771-sezione!$AO$34)*IF(ABS(N1771)&lt;'Sollecitazioni nel paramento'!$G$58,ABS(N1771)*'Sollecitazioni nel paramento'!$G$54,'Sollecitazioni nel paramento'!$G$53)</f>
        <v>58286336.753282584</v>
      </c>
      <c r="I1771" s="472">
        <f>-'Foglio deposito bis'!$F$82*(C1771-sezione!$AP$34)*IF(ABS(O1771)&lt;'Sollecitazioni nel paramento'!$G$58,ABS(O1771)*'Sollecitazioni nel paramento'!$G$54,'Sollecitazioni nel paramento'!$G$53)</f>
        <v>552821351.47939742</v>
      </c>
      <c r="J1771" s="472">
        <f t="shared" si="123"/>
        <v>614075517.83450949</v>
      </c>
      <c r="K1771" s="550">
        <f>'Sollecitazioni nel paramento'!$G$60*(sezione!$AL$34-C1771)/C1771</f>
        <v>6.7474241911810694E-3</v>
      </c>
      <c r="L1771" s="550">
        <f>'Sollecitazioni nel paramento'!$G$60*(sezione!$AM$34-C1771)/C1771</f>
        <v>1.1871136286771604E-2</v>
      </c>
      <c r="M1771" s="551">
        <f>'Sollecitazioni nel paramento'!$G$60*(sezione!$AN$34-C1771)/C1771</f>
        <v>1.6994848382362142E-2</v>
      </c>
      <c r="N1771" s="551">
        <f>'Sollecitazioni nel paramento'!$G$60*(sezione!$AO$34-C1771)/C1771</f>
        <v>3.748969676472428E-2</v>
      </c>
      <c r="O1771" s="551">
        <f>'Sollecitazioni nel paramento'!$G$60*(sezione!$AP$34-C1771)/C1771</f>
        <v>0.15868590914215211</v>
      </c>
      <c r="P1771" s="545">
        <f>-'Sollecitazioni nel paramento'!$G$47*'Sollecitazioni nel paramento'!$G$41*IF(DATI!$G$211="dx",DATI!$E$61,DATI!$E$64*DATI!$E$63)*1000*C1771*sezione!$AD$5</f>
        <v>-520480.06411114283</v>
      </c>
      <c r="Q1771" s="545">
        <f>'Foglio deposito bis'!$F$78*IF(ABS(K1771)&lt;'Sollecitazioni nel paramento'!$G$58,ABS(K1771)*'Sollecitazioni nel paramento'!$G$54,'Sollecitazioni nel paramento'!$G$53)*IF(K1771&lt;0,-1,1)</f>
        <v>0</v>
      </c>
      <c r="R1771" s="545">
        <f>'Foglio deposito bis'!$F$79*IF(ABS(L1771)&lt;'Sollecitazioni nel paramento'!$G$58,ABS(L1771)*'Sollecitazioni nel paramento'!$G$54,'Sollecitazioni nel paramento'!$G$53)*IF(L1771&lt;0,-1,1)</f>
        <v>153664.85805602249</v>
      </c>
      <c r="S1771" s="545">
        <f>'Foglio deposito bis'!$F$80*IF(ABS(M1771)&lt;'Sollecitazioni nel paramento'!$G$58,ABS(M1771)*'Sollecitazioni nel paramento'!$G$54,'Sollecitazioni nel paramento'!$G$53)*IF(M1771&lt;0,-1,1)</f>
        <v>0</v>
      </c>
      <c r="T1771" s="545">
        <f>'Foglio deposito bis'!$F$81*IF(ABS(N1771)&lt;'Sollecitazioni nel paramento'!$G$58,ABS(N1771)*'Sollecitazioni nel paramento'!$G$54,'Sollecitazioni nel paramento'!$G$53)*IF(N1771&lt;0,-1,1)</f>
        <v>398299.31208121032</v>
      </c>
      <c r="U1771" s="545">
        <f>'Foglio deposito bis'!$F$82*IF(ABS(O1771)&lt;'Sollecitazioni nel paramento'!$G$58,ABS(O1771)*'Sollecitazioni nel paramento'!$G$54,'Sollecitazioni nel paramento'!$G$53)*IF(O1771&lt;0,-1,1)</f>
        <v>892485.49558937876</v>
      </c>
      <c r="V1771" s="472">
        <f t="shared" si="125"/>
        <v>923969.60161546874</v>
      </c>
      <c r="W1771" s="551"/>
      <c r="X1771" s="551"/>
    </row>
    <row r="1772" spans="1:24" x14ac:dyDescent="0.25">
      <c r="A1772" s="545">
        <f t="shared" si="124"/>
        <v>906620.26614509732</v>
      </c>
      <c r="B1772" s="3">
        <f t="shared" si="126"/>
        <v>1.5500000000000007</v>
      </c>
      <c r="C1772" s="545">
        <f>'Foglio deposito bis'!$E$160/sezione!$B$247*B1772</f>
        <v>14.117368810707259</v>
      </c>
      <c r="D1772" s="603">
        <f>-'Sollecitazioni nel paramento'!$G$47*'Sollecitazioni nel paramento'!$G$41*IF(DATI!$G$211="dx",DATI!$E$61,DATI!$E$64*DATI!$E$63)*1000*C1772^2*sezione!$AD$5*(1-sezione!$AD$6)</f>
        <v>-4434157.8188219545</v>
      </c>
      <c r="E1772" s="545">
        <f>-'Foglio deposito bis'!$F$78*(C1772-sezione!$AL$34)*IF(ABS(K1772)&lt;'Sollecitazioni nel paramento'!$G$58,ABS(K1772)*'Sollecitazioni nel paramento'!$G$54,'Sollecitazioni nel paramento'!$G$53)</f>
        <v>0</v>
      </c>
      <c r="F1772" s="545">
        <f>-'Foglio deposito bis'!$F$79*(C1772-sezione!$AM$34)*IF(ABS(L1772)&lt;'Sollecitazioni nel paramento'!$G$58,ABS(L1772)*'Sollecitazioni nel paramento'!$G$54,'Sollecitazioni nel paramento'!$G$53)</f>
        <v>7050548.0089395</v>
      </c>
      <c r="G1772" s="545">
        <f>-'Foglio deposito bis'!$F$80*(C1772-sezione!$AN$34)*IF(ABS(M1772)&lt;'Sollecitazioni nel paramento'!$G$58,ABS(M1772)*'Sollecitazioni nel paramento'!$G$54,'Sollecitazioni nel paramento'!$G$53)</f>
        <v>0</v>
      </c>
      <c r="H1772" s="545">
        <f>-'Foglio deposito bis'!$F$81*(C1772-sezione!$AO$34)*IF(ABS(N1772)&lt;'Sollecitazioni nel paramento'!$G$58,ABS(N1772)*'Sollecitazioni nel paramento'!$G$54,'Sollecitazioni nel paramento'!$G$53)</f>
        <v>58104951.647292212</v>
      </c>
      <c r="I1772" s="472">
        <f>-'Foglio deposito bis'!$F$82*(C1772-sezione!$AP$34)*IF(ABS(O1772)&lt;'Sollecitazioni nel paramento'!$G$58,ABS(O1772)*'Sollecitazioni nel paramento'!$G$54,'Sollecitazioni nel paramento'!$G$53)</f>
        <v>552414914.48264122</v>
      </c>
      <c r="J1772" s="472">
        <f t="shared" si="123"/>
        <v>613136256.32005095</v>
      </c>
      <c r="K1772" s="550">
        <f>'Sollecitazioni nel paramento'!$G$60*(sezione!$AL$34-C1772)/C1772</f>
        <v>6.4168621204978077E-3</v>
      </c>
      <c r="L1772" s="550">
        <f>'Sollecitazioni nel paramento'!$G$60*(sezione!$AM$34-C1772)/C1772</f>
        <v>1.1375293180746711E-2</v>
      </c>
      <c r="M1772" s="551">
        <f>'Sollecitazioni nel paramento'!$G$60*(sezione!$AN$34-C1772)/C1772</f>
        <v>1.6333724240995617E-2</v>
      </c>
      <c r="N1772" s="551">
        <f>'Sollecitazioni nel paramento'!$G$60*(sezione!$AO$34-C1772)/C1772</f>
        <v>3.616744848199123E-2</v>
      </c>
      <c r="O1772" s="551">
        <f>'Sollecitazioni nel paramento'!$G$60*(sezione!$AP$34-C1772)/C1772</f>
        <v>0.15345410562143749</v>
      </c>
      <c r="P1772" s="545">
        <f>-'Sollecitazioni nel paramento'!$G$47*'Sollecitazioni nel paramento'!$G$41*IF(DATI!$G$211="dx",DATI!$E$61,DATI!$E$64*DATI!$E$63)*1000*C1772*sezione!$AD$5</f>
        <v>-537829.3995815143</v>
      </c>
      <c r="Q1772" s="545">
        <f>'Foglio deposito bis'!$F$78*IF(ABS(K1772)&lt;'Sollecitazioni nel paramento'!$G$58,ABS(K1772)*'Sollecitazioni nel paramento'!$G$54,'Sollecitazioni nel paramento'!$G$53)*IF(K1772&lt;0,-1,1)</f>
        <v>0</v>
      </c>
      <c r="R1772" s="545">
        <f>'Foglio deposito bis'!$F$79*IF(ABS(L1772)&lt;'Sollecitazioni nel paramento'!$G$58,ABS(L1772)*'Sollecitazioni nel paramento'!$G$54,'Sollecitazioni nel paramento'!$G$53)*IF(L1772&lt;0,-1,1)</f>
        <v>153664.85805602249</v>
      </c>
      <c r="S1772" s="545">
        <f>'Foglio deposito bis'!$F$80*IF(ABS(M1772)&lt;'Sollecitazioni nel paramento'!$G$58,ABS(M1772)*'Sollecitazioni nel paramento'!$G$54,'Sollecitazioni nel paramento'!$G$53)*IF(M1772&lt;0,-1,1)</f>
        <v>0</v>
      </c>
      <c r="T1772" s="545">
        <f>'Foglio deposito bis'!$F$81*IF(ABS(N1772)&lt;'Sollecitazioni nel paramento'!$G$58,ABS(N1772)*'Sollecitazioni nel paramento'!$G$54,'Sollecitazioni nel paramento'!$G$53)*IF(N1772&lt;0,-1,1)</f>
        <v>398299.31208121032</v>
      </c>
      <c r="U1772" s="545">
        <f>'Foglio deposito bis'!$F$82*IF(ABS(O1772)&lt;'Sollecitazioni nel paramento'!$G$58,ABS(O1772)*'Sollecitazioni nel paramento'!$G$54,'Sollecitazioni nel paramento'!$G$53)*IF(O1772&lt;0,-1,1)</f>
        <v>892485.49558937876</v>
      </c>
      <c r="V1772" s="472">
        <f t="shared" si="125"/>
        <v>906620.26614509732</v>
      </c>
      <c r="W1772" s="551"/>
      <c r="X1772" s="551"/>
    </row>
    <row r="1773" spans="1:24" x14ac:dyDescent="0.25">
      <c r="A1773" s="545">
        <f t="shared" si="124"/>
        <v>889270.93067472591</v>
      </c>
      <c r="B1773" s="3">
        <f t="shared" si="126"/>
        <v>1.6000000000000008</v>
      </c>
      <c r="C1773" s="545">
        <f>'Foglio deposito bis'!$E$160/sezione!$B$247*B1773</f>
        <v>14.572767804601041</v>
      </c>
      <c r="D1773" s="603">
        <f>-'Sollecitazioni nel paramento'!$G$47*'Sollecitazioni nel paramento'!$G$41*IF(DATI!$G$211="dx",DATI!$E$61,DATI!$E$64*DATI!$E$63)*1000*C1773^2*sezione!$AD$5*(1-sezione!$AD$6)</f>
        <v>-4724846.6248425394</v>
      </c>
      <c r="E1773" s="545">
        <f>-'Foglio deposito bis'!$F$78*(C1773-sezione!$AL$34)*IF(ABS(K1773)&lt;'Sollecitazioni nel paramento'!$G$58,ABS(K1773)*'Sollecitazioni nel paramento'!$G$54,'Sollecitazioni nel paramento'!$G$53)</f>
        <v>0</v>
      </c>
      <c r="F1773" s="545">
        <f>-'Foglio deposito bis'!$F$79*(C1773-sezione!$AM$34)*IF(ABS(L1773)&lt;'Sollecitazioni nel paramento'!$G$58,ABS(L1773)*'Sollecitazioni nel paramento'!$G$54,'Sollecitazioni nel paramento'!$G$53)</f>
        <v>6980569.1871839557</v>
      </c>
      <c r="G1773" s="545">
        <f>-'Foglio deposito bis'!$F$80*(C1773-sezione!$AN$34)*IF(ABS(M1773)&lt;'Sollecitazioni nel paramento'!$G$58,ABS(M1773)*'Sollecitazioni nel paramento'!$G$54,'Sollecitazioni nel paramento'!$G$53)</f>
        <v>0</v>
      </c>
      <c r="H1773" s="545">
        <f>-'Foglio deposito bis'!$F$81*(C1773-sezione!$AO$34)*IF(ABS(N1773)&lt;'Sollecitazioni nel paramento'!$G$58,ABS(N1773)*'Sollecitazioni nel paramento'!$G$54,'Sollecitazioni nel paramento'!$G$53)</f>
        <v>57923566.541301854</v>
      </c>
      <c r="I1773" s="472">
        <f>-'Foglio deposito bis'!$F$82*(C1773-sezione!$AP$34)*IF(ABS(O1773)&lt;'Sollecitazioni nel paramento'!$G$58,ABS(O1773)*'Sollecitazioni nel paramento'!$G$54,'Sollecitazioni nel paramento'!$G$53)</f>
        <v>552008477.4858849</v>
      </c>
      <c r="J1773" s="472">
        <f t="shared" si="123"/>
        <v>612187766.5895282</v>
      </c>
      <c r="K1773" s="550">
        <f>'Sollecitazioni nel paramento'!$G$60*(sezione!$AL$34-C1773)/C1773</f>
        <v>6.1069601792322513E-3</v>
      </c>
      <c r="L1773" s="550">
        <f>'Sollecitazioni nel paramento'!$G$60*(sezione!$AM$34-C1773)/C1773</f>
        <v>1.0910440268848378E-2</v>
      </c>
      <c r="M1773" s="551">
        <f>'Sollecitazioni nel paramento'!$G$60*(sezione!$AN$34-C1773)/C1773</f>
        <v>1.5713920358464504E-2</v>
      </c>
      <c r="N1773" s="551">
        <f>'Sollecitazioni nel paramento'!$G$60*(sezione!$AO$34-C1773)/C1773</f>
        <v>3.4927840716929011E-2</v>
      </c>
      <c r="O1773" s="551">
        <f>'Sollecitazioni nel paramento'!$G$60*(sezione!$AP$34-C1773)/C1773</f>
        <v>0.14854928982076757</v>
      </c>
      <c r="P1773" s="545">
        <f>-'Sollecitazioni nel paramento'!$G$47*'Sollecitazioni nel paramento'!$G$41*IF(DATI!$G$211="dx",DATI!$E$61,DATI!$E$64*DATI!$E$63)*1000*C1773*sezione!$AD$5</f>
        <v>-555178.73505188571</v>
      </c>
      <c r="Q1773" s="545">
        <f>'Foglio deposito bis'!$F$78*IF(ABS(K1773)&lt;'Sollecitazioni nel paramento'!$G$58,ABS(K1773)*'Sollecitazioni nel paramento'!$G$54,'Sollecitazioni nel paramento'!$G$53)*IF(K1773&lt;0,-1,1)</f>
        <v>0</v>
      </c>
      <c r="R1773" s="545">
        <f>'Foglio deposito bis'!$F$79*IF(ABS(L1773)&lt;'Sollecitazioni nel paramento'!$G$58,ABS(L1773)*'Sollecitazioni nel paramento'!$G$54,'Sollecitazioni nel paramento'!$G$53)*IF(L1773&lt;0,-1,1)</f>
        <v>153664.85805602249</v>
      </c>
      <c r="S1773" s="545">
        <f>'Foglio deposito bis'!$F$80*IF(ABS(M1773)&lt;'Sollecitazioni nel paramento'!$G$58,ABS(M1773)*'Sollecitazioni nel paramento'!$G$54,'Sollecitazioni nel paramento'!$G$53)*IF(M1773&lt;0,-1,1)</f>
        <v>0</v>
      </c>
      <c r="T1773" s="545">
        <f>'Foglio deposito bis'!$F$81*IF(ABS(N1773)&lt;'Sollecitazioni nel paramento'!$G$58,ABS(N1773)*'Sollecitazioni nel paramento'!$G$54,'Sollecitazioni nel paramento'!$G$53)*IF(N1773&lt;0,-1,1)</f>
        <v>398299.31208121032</v>
      </c>
      <c r="U1773" s="545">
        <f>'Foglio deposito bis'!$F$82*IF(ABS(O1773)&lt;'Sollecitazioni nel paramento'!$G$58,ABS(O1773)*'Sollecitazioni nel paramento'!$G$54,'Sollecitazioni nel paramento'!$G$53)*IF(O1773&lt;0,-1,1)</f>
        <v>892485.49558937876</v>
      </c>
      <c r="V1773" s="472">
        <f t="shared" si="125"/>
        <v>889270.93067472591</v>
      </c>
      <c r="W1773" s="551"/>
      <c r="X1773" s="551"/>
    </row>
    <row r="1774" spans="1:24" x14ac:dyDescent="0.25">
      <c r="A1774" s="545">
        <f t="shared" si="124"/>
        <v>871921.59520435426</v>
      </c>
      <c r="B1774" s="3">
        <f t="shared" si="126"/>
        <v>1.6500000000000008</v>
      </c>
      <c r="C1774" s="545">
        <f>'Foglio deposito bis'!$E$160/sezione!$B$247*B1774</f>
        <v>15.028166798494823</v>
      </c>
      <c r="D1774" s="603">
        <f>-'Sollecitazioni nel paramento'!$G$47*'Sollecitazioni nel paramento'!$G$41*IF(DATI!$G$211="dx",DATI!$E$61,DATI!$E$64*DATI!$E$63)*1000*C1774^2*sezione!$AD$5*(1-sezione!$AD$6)</f>
        <v>-5024763.646927271</v>
      </c>
      <c r="E1774" s="545">
        <f>-'Foglio deposito bis'!$F$78*(C1774-sezione!$AL$34)*IF(ABS(K1774)&lt;'Sollecitazioni nel paramento'!$G$58,ABS(K1774)*'Sollecitazioni nel paramento'!$G$54,'Sollecitazioni nel paramento'!$G$53)</f>
        <v>0</v>
      </c>
      <c r="F1774" s="545">
        <f>-'Foglio deposito bis'!$F$79*(C1774-sezione!$AM$34)*IF(ABS(L1774)&lt;'Sollecitazioni nel paramento'!$G$58,ABS(L1774)*'Sollecitazioni nel paramento'!$G$54,'Sollecitazioni nel paramento'!$G$53)</f>
        <v>6910590.3654284133</v>
      </c>
      <c r="G1774" s="545">
        <f>-'Foglio deposito bis'!$F$80*(C1774-sezione!$AN$34)*IF(ABS(M1774)&lt;'Sollecitazioni nel paramento'!$G$58,ABS(M1774)*'Sollecitazioni nel paramento'!$G$54,'Sollecitazioni nel paramento'!$G$53)</f>
        <v>0</v>
      </c>
      <c r="H1774" s="545">
        <f>-'Foglio deposito bis'!$F$81*(C1774-sezione!$AO$34)*IF(ABS(N1774)&lt;'Sollecitazioni nel paramento'!$G$58,ABS(N1774)*'Sollecitazioni nel paramento'!$G$54,'Sollecitazioni nel paramento'!$G$53)</f>
        <v>57742181.435311481</v>
      </c>
      <c r="I1774" s="472">
        <f>-'Foglio deposito bis'!$F$82*(C1774-sezione!$AP$34)*IF(ABS(O1774)&lt;'Sollecitazioni nel paramento'!$G$58,ABS(O1774)*'Sollecitazioni nel paramento'!$G$54,'Sollecitazioni nel paramento'!$G$53)</f>
        <v>551602040.48912883</v>
      </c>
      <c r="J1774" s="472">
        <f t="shared" si="123"/>
        <v>611230048.64294147</v>
      </c>
      <c r="K1774" s="550">
        <f>'Sollecitazioni nel paramento'!$G$60*(sezione!$AL$34-C1774)/C1774</f>
        <v>5.8158401738009711E-3</v>
      </c>
      <c r="L1774" s="550">
        <f>'Sollecitazioni nel paramento'!$G$60*(sezione!$AM$34-C1774)/C1774</f>
        <v>1.0473760260701457E-2</v>
      </c>
      <c r="M1774" s="551">
        <f>'Sollecitazioni nel paramento'!$G$60*(sezione!$AN$34-C1774)/C1774</f>
        <v>1.5131680347601944E-2</v>
      </c>
      <c r="N1774" s="551">
        <f>'Sollecitazioni nel paramento'!$G$60*(sezione!$AO$34-C1774)/C1774</f>
        <v>3.3763360695203887E-2</v>
      </c>
      <c r="O1774" s="551">
        <f>'Sollecitazioni nel paramento'!$G$60*(sezione!$AP$34-C1774)/C1774</f>
        <v>0.14394173558377463</v>
      </c>
      <c r="P1774" s="545">
        <f>-'Sollecitazioni nel paramento'!$G$47*'Sollecitazioni nel paramento'!$G$41*IF(DATI!$G$211="dx",DATI!$E$61,DATI!$E$64*DATI!$E$63)*1000*C1774*sezione!$AD$5</f>
        <v>-572528.07052225724</v>
      </c>
      <c r="Q1774" s="545">
        <f>'Foglio deposito bis'!$F$78*IF(ABS(K1774)&lt;'Sollecitazioni nel paramento'!$G$58,ABS(K1774)*'Sollecitazioni nel paramento'!$G$54,'Sollecitazioni nel paramento'!$G$53)*IF(K1774&lt;0,-1,1)</f>
        <v>0</v>
      </c>
      <c r="R1774" s="545">
        <f>'Foglio deposito bis'!$F$79*IF(ABS(L1774)&lt;'Sollecitazioni nel paramento'!$G$58,ABS(L1774)*'Sollecitazioni nel paramento'!$G$54,'Sollecitazioni nel paramento'!$G$53)*IF(L1774&lt;0,-1,1)</f>
        <v>153664.85805602249</v>
      </c>
      <c r="S1774" s="545">
        <f>'Foglio deposito bis'!$F$80*IF(ABS(M1774)&lt;'Sollecitazioni nel paramento'!$G$58,ABS(M1774)*'Sollecitazioni nel paramento'!$G$54,'Sollecitazioni nel paramento'!$G$53)*IF(M1774&lt;0,-1,1)</f>
        <v>0</v>
      </c>
      <c r="T1774" s="545">
        <f>'Foglio deposito bis'!$F$81*IF(ABS(N1774)&lt;'Sollecitazioni nel paramento'!$G$58,ABS(N1774)*'Sollecitazioni nel paramento'!$G$54,'Sollecitazioni nel paramento'!$G$53)*IF(N1774&lt;0,-1,1)</f>
        <v>398299.31208121032</v>
      </c>
      <c r="U1774" s="545">
        <f>'Foglio deposito bis'!$F$82*IF(ABS(O1774)&lt;'Sollecitazioni nel paramento'!$G$58,ABS(O1774)*'Sollecitazioni nel paramento'!$G$54,'Sollecitazioni nel paramento'!$G$53)*IF(O1774&lt;0,-1,1)</f>
        <v>892485.49558937876</v>
      </c>
      <c r="V1774" s="472">
        <f t="shared" si="125"/>
        <v>871921.59520435426</v>
      </c>
      <c r="W1774" s="551"/>
      <c r="X1774" s="551"/>
    </row>
    <row r="1775" spans="1:24" x14ac:dyDescent="0.25">
      <c r="A1775" s="545">
        <f t="shared" si="124"/>
        <v>854572.25973398308</v>
      </c>
      <c r="B1775" s="3">
        <f t="shared" si="126"/>
        <v>1.7000000000000008</v>
      </c>
      <c r="C1775" s="545">
        <f>'Foglio deposito bis'!$E$160/sezione!$B$247*B1775</f>
        <v>15.483565792388607</v>
      </c>
      <c r="D1775" s="603">
        <f>-'Sollecitazioni nel paramento'!$G$47*'Sollecitazioni nel paramento'!$G$41*IF(DATI!$G$211="dx",DATI!$E$61,DATI!$E$64*DATI!$E$63)*1000*C1775^2*sezione!$AD$5*(1-sezione!$AD$6)</f>
        <v>-5333908.8850761484</v>
      </c>
      <c r="E1775" s="545">
        <f>-'Foglio deposito bis'!$F$78*(C1775-sezione!$AL$34)*IF(ABS(K1775)&lt;'Sollecitazioni nel paramento'!$G$58,ABS(K1775)*'Sollecitazioni nel paramento'!$G$54,'Sollecitazioni nel paramento'!$G$53)</f>
        <v>0</v>
      </c>
      <c r="F1775" s="545">
        <f>-'Foglio deposito bis'!$F$79*(C1775-sezione!$AM$34)*IF(ABS(L1775)&lt;'Sollecitazioni nel paramento'!$G$58,ABS(L1775)*'Sollecitazioni nel paramento'!$G$54,'Sollecitazioni nel paramento'!$G$53)</f>
        <v>6840611.543672869</v>
      </c>
      <c r="G1775" s="545">
        <f>-'Foglio deposito bis'!$F$80*(C1775-sezione!$AN$34)*IF(ABS(M1775)&lt;'Sollecitazioni nel paramento'!$G$58,ABS(M1775)*'Sollecitazioni nel paramento'!$G$54,'Sollecitazioni nel paramento'!$G$53)</f>
        <v>0</v>
      </c>
      <c r="H1775" s="545">
        <f>-'Foglio deposito bis'!$F$81*(C1775-sezione!$AO$34)*IF(ABS(N1775)&lt;'Sollecitazioni nel paramento'!$G$58,ABS(N1775)*'Sollecitazioni nel paramento'!$G$54,'Sollecitazioni nel paramento'!$G$53)</f>
        <v>57560796.329321101</v>
      </c>
      <c r="I1775" s="472">
        <f>-'Foglio deposito bis'!$F$82*(C1775-sezione!$AP$34)*IF(ABS(O1775)&lt;'Sollecitazioni nel paramento'!$G$58,ABS(O1775)*'Sollecitazioni nel paramento'!$G$54,'Sollecitazioni nel paramento'!$G$53)</f>
        <v>551195603.49237251</v>
      </c>
      <c r="J1775" s="472">
        <f t="shared" si="123"/>
        <v>610263102.48029029</v>
      </c>
      <c r="K1775" s="550">
        <f>'Sollecitazioni nel paramento'!$G$60*(sezione!$AL$34-C1775)/C1775</f>
        <v>5.5418448745715304E-3</v>
      </c>
      <c r="L1775" s="550">
        <f>'Sollecitazioni nel paramento'!$G$60*(sezione!$AM$34-C1775)/C1775</f>
        <v>1.0062767311857297E-2</v>
      </c>
      <c r="M1775" s="551">
        <f>'Sollecitazioni nel paramento'!$G$60*(sezione!$AN$34-C1775)/C1775</f>
        <v>1.4583689749143062E-2</v>
      </c>
      <c r="N1775" s="551">
        <f>'Sollecitazioni nel paramento'!$G$60*(sezione!$AO$34-C1775)/C1775</f>
        <v>3.2667379498286117E-2</v>
      </c>
      <c r="O1775" s="551">
        <f>'Sollecitazioni nel paramento'!$G$60*(sezione!$AP$34-C1775)/C1775</f>
        <v>0.1396052139489577</v>
      </c>
      <c r="P1775" s="545">
        <f>-'Sollecitazioni nel paramento'!$G$47*'Sollecitazioni nel paramento'!$G$41*IF(DATI!$G$211="dx",DATI!$E$61,DATI!$E$64*DATI!$E$63)*1000*C1775*sezione!$AD$5</f>
        <v>-589877.40599262854</v>
      </c>
      <c r="Q1775" s="545">
        <f>'Foglio deposito bis'!$F$78*IF(ABS(K1775)&lt;'Sollecitazioni nel paramento'!$G$58,ABS(K1775)*'Sollecitazioni nel paramento'!$G$54,'Sollecitazioni nel paramento'!$G$53)*IF(K1775&lt;0,-1,1)</f>
        <v>0</v>
      </c>
      <c r="R1775" s="545">
        <f>'Foglio deposito bis'!$F$79*IF(ABS(L1775)&lt;'Sollecitazioni nel paramento'!$G$58,ABS(L1775)*'Sollecitazioni nel paramento'!$G$54,'Sollecitazioni nel paramento'!$G$53)*IF(L1775&lt;0,-1,1)</f>
        <v>153664.85805602249</v>
      </c>
      <c r="S1775" s="545">
        <f>'Foglio deposito bis'!$F$80*IF(ABS(M1775)&lt;'Sollecitazioni nel paramento'!$G$58,ABS(M1775)*'Sollecitazioni nel paramento'!$G$54,'Sollecitazioni nel paramento'!$G$53)*IF(M1775&lt;0,-1,1)</f>
        <v>0</v>
      </c>
      <c r="T1775" s="545">
        <f>'Foglio deposito bis'!$F$81*IF(ABS(N1775)&lt;'Sollecitazioni nel paramento'!$G$58,ABS(N1775)*'Sollecitazioni nel paramento'!$G$54,'Sollecitazioni nel paramento'!$G$53)*IF(N1775&lt;0,-1,1)</f>
        <v>398299.31208121032</v>
      </c>
      <c r="U1775" s="545">
        <f>'Foglio deposito bis'!$F$82*IF(ABS(O1775)&lt;'Sollecitazioni nel paramento'!$G$58,ABS(O1775)*'Sollecitazioni nel paramento'!$G$54,'Sollecitazioni nel paramento'!$G$53)*IF(O1775&lt;0,-1,1)</f>
        <v>892485.49558937876</v>
      </c>
      <c r="V1775" s="472">
        <f t="shared" si="125"/>
        <v>854572.25973398308</v>
      </c>
      <c r="W1775" s="551"/>
      <c r="X1775" s="551"/>
    </row>
    <row r="1776" spans="1:24" x14ac:dyDescent="0.25">
      <c r="A1776" s="545">
        <f t="shared" si="124"/>
        <v>837222.92426361144</v>
      </c>
      <c r="B1776" s="3">
        <f t="shared" si="126"/>
        <v>1.7500000000000009</v>
      </c>
      <c r="C1776" s="545">
        <f>'Foglio deposito bis'!$E$160/sezione!$B$247*B1776</f>
        <v>15.938964786282389</v>
      </c>
      <c r="D1776" s="603">
        <f>-'Sollecitazioni nel paramento'!$G$47*'Sollecitazioni nel paramento'!$G$41*IF(DATI!$G$211="dx",DATI!$E$61,DATI!$E$64*DATI!$E$63)*1000*C1776^2*sezione!$AD$5*(1-sezione!$AD$6)</f>
        <v>-5652282.3392891716</v>
      </c>
      <c r="E1776" s="545">
        <f>-'Foglio deposito bis'!$F$78*(C1776-sezione!$AL$34)*IF(ABS(K1776)&lt;'Sollecitazioni nel paramento'!$G$58,ABS(K1776)*'Sollecitazioni nel paramento'!$G$54,'Sollecitazioni nel paramento'!$G$53)</f>
        <v>0</v>
      </c>
      <c r="F1776" s="545">
        <f>-'Foglio deposito bis'!$F$79*(C1776-sezione!$AM$34)*IF(ABS(L1776)&lt;'Sollecitazioni nel paramento'!$G$58,ABS(L1776)*'Sollecitazioni nel paramento'!$G$54,'Sollecitazioni nel paramento'!$G$53)</f>
        <v>6770632.7219173247</v>
      </c>
      <c r="G1776" s="545">
        <f>-'Foglio deposito bis'!$F$80*(C1776-sezione!$AN$34)*IF(ABS(M1776)&lt;'Sollecitazioni nel paramento'!$G$58,ABS(M1776)*'Sollecitazioni nel paramento'!$G$54,'Sollecitazioni nel paramento'!$G$53)</f>
        <v>0</v>
      </c>
      <c r="H1776" s="545">
        <f>-'Foglio deposito bis'!$F$81*(C1776-sezione!$AO$34)*IF(ABS(N1776)&lt;'Sollecitazioni nel paramento'!$G$58,ABS(N1776)*'Sollecitazioni nel paramento'!$G$54,'Sollecitazioni nel paramento'!$G$53)</f>
        <v>57379411.223330744</v>
      </c>
      <c r="I1776" s="472">
        <f>-'Foglio deposito bis'!$F$82*(C1776-sezione!$AP$34)*IF(ABS(O1776)&lt;'Sollecitazioni nel paramento'!$G$58,ABS(O1776)*'Sollecitazioni nel paramento'!$G$54,'Sollecitazioni nel paramento'!$G$53)</f>
        <v>550789166.49561632</v>
      </c>
      <c r="J1776" s="472">
        <f t="shared" si="123"/>
        <v>609286928.10157526</v>
      </c>
      <c r="K1776" s="550">
        <f>'Sollecitazioni nel paramento'!$G$60*(sezione!$AL$34-C1776)/C1776</f>
        <v>5.2835064495837724E-3</v>
      </c>
      <c r="L1776" s="550">
        <f>'Sollecitazioni nel paramento'!$G$60*(sezione!$AM$34-C1776)/C1776</f>
        <v>9.675259674375658E-3</v>
      </c>
      <c r="M1776" s="551">
        <f>'Sollecitazioni nel paramento'!$G$60*(sezione!$AN$34-C1776)/C1776</f>
        <v>1.4067012899167546E-2</v>
      </c>
      <c r="N1776" s="551">
        <f>'Sollecitazioni nel paramento'!$G$60*(sezione!$AO$34-C1776)/C1776</f>
        <v>3.1634025798335089E-2</v>
      </c>
      <c r="O1776" s="551">
        <f>'Sollecitazioni nel paramento'!$G$60*(sezione!$AP$34-C1776)/C1776</f>
        <v>0.13551649355041603</v>
      </c>
      <c r="P1776" s="545">
        <f>-'Sollecitazioni nel paramento'!$G$47*'Sollecitazioni nel paramento'!$G$41*IF(DATI!$G$211="dx",DATI!$E$61,DATI!$E$64*DATI!$E$63)*1000*C1776*sezione!$AD$5</f>
        <v>-607226.74146300007</v>
      </c>
      <c r="Q1776" s="545">
        <f>'Foglio deposito bis'!$F$78*IF(ABS(K1776)&lt;'Sollecitazioni nel paramento'!$G$58,ABS(K1776)*'Sollecitazioni nel paramento'!$G$54,'Sollecitazioni nel paramento'!$G$53)*IF(K1776&lt;0,-1,1)</f>
        <v>0</v>
      </c>
      <c r="R1776" s="545">
        <f>'Foglio deposito bis'!$F$79*IF(ABS(L1776)&lt;'Sollecitazioni nel paramento'!$G$58,ABS(L1776)*'Sollecitazioni nel paramento'!$G$54,'Sollecitazioni nel paramento'!$G$53)*IF(L1776&lt;0,-1,1)</f>
        <v>153664.85805602249</v>
      </c>
      <c r="S1776" s="545">
        <f>'Foglio deposito bis'!$F$80*IF(ABS(M1776)&lt;'Sollecitazioni nel paramento'!$G$58,ABS(M1776)*'Sollecitazioni nel paramento'!$G$54,'Sollecitazioni nel paramento'!$G$53)*IF(M1776&lt;0,-1,1)</f>
        <v>0</v>
      </c>
      <c r="T1776" s="545">
        <f>'Foglio deposito bis'!$F$81*IF(ABS(N1776)&lt;'Sollecitazioni nel paramento'!$G$58,ABS(N1776)*'Sollecitazioni nel paramento'!$G$54,'Sollecitazioni nel paramento'!$G$53)*IF(N1776&lt;0,-1,1)</f>
        <v>398299.31208121032</v>
      </c>
      <c r="U1776" s="545">
        <f>'Foglio deposito bis'!$F$82*IF(ABS(O1776)&lt;'Sollecitazioni nel paramento'!$G$58,ABS(O1776)*'Sollecitazioni nel paramento'!$G$54,'Sollecitazioni nel paramento'!$G$53)*IF(O1776&lt;0,-1,1)</f>
        <v>892485.49558937876</v>
      </c>
      <c r="V1776" s="472">
        <f t="shared" si="125"/>
        <v>837222.92426361144</v>
      </c>
      <c r="W1776" s="551"/>
      <c r="X1776" s="551"/>
    </row>
    <row r="1777" spans="1:24" x14ac:dyDescent="0.25">
      <c r="A1777" s="545">
        <f t="shared" si="124"/>
        <v>819873.58879324002</v>
      </c>
      <c r="B1777" s="3">
        <f t="shared" si="126"/>
        <v>1.8000000000000009</v>
      </c>
      <c r="C1777" s="545">
        <f>'Foglio deposito bis'!$E$160/sezione!$B$247*B1777</f>
        <v>16.394363780176171</v>
      </c>
      <c r="D1777" s="603">
        <f>-'Sollecitazioni nel paramento'!$G$47*'Sollecitazioni nel paramento'!$G$41*IF(DATI!$G$211="dx",DATI!$E$61,DATI!$E$64*DATI!$E$63)*1000*C1777^2*sezione!$AD$5*(1-sezione!$AD$6)</f>
        <v>-5979884.0095663397</v>
      </c>
      <c r="E1777" s="545">
        <f>-'Foglio deposito bis'!$F$78*(C1777-sezione!$AL$34)*IF(ABS(K1777)&lt;'Sollecitazioni nel paramento'!$G$58,ABS(K1777)*'Sollecitazioni nel paramento'!$G$54,'Sollecitazioni nel paramento'!$G$53)</f>
        <v>0</v>
      </c>
      <c r="F1777" s="545">
        <f>-'Foglio deposito bis'!$F$79*(C1777-sezione!$AM$34)*IF(ABS(L1777)&lt;'Sollecitazioni nel paramento'!$G$58,ABS(L1777)*'Sollecitazioni nel paramento'!$G$54,'Sollecitazioni nel paramento'!$G$53)</f>
        <v>6700653.9001617823</v>
      </c>
      <c r="G1777" s="545">
        <f>-'Foglio deposito bis'!$F$80*(C1777-sezione!$AN$34)*IF(ABS(M1777)&lt;'Sollecitazioni nel paramento'!$G$58,ABS(M1777)*'Sollecitazioni nel paramento'!$G$54,'Sollecitazioni nel paramento'!$G$53)</f>
        <v>0</v>
      </c>
      <c r="H1777" s="545">
        <f>-'Foglio deposito bis'!$F$81*(C1777-sezione!$AO$34)*IF(ABS(N1777)&lt;'Sollecitazioni nel paramento'!$G$58,ABS(N1777)*'Sollecitazioni nel paramento'!$G$54,'Sollecitazioni nel paramento'!$G$53)</f>
        <v>57198026.117340371</v>
      </c>
      <c r="I1777" s="472">
        <f>-'Foglio deposito bis'!$F$82*(C1777-sezione!$AP$34)*IF(ABS(O1777)&lt;'Sollecitazioni nel paramento'!$G$58,ABS(O1777)*'Sollecitazioni nel paramento'!$G$54,'Sollecitazioni nel paramento'!$G$53)</f>
        <v>550382729.49886012</v>
      </c>
      <c r="J1777" s="472">
        <f t="shared" si="123"/>
        <v>608301525.50679588</v>
      </c>
      <c r="K1777" s="550">
        <f>'Sollecitazioni nel paramento'!$G$60*(sezione!$AL$34-C1777)/C1777</f>
        <v>5.039520159317557E-3</v>
      </c>
      <c r="L1777" s="550">
        <f>'Sollecitazioni nel paramento'!$G$60*(sezione!$AM$34-C1777)/C1777</f>
        <v>9.3092802389763349E-3</v>
      </c>
      <c r="M1777" s="551">
        <f>'Sollecitazioni nel paramento'!$G$60*(sezione!$AN$34-C1777)/C1777</f>
        <v>1.3579040318635114E-2</v>
      </c>
      <c r="N1777" s="551">
        <f>'Sollecitazioni nel paramento'!$G$60*(sezione!$AO$34-C1777)/C1777</f>
        <v>3.0658080637270227E-2</v>
      </c>
      <c r="O1777" s="551">
        <f>'Sollecitazioni nel paramento'!$G$60*(sezione!$AP$34-C1777)/C1777</f>
        <v>0.13165492428512673</v>
      </c>
      <c r="P1777" s="545">
        <f>-'Sollecitazioni nel paramento'!$G$47*'Sollecitazioni nel paramento'!$G$41*IF(DATI!$G$211="dx",DATI!$E$61,DATI!$E$64*DATI!$E$63)*1000*C1777*sezione!$AD$5</f>
        <v>-624576.07693337149</v>
      </c>
      <c r="Q1777" s="545">
        <f>'Foglio deposito bis'!$F$78*IF(ABS(K1777)&lt;'Sollecitazioni nel paramento'!$G$58,ABS(K1777)*'Sollecitazioni nel paramento'!$G$54,'Sollecitazioni nel paramento'!$G$53)*IF(K1777&lt;0,-1,1)</f>
        <v>0</v>
      </c>
      <c r="R1777" s="545">
        <f>'Foglio deposito bis'!$F$79*IF(ABS(L1777)&lt;'Sollecitazioni nel paramento'!$G$58,ABS(L1777)*'Sollecitazioni nel paramento'!$G$54,'Sollecitazioni nel paramento'!$G$53)*IF(L1777&lt;0,-1,1)</f>
        <v>153664.85805602249</v>
      </c>
      <c r="S1777" s="545">
        <f>'Foglio deposito bis'!$F$80*IF(ABS(M1777)&lt;'Sollecitazioni nel paramento'!$G$58,ABS(M1777)*'Sollecitazioni nel paramento'!$G$54,'Sollecitazioni nel paramento'!$G$53)*IF(M1777&lt;0,-1,1)</f>
        <v>0</v>
      </c>
      <c r="T1777" s="545">
        <f>'Foglio deposito bis'!$F$81*IF(ABS(N1777)&lt;'Sollecitazioni nel paramento'!$G$58,ABS(N1777)*'Sollecitazioni nel paramento'!$G$54,'Sollecitazioni nel paramento'!$G$53)*IF(N1777&lt;0,-1,1)</f>
        <v>398299.31208121032</v>
      </c>
      <c r="U1777" s="545">
        <f>'Foglio deposito bis'!$F$82*IF(ABS(O1777)&lt;'Sollecitazioni nel paramento'!$G$58,ABS(O1777)*'Sollecitazioni nel paramento'!$G$54,'Sollecitazioni nel paramento'!$G$53)*IF(O1777&lt;0,-1,1)</f>
        <v>892485.49558937876</v>
      </c>
      <c r="V1777" s="472">
        <f t="shared" si="125"/>
        <v>819873.58879324002</v>
      </c>
      <c r="W1777" s="551"/>
      <c r="X1777" s="551"/>
    </row>
    <row r="1778" spans="1:24" x14ac:dyDescent="0.25">
      <c r="A1778" s="545">
        <f t="shared" si="124"/>
        <v>802524.25332286861</v>
      </c>
      <c r="B1778" s="3">
        <f t="shared" si="126"/>
        <v>1.850000000000001</v>
      </c>
      <c r="C1778" s="545">
        <f>'Foglio deposito bis'!$E$160/sezione!$B$247*B1778</f>
        <v>16.849762774069955</v>
      </c>
      <c r="D1778" s="603">
        <f>-'Sollecitazioni nel paramento'!$G$47*'Sollecitazioni nel paramento'!$G$41*IF(DATI!$G$211="dx",DATI!$E$61,DATI!$E$64*DATI!$E$63)*1000*C1778^2*sezione!$AD$5*(1-sezione!$AD$6)</f>
        <v>-6316713.8959076544</v>
      </c>
      <c r="E1778" s="545">
        <f>-'Foglio deposito bis'!$F$78*(C1778-sezione!$AL$34)*IF(ABS(K1778)&lt;'Sollecitazioni nel paramento'!$G$58,ABS(K1778)*'Sollecitazioni nel paramento'!$G$54,'Sollecitazioni nel paramento'!$G$53)</f>
        <v>0</v>
      </c>
      <c r="F1778" s="545">
        <f>-'Foglio deposito bis'!$F$79*(C1778-sezione!$AM$34)*IF(ABS(L1778)&lt;'Sollecitazioni nel paramento'!$G$58,ABS(L1778)*'Sollecitazioni nel paramento'!$G$54,'Sollecitazioni nel paramento'!$G$53)</f>
        <v>6630675.078406238</v>
      </c>
      <c r="G1778" s="545">
        <f>-'Foglio deposito bis'!$F$80*(C1778-sezione!$AN$34)*IF(ABS(M1778)&lt;'Sollecitazioni nel paramento'!$G$58,ABS(M1778)*'Sollecitazioni nel paramento'!$G$54,'Sollecitazioni nel paramento'!$G$53)</f>
        <v>0</v>
      </c>
      <c r="H1778" s="545">
        <f>-'Foglio deposito bis'!$F$81*(C1778-sezione!$AO$34)*IF(ABS(N1778)&lt;'Sollecitazioni nel paramento'!$G$58,ABS(N1778)*'Sollecitazioni nel paramento'!$G$54,'Sollecitazioni nel paramento'!$G$53)</f>
        <v>57016641.011350013</v>
      </c>
      <c r="I1778" s="472">
        <f>-'Foglio deposito bis'!$F$82*(C1778-sezione!$AP$34)*IF(ABS(O1778)&lt;'Sollecitazioni nel paramento'!$G$58,ABS(O1778)*'Sollecitazioni nel paramento'!$G$54,'Sollecitazioni nel paramento'!$G$53)</f>
        <v>549976292.50210392</v>
      </c>
      <c r="J1778" s="472">
        <f t="shared" si="123"/>
        <v>607306894.69595253</v>
      </c>
      <c r="K1778" s="550">
        <f>'Sollecitazioni nel paramento'!$G$60*(sezione!$AL$34-C1778)/C1778</f>
        <v>4.8087223171738389E-3</v>
      </c>
      <c r="L1778" s="550">
        <f>'Sollecitazioni nel paramento'!$G$60*(sezione!$AM$34-C1778)/C1778</f>
        <v>8.9630834757607573E-3</v>
      </c>
      <c r="M1778" s="551">
        <f>'Sollecitazioni nel paramento'!$G$60*(sezione!$AN$34-C1778)/C1778</f>
        <v>1.3117444634347676E-2</v>
      </c>
      <c r="N1778" s="551">
        <f>'Sollecitazioni nel paramento'!$G$60*(sezione!$AO$34-C1778)/C1778</f>
        <v>2.9734889268695358E-2</v>
      </c>
      <c r="O1778" s="551">
        <f>'Sollecitazioni nel paramento'!$G$60*(sezione!$AP$34-C1778)/C1778</f>
        <v>0.12800208849363681</v>
      </c>
      <c r="P1778" s="545">
        <f>-'Sollecitazioni nel paramento'!$G$47*'Sollecitazioni nel paramento'!$G$41*IF(DATI!$G$211="dx",DATI!$E$61,DATI!$E$64*DATI!$E$63)*1000*C1778*sezione!$AD$5</f>
        <v>-641925.41240374302</v>
      </c>
      <c r="Q1778" s="545">
        <f>'Foglio deposito bis'!$F$78*IF(ABS(K1778)&lt;'Sollecitazioni nel paramento'!$G$58,ABS(K1778)*'Sollecitazioni nel paramento'!$G$54,'Sollecitazioni nel paramento'!$G$53)*IF(K1778&lt;0,-1,1)</f>
        <v>0</v>
      </c>
      <c r="R1778" s="545">
        <f>'Foglio deposito bis'!$F$79*IF(ABS(L1778)&lt;'Sollecitazioni nel paramento'!$G$58,ABS(L1778)*'Sollecitazioni nel paramento'!$G$54,'Sollecitazioni nel paramento'!$G$53)*IF(L1778&lt;0,-1,1)</f>
        <v>153664.85805602249</v>
      </c>
      <c r="S1778" s="545">
        <f>'Foglio deposito bis'!$F$80*IF(ABS(M1778)&lt;'Sollecitazioni nel paramento'!$G$58,ABS(M1778)*'Sollecitazioni nel paramento'!$G$54,'Sollecitazioni nel paramento'!$G$53)*IF(M1778&lt;0,-1,1)</f>
        <v>0</v>
      </c>
      <c r="T1778" s="545">
        <f>'Foglio deposito bis'!$F$81*IF(ABS(N1778)&lt;'Sollecitazioni nel paramento'!$G$58,ABS(N1778)*'Sollecitazioni nel paramento'!$G$54,'Sollecitazioni nel paramento'!$G$53)*IF(N1778&lt;0,-1,1)</f>
        <v>398299.31208121032</v>
      </c>
      <c r="U1778" s="545">
        <f>'Foglio deposito bis'!$F$82*IF(ABS(O1778)&lt;'Sollecitazioni nel paramento'!$G$58,ABS(O1778)*'Sollecitazioni nel paramento'!$G$54,'Sollecitazioni nel paramento'!$G$53)*IF(O1778&lt;0,-1,1)</f>
        <v>892485.49558937876</v>
      </c>
      <c r="V1778" s="472">
        <f t="shared" si="125"/>
        <v>802524.25332286861</v>
      </c>
      <c r="W1778" s="551"/>
      <c r="X1778" s="551"/>
    </row>
    <row r="1779" spans="1:24" x14ac:dyDescent="0.25">
      <c r="A1779" s="545">
        <f t="shared" si="124"/>
        <v>785174.91785249719</v>
      </c>
      <c r="B1779" s="3">
        <f t="shared" si="126"/>
        <v>1.900000000000001</v>
      </c>
      <c r="C1779" s="545">
        <f>'Foglio deposito bis'!$E$160/sezione!$B$247*B1779</f>
        <v>17.305161767963739</v>
      </c>
      <c r="D1779" s="603">
        <f>-'Sollecitazioni nel paramento'!$G$47*'Sollecitazioni nel paramento'!$G$41*IF(DATI!$G$211="dx",DATI!$E$61,DATI!$E$64*DATI!$E$63)*1000*C1779^2*sezione!$AD$5*(1-sezione!$AD$6)</f>
        <v>-6662771.998313115</v>
      </c>
      <c r="E1779" s="545">
        <f>-'Foglio deposito bis'!$F$78*(C1779-sezione!$AL$34)*IF(ABS(K1779)&lt;'Sollecitazioni nel paramento'!$G$58,ABS(K1779)*'Sollecitazioni nel paramento'!$G$54,'Sollecitazioni nel paramento'!$G$53)</f>
        <v>0</v>
      </c>
      <c r="F1779" s="545">
        <f>-'Foglio deposito bis'!$F$79*(C1779-sezione!$AM$34)*IF(ABS(L1779)&lt;'Sollecitazioni nel paramento'!$G$58,ABS(L1779)*'Sollecitazioni nel paramento'!$G$54,'Sollecitazioni nel paramento'!$G$53)</f>
        <v>6560696.2566506937</v>
      </c>
      <c r="G1779" s="545">
        <f>-'Foglio deposito bis'!$F$80*(C1779-sezione!$AN$34)*IF(ABS(M1779)&lt;'Sollecitazioni nel paramento'!$G$58,ABS(M1779)*'Sollecitazioni nel paramento'!$G$54,'Sollecitazioni nel paramento'!$G$53)</f>
        <v>0</v>
      </c>
      <c r="H1779" s="545">
        <f>-'Foglio deposito bis'!$F$81*(C1779-sezione!$AO$34)*IF(ABS(N1779)&lt;'Sollecitazioni nel paramento'!$G$58,ABS(N1779)*'Sollecitazioni nel paramento'!$G$54,'Sollecitazioni nel paramento'!$G$53)</f>
        <v>56835255.905359626</v>
      </c>
      <c r="I1779" s="472">
        <f>-'Foglio deposito bis'!$F$82*(C1779-sezione!$AP$34)*IF(ABS(O1779)&lt;'Sollecitazioni nel paramento'!$G$58,ABS(O1779)*'Sollecitazioni nel paramento'!$G$54,'Sollecitazioni nel paramento'!$G$53)</f>
        <v>549569855.50534773</v>
      </c>
      <c r="J1779" s="472">
        <f t="shared" si="123"/>
        <v>606303035.66904497</v>
      </c>
      <c r="K1779" s="550">
        <f>'Sollecitazioni nel paramento'!$G$60*(sezione!$AL$34-C1779)/C1779</f>
        <v>4.5900717298797897E-3</v>
      </c>
      <c r="L1779" s="550">
        <f>'Sollecitazioni nel paramento'!$G$60*(sezione!$AM$34-C1779)/C1779</f>
        <v>8.6351075948196843E-3</v>
      </c>
      <c r="M1779" s="551">
        <f>'Sollecitazioni nel paramento'!$G$60*(sezione!$AN$34-C1779)/C1779</f>
        <v>1.2680143459759579E-2</v>
      </c>
      <c r="N1779" s="551">
        <f>'Sollecitazioni nel paramento'!$G$60*(sezione!$AO$34-C1779)/C1779</f>
        <v>2.8860286919519158E-2</v>
      </c>
      <c r="O1779" s="551">
        <f>'Sollecitazioni nel paramento'!$G$60*(sezione!$AP$34-C1779)/C1779</f>
        <v>0.12454150721748844</v>
      </c>
      <c r="P1779" s="545">
        <f>-'Sollecitazioni nel paramento'!$G$47*'Sollecitazioni nel paramento'!$G$41*IF(DATI!$G$211="dx",DATI!$E$61,DATI!$E$64*DATI!$E$63)*1000*C1779*sezione!$AD$5</f>
        <v>-659274.74787411443</v>
      </c>
      <c r="Q1779" s="545">
        <f>'Foglio deposito bis'!$F$78*IF(ABS(K1779)&lt;'Sollecitazioni nel paramento'!$G$58,ABS(K1779)*'Sollecitazioni nel paramento'!$G$54,'Sollecitazioni nel paramento'!$G$53)*IF(K1779&lt;0,-1,1)</f>
        <v>0</v>
      </c>
      <c r="R1779" s="545">
        <f>'Foglio deposito bis'!$F$79*IF(ABS(L1779)&lt;'Sollecitazioni nel paramento'!$G$58,ABS(L1779)*'Sollecitazioni nel paramento'!$G$54,'Sollecitazioni nel paramento'!$G$53)*IF(L1779&lt;0,-1,1)</f>
        <v>153664.85805602249</v>
      </c>
      <c r="S1779" s="545">
        <f>'Foglio deposito bis'!$F$80*IF(ABS(M1779)&lt;'Sollecitazioni nel paramento'!$G$58,ABS(M1779)*'Sollecitazioni nel paramento'!$G$54,'Sollecitazioni nel paramento'!$G$53)*IF(M1779&lt;0,-1,1)</f>
        <v>0</v>
      </c>
      <c r="T1779" s="545">
        <f>'Foglio deposito bis'!$F$81*IF(ABS(N1779)&lt;'Sollecitazioni nel paramento'!$G$58,ABS(N1779)*'Sollecitazioni nel paramento'!$G$54,'Sollecitazioni nel paramento'!$G$53)*IF(N1779&lt;0,-1,1)</f>
        <v>398299.31208121032</v>
      </c>
      <c r="U1779" s="545">
        <f>'Foglio deposito bis'!$F$82*IF(ABS(O1779)&lt;'Sollecitazioni nel paramento'!$G$58,ABS(O1779)*'Sollecitazioni nel paramento'!$G$54,'Sollecitazioni nel paramento'!$G$53)*IF(O1779&lt;0,-1,1)</f>
        <v>892485.49558937876</v>
      </c>
      <c r="V1779" s="472">
        <f t="shared" si="125"/>
        <v>785174.91785249719</v>
      </c>
      <c r="W1779" s="551"/>
      <c r="X1779" s="551"/>
    </row>
    <row r="1780" spans="1:24" x14ac:dyDescent="0.25">
      <c r="A1780" s="545">
        <f t="shared" si="124"/>
        <v>767825.58238212578</v>
      </c>
      <c r="B1780" s="3">
        <f t="shared" si="126"/>
        <v>1.9500000000000011</v>
      </c>
      <c r="C1780" s="545">
        <f>'Foglio deposito bis'!$E$160/sezione!$B$247*B1780</f>
        <v>17.760560761857519</v>
      </c>
      <c r="D1780" s="603">
        <f>-'Sollecitazioni nel paramento'!$G$47*'Sollecitazioni nel paramento'!$G$41*IF(DATI!$G$211="dx",DATI!$E$61,DATI!$E$64*DATI!$E$63)*1000*C1780^2*sezione!$AD$5*(1-sezione!$AD$6)</f>
        <v>-7018058.3167827195</v>
      </c>
      <c r="E1780" s="545">
        <f>-'Foglio deposito bis'!$F$78*(C1780-sezione!$AL$34)*IF(ABS(K1780)&lt;'Sollecitazioni nel paramento'!$G$58,ABS(K1780)*'Sollecitazioni nel paramento'!$G$54,'Sollecitazioni nel paramento'!$G$53)</f>
        <v>0</v>
      </c>
      <c r="F1780" s="545">
        <f>-'Foglio deposito bis'!$F$79*(C1780-sezione!$AM$34)*IF(ABS(L1780)&lt;'Sollecitazioni nel paramento'!$G$58,ABS(L1780)*'Sollecitazioni nel paramento'!$G$54,'Sollecitazioni nel paramento'!$G$53)</f>
        <v>6490717.4348951513</v>
      </c>
      <c r="G1780" s="545">
        <f>-'Foglio deposito bis'!$F$80*(C1780-sezione!$AN$34)*IF(ABS(M1780)&lt;'Sollecitazioni nel paramento'!$G$58,ABS(M1780)*'Sollecitazioni nel paramento'!$G$54,'Sollecitazioni nel paramento'!$G$53)</f>
        <v>0</v>
      </c>
      <c r="H1780" s="545">
        <f>-'Foglio deposito bis'!$F$81*(C1780-sezione!$AO$34)*IF(ABS(N1780)&lt;'Sollecitazioni nel paramento'!$G$58,ABS(N1780)*'Sollecitazioni nel paramento'!$G$54,'Sollecitazioni nel paramento'!$G$53)</f>
        <v>56653870.799369268</v>
      </c>
      <c r="I1780" s="472">
        <f>-'Foglio deposito bis'!$F$82*(C1780-sezione!$AP$34)*IF(ABS(O1780)&lt;'Sollecitazioni nel paramento'!$G$58,ABS(O1780)*'Sollecitazioni nel paramento'!$G$54,'Sollecitazioni nel paramento'!$G$53)</f>
        <v>549163418.50859165</v>
      </c>
      <c r="J1780" s="472">
        <f t="shared" si="123"/>
        <v>605289948.42607331</v>
      </c>
      <c r="K1780" s="550">
        <f>'Sollecitazioni nel paramento'!$G$60*(sezione!$AL$34-C1780)/C1780</f>
        <v>4.3826339932162058E-3</v>
      </c>
      <c r="L1780" s="550">
        <f>'Sollecitazioni nel paramento'!$G$60*(sezione!$AM$34-C1780)/C1780</f>
        <v>8.3239509898243094E-3</v>
      </c>
      <c r="M1780" s="551">
        <f>'Sollecitazioni nel paramento'!$G$60*(sezione!$AN$34-C1780)/C1780</f>
        <v>1.2265267986432413E-2</v>
      </c>
      <c r="N1780" s="551">
        <f>'Sollecitazioni nel paramento'!$G$60*(sezione!$AO$34-C1780)/C1780</f>
        <v>2.8030535972864829E-2</v>
      </c>
      <c r="O1780" s="551">
        <f>'Sollecitazioni nel paramento'!$G$60*(sezione!$AP$34-C1780)/C1780</f>
        <v>0.12125839164780929</v>
      </c>
      <c r="P1780" s="545">
        <f>-'Sollecitazioni nel paramento'!$G$47*'Sollecitazioni nel paramento'!$G$41*IF(DATI!$G$211="dx",DATI!$E$61,DATI!$E$64*DATI!$E$63)*1000*C1780*sezione!$AD$5</f>
        <v>-676624.08334448573</v>
      </c>
      <c r="Q1780" s="545">
        <f>'Foglio deposito bis'!$F$78*IF(ABS(K1780)&lt;'Sollecitazioni nel paramento'!$G$58,ABS(K1780)*'Sollecitazioni nel paramento'!$G$54,'Sollecitazioni nel paramento'!$G$53)*IF(K1780&lt;0,-1,1)</f>
        <v>0</v>
      </c>
      <c r="R1780" s="545">
        <f>'Foglio deposito bis'!$F$79*IF(ABS(L1780)&lt;'Sollecitazioni nel paramento'!$G$58,ABS(L1780)*'Sollecitazioni nel paramento'!$G$54,'Sollecitazioni nel paramento'!$G$53)*IF(L1780&lt;0,-1,1)</f>
        <v>153664.85805602249</v>
      </c>
      <c r="S1780" s="545">
        <f>'Foglio deposito bis'!$F$80*IF(ABS(M1780)&lt;'Sollecitazioni nel paramento'!$G$58,ABS(M1780)*'Sollecitazioni nel paramento'!$G$54,'Sollecitazioni nel paramento'!$G$53)*IF(M1780&lt;0,-1,1)</f>
        <v>0</v>
      </c>
      <c r="T1780" s="545">
        <f>'Foglio deposito bis'!$F$81*IF(ABS(N1780)&lt;'Sollecitazioni nel paramento'!$G$58,ABS(N1780)*'Sollecitazioni nel paramento'!$G$54,'Sollecitazioni nel paramento'!$G$53)*IF(N1780&lt;0,-1,1)</f>
        <v>398299.31208121032</v>
      </c>
      <c r="U1780" s="545">
        <f>'Foglio deposito bis'!$F$82*IF(ABS(O1780)&lt;'Sollecitazioni nel paramento'!$G$58,ABS(O1780)*'Sollecitazioni nel paramento'!$G$54,'Sollecitazioni nel paramento'!$G$53)*IF(O1780&lt;0,-1,1)</f>
        <v>892485.49558937876</v>
      </c>
      <c r="V1780" s="472">
        <f t="shared" si="125"/>
        <v>767825.58238212578</v>
      </c>
      <c r="W1780" s="551"/>
      <c r="X1780" s="551"/>
    </row>
    <row r="1781" spans="1:24" x14ac:dyDescent="0.25">
      <c r="A1781" s="545">
        <f t="shared" si="124"/>
        <v>750476.24691175437</v>
      </c>
      <c r="B1781" s="3">
        <f t="shared" si="126"/>
        <v>2.0000000000000009</v>
      </c>
      <c r="C1781" s="545">
        <f>'Foglio deposito bis'!$E$160/sezione!$B$247*B1781</f>
        <v>18.2159597557513</v>
      </c>
      <c r="D1781" s="603">
        <f>-'Sollecitazioni nel paramento'!$G$47*'Sollecitazioni nel paramento'!$G$41*IF(DATI!$G$211="dx",DATI!$E$61,DATI!$E$64*DATI!$E$63)*1000*C1781^2*sezione!$AD$5*(1-sezione!$AD$6)</f>
        <v>-7382572.8513164669</v>
      </c>
      <c r="E1781" s="545">
        <f>-'Foglio deposito bis'!$F$78*(C1781-sezione!$AL$34)*IF(ABS(K1781)&lt;'Sollecitazioni nel paramento'!$G$58,ABS(K1781)*'Sollecitazioni nel paramento'!$G$54,'Sollecitazioni nel paramento'!$G$53)</f>
        <v>0</v>
      </c>
      <c r="F1781" s="545">
        <f>-'Foglio deposito bis'!$F$79*(C1781-sezione!$AM$34)*IF(ABS(L1781)&lt;'Sollecitazioni nel paramento'!$G$58,ABS(L1781)*'Sollecitazioni nel paramento'!$G$54,'Sollecitazioni nel paramento'!$G$53)</f>
        <v>6420738.6131396089</v>
      </c>
      <c r="G1781" s="545">
        <f>-'Foglio deposito bis'!$F$80*(C1781-sezione!$AN$34)*IF(ABS(M1781)&lt;'Sollecitazioni nel paramento'!$G$58,ABS(M1781)*'Sollecitazioni nel paramento'!$G$54,'Sollecitazioni nel paramento'!$G$53)</f>
        <v>0</v>
      </c>
      <c r="H1781" s="545">
        <f>-'Foglio deposito bis'!$F$81*(C1781-sezione!$AO$34)*IF(ABS(N1781)&lt;'Sollecitazioni nel paramento'!$G$58,ABS(N1781)*'Sollecitazioni nel paramento'!$G$54,'Sollecitazioni nel paramento'!$G$53)</f>
        <v>56472485.693378896</v>
      </c>
      <c r="I1781" s="472">
        <f>-'Foglio deposito bis'!$F$82*(C1781-sezione!$AP$34)*IF(ABS(O1781)&lt;'Sollecitazioni nel paramento'!$G$58,ABS(O1781)*'Sollecitazioni nel paramento'!$G$54,'Sollecitazioni nel paramento'!$G$53)</f>
        <v>548756981.51183546</v>
      </c>
      <c r="J1781" s="472">
        <f t="shared" si="123"/>
        <v>604267632.96703744</v>
      </c>
      <c r="K1781" s="550">
        <f>'Sollecitazioni nel paramento'!$G$60*(sezione!$AL$34-C1781)/C1781</f>
        <v>4.1855681433858021E-3</v>
      </c>
      <c r="L1781" s="550">
        <f>'Sollecitazioni nel paramento'!$G$60*(sezione!$AM$34-C1781)/C1781</f>
        <v>8.0283522150787021E-3</v>
      </c>
      <c r="M1781" s="551">
        <f>'Sollecitazioni nel paramento'!$G$60*(sezione!$AN$34-C1781)/C1781</f>
        <v>1.1871136286771604E-2</v>
      </c>
      <c r="N1781" s="551">
        <f>'Sollecitazioni nel paramento'!$G$60*(sezione!$AO$34-C1781)/C1781</f>
        <v>2.7242272573543207E-2</v>
      </c>
      <c r="O1781" s="551">
        <f>'Sollecitazioni nel paramento'!$G$60*(sezione!$AP$34-C1781)/C1781</f>
        <v>0.11813943185661406</v>
      </c>
      <c r="P1781" s="545">
        <f>-'Sollecitazioni nel paramento'!$G$47*'Sollecitazioni nel paramento'!$G$41*IF(DATI!$G$211="dx",DATI!$E$61,DATI!$E$64*DATI!$E$63)*1000*C1781*sezione!$AD$5</f>
        <v>-693973.41881485714</v>
      </c>
      <c r="Q1781" s="545">
        <f>'Foglio deposito bis'!$F$78*IF(ABS(K1781)&lt;'Sollecitazioni nel paramento'!$G$58,ABS(K1781)*'Sollecitazioni nel paramento'!$G$54,'Sollecitazioni nel paramento'!$G$53)*IF(K1781&lt;0,-1,1)</f>
        <v>0</v>
      </c>
      <c r="R1781" s="545">
        <f>'Foglio deposito bis'!$F$79*IF(ABS(L1781)&lt;'Sollecitazioni nel paramento'!$G$58,ABS(L1781)*'Sollecitazioni nel paramento'!$G$54,'Sollecitazioni nel paramento'!$G$53)*IF(L1781&lt;0,-1,1)</f>
        <v>153664.85805602249</v>
      </c>
      <c r="S1781" s="545">
        <f>'Foglio deposito bis'!$F$80*IF(ABS(M1781)&lt;'Sollecitazioni nel paramento'!$G$58,ABS(M1781)*'Sollecitazioni nel paramento'!$G$54,'Sollecitazioni nel paramento'!$G$53)*IF(M1781&lt;0,-1,1)</f>
        <v>0</v>
      </c>
      <c r="T1781" s="545">
        <f>'Foglio deposito bis'!$F$81*IF(ABS(N1781)&lt;'Sollecitazioni nel paramento'!$G$58,ABS(N1781)*'Sollecitazioni nel paramento'!$G$54,'Sollecitazioni nel paramento'!$G$53)*IF(N1781&lt;0,-1,1)</f>
        <v>398299.31208121032</v>
      </c>
      <c r="U1781" s="545">
        <f>'Foglio deposito bis'!$F$82*IF(ABS(O1781)&lt;'Sollecitazioni nel paramento'!$G$58,ABS(O1781)*'Sollecitazioni nel paramento'!$G$54,'Sollecitazioni nel paramento'!$G$53)*IF(O1781&lt;0,-1,1)</f>
        <v>892485.49558937876</v>
      </c>
      <c r="V1781" s="472">
        <f t="shared" si="125"/>
        <v>750476.24691175437</v>
      </c>
      <c r="W1781" s="551"/>
      <c r="X1781" s="551"/>
    </row>
    <row r="1782" spans="1:24" x14ac:dyDescent="0.25">
      <c r="A1782" s="545">
        <f t="shared" si="124"/>
        <v>733126.91144138318</v>
      </c>
      <c r="B1782" s="3">
        <f t="shared" si="126"/>
        <v>2.0500000000000007</v>
      </c>
      <c r="C1782" s="545">
        <f>'Foglio deposito bis'!$E$160/sezione!$B$247*B1782</f>
        <v>18.67135874964508</v>
      </c>
      <c r="D1782" s="603">
        <f>-'Sollecitazioni nel paramento'!$G$47*'Sollecitazioni nel paramento'!$G$41*IF(DATI!$G$211="dx",DATI!$E$61,DATI!$E$64*DATI!$E$63)*1000*C1782^2*sezione!$AD$5*(1-sezione!$AD$6)</f>
        <v>-7756315.6019143611</v>
      </c>
      <c r="E1782" s="545">
        <f>-'Foglio deposito bis'!$F$78*(C1782-sezione!$AL$34)*IF(ABS(K1782)&lt;'Sollecitazioni nel paramento'!$G$58,ABS(K1782)*'Sollecitazioni nel paramento'!$G$54,'Sollecitazioni nel paramento'!$G$53)</f>
        <v>0</v>
      </c>
      <c r="F1782" s="545">
        <f>-'Foglio deposito bis'!$F$79*(C1782-sezione!$AM$34)*IF(ABS(L1782)&lt;'Sollecitazioni nel paramento'!$G$58,ABS(L1782)*'Sollecitazioni nel paramento'!$G$54,'Sollecitazioni nel paramento'!$G$53)</f>
        <v>6350759.7913840655</v>
      </c>
      <c r="G1782" s="545">
        <f>-'Foglio deposito bis'!$F$80*(C1782-sezione!$AN$34)*IF(ABS(M1782)&lt;'Sollecitazioni nel paramento'!$G$58,ABS(M1782)*'Sollecitazioni nel paramento'!$G$54,'Sollecitazioni nel paramento'!$G$53)</f>
        <v>0</v>
      </c>
      <c r="H1782" s="545">
        <f>-'Foglio deposito bis'!$F$81*(C1782-sezione!$AO$34)*IF(ABS(N1782)&lt;'Sollecitazioni nel paramento'!$G$58,ABS(N1782)*'Sollecitazioni nel paramento'!$G$54,'Sollecitazioni nel paramento'!$G$53)</f>
        <v>56291100.58738853</v>
      </c>
      <c r="I1782" s="472">
        <f>-'Foglio deposito bis'!$F$82*(C1782-sezione!$AP$34)*IF(ABS(O1782)&lt;'Sollecitazioni nel paramento'!$G$58,ABS(O1782)*'Sollecitazioni nel paramento'!$G$54,'Sollecitazioni nel paramento'!$G$53)</f>
        <v>548350544.51507926</v>
      </c>
      <c r="J1782" s="472">
        <f t="shared" si="123"/>
        <v>603236089.29193747</v>
      </c>
      <c r="K1782" s="550">
        <f>'Sollecitazioni nel paramento'!$G$60*(sezione!$AL$34-C1782)/C1782</f>
        <v>3.9981152618398077E-3</v>
      </c>
      <c r="L1782" s="550">
        <f>'Sollecitazioni nel paramento'!$G$60*(sezione!$AM$34-C1782)/C1782</f>
        <v>7.7471728927597109E-3</v>
      </c>
      <c r="M1782" s="551">
        <f>'Sollecitazioni nel paramento'!$G$60*(sezione!$AN$34-C1782)/C1782</f>
        <v>1.1496230523679615E-2</v>
      </c>
      <c r="N1782" s="551">
        <f>'Sollecitazioni nel paramento'!$G$60*(sezione!$AO$34-C1782)/C1782</f>
        <v>2.6492461047359226E-2</v>
      </c>
      <c r="O1782" s="551">
        <f>'Sollecitazioni nel paramento'!$G$60*(sezione!$AP$34-C1782)/C1782</f>
        <v>0.11517261644547716</v>
      </c>
      <c r="P1782" s="545">
        <f>-'Sollecitazioni nel paramento'!$G$47*'Sollecitazioni nel paramento'!$G$41*IF(DATI!$G$211="dx",DATI!$E$61,DATI!$E$64*DATI!$E$63)*1000*C1782*sezione!$AD$5</f>
        <v>-711322.75428522844</v>
      </c>
      <c r="Q1782" s="545">
        <f>'Foglio deposito bis'!$F$78*IF(ABS(K1782)&lt;'Sollecitazioni nel paramento'!$G$58,ABS(K1782)*'Sollecitazioni nel paramento'!$G$54,'Sollecitazioni nel paramento'!$G$53)*IF(K1782&lt;0,-1,1)</f>
        <v>0</v>
      </c>
      <c r="R1782" s="545">
        <f>'Foglio deposito bis'!$F$79*IF(ABS(L1782)&lt;'Sollecitazioni nel paramento'!$G$58,ABS(L1782)*'Sollecitazioni nel paramento'!$G$54,'Sollecitazioni nel paramento'!$G$53)*IF(L1782&lt;0,-1,1)</f>
        <v>153664.85805602249</v>
      </c>
      <c r="S1782" s="545">
        <f>'Foglio deposito bis'!$F$80*IF(ABS(M1782)&lt;'Sollecitazioni nel paramento'!$G$58,ABS(M1782)*'Sollecitazioni nel paramento'!$G$54,'Sollecitazioni nel paramento'!$G$53)*IF(M1782&lt;0,-1,1)</f>
        <v>0</v>
      </c>
      <c r="T1782" s="545">
        <f>'Foglio deposito bis'!$F$81*IF(ABS(N1782)&lt;'Sollecitazioni nel paramento'!$G$58,ABS(N1782)*'Sollecitazioni nel paramento'!$G$54,'Sollecitazioni nel paramento'!$G$53)*IF(N1782&lt;0,-1,1)</f>
        <v>398299.31208121032</v>
      </c>
      <c r="U1782" s="545">
        <f>'Foglio deposito bis'!$F$82*IF(ABS(O1782)&lt;'Sollecitazioni nel paramento'!$G$58,ABS(O1782)*'Sollecitazioni nel paramento'!$G$54,'Sollecitazioni nel paramento'!$G$53)*IF(O1782&lt;0,-1,1)</f>
        <v>892485.49558937876</v>
      </c>
      <c r="V1782" s="472">
        <f t="shared" si="125"/>
        <v>733126.91144138318</v>
      </c>
      <c r="W1782" s="551"/>
      <c r="X1782" s="551"/>
    </row>
    <row r="1783" spans="1:24" x14ac:dyDescent="0.25">
      <c r="A1783" s="545">
        <f t="shared" si="124"/>
        <v>715777.57597101177</v>
      </c>
      <c r="B1783" s="3">
        <f t="shared" si="126"/>
        <v>2.1000000000000005</v>
      </c>
      <c r="C1783" s="545">
        <f>'Foglio deposito bis'!$E$160/sezione!$B$247*B1783</f>
        <v>19.12675774353886</v>
      </c>
      <c r="D1783" s="603">
        <f>-'Sollecitazioni nel paramento'!$G$47*'Sollecitazioni nel paramento'!$G$41*IF(DATI!$G$211="dx",DATI!$E$61,DATI!$E$64*DATI!$E$63)*1000*C1783^2*sezione!$AD$5*(1-sezione!$AD$6)</f>
        <v>-8139286.568576402</v>
      </c>
      <c r="E1783" s="545">
        <f>-'Foglio deposito bis'!$F$78*(C1783-sezione!$AL$34)*IF(ABS(K1783)&lt;'Sollecitazioni nel paramento'!$G$58,ABS(K1783)*'Sollecitazioni nel paramento'!$G$54,'Sollecitazioni nel paramento'!$G$53)</f>
        <v>0</v>
      </c>
      <c r="F1783" s="545">
        <f>-'Foglio deposito bis'!$F$79*(C1783-sezione!$AM$34)*IF(ABS(L1783)&lt;'Sollecitazioni nel paramento'!$G$58,ABS(L1783)*'Sollecitazioni nel paramento'!$G$54,'Sollecitazioni nel paramento'!$G$53)</f>
        <v>6280780.9696285212</v>
      </c>
      <c r="G1783" s="545">
        <f>-'Foglio deposito bis'!$F$80*(C1783-sezione!$AN$34)*IF(ABS(M1783)&lt;'Sollecitazioni nel paramento'!$G$58,ABS(M1783)*'Sollecitazioni nel paramento'!$G$54,'Sollecitazioni nel paramento'!$G$53)</f>
        <v>0</v>
      </c>
      <c r="H1783" s="545">
        <f>-'Foglio deposito bis'!$F$81*(C1783-sezione!$AO$34)*IF(ABS(N1783)&lt;'Sollecitazioni nel paramento'!$G$58,ABS(N1783)*'Sollecitazioni nel paramento'!$G$54,'Sollecitazioni nel paramento'!$G$53)</f>
        <v>56109715.481398158</v>
      </c>
      <c r="I1783" s="472">
        <f>-'Foglio deposito bis'!$F$82*(C1783-sezione!$AP$34)*IF(ABS(O1783)&lt;'Sollecitazioni nel paramento'!$G$58,ABS(O1783)*'Sollecitazioni nel paramento'!$G$54,'Sollecitazioni nel paramento'!$G$53)</f>
        <v>547944107.51832306</v>
      </c>
      <c r="J1783" s="472">
        <f t="shared" si="123"/>
        <v>602195317.40077329</v>
      </c>
      <c r="K1783" s="550">
        <f>'Sollecitazioni nel paramento'!$G$60*(sezione!$AL$34-C1783)/C1783</f>
        <v>3.8195887079864798E-3</v>
      </c>
      <c r="L1783" s="550">
        <f>'Sollecitazioni nel paramento'!$G$60*(sezione!$AM$34-C1783)/C1783</f>
        <v>7.4793830619797191E-3</v>
      </c>
      <c r="M1783" s="551">
        <f>'Sollecitazioni nel paramento'!$G$60*(sezione!$AN$34-C1783)/C1783</f>
        <v>1.1139177415972959E-2</v>
      </c>
      <c r="N1783" s="551">
        <f>'Sollecitazioni nel paramento'!$G$60*(sezione!$AO$34-C1783)/C1783</f>
        <v>2.5778354831945918E-2</v>
      </c>
      <c r="O1783" s="551">
        <f>'Sollecitazioni nel paramento'!$G$60*(sezione!$AP$34-C1783)/C1783</f>
        <v>0.11234707795868008</v>
      </c>
      <c r="P1783" s="545">
        <f>-'Sollecitazioni nel paramento'!$G$47*'Sollecitazioni nel paramento'!$G$41*IF(DATI!$G$211="dx",DATI!$E$61,DATI!$E$64*DATI!$E$63)*1000*C1783*sezione!$AD$5</f>
        <v>-728672.08975559974</v>
      </c>
      <c r="Q1783" s="545">
        <f>'Foglio deposito bis'!$F$78*IF(ABS(K1783)&lt;'Sollecitazioni nel paramento'!$G$58,ABS(K1783)*'Sollecitazioni nel paramento'!$G$54,'Sollecitazioni nel paramento'!$G$53)*IF(K1783&lt;0,-1,1)</f>
        <v>0</v>
      </c>
      <c r="R1783" s="545">
        <f>'Foglio deposito bis'!$F$79*IF(ABS(L1783)&lt;'Sollecitazioni nel paramento'!$G$58,ABS(L1783)*'Sollecitazioni nel paramento'!$G$54,'Sollecitazioni nel paramento'!$G$53)*IF(L1783&lt;0,-1,1)</f>
        <v>153664.85805602249</v>
      </c>
      <c r="S1783" s="545">
        <f>'Foglio deposito bis'!$F$80*IF(ABS(M1783)&lt;'Sollecitazioni nel paramento'!$G$58,ABS(M1783)*'Sollecitazioni nel paramento'!$G$54,'Sollecitazioni nel paramento'!$G$53)*IF(M1783&lt;0,-1,1)</f>
        <v>0</v>
      </c>
      <c r="T1783" s="545">
        <f>'Foglio deposito bis'!$F$81*IF(ABS(N1783)&lt;'Sollecitazioni nel paramento'!$G$58,ABS(N1783)*'Sollecitazioni nel paramento'!$G$54,'Sollecitazioni nel paramento'!$G$53)*IF(N1783&lt;0,-1,1)</f>
        <v>398299.31208121032</v>
      </c>
      <c r="U1783" s="545">
        <f>'Foglio deposito bis'!$F$82*IF(ABS(O1783)&lt;'Sollecitazioni nel paramento'!$G$58,ABS(O1783)*'Sollecitazioni nel paramento'!$G$54,'Sollecitazioni nel paramento'!$G$53)*IF(O1783&lt;0,-1,1)</f>
        <v>892485.49558937876</v>
      </c>
      <c r="V1783" s="472">
        <f t="shared" si="125"/>
        <v>715777.57597101177</v>
      </c>
      <c r="W1783" s="551"/>
      <c r="X1783" s="551"/>
    </row>
    <row r="1784" spans="1:24" x14ac:dyDescent="0.25">
      <c r="A1784" s="545">
        <f t="shared" si="124"/>
        <v>698428.24050064036</v>
      </c>
      <c r="B1784" s="3">
        <f t="shared" si="126"/>
        <v>2.1500000000000004</v>
      </c>
      <c r="C1784" s="545">
        <f>'Foglio deposito bis'!$E$160/sezione!$B$247*B1784</f>
        <v>19.582156737432644</v>
      </c>
      <c r="D1784" s="603">
        <f>-'Sollecitazioni nel paramento'!$G$47*'Sollecitazioni nel paramento'!$G$41*IF(DATI!$G$211="dx",DATI!$E$61,DATI!$E$64*DATI!$E$63)*1000*C1784^2*sezione!$AD$5*(1-sezione!$AD$6)</f>
        <v>-8531485.7513025906</v>
      </c>
      <c r="E1784" s="545">
        <f>-'Foglio deposito bis'!$F$78*(C1784-sezione!$AL$34)*IF(ABS(K1784)&lt;'Sollecitazioni nel paramento'!$G$58,ABS(K1784)*'Sollecitazioni nel paramento'!$G$54,'Sollecitazioni nel paramento'!$G$53)</f>
        <v>0</v>
      </c>
      <c r="F1784" s="545">
        <f>-'Foglio deposito bis'!$F$79*(C1784-sezione!$AM$34)*IF(ABS(L1784)&lt;'Sollecitazioni nel paramento'!$G$58,ABS(L1784)*'Sollecitazioni nel paramento'!$G$54,'Sollecitazioni nel paramento'!$G$53)</f>
        <v>6210802.1478729779</v>
      </c>
      <c r="G1784" s="545">
        <f>-'Foglio deposito bis'!$F$80*(C1784-sezione!$AN$34)*IF(ABS(M1784)&lt;'Sollecitazioni nel paramento'!$G$58,ABS(M1784)*'Sollecitazioni nel paramento'!$G$54,'Sollecitazioni nel paramento'!$G$53)</f>
        <v>0</v>
      </c>
      <c r="H1784" s="545">
        <f>-'Foglio deposito bis'!$F$81*(C1784-sezione!$AO$34)*IF(ABS(N1784)&lt;'Sollecitazioni nel paramento'!$G$58,ABS(N1784)*'Sollecitazioni nel paramento'!$G$54,'Sollecitazioni nel paramento'!$G$53)</f>
        <v>55928330.375407785</v>
      </c>
      <c r="I1784" s="472">
        <f>-'Foglio deposito bis'!$F$82*(C1784-sezione!$AP$34)*IF(ABS(O1784)&lt;'Sollecitazioni nel paramento'!$G$58,ABS(O1784)*'Sollecitazioni nel paramento'!$G$54,'Sollecitazioni nel paramento'!$G$53)</f>
        <v>547537670.52156687</v>
      </c>
      <c r="J1784" s="472">
        <f t="shared" si="123"/>
        <v>601145317.29354501</v>
      </c>
      <c r="K1784" s="550">
        <f>'Sollecitazioni nel paramento'!$G$60*(sezione!$AL$34-C1784)/C1784</f>
        <v>3.649365714777491E-3</v>
      </c>
      <c r="L1784" s="550">
        <f>'Sollecitazioni nel paramento'!$G$60*(sezione!$AM$34-C1784)/C1784</f>
        <v>7.2240485721662374E-3</v>
      </c>
      <c r="M1784" s="551">
        <f>'Sollecitazioni nel paramento'!$G$60*(sezione!$AN$34-C1784)/C1784</f>
        <v>1.0798731429554983E-2</v>
      </c>
      <c r="N1784" s="551">
        <f>'Sollecitazioni nel paramento'!$G$60*(sezione!$AO$34-C1784)/C1784</f>
        <v>2.5097462859109961E-2</v>
      </c>
      <c r="O1784" s="551">
        <f>'Sollecitazioni nel paramento'!$G$60*(sezione!$AP$34-C1784)/C1784</f>
        <v>0.10965295986661774</v>
      </c>
      <c r="P1784" s="545">
        <f>-'Sollecitazioni nel paramento'!$G$47*'Sollecitazioni nel paramento'!$G$41*IF(DATI!$G$211="dx",DATI!$E$61,DATI!$E$64*DATI!$E$63)*1000*C1784*sezione!$AD$5</f>
        <v>-746021.42522597127</v>
      </c>
      <c r="Q1784" s="545">
        <f>'Foglio deposito bis'!$F$78*IF(ABS(K1784)&lt;'Sollecitazioni nel paramento'!$G$58,ABS(K1784)*'Sollecitazioni nel paramento'!$G$54,'Sollecitazioni nel paramento'!$G$53)*IF(K1784&lt;0,-1,1)</f>
        <v>0</v>
      </c>
      <c r="R1784" s="545">
        <f>'Foglio deposito bis'!$F$79*IF(ABS(L1784)&lt;'Sollecitazioni nel paramento'!$G$58,ABS(L1784)*'Sollecitazioni nel paramento'!$G$54,'Sollecitazioni nel paramento'!$G$53)*IF(L1784&lt;0,-1,1)</f>
        <v>153664.85805602249</v>
      </c>
      <c r="S1784" s="545">
        <f>'Foglio deposito bis'!$F$80*IF(ABS(M1784)&lt;'Sollecitazioni nel paramento'!$G$58,ABS(M1784)*'Sollecitazioni nel paramento'!$G$54,'Sollecitazioni nel paramento'!$G$53)*IF(M1784&lt;0,-1,1)</f>
        <v>0</v>
      </c>
      <c r="T1784" s="545">
        <f>'Foglio deposito bis'!$F$81*IF(ABS(N1784)&lt;'Sollecitazioni nel paramento'!$G$58,ABS(N1784)*'Sollecitazioni nel paramento'!$G$54,'Sollecitazioni nel paramento'!$G$53)*IF(N1784&lt;0,-1,1)</f>
        <v>398299.31208121032</v>
      </c>
      <c r="U1784" s="545">
        <f>'Foglio deposito bis'!$F$82*IF(ABS(O1784)&lt;'Sollecitazioni nel paramento'!$G$58,ABS(O1784)*'Sollecitazioni nel paramento'!$G$54,'Sollecitazioni nel paramento'!$G$53)*IF(O1784&lt;0,-1,1)</f>
        <v>892485.49558937876</v>
      </c>
      <c r="V1784" s="472">
        <f t="shared" si="125"/>
        <v>698428.24050064036</v>
      </c>
      <c r="W1784" s="551"/>
      <c r="X1784" s="551"/>
    </row>
    <row r="1785" spans="1:24" x14ac:dyDescent="0.25">
      <c r="A1785" s="545">
        <f t="shared" si="124"/>
        <v>681078.90503026894</v>
      </c>
      <c r="B1785" s="3">
        <f t="shared" si="126"/>
        <v>2.2000000000000002</v>
      </c>
      <c r="C1785" s="545">
        <f>'Foglio deposito bis'!$E$160/sezione!$B$247*B1785</f>
        <v>20.037555731326425</v>
      </c>
      <c r="D1785" s="603">
        <f>-'Sollecitazioni nel paramento'!$G$47*'Sollecitazioni nel paramento'!$G$41*IF(DATI!$G$211="dx",DATI!$E$61,DATI!$E$64*DATI!$E$63)*1000*C1785^2*sezione!$AD$5*(1-sezione!$AD$6)</f>
        <v>-8932913.1500929203</v>
      </c>
      <c r="E1785" s="545">
        <f>-'Foglio deposito bis'!$F$78*(C1785-sezione!$AL$34)*IF(ABS(K1785)&lt;'Sollecitazioni nel paramento'!$G$58,ABS(K1785)*'Sollecitazioni nel paramento'!$G$54,'Sollecitazioni nel paramento'!$G$53)</f>
        <v>0</v>
      </c>
      <c r="F1785" s="545">
        <f>-'Foglio deposito bis'!$F$79*(C1785-sezione!$AM$34)*IF(ABS(L1785)&lt;'Sollecitazioni nel paramento'!$G$58,ABS(L1785)*'Sollecitazioni nel paramento'!$G$54,'Sollecitazioni nel paramento'!$G$53)</f>
        <v>6140823.3261174345</v>
      </c>
      <c r="G1785" s="545">
        <f>-'Foglio deposito bis'!$F$80*(C1785-sezione!$AN$34)*IF(ABS(M1785)&lt;'Sollecitazioni nel paramento'!$G$58,ABS(M1785)*'Sollecitazioni nel paramento'!$G$54,'Sollecitazioni nel paramento'!$G$53)</f>
        <v>0</v>
      </c>
      <c r="H1785" s="545">
        <f>-'Foglio deposito bis'!$F$81*(C1785-sezione!$AO$34)*IF(ABS(N1785)&lt;'Sollecitazioni nel paramento'!$G$58,ABS(N1785)*'Sollecitazioni nel paramento'!$G$54,'Sollecitazioni nel paramento'!$G$53)</f>
        <v>55746945.269417427</v>
      </c>
      <c r="I1785" s="472">
        <f>-'Foglio deposito bis'!$F$82*(C1785-sezione!$AP$34)*IF(ABS(O1785)&lt;'Sollecitazioni nel paramento'!$G$58,ABS(O1785)*'Sollecitazioni nel paramento'!$G$54,'Sollecitazioni nel paramento'!$G$53)</f>
        <v>547131233.52481067</v>
      </c>
      <c r="J1785" s="472">
        <f t="shared" si="123"/>
        <v>600086088.97025263</v>
      </c>
      <c r="K1785" s="550">
        <f>'Sollecitazioni nel paramento'!$G$60*(sezione!$AL$34-C1785)/C1785</f>
        <v>3.4868801303507306E-3</v>
      </c>
      <c r="L1785" s="550">
        <f>'Sollecitazioni nel paramento'!$G$60*(sezione!$AM$34-C1785)/C1785</f>
        <v>6.9803201955260961E-3</v>
      </c>
      <c r="M1785" s="551">
        <f>'Sollecitazioni nel paramento'!$G$60*(sezione!$AN$34-C1785)/C1785</f>
        <v>1.0473760260701463E-2</v>
      </c>
      <c r="N1785" s="551">
        <f>'Sollecitazioni nel paramento'!$G$60*(sezione!$AO$34-C1785)/C1785</f>
        <v>2.4447520521402925E-2</v>
      </c>
      <c r="O1785" s="551">
        <f>'Sollecitazioni nel paramento'!$G$60*(sezione!$AP$34-C1785)/C1785</f>
        <v>0.107081301687831</v>
      </c>
      <c r="P1785" s="545">
        <f>-'Sollecitazioni nel paramento'!$G$47*'Sollecitazioni nel paramento'!$G$41*IF(DATI!$G$211="dx",DATI!$E$61,DATI!$E$64*DATI!$E$63)*1000*C1785*sezione!$AD$5</f>
        <v>-763370.76069634268</v>
      </c>
      <c r="Q1785" s="545">
        <f>'Foglio deposito bis'!$F$78*IF(ABS(K1785)&lt;'Sollecitazioni nel paramento'!$G$58,ABS(K1785)*'Sollecitazioni nel paramento'!$G$54,'Sollecitazioni nel paramento'!$G$53)*IF(K1785&lt;0,-1,1)</f>
        <v>0</v>
      </c>
      <c r="R1785" s="545">
        <f>'Foglio deposito bis'!$F$79*IF(ABS(L1785)&lt;'Sollecitazioni nel paramento'!$G$58,ABS(L1785)*'Sollecitazioni nel paramento'!$G$54,'Sollecitazioni nel paramento'!$G$53)*IF(L1785&lt;0,-1,1)</f>
        <v>153664.85805602249</v>
      </c>
      <c r="S1785" s="545">
        <f>'Foglio deposito bis'!$F$80*IF(ABS(M1785)&lt;'Sollecitazioni nel paramento'!$G$58,ABS(M1785)*'Sollecitazioni nel paramento'!$G$54,'Sollecitazioni nel paramento'!$G$53)*IF(M1785&lt;0,-1,1)</f>
        <v>0</v>
      </c>
      <c r="T1785" s="545">
        <f>'Foglio deposito bis'!$F$81*IF(ABS(N1785)&lt;'Sollecitazioni nel paramento'!$G$58,ABS(N1785)*'Sollecitazioni nel paramento'!$G$54,'Sollecitazioni nel paramento'!$G$53)*IF(N1785&lt;0,-1,1)</f>
        <v>398299.31208121032</v>
      </c>
      <c r="U1785" s="545">
        <f>'Foglio deposito bis'!$F$82*IF(ABS(O1785)&lt;'Sollecitazioni nel paramento'!$G$58,ABS(O1785)*'Sollecitazioni nel paramento'!$G$54,'Sollecitazioni nel paramento'!$G$53)*IF(O1785&lt;0,-1,1)</f>
        <v>892485.49558937876</v>
      </c>
      <c r="V1785" s="472">
        <f t="shared" si="125"/>
        <v>681078.90503026894</v>
      </c>
      <c r="W1785" s="551"/>
      <c r="X1785" s="551"/>
    </row>
    <row r="1786" spans="1:24" x14ac:dyDescent="0.25">
      <c r="A1786" s="545">
        <f t="shared" si="124"/>
        <v>663729.56955989753</v>
      </c>
      <c r="B1786" s="3">
        <f t="shared" si="126"/>
        <v>2.25</v>
      </c>
      <c r="C1786" s="545">
        <f>'Foglio deposito bis'!$E$160/sezione!$B$247*B1786</f>
        <v>20.492954725220205</v>
      </c>
      <c r="D1786" s="603">
        <f>-'Sollecitazioni nel paramento'!$G$47*'Sollecitazioni nel paramento'!$G$41*IF(DATI!$G$211="dx",DATI!$E$61,DATI!$E$64*DATI!$E$63)*1000*C1786^2*sezione!$AD$5*(1-sezione!$AD$6)</f>
        <v>-9343568.7649473976</v>
      </c>
      <c r="E1786" s="545">
        <f>-'Foglio deposito bis'!$F$78*(C1786-sezione!$AL$34)*IF(ABS(K1786)&lt;'Sollecitazioni nel paramento'!$G$58,ABS(K1786)*'Sollecitazioni nel paramento'!$G$54,'Sollecitazioni nel paramento'!$G$53)</f>
        <v>0</v>
      </c>
      <c r="F1786" s="545">
        <f>-'Foglio deposito bis'!$F$79*(C1786-sezione!$AM$34)*IF(ABS(L1786)&lt;'Sollecitazioni nel paramento'!$G$58,ABS(L1786)*'Sollecitazioni nel paramento'!$G$54,'Sollecitazioni nel paramento'!$G$53)</f>
        <v>6070844.5043618921</v>
      </c>
      <c r="G1786" s="545">
        <f>-'Foglio deposito bis'!$F$80*(C1786-sezione!$AN$34)*IF(ABS(M1786)&lt;'Sollecitazioni nel paramento'!$G$58,ABS(M1786)*'Sollecitazioni nel paramento'!$G$54,'Sollecitazioni nel paramento'!$G$53)</f>
        <v>0</v>
      </c>
      <c r="H1786" s="545">
        <f>-'Foglio deposito bis'!$F$81*(C1786-sezione!$AO$34)*IF(ABS(N1786)&lt;'Sollecitazioni nel paramento'!$G$58,ABS(N1786)*'Sollecitazioni nel paramento'!$G$54,'Sollecitazioni nel paramento'!$G$53)</f>
        <v>55565560.163427047</v>
      </c>
      <c r="I1786" s="472">
        <f>-'Foglio deposito bis'!$F$82*(C1786-sezione!$AP$34)*IF(ABS(O1786)&lt;'Sollecitazioni nel paramento'!$G$58,ABS(O1786)*'Sollecitazioni nel paramento'!$G$54,'Sollecitazioni nel paramento'!$G$53)</f>
        <v>546724796.52805448</v>
      </c>
      <c r="J1786" s="472">
        <f t="shared" si="123"/>
        <v>599017632.43089604</v>
      </c>
      <c r="K1786" s="550">
        <f>'Sollecitazioni nel paramento'!$G$60*(sezione!$AL$34-C1786)/C1786</f>
        <v>3.3316161274540485E-3</v>
      </c>
      <c r="L1786" s="550">
        <f>'Sollecitazioni nel paramento'!$G$60*(sezione!$AM$34-C1786)/C1786</f>
        <v>6.7474241911810728E-3</v>
      </c>
      <c r="M1786" s="551">
        <f>'Sollecitazioni nel paramento'!$G$60*(sezione!$AN$34-C1786)/C1786</f>
        <v>1.0163232254908098E-2</v>
      </c>
      <c r="N1786" s="551">
        <f>'Sollecitazioni nel paramento'!$G$60*(sezione!$AO$34-C1786)/C1786</f>
        <v>2.3826464509816191E-2</v>
      </c>
      <c r="O1786" s="551">
        <f>'Sollecitazioni nel paramento'!$G$60*(sezione!$AP$34-C1786)/C1786</f>
        <v>0.10462393942810143</v>
      </c>
      <c r="P1786" s="545">
        <f>-'Sollecitazioni nel paramento'!$G$47*'Sollecitazioni nel paramento'!$G$41*IF(DATI!$G$211="dx",DATI!$E$61,DATI!$E$64*DATI!$E$63)*1000*C1786*sezione!$AD$5</f>
        <v>-780720.09616671398</v>
      </c>
      <c r="Q1786" s="545">
        <f>'Foglio deposito bis'!$F$78*IF(ABS(K1786)&lt;'Sollecitazioni nel paramento'!$G$58,ABS(K1786)*'Sollecitazioni nel paramento'!$G$54,'Sollecitazioni nel paramento'!$G$53)*IF(K1786&lt;0,-1,1)</f>
        <v>0</v>
      </c>
      <c r="R1786" s="545">
        <f>'Foglio deposito bis'!$F$79*IF(ABS(L1786)&lt;'Sollecitazioni nel paramento'!$G$58,ABS(L1786)*'Sollecitazioni nel paramento'!$G$54,'Sollecitazioni nel paramento'!$G$53)*IF(L1786&lt;0,-1,1)</f>
        <v>153664.85805602249</v>
      </c>
      <c r="S1786" s="545">
        <f>'Foglio deposito bis'!$F$80*IF(ABS(M1786)&lt;'Sollecitazioni nel paramento'!$G$58,ABS(M1786)*'Sollecitazioni nel paramento'!$G$54,'Sollecitazioni nel paramento'!$G$53)*IF(M1786&lt;0,-1,1)</f>
        <v>0</v>
      </c>
      <c r="T1786" s="545">
        <f>'Foglio deposito bis'!$F$81*IF(ABS(N1786)&lt;'Sollecitazioni nel paramento'!$G$58,ABS(N1786)*'Sollecitazioni nel paramento'!$G$54,'Sollecitazioni nel paramento'!$G$53)*IF(N1786&lt;0,-1,1)</f>
        <v>398299.31208121032</v>
      </c>
      <c r="U1786" s="545">
        <f>'Foglio deposito bis'!$F$82*IF(ABS(O1786)&lt;'Sollecitazioni nel paramento'!$G$58,ABS(O1786)*'Sollecitazioni nel paramento'!$G$54,'Sollecitazioni nel paramento'!$G$53)*IF(O1786&lt;0,-1,1)</f>
        <v>892485.49558937876</v>
      </c>
      <c r="V1786" s="472">
        <f t="shared" si="125"/>
        <v>663729.56955989753</v>
      </c>
      <c r="W1786" s="551"/>
      <c r="X1786" s="551"/>
    </row>
    <row r="1787" spans="1:24" x14ac:dyDescent="0.25">
      <c r="A1787" s="545">
        <f t="shared" si="124"/>
        <v>646380.23408952611</v>
      </c>
      <c r="B1787" s="3">
        <f t="shared" si="126"/>
        <v>2.2999999999999998</v>
      </c>
      <c r="C1787" s="545">
        <f>'Foglio deposito bis'!$E$160/sezione!$B$247*B1787</f>
        <v>20.948353719113985</v>
      </c>
      <c r="D1787" s="603">
        <f>-'Sollecitazioni nel paramento'!$G$47*'Sollecitazioni nel paramento'!$G$41*IF(DATI!$G$211="dx",DATI!$E$61,DATI!$E$64*DATI!$E$63)*1000*C1787^2*sezione!$AD$5*(1-sezione!$AD$6)</f>
        <v>-9763452.595866017</v>
      </c>
      <c r="E1787" s="545">
        <f>-'Foglio deposito bis'!$F$78*(C1787-sezione!$AL$34)*IF(ABS(K1787)&lt;'Sollecitazioni nel paramento'!$G$58,ABS(K1787)*'Sollecitazioni nel paramento'!$G$54,'Sollecitazioni nel paramento'!$G$53)</f>
        <v>0</v>
      </c>
      <c r="F1787" s="545">
        <f>-'Foglio deposito bis'!$F$79*(C1787-sezione!$AM$34)*IF(ABS(L1787)&lt;'Sollecitazioni nel paramento'!$G$58,ABS(L1787)*'Sollecitazioni nel paramento'!$G$54,'Sollecitazioni nel paramento'!$G$53)</f>
        <v>6000865.6826063488</v>
      </c>
      <c r="G1787" s="545">
        <f>-'Foglio deposito bis'!$F$80*(C1787-sezione!$AN$34)*IF(ABS(M1787)&lt;'Sollecitazioni nel paramento'!$G$58,ABS(M1787)*'Sollecitazioni nel paramento'!$G$54,'Sollecitazioni nel paramento'!$G$53)</f>
        <v>0</v>
      </c>
      <c r="H1787" s="545">
        <f>-'Foglio deposito bis'!$F$81*(C1787-sezione!$AO$34)*IF(ABS(N1787)&lt;'Sollecitazioni nel paramento'!$G$58,ABS(N1787)*'Sollecitazioni nel paramento'!$G$54,'Sollecitazioni nel paramento'!$G$53)</f>
        <v>55384175.057436682</v>
      </c>
      <c r="I1787" s="472">
        <f>-'Foglio deposito bis'!$F$82*(C1787-sezione!$AP$34)*IF(ABS(O1787)&lt;'Sollecitazioni nel paramento'!$G$58,ABS(O1787)*'Sollecitazioni nel paramento'!$G$54,'Sollecitazioni nel paramento'!$G$53)</f>
        <v>546318359.53129816</v>
      </c>
      <c r="J1787" s="472">
        <f t="shared" si="123"/>
        <v>597939947.67547512</v>
      </c>
      <c r="K1787" s="550">
        <f>'Sollecitazioni nel paramento'!$G$60*(sezione!$AL$34-C1787)/C1787</f>
        <v>3.183102733378961E-3</v>
      </c>
      <c r="L1787" s="550">
        <f>'Sollecitazioni nel paramento'!$G$60*(sezione!$AM$34-C1787)/C1787</f>
        <v>6.5246541000684418E-3</v>
      </c>
      <c r="M1787" s="551">
        <f>'Sollecitazioni nel paramento'!$G$60*(sezione!$AN$34-C1787)/C1787</f>
        <v>9.8662054667579234E-3</v>
      </c>
      <c r="N1787" s="551">
        <f>'Sollecitazioni nel paramento'!$G$60*(sezione!$AO$34-C1787)/C1787</f>
        <v>2.3232410933515846E-2</v>
      </c>
      <c r="O1787" s="551">
        <f>'Sollecitazioni nel paramento'!$G$60*(sezione!$AP$34-C1787)/C1787</f>
        <v>0.10227341900575139</v>
      </c>
      <c r="P1787" s="545">
        <f>-'Sollecitazioni nel paramento'!$G$47*'Sollecitazioni nel paramento'!$G$41*IF(DATI!$G$211="dx",DATI!$E$61,DATI!$E$64*DATI!$E$63)*1000*C1787*sezione!$AD$5</f>
        <v>-798069.43163708539</v>
      </c>
      <c r="Q1787" s="545">
        <f>'Foglio deposito bis'!$F$78*IF(ABS(K1787)&lt;'Sollecitazioni nel paramento'!$G$58,ABS(K1787)*'Sollecitazioni nel paramento'!$G$54,'Sollecitazioni nel paramento'!$G$53)*IF(K1787&lt;0,-1,1)</f>
        <v>0</v>
      </c>
      <c r="R1787" s="545">
        <f>'Foglio deposito bis'!$F$79*IF(ABS(L1787)&lt;'Sollecitazioni nel paramento'!$G$58,ABS(L1787)*'Sollecitazioni nel paramento'!$G$54,'Sollecitazioni nel paramento'!$G$53)*IF(L1787&lt;0,-1,1)</f>
        <v>153664.85805602249</v>
      </c>
      <c r="S1787" s="545">
        <f>'Foglio deposito bis'!$F$80*IF(ABS(M1787)&lt;'Sollecitazioni nel paramento'!$G$58,ABS(M1787)*'Sollecitazioni nel paramento'!$G$54,'Sollecitazioni nel paramento'!$G$53)*IF(M1787&lt;0,-1,1)</f>
        <v>0</v>
      </c>
      <c r="T1787" s="545">
        <f>'Foglio deposito bis'!$F$81*IF(ABS(N1787)&lt;'Sollecitazioni nel paramento'!$G$58,ABS(N1787)*'Sollecitazioni nel paramento'!$G$54,'Sollecitazioni nel paramento'!$G$53)*IF(N1787&lt;0,-1,1)</f>
        <v>398299.31208121032</v>
      </c>
      <c r="U1787" s="545">
        <f>'Foglio deposito bis'!$F$82*IF(ABS(O1787)&lt;'Sollecitazioni nel paramento'!$G$58,ABS(O1787)*'Sollecitazioni nel paramento'!$G$54,'Sollecitazioni nel paramento'!$G$53)*IF(O1787&lt;0,-1,1)</f>
        <v>892485.49558937876</v>
      </c>
      <c r="V1787" s="472">
        <f t="shared" si="125"/>
        <v>646380.23408952611</v>
      </c>
      <c r="W1787" s="551"/>
      <c r="X1787" s="551"/>
    </row>
    <row r="1788" spans="1:24" x14ac:dyDescent="0.25">
      <c r="A1788" s="545">
        <f t="shared" si="124"/>
        <v>629030.89861915493</v>
      </c>
      <c r="B1788" s="3">
        <f t="shared" si="126"/>
        <v>2.3499999999999996</v>
      </c>
      <c r="C1788" s="545">
        <f>'Foglio deposito bis'!$E$160/sezione!$B$247*B1788</f>
        <v>21.403752713007766</v>
      </c>
      <c r="D1788" s="603">
        <f>-'Sollecitazioni nel paramento'!$G$47*'Sollecitazioni nel paramento'!$G$41*IF(DATI!$G$211="dx",DATI!$E$61,DATI!$E$64*DATI!$E$63)*1000*C1788^2*sezione!$AD$5*(1-sezione!$AD$6)</f>
        <v>-10192564.642848788</v>
      </c>
      <c r="E1788" s="545">
        <f>-'Foglio deposito bis'!$F$78*(C1788-sezione!$AL$34)*IF(ABS(K1788)&lt;'Sollecitazioni nel paramento'!$G$58,ABS(K1788)*'Sollecitazioni nel paramento'!$G$54,'Sollecitazioni nel paramento'!$G$53)</f>
        <v>0</v>
      </c>
      <c r="F1788" s="545">
        <f>-'Foglio deposito bis'!$F$79*(C1788-sezione!$AM$34)*IF(ABS(L1788)&lt;'Sollecitazioni nel paramento'!$G$58,ABS(L1788)*'Sollecitazioni nel paramento'!$G$54,'Sollecitazioni nel paramento'!$G$53)</f>
        <v>5930886.8608508054</v>
      </c>
      <c r="G1788" s="545">
        <f>-'Foglio deposito bis'!$F$80*(C1788-sezione!$AN$34)*IF(ABS(M1788)&lt;'Sollecitazioni nel paramento'!$G$58,ABS(M1788)*'Sollecitazioni nel paramento'!$G$54,'Sollecitazioni nel paramento'!$G$53)</f>
        <v>0</v>
      </c>
      <c r="H1788" s="545">
        <f>-'Foglio deposito bis'!$F$81*(C1788-sezione!$AO$34)*IF(ABS(N1788)&lt;'Sollecitazioni nel paramento'!$G$58,ABS(N1788)*'Sollecitazioni nel paramento'!$G$54,'Sollecitazioni nel paramento'!$G$53)</f>
        <v>55202789.951446317</v>
      </c>
      <c r="I1788" s="472">
        <f>-'Foglio deposito bis'!$F$82*(C1788-sezione!$AP$34)*IF(ABS(O1788)&lt;'Sollecitazioni nel paramento'!$G$58,ABS(O1788)*'Sollecitazioni nel paramento'!$G$54,'Sollecitazioni nel paramento'!$G$53)</f>
        <v>545911922.53454208</v>
      </c>
      <c r="J1788" s="472">
        <f t="shared" si="123"/>
        <v>596853034.70399046</v>
      </c>
      <c r="K1788" s="550">
        <f>'Sollecitazioni nel paramento'!$G$60*(sezione!$AL$34-C1788)/C1788</f>
        <v>3.0409090582006857E-3</v>
      </c>
      <c r="L1788" s="550">
        <f>'Sollecitazioni nel paramento'!$G$60*(sezione!$AM$34-C1788)/C1788</f>
        <v>6.3113635873010294E-3</v>
      </c>
      <c r="M1788" s="551">
        <f>'Sollecitazioni nel paramento'!$G$60*(sezione!$AN$34-C1788)/C1788</f>
        <v>9.5818181164013718E-3</v>
      </c>
      <c r="N1788" s="551">
        <f>'Sollecitazioni nel paramento'!$G$60*(sezione!$AO$34-C1788)/C1788</f>
        <v>2.266363623280274E-2</v>
      </c>
      <c r="O1788" s="551">
        <f>'Sollecitazioni nel paramento'!$G$60*(sezione!$AP$34-C1788)/C1788</f>
        <v>0.10002292072903331</v>
      </c>
      <c r="P1788" s="545">
        <f>-'Sollecitazioni nel paramento'!$G$47*'Sollecitazioni nel paramento'!$G$41*IF(DATI!$G$211="dx",DATI!$E$61,DATI!$E$64*DATI!$E$63)*1000*C1788*sezione!$AD$5</f>
        <v>-815418.76710745669</v>
      </c>
      <c r="Q1788" s="545">
        <f>'Foglio deposito bis'!$F$78*IF(ABS(K1788)&lt;'Sollecitazioni nel paramento'!$G$58,ABS(K1788)*'Sollecitazioni nel paramento'!$G$54,'Sollecitazioni nel paramento'!$G$53)*IF(K1788&lt;0,-1,1)</f>
        <v>0</v>
      </c>
      <c r="R1788" s="545">
        <f>'Foglio deposito bis'!$F$79*IF(ABS(L1788)&lt;'Sollecitazioni nel paramento'!$G$58,ABS(L1788)*'Sollecitazioni nel paramento'!$G$54,'Sollecitazioni nel paramento'!$G$53)*IF(L1788&lt;0,-1,1)</f>
        <v>153664.85805602249</v>
      </c>
      <c r="S1788" s="545">
        <f>'Foglio deposito bis'!$F$80*IF(ABS(M1788)&lt;'Sollecitazioni nel paramento'!$G$58,ABS(M1788)*'Sollecitazioni nel paramento'!$G$54,'Sollecitazioni nel paramento'!$G$53)*IF(M1788&lt;0,-1,1)</f>
        <v>0</v>
      </c>
      <c r="T1788" s="545">
        <f>'Foglio deposito bis'!$F$81*IF(ABS(N1788)&lt;'Sollecitazioni nel paramento'!$G$58,ABS(N1788)*'Sollecitazioni nel paramento'!$G$54,'Sollecitazioni nel paramento'!$G$53)*IF(N1788&lt;0,-1,1)</f>
        <v>398299.31208121032</v>
      </c>
      <c r="U1788" s="545">
        <f>'Foglio deposito bis'!$F$82*IF(ABS(O1788)&lt;'Sollecitazioni nel paramento'!$G$58,ABS(O1788)*'Sollecitazioni nel paramento'!$G$54,'Sollecitazioni nel paramento'!$G$53)*IF(O1788&lt;0,-1,1)</f>
        <v>892485.49558937876</v>
      </c>
      <c r="V1788" s="472">
        <f t="shared" si="125"/>
        <v>629030.89861915493</v>
      </c>
      <c r="W1788" s="551"/>
      <c r="X1788" s="551"/>
    </row>
    <row r="1789" spans="1:24" x14ac:dyDescent="0.25">
      <c r="A1789" s="545">
        <f t="shared" si="124"/>
        <v>611681.56314878352</v>
      </c>
      <c r="B1789" s="3">
        <f t="shared" si="126"/>
        <v>2.3999999999999995</v>
      </c>
      <c r="C1789" s="545">
        <f>'Foglio deposito bis'!$E$160/sezione!$B$247*B1789</f>
        <v>21.859151706901546</v>
      </c>
      <c r="D1789" s="603">
        <f>-'Sollecitazioni nel paramento'!$G$47*'Sollecitazioni nel paramento'!$G$41*IF(DATI!$G$211="dx",DATI!$E$61,DATI!$E$64*DATI!$E$63)*1000*C1789^2*sezione!$AD$5*(1-sezione!$AD$6)</f>
        <v>-10630904.905895697</v>
      </c>
      <c r="E1789" s="545">
        <f>-'Foglio deposito bis'!$F$78*(C1789-sezione!$AL$34)*IF(ABS(K1789)&lt;'Sollecitazioni nel paramento'!$G$58,ABS(K1789)*'Sollecitazioni nel paramento'!$G$54,'Sollecitazioni nel paramento'!$G$53)</f>
        <v>0</v>
      </c>
      <c r="F1789" s="545">
        <f>-'Foglio deposito bis'!$F$79*(C1789-sezione!$AM$34)*IF(ABS(L1789)&lt;'Sollecitazioni nel paramento'!$G$58,ABS(L1789)*'Sollecitazioni nel paramento'!$G$54,'Sollecitazioni nel paramento'!$G$53)</f>
        <v>5860908.039095263</v>
      </c>
      <c r="G1789" s="545">
        <f>-'Foglio deposito bis'!$F$80*(C1789-sezione!$AN$34)*IF(ABS(M1789)&lt;'Sollecitazioni nel paramento'!$G$58,ABS(M1789)*'Sollecitazioni nel paramento'!$G$54,'Sollecitazioni nel paramento'!$G$53)</f>
        <v>0</v>
      </c>
      <c r="H1789" s="545">
        <f>-'Foglio deposito bis'!$F$81*(C1789-sezione!$AO$34)*IF(ABS(N1789)&lt;'Sollecitazioni nel paramento'!$G$58,ABS(N1789)*'Sollecitazioni nel paramento'!$G$54,'Sollecitazioni nel paramento'!$G$53)</f>
        <v>55021404.845455952</v>
      </c>
      <c r="I1789" s="472">
        <f>-'Foglio deposito bis'!$F$82*(C1789-sezione!$AP$34)*IF(ABS(O1789)&lt;'Sollecitazioni nel paramento'!$G$58,ABS(O1789)*'Sollecitazioni nel paramento'!$G$54,'Sollecitazioni nel paramento'!$G$53)</f>
        <v>545505485.53778589</v>
      </c>
      <c r="J1789" s="472">
        <f t="shared" si="123"/>
        <v>595756893.51644135</v>
      </c>
      <c r="K1789" s="550">
        <f>'Sollecitazioni nel paramento'!$G$60*(sezione!$AL$34-C1789)/C1789</f>
        <v>2.904640119488172E-3</v>
      </c>
      <c r="L1789" s="550">
        <f>'Sollecitazioni nel paramento'!$G$60*(sezione!$AM$34-C1789)/C1789</f>
        <v>6.1069601792322582E-3</v>
      </c>
      <c r="M1789" s="551">
        <f>'Sollecitazioni nel paramento'!$G$60*(sezione!$AN$34-C1789)/C1789</f>
        <v>9.3092802389763453E-3</v>
      </c>
      <c r="N1789" s="551">
        <f>'Sollecitazioni nel paramento'!$G$60*(sezione!$AO$34-C1789)/C1789</f>
        <v>2.211856047795269E-2</v>
      </c>
      <c r="O1789" s="551">
        <f>'Sollecitazioni nel paramento'!$G$60*(sezione!$AP$34-C1789)/C1789</f>
        <v>9.7866193213845112E-2</v>
      </c>
      <c r="P1789" s="545">
        <f>-'Sollecitazioni nel paramento'!$G$47*'Sollecitazioni nel paramento'!$G$41*IF(DATI!$G$211="dx",DATI!$E$61,DATI!$E$64*DATI!$E$63)*1000*C1789*sezione!$AD$5</f>
        <v>-832768.10257782799</v>
      </c>
      <c r="Q1789" s="545">
        <f>'Foglio deposito bis'!$F$78*IF(ABS(K1789)&lt;'Sollecitazioni nel paramento'!$G$58,ABS(K1789)*'Sollecitazioni nel paramento'!$G$54,'Sollecitazioni nel paramento'!$G$53)*IF(K1789&lt;0,-1,1)</f>
        <v>0</v>
      </c>
      <c r="R1789" s="545">
        <f>'Foglio deposito bis'!$F$79*IF(ABS(L1789)&lt;'Sollecitazioni nel paramento'!$G$58,ABS(L1789)*'Sollecitazioni nel paramento'!$G$54,'Sollecitazioni nel paramento'!$G$53)*IF(L1789&lt;0,-1,1)</f>
        <v>153664.85805602249</v>
      </c>
      <c r="S1789" s="545">
        <f>'Foglio deposito bis'!$F$80*IF(ABS(M1789)&lt;'Sollecitazioni nel paramento'!$G$58,ABS(M1789)*'Sollecitazioni nel paramento'!$G$54,'Sollecitazioni nel paramento'!$G$53)*IF(M1789&lt;0,-1,1)</f>
        <v>0</v>
      </c>
      <c r="T1789" s="545">
        <f>'Foglio deposito bis'!$F$81*IF(ABS(N1789)&lt;'Sollecitazioni nel paramento'!$G$58,ABS(N1789)*'Sollecitazioni nel paramento'!$G$54,'Sollecitazioni nel paramento'!$G$53)*IF(N1789&lt;0,-1,1)</f>
        <v>398299.31208121032</v>
      </c>
      <c r="U1789" s="545">
        <f>'Foglio deposito bis'!$F$82*IF(ABS(O1789)&lt;'Sollecitazioni nel paramento'!$G$58,ABS(O1789)*'Sollecitazioni nel paramento'!$G$54,'Sollecitazioni nel paramento'!$G$53)*IF(O1789&lt;0,-1,1)</f>
        <v>892485.49558937876</v>
      </c>
      <c r="V1789" s="472">
        <f t="shared" si="125"/>
        <v>611681.56314878352</v>
      </c>
      <c r="W1789" s="551"/>
      <c r="X1789" s="551"/>
    </row>
    <row r="1790" spans="1:24" x14ac:dyDescent="0.25">
      <c r="A1790" s="545">
        <f t="shared" si="124"/>
        <v>594332.22767841234</v>
      </c>
      <c r="B1790" s="3">
        <f t="shared" si="126"/>
        <v>2.4499999999999993</v>
      </c>
      <c r="C1790" s="545">
        <f>'Foglio deposito bis'!$E$160/sezione!$B$247*B1790</f>
        <v>22.314550700795326</v>
      </c>
      <c r="D1790" s="603">
        <f>-'Sollecitazioni nel paramento'!$G$47*'Sollecitazioni nel paramento'!$G$41*IF(DATI!$G$211="dx",DATI!$E$61,DATI!$E$64*DATI!$E$63)*1000*C1790^2*sezione!$AD$5*(1-sezione!$AD$6)</f>
        <v>-11078473.385006759</v>
      </c>
      <c r="E1790" s="545">
        <f>-'Foglio deposito bis'!$F$78*(C1790-sezione!$AL$34)*IF(ABS(K1790)&lt;'Sollecitazioni nel paramento'!$G$58,ABS(K1790)*'Sollecitazioni nel paramento'!$G$54,'Sollecitazioni nel paramento'!$G$53)</f>
        <v>0</v>
      </c>
      <c r="F1790" s="545">
        <f>-'Foglio deposito bis'!$F$79*(C1790-sezione!$AM$34)*IF(ABS(L1790)&lt;'Sollecitazioni nel paramento'!$G$58,ABS(L1790)*'Sollecitazioni nel paramento'!$G$54,'Sollecitazioni nel paramento'!$G$53)</f>
        <v>5790929.2173397196</v>
      </c>
      <c r="G1790" s="545">
        <f>-'Foglio deposito bis'!$F$80*(C1790-sezione!$AN$34)*IF(ABS(M1790)&lt;'Sollecitazioni nel paramento'!$G$58,ABS(M1790)*'Sollecitazioni nel paramento'!$G$54,'Sollecitazioni nel paramento'!$G$53)</f>
        <v>0</v>
      </c>
      <c r="H1790" s="545">
        <f>-'Foglio deposito bis'!$F$81*(C1790-sezione!$AO$34)*IF(ABS(N1790)&lt;'Sollecitazioni nel paramento'!$G$58,ABS(N1790)*'Sollecitazioni nel paramento'!$G$54,'Sollecitazioni nel paramento'!$G$53)</f>
        <v>54840019.739465572</v>
      </c>
      <c r="I1790" s="472">
        <f>-'Foglio deposito bis'!$F$82*(C1790-sezione!$AP$34)*IF(ABS(O1790)&lt;'Sollecitazioni nel paramento'!$G$58,ABS(O1790)*'Sollecitazioni nel paramento'!$G$54,'Sollecitazioni nel paramento'!$G$53)</f>
        <v>545099048.54102969</v>
      </c>
      <c r="J1790" s="472">
        <f t="shared" si="123"/>
        <v>594651524.11282825</v>
      </c>
      <c r="K1790" s="550">
        <f>'Sollecitazioni nel paramento'!$G$60*(sezione!$AL$34-C1790)/C1790</f>
        <v>2.7739331782741287E-3</v>
      </c>
      <c r="L1790" s="550">
        <f>'Sollecitazioni nel paramento'!$G$60*(sezione!$AM$34-C1790)/C1790</f>
        <v>5.9108997674111926E-3</v>
      </c>
      <c r="M1790" s="551">
        <f>'Sollecitazioni nel paramento'!$G$60*(sezione!$AN$34-C1790)/C1790</f>
        <v>9.0478663565482578E-3</v>
      </c>
      <c r="N1790" s="551">
        <f>'Sollecitazioni nel paramento'!$G$60*(sezione!$AO$34-C1790)/C1790</f>
        <v>2.1595732713096512E-2</v>
      </c>
      <c r="O1790" s="551">
        <f>'Sollecitazioni nel paramento'!$G$60*(sezione!$AP$34-C1790)/C1790</f>
        <v>9.5797495393154422E-2</v>
      </c>
      <c r="P1790" s="545">
        <f>-'Sollecitazioni nel paramento'!$G$47*'Sollecitazioni nel paramento'!$G$41*IF(DATI!$G$211="dx",DATI!$E$61,DATI!$E$64*DATI!$E$63)*1000*C1790*sezione!$AD$5</f>
        <v>-850117.43804819928</v>
      </c>
      <c r="Q1790" s="545">
        <f>'Foglio deposito bis'!$F$78*IF(ABS(K1790)&lt;'Sollecitazioni nel paramento'!$G$58,ABS(K1790)*'Sollecitazioni nel paramento'!$G$54,'Sollecitazioni nel paramento'!$G$53)*IF(K1790&lt;0,-1,1)</f>
        <v>0</v>
      </c>
      <c r="R1790" s="545">
        <f>'Foglio deposito bis'!$F$79*IF(ABS(L1790)&lt;'Sollecitazioni nel paramento'!$G$58,ABS(L1790)*'Sollecitazioni nel paramento'!$G$54,'Sollecitazioni nel paramento'!$G$53)*IF(L1790&lt;0,-1,1)</f>
        <v>153664.85805602249</v>
      </c>
      <c r="S1790" s="545">
        <f>'Foglio deposito bis'!$F$80*IF(ABS(M1790)&lt;'Sollecitazioni nel paramento'!$G$58,ABS(M1790)*'Sollecitazioni nel paramento'!$G$54,'Sollecitazioni nel paramento'!$G$53)*IF(M1790&lt;0,-1,1)</f>
        <v>0</v>
      </c>
      <c r="T1790" s="545">
        <f>'Foglio deposito bis'!$F$81*IF(ABS(N1790)&lt;'Sollecitazioni nel paramento'!$G$58,ABS(N1790)*'Sollecitazioni nel paramento'!$G$54,'Sollecitazioni nel paramento'!$G$53)*IF(N1790&lt;0,-1,1)</f>
        <v>398299.31208121032</v>
      </c>
      <c r="U1790" s="545">
        <f>'Foglio deposito bis'!$F$82*IF(ABS(O1790)&lt;'Sollecitazioni nel paramento'!$G$58,ABS(O1790)*'Sollecitazioni nel paramento'!$G$54,'Sollecitazioni nel paramento'!$G$53)*IF(O1790&lt;0,-1,1)</f>
        <v>892485.49558937876</v>
      </c>
      <c r="V1790" s="472">
        <f t="shared" si="125"/>
        <v>594332.22767841234</v>
      </c>
      <c r="W1790" s="551"/>
      <c r="X1790" s="551"/>
    </row>
    <row r="1791" spans="1:24" x14ac:dyDescent="0.25">
      <c r="A1791" s="545">
        <f t="shared" si="124"/>
        <v>576982.89220804092</v>
      </c>
      <c r="B1791" s="3">
        <f t="shared" si="126"/>
        <v>2.4999999999999991</v>
      </c>
      <c r="C1791" s="545">
        <f>'Foglio deposito bis'!$E$160/sezione!$B$247*B1791</f>
        <v>22.769949694689107</v>
      </c>
      <c r="D1791" s="603">
        <f>-'Sollecitazioni nel paramento'!$G$47*'Sollecitazioni nel paramento'!$G$41*IF(DATI!$G$211="dx",DATI!$E$61,DATI!$E$64*DATI!$E$63)*1000*C1791^2*sezione!$AD$5*(1-sezione!$AD$6)</f>
        <v>-11535270.08018196</v>
      </c>
      <c r="E1791" s="545">
        <f>-'Foglio deposito bis'!$F$78*(C1791-sezione!$AL$34)*IF(ABS(K1791)&lt;'Sollecitazioni nel paramento'!$G$58,ABS(K1791)*'Sollecitazioni nel paramento'!$G$54,'Sollecitazioni nel paramento'!$G$53)</f>
        <v>0</v>
      </c>
      <c r="F1791" s="545">
        <f>-'Foglio deposito bis'!$F$79*(C1791-sezione!$AM$34)*IF(ABS(L1791)&lt;'Sollecitazioni nel paramento'!$G$58,ABS(L1791)*'Sollecitazioni nel paramento'!$G$54,'Sollecitazioni nel paramento'!$G$53)</f>
        <v>5720950.3955841754</v>
      </c>
      <c r="G1791" s="545">
        <f>-'Foglio deposito bis'!$F$80*(C1791-sezione!$AN$34)*IF(ABS(M1791)&lt;'Sollecitazioni nel paramento'!$G$58,ABS(M1791)*'Sollecitazioni nel paramento'!$G$54,'Sollecitazioni nel paramento'!$G$53)</f>
        <v>0</v>
      </c>
      <c r="H1791" s="545">
        <f>-'Foglio deposito bis'!$F$81*(C1791-sezione!$AO$34)*IF(ABS(N1791)&lt;'Sollecitazioni nel paramento'!$G$58,ABS(N1791)*'Sollecitazioni nel paramento'!$G$54,'Sollecitazioni nel paramento'!$G$53)</f>
        <v>54658634.633475214</v>
      </c>
      <c r="I1791" s="472">
        <f>-'Foglio deposito bis'!$F$82*(C1791-sezione!$AP$34)*IF(ABS(O1791)&lt;'Sollecitazioni nel paramento'!$G$58,ABS(O1791)*'Sollecitazioni nel paramento'!$G$54,'Sollecitazioni nel paramento'!$G$53)</f>
        <v>544692611.5442735</v>
      </c>
      <c r="J1791" s="472">
        <f t="shared" si="123"/>
        <v>593536926.49315095</v>
      </c>
      <c r="K1791" s="550">
        <f>'Sollecitazioni nel paramento'!$G$60*(sezione!$AL$34-C1791)/C1791</f>
        <v>2.6484545147086465E-3</v>
      </c>
      <c r="L1791" s="550">
        <f>'Sollecitazioni nel paramento'!$G$60*(sezione!$AM$34-C1791)/C1791</f>
        <v>5.7226817720629694E-3</v>
      </c>
      <c r="M1791" s="551">
        <f>'Sollecitazioni nel paramento'!$G$60*(sezione!$AN$34-C1791)/C1791</f>
        <v>8.7969090294172936E-3</v>
      </c>
      <c r="N1791" s="551">
        <f>'Sollecitazioni nel paramento'!$G$60*(sezione!$AO$34-C1791)/C1791</f>
        <v>2.1093818058834587E-2</v>
      </c>
      <c r="O1791" s="551">
        <f>'Sollecitazioni nel paramento'!$G$60*(sezione!$AP$34-C1791)/C1791</f>
        <v>9.3811545485291331E-2</v>
      </c>
      <c r="P1791" s="545">
        <f>-'Sollecitazioni nel paramento'!$G$47*'Sollecitazioni nel paramento'!$G$41*IF(DATI!$G$211="dx",DATI!$E$61,DATI!$E$64*DATI!$E$63)*1000*C1791*sezione!$AD$5</f>
        <v>-867466.7735185707</v>
      </c>
      <c r="Q1791" s="545">
        <f>'Foglio deposito bis'!$F$78*IF(ABS(K1791)&lt;'Sollecitazioni nel paramento'!$G$58,ABS(K1791)*'Sollecitazioni nel paramento'!$G$54,'Sollecitazioni nel paramento'!$G$53)*IF(K1791&lt;0,-1,1)</f>
        <v>0</v>
      </c>
      <c r="R1791" s="545">
        <f>'Foglio deposito bis'!$F$79*IF(ABS(L1791)&lt;'Sollecitazioni nel paramento'!$G$58,ABS(L1791)*'Sollecitazioni nel paramento'!$G$54,'Sollecitazioni nel paramento'!$G$53)*IF(L1791&lt;0,-1,1)</f>
        <v>153664.85805602249</v>
      </c>
      <c r="S1791" s="545">
        <f>'Foglio deposito bis'!$F$80*IF(ABS(M1791)&lt;'Sollecitazioni nel paramento'!$G$58,ABS(M1791)*'Sollecitazioni nel paramento'!$G$54,'Sollecitazioni nel paramento'!$G$53)*IF(M1791&lt;0,-1,1)</f>
        <v>0</v>
      </c>
      <c r="T1791" s="545">
        <f>'Foglio deposito bis'!$F$81*IF(ABS(N1791)&lt;'Sollecitazioni nel paramento'!$G$58,ABS(N1791)*'Sollecitazioni nel paramento'!$G$54,'Sollecitazioni nel paramento'!$G$53)*IF(N1791&lt;0,-1,1)</f>
        <v>398299.31208121032</v>
      </c>
      <c r="U1791" s="545">
        <f>'Foglio deposito bis'!$F$82*IF(ABS(O1791)&lt;'Sollecitazioni nel paramento'!$G$58,ABS(O1791)*'Sollecitazioni nel paramento'!$G$54,'Sollecitazioni nel paramento'!$G$53)*IF(O1791&lt;0,-1,1)</f>
        <v>892485.49558937876</v>
      </c>
      <c r="V1791" s="472">
        <f t="shared" si="125"/>
        <v>576982.89220804092</v>
      </c>
      <c r="W1791" s="551"/>
      <c r="X1791" s="551"/>
    </row>
    <row r="1792" spans="1:24" x14ac:dyDescent="0.25">
      <c r="A1792" s="545">
        <f t="shared" si="124"/>
        <v>559633.55673766951</v>
      </c>
      <c r="B1792" s="3">
        <f t="shared" si="126"/>
        <v>2.5499999999999989</v>
      </c>
      <c r="C1792" s="545">
        <f>'Foglio deposito bis'!$E$160/sezione!$B$247*B1792</f>
        <v>23.225348688582887</v>
      </c>
      <c r="D1792" s="603">
        <f>-'Sollecitazioni nel paramento'!$G$47*'Sollecitazioni nel paramento'!$G$41*IF(DATI!$G$211="dx",DATI!$E$61,DATI!$E$64*DATI!$E$63)*1000*C1792^2*sezione!$AD$5*(1-sezione!$AD$6)</f>
        <v>-12001294.99142131</v>
      </c>
      <c r="E1792" s="545">
        <f>-'Foglio deposito bis'!$F$78*(C1792-sezione!$AL$34)*IF(ABS(K1792)&lt;'Sollecitazioni nel paramento'!$G$58,ABS(K1792)*'Sollecitazioni nel paramento'!$G$54,'Sollecitazioni nel paramento'!$G$53)</f>
        <v>0</v>
      </c>
      <c r="F1792" s="545">
        <f>-'Foglio deposito bis'!$F$79*(C1792-sezione!$AM$34)*IF(ABS(L1792)&lt;'Sollecitazioni nel paramento'!$G$58,ABS(L1792)*'Sollecitazioni nel paramento'!$G$54,'Sollecitazioni nel paramento'!$G$53)</f>
        <v>5650971.573828632</v>
      </c>
      <c r="G1792" s="545">
        <f>-'Foglio deposito bis'!$F$80*(C1792-sezione!$AN$34)*IF(ABS(M1792)&lt;'Sollecitazioni nel paramento'!$G$58,ABS(M1792)*'Sollecitazioni nel paramento'!$G$54,'Sollecitazioni nel paramento'!$G$53)</f>
        <v>0</v>
      </c>
      <c r="H1792" s="545">
        <f>-'Foglio deposito bis'!$F$81*(C1792-sezione!$AO$34)*IF(ABS(N1792)&lt;'Sollecitazioni nel paramento'!$G$58,ABS(N1792)*'Sollecitazioni nel paramento'!$G$54,'Sollecitazioni nel paramento'!$G$53)</f>
        <v>54477249.527484842</v>
      </c>
      <c r="I1792" s="472">
        <f>-'Foglio deposito bis'!$F$82*(C1792-sezione!$AP$34)*IF(ABS(O1792)&lt;'Sollecitazioni nel paramento'!$G$58,ABS(O1792)*'Sollecitazioni nel paramento'!$G$54,'Sollecitazioni nel paramento'!$G$53)</f>
        <v>544286174.54751718</v>
      </c>
      <c r="J1792" s="472">
        <f t="shared" si="123"/>
        <v>592413100.65740931</v>
      </c>
      <c r="K1792" s="550">
        <f>'Sollecitazioni nel paramento'!$G$60*(sezione!$AL$34-C1792)/C1792</f>
        <v>2.527896583047693E-3</v>
      </c>
      <c r="L1792" s="550">
        <f>'Sollecitazioni nel paramento'!$G$60*(sezione!$AM$34-C1792)/C1792</f>
        <v>5.5418448745715391E-3</v>
      </c>
      <c r="M1792" s="551">
        <f>'Sollecitazioni nel paramento'!$G$60*(sezione!$AN$34-C1792)/C1792</f>
        <v>8.5557931660953865E-3</v>
      </c>
      <c r="N1792" s="551">
        <f>'Sollecitazioni nel paramento'!$G$60*(sezione!$AO$34-C1792)/C1792</f>
        <v>2.0611586332190769E-2</v>
      </c>
      <c r="O1792" s="551">
        <f>'Sollecitazioni nel paramento'!$G$60*(sezione!$AP$34-C1792)/C1792</f>
        <v>9.1903475965971884E-2</v>
      </c>
      <c r="P1792" s="545">
        <f>-'Sollecitazioni nel paramento'!$G$47*'Sollecitazioni nel paramento'!$G$41*IF(DATI!$G$211="dx",DATI!$E$61,DATI!$E$64*DATI!$E$63)*1000*C1792*sezione!$AD$5</f>
        <v>-884816.10898894211</v>
      </c>
      <c r="Q1792" s="545">
        <f>'Foglio deposito bis'!$F$78*IF(ABS(K1792)&lt;'Sollecitazioni nel paramento'!$G$58,ABS(K1792)*'Sollecitazioni nel paramento'!$G$54,'Sollecitazioni nel paramento'!$G$53)*IF(K1792&lt;0,-1,1)</f>
        <v>0</v>
      </c>
      <c r="R1792" s="545">
        <f>'Foglio deposito bis'!$F$79*IF(ABS(L1792)&lt;'Sollecitazioni nel paramento'!$G$58,ABS(L1792)*'Sollecitazioni nel paramento'!$G$54,'Sollecitazioni nel paramento'!$G$53)*IF(L1792&lt;0,-1,1)</f>
        <v>153664.85805602249</v>
      </c>
      <c r="S1792" s="545">
        <f>'Foglio deposito bis'!$F$80*IF(ABS(M1792)&lt;'Sollecitazioni nel paramento'!$G$58,ABS(M1792)*'Sollecitazioni nel paramento'!$G$54,'Sollecitazioni nel paramento'!$G$53)*IF(M1792&lt;0,-1,1)</f>
        <v>0</v>
      </c>
      <c r="T1792" s="545">
        <f>'Foglio deposito bis'!$F$81*IF(ABS(N1792)&lt;'Sollecitazioni nel paramento'!$G$58,ABS(N1792)*'Sollecitazioni nel paramento'!$G$54,'Sollecitazioni nel paramento'!$G$53)*IF(N1792&lt;0,-1,1)</f>
        <v>398299.31208121032</v>
      </c>
      <c r="U1792" s="545">
        <f>'Foglio deposito bis'!$F$82*IF(ABS(O1792)&lt;'Sollecitazioni nel paramento'!$G$58,ABS(O1792)*'Sollecitazioni nel paramento'!$G$54,'Sollecitazioni nel paramento'!$G$53)*IF(O1792&lt;0,-1,1)</f>
        <v>892485.49558937876</v>
      </c>
      <c r="V1792" s="472">
        <f t="shared" si="125"/>
        <v>559633.55673766951</v>
      </c>
      <c r="W1792" s="551"/>
      <c r="X1792" s="551"/>
    </row>
    <row r="1793" spans="1:24" x14ac:dyDescent="0.25">
      <c r="A1793" s="545">
        <f t="shared" si="124"/>
        <v>542284.2212672981</v>
      </c>
      <c r="B1793" s="3">
        <f t="shared" si="126"/>
        <v>2.5999999999999988</v>
      </c>
      <c r="C1793" s="545">
        <f>'Foglio deposito bis'!$E$160/sezione!$B$247*B1793</f>
        <v>23.680747682476667</v>
      </c>
      <c r="D1793" s="603">
        <f>-'Sollecitazioni nel paramento'!$G$47*'Sollecitazioni nel paramento'!$G$41*IF(DATI!$G$211="dx",DATI!$E$61,DATI!$E$64*DATI!$E$63)*1000*C1793^2*sezione!$AD$5*(1-sezione!$AD$6)</f>
        <v>-12476548.118724806</v>
      </c>
      <c r="E1793" s="545">
        <f>-'Foglio deposito bis'!$F$78*(C1793-sezione!$AL$34)*IF(ABS(K1793)&lt;'Sollecitazioni nel paramento'!$G$58,ABS(K1793)*'Sollecitazioni nel paramento'!$G$54,'Sollecitazioni nel paramento'!$G$53)</f>
        <v>0</v>
      </c>
      <c r="F1793" s="545">
        <f>-'Foglio deposito bis'!$F$79*(C1793-sezione!$AM$34)*IF(ABS(L1793)&lt;'Sollecitazioni nel paramento'!$G$58,ABS(L1793)*'Sollecitazioni nel paramento'!$G$54,'Sollecitazioni nel paramento'!$G$53)</f>
        <v>5580992.7520730896</v>
      </c>
      <c r="G1793" s="545">
        <f>-'Foglio deposito bis'!$F$80*(C1793-sezione!$AN$34)*IF(ABS(M1793)&lt;'Sollecitazioni nel paramento'!$G$58,ABS(M1793)*'Sollecitazioni nel paramento'!$G$54,'Sollecitazioni nel paramento'!$G$53)</f>
        <v>0</v>
      </c>
      <c r="H1793" s="545">
        <f>-'Foglio deposito bis'!$F$81*(C1793-sezione!$AO$34)*IF(ABS(N1793)&lt;'Sollecitazioni nel paramento'!$G$58,ABS(N1793)*'Sollecitazioni nel paramento'!$G$54,'Sollecitazioni nel paramento'!$G$53)</f>
        <v>54295864.421494484</v>
      </c>
      <c r="I1793" s="472">
        <f>-'Foglio deposito bis'!$F$82*(C1793-sezione!$AP$34)*IF(ABS(O1793)&lt;'Sollecitazioni nel paramento'!$G$58,ABS(O1793)*'Sollecitazioni nel paramento'!$G$54,'Sollecitazioni nel paramento'!$G$53)</f>
        <v>543879737.5507611</v>
      </c>
      <c r="J1793" s="472">
        <f t="shared" si="123"/>
        <v>591280046.60560393</v>
      </c>
      <c r="K1793" s="550">
        <f>'Sollecitazioni nel paramento'!$G$60*(sezione!$AL$34-C1793)/C1793</f>
        <v>2.411975494912161E-3</v>
      </c>
      <c r="L1793" s="550">
        <f>'Sollecitazioni nel paramento'!$G$60*(sezione!$AM$34-C1793)/C1793</f>
        <v>5.3679632423682417E-3</v>
      </c>
      <c r="M1793" s="551">
        <f>'Sollecitazioni nel paramento'!$G$60*(sezione!$AN$34-C1793)/C1793</f>
        <v>8.3239509898243216E-3</v>
      </c>
      <c r="N1793" s="551">
        <f>'Sollecitazioni nel paramento'!$G$60*(sezione!$AO$34-C1793)/C1793</f>
        <v>2.0147901979648643E-2</v>
      </c>
      <c r="O1793" s="551">
        <f>'Sollecitazioni nel paramento'!$G$60*(sezione!$AP$34-C1793)/C1793</f>
        <v>9.0068793735857064E-2</v>
      </c>
      <c r="P1793" s="545">
        <f>-'Sollecitazioni nel paramento'!$G$47*'Sollecitazioni nel paramento'!$G$41*IF(DATI!$G$211="dx",DATI!$E$61,DATI!$E$64*DATI!$E$63)*1000*C1793*sezione!$AD$5</f>
        <v>-902165.44445931353</v>
      </c>
      <c r="Q1793" s="545">
        <f>'Foglio deposito bis'!$F$78*IF(ABS(K1793)&lt;'Sollecitazioni nel paramento'!$G$58,ABS(K1793)*'Sollecitazioni nel paramento'!$G$54,'Sollecitazioni nel paramento'!$G$53)*IF(K1793&lt;0,-1,1)</f>
        <v>0</v>
      </c>
      <c r="R1793" s="545">
        <f>'Foglio deposito bis'!$F$79*IF(ABS(L1793)&lt;'Sollecitazioni nel paramento'!$G$58,ABS(L1793)*'Sollecitazioni nel paramento'!$G$54,'Sollecitazioni nel paramento'!$G$53)*IF(L1793&lt;0,-1,1)</f>
        <v>153664.85805602249</v>
      </c>
      <c r="S1793" s="545">
        <f>'Foglio deposito bis'!$F$80*IF(ABS(M1793)&lt;'Sollecitazioni nel paramento'!$G$58,ABS(M1793)*'Sollecitazioni nel paramento'!$G$54,'Sollecitazioni nel paramento'!$G$53)*IF(M1793&lt;0,-1,1)</f>
        <v>0</v>
      </c>
      <c r="T1793" s="545">
        <f>'Foglio deposito bis'!$F$81*IF(ABS(N1793)&lt;'Sollecitazioni nel paramento'!$G$58,ABS(N1793)*'Sollecitazioni nel paramento'!$G$54,'Sollecitazioni nel paramento'!$G$53)*IF(N1793&lt;0,-1,1)</f>
        <v>398299.31208121032</v>
      </c>
      <c r="U1793" s="545">
        <f>'Foglio deposito bis'!$F$82*IF(ABS(O1793)&lt;'Sollecitazioni nel paramento'!$G$58,ABS(O1793)*'Sollecitazioni nel paramento'!$G$54,'Sollecitazioni nel paramento'!$G$53)*IF(O1793&lt;0,-1,1)</f>
        <v>892485.49558937876</v>
      </c>
      <c r="V1793" s="472">
        <f t="shared" si="125"/>
        <v>542284.2212672981</v>
      </c>
      <c r="W1793" s="551"/>
      <c r="X1793" s="551"/>
    </row>
    <row r="1794" spans="1:24" x14ac:dyDescent="0.25">
      <c r="A1794" s="545">
        <f t="shared" si="124"/>
        <v>524934.88579692668</v>
      </c>
      <c r="B1794" s="3">
        <f t="shared" si="126"/>
        <v>2.6499999999999986</v>
      </c>
      <c r="C1794" s="545">
        <f>'Foglio deposito bis'!$E$160/sezione!$B$247*B1794</f>
        <v>24.136146676370451</v>
      </c>
      <c r="D1794" s="603">
        <f>-'Sollecitazioni nel paramento'!$G$47*'Sollecitazioni nel paramento'!$G$41*IF(DATI!$G$211="dx",DATI!$E$61,DATI!$E$64*DATI!$E$63)*1000*C1794^2*sezione!$AD$5*(1-sezione!$AD$6)</f>
        <v>-12961029.462092452</v>
      </c>
      <c r="E1794" s="545">
        <f>-'Foglio deposito bis'!$F$78*(C1794-sezione!$AL$34)*IF(ABS(K1794)&lt;'Sollecitazioni nel paramento'!$G$58,ABS(K1794)*'Sollecitazioni nel paramento'!$G$54,'Sollecitazioni nel paramento'!$G$53)</f>
        <v>0</v>
      </c>
      <c r="F1794" s="545">
        <f>-'Foglio deposito bis'!$F$79*(C1794-sezione!$AM$34)*IF(ABS(L1794)&lt;'Sollecitazioni nel paramento'!$G$58,ABS(L1794)*'Sollecitazioni nel paramento'!$G$54,'Sollecitazioni nel paramento'!$G$53)</f>
        <v>5511013.9303175453</v>
      </c>
      <c r="G1794" s="545">
        <f>-'Foglio deposito bis'!$F$80*(C1794-sezione!$AN$34)*IF(ABS(M1794)&lt;'Sollecitazioni nel paramento'!$G$58,ABS(M1794)*'Sollecitazioni nel paramento'!$G$54,'Sollecitazioni nel paramento'!$G$53)</f>
        <v>0</v>
      </c>
      <c r="H1794" s="545">
        <f>-'Foglio deposito bis'!$F$81*(C1794-sezione!$AO$34)*IF(ABS(N1794)&lt;'Sollecitazioni nel paramento'!$G$58,ABS(N1794)*'Sollecitazioni nel paramento'!$G$54,'Sollecitazioni nel paramento'!$G$53)</f>
        <v>54114479.315504104</v>
      </c>
      <c r="I1794" s="472">
        <f>-'Foglio deposito bis'!$F$82*(C1794-sezione!$AP$34)*IF(ABS(O1794)&lt;'Sollecitazioni nel paramento'!$G$58,ABS(O1794)*'Sollecitazioni nel paramento'!$G$54,'Sollecitazioni nel paramento'!$G$53)</f>
        <v>543473300.55400491</v>
      </c>
      <c r="J1794" s="472">
        <f t="shared" si="123"/>
        <v>590137764.3377341</v>
      </c>
      <c r="K1794" s="550">
        <f>'Sollecitazioni nel paramento'!$G$60*(sezione!$AL$34-C1794)/C1794</f>
        <v>2.3004287874609877E-3</v>
      </c>
      <c r="L1794" s="550">
        <f>'Sollecitazioni nel paramento'!$G$60*(sezione!$AM$34-C1794)/C1794</f>
        <v>5.2006431811914815E-3</v>
      </c>
      <c r="M1794" s="551">
        <f>'Sollecitazioni nel paramento'!$G$60*(sezione!$AN$34-C1794)/C1794</f>
        <v>8.1008575749219741E-3</v>
      </c>
      <c r="N1794" s="551">
        <f>'Sollecitazioni nel paramento'!$G$60*(sezione!$AO$34-C1794)/C1794</f>
        <v>1.9701715149843948E-2</v>
      </c>
      <c r="O1794" s="551">
        <f>'Sollecitazioni nel paramento'!$G$60*(sezione!$AP$34-C1794)/C1794</f>
        <v>8.8303344797444658E-2</v>
      </c>
      <c r="P1794" s="545">
        <f>-'Sollecitazioni nel paramento'!$G$47*'Sollecitazioni nel paramento'!$G$41*IF(DATI!$G$211="dx",DATI!$E$61,DATI!$E$64*DATI!$E$63)*1000*C1794*sezione!$AD$5</f>
        <v>-919514.77992968494</v>
      </c>
      <c r="Q1794" s="545">
        <f>'Foglio deposito bis'!$F$78*IF(ABS(K1794)&lt;'Sollecitazioni nel paramento'!$G$58,ABS(K1794)*'Sollecitazioni nel paramento'!$G$54,'Sollecitazioni nel paramento'!$G$53)*IF(K1794&lt;0,-1,1)</f>
        <v>0</v>
      </c>
      <c r="R1794" s="545">
        <f>'Foglio deposito bis'!$F$79*IF(ABS(L1794)&lt;'Sollecitazioni nel paramento'!$G$58,ABS(L1794)*'Sollecitazioni nel paramento'!$G$54,'Sollecitazioni nel paramento'!$G$53)*IF(L1794&lt;0,-1,1)</f>
        <v>153664.85805602249</v>
      </c>
      <c r="S1794" s="545">
        <f>'Foglio deposito bis'!$F$80*IF(ABS(M1794)&lt;'Sollecitazioni nel paramento'!$G$58,ABS(M1794)*'Sollecitazioni nel paramento'!$G$54,'Sollecitazioni nel paramento'!$G$53)*IF(M1794&lt;0,-1,1)</f>
        <v>0</v>
      </c>
      <c r="T1794" s="545">
        <f>'Foglio deposito bis'!$F$81*IF(ABS(N1794)&lt;'Sollecitazioni nel paramento'!$G$58,ABS(N1794)*'Sollecitazioni nel paramento'!$G$54,'Sollecitazioni nel paramento'!$G$53)*IF(N1794&lt;0,-1,1)</f>
        <v>398299.31208121032</v>
      </c>
      <c r="U1794" s="545">
        <f>'Foglio deposito bis'!$F$82*IF(ABS(O1794)&lt;'Sollecitazioni nel paramento'!$G$58,ABS(O1794)*'Sollecitazioni nel paramento'!$G$54,'Sollecitazioni nel paramento'!$G$53)*IF(O1794&lt;0,-1,1)</f>
        <v>892485.49558937876</v>
      </c>
      <c r="V1794" s="472">
        <f t="shared" si="125"/>
        <v>524934.88579692668</v>
      </c>
      <c r="W1794" s="551"/>
      <c r="X1794" s="551"/>
    </row>
    <row r="1795" spans="1:24" x14ac:dyDescent="0.25">
      <c r="A1795" s="545">
        <f t="shared" si="124"/>
        <v>507585.55032655527</v>
      </c>
      <c r="B1795" s="3">
        <f t="shared" si="126"/>
        <v>2.6999999999999984</v>
      </c>
      <c r="C1795" s="545">
        <f>'Foglio deposito bis'!$E$160/sezione!$B$247*B1795</f>
        <v>24.591545670264232</v>
      </c>
      <c r="D1795" s="603">
        <f>-'Sollecitazioni nel paramento'!$G$47*'Sollecitazioni nel paramento'!$G$41*IF(DATI!$G$211="dx",DATI!$E$61,DATI!$E$64*DATI!$E$63)*1000*C1795^2*sezione!$AD$5*(1-sezione!$AD$6)</f>
        <v>-13454739.021524237</v>
      </c>
      <c r="E1795" s="545">
        <f>-'Foglio deposito bis'!$F$78*(C1795-sezione!$AL$34)*IF(ABS(K1795)&lt;'Sollecitazioni nel paramento'!$G$58,ABS(K1795)*'Sollecitazioni nel paramento'!$G$54,'Sollecitazioni nel paramento'!$G$53)</f>
        <v>0</v>
      </c>
      <c r="F1795" s="545">
        <f>-'Foglio deposito bis'!$F$79*(C1795-sezione!$AM$34)*IF(ABS(L1795)&lt;'Sollecitazioni nel paramento'!$G$58,ABS(L1795)*'Sollecitazioni nel paramento'!$G$54,'Sollecitazioni nel paramento'!$G$53)</f>
        <v>5441035.108562002</v>
      </c>
      <c r="G1795" s="545">
        <f>-'Foglio deposito bis'!$F$80*(C1795-sezione!$AN$34)*IF(ABS(M1795)&lt;'Sollecitazioni nel paramento'!$G$58,ABS(M1795)*'Sollecitazioni nel paramento'!$G$54,'Sollecitazioni nel paramento'!$G$53)</f>
        <v>0</v>
      </c>
      <c r="H1795" s="545">
        <f>-'Foglio deposito bis'!$F$81*(C1795-sezione!$AO$34)*IF(ABS(N1795)&lt;'Sollecitazioni nel paramento'!$G$58,ABS(N1795)*'Sollecitazioni nel paramento'!$G$54,'Sollecitazioni nel paramento'!$G$53)</f>
        <v>53933094.209513746</v>
      </c>
      <c r="I1795" s="472">
        <f>-'Foglio deposito bis'!$F$82*(C1795-sezione!$AP$34)*IF(ABS(O1795)&lt;'Sollecitazioni nel paramento'!$G$58,ABS(O1795)*'Sollecitazioni nel paramento'!$G$54,'Sollecitazioni nel paramento'!$G$53)</f>
        <v>543066863.55724859</v>
      </c>
      <c r="J1795" s="472">
        <f t="shared" si="123"/>
        <v>588986253.85380006</v>
      </c>
      <c r="K1795" s="550">
        <f>'Sollecitazioni nel paramento'!$G$60*(sezione!$AL$34-C1795)/C1795</f>
        <v>2.1930134395450438E-3</v>
      </c>
      <c r="L1795" s="550">
        <f>'Sollecitazioni nel paramento'!$G$60*(sezione!$AM$34-C1795)/C1795</f>
        <v>5.0395201593175657E-3</v>
      </c>
      <c r="M1795" s="551">
        <f>'Sollecitazioni nel paramento'!$G$60*(sezione!$AN$34-C1795)/C1795</f>
        <v>7.8860268790900863E-3</v>
      </c>
      <c r="N1795" s="551">
        <f>'Sollecitazioni nel paramento'!$G$60*(sezione!$AO$34-C1795)/C1795</f>
        <v>1.9272053758180176E-2</v>
      </c>
      <c r="O1795" s="551">
        <f>'Sollecitazioni nel paramento'!$G$60*(sezione!$AP$34-C1795)/C1795</f>
        <v>8.6603282856751229E-2</v>
      </c>
      <c r="P1795" s="545">
        <f>-'Sollecitazioni nel paramento'!$G$47*'Sollecitazioni nel paramento'!$G$41*IF(DATI!$G$211="dx",DATI!$E$61,DATI!$E$64*DATI!$E$63)*1000*C1795*sezione!$AD$5</f>
        <v>-936864.11540005624</v>
      </c>
      <c r="Q1795" s="545">
        <f>'Foglio deposito bis'!$F$78*IF(ABS(K1795)&lt;'Sollecitazioni nel paramento'!$G$58,ABS(K1795)*'Sollecitazioni nel paramento'!$G$54,'Sollecitazioni nel paramento'!$G$53)*IF(K1795&lt;0,-1,1)</f>
        <v>0</v>
      </c>
      <c r="R1795" s="545">
        <f>'Foglio deposito bis'!$F$79*IF(ABS(L1795)&lt;'Sollecitazioni nel paramento'!$G$58,ABS(L1795)*'Sollecitazioni nel paramento'!$G$54,'Sollecitazioni nel paramento'!$G$53)*IF(L1795&lt;0,-1,1)</f>
        <v>153664.85805602249</v>
      </c>
      <c r="S1795" s="545">
        <f>'Foglio deposito bis'!$F$80*IF(ABS(M1795)&lt;'Sollecitazioni nel paramento'!$G$58,ABS(M1795)*'Sollecitazioni nel paramento'!$G$54,'Sollecitazioni nel paramento'!$G$53)*IF(M1795&lt;0,-1,1)</f>
        <v>0</v>
      </c>
      <c r="T1795" s="545">
        <f>'Foglio deposito bis'!$F$81*IF(ABS(N1795)&lt;'Sollecitazioni nel paramento'!$G$58,ABS(N1795)*'Sollecitazioni nel paramento'!$G$54,'Sollecitazioni nel paramento'!$G$53)*IF(N1795&lt;0,-1,1)</f>
        <v>398299.31208121032</v>
      </c>
      <c r="U1795" s="545">
        <f>'Foglio deposito bis'!$F$82*IF(ABS(O1795)&lt;'Sollecitazioni nel paramento'!$G$58,ABS(O1795)*'Sollecitazioni nel paramento'!$G$54,'Sollecitazioni nel paramento'!$G$53)*IF(O1795&lt;0,-1,1)</f>
        <v>892485.49558937876</v>
      </c>
      <c r="V1795" s="472">
        <f t="shared" si="125"/>
        <v>507585.55032655527</v>
      </c>
      <c r="W1795" s="551"/>
      <c r="X1795" s="551"/>
    </row>
    <row r="1796" spans="1:24" x14ac:dyDescent="0.25">
      <c r="A1796" s="545">
        <f t="shared" si="124"/>
        <v>490236.21485618385</v>
      </c>
      <c r="B1796" s="3">
        <f t="shared" si="126"/>
        <v>2.7499999999999982</v>
      </c>
      <c r="C1796" s="545">
        <f>'Foglio deposito bis'!$E$160/sezione!$B$247*B1796</f>
        <v>25.046944664158012</v>
      </c>
      <c r="D1796" s="603">
        <f>-'Sollecitazioni nel paramento'!$G$47*'Sollecitazioni nel paramento'!$G$41*IF(DATI!$G$211="dx",DATI!$E$61,DATI!$E$64*DATI!$E$63)*1000*C1796^2*sezione!$AD$5*(1-sezione!$AD$6)</f>
        <v>-13957676.797020167</v>
      </c>
      <c r="E1796" s="545">
        <f>-'Foglio deposito bis'!$F$78*(C1796-sezione!$AL$34)*IF(ABS(K1796)&lt;'Sollecitazioni nel paramento'!$G$58,ABS(K1796)*'Sollecitazioni nel paramento'!$G$54,'Sollecitazioni nel paramento'!$G$53)</f>
        <v>0</v>
      </c>
      <c r="F1796" s="545">
        <f>-'Foglio deposito bis'!$F$79*(C1796-sezione!$AM$34)*IF(ABS(L1796)&lt;'Sollecitazioni nel paramento'!$G$58,ABS(L1796)*'Sollecitazioni nel paramento'!$G$54,'Sollecitazioni nel paramento'!$G$53)</f>
        <v>5371056.2868064586</v>
      </c>
      <c r="G1796" s="545">
        <f>-'Foglio deposito bis'!$F$80*(C1796-sezione!$AN$34)*IF(ABS(M1796)&lt;'Sollecitazioni nel paramento'!$G$58,ABS(M1796)*'Sollecitazioni nel paramento'!$G$54,'Sollecitazioni nel paramento'!$G$53)</f>
        <v>0</v>
      </c>
      <c r="H1796" s="545">
        <f>-'Foglio deposito bis'!$F$81*(C1796-sezione!$AO$34)*IF(ABS(N1796)&lt;'Sollecitazioni nel paramento'!$G$58,ABS(N1796)*'Sollecitazioni nel paramento'!$G$54,'Sollecitazioni nel paramento'!$G$53)</f>
        <v>53751709.103523374</v>
      </c>
      <c r="I1796" s="472">
        <f>-'Foglio deposito bis'!$F$82*(C1796-sezione!$AP$34)*IF(ABS(O1796)&lt;'Sollecitazioni nel paramento'!$G$58,ABS(O1796)*'Sollecitazioni nel paramento'!$G$54,'Sollecitazioni nel paramento'!$G$53)</f>
        <v>542660426.56049252</v>
      </c>
      <c r="J1796" s="472">
        <f t="shared" si="123"/>
        <v>587825515.15380216</v>
      </c>
      <c r="K1796" s="550">
        <f>'Sollecitazioni nel paramento'!$G$60*(sezione!$AL$34-C1796)/C1796</f>
        <v>2.0895041042805888E-3</v>
      </c>
      <c r="L1796" s="550">
        <f>'Sollecitazioni nel paramento'!$G$60*(sezione!$AM$34-C1796)/C1796</f>
        <v>4.8842561564208832E-3</v>
      </c>
      <c r="M1796" s="551">
        <f>'Sollecitazioni nel paramento'!$G$60*(sezione!$AN$34-C1796)/C1796</f>
        <v>7.6790082085611772E-3</v>
      </c>
      <c r="N1796" s="551">
        <f>'Sollecitazioni nel paramento'!$G$60*(sezione!$AO$34-C1796)/C1796</f>
        <v>1.8858016417122352E-2</v>
      </c>
      <c r="O1796" s="551">
        <f>'Sollecitazioni nel paramento'!$G$60*(sezione!$AP$34-C1796)/C1796</f>
        <v>8.4965041350264864E-2</v>
      </c>
      <c r="P1796" s="545">
        <f>-'Sollecitazioni nel paramento'!$G$47*'Sollecitazioni nel paramento'!$G$41*IF(DATI!$G$211="dx",DATI!$E$61,DATI!$E$64*DATI!$E$63)*1000*C1796*sezione!$AD$5</f>
        <v>-954213.45087042765</v>
      </c>
      <c r="Q1796" s="545">
        <f>'Foglio deposito bis'!$F$78*IF(ABS(K1796)&lt;'Sollecitazioni nel paramento'!$G$58,ABS(K1796)*'Sollecitazioni nel paramento'!$G$54,'Sollecitazioni nel paramento'!$G$53)*IF(K1796&lt;0,-1,1)</f>
        <v>0</v>
      </c>
      <c r="R1796" s="545">
        <f>'Foglio deposito bis'!$F$79*IF(ABS(L1796)&lt;'Sollecitazioni nel paramento'!$G$58,ABS(L1796)*'Sollecitazioni nel paramento'!$G$54,'Sollecitazioni nel paramento'!$G$53)*IF(L1796&lt;0,-1,1)</f>
        <v>153664.85805602249</v>
      </c>
      <c r="S1796" s="545">
        <f>'Foglio deposito bis'!$F$80*IF(ABS(M1796)&lt;'Sollecitazioni nel paramento'!$G$58,ABS(M1796)*'Sollecitazioni nel paramento'!$G$54,'Sollecitazioni nel paramento'!$G$53)*IF(M1796&lt;0,-1,1)</f>
        <v>0</v>
      </c>
      <c r="T1796" s="545">
        <f>'Foglio deposito bis'!$F$81*IF(ABS(N1796)&lt;'Sollecitazioni nel paramento'!$G$58,ABS(N1796)*'Sollecitazioni nel paramento'!$G$54,'Sollecitazioni nel paramento'!$G$53)*IF(N1796&lt;0,-1,1)</f>
        <v>398299.31208121032</v>
      </c>
      <c r="U1796" s="545">
        <f>'Foglio deposito bis'!$F$82*IF(ABS(O1796)&lt;'Sollecitazioni nel paramento'!$G$58,ABS(O1796)*'Sollecitazioni nel paramento'!$G$54,'Sollecitazioni nel paramento'!$G$53)*IF(O1796&lt;0,-1,1)</f>
        <v>892485.49558937876</v>
      </c>
      <c r="V1796" s="472">
        <f t="shared" si="125"/>
        <v>490236.21485618385</v>
      </c>
      <c r="W1796" s="551"/>
      <c r="X1796" s="551"/>
    </row>
    <row r="1797" spans="1:24" x14ac:dyDescent="0.25">
      <c r="A1797" s="545">
        <f t="shared" si="124"/>
        <v>472886.87938581267</v>
      </c>
      <c r="B1797" s="3">
        <f t="shared" si="126"/>
        <v>2.799999999999998</v>
      </c>
      <c r="C1797" s="545">
        <f>'Foglio deposito bis'!$E$160/sezione!$B$247*B1797</f>
        <v>25.502343658051792</v>
      </c>
      <c r="D1797" s="603">
        <f>-'Sollecitazioni nel paramento'!$G$47*'Sollecitazioni nel paramento'!$G$41*IF(DATI!$G$211="dx",DATI!$E$61,DATI!$E$64*DATI!$E$63)*1000*C1797^2*sezione!$AD$5*(1-sezione!$AD$6)</f>
        <v>-14469842.788580243</v>
      </c>
      <c r="E1797" s="545">
        <f>-'Foglio deposito bis'!$F$78*(C1797-sezione!$AL$34)*IF(ABS(K1797)&lt;'Sollecitazioni nel paramento'!$G$58,ABS(K1797)*'Sollecitazioni nel paramento'!$G$54,'Sollecitazioni nel paramento'!$G$53)</f>
        <v>0</v>
      </c>
      <c r="F1797" s="545">
        <f>-'Foglio deposito bis'!$F$79*(C1797-sezione!$AM$34)*IF(ABS(L1797)&lt;'Sollecitazioni nel paramento'!$G$58,ABS(L1797)*'Sollecitazioni nel paramento'!$G$54,'Sollecitazioni nel paramento'!$G$53)</f>
        <v>5301077.4650509153</v>
      </c>
      <c r="G1797" s="545">
        <f>-'Foglio deposito bis'!$F$80*(C1797-sezione!$AN$34)*IF(ABS(M1797)&lt;'Sollecitazioni nel paramento'!$G$58,ABS(M1797)*'Sollecitazioni nel paramento'!$G$54,'Sollecitazioni nel paramento'!$G$53)</f>
        <v>0</v>
      </c>
      <c r="H1797" s="545">
        <f>-'Foglio deposito bis'!$F$81*(C1797-sezione!$AO$34)*IF(ABS(N1797)&lt;'Sollecitazioni nel paramento'!$G$58,ABS(N1797)*'Sollecitazioni nel paramento'!$G$54,'Sollecitazioni nel paramento'!$G$53)</f>
        <v>53570323.997533016</v>
      </c>
      <c r="I1797" s="472">
        <f>-'Foglio deposito bis'!$F$82*(C1797-sezione!$AP$34)*IF(ABS(O1797)&lt;'Sollecitazioni nel paramento'!$G$58,ABS(O1797)*'Sollecitazioni nel paramento'!$G$54,'Sollecitazioni nel paramento'!$G$53)</f>
        <v>542253989.5637362</v>
      </c>
      <c r="J1797" s="472">
        <f t="shared" si="123"/>
        <v>586655548.23773992</v>
      </c>
      <c r="K1797" s="550">
        <f>'Sollecitazioni nel paramento'!$G$60*(sezione!$AL$34-C1797)/C1797</f>
        <v>1.9896915309898641E-3</v>
      </c>
      <c r="L1797" s="550">
        <f>'Sollecitazioni nel paramento'!$G$60*(sezione!$AM$34-C1797)/C1797</f>
        <v>4.7345372964847964E-3</v>
      </c>
      <c r="M1797" s="551">
        <f>'Sollecitazioni nel paramento'!$G$60*(sezione!$AN$34-C1797)/C1797</f>
        <v>7.4793830619797287E-3</v>
      </c>
      <c r="N1797" s="551">
        <f>'Sollecitazioni nel paramento'!$G$60*(sezione!$AO$34-C1797)/C1797</f>
        <v>1.8458766123959459E-2</v>
      </c>
      <c r="O1797" s="551">
        <f>'Sollecitazioni nel paramento'!$G$60*(sezione!$AP$34-C1797)/C1797</f>
        <v>8.3385308469010128E-2</v>
      </c>
      <c r="P1797" s="545">
        <f>-'Sollecitazioni nel paramento'!$G$47*'Sollecitazioni nel paramento'!$G$41*IF(DATI!$G$211="dx",DATI!$E$61,DATI!$E$64*DATI!$E$63)*1000*C1797*sezione!$AD$5</f>
        <v>-971562.78634079895</v>
      </c>
      <c r="Q1797" s="545">
        <f>'Foglio deposito bis'!$F$78*IF(ABS(K1797)&lt;'Sollecitazioni nel paramento'!$G$58,ABS(K1797)*'Sollecitazioni nel paramento'!$G$54,'Sollecitazioni nel paramento'!$G$53)*IF(K1797&lt;0,-1,1)</f>
        <v>0</v>
      </c>
      <c r="R1797" s="545">
        <f>'Foglio deposito bis'!$F$79*IF(ABS(L1797)&lt;'Sollecitazioni nel paramento'!$G$58,ABS(L1797)*'Sollecitazioni nel paramento'!$G$54,'Sollecitazioni nel paramento'!$G$53)*IF(L1797&lt;0,-1,1)</f>
        <v>153664.85805602249</v>
      </c>
      <c r="S1797" s="545">
        <f>'Foglio deposito bis'!$F$80*IF(ABS(M1797)&lt;'Sollecitazioni nel paramento'!$G$58,ABS(M1797)*'Sollecitazioni nel paramento'!$G$54,'Sollecitazioni nel paramento'!$G$53)*IF(M1797&lt;0,-1,1)</f>
        <v>0</v>
      </c>
      <c r="T1797" s="545">
        <f>'Foglio deposito bis'!$F$81*IF(ABS(N1797)&lt;'Sollecitazioni nel paramento'!$G$58,ABS(N1797)*'Sollecitazioni nel paramento'!$G$54,'Sollecitazioni nel paramento'!$G$53)*IF(N1797&lt;0,-1,1)</f>
        <v>398299.31208121032</v>
      </c>
      <c r="U1797" s="545">
        <f>'Foglio deposito bis'!$F$82*IF(ABS(O1797)&lt;'Sollecitazioni nel paramento'!$G$58,ABS(O1797)*'Sollecitazioni nel paramento'!$G$54,'Sollecitazioni nel paramento'!$G$53)*IF(O1797&lt;0,-1,1)</f>
        <v>892485.49558937876</v>
      </c>
      <c r="V1797" s="472">
        <f t="shared" si="125"/>
        <v>472886.87938581267</v>
      </c>
      <c r="W1797" s="551"/>
      <c r="X1797" s="551"/>
    </row>
    <row r="1798" spans="1:24" x14ac:dyDescent="0.25">
      <c r="A1798" s="545">
        <f t="shared" si="124"/>
        <v>455537.54391544126</v>
      </c>
      <c r="B1798" s="3">
        <f t="shared" si="126"/>
        <v>2.8499999999999979</v>
      </c>
      <c r="C1798" s="545">
        <f>'Foglio deposito bis'!$E$160/sezione!$B$247*B1798</f>
        <v>25.957742651945573</v>
      </c>
      <c r="D1798" s="603">
        <f>-'Sollecitazioni nel paramento'!$G$47*'Sollecitazioni nel paramento'!$G$41*IF(DATI!$G$211="dx",DATI!$E$61,DATI!$E$64*DATI!$E$63)*1000*C1798^2*sezione!$AD$5*(1-sezione!$AD$6)</f>
        <v>-14991236.996204469</v>
      </c>
      <c r="E1798" s="545">
        <f>-'Foglio deposito bis'!$F$78*(C1798-sezione!$AL$34)*IF(ABS(K1798)&lt;'Sollecitazioni nel paramento'!$G$58,ABS(K1798)*'Sollecitazioni nel paramento'!$G$54,'Sollecitazioni nel paramento'!$G$53)</f>
        <v>0</v>
      </c>
      <c r="F1798" s="545">
        <f>-'Foglio deposito bis'!$F$79*(C1798-sezione!$AM$34)*IF(ABS(L1798)&lt;'Sollecitazioni nel paramento'!$G$58,ABS(L1798)*'Sollecitazioni nel paramento'!$G$54,'Sollecitazioni nel paramento'!$G$53)</f>
        <v>5231098.6432953728</v>
      </c>
      <c r="G1798" s="545">
        <f>-'Foglio deposito bis'!$F$80*(C1798-sezione!$AN$34)*IF(ABS(M1798)&lt;'Sollecitazioni nel paramento'!$G$58,ABS(M1798)*'Sollecitazioni nel paramento'!$G$54,'Sollecitazioni nel paramento'!$G$53)</f>
        <v>0</v>
      </c>
      <c r="H1798" s="545">
        <f>-'Foglio deposito bis'!$F$81*(C1798-sezione!$AO$34)*IF(ABS(N1798)&lt;'Sollecitazioni nel paramento'!$G$58,ABS(N1798)*'Sollecitazioni nel paramento'!$G$54,'Sollecitazioni nel paramento'!$G$53)</f>
        <v>53388938.891542628</v>
      </c>
      <c r="I1798" s="472">
        <f>-'Foglio deposito bis'!$F$82*(C1798-sezione!$AP$34)*IF(ABS(O1798)&lt;'Sollecitazioni nel paramento'!$G$58,ABS(O1798)*'Sollecitazioni nel paramento'!$G$54,'Sollecitazioni nel paramento'!$G$53)</f>
        <v>541847552.56698012</v>
      </c>
      <c r="J1798" s="472">
        <f t="shared" si="123"/>
        <v>585476353.10561371</v>
      </c>
      <c r="K1798" s="550">
        <f>'Sollecitazioni nel paramento'!$G$60*(sezione!$AL$34-C1798)/C1798</f>
        <v>1.8933811532532002E-3</v>
      </c>
      <c r="L1798" s="550">
        <f>'Sollecitazioni nel paramento'!$G$60*(sezione!$AM$34-C1798)/C1798</f>
        <v>4.5900717298798001E-3</v>
      </c>
      <c r="M1798" s="551">
        <f>'Sollecitazioni nel paramento'!$G$60*(sezione!$AN$34-C1798)/C1798</f>
        <v>7.2867623065064006E-3</v>
      </c>
      <c r="N1798" s="551">
        <f>'Sollecitazioni nel paramento'!$G$60*(sezione!$AO$34-C1798)/C1798</f>
        <v>1.8073524613012801E-2</v>
      </c>
      <c r="O1798" s="551">
        <f>'Sollecitazioni nel paramento'!$G$60*(sezione!$AP$34-C1798)/C1798</f>
        <v>8.1861004811659088E-2</v>
      </c>
      <c r="P1798" s="545">
        <f>-'Sollecitazioni nel paramento'!$G$47*'Sollecitazioni nel paramento'!$G$41*IF(DATI!$G$211="dx",DATI!$E$61,DATI!$E$64*DATI!$E$63)*1000*C1798*sezione!$AD$5</f>
        <v>-988912.12181117025</v>
      </c>
      <c r="Q1798" s="545">
        <f>'Foglio deposito bis'!$F$78*IF(ABS(K1798)&lt;'Sollecitazioni nel paramento'!$G$58,ABS(K1798)*'Sollecitazioni nel paramento'!$G$54,'Sollecitazioni nel paramento'!$G$53)*IF(K1798&lt;0,-1,1)</f>
        <v>0</v>
      </c>
      <c r="R1798" s="545">
        <f>'Foglio deposito bis'!$F$79*IF(ABS(L1798)&lt;'Sollecitazioni nel paramento'!$G$58,ABS(L1798)*'Sollecitazioni nel paramento'!$G$54,'Sollecitazioni nel paramento'!$G$53)*IF(L1798&lt;0,-1,1)</f>
        <v>153664.85805602249</v>
      </c>
      <c r="S1798" s="545">
        <f>'Foglio deposito bis'!$F$80*IF(ABS(M1798)&lt;'Sollecitazioni nel paramento'!$G$58,ABS(M1798)*'Sollecitazioni nel paramento'!$G$54,'Sollecitazioni nel paramento'!$G$53)*IF(M1798&lt;0,-1,1)</f>
        <v>0</v>
      </c>
      <c r="T1798" s="545">
        <f>'Foglio deposito bis'!$F$81*IF(ABS(N1798)&lt;'Sollecitazioni nel paramento'!$G$58,ABS(N1798)*'Sollecitazioni nel paramento'!$G$54,'Sollecitazioni nel paramento'!$G$53)*IF(N1798&lt;0,-1,1)</f>
        <v>398299.31208121032</v>
      </c>
      <c r="U1798" s="545">
        <f>'Foglio deposito bis'!$F$82*IF(ABS(O1798)&lt;'Sollecitazioni nel paramento'!$G$58,ABS(O1798)*'Sollecitazioni nel paramento'!$G$54,'Sollecitazioni nel paramento'!$G$53)*IF(O1798&lt;0,-1,1)</f>
        <v>892485.49558937876</v>
      </c>
      <c r="V1798" s="472">
        <f t="shared" si="125"/>
        <v>455537.54391544126</v>
      </c>
      <c r="W1798" s="551"/>
      <c r="X1798" s="551"/>
    </row>
    <row r="1799" spans="1:24" x14ac:dyDescent="0.25">
      <c r="A1799" s="545">
        <f t="shared" si="124"/>
        <v>438188.20844506985</v>
      </c>
      <c r="B1799" s="3">
        <f t="shared" si="126"/>
        <v>2.8999999999999977</v>
      </c>
      <c r="C1799" s="545">
        <f>'Foglio deposito bis'!$E$160/sezione!$B$247*B1799</f>
        <v>26.413141645839353</v>
      </c>
      <c r="D1799" s="603">
        <f>-'Sollecitazioni nel paramento'!$G$47*'Sollecitazioni nel paramento'!$G$41*IF(DATI!$G$211="dx",DATI!$E$61,DATI!$E$64*DATI!$E$63)*1000*C1799^2*sezione!$AD$5*(1-sezione!$AD$6)</f>
        <v>-15521859.419892836</v>
      </c>
      <c r="E1799" s="545">
        <f>-'Foglio deposito bis'!$F$78*(C1799-sezione!$AL$34)*IF(ABS(K1799)&lt;'Sollecitazioni nel paramento'!$G$58,ABS(K1799)*'Sollecitazioni nel paramento'!$G$54,'Sollecitazioni nel paramento'!$G$53)</f>
        <v>0</v>
      </c>
      <c r="F1799" s="545">
        <f>-'Foglio deposito bis'!$F$79*(C1799-sezione!$AM$34)*IF(ABS(L1799)&lt;'Sollecitazioni nel paramento'!$G$58,ABS(L1799)*'Sollecitazioni nel paramento'!$G$54,'Sollecitazioni nel paramento'!$G$53)</f>
        <v>5161119.8215398295</v>
      </c>
      <c r="G1799" s="545">
        <f>-'Foglio deposito bis'!$F$80*(C1799-sezione!$AN$34)*IF(ABS(M1799)&lt;'Sollecitazioni nel paramento'!$G$58,ABS(M1799)*'Sollecitazioni nel paramento'!$G$54,'Sollecitazioni nel paramento'!$G$53)</f>
        <v>0</v>
      </c>
      <c r="H1799" s="545">
        <f>-'Foglio deposito bis'!$F$81*(C1799-sezione!$AO$34)*IF(ABS(N1799)&lt;'Sollecitazioni nel paramento'!$G$58,ABS(N1799)*'Sollecitazioni nel paramento'!$G$54,'Sollecitazioni nel paramento'!$G$53)</f>
        <v>53207553.785552271</v>
      </c>
      <c r="I1799" s="472">
        <f>-'Foglio deposito bis'!$F$82*(C1799-sezione!$AP$34)*IF(ABS(O1799)&lt;'Sollecitazioni nel paramento'!$G$58,ABS(O1799)*'Sollecitazioni nel paramento'!$G$54,'Sollecitazioni nel paramento'!$G$53)</f>
        <v>541441115.57022393</v>
      </c>
      <c r="J1799" s="472">
        <f t="shared" si="123"/>
        <v>584287929.75742316</v>
      </c>
      <c r="K1799" s="550">
        <f>'Sollecitazioni nel paramento'!$G$60*(sezione!$AL$34-C1799)/C1799</f>
        <v>1.8003918230246971E-3</v>
      </c>
      <c r="L1799" s="550">
        <f>'Sollecitazioni nel paramento'!$G$60*(sezione!$AM$34-C1799)/C1799</f>
        <v>4.4505877345370455E-3</v>
      </c>
      <c r="M1799" s="551">
        <f>'Sollecitazioni nel paramento'!$G$60*(sezione!$AN$34-C1799)/C1799</f>
        <v>7.1007836460493939E-3</v>
      </c>
      <c r="N1799" s="551">
        <f>'Sollecitazioni nel paramento'!$G$60*(sezione!$AO$34-C1799)/C1799</f>
        <v>1.7701567292098791E-2</v>
      </c>
      <c r="O1799" s="551">
        <f>'Sollecitazioni nel paramento'!$G$60*(sezione!$AP$34-C1799)/C1799</f>
        <v>8.0389263349389103E-2</v>
      </c>
      <c r="P1799" s="545">
        <f>-'Sollecitazioni nel paramento'!$G$47*'Sollecitazioni nel paramento'!$G$41*IF(DATI!$G$211="dx",DATI!$E$61,DATI!$E$64*DATI!$E$63)*1000*C1799*sezione!$AD$5</f>
        <v>-1006261.4572815417</v>
      </c>
      <c r="Q1799" s="545">
        <f>'Foglio deposito bis'!$F$78*IF(ABS(K1799)&lt;'Sollecitazioni nel paramento'!$G$58,ABS(K1799)*'Sollecitazioni nel paramento'!$G$54,'Sollecitazioni nel paramento'!$G$53)*IF(K1799&lt;0,-1,1)</f>
        <v>0</v>
      </c>
      <c r="R1799" s="545">
        <f>'Foglio deposito bis'!$F$79*IF(ABS(L1799)&lt;'Sollecitazioni nel paramento'!$G$58,ABS(L1799)*'Sollecitazioni nel paramento'!$G$54,'Sollecitazioni nel paramento'!$G$53)*IF(L1799&lt;0,-1,1)</f>
        <v>153664.85805602249</v>
      </c>
      <c r="S1799" s="545">
        <f>'Foglio deposito bis'!$F$80*IF(ABS(M1799)&lt;'Sollecitazioni nel paramento'!$G$58,ABS(M1799)*'Sollecitazioni nel paramento'!$G$54,'Sollecitazioni nel paramento'!$G$53)*IF(M1799&lt;0,-1,1)</f>
        <v>0</v>
      </c>
      <c r="T1799" s="545">
        <f>'Foglio deposito bis'!$F$81*IF(ABS(N1799)&lt;'Sollecitazioni nel paramento'!$G$58,ABS(N1799)*'Sollecitazioni nel paramento'!$G$54,'Sollecitazioni nel paramento'!$G$53)*IF(N1799&lt;0,-1,1)</f>
        <v>398299.31208121032</v>
      </c>
      <c r="U1799" s="545">
        <f>'Foglio deposito bis'!$F$82*IF(ABS(O1799)&lt;'Sollecitazioni nel paramento'!$G$58,ABS(O1799)*'Sollecitazioni nel paramento'!$G$54,'Sollecitazioni nel paramento'!$G$53)*IF(O1799&lt;0,-1,1)</f>
        <v>892485.49558937876</v>
      </c>
      <c r="V1799" s="472">
        <f t="shared" si="125"/>
        <v>438188.20844506985</v>
      </c>
      <c r="W1799" s="551"/>
      <c r="X1799" s="551"/>
    </row>
    <row r="1800" spans="1:24" x14ac:dyDescent="0.25">
      <c r="A1800" s="545">
        <f t="shared" si="124"/>
        <v>420838.87297469866</v>
      </c>
      <c r="B1800" s="3">
        <f t="shared" si="126"/>
        <v>2.9499999999999975</v>
      </c>
      <c r="C1800" s="545">
        <f>'Foglio deposito bis'!$E$160/sezione!$B$247*B1800</f>
        <v>26.868540639733133</v>
      </c>
      <c r="D1800" s="603">
        <f>-'Sollecitazioni nel paramento'!$G$47*'Sollecitazioni nel paramento'!$G$41*IF(DATI!$G$211="dx",DATI!$E$61,DATI!$E$64*DATI!$E$63)*1000*C1800^2*sezione!$AD$5*(1-sezione!$AD$6)</f>
        <v>-16061710.059645349</v>
      </c>
      <c r="E1800" s="545">
        <f>-'Foglio deposito bis'!$F$78*(C1800-sezione!$AL$34)*IF(ABS(K1800)&lt;'Sollecitazioni nel paramento'!$G$58,ABS(K1800)*'Sollecitazioni nel paramento'!$G$54,'Sollecitazioni nel paramento'!$G$53)</f>
        <v>0</v>
      </c>
      <c r="F1800" s="545">
        <f>-'Foglio deposito bis'!$F$79*(C1800-sezione!$AM$34)*IF(ABS(L1800)&lt;'Sollecitazioni nel paramento'!$G$58,ABS(L1800)*'Sollecitazioni nel paramento'!$G$54,'Sollecitazioni nel paramento'!$G$53)</f>
        <v>5091140.9997842861</v>
      </c>
      <c r="G1800" s="545">
        <f>-'Foglio deposito bis'!$F$80*(C1800-sezione!$AN$34)*IF(ABS(M1800)&lt;'Sollecitazioni nel paramento'!$G$58,ABS(M1800)*'Sollecitazioni nel paramento'!$G$54,'Sollecitazioni nel paramento'!$G$53)</f>
        <v>0</v>
      </c>
      <c r="H1800" s="545">
        <f>-'Foglio deposito bis'!$F$81*(C1800-sezione!$AO$34)*IF(ABS(N1800)&lt;'Sollecitazioni nel paramento'!$G$58,ABS(N1800)*'Sollecitazioni nel paramento'!$G$54,'Sollecitazioni nel paramento'!$G$53)</f>
        <v>53026168.679561898</v>
      </c>
      <c r="I1800" s="472">
        <f>-'Foglio deposito bis'!$F$82*(C1800-sezione!$AP$34)*IF(ABS(O1800)&lt;'Sollecitazioni nel paramento'!$G$58,ABS(O1800)*'Sollecitazioni nel paramento'!$G$54,'Sollecitazioni nel paramento'!$G$53)</f>
        <v>541034678.57346761</v>
      </c>
      <c r="J1800" s="472">
        <f t="shared" si="123"/>
        <v>583090278.1931684</v>
      </c>
      <c r="K1800" s="550">
        <f>'Sollecitazioni nel paramento'!$G$60*(sezione!$AL$34-C1800)/C1800</f>
        <v>1.7105546734819061E-3</v>
      </c>
      <c r="L1800" s="550">
        <f>'Sollecitazioni nel paramento'!$G$60*(sezione!$AM$34-C1800)/C1800</f>
        <v>4.3158320102228594E-3</v>
      </c>
      <c r="M1800" s="551">
        <f>'Sollecitazioni nel paramento'!$G$60*(sezione!$AN$34-C1800)/C1800</f>
        <v>6.9211093469638118E-3</v>
      </c>
      <c r="N1800" s="551">
        <f>'Sollecitazioni nel paramento'!$G$60*(sezione!$AO$34-C1800)/C1800</f>
        <v>1.7342218693927623E-2</v>
      </c>
      <c r="O1800" s="551">
        <f>'Sollecitazioni nel paramento'!$G$60*(sezione!$AP$34-C1800)/C1800</f>
        <v>7.8967411428213022E-2</v>
      </c>
      <c r="P1800" s="545">
        <f>-'Sollecitazioni nel paramento'!$G$47*'Sollecitazioni nel paramento'!$G$41*IF(DATI!$G$211="dx",DATI!$E$61,DATI!$E$64*DATI!$E$63)*1000*C1800*sezione!$AD$5</f>
        <v>-1023610.792751913</v>
      </c>
      <c r="Q1800" s="545">
        <f>'Foglio deposito bis'!$F$78*IF(ABS(K1800)&lt;'Sollecitazioni nel paramento'!$G$58,ABS(K1800)*'Sollecitazioni nel paramento'!$G$54,'Sollecitazioni nel paramento'!$G$53)*IF(K1800&lt;0,-1,1)</f>
        <v>0</v>
      </c>
      <c r="R1800" s="545">
        <f>'Foglio deposito bis'!$F$79*IF(ABS(L1800)&lt;'Sollecitazioni nel paramento'!$G$58,ABS(L1800)*'Sollecitazioni nel paramento'!$G$54,'Sollecitazioni nel paramento'!$G$53)*IF(L1800&lt;0,-1,1)</f>
        <v>153664.85805602249</v>
      </c>
      <c r="S1800" s="545">
        <f>'Foglio deposito bis'!$F$80*IF(ABS(M1800)&lt;'Sollecitazioni nel paramento'!$G$58,ABS(M1800)*'Sollecitazioni nel paramento'!$G$54,'Sollecitazioni nel paramento'!$G$53)*IF(M1800&lt;0,-1,1)</f>
        <v>0</v>
      </c>
      <c r="T1800" s="545">
        <f>'Foglio deposito bis'!$F$81*IF(ABS(N1800)&lt;'Sollecitazioni nel paramento'!$G$58,ABS(N1800)*'Sollecitazioni nel paramento'!$G$54,'Sollecitazioni nel paramento'!$G$53)*IF(N1800&lt;0,-1,1)</f>
        <v>398299.31208121032</v>
      </c>
      <c r="U1800" s="545">
        <f>'Foglio deposito bis'!$F$82*IF(ABS(O1800)&lt;'Sollecitazioni nel paramento'!$G$58,ABS(O1800)*'Sollecitazioni nel paramento'!$G$54,'Sollecitazioni nel paramento'!$G$53)*IF(O1800&lt;0,-1,1)</f>
        <v>892485.49558937876</v>
      </c>
      <c r="V1800" s="472">
        <f t="shared" si="125"/>
        <v>420838.87297469866</v>
      </c>
      <c r="W1800" s="551"/>
      <c r="X1800" s="551"/>
    </row>
    <row r="1801" spans="1:24" x14ac:dyDescent="0.25">
      <c r="A1801" s="545">
        <f t="shared" si="124"/>
        <v>403489.53750432725</v>
      </c>
      <c r="B1801" s="3">
        <f t="shared" si="126"/>
        <v>2.9999999999999973</v>
      </c>
      <c r="C1801" s="545">
        <f>'Foglio deposito bis'!$E$160/sezione!$B$247*B1801</f>
        <v>27.323939633626914</v>
      </c>
      <c r="D1801" s="603">
        <f>-'Sollecitazioni nel paramento'!$G$47*'Sollecitazioni nel paramento'!$G$41*IF(DATI!$G$211="dx",DATI!$E$61,DATI!$E$64*DATI!$E$63)*1000*C1801^2*sezione!$AD$5*(1-sezione!$AD$6)</f>
        <v>-16610788.91546201</v>
      </c>
      <c r="E1801" s="545">
        <f>-'Foglio deposito bis'!$F$78*(C1801-sezione!$AL$34)*IF(ABS(K1801)&lt;'Sollecitazioni nel paramento'!$G$58,ABS(K1801)*'Sollecitazioni nel paramento'!$G$54,'Sollecitazioni nel paramento'!$G$53)</f>
        <v>0</v>
      </c>
      <c r="F1801" s="545">
        <f>-'Foglio deposito bis'!$F$79*(C1801-sezione!$AM$34)*IF(ABS(L1801)&lt;'Sollecitazioni nel paramento'!$G$58,ABS(L1801)*'Sollecitazioni nel paramento'!$G$54,'Sollecitazioni nel paramento'!$G$53)</f>
        <v>5021162.1780287428</v>
      </c>
      <c r="G1801" s="545">
        <f>-'Foglio deposito bis'!$F$80*(C1801-sezione!$AN$34)*IF(ABS(M1801)&lt;'Sollecitazioni nel paramento'!$G$58,ABS(M1801)*'Sollecitazioni nel paramento'!$G$54,'Sollecitazioni nel paramento'!$G$53)</f>
        <v>0</v>
      </c>
      <c r="H1801" s="545">
        <f>-'Foglio deposito bis'!$F$81*(C1801-sezione!$AO$34)*IF(ABS(N1801)&lt;'Sollecitazioni nel paramento'!$G$58,ABS(N1801)*'Sollecitazioni nel paramento'!$G$54,'Sollecitazioni nel paramento'!$G$53)</f>
        <v>52844783.57357154</v>
      </c>
      <c r="I1801" s="472">
        <f>-'Foglio deposito bis'!$F$82*(C1801-sezione!$AP$34)*IF(ABS(O1801)&lt;'Sollecitazioni nel paramento'!$G$58,ABS(O1801)*'Sollecitazioni nel paramento'!$G$54,'Sollecitazioni nel paramento'!$G$53)</f>
        <v>540628241.57671154</v>
      </c>
      <c r="J1801" s="472">
        <f t="shared" si="123"/>
        <v>581883398.41284978</v>
      </c>
      <c r="K1801" s="550">
        <f>'Sollecitazioni nel paramento'!$G$60*(sezione!$AL$34-C1801)/C1801</f>
        <v>1.6237120955905412E-3</v>
      </c>
      <c r="L1801" s="550">
        <f>'Sollecitazioni nel paramento'!$G$60*(sezione!$AM$34-C1801)/C1801</f>
        <v>4.1855681433858117E-3</v>
      </c>
      <c r="M1801" s="551">
        <f>'Sollecitazioni nel paramento'!$G$60*(sezione!$AN$34-C1801)/C1801</f>
        <v>6.7474241911810824E-3</v>
      </c>
      <c r="N1801" s="551">
        <f>'Sollecitazioni nel paramento'!$G$60*(sezione!$AO$34-C1801)/C1801</f>
        <v>1.6994848382362166E-2</v>
      </c>
      <c r="O1801" s="551">
        <f>'Sollecitazioni nel paramento'!$G$60*(sezione!$AP$34-C1801)/C1801</f>
        <v>7.759295457107615E-2</v>
      </c>
      <c r="P1801" s="545">
        <f>-'Sollecitazioni nel paramento'!$G$47*'Sollecitazioni nel paramento'!$G$41*IF(DATI!$G$211="dx",DATI!$E$61,DATI!$E$64*DATI!$E$63)*1000*C1801*sezione!$AD$5</f>
        <v>-1040960.1282222843</v>
      </c>
      <c r="Q1801" s="545">
        <f>'Foglio deposito bis'!$F$78*IF(ABS(K1801)&lt;'Sollecitazioni nel paramento'!$G$58,ABS(K1801)*'Sollecitazioni nel paramento'!$G$54,'Sollecitazioni nel paramento'!$G$53)*IF(K1801&lt;0,-1,1)</f>
        <v>0</v>
      </c>
      <c r="R1801" s="545">
        <f>'Foglio deposito bis'!$F$79*IF(ABS(L1801)&lt;'Sollecitazioni nel paramento'!$G$58,ABS(L1801)*'Sollecitazioni nel paramento'!$G$54,'Sollecitazioni nel paramento'!$G$53)*IF(L1801&lt;0,-1,1)</f>
        <v>153664.85805602249</v>
      </c>
      <c r="S1801" s="545">
        <f>'Foglio deposito bis'!$F$80*IF(ABS(M1801)&lt;'Sollecitazioni nel paramento'!$G$58,ABS(M1801)*'Sollecitazioni nel paramento'!$G$54,'Sollecitazioni nel paramento'!$G$53)*IF(M1801&lt;0,-1,1)</f>
        <v>0</v>
      </c>
      <c r="T1801" s="545">
        <f>'Foglio deposito bis'!$F$81*IF(ABS(N1801)&lt;'Sollecitazioni nel paramento'!$G$58,ABS(N1801)*'Sollecitazioni nel paramento'!$G$54,'Sollecitazioni nel paramento'!$G$53)*IF(N1801&lt;0,-1,1)</f>
        <v>398299.31208121032</v>
      </c>
      <c r="U1801" s="545">
        <f>'Foglio deposito bis'!$F$82*IF(ABS(O1801)&lt;'Sollecitazioni nel paramento'!$G$58,ABS(O1801)*'Sollecitazioni nel paramento'!$G$54,'Sollecitazioni nel paramento'!$G$53)*IF(O1801&lt;0,-1,1)</f>
        <v>892485.49558937876</v>
      </c>
      <c r="V1801" s="472">
        <f t="shared" si="125"/>
        <v>403489.53750432725</v>
      </c>
      <c r="W1801" s="551"/>
      <c r="X1801" s="551"/>
    </row>
    <row r="1802" spans="1:24" x14ac:dyDescent="0.25">
      <c r="A1802" s="545">
        <f t="shared" si="124"/>
        <v>386140.20203395584</v>
      </c>
      <c r="B1802" s="3">
        <f t="shared" si="126"/>
        <v>3.0499999999999972</v>
      </c>
      <c r="C1802" s="545">
        <f>'Foglio deposito bis'!$E$160/sezione!$B$247*B1802</f>
        <v>27.779338627520694</v>
      </c>
      <c r="D1802" s="603">
        <f>-'Sollecitazioni nel paramento'!$G$47*'Sollecitazioni nel paramento'!$G$41*IF(DATI!$G$211="dx",DATI!$E$61,DATI!$E$64*DATI!$E$63)*1000*C1802^2*sezione!$AD$5*(1-sezione!$AD$6)</f>
        <v>-17169095.987342812</v>
      </c>
      <c r="E1802" s="545">
        <f>-'Foglio deposito bis'!$F$78*(C1802-sezione!$AL$34)*IF(ABS(K1802)&lt;'Sollecitazioni nel paramento'!$G$58,ABS(K1802)*'Sollecitazioni nel paramento'!$G$54,'Sollecitazioni nel paramento'!$G$53)</f>
        <v>0</v>
      </c>
      <c r="F1802" s="545">
        <f>-'Foglio deposito bis'!$F$79*(C1802-sezione!$AM$34)*IF(ABS(L1802)&lt;'Sollecitazioni nel paramento'!$G$58,ABS(L1802)*'Sollecitazioni nel paramento'!$G$54,'Sollecitazioni nel paramento'!$G$53)</f>
        <v>4951183.3562731994</v>
      </c>
      <c r="G1802" s="545">
        <f>-'Foglio deposito bis'!$F$80*(C1802-sezione!$AN$34)*IF(ABS(M1802)&lt;'Sollecitazioni nel paramento'!$G$58,ABS(M1802)*'Sollecitazioni nel paramento'!$G$54,'Sollecitazioni nel paramento'!$G$53)</f>
        <v>0</v>
      </c>
      <c r="H1802" s="545">
        <f>-'Foglio deposito bis'!$F$81*(C1802-sezione!$AO$34)*IF(ABS(N1802)&lt;'Sollecitazioni nel paramento'!$G$58,ABS(N1802)*'Sollecitazioni nel paramento'!$G$54,'Sollecitazioni nel paramento'!$G$53)</f>
        <v>52663398.46758116</v>
      </c>
      <c r="I1802" s="472">
        <f>-'Foglio deposito bis'!$F$82*(C1802-sezione!$AP$34)*IF(ABS(O1802)&lt;'Sollecitazioni nel paramento'!$G$58,ABS(O1802)*'Sollecitazioni nel paramento'!$G$54,'Sollecitazioni nel paramento'!$G$53)</f>
        <v>540221804.57995522</v>
      </c>
      <c r="J1802" s="472">
        <f t="shared" si="123"/>
        <v>580667290.41646671</v>
      </c>
      <c r="K1802" s="550">
        <f>'Sollecitazioni nel paramento'!$G$60*(sezione!$AL$34-C1802)/C1802</f>
        <v>1.5397168153349591E-3</v>
      </c>
      <c r="L1802" s="550">
        <f>'Sollecitazioni nel paramento'!$G$60*(sezione!$AM$34-C1802)/C1802</f>
        <v>4.0595752230024379E-3</v>
      </c>
      <c r="M1802" s="551">
        <f>'Sollecitazioni nel paramento'!$G$60*(sezione!$AN$34-C1802)/C1802</f>
        <v>6.5794336306699182E-3</v>
      </c>
      <c r="N1802" s="551">
        <f>'Sollecitazioni nel paramento'!$G$60*(sezione!$AO$34-C1802)/C1802</f>
        <v>1.6658867261339833E-2</v>
      </c>
      <c r="O1802" s="551">
        <f>'Sollecitazioni nel paramento'!$G$60*(sezione!$AP$34-C1802)/C1802</f>
        <v>7.6263561873189653E-2</v>
      </c>
      <c r="P1802" s="545">
        <f>-'Sollecitazioni nel paramento'!$G$47*'Sollecitazioni nel paramento'!$G$41*IF(DATI!$G$211="dx",DATI!$E$61,DATI!$E$64*DATI!$E$63)*1000*C1802*sezione!$AD$5</f>
        <v>-1058309.4636926558</v>
      </c>
      <c r="Q1802" s="545">
        <f>'Foglio deposito bis'!$F$78*IF(ABS(K1802)&lt;'Sollecitazioni nel paramento'!$G$58,ABS(K1802)*'Sollecitazioni nel paramento'!$G$54,'Sollecitazioni nel paramento'!$G$53)*IF(K1802&lt;0,-1,1)</f>
        <v>0</v>
      </c>
      <c r="R1802" s="545">
        <f>'Foglio deposito bis'!$F$79*IF(ABS(L1802)&lt;'Sollecitazioni nel paramento'!$G$58,ABS(L1802)*'Sollecitazioni nel paramento'!$G$54,'Sollecitazioni nel paramento'!$G$53)*IF(L1802&lt;0,-1,1)</f>
        <v>153664.85805602249</v>
      </c>
      <c r="S1802" s="545">
        <f>'Foglio deposito bis'!$F$80*IF(ABS(M1802)&lt;'Sollecitazioni nel paramento'!$G$58,ABS(M1802)*'Sollecitazioni nel paramento'!$G$54,'Sollecitazioni nel paramento'!$G$53)*IF(M1802&lt;0,-1,1)</f>
        <v>0</v>
      </c>
      <c r="T1802" s="545">
        <f>'Foglio deposito bis'!$F$81*IF(ABS(N1802)&lt;'Sollecitazioni nel paramento'!$G$58,ABS(N1802)*'Sollecitazioni nel paramento'!$G$54,'Sollecitazioni nel paramento'!$G$53)*IF(N1802&lt;0,-1,1)</f>
        <v>398299.31208121032</v>
      </c>
      <c r="U1802" s="545">
        <f>'Foglio deposito bis'!$F$82*IF(ABS(O1802)&lt;'Sollecitazioni nel paramento'!$G$58,ABS(O1802)*'Sollecitazioni nel paramento'!$G$54,'Sollecitazioni nel paramento'!$G$53)*IF(O1802&lt;0,-1,1)</f>
        <v>892485.49558937876</v>
      </c>
      <c r="V1802" s="472">
        <f t="shared" si="125"/>
        <v>386140.20203395584</v>
      </c>
      <c r="W1802" s="551"/>
      <c r="X1802" s="551"/>
    </row>
    <row r="1803" spans="1:24" x14ac:dyDescent="0.25">
      <c r="A1803" s="545">
        <f t="shared" si="124"/>
        <v>368790.86656358442</v>
      </c>
      <c r="B1803" s="3">
        <f t="shared" si="126"/>
        <v>3.099999999999997</v>
      </c>
      <c r="C1803" s="545">
        <f>'Foglio deposito bis'!$E$160/sezione!$B$247*B1803</f>
        <v>28.234737621414475</v>
      </c>
      <c r="D1803" s="603">
        <f>-'Sollecitazioni nel paramento'!$G$47*'Sollecitazioni nel paramento'!$G$41*IF(DATI!$G$211="dx",DATI!$E$61,DATI!$E$64*DATI!$E$63)*1000*C1803^2*sezione!$AD$5*(1-sezione!$AD$6)</f>
        <v>-17736631.275287762</v>
      </c>
      <c r="E1803" s="545">
        <f>-'Foglio deposito bis'!$F$78*(C1803-sezione!$AL$34)*IF(ABS(K1803)&lt;'Sollecitazioni nel paramento'!$G$58,ABS(K1803)*'Sollecitazioni nel paramento'!$G$54,'Sollecitazioni nel paramento'!$G$53)</f>
        <v>0</v>
      </c>
      <c r="F1803" s="545">
        <f>-'Foglio deposito bis'!$F$79*(C1803-sezione!$AM$34)*IF(ABS(L1803)&lt;'Sollecitazioni nel paramento'!$G$58,ABS(L1803)*'Sollecitazioni nel paramento'!$G$54,'Sollecitazioni nel paramento'!$G$53)</f>
        <v>4881204.5345176561</v>
      </c>
      <c r="G1803" s="545">
        <f>-'Foglio deposito bis'!$F$80*(C1803-sezione!$AN$34)*IF(ABS(M1803)&lt;'Sollecitazioni nel paramento'!$G$58,ABS(M1803)*'Sollecitazioni nel paramento'!$G$54,'Sollecitazioni nel paramento'!$G$53)</f>
        <v>0</v>
      </c>
      <c r="H1803" s="545">
        <f>-'Foglio deposito bis'!$F$81*(C1803-sezione!$AO$34)*IF(ABS(N1803)&lt;'Sollecitazioni nel paramento'!$G$58,ABS(N1803)*'Sollecitazioni nel paramento'!$G$54,'Sollecitazioni nel paramento'!$G$53)</f>
        <v>52482013.361590803</v>
      </c>
      <c r="I1803" s="472">
        <f>-'Foglio deposito bis'!$F$82*(C1803-sezione!$AP$34)*IF(ABS(O1803)&lt;'Sollecitazioni nel paramento'!$G$58,ABS(O1803)*'Sollecitazioni nel paramento'!$G$54,'Sollecitazioni nel paramento'!$G$53)</f>
        <v>539815367.58319902</v>
      </c>
      <c r="J1803" s="472">
        <f t="shared" si="123"/>
        <v>579441954.20401978</v>
      </c>
      <c r="K1803" s="550">
        <f>'Sollecitazioni nel paramento'!$G$60*(sezione!$AL$34-C1803)/C1803</f>
        <v>1.4584310602489116E-3</v>
      </c>
      <c r="L1803" s="550">
        <f>'Sollecitazioni nel paramento'!$G$60*(sezione!$AM$34-C1803)/C1803</f>
        <v>3.9376465903733669E-3</v>
      </c>
      <c r="M1803" s="551">
        <f>'Sollecitazioni nel paramento'!$G$60*(sezione!$AN$34-C1803)/C1803</f>
        <v>6.4168621204978233E-3</v>
      </c>
      <c r="N1803" s="551">
        <f>'Sollecitazioni nel paramento'!$G$60*(sezione!$AO$34-C1803)/C1803</f>
        <v>1.6333724240995648E-2</v>
      </c>
      <c r="O1803" s="551">
        <f>'Sollecitazioni nel paramento'!$G$60*(sezione!$AP$34-C1803)/C1803</f>
        <v>7.4977052810718856E-2</v>
      </c>
      <c r="P1803" s="545">
        <f>-'Sollecitazioni nel paramento'!$G$47*'Sollecitazioni nel paramento'!$G$41*IF(DATI!$G$211="dx",DATI!$E$61,DATI!$E$64*DATI!$E$63)*1000*C1803*sezione!$AD$5</f>
        <v>-1075658.7991630272</v>
      </c>
      <c r="Q1803" s="545">
        <f>'Foglio deposito bis'!$F$78*IF(ABS(K1803)&lt;'Sollecitazioni nel paramento'!$G$58,ABS(K1803)*'Sollecitazioni nel paramento'!$G$54,'Sollecitazioni nel paramento'!$G$53)*IF(K1803&lt;0,-1,1)</f>
        <v>0</v>
      </c>
      <c r="R1803" s="545">
        <f>'Foglio deposito bis'!$F$79*IF(ABS(L1803)&lt;'Sollecitazioni nel paramento'!$G$58,ABS(L1803)*'Sollecitazioni nel paramento'!$G$54,'Sollecitazioni nel paramento'!$G$53)*IF(L1803&lt;0,-1,1)</f>
        <v>153664.85805602249</v>
      </c>
      <c r="S1803" s="545">
        <f>'Foglio deposito bis'!$F$80*IF(ABS(M1803)&lt;'Sollecitazioni nel paramento'!$G$58,ABS(M1803)*'Sollecitazioni nel paramento'!$G$54,'Sollecitazioni nel paramento'!$G$53)*IF(M1803&lt;0,-1,1)</f>
        <v>0</v>
      </c>
      <c r="T1803" s="545">
        <f>'Foglio deposito bis'!$F$81*IF(ABS(N1803)&lt;'Sollecitazioni nel paramento'!$G$58,ABS(N1803)*'Sollecitazioni nel paramento'!$G$54,'Sollecitazioni nel paramento'!$G$53)*IF(N1803&lt;0,-1,1)</f>
        <v>398299.31208121032</v>
      </c>
      <c r="U1803" s="545">
        <f>'Foglio deposito bis'!$F$82*IF(ABS(O1803)&lt;'Sollecitazioni nel paramento'!$G$58,ABS(O1803)*'Sollecitazioni nel paramento'!$G$54,'Sollecitazioni nel paramento'!$G$53)*IF(O1803&lt;0,-1,1)</f>
        <v>892485.49558937876</v>
      </c>
      <c r="V1803" s="472">
        <f t="shared" si="125"/>
        <v>368790.86656358442</v>
      </c>
      <c r="W1803" s="551"/>
      <c r="X1803" s="551"/>
    </row>
    <row r="1804" spans="1:24" x14ac:dyDescent="0.25">
      <c r="A1804" s="545">
        <f t="shared" si="124"/>
        <v>351441.53109321324</v>
      </c>
      <c r="B1804" s="3">
        <f t="shared" si="126"/>
        <v>3.1499999999999968</v>
      </c>
      <c r="C1804" s="545">
        <f>'Foglio deposito bis'!$E$160/sezione!$B$247*B1804</f>
        <v>28.690136615308255</v>
      </c>
      <c r="D1804" s="603">
        <f>-'Sollecitazioni nel paramento'!$G$47*'Sollecitazioni nel paramento'!$G$41*IF(DATI!$G$211="dx",DATI!$E$61,DATI!$E$64*DATI!$E$63)*1000*C1804^2*sezione!$AD$5*(1-sezione!$AD$6)</f>
        <v>-18313394.779296856</v>
      </c>
      <c r="E1804" s="545">
        <f>-'Foglio deposito bis'!$F$78*(C1804-sezione!$AL$34)*IF(ABS(K1804)&lt;'Sollecitazioni nel paramento'!$G$58,ABS(K1804)*'Sollecitazioni nel paramento'!$G$54,'Sollecitazioni nel paramento'!$G$53)</f>
        <v>0</v>
      </c>
      <c r="F1804" s="545">
        <f>-'Foglio deposito bis'!$F$79*(C1804-sezione!$AM$34)*IF(ABS(L1804)&lt;'Sollecitazioni nel paramento'!$G$58,ABS(L1804)*'Sollecitazioni nel paramento'!$G$54,'Sollecitazioni nel paramento'!$G$53)</f>
        <v>4811225.7127621127</v>
      </c>
      <c r="G1804" s="545">
        <f>-'Foglio deposito bis'!$F$80*(C1804-sezione!$AN$34)*IF(ABS(M1804)&lt;'Sollecitazioni nel paramento'!$G$58,ABS(M1804)*'Sollecitazioni nel paramento'!$G$54,'Sollecitazioni nel paramento'!$G$53)</f>
        <v>0</v>
      </c>
      <c r="H1804" s="545">
        <f>-'Foglio deposito bis'!$F$81*(C1804-sezione!$AO$34)*IF(ABS(N1804)&lt;'Sollecitazioni nel paramento'!$G$58,ABS(N1804)*'Sollecitazioni nel paramento'!$G$54,'Sollecitazioni nel paramento'!$G$53)</f>
        <v>52300628.25560043</v>
      </c>
      <c r="I1804" s="472">
        <f>-'Foglio deposito bis'!$F$82*(C1804-sezione!$AP$34)*IF(ABS(O1804)&lt;'Sollecitazioni nel paramento'!$G$58,ABS(O1804)*'Sollecitazioni nel paramento'!$G$54,'Sollecitazioni nel paramento'!$G$53)</f>
        <v>539408930.58644295</v>
      </c>
      <c r="J1804" s="472">
        <f t="shared" si="123"/>
        <v>578207389.77550864</v>
      </c>
      <c r="K1804" s="550">
        <f>'Sollecitazioni nel paramento'!$G$60*(sezione!$AL$34-C1804)/C1804</f>
        <v>1.3797258053243259E-3</v>
      </c>
      <c r="L1804" s="550">
        <f>'Sollecitazioni nel paramento'!$G$60*(sezione!$AM$34-C1804)/C1804</f>
        <v>3.8195887079864885E-3</v>
      </c>
      <c r="M1804" s="551">
        <f>'Sollecitazioni nel paramento'!$G$60*(sezione!$AN$34-C1804)/C1804</f>
        <v>6.2594516106486524E-3</v>
      </c>
      <c r="N1804" s="551">
        <f>'Sollecitazioni nel paramento'!$G$60*(sezione!$AO$34-C1804)/C1804</f>
        <v>1.6018903221297301E-2</v>
      </c>
      <c r="O1804" s="551">
        <f>'Sollecitazioni nel paramento'!$G$60*(sezione!$AP$34-C1804)/C1804</f>
        <v>7.3731385305786823E-2</v>
      </c>
      <c r="P1804" s="545">
        <f>-'Sollecitazioni nel paramento'!$G$47*'Sollecitazioni nel paramento'!$G$41*IF(DATI!$G$211="dx",DATI!$E$61,DATI!$E$64*DATI!$E$63)*1000*C1804*sezione!$AD$5</f>
        <v>-1093008.1346333984</v>
      </c>
      <c r="Q1804" s="545">
        <f>'Foglio deposito bis'!$F$78*IF(ABS(K1804)&lt;'Sollecitazioni nel paramento'!$G$58,ABS(K1804)*'Sollecitazioni nel paramento'!$G$54,'Sollecitazioni nel paramento'!$G$53)*IF(K1804&lt;0,-1,1)</f>
        <v>0</v>
      </c>
      <c r="R1804" s="545">
        <f>'Foglio deposito bis'!$F$79*IF(ABS(L1804)&lt;'Sollecitazioni nel paramento'!$G$58,ABS(L1804)*'Sollecitazioni nel paramento'!$G$54,'Sollecitazioni nel paramento'!$G$53)*IF(L1804&lt;0,-1,1)</f>
        <v>153664.85805602249</v>
      </c>
      <c r="S1804" s="545">
        <f>'Foglio deposito bis'!$F$80*IF(ABS(M1804)&lt;'Sollecitazioni nel paramento'!$G$58,ABS(M1804)*'Sollecitazioni nel paramento'!$G$54,'Sollecitazioni nel paramento'!$G$53)*IF(M1804&lt;0,-1,1)</f>
        <v>0</v>
      </c>
      <c r="T1804" s="545">
        <f>'Foglio deposito bis'!$F$81*IF(ABS(N1804)&lt;'Sollecitazioni nel paramento'!$G$58,ABS(N1804)*'Sollecitazioni nel paramento'!$G$54,'Sollecitazioni nel paramento'!$G$53)*IF(N1804&lt;0,-1,1)</f>
        <v>398299.31208121032</v>
      </c>
      <c r="U1804" s="545">
        <f>'Foglio deposito bis'!$F$82*IF(ABS(O1804)&lt;'Sollecitazioni nel paramento'!$G$58,ABS(O1804)*'Sollecitazioni nel paramento'!$G$54,'Sollecitazioni nel paramento'!$G$53)*IF(O1804&lt;0,-1,1)</f>
        <v>892485.49558937876</v>
      </c>
      <c r="V1804" s="472">
        <f t="shared" si="125"/>
        <v>351441.53109321324</v>
      </c>
      <c r="W1804" s="551"/>
      <c r="X1804" s="551"/>
    </row>
    <row r="1805" spans="1:24" x14ac:dyDescent="0.25">
      <c r="A1805" s="545">
        <f t="shared" si="124"/>
        <v>334092.19562284183</v>
      </c>
      <c r="B1805" s="3">
        <f t="shared" si="126"/>
        <v>3.1999999999999966</v>
      </c>
      <c r="C1805" s="545">
        <f>'Foglio deposito bis'!$E$160/sezione!$B$247*B1805</f>
        <v>29.145535609202039</v>
      </c>
      <c r="D1805" s="603">
        <f>-'Sollecitazioni nel paramento'!$G$47*'Sollecitazioni nel paramento'!$G$41*IF(DATI!$G$211="dx",DATI!$E$61,DATI!$E$64*DATI!$E$63)*1000*C1805^2*sezione!$AD$5*(1-sezione!$AD$6)</f>
        <v>-18899386.499370106</v>
      </c>
      <c r="E1805" s="545">
        <f>-'Foglio deposito bis'!$F$78*(C1805-sezione!$AL$34)*IF(ABS(K1805)&lt;'Sollecitazioni nel paramento'!$G$58,ABS(K1805)*'Sollecitazioni nel paramento'!$G$54,'Sollecitazioni nel paramento'!$G$53)</f>
        <v>0</v>
      </c>
      <c r="F1805" s="545">
        <f>-'Foglio deposito bis'!$F$79*(C1805-sezione!$AM$34)*IF(ABS(L1805)&lt;'Sollecitazioni nel paramento'!$G$58,ABS(L1805)*'Sollecitazioni nel paramento'!$G$54,'Sollecitazioni nel paramento'!$G$53)</f>
        <v>4741246.8910065694</v>
      </c>
      <c r="G1805" s="545">
        <f>-'Foglio deposito bis'!$F$80*(C1805-sezione!$AN$34)*IF(ABS(M1805)&lt;'Sollecitazioni nel paramento'!$G$58,ABS(M1805)*'Sollecitazioni nel paramento'!$G$54,'Sollecitazioni nel paramento'!$G$53)</f>
        <v>0</v>
      </c>
      <c r="H1805" s="545">
        <f>-'Foglio deposito bis'!$F$81*(C1805-sezione!$AO$34)*IF(ABS(N1805)&lt;'Sollecitazioni nel paramento'!$G$58,ABS(N1805)*'Sollecitazioni nel paramento'!$G$54,'Sollecitazioni nel paramento'!$G$53)</f>
        <v>52119243.149610057</v>
      </c>
      <c r="I1805" s="472">
        <f>-'Foglio deposito bis'!$F$82*(C1805-sezione!$AP$34)*IF(ABS(O1805)&lt;'Sollecitazioni nel paramento'!$G$58,ABS(O1805)*'Sollecitazioni nel paramento'!$G$54,'Sollecitazioni nel paramento'!$G$53)</f>
        <v>539002493.58968663</v>
      </c>
      <c r="J1805" s="472">
        <f t="shared" ref="J1805:J1868" si="127">D1805+E1805+F1805+G1805+H1805+I1805</f>
        <v>576963597.13093317</v>
      </c>
      <c r="K1805" s="550">
        <f>'Sollecitazioni nel paramento'!$G$60*(sezione!$AL$34-C1805)/C1805</f>
        <v>1.303480089616133E-3</v>
      </c>
      <c r="L1805" s="550">
        <f>'Sollecitazioni nel paramento'!$G$60*(sezione!$AM$34-C1805)/C1805</f>
        <v>3.7052201344241996E-3</v>
      </c>
      <c r="M1805" s="551">
        <f>'Sollecitazioni nel paramento'!$G$60*(sezione!$AN$34-C1805)/C1805</f>
        <v>6.106960179232266E-3</v>
      </c>
      <c r="N1805" s="551">
        <f>'Sollecitazioni nel paramento'!$G$60*(sezione!$AO$34-C1805)/C1805</f>
        <v>1.5713920358464532E-2</v>
      </c>
      <c r="O1805" s="551">
        <f>'Sollecitazioni nel paramento'!$G$60*(sezione!$AP$34-C1805)/C1805</f>
        <v>7.2524644910383892E-2</v>
      </c>
      <c r="P1805" s="545">
        <f>-'Sollecitazioni nel paramento'!$G$47*'Sollecitazioni nel paramento'!$G$41*IF(DATI!$G$211="dx",DATI!$E$61,DATI!$E$64*DATI!$E$63)*1000*C1805*sezione!$AD$5</f>
        <v>-1110357.4701037698</v>
      </c>
      <c r="Q1805" s="545">
        <f>'Foglio deposito bis'!$F$78*IF(ABS(K1805)&lt;'Sollecitazioni nel paramento'!$G$58,ABS(K1805)*'Sollecitazioni nel paramento'!$G$54,'Sollecitazioni nel paramento'!$G$53)*IF(K1805&lt;0,-1,1)</f>
        <v>0</v>
      </c>
      <c r="R1805" s="545">
        <f>'Foglio deposito bis'!$F$79*IF(ABS(L1805)&lt;'Sollecitazioni nel paramento'!$G$58,ABS(L1805)*'Sollecitazioni nel paramento'!$G$54,'Sollecitazioni nel paramento'!$G$53)*IF(L1805&lt;0,-1,1)</f>
        <v>153664.85805602249</v>
      </c>
      <c r="S1805" s="545">
        <f>'Foglio deposito bis'!$F$80*IF(ABS(M1805)&lt;'Sollecitazioni nel paramento'!$G$58,ABS(M1805)*'Sollecitazioni nel paramento'!$G$54,'Sollecitazioni nel paramento'!$G$53)*IF(M1805&lt;0,-1,1)</f>
        <v>0</v>
      </c>
      <c r="T1805" s="545">
        <f>'Foglio deposito bis'!$F$81*IF(ABS(N1805)&lt;'Sollecitazioni nel paramento'!$G$58,ABS(N1805)*'Sollecitazioni nel paramento'!$G$54,'Sollecitazioni nel paramento'!$G$53)*IF(N1805&lt;0,-1,1)</f>
        <v>398299.31208121032</v>
      </c>
      <c r="U1805" s="545">
        <f>'Foglio deposito bis'!$F$82*IF(ABS(O1805)&lt;'Sollecitazioni nel paramento'!$G$58,ABS(O1805)*'Sollecitazioni nel paramento'!$G$54,'Sollecitazioni nel paramento'!$G$53)*IF(O1805&lt;0,-1,1)</f>
        <v>892485.49558937876</v>
      </c>
      <c r="V1805" s="472">
        <f t="shared" si="125"/>
        <v>334092.19562284183</v>
      </c>
      <c r="W1805" s="551"/>
      <c r="X1805" s="551"/>
    </row>
    <row r="1806" spans="1:24" x14ac:dyDescent="0.25">
      <c r="A1806" s="545">
        <f t="shared" ref="A1806:A1869" si="128">ABS(V1806)</f>
        <v>316742.86015247041</v>
      </c>
      <c r="B1806" s="3">
        <f t="shared" si="126"/>
        <v>3.2499999999999964</v>
      </c>
      <c r="C1806" s="545">
        <f>'Foglio deposito bis'!$E$160/sezione!$B$247*B1806</f>
        <v>29.600934603095819</v>
      </c>
      <c r="D1806" s="603">
        <f>-'Sollecitazioni nel paramento'!$G$47*'Sollecitazioni nel paramento'!$G$41*IF(DATI!$G$211="dx",DATI!$E$61,DATI!$E$64*DATI!$E$63)*1000*C1806^2*sezione!$AD$5*(1-sezione!$AD$6)</f>
        <v>-19494606.435507491</v>
      </c>
      <c r="E1806" s="545">
        <f>-'Foglio deposito bis'!$F$78*(C1806-sezione!$AL$34)*IF(ABS(K1806)&lt;'Sollecitazioni nel paramento'!$G$58,ABS(K1806)*'Sollecitazioni nel paramento'!$G$54,'Sollecitazioni nel paramento'!$G$53)</f>
        <v>0</v>
      </c>
      <c r="F1806" s="545">
        <f>-'Foglio deposito bis'!$F$79*(C1806-sezione!$AM$34)*IF(ABS(L1806)&lt;'Sollecitazioni nel paramento'!$G$58,ABS(L1806)*'Sollecitazioni nel paramento'!$G$54,'Sollecitazioni nel paramento'!$G$53)</f>
        <v>4671268.069251026</v>
      </c>
      <c r="G1806" s="545">
        <f>-'Foglio deposito bis'!$F$80*(C1806-sezione!$AN$34)*IF(ABS(M1806)&lt;'Sollecitazioni nel paramento'!$G$58,ABS(M1806)*'Sollecitazioni nel paramento'!$G$54,'Sollecitazioni nel paramento'!$G$53)</f>
        <v>0</v>
      </c>
      <c r="H1806" s="545">
        <f>-'Foglio deposito bis'!$F$81*(C1806-sezione!$AO$34)*IF(ABS(N1806)&lt;'Sollecitazioni nel paramento'!$G$58,ABS(N1806)*'Sollecitazioni nel paramento'!$G$54,'Sollecitazioni nel paramento'!$G$53)</f>
        <v>51937858.043619685</v>
      </c>
      <c r="I1806" s="472">
        <f>-'Foglio deposito bis'!$F$82*(C1806-sezione!$AP$34)*IF(ABS(O1806)&lt;'Sollecitazioni nel paramento'!$G$58,ABS(O1806)*'Sollecitazioni nel paramento'!$G$54,'Sollecitazioni nel paramento'!$G$53)</f>
        <v>538596056.59293056</v>
      </c>
      <c r="J1806" s="472">
        <f t="shared" si="127"/>
        <v>575710576.27029371</v>
      </c>
      <c r="K1806" s="550">
        <f>'Sollecitazioni nel paramento'!$G$60*(sezione!$AL$34-C1806)/C1806</f>
        <v>1.2295803959297311E-3</v>
      </c>
      <c r="L1806" s="550">
        <f>'Sollecitazioni nel paramento'!$G$60*(sezione!$AM$34-C1806)/C1806</f>
        <v>3.5943705938945966E-3</v>
      </c>
      <c r="M1806" s="551">
        <f>'Sollecitazioni nel paramento'!$G$60*(sezione!$AN$34-C1806)/C1806</f>
        <v>5.9591607918594624E-3</v>
      </c>
      <c r="N1806" s="551">
        <f>'Sollecitazioni nel paramento'!$G$60*(sezione!$AO$34-C1806)/C1806</f>
        <v>1.5418321583718923E-2</v>
      </c>
      <c r="O1806" s="551">
        <f>'Sollecitazioni nel paramento'!$G$60*(sezione!$AP$34-C1806)/C1806</f>
        <v>7.1355034988685687E-2</v>
      </c>
      <c r="P1806" s="545">
        <f>-'Sollecitazioni nel paramento'!$G$47*'Sollecitazioni nel paramento'!$G$41*IF(DATI!$G$211="dx",DATI!$E$61,DATI!$E$64*DATI!$E$63)*1000*C1806*sezione!$AD$5</f>
        <v>-1127706.8055741412</v>
      </c>
      <c r="Q1806" s="545">
        <f>'Foglio deposito bis'!$F$78*IF(ABS(K1806)&lt;'Sollecitazioni nel paramento'!$G$58,ABS(K1806)*'Sollecitazioni nel paramento'!$G$54,'Sollecitazioni nel paramento'!$G$53)*IF(K1806&lt;0,-1,1)</f>
        <v>0</v>
      </c>
      <c r="R1806" s="545">
        <f>'Foglio deposito bis'!$F$79*IF(ABS(L1806)&lt;'Sollecitazioni nel paramento'!$G$58,ABS(L1806)*'Sollecitazioni nel paramento'!$G$54,'Sollecitazioni nel paramento'!$G$53)*IF(L1806&lt;0,-1,1)</f>
        <v>153664.85805602249</v>
      </c>
      <c r="S1806" s="545">
        <f>'Foglio deposito bis'!$F$80*IF(ABS(M1806)&lt;'Sollecitazioni nel paramento'!$G$58,ABS(M1806)*'Sollecitazioni nel paramento'!$G$54,'Sollecitazioni nel paramento'!$G$53)*IF(M1806&lt;0,-1,1)</f>
        <v>0</v>
      </c>
      <c r="T1806" s="545">
        <f>'Foglio deposito bis'!$F$81*IF(ABS(N1806)&lt;'Sollecitazioni nel paramento'!$G$58,ABS(N1806)*'Sollecitazioni nel paramento'!$G$54,'Sollecitazioni nel paramento'!$G$53)*IF(N1806&lt;0,-1,1)</f>
        <v>398299.31208121032</v>
      </c>
      <c r="U1806" s="545">
        <f>'Foglio deposito bis'!$F$82*IF(ABS(O1806)&lt;'Sollecitazioni nel paramento'!$G$58,ABS(O1806)*'Sollecitazioni nel paramento'!$G$54,'Sollecitazioni nel paramento'!$G$53)*IF(O1806&lt;0,-1,1)</f>
        <v>892485.49558937876</v>
      </c>
      <c r="V1806" s="472">
        <f t="shared" ref="V1806:V1869" si="129">P1806+Q1806+R1806+S1806+T1806+U1806</f>
        <v>316742.86015247041</v>
      </c>
      <c r="W1806" s="551"/>
      <c r="X1806" s="551"/>
    </row>
    <row r="1807" spans="1:24" x14ac:dyDescent="0.25">
      <c r="A1807" s="545">
        <f t="shared" si="128"/>
        <v>299393.524682099</v>
      </c>
      <c r="B1807" s="3">
        <f t="shared" ref="B1807:B1843" si="130">B1806+0.05</f>
        <v>3.2999999999999963</v>
      </c>
      <c r="C1807" s="545">
        <f>'Foglio deposito bis'!$E$160/sezione!$B$247*B1807</f>
        <v>30.056333596989599</v>
      </c>
      <c r="D1807" s="603">
        <f>-'Sollecitazioni nel paramento'!$G$47*'Sollecitazioni nel paramento'!$G$41*IF(DATI!$G$211="dx",DATI!$E$61,DATI!$E$64*DATI!$E$63)*1000*C1807^2*sezione!$AD$5*(1-sezione!$AD$6)</f>
        <v>-20099054.587709025</v>
      </c>
      <c r="E1807" s="545">
        <f>-'Foglio deposito bis'!$F$78*(C1807-sezione!$AL$34)*IF(ABS(K1807)&lt;'Sollecitazioni nel paramento'!$G$58,ABS(K1807)*'Sollecitazioni nel paramento'!$G$54,'Sollecitazioni nel paramento'!$G$53)</f>
        <v>0</v>
      </c>
      <c r="F1807" s="545">
        <f>-'Foglio deposito bis'!$F$79*(C1807-sezione!$AM$34)*IF(ABS(L1807)&lt;'Sollecitazioni nel paramento'!$G$58,ABS(L1807)*'Sollecitazioni nel paramento'!$G$54,'Sollecitazioni nel paramento'!$G$53)</f>
        <v>4601289.2474954827</v>
      </c>
      <c r="G1807" s="545">
        <f>-'Foglio deposito bis'!$F$80*(C1807-sezione!$AN$34)*IF(ABS(M1807)&lt;'Sollecitazioni nel paramento'!$G$58,ABS(M1807)*'Sollecitazioni nel paramento'!$G$54,'Sollecitazioni nel paramento'!$G$53)</f>
        <v>0</v>
      </c>
      <c r="H1807" s="545">
        <f>-'Foglio deposito bis'!$F$81*(C1807-sezione!$AO$34)*IF(ABS(N1807)&lt;'Sollecitazioni nel paramento'!$G$58,ABS(N1807)*'Sollecitazioni nel paramento'!$G$54,'Sollecitazioni nel paramento'!$G$53)</f>
        <v>51756472.937629327</v>
      </c>
      <c r="I1807" s="472">
        <f>-'Foglio deposito bis'!$F$82*(C1807-sezione!$AP$34)*IF(ABS(O1807)&lt;'Sollecitazioni nel paramento'!$G$58,ABS(O1807)*'Sollecitazioni nel paramento'!$G$54,'Sollecitazioni nel paramento'!$G$53)</f>
        <v>538189619.59617436</v>
      </c>
      <c r="J1807" s="472">
        <f t="shared" si="127"/>
        <v>574448327.19359016</v>
      </c>
      <c r="K1807" s="550">
        <f>'Sollecitazioni nel paramento'!$G$60*(sezione!$AL$34-C1807)/C1807</f>
        <v>1.1579200869004929E-3</v>
      </c>
      <c r="L1807" s="550">
        <f>'Sollecitazioni nel paramento'!$G$60*(sezione!$AM$34-C1807)/C1807</f>
        <v>3.4868801303507397E-3</v>
      </c>
      <c r="M1807" s="551">
        <f>'Sollecitazioni nel paramento'!$G$60*(sezione!$AN$34-C1807)/C1807</f>
        <v>5.8158401738009858E-3</v>
      </c>
      <c r="N1807" s="551">
        <f>'Sollecitazioni nel paramento'!$G$60*(sezione!$AO$34-C1807)/C1807</f>
        <v>1.5131680347601973E-2</v>
      </c>
      <c r="O1807" s="551">
        <f>'Sollecitazioni nel paramento'!$G$60*(sezione!$AP$34-C1807)/C1807</f>
        <v>7.0220867791887423E-2</v>
      </c>
      <c r="P1807" s="545">
        <f>-'Sollecitazioni nel paramento'!$G$47*'Sollecitazioni nel paramento'!$G$41*IF(DATI!$G$211="dx",DATI!$E$61,DATI!$E$64*DATI!$E$63)*1000*C1807*sezione!$AD$5</f>
        <v>-1145056.1410445126</v>
      </c>
      <c r="Q1807" s="545">
        <f>'Foglio deposito bis'!$F$78*IF(ABS(K1807)&lt;'Sollecitazioni nel paramento'!$G$58,ABS(K1807)*'Sollecitazioni nel paramento'!$G$54,'Sollecitazioni nel paramento'!$G$53)*IF(K1807&lt;0,-1,1)</f>
        <v>0</v>
      </c>
      <c r="R1807" s="545">
        <f>'Foglio deposito bis'!$F$79*IF(ABS(L1807)&lt;'Sollecitazioni nel paramento'!$G$58,ABS(L1807)*'Sollecitazioni nel paramento'!$G$54,'Sollecitazioni nel paramento'!$G$53)*IF(L1807&lt;0,-1,1)</f>
        <v>153664.85805602249</v>
      </c>
      <c r="S1807" s="545">
        <f>'Foglio deposito bis'!$F$80*IF(ABS(M1807)&lt;'Sollecitazioni nel paramento'!$G$58,ABS(M1807)*'Sollecitazioni nel paramento'!$G$54,'Sollecitazioni nel paramento'!$G$53)*IF(M1807&lt;0,-1,1)</f>
        <v>0</v>
      </c>
      <c r="T1807" s="545">
        <f>'Foglio deposito bis'!$F$81*IF(ABS(N1807)&lt;'Sollecitazioni nel paramento'!$G$58,ABS(N1807)*'Sollecitazioni nel paramento'!$G$54,'Sollecitazioni nel paramento'!$G$53)*IF(N1807&lt;0,-1,1)</f>
        <v>398299.31208121032</v>
      </c>
      <c r="U1807" s="545">
        <f>'Foglio deposito bis'!$F$82*IF(ABS(O1807)&lt;'Sollecitazioni nel paramento'!$G$58,ABS(O1807)*'Sollecitazioni nel paramento'!$G$54,'Sollecitazioni nel paramento'!$G$53)*IF(O1807&lt;0,-1,1)</f>
        <v>892485.49558937876</v>
      </c>
      <c r="V1807" s="472">
        <f t="shared" si="129"/>
        <v>299393.524682099</v>
      </c>
      <c r="W1807" s="551"/>
      <c r="X1807" s="551"/>
    </row>
    <row r="1808" spans="1:24" x14ac:dyDescent="0.25">
      <c r="A1808" s="545">
        <f t="shared" si="128"/>
        <v>282044.18921172782</v>
      </c>
      <c r="B1808" s="3">
        <f t="shared" si="130"/>
        <v>3.3499999999999961</v>
      </c>
      <c r="C1808" s="545">
        <f>'Foglio deposito bis'!$E$160/sezione!$B$247*B1808</f>
        <v>30.51173259088338</v>
      </c>
      <c r="D1808" s="603">
        <f>-'Sollecitazioni nel paramento'!$G$47*'Sollecitazioni nel paramento'!$G$41*IF(DATI!$G$211="dx",DATI!$E$61,DATI!$E$64*DATI!$E$63)*1000*C1808^2*sezione!$AD$5*(1-sezione!$AD$6)</f>
        <v>-20712730.955974698</v>
      </c>
      <c r="E1808" s="545">
        <f>-'Foglio deposito bis'!$F$78*(C1808-sezione!$AL$34)*IF(ABS(K1808)&lt;'Sollecitazioni nel paramento'!$G$58,ABS(K1808)*'Sollecitazioni nel paramento'!$G$54,'Sollecitazioni nel paramento'!$G$53)</f>
        <v>0</v>
      </c>
      <c r="F1808" s="545">
        <f>-'Foglio deposito bis'!$F$79*(C1808-sezione!$AM$34)*IF(ABS(L1808)&lt;'Sollecitazioni nel paramento'!$G$58,ABS(L1808)*'Sollecitazioni nel paramento'!$G$54,'Sollecitazioni nel paramento'!$G$53)</f>
        <v>4531310.4257399393</v>
      </c>
      <c r="G1808" s="545">
        <f>-'Foglio deposito bis'!$F$80*(C1808-sezione!$AN$34)*IF(ABS(M1808)&lt;'Sollecitazioni nel paramento'!$G$58,ABS(M1808)*'Sollecitazioni nel paramento'!$G$54,'Sollecitazioni nel paramento'!$G$53)</f>
        <v>0</v>
      </c>
      <c r="H1808" s="545">
        <f>-'Foglio deposito bis'!$F$81*(C1808-sezione!$AO$34)*IF(ABS(N1808)&lt;'Sollecitazioni nel paramento'!$G$58,ABS(N1808)*'Sollecitazioni nel paramento'!$G$54,'Sollecitazioni nel paramento'!$G$53)</f>
        <v>51575087.831638955</v>
      </c>
      <c r="I1808" s="472">
        <f>-'Foglio deposito bis'!$F$82*(C1808-sezione!$AP$34)*IF(ABS(O1808)&lt;'Sollecitazioni nel paramento'!$G$58,ABS(O1808)*'Sollecitazioni nel paramento'!$G$54,'Sollecitazioni nel paramento'!$G$53)</f>
        <v>537783182.59941816</v>
      </c>
      <c r="J1808" s="472">
        <f t="shared" si="127"/>
        <v>573176849.9008224</v>
      </c>
      <c r="K1808" s="550">
        <f>'Sollecitazioni nel paramento'!$G$60*(sezione!$AL$34-C1808)/C1808</f>
        <v>1.08839889157362E-3</v>
      </c>
      <c r="L1808" s="550">
        <f>'Sollecitazioni nel paramento'!$G$60*(sezione!$AM$34-C1808)/C1808</f>
        <v>3.3825983373604305E-3</v>
      </c>
      <c r="M1808" s="551">
        <f>'Sollecitazioni nel paramento'!$G$60*(sezione!$AN$34-C1808)/C1808</f>
        <v>5.6767977831472406E-3</v>
      </c>
      <c r="N1808" s="551">
        <f>'Sollecitazioni nel paramento'!$G$60*(sezione!$AO$34-C1808)/C1808</f>
        <v>1.4853595566294479E-2</v>
      </c>
      <c r="O1808" s="551">
        <f>'Sollecitazioni nel paramento'!$G$60*(sezione!$AP$34-C1808)/C1808</f>
        <v>6.9120556332307015E-2</v>
      </c>
      <c r="P1808" s="545">
        <f>-'Sollecitazioni nel paramento'!$G$47*'Sollecitazioni nel paramento'!$G$41*IF(DATI!$G$211="dx",DATI!$E$61,DATI!$E$64*DATI!$E$63)*1000*C1808*sezione!$AD$5</f>
        <v>-1162405.4765148838</v>
      </c>
      <c r="Q1808" s="545">
        <f>'Foglio deposito bis'!$F$78*IF(ABS(K1808)&lt;'Sollecitazioni nel paramento'!$G$58,ABS(K1808)*'Sollecitazioni nel paramento'!$G$54,'Sollecitazioni nel paramento'!$G$53)*IF(K1808&lt;0,-1,1)</f>
        <v>0</v>
      </c>
      <c r="R1808" s="545">
        <f>'Foglio deposito bis'!$F$79*IF(ABS(L1808)&lt;'Sollecitazioni nel paramento'!$G$58,ABS(L1808)*'Sollecitazioni nel paramento'!$G$54,'Sollecitazioni nel paramento'!$G$53)*IF(L1808&lt;0,-1,1)</f>
        <v>153664.85805602249</v>
      </c>
      <c r="S1808" s="545">
        <f>'Foglio deposito bis'!$F$80*IF(ABS(M1808)&lt;'Sollecitazioni nel paramento'!$G$58,ABS(M1808)*'Sollecitazioni nel paramento'!$G$54,'Sollecitazioni nel paramento'!$G$53)*IF(M1808&lt;0,-1,1)</f>
        <v>0</v>
      </c>
      <c r="T1808" s="545">
        <f>'Foglio deposito bis'!$F$81*IF(ABS(N1808)&lt;'Sollecitazioni nel paramento'!$G$58,ABS(N1808)*'Sollecitazioni nel paramento'!$G$54,'Sollecitazioni nel paramento'!$G$53)*IF(N1808&lt;0,-1,1)</f>
        <v>398299.31208121032</v>
      </c>
      <c r="U1808" s="545">
        <f>'Foglio deposito bis'!$F$82*IF(ABS(O1808)&lt;'Sollecitazioni nel paramento'!$G$58,ABS(O1808)*'Sollecitazioni nel paramento'!$G$54,'Sollecitazioni nel paramento'!$G$53)*IF(O1808&lt;0,-1,1)</f>
        <v>892485.49558937876</v>
      </c>
      <c r="V1808" s="472">
        <f t="shared" si="129"/>
        <v>282044.18921172782</v>
      </c>
      <c r="W1808" s="551"/>
      <c r="X1808" s="551"/>
    </row>
    <row r="1809" spans="1:24" x14ac:dyDescent="0.25">
      <c r="A1809" s="545">
        <f t="shared" si="128"/>
        <v>264694.8537413564</v>
      </c>
      <c r="B1809" s="3">
        <f t="shared" si="130"/>
        <v>3.3999999999999959</v>
      </c>
      <c r="C1809" s="545">
        <f>'Foglio deposito bis'!$E$160/sezione!$B$247*B1809</f>
        <v>30.96713158477716</v>
      </c>
      <c r="D1809" s="603">
        <f>-'Sollecitazioni nel paramento'!$G$47*'Sollecitazioni nel paramento'!$G$41*IF(DATI!$G$211="dx",DATI!$E$61,DATI!$E$64*DATI!$E$63)*1000*C1809^2*sezione!$AD$5*(1-sezione!$AD$6)</f>
        <v>-21335635.540304523</v>
      </c>
      <c r="E1809" s="545">
        <f>-'Foglio deposito bis'!$F$78*(C1809-sezione!$AL$34)*IF(ABS(K1809)&lt;'Sollecitazioni nel paramento'!$G$58,ABS(K1809)*'Sollecitazioni nel paramento'!$G$54,'Sollecitazioni nel paramento'!$G$53)</f>
        <v>0</v>
      </c>
      <c r="F1809" s="545">
        <f>-'Foglio deposito bis'!$F$79*(C1809-sezione!$AM$34)*IF(ABS(L1809)&lt;'Sollecitazioni nel paramento'!$G$58,ABS(L1809)*'Sollecitazioni nel paramento'!$G$54,'Sollecitazioni nel paramento'!$G$53)</f>
        <v>4461331.6039843969</v>
      </c>
      <c r="G1809" s="545">
        <f>-'Foglio deposito bis'!$F$80*(C1809-sezione!$AN$34)*IF(ABS(M1809)&lt;'Sollecitazioni nel paramento'!$G$58,ABS(M1809)*'Sollecitazioni nel paramento'!$G$54,'Sollecitazioni nel paramento'!$G$53)</f>
        <v>0</v>
      </c>
      <c r="H1809" s="545">
        <f>-'Foglio deposito bis'!$F$81*(C1809-sezione!$AO$34)*IF(ABS(N1809)&lt;'Sollecitazioni nel paramento'!$G$58,ABS(N1809)*'Sollecitazioni nel paramento'!$G$54,'Sollecitazioni nel paramento'!$G$53)</f>
        <v>51393702.725648589</v>
      </c>
      <c r="I1809" s="472">
        <f>-'Foglio deposito bis'!$F$82*(C1809-sezione!$AP$34)*IF(ABS(O1809)&lt;'Sollecitazioni nel paramento'!$G$58,ABS(O1809)*'Sollecitazioni nel paramento'!$G$54,'Sollecitazioni nel paramento'!$G$53)</f>
        <v>537376745.60266197</v>
      </c>
      <c r="J1809" s="472">
        <f t="shared" si="127"/>
        <v>571896144.39199042</v>
      </c>
      <c r="K1809" s="550">
        <f>'Sollecitazioni nel paramento'!$G$60*(sezione!$AL$34-C1809)/C1809</f>
        <v>1.020922437285773E-3</v>
      </c>
      <c r="L1809" s="550">
        <f>'Sollecitazioni nel paramento'!$G$60*(sezione!$AM$34-C1809)/C1809</f>
        <v>3.2813836559286596E-3</v>
      </c>
      <c r="M1809" s="551">
        <f>'Sollecitazioni nel paramento'!$G$60*(sezione!$AN$34-C1809)/C1809</f>
        <v>5.541844874571546E-3</v>
      </c>
      <c r="N1809" s="551">
        <f>'Sollecitazioni nel paramento'!$G$60*(sezione!$AO$34-C1809)/C1809</f>
        <v>1.4583689749143093E-2</v>
      </c>
      <c r="O1809" s="551">
        <f>'Sollecitazioni nel paramento'!$G$60*(sezione!$AP$34-C1809)/C1809</f>
        <v>6.8052606974478985E-2</v>
      </c>
      <c r="P1809" s="545">
        <f>-'Sollecitazioni nel paramento'!$G$47*'Sollecitazioni nel paramento'!$G$41*IF(DATI!$G$211="dx",DATI!$E$61,DATI!$E$64*DATI!$E$63)*1000*C1809*sezione!$AD$5</f>
        <v>-1179754.8119852552</v>
      </c>
      <c r="Q1809" s="545">
        <f>'Foglio deposito bis'!$F$78*IF(ABS(K1809)&lt;'Sollecitazioni nel paramento'!$G$58,ABS(K1809)*'Sollecitazioni nel paramento'!$G$54,'Sollecitazioni nel paramento'!$G$53)*IF(K1809&lt;0,-1,1)</f>
        <v>0</v>
      </c>
      <c r="R1809" s="545">
        <f>'Foglio deposito bis'!$F$79*IF(ABS(L1809)&lt;'Sollecitazioni nel paramento'!$G$58,ABS(L1809)*'Sollecitazioni nel paramento'!$G$54,'Sollecitazioni nel paramento'!$G$53)*IF(L1809&lt;0,-1,1)</f>
        <v>153664.85805602249</v>
      </c>
      <c r="S1809" s="545">
        <f>'Foglio deposito bis'!$F$80*IF(ABS(M1809)&lt;'Sollecitazioni nel paramento'!$G$58,ABS(M1809)*'Sollecitazioni nel paramento'!$G$54,'Sollecitazioni nel paramento'!$G$53)*IF(M1809&lt;0,-1,1)</f>
        <v>0</v>
      </c>
      <c r="T1809" s="545">
        <f>'Foglio deposito bis'!$F$81*IF(ABS(N1809)&lt;'Sollecitazioni nel paramento'!$G$58,ABS(N1809)*'Sollecitazioni nel paramento'!$G$54,'Sollecitazioni nel paramento'!$G$53)*IF(N1809&lt;0,-1,1)</f>
        <v>398299.31208121032</v>
      </c>
      <c r="U1809" s="545">
        <f>'Foglio deposito bis'!$F$82*IF(ABS(O1809)&lt;'Sollecitazioni nel paramento'!$G$58,ABS(O1809)*'Sollecitazioni nel paramento'!$G$54,'Sollecitazioni nel paramento'!$G$53)*IF(O1809&lt;0,-1,1)</f>
        <v>892485.49558937876</v>
      </c>
      <c r="V1809" s="472">
        <f t="shared" si="129"/>
        <v>264694.8537413564</v>
      </c>
      <c r="W1809" s="551"/>
      <c r="X1809" s="551"/>
    </row>
    <row r="1810" spans="1:24" x14ac:dyDescent="0.25">
      <c r="A1810" s="545">
        <f t="shared" si="128"/>
        <v>247345.51827098499</v>
      </c>
      <c r="B1810" s="3">
        <f t="shared" si="130"/>
        <v>3.4499999999999957</v>
      </c>
      <c r="C1810" s="545">
        <f>'Foglio deposito bis'!$E$160/sezione!$B$247*B1810</f>
        <v>31.422530578670941</v>
      </c>
      <c r="D1810" s="603">
        <f>-'Sollecitazioni nel paramento'!$G$47*'Sollecitazioni nel paramento'!$G$41*IF(DATI!$G$211="dx",DATI!$E$61,DATI!$E$64*DATI!$E$63)*1000*C1810^2*sezione!$AD$5*(1-sezione!$AD$6)</f>
        <v>-21967768.340698492</v>
      </c>
      <c r="E1810" s="545">
        <f>-'Foglio deposito bis'!$F$78*(C1810-sezione!$AL$34)*IF(ABS(K1810)&lt;'Sollecitazioni nel paramento'!$G$58,ABS(K1810)*'Sollecitazioni nel paramento'!$G$54,'Sollecitazioni nel paramento'!$G$53)</f>
        <v>0</v>
      </c>
      <c r="F1810" s="545">
        <f>-'Foglio deposito bis'!$F$79*(C1810-sezione!$AM$34)*IF(ABS(L1810)&lt;'Sollecitazioni nel paramento'!$G$58,ABS(L1810)*'Sollecitazioni nel paramento'!$G$54,'Sollecitazioni nel paramento'!$G$53)</f>
        <v>4391352.7822288536</v>
      </c>
      <c r="G1810" s="545">
        <f>-'Foglio deposito bis'!$F$80*(C1810-sezione!$AN$34)*IF(ABS(M1810)&lt;'Sollecitazioni nel paramento'!$G$58,ABS(M1810)*'Sollecitazioni nel paramento'!$G$54,'Sollecitazioni nel paramento'!$G$53)</f>
        <v>0</v>
      </c>
      <c r="H1810" s="545">
        <f>-'Foglio deposito bis'!$F$81*(C1810-sezione!$AO$34)*IF(ABS(N1810)&lt;'Sollecitazioni nel paramento'!$G$58,ABS(N1810)*'Sollecitazioni nel paramento'!$G$54,'Sollecitazioni nel paramento'!$G$53)</f>
        <v>51212317.619658217</v>
      </c>
      <c r="I1810" s="472">
        <f>-'Foglio deposito bis'!$F$82*(C1810-sezione!$AP$34)*IF(ABS(O1810)&lt;'Sollecitazioni nel paramento'!$G$58,ABS(O1810)*'Sollecitazioni nel paramento'!$G$54,'Sollecitazioni nel paramento'!$G$53)</f>
        <v>536970308.60590577</v>
      </c>
      <c r="J1810" s="472">
        <f t="shared" si="127"/>
        <v>570606210.66709435</v>
      </c>
      <c r="K1810" s="550">
        <f>'Sollecitazioni nel paramento'!$G$60*(sezione!$AL$34-C1810)/C1810</f>
        <v>9.55401822252646E-4</v>
      </c>
      <c r="L1810" s="550">
        <f>'Sollecitazioni nel paramento'!$G$60*(sezione!$AM$34-C1810)/C1810</f>
        <v>3.1831027333789693E-3</v>
      </c>
      <c r="M1810" s="551">
        <f>'Sollecitazioni nel paramento'!$G$60*(sezione!$AN$34-C1810)/C1810</f>
        <v>5.4108036445052916E-3</v>
      </c>
      <c r="N1810" s="551">
        <f>'Sollecitazioni nel paramento'!$G$60*(sezione!$AO$34-C1810)/C1810</f>
        <v>1.4321607289010583E-2</v>
      </c>
      <c r="O1810" s="551">
        <f>'Sollecitazioni nel paramento'!$G$60*(sezione!$AP$34-C1810)/C1810</f>
        <v>6.7015612670501018E-2</v>
      </c>
      <c r="P1810" s="545">
        <f>-'Sollecitazioni nel paramento'!$G$47*'Sollecitazioni nel paramento'!$G$41*IF(DATI!$G$211="dx",DATI!$E$61,DATI!$E$64*DATI!$E$63)*1000*C1810*sezione!$AD$5</f>
        <v>-1197104.1474556266</v>
      </c>
      <c r="Q1810" s="545">
        <f>'Foglio deposito bis'!$F$78*IF(ABS(K1810)&lt;'Sollecitazioni nel paramento'!$G$58,ABS(K1810)*'Sollecitazioni nel paramento'!$G$54,'Sollecitazioni nel paramento'!$G$53)*IF(K1810&lt;0,-1,1)</f>
        <v>0</v>
      </c>
      <c r="R1810" s="545">
        <f>'Foglio deposito bis'!$F$79*IF(ABS(L1810)&lt;'Sollecitazioni nel paramento'!$G$58,ABS(L1810)*'Sollecitazioni nel paramento'!$G$54,'Sollecitazioni nel paramento'!$G$53)*IF(L1810&lt;0,-1,1)</f>
        <v>153664.85805602249</v>
      </c>
      <c r="S1810" s="545">
        <f>'Foglio deposito bis'!$F$80*IF(ABS(M1810)&lt;'Sollecitazioni nel paramento'!$G$58,ABS(M1810)*'Sollecitazioni nel paramento'!$G$54,'Sollecitazioni nel paramento'!$G$53)*IF(M1810&lt;0,-1,1)</f>
        <v>0</v>
      </c>
      <c r="T1810" s="545">
        <f>'Foglio deposito bis'!$F$81*IF(ABS(N1810)&lt;'Sollecitazioni nel paramento'!$G$58,ABS(N1810)*'Sollecitazioni nel paramento'!$G$54,'Sollecitazioni nel paramento'!$G$53)*IF(N1810&lt;0,-1,1)</f>
        <v>398299.31208121032</v>
      </c>
      <c r="U1810" s="545">
        <f>'Foglio deposito bis'!$F$82*IF(ABS(O1810)&lt;'Sollecitazioni nel paramento'!$G$58,ABS(O1810)*'Sollecitazioni nel paramento'!$G$54,'Sollecitazioni nel paramento'!$G$53)*IF(O1810&lt;0,-1,1)</f>
        <v>892485.49558937876</v>
      </c>
      <c r="V1810" s="472">
        <f t="shared" si="129"/>
        <v>247345.51827098499</v>
      </c>
      <c r="W1810" s="551"/>
      <c r="X1810" s="551"/>
    </row>
    <row r="1811" spans="1:24" x14ac:dyDescent="0.25">
      <c r="A1811" s="545">
        <f t="shared" si="128"/>
        <v>229996.18280061381</v>
      </c>
      <c r="B1811" s="3">
        <f t="shared" si="130"/>
        <v>3.4999999999999956</v>
      </c>
      <c r="C1811" s="545">
        <f>'Foglio deposito bis'!$E$160/sezione!$B$247*B1811</f>
        <v>31.877929572564721</v>
      </c>
      <c r="D1811" s="603">
        <f>-'Sollecitazioni nel paramento'!$G$47*'Sollecitazioni nel paramento'!$G$41*IF(DATI!$G$211="dx",DATI!$E$61,DATI!$E$64*DATI!$E$63)*1000*C1811^2*sezione!$AD$5*(1-sezione!$AD$6)</f>
        <v>-22609129.357156605</v>
      </c>
      <c r="E1811" s="545">
        <f>-'Foglio deposito bis'!$F$78*(C1811-sezione!$AL$34)*IF(ABS(K1811)&lt;'Sollecitazioni nel paramento'!$G$58,ABS(K1811)*'Sollecitazioni nel paramento'!$G$54,'Sollecitazioni nel paramento'!$G$53)</f>
        <v>0</v>
      </c>
      <c r="F1811" s="545">
        <f>-'Foglio deposito bis'!$F$79*(C1811-sezione!$AM$34)*IF(ABS(L1811)&lt;'Sollecitazioni nel paramento'!$G$58,ABS(L1811)*'Sollecitazioni nel paramento'!$G$54,'Sollecitazioni nel paramento'!$G$53)</f>
        <v>4321373.9604733102</v>
      </c>
      <c r="G1811" s="545">
        <f>-'Foglio deposito bis'!$F$80*(C1811-sezione!$AN$34)*IF(ABS(M1811)&lt;'Sollecitazioni nel paramento'!$G$58,ABS(M1811)*'Sollecitazioni nel paramento'!$G$54,'Sollecitazioni nel paramento'!$G$53)</f>
        <v>0</v>
      </c>
      <c r="H1811" s="545">
        <f>-'Foglio deposito bis'!$F$81*(C1811-sezione!$AO$34)*IF(ABS(N1811)&lt;'Sollecitazioni nel paramento'!$G$58,ABS(N1811)*'Sollecitazioni nel paramento'!$G$54,'Sollecitazioni nel paramento'!$G$53)</f>
        <v>51030932.513667859</v>
      </c>
      <c r="I1811" s="472">
        <f>-'Foglio deposito bis'!$F$82*(C1811-sezione!$AP$34)*IF(ABS(O1811)&lt;'Sollecitazioni nel paramento'!$G$58,ABS(O1811)*'Sollecitazioni nel paramento'!$G$54,'Sollecitazioni nel paramento'!$G$53)</f>
        <v>536563871.60914952</v>
      </c>
      <c r="J1811" s="472">
        <f t="shared" si="127"/>
        <v>569307048.72613406</v>
      </c>
      <c r="K1811" s="550">
        <f>'Sollecitazioni nel paramento'!$G$60*(sezione!$AL$34-C1811)/C1811</f>
        <v>8.917532247918942E-4</v>
      </c>
      <c r="L1811" s="550">
        <f>'Sollecitazioni nel paramento'!$G$60*(sezione!$AM$34-C1811)/C1811</f>
        <v>3.0876298371878413E-3</v>
      </c>
      <c r="M1811" s="551">
        <f>'Sollecitazioni nel paramento'!$G$60*(sezione!$AN$34-C1811)/C1811</f>
        <v>5.283506449583788E-3</v>
      </c>
      <c r="N1811" s="551">
        <f>'Sollecitazioni nel paramento'!$G$60*(sezione!$AO$34-C1811)/C1811</f>
        <v>1.4067012899167577E-2</v>
      </c>
      <c r="O1811" s="551">
        <f>'Sollecitazioni nel paramento'!$G$60*(sezione!$AP$34-C1811)/C1811</f>
        <v>6.600824677520814E-2</v>
      </c>
      <c r="P1811" s="545">
        <f>-'Sollecitazioni nel paramento'!$G$47*'Sollecitazioni nel paramento'!$G$41*IF(DATI!$G$211="dx",DATI!$E$61,DATI!$E$64*DATI!$E$63)*1000*C1811*sezione!$AD$5</f>
        <v>-1214453.4829259978</v>
      </c>
      <c r="Q1811" s="545">
        <f>'Foglio deposito bis'!$F$78*IF(ABS(K1811)&lt;'Sollecitazioni nel paramento'!$G$58,ABS(K1811)*'Sollecitazioni nel paramento'!$G$54,'Sollecitazioni nel paramento'!$G$53)*IF(K1811&lt;0,-1,1)</f>
        <v>0</v>
      </c>
      <c r="R1811" s="545">
        <f>'Foglio deposito bis'!$F$79*IF(ABS(L1811)&lt;'Sollecitazioni nel paramento'!$G$58,ABS(L1811)*'Sollecitazioni nel paramento'!$G$54,'Sollecitazioni nel paramento'!$G$53)*IF(L1811&lt;0,-1,1)</f>
        <v>153664.85805602249</v>
      </c>
      <c r="S1811" s="545">
        <f>'Foglio deposito bis'!$F$80*IF(ABS(M1811)&lt;'Sollecitazioni nel paramento'!$G$58,ABS(M1811)*'Sollecitazioni nel paramento'!$G$54,'Sollecitazioni nel paramento'!$G$53)*IF(M1811&lt;0,-1,1)</f>
        <v>0</v>
      </c>
      <c r="T1811" s="545">
        <f>'Foglio deposito bis'!$F$81*IF(ABS(N1811)&lt;'Sollecitazioni nel paramento'!$G$58,ABS(N1811)*'Sollecitazioni nel paramento'!$G$54,'Sollecitazioni nel paramento'!$G$53)*IF(N1811&lt;0,-1,1)</f>
        <v>398299.31208121032</v>
      </c>
      <c r="U1811" s="545">
        <f>'Foglio deposito bis'!$F$82*IF(ABS(O1811)&lt;'Sollecitazioni nel paramento'!$G$58,ABS(O1811)*'Sollecitazioni nel paramento'!$G$54,'Sollecitazioni nel paramento'!$G$53)*IF(O1811&lt;0,-1,1)</f>
        <v>892485.49558937876</v>
      </c>
      <c r="V1811" s="472">
        <f t="shared" si="129"/>
        <v>229996.18280061381</v>
      </c>
      <c r="W1811" s="551"/>
      <c r="X1811" s="551"/>
    </row>
    <row r="1812" spans="1:24" x14ac:dyDescent="0.25">
      <c r="A1812" s="545">
        <f t="shared" si="128"/>
        <v>212646.84733024216</v>
      </c>
      <c r="B1812" s="3">
        <f t="shared" si="130"/>
        <v>3.5499999999999954</v>
      </c>
      <c r="C1812" s="545">
        <f>'Foglio deposito bis'!$E$160/sezione!$B$247*B1812</f>
        <v>32.333328566458505</v>
      </c>
      <c r="D1812" s="603">
        <f>-'Sollecitazioni nel paramento'!$G$47*'Sollecitazioni nel paramento'!$G$41*IF(DATI!$G$211="dx",DATI!$E$61,DATI!$E$64*DATI!$E$63)*1000*C1812^2*sezione!$AD$5*(1-sezione!$AD$6)</f>
        <v>-23259718.589678869</v>
      </c>
      <c r="E1812" s="545">
        <f>-'Foglio deposito bis'!$F$78*(C1812-sezione!$AL$34)*IF(ABS(K1812)&lt;'Sollecitazioni nel paramento'!$G$58,ABS(K1812)*'Sollecitazioni nel paramento'!$G$54,'Sollecitazioni nel paramento'!$G$53)</f>
        <v>0</v>
      </c>
      <c r="F1812" s="545">
        <f>-'Foglio deposito bis'!$F$79*(C1812-sezione!$AM$34)*IF(ABS(L1812)&lt;'Sollecitazioni nel paramento'!$G$58,ABS(L1812)*'Sollecitazioni nel paramento'!$G$54,'Sollecitazioni nel paramento'!$G$53)</f>
        <v>4251395.1387177669</v>
      </c>
      <c r="G1812" s="545">
        <f>-'Foglio deposito bis'!$F$80*(C1812-sezione!$AN$34)*IF(ABS(M1812)&lt;'Sollecitazioni nel paramento'!$G$58,ABS(M1812)*'Sollecitazioni nel paramento'!$G$54,'Sollecitazioni nel paramento'!$G$53)</f>
        <v>0</v>
      </c>
      <c r="H1812" s="545">
        <f>-'Foglio deposito bis'!$F$81*(C1812-sezione!$AO$34)*IF(ABS(N1812)&lt;'Sollecitazioni nel paramento'!$G$58,ABS(N1812)*'Sollecitazioni nel paramento'!$G$54,'Sollecitazioni nel paramento'!$G$53)</f>
        <v>50849547.407677479</v>
      </c>
      <c r="I1812" s="472">
        <f>-'Foglio deposito bis'!$F$82*(C1812-sezione!$AP$34)*IF(ABS(O1812)&lt;'Sollecitazioni nel paramento'!$G$58,ABS(O1812)*'Sollecitazioni nel paramento'!$G$54,'Sollecitazioni nel paramento'!$G$53)</f>
        <v>536157434.61239338</v>
      </c>
      <c r="J1812" s="472">
        <f t="shared" si="127"/>
        <v>567998658.5691098</v>
      </c>
      <c r="K1812" s="550">
        <f>'Sollecitazioni nel paramento'!$G$60*(sezione!$AL$34-C1812)/C1812</f>
        <v>8.2989754556947275E-4</v>
      </c>
      <c r="L1812" s="550">
        <f>'Sollecitazioni nel paramento'!$G$60*(sezione!$AM$34-C1812)/C1812</f>
        <v>2.9948463183542091E-3</v>
      </c>
      <c r="M1812" s="551">
        <f>'Sollecitazioni nel paramento'!$G$60*(sezione!$AN$34-C1812)/C1812</f>
        <v>5.1597950911389462E-3</v>
      </c>
      <c r="N1812" s="551">
        <f>'Sollecitazioni nel paramento'!$G$60*(sezione!$AO$34-C1812)/C1812</f>
        <v>1.3819590182277892E-2</v>
      </c>
      <c r="O1812" s="551">
        <f>'Sollecitazioni nel paramento'!$G$60*(sezione!$AP$34-C1812)/C1812</f>
        <v>6.5029257384008041E-2</v>
      </c>
      <c r="P1812" s="545">
        <f>-'Sollecitazioni nel paramento'!$G$47*'Sollecitazioni nel paramento'!$G$41*IF(DATI!$G$211="dx",DATI!$E$61,DATI!$E$64*DATI!$E$63)*1000*C1812*sezione!$AD$5</f>
        <v>-1231802.8183963695</v>
      </c>
      <c r="Q1812" s="545">
        <f>'Foglio deposito bis'!$F$78*IF(ABS(K1812)&lt;'Sollecitazioni nel paramento'!$G$58,ABS(K1812)*'Sollecitazioni nel paramento'!$G$54,'Sollecitazioni nel paramento'!$G$53)*IF(K1812&lt;0,-1,1)</f>
        <v>0</v>
      </c>
      <c r="R1812" s="545">
        <f>'Foglio deposito bis'!$F$79*IF(ABS(L1812)&lt;'Sollecitazioni nel paramento'!$G$58,ABS(L1812)*'Sollecitazioni nel paramento'!$G$54,'Sollecitazioni nel paramento'!$G$53)*IF(L1812&lt;0,-1,1)</f>
        <v>153664.85805602249</v>
      </c>
      <c r="S1812" s="545">
        <f>'Foglio deposito bis'!$F$80*IF(ABS(M1812)&lt;'Sollecitazioni nel paramento'!$G$58,ABS(M1812)*'Sollecitazioni nel paramento'!$G$54,'Sollecitazioni nel paramento'!$G$53)*IF(M1812&lt;0,-1,1)</f>
        <v>0</v>
      </c>
      <c r="T1812" s="545">
        <f>'Foglio deposito bis'!$F$81*IF(ABS(N1812)&lt;'Sollecitazioni nel paramento'!$G$58,ABS(N1812)*'Sollecitazioni nel paramento'!$G$54,'Sollecitazioni nel paramento'!$G$53)*IF(N1812&lt;0,-1,1)</f>
        <v>398299.31208121032</v>
      </c>
      <c r="U1812" s="545">
        <f>'Foglio deposito bis'!$F$82*IF(ABS(O1812)&lt;'Sollecitazioni nel paramento'!$G$58,ABS(O1812)*'Sollecitazioni nel paramento'!$G$54,'Sollecitazioni nel paramento'!$G$53)*IF(O1812&lt;0,-1,1)</f>
        <v>892485.49558937876</v>
      </c>
      <c r="V1812" s="472">
        <f t="shared" si="129"/>
        <v>212646.84733024216</v>
      </c>
      <c r="W1812" s="551"/>
      <c r="X1812" s="551"/>
    </row>
    <row r="1813" spans="1:24" x14ac:dyDescent="0.25">
      <c r="A1813" s="545">
        <f t="shared" si="128"/>
        <v>195297.51185987098</v>
      </c>
      <c r="B1813" s="3">
        <f t="shared" si="130"/>
        <v>3.5999999999999952</v>
      </c>
      <c r="C1813" s="545">
        <f>'Foglio deposito bis'!$E$160/sezione!$B$247*B1813</f>
        <v>32.788727560352285</v>
      </c>
      <c r="D1813" s="603">
        <f>-'Sollecitazioni nel paramento'!$G$47*'Sollecitazioni nel paramento'!$G$41*IF(DATI!$G$211="dx",DATI!$E$61,DATI!$E$64*DATI!$E$63)*1000*C1813^2*sezione!$AD$5*(1-sezione!$AD$6)</f>
        <v>-23919536.038265277</v>
      </c>
      <c r="E1813" s="545">
        <f>-'Foglio deposito bis'!$F$78*(C1813-sezione!$AL$34)*IF(ABS(K1813)&lt;'Sollecitazioni nel paramento'!$G$58,ABS(K1813)*'Sollecitazioni nel paramento'!$G$54,'Sollecitazioni nel paramento'!$G$53)</f>
        <v>0</v>
      </c>
      <c r="F1813" s="545">
        <f>-'Foglio deposito bis'!$F$79*(C1813-sezione!$AM$34)*IF(ABS(L1813)&lt;'Sollecitazioni nel paramento'!$G$58,ABS(L1813)*'Sollecitazioni nel paramento'!$G$54,'Sollecitazioni nel paramento'!$G$53)</f>
        <v>4181416.316962223</v>
      </c>
      <c r="G1813" s="545">
        <f>-'Foglio deposito bis'!$F$80*(C1813-sezione!$AN$34)*IF(ABS(M1813)&lt;'Sollecitazioni nel paramento'!$G$58,ABS(M1813)*'Sollecitazioni nel paramento'!$G$54,'Sollecitazioni nel paramento'!$G$53)</f>
        <v>0</v>
      </c>
      <c r="H1813" s="545">
        <f>-'Foglio deposito bis'!$F$81*(C1813-sezione!$AO$34)*IF(ABS(N1813)&lt;'Sollecitazioni nel paramento'!$G$58,ABS(N1813)*'Sollecitazioni nel paramento'!$G$54,'Sollecitazioni nel paramento'!$G$53)</f>
        <v>50668162.301687114</v>
      </c>
      <c r="I1813" s="472">
        <f>-'Foglio deposito bis'!$F$82*(C1813-sezione!$AP$34)*IF(ABS(O1813)&lt;'Sollecitazioni nel paramento'!$G$58,ABS(O1813)*'Sollecitazioni nel paramento'!$G$54,'Sollecitazioni nel paramento'!$G$53)</f>
        <v>535750997.61563718</v>
      </c>
      <c r="J1813" s="472">
        <f t="shared" si="127"/>
        <v>566681040.1960212</v>
      </c>
      <c r="K1813" s="550">
        <f>'Sollecitazioni nel paramento'!$G$60*(sezione!$AL$34-C1813)/C1813</f>
        <v>7.6976007965878584E-4</v>
      </c>
      <c r="L1813" s="550">
        <f>'Sollecitazioni nel paramento'!$G$60*(sezione!$AM$34-C1813)/C1813</f>
        <v>2.9046401194881789E-3</v>
      </c>
      <c r="M1813" s="551">
        <f>'Sollecitazioni nel paramento'!$G$60*(sezione!$AN$34-C1813)/C1813</f>
        <v>5.0395201593175717E-3</v>
      </c>
      <c r="N1813" s="551">
        <f>'Sollecitazioni nel paramento'!$G$60*(sezione!$AO$34-C1813)/C1813</f>
        <v>1.3579040318635145E-2</v>
      </c>
      <c r="O1813" s="551">
        <f>'Sollecitazioni nel paramento'!$G$60*(sezione!$AP$34-C1813)/C1813</f>
        <v>6.4077462142563477E-2</v>
      </c>
      <c r="P1813" s="545">
        <f>-'Sollecitazioni nel paramento'!$G$47*'Sollecitazioni nel paramento'!$G$41*IF(DATI!$G$211="dx",DATI!$E$61,DATI!$E$64*DATI!$E$63)*1000*C1813*sezione!$AD$5</f>
        <v>-1249152.1538667406</v>
      </c>
      <c r="Q1813" s="545">
        <f>'Foglio deposito bis'!$F$78*IF(ABS(K1813)&lt;'Sollecitazioni nel paramento'!$G$58,ABS(K1813)*'Sollecitazioni nel paramento'!$G$54,'Sollecitazioni nel paramento'!$G$53)*IF(K1813&lt;0,-1,1)</f>
        <v>0</v>
      </c>
      <c r="R1813" s="545">
        <f>'Foglio deposito bis'!$F$79*IF(ABS(L1813)&lt;'Sollecitazioni nel paramento'!$G$58,ABS(L1813)*'Sollecitazioni nel paramento'!$G$54,'Sollecitazioni nel paramento'!$G$53)*IF(L1813&lt;0,-1,1)</f>
        <v>153664.85805602249</v>
      </c>
      <c r="S1813" s="545">
        <f>'Foglio deposito bis'!$F$80*IF(ABS(M1813)&lt;'Sollecitazioni nel paramento'!$G$58,ABS(M1813)*'Sollecitazioni nel paramento'!$G$54,'Sollecitazioni nel paramento'!$G$53)*IF(M1813&lt;0,-1,1)</f>
        <v>0</v>
      </c>
      <c r="T1813" s="545">
        <f>'Foglio deposito bis'!$F$81*IF(ABS(N1813)&lt;'Sollecitazioni nel paramento'!$G$58,ABS(N1813)*'Sollecitazioni nel paramento'!$G$54,'Sollecitazioni nel paramento'!$G$53)*IF(N1813&lt;0,-1,1)</f>
        <v>398299.31208121032</v>
      </c>
      <c r="U1813" s="545">
        <f>'Foglio deposito bis'!$F$82*IF(ABS(O1813)&lt;'Sollecitazioni nel paramento'!$G$58,ABS(O1813)*'Sollecitazioni nel paramento'!$G$54,'Sollecitazioni nel paramento'!$G$53)*IF(O1813&lt;0,-1,1)</f>
        <v>892485.49558937876</v>
      </c>
      <c r="V1813" s="472">
        <f t="shared" si="129"/>
        <v>195297.51185987098</v>
      </c>
      <c r="W1813" s="551"/>
      <c r="X1813" s="551"/>
    </row>
    <row r="1814" spans="1:24" x14ac:dyDescent="0.25">
      <c r="A1814" s="545">
        <f t="shared" si="128"/>
        <v>177948.17638949957</v>
      </c>
      <c r="B1814" s="3">
        <f t="shared" si="130"/>
        <v>3.649999999999995</v>
      </c>
      <c r="C1814" s="545">
        <f>'Foglio deposito bis'!$E$160/sezione!$B$247*B1814</f>
        <v>33.244126554246066</v>
      </c>
      <c r="D1814" s="603">
        <f>-'Sollecitazioni nel paramento'!$G$47*'Sollecitazioni nel paramento'!$G$41*IF(DATI!$G$211="dx",DATI!$E$61,DATI!$E$64*DATI!$E$63)*1000*C1814^2*sezione!$AD$5*(1-sezione!$AD$6)</f>
        <v>-24588581.702915825</v>
      </c>
      <c r="E1814" s="545">
        <f>-'Foglio deposito bis'!$F$78*(C1814-sezione!$AL$34)*IF(ABS(K1814)&lt;'Sollecitazioni nel paramento'!$G$58,ABS(K1814)*'Sollecitazioni nel paramento'!$G$54,'Sollecitazioni nel paramento'!$G$53)</f>
        <v>0</v>
      </c>
      <c r="F1814" s="545">
        <f>-'Foglio deposito bis'!$F$79*(C1814-sezione!$AM$34)*IF(ABS(L1814)&lt;'Sollecitazioni nel paramento'!$G$58,ABS(L1814)*'Sollecitazioni nel paramento'!$G$54,'Sollecitazioni nel paramento'!$G$53)</f>
        <v>4111437.4952066797</v>
      </c>
      <c r="G1814" s="545">
        <f>-'Foglio deposito bis'!$F$80*(C1814-sezione!$AN$34)*IF(ABS(M1814)&lt;'Sollecitazioni nel paramento'!$G$58,ABS(M1814)*'Sollecitazioni nel paramento'!$G$54,'Sollecitazioni nel paramento'!$G$53)</f>
        <v>0</v>
      </c>
      <c r="H1814" s="545">
        <f>-'Foglio deposito bis'!$F$81*(C1814-sezione!$AO$34)*IF(ABS(N1814)&lt;'Sollecitazioni nel paramento'!$G$58,ABS(N1814)*'Sollecitazioni nel paramento'!$G$54,'Sollecitazioni nel paramento'!$G$53)</f>
        <v>50486777.195696741</v>
      </c>
      <c r="I1814" s="472">
        <f>-'Foglio deposito bis'!$F$82*(C1814-sezione!$AP$34)*IF(ABS(O1814)&lt;'Sollecitazioni nel paramento'!$G$58,ABS(O1814)*'Sollecitazioni nel paramento'!$G$54,'Sollecitazioni nel paramento'!$G$53)</f>
        <v>535344560.61888105</v>
      </c>
      <c r="J1814" s="472">
        <f t="shared" si="127"/>
        <v>565354193.60686862</v>
      </c>
      <c r="K1814" s="550">
        <f>'Sollecitazioni nel paramento'!$G$60*(sezione!$AL$34-C1814)/C1814</f>
        <v>7.1127021555387115E-4</v>
      </c>
      <c r="L1814" s="550">
        <f>'Sollecitazioni nel paramento'!$G$60*(sezione!$AM$34-C1814)/C1814</f>
        <v>2.8169053233308068E-3</v>
      </c>
      <c r="M1814" s="551">
        <f>'Sollecitazioni nel paramento'!$G$60*(sezione!$AN$34-C1814)/C1814</f>
        <v>4.9225404311077428E-3</v>
      </c>
      <c r="N1814" s="551">
        <f>'Sollecitazioni nel paramento'!$G$60*(sezione!$AO$34-C1814)/C1814</f>
        <v>1.3345080862215485E-2</v>
      </c>
      <c r="O1814" s="551">
        <f>'Sollecitazioni nel paramento'!$G$60*(sezione!$AP$34-C1814)/C1814</f>
        <v>6.3151743483076311E-2</v>
      </c>
      <c r="P1814" s="545">
        <f>-'Sollecitazioni nel paramento'!$G$47*'Sollecitazioni nel paramento'!$G$41*IF(DATI!$G$211="dx",DATI!$E$61,DATI!$E$64*DATI!$E$63)*1000*C1814*sezione!$AD$5</f>
        <v>-1266501.4893371121</v>
      </c>
      <c r="Q1814" s="545">
        <f>'Foglio deposito bis'!$F$78*IF(ABS(K1814)&lt;'Sollecitazioni nel paramento'!$G$58,ABS(K1814)*'Sollecitazioni nel paramento'!$G$54,'Sollecitazioni nel paramento'!$G$53)*IF(K1814&lt;0,-1,1)</f>
        <v>0</v>
      </c>
      <c r="R1814" s="545">
        <f>'Foglio deposito bis'!$F$79*IF(ABS(L1814)&lt;'Sollecitazioni nel paramento'!$G$58,ABS(L1814)*'Sollecitazioni nel paramento'!$G$54,'Sollecitazioni nel paramento'!$G$53)*IF(L1814&lt;0,-1,1)</f>
        <v>153664.85805602249</v>
      </c>
      <c r="S1814" s="545">
        <f>'Foglio deposito bis'!$F$80*IF(ABS(M1814)&lt;'Sollecitazioni nel paramento'!$G$58,ABS(M1814)*'Sollecitazioni nel paramento'!$G$54,'Sollecitazioni nel paramento'!$G$53)*IF(M1814&lt;0,-1,1)</f>
        <v>0</v>
      </c>
      <c r="T1814" s="545">
        <f>'Foglio deposito bis'!$F$81*IF(ABS(N1814)&lt;'Sollecitazioni nel paramento'!$G$58,ABS(N1814)*'Sollecitazioni nel paramento'!$G$54,'Sollecitazioni nel paramento'!$G$53)*IF(N1814&lt;0,-1,1)</f>
        <v>398299.31208121032</v>
      </c>
      <c r="U1814" s="545">
        <f>'Foglio deposito bis'!$F$82*IF(ABS(O1814)&lt;'Sollecitazioni nel paramento'!$G$58,ABS(O1814)*'Sollecitazioni nel paramento'!$G$54,'Sollecitazioni nel paramento'!$G$53)*IF(O1814&lt;0,-1,1)</f>
        <v>892485.49558937876</v>
      </c>
      <c r="V1814" s="472">
        <f t="shared" si="129"/>
        <v>177948.17638949957</v>
      </c>
      <c r="W1814" s="551"/>
      <c r="X1814" s="551"/>
    </row>
    <row r="1815" spans="1:24" x14ac:dyDescent="0.25">
      <c r="A1815" s="545">
        <f t="shared" si="128"/>
        <v>160598.84091912815</v>
      </c>
      <c r="B1815" s="3">
        <f t="shared" si="130"/>
        <v>3.6999999999999948</v>
      </c>
      <c r="C1815" s="545">
        <f>'Foglio deposito bis'!$E$160/sezione!$B$247*B1815</f>
        <v>33.699525548139846</v>
      </c>
      <c r="D1815" s="603">
        <f>-'Sollecitazioni nel paramento'!$G$47*'Sollecitazioni nel paramento'!$G$41*IF(DATI!$G$211="dx",DATI!$E$61,DATI!$E$64*DATI!$E$63)*1000*C1815^2*sezione!$AD$5*(1-sezione!$AD$6)</f>
        <v>-25266855.583630517</v>
      </c>
      <c r="E1815" s="545">
        <f>-'Foglio deposito bis'!$F$78*(C1815-sezione!$AL$34)*IF(ABS(K1815)&lt;'Sollecitazioni nel paramento'!$G$58,ABS(K1815)*'Sollecitazioni nel paramento'!$G$54,'Sollecitazioni nel paramento'!$G$53)</f>
        <v>0</v>
      </c>
      <c r="F1815" s="545">
        <f>-'Foglio deposito bis'!$F$79*(C1815-sezione!$AM$34)*IF(ABS(L1815)&lt;'Sollecitazioni nel paramento'!$G$58,ABS(L1815)*'Sollecitazioni nel paramento'!$G$54,'Sollecitazioni nel paramento'!$G$53)</f>
        <v>4041458.6734511368</v>
      </c>
      <c r="G1815" s="545">
        <f>-'Foglio deposito bis'!$F$80*(C1815-sezione!$AN$34)*IF(ABS(M1815)&lt;'Sollecitazioni nel paramento'!$G$58,ABS(M1815)*'Sollecitazioni nel paramento'!$G$54,'Sollecitazioni nel paramento'!$G$53)</f>
        <v>0</v>
      </c>
      <c r="H1815" s="545">
        <f>-'Foglio deposito bis'!$F$81*(C1815-sezione!$AO$34)*IF(ABS(N1815)&lt;'Sollecitazioni nel paramento'!$G$58,ABS(N1815)*'Sollecitazioni nel paramento'!$G$54,'Sollecitazioni nel paramento'!$G$53)</f>
        <v>50305392.089706376</v>
      </c>
      <c r="I1815" s="472">
        <f>-'Foglio deposito bis'!$F$82*(C1815-sezione!$AP$34)*IF(ABS(O1815)&lt;'Sollecitazioni nel paramento'!$G$58,ABS(O1815)*'Sollecitazioni nel paramento'!$G$54,'Sollecitazioni nel paramento'!$G$53)</f>
        <v>534938123.62212479</v>
      </c>
      <c r="J1815" s="472">
        <f t="shared" si="127"/>
        <v>564018118.80165184</v>
      </c>
      <c r="K1815" s="550">
        <f>'Sollecitazioni nel paramento'!$G$60*(sezione!$AL$34-C1815)/C1815</f>
        <v>6.5436115858692712E-4</v>
      </c>
      <c r="L1815" s="550">
        <f>'Sollecitazioni nel paramento'!$G$60*(sezione!$AM$34-C1815)/C1815</f>
        <v>2.7315417378803906E-3</v>
      </c>
      <c r="M1815" s="551">
        <f>'Sollecitazioni nel paramento'!$G$60*(sezione!$AN$34-C1815)/C1815</f>
        <v>4.8087223171738545E-3</v>
      </c>
      <c r="N1815" s="551">
        <f>'Sollecitazioni nel paramento'!$G$60*(sezione!$AO$34-C1815)/C1815</f>
        <v>1.3117444634347709E-2</v>
      </c>
      <c r="O1815" s="551">
        <f>'Sollecitazioni nel paramento'!$G$60*(sezione!$AP$34-C1815)/C1815</f>
        <v>6.2251044246818529E-2</v>
      </c>
      <c r="P1815" s="545">
        <f>-'Sollecitazioni nel paramento'!$G$47*'Sollecitazioni nel paramento'!$G$41*IF(DATI!$G$211="dx",DATI!$E$61,DATI!$E$64*DATI!$E$63)*1000*C1815*sezione!$AD$5</f>
        <v>-1283850.8248074835</v>
      </c>
      <c r="Q1815" s="545">
        <f>'Foglio deposito bis'!$F$78*IF(ABS(K1815)&lt;'Sollecitazioni nel paramento'!$G$58,ABS(K1815)*'Sollecitazioni nel paramento'!$G$54,'Sollecitazioni nel paramento'!$G$53)*IF(K1815&lt;0,-1,1)</f>
        <v>0</v>
      </c>
      <c r="R1815" s="545">
        <f>'Foglio deposito bis'!$F$79*IF(ABS(L1815)&lt;'Sollecitazioni nel paramento'!$G$58,ABS(L1815)*'Sollecitazioni nel paramento'!$G$54,'Sollecitazioni nel paramento'!$G$53)*IF(L1815&lt;0,-1,1)</f>
        <v>153664.85805602249</v>
      </c>
      <c r="S1815" s="545">
        <f>'Foglio deposito bis'!$F$80*IF(ABS(M1815)&lt;'Sollecitazioni nel paramento'!$G$58,ABS(M1815)*'Sollecitazioni nel paramento'!$G$54,'Sollecitazioni nel paramento'!$G$53)*IF(M1815&lt;0,-1,1)</f>
        <v>0</v>
      </c>
      <c r="T1815" s="545">
        <f>'Foglio deposito bis'!$F$81*IF(ABS(N1815)&lt;'Sollecitazioni nel paramento'!$G$58,ABS(N1815)*'Sollecitazioni nel paramento'!$G$54,'Sollecitazioni nel paramento'!$G$53)*IF(N1815&lt;0,-1,1)</f>
        <v>398299.31208121032</v>
      </c>
      <c r="U1815" s="545">
        <f>'Foglio deposito bis'!$F$82*IF(ABS(O1815)&lt;'Sollecitazioni nel paramento'!$G$58,ABS(O1815)*'Sollecitazioni nel paramento'!$G$54,'Sollecitazioni nel paramento'!$G$53)*IF(O1815&lt;0,-1,1)</f>
        <v>892485.49558937876</v>
      </c>
      <c r="V1815" s="472">
        <f t="shared" si="129"/>
        <v>160598.84091912815</v>
      </c>
      <c r="W1815" s="551"/>
      <c r="X1815" s="551"/>
    </row>
    <row r="1816" spans="1:24" x14ac:dyDescent="0.25">
      <c r="A1816" s="545">
        <f t="shared" si="128"/>
        <v>143249.50544875697</v>
      </c>
      <c r="B1816" s="3">
        <f t="shared" si="130"/>
        <v>3.7499999999999947</v>
      </c>
      <c r="C1816" s="545">
        <f>'Foglio deposito bis'!$E$160/sezione!$B$247*B1816</f>
        <v>34.154924542033626</v>
      </c>
      <c r="D1816" s="603">
        <f>-'Sollecitazioni nel paramento'!$G$47*'Sollecitazioni nel paramento'!$G$41*IF(DATI!$G$211="dx",DATI!$E$61,DATI!$E$64*DATI!$E$63)*1000*C1816^2*sezione!$AD$5*(1-sezione!$AD$6)</f>
        <v>-25954357.680409361</v>
      </c>
      <c r="E1816" s="545">
        <f>-'Foglio deposito bis'!$F$78*(C1816-sezione!$AL$34)*IF(ABS(K1816)&lt;'Sollecitazioni nel paramento'!$G$58,ABS(K1816)*'Sollecitazioni nel paramento'!$G$54,'Sollecitazioni nel paramento'!$G$53)</f>
        <v>0</v>
      </c>
      <c r="F1816" s="545">
        <f>-'Foglio deposito bis'!$F$79*(C1816-sezione!$AM$34)*IF(ABS(L1816)&lt;'Sollecitazioni nel paramento'!$G$58,ABS(L1816)*'Sollecitazioni nel paramento'!$G$54,'Sollecitazioni nel paramento'!$G$53)</f>
        <v>3971479.8516955934</v>
      </c>
      <c r="G1816" s="545">
        <f>-'Foglio deposito bis'!$F$80*(C1816-sezione!$AN$34)*IF(ABS(M1816)&lt;'Sollecitazioni nel paramento'!$G$58,ABS(M1816)*'Sollecitazioni nel paramento'!$G$54,'Sollecitazioni nel paramento'!$G$53)</f>
        <v>0</v>
      </c>
      <c r="H1816" s="545">
        <f>-'Foglio deposito bis'!$F$81*(C1816-sezione!$AO$34)*IF(ABS(N1816)&lt;'Sollecitazioni nel paramento'!$G$58,ABS(N1816)*'Sollecitazioni nel paramento'!$G$54,'Sollecitazioni nel paramento'!$G$53)</f>
        <v>50124006.983716011</v>
      </c>
      <c r="I1816" s="472">
        <f>-'Foglio deposito bis'!$F$82*(C1816-sezione!$AP$34)*IF(ABS(O1816)&lt;'Sollecitazioni nel paramento'!$G$58,ABS(O1816)*'Sollecitazioni nel paramento'!$G$54,'Sollecitazioni nel paramento'!$G$53)</f>
        <v>534531686.62536854</v>
      </c>
      <c r="J1816" s="472">
        <f t="shared" si="127"/>
        <v>562672815.78037083</v>
      </c>
      <c r="K1816" s="550">
        <f>'Sollecitazioni nel paramento'!$G$60*(sezione!$AL$34-C1816)/C1816</f>
        <v>5.9896967647243501E-4</v>
      </c>
      <c r="L1816" s="550">
        <f>'Sollecitazioni nel paramento'!$G$60*(sezione!$AM$34-C1816)/C1816</f>
        <v>2.6484545147086526E-3</v>
      </c>
      <c r="M1816" s="551">
        <f>'Sollecitazioni nel paramento'!$G$60*(sezione!$AN$34-C1816)/C1816</f>
        <v>4.6979393529448703E-3</v>
      </c>
      <c r="N1816" s="551">
        <f>'Sollecitazioni nel paramento'!$G$60*(sezione!$AO$34-C1816)/C1816</f>
        <v>1.289587870588974E-2</v>
      </c>
      <c r="O1816" s="551">
        <f>'Sollecitazioni nel paramento'!$G$60*(sezione!$AP$34-C1816)/C1816</f>
        <v>6.1374363656860942E-2</v>
      </c>
      <c r="P1816" s="545">
        <f>-'Sollecitazioni nel paramento'!$G$47*'Sollecitazioni nel paramento'!$G$41*IF(DATI!$G$211="dx",DATI!$E$61,DATI!$E$64*DATI!$E$63)*1000*C1816*sezione!$AD$5</f>
        <v>-1301200.1602778547</v>
      </c>
      <c r="Q1816" s="545">
        <f>'Foglio deposito bis'!$F$78*IF(ABS(K1816)&lt;'Sollecitazioni nel paramento'!$G$58,ABS(K1816)*'Sollecitazioni nel paramento'!$G$54,'Sollecitazioni nel paramento'!$G$53)*IF(K1816&lt;0,-1,1)</f>
        <v>0</v>
      </c>
      <c r="R1816" s="545">
        <f>'Foglio deposito bis'!$F$79*IF(ABS(L1816)&lt;'Sollecitazioni nel paramento'!$G$58,ABS(L1816)*'Sollecitazioni nel paramento'!$G$54,'Sollecitazioni nel paramento'!$G$53)*IF(L1816&lt;0,-1,1)</f>
        <v>153664.85805602249</v>
      </c>
      <c r="S1816" s="545">
        <f>'Foglio deposito bis'!$F$80*IF(ABS(M1816)&lt;'Sollecitazioni nel paramento'!$G$58,ABS(M1816)*'Sollecitazioni nel paramento'!$G$54,'Sollecitazioni nel paramento'!$G$53)*IF(M1816&lt;0,-1,1)</f>
        <v>0</v>
      </c>
      <c r="T1816" s="545">
        <f>'Foglio deposito bis'!$F$81*IF(ABS(N1816)&lt;'Sollecitazioni nel paramento'!$G$58,ABS(N1816)*'Sollecitazioni nel paramento'!$G$54,'Sollecitazioni nel paramento'!$G$53)*IF(N1816&lt;0,-1,1)</f>
        <v>398299.31208121032</v>
      </c>
      <c r="U1816" s="545">
        <f>'Foglio deposito bis'!$F$82*IF(ABS(O1816)&lt;'Sollecitazioni nel paramento'!$G$58,ABS(O1816)*'Sollecitazioni nel paramento'!$G$54,'Sollecitazioni nel paramento'!$G$53)*IF(O1816&lt;0,-1,1)</f>
        <v>892485.49558937876</v>
      </c>
      <c r="V1816" s="472">
        <f t="shared" si="129"/>
        <v>143249.50544875697</v>
      </c>
      <c r="W1816" s="551"/>
      <c r="X1816" s="551"/>
    </row>
    <row r="1817" spans="1:24" x14ac:dyDescent="0.25">
      <c r="A1817" s="545">
        <f t="shared" si="128"/>
        <v>125900.16997838556</v>
      </c>
      <c r="B1817" s="3">
        <f t="shared" si="130"/>
        <v>3.7999999999999945</v>
      </c>
      <c r="C1817" s="545">
        <f>'Foglio deposito bis'!$E$160/sezione!$B$247*B1817</f>
        <v>34.610323535927407</v>
      </c>
      <c r="D1817" s="603">
        <f>-'Sollecitazioni nel paramento'!$G$47*'Sollecitazioni nel paramento'!$G$41*IF(DATI!$G$211="dx",DATI!$E$61,DATI!$E$64*DATI!$E$63)*1000*C1817^2*sezione!$AD$5*(1-sezione!$AD$6)</f>
        <v>-26651087.993252344</v>
      </c>
      <c r="E1817" s="545">
        <f>-'Foglio deposito bis'!$F$78*(C1817-sezione!$AL$34)*IF(ABS(K1817)&lt;'Sollecitazioni nel paramento'!$G$58,ABS(K1817)*'Sollecitazioni nel paramento'!$G$54,'Sollecitazioni nel paramento'!$G$53)</f>
        <v>0</v>
      </c>
      <c r="F1817" s="545">
        <f>-'Foglio deposito bis'!$F$79*(C1817-sezione!$AM$34)*IF(ABS(L1817)&lt;'Sollecitazioni nel paramento'!$G$58,ABS(L1817)*'Sollecitazioni nel paramento'!$G$54,'Sollecitazioni nel paramento'!$G$53)</f>
        <v>3901501.0299400501</v>
      </c>
      <c r="G1817" s="545">
        <f>-'Foglio deposito bis'!$F$80*(C1817-sezione!$AN$34)*IF(ABS(M1817)&lt;'Sollecitazioni nel paramento'!$G$58,ABS(M1817)*'Sollecitazioni nel paramento'!$G$54,'Sollecitazioni nel paramento'!$G$53)</f>
        <v>0</v>
      </c>
      <c r="H1817" s="545">
        <f>-'Foglio deposito bis'!$F$81*(C1817-sezione!$AO$34)*IF(ABS(N1817)&lt;'Sollecitazioni nel paramento'!$G$58,ABS(N1817)*'Sollecitazioni nel paramento'!$G$54,'Sollecitazioni nel paramento'!$G$53)</f>
        <v>49942621.877725646</v>
      </c>
      <c r="I1817" s="472">
        <f>-'Foglio deposito bis'!$F$82*(C1817-sezione!$AP$34)*IF(ABS(O1817)&lt;'Sollecitazioni nel paramento'!$G$58,ABS(O1817)*'Sollecitazioni nel paramento'!$G$54,'Sollecitazioni nel paramento'!$G$53)</f>
        <v>534125249.6286124</v>
      </c>
      <c r="J1817" s="472">
        <f t="shared" si="127"/>
        <v>561318284.54302573</v>
      </c>
      <c r="K1817" s="550">
        <f>'Sollecitazioni nel paramento'!$G$60*(sezione!$AL$34-C1817)/C1817</f>
        <v>5.4503586493990304E-4</v>
      </c>
      <c r="L1817" s="550">
        <f>'Sollecitazioni nel paramento'!$G$60*(sezione!$AM$34-C1817)/C1817</f>
        <v>2.5675537974098545E-3</v>
      </c>
      <c r="M1817" s="551">
        <f>'Sollecitazioni nel paramento'!$G$60*(sezione!$AN$34-C1817)/C1817</f>
        <v>4.5900717298798062E-3</v>
      </c>
      <c r="N1817" s="551">
        <f>'Sollecitazioni nel paramento'!$G$60*(sezione!$AO$34-C1817)/C1817</f>
        <v>1.2680143459759614E-2</v>
      </c>
      <c r="O1817" s="551">
        <f>'Sollecitazioni nel paramento'!$G$60*(sezione!$AP$34-C1817)/C1817</f>
        <v>6.0520753608744364E-2</v>
      </c>
      <c r="P1817" s="545">
        <f>-'Sollecitazioni nel paramento'!$G$47*'Sollecitazioni nel paramento'!$G$41*IF(DATI!$G$211="dx",DATI!$E$61,DATI!$E$64*DATI!$E$63)*1000*C1817*sezione!$AD$5</f>
        <v>-1318549.4957482261</v>
      </c>
      <c r="Q1817" s="545">
        <f>'Foglio deposito bis'!$F$78*IF(ABS(K1817)&lt;'Sollecitazioni nel paramento'!$G$58,ABS(K1817)*'Sollecitazioni nel paramento'!$G$54,'Sollecitazioni nel paramento'!$G$53)*IF(K1817&lt;0,-1,1)</f>
        <v>0</v>
      </c>
      <c r="R1817" s="545">
        <f>'Foglio deposito bis'!$F$79*IF(ABS(L1817)&lt;'Sollecitazioni nel paramento'!$G$58,ABS(L1817)*'Sollecitazioni nel paramento'!$G$54,'Sollecitazioni nel paramento'!$G$53)*IF(L1817&lt;0,-1,1)</f>
        <v>153664.85805602249</v>
      </c>
      <c r="S1817" s="545">
        <f>'Foglio deposito bis'!$F$80*IF(ABS(M1817)&lt;'Sollecitazioni nel paramento'!$G$58,ABS(M1817)*'Sollecitazioni nel paramento'!$G$54,'Sollecitazioni nel paramento'!$G$53)*IF(M1817&lt;0,-1,1)</f>
        <v>0</v>
      </c>
      <c r="T1817" s="545">
        <f>'Foglio deposito bis'!$F$81*IF(ABS(N1817)&lt;'Sollecitazioni nel paramento'!$G$58,ABS(N1817)*'Sollecitazioni nel paramento'!$G$54,'Sollecitazioni nel paramento'!$G$53)*IF(N1817&lt;0,-1,1)</f>
        <v>398299.31208121032</v>
      </c>
      <c r="U1817" s="545">
        <f>'Foglio deposito bis'!$F$82*IF(ABS(O1817)&lt;'Sollecitazioni nel paramento'!$G$58,ABS(O1817)*'Sollecitazioni nel paramento'!$G$54,'Sollecitazioni nel paramento'!$G$53)*IF(O1817&lt;0,-1,1)</f>
        <v>892485.49558937876</v>
      </c>
      <c r="V1817" s="472">
        <f t="shared" si="129"/>
        <v>125900.16997838556</v>
      </c>
      <c r="W1817" s="551"/>
      <c r="X1817" s="551"/>
    </row>
    <row r="1818" spans="1:24" x14ac:dyDescent="0.25">
      <c r="A1818" s="545">
        <f t="shared" si="128"/>
        <v>108550.83450801414</v>
      </c>
      <c r="B1818" s="3">
        <f t="shared" si="130"/>
        <v>3.8499999999999943</v>
      </c>
      <c r="C1818" s="545">
        <f>'Foglio deposito bis'!$E$160/sezione!$B$247*B1818</f>
        <v>35.065722529821187</v>
      </c>
      <c r="D1818" s="603">
        <f>-'Sollecitazioni nel paramento'!$G$47*'Sollecitazioni nel paramento'!$G$41*IF(DATI!$G$211="dx",DATI!$E$61,DATI!$E$64*DATI!$E$63)*1000*C1818^2*sezione!$AD$5*(1-sezione!$AD$6)</f>
        <v>-27357046.52215948</v>
      </c>
      <c r="E1818" s="545">
        <f>-'Foglio deposito bis'!$F$78*(C1818-sezione!$AL$34)*IF(ABS(K1818)&lt;'Sollecitazioni nel paramento'!$G$58,ABS(K1818)*'Sollecitazioni nel paramento'!$G$54,'Sollecitazioni nel paramento'!$G$53)</f>
        <v>0</v>
      </c>
      <c r="F1818" s="545">
        <f>-'Foglio deposito bis'!$F$79*(C1818-sezione!$AM$34)*IF(ABS(L1818)&lt;'Sollecitazioni nel paramento'!$G$58,ABS(L1818)*'Sollecitazioni nel paramento'!$G$54,'Sollecitazioni nel paramento'!$G$53)</f>
        <v>3831522.2081845067</v>
      </c>
      <c r="G1818" s="545">
        <f>-'Foglio deposito bis'!$F$80*(C1818-sezione!$AN$34)*IF(ABS(M1818)&lt;'Sollecitazioni nel paramento'!$G$58,ABS(M1818)*'Sollecitazioni nel paramento'!$G$54,'Sollecitazioni nel paramento'!$G$53)</f>
        <v>0</v>
      </c>
      <c r="H1818" s="545">
        <f>-'Foglio deposito bis'!$F$81*(C1818-sezione!$AO$34)*IF(ABS(N1818)&lt;'Sollecitazioni nel paramento'!$G$58,ABS(N1818)*'Sollecitazioni nel paramento'!$G$54,'Sollecitazioni nel paramento'!$G$53)</f>
        <v>49761236.771735273</v>
      </c>
      <c r="I1818" s="472">
        <f>-'Foglio deposito bis'!$F$82*(C1818-sezione!$AP$34)*IF(ABS(O1818)&lt;'Sollecitazioni nel paramento'!$G$58,ABS(O1818)*'Sollecitazioni nel paramento'!$G$54,'Sollecitazioni nel paramento'!$G$53)</f>
        <v>533718812.6318562</v>
      </c>
      <c r="J1818" s="472">
        <f t="shared" si="127"/>
        <v>559954525.08961654</v>
      </c>
      <c r="K1818" s="550">
        <f>'Sollecitazioni nel paramento'!$G$60*(sezione!$AL$34-C1818)/C1818</f>
        <v>4.9250293162899533E-4</v>
      </c>
      <c r="L1818" s="550">
        <f>'Sollecitazioni nel paramento'!$G$60*(sezione!$AM$34-C1818)/C1818</f>
        <v>2.4887543974434932E-3</v>
      </c>
      <c r="M1818" s="551">
        <f>'Sollecitazioni nel paramento'!$G$60*(sezione!$AN$34-C1818)/C1818</f>
        <v>4.4850058632579905E-3</v>
      </c>
      <c r="N1818" s="551">
        <f>'Sollecitazioni nel paramento'!$G$60*(sezione!$AO$34-C1818)/C1818</f>
        <v>1.2470011726515982E-2</v>
      </c>
      <c r="O1818" s="551">
        <f>'Sollecitazioni nel paramento'!$G$60*(sezione!$AP$34-C1818)/C1818</f>
        <v>5.9689315250189237E-2</v>
      </c>
      <c r="P1818" s="545">
        <f>-'Sollecitazioni nel paramento'!$G$47*'Sollecitazioni nel paramento'!$G$41*IF(DATI!$G$211="dx",DATI!$E$61,DATI!$E$64*DATI!$E$63)*1000*C1818*sezione!$AD$5</f>
        <v>-1335898.8312185975</v>
      </c>
      <c r="Q1818" s="545">
        <f>'Foglio deposito bis'!$F$78*IF(ABS(K1818)&lt;'Sollecitazioni nel paramento'!$G$58,ABS(K1818)*'Sollecitazioni nel paramento'!$G$54,'Sollecitazioni nel paramento'!$G$53)*IF(K1818&lt;0,-1,1)</f>
        <v>0</v>
      </c>
      <c r="R1818" s="545">
        <f>'Foglio deposito bis'!$F$79*IF(ABS(L1818)&lt;'Sollecitazioni nel paramento'!$G$58,ABS(L1818)*'Sollecitazioni nel paramento'!$G$54,'Sollecitazioni nel paramento'!$G$53)*IF(L1818&lt;0,-1,1)</f>
        <v>153664.85805602249</v>
      </c>
      <c r="S1818" s="545">
        <f>'Foglio deposito bis'!$F$80*IF(ABS(M1818)&lt;'Sollecitazioni nel paramento'!$G$58,ABS(M1818)*'Sollecitazioni nel paramento'!$G$54,'Sollecitazioni nel paramento'!$G$53)*IF(M1818&lt;0,-1,1)</f>
        <v>0</v>
      </c>
      <c r="T1818" s="545">
        <f>'Foglio deposito bis'!$F$81*IF(ABS(N1818)&lt;'Sollecitazioni nel paramento'!$G$58,ABS(N1818)*'Sollecitazioni nel paramento'!$G$54,'Sollecitazioni nel paramento'!$G$53)*IF(N1818&lt;0,-1,1)</f>
        <v>398299.31208121032</v>
      </c>
      <c r="U1818" s="545">
        <f>'Foglio deposito bis'!$F$82*IF(ABS(O1818)&lt;'Sollecitazioni nel paramento'!$G$58,ABS(O1818)*'Sollecitazioni nel paramento'!$G$54,'Sollecitazioni nel paramento'!$G$53)*IF(O1818&lt;0,-1,1)</f>
        <v>892485.49558937876</v>
      </c>
      <c r="V1818" s="472">
        <f t="shared" si="129"/>
        <v>108550.83450801414</v>
      </c>
      <c r="W1818" s="551"/>
      <c r="X1818" s="551"/>
    </row>
    <row r="1819" spans="1:24" x14ac:dyDescent="0.25">
      <c r="A1819" s="545">
        <f t="shared" si="128"/>
        <v>91201.49903764273</v>
      </c>
      <c r="B1819" s="3">
        <f t="shared" si="130"/>
        <v>3.8999999999999941</v>
      </c>
      <c r="C1819" s="545">
        <f>'Foglio deposito bis'!$E$160/sezione!$B$247*B1819</f>
        <v>35.521121523714967</v>
      </c>
      <c r="D1819" s="603">
        <f>-'Sollecitazioni nel paramento'!$G$47*'Sollecitazioni nel paramento'!$G$41*IF(DATI!$G$211="dx",DATI!$E$61,DATI!$E$64*DATI!$E$63)*1000*C1819^2*sezione!$AD$5*(1-sezione!$AD$6)</f>
        <v>-28072233.267130759</v>
      </c>
      <c r="E1819" s="545">
        <f>-'Foglio deposito bis'!$F$78*(C1819-sezione!$AL$34)*IF(ABS(K1819)&lt;'Sollecitazioni nel paramento'!$G$58,ABS(K1819)*'Sollecitazioni nel paramento'!$G$54,'Sollecitazioni nel paramento'!$G$53)</f>
        <v>0</v>
      </c>
      <c r="F1819" s="545">
        <f>-'Foglio deposito bis'!$F$79*(C1819-sezione!$AM$34)*IF(ABS(L1819)&lt;'Sollecitazioni nel paramento'!$G$58,ABS(L1819)*'Sollecitazioni nel paramento'!$G$54,'Sollecitazioni nel paramento'!$G$53)</f>
        <v>3761543.3864289639</v>
      </c>
      <c r="G1819" s="545">
        <f>-'Foglio deposito bis'!$F$80*(C1819-sezione!$AN$34)*IF(ABS(M1819)&lt;'Sollecitazioni nel paramento'!$G$58,ABS(M1819)*'Sollecitazioni nel paramento'!$G$54,'Sollecitazioni nel paramento'!$G$53)</f>
        <v>0</v>
      </c>
      <c r="H1819" s="545">
        <f>-'Foglio deposito bis'!$F$81*(C1819-sezione!$AO$34)*IF(ABS(N1819)&lt;'Sollecitazioni nel paramento'!$G$58,ABS(N1819)*'Sollecitazioni nel paramento'!$G$54,'Sollecitazioni nel paramento'!$G$53)</f>
        <v>49579851.665744908</v>
      </c>
      <c r="I1819" s="472">
        <f>-'Foglio deposito bis'!$F$82*(C1819-sezione!$AP$34)*IF(ABS(O1819)&lt;'Sollecitazioni nel paramento'!$G$58,ABS(O1819)*'Sollecitazioni nel paramento'!$G$54,'Sollecitazioni nel paramento'!$G$53)</f>
        <v>533312375.63509995</v>
      </c>
      <c r="J1819" s="472">
        <f t="shared" si="127"/>
        <v>558581537.42014301</v>
      </c>
      <c r="K1819" s="550">
        <f>'Sollecitazioni nel paramento'!$G$60*(sezione!$AL$34-C1819)/C1819</f>
        <v>4.4131699660811095E-4</v>
      </c>
      <c r="L1819" s="550">
        <f>'Sollecitazioni nel paramento'!$G$60*(sezione!$AM$34-C1819)/C1819</f>
        <v>2.4119754949121666E-3</v>
      </c>
      <c r="M1819" s="551">
        <f>'Sollecitazioni nel paramento'!$G$60*(sezione!$AN$34-C1819)/C1819</f>
        <v>4.3826339932162223E-3</v>
      </c>
      <c r="N1819" s="551">
        <f>'Sollecitazioni nel paramento'!$G$60*(sezione!$AO$34-C1819)/C1819</f>
        <v>1.2265267986432444E-2</v>
      </c>
      <c r="O1819" s="551">
        <f>'Sollecitazioni nel paramento'!$G$60*(sezione!$AP$34-C1819)/C1819</f>
        <v>5.8879195823904759E-2</v>
      </c>
      <c r="P1819" s="545">
        <f>-'Sollecitazioni nel paramento'!$G$47*'Sollecitazioni nel paramento'!$G$41*IF(DATI!$G$211="dx",DATI!$E$61,DATI!$E$64*DATI!$E$63)*1000*C1819*sezione!$AD$5</f>
        <v>-1353248.1666889689</v>
      </c>
      <c r="Q1819" s="545">
        <f>'Foglio deposito bis'!$F$78*IF(ABS(K1819)&lt;'Sollecitazioni nel paramento'!$G$58,ABS(K1819)*'Sollecitazioni nel paramento'!$G$54,'Sollecitazioni nel paramento'!$G$53)*IF(K1819&lt;0,-1,1)</f>
        <v>0</v>
      </c>
      <c r="R1819" s="545">
        <f>'Foglio deposito bis'!$F$79*IF(ABS(L1819)&lt;'Sollecitazioni nel paramento'!$G$58,ABS(L1819)*'Sollecitazioni nel paramento'!$G$54,'Sollecitazioni nel paramento'!$G$53)*IF(L1819&lt;0,-1,1)</f>
        <v>153664.85805602249</v>
      </c>
      <c r="S1819" s="545">
        <f>'Foglio deposito bis'!$F$80*IF(ABS(M1819)&lt;'Sollecitazioni nel paramento'!$G$58,ABS(M1819)*'Sollecitazioni nel paramento'!$G$54,'Sollecitazioni nel paramento'!$G$53)*IF(M1819&lt;0,-1,1)</f>
        <v>0</v>
      </c>
      <c r="T1819" s="545">
        <f>'Foglio deposito bis'!$F$81*IF(ABS(N1819)&lt;'Sollecitazioni nel paramento'!$G$58,ABS(N1819)*'Sollecitazioni nel paramento'!$G$54,'Sollecitazioni nel paramento'!$G$53)*IF(N1819&lt;0,-1,1)</f>
        <v>398299.31208121032</v>
      </c>
      <c r="U1819" s="545">
        <f>'Foglio deposito bis'!$F$82*IF(ABS(O1819)&lt;'Sollecitazioni nel paramento'!$G$58,ABS(O1819)*'Sollecitazioni nel paramento'!$G$54,'Sollecitazioni nel paramento'!$G$53)*IF(O1819&lt;0,-1,1)</f>
        <v>892485.49558937876</v>
      </c>
      <c r="V1819" s="472">
        <f t="shared" si="129"/>
        <v>91201.49903764273</v>
      </c>
      <c r="W1819" s="551"/>
      <c r="X1819" s="551"/>
    </row>
    <row r="1820" spans="1:24" x14ac:dyDescent="0.25">
      <c r="A1820" s="545">
        <f t="shared" si="128"/>
        <v>73852.163567271549</v>
      </c>
      <c r="B1820" s="3">
        <f t="shared" si="130"/>
        <v>3.949999999999994</v>
      </c>
      <c r="C1820" s="545">
        <f>'Foglio deposito bis'!$E$160/sezione!$B$247*B1820</f>
        <v>35.976520517608748</v>
      </c>
      <c r="D1820" s="603">
        <f>-'Sollecitazioni nel paramento'!$G$47*'Sollecitazioni nel paramento'!$G$41*IF(DATI!$G$211="dx",DATI!$E$61,DATI!$E$64*DATI!$E$63)*1000*C1820^2*sezione!$AD$5*(1-sezione!$AD$6)</f>
        <v>-28796648.228166189</v>
      </c>
      <c r="E1820" s="545">
        <f>-'Foglio deposito bis'!$F$78*(C1820-sezione!$AL$34)*IF(ABS(K1820)&lt;'Sollecitazioni nel paramento'!$G$58,ABS(K1820)*'Sollecitazioni nel paramento'!$G$54,'Sollecitazioni nel paramento'!$G$53)</f>
        <v>0</v>
      </c>
      <c r="F1820" s="545">
        <f>-'Foglio deposito bis'!$F$79*(C1820-sezione!$AM$34)*IF(ABS(L1820)&lt;'Sollecitazioni nel paramento'!$G$58,ABS(L1820)*'Sollecitazioni nel paramento'!$G$54,'Sollecitazioni nel paramento'!$G$53)</f>
        <v>3691564.5646734205</v>
      </c>
      <c r="G1820" s="545">
        <f>-'Foglio deposito bis'!$F$80*(C1820-sezione!$AN$34)*IF(ABS(M1820)&lt;'Sollecitazioni nel paramento'!$G$58,ABS(M1820)*'Sollecitazioni nel paramento'!$G$54,'Sollecitazioni nel paramento'!$G$53)</f>
        <v>0</v>
      </c>
      <c r="H1820" s="545">
        <f>-'Foglio deposito bis'!$F$81*(C1820-sezione!$AO$34)*IF(ABS(N1820)&lt;'Sollecitazioni nel paramento'!$G$58,ABS(N1820)*'Sollecitazioni nel paramento'!$G$54,'Sollecitazioni nel paramento'!$G$53)</f>
        <v>49398466.559754536</v>
      </c>
      <c r="I1820" s="472">
        <f>-'Foglio deposito bis'!$F$82*(C1820-sezione!$AP$34)*IF(ABS(O1820)&lt;'Sollecitazioni nel paramento'!$G$58,ABS(O1820)*'Sollecitazioni nel paramento'!$G$54,'Sollecitazioni nel paramento'!$G$53)</f>
        <v>532905938.63834381</v>
      </c>
      <c r="J1820" s="472">
        <f t="shared" si="127"/>
        <v>557199321.53460562</v>
      </c>
      <c r="K1820" s="550">
        <f>'Sollecitazioni nel paramento'!$G$60*(sezione!$AL$34-C1820)/C1820</f>
        <v>3.9142690804345147E-4</v>
      </c>
      <c r="L1820" s="550">
        <f>'Sollecitazioni nel paramento'!$G$60*(sezione!$AM$34-C1820)/C1820</f>
        <v>2.337140362065177E-3</v>
      </c>
      <c r="M1820" s="551">
        <f>'Sollecitazioni nel paramento'!$G$60*(sezione!$AN$34-C1820)/C1820</f>
        <v>4.2828538160869034E-3</v>
      </c>
      <c r="N1820" s="551">
        <f>'Sollecitazioni nel paramento'!$G$60*(sezione!$AO$34-C1820)/C1820</f>
        <v>1.2065707632173807E-2</v>
      </c>
      <c r="O1820" s="551">
        <f>'Sollecitazioni nel paramento'!$G$60*(sezione!$AP$34-C1820)/C1820</f>
        <v>5.8089585750184455E-2</v>
      </c>
      <c r="P1820" s="545">
        <f>-'Sollecitazioni nel paramento'!$G$47*'Sollecitazioni nel paramento'!$G$41*IF(DATI!$G$211="dx",DATI!$E$61,DATI!$E$64*DATI!$E$63)*1000*C1820*sezione!$AD$5</f>
        <v>-1370597.5021593401</v>
      </c>
      <c r="Q1820" s="545">
        <f>'Foglio deposito bis'!$F$78*IF(ABS(K1820)&lt;'Sollecitazioni nel paramento'!$G$58,ABS(K1820)*'Sollecitazioni nel paramento'!$G$54,'Sollecitazioni nel paramento'!$G$53)*IF(K1820&lt;0,-1,1)</f>
        <v>0</v>
      </c>
      <c r="R1820" s="545">
        <f>'Foglio deposito bis'!$F$79*IF(ABS(L1820)&lt;'Sollecitazioni nel paramento'!$G$58,ABS(L1820)*'Sollecitazioni nel paramento'!$G$54,'Sollecitazioni nel paramento'!$G$53)*IF(L1820&lt;0,-1,1)</f>
        <v>153664.85805602249</v>
      </c>
      <c r="S1820" s="545">
        <f>'Foglio deposito bis'!$F$80*IF(ABS(M1820)&lt;'Sollecitazioni nel paramento'!$G$58,ABS(M1820)*'Sollecitazioni nel paramento'!$G$54,'Sollecitazioni nel paramento'!$G$53)*IF(M1820&lt;0,-1,1)</f>
        <v>0</v>
      </c>
      <c r="T1820" s="545">
        <f>'Foglio deposito bis'!$F$81*IF(ABS(N1820)&lt;'Sollecitazioni nel paramento'!$G$58,ABS(N1820)*'Sollecitazioni nel paramento'!$G$54,'Sollecitazioni nel paramento'!$G$53)*IF(N1820&lt;0,-1,1)</f>
        <v>398299.31208121032</v>
      </c>
      <c r="U1820" s="545">
        <f>'Foglio deposito bis'!$F$82*IF(ABS(O1820)&lt;'Sollecitazioni nel paramento'!$G$58,ABS(O1820)*'Sollecitazioni nel paramento'!$G$54,'Sollecitazioni nel paramento'!$G$53)*IF(O1820&lt;0,-1,1)</f>
        <v>892485.49558937876</v>
      </c>
      <c r="V1820" s="472">
        <f t="shared" si="129"/>
        <v>73852.163567271549</v>
      </c>
      <c r="W1820" s="551"/>
      <c r="X1820" s="551"/>
    </row>
    <row r="1821" spans="1:24" x14ac:dyDescent="0.25">
      <c r="A1821" s="545">
        <f t="shared" si="128"/>
        <v>56502.828096900135</v>
      </c>
      <c r="B1821" s="3">
        <f t="shared" si="130"/>
        <v>3.9999999999999938</v>
      </c>
      <c r="C1821" s="545">
        <f>'Foglio deposito bis'!$E$160/sezione!$B$247*B1821</f>
        <v>36.431919511502528</v>
      </c>
      <c r="D1821" s="603">
        <f>-'Sollecitazioni nel paramento'!$G$47*'Sollecitazioni nel paramento'!$G$41*IF(DATI!$G$211="dx",DATI!$E$61,DATI!$E$64*DATI!$E$63)*1000*C1821^2*sezione!$AD$5*(1-sezione!$AD$6)</f>
        <v>-29530291.405265756</v>
      </c>
      <c r="E1821" s="545">
        <f>-'Foglio deposito bis'!$F$78*(C1821-sezione!$AL$34)*IF(ABS(K1821)&lt;'Sollecitazioni nel paramento'!$G$58,ABS(K1821)*'Sollecitazioni nel paramento'!$G$54,'Sollecitazioni nel paramento'!$G$53)</f>
        <v>0</v>
      </c>
      <c r="F1821" s="545">
        <f>-'Foglio deposito bis'!$F$79*(C1821-sezione!$AM$34)*IF(ABS(L1821)&lt;'Sollecitazioni nel paramento'!$G$58,ABS(L1821)*'Sollecitazioni nel paramento'!$G$54,'Sollecitazioni nel paramento'!$G$53)</f>
        <v>3621585.7429178772</v>
      </c>
      <c r="G1821" s="545">
        <f>-'Foglio deposito bis'!$F$80*(C1821-sezione!$AN$34)*IF(ABS(M1821)&lt;'Sollecitazioni nel paramento'!$G$58,ABS(M1821)*'Sollecitazioni nel paramento'!$G$54,'Sollecitazioni nel paramento'!$G$53)</f>
        <v>0</v>
      </c>
      <c r="H1821" s="545">
        <f>-'Foglio deposito bis'!$F$81*(C1821-sezione!$AO$34)*IF(ABS(N1821)&lt;'Sollecitazioni nel paramento'!$G$58,ABS(N1821)*'Sollecitazioni nel paramento'!$G$54,'Sollecitazioni nel paramento'!$G$53)</f>
        <v>49217081.45376417</v>
      </c>
      <c r="I1821" s="472">
        <f>-'Foglio deposito bis'!$F$82*(C1821-sezione!$AP$34)*IF(ABS(O1821)&lt;'Sollecitazioni nel paramento'!$G$58,ABS(O1821)*'Sollecitazioni nel paramento'!$G$54,'Sollecitazioni nel paramento'!$G$53)</f>
        <v>532499501.64158756</v>
      </c>
      <c r="J1821" s="472">
        <f t="shared" si="127"/>
        <v>555807877.4330039</v>
      </c>
      <c r="K1821" s="550">
        <f>'Sollecitazioni nel paramento'!$G$60*(sezione!$AL$34-C1821)/C1821</f>
        <v>3.4278407169290839E-4</v>
      </c>
      <c r="L1821" s="550">
        <f>'Sollecitazioni nel paramento'!$G$60*(sezione!$AM$34-C1821)/C1821</f>
        <v>2.2641761075393625E-3</v>
      </c>
      <c r="M1821" s="551">
        <f>'Sollecitazioni nel paramento'!$G$60*(sezione!$AN$34-C1821)/C1821</f>
        <v>4.1855681433858169E-3</v>
      </c>
      <c r="N1821" s="551">
        <f>'Sollecitazioni nel paramento'!$G$60*(sezione!$AO$34-C1821)/C1821</f>
        <v>1.1871136286771635E-2</v>
      </c>
      <c r="O1821" s="551">
        <f>'Sollecitazioni nel paramento'!$G$60*(sezione!$AP$34-C1821)/C1821</f>
        <v>5.7319715928307147E-2</v>
      </c>
      <c r="P1821" s="545">
        <f>-'Sollecitazioni nel paramento'!$G$47*'Sollecitazioni nel paramento'!$G$41*IF(DATI!$G$211="dx",DATI!$E$61,DATI!$E$64*DATI!$E$63)*1000*C1821*sezione!$AD$5</f>
        <v>-1387946.8376297115</v>
      </c>
      <c r="Q1821" s="545">
        <f>'Foglio deposito bis'!$F$78*IF(ABS(K1821)&lt;'Sollecitazioni nel paramento'!$G$58,ABS(K1821)*'Sollecitazioni nel paramento'!$G$54,'Sollecitazioni nel paramento'!$G$53)*IF(K1821&lt;0,-1,1)</f>
        <v>0</v>
      </c>
      <c r="R1821" s="545">
        <f>'Foglio deposito bis'!$F$79*IF(ABS(L1821)&lt;'Sollecitazioni nel paramento'!$G$58,ABS(L1821)*'Sollecitazioni nel paramento'!$G$54,'Sollecitazioni nel paramento'!$G$53)*IF(L1821&lt;0,-1,1)</f>
        <v>153664.85805602249</v>
      </c>
      <c r="S1821" s="545">
        <f>'Foglio deposito bis'!$F$80*IF(ABS(M1821)&lt;'Sollecitazioni nel paramento'!$G$58,ABS(M1821)*'Sollecitazioni nel paramento'!$G$54,'Sollecitazioni nel paramento'!$G$53)*IF(M1821&lt;0,-1,1)</f>
        <v>0</v>
      </c>
      <c r="T1821" s="545">
        <f>'Foglio deposito bis'!$F$81*IF(ABS(N1821)&lt;'Sollecitazioni nel paramento'!$G$58,ABS(N1821)*'Sollecitazioni nel paramento'!$G$54,'Sollecitazioni nel paramento'!$G$53)*IF(N1821&lt;0,-1,1)</f>
        <v>398299.31208121032</v>
      </c>
      <c r="U1821" s="545">
        <f>'Foglio deposito bis'!$F$82*IF(ABS(O1821)&lt;'Sollecitazioni nel paramento'!$G$58,ABS(O1821)*'Sollecitazioni nel paramento'!$G$54,'Sollecitazioni nel paramento'!$G$53)*IF(O1821&lt;0,-1,1)</f>
        <v>892485.49558937876</v>
      </c>
      <c r="V1821" s="472">
        <f t="shared" si="129"/>
        <v>56502.828096900135</v>
      </c>
      <c r="W1821" s="551"/>
      <c r="X1821" s="551"/>
    </row>
    <row r="1822" spans="1:24" x14ac:dyDescent="0.25">
      <c r="A1822" s="545">
        <f t="shared" si="128"/>
        <v>39153.492626528721</v>
      </c>
      <c r="B1822" s="3">
        <f t="shared" si="130"/>
        <v>4.0499999999999936</v>
      </c>
      <c r="C1822" s="545">
        <f>'Foglio deposito bis'!$E$160/sezione!$B$247*B1822</f>
        <v>36.887318505396308</v>
      </c>
      <c r="D1822" s="603">
        <f>-'Sollecitazioni nel paramento'!$G$47*'Sollecitazioni nel paramento'!$G$41*IF(DATI!$G$211="dx",DATI!$E$61,DATI!$E$64*DATI!$E$63)*1000*C1822^2*sezione!$AD$5*(1-sezione!$AD$6)</f>
        <v>-30273162.798429467</v>
      </c>
      <c r="E1822" s="545">
        <f>-'Foglio deposito bis'!$F$78*(C1822-sezione!$AL$34)*IF(ABS(K1822)&lt;'Sollecitazioni nel paramento'!$G$58,ABS(K1822)*'Sollecitazioni nel paramento'!$G$54,'Sollecitazioni nel paramento'!$G$53)</f>
        <v>0</v>
      </c>
      <c r="F1822" s="545">
        <f>-'Foglio deposito bis'!$F$79*(C1822-sezione!$AM$34)*IF(ABS(L1822)&lt;'Sollecitazioni nel paramento'!$G$58,ABS(L1822)*'Sollecitazioni nel paramento'!$G$54,'Sollecitazioni nel paramento'!$G$53)</f>
        <v>3551606.9211623343</v>
      </c>
      <c r="G1822" s="545">
        <f>-'Foglio deposito bis'!$F$80*(C1822-sezione!$AN$34)*IF(ABS(M1822)&lt;'Sollecitazioni nel paramento'!$G$58,ABS(M1822)*'Sollecitazioni nel paramento'!$G$54,'Sollecitazioni nel paramento'!$G$53)</f>
        <v>0</v>
      </c>
      <c r="H1822" s="545">
        <f>-'Foglio deposito bis'!$F$81*(C1822-sezione!$AO$34)*IF(ABS(N1822)&lt;'Sollecitazioni nel paramento'!$G$58,ABS(N1822)*'Sollecitazioni nel paramento'!$G$54,'Sollecitazioni nel paramento'!$G$53)</f>
        <v>49035696.347773798</v>
      </c>
      <c r="I1822" s="472">
        <f>-'Foglio deposito bis'!$F$82*(C1822-sezione!$AP$34)*IF(ABS(O1822)&lt;'Sollecitazioni nel paramento'!$G$58,ABS(O1822)*'Sollecitazioni nel paramento'!$G$54,'Sollecitazioni nel paramento'!$G$53)</f>
        <v>532093064.64483136</v>
      </c>
      <c r="J1822" s="472">
        <f t="shared" si="127"/>
        <v>554407205.11533797</v>
      </c>
      <c r="K1822" s="550">
        <f>'Sollecitazioni nel paramento'!$G$60*(sezione!$AL$34-C1822)/C1822</f>
        <v>2.9534229303003311E-4</v>
      </c>
      <c r="L1822" s="550">
        <f>'Sollecitazioni nel paramento'!$G$60*(sezione!$AM$34-C1822)/C1822</f>
        <v>2.1930134395450498E-3</v>
      </c>
      <c r="M1822" s="551">
        <f>'Sollecitazioni nel paramento'!$G$60*(sezione!$AN$34-C1822)/C1822</f>
        <v>4.0906845860600666E-3</v>
      </c>
      <c r="N1822" s="551">
        <f>'Sollecitazioni nel paramento'!$G$60*(sezione!$AO$34-C1822)/C1822</f>
        <v>1.1681369172120133E-2</v>
      </c>
      <c r="O1822" s="551">
        <f>'Sollecitazioni nel paramento'!$G$60*(sezione!$AP$34-C1822)/C1822</f>
        <v>5.6568855237834219E-2</v>
      </c>
      <c r="P1822" s="545">
        <f>-'Sollecitazioni nel paramento'!$G$47*'Sollecitazioni nel paramento'!$G$41*IF(DATI!$G$211="dx",DATI!$E$61,DATI!$E$64*DATI!$E$63)*1000*C1822*sezione!$AD$5</f>
        <v>-1405296.1731000829</v>
      </c>
      <c r="Q1822" s="545">
        <f>'Foglio deposito bis'!$F$78*IF(ABS(K1822)&lt;'Sollecitazioni nel paramento'!$G$58,ABS(K1822)*'Sollecitazioni nel paramento'!$G$54,'Sollecitazioni nel paramento'!$G$53)*IF(K1822&lt;0,-1,1)</f>
        <v>0</v>
      </c>
      <c r="R1822" s="545">
        <f>'Foglio deposito bis'!$F$79*IF(ABS(L1822)&lt;'Sollecitazioni nel paramento'!$G$58,ABS(L1822)*'Sollecitazioni nel paramento'!$G$54,'Sollecitazioni nel paramento'!$G$53)*IF(L1822&lt;0,-1,1)</f>
        <v>153664.85805602249</v>
      </c>
      <c r="S1822" s="545">
        <f>'Foglio deposito bis'!$F$80*IF(ABS(M1822)&lt;'Sollecitazioni nel paramento'!$G$58,ABS(M1822)*'Sollecitazioni nel paramento'!$G$54,'Sollecitazioni nel paramento'!$G$53)*IF(M1822&lt;0,-1,1)</f>
        <v>0</v>
      </c>
      <c r="T1822" s="545">
        <f>'Foglio deposito bis'!$F$81*IF(ABS(N1822)&lt;'Sollecitazioni nel paramento'!$G$58,ABS(N1822)*'Sollecitazioni nel paramento'!$G$54,'Sollecitazioni nel paramento'!$G$53)*IF(N1822&lt;0,-1,1)</f>
        <v>398299.31208121032</v>
      </c>
      <c r="U1822" s="545">
        <f>'Foglio deposito bis'!$F$82*IF(ABS(O1822)&lt;'Sollecitazioni nel paramento'!$G$58,ABS(O1822)*'Sollecitazioni nel paramento'!$G$54,'Sollecitazioni nel paramento'!$G$53)*IF(O1822&lt;0,-1,1)</f>
        <v>892485.49558937876</v>
      </c>
      <c r="V1822" s="472">
        <f t="shared" si="129"/>
        <v>39153.492626528721</v>
      </c>
      <c r="W1822" s="551"/>
      <c r="X1822" s="551"/>
    </row>
    <row r="1823" spans="1:24" x14ac:dyDescent="0.25">
      <c r="A1823" s="545">
        <f t="shared" si="128"/>
        <v>21804.157156157307</v>
      </c>
      <c r="B1823" s="3">
        <f t="shared" si="130"/>
        <v>4.0999999999999934</v>
      </c>
      <c r="C1823" s="545">
        <f>'Foglio deposito bis'!$E$160/sezione!$B$247*B1823</f>
        <v>37.342717499290089</v>
      </c>
      <c r="D1823" s="603">
        <f>-'Sollecitazioni nel paramento'!$G$47*'Sollecitazioni nel paramento'!$G$41*IF(DATI!$G$211="dx",DATI!$E$61,DATI!$E$64*DATI!$E$63)*1000*C1823^2*sezione!$AD$5*(1-sezione!$AD$6)</f>
        <v>-31025262.407657329</v>
      </c>
      <c r="E1823" s="545">
        <f>-'Foglio deposito bis'!$F$78*(C1823-sezione!$AL$34)*IF(ABS(K1823)&lt;'Sollecitazioni nel paramento'!$G$58,ABS(K1823)*'Sollecitazioni nel paramento'!$G$54,'Sollecitazioni nel paramento'!$G$53)</f>
        <v>0</v>
      </c>
      <c r="F1823" s="545">
        <f>-'Foglio deposito bis'!$F$79*(C1823-sezione!$AM$34)*IF(ABS(L1823)&lt;'Sollecitazioni nel paramento'!$G$58,ABS(L1823)*'Sollecitazioni nel paramento'!$G$54,'Sollecitazioni nel paramento'!$G$53)</f>
        <v>3481628.0994067909</v>
      </c>
      <c r="G1823" s="545">
        <f>-'Foglio deposito bis'!$F$80*(C1823-sezione!$AN$34)*IF(ABS(M1823)&lt;'Sollecitazioni nel paramento'!$G$58,ABS(M1823)*'Sollecitazioni nel paramento'!$G$54,'Sollecitazioni nel paramento'!$G$53)</f>
        <v>0</v>
      </c>
      <c r="H1823" s="545">
        <f>-'Foglio deposito bis'!$F$81*(C1823-sezione!$AO$34)*IF(ABS(N1823)&lt;'Sollecitazioni nel paramento'!$G$58,ABS(N1823)*'Sollecitazioni nel paramento'!$G$54,'Sollecitazioni nel paramento'!$G$53)</f>
        <v>48854311.241783433</v>
      </c>
      <c r="I1823" s="472">
        <f>-'Foglio deposito bis'!$F$82*(C1823-sezione!$AP$34)*IF(ABS(O1823)&lt;'Sollecitazioni nel paramento'!$G$58,ABS(O1823)*'Sollecitazioni nel paramento'!$G$54,'Sollecitazioni nel paramento'!$G$53)</f>
        <v>531686627.64807522</v>
      </c>
      <c r="J1823" s="472">
        <f t="shared" si="127"/>
        <v>552997304.58160806</v>
      </c>
      <c r="K1823" s="550">
        <f>'Sollecitazioni nel paramento'!$G$60*(sezione!$AL$34-C1823)/C1823</f>
        <v>2.4905763091991094E-4</v>
      </c>
      <c r="L1823" s="550">
        <f>'Sollecitazioni nel paramento'!$G$60*(sezione!$AM$34-C1823)/C1823</f>
        <v>2.1235864463798665E-3</v>
      </c>
      <c r="M1823" s="551">
        <f>'Sollecitazioni nel paramento'!$G$60*(sezione!$AN$34-C1823)/C1823</f>
        <v>3.9981152618398215E-3</v>
      </c>
      <c r="N1823" s="551">
        <f>'Sollecitazioni nel paramento'!$G$60*(sezione!$AO$34-C1823)/C1823</f>
        <v>1.1496230523679644E-2</v>
      </c>
      <c r="O1823" s="551">
        <f>'Sollecitazioni nel paramento'!$G$60*(sezione!$AP$34-C1823)/C1823</f>
        <v>5.583630822273869E-2</v>
      </c>
      <c r="P1823" s="545">
        <f>-'Sollecitazioni nel paramento'!$G$47*'Sollecitazioni nel paramento'!$G$41*IF(DATI!$G$211="dx",DATI!$E$61,DATI!$E$64*DATI!$E$63)*1000*C1823*sezione!$AD$5</f>
        <v>-1422645.5085704543</v>
      </c>
      <c r="Q1823" s="545">
        <f>'Foglio deposito bis'!$F$78*IF(ABS(K1823)&lt;'Sollecitazioni nel paramento'!$G$58,ABS(K1823)*'Sollecitazioni nel paramento'!$G$54,'Sollecitazioni nel paramento'!$G$53)*IF(K1823&lt;0,-1,1)</f>
        <v>0</v>
      </c>
      <c r="R1823" s="545">
        <f>'Foglio deposito bis'!$F$79*IF(ABS(L1823)&lt;'Sollecitazioni nel paramento'!$G$58,ABS(L1823)*'Sollecitazioni nel paramento'!$G$54,'Sollecitazioni nel paramento'!$G$53)*IF(L1823&lt;0,-1,1)</f>
        <v>153664.85805602249</v>
      </c>
      <c r="S1823" s="545">
        <f>'Foglio deposito bis'!$F$80*IF(ABS(M1823)&lt;'Sollecitazioni nel paramento'!$G$58,ABS(M1823)*'Sollecitazioni nel paramento'!$G$54,'Sollecitazioni nel paramento'!$G$53)*IF(M1823&lt;0,-1,1)</f>
        <v>0</v>
      </c>
      <c r="T1823" s="545">
        <f>'Foglio deposito bis'!$F$81*IF(ABS(N1823)&lt;'Sollecitazioni nel paramento'!$G$58,ABS(N1823)*'Sollecitazioni nel paramento'!$G$54,'Sollecitazioni nel paramento'!$G$53)*IF(N1823&lt;0,-1,1)</f>
        <v>398299.31208121032</v>
      </c>
      <c r="U1823" s="545">
        <f>'Foglio deposito bis'!$F$82*IF(ABS(O1823)&lt;'Sollecitazioni nel paramento'!$G$58,ABS(O1823)*'Sollecitazioni nel paramento'!$G$54,'Sollecitazioni nel paramento'!$G$53)*IF(O1823&lt;0,-1,1)</f>
        <v>892485.49558937876</v>
      </c>
      <c r="V1823" s="472">
        <f t="shared" si="129"/>
        <v>21804.157156157307</v>
      </c>
      <c r="W1823" s="551"/>
      <c r="X1823" s="551"/>
    </row>
    <row r="1824" spans="1:24" x14ac:dyDescent="0.25">
      <c r="A1824" s="545">
        <f t="shared" si="128"/>
        <v>4454.8216857861262</v>
      </c>
      <c r="B1824" s="3">
        <f t="shared" si="130"/>
        <v>4.1499999999999932</v>
      </c>
      <c r="C1824" s="545">
        <f>'Foglio deposito bis'!$E$160/sezione!$B$247*B1824</f>
        <v>37.798116493183869</v>
      </c>
      <c r="D1824" s="603">
        <f>-'Sollecitazioni nel paramento'!$G$47*'Sollecitazioni nel paramento'!$G$41*IF(DATI!$G$211="dx",DATI!$E$61,DATI!$E$64*DATI!$E$63)*1000*C1824^2*sezione!$AD$5*(1-sezione!$AD$6)</f>
        <v>-31786590.232949331</v>
      </c>
      <c r="E1824" s="545">
        <f>-'Foglio deposito bis'!$F$78*(C1824-sezione!$AL$34)*IF(ABS(K1824)&lt;'Sollecitazioni nel paramento'!$G$58,ABS(K1824)*'Sollecitazioni nel paramento'!$G$54,'Sollecitazioni nel paramento'!$G$53)</f>
        <v>0</v>
      </c>
      <c r="F1824" s="545">
        <f>-'Foglio deposito bis'!$F$79*(C1824-sezione!$AM$34)*IF(ABS(L1824)&lt;'Sollecitazioni nel paramento'!$G$58,ABS(L1824)*'Sollecitazioni nel paramento'!$G$54,'Sollecitazioni nel paramento'!$G$53)</f>
        <v>3411649.2776512476</v>
      </c>
      <c r="G1824" s="545">
        <f>-'Foglio deposito bis'!$F$80*(C1824-sezione!$AN$34)*IF(ABS(M1824)&lt;'Sollecitazioni nel paramento'!$G$58,ABS(M1824)*'Sollecitazioni nel paramento'!$G$54,'Sollecitazioni nel paramento'!$G$53)</f>
        <v>0</v>
      </c>
      <c r="H1824" s="545">
        <f>-'Foglio deposito bis'!$F$81*(C1824-sezione!$AO$34)*IF(ABS(N1824)&lt;'Sollecitazioni nel paramento'!$G$58,ABS(N1824)*'Sollecitazioni nel paramento'!$G$54,'Sollecitazioni nel paramento'!$G$53)</f>
        <v>48672926.135793068</v>
      </c>
      <c r="I1824" s="472">
        <f>-'Foglio deposito bis'!$F$82*(C1824-sezione!$AP$34)*IF(ABS(O1824)&lt;'Sollecitazioni nel paramento'!$G$58,ABS(O1824)*'Sollecitazioni nel paramento'!$G$54,'Sollecitazioni nel paramento'!$G$53)</f>
        <v>531280190.65131897</v>
      </c>
      <c r="J1824" s="472">
        <f t="shared" si="127"/>
        <v>551578175.83181393</v>
      </c>
      <c r="K1824" s="550">
        <f>'Sollecitazioni nel paramento'!$G$60*(sezione!$AL$34-C1824)/C1824</f>
        <v>2.038882618726832E-4</v>
      </c>
      <c r="L1824" s="550">
        <f>'Sollecitazioni nel paramento'!$G$60*(sezione!$AM$34-C1824)/C1824</f>
        <v>2.0558323928090245E-3</v>
      </c>
      <c r="M1824" s="551">
        <f>'Sollecitazioni nel paramento'!$G$60*(sezione!$AN$34-C1824)/C1824</f>
        <v>3.9077765237453665E-3</v>
      </c>
      <c r="N1824" s="551">
        <f>'Sollecitazioni nel paramento'!$G$60*(sezione!$AO$34-C1824)/C1824</f>
        <v>1.1315553047490734E-2</v>
      </c>
      <c r="O1824" s="551">
        <f>'Sollecitazioni nel paramento'!$G$60*(sezione!$AP$34-C1824)/C1824</f>
        <v>5.5121412942946653E-2</v>
      </c>
      <c r="P1824" s="545">
        <f>-'Sollecitazioni nel paramento'!$G$47*'Sollecitazioni nel paramento'!$G$41*IF(DATI!$G$211="dx",DATI!$E$61,DATI!$E$64*DATI!$E$63)*1000*C1824*sezione!$AD$5</f>
        <v>-1439994.8440408255</v>
      </c>
      <c r="Q1824" s="545">
        <f>'Foglio deposito bis'!$F$78*IF(ABS(K1824)&lt;'Sollecitazioni nel paramento'!$G$58,ABS(K1824)*'Sollecitazioni nel paramento'!$G$54,'Sollecitazioni nel paramento'!$G$53)*IF(K1824&lt;0,-1,1)</f>
        <v>0</v>
      </c>
      <c r="R1824" s="545">
        <f>'Foglio deposito bis'!$F$79*IF(ABS(L1824)&lt;'Sollecitazioni nel paramento'!$G$58,ABS(L1824)*'Sollecitazioni nel paramento'!$G$54,'Sollecitazioni nel paramento'!$G$53)*IF(L1824&lt;0,-1,1)</f>
        <v>153664.85805602249</v>
      </c>
      <c r="S1824" s="545">
        <f>'Foglio deposito bis'!$F$80*IF(ABS(M1824)&lt;'Sollecitazioni nel paramento'!$G$58,ABS(M1824)*'Sollecitazioni nel paramento'!$G$54,'Sollecitazioni nel paramento'!$G$53)*IF(M1824&lt;0,-1,1)</f>
        <v>0</v>
      </c>
      <c r="T1824" s="545">
        <f>'Foglio deposito bis'!$F$81*IF(ABS(N1824)&lt;'Sollecitazioni nel paramento'!$G$58,ABS(N1824)*'Sollecitazioni nel paramento'!$G$54,'Sollecitazioni nel paramento'!$G$53)*IF(N1824&lt;0,-1,1)</f>
        <v>398299.31208121032</v>
      </c>
      <c r="U1824" s="545">
        <f>'Foglio deposito bis'!$F$82*IF(ABS(O1824)&lt;'Sollecitazioni nel paramento'!$G$58,ABS(O1824)*'Sollecitazioni nel paramento'!$G$54,'Sollecitazioni nel paramento'!$G$53)*IF(O1824&lt;0,-1,1)</f>
        <v>892485.49558937876</v>
      </c>
      <c r="V1824" s="472">
        <f t="shared" si="129"/>
        <v>4454.8216857861262</v>
      </c>
      <c r="W1824" s="551"/>
      <c r="X1824" s="551"/>
    </row>
    <row r="1825" spans="1:24" x14ac:dyDescent="0.25">
      <c r="A1825" s="545">
        <f t="shared" si="128"/>
        <v>12894.513784585288</v>
      </c>
      <c r="B1825" s="3">
        <f t="shared" si="130"/>
        <v>4.1999999999999931</v>
      </c>
      <c r="C1825" s="545">
        <f>'Foglio deposito bis'!$E$160/sezione!$B$247*B1825</f>
        <v>38.253515487077649</v>
      </c>
      <c r="D1825" s="603">
        <f>-'Sollecitazioni nel paramento'!$G$47*'Sollecitazioni nel paramento'!$G$41*IF(DATI!$G$211="dx",DATI!$E$61,DATI!$E$64*DATI!$E$63)*1000*C1825^2*sezione!$AD$5*(1-sezione!$AD$6)</f>
        <v>-32557146.274305481</v>
      </c>
      <c r="E1825" s="545">
        <f>-'Foglio deposito bis'!$F$78*(C1825-sezione!$AL$34)*IF(ABS(K1825)&lt;'Sollecitazioni nel paramento'!$G$58,ABS(K1825)*'Sollecitazioni nel paramento'!$G$54,'Sollecitazioni nel paramento'!$G$53)</f>
        <v>0</v>
      </c>
      <c r="F1825" s="545">
        <f>-'Foglio deposito bis'!$F$79*(C1825-sezione!$AM$34)*IF(ABS(L1825)&lt;'Sollecitazioni nel paramento'!$G$58,ABS(L1825)*'Sollecitazioni nel paramento'!$G$54,'Sollecitazioni nel paramento'!$G$53)</f>
        <v>3341670.4558957042</v>
      </c>
      <c r="G1825" s="545">
        <f>-'Foglio deposito bis'!$F$80*(C1825-sezione!$AN$34)*IF(ABS(M1825)&lt;'Sollecitazioni nel paramento'!$G$58,ABS(M1825)*'Sollecitazioni nel paramento'!$G$54,'Sollecitazioni nel paramento'!$G$53)</f>
        <v>0</v>
      </c>
      <c r="H1825" s="545">
        <f>-'Foglio deposito bis'!$F$81*(C1825-sezione!$AO$34)*IF(ABS(N1825)&lt;'Sollecitazioni nel paramento'!$G$58,ABS(N1825)*'Sollecitazioni nel paramento'!$G$54,'Sollecitazioni nel paramento'!$G$53)</f>
        <v>48491541.029802702</v>
      </c>
      <c r="I1825" s="472">
        <f>-'Foglio deposito bis'!$F$82*(C1825-sezione!$AP$34)*IF(ABS(O1825)&lt;'Sollecitazioni nel paramento'!$G$58,ABS(O1825)*'Sollecitazioni nel paramento'!$G$54,'Sollecitazioni nel paramento'!$G$53)</f>
        <v>530873753.65456283</v>
      </c>
      <c r="J1825" s="472">
        <f t="shared" si="127"/>
        <v>550149818.86595571</v>
      </c>
      <c r="K1825" s="550">
        <f>'Sollecitazioni nel paramento'!$G$60*(sezione!$AL$34-C1825)/C1825</f>
        <v>1.5979435399324658E-4</v>
      </c>
      <c r="L1825" s="550">
        <f>'Sollecitazioni nel paramento'!$G$60*(sezione!$AM$34-C1825)/C1825</f>
        <v>1.9896915309898697E-3</v>
      </c>
      <c r="M1825" s="551">
        <f>'Sollecitazioni nel paramento'!$G$60*(sezione!$AN$34-C1825)/C1825</f>
        <v>3.8195887079864933E-3</v>
      </c>
      <c r="N1825" s="551">
        <f>'Sollecitazioni nel paramento'!$G$60*(sezione!$AO$34-C1825)/C1825</f>
        <v>1.1139177415972987E-2</v>
      </c>
      <c r="O1825" s="551">
        <f>'Sollecitazioni nel paramento'!$G$60*(sezione!$AP$34-C1825)/C1825</f>
        <v>5.4423538979340158E-2</v>
      </c>
      <c r="P1825" s="545">
        <f>-'Sollecitazioni nel paramento'!$G$47*'Sollecitazioni nel paramento'!$G$41*IF(DATI!$G$211="dx",DATI!$E$61,DATI!$E$64*DATI!$E$63)*1000*C1825*sezione!$AD$5</f>
        <v>-1457344.1795111969</v>
      </c>
      <c r="Q1825" s="545">
        <f>'Foglio deposito bis'!$F$78*IF(ABS(K1825)&lt;'Sollecitazioni nel paramento'!$G$58,ABS(K1825)*'Sollecitazioni nel paramento'!$G$54,'Sollecitazioni nel paramento'!$G$53)*IF(K1825&lt;0,-1,1)</f>
        <v>0</v>
      </c>
      <c r="R1825" s="545">
        <f>'Foglio deposito bis'!$F$79*IF(ABS(L1825)&lt;'Sollecitazioni nel paramento'!$G$58,ABS(L1825)*'Sollecitazioni nel paramento'!$G$54,'Sollecitazioni nel paramento'!$G$53)*IF(L1825&lt;0,-1,1)</f>
        <v>153664.85805602249</v>
      </c>
      <c r="S1825" s="545">
        <f>'Foglio deposito bis'!$F$80*IF(ABS(M1825)&lt;'Sollecitazioni nel paramento'!$G$58,ABS(M1825)*'Sollecitazioni nel paramento'!$G$54,'Sollecitazioni nel paramento'!$G$53)*IF(M1825&lt;0,-1,1)</f>
        <v>0</v>
      </c>
      <c r="T1825" s="545">
        <f>'Foglio deposito bis'!$F$81*IF(ABS(N1825)&lt;'Sollecitazioni nel paramento'!$G$58,ABS(N1825)*'Sollecitazioni nel paramento'!$G$54,'Sollecitazioni nel paramento'!$G$53)*IF(N1825&lt;0,-1,1)</f>
        <v>398299.31208121032</v>
      </c>
      <c r="U1825" s="545">
        <f>'Foglio deposito bis'!$F$82*IF(ABS(O1825)&lt;'Sollecitazioni nel paramento'!$G$58,ABS(O1825)*'Sollecitazioni nel paramento'!$G$54,'Sollecitazioni nel paramento'!$G$53)*IF(O1825&lt;0,-1,1)</f>
        <v>892485.49558937876</v>
      </c>
      <c r="V1825" s="472">
        <f t="shared" si="129"/>
        <v>-12894.513784585288</v>
      </c>
      <c r="W1825" s="551"/>
      <c r="X1825" s="551"/>
    </row>
    <row r="1826" spans="1:24" x14ac:dyDescent="0.25">
      <c r="A1826" s="545">
        <f t="shared" si="128"/>
        <v>30243.849254956702</v>
      </c>
      <c r="B1826" s="3">
        <f t="shared" si="130"/>
        <v>4.2499999999999929</v>
      </c>
      <c r="C1826" s="545">
        <f>'Foglio deposito bis'!$E$160/sezione!$B$247*B1826</f>
        <v>38.70891448097143</v>
      </c>
      <c r="D1826" s="603">
        <f>-'Sollecitazioni nel paramento'!$G$47*'Sollecitazioni nel paramento'!$G$41*IF(DATI!$G$211="dx",DATI!$E$61,DATI!$E$64*DATI!$E$63)*1000*C1826^2*sezione!$AD$5*(1-sezione!$AD$6)</f>
        <v>-33336930.531725779</v>
      </c>
      <c r="E1826" s="545">
        <f>-'Foglio deposito bis'!$F$78*(C1826-sezione!$AL$34)*IF(ABS(K1826)&lt;'Sollecitazioni nel paramento'!$G$58,ABS(K1826)*'Sollecitazioni nel paramento'!$G$54,'Sollecitazioni nel paramento'!$G$53)</f>
        <v>0</v>
      </c>
      <c r="F1826" s="545">
        <f>-'Foglio deposito bis'!$F$79*(C1826-sezione!$AM$34)*IF(ABS(L1826)&lt;'Sollecitazioni nel paramento'!$G$58,ABS(L1826)*'Sollecitazioni nel paramento'!$G$54,'Sollecitazioni nel paramento'!$G$53)</f>
        <v>3271691.6341401613</v>
      </c>
      <c r="G1826" s="545">
        <f>-'Foglio deposito bis'!$F$80*(C1826-sezione!$AN$34)*IF(ABS(M1826)&lt;'Sollecitazioni nel paramento'!$G$58,ABS(M1826)*'Sollecitazioni nel paramento'!$G$54,'Sollecitazioni nel paramento'!$G$53)</f>
        <v>0</v>
      </c>
      <c r="H1826" s="545">
        <f>-'Foglio deposito bis'!$F$81*(C1826-sezione!$AO$34)*IF(ABS(N1826)&lt;'Sollecitazioni nel paramento'!$G$58,ABS(N1826)*'Sollecitazioni nel paramento'!$G$54,'Sollecitazioni nel paramento'!$G$53)</f>
        <v>48310155.92381233</v>
      </c>
      <c r="I1826" s="472">
        <f>-'Foglio deposito bis'!$F$82*(C1826-sezione!$AP$34)*IF(ABS(O1826)&lt;'Sollecitazioni nel paramento'!$G$58,ABS(O1826)*'Sollecitazioni nel paramento'!$G$54,'Sollecitazioni nel paramento'!$G$53)</f>
        <v>530467316.65780658</v>
      </c>
      <c r="J1826" s="472">
        <f t="shared" si="127"/>
        <v>548712233.68403327</v>
      </c>
      <c r="K1826" s="550">
        <f>'Sollecitazioni nel paramento'!$G$60*(sezione!$AL$34-C1826)/C1826</f>
        <v>1.1673794982862027E-4</v>
      </c>
      <c r="L1826" s="550">
        <f>'Sollecitazioni nel paramento'!$G$60*(sezione!$AM$34-C1826)/C1826</f>
        <v>1.9251069247429304E-3</v>
      </c>
      <c r="M1826" s="551">
        <f>'Sollecitazioni nel paramento'!$G$60*(sezione!$AN$34-C1826)/C1826</f>
        <v>3.7334758996572406E-3</v>
      </c>
      <c r="N1826" s="551">
        <f>'Sollecitazioni nel paramento'!$G$60*(sezione!$AO$34-C1826)/C1826</f>
        <v>1.0966951799314482E-2</v>
      </c>
      <c r="O1826" s="551">
        <f>'Sollecitazioni nel paramento'!$G$60*(sezione!$AP$34-C1826)/C1826</f>
        <v>5.374208557958321E-2</v>
      </c>
      <c r="P1826" s="545">
        <f>-'Sollecitazioni nel paramento'!$G$47*'Sollecitazioni nel paramento'!$G$41*IF(DATI!$G$211="dx",DATI!$E$61,DATI!$E$64*DATI!$E$63)*1000*C1826*sezione!$AD$5</f>
        <v>-1474693.5149815683</v>
      </c>
      <c r="Q1826" s="545">
        <f>'Foglio deposito bis'!$F$78*IF(ABS(K1826)&lt;'Sollecitazioni nel paramento'!$G$58,ABS(K1826)*'Sollecitazioni nel paramento'!$G$54,'Sollecitazioni nel paramento'!$G$53)*IF(K1826&lt;0,-1,1)</f>
        <v>0</v>
      </c>
      <c r="R1826" s="545">
        <f>'Foglio deposito bis'!$F$79*IF(ABS(L1826)&lt;'Sollecitazioni nel paramento'!$G$58,ABS(L1826)*'Sollecitazioni nel paramento'!$G$54,'Sollecitazioni nel paramento'!$G$53)*IF(L1826&lt;0,-1,1)</f>
        <v>153664.85805602249</v>
      </c>
      <c r="S1826" s="545">
        <f>'Foglio deposito bis'!$F$80*IF(ABS(M1826)&lt;'Sollecitazioni nel paramento'!$G$58,ABS(M1826)*'Sollecitazioni nel paramento'!$G$54,'Sollecitazioni nel paramento'!$G$53)*IF(M1826&lt;0,-1,1)</f>
        <v>0</v>
      </c>
      <c r="T1826" s="545">
        <f>'Foglio deposito bis'!$F$81*IF(ABS(N1826)&lt;'Sollecitazioni nel paramento'!$G$58,ABS(N1826)*'Sollecitazioni nel paramento'!$G$54,'Sollecitazioni nel paramento'!$G$53)*IF(N1826&lt;0,-1,1)</f>
        <v>398299.31208121032</v>
      </c>
      <c r="U1826" s="545">
        <f>'Foglio deposito bis'!$F$82*IF(ABS(O1826)&lt;'Sollecitazioni nel paramento'!$G$58,ABS(O1826)*'Sollecitazioni nel paramento'!$G$54,'Sollecitazioni nel paramento'!$G$53)*IF(O1826&lt;0,-1,1)</f>
        <v>892485.49558937876</v>
      </c>
      <c r="V1826" s="472">
        <f t="shared" si="129"/>
        <v>-30243.849254956702</v>
      </c>
      <c r="W1826" s="551"/>
      <c r="X1826" s="551"/>
    </row>
    <row r="1827" spans="1:24" x14ac:dyDescent="0.25">
      <c r="A1827" s="545">
        <f t="shared" si="128"/>
        <v>50627.705968763679</v>
      </c>
      <c r="B1827" s="3">
        <f t="shared" si="130"/>
        <v>4.2999999999999927</v>
      </c>
      <c r="C1827" s="545">
        <f>'Foglio deposito bis'!$E$160/sezione!$B$247*B1827</f>
        <v>39.16431347486521</v>
      </c>
      <c r="D1827" s="603">
        <f>-'Sollecitazioni nel paramento'!$G$47*'Sollecitazioni nel paramento'!$G$41*IF(DATI!$G$211="dx",DATI!$E$61,DATI!$E$64*DATI!$E$63)*1000*C1827^2*sezione!$AD$5*(1-sezione!$AD$6)</f>
        <v>-34125943.005210221</v>
      </c>
      <c r="E1827" s="545">
        <f>-'Foglio deposito bis'!$F$78*(C1827-sezione!$AL$34)*IF(ABS(K1827)&lt;'Sollecitazioni nel paramento'!$G$58,ABS(K1827)*'Sollecitazioni nel paramento'!$G$54,'Sollecitazioni nel paramento'!$G$53)</f>
        <v>0</v>
      </c>
      <c r="F1827" s="545">
        <f>-'Foglio deposito bis'!$F$79*(C1827-sezione!$AM$34)*IF(ABS(L1827)&lt;'Sollecitazioni nel paramento'!$G$58,ABS(L1827)*'Sollecitazioni nel paramento'!$G$54,'Sollecitazioni nel paramento'!$G$53)</f>
        <v>3138486.4790025307</v>
      </c>
      <c r="G1827" s="545">
        <f>-'Foglio deposito bis'!$F$80*(C1827-sezione!$AN$34)*IF(ABS(M1827)&lt;'Sollecitazioni nel paramento'!$G$58,ABS(M1827)*'Sollecitazioni nel paramento'!$G$54,'Sollecitazioni nel paramento'!$G$53)</f>
        <v>0</v>
      </c>
      <c r="H1827" s="545">
        <f>-'Foglio deposito bis'!$F$81*(C1827-sezione!$AO$34)*IF(ABS(N1827)&lt;'Sollecitazioni nel paramento'!$G$58,ABS(N1827)*'Sollecitazioni nel paramento'!$G$54,'Sollecitazioni nel paramento'!$G$53)</f>
        <v>48128770.817821957</v>
      </c>
      <c r="I1827" s="472">
        <f>-'Foglio deposito bis'!$F$82*(C1827-sezione!$AP$34)*IF(ABS(O1827)&lt;'Sollecitazioni nel paramento'!$G$58,ABS(O1827)*'Sollecitazioni nel paramento'!$G$54,'Sollecitazioni nel paramento'!$G$53)</f>
        <v>530060879.66105038</v>
      </c>
      <c r="J1827" s="472">
        <f t="shared" si="127"/>
        <v>547202193.95266461</v>
      </c>
      <c r="K1827" s="550">
        <f>'Sollecitazioni nel paramento'!$G$60*(sezione!$AL$34-C1827)/C1827</f>
        <v>7.4682857388752702E-5</v>
      </c>
      <c r="L1827" s="550">
        <f>'Sollecitazioni nel paramento'!$G$60*(sezione!$AM$34-C1827)/C1827</f>
        <v>1.8620242860831291E-3</v>
      </c>
      <c r="M1827" s="551">
        <f>'Sollecitazioni nel paramento'!$G$60*(sezione!$AN$34-C1827)/C1827</f>
        <v>3.6493657147775053E-3</v>
      </c>
      <c r="N1827" s="551">
        <f>'Sollecitazioni nel paramento'!$G$60*(sezione!$AO$34-C1827)/C1827</f>
        <v>1.0798731429555012E-2</v>
      </c>
      <c r="O1827" s="551">
        <f>'Sollecitazioni nel paramento'!$G$60*(sezione!$AP$34-C1827)/C1827</f>
        <v>5.3076479933308982E-2</v>
      </c>
      <c r="P1827" s="545">
        <f>-'Sollecitazioni nel paramento'!$G$47*'Sollecitazioni nel paramento'!$G$41*IF(DATI!$G$211="dx",DATI!$E$61,DATI!$E$64*DATI!$E$63)*1000*C1827*sezione!$AD$5</f>
        <v>-1492042.8504519395</v>
      </c>
      <c r="Q1827" s="545">
        <f>'Foglio deposito bis'!$F$78*IF(ABS(K1827)&lt;'Sollecitazioni nel paramento'!$G$58,ABS(K1827)*'Sollecitazioni nel paramento'!$G$54,'Sollecitazioni nel paramento'!$G$53)*IF(K1827&lt;0,-1,1)</f>
        <v>0</v>
      </c>
      <c r="R1827" s="545">
        <f>'Foglio deposito bis'!$F$79*IF(ABS(L1827)&lt;'Sollecitazioni nel paramento'!$G$58,ABS(L1827)*'Sollecitazioni nel paramento'!$G$54,'Sollecitazioni nel paramento'!$G$53)*IF(L1827&lt;0,-1,1)</f>
        <v>150630.33681258684</v>
      </c>
      <c r="S1827" s="545">
        <f>'Foglio deposito bis'!$F$80*IF(ABS(M1827)&lt;'Sollecitazioni nel paramento'!$G$58,ABS(M1827)*'Sollecitazioni nel paramento'!$G$54,'Sollecitazioni nel paramento'!$G$53)*IF(M1827&lt;0,-1,1)</f>
        <v>0</v>
      </c>
      <c r="T1827" s="545">
        <f>'Foglio deposito bis'!$F$81*IF(ABS(N1827)&lt;'Sollecitazioni nel paramento'!$G$58,ABS(N1827)*'Sollecitazioni nel paramento'!$G$54,'Sollecitazioni nel paramento'!$G$53)*IF(N1827&lt;0,-1,1)</f>
        <v>398299.31208121032</v>
      </c>
      <c r="U1827" s="545">
        <f>'Foglio deposito bis'!$F$82*IF(ABS(O1827)&lt;'Sollecitazioni nel paramento'!$G$58,ABS(O1827)*'Sollecitazioni nel paramento'!$G$54,'Sollecitazioni nel paramento'!$G$53)*IF(O1827&lt;0,-1,1)</f>
        <v>892485.49558937876</v>
      </c>
      <c r="V1827" s="472">
        <f t="shared" si="129"/>
        <v>-50627.705968763679</v>
      </c>
      <c r="W1827" s="551"/>
      <c r="X1827" s="551"/>
    </row>
    <row r="1828" spans="1:24" x14ac:dyDescent="0.25">
      <c r="A1828" s="545">
        <f t="shared" si="128"/>
        <v>72962.861838185228</v>
      </c>
      <c r="B1828" s="3">
        <f t="shared" si="130"/>
        <v>4.3499999999999925</v>
      </c>
      <c r="C1828" s="545">
        <f>'Foglio deposito bis'!$E$160/sezione!$B$247*B1828</f>
        <v>39.619712468758991</v>
      </c>
      <c r="D1828" s="603">
        <f>-'Sollecitazioni nel paramento'!$G$47*'Sollecitazioni nel paramento'!$G$41*IF(DATI!$G$211="dx",DATI!$E$61,DATI!$E$64*DATI!$E$63)*1000*C1828^2*sezione!$AD$5*(1-sezione!$AD$6)</f>
        <v>-34924183.69475881</v>
      </c>
      <c r="E1828" s="545">
        <f>-'Foglio deposito bis'!$F$78*(C1828-sezione!$AL$34)*IF(ABS(K1828)&lt;'Sollecitazioni nel paramento'!$G$58,ABS(K1828)*'Sollecitazioni nel paramento'!$G$54,'Sollecitazioni nel paramento'!$G$53)</f>
        <v>0</v>
      </c>
      <c r="F1828" s="545">
        <f>-'Foglio deposito bis'!$F$79*(C1828-sezione!$AM$34)*IF(ABS(L1828)&lt;'Sollecitazioni nel paramento'!$G$58,ABS(L1828)*'Sollecitazioni nel paramento'!$G$54,'Sollecitazioni nel paramento'!$G$53)</f>
        <v>2968277.1218564273</v>
      </c>
      <c r="G1828" s="545">
        <f>-'Foglio deposito bis'!$F$80*(C1828-sezione!$AN$34)*IF(ABS(M1828)&lt;'Sollecitazioni nel paramento'!$G$58,ABS(M1828)*'Sollecitazioni nel paramento'!$G$54,'Sollecitazioni nel paramento'!$G$53)</f>
        <v>0</v>
      </c>
      <c r="H1828" s="545">
        <f>-'Foglio deposito bis'!$F$81*(C1828-sezione!$AO$34)*IF(ABS(N1828)&lt;'Sollecitazioni nel paramento'!$G$58,ABS(N1828)*'Sollecitazioni nel paramento'!$G$54,'Sollecitazioni nel paramento'!$G$53)</f>
        <v>47947385.711831592</v>
      </c>
      <c r="I1828" s="472">
        <f>-'Foglio deposito bis'!$F$82*(C1828-sezione!$AP$34)*IF(ABS(O1828)&lt;'Sollecitazioni nel paramento'!$G$58,ABS(O1828)*'Sollecitazioni nel paramento'!$G$54,'Sollecitazioni nel paramento'!$G$53)</f>
        <v>529654442.66429418</v>
      </c>
      <c r="J1828" s="472">
        <f t="shared" si="127"/>
        <v>545645921.80322337</v>
      </c>
      <c r="K1828" s="550">
        <f>'Sollecitazioni nel paramento'!$G$60*(sezione!$AL$34-C1828)/C1828</f>
        <v>3.3594548683134962E-5</v>
      </c>
      <c r="L1828" s="550">
        <f>'Sollecitazioni nel paramento'!$G$60*(sezione!$AM$34-C1828)/C1828</f>
        <v>1.8003918230247024E-3</v>
      </c>
      <c r="M1828" s="551">
        <f>'Sollecitazioni nel paramento'!$G$60*(sezione!$AN$34-C1828)/C1828</f>
        <v>3.5671890973662701E-3</v>
      </c>
      <c r="N1828" s="551">
        <f>'Sollecitazioni nel paramento'!$G$60*(sezione!$AO$34-C1828)/C1828</f>
        <v>1.0634378194732541E-2</v>
      </c>
      <c r="O1828" s="551">
        <f>'Sollecitazioni nel paramento'!$G$60*(sezione!$AP$34-C1828)/C1828</f>
        <v>5.2426175566259461E-2</v>
      </c>
      <c r="P1828" s="545">
        <f>-'Sollecitazioni nel paramento'!$G$47*'Sollecitazioni nel paramento'!$G$41*IF(DATI!$G$211="dx",DATI!$E$61,DATI!$E$64*DATI!$E$63)*1000*C1828*sezione!$AD$5</f>
        <v>-1509392.1859223109</v>
      </c>
      <c r="Q1828" s="545">
        <f>'Foglio deposito bis'!$F$78*IF(ABS(K1828)&lt;'Sollecitazioni nel paramento'!$G$58,ABS(K1828)*'Sollecitazioni nel paramento'!$G$54,'Sollecitazioni nel paramento'!$G$53)*IF(K1828&lt;0,-1,1)</f>
        <v>0</v>
      </c>
      <c r="R1828" s="545">
        <f>'Foglio deposito bis'!$F$79*IF(ABS(L1828)&lt;'Sollecitazioni nel paramento'!$G$58,ABS(L1828)*'Sollecitazioni nel paramento'!$G$54,'Sollecitazioni nel paramento'!$G$53)*IF(L1828&lt;0,-1,1)</f>
        <v>145644.51641353665</v>
      </c>
      <c r="S1828" s="545">
        <f>'Foglio deposito bis'!$F$80*IF(ABS(M1828)&lt;'Sollecitazioni nel paramento'!$G$58,ABS(M1828)*'Sollecitazioni nel paramento'!$G$54,'Sollecitazioni nel paramento'!$G$53)*IF(M1828&lt;0,-1,1)</f>
        <v>0</v>
      </c>
      <c r="T1828" s="545">
        <f>'Foglio deposito bis'!$F$81*IF(ABS(N1828)&lt;'Sollecitazioni nel paramento'!$G$58,ABS(N1828)*'Sollecitazioni nel paramento'!$G$54,'Sollecitazioni nel paramento'!$G$53)*IF(N1828&lt;0,-1,1)</f>
        <v>398299.31208121032</v>
      </c>
      <c r="U1828" s="545">
        <f>'Foglio deposito bis'!$F$82*IF(ABS(O1828)&lt;'Sollecitazioni nel paramento'!$G$58,ABS(O1828)*'Sollecitazioni nel paramento'!$G$54,'Sollecitazioni nel paramento'!$G$53)*IF(O1828&lt;0,-1,1)</f>
        <v>892485.49558937876</v>
      </c>
      <c r="V1828" s="472">
        <f t="shared" si="129"/>
        <v>-72962.861838185228</v>
      </c>
      <c r="W1828" s="551"/>
      <c r="X1828" s="551"/>
    </row>
    <row r="1829" spans="1:24" x14ac:dyDescent="0.25">
      <c r="A1829" s="545">
        <f t="shared" si="128"/>
        <v>95184.703607628355</v>
      </c>
      <c r="B1829" s="3">
        <f t="shared" si="130"/>
        <v>4.3999999999999924</v>
      </c>
      <c r="C1829" s="545">
        <f>'Foglio deposito bis'!$E$160/sezione!$B$247*B1829</f>
        <v>40.075111462652771</v>
      </c>
      <c r="D1829" s="603">
        <f>-'Sollecitazioni nel paramento'!$G$47*'Sollecitazioni nel paramento'!$G$41*IF(DATI!$G$211="dx",DATI!$E$61,DATI!$E$64*DATI!$E$63)*1000*C1829^2*sezione!$AD$5*(1-sezione!$AD$6)</f>
        <v>-35731652.600371547</v>
      </c>
      <c r="E1829" s="545">
        <f>-'Foglio deposito bis'!$F$78*(C1829-sezione!$AL$34)*IF(ABS(K1829)&lt;'Sollecitazioni nel paramento'!$G$58,ABS(K1829)*'Sollecitazioni nel paramento'!$G$54,'Sollecitazioni nel paramento'!$G$53)</f>
        <v>0</v>
      </c>
      <c r="F1829" s="545">
        <f>-'Foglio deposito bis'!$F$79*(C1829-sezione!$AM$34)*IF(ABS(L1829)&lt;'Sollecitazioni nel paramento'!$G$58,ABS(L1829)*'Sollecitazioni nel paramento'!$G$54,'Sollecitazioni nel paramento'!$G$53)</f>
        <v>2804866.6107090292</v>
      </c>
      <c r="G1829" s="545">
        <f>-'Foglio deposito bis'!$F$80*(C1829-sezione!$AN$34)*IF(ABS(M1829)&lt;'Sollecitazioni nel paramento'!$G$58,ABS(M1829)*'Sollecitazioni nel paramento'!$G$54,'Sollecitazioni nel paramento'!$G$53)</f>
        <v>0</v>
      </c>
      <c r="H1829" s="545">
        <f>-'Foglio deposito bis'!$F$81*(C1829-sezione!$AO$34)*IF(ABS(N1829)&lt;'Sollecitazioni nel paramento'!$G$58,ABS(N1829)*'Sollecitazioni nel paramento'!$G$54,'Sollecitazioni nel paramento'!$G$53)</f>
        <v>47766000.605841227</v>
      </c>
      <c r="I1829" s="472">
        <f>-'Foglio deposito bis'!$F$82*(C1829-sezione!$AP$34)*IF(ABS(O1829)&lt;'Sollecitazioni nel paramento'!$G$58,ABS(O1829)*'Sollecitazioni nel paramento'!$G$54,'Sollecitazioni nel paramento'!$G$53)</f>
        <v>529248005.66753799</v>
      </c>
      <c r="J1829" s="472">
        <f t="shared" si="127"/>
        <v>544087220.28371668</v>
      </c>
      <c r="K1829" s="550">
        <f>'Sollecitazioni nel paramento'!$G$60*(sezione!$AL$34-C1829)/C1829</f>
        <v>-6.5599348246278384E-6</v>
      </c>
      <c r="L1829" s="550">
        <f>'Sollecitazioni nel paramento'!$G$60*(sezione!$AM$34-C1829)/C1829</f>
        <v>1.7401600977630582E-3</v>
      </c>
      <c r="M1829" s="551">
        <f>'Sollecitazioni nel paramento'!$G$60*(sezione!$AN$34-C1829)/C1829</f>
        <v>3.4868801303507444E-3</v>
      </c>
      <c r="N1829" s="551">
        <f>'Sollecitazioni nel paramento'!$G$60*(sezione!$AO$34-C1829)/C1829</f>
        <v>1.0473760260701489E-2</v>
      </c>
      <c r="O1829" s="551">
        <f>'Sollecitazioni nel paramento'!$G$60*(sezione!$AP$34-C1829)/C1829</f>
        <v>5.1790650843915605E-2</v>
      </c>
      <c r="P1829" s="545">
        <f>-'Sollecitazioni nel paramento'!$G$47*'Sollecitazioni nel paramento'!$G$41*IF(DATI!$G$211="dx",DATI!$E$61,DATI!$E$64*DATI!$E$63)*1000*C1829*sezione!$AD$5</f>
        <v>-1526741.5213926823</v>
      </c>
      <c r="Q1829" s="545">
        <f>'Foglio deposito bis'!$F$78*IF(ABS(K1829)&lt;'Sollecitazioni nel paramento'!$G$58,ABS(K1829)*'Sollecitazioni nel paramento'!$G$54,'Sollecitazioni nel paramento'!$G$53)*IF(K1829&lt;0,-1,1)</f>
        <v>0</v>
      </c>
      <c r="R1829" s="545">
        <f>'Foglio deposito bis'!$F$79*IF(ABS(L1829)&lt;'Sollecitazioni nel paramento'!$G$58,ABS(L1829)*'Sollecitazioni nel paramento'!$G$54,'Sollecitazioni nel paramento'!$G$53)*IF(L1829&lt;0,-1,1)</f>
        <v>140772.01011446488</v>
      </c>
      <c r="S1829" s="545">
        <f>'Foglio deposito bis'!$F$80*IF(ABS(M1829)&lt;'Sollecitazioni nel paramento'!$G$58,ABS(M1829)*'Sollecitazioni nel paramento'!$G$54,'Sollecitazioni nel paramento'!$G$53)*IF(M1829&lt;0,-1,1)</f>
        <v>0</v>
      </c>
      <c r="T1829" s="545">
        <f>'Foglio deposito bis'!$F$81*IF(ABS(N1829)&lt;'Sollecitazioni nel paramento'!$G$58,ABS(N1829)*'Sollecitazioni nel paramento'!$G$54,'Sollecitazioni nel paramento'!$G$53)*IF(N1829&lt;0,-1,1)</f>
        <v>398299.31208121032</v>
      </c>
      <c r="U1829" s="545">
        <f>'Foglio deposito bis'!$F$82*IF(ABS(O1829)&lt;'Sollecitazioni nel paramento'!$G$58,ABS(O1829)*'Sollecitazioni nel paramento'!$G$54,'Sollecitazioni nel paramento'!$G$53)*IF(O1829&lt;0,-1,1)</f>
        <v>892485.49558937876</v>
      </c>
      <c r="V1829" s="472">
        <f t="shared" si="129"/>
        <v>-95184.703607628355</v>
      </c>
      <c r="W1829" s="551"/>
      <c r="X1829" s="551"/>
    </row>
    <row r="1830" spans="1:24" x14ac:dyDescent="0.25">
      <c r="A1830" s="545">
        <f t="shared" si="128"/>
        <v>117297.05085349688</v>
      </c>
      <c r="B1830" s="3">
        <f t="shared" si="130"/>
        <v>4.4499999999999922</v>
      </c>
      <c r="C1830" s="545">
        <f>'Foglio deposito bis'!$E$160/sezione!$B$247*B1830</f>
        <v>40.530510456546551</v>
      </c>
      <c r="D1830" s="603">
        <f>-'Sollecitazioni nel paramento'!$G$47*'Sollecitazioni nel paramento'!$G$41*IF(DATI!$G$211="dx",DATI!$E$61,DATI!$E$64*DATI!$E$63)*1000*C1830^2*sezione!$AD$5*(1-sezione!$AD$6)</f>
        <v>-36548349.722048424</v>
      </c>
      <c r="E1830" s="545">
        <f>-'Foglio deposito bis'!$F$78*(C1830-sezione!$AL$34)*IF(ABS(K1830)&lt;'Sollecitazioni nel paramento'!$G$58,ABS(K1830)*'Sollecitazioni nel paramento'!$G$54,'Sollecitazioni nel paramento'!$G$53)</f>
        <v>0</v>
      </c>
      <c r="F1830" s="545">
        <f>-'Foglio deposito bis'!$F$79*(C1830-sezione!$AM$34)*IF(ABS(L1830)&lt;'Sollecitazioni nel paramento'!$G$58,ABS(L1830)*'Sollecitazioni nel paramento'!$G$54,'Sollecitazioni nel paramento'!$G$53)</f>
        <v>2648025.7709761099</v>
      </c>
      <c r="G1830" s="545">
        <f>-'Foglio deposito bis'!$F$80*(C1830-sezione!$AN$34)*IF(ABS(M1830)&lt;'Sollecitazioni nel paramento'!$G$58,ABS(M1830)*'Sollecitazioni nel paramento'!$G$54,'Sollecitazioni nel paramento'!$G$53)</f>
        <v>0</v>
      </c>
      <c r="H1830" s="545">
        <f>-'Foglio deposito bis'!$F$81*(C1830-sezione!$AO$34)*IF(ABS(N1830)&lt;'Sollecitazioni nel paramento'!$G$58,ABS(N1830)*'Sollecitazioni nel paramento'!$G$54,'Sollecitazioni nel paramento'!$G$53)</f>
        <v>47584615.499850862</v>
      </c>
      <c r="I1830" s="472">
        <f>-'Foglio deposito bis'!$F$82*(C1830-sezione!$AP$34)*IF(ABS(O1830)&lt;'Sollecitazioni nel paramento'!$G$58,ABS(O1830)*'Sollecitazioni nel paramento'!$G$54,'Sollecitazioni nel paramento'!$G$53)</f>
        <v>528841568.67078191</v>
      </c>
      <c r="J1830" s="472">
        <f t="shared" si="127"/>
        <v>542525860.2195605</v>
      </c>
      <c r="K1830" s="550">
        <f>'Sollecitazioni nel paramento'!$G$60*(sezione!$AL$34-C1830)/C1830</f>
        <v>-4.5812070388395973E-5</v>
      </c>
      <c r="L1830" s="550">
        <f>'Sollecitazioni nel paramento'!$G$60*(sezione!$AM$34-C1830)/C1830</f>
        <v>1.681281894417406E-3</v>
      </c>
      <c r="M1830" s="551">
        <f>'Sollecitazioni nel paramento'!$G$60*(sezione!$AN$34-C1830)/C1830</f>
        <v>3.4083758592232082E-3</v>
      </c>
      <c r="N1830" s="551">
        <f>'Sollecitazioni nel paramento'!$G$60*(sezione!$AO$34-C1830)/C1830</f>
        <v>1.0316751718446418E-2</v>
      </c>
      <c r="O1830" s="551">
        <f>'Sollecitazioni nel paramento'!$G$60*(sezione!$AP$34-C1830)/C1830</f>
        <v>5.1169407576006444E-2</v>
      </c>
      <c r="P1830" s="545">
        <f>-'Sollecitazioni nel paramento'!$G$47*'Sollecitazioni nel paramento'!$G$41*IF(DATI!$G$211="dx",DATI!$E$61,DATI!$E$64*DATI!$E$63)*1000*C1830*sezione!$AD$5</f>
        <v>-1544090.8568630537</v>
      </c>
      <c r="Q1830" s="545">
        <f>'Foglio deposito bis'!$F$78*IF(ABS(K1830)&lt;'Sollecitazioni nel paramento'!$G$58,ABS(K1830)*'Sollecitazioni nel paramento'!$G$54,'Sollecitazioni nel paramento'!$G$53)*IF(K1830&lt;0,-1,1)</f>
        <v>0</v>
      </c>
      <c r="R1830" s="545">
        <f>'Foglio deposito bis'!$F$79*IF(ABS(L1830)&lt;'Sollecitazioni nel paramento'!$G$58,ABS(L1830)*'Sollecitazioni nel paramento'!$G$54,'Sollecitazioni nel paramento'!$G$53)*IF(L1830&lt;0,-1,1)</f>
        <v>136008.99833896777</v>
      </c>
      <c r="S1830" s="545">
        <f>'Foglio deposito bis'!$F$80*IF(ABS(M1830)&lt;'Sollecitazioni nel paramento'!$G$58,ABS(M1830)*'Sollecitazioni nel paramento'!$G$54,'Sollecitazioni nel paramento'!$G$53)*IF(M1830&lt;0,-1,1)</f>
        <v>0</v>
      </c>
      <c r="T1830" s="545">
        <f>'Foglio deposito bis'!$F$81*IF(ABS(N1830)&lt;'Sollecitazioni nel paramento'!$G$58,ABS(N1830)*'Sollecitazioni nel paramento'!$G$54,'Sollecitazioni nel paramento'!$G$53)*IF(N1830&lt;0,-1,1)</f>
        <v>398299.31208121032</v>
      </c>
      <c r="U1830" s="545">
        <f>'Foglio deposito bis'!$F$82*IF(ABS(O1830)&lt;'Sollecitazioni nel paramento'!$G$58,ABS(O1830)*'Sollecitazioni nel paramento'!$G$54,'Sollecitazioni nel paramento'!$G$53)*IF(O1830&lt;0,-1,1)</f>
        <v>892485.49558937876</v>
      </c>
      <c r="V1830" s="472">
        <f t="shared" si="129"/>
        <v>-117297.05085349688</v>
      </c>
      <c r="W1830" s="551"/>
      <c r="X1830" s="551"/>
    </row>
    <row r="1831" spans="1:24" x14ac:dyDescent="0.25">
      <c r="A1831" s="545">
        <f t="shared" si="128"/>
        <v>139303.55339324358</v>
      </c>
      <c r="B1831" s="3">
        <f t="shared" si="130"/>
        <v>4.499999999999992</v>
      </c>
      <c r="C1831" s="545">
        <f>'Foglio deposito bis'!$E$160/sezione!$B$247*B1831</f>
        <v>40.985909450440339</v>
      </c>
      <c r="D1831" s="603">
        <f>-'Sollecitazioni nel paramento'!$G$47*'Sollecitazioni nel paramento'!$G$41*IF(DATI!$G$211="dx",DATI!$E$61,DATI!$E$64*DATI!$E$63)*1000*C1831^2*sezione!$AD$5*(1-sezione!$AD$6)</f>
        <v>-37374275.059789456</v>
      </c>
      <c r="E1831" s="545">
        <f>-'Foglio deposito bis'!$F$78*(C1831-sezione!$AL$34)*IF(ABS(K1831)&lt;'Sollecitazioni nel paramento'!$G$58,ABS(K1831)*'Sollecitazioni nel paramento'!$G$54,'Sollecitazioni nel paramento'!$G$53)</f>
        <v>0</v>
      </c>
      <c r="F1831" s="545">
        <f>-'Foglio deposito bis'!$F$79*(C1831-sezione!$AM$34)*IF(ABS(L1831)&lt;'Sollecitazioni nel paramento'!$G$58,ABS(L1831)*'Sollecitazioni nel paramento'!$G$54,'Sollecitazioni nel paramento'!$G$53)</f>
        <v>2497535.6136105182</v>
      </c>
      <c r="G1831" s="545">
        <f>-'Foglio deposito bis'!$F$80*(C1831-sezione!$AN$34)*IF(ABS(M1831)&lt;'Sollecitazioni nel paramento'!$G$58,ABS(M1831)*'Sollecitazioni nel paramento'!$G$54,'Sollecitazioni nel paramento'!$G$53)</f>
        <v>0</v>
      </c>
      <c r="H1831" s="545">
        <f>-'Foglio deposito bis'!$F$81*(C1831-sezione!$AO$34)*IF(ABS(N1831)&lt;'Sollecitazioni nel paramento'!$G$58,ABS(N1831)*'Sollecitazioni nel paramento'!$G$54,'Sollecitazioni nel paramento'!$G$53)</f>
        <v>47403230.393860482</v>
      </c>
      <c r="I1831" s="472">
        <f>-'Foglio deposito bis'!$F$82*(C1831-sezione!$AP$34)*IF(ABS(O1831)&lt;'Sollecitazioni nel paramento'!$G$58,ABS(O1831)*'Sollecitazioni nel paramento'!$G$54,'Sollecitazioni nel paramento'!$G$53)</f>
        <v>528435131.67402571</v>
      </c>
      <c r="J1831" s="472">
        <f t="shared" si="127"/>
        <v>540961622.6217072</v>
      </c>
      <c r="K1831" s="550">
        <f>'Sollecitazioni nel paramento'!$G$60*(sezione!$AL$34-C1831)/C1831</f>
        <v>-8.4191936272969846E-5</v>
      </c>
      <c r="L1831" s="550">
        <f>'Sollecitazioni nel paramento'!$G$60*(sezione!$AM$34-C1831)/C1831</f>
        <v>1.6237120955905453E-3</v>
      </c>
      <c r="M1831" s="551">
        <f>'Sollecitazioni nel paramento'!$G$60*(sezione!$AN$34-C1831)/C1831</f>
        <v>3.3316161274540602E-3</v>
      </c>
      <c r="N1831" s="551">
        <f>'Sollecitazioni nel paramento'!$G$60*(sezione!$AO$34-C1831)/C1831</f>
        <v>1.016323225490812E-2</v>
      </c>
      <c r="O1831" s="551">
        <f>'Sollecitazioni nel paramento'!$G$60*(sezione!$AP$34-C1831)/C1831</f>
        <v>5.056196971405081E-2</v>
      </c>
      <c r="P1831" s="545">
        <f>-'Sollecitazioni nel paramento'!$G$47*'Sollecitazioni nel paramento'!$G$41*IF(DATI!$G$211="dx",DATI!$E$61,DATI!$E$64*DATI!$E$63)*1000*C1831*sezione!$AD$5</f>
        <v>-1561440.1923334254</v>
      </c>
      <c r="Q1831" s="545">
        <f>'Foglio deposito bis'!$F$78*IF(ABS(K1831)&lt;'Sollecitazioni nel paramento'!$G$58,ABS(K1831)*'Sollecitazioni nel paramento'!$G$54,'Sollecitazioni nel paramento'!$G$53)*IF(K1831&lt;0,-1,1)</f>
        <v>0</v>
      </c>
      <c r="R1831" s="545">
        <f>'Foglio deposito bis'!$F$79*IF(ABS(L1831)&lt;'Sollecitazioni nel paramento'!$G$58,ABS(L1831)*'Sollecitazioni nel paramento'!$G$54,'Sollecitazioni nel paramento'!$G$53)*IF(L1831&lt;0,-1,1)</f>
        <v>131351.83126959272</v>
      </c>
      <c r="S1831" s="545">
        <f>'Foglio deposito bis'!$F$80*IF(ABS(M1831)&lt;'Sollecitazioni nel paramento'!$G$58,ABS(M1831)*'Sollecitazioni nel paramento'!$G$54,'Sollecitazioni nel paramento'!$G$53)*IF(M1831&lt;0,-1,1)</f>
        <v>0</v>
      </c>
      <c r="T1831" s="545">
        <f>'Foglio deposito bis'!$F$81*IF(ABS(N1831)&lt;'Sollecitazioni nel paramento'!$G$58,ABS(N1831)*'Sollecitazioni nel paramento'!$G$54,'Sollecitazioni nel paramento'!$G$53)*IF(N1831&lt;0,-1,1)</f>
        <v>398299.31208121032</v>
      </c>
      <c r="U1831" s="545">
        <f>'Foglio deposito bis'!$F$82*IF(ABS(O1831)&lt;'Sollecitazioni nel paramento'!$G$58,ABS(O1831)*'Sollecitazioni nel paramento'!$G$54,'Sollecitazioni nel paramento'!$G$53)*IF(O1831&lt;0,-1,1)</f>
        <v>892485.49558937876</v>
      </c>
      <c r="V1831" s="472">
        <f t="shared" si="129"/>
        <v>-139303.55339324358</v>
      </c>
      <c r="W1831" s="551"/>
      <c r="X1831" s="551"/>
    </row>
    <row r="1832" spans="1:24" x14ac:dyDescent="0.25">
      <c r="A1832" s="545">
        <f t="shared" si="128"/>
        <v>161207.70061278366</v>
      </c>
      <c r="B1832" s="3">
        <f t="shared" si="130"/>
        <v>4.5499999999999918</v>
      </c>
      <c r="C1832" s="545">
        <f>'Foglio deposito bis'!$E$160/sezione!$B$247*B1832</f>
        <v>41.441308444334119</v>
      </c>
      <c r="D1832" s="603">
        <f>-'Sollecitazioni nel paramento'!$G$47*'Sollecitazioni nel paramento'!$G$41*IF(DATI!$G$211="dx",DATI!$E$61,DATI!$E$64*DATI!$E$63)*1000*C1832^2*sezione!$AD$5*(1-sezione!$AD$6)</f>
        <v>-38209428.613594629</v>
      </c>
      <c r="E1832" s="545">
        <f>-'Foglio deposito bis'!$F$78*(C1832-sezione!$AL$34)*IF(ABS(K1832)&lt;'Sollecitazioni nel paramento'!$G$58,ABS(K1832)*'Sollecitazioni nel paramento'!$G$54,'Sollecitazioni nel paramento'!$G$53)</f>
        <v>0</v>
      </c>
      <c r="F1832" s="545">
        <f>-'Foglio deposito bis'!$F$79*(C1832-sezione!$AM$34)*IF(ABS(L1832)&lt;'Sollecitazioni nel paramento'!$G$58,ABS(L1832)*'Sollecitazioni nel paramento'!$G$54,'Sollecitazioni nel paramento'!$G$53)</f>
        <v>2353186.7754572909</v>
      </c>
      <c r="G1832" s="545">
        <f>-'Foglio deposito bis'!$F$80*(C1832-sezione!$AN$34)*IF(ABS(M1832)&lt;'Sollecitazioni nel paramento'!$G$58,ABS(M1832)*'Sollecitazioni nel paramento'!$G$54,'Sollecitazioni nel paramento'!$G$53)</f>
        <v>0</v>
      </c>
      <c r="H1832" s="545">
        <f>-'Foglio deposito bis'!$F$81*(C1832-sezione!$AO$34)*IF(ABS(N1832)&lt;'Sollecitazioni nel paramento'!$G$58,ABS(N1832)*'Sollecitazioni nel paramento'!$G$54,'Sollecitazioni nel paramento'!$G$53)</f>
        <v>47221845.287870124</v>
      </c>
      <c r="I1832" s="472">
        <f>-'Foglio deposito bis'!$F$82*(C1832-sezione!$AP$34)*IF(ABS(O1832)&lt;'Sollecitazioni nel paramento'!$G$58,ABS(O1832)*'Sollecitazioni nel paramento'!$G$54,'Sollecitazioni nel paramento'!$G$53)</f>
        <v>528028694.67726946</v>
      </c>
      <c r="J1832" s="472">
        <f t="shared" si="127"/>
        <v>539394298.12700224</v>
      </c>
      <c r="K1832" s="550">
        <f>'Sollecitazioni nel paramento'!$G$60*(sezione!$AL$34-C1832)/C1832</f>
        <v>-1.2172828862161844E-4</v>
      </c>
      <c r="L1832" s="550">
        <f>'Sollecitazioni nel paramento'!$G$60*(sezione!$AM$34-C1832)/C1832</f>
        <v>1.5674075670675724E-3</v>
      </c>
      <c r="M1832" s="551">
        <f>'Sollecitazioni nel paramento'!$G$60*(sezione!$AN$34-C1832)/C1832</f>
        <v>3.256543422756763E-3</v>
      </c>
      <c r="N1832" s="551">
        <f>'Sollecitazioni nel paramento'!$G$60*(sezione!$AO$34-C1832)/C1832</f>
        <v>1.0013086845513528E-2</v>
      </c>
      <c r="O1832" s="551">
        <f>'Sollecitazioni nel paramento'!$G$60*(sezione!$AP$34-C1832)/C1832</f>
        <v>4.9967882134775522E-2</v>
      </c>
      <c r="P1832" s="545">
        <f>-'Sollecitazioni nel paramento'!$G$47*'Sollecitazioni nel paramento'!$G$41*IF(DATI!$G$211="dx",DATI!$E$61,DATI!$E$64*DATI!$E$63)*1000*C1832*sezione!$AD$5</f>
        <v>-1578789.5278037966</v>
      </c>
      <c r="Q1832" s="545">
        <f>'Foglio deposito bis'!$F$78*IF(ABS(K1832)&lt;'Sollecitazioni nel paramento'!$G$58,ABS(K1832)*'Sollecitazioni nel paramento'!$G$54,'Sollecitazioni nel paramento'!$G$53)*IF(K1832&lt;0,-1,1)</f>
        <v>0</v>
      </c>
      <c r="R1832" s="545">
        <f>'Foglio deposito bis'!$F$79*IF(ABS(L1832)&lt;'Sollecitazioni nel paramento'!$G$58,ABS(L1832)*'Sollecitazioni nel paramento'!$G$54,'Sollecitazioni nel paramento'!$G$53)*IF(L1832&lt;0,-1,1)</f>
        <v>126797.01952042381</v>
      </c>
      <c r="S1832" s="545">
        <f>'Foglio deposito bis'!$F$80*IF(ABS(M1832)&lt;'Sollecitazioni nel paramento'!$G$58,ABS(M1832)*'Sollecitazioni nel paramento'!$G$54,'Sollecitazioni nel paramento'!$G$53)*IF(M1832&lt;0,-1,1)</f>
        <v>0</v>
      </c>
      <c r="T1832" s="545">
        <f>'Foglio deposito bis'!$F$81*IF(ABS(N1832)&lt;'Sollecitazioni nel paramento'!$G$58,ABS(N1832)*'Sollecitazioni nel paramento'!$G$54,'Sollecitazioni nel paramento'!$G$53)*IF(N1832&lt;0,-1,1)</f>
        <v>398299.31208121032</v>
      </c>
      <c r="U1832" s="545">
        <f>'Foglio deposito bis'!$F$82*IF(ABS(O1832)&lt;'Sollecitazioni nel paramento'!$G$58,ABS(O1832)*'Sollecitazioni nel paramento'!$G$54,'Sollecitazioni nel paramento'!$G$53)*IF(O1832&lt;0,-1,1)</f>
        <v>892485.49558937876</v>
      </c>
      <c r="V1832" s="472">
        <f t="shared" si="129"/>
        <v>-161207.70061278366</v>
      </c>
      <c r="W1832" s="551"/>
      <c r="X1832" s="551"/>
    </row>
    <row r="1833" spans="1:24" x14ac:dyDescent="0.25">
      <c r="A1833" s="545">
        <f t="shared" si="128"/>
        <v>183012.83018560288</v>
      </c>
      <c r="B1833" s="3">
        <f t="shared" si="130"/>
        <v>4.5999999999999917</v>
      </c>
      <c r="C1833" s="545">
        <f>'Foglio deposito bis'!$E$160/sezione!$B$247*B1833</f>
        <v>41.896707438227899</v>
      </c>
      <c r="D1833" s="603">
        <f>-'Sollecitazioni nel paramento'!$G$47*'Sollecitazioni nel paramento'!$G$41*IF(DATI!$G$211="dx",DATI!$E$61,DATI!$E$64*DATI!$E$63)*1000*C1833^2*sezione!$AD$5*(1-sezione!$AD$6)</f>
        <v>-39053810.383463942</v>
      </c>
      <c r="E1833" s="545">
        <f>-'Foglio deposito bis'!$F$78*(C1833-sezione!$AL$34)*IF(ABS(K1833)&lt;'Sollecitazioni nel paramento'!$G$58,ABS(K1833)*'Sollecitazioni nel paramento'!$G$54,'Sollecitazioni nel paramento'!$G$53)</f>
        <v>0</v>
      </c>
      <c r="F1833" s="545">
        <f>-'Foglio deposito bis'!$F$79*(C1833-sezione!$AM$34)*IF(ABS(L1833)&lt;'Sollecitazioni nel paramento'!$G$58,ABS(L1833)*'Sollecitazioni nel paramento'!$G$54,'Sollecitazioni nel paramento'!$G$53)</f>
        <v>2214778.9961073282</v>
      </c>
      <c r="G1833" s="545">
        <f>-'Foglio deposito bis'!$F$80*(C1833-sezione!$AN$34)*IF(ABS(M1833)&lt;'Sollecitazioni nel paramento'!$G$58,ABS(M1833)*'Sollecitazioni nel paramento'!$G$54,'Sollecitazioni nel paramento'!$G$53)</f>
        <v>0</v>
      </c>
      <c r="H1833" s="545">
        <f>-'Foglio deposito bis'!$F$81*(C1833-sezione!$AO$34)*IF(ABS(N1833)&lt;'Sollecitazioni nel paramento'!$G$58,ABS(N1833)*'Sollecitazioni nel paramento'!$G$54,'Sollecitazioni nel paramento'!$G$53)</f>
        <v>47040460.181879744</v>
      </c>
      <c r="I1833" s="472">
        <f>-'Foglio deposito bis'!$F$82*(C1833-sezione!$AP$34)*IF(ABS(O1833)&lt;'Sollecitazioni nel paramento'!$G$58,ABS(O1833)*'Sollecitazioni nel paramento'!$G$54,'Sollecitazioni nel paramento'!$G$53)</f>
        <v>527622257.68051332</v>
      </c>
      <c r="J1833" s="472">
        <f t="shared" si="127"/>
        <v>537823686.4750365</v>
      </c>
      <c r="K1833" s="550">
        <f>'Sollecitazioni nel paramento'!$G$60*(sezione!$AL$34-C1833)/C1833</f>
        <v>-1.5844863331051378E-4</v>
      </c>
      <c r="L1833" s="550">
        <f>'Sollecitazioni nel paramento'!$G$60*(sezione!$AM$34-C1833)/C1833</f>
        <v>1.5123270500342295E-3</v>
      </c>
      <c r="M1833" s="551">
        <f>'Sollecitazioni nel paramento'!$G$60*(sezione!$AN$34-C1833)/C1833</f>
        <v>3.1831027333789723E-3</v>
      </c>
      <c r="N1833" s="551">
        <f>'Sollecitazioni nel paramento'!$G$60*(sezione!$AO$34-C1833)/C1833</f>
        <v>9.8662054667579442E-3</v>
      </c>
      <c r="O1833" s="551">
        <f>'Sollecitazioni nel paramento'!$G$60*(sezione!$AP$34-C1833)/C1833</f>
        <v>4.9386709502875797E-2</v>
      </c>
      <c r="P1833" s="545">
        <f>-'Sollecitazioni nel paramento'!$G$47*'Sollecitazioni nel paramento'!$G$41*IF(DATI!$G$211="dx",DATI!$E$61,DATI!$E$64*DATI!$E$63)*1000*C1833*sezione!$AD$5</f>
        <v>-1596138.863274168</v>
      </c>
      <c r="Q1833" s="545">
        <f>'Foglio deposito bis'!$F$78*IF(ABS(K1833)&lt;'Sollecitazioni nel paramento'!$G$58,ABS(K1833)*'Sollecitazioni nel paramento'!$G$54,'Sollecitazioni nel paramento'!$G$53)*IF(K1833&lt;0,-1,1)</f>
        <v>0</v>
      </c>
      <c r="R1833" s="545">
        <f>'Foglio deposito bis'!$F$79*IF(ABS(L1833)&lt;'Sollecitazioni nel paramento'!$G$58,ABS(L1833)*'Sollecitazioni nel paramento'!$G$54,'Sollecitazioni nel paramento'!$G$53)*IF(L1833&lt;0,-1,1)</f>
        <v>122341.22541797596</v>
      </c>
      <c r="S1833" s="545">
        <f>'Foglio deposito bis'!$F$80*IF(ABS(M1833)&lt;'Sollecitazioni nel paramento'!$G$58,ABS(M1833)*'Sollecitazioni nel paramento'!$G$54,'Sollecitazioni nel paramento'!$G$53)*IF(M1833&lt;0,-1,1)</f>
        <v>0</v>
      </c>
      <c r="T1833" s="545">
        <f>'Foglio deposito bis'!$F$81*IF(ABS(N1833)&lt;'Sollecitazioni nel paramento'!$G$58,ABS(N1833)*'Sollecitazioni nel paramento'!$G$54,'Sollecitazioni nel paramento'!$G$53)*IF(N1833&lt;0,-1,1)</f>
        <v>398299.31208121032</v>
      </c>
      <c r="U1833" s="545">
        <f>'Foglio deposito bis'!$F$82*IF(ABS(O1833)&lt;'Sollecitazioni nel paramento'!$G$58,ABS(O1833)*'Sollecitazioni nel paramento'!$G$54,'Sollecitazioni nel paramento'!$G$53)*IF(O1833&lt;0,-1,1)</f>
        <v>892485.49558937876</v>
      </c>
      <c r="V1833" s="472">
        <f t="shared" si="129"/>
        <v>-183012.83018560288</v>
      </c>
      <c r="W1833" s="551"/>
      <c r="X1833" s="551"/>
    </row>
    <row r="1834" spans="1:24" x14ac:dyDescent="0.25">
      <c r="A1834" s="545">
        <f t="shared" si="128"/>
        <v>204722.13622933743</v>
      </c>
      <c r="B1834" s="3">
        <f t="shared" si="130"/>
        <v>4.6499999999999915</v>
      </c>
      <c r="C1834" s="545">
        <f>'Foglio deposito bis'!$E$160/sezione!$B$247*B1834</f>
        <v>42.35210643212168</v>
      </c>
      <c r="D1834" s="603">
        <f>-'Sollecitazioni nel paramento'!$G$47*'Sollecitazioni nel paramento'!$G$41*IF(DATI!$G$211="dx",DATI!$E$61,DATI!$E$64*DATI!$E$63)*1000*C1834^2*sezione!$AD$5*(1-sezione!$AD$6)</f>
        <v>-39907420.369397402</v>
      </c>
      <c r="E1834" s="545">
        <f>-'Foglio deposito bis'!$F$78*(C1834-sezione!$AL$34)*IF(ABS(K1834)&lt;'Sollecitazioni nel paramento'!$G$58,ABS(K1834)*'Sollecitazioni nel paramento'!$G$54,'Sollecitazioni nel paramento'!$G$53)</f>
        <v>0</v>
      </c>
      <c r="F1834" s="545">
        <f>-'Foglio deposito bis'!$F$79*(C1834-sezione!$AM$34)*IF(ABS(L1834)&lt;'Sollecitazioni nel paramento'!$G$58,ABS(L1834)*'Sollecitazioni nel paramento'!$G$54,'Sollecitazioni nel paramento'!$G$53)</f>
        <v>2082120.6285024586</v>
      </c>
      <c r="G1834" s="545">
        <f>-'Foglio deposito bis'!$F$80*(C1834-sezione!$AN$34)*IF(ABS(M1834)&lt;'Sollecitazioni nel paramento'!$G$58,ABS(M1834)*'Sollecitazioni nel paramento'!$G$54,'Sollecitazioni nel paramento'!$G$53)</f>
        <v>0</v>
      </c>
      <c r="H1834" s="545">
        <f>-'Foglio deposito bis'!$F$81*(C1834-sezione!$AO$34)*IF(ABS(N1834)&lt;'Sollecitazioni nel paramento'!$G$58,ABS(N1834)*'Sollecitazioni nel paramento'!$G$54,'Sollecitazioni nel paramento'!$G$53)</f>
        <v>46859075.075889386</v>
      </c>
      <c r="I1834" s="472">
        <f>-'Foglio deposito bis'!$F$82*(C1834-sezione!$AP$34)*IF(ABS(O1834)&lt;'Sollecitazioni nel paramento'!$G$58,ABS(O1834)*'Sollecitazioni nel paramento'!$G$54,'Sollecitazioni nel paramento'!$G$53)</f>
        <v>527215820.68375707</v>
      </c>
      <c r="J1834" s="472">
        <f t="shared" si="127"/>
        <v>536249596.0187515</v>
      </c>
      <c r="K1834" s="550">
        <f>'Sollecitazioni nel paramento'!$G$60*(sezione!$AL$34-C1834)/C1834</f>
        <v>-1.9437929316738989E-4</v>
      </c>
      <c r="L1834" s="550">
        <f>'Sollecitazioni nel paramento'!$G$60*(sezione!$AM$34-C1834)/C1834</f>
        <v>1.4584310602489151E-3</v>
      </c>
      <c r="M1834" s="551">
        <f>'Sollecitazioni nel paramento'!$G$60*(sezione!$AN$34-C1834)/C1834</f>
        <v>3.11124141366522E-3</v>
      </c>
      <c r="N1834" s="551">
        <f>'Sollecitazioni nel paramento'!$G$60*(sezione!$AO$34-C1834)/C1834</f>
        <v>9.7224828273304413E-3</v>
      </c>
      <c r="O1834" s="551">
        <f>'Sollecitazioni nel paramento'!$G$60*(sezione!$AP$34-C1834)/C1834</f>
        <v>4.8818035207145949E-2</v>
      </c>
      <c r="P1834" s="545">
        <f>-'Sollecitazioni nel paramento'!$G$47*'Sollecitazioni nel paramento'!$G$41*IF(DATI!$G$211="dx",DATI!$E$61,DATI!$E$64*DATI!$E$63)*1000*C1834*sezione!$AD$5</f>
        <v>-1613488.1987445394</v>
      </c>
      <c r="Q1834" s="545">
        <f>'Foglio deposito bis'!$F$78*IF(ABS(K1834)&lt;'Sollecitazioni nel paramento'!$G$58,ABS(K1834)*'Sollecitazioni nel paramento'!$G$54,'Sollecitazioni nel paramento'!$G$53)*IF(K1834&lt;0,-1,1)</f>
        <v>0</v>
      </c>
      <c r="R1834" s="545">
        <f>'Foglio deposito bis'!$F$79*IF(ABS(L1834)&lt;'Sollecitazioni nel paramento'!$G$58,ABS(L1834)*'Sollecitazioni nel paramento'!$G$54,'Sollecitazioni nel paramento'!$G$53)*IF(L1834&lt;0,-1,1)</f>
        <v>117981.25484461299</v>
      </c>
      <c r="S1834" s="545">
        <f>'Foglio deposito bis'!$F$80*IF(ABS(M1834)&lt;'Sollecitazioni nel paramento'!$G$58,ABS(M1834)*'Sollecitazioni nel paramento'!$G$54,'Sollecitazioni nel paramento'!$G$53)*IF(M1834&lt;0,-1,1)</f>
        <v>0</v>
      </c>
      <c r="T1834" s="545">
        <f>'Foglio deposito bis'!$F$81*IF(ABS(N1834)&lt;'Sollecitazioni nel paramento'!$G$58,ABS(N1834)*'Sollecitazioni nel paramento'!$G$54,'Sollecitazioni nel paramento'!$G$53)*IF(N1834&lt;0,-1,1)</f>
        <v>398299.31208121032</v>
      </c>
      <c r="U1834" s="545">
        <f>'Foglio deposito bis'!$F$82*IF(ABS(O1834)&lt;'Sollecitazioni nel paramento'!$G$58,ABS(O1834)*'Sollecitazioni nel paramento'!$G$54,'Sollecitazioni nel paramento'!$G$53)*IF(O1834&lt;0,-1,1)</f>
        <v>892485.49558937876</v>
      </c>
      <c r="V1834" s="472">
        <f t="shared" si="129"/>
        <v>-204722.13622933743</v>
      </c>
      <c r="W1834" s="551"/>
      <c r="X1834" s="551"/>
    </row>
    <row r="1835" spans="1:24" x14ac:dyDescent="0.25">
      <c r="A1835" s="545">
        <f t="shared" si="128"/>
        <v>226338.67694172356</v>
      </c>
      <c r="B1835" s="3">
        <f t="shared" si="130"/>
        <v>4.6999999999999913</v>
      </c>
      <c r="C1835" s="545">
        <f>'Foglio deposito bis'!$E$160/sezione!$B$247*B1835</f>
        <v>42.80750542601546</v>
      </c>
      <c r="D1835" s="603">
        <f>-'Sollecitazioni nel paramento'!$G$47*'Sollecitazioni nel paramento'!$G$41*IF(DATI!$G$211="dx",DATI!$E$61,DATI!$E$64*DATI!$E$63)*1000*C1835^2*sezione!$AD$5*(1-sezione!$AD$6)</f>
        <v>-40770258.57139501</v>
      </c>
      <c r="E1835" s="545">
        <f>-'Foglio deposito bis'!$F$78*(C1835-sezione!$AL$34)*IF(ABS(K1835)&lt;'Sollecitazioni nel paramento'!$G$58,ABS(K1835)*'Sollecitazioni nel paramento'!$G$54,'Sollecitazioni nel paramento'!$G$53)</f>
        <v>0</v>
      </c>
      <c r="F1835" s="545">
        <f>-'Foglio deposito bis'!$F$79*(C1835-sezione!$AM$34)*IF(ABS(L1835)&lt;'Sollecitazioni nel paramento'!$G$58,ABS(L1835)*'Sollecitazioni nel paramento'!$G$54,'Sollecitazioni nel paramento'!$G$53)</f>
        <v>1955028.1807784783</v>
      </c>
      <c r="G1835" s="545">
        <f>-'Foglio deposito bis'!$F$80*(C1835-sezione!$AN$34)*IF(ABS(M1835)&lt;'Sollecitazioni nel paramento'!$G$58,ABS(M1835)*'Sollecitazioni nel paramento'!$G$54,'Sollecitazioni nel paramento'!$G$53)</f>
        <v>0</v>
      </c>
      <c r="H1835" s="545">
        <f>-'Foglio deposito bis'!$F$81*(C1835-sezione!$AO$34)*IF(ABS(N1835)&lt;'Sollecitazioni nel paramento'!$G$58,ABS(N1835)*'Sollecitazioni nel paramento'!$G$54,'Sollecitazioni nel paramento'!$G$53)</f>
        <v>46677689.969899014</v>
      </c>
      <c r="I1835" s="472">
        <f>-'Foglio deposito bis'!$F$82*(C1835-sezione!$AP$34)*IF(ABS(O1835)&lt;'Sollecitazioni nel paramento'!$G$58,ABS(O1835)*'Sollecitazioni nel paramento'!$G$54,'Sollecitazioni nel paramento'!$G$53)</f>
        <v>526809383.68700087</v>
      </c>
      <c r="J1835" s="472">
        <f t="shared" si="127"/>
        <v>534671843.26628333</v>
      </c>
      <c r="K1835" s="550">
        <f>'Sollecitazioni nel paramento'!$G$60*(sezione!$AL$34-C1835)/C1835</f>
        <v>-2.2954547089965163E-4</v>
      </c>
      <c r="L1835" s="550">
        <f>'Sollecitazioni nel paramento'!$G$60*(sezione!$AM$34-C1835)/C1835</f>
        <v>1.4056817936505227E-3</v>
      </c>
      <c r="M1835" s="551">
        <f>'Sollecitazioni nel paramento'!$G$60*(sezione!$AN$34-C1835)/C1835</f>
        <v>3.0409090582006965E-3</v>
      </c>
      <c r="N1835" s="551">
        <f>'Sollecitazioni nel paramento'!$G$60*(sezione!$AO$34-C1835)/C1835</f>
        <v>9.5818181164013926E-3</v>
      </c>
      <c r="O1835" s="551">
        <f>'Sollecitazioni nel paramento'!$G$60*(sezione!$AP$34-C1835)/C1835</f>
        <v>4.8261460364516735E-2</v>
      </c>
      <c r="P1835" s="545">
        <f>-'Sollecitazioni nel paramento'!$G$47*'Sollecitazioni nel paramento'!$G$41*IF(DATI!$G$211="dx",DATI!$E$61,DATI!$E$64*DATI!$E$63)*1000*C1835*sezione!$AD$5</f>
        <v>-1630837.5342149108</v>
      </c>
      <c r="Q1835" s="545">
        <f>'Foglio deposito bis'!$F$78*IF(ABS(K1835)&lt;'Sollecitazioni nel paramento'!$G$58,ABS(K1835)*'Sollecitazioni nel paramento'!$G$54,'Sollecitazioni nel paramento'!$G$53)*IF(K1835&lt;0,-1,1)</f>
        <v>0</v>
      </c>
      <c r="R1835" s="545">
        <f>'Foglio deposito bis'!$F$79*IF(ABS(L1835)&lt;'Sollecitazioni nel paramento'!$G$58,ABS(L1835)*'Sollecitazioni nel paramento'!$G$54,'Sollecitazioni nel paramento'!$G$53)*IF(L1835&lt;0,-1,1)</f>
        <v>113714.0496025982</v>
      </c>
      <c r="S1835" s="545">
        <f>'Foglio deposito bis'!$F$80*IF(ABS(M1835)&lt;'Sollecitazioni nel paramento'!$G$58,ABS(M1835)*'Sollecitazioni nel paramento'!$G$54,'Sollecitazioni nel paramento'!$G$53)*IF(M1835&lt;0,-1,1)</f>
        <v>0</v>
      </c>
      <c r="T1835" s="545">
        <f>'Foglio deposito bis'!$F$81*IF(ABS(N1835)&lt;'Sollecitazioni nel paramento'!$G$58,ABS(N1835)*'Sollecitazioni nel paramento'!$G$54,'Sollecitazioni nel paramento'!$G$53)*IF(N1835&lt;0,-1,1)</f>
        <v>398299.31208121032</v>
      </c>
      <c r="U1835" s="545">
        <f>'Foglio deposito bis'!$F$82*IF(ABS(O1835)&lt;'Sollecitazioni nel paramento'!$G$58,ABS(O1835)*'Sollecitazioni nel paramento'!$G$54,'Sollecitazioni nel paramento'!$G$53)*IF(O1835&lt;0,-1,1)</f>
        <v>892485.49558937876</v>
      </c>
      <c r="V1835" s="472">
        <f t="shared" si="129"/>
        <v>-226338.67694172356</v>
      </c>
      <c r="W1835" s="551"/>
      <c r="X1835" s="551"/>
    </row>
    <row r="1836" spans="1:24" x14ac:dyDescent="0.25">
      <c r="A1836" s="545">
        <f t="shared" si="128"/>
        <v>247865.38175427774</v>
      </c>
      <c r="B1836" s="3">
        <f t="shared" si="130"/>
        <v>4.7499999999999911</v>
      </c>
      <c r="C1836" s="545">
        <f>'Foglio deposito bis'!$E$160/sezione!$B$247*B1836</f>
        <v>43.262904419909241</v>
      </c>
      <c r="D1836" s="603">
        <f>-'Sollecitazioni nel paramento'!$G$47*'Sollecitazioni nel paramento'!$G$41*IF(DATI!$G$211="dx",DATI!$E$61,DATI!$E$64*DATI!$E$63)*1000*C1836^2*sezione!$AD$5*(1-sezione!$AD$6)</f>
        <v>-41642324.989456758</v>
      </c>
      <c r="E1836" s="545">
        <f>-'Foglio deposito bis'!$F$78*(C1836-sezione!$AL$34)*IF(ABS(K1836)&lt;'Sollecitazioni nel paramento'!$G$58,ABS(K1836)*'Sollecitazioni nel paramento'!$G$54,'Sollecitazioni nel paramento'!$G$53)</f>
        <v>0</v>
      </c>
      <c r="F1836" s="545">
        <f>-'Foglio deposito bis'!$F$79*(C1836-sezione!$AM$34)*IF(ABS(L1836)&lt;'Sollecitazioni nel paramento'!$G$58,ABS(L1836)*'Sollecitazioni nel paramento'!$G$54,'Sollecitazioni nel paramento'!$G$53)</f>
        <v>1833325.8870444114</v>
      </c>
      <c r="G1836" s="545">
        <f>-'Foglio deposito bis'!$F$80*(C1836-sezione!$AN$34)*IF(ABS(M1836)&lt;'Sollecitazioni nel paramento'!$G$58,ABS(M1836)*'Sollecitazioni nel paramento'!$G$54,'Sollecitazioni nel paramento'!$G$53)</f>
        <v>0</v>
      </c>
      <c r="H1836" s="545">
        <f>-'Foglio deposito bis'!$F$81*(C1836-sezione!$AO$34)*IF(ABS(N1836)&lt;'Sollecitazioni nel paramento'!$G$58,ABS(N1836)*'Sollecitazioni nel paramento'!$G$54,'Sollecitazioni nel paramento'!$G$53)</f>
        <v>46496304.863908648</v>
      </c>
      <c r="I1836" s="472">
        <f>-'Foglio deposito bis'!$F$82*(C1836-sezione!$AP$34)*IF(ABS(O1836)&lt;'Sollecitazioni nel paramento'!$G$58,ABS(O1836)*'Sollecitazioni nel paramento'!$G$54,'Sollecitazioni nel paramento'!$G$53)</f>
        <v>526402946.69024473</v>
      </c>
      <c r="J1836" s="472">
        <f t="shared" si="127"/>
        <v>533090252.45174104</v>
      </c>
      <c r="K1836" s="550">
        <f>'Sollecitazioni nel paramento'!$G$60*(sezione!$AL$34-C1836)/C1836</f>
        <v>-2.639713080480763E-4</v>
      </c>
      <c r="L1836" s="550">
        <f>'Sollecitazioni nel paramento'!$G$60*(sezione!$AM$34-C1836)/C1836</f>
        <v>1.3540430379278857E-3</v>
      </c>
      <c r="M1836" s="551">
        <f>'Sollecitazioni nel paramento'!$G$60*(sezione!$AN$34-C1836)/C1836</f>
        <v>2.9720573839038473E-3</v>
      </c>
      <c r="N1836" s="551">
        <f>'Sollecitazioni nel paramento'!$G$60*(sezione!$AO$34-C1836)/C1836</f>
        <v>9.4441147678076959E-3</v>
      </c>
      <c r="O1836" s="551">
        <f>'Sollecitazioni nel paramento'!$G$60*(sezione!$AP$34-C1836)/C1836</f>
        <v>4.7716602886995509E-2</v>
      </c>
      <c r="P1836" s="545">
        <f>-'Sollecitazioni nel paramento'!$G$47*'Sollecitazioni nel paramento'!$G$41*IF(DATI!$G$211="dx",DATI!$E$61,DATI!$E$64*DATI!$E$63)*1000*C1836*sezione!$AD$5</f>
        <v>-1648186.869685282</v>
      </c>
      <c r="Q1836" s="545">
        <f>'Foglio deposito bis'!$F$78*IF(ABS(K1836)&lt;'Sollecitazioni nel paramento'!$G$58,ABS(K1836)*'Sollecitazioni nel paramento'!$G$54,'Sollecitazioni nel paramento'!$G$53)*IF(K1836&lt;0,-1,1)</f>
        <v>0</v>
      </c>
      <c r="R1836" s="545">
        <f>'Foglio deposito bis'!$F$79*IF(ABS(L1836)&lt;'Sollecitazioni nel paramento'!$G$58,ABS(L1836)*'Sollecitazioni nel paramento'!$G$54,'Sollecitazioni nel paramento'!$G$53)*IF(L1836&lt;0,-1,1)</f>
        <v>109536.68026041528</v>
      </c>
      <c r="S1836" s="545">
        <f>'Foglio deposito bis'!$F$80*IF(ABS(M1836)&lt;'Sollecitazioni nel paramento'!$G$58,ABS(M1836)*'Sollecitazioni nel paramento'!$G$54,'Sollecitazioni nel paramento'!$G$53)*IF(M1836&lt;0,-1,1)</f>
        <v>0</v>
      </c>
      <c r="T1836" s="545">
        <f>'Foglio deposito bis'!$F$81*IF(ABS(N1836)&lt;'Sollecitazioni nel paramento'!$G$58,ABS(N1836)*'Sollecitazioni nel paramento'!$G$54,'Sollecitazioni nel paramento'!$G$53)*IF(N1836&lt;0,-1,1)</f>
        <v>398299.31208121032</v>
      </c>
      <c r="U1836" s="545">
        <f>'Foglio deposito bis'!$F$82*IF(ABS(O1836)&lt;'Sollecitazioni nel paramento'!$G$58,ABS(O1836)*'Sollecitazioni nel paramento'!$G$54,'Sollecitazioni nel paramento'!$G$53)*IF(O1836&lt;0,-1,1)</f>
        <v>892485.49558937876</v>
      </c>
      <c r="V1836" s="472">
        <f t="shared" si="129"/>
        <v>-247865.38175427774</v>
      </c>
      <c r="W1836" s="551"/>
      <c r="X1836" s="551"/>
    </row>
    <row r="1837" spans="1:24" x14ac:dyDescent="0.25">
      <c r="A1837" s="545">
        <f t="shared" si="128"/>
        <v>269305.05803886987</v>
      </c>
      <c r="B1837" s="3">
        <f t="shared" si="130"/>
        <v>4.7999999999999909</v>
      </c>
      <c r="C1837" s="545">
        <f>'Foglio deposito bis'!$E$160/sezione!$B$247*B1837</f>
        <v>43.718303413803021</v>
      </c>
      <c r="D1837" s="603">
        <f>-'Sollecitazioni nel paramento'!$G$47*'Sollecitazioni nel paramento'!$G$41*IF(DATI!$G$211="dx",DATI!$E$61,DATI!$E$64*DATI!$E$63)*1000*C1837^2*sezione!$AD$5*(1-sezione!$AD$6)</f>
        <v>-42523619.623582661</v>
      </c>
      <c r="E1837" s="545">
        <f>-'Foglio deposito bis'!$F$78*(C1837-sezione!$AL$34)*IF(ABS(K1837)&lt;'Sollecitazioni nel paramento'!$G$58,ABS(K1837)*'Sollecitazioni nel paramento'!$G$54,'Sollecitazioni nel paramento'!$G$53)</f>
        <v>0</v>
      </c>
      <c r="F1837" s="545">
        <f>-'Foglio deposito bis'!$F$79*(C1837-sezione!$AM$34)*IF(ABS(L1837)&lt;'Sollecitazioni nel paramento'!$G$58,ABS(L1837)*'Sollecitazioni nel paramento'!$G$54,'Sollecitazioni nel paramento'!$G$53)</f>
        <v>1716845.304988073</v>
      </c>
      <c r="G1837" s="545">
        <f>-'Foglio deposito bis'!$F$80*(C1837-sezione!$AN$34)*IF(ABS(M1837)&lt;'Sollecitazioni nel paramento'!$G$58,ABS(M1837)*'Sollecitazioni nel paramento'!$G$54,'Sollecitazioni nel paramento'!$G$53)</f>
        <v>0</v>
      </c>
      <c r="H1837" s="545">
        <f>-'Foglio deposito bis'!$F$81*(C1837-sezione!$AO$34)*IF(ABS(N1837)&lt;'Sollecitazioni nel paramento'!$G$58,ABS(N1837)*'Sollecitazioni nel paramento'!$G$54,'Sollecitazioni nel paramento'!$G$53)</f>
        <v>46314919.757918276</v>
      </c>
      <c r="I1837" s="472">
        <f>-'Foglio deposito bis'!$F$82*(C1837-sezione!$AP$34)*IF(ABS(O1837)&lt;'Sollecitazioni nel paramento'!$G$58,ABS(O1837)*'Sollecitazioni nel paramento'!$G$54,'Sollecitazioni nel paramento'!$G$53)</f>
        <v>525996509.69348848</v>
      </c>
      <c r="J1837" s="472">
        <f t="shared" si="127"/>
        <v>531504655.13281214</v>
      </c>
      <c r="K1837" s="550">
        <f>'Sollecitazioni nel paramento'!$G$60*(sezione!$AL$34-C1837)/C1837</f>
        <v>-2.9767994025590869E-4</v>
      </c>
      <c r="L1837" s="550">
        <f>'Sollecitazioni nel paramento'!$G$60*(sezione!$AM$34-C1837)/C1837</f>
        <v>1.3034800896161371E-3</v>
      </c>
      <c r="M1837" s="551">
        <f>'Sollecitazioni nel paramento'!$G$60*(sezione!$AN$34-C1837)/C1837</f>
        <v>2.9046401194881824E-3</v>
      </c>
      <c r="N1837" s="551">
        <f>'Sollecitazioni nel paramento'!$G$60*(sezione!$AO$34-C1837)/C1837</f>
        <v>9.3092802389763644E-3</v>
      </c>
      <c r="O1837" s="551">
        <f>'Sollecitazioni nel paramento'!$G$60*(sezione!$AP$34-C1837)/C1837</f>
        <v>4.7183096606922638E-2</v>
      </c>
      <c r="P1837" s="545">
        <f>-'Sollecitazioni nel paramento'!$G$47*'Sollecitazioni nel paramento'!$G$41*IF(DATI!$G$211="dx",DATI!$E$61,DATI!$E$64*DATI!$E$63)*1000*C1837*sezione!$AD$5</f>
        <v>-1665536.2051556534</v>
      </c>
      <c r="Q1837" s="545">
        <f>'Foglio deposito bis'!$F$78*IF(ABS(K1837)&lt;'Sollecitazioni nel paramento'!$G$58,ABS(K1837)*'Sollecitazioni nel paramento'!$G$54,'Sollecitazioni nel paramento'!$G$53)*IF(K1837&lt;0,-1,1)</f>
        <v>0</v>
      </c>
      <c r="R1837" s="545">
        <f>'Foglio deposito bis'!$F$79*IF(ABS(L1837)&lt;'Sollecitazioni nel paramento'!$G$58,ABS(L1837)*'Sollecitazioni nel paramento'!$G$54,'Sollecitazioni nel paramento'!$G$53)*IF(L1837&lt;0,-1,1)</f>
        <v>105446.3394461945</v>
      </c>
      <c r="S1837" s="545">
        <f>'Foglio deposito bis'!$F$80*IF(ABS(M1837)&lt;'Sollecitazioni nel paramento'!$G$58,ABS(M1837)*'Sollecitazioni nel paramento'!$G$54,'Sollecitazioni nel paramento'!$G$53)*IF(M1837&lt;0,-1,1)</f>
        <v>0</v>
      </c>
      <c r="T1837" s="545">
        <f>'Foglio deposito bis'!$F$81*IF(ABS(N1837)&lt;'Sollecitazioni nel paramento'!$G$58,ABS(N1837)*'Sollecitazioni nel paramento'!$G$54,'Sollecitazioni nel paramento'!$G$53)*IF(N1837&lt;0,-1,1)</f>
        <v>398299.31208121032</v>
      </c>
      <c r="U1837" s="545">
        <f>'Foglio deposito bis'!$F$82*IF(ABS(O1837)&lt;'Sollecitazioni nel paramento'!$G$58,ABS(O1837)*'Sollecitazioni nel paramento'!$G$54,'Sollecitazioni nel paramento'!$G$53)*IF(O1837&lt;0,-1,1)</f>
        <v>892485.49558937876</v>
      </c>
      <c r="V1837" s="472">
        <f t="shared" si="129"/>
        <v>-269305.05803886987</v>
      </c>
      <c r="W1837" s="551"/>
      <c r="X1837" s="551"/>
    </row>
    <row r="1838" spans="1:24" x14ac:dyDescent="0.25">
      <c r="A1838" s="545">
        <f t="shared" si="128"/>
        <v>290660.3973994574</v>
      </c>
      <c r="B1838" s="3">
        <f t="shared" si="130"/>
        <v>4.8499999999999908</v>
      </c>
      <c r="C1838" s="545">
        <f>'Foglio deposito bis'!$E$160/sezione!$B$247*B1838</f>
        <v>44.173702407696801</v>
      </c>
      <c r="D1838" s="603">
        <f>-'Sollecitazioni nel paramento'!$G$47*'Sollecitazioni nel paramento'!$G$41*IF(DATI!$G$211="dx",DATI!$E$61,DATI!$E$64*DATI!$E$63)*1000*C1838^2*sezione!$AD$5*(1-sezione!$AD$6)</f>
        <v>-43414142.473772705</v>
      </c>
      <c r="E1838" s="545">
        <f>-'Foglio deposito bis'!$F$78*(C1838-sezione!$AL$34)*IF(ABS(K1838)&lt;'Sollecitazioni nel paramento'!$G$58,ABS(K1838)*'Sollecitazioni nel paramento'!$G$54,'Sollecitazioni nel paramento'!$G$53)</f>
        <v>0</v>
      </c>
      <c r="F1838" s="545">
        <f>-'Foglio deposito bis'!$F$79*(C1838-sezione!$AM$34)*IF(ABS(L1838)&lt;'Sollecitazioni nel paramento'!$G$58,ABS(L1838)*'Sollecitazioni nel paramento'!$G$54,'Sollecitazioni nel paramento'!$G$53)</f>
        <v>1605424.9383720076</v>
      </c>
      <c r="G1838" s="545">
        <f>-'Foglio deposito bis'!$F$80*(C1838-sezione!$AN$34)*IF(ABS(M1838)&lt;'Sollecitazioni nel paramento'!$G$58,ABS(M1838)*'Sollecitazioni nel paramento'!$G$54,'Sollecitazioni nel paramento'!$G$53)</f>
        <v>0</v>
      </c>
      <c r="H1838" s="545">
        <f>-'Foglio deposito bis'!$F$81*(C1838-sezione!$AO$34)*IF(ABS(N1838)&lt;'Sollecitazioni nel paramento'!$G$58,ABS(N1838)*'Sollecitazioni nel paramento'!$G$54,'Sollecitazioni nel paramento'!$G$53)</f>
        <v>46133534.651927918</v>
      </c>
      <c r="I1838" s="472">
        <f>-'Foglio deposito bis'!$F$82*(C1838-sezione!$AP$34)*IF(ABS(O1838)&lt;'Sollecitazioni nel paramento'!$G$58,ABS(O1838)*'Sollecitazioni nel paramento'!$G$54,'Sollecitazioni nel paramento'!$G$53)</f>
        <v>525590072.69673222</v>
      </c>
      <c r="J1838" s="472">
        <f t="shared" si="127"/>
        <v>529914889.81325942</v>
      </c>
      <c r="K1838" s="550">
        <f>'Sollecitazioni nel paramento'!$G$60*(sezione!$AL$34-C1838)/C1838</f>
        <v>-3.3069354911924976E-4</v>
      </c>
      <c r="L1838" s="550">
        <f>'Sollecitazioni nel paramento'!$G$60*(sezione!$AM$34-C1838)/C1838</f>
        <v>1.2539596763211254E-3</v>
      </c>
      <c r="M1838" s="551">
        <f>'Sollecitazioni nel paramento'!$G$60*(sezione!$AN$34-C1838)/C1838</f>
        <v>2.8386129017615004E-3</v>
      </c>
      <c r="N1838" s="551">
        <f>'Sollecitazioni nel paramento'!$G$60*(sezione!$AO$34-C1838)/C1838</f>
        <v>9.1772258035230023E-3</v>
      </c>
      <c r="O1838" s="551">
        <f>'Sollecitazioni nel paramento'!$G$60*(sezione!$AP$34-C1838)/C1838</f>
        <v>4.6660590456335804E-2</v>
      </c>
      <c r="P1838" s="545">
        <f>-'Sollecitazioni nel paramento'!$G$47*'Sollecitazioni nel paramento'!$G$41*IF(DATI!$G$211="dx",DATI!$E$61,DATI!$E$64*DATI!$E$63)*1000*C1838*sezione!$AD$5</f>
        <v>-1682885.5406260248</v>
      </c>
      <c r="Q1838" s="545">
        <f>'Foglio deposito bis'!$F$78*IF(ABS(K1838)&lt;'Sollecitazioni nel paramento'!$G$58,ABS(K1838)*'Sollecitazioni nel paramento'!$G$54,'Sollecitazioni nel paramento'!$G$53)*IF(K1838&lt;0,-1,1)</f>
        <v>0</v>
      </c>
      <c r="R1838" s="545">
        <f>'Foglio deposito bis'!$F$79*IF(ABS(L1838)&lt;'Sollecitazioni nel paramento'!$G$58,ABS(L1838)*'Sollecitazioni nel paramento'!$G$54,'Sollecitazioni nel paramento'!$G$53)*IF(L1838&lt;0,-1,1)</f>
        <v>101440.33555597826</v>
      </c>
      <c r="S1838" s="545">
        <f>'Foglio deposito bis'!$F$80*IF(ABS(M1838)&lt;'Sollecitazioni nel paramento'!$G$58,ABS(M1838)*'Sollecitazioni nel paramento'!$G$54,'Sollecitazioni nel paramento'!$G$53)*IF(M1838&lt;0,-1,1)</f>
        <v>0</v>
      </c>
      <c r="T1838" s="545">
        <f>'Foglio deposito bis'!$F$81*IF(ABS(N1838)&lt;'Sollecitazioni nel paramento'!$G$58,ABS(N1838)*'Sollecitazioni nel paramento'!$G$54,'Sollecitazioni nel paramento'!$G$53)*IF(N1838&lt;0,-1,1)</f>
        <v>398299.31208121032</v>
      </c>
      <c r="U1838" s="545">
        <f>'Foglio deposito bis'!$F$82*IF(ABS(O1838)&lt;'Sollecitazioni nel paramento'!$G$58,ABS(O1838)*'Sollecitazioni nel paramento'!$G$54,'Sollecitazioni nel paramento'!$G$53)*IF(O1838&lt;0,-1,1)</f>
        <v>892485.49558937876</v>
      </c>
      <c r="V1838" s="472">
        <f t="shared" si="129"/>
        <v>-290660.3973994574</v>
      </c>
      <c r="W1838" s="551"/>
      <c r="X1838" s="551"/>
    </row>
    <row r="1839" spans="1:24" x14ac:dyDescent="0.25">
      <c r="A1839" s="545">
        <f t="shared" si="128"/>
        <v>311933.981578612</v>
      </c>
      <c r="B1839" s="3">
        <f t="shared" si="130"/>
        <v>4.8999999999999906</v>
      </c>
      <c r="C1839" s="545">
        <f>'Foglio deposito bis'!$E$160/sezione!$B$247*B1839</f>
        <v>44.629101401590582</v>
      </c>
      <c r="D1839" s="603">
        <f>-'Sollecitazioni nel paramento'!$G$47*'Sollecitazioni nel paramento'!$G$41*IF(DATI!$G$211="dx",DATI!$E$61,DATI!$E$64*DATI!$E$63)*1000*C1839^2*sezione!$AD$5*(1-sezione!$AD$6)</f>
        <v>-44313893.540026896</v>
      </c>
      <c r="E1839" s="545">
        <f>-'Foglio deposito bis'!$F$78*(C1839-sezione!$AL$34)*IF(ABS(K1839)&lt;'Sollecitazioni nel paramento'!$G$58,ABS(K1839)*'Sollecitazioni nel paramento'!$G$54,'Sollecitazioni nel paramento'!$G$53)</f>
        <v>0</v>
      </c>
      <c r="F1839" s="545">
        <f>-'Foglio deposito bis'!$F$79*(C1839-sezione!$AM$34)*IF(ABS(L1839)&lt;'Sollecitazioni nel paramento'!$G$58,ABS(L1839)*'Sollecitazioni nel paramento'!$G$54,'Sollecitazioni nel paramento'!$G$53)</f>
        <v>1498909.8826419211</v>
      </c>
      <c r="G1839" s="545">
        <f>-'Foglio deposito bis'!$F$80*(C1839-sezione!$AN$34)*IF(ABS(M1839)&lt;'Sollecitazioni nel paramento'!$G$58,ABS(M1839)*'Sollecitazioni nel paramento'!$G$54,'Sollecitazioni nel paramento'!$G$53)</f>
        <v>0</v>
      </c>
      <c r="H1839" s="545">
        <f>-'Foglio deposito bis'!$F$81*(C1839-sezione!$AO$34)*IF(ABS(N1839)&lt;'Sollecitazioni nel paramento'!$G$58,ABS(N1839)*'Sollecitazioni nel paramento'!$G$54,'Sollecitazioni nel paramento'!$G$53)</f>
        <v>45952149.545937538</v>
      </c>
      <c r="I1839" s="472">
        <f>-'Foglio deposito bis'!$F$82*(C1839-sezione!$AP$34)*IF(ABS(O1839)&lt;'Sollecitazioni nel paramento'!$G$58,ABS(O1839)*'Sollecitazioni nel paramento'!$G$54,'Sollecitazioni nel paramento'!$G$53)</f>
        <v>525183635.69997609</v>
      </c>
      <c r="J1839" s="472">
        <f t="shared" si="127"/>
        <v>528320801.58852863</v>
      </c>
      <c r="K1839" s="550">
        <f>'Sollecitazioni nel paramento'!$G$60*(sezione!$AL$34-C1839)/C1839</f>
        <v>-3.6303341086293083E-4</v>
      </c>
      <c r="L1839" s="550">
        <f>'Sollecitazioni nel paramento'!$G$60*(sezione!$AM$34-C1839)/C1839</f>
        <v>1.2054498837056038E-3</v>
      </c>
      <c r="M1839" s="551">
        <f>'Sollecitazioni nel paramento'!$G$60*(sezione!$AN$34-C1839)/C1839</f>
        <v>2.7739331782741386E-3</v>
      </c>
      <c r="N1839" s="551">
        <f>'Sollecitazioni nel paramento'!$G$60*(sezione!$AO$34-C1839)/C1839</f>
        <v>9.0478663565482769E-3</v>
      </c>
      <c r="O1839" s="551">
        <f>'Sollecitazioni nel paramento'!$G$60*(sezione!$AP$34-C1839)/C1839</f>
        <v>4.6148747696577286E-2</v>
      </c>
      <c r="P1839" s="545">
        <f>-'Sollecitazioni nel paramento'!$G$47*'Sollecitazioni nel paramento'!$G$41*IF(DATI!$G$211="dx",DATI!$E$61,DATI!$E$64*DATI!$E$63)*1000*C1839*sezione!$AD$5</f>
        <v>-1700234.876096396</v>
      </c>
      <c r="Q1839" s="545">
        <f>'Foglio deposito bis'!$F$78*IF(ABS(K1839)&lt;'Sollecitazioni nel paramento'!$G$58,ABS(K1839)*'Sollecitazioni nel paramento'!$G$54,'Sollecitazioni nel paramento'!$G$53)*IF(K1839&lt;0,-1,1)</f>
        <v>0</v>
      </c>
      <c r="R1839" s="545">
        <f>'Foglio deposito bis'!$F$79*IF(ABS(L1839)&lt;'Sollecitazioni nel paramento'!$G$58,ABS(L1839)*'Sollecitazioni nel paramento'!$G$54,'Sollecitazioni nel paramento'!$G$53)*IF(L1839&lt;0,-1,1)</f>
        <v>97516.086847195023</v>
      </c>
      <c r="S1839" s="545">
        <f>'Foglio deposito bis'!$F$80*IF(ABS(M1839)&lt;'Sollecitazioni nel paramento'!$G$58,ABS(M1839)*'Sollecitazioni nel paramento'!$G$54,'Sollecitazioni nel paramento'!$G$53)*IF(M1839&lt;0,-1,1)</f>
        <v>0</v>
      </c>
      <c r="T1839" s="545">
        <f>'Foglio deposito bis'!$F$81*IF(ABS(N1839)&lt;'Sollecitazioni nel paramento'!$G$58,ABS(N1839)*'Sollecitazioni nel paramento'!$G$54,'Sollecitazioni nel paramento'!$G$53)*IF(N1839&lt;0,-1,1)</f>
        <v>398299.31208121032</v>
      </c>
      <c r="U1839" s="545">
        <f>'Foglio deposito bis'!$F$82*IF(ABS(O1839)&lt;'Sollecitazioni nel paramento'!$G$58,ABS(O1839)*'Sollecitazioni nel paramento'!$G$54,'Sollecitazioni nel paramento'!$G$53)*IF(O1839&lt;0,-1,1)</f>
        <v>892485.49558937876</v>
      </c>
      <c r="V1839" s="472">
        <f t="shared" si="129"/>
        <v>-311933.981578612</v>
      </c>
      <c r="W1839" s="551"/>
      <c r="X1839" s="551"/>
    </row>
    <row r="1840" spans="1:24" x14ac:dyDescent="0.25">
      <c r="A1840" s="545">
        <f t="shared" si="128"/>
        <v>333128.28800607426</v>
      </c>
      <c r="B1840" s="3">
        <f t="shared" si="130"/>
        <v>4.9499999999999904</v>
      </c>
      <c r="C1840" s="545">
        <f>'Foglio deposito bis'!$E$160/sezione!$B$247*B1840</f>
        <v>45.084500395484362</v>
      </c>
      <c r="D1840" s="603">
        <f>-'Sollecitazioni nel paramento'!$G$47*'Sollecitazioni nel paramento'!$G$41*IF(DATI!$G$211="dx",DATI!$E$61,DATI!$E$64*DATI!$E$63)*1000*C1840^2*sezione!$AD$5*(1-sezione!$AD$6)</f>
        <v>-45222872.822345227</v>
      </c>
      <c r="E1840" s="545">
        <f>-'Foglio deposito bis'!$F$78*(C1840-sezione!$AL$34)*IF(ABS(K1840)&lt;'Sollecitazioni nel paramento'!$G$58,ABS(K1840)*'Sollecitazioni nel paramento'!$G$54,'Sollecitazioni nel paramento'!$G$53)</f>
        <v>0</v>
      </c>
      <c r="F1840" s="545">
        <f>-'Foglio deposito bis'!$F$79*(C1840-sezione!$AM$34)*IF(ABS(L1840)&lt;'Sollecitazioni nel paramento'!$G$58,ABS(L1840)*'Sollecitazioni nel paramento'!$G$54,'Sollecitazioni nel paramento'!$G$53)</f>
        <v>1397151.4920133902</v>
      </c>
      <c r="G1840" s="545">
        <f>-'Foglio deposito bis'!$F$80*(C1840-sezione!$AN$34)*IF(ABS(M1840)&lt;'Sollecitazioni nel paramento'!$G$58,ABS(M1840)*'Sollecitazioni nel paramento'!$G$54,'Sollecitazioni nel paramento'!$G$53)</f>
        <v>0</v>
      </c>
      <c r="H1840" s="545">
        <f>-'Foglio deposito bis'!$F$81*(C1840-sezione!$AO$34)*IF(ABS(N1840)&lt;'Sollecitazioni nel paramento'!$G$58,ABS(N1840)*'Sollecitazioni nel paramento'!$G$54,'Sollecitazioni nel paramento'!$G$53)</f>
        <v>45770764.43994718</v>
      </c>
      <c r="I1840" s="472">
        <f>-'Foglio deposito bis'!$F$82*(C1840-sezione!$AP$34)*IF(ABS(O1840)&lt;'Sollecitazioni nel paramento'!$G$58,ABS(O1840)*'Sollecitazioni nel paramento'!$G$54,'Sollecitazioni nel paramento'!$G$53)</f>
        <v>524777198.70321989</v>
      </c>
      <c r="J1840" s="472">
        <f t="shared" si="127"/>
        <v>526722241.81283522</v>
      </c>
      <c r="K1840" s="550">
        <f>'Sollecitazioni nel paramento'!$G$60*(sezione!$AL$34-C1840)/C1840</f>
        <v>-3.947199420663355E-4</v>
      </c>
      <c r="L1840" s="550">
        <f>'Sollecitazioni nel paramento'!$G$60*(sezione!$AM$34-C1840)/C1840</f>
        <v>1.1579200869004968E-3</v>
      </c>
      <c r="M1840" s="551">
        <f>'Sollecitazioni nel paramento'!$G$60*(sezione!$AN$34-C1840)/C1840</f>
        <v>2.7105601158673291E-3</v>
      </c>
      <c r="N1840" s="551">
        <f>'Sollecitazioni nel paramento'!$G$60*(sezione!$AO$34-C1840)/C1840</f>
        <v>8.9211202317346586E-3</v>
      </c>
      <c r="O1840" s="551">
        <f>'Sollecitazioni nel paramento'!$G$60*(sezione!$AP$34-C1840)/C1840</f>
        <v>4.5647245194591651E-2</v>
      </c>
      <c r="P1840" s="545">
        <f>-'Sollecitazioni nel paramento'!$G$47*'Sollecitazioni nel paramento'!$G$41*IF(DATI!$G$211="dx",DATI!$E$61,DATI!$E$64*DATI!$E$63)*1000*C1840*sezione!$AD$5</f>
        <v>-1717584.2115667677</v>
      </c>
      <c r="Q1840" s="545">
        <f>'Foglio deposito bis'!$F$78*IF(ABS(K1840)&lt;'Sollecitazioni nel paramento'!$G$58,ABS(K1840)*'Sollecitazioni nel paramento'!$G$54,'Sollecitazioni nel paramento'!$G$53)*IF(K1840&lt;0,-1,1)</f>
        <v>0</v>
      </c>
      <c r="R1840" s="545">
        <f>'Foglio deposito bis'!$F$79*IF(ABS(L1840)&lt;'Sollecitazioni nel paramento'!$G$58,ABS(L1840)*'Sollecitazioni nel paramento'!$G$54,'Sollecitazioni nel paramento'!$G$53)*IF(L1840&lt;0,-1,1)</f>
        <v>93671.115890104367</v>
      </c>
      <c r="S1840" s="545">
        <f>'Foglio deposito bis'!$F$80*IF(ABS(M1840)&lt;'Sollecitazioni nel paramento'!$G$58,ABS(M1840)*'Sollecitazioni nel paramento'!$G$54,'Sollecitazioni nel paramento'!$G$53)*IF(M1840&lt;0,-1,1)</f>
        <v>0</v>
      </c>
      <c r="T1840" s="545">
        <f>'Foglio deposito bis'!$F$81*IF(ABS(N1840)&lt;'Sollecitazioni nel paramento'!$G$58,ABS(N1840)*'Sollecitazioni nel paramento'!$G$54,'Sollecitazioni nel paramento'!$G$53)*IF(N1840&lt;0,-1,1)</f>
        <v>398299.31208121032</v>
      </c>
      <c r="U1840" s="545">
        <f>'Foglio deposito bis'!$F$82*IF(ABS(O1840)&lt;'Sollecitazioni nel paramento'!$G$58,ABS(O1840)*'Sollecitazioni nel paramento'!$G$54,'Sollecitazioni nel paramento'!$G$53)*IF(O1840&lt;0,-1,1)</f>
        <v>892485.49558937876</v>
      </c>
      <c r="V1840" s="472">
        <f t="shared" si="129"/>
        <v>-333128.28800607426</v>
      </c>
      <c r="W1840" s="551"/>
      <c r="X1840" s="551"/>
    </row>
    <row r="1841" spans="1:24" x14ac:dyDescent="0.25">
      <c r="A1841" s="545">
        <f t="shared" si="128"/>
        <v>354245.69501439412</v>
      </c>
      <c r="B1841" s="3">
        <f t="shared" si="130"/>
        <v>4.9999999999999902</v>
      </c>
      <c r="C1841" s="545">
        <f>'Foglio deposito bis'!$E$160/sezione!$B$247*B1841</f>
        <v>45.539899389378142</v>
      </c>
      <c r="D1841" s="603">
        <f>-'Sollecitazioni nel paramento'!$G$47*'Sollecitazioni nel paramento'!$G$41*IF(DATI!$G$211="dx",DATI!$E$61,DATI!$E$64*DATI!$E$63)*1000*C1841^2*sezione!$AD$5*(1-sezione!$AD$6)</f>
        <v>-46141080.320727706</v>
      </c>
      <c r="E1841" s="545">
        <f>-'Foglio deposito bis'!$F$78*(C1841-sezione!$AL$34)*IF(ABS(K1841)&lt;'Sollecitazioni nel paramento'!$G$58,ABS(K1841)*'Sollecitazioni nel paramento'!$G$54,'Sollecitazioni nel paramento'!$G$53)</f>
        <v>0</v>
      </c>
      <c r="F1841" s="545">
        <f>-'Foglio deposito bis'!$F$79*(C1841-sezione!$AM$34)*IF(ABS(L1841)&lt;'Sollecitazioni nel paramento'!$G$58,ABS(L1841)*'Sollecitazioni nel paramento'!$G$54,'Sollecitazioni nel paramento'!$G$53)</f>
        <v>1300007.0665333683</v>
      </c>
      <c r="G1841" s="545">
        <f>-'Foglio deposito bis'!$F$80*(C1841-sezione!$AN$34)*IF(ABS(M1841)&lt;'Sollecitazioni nel paramento'!$G$58,ABS(M1841)*'Sollecitazioni nel paramento'!$G$54,'Sollecitazioni nel paramento'!$G$53)</f>
        <v>0</v>
      </c>
      <c r="H1841" s="545">
        <f>-'Foglio deposito bis'!$F$81*(C1841-sezione!$AO$34)*IF(ABS(N1841)&lt;'Sollecitazioni nel paramento'!$G$58,ABS(N1841)*'Sollecitazioni nel paramento'!$G$54,'Sollecitazioni nel paramento'!$G$53)</f>
        <v>45589379.3339568</v>
      </c>
      <c r="I1841" s="472">
        <f>-'Foglio deposito bis'!$F$82*(C1841-sezione!$AP$34)*IF(ABS(O1841)&lt;'Sollecitazioni nel paramento'!$G$58,ABS(O1841)*'Sollecitazioni nel paramento'!$G$54,'Sollecitazioni nel paramento'!$G$53)</f>
        <v>524370761.70646375</v>
      </c>
      <c r="J1841" s="472">
        <f t="shared" si="127"/>
        <v>525119067.78622621</v>
      </c>
      <c r="K1841" s="550">
        <f>'Sollecitazioni nel paramento'!$G$60*(sezione!$AL$34-C1841)/C1841</f>
        <v>-4.2577274264567211E-4</v>
      </c>
      <c r="L1841" s="550">
        <f>'Sollecitazioni nel paramento'!$G$60*(sezione!$AM$34-C1841)/C1841</f>
        <v>1.111340886031492E-3</v>
      </c>
      <c r="M1841" s="551">
        <f>'Sollecitazioni nel paramento'!$G$60*(sezione!$AN$34-C1841)/C1841</f>
        <v>2.6484545147086561E-3</v>
      </c>
      <c r="N1841" s="551">
        <f>'Sollecitazioni nel paramento'!$G$60*(sezione!$AO$34-C1841)/C1841</f>
        <v>8.7969090294173109E-3</v>
      </c>
      <c r="O1841" s="551">
        <f>'Sollecitazioni nel paramento'!$G$60*(sezione!$AP$34-C1841)/C1841</f>
        <v>4.515577274264574E-2</v>
      </c>
      <c r="P1841" s="545">
        <f>-'Sollecitazioni nel paramento'!$G$47*'Sollecitazioni nel paramento'!$G$41*IF(DATI!$G$211="dx",DATI!$E$61,DATI!$E$64*DATI!$E$63)*1000*C1841*sezione!$AD$5</f>
        <v>-1734933.5470371388</v>
      </c>
      <c r="Q1841" s="545">
        <f>'Foglio deposito bis'!$F$78*IF(ABS(K1841)&lt;'Sollecitazioni nel paramento'!$G$58,ABS(K1841)*'Sollecitazioni nel paramento'!$G$54,'Sollecitazioni nel paramento'!$G$53)*IF(K1841&lt;0,-1,1)</f>
        <v>0</v>
      </c>
      <c r="R1841" s="545">
        <f>'Foglio deposito bis'!$F$79*IF(ABS(L1841)&lt;'Sollecitazioni nel paramento'!$G$58,ABS(L1841)*'Sollecitazioni nel paramento'!$G$54,'Sollecitazioni nel paramento'!$G$53)*IF(L1841&lt;0,-1,1)</f>
        <v>89903.044352155543</v>
      </c>
      <c r="S1841" s="545">
        <f>'Foglio deposito bis'!$F$80*IF(ABS(M1841)&lt;'Sollecitazioni nel paramento'!$G$58,ABS(M1841)*'Sollecitazioni nel paramento'!$G$54,'Sollecitazioni nel paramento'!$G$53)*IF(M1841&lt;0,-1,1)</f>
        <v>0</v>
      </c>
      <c r="T1841" s="545">
        <f>'Foglio deposito bis'!$F$81*IF(ABS(N1841)&lt;'Sollecitazioni nel paramento'!$G$58,ABS(N1841)*'Sollecitazioni nel paramento'!$G$54,'Sollecitazioni nel paramento'!$G$53)*IF(N1841&lt;0,-1,1)</f>
        <v>398299.31208121032</v>
      </c>
      <c r="U1841" s="545">
        <f>'Foglio deposito bis'!$F$82*IF(ABS(O1841)&lt;'Sollecitazioni nel paramento'!$G$58,ABS(O1841)*'Sollecitazioni nel paramento'!$G$54,'Sollecitazioni nel paramento'!$G$53)*IF(O1841&lt;0,-1,1)</f>
        <v>892485.49558937876</v>
      </c>
      <c r="V1841" s="472">
        <f t="shared" si="129"/>
        <v>-354245.69501439412</v>
      </c>
      <c r="W1841" s="551"/>
      <c r="X1841" s="551"/>
    </row>
    <row r="1842" spans="1:24" x14ac:dyDescent="0.25">
      <c r="A1842" s="545">
        <f t="shared" si="128"/>
        <v>375288.48674473516</v>
      </c>
      <c r="B1842" s="3">
        <f t="shared" si="130"/>
        <v>5.0499999999999901</v>
      </c>
      <c r="C1842" s="545">
        <f>'Foglio deposito bis'!$E$160/sezione!$B$247*B1842</f>
        <v>45.995298383271923</v>
      </c>
      <c r="D1842" s="603">
        <f>-'Sollecitazioni nel paramento'!$G$47*'Sollecitazioni nel paramento'!$G$41*IF(DATI!$G$211="dx",DATI!$E$61,DATI!$E$64*DATI!$E$63)*1000*C1842^2*sezione!$AD$5*(1-sezione!$AD$6)</f>
        <v>-47068516.035174325</v>
      </c>
      <c r="E1842" s="545">
        <f>-'Foglio deposito bis'!$F$78*(C1842-sezione!$AL$34)*IF(ABS(K1842)&lt;'Sollecitazioni nel paramento'!$G$58,ABS(K1842)*'Sollecitazioni nel paramento'!$G$54,'Sollecitazioni nel paramento'!$G$53)</f>
        <v>0</v>
      </c>
      <c r="F1842" s="545">
        <f>-'Foglio deposito bis'!$F$79*(C1842-sezione!$AM$34)*IF(ABS(L1842)&lt;'Sollecitazioni nel paramento'!$G$58,ABS(L1842)*'Sollecitazioni nel paramento'!$G$54,'Sollecitazioni nel paramento'!$G$53)</f>
        <v>1207339.5577320973</v>
      </c>
      <c r="G1842" s="545">
        <f>-'Foglio deposito bis'!$F$80*(C1842-sezione!$AN$34)*IF(ABS(M1842)&lt;'Sollecitazioni nel paramento'!$G$58,ABS(M1842)*'Sollecitazioni nel paramento'!$G$54,'Sollecitazioni nel paramento'!$G$53)</f>
        <v>0</v>
      </c>
      <c r="H1842" s="545">
        <f>-'Foglio deposito bis'!$F$81*(C1842-sezione!$AO$34)*IF(ABS(N1842)&lt;'Sollecitazioni nel paramento'!$G$58,ABS(N1842)*'Sollecitazioni nel paramento'!$G$54,'Sollecitazioni nel paramento'!$G$53)</f>
        <v>45407994.227966443</v>
      </c>
      <c r="I1842" s="472">
        <f>-'Foglio deposito bis'!$F$82*(C1842-sezione!$AP$34)*IF(ABS(O1842)&lt;'Sollecitazioni nel paramento'!$G$58,ABS(O1842)*'Sollecitazioni nel paramento'!$G$54,'Sollecitazioni nel paramento'!$G$53)</f>
        <v>523964324.7097075</v>
      </c>
      <c r="J1842" s="472">
        <f t="shared" si="127"/>
        <v>523511142.46023172</v>
      </c>
      <c r="K1842" s="550">
        <f>'Sollecitazioni nel paramento'!$G$60*(sezione!$AL$34-C1842)/C1842</f>
        <v>-4.562106362828436E-4</v>
      </c>
      <c r="L1842" s="550">
        <f>'Sollecitazioni nel paramento'!$G$60*(sezione!$AM$34-C1842)/C1842</f>
        <v>1.0656840455757347E-3</v>
      </c>
      <c r="M1842" s="551">
        <f>'Sollecitazioni nel paramento'!$G$60*(sezione!$AN$34-C1842)/C1842</f>
        <v>2.587578727434313E-3</v>
      </c>
      <c r="N1842" s="551">
        <f>'Sollecitazioni nel paramento'!$G$60*(sezione!$AO$34-C1842)/C1842</f>
        <v>8.6751574548686265E-3</v>
      </c>
      <c r="O1842" s="551">
        <f>'Sollecitazioni nel paramento'!$G$60*(sezione!$AP$34-C1842)/C1842</f>
        <v>4.4674032418461129E-2</v>
      </c>
      <c r="P1842" s="545">
        <f>-'Sollecitazioni nel paramento'!$G$47*'Sollecitazioni nel paramento'!$G$41*IF(DATI!$G$211="dx",DATI!$E$61,DATI!$E$64*DATI!$E$63)*1000*C1842*sezione!$AD$5</f>
        <v>-1752282.88250751</v>
      </c>
      <c r="Q1842" s="545">
        <f>'Foglio deposito bis'!$F$78*IF(ABS(K1842)&lt;'Sollecitazioni nel paramento'!$G$58,ABS(K1842)*'Sollecitazioni nel paramento'!$G$54,'Sollecitazioni nel paramento'!$G$53)*IF(K1842&lt;0,-1,1)</f>
        <v>0</v>
      </c>
      <c r="R1842" s="545">
        <f>'Foglio deposito bis'!$F$79*IF(ABS(L1842)&lt;'Sollecitazioni nel paramento'!$G$58,ABS(L1842)*'Sollecitazioni nel paramento'!$G$54,'Sollecitazioni nel paramento'!$G$53)*IF(L1842&lt;0,-1,1)</f>
        <v>86209.588092185892</v>
      </c>
      <c r="S1842" s="545">
        <f>'Foglio deposito bis'!$F$80*IF(ABS(M1842)&lt;'Sollecitazioni nel paramento'!$G$58,ABS(M1842)*'Sollecitazioni nel paramento'!$G$54,'Sollecitazioni nel paramento'!$G$53)*IF(M1842&lt;0,-1,1)</f>
        <v>0</v>
      </c>
      <c r="T1842" s="545">
        <f>'Foglio deposito bis'!$F$81*IF(ABS(N1842)&lt;'Sollecitazioni nel paramento'!$G$58,ABS(N1842)*'Sollecitazioni nel paramento'!$G$54,'Sollecitazioni nel paramento'!$G$53)*IF(N1842&lt;0,-1,1)</f>
        <v>398299.31208121032</v>
      </c>
      <c r="U1842" s="545">
        <f>'Foglio deposito bis'!$F$82*IF(ABS(O1842)&lt;'Sollecitazioni nel paramento'!$G$58,ABS(O1842)*'Sollecitazioni nel paramento'!$G$54,'Sollecitazioni nel paramento'!$G$53)*IF(O1842&lt;0,-1,1)</f>
        <v>892485.49558937876</v>
      </c>
      <c r="V1842" s="472">
        <f t="shared" si="129"/>
        <v>-375288.48674473516</v>
      </c>
      <c r="W1842" s="551"/>
      <c r="X1842" s="551"/>
    </row>
    <row r="1843" spans="1:24" x14ac:dyDescent="0.25">
      <c r="A1843" s="545">
        <f t="shared" si="128"/>
        <v>396258.85776409623</v>
      </c>
      <c r="B1843" s="3">
        <f t="shared" si="130"/>
        <v>5.0999999999999899</v>
      </c>
      <c r="C1843" s="545">
        <f>'Foglio deposito bis'!$E$160/sezione!$B$247*B1843</f>
        <v>46.450697377165703</v>
      </c>
      <c r="D1843" s="603">
        <f>-'Sollecitazioni nel paramento'!$G$47*'Sollecitazioni nel paramento'!$G$41*IF(DATI!$G$211="dx",DATI!$E$61,DATI!$E$64*DATI!$E$63)*1000*C1843^2*sezione!$AD$5*(1-sezione!$AD$6)</f>
        <v>-48005179.965685099</v>
      </c>
      <c r="E1843" s="545">
        <f>-'Foglio deposito bis'!$F$78*(C1843-sezione!$AL$34)*IF(ABS(K1843)&lt;'Sollecitazioni nel paramento'!$G$58,ABS(K1843)*'Sollecitazioni nel paramento'!$G$54,'Sollecitazioni nel paramento'!$G$53)</f>
        <v>0</v>
      </c>
      <c r="F1843" s="545">
        <f>-'Foglio deposito bis'!$F$79*(C1843-sezione!$AM$34)*IF(ABS(L1843)&lt;'Sollecitazioni nel paramento'!$G$58,ABS(L1843)*'Sollecitazioni nel paramento'!$G$54,'Sollecitazioni nel paramento'!$G$53)</f>
        <v>1119017.2915896142</v>
      </c>
      <c r="G1843" s="545">
        <f>-'Foglio deposito bis'!$F$80*(C1843-sezione!$AN$34)*IF(ABS(M1843)&lt;'Sollecitazioni nel paramento'!$G$58,ABS(M1843)*'Sollecitazioni nel paramento'!$G$54,'Sollecitazioni nel paramento'!$G$53)</f>
        <v>0</v>
      </c>
      <c r="H1843" s="545">
        <f>-'Foglio deposito bis'!$F$81*(C1843-sezione!$AO$34)*IF(ABS(N1843)&lt;'Sollecitazioni nel paramento'!$G$58,ABS(N1843)*'Sollecitazioni nel paramento'!$G$54,'Sollecitazioni nel paramento'!$G$53)</f>
        <v>45226609.12197607</v>
      </c>
      <c r="I1843" s="472">
        <f>-'Foglio deposito bis'!$F$82*(C1843-sezione!$AP$34)*IF(ABS(O1843)&lt;'Sollecitazioni nel paramento'!$G$58,ABS(O1843)*'Sollecitazioni nel paramento'!$G$54,'Sollecitazioni nel paramento'!$G$53)</f>
        <v>523557887.71295124</v>
      </c>
      <c r="J1843" s="472">
        <f t="shared" si="127"/>
        <v>521898334.16083181</v>
      </c>
      <c r="K1843" s="550">
        <f>'Sollecitazioni nel paramento'!$G$60*(sezione!$AL$34-C1843)/C1843</f>
        <v>-4.8605170847614893E-4</v>
      </c>
      <c r="L1843" s="550">
        <f>'Sollecitazioni nel paramento'!$G$60*(sezione!$AM$34-C1843)/C1843</f>
        <v>1.0209224372857767E-3</v>
      </c>
      <c r="M1843" s="551">
        <f>'Sollecitazioni nel paramento'!$G$60*(sezione!$AN$34-C1843)/C1843</f>
        <v>2.5278965830477021E-3</v>
      </c>
      <c r="N1843" s="551">
        <f>'Sollecitazioni nel paramento'!$G$60*(sezione!$AO$34-C1843)/C1843</f>
        <v>8.5557931660954038E-3</v>
      </c>
      <c r="O1843" s="551">
        <f>'Sollecitazioni nel paramento'!$G$60*(sezione!$AP$34-C1843)/C1843</f>
        <v>4.4201737982986017E-2</v>
      </c>
      <c r="P1843" s="545">
        <f>-'Sollecitazioni nel paramento'!$G$47*'Sollecitazioni nel paramento'!$G$41*IF(DATI!$G$211="dx",DATI!$E$61,DATI!$E$64*DATI!$E$63)*1000*C1843*sezione!$AD$5</f>
        <v>-1769632.2179778814</v>
      </c>
      <c r="Q1843" s="545">
        <f>'Foglio deposito bis'!$F$78*IF(ABS(K1843)&lt;'Sollecitazioni nel paramento'!$G$58,ABS(K1843)*'Sollecitazioni nel paramento'!$G$54,'Sollecitazioni nel paramento'!$G$53)*IF(K1843&lt;0,-1,1)</f>
        <v>0</v>
      </c>
      <c r="R1843" s="545">
        <f>'Foglio deposito bis'!$F$79*IF(ABS(L1843)&lt;'Sollecitazioni nel paramento'!$G$58,ABS(L1843)*'Sollecitazioni nel paramento'!$G$54,'Sollecitazioni nel paramento'!$G$53)*IF(L1843&lt;0,-1,1)</f>
        <v>82588.552543196041</v>
      </c>
      <c r="S1843" s="545">
        <f>'Foglio deposito bis'!$F$80*IF(ABS(M1843)&lt;'Sollecitazioni nel paramento'!$G$58,ABS(M1843)*'Sollecitazioni nel paramento'!$G$54,'Sollecitazioni nel paramento'!$G$53)*IF(M1843&lt;0,-1,1)</f>
        <v>0</v>
      </c>
      <c r="T1843" s="545">
        <f>'Foglio deposito bis'!$F$81*IF(ABS(N1843)&lt;'Sollecitazioni nel paramento'!$G$58,ABS(N1843)*'Sollecitazioni nel paramento'!$G$54,'Sollecitazioni nel paramento'!$G$53)*IF(N1843&lt;0,-1,1)</f>
        <v>398299.31208121032</v>
      </c>
      <c r="U1843" s="545">
        <f>'Foglio deposito bis'!$F$82*IF(ABS(O1843)&lt;'Sollecitazioni nel paramento'!$G$58,ABS(O1843)*'Sollecitazioni nel paramento'!$G$54,'Sollecitazioni nel paramento'!$G$53)*IF(O1843&lt;0,-1,1)</f>
        <v>892485.49558937876</v>
      </c>
      <c r="V1843" s="472">
        <f t="shared" si="129"/>
        <v>-396258.85776409623</v>
      </c>
      <c r="W1843" s="551"/>
      <c r="X1843" s="551"/>
    </row>
    <row r="1844" spans="1:24" x14ac:dyDescent="0.25">
      <c r="A1844" s="545">
        <f t="shared" si="128"/>
        <v>479457.12758701504</v>
      </c>
      <c r="B1844" s="3">
        <f>B1843+0.2</f>
        <v>5.2999999999999901</v>
      </c>
      <c r="C1844" s="545">
        <f>'Foglio deposito bis'!$E$160/sezione!$B$247*B1844</f>
        <v>48.272293352740832</v>
      </c>
      <c r="D1844" s="603">
        <f>-'Sollecitazioni nel paramento'!$G$47*'Sollecitazioni nel paramento'!$G$41*IF(DATI!$G$211="dx",DATI!$E$61,DATI!$E$64*DATI!$E$63)*1000*C1844^2*sezione!$AD$5*(1-sezione!$AD$6)</f>
        <v>-51844117.848369651</v>
      </c>
      <c r="E1844" s="545">
        <f>-'Foglio deposito bis'!$F$78*(C1844-sezione!$AL$34)*IF(ABS(K1844)&lt;'Sollecitazioni nel paramento'!$G$58,ABS(K1844)*'Sollecitazioni nel paramento'!$G$54,'Sollecitazioni nel paramento'!$G$53)</f>
        <v>0</v>
      </c>
      <c r="F1844" s="545">
        <f>-'Foglio deposito bis'!$F$79*(C1844-sezione!$AM$34)*IF(ABS(L1844)&lt;'Sollecitazioni nel paramento'!$G$58,ABS(L1844)*'Sollecitazioni nel paramento'!$G$54,'Sollecitazioni nel paramento'!$G$53)</f>
        <v>806721.08229126385</v>
      </c>
      <c r="G1844" s="545">
        <f>-'Foglio deposito bis'!$F$80*(C1844-sezione!$AN$34)*IF(ABS(M1844)&lt;'Sollecitazioni nel paramento'!$G$58,ABS(M1844)*'Sollecitazioni nel paramento'!$G$54,'Sollecitazioni nel paramento'!$G$53)</f>
        <v>0</v>
      </c>
      <c r="H1844" s="545">
        <f>-'Foglio deposito bis'!$F$81*(C1844-sezione!$AO$34)*IF(ABS(N1844)&lt;'Sollecitazioni nel paramento'!$G$58,ABS(N1844)*'Sollecitazioni nel paramento'!$G$54,'Sollecitazioni nel paramento'!$G$53)</f>
        <v>44501068.698014595</v>
      </c>
      <c r="I1844" s="472">
        <f>-'Foglio deposito bis'!$F$82*(C1844-sezione!$AP$34)*IF(ABS(O1844)&lt;'Sollecitazioni nel paramento'!$G$58,ABS(O1844)*'Sollecitazioni nel paramento'!$G$54,'Sollecitazioni nel paramento'!$G$53)</f>
        <v>521932139.72592652</v>
      </c>
      <c r="J1844" s="472">
        <f t="shared" si="127"/>
        <v>515395811.65786272</v>
      </c>
      <c r="K1844" s="550">
        <f>'Sollecitazioni nel paramento'!$G$60*(sezione!$AL$34-C1844)/C1844</f>
        <v>-5.9978560626950197E-4</v>
      </c>
      <c r="L1844" s="550">
        <f>'Sollecitazioni nel paramento'!$G$60*(sezione!$AM$34-C1844)/C1844</f>
        <v>8.5032159059574713E-4</v>
      </c>
      <c r="M1844" s="551">
        <f>'Sollecitazioni nel paramento'!$G$60*(sezione!$AN$34-C1844)/C1844</f>
        <v>2.3004287874609959E-3</v>
      </c>
      <c r="N1844" s="551">
        <f>'Sollecitazioni nel paramento'!$G$60*(sezione!$AO$34-C1844)/C1844</f>
        <v>8.1008575749219932E-3</v>
      </c>
      <c r="O1844" s="551">
        <f>'Sollecitazioni nel paramento'!$G$60*(sezione!$AP$34-C1844)/C1844</f>
        <v>4.2401672398722397E-2</v>
      </c>
      <c r="P1844" s="545">
        <f>-'Sollecitazioni nel paramento'!$G$47*'Sollecitazioni nel paramento'!$G$41*IF(DATI!$G$211="dx",DATI!$E$61,DATI!$E$64*DATI!$E$63)*1000*C1844*sezione!$AD$5</f>
        <v>-1839029.5598593671</v>
      </c>
      <c r="Q1844" s="545">
        <f>'Foglio deposito bis'!$F$78*IF(ABS(K1844)&lt;'Sollecitazioni nel paramento'!$G$58,ABS(K1844)*'Sollecitazioni nel paramento'!$G$54,'Sollecitazioni nel paramento'!$G$53)*IF(K1844&lt;0,-1,1)</f>
        <v>0</v>
      </c>
      <c r="R1844" s="545">
        <f>'Foglio deposito bis'!$F$79*IF(ABS(L1844)&lt;'Sollecitazioni nel paramento'!$G$58,ABS(L1844)*'Sollecitazioni nel paramento'!$G$54,'Sollecitazioni nel paramento'!$G$53)*IF(L1844&lt;0,-1,1)</f>
        <v>68787.62460176296</v>
      </c>
      <c r="S1844" s="545">
        <f>'Foglio deposito bis'!$F$80*IF(ABS(M1844)&lt;'Sollecitazioni nel paramento'!$G$58,ABS(M1844)*'Sollecitazioni nel paramento'!$G$54,'Sollecitazioni nel paramento'!$G$53)*IF(M1844&lt;0,-1,1)</f>
        <v>0</v>
      </c>
      <c r="T1844" s="545">
        <f>'Foglio deposito bis'!$F$81*IF(ABS(N1844)&lt;'Sollecitazioni nel paramento'!$G$58,ABS(N1844)*'Sollecitazioni nel paramento'!$G$54,'Sollecitazioni nel paramento'!$G$53)*IF(N1844&lt;0,-1,1)</f>
        <v>398299.31208121032</v>
      </c>
      <c r="U1844" s="545">
        <f>'Foglio deposito bis'!$F$82*IF(ABS(O1844)&lt;'Sollecitazioni nel paramento'!$G$58,ABS(O1844)*'Sollecitazioni nel paramento'!$G$54,'Sollecitazioni nel paramento'!$G$53)*IF(O1844&lt;0,-1,1)</f>
        <v>892485.49558937876</v>
      </c>
      <c r="V1844" s="472">
        <f t="shared" si="129"/>
        <v>-479457.12758701504</v>
      </c>
      <c r="W1844" s="551"/>
      <c r="X1844" s="551"/>
    </row>
    <row r="1845" spans="1:24" x14ac:dyDescent="0.25">
      <c r="A1845" s="545">
        <f t="shared" si="128"/>
        <v>561651.69355964824</v>
      </c>
      <c r="B1845" s="3">
        <f t="shared" ref="B1845:B1908" si="131">B1844+0.2</f>
        <v>5.4999999999999902</v>
      </c>
      <c r="C1845" s="545">
        <f>'Foglio deposito bis'!$E$160/sezione!$B$247*B1845</f>
        <v>50.093889328315967</v>
      </c>
      <c r="D1845" s="603">
        <f>-'Sollecitazioni nel paramento'!$G$47*'Sollecitazioni nel paramento'!$G$41*IF(DATI!$G$211="dx",DATI!$E$61,DATI!$E$64*DATI!$E$63)*1000*C1845^2*sezione!$AD$5*(1-sezione!$AD$6)</f>
        <v>-55830707.188080549</v>
      </c>
      <c r="E1845" s="545">
        <f>-'Foglio deposito bis'!$F$78*(C1845-sezione!$AL$34)*IF(ABS(K1845)&lt;'Sollecitazioni nel paramento'!$G$58,ABS(K1845)*'Sollecitazioni nel paramento'!$G$54,'Sollecitazioni nel paramento'!$G$53)</f>
        <v>0</v>
      </c>
      <c r="F1845" s="545">
        <f>-'Foglio deposito bis'!$F$79*(C1845-sezione!$AM$34)*IF(ABS(L1845)&lt;'Sollecitazioni nel paramento'!$G$58,ABS(L1845)*'Sollecitazioni nel paramento'!$G$54,'Sollecitazioni nel paramento'!$G$53)</f>
        <v>554647.10401007487</v>
      </c>
      <c r="G1845" s="545">
        <f>-'Foglio deposito bis'!$F$80*(C1845-sezione!$AN$34)*IF(ABS(M1845)&lt;'Sollecitazioni nel paramento'!$G$58,ABS(M1845)*'Sollecitazioni nel paramento'!$G$54,'Sollecitazioni nel paramento'!$G$53)</f>
        <v>0</v>
      </c>
      <c r="H1845" s="545">
        <f>-'Foglio deposito bis'!$F$81*(C1845-sezione!$AO$34)*IF(ABS(N1845)&lt;'Sollecitazioni nel paramento'!$G$58,ABS(N1845)*'Sollecitazioni nel paramento'!$G$54,'Sollecitazioni nel paramento'!$G$53)</f>
        <v>43775528.274053119</v>
      </c>
      <c r="I1845" s="472">
        <f>-'Foglio deposito bis'!$F$82*(C1845-sezione!$AP$34)*IF(ABS(O1845)&lt;'Sollecitazioni nel paramento'!$G$58,ABS(O1845)*'Sollecitazioni nel paramento'!$G$54,'Sollecitazioni nel paramento'!$G$53)</f>
        <v>520306391.73890167</v>
      </c>
      <c r="J1845" s="472">
        <f t="shared" si="127"/>
        <v>508805859.92888433</v>
      </c>
      <c r="K1845" s="550">
        <f>'Sollecitazioni nel paramento'!$G$60*(sezione!$AL$34-C1845)/C1845</f>
        <v>-7.0524794785970239E-4</v>
      </c>
      <c r="L1845" s="550">
        <f>'Sollecitazioni nel paramento'!$G$60*(sezione!$AM$34-C1845)/C1845</f>
        <v>6.9212807821044634E-4</v>
      </c>
      <c r="M1845" s="551">
        <f>'Sollecitazioni nel paramento'!$G$60*(sezione!$AN$34-C1845)/C1845</f>
        <v>2.0895041042805953E-3</v>
      </c>
      <c r="N1845" s="551">
        <f>'Sollecitazioni nel paramento'!$G$60*(sezione!$AO$34-C1845)/C1845</f>
        <v>7.6790082085611902E-3</v>
      </c>
      <c r="O1845" s="551">
        <f>'Sollecitazioni nel paramento'!$G$60*(sezione!$AP$34-C1845)/C1845</f>
        <v>4.0732520675132479E-2</v>
      </c>
      <c r="P1845" s="545">
        <f>-'Sollecitazioni nel paramento'!$G$47*'Sollecitazioni nel paramento'!$G$41*IF(DATI!$G$211="dx",DATI!$E$61,DATI!$E$64*DATI!$E$63)*1000*C1845*sezione!$AD$5</f>
        <v>-1908426.9017408532</v>
      </c>
      <c r="Q1845" s="545">
        <f>'Foglio deposito bis'!$F$78*IF(ABS(K1845)&lt;'Sollecitazioni nel paramento'!$G$58,ABS(K1845)*'Sollecitazioni nel paramento'!$G$54,'Sollecitazioni nel paramento'!$G$53)*IF(K1845&lt;0,-1,1)</f>
        <v>0</v>
      </c>
      <c r="R1845" s="545">
        <f>'Foglio deposito bis'!$F$79*IF(ABS(L1845)&lt;'Sollecitazioni nel paramento'!$G$58,ABS(L1845)*'Sollecitazioni nel paramento'!$G$54,'Sollecitazioni nel paramento'!$G$53)*IF(L1845&lt;0,-1,1)</f>
        <v>55990.400510615866</v>
      </c>
      <c r="S1845" s="545">
        <f>'Foglio deposito bis'!$F$80*IF(ABS(M1845)&lt;'Sollecitazioni nel paramento'!$G$58,ABS(M1845)*'Sollecitazioni nel paramento'!$G$54,'Sollecitazioni nel paramento'!$G$53)*IF(M1845&lt;0,-1,1)</f>
        <v>0</v>
      </c>
      <c r="T1845" s="545">
        <f>'Foglio deposito bis'!$F$81*IF(ABS(N1845)&lt;'Sollecitazioni nel paramento'!$G$58,ABS(N1845)*'Sollecitazioni nel paramento'!$G$54,'Sollecitazioni nel paramento'!$G$53)*IF(N1845&lt;0,-1,1)</f>
        <v>398299.31208121032</v>
      </c>
      <c r="U1845" s="545">
        <f>'Foglio deposito bis'!$F$82*IF(ABS(O1845)&lt;'Sollecitazioni nel paramento'!$G$58,ABS(O1845)*'Sollecitazioni nel paramento'!$G$54,'Sollecitazioni nel paramento'!$G$53)*IF(O1845&lt;0,-1,1)</f>
        <v>892485.49558937876</v>
      </c>
      <c r="V1845" s="472">
        <f t="shared" si="129"/>
        <v>-561651.69355964824</v>
      </c>
      <c r="W1845" s="551"/>
      <c r="X1845" s="551"/>
    </row>
    <row r="1846" spans="1:24" x14ac:dyDescent="0.25">
      <c r="A1846" s="545">
        <f t="shared" si="128"/>
        <v>642948.20871886681</v>
      </c>
      <c r="B1846" s="3">
        <f t="shared" si="131"/>
        <v>5.6999999999999904</v>
      </c>
      <c r="C1846" s="545">
        <f>'Foglio deposito bis'!$E$160/sezione!$B$247*B1846</f>
        <v>51.915485303891096</v>
      </c>
      <c r="D1846" s="603">
        <f>-'Sollecitazioni nel paramento'!$G$47*'Sollecitazioni nel paramento'!$G$41*IF(DATI!$G$211="dx",DATI!$E$61,DATI!$E$64*DATI!$E$63)*1000*C1846^2*sezione!$AD$5*(1-sezione!$AD$6)</f>
        <v>-59964947.984817751</v>
      </c>
      <c r="E1846" s="545">
        <f>-'Foglio deposito bis'!$F$78*(C1846-sezione!$AL$34)*IF(ABS(K1846)&lt;'Sollecitazioni nel paramento'!$G$58,ABS(K1846)*'Sollecitazioni nel paramento'!$G$54,'Sollecitazioni nel paramento'!$G$53)</f>
        <v>0</v>
      </c>
      <c r="F1846" s="545">
        <f>-'Foglio deposito bis'!$F$79*(C1846-sezione!$AM$34)*IF(ABS(L1846)&lt;'Sollecitazioni nel paramento'!$G$58,ABS(L1846)*'Sollecitazioni nel paramento'!$G$54,'Sollecitazioni nel paramento'!$G$53)</f>
        <v>356456.17453371699</v>
      </c>
      <c r="G1846" s="545">
        <f>-'Foglio deposito bis'!$F$80*(C1846-sezione!$AN$34)*IF(ABS(M1846)&lt;'Sollecitazioni nel paramento'!$G$58,ABS(M1846)*'Sollecitazioni nel paramento'!$G$54,'Sollecitazioni nel paramento'!$G$53)</f>
        <v>0</v>
      </c>
      <c r="H1846" s="545">
        <f>-'Foglio deposito bis'!$F$81*(C1846-sezione!$AO$34)*IF(ABS(N1846)&lt;'Sollecitazioni nel paramento'!$G$58,ABS(N1846)*'Sollecitazioni nel paramento'!$G$54,'Sollecitazioni nel paramento'!$G$53)</f>
        <v>43049987.850091644</v>
      </c>
      <c r="I1846" s="472">
        <f>-'Foglio deposito bis'!$F$82*(C1846-sezione!$AP$34)*IF(ABS(O1846)&lt;'Sollecitazioni nel paramento'!$G$58,ABS(O1846)*'Sollecitazioni nel paramento'!$G$54,'Sollecitazioni nel paramento'!$G$53)</f>
        <v>518680643.75187701</v>
      </c>
      <c r="J1846" s="472">
        <f t="shared" si="127"/>
        <v>502122139.79168463</v>
      </c>
      <c r="K1846" s="550">
        <f>'Sollecitazioni nel paramento'!$G$60*(sezione!$AL$34-C1846)/C1846</f>
        <v>-8.0330942337339731E-4</v>
      </c>
      <c r="L1846" s="550">
        <f>'Sollecitazioni nel paramento'!$G$60*(sezione!$AM$34-C1846)/C1846</f>
        <v>5.4503586493990413E-4</v>
      </c>
      <c r="M1846" s="551">
        <f>'Sollecitazioni nel paramento'!$G$60*(sezione!$AN$34-C1846)/C1846</f>
        <v>1.8933811532532057E-3</v>
      </c>
      <c r="N1846" s="551">
        <f>'Sollecitazioni nel paramento'!$G$60*(sezione!$AO$34-C1846)/C1846</f>
        <v>7.2867623065064101E-3</v>
      </c>
      <c r="O1846" s="551">
        <f>'Sollecitazioni nel paramento'!$G$60*(sezione!$AP$34-C1846)/C1846</f>
        <v>3.9180502405829584E-2</v>
      </c>
      <c r="P1846" s="545">
        <f>-'Sollecitazioni nel paramento'!$G$47*'Sollecitazioni nel paramento'!$G$41*IF(DATI!$G$211="dx",DATI!$E$61,DATI!$E$64*DATI!$E$63)*1000*C1846*sezione!$AD$5</f>
        <v>-1977824.2436223386</v>
      </c>
      <c r="Q1846" s="545">
        <f>'Foglio deposito bis'!$F$78*IF(ABS(K1846)&lt;'Sollecitazioni nel paramento'!$G$58,ABS(K1846)*'Sollecitazioni nel paramento'!$G$54,'Sollecitazioni nel paramento'!$G$53)*IF(K1846&lt;0,-1,1)</f>
        <v>0</v>
      </c>
      <c r="R1846" s="545">
        <f>'Foglio deposito bis'!$F$79*IF(ABS(L1846)&lt;'Sollecitazioni nel paramento'!$G$58,ABS(L1846)*'Sollecitazioni nel paramento'!$G$54,'Sollecitazioni nel paramento'!$G$53)*IF(L1846&lt;0,-1,1)</f>
        <v>44091.227232882658</v>
      </c>
      <c r="S1846" s="545">
        <f>'Foglio deposito bis'!$F$80*IF(ABS(M1846)&lt;'Sollecitazioni nel paramento'!$G$58,ABS(M1846)*'Sollecitazioni nel paramento'!$G$54,'Sollecitazioni nel paramento'!$G$53)*IF(M1846&lt;0,-1,1)</f>
        <v>0</v>
      </c>
      <c r="T1846" s="545">
        <f>'Foglio deposito bis'!$F$81*IF(ABS(N1846)&lt;'Sollecitazioni nel paramento'!$G$58,ABS(N1846)*'Sollecitazioni nel paramento'!$G$54,'Sollecitazioni nel paramento'!$G$53)*IF(N1846&lt;0,-1,1)</f>
        <v>398299.31208121032</v>
      </c>
      <c r="U1846" s="545">
        <f>'Foglio deposito bis'!$F$82*IF(ABS(O1846)&lt;'Sollecitazioni nel paramento'!$G$58,ABS(O1846)*'Sollecitazioni nel paramento'!$G$54,'Sollecitazioni nel paramento'!$G$53)*IF(O1846&lt;0,-1,1)</f>
        <v>892485.49558937876</v>
      </c>
      <c r="V1846" s="472">
        <f t="shared" si="129"/>
        <v>-642948.20871886681</v>
      </c>
      <c r="W1846" s="551"/>
      <c r="X1846" s="551"/>
    </row>
    <row r="1847" spans="1:24" x14ac:dyDescent="0.25">
      <c r="A1847" s="545">
        <f t="shared" si="128"/>
        <v>723438.00026603602</v>
      </c>
      <c r="B1847" s="3">
        <f t="shared" si="131"/>
        <v>5.8999999999999906</v>
      </c>
      <c r="C1847" s="545">
        <f>'Foglio deposito bis'!$E$160/sezione!$B$247*B1847</f>
        <v>53.737081279466224</v>
      </c>
      <c r="D1847" s="603">
        <f>-'Sollecitazioni nel paramento'!$G$47*'Sollecitazioni nel paramento'!$G$41*IF(DATI!$G$211="dx",DATI!$E$61,DATI!$E$64*DATI!$E$63)*1000*C1847^2*sezione!$AD$5*(1-sezione!$AD$6)</f>
        <v>-64246840.238581292</v>
      </c>
      <c r="E1847" s="545">
        <f>-'Foglio deposito bis'!$F$78*(C1847-sezione!$AL$34)*IF(ABS(K1847)&lt;'Sollecitazioni nel paramento'!$G$58,ABS(K1847)*'Sollecitazioni nel paramento'!$G$54,'Sollecitazioni nel paramento'!$G$53)</f>
        <v>0</v>
      </c>
      <c r="F1847" s="545">
        <f>-'Foglio deposito bis'!$F$79*(C1847-sezione!$AM$34)*IF(ABS(L1847)&lt;'Sollecitazioni nel paramento'!$G$58,ABS(L1847)*'Sollecitazioni nel paramento'!$G$54,'Sollecitazioni nel paramento'!$G$53)</f>
        <v>206668.66178034162</v>
      </c>
      <c r="G1847" s="545">
        <f>-'Foglio deposito bis'!$F$80*(C1847-sezione!$AN$34)*IF(ABS(M1847)&lt;'Sollecitazioni nel paramento'!$G$58,ABS(M1847)*'Sollecitazioni nel paramento'!$G$54,'Sollecitazioni nel paramento'!$G$53)</f>
        <v>0</v>
      </c>
      <c r="H1847" s="545">
        <f>-'Foglio deposito bis'!$F$81*(C1847-sezione!$AO$34)*IF(ABS(N1847)&lt;'Sollecitazioni nel paramento'!$G$58,ABS(N1847)*'Sollecitazioni nel paramento'!$G$54,'Sollecitazioni nel paramento'!$G$53)</f>
        <v>42324447.426130168</v>
      </c>
      <c r="I1847" s="472">
        <f>-'Foglio deposito bis'!$F$82*(C1847-sezione!$AP$34)*IF(ABS(O1847)&lt;'Sollecitazioni nel paramento'!$G$58,ABS(O1847)*'Sollecitazioni nel paramento'!$G$54,'Sollecitazioni nel paramento'!$G$53)</f>
        <v>517054895.76485217</v>
      </c>
      <c r="J1847" s="472">
        <f t="shared" si="127"/>
        <v>495339171.6141814</v>
      </c>
      <c r="K1847" s="550">
        <f>'Sollecitazioni nel paramento'!$G$60*(sezione!$AL$34-C1847)/C1847</f>
        <v>-8.9472266325904494E-4</v>
      </c>
      <c r="L1847" s="550">
        <f>'Sollecitazioni nel paramento'!$G$60*(sezione!$AM$34-C1847)/C1847</f>
        <v>4.0791600511143263E-4</v>
      </c>
      <c r="M1847" s="551">
        <f>'Sollecitazioni nel paramento'!$G$60*(sezione!$AN$34-C1847)/C1847</f>
        <v>1.7105546734819102E-3</v>
      </c>
      <c r="N1847" s="551">
        <f>'Sollecitazioni nel paramento'!$G$60*(sezione!$AO$34-C1847)/C1847</f>
        <v>6.9211093469638205E-3</v>
      </c>
      <c r="O1847" s="551">
        <f>'Sollecitazioni nel paramento'!$G$60*(sezione!$AP$34-C1847)/C1847</f>
        <v>3.7733705714106544E-2</v>
      </c>
      <c r="P1847" s="545">
        <f>-'Sollecitazioni nel paramento'!$G$47*'Sollecitazioni nel paramento'!$G$41*IF(DATI!$G$211="dx",DATI!$E$61,DATI!$E$64*DATI!$E$63)*1000*C1847*sezione!$AD$5</f>
        <v>-2047221.5855038243</v>
      </c>
      <c r="Q1847" s="545">
        <f>'Foglio deposito bis'!$F$78*IF(ABS(K1847)&lt;'Sollecitazioni nel paramento'!$G$58,ABS(K1847)*'Sollecitazioni nel paramento'!$G$54,'Sollecitazioni nel paramento'!$G$53)*IF(K1847&lt;0,-1,1)</f>
        <v>0</v>
      </c>
      <c r="R1847" s="545">
        <f>'Foglio deposito bis'!$F$79*IF(ABS(L1847)&lt;'Sollecitazioni nel paramento'!$G$58,ABS(L1847)*'Sollecitazioni nel paramento'!$G$54,'Sollecitazioni nel paramento'!$G$53)*IF(L1847&lt;0,-1,1)</f>
        <v>32998.777567199155</v>
      </c>
      <c r="S1847" s="545">
        <f>'Foglio deposito bis'!$F$80*IF(ABS(M1847)&lt;'Sollecitazioni nel paramento'!$G$58,ABS(M1847)*'Sollecitazioni nel paramento'!$G$54,'Sollecitazioni nel paramento'!$G$53)*IF(M1847&lt;0,-1,1)</f>
        <v>0</v>
      </c>
      <c r="T1847" s="545">
        <f>'Foglio deposito bis'!$F$81*IF(ABS(N1847)&lt;'Sollecitazioni nel paramento'!$G$58,ABS(N1847)*'Sollecitazioni nel paramento'!$G$54,'Sollecitazioni nel paramento'!$G$53)*IF(N1847&lt;0,-1,1)</f>
        <v>398299.31208121032</v>
      </c>
      <c r="U1847" s="545">
        <f>'Foglio deposito bis'!$F$82*IF(ABS(O1847)&lt;'Sollecitazioni nel paramento'!$G$58,ABS(O1847)*'Sollecitazioni nel paramento'!$G$54,'Sollecitazioni nel paramento'!$G$53)*IF(O1847&lt;0,-1,1)</f>
        <v>892485.49558937876</v>
      </c>
      <c r="V1847" s="472">
        <f t="shared" si="129"/>
        <v>-723438.00026603602</v>
      </c>
      <c r="W1847" s="551"/>
      <c r="X1847" s="551"/>
    </row>
    <row r="1848" spans="1:24" x14ac:dyDescent="0.25">
      <c r="A1848" s="545">
        <f t="shared" si="128"/>
        <v>803200.41806463618</v>
      </c>
      <c r="B1848" s="3">
        <f t="shared" si="131"/>
        <v>6.0999999999999908</v>
      </c>
      <c r="C1848" s="545">
        <f>'Foglio deposito bis'!$E$160/sezione!$B$247*B1848</f>
        <v>55.55867725504136</v>
      </c>
      <c r="D1848" s="603">
        <f>-'Sollecitazioni nel paramento'!$G$47*'Sollecitazioni nel paramento'!$G$41*IF(DATI!$G$211="dx",DATI!$E$61,DATI!$E$64*DATI!$E$63)*1000*C1848^2*sezione!$AD$5*(1-sezione!$AD$6)</f>
        <v>-68676383.949371174</v>
      </c>
      <c r="E1848" s="545">
        <f>-'Foglio deposito bis'!$F$78*(C1848-sezione!$AL$34)*IF(ABS(K1848)&lt;'Sollecitazioni nel paramento'!$G$58,ABS(K1848)*'Sollecitazioni nel paramento'!$G$54,'Sollecitazioni nel paramento'!$G$53)</f>
        <v>0</v>
      </c>
      <c r="F1848" s="545">
        <f>-'Foglio deposito bis'!$F$79*(C1848-sezione!$AM$34)*IF(ABS(L1848)&lt;'Sollecitazioni nel paramento'!$G$58,ABS(L1848)*'Sollecitazioni nel paramento'!$G$54,'Sollecitazioni nel paramento'!$G$53)</f>
        <v>100523.57394113057</v>
      </c>
      <c r="G1848" s="545">
        <f>-'Foglio deposito bis'!$F$80*(C1848-sezione!$AN$34)*IF(ABS(M1848)&lt;'Sollecitazioni nel paramento'!$G$58,ABS(M1848)*'Sollecitazioni nel paramento'!$G$54,'Sollecitazioni nel paramento'!$G$53)</f>
        <v>0</v>
      </c>
      <c r="H1848" s="545">
        <f>-'Foglio deposito bis'!$F$81*(C1848-sezione!$AO$34)*IF(ABS(N1848)&lt;'Sollecitazioni nel paramento'!$G$58,ABS(N1848)*'Sollecitazioni nel paramento'!$G$54,'Sollecitazioni nel paramento'!$G$53)</f>
        <v>41598907.002168693</v>
      </c>
      <c r="I1848" s="472">
        <f>-'Foglio deposito bis'!$F$82*(C1848-sezione!$AP$34)*IF(ABS(O1848)&lt;'Sollecitazioni nel paramento'!$G$58,ABS(O1848)*'Sollecitazioni nel paramento'!$G$54,'Sollecitazioni nel paramento'!$G$53)</f>
        <v>515429147.77782732</v>
      </c>
      <c r="J1848" s="472">
        <f t="shared" si="127"/>
        <v>488452194.40456599</v>
      </c>
      <c r="K1848" s="550">
        <f>'Sollecitazioni nel paramento'!$G$60*(sezione!$AL$34-C1848)/C1848</f>
        <v>-9.8014159233251932E-4</v>
      </c>
      <c r="L1848" s="550">
        <f>'Sollecitazioni nel paramento'!$G$60*(sezione!$AM$34-C1848)/C1848</f>
        <v>2.7978761150122112E-4</v>
      </c>
      <c r="M1848" s="551">
        <f>'Sollecitazioni nel paramento'!$G$60*(sezione!$AN$34-C1848)/C1848</f>
        <v>1.5397168153349617E-3</v>
      </c>
      <c r="N1848" s="551">
        <f>'Sollecitazioni nel paramento'!$G$60*(sezione!$AO$34-C1848)/C1848</f>
        <v>6.5794336306699225E-3</v>
      </c>
      <c r="O1848" s="551">
        <f>'Sollecitazioni nel paramento'!$G$60*(sezione!$AP$34-C1848)/C1848</f>
        <v>3.6381780936594846E-2</v>
      </c>
      <c r="P1848" s="545">
        <f>-'Sollecitazioni nel paramento'!$G$47*'Sollecitazioni nel paramento'!$G$41*IF(DATI!$G$211="dx",DATI!$E$61,DATI!$E$64*DATI!$E$63)*1000*C1848*sezione!$AD$5</f>
        <v>-2116618.9273853102</v>
      </c>
      <c r="Q1848" s="545">
        <f>'Foglio deposito bis'!$F$78*IF(ABS(K1848)&lt;'Sollecitazioni nel paramento'!$G$58,ABS(K1848)*'Sollecitazioni nel paramento'!$G$54,'Sollecitazioni nel paramento'!$G$53)*IF(K1848&lt;0,-1,1)</f>
        <v>0</v>
      </c>
      <c r="R1848" s="545">
        <f>'Foglio deposito bis'!$F$79*IF(ABS(L1848)&lt;'Sollecitazioni nel paramento'!$G$58,ABS(L1848)*'Sollecitazioni nel paramento'!$G$54,'Sollecitazioni nel paramento'!$G$53)*IF(L1848&lt;0,-1,1)</f>
        <v>22633.701650085037</v>
      </c>
      <c r="S1848" s="545">
        <f>'Foglio deposito bis'!$F$80*IF(ABS(M1848)&lt;'Sollecitazioni nel paramento'!$G$58,ABS(M1848)*'Sollecitazioni nel paramento'!$G$54,'Sollecitazioni nel paramento'!$G$53)*IF(M1848&lt;0,-1,1)</f>
        <v>0</v>
      </c>
      <c r="T1848" s="545">
        <f>'Foglio deposito bis'!$F$81*IF(ABS(N1848)&lt;'Sollecitazioni nel paramento'!$G$58,ABS(N1848)*'Sollecitazioni nel paramento'!$G$54,'Sollecitazioni nel paramento'!$G$53)*IF(N1848&lt;0,-1,1)</f>
        <v>398299.31208121032</v>
      </c>
      <c r="U1848" s="545">
        <f>'Foglio deposito bis'!$F$82*IF(ABS(O1848)&lt;'Sollecitazioni nel paramento'!$G$58,ABS(O1848)*'Sollecitazioni nel paramento'!$G$54,'Sollecitazioni nel paramento'!$G$53)*IF(O1848&lt;0,-1,1)</f>
        <v>892485.49558937876</v>
      </c>
      <c r="V1848" s="472">
        <f t="shared" si="129"/>
        <v>-803200.41806463618</v>
      </c>
      <c r="W1848" s="551"/>
      <c r="X1848" s="551"/>
    </row>
    <row r="1849" spans="1:24" x14ac:dyDescent="0.25">
      <c r="A1849" s="545">
        <f t="shared" si="128"/>
        <v>882304.73580500623</v>
      </c>
      <c r="B1849" s="3">
        <f t="shared" si="131"/>
        <v>6.2999999999999909</v>
      </c>
      <c r="C1849" s="545">
        <f>'Foglio deposito bis'!$E$160/sezione!$B$247*B1849</f>
        <v>57.380273230616488</v>
      </c>
      <c r="D1849" s="603">
        <f>-'Sollecitazioni nel paramento'!$G$47*'Sollecitazioni nel paramento'!$G$41*IF(DATI!$G$211="dx",DATI!$E$61,DATI!$E$64*DATI!$E$63)*1000*C1849^2*sezione!$AD$5*(1-sezione!$AD$6)</f>
        <v>-73253579.117187381</v>
      </c>
      <c r="E1849" s="545">
        <f>-'Foglio deposito bis'!$F$78*(C1849-sezione!$AL$34)*IF(ABS(K1849)&lt;'Sollecitazioni nel paramento'!$G$58,ABS(K1849)*'Sollecitazioni nel paramento'!$G$54,'Sollecitazioni nel paramento'!$G$53)</f>
        <v>0</v>
      </c>
      <c r="F1849" s="545">
        <f>-'Foglio deposito bis'!$F$79*(C1849-sezione!$AM$34)*IF(ABS(L1849)&lt;'Sollecitazioni nel paramento'!$G$58,ABS(L1849)*'Sollecitazioni nel paramento'!$G$54,'Sollecitazioni nel paramento'!$G$53)</f>
        <v>33864.489595687977</v>
      </c>
      <c r="G1849" s="545">
        <f>-'Foglio deposito bis'!$F$80*(C1849-sezione!$AN$34)*IF(ABS(M1849)&lt;'Sollecitazioni nel paramento'!$G$58,ABS(M1849)*'Sollecitazioni nel paramento'!$G$54,'Sollecitazioni nel paramento'!$G$53)</f>
        <v>0</v>
      </c>
      <c r="H1849" s="545">
        <f>-'Foglio deposito bis'!$F$81*(C1849-sezione!$AO$34)*IF(ABS(N1849)&lt;'Sollecitazioni nel paramento'!$G$58,ABS(N1849)*'Sollecitazioni nel paramento'!$G$54,'Sollecitazioni nel paramento'!$G$53)</f>
        <v>40873366.578207217</v>
      </c>
      <c r="I1849" s="472">
        <f>-'Foglio deposito bis'!$F$82*(C1849-sezione!$AP$34)*IF(ABS(O1849)&lt;'Sollecitazioni nel paramento'!$G$58,ABS(O1849)*'Sollecitazioni nel paramento'!$G$54,'Sollecitazioni nel paramento'!$G$53)</f>
        <v>513803399.7908026</v>
      </c>
      <c r="J1849" s="472">
        <f t="shared" si="127"/>
        <v>481457051.74141812</v>
      </c>
      <c r="K1849" s="550">
        <f>'Sollecitazioni nel paramento'!$G$60*(sezione!$AL$34-C1849)/C1849</f>
        <v>-1.0601370973378362E-3</v>
      </c>
      <c r="L1849" s="550">
        <f>'Sollecitazioni nel paramento'!$G$60*(sezione!$AM$34-C1849)/C1849</f>
        <v>1.5979435399324568E-4</v>
      </c>
      <c r="M1849" s="551">
        <f>'Sollecitazioni nel paramento'!$G$60*(sezione!$AN$34-C1849)/C1849</f>
        <v>1.3797258053243277E-3</v>
      </c>
      <c r="N1849" s="551">
        <f>'Sollecitazioni nel paramento'!$G$60*(sezione!$AO$34-C1849)/C1849</f>
        <v>6.2594516106486541E-3</v>
      </c>
      <c r="O1849" s="551">
        <f>'Sollecitazioni nel paramento'!$G$60*(sezione!$AP$34-C1849)/C1849</f>
        <v>3.5115692652893424E-2</v>
      </c>
      <c r="P1849" s="545">
        <f>-'Sollecitazioni nel paramento'!$G$47*'Sollecitazioni nel paramento'!$G$41*IF(DATI!$G$211="dx",DATI!$E$61,DATI!$E$64*DATI!$E$63)*1000*C1849*sezione!$AD$5</f>
        <v>-2186016.2692667958</v>
      </c>
      <c r="Q1849" s="545">
        <f>'Foglio deposito bis'!$F$78*IF(ABS(K1849)&lt;'Sollecitazioni nel paramento'!$G$58,ABS(K1849)*'Sollecitazioni nel paramento'!$G$54,'Sollecitazioni nel paramento'!$G$53)*IF(K1849&lt;0,-1,1)</f>
        <v>0</v>
      </c>
      <c r="R1849" s="545">
        <f>'Foglio deposito bis'!$F$79*IF(ABS(L1849)&lt;'Sollecitazioni nel paramento'!$G$58,ABS(L1849)*'Sollecitazioni nel paramento'!$G$54,'Sollecitazioni nel paramento'!$G$53)*IF(L1849&lt;0,-1,1)</f>
        <v>12926.725791200415</v>
      </c>
      <c r="S1849" s="545">
        <f>'Foglio deposito bis'!$F$80*IF(ABS(M1849)&lt;'Sollecitazioni nel paramento'!$G$58,ABS(M1849)*'Sollecitazioni nel paramento'!$G$54,'Sollecitazioni nel paramento'!$G$53)*IF(M1849&lt;0,-1,1)</f>
        <v>0</v>
      </c>
      <c r="T1849" s="545">
        <f>'Foglio deposito bis'!$F$81*IF(ABS(N1849)&lt;'Sollecitazioni nel paramento'!$G$58,ABS(N1849)*'Sollecitazioni nel paramento'!$G$54,'Sollecitazioni nel paramento'!$G$53)*IF(N1849&lt;0,-1,1)</f>
        <v>398299.31208121032</v>
      </c>
      <c r="U1849" s="545">
        <f>'Foglio deposito bis'!$F$82*IF(ABS(O1849)&lt;'Sollecitazioni nel paramento'!$G$58,ABS(O1849)*'Sollecitazioni nel paramento'!$G$54,'Sollecitazioni nel paramento'!$G$53)*IF(O1849&lt;0,-1,1)</f>
        <v>892485.49558937876</v>
      </c>
      <c r="V1849" s="472">
        <f t="shared" si="129"/>
        <v>-882304.73580500623</v>
      </c>
      <c r="W1849" s="551"/>
      <c r="X1849" s="551"/>
    </row>
    <row r="1850" spans="1:24" x14ac:dyDescent="0.25">
      <c r="A1850" s="545">
        <f t="shared" si="128"/>
        <v>960811.7011848297</v>
      </c>
      <c r="B1850" s="3">
        <f t="shared" si="131"/>
        <v>6.4999999999999911</v>
      </c>
      <c r="C1850" s="545">
        <f>'Foglio deposito bis'!$E$160/sezione!$B$247*B1850</f>
        <v>59.201869206191617</v>
      </c>
      <c r="D1850" s="603">
        <f>-'Sollecitazioni nel paramento'!$G$47*'Sollecitazioni nel paramento'!$G$41*IF(DATI!$G$211="dx",DATI!$E$61,DATI!$E$64*DATI!$E$63)*1000*C1850^2*sezione!$AD$5*(1-sezione!$AD$6)</f>
        <v>-77978425.742029905</v>
      </c>
      <c r="E1850" s="545">
        <f>-'Foglio deposito bis'!$F$78*(C1850-sezione!$AL$34)*IF(ABS(K1850)&lt;'Sollecitazioni nel paramento'!$G$58,ABS(K1850)*'Sollecitazioni nel paramento'!$G$54,'Sollecitazioni nel paramento'!$G$53)</f>
        <v>0</v>
      </c>
      <c r="F1850" s="545">
        <f>-'Foglio deposito bis'!$F$79*(C1850-sezione!$AM$34)*IF(ABS(L1850)&lt;'Sollecitazioni nel paramento'!$G$58,ABS(L1850)*'Sollecitazioni nel paramento'!$G$54,'Sollecitazioni nel paramento'!$G$53)</f>
        <v>3046.5468830501823</v>
      </c>
      <c r="G1850" s="545">
        <f>-'Foglio deposito bis'!$F$80*(C1850-sezione!$AN$34)*IF(ABS(M1850)&lt;'Sollecitazioni nel paramento'!$G$58,ABS(M1850)*'Sollecitazioni nel paramento'!$G$54,'Sollecitazioni nel paramento'!$G$53)</f>
        <v>0</v>
      </c>
      <c r="H1850" s="545">
        <f>-'Foglio deposito bis'!$F$81*(C1850-sezione!$AO$34)*IF(ABS(N1850)&lt;'Sollecitazioni nel paramento'!$G$58,ABS(N1850)*'Sollecitazioni nel paramento'!$G$54,'Sollecitazioni nel paramento'!$G$53)</f>
        <v>40147826.154245742</v>
      </c>
      <c r="I1850" s="472">
        <f>-'Foglio deposito bis'!$F$82*(C1850-sezione!$AP$34)*IF(ABS(O1850)&lt;'Sollecitazioni nel paramento'!$G$58,ABS(O1850)*'Sollecitazioni nel paramento'!$G$54,'Sollecitazioni nel paramento'!$G$53)</f>
        <v>512177651.80377775</v>
      </c>
      <c r="J1850" s="472">
        <f t="shared" si="127"/>
        <v>474350098.76287663</v>
      </c>
      <c r="K1850" s="550">
        <f>'Sollecitazioni nel paramento'!$G$60*(sezione!$AL$34-C1850)/C1850</f>
        <v>-1.1352098020351337E-3</v>
      </c>
      <c r="L1850" s="550">
        <f>'Sollecitazioni nel paramento'!$G$60*(sezione!$AM$34-C1850)/C1850</f>
        <v>4.718529694729955E-5</v>
      </c>
      <c r="M1850" s="551">
        <f>'Sollecitazioni nel paramento'!$G$60*(sezione!$AN$34-C1850)/C1850</f>
        <v>1.2295803959297327E-3</v>
      </c>
      <c r="N1850" s="551">
        <f>'Sollecitazioni nel paramento'!$G$60*(sezione!$AO$34-C1850)/C1850</f>
        <v>5.959160791859465E-3</v>
      </c>
      <c r="O1850" s="551">
        <f>'Sollecitazioni nel paramento'!$G$60*(sezione!$AP$34-C1850)/C1850</f>
        <v>3.3927517494342856E-2</v>
      </c>
      <c r="P1850" s="545">
        <f>-'Sollecitazioni nel paramento'!$G$47*'Sollecitazioni nel paramento'!$G$41*IF(DATI!$G$211="dx",DATI!$E$61,DATI!$E$64*DATI!$E$63)*1000*C1850*sezione!$AD$5</f>
        <v>-2255413.6111482815</v>
      </c>
      <c r="Q1850" s="545">
        <f>'Foglio deposito bis'!$F$78*IF(ABS(K1850)&lt;'Sollecitazioni nel paramento'!$G$58,ABS(K1850)*'Sollecitazioni nel paramento'!$G$54,'Sollecitazioni nel paramento'!$G$53)*IF(K1850&lt;0,-1,1)</f>
        <v>0</v>
      </c>
      <c r="R1850" s="545">
        <f>'Foglio deposito bis'!$F$79*IF(ABS(L1850)&lt;'Sollecitazioni nel paramento'!$G$58,ABS(L1850)*'Sollecitazioni nel paramento'!$G$54,'Sollecitazioni nel paramento'!$G$53)*IF(L1850&lt;0,-1,1)</f>
        <v>3817.1022928625457</v>
      </c>
      <c r="S1850" s="545">
        <f>'Foglio deposito bis'!$F$80*IF(ABS(M1850)&lt;'Sollecitazioni nel paramento'!$G$58,ABS(M1850)*'Sollecitazioni nel paramento'!$G$54,'Sollecitazioni nel paramento'!$G$53)*IF(M1850&lt;0,-1,1)</f>
        <v>0</v>
      </c>
      <c r="T1850" s="545">
        <f>'Foglio deposito bis'!$F$81*IF(ABS(N1850)&lt;'Sollecitazioni nel paramento'!$G$58,ABS(N1850)*'Sollecitazioni nel paramento'!$G$54,'Sollecitazioni nel paramento'!$G$53)*IF(N1850&lt;0,-1,1)</f>
        <v>398299.31208121032</v>
      </c>
      <c r="U1850" s="545">
        <f>'Foglio deposito bis'!$F$82*IF(ABS(O1850)&lt;'Sollecitazioni nel paramento'!$G$58,ABS(O1850)*'Sollecitazioni nel paramento'!$G$54,'Sollecitazioni nel paramento'!$G$53)*IF(O1850&lt;0,-1,1)</f>
        <v>892485.49558937876</v>
      </c>
      <c r="V1850" s="472">
        <f t="shared" si="129"/>
        <v>-960811.7011848297</v>
      </c>
      <c r="W1850" s="551"/>
      <c r="X1850" s="551"/>
    </row>
    <row r="1851" spans="1:24" x14ac:dyDescent="0.25">
      <c r="A1851" s="545">
        <f t="shared" si="128"/>
        <v>1038774.8084453503</v>
      </c>
      <c r="B1851" s="3">
        <f t="shared" si="131"/>
        <v>6.6999999999999913</v>
      </c>
      <c r="C1851" s="545">
        <f>'Foglio deposito bis'!$E$160/sezione!$B$247*B1851</f>
        <v>61.023465181766753</v>
      </c>
      <c r="D1851" s="603">
        <f>-'Sollecitazioni nel paramento'!$G$47*'Sollecitazioni nel paramento'!$G$41*IF(DATI!$G$211="dx",DATI!$E$61,DATI!$E$64*DATI!$E$63)*1000*C1851^2*sezione!$AD$5*(1-sezione!$AD$6)</f>
        <v>-82850923.823898777</v>
      </c>
      <c r="E1851" s="545">
        <f>-'Foglio deposito bis'!$F$78*(C1851-sezione!$AL$34)*IF(ABS(K1851)&lt;'Sollecitazioni nel paramento'!$G$58,ABS(K1851)*'Sollecitazioni nel paramento'!$G$54,'Sollecitazioni nel paramento'!$G$53)</f>
        <v>0</v>
      </c>
      <c r="F1851" s="545">
        <f>-'Foglio deposito bis'!$F$79*(C1851-sezione!$AM$34)*IF(ABS(L1851)&lt;'Sollecitazioni nel paramento'!$G$58,ABS(L1851)*'Sollecitazioni nel paramento'!$G$54,'Sollecitazioni nel paramento'!$G$53)</f>
        <v>-4860.091328637689</v>
      </c>
      <c r="G1851" s="545">
        <f>-'Foglio deposito bis'!$F$80*(C1851-sezione!$AN$34)*IF(ABS(M1851)&lt;'Sollecitazioni nel paramento'!$G$58,ABS(M1851)*'Sollecitazioni nel paramento'!$G$54,'Sollecitazioni nel paramento'!$G$53)</f>
        <v>0</v>
      </c>
      <c r="H1851" s="545">
        <f>-'Foglio deposito bis'!$F$81*(C1851-sezione!$AO$34)*IF(ABS(N1851)&lt;'Sollecitazioni nel paramento'!$G$58,ABS(N1851)*'Sollecitazioni nel paramento'!$G$54,'Sollecitazioni nel paramento'!$G$53)</f>
        <v>39422285.730284259</v>
      </c>
      <c r="I1851" s="472">
        <f>-'Foglio deposito bis'!$F$82*(C1851-sezione!$AP$34)*IF(ABS(O1851)&lt;'Sollecitazioni nel paramento'!$G$58,ABS(O1851)*'Sollecitazioni nel paramento'!$G$54,'Sollecitazioni nel paramento'!$G$53)</f>
        <v>510551903.81675297</v>
      </c>
      <c r="J1851" s="472">
        <f t="shared" si="127"/>
        <v>467118405.63180983</v>
      </c>
      <c r="K1851" s="550">
        <f>'Sollecitazioni nel paramento'!$G$60*(sezione!$AL$34-C1851)/C1851</f>
        <v>-1.2058005542131896E-3</v>
      </c>
      <c r="L1851" s="550">
        <f>'Sollecitazioni nel paramento'!$G$60*(sezione!$AM$34-C1851)/C1851</f>
        <v>-5.8700831319784526E-5</v>
      </c>
      <c r="M1851" s="551">
        <f>'Sollecitazioni nel paramento'!$G$60*(sezione!$AN$34-C1851)/C1851</f>
        <v>1.0883988915736207E-3</v>
      </c>
      <c r="N1851" s="551">
        <f>'Sollecitazioni nel paramento'!$G$60*(sezione!$AO$34-C1851)/C1851</f>
        <v>5.6767977831472414E-3</v>
      </c>
      <c r="O1851" s="551">
        <f>'Sollecitazioni nel paramento'!$G$60*(sezione!$AP$34-C1851)/C1851</f>
        <v>3.2810278166153513E-2</v>
      </c>
      <c r="P1851" s="545">
        <f>-'Sollecitazioni nel paramento'!$G$47*'Sollecitazioni nel paramento'!$G$41*IF(DATI!$G$211="dx",DATI!$E$61,DATI!$E$64*DATI!$E$63)*1000*C1851*sezione!$AD$5</f>
        <v>-2324810.9530297676</v>
      </c>
      <c r="Q1851" s="545">
        <f>'Foglio deposito bis'!$F$78*IF(ABS(K1851)&lt;'Sollecitazioni nel paramento'!$G$58,ABS(K1851)*'Sollecitazioni nel paramento'!$G$54,'Sollecitazioni nel paramento'!$G$53)*IF(K1851&lt;0,-1,1)</f>
        <v>0</v>
      </c>
      <c r="R1851" s="545">
        <f>'Foglio deposito bis'!$F$79*IF(ABS(L1851)&lt;'Sollecitazioni nel paramento'!$G$58,ABS(L1851)*'Sollecitazioni nel paramento'!$G$54,'Sollecitazioni nel paramento'!$G$53)*IF(L1851&lt;0,-1,1)</f>
        <v>-4748.6630861716039</v>
      </c>
      <c r="S1851" s="545">
        <f>'Foglio deposito bis'!$F$80*IF(ABS(M1851)&lt;'Sollecitazioni nel paramento'!$G$58,ABS(M1851)*'Sollecitazioni nel paramento'!$G$54,'Sollecitazioni nel paramento'!$G$53)*IF(M1851&lt;0,-1,1)</f>
        <v>0</v>
      </c>
      <c r="T1851" s="545">
        <f>'Foglio deposito bis'!$F$81*IF(ABS(N1851)&lt;'Sollecitazioni nel paramento'!$G$58,ABS(N1851)*'Sollecitazioni nel paramento'!$G$54,'Sollecitazioni nel paramento'!$G$53)*IF(N1851&lt;0,-1,1)</f>
        <v>398299.31208121032</v>
      </c>
      <c r="U1851" s="545">
        <f>'Foglio deposito bis'!$F$82*IF(ABS(O1851)&lt;'Sollecitazioni nel paramento'!$G$58,ABS(O1851)*'Sollecitazioni nel paramento'!$G$54,'Sollecitazioni nel paramento'!$G$53)*IF(O1851&lt;0,-1,1)</f>
        <v>892485.49558937876</v>
      </c>
      <c r="V1851" s="472">
        <f t="shared" si="129"/>
        <v>-1038774.8084453503</v>
      </c>
      <c r="W1851" s="551"/>
      <c r="X1851" s="551"/>
    </row>
    <row r="1852" spans="1:24" x14ac:dyDescent="0.25">
      <c r="A1852" s="545">
        <f t="shared" si="128"/>
        <v>1116241.3495969404</v>
      </c>
      <c r="B1852" s="3">
        <f t="shared" si="131"/>
        <v>6.8999999999999915</v>
      </c>
      <c r="C1852" s="545">
        <f>'Foglio deposito bis'!$E$160/sezione!$B$247*B1852</f>
        <v>62.845061157341881</v>
      </c>
      <c r="D1852" s="603">
        <f>-'Sollecitazioni nel paramento'!$G$47*'Sollecitazioni nel paramento'!$G$41*IF(DATI!$G$211="dx",DATI!$E$61,DATI!$E$64*DATI!$E$63)*1000*C1852^2*sezione!$AD$5*(1-sezione!$AD$6)</f>
        <v>-87871073.362793967</v>
      </c>
      <c r="E1852" s="545">
        <f>-'Foglio deposito bis'!$F$78*(C1852-sezione!$AL$34)*IF(ABS(K1852)&lt;'Sollecitazioni nel paramento'!$G$58,ABS(K1852)*'Sollecitazioni nel paramento'!$G$54,'Sollecitazioni nel paramento'!$G$53)</f>
        <v>0</v>
      </c>
      <c r="F1852" s="545">
        <f>-'Foglio deposito bis'!$F$79*(C1852-sezione!$AM$34)*IF(ABS(L1852)&lt;'Sollecitazioni nel paramento'!$G$58,ABS(L1852)*'Sollecitazioni nel paramento'!$G$54,'Sollecitazioni nel paramento'!$G$53)</f>
        <v>-36467.602309996109</v>
      </c>
      <c r="G1852" s="545">
        <f>-'Foglio deposito bis'!$F$80*(C1852-sezione!$AN$34)*IF(ABS(M1852)&lt;'Sollecitazioni nel paramento'!$G$58,ABS(M1852)*'Sollecitazioni nel paramento'!$G$54,'Sollecitazioni nel paramento'!$G$53)</f>
        <v>0</v>
      </c>
      <c r="H1852" s="545">
        <f>-'Foglio deposito bis'!$F$81*(C1852-sezione!$AO$34)*IF(ABS(N1852)&lt;'Sollecitazioni nel paramento'!$G$58,ABS(N1852)*'Sollecitazioni nel paramento'!$G$54,'Sollecitazioni nel paramento'!$G$53)</f>
        <v>38696745.306322783</v>
      </c>
      <c r="I1852" s="472">
        <f>-'Foglio deposito bis'!$F$82*(C1852-sezione!$AP$34)*IF(ABS(O1852)&lt;'Sollecitazioni nel paramento'!$G$58,ABS(O1852)*'Sollecitazioni nel paramento'!$G$54,'Sollecitazioni nel paramento'!$G$53)</f>
        <v>508926155.82972819</v>
      </c>
      <c r="J1852" s="472">
        <f t="shared" si="127"/>
        <v>459715360.17094702</v>
      </c>
      <c r="K1852" s="550">
        <f>'Sollecitazioni nel paramento'!$G$60*(sezione!$AL$34-C1852)/C1852</f>
        <v>-1.272299088873677E-3</v>
      </c>
      <c r="L1852" s="550">
        <f>'Sollecitazioni nel paramento'!$G$60*(sezione!$AM$34-C1852)/C1852</f>
        <v>-1.5844863331051549E-4</v>
      </c>
      <c r="M1852" s="551">
        <f>'Sollecitazioni nel paramento'!$G$60*(sezione!$AN$34-C1852)/C1852</f>
        <v>9.55401822252646E-4</v>
      </c>
      <c r="N1852" s="551">
        <f>'Sollecitazioni nel paramento'!$G$60*(sezione!$AO$34-C1852)/C1852</f>
        <v>5.4108036445052916E-3</v>
      </c>
      <c r="O1852" s="551">
        <f>'Sollecitazioni nel paramento'!$G$60*(sezione!$AP$34-C1852)/C1852</f>
        <v>3.1757806335250507E-2</v>
      </c>
      <c r="P1852" s="545">
        <f>-'Sollecitazioni nel paramento'!$G$47*'Sollecitazioni nel paramento'!$G$41*IF(DATI!$G$211="dx",DATI!$E$61,DATI!$E$64*DATI!$E$63)*1000*C1852*sezione!$AD$5</f>
        <v>-2394208.2949112533</v>
      </c>
      <c r="Q1852" s="545">
        <f>'Foglio deposito bis'!$F$78*IF(ABS(K1852)&lt;'Sollecitazioni nel paramento'!$G$58,ABS(K1852)*'Sollecitazioni nel paramento'!$G$54,'Sollecitazioni nel paramento'!$G$53)*IF(K1852&lt;0,-1,1)</f>
        <v>0</v>
      </c>
      <c r="R1852" s="545">
        <f>'Foglio deposito bis'!$F$79*IF(ABS(L1852)&lt;'Sollecitazioni nel paramento'!$G$58,ABS(L1852)*'Sollecitazioni nel paramento'!$G$54,'Sollecitazioni nel paramento'!$G$53)*IF(L1852&lt;0,-1,1)</f>
        <v>-12817.862356276204</v>
      </c>
      <c r="S1852" s="545">
        <f>'Foglio deposito bis'!$F$80*IF(ABS(M1852)&lt;'Sollecitazioni nel paramento'!$G$58,ABS(M1852)*'Sollecitazioni nel paramento'!$G$54,'Sollecitazioni nel paramento'!$G$53)*IF(M1852&lt;0,-1,1)</f>
        <v>0</v>
      </c>
      <c r="T1852" s="545">
        <f>'Foglio deposito bis'!$F$81*IF(ABS(N1852)&lt;'Sollecitazioni nel paramento'!$G$58,ABS(N1852)*'Sollecitazioni nel paramento'!$G$54,'Sollecitazioni nel paramento'!$G$53)*IF(N1852&lt;0,-1,1)</f>
        <v>398299.31208121032</v>
      </c>
      <c r="U1852" s="545">
        <f>'Foglio deposito bis'!$F$82*IF(ABS(O1852)&lt;'Sollecitazioni nel paramento'!$G$58,ABS(O1852)*'Sollecitazioni nel paramento'!$G$54,'Sollecitazioni nel paramento'!$G$53)*IF(O1852&lt;0,-1,1)</f>
        <v>892485.49558937876</v>
      </c>
      <c r="V1852" s="472">
        <f t="shared" si="129"/>
        <v>-1116241.3495969404</v>
      </c>
      <c r="W1852" s="551"/>
      <c r="X1852" s="551"/>
    </row>
    <row r="1853" spans="1:24" x14ac:dyDescent="0.25">
      <c r="A1853" s="545">
        <f t="shared" si="128"/>
        <v>1193253.2879727501</v>
      </c>
      <c r="B1853" s="3">
        <f t="shared" si="131"/>
        <v>7.0999999999999917</v>
      </c>
      <c r="C1853" s="545">
        <f>'Foglio deposito bis'!$E$160/sezione!$B$247*B1853</f>
        <v>64.66665713291701</v>
      </c>
      <c r="D1853" s="603">
        <f>-'Sollecitazioni nel paramento'!$G$47*'Sollecitazioni nel paramento'!$G$41*IF(DATI!$G$211="dx",DATI!$E$61,DATI!$E$64*DATI!$E$63)*1000*C1853^2*sezione!$AD$5*(1-sezione!$AD$6)</f>
        <v>-93038874.358715475</v>
      </c>
      <c r="E1853" s="545">
        <f>-'Foglio deposito bis'!$F$78*(C1853-sezione!$AL$34)*IF(ABS(K1853)&lt;'Sollecitazioni nel paramento'!$G$58,ABS(K1853)*'Sollecitazioni nel paramento'!$G$54,'Sollecitazioni nel paramento'!$G$53)</f>
        <v>0</v>
      </c>
      <c r="F1853" s="545">
        <f>-'Foglio deposito bis'!$F$79*(C1853-sezione!$AM$34)*IF(ABS(L1853)&lt;'Sollecitazioni nel paramento'!$G$58,ABS(L1853)*'Sollecitazioni nel paramento'!$G$54,'Sollecitazioni nel paramento'!$G$53)</f>
        <v>-95351.279838186994</v>
      </c>
      <c r="G1853" s="545">
        <f>-'Foglio deposito bis'!$F$80*(C1853-sezione!$AN$34)*IF(ABS(M1853)&lt;'Sollecitazioni nel paramento'!$G$58,ABS(M1853)*'Sollecitazioni nel paramento'!$G$54,'Sollecitazioni nel paramento'!$G$53)</f>
        <v>0</v>
      </c>
      <c r="H1853" s="545">
        <f>-'Foglio deposito bis'!$F$81*(C1853-sezione!$AO$34)*IF(ABS(N1853)&lt;'Sollecitazioni nel paramento'!$G$58,ABS(N1853)*'Sollecitazioni nel paramento'!$G$54,'Sollecitazioni nel paramento'!$G$53)</f>
        <v>37971204.882361315</v>
      </c>
      <c r="I1853" s="472">
        <f>-'Foglio deposito bis'!$F$82*(C1853-sezione!$AP$34)*IF(ABS(O1853)&lt;'Sollecitazioni nel paramento'!$G$58,ABS(O1853)*'Sollecitazioni nel paramento'!$G$54,'Sollecitazioni nel paramento'!$G$53)</f>
        <v>507300407.8427034</v>
      </c>
      <c r="J1853" s="472">
        <f t="shared" si="127"/>
        <v>452137387.08651108</v>
      </c>
      <c r="K1853" s="550">
        <f>'Sollecitazioni nel paramento'!$G$60*(sezione!$AL$34-C1853)/C1853</f>
        <v>-1.3350512272152636E-3</v>
      </c>
      <c r="L1853" s="550">
        <f>'Sollecitazioni nel paramento'!$G$60*(sezione!$AM$34-C1853)/C1853</f>
        <v>-2.5257684082289537E-4</v>
      </c>
      <c r="M1853" s="551">
        <f>'Sollecitazioni nel paramento'!$G$60*(sezione!$AN$34-C1853)/C1853</f>
        <v>8.2989754556947275E-4</v>
      </c>
      <c r="N1853" s="551">
        <f>'Sollecitazioni nel paramento'!$G$60*(sezione!$AO$34-C1853)/C1853</f>
        <v>5.1597950911389462E-3</v>
      </c>
      <c r="O1853" s="551">
        <f>'Sollecitazioni nel paramento'!$G$60*(sezione!$AP$34-C1853)/C1853</f>
        <v>3.0764628692004012E-2</v>
      </c>
      <c r="P1853" s="545">
        <f>-'Sollecitazioni nel paramento'!$G$47*'Sollecitazioni nel paramento'!$G$41*IF(DATI!$G$211="dx",DATI!$E$61,DATI!$E$64*DATI!$E$63)*1000*C1853*sezione!$AD$5</f>
        <v>-2463605.6367927389</v>
      </c>
      <c r="Q1853" s="545">
        <f>'Foglio deposito bis'!$F$78*IF(ABS(K1853)&lt;'Sollecitazioni nel paramento'!$G$58,ABS(K1853)*'Sollecitazioni nel paramento'!$G$54,'Sollecitazioni nel paramento'!$G$53)*IF(K1853&lt;0,-1,1)</f>
        <v>0</v>
      </c>
      <c r="R1853" s="545">
        <f>'Foglio deposito bis'!$F$79*IF(ABS(L1853)&lt;'Sollecitazioni nel paramento'!$G$58,ABS(L1853)*'Sollecitazioni nel paramento'!$G$54,'Sollecitazioni nel paramento'!$G$53)*IF(L1853&lt;0,-1,1)</f>
        <v>-20432.458850600262</v>
      </c>
      <c r="S1853" s="545">
        <f>'Foglio deposito bis'!$F$80*IF(ABS(M1853)&lt;'Sollecitazioni nel paramento'!$G$58,ABS(M1853)*'Sollecitazioni nel paramento'!$G$54,'Sollecitazioni nel paramento'!$G$53)*IF(M1853&lt;0,-1,1)</f>
        <v>0</v>
      </c>
      <c r="T1853" s="545">
        <f>'Foglio deposito bis'!$F$81*IF(ABS(N1853)&lt;'Sollecitazioni nel paramento'!$G$58,ABS(N1853)*'Sollecitazioni nel paramento'!$G$54,'Sollecitazioni nel paramento'!$G$53)*IF(N1853&lt;0,-1,1)</f>
        <v>398299.31208121032</v>
      </c>
      <c r="U1853" s="545">
        <f>'Foglio deposito bis'!$F$82*IF(ABS(O1853)&lt;'Sollecitazioni nel paramento'!$G$58,ABS(O1853)*'Sollecitazioni nel paramento'!$G$54,'Sollecitazioni nel paramento'!$G$53)*IF(O1853&lt;0,-1,1)</f>
        <v>892485.49558937876</v>
      </c>
      <c r="V1853" s="472">
        <f t="shared" si="129"/>
        <v>-1193253.2879727501</v>
      </c>
      <c r="W1853" s="551"/>
      <c r="X1853" s="551"/>
    </row>
    <row r="1854" spans="1:24" x14ac:dyDescent="0.25">
      <c r="A1854" s="545">
        <f t="shared" si="128"/>
        <v>1269847.9881844874</v>
      </c>
      <c r="B1854" s="3">
        <f t="shared" si="131"/>
        <v>7.2999999999999918</v>
      </c>
      <c r="C1854" s="545">
        <f>'Foglio deposito bis'!$E$160/sezione!$B$247*B1854</f>
        <v>66.488253108492145</v>
      </c>
      <c r="D1854" s="603">
        <f>-'Sollecitazioni nel paramento'!$G$47*'Sollecitazioni nel paramento'!$G$41*IF(DATI!$G$211="dx",DATI!$E$61,DATI!$E$64*DATI!$E$63)*1000*C1854^2*sezione!$AD$5*(1-sezione!$AD$6)</f>
        <v>-98354326.811663345</v>
      </c>
      <c r="E1854" s="545">
        <f>-'Foglio deposito bis'!$F$78*(C1854-sezione!$AL$34)*IF(ABS(K1854)&lt;'Sollecitazioni nel paramento'!$G$58,ABS(K1854)*'Sollecitazioni nel paramento'!$G$54,'Sollecitazioni nel paramento'!$G$53)</f>
        <v>0</v>
      </c>
      <c r="F1854" s="545">
        <f>-'Foglio deposito bis'!$F$79*(C1854-sezione!$AM$34)*IF(ABS(L1854)&lt;'Sollecitazioni nel paramento'!$G$58,ABS(L1854)*'Sollecitazioni nel paramento'!$G$54,'Sollecitazioni nel paramento'!$G$53)</f>
        <v>-179269.24721073135</v>
      </c>
      <c r="G1854" s="545">
        <f>-'Foglio deposito bis'!$F$80*(C1854-sezione!$AN$34)*IF(ABS(M1854)&lt;'Sollecitazioni nel paramento'!$G$58,ABS(M1854)*'Sollecitazioni nel paramento'!$G$54,'Sollecitazioni nel paramento'!$G$53)</f>
        <v>0</v>
      </c>
      <c r="H1854" s="545">
        <f>-'Foglio deposito bis'!$F$81*(C1854-sezione!$AO$34)*IF(ABS(N1854)&lt;'Sollecitazioni nel paramento'!$G$58,ABS(N1854)*'Sollecitazioni nel paramento'!$G$54,'Sollecitazioni nel paramento'!$G$53)</f>
        <v>37245664.458399832</v>
      </c>
      <c r="I1854" s="472">
        <f>-'Foglio deposito bis'!$F$82*(C1854-sezione!$AP$34)*IF(ABS(O1854)&lt;'Sollecitazioni nel paramento'!$G$58,ABS(O1854)*'Sollecitazioni nel paramento'!$G$54,'Sollecitazioni nel paramento'!$G$53)</f>
        <v>505674659.85567868</v>
      </c>
      <c r="J1854" s="472">
        <f t="shared" si="127"/>
        <v>444386728.25520444</v>
      </c>
      <c r="K1854" s="550">
        <f>'Sollecitazioni nel paramento'!$G$60*(sezione!$AL$34-C1854)/C1854</f>
        <v>-1.3943648922230649E-3</v>
      </c>
      <c r="L1854" s="550">
        <f>'Sollecitazioni nel paramento'!$G$60*(sezione!$AM$34-C1854)/C1854</f>
        <v>-3.4154733833459731E-4</v>
      </c>
      <c r="M1854" s="551">
        <f>'Sollecitazioni nel paramento'!$G$60*(sezione!$AN$34-C1854)/C1854</f>
        <v>7.1127021555387028E-4</v>
      </c>
      <c r="N1854" s="551">
        <f>'Sollecitazioni nel paramento'!$G$60*(sezione!$AO$34-C1854)/C1854</f>
        <v>4.9225404311077411E-3</v>
      </c>
      <c r="O1854" s="551">
        <f>'Sollecitazioni nel paramento'!$G$60*(sezione!$AP$34-C1854)/C1854</f>
        <v>2.9825871741538147E-2</v>
      </c>
      <c r="P1854" s="545">
        <f>-'Sollecitazioni nel paramento'!$G$47*'Sollecitazioni nel paramento'!$G$41*IF(DATI!$G$211="dx",DATI!$E$61,DATI!$E$64*DATI!$E$63)*1000*C1854*sezione!$AD$5</f>
        <v>-2533002.9786742246</v>
      </c>
      <c r="Q1854" s="545">
        <f>'Foglio deposito bis'!$F$78*IF(ABS(K1854)&lt;'Sollecitazioni nel paramento'!$G$58,ABS(K1854)*'Sollecitazioni nel paramento'!$G$54,'Sollecitazioni nel paramento'!$G$53)*IF(K1854&lt;0,-1,1)</f>
        <v>0</v>
      </c>
      <c r="R1854" s="545">
        <f>'Foglio deposito bis'!$F$79*IF(ABS(L1854)&lt;'Sollecitazioni nel paramento'!$G$58,ABS(L1854)*'Sollecitazioni nel paramento'!$G$54,'Sollecitazioni nel paramento'!$G$53)*IF(L1854&lt;0,-1,1)</f>
        <v>-27629.817180851798</v>
      </c>
      <c r="S1854" s="545">
        <f>'Foglio deposito bis'!$F$80*IF(ABS(M1854)&lt;'Sollecitazioni nel paramento'!$G$58,ABS(M1854)*'Sollecitazioni nel paramento'!$G$54,'Sollecitazioni nel paramento'!$G$53)*IF(M1854&lt;0,-1,1)</f>
        <v>0</v>
      </c>
      <c r="T1854" s="545">
        <f>'Foglio deposito bis'!$F$81*IF(ABS(N1854)&lt;'Sollecitazioni nel paramento'!$G$58,ABS(N1854)*'Sollecitazioni nel paramento'!$G$54,'Sollecitazioni nel paramento'!$G$53)*IF(N1854&lt;0,-1,1)</f>
        <v>398299.31208121032</v>
      </c>
      <c r="U1854" s="545">
        <f>'Foglio deposito bis'!$F$82*IF(ABS(O1854)&lt;'Sollecitazioni nel paramento'!$G$58,ABS(O1854)*'Sollecitazioni nel paramento'!$G$54,'Sollecitazioni nel paramento'!$G$53)*IF(O1854&lt;0,-1,1)</f>
        <v>892485.49558937876</v>
      </c>
      <c r="V1854" s="472">
        <f t="shared" si="129"/>
        <v>-1269847.9881844874</v>
      </c>
      <c r="W1854" s="551"/>
      <c r="X1854" s="551"/>
    </row>
    <row r="1855" spans="1:24" x14ac:dyDescent="0.25">
      <c r="A1855" s="545">
        <f t="shared" si="128"/>
        <v>1346058.829285278</v>
      </c>
      <c r="B1855" s="3">
        <f t="shared" si="131"/>
        <v>7.499999999999992</v>
      </c>
      <c r="C1855" s="545">
        <f>'Foglio deposito bis'!$E$160/sezione!$B$247*B1855</f>
        <v>68.309849084067281</v>
      </c>
      <c r="D1855" s="603">
        <f>-'Sollecitazioni nel paramento'!$G$47*'Sollecitazioni nel paramento'!$G$41*IF(DATI!$G$211="dx",DATI!$E$61,DATI!$E$64*DATI!$E$63)*1000*C1855^2*sezione!$AD$5*(1-sezione!$AD$6)</f>
        <v>-103817430.72163753</v>
      </c>
      <c r="E1855" s="545">
        <f>-'Foglio deposito bis'!$F$78*(C1855-sezione!$AL$34)*IF(ABS(K1855)&lt;'Sollecitazioni nel paramento'!$G$58,ABS(K1855)*'Sollecitazioni nel paramento'!$G$54,'Sollecitazioni nel paramento'!$G$53)</f>
        <v>0</v>
      </c>
      <c r="F1855" s="545">
        <f>-'Foglio deposito bis'!$F$79*(C1855-sezione!$AM$34)*IF(ABS(L1855)&lt;'Sollecitazioni nel paramento'!$G$58,ABS(L1855)*'Sollecitazioni nel paramento'!$G$54,'Sollecitazioni nel paramento'!$G$53)</f>
        <v>-286218.76124008076</v>
      </c>
      <c r="G1855" s="545">
        <f>-'Foglio deposito bis'!$F$80*(C1855-sezione!$AN$34)*IF(ABS(M1855)&lt;'Sollecitazioni nel paramento'!$G$58,ABS(M1855)*'Sollecitazioni nel paramento'!$G$54,'Sollecitazioni nel paramento'!$G$53)</f>
        <v>0</v>
      </c>
      <c r="H1855" s="545">
        <f>-'Foglio deposito bis'!$F$81*(C1855-sezione!$AO$34)*IF(ABS(N1855)&lt;'Sollecitazioni nel paramento'!$G$58,ABS(N1855)*'Sollecitazioni nel paramento'!$G$54,'Sollecitazioni nel paramento'!$G$53)</f>
        <v>36520124.034438357</v>
      </c>
      <c r="I1855" s="472">
        <f>-'Foglio deposito bis'!$F$82*(C1855-sezione!$AP$34)*IF(ABS(O1855)&lt;'Sollecitazioni nel paramento'!$G$58,ABS(O1855)*'Sollecitazioni nel paramento'!$G$54,'Sollecitazioni nel paramento'!$G$53)</f>
        <v>504048911.86865383</v>
      </c>
      <c r="J1855" s="472">
        <f t="shared" si="127"/>
        <v>436465386.42021459</v>
      </c>
      <c r="K1855" s="550">
        <f>'Sollecitazioni nel paramento'!$G$60*(sezione!$AL$34-C1855)/C1855</f>
        <v>-1.4505151617637835E-3</v>
      </c>
      <c r="L1855" s="550">
        <f>'Sollecitazioni nel paramento'!$G$60*(sezione!$AM$34-C1855)/C1855</f>
        <v>-4.2577274264567509E-4</v>
      </c>
      <c r="M1855" s="551">
        <f>'Sollecitazioni nel paramento'!$G$60*(sezione!$AN$34-C1855)/C1855</f>
        <v>5.9896967647243317E-4</v>
      </c>
      <c r="N1855" s="551">
        <f>'Sollecitazioni nel paramento'!$G$60*(sezione!$AO$34-C1855)/C1855</f>
        <v>4.6979393529448668E-3</v>
      </c>
      <c r="O1855" s="551">
        <f>'Sollecitazioni nel paramento'!$G$60*(sezione!$AP$34-C1855)/C1855</f>
        <v>2.8937181828430459E-2</v>
      </c>
      <c r="P1855" s="545">
        <f>-'Sollecitazioni nel paramento'!$G$47*'Sollecitazioni nel paramento'!$G$41*IF(DATI!$G$211="dx",DATI!$E$61,DATI!$E$64*DATI!$E$63)*1000*C1855*sezione!$AD$5</f>
        <v>-2602400.3205557107</v>
      </c>
      <c r="Q1855" s="545">
        <f>'Foglio deposito bis'!$F$78*IF(ABS(K1855)&lt;'Sollecitazioni nel paramento'!$G$58,ABS(K1855)*'Sollecitazioni nel paramento'!$G$54,'Sollecitazioni nel paramento'!$G$53)*IF(K1855&lt;0,-1,1)</f>
        <v>0</v>
      </c>
      <c r="R1855" s="545">
        <f>'Foglio deposito bis'!$F$79*IF(ABS(L1855)&lt;'Sollecitazioni nel paramento'!$G$58,ABS(L1855)*'Sollecitazioni nel paramento'!$G$54,'Sollecitazioni nel paramento'!$G$53)*IF(L1855&lt;0,-1,1)</f>
        <v>-34443.316400156582</v>
      </c>
      <c r="S1855" s="545">
        <f>'Foglio deposito bis'!$F$80*IF(ABS(M1855)&lt;'Sollecitazioni nel paramento'!$G$58,ABS(M1855)*'Sollecitazioni nel paramento'!$G$54,'Sollecitazioni nel paramento'!$G$53)*IF(M1855&lt;0,-1,1)</f>
        <v>0</v>
      </c>
      <c r="T1855" s="545">
        <f>'Foglio deposito bis'!$F$81*IF(ABS(N1855)&lt;'Sollecitazioni nel paramento'!$G$58,ABS(N1855)*'Sollecitazioni nel paramento'!$G$54,'Sollecitazioni nel paramento'!$G$53)*IF(N1855&lt;0,-1,1)</f>
        <v>398299.31208121032</v>
      </c>
      <c r="U1855" s="545">
        <f>'Foglio deposito bis'!$F$82*IF(ABS(O1855)&lt;'Sollecitazioni nel paramento'!$G$58,ABS(O1855)*'Sollecitazioni nel paramento'!$G$54,'Sollecitazioni nel paramento'!$G$53)*IF(O1855&lt;0,-1,1)</f>
        <v>892485.49558937876</v>
      </c>
      <c r="V1855" s="472">
        <f t="shared" si="129"/>
        <v>-1346058.829285278</v>
      </c>
      <c r="W1855" s="551"/>
      <c r="X1855" s="551"/>
    </row>
    <row r="1856" spans="1:24" x14ac:dyDescent="0.25">
      <c r="A1856" s="545">
        <f t="shared" si="128"/>
        <v>1421915.7223746763</v>
      </c>
      <c r="B1856" s="3">
        <f t="shared" si="131"/>
        <v>7.6999999999999922</v>
      </c>
      <c r="C1856" s="545">
        <f>'Foglio deposito bis'!$E$160/sezione!$B$247*B1856</f>
        <v>70.131445059642402</v>
      </c>
      <c r="D1856" s="603">
        <f>-'Sollecitazioni nel paramento'!$G$47*'Sollecitazioni nel paramento'!$G$41*IF(DATI!$G$211="dx",DATI!$E$61,DATI!$E$64*DATI!$E$63)*1000*C1856^2*sezione!$AD$5*(1-sezione!$AD$6)</f>
        <v>-109428186.08863802</v>
      </c>
      <c r="E1856" s="545">
        <f>-'Foglio deposito bis'!$F$78*(C1856-sezione!$AL$34)*IF(ABS(K1856)&lt;'Sollecitazioni nel paramento'!$G$58,ABS(K1856)*'Sollecitazioni nel paramento'!$G$54,'Sollecitazioni nel paramento'!$G$53)</f>
        <v>0</v>
      </c>
      <c r="F1856" s="545">
        <f>-'Foglio deposito bis'!$F$79*(C1856-sezione!$AM$34)*IF(ABS(L1856)&lt;'Sollecitazioni nel paramento'!$G$58,ABS(L1856)*'Sollecitazioni nel paramento'!$G$54,'Sollecitazioni nel paramento'!$G$53)</f>
        <v>-414405.15595297649</v>
      </c>
      <c r="G1856" s="545">
        <f>-'Foglio deposito bis'!$F$80*(C1856-sezione!$AN$34)*IF(ABS(M1856)&lt;'Sollecitazioni nel paramento'!$G$58,ABS(M1856)*'Sollecitazioni nel paramento'!$G$54,'Sollecitazioni nel paramento'!$G$53)</f>
        <v>0</v>
      </c>
      <c r="H1856" s="545">
        <f>-'Foglio deposito bis'!$F$81*(C1856-sezione!$AO$34)*IF(ABS(N1856)&lt;'Sollecitazioni nel paramento'!$G$58,ABS(N1856)*'Sollecitazioni nel paramento'!$G$54,'Sollecitazioni nel paramento'!$G$53)</f>
        <v>35794583.610476889</v>
      </c>
      <c r="I1856" s="472">
        <f>-'Foglio deposito bis'!$F$82*(C1856-sezione!$AP$34)*IF(ABS(O1856)&lt;'Sollecitazioni nel paramento'!$G$58,ABS(O1856)*'Sollecitazioni nel paramento'!$G$54,'Sollecitazioni nel paramento'!$G$53)</f>
        <v>502423163.88162905</v>
      </c>
      <c r="J1856" s="472">
        <f t="shared" si="127"/>
        <v>428375156.24751496</v>
      </c>
      <c r="K1856" s="550">
        <f>'Sollecitazioni nel paramento'!$G$60*(sezione!$AL$34-C1856)/C1856</f>
        <v>-1.5037485341855032E-3</v>
      </c>
      <c r="L1856" s="550">
        <f>'Sollecitazioni nel paramento'!$G$60*(sezione!$AM$34-C1856)/C1856</f>
        <v>-5.0562280127825474E-4</v>
      </c>
      <c r="M1856" s="551">
        <f>'Sollecitazioni nel paramento'!$G$60*(sezione!$AN$34-C1856)/C1856</f>
        <v>4.925029316289937E-4</v>
      </c>
      <c r="N1856" s="551">
        <f>'Sollecitazioni nel paramento'!$G$60*(sezione!$AO$34-C1856)/C1856</f>
        <v>4.4850058632579879E-3</v>
      </c>
      <c r="O1856" s="551">
        <f>'Sollecitazioni nel paramento'!$G$60*(sezione!$AP$34-C1856)/C1856</f>
        <v>2.8094657625094607E-2</v>
      </c>
      <c r="P1856" s="545">
        <f>-'Sollecitazioni nel paramento'!$G$47*'Sollecitazioni nel paramento'!$G$41*IF(DATI!$G$211="dx",DATI!$E$61,DATI!$E$64*DATI!$E$63)*1000*C1856*sezione!$AD$5</f>
        <v>-2671797.6624371964</v>
      </c>
      <c r="Q1856" s="545">
        <f>'Foglio deposito bis'!$F$78*IF(ABS(K1856)&lt;'Sollecitazioni nel paramento'!$G$58,ABS(K1856)*'Sollecitazioni nel paramento'!$G$54,'Sollecitazioni nel paramento'!$G$53)*IF(K1856&lt;0,-1,1)</f>
        <v>0</v>
      </c>
      <c r="R1856" s="545">
        <f>'Foglio deposito bis'!$F$79*IF(ABS(L1856)&lt;'Sollecitazioni nel paramento'!$G$58,ABS(L1856)*'Sollecitazioni nel paramento'!$G$54,'Sollecitazioni nel paramento'!$G$53)*IF(L1856&lt;0,-1,1)</f>
        <v>-40902.86760806886</v>
      </c>
      <c r="S1856" s="545">
        <f>'Foglio deposito bis'!$F$80*IF(ABS(M1856)&lt;'Sollecitazioni nel paramento'!$G$58,ABS(M1856)*'Sollecitazioni nel paramento'!$G$54,'Sollecitazioni nel paramento'!$G$53)*IF(M1856&lt;0,-1,1)</f>
        <v>0</v>
      </c>
      <c r="T1856" s="545">
        <f>'Foglio deposito bis'!$F$81*IF(ABS(N1856)&lt;'Sollecitazioni nel paramento'!$G$58,ABS(N1856)*'Sollecitazioni nel paramento'!$G$54,'Sollecitazioni nel paramento'!$G$53)*IF(N1856&lt;0,-1,1)</f>
        <v>398299.31208121032</v>
      </c>
      <c r="U1856" s="545">
        <f>'Foglio deposito bis'!$F$82*IF(ABS(O1856)&lt;'Sollecitazioni nel paramento'!$G$58,ABS(O1856)*'Sollecitazioni nel paramento'!$G$54,'Sollecitazioni nel paramento'!$G$53)*IF(O1856&lt;0,-1,1)</f>
        <v>892485.49558937876</v>
      </c>
      <c r="V1856" s="472">
        <f t="shared" si="129"/>
        <v>-1421915.7223746763</v>
      </c>
      <c r="W1856" s="551"/>
      <c r="X1856" s="551"/>
    </row>
    <row r="1857" spans="1:24" x14ac:dyDescent="0.25">
      <c r="A1857" s="545">
        <f t="shared" si="128"/>
        <v>1497445.5495801293</v>
      </c>
      <c r="B1857" s="3">
        <f t="shared" si="131"/>
        <v>7.8999999999999924</v>
      </c>
      <c r="C1857" s="545">
        <f>'Foglio deposito bis'!$E$160/sezione!$B$247*B1857</f>
        <v>71.953041035217538</v>
      </c>
      <c r="D1857" s="603">
        <f>-'Sollecitazioni nel paramento'!$G$47*'Sollecitazioni nel paramento'!$G$41*IF(DATI!$G$211="dx",DATI!$E$61,DATI!$E$64*DATI!$E$63)*1000*C1857^2*sezione!$AD$5*(1-sezione!$AD$6)</f>
        <v>-115186592.91266486</v>
      </c>
      <c r="E1857" s="545">
        <f>-'Foglio deposito bis'!$F$78*(C1857-sezione!$AL$34)*IF(ABS(K1857)&lt;'Sollecitazioni nel paramento'!$G$58,ABS(K1857)*'Sollecitazioni nel paramento'!$G$54,'Sollecitazioni nel paramento'!$G$53)</f>
        <v>0</v>
      </c>
      <c r="F1857" s="545">
        <f>-'Foglio deposito bis'!$F$79*(C1857-sezione!$AM$34)*IF(ABS(L1857)&lt;'Sollecitazioni nel paramento'!$G$58,ABS(L1857)*'Sollecitazioni nel paramento'!$G$54,'Sollecitazioni nel paramento'!$G$53)</f>
        <v>-562215.50370256894</v>
      </c>
      <c r="G1857" s="545">
        <f>-'Foglio deposito bis'!$F$80*(C1857-sezione!$AN$34)*IF(ABS(M1857)&lt;'Sollecitazioni nel paramento'!$G$58,ABS(M1857)*'Sollecitazioni nel paramento'!$G$54,'Sollecitazioni nel paramento'!$G$53)</f>
        <v>0</v>
      </c>
      <c r="H1857" s="545">
        <f>-'Foglio deposito bis'!$F$81*(C1857-sezione!$AO$34)*IF(ABS(N1857)&lt;'Sollecitazioni nel paramento'!$G$58,ABS(N1857)*'Sollecitazioni nel paramento'!$G$54,'Sollecitazioni nel paramento'!$G$53)</f>
        <v>35069043.186515406</v>
      </c>
      <c r="I1857" s="472">
        <f>-'Foglio deposito bis'!$F$82*(C1857-sezione!$AP$34)*IF(ABS(O1857)&lt;'Sollecitazioni nel paramento'!$G$58,ABS(O1857)*'Sollecitazioni nel paramento'!$G$54,'Sollecitazioni nel paramento'!$G$53)</f>
        <v>500797415.89460421</v>
      </c>
      <c r="J1857" s="472">
        <f t="shared" si="127"/>
        <v>420117650.66475219</v>
      </c>
      <c r="K1857" s="550">
        <f>'Sollecitazioni nel paramento'!$G$60*(sezione!$AL$34-C1857)/C1857</f>
        <v>-1.5542865459782754E-3</v>
      </c>
      <c r="L1857" s="550">
        <f>'Sollecitazioni nel paramento'!$G$60*(sezione!$AM$34-C1857)/C1857</f>
        <v>-5.8142981896741315E-4</v>
      </c>
      <c r="M1857" s="551">
        <f>'Sollecitazioni nel paramento'!$G$60*(sezione!$AN$34-C1857)/C1857</f>
        <v>3.9142690804344914E-4</v>
      </c>
      <c r="N1857" s="551">
        <f>'Sollecitazioni nel paramento'!$G$60*(sezione!$AO$34-C1857)/C1857</f>
        <v>4.2828538160868982E-3</v>
      </c>
      <c r="O1857" s="551">
        <f>'Sollecitazioni nel paramento'!$G$60*(sezione!$AP$34-C1857)/C1857</f>
        <v>2.7294792875092205E-2</v>
      </c>
      <c r="P1857" s="545">
        <f>-'Sollecitazioni nel paramento'!$G$47*'Sollecitazioni nel paramento'!$G$41*IF(DATI!$G$211="dx",DATI!$E$61,DATI!$E$64*DATI!$E$63)*1000*C1857*sezione!$AD$5</f>
        <v>-2741195.004318682</v>
      </c>
      <c r="Q1857" s="545">
        <f>'Foglio deposito bis'!$F$78*IF(ABS(K1857)&lt;'Sollecitazioni nel paramento'!$G$58,ABS(K1857)*'Sollecitazioni nel paramento'!$G$54,'Sollecitazioni nel paramento'!$G$53)*IF(K1857&lt;0,-1,1)</f>
        <v>0</v>
      </c>
      <c r="R1857" s="545">
        <f>'Foglio deposito bis'!$F$79*IF(ABS(L1857)&lt;'Sollecitazioni nel paramento'!$G$58,ABS(L1857)*'Sollecitazioni nel paramento'!$G$54,'Sollecitazioni nel paramento'!$G$53)*IF(L1857&lt;0,-1,1)</f>
        <v>-47035.352932036265</v>
      </c>
      <c r="S1857" s="545">
        <f>'Foglio deposito bis'!$F$80*IF(ABS(M1857)&lt;'Sollecitazioni nel paramento'!$G$58,ABS(M1857)*'Sollecitazioni nel paramento'!$G$54,'Sollecitazioni nel paramento'!$G$53)*IF(M1857&lt;0,-1,1)</f>
        <v>0</v>
      </c>
      <c r="T1857" s="545">
        <f>'Foglio deposito bis'!$F$81*IF(ABS(N1857)&lt;'Sollecitazioni nel paramento'!$G$58,ABS(N1857)*'Sollecitazioni nel paramento'!$G$54,'Sollecitazioni nel paramento'!$G$53)*IF(N1857&lt;0,-1,1)</f>
        <v>398299.31208121032</v>
      </c>
      <c r="U1857" s="545">
        <f>'Foglio deposito bis'!$F$82*IF(ABS(O1857)&lt;'Sollecitazioni nel paramento'!$G$58,ABS(O1857)*'Sollecitazioni nel paramento'!$G$54,'Sollecitazioni nel paramento'!$G$53)*IF(O1857&lt;0,-1,1)</f>
        <v>892485.49558937876</v>
      </c>
      <c r="V1857" s="472">
        <f t="shared" si="129"/>
        <v>-1497445.5495801293</v>
      </c>
      <c r="W1857" s="551"/>
      <c r="X1857" s="551"/>
    </row>
    <row r="1858" spans="1:24" x14ac:dyDescent="0.25">
      <c r="A1858" s="545">
        <f t="shared" si="128"/>
        <v>1572672.5380041511</v>
      </c>
      <c r="B1858" s="3">
        <f t="shared" si="131"/>
        <v>8.0999999999999925</v>
      </c>
      <c r="C1858" s="545">
        <f>'Foglio deposito bis'!$E$160/sezione!$B$247*B1858</f>
        <v>73.774637010792659</v>
      </c>
      <c r="D1858" s="603">
        <f>-'Sollecitazioni nel paramento'!$G$47*'Sollecitazioni nel paramento'!$G$41*IF(DATI!$G$211="dx",DATI!$E$61,DATI!$E$64*DATI!$E$63)*1000*C1858^2*sezione!$AD$5*(1-sezione!$AD$6)</f>
        <v>-121092651.193718</v>
      </c>
      <c r="E1858" s="545">
        <f>-'Foglio deposito bis'!$F$78*(C1858-sezione!$AL$34)*IF(ABS(K1858)&lt;'Sollecitazioni nel paramento'!$G$58,ABS(K1858)*'Sollecitazioni nel paramento'!$G$54,'Sollecitazioni nel paramento'!$G$53)</f>
        <v>0</v>
      </c>
      <c r="F1858" s="545">
        <f>-'Foglio deposito bis'!$F$79*(C1858-sezione!$AM$34)*IF(ABS(L1858)&lt;'Sollecitazioni nel paramento'!$G$58,ABS(L1858)*'Sollecitazioni nel paramento'!$G$54,'Sollecitazioni nel paramento'!$G$53)</f>
        <v>-728196.17833798961</v>
      </c>
      <c r="G1858" s="545">
        <f>-'Foglio deposito bis'!$F$80*(C1858-sezione!$AN$34)*IF(ABS(M1858)&lt;'Sollecitazioni nel paramento'!$G$58,ABS(M1858)*'Sollecitazioni nel paramento'!$G$54,'Sollecitazioni nel paramento'!$G$53)</f>
        <v>0</v>
      </c>
      <c r="H1858" s="545">
        <f>-'Foglio deposito bis'!$F$81*(C1858-sezione!$AO$34)*IF(ABS(N1858)&lt;'Sollecitazioni nel paramento'!$G$58,ABS(N1858)*'Sollecitazioni nel paramento'!$G$54,'Sollecitazioni nel paramento'!$G$53)</f>
        <v>34343502.762553938</v>
      </c>
      <c r="I1858" s="472">
        <f>-'Foglio deposito bis'!$F$82*(C1858-sezione!$AP$34)*IF(ABS(O1858)&lt;'Sollecitazioni nel paramento'!$G$58,ABS(O1858)*'Sollecitazioni nel paramento'!$G$54,'Sollecitazioni nel paramento'!$G$53)</f>
        <v>499171667.90757948</v>
      </c>
      <c r="J1858" s="472">
        <f t="shared" si="127"/>
        <v>411694323.29807746</v>
      </c>
      <c r="K1858" s="550">
        <f>'Sollecitazioni nel paramento'!$G$60*(sezione!$AL$34-C1858)/C1858</f>
        <v>-1.6023288534849846E-3</v>
      </c>
      <c r="L1858" s="550">
        <f>'Sollecitazioni nel paramento'!$G$60*(sezione!$AM$34-C1858)/C1858</f>
        <v>-6.5349328022747686E-4</v>
      </c>
      <c r="M1858" s="551">
        <f>'Sollecitazioni nel paramento'!$G$60*(sezione!$AN$34-C1858)/C1858</f>
        <v>2.9534229303003094E-4</v>
      </c>
      <c r="N1858" s="551">
        <f>'Sollecitazioni nel paramento'!$G$60*(sezione!$AO$34-C1858)/C1858</f>
        <v>4.0906845860600614E-3</v>
      </c>
      <c r="O1858" s="551">
        <f>'Sollecitazioni nel paramento'!$G$60*(sezione!$AP$34-C1858)/C1858</f>
        <v>2.6534427618917097E-2</v>
      </c>
      <c r="P1858" s="545">
        <f>-'Sollecitazioni nel paramento'!$G$47*'Sollecitazioni nel paramento'!$G$41*IF(DATI!$G$211="dx",DATI!$E$61,DATI!$E$64*DATI!$E$63)*1000*C1858*sezione!$AD$5</f>
        <v>-2810592.3462001672</v>
      </c>
      <c r="Q1858" s="545">
        <f>'Foglio deposito bis'!$F$78*IF(ABS(K1858)&lt;'Sollecitazioni nel paramento'!$G$58,ABS(K1858)*'Sollecitazioni nel paramento'!$G$54,'Sollecitazioni nel paramento'!$G$53)*IF(K1858&lt;0,-1,1)</f>
        <v>0</v>
      </c>
      <c r="R1858" s="545">
        <f>'Foglio deposito bis'!$F$79*IF(ABS(L1858)&lt;'Sollecitazioni nel paramento'!$G$58,ABS(L1858)*'Sollecitazioni nel paramento'!$G$54,'Sollecitazioni nel paramento'!$G$53)*IF(L1858&lt;0,-1,1)</f>
        <v>-52864.999474573138</v>
      </c>
      <c r="S1858" s="545">
        <f>'Foglio deposito bis'!$F$80*IF(ABS(M1858)&lt;'Sollecitazioni nel paramento'!$G$58,ABS(M1858)*'Sollecitazioni nel paramento'!$G$54,'Sollecitazioni nel paramento'!$G$53)*IF(M1858&lt;0,-1,1)</f>
        <v>0</v>
      </c>
      <c r="T1858" s="545">
        <f>'Foglio deposito bis'!$F$81*IF(ABS(N1858)&lt;'Sollecitazioni nel paramento'!$G$58,ABS(N1858)*'Sollecitazioni nel paramento'!$G$54,'Sollecitazioni nel paramento'!$G$53)*IF(N1858&lt;0,-1,1)</f>
        <v>398299.31208121032</v>
      </c>
      <c r="U1858" s="545">
        <f>'Foglio deposito bis'!$F$82*IF(ABS(O1858)&lt;'Sollecitazioni nel paramento'!$G$58,ABS(O1858)*'Sollecitazioni nel paramento'!$G$54,'Sollecitazioni nel paramento'!$G$53)*IF(O1858&lt;0,-1,1)</f>
        <v>892485.49558937876</v>
      </c>
      <c r="V1858" s="472">
        <f t="shared" si="129"/>
        <v>-1572672.5380041511</v>
      </c>
      <c r="W1858" s="551"/>
      <c r="X1858" s="551"/>
    </row>
    <row r="1859" spans="1:24" x14ac:dyDescent="0.25">
      <c r="A1859" s="545">
        <f t="shared" si="128"/>
        <v>1647618.5796068474</v>
      </c>
      <c r="B1859" s="3">
        <f t="shared" si="131"/>
        <v>8.2999999999999918</v>
      </c>
      <c r="C1859" s="545">
        <f>'Foglio deposito bis'!$E$160/sezione!$B$247*B1859</f>
        <v>75.596232986367795</v>
      </c>
      <c r="D1859" s="603">
        <f>-'Sollecitazioni nel paramento'!$G$47*'Sollecitazioni nel paramento'!$G$41*IF(DATI!$G$211="dx",DATI!$E$61,DATI!$E$64*DATI!$E$63)*1000*C1859^2*sezione!$AD$5*(1-sezione!$AD$6)</f>
        <v>-127146360.93179752</v>
      </c>
      <c r="E1859" s="545">
        <f>-'Foglio deposito bis'!$F$78*(C1859-sezione!$AL$34)*IF(ABS(K1859)&lt;'Sollecitazioni nel paramento'!$G$58,ABS(K1859)*'Sollecitazioni nel paramento'!$G$54,'Sollecitazioni nel paramento'!$G$53)</f>
        <v>0</v>
      </c>
      <c r="F1859" s="545">
        <f>-'Foglio deposito bis'!$F$79*(C1859-sezione!$AM$34)*IF(ABS(L1859)&lt;'Sollecitazioni nel paramento'!$G$58,ABS(L1859)*'Sollecitazioni nel paramento'!$G$54,'Sollecitazioni nel paramento'!$G$53)</f>
        <v>-911033.66225303593</v>
      </c>
      <c r="G1859" s="545">
        <f>-'Foglio deposito bis'!$F$80*(C1859-sezione!$AN$34)*IF(ABS(M1859)&lt;'Sollecitazioni nel paramento'!$G$58,ABS(M1859)*'Sollecitazioni nel paramento'!$G$54,'Sollecitazioni nel paramento'!$G$53)</f>
        <v>0</v>
      </c>
      <c r="H1859" s="545">
        <f>-'Foglio deposito bis'!$F$81*(C1859-sezione!$AO$34)*IF(ABS(N1859)&lt;'Sollecitazioni nel paramento'!$G$58,ABS(N1859)*'Sollecitazioni nel paramento'!$G$54,'Sollecitazioni nel paramento'!$G$53)</f>
        <v>33617962.338592462</v>
      </c>
      <c r="I1859" s="472">
        <f>-'Foglio deposito bis'!$F$82*(C1859-sezione!$AP$34)*IF(ABS(O1859)&lt;'Sollecitazioni nel paramento'!$G$58,ABS(O1859)*'Sollecitazioni nel paramento'!$G$54,'Sollecitazioni nel paramento'!$G$53)</f>
        <v>497545919.92055464</v>
      </c>
      <c r="J1859" s="472">
        <f t="shared" si="127"/>
        <v>403106487.66509652</v>
      </c>
      <c r="K1859" s="550">
        <f>'Sollecitazioni nel paramento'!$G$60*(sezione!$AL$34-C1859)/C1859</f>
        <v>-1.6480558690636598E-3</v>
      </c>
      <c r="L1859" s="550">
        <f>'Sollecitazioni nel paramento'!$G$60*(sezione!$AM$34-C1859)/C1859</f>
        <v>-7.2208380359548962E-4</v>
      </c>
      <c r="M1859" s="551">
        <f>'Sollecitazioni nel paramento'!$G$60*(sezione!$AN$34-C1859)/C1859</f>
        <v>2.0388826187268041E-4</v>
      </c>
      <c r="N1859" s="551">
        <f>'Sollecitazioni nel paramento'!$G$60*(sezione!$AO$34-C1859)/C1859</f>
        <v>3.9077765237453604E-3</v>
      </c>
      <c r="O1859" s="551">
        <f>'Sollecitazioni nel paramento'!$G$60*(sezione!$AP$34-C1859)/C1859</f>
        <v>2.5810706471473304E-2</v>
      </c>
      <c r="P1859" s="545">
        <f>-'Sollecitazioni nel paramento'!$G$47*'Sollecitazioni nel paramento'!$G$41*IF(DATI!$G$211="dx",DATI!$E$61,DATI!$E$64*DATI!$E$63)*1000*C1859*sezione!$AD$5</f>
        <v>-2879989.6880816533</v>
      </c>
      <c r="Q1859" s="545">
        <f>'Foglio deposito bis'!$F$78*IF(ABS(K1859)&lt;'Sollecitazioni nel paramento'!$G$58,ABS(K1859)*'Sollecitazioni nel paramento'!$G$54,'Sollecitazioni nel paramento'!$G$53)*IF(K1859&lt;0,-1,1)</f>
        <v>0</v>
      </c>
      <c r="R1859" s="545">
        <f>'Foglio deposito bis'!$F$79*IF(ABS(L1859)&lt;'Sollecitazioni nel paramento'!$G$58,ABS(L1859)*'Sollecitazioni nel paramento'!$G$54,'Sollecitazioni nel paramento'!$G$53)*IF(L1859&lt;0,-1,1)</f>
        <v>-58413.699195782945</v>
      </c>
      <c r="S1859" s="545">
        <f>'Foglio deposito bis'!$F$80*IF(ABS(M1859)&lt;'Sollecitazioni nel paramento'!$G$58,ABS(M1859)*'Sollecitazioni nel paramento'!$G$54,'Sollecitazioni nel paramento'!$G$53)*IF(M1859&lt;0,-1,1)</f>
        <v>0</v>
      </c>
      <c r="T1859" s="545">
        <f>'Foglio deposito bis'!$F$81*IF(ABS(N1859)&lt;'Sollecitazioni nel paramento'!$G$58,ABS(N1859)*'Sollecitazioni nel paramento'!$G$54,'Sollecitazioni nel paramento'!$G$53)*IF(N1859&lt;0,-1,1)</f>
        <v>398299.31208121032</v>
      </c>
      <c r="U1859" s="545">
        <f>'Foglio deposito bis'!$F$82*IF(ABS(O1859)&lt;'Sollecitazioni nel paramento'!$G$58,ABS(O1859)*'Sollecitazioni nel paramento'!$G$54,'Sollecitazioni nel paramento'!$G$53)*IF(O1859&lt;0,-1,1)</f>
        <v>892485.49558937876</v>
      </c>
      <c r="V1859" s="472">
        <f t="shared" si="129"/>
        <v>-1647618.5796068474</v>
      </c>
      <c r="W1859" s="551"/>
      <c r="X1859" s="551"/>
    </row>
    <row r="1860" spans="1:24" x14ac:dyDescent="0.25">
      <c r="A1860" s="545">
        <f t="shared" si="128"/>
        <v>1722303.5059285439</v>
      </c>
      <c r="B1860" s="3">
        <f t="shared" si="131"/>
        <v>8.4999999999999911</v>
      </c>
      <c r="C1860" s="545">
        <f>'Foglio deposito bis'!$E$160/sezione!$B$247*B1860</f>
        <v>77.417828961942917</v>
      </c>
      <c r="D1860" s="603">
        <f>-'Sollecitazioni nel paramento'!$G$47*'Sollecitazioni nel paramento'!$G$41*IF(DATI!$G$211="dx",DATI!$E$61,DATI!$E$64*DATI!$E$63)*1000*C1860^2*sezione!$AD$5*(1-sezione!$AD$6)</f>
        <v>-133347722.12690331</v>
      </c>
      <c r="E1860" s="545">
        <f>-'Foglio deposito bis'!$F$78*(C1860-sezione!$AL$34)*IF(ABS(K1860)&lt;'Sollecitazioni nel paramento'!$G$58,ABS(K1860)*'Sollecitazioni nel paramento'!$G$54,'Sollecitazioni nel paramento'!$G$53)</f>
        <v>0</v>
      </c>
      <c r="F1860" s="545">
        <f>-'Foglio deposito bis'!$F$79*(C1860-sezione!$AM$34)*IF(ABS(L1860)&lt;'Sollecitazioni nel paramento'!$G$58,ABS(L1860)*'Sollecitazioni nel paramento'!$G$54,'Sollecitazioni nel paramento'!$G$53)</f>
        <v>-1109538.0630279679</v>
      </c>
      <c r="G1860" s="545">
        <f>-'Foglio deposito bis'!$F$80*(C1860-sezione!$AN$34)*IF(ABS(M1860)&lt;'Sollecitazioni nel paramento'!$G$58,ABS(M1860)*'Sollecitazioni nel paramento'!$G$54,'Sollecitazioni nel paramento'!$G$53)</f>
        <v>0</v>
      </c>
      <c r="H1860" s="545">
        <f>-'Foglio deposito bis'!$F$81*(C1860-sezione!$AO$34)*IF(ABS(N1860)&lt;'Sollecitazioni nel paramento'!$G$58,ABS(N1860)*'Sollecitazioni nel paramento'!$G$54,'Sollecitazioni nel paramento'!$G$53)</f>
        <v>32892421.91463099</v>
      </c>
      <c r="I1860" s="472">
        <f>-'Foglio deposito bis'!$F$82*(C1860-sezione!$AP$34)*IF(ABS(O1860)&lt;'Sollecitazioni nel paramento'!$G$58,ABS(O1860)*'Sollecitazioni nel paramento'!$G$54,'Sollecitazioni nel paramento'!$G$53)</f>
        <v>495920171.93352991</v>
      </c>
      <c r="J1860" s="472">
        <f t="shared" si="127"/>
        <v>394355333.65822965</v>
      </c>
      <c r="K1860" s="550">
        <f>'Sollecitazioni nel paramento'!$G$60*(sezione!$AL$34-C1860)/C1860</f>
        <v>-1.6916310250856912E-3</v>
      </c>
      <c r="L1860" s="550">
        <f>'Sollecitazioni nel paramento'!$G$60*(sezione!$AM$34-C1860)/C1860</f>
        <v>-7.8744653762853676E-4</v>
      </c>
      <c r="M1860" s="551">
        <f>'Sollecitazioni nel paramento'!$G$60*(sezione!$AN$34-C1860)/C1860</f>
        <v>1.1673794982861762E-4</v>
      </c>
      <c r="N1860" s="551">
        <f>'Sollecitazioni nel paramento'!$G$60*(sezione!$AO$34-C1860)/C1860</f>
        <v>3.733475899657235E-3</v>
      </c>
      <c r="O1860" s="551">
        <f>'Sollecitazioni nel paramento'!$G$60*(sezione!$AP$34-C1860)/C1860</f>
        <v>2.5121042789791579E-2</v>
      </c>
      <c r="P1860" s="545">
        <f>-'Sollecitazioni nel paramento'!$G$47*'Sollecitazioni nel paramento'!$G$41*IF(DATI!$G$211="dx",DATI!$E$61,DATI!$E$64*DATI!$E$63)*1000*C1860*sezione!$AD$5</f>
        <v>-2949387.0299631385</v>
      </c>
      <c r="Q1860" s="545">
        <f>'Foglio deposito bis'!$F$78*IF(ABS(K1860)&lt;'Sollecitazioni nel paramento'!$G$58,ABS(K1860)*'Sollecitazioni nel paramento'!$G$54,'Sollecitazioni nel paramento'!$G$53)*IF(K1860&lt;0,-1,1)</f>
        <v>0</v>
      </c>
      <c r="R1860" s="545">
        <f>'Foglio deposito bis'!$F$79*IF(ABS(L1860)&lt;'Sollecitazioni nel paramento'!$G$58,ABS(L1860)*'Sollecitazioni nel paramento'!$G$54,'Sollecitazioni nel paramento'!$G$53)*IF(L1860&lt;0,-1,1)</f>
        <v>-63701.283635994638</v>
      </c>
      <c r="S1860" s="545">
        <f>'Foglio deposito bis'!$F$80*IF(ABS(M1860)&lt;'Sollecitazioni nel paramento'!$G$58,ABS(M1860)*'Sollecitazioni nel paramento'!$G$54,'Sollecitazioni nel paramento'!$G$53)*IF(M1860&lt;0,-1,1)</f>
        <v>0</v>
      </c>
      <c r="T1860" s="545">
        <f>'Foglio deposito bis'!$F$81*IF(ABS(N1860)&lt;'Sollecitazioni nel paramento'!$G$58,ABS(N1860)*'Sollecitazioni nel paramento'!$G$54,'Sollecitazioni nel paramento'!$G$53)*IF(N1860&lt;0,-1,1)</f>
        <v>398299.31208121032</v>
      </c>
      <c r="U1860" s="545">
        <f>'Foglio deposito bis'!$F$82*IF(ABS(O1860)&lt;'Sollecitazioni nel paramento'!$G$58,ABS(O1860)*'Sollecitazioni nel paramento'!$G$54,'Sollecitazioni nel paramento'!$G$53)*IF(O1860&lt;0,-1,1)</f>
        <v>892485.49558937876</v>
      </c>
      <c r="V1860" s="472">
        <f t="shared" si="129"/>
        <v>-1722303.5059285439</v>
      </c>
      <c r="W1860" s="551"/>
      <c r="X1860" s="551"/>
    </row>
    <row r="1861" spans="1:24" x14ac:dyDescent="0.25">
      <c r="A1861" s="545">
        <f t="shared" si="128"/>
        <v>1796745.3249196569</v>
      </c>
      <c r="B1861" s="3">
        <f t="shared" si="131"/>
        <v>8.6999999999999904</v>
      </c>
      <c r="C1861" s="545">
        <f>'Foglio deposito bis'!$E$160/sezione!$B$247*B1861</f>
        <v>79.239424937518038</v>
      </c>
      <c r="D1861" s="603">
        <f>-'Sollecitazioni nel paramento'!$G$47*'Sollecitazioni nel paramento'!$G$41*IF(DATI!$G$211="dx",DATI!$E$61,DATI!$E$64*DATI!$E$63)*1000*C1861^2*sezione!$AD$5*(1-sezione!$AD$6)</f>
        <v>-139696734.77903548</v>
      </c>
      <c r="E1861" s="545">
        <f>-'Foglio deposito bis'!$F$78*(C1861-sezione!$AL$34)*IF(ABS(K1861)&lt;'Sollecitazioni nel paramento'!$G$58,ABS(K1861)*'Sollecitazioni nel paramento'!$G$54,'Sollecitazioni nel paramento'!$G$53)</f>
        <v>0</v>
      </c>
      <c r="F1861" s="545">
        <f>-'Foglio deposito bis'!$F$79*(C1861-sezione!$AM$34)*IF(ABS(L1861)&lt;'Sollecitazioni nel paramento'!$G$58,ABS(L1861)*'Sollecitazioni nel paramento'!$G$54,'Sollecitazioni nel paramento'!$G$53)</f>
        <v>-1322628.9036379661</v>
      </c>
      <c r="G1861" s="545">
        <f>-'Foglio deposito bis'!$F$80*(C1861-sezione!$AN$34)*IF(ABS(M1861)&lt;'Sollecitazioni nel paramento'!$G$58,ABS(M1861)*'Sollecitazioni nel paramento'!$G$54,'Sollecitazioni nel paramento'!$G$53)</f>
        <v>0</v>
      </c>
      <c r="H1861" s="545">
        <f>-'Foglio deposito bis'!$F$81*(C1861-sezione!$AO$34)*IF(ABS(N1861)&lt;'Sollecitazioni nel paramento'!$G$58,ABS(N1861)*'Sollecitazioni nel paramento'!$G$54,'Sollecitazioni nel paramento'!$G$53)</f>
        <v>32166881.490669511</v>
      </c>
      <c r="I1861" s="472">
        <f>-'Foglio deposito bis'!$F$82*(C1861-sezione!$AP$34)*IF(ABS(O1861)&lt;'Sollecitazioni nel paramento'!$G$58,ABS(O1861)*'Sollecitazioni nel paramento'!$G$54,'Sollecitazioni nel paramento'!$G$53)</f>
        <v>494294423.94650513</v>
      </c>
      <c r="J1861" s="472">
        <f t="shared" si="127"/>
        <v>385441941.75450122</v>
      </c>
      <c r="K1861" s="550">
        <f>'Sollecitazioni nel paramento'!$G$60*(sezione!$AL$34-C1861)/C1861</f>
        <v>-1.7332027256584338E-3</v>
      </c>
      <c r="L1861" s="550">
        <f>'Sollecitazioni nel paramento'!$G$60*(sezione!$AM$34-C1861)/C1861</f>
        <v>-8.4980408848765059E-4</v>
      </c>
      <c r="M1861" s="551">
        <f>'Sollecitazioni nel paramento'!$G$60*(sezione!$AN$34-C1861)/C1861</f>
        <v>3.3594548683132421E-5</v>
      </c>
      <c r="N1861" s="551">
        <f>'Sollecitazioni nel paramento'!$G$60*(sezione!$AO$34-C1861)/C1861</f>
        <v>3.5671890973662645E-3</v>
      </c>
      <c r="O1861" s="551">
        <f>'Sollecitazioni nel paramento'!$G$60*(sezione!$AP$34-C1861)/C1861</f>
        <v>2.4463087783129708E-2</v>
      </c>
      <c r="P1861" s="545">
        <f>-'Sollecitazioni nel paramento'!$G$47*'Sollecitazioni nel paramento'!$G$41*IF(DATI!$G$211="dx",DATI!$E$61,DATI!$E$64*DATI!$E$63)*1000*C1861*sezione!$AD$5</f>
        <v>-3018784.3718446242</v>
      </c>
      <c r="Q1861" s="545">
        <f>'Foglio deposito bis'!$F$78*IF(ABS(K1861)&lt;'Sollecitazioni nel paramento'!$G$58,ABS(K1861)*'Sollecitazioni nel paramento'!$G$54,'Sollecitazioni nel paramento'!$G$53)*IF(K1861&lt;0,-1,1)</f>
        <v>0</v>
      </c>
      <c r="R1861" s="545">
        <f>'Foglio deposito bis'!$F$79*IF(ABS(L1861)&lt;'Sollecitazioni nel paramento'!$G$58,ABS(L1861)*'Sollecitazioni nel paramento'!$G$54,'Sollecitazioni nel paramento'!$G$53)*IF(L1861&lt;0,-1,1)</f>
        <v>-68745.760745621868</v>
      </c>
      <c r="S1861" s="545">
        <f>'Foglio deposito bis'!$F$80*IF(ABS(M1861)&lt;'Sollecitazioni nel paramento'!$G$58,ABS(M1861)*'Sollecitazioni nel paramento'!$G$54,'Sollecitazioni nel paramento'!$G$53)*IF(M1861&lt;0,-1,1)</f>
        <v>0</v>
      </c>
      <c r="T1861" s="545">
        <f>'Foglio deposito bis'!$F$81*IF(ABS(N1861)&lt;'Sollecitazioni nel paramento'!$G$58,ABS(N1861)*'Sollecitazioni nel paramento'!$G$54,'Sollecitazioni nel paramento'!$G$53)*IF(N1861&lt;0,-1,1)</f>
        <v>398299.31208121032</v>
      </c>
      <c r="U1861" s="545">
        <f>'Foglio deposito bis'!$F$82*IF(ABS(O1861)&lt;'Sollecitazioni nel paramento'!$G$58,ABS(O1861)*'Sollecitazioni nel paramento'!$G$54,'Sollecitazioni nel paramento'!$G$53)*IF(O1861&lt;0,-1,1)</f>
        <v>892485.49558937876</v>
      </c>
      <c r="V1861" s="472">
        <f t="shared" si="129"/>
        <v>-1796745.3249196569</v>
      </c>
      <c r="W1861" s="551"/>
      <c r="X1861" s="551"/>
    </row>
    <row r="1862" spans="1:24" x14ac:dyDescent="0.25">
      <c r="A1862" s="545">
        <f t="shared" si="128"/>
        <v>1870960.4258384267</v>
      </c>
      <c r="B1862" s="3">
        <f t="shared" si="131"/>
        <v>8.8999999999999897</v>
      </c>
      <c r="C1862" s="545">
        <f>'Foglio deposito bis'!$E$160/sezione!$B$247*B1862</f>
        <v>81.061020913093159</v>
      </c>
      <c r="D1862" s="603">
        <f>-'Sollecitazioni nel paramento'!$G$47*'Sollecitazioni nel paramento'!$G$41*IF(DATI!$G$211="dx",DATI!$E$61,DATI!$E$64*DATI!$E$63)*1000*C1862^2*sezione!$AD$5*(1-sezione!$AD$6)</f>
        <v>-146193398.88819388</v>
      </c>
      <c r="E1862" s="545">
        <f>-'Foglio deposito bis'!$F$78*(C1862-sezione!$AL$34)*IF(ABS(K1862)&lt;'Sollecitazioni nel paramento'!$G$58,ABS(K1862)*'Sollecitazioni nel paramento'!$G$54,'Sollecitazioni nel paramento'!$G$53)</f>
        <v>0</v>
      </c>
      <c r="F1862" s="545">
        <f>-'Foglio deposito bis'!$F$79*(C1862-sezione!$AM$34)*IF(ABS(L1862)&lt;'Sollecitazioni nel paramento'!$G$58,ABS(L1862)*'Sollecitazioni nel paramento'!$G$54,'Sollecitazioni nel paramento'!$G$53)</f>
        <v>-1549322.8285885323</v>
      </c>
      <c r="G1862" s="545">
        <f>-'Foglio deposito bis'!$F$80*(C1862-sezione!$AN$34)*IF(ABS(M1862)&lt;'Sollecitazioni nel paramento'!$G$58,ABS(M1862)*'Sollecitazioni nel paramento'!$G$54,'Sollecitazioni nel paramento'!$G$53)</f>
        <v>0</v>
      </c>
      <c r="H1862" s="545">
        <f>-'Foglio deposito bis'!$F$81*(C1862-sezione!$AO$34)*IF(ABS(N1862)&lt;'Sollecitazioni nel paramento'!$G$58,ABS(N1862)*'Sollecitazioni nel paramento'!$G$54,'Sollecitazioni nel paramento'!$G$53)</f>
        <v>31441341.066708039</v>
      </c>
      <c r="I1862" s="472">
        <f>-'Foglio deposito bis'!$F$82*(C1862-sezione!$AP$34)*IF(ABS(O1862)&lt;'Sollecitazioni nel paramento'!$G$58,ABS(O1862)*'Sollecitazioni nel paramento'!$G$54,'Sollecitazioni nel paramento'!$G$53)</f>
        <v>492668675.9594804</v>
      </c>
      <c r="J1862" s="472">
        <f t="shared" si="127"/>
        <v>376367295.30940604</v>
      </c>
      <c r="K1862" s="550">
        <f>'Sollecitazioni nel paramento'!$G$60*(sezione!$AL$34-C1862)/C1862</f>
        <v>-1.7729060351941992E-3</v>
      </c>
      <c r="L1862" s="550">
        <f>'Sollecitazioni nel paramento'!$G$60*(sezione!$AM$34-C1862)/C1862</f>
        <v>-9.0935905279129878E-4</v>
      </c>
      <c r="M1862" s="551">
        <f>'Sollecitazioni nel paramento'!$G$60*(sezione!$AN$34-C1862)/C1862</f>
        <v>-4.5812070388398392E-5</v>
      </c>
      <c r="N1862" s="551">
        <f>'Sollecitazioni nel paramento'!$G$60*(sezione!$AO$34-C1862)/C1862</f>
        <v>3.4083758592232029E-3</v>
      </c>
      <c r="O1862" s="551">
        <f>'Sollecitazioni nel paramento'!$G$60*(sezione!$AP$34-C1862)/C1862</f>
        <v>2.3834703788003203E-2</v>
      </c>
      <c r="P1862" s="545">
        <f>-'Sollecitazioni nel paramento'!$G$47*'Sollecitazioni nel paramento'!$G$41*IF(DATI!$G$211="dx",DATI!$E$61,DATI!$E$64*DATI!$E$63)*1000*C1862*sezione!$AD$5</f>
        <v>-3088181.7137261094</v>
      </c>
      <c r="Q1862" s="545">
        <f>'Foglio deposito bis'!$F$78*IF(ABS(K1862)&lt;'Sollecitazioni nel paramento'!$G$58,ABS(K1862)*'Sollecitazioni nel paramento'!$G$54,'Sollecitazioni nel paramento'!$G$53)*IF(K1862&lt;0,-1,1)</f>
        <v>0</v>
      </c>
      <c r="R1862" s="545">
        <f>'Foglio deposito bis'!$F$79*IF(ABS(L1862)&lt;'Sollecitazioni nel paramento'!$G$58,ABS(L1862)*'Sollecitazioni nel paramento'!$G$54,'Sollecitazioni nel paramento'!$G$53)*IF(L1862&lt;0,-1,1)</f>
        <v>-73563.519782906311</v>
      </c>
      <c r="S1862" s="545">
        <f>'Foglio deposito bis'!$F$80*IF(ABS(M1862)&lt;'Sollecitazioni nel paramento'!$G$58,ABS(M1862)*'Sollecitazioni nel paramento'!$G$54,'Sollecitazioni nel paramento'!$G$53)*IF(M1862&lt;0,-1,1)</f>
        <v>0</v>
      </c>
      <c r="T1862" s="545">
        <f>'Foglio deposito bis'!$F$81*IF(ABS(N1862)&lt;'Sollecitazioni nel paramento'!$G$58,ABS(N1862)*'Sollecitazioni nel paramento'!$G$54,'Sollecitazioni nel paramento'!$G$53)*IF(N1862&lt;0,-1,1)</f>
        <v>398299.31208121032</v>
      </c>
      <c r="U1862" s="545">
        <f>'Foglio deposito bis'!$F$82*IF(ABS(O1862)&lt;'Sollecitazioni nel paramento'!$G$58,ABS(O1862)*'Sollecitazioni nel paramento'!$G$54,'Sollecitazioni nel paramento'!$G$53)*IF(O1862&lt;0,-1,1)</f>
        <v>892485.49558937876</v>
      </c>
      <c r="V1862" s="472">
        <f t="shared" si="129"/>
        <v>-1870960.4258384267</v>
      </c>
      <c r="W1862" s="551"/>
      <c r="X1862" s="551"/>
    </row>
    <row r="1863" spans="1:24" x14ac:dyDescent="0.25">
      <c r="A1863" s="545">
        <f t="shared" si="128"/>
        <v>1944963.757129184</v>
      </c>
      <c r="B1863" s="3">
        <f t="shared" si="131"/>
        <v>9.099999999999989</v>
      </c>
      <c r="C1863" s="545">
        <f>'Foglio deposito bis'!$E$160/sezione!$B$247*B1863</f>
        <v>82.882616888668281</v>
      </c>
      <c r="D1863" s="603">
        <f>-'Sollecitazioni nel paramento'!$G$47*'Sollecitazioni nel paramento'!$G$41*IF(DATI!$G$211="dx",DATI!$E$61,DATI!$E$64*DATI!$E$63)*1000*C1863^2*sezione!$AD$5*(1-sezione!$AD$6)</f>
        <v>-152837714.45437866</v>
      </c>
      <c r="E1863" s="545">
        <f>-'Foglio deposito bis'!$F$78*(C1863-sezione!$AL$34)*IF(ABS(K1863)&lt;'Sollecitazioni nel paramento'!$G$58,ABS(K1863)*'Sollecitazioni nel paramento'!$G$54,'Sollecitazioni nel paramento'!$G$53)</f>
        <v>0</v>
      </c>
      <c r="F1863" s="545">
        <f>-'Foglio deposito bis'!$F$79*(C1863-sezione!$AM$34)*IF(ABS(L1863)&lt;'Sollecitazioni nel paramento'!$G$58,ABS(L1863)*'Sollecitazioni nel paramento'!$G$54,'Sollecitazioni nel paramento'!$G$53)</f>
        <v>-1788722.9312198486</v>
      </c>
      <c r="G1863" s="545">
        <f>-'Foglio deposito bis'!$F$80*(C1863-sezione!$AN$34)*IF(ABS(M1863)&lt;'Sollecitazioni nel paramento'!$G$58,ABS(M1863)*'Sollecitazioni nel paramento'!$G$54,'Sollecitazioni nel paramento'!$G$53)</f>
        <v>0</v>
      </c>
      <c r="H1863" s="545">
        <f>-'Foglio deposito bis'!$F$81*(C1863-sezione!$AO$34)*IF(ABS(N1863)&lt;'Sollecitazioni nel paramento'!$G$58,ABS(N1863)*'Sollecitazioni nel paramento'!$G$54,'Sollecitazioni nel paramento'!$G$53)</f>
        <v>30715800.642746568</v>
      </c>
      <c r="I1863" s="472">
        <f>-'Foglio deposito bis'!$F$82*(C1863-sezione!$AP$34)*IF(ABS(O1863)&lt;'Sollecitazioni nel paramento'!$G$58,ABS(O1863)*'Sollecitazioni nel paramento'!$G$54,'Sollecitazioni nel paramento'!$G$53)</f>
        <v>491042927.97245556</v>
      </c>
      <c r="J1863" s="472">
        <f t="shared" si="127"/>
        <v>367132291.22960365</v>
      </c>
      <c r="K1863" s="550">
        <f>'Sollecitazioni nel paramento'!$G$60*(sezione!$AL$34-C1863)/C1863</f>
        <v>-1.8108641443108102E-3</v>
      </c>
      <c r="L1863" s="550">
        <f>'Sollecitazioni nel paramento'!$G$60*(sezione!$AM$34-C1863)/C1863</f>
        <v>-9.6629621646621513E-4</v>
      </c>
      <c r="M1863" s="551">
        <f>'Sollecitazioni nel paramento'!$G$60*(sezione!$AN$34-C1863)/C1863</f>
        <v>-1.2172828862162017E-4</v>
      </c>
      <c r="N1863" s="551">
        <f>'Sollecitazioni nel paramento'!$G$60*(sezione!$AO$34-C1863)/C1863</f>
        <v>3.2565434227567595E-3</v>
      </c>
      <c r="O1863" s="551">
        <f>'Sollecitazioni nel paramento'!$G$60*(sezione!$AP$34-C1863)/C1863</f>
        <v>2.3233941067387746E-2</v>
      </c>
      <c r="P1863" s="545">
        <f>-'Sollecitazioni nel paramento'!$G$47*'Sollecitazioni nel paramento'!$G$41*IF(DATI!$G$211="dx",DATI!$E$61,DATI!$E$64*DATI!$E$63)*1000*C1863*sezione!$AD$5</f>
        <v>-3157579.055607595</v>
      </c>
      <c r="Q1863" s="545">
        <f>'Foglio deposito bis'!$F$78*IF(ABS(K1863)&lt;'Sollecitazioni nel paramento'!$G$58,ABS(K1863)*'Sollecitazioni nel paramento'!$G$54,'Sollecitazioni nel paramento'!$G$53)*IF(K1863&lt;0,-1,1)</f>
        <v>0</v>
      </c>
      <c r="R1863" s="545">
        <f>'Foglio deposito bis'!$F$79*IF(ABS(L1863)&lt;'Sollecitazioni nel paramento'!$G$58,ABS(L1863)*'Sollecitazioni nel paramento'!$G$54,'Sollecitazioni nel paramento'!$G$53)*IF(L1863&lt;0,-1,1)</f>
        <v>-78169.509192178244</v>
      </c>
      <c r="S1863" s="545">
        <f>'Foglio deposito bis'!$F$80*IF(ABS(M1863)&lt;'Sollecitazioni nel paramento'!$G$58,ABS(M1863)*'Sollecitazioni nel paramento'!$G$54,'Sollecitazioni nel paramento'!$G$53)*IF(M1863&lt;0,-1,1)</f>
        <v>0</v>
      </c>
      <c r="T1863" s="545">
        <f>'Foglio deposito bis'!$F$81*IF(ABS(N1863)&lt;'Sollecitazioni nel paramento'!$G$58,ABS(N1863)*'Sollecitazioni nel paramento'!$G$54,'Sollecitazioni nel paramento'!$G$53)*IF(N1863&lt;0,-1,1)</f>
        <v>398299.31208121032</v>
      </c>
      <c r="U1863" s="545">
        <f>'Foglio deposito bis'!$F$82*IF(ABS(O1863)&lt;'Sollecitazioni nel paramento'!$G$58,ABS(O1863)*'Sollecitazioni nel paramento'!$G$54,'Sollecitazioni nel paramento'!$G$53)*IF(O1863&lt;0,-1,1)</f>
        <v>892485.49558937876</v>
      </c>
      <c r="V1863" s="472">
        <f t="shared" si="129"/>
        <v>-1944963.757129184</v>
      </c>
      <c r="W1863" s="551"/>
      <c r="X1863" s="551"/>
    </row>
    <row r="1864" spans="1:24" x14ac:dyDescent="0.25">
      <c r="A1864" s="545">
        <f t="shared" si="128"/>
        <v>2018768.9813485746</v>
      </c>
      <c r="B1864" s="3">
        <f t="shared" si="131"/>
        <v>9.2999999999999883</v>
      </c>
      <c r="C1864" s="545">
        <f>'Foglio deposito bis'!$E$160/sezione!$B$247*B1864</f>
        <v>84.704212864243402</v>
      </c>
      <c r="D1864" s="603">
        <f>-'Sollecitazioni nel paramento'!$G$47*'Sollecitazioni nel paramento'!$G$41*IF(DATI!$G$211="dx",DATI!$E$61,DATI!$E$64*DATI!$E$63)*1000*C1864^2*sezione!$AD$5*(1-sezione!$AD$6)</f>
        <v>-159629681.47758979</v>
      </c>
      <c r="E1864" s="545">
        <f>-'Foglio deposito bis'!$F$78*(C1864-sezione!$AL$34)*IF(ABS(K1864)&lt;'Sollecitazioni nel paramento'!$G$58,ABS(K1864)*'Sollecitazioni nel paramento'!$G$54,'Sollecitazioni nel paramento'!$G$53)</f>
        <v>0</v>
      </c>
      <c r="F1864" s="545">
        <f>-'Foglio deposito bis'!$F$79*(C1864-sezione!$AM$34)*IF(ABS(L1864)&lt;'Sollecitazioni nel paramento'!$G$58,ABS(L1864)*'Sollecitazioni nel paramento'!$G$54,'Sollecitazioni nel paramento'!$G$53)</f>
        <v>-2040009.4581331564</v>
      </c>
      <c r="G1864" s="545">
        <f>-'Foglio deposito bis'!$F$80*(C1864-sezione!$AN$34)*IF(ABS(M1864)&lt;'Sollecitazioni nel paramento'!$G$58,ABS(M1864)*'Sollecitazioni nel paramento'!$G$54,'Sollecitazioni nel paramento'!$G$53)</f>
        <v>0</v>
      </c>
      <c r="H1864" s="545">
        <f>-'Foglio deposito bis'!$F$81*(C1864-sezione!$AO$34)*IF(ABS(N1864)&lt;'Sollecitazioni nel paramento'!$G$58,ABS(N1864)*'Sollecitazioni nel paramento'!$G$54,'Sollecitazioni nel paramento'!$G$53)</f>
        <v>29990260.218785096</v>
      </c>
      <c r="I1864" s="472">
        <f>-'Foglio deposito bis'!$F$82*(C1864-sezione!$AP$34)*IF(ABS(O1864)&lt;'Sollecitazioni nel paramento'!$G$58,ABS(O1864)*'Sollecitazioni nel paramento'!$G$54,'Sollecitazioni nel paramento'!$G$53)</f>
        <v>489417179.98543072</v>
      </c>
      <c r="J1864" s="472">
        <f t="shared" si="127"/>
        <v>357737749.26849288</v>
      </c>
      <c r="K1864" s="550">
        <f>'Sollecitazioni nel paramento'!$G$60*(sezione!$AL$34-C1864)/C1864</f>
        <v>-1.8471896465836958E-3</v>
      </c>
      <c r="L1864" s="550">
        <f>'Sollecitazioni nel paramento'!$G$60*(sezione!$AM$34-C1864)/C1864</f>
        <v>-1.0207844698755437E-3</v>
      </c>
      <c r="M1864" s="551">
        <f>'Sollecitazioni nel paramento'!$G$60*(sezione!$AN$34-C1864)/C1864</f>
        <v>-1.9437929316739157E-4</v>
      </c>
      <c r="N1864" s="551">
        <f>'Sollecitazioni nel paramento'!$G$60*(sezione!$AO$34-C1864)/C1864</f>
        <v>3.1112414136652165E-3</v>
      </c>
      <c r="O1864" s="551">
        <f>'Sollecitazioni nel paramento'!$G$60*(sezione!$AP$34-C1864)/C1864</f>
        <v>2.2659017603572956E-2</v>
      </c>
      <c r="P1864" s="545">
        <f>-'Sollecitazioni nel paramento'!$G$47*'Sollecitazioni nel paramento'!$G$41*IF(DATI!$G$211="dx",DATI!$E$61,DATI!$E$64*DATI!$E$63)*1000*C1864*sezione!$AD$5</f>
        <v>-3226976.3974890802</v>
      </c>
      <c r="Q1864" s="545">
        <f>'Foglio deposito bis'!$F$78*IF(ABS(K1864)&lt;'Sollecitazioni nel paramento'!$G$58,ABS(K1864)*'Sollecitazioni nel paramento'!$G$54,'Sollecitazioni nel paramento'!$G$53)*IF(K1864&lt;0,-1,1)</f>
        <v>0</v>
      </c>
      <c r="R1864" s="545">
        <f>'Foglio deposito bis'!$F$79*IF(ABS(L1864)&lt;'Sollecitazioni nel paramento'!$G$58,ABS(L1864)*'Sollecitazioni nel paramento'!$G$54,'Sollecitazioni nel paramento'!$G$53)*IF(L1864&lt;0,-1,1)</f>
        <v>-82577.391530083652</v>
      </c>
      <c r="S1864" s="545">
        <f>'Foglio deposito bis'!$F$80*IF(ABS(M1864)&lt;'Sollecitazioni nel paramento'!$G$58,ABS(M1864)*'Sollecitazioni nel paramento'!$G$54,'Sollecitazioni nel paramento'!$G$53)*IF(M1864&lt;0,-1,1)</f>
        <v>0</v>
      </c>
      <c r="T1864" s="545">
        <f>'Foglio deposito bis'!$F$81*IF(ABS(N1864)&lt;'Sollecitazioni nel paramento'!$G$58,ABS(N1864)*'Sollecitazioni nel paramento'!$G$54,'Sollecitazioni nel paramento'!$G$53)*IF(N1864&lt;0,-1,1)</f>
        <v>398299.31208121032</v>
      </c>
      <c r="U1864" s="545">
        <f>'Foglio deposito bis'!$F$82*IF(ABS(O1864)&lt;'Sollecitazioni nel paramento'!$G$58,ABS(O1864)*'Sollecitazioni nel paramento'!$G$54,'Sollecitazioni nel paramento'!$G$53)*IF(O1864&lt;0,-1,1)</f>
        <v>892485.49558937876</v>
      </c>
      <c r="V1864" s="472">
        <f t="shared" si="129"/>
        <v>-2018768.9813485746</v>
      </c>
      <c r="W1864" s="551"/>
      <c r="X1864" s="551"/>
    </row>
    <row r="1865" spans="1:24" x14ac:dyDescent="0.25">
      <c r="A1865" s="545">
        <f t="shared" si="128"/>
        <v>2092388.6105221594</v>
      </c>
      <c r="B1865" s="3">
        <f t="shared" si="131"/>
        <v>9.4999999999999876</v>
      </c>
      <c r="C1865" s="545">
        <f>'Foglio deposito bis'!$E$160/sezione!$B$247*B1865</f>
        <v>86.525808839818524</v>
      </c>
      <c r="D1865" s="603">
        <f>-'Sollecitazioni nel paramento'!$G$47*'Sollecitazioni nel paramento'!$G$41*IF(DATI!$G$211="dx",DATI!$E$61,DATI!$E$64*DATI!$E$63)*1000*C1865^2*sezione!$AD$5*(1-sezione!$AD$6)</f>
        <v>-166569299.95782721</v>
      </c>
      <c r="E1865" s="545">
        <f>-'Foglio deposito bis'!$F$78*(C1865-sezione!$AL$34)*IF(ABS(K1865)&lt;'Sollecitazioni nel paramento'!$G$58,ABS(K1865)*'Sollecitazioni nel paramento'!$G$54,'Sollecitazioni nel paramento'!$G$53)</f>
        <v>0</v>
      </c>
      <c r="F1865" s="545">
        <f>-'Foglio deposito bis'!$F$79*(C1865-sezione!$AM$34)*IF(ABS(L1865)&lt;'Sollecitazioni nel paramento'!$G$58,ABS(L1865)*'Sollecitazioni nel paramento'!$G$54,'Sollecitazioni nel paramento'!$G$53)</f>
        <v>-2302431.6877948577</v>
      </c>
      <c r="G1865" s="545">
        <f>-'Foglio deposito bis'!$F$80*(C1865-sezione!$AN$34)*IF(ABS(M1865)&lt;'Sollecitazioni nel paramento'!$G$58,ABS(M1865)*'Sollecitazioni nel paramento'!$G$54,'Sollecitazioni nel paramento'!$G$53)</f>
        <v>0</v>
      </c>
      <c r="H1865" s="545">
        <f>-'Foglio deposito bis'!$F$81*(C1865-sezione!$AO$34)*IF(ABS(N1865)&lt;'Sollecitazioni nel paramento'!$G$58,ABS(N1865)*'Sollecitazioni nel paramento'!$G$54,'Sollecitazioni nel paramento'!$G$53)</f>
        <v>29264719.794823624</v>
      </c>
      <c r="I1865" s="472">
        <f>-'Foglio deposito bis'!$F$82*(C1865-sezione!$AP$34)*IF(ABS(O1865)&lt;'Sollecitazioni nel paramento'!$G$58,ABS(O1865)*'Sollecitazioni nel paramento'!$G$54,'Sollecitazioni nel paramento'!$G$53)</f>
        <v>487791431.99840593</v>
      </c>
      <c r="J1865" s="472">
        <f t="shared" si="127"/>
        <v>348184420.14760745</v>
      </c>
      <c r="K1865" s="550">
        <f>'Sollecitazioni nel paramento'!$G$60*(sezione!$AL$34-C1865)/C1865</f>
        <v>-1.881985654024039E-3</v>
      </c>
      <c r="L1865" s="550">
        <f>'Sollecitazioni nel paramento'!$G$60*(sezione!$AM$34-C1865)/C1865</f>
        <v>-1.0729784810360585E-3</v>
      </c>
      <c r="M1865" s="551">
        <f>'Sollecitazioni nel paramento'!$G$60*(sezione!$AN$34-C1865)/C1865</f>
        <v>-2.6397130804807787E-4</v>
      </c>
      <c r="N1865" s="551">
        <f>'Sollecitazioni nel paramento'!$G$60*(sezione!$AO$34-C1865)/C1865</f>
        <v>2.9720573839038446E-3</v>
      </c>
      <c r="O1865" s="551">
        <f>'Sollecitazioni nel paramento'!$G$60*(sezione!$AP$34-C1865)/C1865</f>
        <v>2.2108301443497739E-2</v>
      </c>
      <c r="P1865" s="545">
        <f>-'Sollecitazioni nel paramento'!$G$47*'Sollecitazioni nel paramento'!$G$41*IF(DATI!$G$211="dx",DATI!$E$61,DATI!$E$64*DATI!$E$63)*1000*C1865*sezione!$AD$5</f>
        <v>-3296373.7393705659</v>
      </c>
      <c r="Q1865" s="545">
        <f>'Foglio deposito bis'!$F$78*IF(ABS(K1865)&lt;'Sollecitazioni nel paramento'!$G$58,ABS(K1865)*'Sollecitazioni nel paramento'!$G$54,'Sollecitazioni nel paramento'!$G$53)*IF(K1865&lt;0,-1,1)</f>
        <v>0</v>
      </c>
      <c r="R1865" s="545">
        <f>'Foglio deposito bis'!$F$79*IF(ABS(L1865)&lt;'Sollecitazioni nel paramento'!$G$58,ABS(L1865)*'Sollecitazioni nel paramento'!$G$54,'Sollecitazioni nel paramento'!$G$53)*IF(L1865&lt;0,-1,1)</f>
        <v>-86799.678822182512</v>
      </c>
      <c r="S1865" s="545">
        <f>'Foglio deposito bis'!$F$80*IF(ABS(M1865)&lt;'Sollecitazioni nel paramento'!$G$58,ABS(M1865)*'Sollecitazioni nel paramento'!$G$54,'Sollecitazioni nel paramento'!$G$53)*IF(M1865&lt;0,-1,1)</f>
        <v>0</v>
      </c>
      <c r="T1865" s="545">
        <f>'Foglio deposito bis'!$F$81*IF(ABS(N1865)&lt;'Sollecitazioni nel paramento'!$G$58,ABS(N1865)*'Sollecitazioni nel paramento'!$G$54,'Sollecitazioni nel paramento'!$G$53)*IF(N1865&lt;0,-1,1)</f>
        <v>398299.31208121032</v>
      </c>
      <c r="U1865" s="545">
        <f>'Foglio deposito bis'!$F$82*IF(ABS(O1865)&lt;'Sollecitazioni nel paramento'!$G$58,ABS(O1865)*'Sollecitazioni nel paramento'!$G$54,'Sollecitazioni nel paramento'!$G$53)*IF(O1865&lt;0,-1,1)</f>
        <v>892485.49558937876</v>
      </c>
      <c r="V1865" s="472">
        <f t="shared" si="129"/>
        <v>-2092388.6105221594</v>
      </c>
      <c r="W1865" s="551"/>
      <c r="X1865" s="551"/>
    </row>
    <row r="1866" spans="1:24" x14ac:dyDescent="0.25">
      <c r="A1866" s="545">
        <f t="shared" si="128"/>
        <v>2165834.1247558631</v>
      </c>
      <c r="B1866" s="3">
        <f t="shared" si="131"/>
        <v>9.6999999999999869</v>
      </c>
      <c r="C1866" s="545">
        <f>'Foglio deposito bis'!$E$160/sezione!$B$247*B1866</f>
        <v>88.347404815393645</v>
      </c>
      <c r="D1866" s="603">
        <f>-'Sollecitazioni nel paramento'!$G$47*'Sollecitazioni nel paramento'!$G$41*IF(DATI!$G$211="dx",DATI!$E$61,DATI!$E$64*DATI!$E$63)*1000*C1866^2*sezione!$AD$5*(1-sezione!$AD$6)</f>
        <v>-173656569.895091</v>
      </c>
      <c r="E1866" s="545">
        <f>-'Foglio deposito bis'!$F$78*(C1866-sezione!$AL$34)*IF(ABS(K1866)&lt;'Sollecitazioni nel paramento'!$G$58,ABS(K1866)*'Sollecitazioni nel paramento'!$G$54,'Sollecitazioni nel paramento'!$G$53)</f>
        <v>0</v>
      </c>
      <c r="F1866" s="545">
        <f>-'Foglio deposito bis'!$F$79*(C1866-sezione!$AM$34)*IF(ABS(L1866)&lt;'Sollecitazioni nel paramento'!$G$58,ABS(L1866)*'Sollecitazioni nel paramento'!$G$54,'Sollecitazioni nel paramento'!$G$53)</f>
        <v>-2575300.8138493802</v>
      </c>
      <c r="G1866" s="545">
        <f>-'Foglio deposito bis'!$F$80*(C1866-sezione!$AN$34)*IF(ABS(M1866)&lt;'Sollecitazioni nel paramento'!$G$58,ABS(M1866)*'Sollecitazioni nel paramento'!$G$54,'Sollecitazioni nel paramento'!$G$53)</f>
        <v>0</v>
      </c>
      <c r="H1866" s="545">
        <f>-'Foglio deposito bis'!$F$81*(C1866-sezione!$AO$34)*IF(ABS(N1866)&lt;'Sollecitazioni nel paramento'!$G$58,ABS(N1866)*'Sollecitazioni nel paramento'!$G$54,'Sollecitazioni nel paramento'!$G$53)</f>
        <v>28539179.370862156</v>
      </c>
      <c r="I1866" s="472">
        <f>-'Foglio deposito bis'!$F$82*(C1866-sezione!$AP$34)*IF(ABS(O1866)&lt;'Sollecitazioni nel paramento'!$G$58,ABS(O1866)*'Sollecitazioni nel paramento'!$G$54,'Sollecitazioni nel paramento'!$G$53)</f>
        <v>486165684.01138133</v>
      </c>
      <c r="J1866" s="472">
        <f t="shared" si="127"/>
        <v>338472992.67330313</v>
      </c>
      <c r="K1866" s="550">
        <f>'Sollecitazioni nel paramento'!$G$60*(sezione!$AL$34-C1866)/C1866</f>
        <v>-1.9153467745596257E-3</v>
      </c>
      <c r="L1866" s="550">
        <f>'Sollecitazioni nel paramento'!$G$60*(sezione!$AM$34-C1866)/C1866</f>
        <v>-1.1230201618394385E-3</v>
      </c>
      <c r="M1866" s="551">
        <f>'Sollecitazioni nel paramento'!$G$60*(sezione!$AN$34-C1866)/C1866</f>
        <v>-3.3069354911925133E-4</v>
      </c>
      <c r="N1866" s="551">
        <f>'Sollecitazioni nel paramento'!$G$60*(sezione!$AO$34-C1866)/C1866</f>
        <v>2.8386129017614978E-3</v>
      </c>
      <c r="O1866" s="551">
        <f>'Sollecitazioni nel paramento'!$G$60*(sezione!$AP$34-C1866)/C1866</f>
        <v>2.1580295228167894E-2</v>
      </c>
      <c r="P1866" s="545">
        <f>-'Sollecitazioni nel paramento'!$G$47*'Sollecitazioni nel paramento'!$G$41*IF(DATI!$G$211="dx",DATI!$E$61,DATI!$E$64*DATI!$E$63)*1000*C1866*sezione!$AD$5</f>
        <v>-3365771.0812520511</v>
      </c>
      <c r="Q1866" s="545">
        <f>'Foglio deposito bis'!$F$78*IF(ABS(K1866)&lt;'Sollecitazioni nel paramento'!$G$58,ABS(K1866)*'Sollecitazioni nel paramento'!$G$54,'Sollecitazioni nel paramento'!$G$53)*IF(K1866&lt;0,-1,1)</f>
        <v>0</v>
      </c>
      <c r="R1866" s="545">
        <f>'Foglio deposito bis'!$F$79*IF(ABS(L1866)&lt;'Sollecitazioni nel paramento'!$G$58,ABS(L1866)*'Sollecitazioni nel paramento'!$G$54,'Sollecitazioni nel paramento'!$G$53)*IF(L1866&lt;0,-1,1)</f>
        <v>-90847.851174401003</v>
      </c>
      <c r="S1866" s="545">
        <f>'Foglio deposito bis'!$F$80*IF(ABS(M1866)&lt;'Sollecitazioni nel paramento'!$G$58,ABS(M1866)*'Sollecitazioni nel paramento'!$G$54,'Sollecitazioni nel paramento'!$G$53)*IF(M1866&lt;0,-1,1)</f>
        <v>0</v>
      </c>
      <c r="T1866" s="545">
        <f>'Foglio deposito bis'!$F$81*IF(ABS(N1866)&lt;'Sollecitazioni nel paramento'!$G$58,ABS(N1866)*'Sollecitazioni nel paramento'!$G$54,'Sollecitazioni nel paramento'!$G$53)*IF(N1866&lt;0,-1,1)</f>
        <v>398299.31208121032</v>
      </c>
      <c r="U1866" s="545">
        <f>'Foglio deposito bis'!$F$82*IF(ABS(O1866)&lt;'Sollecitazioni nel paramento'!$G$58,ABS(O1866)*'Sollecitazioni nel paramento'!$G$54,'Sollecitazioni nel paramento'!$G$53)*IF(O1866&lt;0,-1,1)</f>
        <v>892485.49558937876</v>
      </c>
      <c r="V1866" s="472">
        <f t="shared" si="129"/>
        <v>-2165834.1247558631</v>
      </c>
      <c r="W1866" s="551"/>
      <c r="X1866" s="551"/>
    </row>
    <row r="1867" spans="1:24" x14ac:dyDescent="0.25">
      <c r="A1867" s="545">
        <f t="shared" si="128"/>
        <v>2239116.0764702857</v>
      </c>
      <c r="B1867" s="3">
        <f t="shared" si="131"/>
        <v>9.8999999999999861</v>
      </c>
      <c r="C1867" s="545">
        <f>'Foglio deposito bis'!$E$160/sezione!$B$247*B1867</f>
        <v>90.169000790968767</v>
      </c>
      <c r="D1867" s="603">
        <f>-'Sollecitazioni nel paramento'!$G$47*'Sollecitazioni nel paramento'!$G$41*IF(DATI!$G$211="dx",DATI!$E$61,DATI!$E$64*DATI!$E$63)*1000*C1867^2*sezione!$AD$5*(1-sezione!$AD$6)</f>
        <v>-180891491.28938109</v>
      </c>
      <c r="E1867" s="545">
        <f>-'Foglio deposito bis'!$F$78*(C1867-sezione!$AL$34)*IF(ABS(K1867)&lt;'Sollecitazioni nel paramento'!$G$58,ABS(K1867)*'Sollecitazioni nel paramento'!$G$54,'Sollecitazioni nel paramento'!$G$53)</f>
        <v>0</v>
      </c>
      <c r="F1867" s="545">
        <f>-'Foglio deposito bis'!$F$79*(C1867-sezione!$AM$34)*IF(ABS(L1867)&lt;'Sollecitazioni nel paramento'!$G$58,ABS(L1867)*'Sollecitazioni nel paramento'!$G$54,'Sollecitazioni nel paramento'!$G$53)</f>
        <v>-2857983.6910607964</v>
      </c>
      <c r="G1867" s="545">
        <f>-'Foglio deposito bis'!$F$80*(C1867-sezione!$AN$34)*IF(ABS(M1867)&lt;'Sollecitazioni nel paramento'!$G$58,ABS(M1867)*'Sollecitazioni nel paramento'!$G$54,'Sollecitazioni nel paramento'!$G$53)</f>
        <v>0</v>
      </c>
      <c r="H1867" s="545">
        <f>-'Foglio deposito bis'!$F$81*(C1867-sezione!$AO$34)*IF(ABS(N1867)&lt;'Sollecitazioni nel paramento'!$G$58,ABS(N1867)*'Sollecitazioni nel paramento'!$G$54,'Sollecitazioni nel paramento'!$G$53)</f>
        <v>27813638.946900684</v>
      </c>
      <c r="I1867" s="472">
        <f>-'Foglio deposito bis'!$F$82*(C1867-sezione!$AP$34)*IF(ABS(O1867)&lt;'Sollecitazioni nel paramento'!$G$58,ABS(O1867)*'Sollecitazioni nel paramento'!$G$54,'Sollecitazioni nel paramento'!$G$53)</f>
        <v>484539936.02435648</v>
      </c>
      <c r="J1867" s="472">
        <f t="shared" si="127"/>
        <v>328604099.99081528</v>
      </c>
      <c r="K1867" s="550">
        <f>'Sollecitazioni nel paramento'!$G$60*(sezione!$AL$34-C1867)/C1867</f>
        <v>-1.9473599710331687E-3</v>
      </c>
      <c r="L1867" s="550">
        <f>'Sollecitazioni nel paramento'!$G$60*(sezione!$AM$34-C1867)/C1867</f>
        <v>-1.1710399565497528E-3</v>
      </c>
      <c r="M1867" s="551">
        <f>'Sollecitazioni nel paramento'!$G$60*(sezione!$AN$34-C1867)/C1867</f>
        <v>-3.9471994206633697E-4</v>
      </c>
      <c r="N1867" s="551">
        <f>'Sollecitazioni nel paramento'!$G$60*(sezione!$AO$34-C1867)/C1867</f>
        <v>2.710560115867326E-3</v>
      </c>
      <c r="O1867" s="551">
        <f>'Sollecitazioni nel paramento'!$G$60*(sezione!$AP$34-C1867)/C1867</f>
        <v>2.1073622597295814E-2</v>
      </c>
      <c r="P1867" s="545">
        <f>-'Sollecitazioni nel paramento'!$G$47*'Sollecitazioni nel paramento'!$G$41*IF(DATI!$G$211="dx",DATI!$E$61,DATI!$E$64*DATI!$E$63)*1000*C1867*sezione!$AD$5</f>
        <v>-3435168.4231335367</v>
      </c>
      <c r="Q1867" s="545">
        <f>'Foglio deposito bis'!$F$78*IF(ABS(K1867)&lt;'Sollecitazioni nel paramento'!$G$58,ABS(K1867)*'Sollecitazioni nel paramento'!$G$54,'Sollecitazioni nel paramento'!$G$53)*IF(K1867&lt;0,-1,1)</f>
        <v>0</v>
      </c>
      <c r="R1867" s="545">
        <f>'Foglio deposito bis'!$F$79*IF(ABS(L1867)&lt;'Sollecitazioni nel paramento'!$G$58,ABS(L1867)*'Sollecitazioni nel paramento'!$G$54,'Sollecitazioni nel paramento'!$G$53)*IF(L1867&lt;0,-1,1)</f>
        <v>-94732.461007337959</v>
      </c>
      <c r="S1867" s="545">
        <f>'Foglio deposito bis'!$F$80*IF(ABS(M1867)&lt;'Sollecitazioni nel paramento'!$G$58,ABS(M1867)*'Sollecitazioni nel paramento'!$G$54,'Sollecitazioni nel paramento'!$G$53)*IF(M1867&lt;0,-1,1)</f>
        <v>0</v>
      </c>
      <c r="T1867" s="545">
        <f>'Foglio deposito bis'!$F$81*IF(ABS(N1867)&lt;'Sollecitazioni nel paramento'!$G$58,ABS(N1867)*'Sollecitazioni nel paramento'!$G$54,'Sollecitazioni nel paramento'!$G$53)*IF(N1867&lt;0,-1,1)</f>
        <v>398299.31208121032</v>
      </c>
      <c r="U1867" s="545">
        <f>'Foglio deposito bis'!$F$82*IF(ABS(O1867)&lt;'Sollecitazioni nel paramento'!$G$58,ABS(O1867)*'Sollecitazioni nel paramento'!$G$54,'Sollecitazioni nel paramento'!$G$53)*IF(O1867&lt;0,-1,1)</f>
        <v>892485.49558937876</v>
      </c>
      <c r="V1867" s="472">
        <f t="shared" si="129"/>
        <v>-2239116.0764702857</v>
      </c>
      <c r="W1867" s="551"/>
      <c r="X1867" s="551"/>
    </row>
    <row r="1868" spans="1:24" x14ac:dyDescent="0.25">
      <c r="A1868" s="545">
        <f t="shared" si="128"/>
        <v>2312244.1822507307</v>
      </c>
      <c r="B1868" s="3">
        <f t="shared" si="131"/>
        <v>10.099999999999985</v>
      </c>
      <c r="C1868" s="545">
        <f>'Foglio deposito bis'!$E$160/sezione!$B$247*B1868</f>
        <v>91.990596766543888</v>
      </c>
      <c r="D1868" s="603">
        <f>-'Sollecitazioni nel paramento'!$G$47*'Sollecitazioni nel paramento'!$G$41*IF(DATI!$G$211="dx",DATI!$E$61,DATI!$E$64*DATI!$E$63)*1000*C1868^2*sezione!$AD$5*(1-sezione!$AD$6)</f>
        <v>-188274064.14069748</v>
      </c>
      <c r="E1868" s="545">
        <f>-'Foglio deposito bis'!$F$78*(C1868-sezione!$AL$34)*IF(ABS(K1868)&lt;'Sollecitazioni nel paramento'!$G$58,ABS(K1868)*'Sollecitazioni nel paramento'!$G$54,'Sollecitazioni nel paramento'!$G$53)</f>
        <v>0</v>
      </c>
      <c r="F1868" s="545">
        <f>-'Foglio deposito bis'!$F$79*(C1868-sezione!$AM$34)*IF(ABS(L1868)&lt;'Sollecitazioni nel paramento'!$G$58,ABS(L1868)*'Sollecitazioni nel paramento'!$G$54,'Sollecitazioni nel paramento'!$G$53)</f>
        <v>-3149897.324310875</v>
      </c>
      <c r="G1868" s="545">
        <f>-'Foglio deposito bis'!$F$80*(C1868-sezione!$AN$34)*IF(ABS(M1868)&lt;'Sollecitazioni nel paramento'!$G$58,ABS(M1868)*'Sollecitazioni nel paramento'!$G$54,'Sollecitazioni nel paramento'!$G$53)</f>
        <v>0</v>
      </c>
      <c r="H1868" s="545">
        <f>-'Foglio deposito bis'!$F$81*(C1868-sezione!$AO$34)*IF(ABS(N1868)&lt;'Sollecitazioni nel paramento'!$G$58,ABS(N1868)*'Sollecitazioni nel paramento'!$G$54,'Sollecitazioni nel paramento'!$G$53)</f>
        <v>27088098.522939213</v>
      </c>
      <c r="I1868" s="472">
        <f>-'Foglio deposito bis'!$F$82*(C1868-sezione!$AP$34)*IF(ABS(O1868)&lt;'Sollecitazioni nel paramento'!$G$58,ABS(O1868)*'Sollecitazioni nel paramento'!$G$54,'Sollecitazioni nel paramento'!$G$53)</f>
        <v>482914188.03733164</v>
      </c>
      <c r="J1868" s="472">
        <f t="shared" si="127"/>
        <v>318578325.09526253</v>
      </c>
      <c r="K1868" s="550">
        <f>'Sollecitazioni nel paramento'!$G$60*(sezione!$AL$34-C1868)/C1868</f>
        <v>-1.9781053181414225E-3</v>
      </c>
      <c r="L1868" s="550">
        <f>'Sollecitazioni nel paramento'!$G$60*(sezione!$AM$34-C1868)/C1868</f>
        <v>-1.2171579772121339E-3</v>
      </c>
      <c r="M1868" s="551">
        <f>'Sollecitazioni nel paramento'!$G$60*(sezione!$AN$34-C1868)/C1868</f>
        <v>-4.5621063628284496E-4</v>
      </c>
      <c r="N1868" s="551">
        <f>'Sollecitazioni nel paramento'!$G$60*(sezione!$AO$34-C1868)/C1868</f>
        <v>2.5875787274343099E-3</v>
      </c>
      <c r="O1868" s="551">
        <f>'Sollecitazioni nel paramento'!$G$60*(sezione!$AP$34-C1868)/C1868</f>
        <v>2.0587016209230549E-2</v>
      </c>
      <c r="P1868" s="545">
        <f>-'Sollecitazioni nel paramento'!$G$47*'Sollecitazioni nel paramento'!$G$41*IF(DATI!$G$211="dx",DATI!$E$61,DATI!$E$64*DATI!$E$63)*1000*C1868*sezione!$AD$5</f>
        <v>-3504565.7650150224</v>
      </c>
      <c r="Q1868" s="545">
        <f>'Foglio deposito bis'!$F$78*IF(ABS(K1868)&lt;'Sollecitazioni nel paramento'!$G$58,ABS(K1868)*'Sollecitazioni nel paramento'!$G$54,'Sollecitazioni nel paramento'!$G$53)*IF(K1868&lt;0,-1,1)</f>
        <v>0</v>
      </c>
      <c r="R1868" s="545">
        <f>'Foglio deposito bis'!$F$79*IF(ABS(L1868)&lt;'Sollecitazioni nel paramento'!$G$58,ABS(L1868)*'Sollecitazioni nel paramento'!$G$54,'Sollecitazioni nel paramento'!$G$53)*IF(L1868&lt;0,-1,1)</f>
        <v>-98463.224906297197</v>
      </c>
      <c r="S1868" s="545">
        <f>'Foglio deposito bis'!$F$80*IF(ABS(M1868)&lt;'Sollecitazioni nel paramento'!$G$58,ABS(M1868)*'Sollecitazioni nel paramento'!$G$54,'Sollecitazioni nel paramento'!$G$53)*IF(M1868&lt;0,-1,1)</f>
        <v>0</v>
      </c>
      <c r="T1868" s="545">
        <f>'Foglio deposito bis'!$F$81*IF(ABS(N1868)&lt;'Sollecitazioni nel paramento'!$G$58,ABS(N1868)*'Sollecitazioni nel paramento'!$G$54,'Sollecitazioni nel paramento'!$G$53)*IF(N1868&lt;0,-1,1)</f>
        <v>398299.31208121032</v>
      </c>
      <c r="U1868" s="545">
        <f>'Foglio deposito bis'!$F$82*IF(ABS(O1868)&lt;'Sollecitazioni nel paramento'!$G$58,ABS(O1868)*'Sollecitazioni nel paramento'!$G$54,'Sollecitazioni nel paramento'!$G$53)*IF(O1868&lt;0,-1,1)</f>
        <v>892485.49558937876</v>
      </c>
      <c r="V1868" s="472">
        <f t="shared" si="129"/>
        <v>-2312244.1822507307</v>
      </c>
      <c r="W1868" s="551"/>
      <c r="X1868" s="551"/>
    </row>
    <row r="1869" spans="1:24" x14ac:dyDescent="0.25">
      <c r="A1869" s="545">
        <f t="shared" si="128"/>
        <v>2385227.4039962641</v>
      </c>
      <c r="B1869" s="3">
        <f t="shared" si="131"/>
        <v>10.299999999999985</v>
      </c>
      <c r="C1869" s="545">
        <f>'Foglio deposito bis'!$E$160/sezione!$B$247*B1869</f>
        <v>93.812192742119024</v>
      </c>
      <c r="D1869" s="603">
        <f>-'Sollecitazioni nel paramento'!$G$47*'Sollecitazioni nel paramento'!$G$41*IF(DATI!$G$211="dx",DATI!$E$61,DATI!$E$64*DATI!$E$63)*1000*C1869^2*sezione!$AD$5*(1-sezione!$AD$6)</f>
        <v>-195804288.44904032</v>
      </c>
      <c r="E1869" s="545">
        <f>-'Foglio deposito bis'!$F$78*(C1869-sezione!$AL$34)*IF(ABS(K1869)&lt;'Sollecitazioni nel paramento'!$G$58,ABS(K1869)*'Sollecitazioni nel paramento'!$G$54,'Sollecitazioni nel paramento'!$G$53)</f>
        <v>0</v>
      </c>
      <c r="F1869" s="545">
        <f>-'Foglio deposito bis'!$F$79*(C1869-sezione!$AM$34)*IF(ABS(L1869)&lt;'Sollecitazioni nel paramento'!$G$58,ABS(L1869)*'Sollecitazioni nel paramento'!$G$54,'Sollecitazioni nel paramento'!$G$53)</f>
        <v>-3450503.9996556169</v>
      </c>
      <c r="G1869" s="545">
        <f>-'Foglio deposito bis'!$F$80*(C1869-sezione!$AN$34)*IF(ABS(M1869)&lt;'Sollecitazioni nel paramento'!$G$58,ABS(M1869)*'Sollecitazioni nel paramento'!$G$54,'Sollecitazioni nel paramento'!$G$53)</f>
        <v>0</v>
      </c>
      <c r="H1869" s="545">
        <f>-'Foglio deposito bis'!$F$81*(C1869-sezione!$AO$34)*IF(ABS(N1869)&lt;'Sollecitazioni nel paramento'!$G$58,ABS(N1869)*'Sollecitazioni nel paramento'!$G$54,'Sollecitazioni nel paramento'!$G$53)</f>
        <v>26362558.098977733</v>
      </c>
      <c r="I1869" s="472">
        <f>-'Foglio deposito bis'!$F$82*(C1869-sezione!$AP$34)*IF(ABS(O1869)&lt;'Sollecitazioni nel paramento'!$G$58,ABS(O1869)*'Sollecitazioni nel paramento'!$G$54,'Sollecitazioni nel paramento'!$G$53)</f>
        <v>481288440.05030686</v>
      </c>
      <c r="J1869" s="472">
        <f t="shared" ref="J1869:J1932" si="132">D1869+E1869+F1869+G1869+H1869+I1869</f>
        <v>308396205.7005887</v>
      </c>
      <c r="K1869" s="550">
        <f>'Sollecitazioni nel paramento'!$G$60*(sezione!$AL$34-C1869)/C1869</f>
        <v>-2.00765667118722E-3</v>
      </c>
      <c r="L1869" s="550">
        <f>'Sollecitazioni nel paramento'!$G$60*(sezione!$AM$34-C1869)/C1869</f>
        <v>-1.2614850067808304E-3</v>
      </c>
      <c r="M1869" s="551">
        <f>'Sollecitazioni nel paramento'!$G$60*(sezione!$AN$34-C1869)/C1869</f>
        <v>-5.1531334237444053E-4</v>
      </c>
      <c r="N1869" s="551">
        <f>'Sollecitazioni nel paramento'!$G$60*(sezione!$AO$34-C1869)/C1869</f>
        <v>2.469373315251119E-3</v>
      </c>
      <c r="O1869" s="551">
        <f>'Sollecitazioni nel paramento'!$G$60*(sezione!$AP$34-C1869)/C1869</f>
        <v>2.0119307156624133E-2</v>
      </c>
      <c r="P1869" s="545">
        <f>-'Sollecitazioni nel paramento'!$G$47*'Sollecitazioni nel paramento'!$G$41*IF(DATI!$G$211="dx",DATI!$E$61,DATI!$E$64*DATI!$E$63)*1000*C1869*sezione!$AD$5</f>
        <v>-3573963.1068965076</v>
      </c>
      <c r="Q1869" s="545">
        <f>'Foglio deposito bis'!$F$78*IF(ABS(K1869)&lt;'Sollecitazioni nel paramento'!$G$58,ABS(K1869)*'Sollecitazioni nel paramento'!$G$54,'Sollecitazioni nel paramento'!$G$53)*IF(K1869&lt;0,-1,1)</f>
        <v>0</v>
      </c>
      <c r="R1869" s="545">
        <f>'Foglio deposito bis'!$F$79*IF(ABS(L1869)&lt;'Sollecitazioni nel paramento'!$G$58,ABS(L1869)*'Sollecitazioni nel paramento'!$G$54,'Sollecitazioni nel paramento'!$G$53)*IF(L1869&lt;0,-1,1)</f>
        <v>-102049.10477034541</v>
      </c>
      <c r="S1869" s="545">
        <f>'Foglio deposito bis'!$F$80*IF(ABS(M1869)&lt;'Sollecitazioni nel paramento'!$G$58,ABS(M1869)*'Sollecitazioni nel paramento'!$G$54,'Sollecitazioni nel paramento'!$G$53)*IF(M1869&lt;0,-1,1)</f>
        <v>0</v>
      </c>
      <c r="T1869" s="545">
        <f>'Foglio deposito bis'!$F$81*IF(ABS(N1869)&lt;'Sollecitazioni nel paramento'!$G$58,ABS(N1869)*'Sollecitazioni nel paramento'!$G$54,'Sollecitazioni nel paramento'!$G$53)*IF(N1869&lt;0,-1,1)</f>
        <v>398299.31208121032</v>
      </c>
      <c r="U1869" s="545">
        <f>'Foglio deposito bis'!$F$82*IF(ABS(O1869)&lt;'Sollecitazioni nel paramento'!$G$58,ABS(O1869)*'Sollecitazioni nel paramento'!$G$54,'Sollecitazioni nel paramento'!$G$53)*IF(O1869&lt;0,-1,1)</f>
        <v>892485.49558937876</v>
      </c>
      <c r="V1869" s="472">
        <f t="shared" si="129"/>
        <v>-2385227.4039962641</v>
      </c>
      <c r="W1869" s="551"/>
      <c r="X1869" s="551"/>
    </row>
    <row r="1870" spans="1:24" x14ac:dyDescent="0.25">
      <c r="A1870" s="545">
        <f t="shared" ref="A1870:A1933" si="133">ABS(V1870)</f>
        <v>2458074.0207945961</v>
      </c>
      <c r="B1870" s="3">
        <f t="shared" si="131"/>
        <v>10.499999999999984</v>
      </c>
      <c r="C1870" s="545">
        <f>'Foglio deposito bis'!$E$160/sezione!$B$247*B1870</f>
        <v>95.633788717694145</v>
      </c>
      <c r="D1870" s="603">
        <f>-'Sollecitazioni nel paramento'!$G$47*'Sollecitazioni nel paramento'!$G$41*IF(DATI!$G$211="dx",DATI!$E$61,DATI!$E$64*DATI!$E$63)*1000*C1870^2*sezione!$AD$5*(1-sezione!$AD$6)</f>
        <v>-203482164.21440938</v>
      </c>
      <c r="E1870" s="545">
        <f>-'Foglio deposito bis'!$F$78*(C1870-sezione!$AL$34)*IF(ABS(K1870)&lt;'Sollecitazioni nel paramento'!$G$58,ABS(K1870)*'Sollecitazioni nel paramento'!$G$54,'Sollecitazioni nel paramento'!$G$53)</f>
        <v>0</v>
      </c>
      <c r="F1870" s="545">
        <f>-'Foglio deposito bis'!$F$79*(C1870-sezione!$AM$34)*IF(ABS(L1870)&lt;'Sollecitazioni nel paramento'!$G$58,ABS(L1870)*'Sollecitazioni nel paramento'!$G$54,'Sollecitazioni nel paramento'!$G$53)</f>
        <v>-3759306.9718324672</v>
      </c>
      <c r="G1870" s="545">
        <f>-'Foglio deposito bis'!$F$80*(C1870-sezione!$AN$34)*IF(ABS(M1870)&lt;'Sollecitazioni nel paramento'!$G$58,ABS(M1870)*'Sollecitazioni nel paramento'!$G$54,'Sollecitazioni nel paramento'!$G$53)</f>
        <v>0</v>
      </c>
      <c r="H1870" s="545">
        <f>-'Foglio deposito bis'!$F$81*(C1870-sezione!$AO$34)*IF(ABS(N1870)&lt;'Sollecitazioni nel paramento'!$G$58,ABS(N1870)*'Sollecitazioni nel paramento'!$G$54,'Sollecitazioni nel paramento'!$G$53)</f>
        <v>25637017.675016262</v>
      </c>
      <c r="I1870" s="472">
        <f>-'Foglio deposito bis'!$F$82*(C1870-sezione!$AP$34)*IF(ABS(O1870)&lt;'Sollecitazioni nel paramento'!$G$58,ABS(O1870)*'Sollecitazioni nel paramento'!$G$54,'Sollecitazioni nel paramento'!$G$53)</f>
        <v>479662692.06328201</v>
      </c>
      <c r="J1870" s="472">
        <f t="shared" si="132"/>
        <v>298058238.55205643</v>
      </c>
      <c r="K1870" s="550">
        <f>'Sollecitazioni nel paramento'!$G$60*(sezione!$AL$34-C1870)/C1870</f>
        <v>-2.0360822584027018E-3</v>
      </c>
      <c r="L1870" s="550">
        <f>'Sollecitazioni nel paramento'!$G$60*(sezione!$AM$34-C1870)/C1870</f>
        <v>-1.3041233876040525E-3</v>
      </c>
      <c r="M1870" s="551">
        <f>'Sollecitazioni nel paramento'!$G$60*(sezione!$AN$34-C1870)/C1870</f>
        <v>-5.7216451680540338E-4</v>
      </c>
      <c r="N1870" s="551">
        <f>'Sollecitazioni nel paramento'!$G$60*(sezione!$AO$34-C1870)/C1870</f>
        <v>2.3556709663891933E-3</v>
      </c>
      <c r="O1870" s="551">
        <f>'Sollecitazioni nel paramento'!$G$60*(sezione!$AP$34-C1870)/C1870</f>
        <v>1.9669415591736052E-2</v>
      </c>
      <c r="P1870" s="545">
        <f>-'Sollecitazioni nel paramento'!$G$47*'Sollecitazioni nel paramento'!$G$41*IF(DATI!$G$211="dx",DATI!$E$61,DATI!$E$64*DATI!$E$63)*1000*C1870*sezione!$AD$5</f>
        <v>-3643360.4487779932</v>
      </c>
      <c r="Q1870" s="545">
        <f>'Foglio deposito bis'!$F$78*IF(ABS(K1870)&lt;'Sollecitazioni nel paramento'!$G$58,ABS(K1870)*'Sollecitazioni nel paramento'!$G$54,'Sollecitazioni nel paramento'!$G$53)*IF(K1870&lt;0,-1,1)</f>
        <v>0</v>
      </c>
      <c r="R1870" s="545">
        <f>'Foglio deposito bis'!$F$79*IF(ABS(L1870)&lt;'Sollecitazioni nel paramento'!$G$58,ABS(L1870)*'Sollecitazioni nel paramento'!$G$54,'Sollecitazioni nel paramento'!$G$53)*IF(L1870&lt;0,-1,1)</f>
        <v>-105498.37968719177</v>
      </c>
      <c r="S1870" s="545">
        <f>'Foglio deposito bis'!$F$80*IF(ABS(M1870)&lt;'Sollecitazioni nel paramento'!$G$58,ABS(M1870)*'Sollecitazioni nel paramento'!$G$54,'Sollecitazioni nel paramento'!$G$53)*IF(M1870&lt;0,-1,1)</f>
        <v>0</v>
      </c>
      <c r="T1870" s="545">
        <f>'Foglio deposito bis'!$F$81*IF(ABS(N1870)&lt;'Sollecitazioni nel paramento'!$G$58,ABS(N1870)*'Sollecitazioni nel paramento'!$G$54,'Sollecitazioni nel paramento'!$G$53)*IF(N1870&lt;0,-1,1)</f>
        <v>398299.31208121032</v>
      </c>
      <c r="U1870" s="545">
        <f>'Foglio deposito bis'!$F$82*IF(ABS(O1870)&lt;'Sollecitazioni nel paramento'!$G$58,ABS(O1870)*'Sollecitazioni nel paramento'!$G$54,'Sollecitazioni nel paramento'!$G$53)*IF(O1870&lt;0,-1,1)</f>
        <v>892485.49558937876</v>
      </c>
      <c r="V1870" s="472">
        <f t="shared" ref="V1870:V1933" si="134">P1870+Q1870+R1870+S1870+T1870+U1870</f>
        <v>-2458074.0207945961</v>
      </c>
      <c r="W1870" s="551"/>
      <c r="X1870" s="551"/>
    </row>
    <row r="1871" spans="1:24" x14ac:dyDescent="0.25">
      <c r="A1871" s="545">
        <f t="shared" si="133"/>
        <v>2530791.6927362229</v>
      </c>
      <c r="B1871" s="3">
        <f t="shared" si="131"/>
        <v>10.699999999999983</v>
      </c>
      <c r="C1871" s="545">
        <f>'Foglio deposito bis'!$E$160/sezione!$B$247*B1871</f>
        <v>97.455384693269266</v>
      </c>
      <c r="D1871" s="603">
        <f>-'Sollecitazioni nel paramento'!$G$47*'Sollecitazioni nel paramento'!$G$41*IF(DATI!$G$211="dx",DATI!$E$61,DATI!$E$64*DATI!$E$63)*1000*C1871^2*sezione!$AD$5*(1-sezione!$AD$6)</f>
        <v>-211307691.43680474</v>
      </c>
      <c r="E1871" s="545">
        <f>-'Foglio deposito bis'!$F$78*(C1871-sezione!$AL$34)*IF(ABS(K1871)&lt;'Sollecitazioni nel paramento'!$G$58,ABS(K1871)*'Sollecitazioni nel paramento'!$G$54,'Sollecitazioni nel paramento'!$G$53)</f>
        <v>0</v>
      </c>
      <c r="F1871" s="545">
        <f>-'Foglio deposito bis'!$F$79*(C1871-sezione!$AM$34)*IF(ABS(L1871)&lt;'Sollecitazioni nel paramento'!$G$58,ABS(L1871)*'Sollecitazioni nel paramento'!$G$54,'Sollecitazioni nel paramento'!$G$53)</f>
        <v>-4075846.6354115899</v>
      </c>
      <c r="G1871" s="545">
        <f>-'Foglio deposito bis'!$F$80*(C1871-sezione!$AN$34)*IF(ABS(M1871)&lt;'Sollecitazioni nel paramento'!$G$58,ABS(M1871)*'Sollecitazioni nel paramento'!$G$54,'Sollecitazioni nel paramento'!$G$53)</f>
        <v>0</v>
      </c>
      <c r="H1871" s="545">
        <f>-'Foglio deposito bis'!$F$81*(C1871-sezione!$AO$34)*IF(ABS(N1871)&lt;'Sollecitazioni nel paramento'!$G$58,ABS(N1871)*'Sollecitazioni nel paramento'!$G$54,'Sollecitazioni nel paramento'!$G$53)</f>
        <v>24911477.25105479</v>
      </c>
      <c r="I1871" s="472">
        <f>-'Foglio deposito bis'!$F$82*(C1871-sezione!$AP$34)*IF(ABS(O1871)&lt;'Sollecitazioni nel paramento'!$G$58,ABS(O1871)*'Sollecitazioni nel paramento'!$G$54,'Sollecitazioni nel paramento'!$G$53)</f>
        <v>478036944.07625729</v>
      </c>
      <c r="J1871" s="472">
        <f t="shared" si="132"/>
        <v>287564883.25509572</v>
      </c>
      <c r="K1871" s="550">
        <f>'Sollecitazioni nel paramento'!$G$60*(sezione!$AL$34-C1871)/C1871</f>
        <v>-2.0634452068437727E-3</v>
      </c>
      <c r="L1871" s="550">
        <f>'Sollecitazioni nel paramento'!$G$60*(sezione!$AM$34-C1871)/C1871</f>
        <v>-1.3451678102656588E-3</v>
      </c>
      <c r="M1871" s="551">
        <f>'Sollecitazioni nel paramento'!$G$60*(sezione!$AN$34-C1871)/C1871</f>
        <v>-6.2689041368754522E-4</v>
      </c>
      <c r="N1871" s="551">
        <f>'Sollecitazioni nel paramento'!$G$60*(sezione!$AO$34-C1871)/C1871</f>
        <v>2.2462191726249098E-3</v>
      </c>
      <c r="O1871" s="551">
        <f>'Sollecitazioni nel paramento'!$G$60*(sezione!$AP$34-C1871)/C1871</f>
        <v>1.9236342403105476E-2</v>
      </c>
      <c r="P1871" s="545">
        <f>-'Sollecitazioni nel paramento'!$G$47*'Sollecitazioni nel paramento'!$G$41*IF(DATI!$G$211="dx",DATI!$E$61,DATI!$E$64*DATI!$E$63)*1000*C1871*sezione!$AD$5</f>
        <v>-3712757.7906594784</v>
      </c>
      <c r="Q1871" s="545">
        <f>'Foglio deposito bis'!$F$78*IF(ABS(K1871)&lt;'Sollecitazioni nel paramento'!$G$58,ABS(K1871)*'Sollecitazioni nel paramento'!$G$54,'Sollecitazioni nel paramento'!$G$53)*IF(K1871&lt;0,-1,1)</f>
        <v>0</v>
      </c>
      <c r="R1871" s="545">
        <f>'Foglio deposito bis'!$F$79*IF(ABS(L1871)&lt;'Sollecitazioni nel paramento'!$G$58,ABS(L1871)*'Sollecitazioni nel paramento'!$G$54,'Sollecitazioni nel paramento'!$G$53)*IF(L1871&lt;0,-1,1)</f>
        <v>-108818.70974733359</v>
      </c>
      <c r="S1871" s="545">
        <f>'Foglio deposito bis'!$F$80*IF(ABS(M1871)&lt;'Sollecitazioni nel paramento'!$G$58,ABS(M1871)*'Sollecitazioni nel paramento'!$G$54,'Sollecitazioni nel paramento'!$G$53)*IF(M1871&lt;0,-1,1)</f>
        <v>0</v>
      </c>
      <c r="T1871" s="545">
        <f>'Foglio deposito bis'!$F$81*IF(ABS(N1871)&lt;'Sollecitazioni nel paramento'!$G$58,ABS(N1871)*'Sollecitazioni nel paramento'!$G$54,'Sollecitazioni nel paramento'!$G$53)*IF(N1871&lt;0,-1,1)</f>
        <v>398299.31208121032</v>
      </c>
      <c r="U1871" s="545">
        <f>'Foglio deposito bis'!$F$82*IF(ABS(O1871)&lt;'Sollecitazioni nel paramento'!$G$58,ABS(O1871)*'Sollecitazioni nel paramento'!$G$54,'Sollecitazioni nel paramento'!$G$53)*IF(O1871&lt;0,-1,1)</f>
        <v>892485.49558937876</v>
      </c>
      <c r="V1871" s="472">
        <f t="shared" si="134"/>
        <v>-2530791.6927362229</v>
      </c>
      <c r="W1871" s="551"/>
      <c r="X1871" s="551"/>
    </row>
    <row r="1872" spans="1:24" x14ac:dyDescent="0.25">
      <c r="A1872" s="545">
        <f t="shared" si="133"/>
        <v>2603387.5177031658</v>
      </c>
      <c r="B1872" s="3">
        <f t="shared" si="131"/>
        <v>10.899999999999983</v>
      </c>
      <c r="C1872" s="545">
        <f>'Foglio deposito bis'!$E$160/sezione!$B$247*B1872</f>
        <v>99.276980668844388</v>
      </c>
      <c r="D1872" s="603">
        <f>-'Sollecitazioni nel paramento'!$G$47*'Sollecitazioni nel paramento'!$G$41*IF(DATI!$G$211="dx",DATI!$E$61,DATI!$E$64*DATI!$E$63)*1000*C1872^2*sezione!$AD$5*(1-sezione!$AD$6)</f>
        <v>-219280870.11622649</v>
      </c>
      <c r="E1872" s="545">
        <f>-'Foglio deposito bis'!$F$78*(C1872-sezione!$AL$34)*IF(ABS(K1872)&lt;'Sollecitazioni nel paramento'!$G$58,ABS(K1872)*'Sollecitazioni nel paramento'!$G$54,'Sollecitazioni nel paramento'!$G$53)</f>
        <v>0</v>
      </c>
      <c r="F1872" s="545">
        <f>-'Foglio deposito bis'!$F$79*(C1872-sezione!$AM$34)*IF(ABS(L1872)&lt;'Sollecitazioni nel paramento'!$G$58,ABS(L1872)*'Sollecitazioni nel paramento'!$G$54,'Sollecitazioni nel paramento'!$G$53)</f>
        <v>-4399697.1174717592</v>
      </c>
      <c r="G1872" s="545">
        <f>-'Foglio deposito bis'!$F$80*(C1872-sezione!$AN$34)*IF(ABS(M1872)&lt;'Sollecitazioni nel paramento'!$G$58,ABS(M1872)*'Sollecitazioni nel paramento'!$G$54,'Sollecitazioni nel paramento'!$G$53)</f>
        <v>0</v>
      </c>
      <c r="H1872" s="545">
        <f>-'Foglio deposito bis'!$F$81*(C1872-sezione!$AO$34)*IF(ABS(N1872)&lt;'Sollecitazioni nel paramento'!$G$58,ABS(N1872)*'Sollecitazioni nel paramento'!$G$54,'Sollecitazioni nel paramento'!$G$53)</f>
        <v>24185936.827093318</v>
      </c>
      <c r="I1872" s="472">
        <f>-'Foglio deposito bis'!$F$82*(C1872-sezione!$AP$34)*IF(ABS(O1872)&lt;'Sollecitazioni nel paramento'!$G$58,ABS(O1872)*'Sollecitazioni nel paramento'!$G$54,'Sollecitazioni nel paramento'!$G$53)</f>
        <v>476411196.0892325</v>
      </c>
      <c r="J1872" s="472">
        <f t="shared" si="132"/>
        <v>276916565.68262756</v>
      </c>
      <c r="K1872" s="550">
        <f>'Sollecitazioni nel paramento'!$G$60*(sezione!$AL$34-C1872)/C1872</f>
        <v>-2.0898040103879234E-3</v>
      </c>
      <c r="L1872" s="550">
        <f>'Sollecitazioni nel paramento'!$G$60*(sezione!$AM$34-C1872)/C1872</f>
        <v>-1.3847060155818853E-3</v>
      </c>
      <c r="M1872" s="551">
        <f>'Sollecitazioni nel paramento'!$G$60*(sezione!$AN$34-C1872)/C1872</f>
        <v>-6.7960802077584703E-4</v>
      </c>
      <c r="N1872" s="551">
        <f>'Sollecitazioni nel paramento'!$G$60*(sezione!$AO$34-C1872)/C1872</f>
        <v>2.1407839584483062E-3</v>
      </c>
      <c r="O1872" s="551">
        <f>'Sollecitazioni nel paramento'!$G$60*(sezione!$AP$34-C1872)/C1872</f>
        <v>1.881916180855308E-2</v>
      </c>
      <c r="P1872" s="545">
        <f>-'Sollecitazioni nel paramento'!$G$47*'Sollecitazioni nel paramento'!$G$41*IF(DATI!$G$211="dx",DATI!$E$61,DATI!$E$64*DATI!$E$63)*1000*C1872*sezione!$AD$5</f>
        <v>-3782155.1325409636</v>
      </c>
      <c r="Q1872" s="545">
        <f>'Foglio deposito bis'!$F$78*IF(ABS(K1872)&lt;'Sollecitazioni nel paramento'!$G$58,ABS(K1872)*'Sollecitazioni nel paramento'!$G$54,'Sollecitazioni nel paramento'!$G$53)*IF(K1872&lt;0,-1,1)</f>
        <v>0</v>
      </c>
      <c r="R1872" s="545">
        <f>'Foglio deposito bis'!$F$79*IF(ABS(L1872)&lt;'Sollecitazioni nel paramento'!$G$58,ABS(L1872)*'Sollecitazioni nel paramento'!$G$54,'Sollecitazioni nel paramento'!$G$53)*IF(L1872&lt;0,-1,1)</f>
        <v>-112017.19283279132</v>
      </c>
      <c r="S1872" s="545">
        <f>'Foglio deposito bis'!$F$80*IF(ABS(M1872)&lt;'Sollecitazioni nel paramento'!$G$58,ABS(M1872)*'Sollecitazioni nel paramento'!$G$54,'Sollecitazioni nel paramento'!$G$53)*IF(M1872&lt;0,-1,1)</f>
        <v>0</v>
      </c>
      <c r="T1872" s="545">
        <f>'Foglio deposito bis'!$F$81*IF(ABS(N1872)&lt;'Sollecitazioni nel paramento'!$G$58,ABS(N1872)*'Sollecitazioni nel paramento'!$G$54,'Sollecitazioni nel paramento'!$G$53)*IF(N1872&lt;0,-1,1)</f>
        <v>398299.31208121032</v>
      </c>
      <c r="U1872" s="545">
        <f>'Foglio deposito bis'!$F$82*IF(ABS(O1872)&lt;'Sollecitazioni nel paramento'!$G$58,ABS(O1872)*'Sollecitazioni nel paramento'!$G$54,'Sollecitazioni nel paramento'!$G$53)*IF(O1872&lt;0,-1,1)</f>
        <v>892485.49558937876</v>
      </c>
      <c r="V1872" s="472">
        <f t="shared" si="134"/>
        <v>-2603387.5177031658</v>
      </c>
      <c r="W1872" s="551"/>
      <c r="X1872" s="551"/>
    </row>
    <row r="1873" spans="1:24" x14ac:dyDescent="0.25">
      <c r="A1873" s="545">
        <f t="shared" si="133"/>
        <v>2675868.082018381</v>
      </c>
      <c r="B1873" s="3">
        <f t="shared" si="131"/>
        <v>11.099999999999982</v>
      </c>
      <c r="C1873" s="545">
        <f>'Foglio deposito bis'!$E$160/sezione!$B$247*B1873</f>
        <v>101.09857664441951</v>
      </c>
      <c r="D1873" s="603">
        <f>-'Sollecitazioni nel paramento'!$G$47*'Sollecitazioni nel paramento'!$G$41*IF(DATI!$G$211="dx",DATI!$E$61,DATI!$E$64*DATI!$E$63)*1000*C1873^2*sezione!$AD$5*(1-sezione!$AD$6)</f>
        <v>-227401700.25267455</v>
      </c>
      <c r="E1873" s="545">
        <f>-'Foglio deposito bis'!$F$78*(C1873-sezione!$AL$34)*IF(ABS(K1873)&lt;'Sollecitazioni nel paramento'!$G$58,ABS(K1873)*'Sollecitazioni nel paramento'!$G$54,'Sollecitazioni nel paramento'!$G$53)</f>
        <v>0</v>
      </c>
      <c r="F1873" s="545">
        <f>-'Foglio deposito bis'!$F$79*(C1873-sezione!$AM$34)*IF(ABS(L1873)&lt;'Sollecitazioni nel paramento'!$G$58,ABS(L1873)*'Sollecitazioni nel paramento'!$G$54,'Sollecitazioni nel paramento'!$G$53)</f>
        <v>-4730463.238635621</v>
      </c>
      <c r="G1873" s="545">
        <f>-'Foglio deposito bis'!$F$80*(C1873-sezione!$AN$34)*IF(ABS(M1873)&lt;'Sollecitazioni nel paramento'!$G$58,ABS(M1873)*'Sollecitazioni nel paramento'!$G$54,'Sollecitazioni nel paramento'!$G$53)</f>
        <v>0</v>
      </c>
      <c r="H1873" s="545">
        <f>-'Foglio deposito bis'!$F$81*(C1873-sezione!$AO$34)*IF(ABS(N1873)&lt;'Sollecitazioni nel paramento'!$G$58,ABS(N1873)*'Sollecitazioni nel paramento'!$G$54,'Sollecitazioni nel paramento'!$G$53)</f>
        <v>23460396.403131846</v>
      </c>
      <c r="I1873" s="472">
        <f>-'Foglio deposito bis'!$F$82*(C1873-sezione!$AP$34)*IF(ABS(O1873)&lt;'Sollecitazioni nel paramento'!$G$58,ABS(O1873)*'Sollecitazioni nel paramento'!$G$54,'Sollecitazioni nel paramento'!$G$53)</f>
        <v>474785448.10220778</v>
      </c>
      <c r="J1873" s="472">
        <f t="shared" si="132"/>
        <v>266113681.01402944</v>
      </c>
      <c r="K1873" s="550">
        <f>'Sollecitazioni nel paramento'!$G$60*(sezione!$AL$34-C1873)/C1873</f>
        <v>-2.1152129471376908E-3</v>
      </c>
      <c r="L1873" s="550">
        <f>'Sollecitazioni nel paramento'!$G$60*(sezione!$AM$34-C1873)/C1873</f>
        <v>-1.4228194207065359E-3</v>
      </c>
      <c r="M1873" s="551">
        <f>'Sollecitazioni nel paramento'!$G$60*(sezione!$AN$34-C1873)/C1873</f>
        <v>-7.3042589427538111E-4</v>
      </c>
      <c r="N1873" s="551">
        <f>'Sollecitazioni nel paramento'!$G$60*(sezione!$AO$34-C1873)/C1873</f>
        <v>2.0391482114492376E-3</v>
      </c>
      <c r="O1873" s="551">
        <f>'Sollecitazioni nel paramento'!$G$60*(sezione!$AP$34-C1873)/C1873</f>
        <v>1.8417014748939513E-2</v>
      </c>
      <c r="P1873" s="545">
        <f>-'Sollecitazioni nel paramento'!$G$47*'Sollecitazioni nel paramento'!$G$41*IF(DATI!$G$211="dx",DATI!$E$61,DATI!$E$64*DATI!$E$63)*1000*C1873*sezione!$AD$5</f>
        <v>-3851552.4744224492</v>
      </c>
      <c r="Q1873" s="545">
        <f>'Foglio deposito bis'!$F$78*IF(ABS(K1873)&lt;'Sollecitazioni nel paramento'!$G$58,ABS(K1873)*'Sollecitazioni nel paramento'!$G$54,'Sollecitazioni nel paramento'!$G$53)*IF(K1873&lt;0,-1,1)</f>
        <v>0</v>
      </c>
      <c r="R1873" s="545">
        <f>'Foglio deposito bis'!$F$79*IF(ABS(L1873)&lt;'Sollecitazioni nel paramento'!$G$58,ABS(L1873)*'Sollecitazioni nel paramento'!$G$54,'Sollecitazioni nel paramento'!$G$53)*IF(L1873&lt;0,-1,1)</f>
        <v>-115100.41526652085</v>
      </c>
      <c r="S1873" s="545">
        <f>'Foglio deposito bis'!$F$80*IF(ABS(M1873)&lt;'Sollecitazioni nel paramento'!$G$58,ABS(M1873)*'Sollecitazioni nel paramento'!$G$54,'Sollecitazioni nel paramento'!$G$53)*IF(M1873&lt;0,-1,1)</f>
        <v>0</v>
      </c>
      <c r="T1873" s="545">
        <f>'Foglio deposito bis'!$F$81*IF(ABS(N1873)&lt;'Sollecitazioni nel paramento'!$G$58,ABS(N1873)*'Sollecitazioni nel paramento'!$G$54,'Sollecitazioni nel paramento'!$G$53)*IF(N1873&lt;0,-1,1)</f>
        <v>398299.31208121032</v>
      </c>
      <c r="U1873" s="545">
        <f>'Foglio deposito bis'!$F$82*IF(ABS(O1873)&lt;'Sollecitazioni nel paramento'!$G$58,ABS(O1873)*'Sollecitazioni nel paramento'!$G$54,'Sollecitazioni nel paramento'!$G$53)*IF(O1873&lt;0,-1,1)</f>
        <v>892485.49558937876</v>
      </c>
      <c r="V1873" s="472">
        <f t="shared" si="134"/>
        <v>-2675868.082018381</v>
      </c>
      <c r="W1873" s="551"/>
      <c r="X1873" s="551"/>
    </row>
    <row r="1874" spans="1:24" x14ac:dyDescent="0.25">
      <c r="A1874" s="545">
        <f t="shared" si="133"/>
        <v>2748239.5057164729</v>
      </c>
      <c r="B1874" s="3">
        <f t="shared" si="131"/>
        <v>11.299999999999981</v>
      </c>
      <c r="C1874" s="545">
        <f>'Foglio deposito bis'!$E$160/sezione!$B$247*B1874</f>
        <v>102.92017261999463</v>
      </c>
      <c r="D1874" s="603">
        <f>-'Sollecitazioni nel paramento'!$G$47*'Sollecitazioni nel paramento'!$G$41*IF(DATI!$G$211="dx",DATI!$E$61,DATI!$E$64*DATI!$E$63)*1000*C1874^2*sezione!$AD$5*(1-sezione!$AD$6)</f>
        <v>-235670181.84614897</v>
      </c>
      <c r="E1874" s="545">
        <f>-'Foglio deposito bis'!$F$78*(C1874-sezione!$AL$34)*IF(ABS(K1874)&lt;'Sollecitazioni nel paramento'!$G$58,ABS(K1874)*'Sollecitazioni nel paramento'!$G$54,'Sollecitazioni nel paramento'!$G$53)</f>
        <v>0</v>
      </c>
      <c r="F1874" s="545">
        <f>-'Foglio deposito bis'!$F$79*(C1874-sezione!$AM$34)*IF(ABS(L1874)&lt;'Sollecitazioni nel paramento'!$G$58,ABS(L1874)*'Sollecitazioni nel paramento'!$G$54,'Sollecitazioni nel paramento'!$G$53)</f>
        <v>-5067777.796826872</v>
      </c>
      <c r="G1874" s="545">
        <f>-'Foglio deposito bis'!$F$80*(C1874-sezione!$AN$34)*IF(ABS(M1874)&lt;'Sollecitazioni nel paramento'!$G$58,ABS(M1874)*'Sollecitazioni nel paramento'!$G$54,'Sollecitazioni nel paramento'!$G$53)</f>
        <v>0</v>
      </c>
      <c r="H1874" s="545">
        <f>-'Foglio deposito bis'!$F$81*(C1874-sezione!$AO$34)*IF(ABS(N1874)&lt;'Sollecitazioni nel paramento'!$G$58,ABS(N1874)*'Sollecitazioni nel paramento'!$G$54,'Sollecitazioni nel paramento'!$G$53)</f>
        <v>22734855.979170371</v>
      </c>
      <c r="I1874" s="472">
        <f>-'Foglio deposito bis'!$F$82*(C1874-sezione!$AP$34)*IF(ABS(O1874)&lt;'Sollecitazioni nel paramento'!$G$58,ABS(O1874)*'Sollecitazioni nel paramento'!$G$54,'Sollecitazioni nel paramento'!$G$53)</f>
        <v>473159700.11518294</v>
      </c>
      <c r="J1874" s="472">
        <f t="shared" si="132"/>
        <v>255156596.45137748</v>
      </c>
      <c r="K1874" s="550">
        <f>'Sollecitazioni nel paramento'!$G$60*(sezione!$AL$34-C1874)/C1874</f>
        <v>-2.1397224524980856E-3</v>
      </c>
      <c r="L1874" s="550">
        <f>'Sollecitazioni nel paramento'!$G$60*(sezione!$AM$34-C1874)/C1874</f>
        <v>-1.4595836787471279E-3</v>
      </c>
      <c r="M1874" s="551">
        <f>'Sollecitazioni nel paramento'!$G$60*(sezione!$AN$34-C1874)/C1874</f>
        <v>-7.7944490499617079E-4</v>
      </c>
      <c r="N1874" s="551">
        <f>'Sollecitazioni nel paramento'!$G$60*(sezione!$AO$34-C1874)/C1874</f>
        <v>1.9411101900076587E-3</v>
      </c>
      <c r="O1874" s="551">
        <f>'Sollecitazioni nel paramento'!$G$60*(sezione!$AP$34-C1874)/C1874</f>
        <v>1.8029102983471556E-2</v>
      </c>
      <c r="P1874" s="545">
        <f>-'Sollecitazioni nel paramento'!$G$47*'Sollecitazioni nel paramento'!$G$41*IF(DATI!$G$211="dx",DATI!$E$61,DATI!$E$64*DATI!$E$63)*1000*C1874*sezione!$AD$5</f>
        <v>-3920949.8163039349</v>
      </c>
      <c r="Q1874" s="545">
        <f>'Foglio deposito bis'!$F$78*IF(ABS(K1874)&lt;'Sollecitazioni nel paramento'!$G$58,ABS(K1874)*'Sollecitazioni nel paramento'!$G$54,'Sollecitazioni nel paramento'!$G$53)*IF(K1874&lt;0,-1,1)</f>
        <v>0</v>
      </c>
      <c r="R1874" s="545">
        <f>'Foglio deposito bis'!$F$79*IF(ABS(L1874)&lt;'Sollecitazioni nel paramento'!$G$58,ABS(L1874)*'Sollecitazioni nel paramento'!$G$54,'Sollecitazioni nel paramento'!$G$53)*IF(L1874&lt;0,-1,1)</f>
        <v>-118074.49708312721</v>
      </c>
      <c r="S1874" s="545">
        <f>'Foglio deposito bis'!$F$80*IF(ABS(M1874)&lt;'Sollecitazioni nel paramento'!$G$58,ABS(M1874)*'Sollecitazioni nel paramento'!$G$54,'Sollecitazioni nel paramento'!$G$53)*IF(M1874&lt;0,-1,1)</f>
        <v>0</v>
      </c>
      <c r="T1874" s="545">
        <f>'Foglio deposito bis'!$F$81*IF(ABS(N1874)&lt;'Sollecitazioni nel paramento'!$G$58,ABS(N1874)*'Sollecitazioni nel paramento'!$G$54,'Sollecitazioni nel paramento'!$G$53)*IF(N1874&lt;0,-1,1)</f>
        <v>398299.31208121032</v>
      </c>
      <c r="U1874" s="545">
        <f>'Foglio deposito bis'!$F$82*IF(ABS(O1874)&lt;'Sollecitazioni nel paramento'!$G$58,ABS(O1874)*'Sollecitazioni nel paramento'!$G$54,'Sollecitazioni nel paramento'!$G$53)*IF(O1874&lt;0,-1,1)</f>
        <v>892485.49558937876</v>
      </c>
      <c r="V1874" s="472">
        <f t="shared" si="134"/>
        <v>-2748239.5057164729</v>
      </c>
      <c r="W1874" s="551"/>
      <c r="X1874" s="551"/>
    </row>
    <row r="1875" spans="1:24" x14ac:dyDescent="0.25">
      <c r="A1875" s="545">
        <f t="shared" si="133"/>
        <v>2831631.8677861528</v>
      </c>
      <c r="B1875" s="3">
        <f t="shared" si="131"/>
        <v>11.49999999999998</v>
      </c>
      <c r="C1875" s="545">
        <f>'Foglio deposito bis'!$E$160/sezione!$B$247*B1875</f>
        <v>104.74176859556975</v>
      </c>
      <c r="D1875" s="603">
        <f>-'Sollecitazioni nel paramento'!$G$47*'Sollecitazioni nel paramento'!$G$41*IF(DATI!$G$211="dx",DATI!$E$61,DATI!$E$64*DATI!$E$63)*1000*C1875^2*sezione!$AD$5*(1-sezione!$AD$6)</f>
        <v>-244086314.89664966</v>
      </c>
      <c r="E1875" s="545">
        <f>-'Foglio deposito bis'!$F$78*(C1875-sezione!$AL$34)*IF(ABS(K1875)&lt;'Sollecitazioni nel paramento'!$G$58,ABS(K1875)*'Sollecitazioni nel paramento'!$G$54,'Sollecitazioni nel paramento'!$G$53)</f>
        <v>0</v>
      </c>
      <c r="F1875" s="545">
        <f>-'Foglio deposito bis'!$F$79*(C1875-sezione!$AM$34)*IF(ABS(L1875)&lt;'Sollecitazioni nel paramento'!$G$58,ABS(L1875)*'Sollecitazioni nel paramento'!$G$54,'Sollecitazioni nel paramento'!$G$53)</f>
        <v>-5411299.1344614755</v>
      </c>
      <c r="G1875" s="545">
        <f>-'Foglio deposito bis'!$F$80*(C1875-sezione!$AN$34)*IF(ABS(M1875)&lt;'Sollecitazioni nel paramento'!$G$58,ABS(M1875)*'Sollecitazioni nel paramento'!$G$54,'Sollecitazioni nel paramento'!$G$53)</f>
        <v>0</v>
      </c>
      <c r="H1875" s="545">
        <f>-'Foglio deposito bis'!$F$81*(C1875-sezione!$AO$34)*IF(ABS(N1875)&lt;'Sollecitazioni nel paramento'!$G$58,ABS(N1875)*'Sollecitazioni nel paramento'!$G$54,'Sollecitazioni nel paramento'!$G$53)</f>
        <v>21394601.731465075</v>
      </c>
      <c r="I1875" s="472">
        <f>-'Foglio deposito bis'!$F$82*(C1875-sezione!$AP$34)*IF(ABS(O1875)&lt;'Sollecitazioni nel paramento'!$G$58,ABS(O1875)*'Sollecitazioni nel paramento'!$G$54,'Sollecitazioni nel paramento'!$G$53)</f>
        <v>471533952.12815821</v>
      </c>
      <c r="J1875" s="472">
        <f t="shared" si="132"/>
        <v>243430939.82851216</v>
      </c>
      <c r="K1875" s="550">
        <f>'Sollecitazioni nel paramento'!$G$60*(sezione!$AL$34-C1875)/C1875</f>
        <v>-2.1633794533242054E-3</v>
      </c>
      <c r="L1875" s="550">
        <f>'Sollecitazioni nel paramento'!$G$60*(sezione!$AM$34-C1875)/C1875</f>
        <v>-1.4950691799863083E-3</v>
      </c>
      <c r="M1875" s="551">
        <f>'Sollecitazioni nel paramento'!$G$60*(sezione!$AN$34-C1875)/C1875</f>
        <v>-8.2675890664841122E-4</v>
      </c>
      <c r="N1875" s="551">
        <f>'Sollecitazioni nel paramento'!$G$60*(sezione!$AO$34-C1875)/C1875</f>
        <v>1.8464821867031779E-3</v>
      </c>
      <c r="O1875" s="551">
        <f>'Sollecitazioni nel paramento'!$G$60*(sezione!$AP$34-C1875)/C1875</f>
        <v>1.7654683801150317E-2</v>
      </c>
      <c r="P1875" s="545">
        <f>-'Sollecitazioni nel paramento'!$G$47*'Sollecitazioni nel paramento'!$G$41*IF(DATI!$G$211="dx",DATI!$E$61,DATI!$E$64*DATI!$E$63)*1000*C1875*sezione!$AD$5</f>
        <v>-3990347.1581854196</v>
      </c>
      <c r="Q1875" s="545">
        <f>'Foglio deposito bis'!$F$78*IF(ABS(K1875)&lt;'Sollecitazioni nel paramento'!$G$58,ABS(K1875)*'Sollecitazioni nel paramento'!$G$54,'Sollecitazioni nel paramento'!$G$53)*IF(K1875&lt;0,-1,1)</f>
        <v>0</v>
      </c>
      <c r="R1875" s="545">
        <f>'Foglio deposito bis'!$F$79*IF(ABS(L1875)&lt;'Sollecitazioni nel paramento'!$G$58,ABS(L1875)*'Sollecitazioni nel paramento'!$G$54,'Sollecitazioni nel paramento'!$G$53)*IF(L1875&lt;0,-1,1)</f>
        <v>-120945.13257567768</v>
      </c>
      <c r="S1875" s="545">
        <f>'Foglio deposito bis'!$F$80*IF(ABS(M1875)&lt;'Sollecitazioni nel paramento'!$G$58,ABS(M1875)*'Sollecitazioni nel paramento'!$G$54,'Sollecitazioni nel paramento'!$G$53)*IF(M1875&lt;0,-1,1)</f>
        <v>0</v>
      </c>
      <c r="T1875" s="545">
        <f>'Foglio deposito bis'!$F$81*IF(ABS(N1875)&lt;'Sollecitazioni nel paramento'!$G$58,ABS(N1875)*'Sollecitazioni nel paramento'!$G$54,'Sollecitazioni nel paramento'!$G$53)*IF(N1875&lt;0,-1,1)</f>
        <v>387174.92738556588</v>
      </c>
      <c r="U1875" s="545">
        <f>'Foglio deposito bis'!$F$82*IF(ABS(O1875)&lt;'Sollecitazioni nel paramento'!$G$58,ABS(O1875)*'Sollecitazioni nel paramento'!$G$54,'Sollecitazioni nel paramento'!$G$53)*IF(O1875&lt;0,-1,1)</f>
        <v>892485.49558937876</v>
      </c>
      <c r="V1875" s="472">
        <f t="shared" si="134"/>
        <v>-2831631.8677861528</v>
      </c>
      <c r="W1875" s="551"/>
      <c r="X1875" s="551"/>
    </row>
    <row r="1876" spans="1:24" x14ac:dyDescent="0.25">
      <c r="A1876" s="545">
        <f t="shared" si="133"/>
        <v>2922965.183051636</v>
      </c>
      <c r="B1876" s="3">
        <f t="shared" si="131"/>
        <v>11.69999999999998</v>
      </c>
      <c r="C1876" s="545">
        <f>'Foglio deposito bis'!$E$160/sezione!$B$247*B1876</f>
        <v>106.56336457114487</v>
      </c>
      <c r="D1876" s="603">
        <f>-'Sollecitazioni nel paramento'!$G$47*'Sollecitazioni nel paramento'!$G$41*IF(DATI!$G$211="dx",DATI!$E$61,DATI!$E$64*DATI!$E$63)*1000*C1876^2*sezione!$AD$5*(1-sezione!$AD$6)</f>
        <v>-252650099.40417671</v>
      </c>
      <c r="E1876" s="545">
        <f>-'Foglio deposito bis'!$F$78*(C1876-sezione!$AL$34)*IF(ABS(K1876)&lt;'Sollecitazioni nel paramento'!$G$58,ABS(K1876)*'Sollecitazioni nel paramento'!$G$54,'Sollecitazioni nel paramento'!$G$53)</f>
        <v>0</v>
      </c>
      <c r="F1876" s="545">
        <f>-'Foglio deposito bis'!$F$79*(C1876-sezione!$AM$34)*IF(ABS(L1876)&lt;'Sollecitazioni nel paramento'!$G$58,ABS(L1876)*'Sollecitazioni nel paramento'!$G$54,'Sollecitazioni nel paramento'!$G$53)</f>
        <v>-5760708.9551577214</v>
      </c>
      <c r="G1876" s="545">
        <f>-'Foglio deposito bis'!$F$80*(C1876-sezione!$AN$34)*IF(ABS(M1876)&lt;'Sollecitazioni nel paramento'!$G$58,ABS(M1876)*'Sollecitazioni nel paramento'!$G$54,'Sollecitazioni nel paramento'!$G$53)</f>
        <v>0</v>
      </c>
      <c r="H1876" s="545">
        <f>-'Foglio deposito bis'!$F$81*(C1876-sezione!$AO$34)*IF(ABS(N1876)&lt;'Sollecitazioni nel paramento'!$G$58,ABS(N1876)*'Sollecitazioni nel paramento'!$G$54,'Sollecitazioni nel paramento'!$G$53)</f>
        <v>19665293.58628618</v>
      </c>
      <c r="I1876" s="472">
        <f>-'Foglio deposito bis'!$F$82*(C1876-sezione!$AP$34)*IF(ABS(O1876)&lt;'Sollecitazioni nel paramento'!$G$58,ABS(O1876)*'Sollecitazioni nel paramento'!$G$54,'Sollecitazioni nel paramento'!$G$53)</f>
        <v>469908204.14113337</v>
      </c>
      <c r="J1876" s="472">
        <f t="shared" si="132"/>
        <v>231162689.36808512</v>
      </c>
      <c r="K1876" s="550">
        <f>'Sollecitazioni nel paramento'!$G$60*(sezione!$AL$34-C1876)/C1876</f>
        <v>-2.186227667797296E-3</v>
      </c>
      <c r="L1876" s="550">
        <f>'Sollecitazioni nel paramento'!$G$60*(sezione!$AM$34-C1876)/C1876</f>
        <v>-1.5293415016959439E-3</v>
      </c>
      <c r="M1876" s="551">
        <f>'Sollecitazioni nel paramento'!$G$60*(sezione!$AN$34-C1876)/C1876</f>
        <v>-8.7245533559459211E-4</v>
      </c>
      <c r="N1876" s="551">
        <f>'Sollecitazioni nel paramento'!$G$60*(sezione!$AO$34-C1876)/C1876</f>
        <v>1.7550893288108161E-3</v>
      </c>
      <c r="O1876" s="551">
        <f>'Sollecitazioni nel paramento'!$G$60*(sezione!$AP$34-C1876)/C1876</f>
        <v>1.7293065274634926E-2</v>
      </c>
      <c r="P1876" s="545">
        <f>-'Sollecitazioni nel paramento'!$G$47*'Sollecitazioni nel paramento'!$G$41*IF(DATI!$G$211="dx",DATI!$E$61,DATI!$E$64*DATI!$E$63)*1000*C1876*sezione!$AD$5</f>
        <v>-4059744.5000669053</v>
      </c>
      <c r="Q1876" s="545">
        <f>'Foglio deposito bis'!$F$78*IF(ABS(K1876)&lt;'Sollecitazioni nel paramento'!$G$58,ABS(K1876)*'Sollecitazioni nel paramento'!$G$54,'Sollecitazioni nel paramento'!$G$53)*IF(K1876&lt;0,-1,1)</f>
        <v>0</v>
      </c>
      <c r="R1876" s="545">
        <f>'Foglio deposito bis'!$F$79*IF(ABS(L1876)&lt;'Sollecitazioni nel paramento'!$G$58,ABS(L1876)*'Sollecitazioni nel paramento'!$G$54,'Sollecitazioni nel paramento'!$G$53)*IF(L1876&lt;0,-1,1)</f>
        <v>-123717.62668386745</v>
      </c>
      <c r="S1876" s="545">
        <f>'Foglio deposito bis'!$F$80*IF(ABS(M1876)&lt;'Sollecitazioni nel paramento'!$G$58,ABS(M1876)*'Sollecitazioni nel paramento'!$G$54,'Sollecitazioni nel paramento'!$G$53)*IF(M1876&lt;0,-1,1)</f>
        <v>0</v>
      </c>
      <c r="T1876" s="545">
        <f>'Foglio deposito bis'!$F$81*IF(ABS(N1876)&lt;'Sollecitazioni nel paramento'!$G$58,ABS(N1876)*'Sollecitazioni nel paramento'!$G$54,'Sollecitazioni nel paramento'!$G$53)*IF(N1876&lt;0,-1,1)</f>
        <v>368011.44810975814</v>
      </c>
      <c r="U1876" s="545">
        <f>'Foglio deposito bis'!$F$82*IF(ABS(O1876)&lt;'Sollecitazioni nel paramento'!$G$58,ABS(O1876)*'Sollecitazioni nel paramento'!$G$54,'Sollecitazioni nel paramento'!$G$53)*IF(O1876&lt;0,-1,1)</f>
        <v>892485.49558937876</v>
      </c>
      <c r="V1876" s="472">
        <f t="shared" si="134"/>
        <v>-2922965.183051636</v>
      </c>
      <c r="W1876" s="551"/>
      <c r="X1876" s="551"/>
    </row>
    <row r="1877" spans="1:24" x14ac:dyDescent="0.25">
      <c r="A1877" s="545">
        <f t="shared" si="133"/>
        <v>3013561.1546739596</v>
      </c>
      <c r="B1877" s="3">
        <f t="shared" si="131"/>
        <v>11.899999999999979</v>
      </c>
      <c r="C1877" s="545">
        <f>'Foglio deposito bis'!$E$160/sezione!$B$247*B1877</f>
        <v>108.38496054672</v>
      </c>
      <c r="D1877" s="603">
        <f>-'Sollecitazioni nel paramento'!$G$47*'Sollecitazioni nel paramento'!$G$41*IF(DATI!$G$211="dx",DATI!$E$61,DATI!$E$64*DATI!$E$63)*1000*C1877^2*sezione!$AD$5*(1-sezione!$AD$6)</f>
        <v>-261361535.36873007</v>
      </c>
      <c r="E1877" s="545">
        <f>-'Foglio deposito bis'!$F$78*(C1877-sezione!$AL$34)*IF(ABS(K1877)&lt;'Sollecitazioni nel paramento'!$G$58,ABS(K1877)*'Sollecitazioni nel paramento'!$G$54,'Sollecitazioni nel paramento'!$G$53)</f>
        <v>0</v>
      </c>
      <c r="F1877" s="545">
        <f>-'Foglio deposito bis'!$F$79*(C1877-sezione!$AM$34)*IF(ABS(L1877)&lt;'Sollecitazioni nel paramento'!$G$58,ABS(L1877)*'Sollecitazioni nel paramento'!$G$54,'Sollecitazioni nel paramento'!$G$53)</f>
        <v>-6115710.3606099812</v>
      </c>
      <c r="G1877" s="545">
        <f>-'Foglio deposito bis'!$F$80*(C1877-sezione!$AN$34)*IF(ABS(M1877)&lt;'Sollecitazioni nel paramento'!$G$58,ABS(M1877)*'Sollecitazioni nel paramento'!$G$54,'Sollecitazioni nel paramento'!$G$53)</f>
        <v>0</v>
      </c>
      <c r="H1877" s="545">
        <f>-'Foglio deposito bis'!$F$81*(C1877-sezione!$AO$34)*IF(ABS(N1877)&lt;'Sollecitazioni nel paramento'!$G$58,ABS(N1877)*'Sollecitazioni nel paramento'!$G$54,'Sollecitazioni nel paramento'!$G$53)</f>
        <v>18039049.531330116</v>
      </c>
      <c r="I1877" s="472">
        <f>-'Foglio deposito bis'!$F$82*(C1877-sezione!$AP$34)*IF(ABS(O1877)&lt;'Sollecitazioni nel paramento'!$G$58,ABS(O1877)*'Sollecitazioni nel paramento'!$G$54,'Sollecitazioni nel paramento'!$G$53)</f>
        <v>468282456.15410858</v>
      </c>
      <c r="J1877" s="472">
        <f t="shared" si="132"/>
        <v>218844259.95609865</v>
      </c>
      <c r="K1877" s="550">
        <f>'Sollecitazioni nel paramento'!$G$60*(sezione!$AL$34-C1877)/C1877</f>
        <v>-2.2083078750612072E-3</v>
      </c>
      <c r="L1877" s="550">
        <f>'Sollecitazioni nel paramento'!$G$60*(sezione!$AM$34-C1877)/C1877</f>
        <v>-1.5624618125918105E-3</v>
      </c>
      <c r="M1877" s="551">
        <f>'Sollecitazioni nel paramento'!$G$60*(sezione!$AN$34-C1877)/C1877</f>
        <v>-9.1661575012241391E-4</v>
      </c>
      <c r="N1877" s="551">
        <f>'Sollecitazioni nel paramento'!$G$60*(sezione!$AO$34-C1877)/C1877</f>
        <v>1.6667684997551723E-3</v>
      </c>
      <c r="O1877" s="551">
        <f>'Sollecitazioni nel paramento'!$G$60*(sezione!$AP$34-C1877)/C1877</f>
        <v>1.694360199270829E-2</v>
      </c>
      <c r="P1877" s="545">
        <f>-'Sollecitazioni nel paramento'!$G$47*'Sollecitazioni nel paramento'!$G$41*IF(DATI!$G$211="dx",DATI!$E$61,DATI!$E$64*DATI!$E$63)*1000*C1877*sezione!$AD$5</f>
        <v>-4129141.8419483909</v>
      </c>
      <c r="Q1877" s="545">
        <f>'Foglio deposito bis'!$F$78*IF(ABS(K1877)&lt;'Sollecitazioni nel paramento'!$G$58,ABS(K1877)*'Sollecitazioni nel paramento'!$G$54,'Sollecitazioni nel paramento'!$G$53)*IF(K1877&lt;0,-1,1)</f>
        <v>0</v>
      </c>
      <c r="R1877" s="545">
        <f>'Foglio deposito bis'!$F$79*IF(ABS(L1877)&lt;'Sollecitazioni nel paramento'!$G$58,ABS(L1877)*'Sollecitazioni nel paramento'!$G$54,'Sollecitazioni nel paramento'!$G$53)*IF(L1877&lt;0,-1,1)</f>
        <v>-126396.92771279036</v>
      </c>
      <c r="S1877" s="545">
        <f>'Foglio deposito bis'!$F$80*IF(ABS(M1877)&lt;'Sollecitazioni nel paramento'!$G$58,ABS(M1877)*'Sollecitazioni nel paramento'!$G$54,'Sollecitazioni nel paramento'!$G$53)*IF(M1877&lt;0,-1,1)</f>
        <v>0</v>
      </c>
      <c r="T1877" s="545">
        <f>'Foglio deposito bis'!$F$81*IF(ABS(N1877)&lt;'Sollecitazioni nel paramento'!$G$58,ABS(N1877)*'Sollecitazioni nel paramento'!$G$54,'Sollecitazioni nel paramento'!$G$53)*IF(N1877&lt;0,-1,1)</f>
        <v>349492.11939784308</v>
      </c>
      <c r="U1877" s="545">
        <f>'Foglio deposito bis'!$F$82*IF(ABS(O1877)&lt;'Sollecitazioni nel paramento'!$G$58,ABS(O1877)*'Sollecitazioni nel paramento'!$G$54,'Sollecitazioni nel paramento'!$G$53)*IF(O1877&lt;0,-1,1)</f>
        <v>892485.49558937876</v>
      </c>
      <c r="V1877" s="472">
        <f t="shared" si="134"/>
        <v>-3013561.1546739596</v>
      </c>
      <c r="W1877" s="551"/>
      <c r="X1877" s="551"/>
    </row>
    <row r="1878" spans="1:24" x14ac:dyDescent="0.25">
      <c r="A1878" s="545">
        <f t="shared" si="133"/>
        <v>3103456.3451478248</v>
      </c>
      <c r="B1878" s="3">
        <f t="shared" si="131"/>
        <v>12.099999999999978</v>
      </c>
      <c r="C1878" s="545">
        <f>'Foglio deposito bis'!$E$160/sezione!$B$247*B1878</f>
        <v>110.20655652229512</v>
      </c>
      <c r="D1878" s="603">
        <f>-'Sollecitazioni nel paramento'!$G$47*'Sollecitazioni nel paramento'!$G$41*IF(DATI!$G$211="dx",DATI!$E$61,DATI!$E$64*DATI!$E$63)*1000*C1878^2*sezione!$AD$5*(1-sezione!$AD$6)</f>
        <v>-270220622.79030979</v>
      </c>
      <c r="E1878" s="545">
        <f>-'Foglio deposito bis'!$F$78*(C1878-sezione!$AL$34)*IF(ABS(K1878)&lt;'Sollecitazioni nel paramento'!$G$58,ABS(K1878)*'Sollecitazioni nel paramento'!$G$54,'Sollecitazioni nel paramento'!$G$53)</f>
        <v>0</v>
      </c>
      <c r="F1878" s="545">
        <f>-'Foglio deposito bis'!$F$79*(C1878-sezione!$AM$34)*IF(ABS(L1878)&lt;'Sollecitazioni nel paramento'!$G$58,ABS(L1878)*'Sollecitazioni nel paramento'!$G$54,'Sollecitazioni nel paramento'!$G$53)</f>
        <v>-6476026.0821526665</v>
      </c>
      <c r="G1878" s="545">
        <f>-'Foglio deposito bis'!$F$80*(C1878-sezione!$AN$34)*IF(ABS(M1878)&lt;'Sollecitazioni nel paramento'!$G$58,ABS(M1878)*'Sollecitazioni nel paramento'!$G$54,'Sollecitazioni nel paramento'!$G$53)</f>
        <v>0</v>
      </c>
      <c r="H1878" s="545">
        <f>-'Foglio deposito bis'!$F$81*(C1878-sezione!$AO$34)*IF(ABS(N1878)&lt;'Sollecitazioni nel paramento'!$G$58,ABS(N1878)*'Sollecitazioni nel paramento'!$G$54,'Sollecitazioni nel paramento'!$G$53)</f>
        <v>16510758.950552776</v>
      </c>
      <c r="I1878" s="472">
        <f>-'Foglio deposito bis'!$F$82*(C1878-sezione!$AP$34)*IF(ABS(O1878)&lt;'Sollecitazioni nel paramento'!$G$58,ABS(O1878)*'Sollecitazioni nel paramento'!$G$54,'Sollecitazioni nel paramento'!$G$53)</f>
        <v>466656708.16708386</v>
      </c>
      <c r="J1878" s="472">
        <f t="shared" si="132"/>
        <v>206470818.24517417</v>
      </c>
      <c r="K1878" s="550">
        <f>'Sollecitazioni nel paramento'!$G$60*(sezione!$AL$34-C1878)/C1878</f>
        <v>-2.2296581581180467E-3</v>
      </c>
      <c r="L1878" s="550">
        <f>'Sollecitazioni nel paramento'!$G$60*(sezione!$AM$34-C1878)/C1878</f>
        <v>-1.5944872371770698E-3</v>
      </c>
      <c r="M1878" s="551">
        <f>'Sollecitazioni nel paramento'!$G$60*(sezione!$AN$34-C1878)/C1878</f>
        <v>-9.5931631623609286E-4</v>
      </c>
      <c r="N1878" s="551">
        <f>'Sollecitazioni nel paramento'!$G$60*(sezione!$AO$34-C1878)/C1878</f>
        <v>1.5813673675278141E-3</v>
      </c>
      <c r="O1878" s="551">
        <f>'Sollecitazioni nel paramento'!$G$60*(sezione!$AP$34-C1878)/C1878</f>
        <v>1.6605691215969307E-2</v>
      </c>
      <c r="P1878" s="545">
        <f>-'Sollecitazioni nel paramento'!$G$47*'Sollecitazioni nel paramento'!$G$41*IF(DATI!$G$211="dx",DATI!$E$61,DATI!$E$64*DATI!$E$63)*1000*C1878*sezione!$AD$5</f>
        <v>-4198539.1838298757</v>
      </c>
      <c r="Q1878" s="545">
        <f>'Foglio deposito bis'!$F$78*IF(ABS(K1878)&lt;'Sollecitazioni nel paramento'!$G$58,ABS(K1878)*'Sollecitazioni nel paramento'!$G$54,'Sollecitazioni nel paramento'!$G$53)*IF(K1878&lt;0,-1,1)</f>
        <v>0</v>
      </c>
      <c r="R1878" s="545">
        <f>'Foglio deposito bis'!$F$79*IF(ABS(L1878)&lt;'Sollecitazioni nel paramento'!$G$58,ABS(L1878)*'Sollecitazioni nel paramento'!$G$54,'Sollecitazioni nel paramento'!$G$53)*IF(L1878&lt;0,-1,1)</f>
        <v>-128987.65680687284</v>
      </c>
      <c r="S1878" s="545">
        <f>'Foglio deposito bis'!$F$80*IF(ABS(M1878)&lt;'Sollecitazioni nel paramento'!$G$58,ABS(M1878)*'Sollecitazioni nel paramento'!$G$54,'Sollecitazioni nel paramento'!$G$53)*IF(M1878&lt;0,-1,1)</f>
        <v>0</v>
      </c>
      <c r="T1878" s="545">
        <f>'Foglio deposito bis'!$F$81*IF(ABS(N1878)&lt;'Sollecitazioni nel paramento'!$G$58,ABS(N1878)*'Sollecitazioni nel paramento'!$G$54,'Sollecitazioni nel paramento'!$G$53)*IF(N1878&lt;0,-1,1)</f>
        <v>331584.99989954504</v>
      </c>
      <c r="U1878" s="545">
        <f>'Foglio deposito bis'!$F$82*IF(ABS(O1878)&lt;'Sollecitazioni nel paramento'!$G$58,ABS(O1878)*'Sollecitazioni nel paramento'!$G$54,'Sollecitazioni nel paramento'!$G$53)*IF(O1878&lt;0,-1,1)</f>
        <v>892485.49558937876</v>
      </c>
      <c r="V1878" s="472">
        <f t="shared" si="134"/>
        <v>-3103456.3451478248</v>
      </c>
      <c r="W1878" s="551"/>
      <c r="X1878" s="551"/>
    </row>
    <row r="1879" spans="1:24" x14ac:dyDescent="0.25">
      <c r="A1879" s="545">
        <f t="shared" si="133"/>
        <v>3192684.9389194991</v>
      </c>
      <c r="B1879" s="3">
        <f t="shared" si="131"/>
        <v>12.299999999999978</v>
      </c>
      <c r="C1879" s="545">
        <f>'Foglio deposito bis'!$E$160/sezione!$B$247*B1879</f>
        <v>112.02815249787024</v>
      </c>
      <c r="D1879" s="603">
        <f>-'Sollecitazioni nel paramento'!$G$47*'Sollecitazioni nel paramento'!$G$41*IF(DATI!$G$211="dx",DATI!$E$61,DATI!$E$64*DATI!$E$63)*1000*C1879^2*sezione!$AD$5*(1-sezione!$AD$6)</f>
        <v>-279227361.66891581</v>
      </c>
      <c r="E1879" s="545">
        <f>-'Foglio deposito bis'!$F$78*(C1879-sezione!$AL$34)*IF(ABS(K1879)&lt;'Sollecitazioni nel paramento'!$G$58,ABS(K1879)*'Sollecitazioni nel paramento'!$G$54,'Sollecitazioni nel paramento'!$G$53)</f>
        <v>0</v>
      </c>
      <c r="F1879" s="545">
        <f>-'Foglio deposito bis'!$F$79*(C1879-sezione!$AM$34)*IF(ABS(L1879)&lt;'Sollecitazioni nel paramento'!$G$58,ABS(L1879)*'Sollecitazioni nel paramento'!$G$54,'Sollecitazioni nel paramento'!$G$53)</f>
        <v>-6841396.8848545346</v>
      </c>
      <c r="G1879" s="545">
        <f>-'Foglio deposito bis'!$F$80*(C1879-sezione!$AN$34)*IF(ABS(M1879)&lt;'Sollecitazioni nel paramento'!$G$58,ABS(M1879)*'Sollecitazioni nel paramento'!$G$54,'Sollecitazioni nel paramento'!$G$53)</f>
        <v>0</v>
      </c>
      <c r="H1879" s="545">
        <f>-'Foglio deposito bis'!$F$81*(C1879-sezione!$AO$34)*IF(ABS(N1879)&lt;'Sollecitazioni nel paramento'!$G$58,ABS(N1879)*'Sollecitazioni nel paramento'!$G$54,'Sollecitazioni nel paramento'!$G$53)</f>
        <v>15075643.625701537</v>
      </c>
      <c r="I1879" s="472">
        <f>-'Foglio deposito bis'!$F$82*(C1879-sezione!$AP$34)*IF(ABS(O1879)&lt;'Sollecitazioni nel paramento'!$G$58,ABS(O1879)*'Sollecitazioni nel paramento'!$G$54,'Sollecitazioni nel paramento'!$G$53)</f>
        <v>465030960.18005908</v>
      </c>
      <c r="J1879" s="472">
        <f t="shared" si="132"/>
        <v>194037845.25199026</v>
      </c>
      <c r="K1879" s="550">
        <f>'Sollecitazioni nel paramento'!$G$60*(sezione!$AL$34-C1879)/C1879</f>
        <v>-2.2503141230266958E-3</v>
      </c>
      <c r="L1879" s="550">
        <f>'Sollecitazioni nel paramento'!$G$60*(sezione!$AM$34-C1879)/C1879</f>
        <v>-1.6254711845400441E-3</v>
      </c>
      <c r="M1879" s="551">
        <f>'Sollecitazioni nel paramento'!$G$60*(sezione!$AN$34-C1879)/C1879</f>
        <v>-1.000628246053392E-3</v>
      </c>
      <c r="N1879" s="551">
        <f>'Sollecitazioni nel paramento'!$G$60*(sezione!$AO$34-C1879)/C1879</f>
        <v>1.4987435078932158E-3</v>
      </c>
      <c r="O1879" s="551">
        <f>'Sollecitazioni nel paramento'!$G$60*(sezione!$AP$34-C1879)/C1879</f>
        <v>1.6278769407579566E-2</v>
      </c>
      <c r="P1879" s="545">
        <f>-'Sollecitazioni nel paramento'!$G$47*'Sollecitazioni nel paramento'!$G$41*IF(DATI!$G$211="dx",DATI!$E$61,DATI!$E$64*DATI!$E$63)*1000*C1879*sezione!$AD$5</f>
        <v>-4267936.5257113613</v>
      </c>
      <c r="Q1879" s="545">
        <f>'Foglio deposito bis'!$F$78*IF(ABS(K1879)&lt;'Sollecitazioni nel paramento'!$G$58,ABS(K1879)*'Sollecitazioni nel paramento'!$G$54,'Sollecitazioni nel paramento'!$G$53)*IF(K1879&lt;0,-1,1)</f>
        <v>0</v>
      </c>
      <c r="R1879" s="545">
        <f>'Foglio deposito bis'!$F$79*IF(ABS(L1879)&lt;'Sollecitazioni nel paramento'!$G$58,ABS(L1879)*'Sollecitazioni nel paramento'!$G$54,'Sollecitazioni nel paramento'!$G$53)*IF(L1879&lt;0,-1,1)</f>
        <v>-131494.13454830222</v>
      </c>
      <c r="S1879" s="545">
        <f>'Foglio deposito bis'!$F$80*IF(ABS(M1879)&lt;'Sollecitazioni nel paramento'!$G$58,ABS(M1879)*'Sollecitazioni nel paramento'!$G$54,'Sollecitazioni nel paramento'!$G$53)*IF(M1879&lt;0,-1,1)</f>
        <v>0</v>
      </c>
      <c r="T1879" s="545">
        <f>'Foglio deposito bis'!$F$81*IF(ABS(N1879)&lt;'Sollecitazioni nel paramento'!$G$58,ABS(N1879)*'Sollecitazioni nel paramento'!$G$54,'Sollecitazioni nel paramento'!$G$53)*IF(N1879&lt;0,-1,1)</f>
        <v>314260.22575078515</v>
      </c>
      <c r="U1879" s="545">
        <f>'Foglio deposito bis'!$F$82*IF(ABS(O1879)&lt;'Sollecitazioni nel paramento'!$G$58,ABS(O1879)*'Sollecitazioni nel paramento'!$G$54,'Sollecitazioni nel paramento'!$G$53)*IF(O1879&lt;0,-1,1)</f>
        <v>892485.49558937876</v>
      </c>
      <c r="V1879" s="472">
        <f t="shared" si="134"/>
        <v>-3192684.9389194991</v>
      </c>
      <c r="W1879" s="551"/>
      <c r="X1879" s="551"/>
    </row>
    <row r="1880" spans="1:24" x14ac:dyDescent="0.25">
      <c r="A1880" s="545">
        <f t="shared" si="133"/>
        <v>3281278.9326306898</v>
      </c>
      <c r="B1880" s="3">
        <f t="shared" si="131"/>
        <v>12.499999999999977</v>
      </c>
      <c r="C1880" s="545">
        <f>'Foglio deposito bis'!$E$160/sezione!$B$247*B1880</f>
        <v>113.84974847344537</v>
      </c>
      <c r="D1880" s="603">
        <f>-'Sollecitazioni nel paramento'!$G$47*'Sollecitazioni nel paramento'!$G$41*IF(DATI!$G$211="dx",DATI!$E$61,DATI!$E$64*DATI!$E$63)*1000*C1880^2*sezione!$AD$5*(1-sezione!$AD$6)</f>
        <v>-288381752.00454825</v>
      </c>
      <c r="E1880" s="545">
        <f>-'Foglio deposito bis'!$F$78*(C1880-sezione!$AL$34)*IF(ABS(K1880)&lt;'Sollecitazioni nel paramento'!$G$58,ABS(K1880)*'Sollecitazioni nel paramento'!$G$54,'Sollecitazioni nel paramento'!$G$53)</f>
        <v>0</v>
      </c>
      <c r="F1880" s="545">
        <f>-'Foglio deposito bis'!$F$79*(C1880-sezione!$AM$34)*IF(ABS(L1880)&lt;'Sollecitazioni nel paramento'!$G$58,ABS(L1880)*'Sollecitazioni nel paramento'!$G$54,'Sollecitazioni nel paramento'!$G$53)</f>
        <v>-7211580.1248199521</v>
      </c>
      <c r="G1880" s="545">
        <f>-'Foglio deposito bis'!$F$80*(C1880-sezione!$AN$34)*IF(ABS(M1880)&lt;'Sollecitazioni nel paramento'!$G$58,ABS(M1880)*'Sollecitazioni nel paramento'!$G$54,'Sollecitazioni nel paramento'!$G$53)</f>
        <v>0</v>
      </c>
      <c r="H1880" s="545">
        <f>-'Foglio deposito bis'!$F$81*(C1880-sezione!$AO$34)*IF(ABS(N1880)&lt;'Sollecitazioni nel paramento'!$G$58,ABS(N1880)*'Sollecitazioni nel paramento'!$G$54,'Sollecitazioni nel paramento'!$G$53)</f>
        <v>13729231.144491943</v>
      </c>
      <c r="I1880" s="472">
        <f>-'Foglio deposito bis'!$F$82*(C1880-sezione!$AP$34)*IF(ABS(O1880)&lt;'Sollecitazioni nel paramento'!$G$58,ABS(O1880)*'Sollecitazioni nel paramento'!$G$54,'Sollecitazioni nel paramento'!$G$53)</f>
        <v>463405212.19303429</v>
      </c>
      <c r="J1880" s="472">
        <f t="shared" si="132"/>
        <v>181541111.20815808</v>
      </c>
      <c r="K1880" s="550">
        <f>'Sollecitazioni nel paramento'!$G$60*(sezione!$AL$34-C1880)/C1880</f>
        <v>-2.2703090970582688E-3</v>
      </c>
      <c r="L1880" s="550">
        <f>'Sollecitazioni nel paramento'!$G$60*(sezione!$AM$34-C1880)/C1880</f>
        <v>-1.6554636455874037E-3</v>
      </c>
      <c r="M1880" s="551">
        <f>'Sollecitazioni nel paramento'!$G$60*(sezione!$AN$34-C1880)/C1880</f>
        <v>-1.040618194116538E-3</v>
      </c>
      <c r="N1880" s="551">
        <f>'Sollecitazioni nel paramento'!$G$60*(sezione!$AO$34-C1880)/C1880</f>
        <v>1.418763611766924E-3</v>
      </c>
      <c r="O1880" s="551">
        <f>'Sollecitazioni nel paramento'!$G$60*(sezione!$AP$34-C1880)/C1880</f>
        <v>1.5962309097058289E-2</v>
      </c>
      <c r="P1880" s="545">
        <f>-'Sollecitazioni nel paramento'!$G$47*'Sollecitazioni nel paramento'!$G$41*IF(DATI!$G$211="dx",DATI!$E$61,DATI!$E$64*DATI!$E$63)*1000*C1880*sezione!$AD$5</f>
        <v>-4337333.8675928479</v>
      </c>
      <c r="Q1880" s="545">
        <f>'Foglio deposito bis'!$F$78*IF(ABS(K1880)&lt;'Sollecitazioni nel paramento'!$G$58,ABS(K1880)*'Sollecitazioni nel paramento'!$G$54,'Sollecitazioni nel paramento'!$G$53)*IF(K1880&lt;0,-1,1)</f>
        <v>0</v>
      </c>
      <c r="R1880" s="545">
        <f>'Foglio deposito bis'!$F$79*IF(ABS(L1880)&lt;'Sollecitazioni nel paramento'!$G$58,ABS(L1880)*'Sollecitazioni nel paramento'!$G$54,'Sollecitazioni nel paramento'!$G$53)*IF(L1880&lt;0,-1,1)</f>
        <v>-133920.40500200586</v>
      </c>
      <c r="S1880" s="545">
        <f>'Foglio deposito bis'!$F$80*IF(ABS(M1880)&lt;'Sollecitazioni nel paramento'!$G$58,ABS(M1880)*'Sollecitazioni nel paramento'!$G$54,'Sollecitazioni nel paramento'!$G$53)*IF(M1880&lt;0,-1,1)</f>
        <v>0</v>
      </c>
      <c r="T1880" s="545">
        <f>'Foglio deposito bis'!$F$81*IF(ABS(N1880)&lt;'Sollecitazioni nel paramento'!$G$58,ABS(N1880)*'Sollecitazioni nel paramento'!$G$54,'Sollecitazioni nel paramento'!$G$53)*IF(N1880&lt;0,-1,1)</f>
        <v>297489.84437478549</v>
      </c>
      <c r="U1880" s="545">
        <f>'Foglio deposito bis'!$F$82*IF(ABS(O1880)&lt;'Sollecitazioni nel paramento'!$G$58,ABS(O1880)*'Sollecitazioni nel paramento'!$G$54,'Sollecitazioni nel paramento'!$G$53)*IF(O1880&lt;0,-1,1)</f>
        <v>892485.49558937876</v>
      </c>
      <c r="V1880" s="472">
        <f t="shared" si="134"/>
        <v>-3281278.9326306898</v>
      </c>
      <c r="W1880" s="551"/>
      <c r="X1880" s="551"/>
    </row>
    <row r="1881" spans="1:24" x14ac:dyDescent="0.25">
      <c r="A1881" s="545">
        <f t="shared" si="133"/>
        <v>3369268.3073866111</v>
      </c>
      <c r="B1881" s="3">
        <f t="shared" si="131"/>
        <v>12.699999999999976</v>
      </c>
      <c r="C1881" s="545">
        <f>'Foglio deposito bis'!$E$160/sezione!$B$247*B1881</f>
        <v>115.67134444902049</v>
      </c>
      <c r="D1881" s="603">
        <f>-'Sollecitazioni nel paramento'!$G$47*'Sollecitazioni nel paramento'!$G$41*IF(DATI!$G$211="dx",DATI!$E$61,DATI!$E$64*DATI!$E$63)*1000*C1881^2*sezione!$AD$5*(1-sezione!$AD$6)</f>
        <v>-297683793.79720694</v>
      </c>
      <c r="E1881" s="545">
        <f>-'Foglio deposito bis'!$F$78*(C1881-sezione!$AL$34)*IF(ABS(K1881)&lt;'Sollecitazioni nel paramento'!$G$58,ABS(K1881)*'Sollecitazioni nel paramento'!$G$54,'Sollecitazioni nel paramento'!$G$53)</f>
        <v>0</v>
      </c>
      <c r="F1881" s="545">
        <f>-'Foglio deposito bis'!$F$79*(C1881-sezione!$AM$34)*IF(ABS(L1881)&lt;'Sollecitazioni nel paramento'!$G$58,ABS(L1881)*'Sollecitazioni nel paramento'!$G$54,'Sollecitazioni nel paramento'!$G$53)</f>
        <v>-7586348.442808114</v>
      </c>
      <c r="G1881" s="545">
        <f>-'Foglio deposito bis'!$F$80*(C1881-sezione!$AN$34)*IF(ABS(M1881)&lt;'Sollecitazioni nel paramento'!$G$58,ABS(M1881)*'Sollecitazioni nel paramento'!$G$54,'Sollecitazioni nel paramento'!$G$53)</f>
        <v>0</v>
      </c>
      <c r="H1881" s="545">
        <f>-'Foglio deposito bis'!$F$81*(C1881-sezione!$AO$34)*IF(ABS(N1881)&lt;'Sollecitazioni nel paramento'!$G$58,ABS(N1881)*'Sollecitazioni nel paramento'!$G$54,'Sollecitazioni nel paramento'!$G$53)</f>
        <v>12467330.821397627</v>
      </c>
      <c r="I1881" s="472">
        <f>-'Foglio deposito bis'!$F$82*(C1881-sezione!$AP$34)*IF(ABS(O1881)&lt;'Sollecitazioni nel paramento'!$G$58,ABS(O1881)*'Sollecitazioni nel paramento'!$G$54,'Sollecitazioni nel paramento'!$G$53)</f>
        <v>461779464.20600951</v>
      </c>
      <c r="J1881" s="472">
        <f t="shared" si="132"/>
        <v>168976652.78739208</v>
      </c>
      <c r="K1881" s="550">
        <f>'Sollecitazioni nel paramento'!$G$60*(sezione!$AL$34-C1881)/C1881</f>
        <v>-2.2896743081282176E-3</v>
      </c>
      <c r="L1881" s="550">
        <f>'Sollecitazioni nel paramento'!$G$60*(sezione!$AM$34-C1881)/C1881</f>
        <v>-1.6845114621923264E-3</v>
      </c>
      <c r="M1881" s="551">
        <f>'Sollecitazioni nel paramento'!$G$60*(sezione!$AN$34-C1881)/C1881</f>
        <v>-1.0793486162564351E-3</v>
      </c>
      <c r="N1881" s="551">
        <f>'Sollecitazioni nel paramento'!$G$60*(sezione!$AO$34-C1881)/C1881</f>
        <v>1.34130276748713E-3</v>
      </c>
      <c r="O1881" s="551">
        <f>'Sollecitazioni nel paramento'!$G$60*(sezione!$AP$34-C1881)/C1881</f>
        <v>1.5655816040411705E-2</v>
      </c>
      <c r="P1881" s="545">
        <f>-'Sollecitazioni nel paramento'!$G$47*'Sollecitazioni nel paramento'!$G$41*IF(DATI!$G$211="dx",DATI!$E$61,DATI!$E$64*DATI!$E$63)*1000*C1881*sezione!$AD$5</f>
        <v>-4406731.2094743326</v>
      </c>
      <c r="Q1881" s="545">
        <f>'Foglio deposito bis'!$F$78*IF(ABS(K1881)&lt;'Sollecitazioni nel paramento'!$G$58,ABS(K1881)*'Sollecitazioni nel paramento'!$G$54,'Sollecitazioni nel paramento'!$G$53)*IF(K1881&lt;0,-1,1)</f>
        <v>0</v>
      </c>
      <c r="R1881" s="545">
        <f>'Foglio deposito bis'!$F$79*IF(ABS(L1881)&lt;'Sollecitazioni nel paramento'!$G$58,ABS(L1881)*'Sollecitazioni nel paramento'!$G$54,'Sollecitazioni nel paramento'!$G$53)*IF(L1881&lt;0,-1,1)</f>
        <v>-136270.25748866374</v>
      </c>
      <c r="S1881" s="545">
        <f>'Foglio deposito bis'!$F$80*IF(ABS(M1881)&lt;'Sollecitazioni nel paramento'!$G$58,ABS(M1881)*'Sollecitazioni nel paramento'!$G$54,'Sollecitazioni nel paramento'!$G$53)*IF(M1881&lt;0,-1,1)</f>
        <v>0</v>
      </c>
      <c r="T1881" s="545">
        <f>'Foglio deposito bis'!$F$81*IF(ABS(N1881)&lt;'Sollecitazioni nel paramento'!$G$58,ABS(N1881)*'Sollecitazioni nel paramento'!$G$54,'Sollecitazioni nel paramento'!$G$53)*IF(N1881&lt;0,-1,1)</f>
        <v>281247.66398700635</v>
      </c>
      <c r="U1881" s="545">
        <f>'Foglio deposito bis'!$F$82*IF(ABS(O1881)&lt;'Sollecitazioni nel paramento'!$G$58,ABS(O1881)*'Sollecitazioni nel paramento'!$G$54,'Sollecitazioni nel paramento'!$G$53)*IF(O1881&lt;0,-1,1)</f>
        <v>892485.49558937876</v>
      </c>
      <c r="V1881" s="472">
        <f t="shared" si="134"/>
        <v>-3369268.3073866111</v>
      </c>
      <c r="W1881" s="551"/>
      <c r="X1881" s="551"/>
    </row>
    <row r="1882" spans="1:24" x14ac:dyDescent="0.25">
      <c r="A1882" s="545">
        <f t="shared" si="133"/>
        <v>3456681.1849991404</v>
      </c>
      <c r="B1882" s="3">
        <f t="shared" si="131"/>
        <v>12.899999999999975</v>
      </c>
      <c r="C1882" s="545">
        <f>'Foglio deposito bis'!$E$160/sezione!$B$247*B1882</f>
        <v>117.49294042459562</v>
      </c>
      <c r="D1882" s="603">
        <f>-'Sollecitazioni nel paramento'!$G$47*'Sollecitazioni nel paramento'!$G$41*IF(DATI!$G$211="dx",DATI!$E$61,DATI!$E$64*DATI!$E$63)*1000*C1882^2*sezione!$AD$5*(1-sezione!$AD$6)</f>
        <v>-307133487.04689193</v>
      </c>
      <c r="E1882" s="545">
        <f>-'Foglio deposito bis'!$F$78*(C1882-sezione!$AL$34)*IF(ABS(K1882)&lt;'Sollecitazioni nel paramento'!$G$58,ABS(K1882)*'Sollecitazioni nel paramento'!$G$54,'Sollecitazioni nel paramento'!$G$53)</f>
        <v>0</v>
      </c>
      <c r="F1882" s="545">
        <f>-'Foglio deposito bis'!$F$79*(C1882-sezione!$AM$34)*IF(ABS(L1882)&lt;'Sollecitazioni nel paramento'!$G$58,ABS(L1882)*'Sollecitazioni nel paramento'!$G$54,'Sollecitazioni nel paramento'!$G$53)</f>
        <v>-7965488.5793761034</v>
      </c>
      <c r="G1882" s="545">
        <f>-'Foglio deposito bis'!$F$80*(C1882-sezione!$AN$34)*IF(ABS(M1882)&lt;'Sollecitazioni nel paramento'!$G$58,ABS(M1882)*'Sollecitazioni nel paramento'!$G$54,'Sollecitazioni nel paramento'!$G$53)</f>
        <v>0</v>
      </c>
      <c r="H1882" s="545">
        <f>-'Foglio deposito bis'!$F$81*(C1882-sezione!$AO$34)*IF(ABS(N1882)&lt;'Sollecitazioni nel paramento'!$G$58,ABS(N1882)*'Sollecitazioni nel paramento'!$G$54,'Sollecitazioni nel paramento'!$G$53)</f>
        <v>11286011.858366715</v>
      </c>
      <c r="I1882" s="472">
        <f>-'Foglio deposito bis'!$F$82*(C1882-sezione!$AP$34)*IF(ABS(O1882)&lt;'Sollecitazioni nel paramento'!$G$58,ABS(O1882)*'Sollecitazioni nel paramento'!$G$54,'Sollecitazioni nel paramento'!$G$53)</f>
        <v>460153716.21898466</v>
      </c>
      <c r="J1882" s="472">
        <f t="shared" si="132"/>
        <v>156340752.45108336</v>
      </c>
      <c r="K1882" s="550">
        <f>'Sollecitazioni nel paramento'!$G$60*(sezione!$AL$34-C1882)/C1882</f>
        <v>-2.3084390475370821E-3</v>
      </c>
      <c r="L1882" s="550">
        <f>'Sollecitazioni nel paramento'!$G$60*(sezione!$AM$34-C1882)/C1882</f>
        <v>-1.7126585713056236E-3</v>
      </c>
      <c r="M1882" s="551">
        <f>'Sollecitazioni nel paramento'!$G$60*(sezione!$AN$34-C1882)/C1882</f>
        <v>-1.1168780950741647E-3</v>
      </c>
      <c r="N1882" s="551">
        <f>'Sollecitazioni nel paramento'!$G$60*(sezione!$AO$34-C1882)/C1882</f>
        <v>1.2662438098516708E-3</v>
      </c>
      <c r="O1882" s="551">
        <f>'Sollecitazioni nel paramento'!$G$60*(sezione!$AP$34-C1882)/C1882</f>
        <v>1.535882664443633E-2</v>
      </c>
      <c r="P1882" s="545">
        <f>-'Sollecitazioni nel paramento'!$G$47*'Sollecitazioni nel paramento'!$G$41*IF(DATI!$G$211="dx",DATI!$E$61,DATI!$E$64*DATI!$E$63)*1000*C1882*sezione!$AD$5</f>
        <v>-4476128.5513558183</v>
      </c>
      <c r="Q1882" s="545">
        <f>'Foglio deposito bis'!$F$78*IF(ABS(K1882)&lt;'Sollecitazioni nel paramento'!$G$58,ABS(K1882)*'Sollecitazioni nel paramento'!$G$54,'Sollecitazioni nel paramento'!$G$53)*IF(K1882&lt;0,-1,1)</f>
        <v>0</v>
      </c>
      <c r="R1882" s="545">
        <f>'Foglio deposito bis'!$F$79*IF(ABS(L1882)&lt;'Sollecitazioni nel paramento'!$G$58,ABS(L1882)*'Sollecitazioni nel paramento'!$G$54,'Sollecitazioni nel paramento'!$G$53)*IF(L1882&lt;0,-1,1)</f>
        <v>-138547.24633232446</v>
      </c>
      <c r="S1882" s="545">
        <f>'Foglio deposito bis'!$F$80*IF(ABS(M1882)&lt;'Sollecitazioni nel paramento'!$G$58,ABS(M1882)*'Sollecitazioni nel paramento'!$G$54,'Sollecitazioni nel paramento'!$G$53)*IF(M1882&lt;0,-1,1)</f>
        <v>0</v>
      </c>
      <c r="T1882" s="545">
        <f>'Foglio deposito bis'!$F$81*IF(ABS(N1882)&lt;'Sollecitazioni nel paramento'!$G$58,ABS(N1882)*'Sollecitazioni nel paramento'!$G$54,'Sollecitazioni nel paramento'!$G$53)*IF(N1882&lt;0,-1,1)</f>
        <v>265509.11709962349</v>
      </c>
      <c r="U1882" s="545">
        <f>'Foglio deposito bis'!$F$82*IF(ABS(O1882)&lt;'Sollecitazioni nel paramento'!$G$58,ABS(O1882)*'Sollecitazioni nel paramento'!$G$54,'Sollecitazioni nel paramento'!$G$53)*IF(O1882&lt;0,-1,1)</f>
        <v>892485.49558937876</v>
      </c>
      <c r="V1882" s="472">
        <f t="shared" si="134"/>
        <v>-3456681.1849991404</v>
      </c>
      <c r="W1882" s="551"/>
      <c r="X1882" s="551"/>
    </row>
    <row r="1883" spans="1:24" x14ac:dyDescent="0.25">
      <c r="A1883" s="545">
        <f t="shared" si="133"/>
        <v>3543543.9699175912</v>
      </c>
      <c r="B1883" s="3">
        <f t="shared" si="131"/>
        <v>13.099999999999975</v>
      </c>
      <c r="C1883" s="545">
        <f>'Foglio deposito bis'!$E$160/sezione!$B$247*B1883</f>
        <v>119.31453640017074</v>
      </c>
      <c r="D1883" s="603">
        <f>-'Sollecitazioni nel paramento'!$G$47*'Sollecitazioni nel paramento'!$G$41*IF(DATI!$G$211="dx",DATI!$E$61,DATI!$E$64*DATI!$E$63)*1000*C1883^2*sezione!$AD$5*(1-sezione!$AD$6)</f>
        <v>-316730831.75360322</v>
      </c>
      <c r="E1883" s="545">
        <f>-'Foglio deposito bis'!$F$78*(C1883-sezione!$AL$34)*IF(ABS(K1883)&lt;'Sollecitazioni nel paramento'!$G$58,ABS(K1883)*'Sollecitazioni nel paramento'!$G$54,'Sollecitazioni nel paramento'!$G$53)</f>
        <v>0</v>
      </c>
      <c r="F1883" s="545">
        <f>-'Foglio deposito bis'!$F$79*(C1883-sezione!$AM$34)*IF(ABS(L1883)&lt;'Sollecitazioni nel paramento'!$G$58,ABS(L1883)*'Sollecitazioni nel paramento'!$G$54,'Sollecitazioni nel paramento'!$G$53)</f>
        <v>-8348800.2985584317</v>
      </c>
      <c r="G1883" s="545">
        <f>-'Foglio deposito bis'!$F$80*(C1883-sezione!$AN$34)*IF(ABS(M1883)&lt;'Sollecitazioni nel paramento'!$G$58,ABS(M1883)*'Sollecitazioni nel paramento'!$G$54,'Sollecitazioni nel paramento'!$G$53)</f>
        <v>0</v>
      </c>
      <c r="H1883" s="545">
        <f>-'Foglio deposito bis'!$F$81*(C1883-sezione!$AO$34)*IF(ABS(N1883)&lt;'Sollecitazioni nel paramento'!$G$58,ABS(N1883)*'Sollecitazioni nel paramento'!$G$54,'Sollecitazioni nel paramento'!$G$53)</f>
        <v>10181583.506083325</v>
      </c>
      <c r="I1883" s="472">
        <f>-'Foglio deposito bis'!$F$82*(C1883-sezione!$AP$34)*IF(ABS(O1883)&lt;'Sollecitazioni nel paramento'!$G$58,ABS(O1883)*'Sollecitazioni nel paramento'!$G$54,'Sollecitazioni nel paramento'!$G$53)</f>
        <v>458527968.23195994</v>
      </c>
      <c r="J1883" s="472">
        <f t="shared" si="132"/>
        <v>143629919.68588161</v>
      </c>
      <c r="K1883" s="550">
        <f>'Sollecitazioni nel paramento'!$G$60*(sezione!$AL$34-C1883)/C1883</f>
        <v>-2.3266308178036916E-3</v>
      </c>
      <c r="L1883" s="550">
        <f>'Sollecitazioni nel paramento'!$G$60*(sezione!$AM$34-C1883)/C1883</f>
        <v>-1.7399462267055376E-3</v>
      </c>
      <c r="M1883" s="551">
        <f>'Sollecitazioni nel paramento'!$G$60*(sezione!$AN$34-C1883)/C1883</f>
        <v>-1.1532616356073834E-3</v>
      </c>
      <c r="N1883" s="551">
        <f>'Sollecitazioni nel paramento'!$G$60*(sezione!$AO$34-C1883)/C1883</f>
        <v>1.1934767287852335E-3</v>
      </c>
      <c r="O1883" s="551">
        <f>'Sollecitazioni nel paramento'!$G$60*(sezione!$AP$34-C1883)/C1883</f>
        <v>1.5070905626964021E-2</v>
      </c>
      <c r="P1883" s="545">
        <f>-'Sollecitazioni nel paramento'!$G$47*'Sollecitazioni nel paramento'!$G$41*IF(DATI!$G$211="dx",DATI!$E$61,DATI!$E$64*DATI!$E$63)*1000*C1883*sezione!$AD$5</f>
        <v>-4545525.8932373039</v>
      </c>
      <c r="Q1883" s="545">
        <f>'Foglio deposito bis'!$F$78*IF(ABS(K1883)&lt;'Sollecitazioni nel paramento'!$G$58,ABS(K1883)*'Sollecitazioni nel paramento'!$G$54,'Sollecitazioni nel paramento'!$G$53)*IF(K1883&lt;0,-1,1)</f>
        <v>0</v>
      </c>
      <c r="R1883" s="545">
        <f>'Foglio deposito bis'!$F$79*IF(ABS(L1883)&lt;'Sollecitazioni nel paramento'!$G$58,ABS(L1883)*'Sollecitazioni nel paramento'!$G$54,'Sollecitazioni nel paramento'!$G$53)*IF(L1883&lt;0,-1,1)</f>
        <v>-140754.7087990795</v>
      </c>
      <c r="S1883" s="545">
        <f>'Foglio deposito bis'!$F$80*IF(ABS(M1883)&lt;'Sollecitazioni nel paramento'!$G$58,ABS(M1883)*'Sollecitazioni nel paramento'!$G$54,'Sollecitazioni nel paramento'!$G$53)*IF(M1883&lt;0,-1,1)</f>
        <v>0</v>
      </c>
      <c r="T1883" s="545">
        <f>'Foglio deposito bis'!$F$81*IF(ABS(N1883)&lt;'Sollecitazioni nel paramento'!$G$58,ABS(N1883)*'Sollecitazioni nel paramento'!$G$54,'Sollecitazioni nel paramento'!$G$53)*IF(N1883&lt;0,-1,1)</f>
        <v>250251.1365294127</v>
      </c>
      <c r="U1883" s="545">
        <f>'Foglio deposito bis'!$F$82*IF(ABS(O1883)&lt;'Sollecitazioni nel paramento'!$G$58,ABS(O1883)*'Sollecitazioni nel paramento'!$G$54,'Sollecitazioni nel paramento'!$G$53)*IF(O1883&lt;0,-1,1)</f>
        <v>892485.49558937876</v>
      </c>
      <c r="V1883" s="472">
        <f t="shared" si="134"/>
        <v>-3543543.9699175912</v>
      </c>
      <c r="W1883" s="551"/>
      <c r="X1883" s="551"/>
    </row>
    <row r="1884" spans="1:24" x14ac:dyDescent="0.25">
      <c r="A1884" s="545">
        <f t="shared" si="133"/>
        <v>3629881.478353729</v>
      </c>
      <c r="B1884" s="3">
        <f t="shared" si="131"/>
        <v>13.299999999999974</v>
      </c>
      <c r="C1884" s="545">
        <f>'Foglio deposito bis'!$E$160/sezione!$B$247*B1884</f>
        <v>121.13613237574586</v>
      </c>
      <c r="D1884" s="603">
        <f>-'Sollecitazioni nel paramento'!$G$47*'Sollecitazioni nel paramento'!$G$41*IF(DATI!$G$211="dx",DATI!$E$61,DATI!$E$64*DATI!$E$63)*1000*C1884^2*sezione!$AD$5*(1-sezione!$AD$6)</f>
        <v>-326475827.91734093</v>
      </c>
      <c r="E1884" s="545">
        <f>-'Foglio deposito bis'!$F$78*(C1884-sezione!$AL$34)*IF(ABS(K1884)&lt;'Sollecitazioni nel paramento'!$G$58,ABS(K1884)*'Sollecitazioni nel paramento'!$G$54,'Sollecitazioni nel paramento'!$G$53)</f>
        <v>0</v>
      </c>
      <c r="F1884" s="545">
        <f>-'Foglio deposito bis'!$F$79*(C1884-sezione!$AM$34)*IF(ABS(L1884)&lt;'Sollecitazioni nel paramento'!$G$58,ABS(L1884)*'Sollecitazioni nel paramento'!$G$54,'Sollecitazioni nel paramento'!$G$53)</f>
        <v>-8736095.4086582139</v>
      </c>
      <c r="G1884" s="545">
        <f>-'Foglio deposito bis'!$F$80*(C1884-sezione!$AN$34)*IF(ABS(M1884)&lt;'Sollecitazioni nel paramento'!$G$58,ABS(M1884)*'Sollecitazioni nel paramento'!$G$54,'Sollecitazioni nel paramento'!$G$53)</f>
        <v>0</v>
      </c>
      <c r="H1884" s="545">
        <f>-'Foglio deposito bis'!$F$81*(C1884-sezione!$AO$34)*IF(ABS(N1884)&lt;'Sollecitazioni nel paramento'!$G$58,ABS(N1884)*'Sollecitazioni nel paramento'!$G$54,'Sollecitazioni nel paramento'!$G$53)</f>
        <v>9150577.0151904169</v>
      </c>
      <c r="I1884" s="472">
        <f>-'Foglio deposito bis'!$F$82*(C1884-sezione!$AP$34)*IF(ABS(O1884)&lt;'Sollecitazioni nel paramento'!$G$58,ABS(O1884)*'Sollecitazioni nel paramento'!$G$54,'Sollecitazioni nel paramento'!$G$53)</f>
        <v>456902220.2449351</v>
      </c>
      <c r="J1884" s="472">
        <f t="shared" si="132"/>
        <v>130840873.93412638</v>
      </c>
      <c r="K1884" s="550">
        <f>'Sollecitazioni nel paramento'!$G$60*(sezione!$AL$34-C1884)/C1884</f>
        <v>-2.3442754671600271E-3</v>
      </c>
      <c r="L1884" s="550">
        <f>'Sollecitazioni nel paramento'!$G$60*(sezione!$AM$34-C1884)/C1884</f>
        <v>-1.7664132007400406E-3</v>
      </c>
      <c r="M1884" s="551">
        <f>'Sollecitazioni nel paramento'!$G$60*(sezione!$AN$34-C1884)/C1884</f>
        <v>-1.1885509343200543E-3</v>
      </c>
      <c r="N1884" s="551">
        <f>'Sollecitazioni nel paramento'!$G$60*(sezione!$AO$34-C1884)/C1884</f>
        <v>1.1228981313598917E-3</v>
      </c>
      <c r="O1884" s="551">
        <f>'Sollecitazioni nel paramento'!$G$60*(sezione!$AP$34-C1884)/C1884</f>
        <v>1.4791643888212681E-2</v>
      </c>
      <c r="P1884" s="545">
        <f>-'Sollecitazioni nel paramento'!$G$47*'Sollecitazioni nel paramento'!$G$41*IF(DATI!$G$211="dx",DATI!$E$61,DATI!$E$64*DATI!$E$63)*1000*C1884*sezione!$AD$5</f>
        <v>-4614923.2351187896</v>
      </c>
      <c r="Q1884" s="545">
        <f>'Foglio deposito bis'!$F$78*IF(ABS(K1884)&lt;'Sollecitazioni nel paramento'!$G$58,ABS(K1884)*'Sollecitazioni nel paramento'!$G$54,'Sollecitazioni nel paramento'!$G$53)*IF(K1884&lt;0,-1,1)</f>
        <v>0</v>
      </c>
      <c r="R1884" s="545">
        <f>'Foglio deposito bis'!$F$79*IF(ABS(L1884)&lt;'Sollecitazioni nel paramento'!$G$58,ABS(L1884)*'Sollecitazioni nel paramento'!$G$54,'Sollecitazioni nel paramento'!$G$53)*IF(L1884&lt;0,-1,1)</f>
        <v>-142895.7814172103</v>
      </c>
      <c r="S1884" s="545">
        <f>'Foglio deposito bis'!$F$80*IF(ABS(M1884)&lt;'Sollecitazioni nel paramento'!$G$58,ABS(M1884)*'Sollecitazioni nel paramento'!$G$54,'Sollecitazioni nel paramento'!$G$53)*IF(M1884&lt;0,-1,1)</f>
        <v>0</v>
      </c>
      <c r="T1884" s="545">
        <f>'Foglio deposito bis'!$F$81*IF(ABS(N1884)&lt;'Sollecitazioni nel paramento'!$G$58,ABS(N1884)*'Sollecitazioni nel paramento'!$G$54,'Sollecitazioni nel paramento'!$G$53)*IF(N1884&lt;0,-1,1)</f>
        <v>235452.04259289237</v>
      </c>
      <c r="U1884" s="545">
        <f>'Foglio deposito bis'!$F$82*IF(ABS(O1884)&lt;'Sollecitazioni nel paramento'!$G$58,ABS(O1884)*'Sollecitazioni nel paramento'!$G$54,'Sollecitazioni nel paramento'!$G$53)*IF(O1884&lt;0,-1,1)</f>
        <v>892485.49558937876</v>
      </c>
      <c r="V1884" s="472">
        <f t="shared" si="134"/>
        <v>-3629881.478353729</v>
      </c>
      <c r="W1884" s="551"/>
      <c r="X1884" s="551"/>
    </row>
    <row r="1885" spans="1:24" x14ac:dyDescent="0.25">
      <c r="A1885" s="545">
        <f t="shared" si="133"/>
        <v>3715717.0559289861</v>
      </c>
      <c r="B1885" s="3">
        <f t="shared" si="131"/>
        <v>13.499999999999973</v>
      </c>
      <c r="C1885" s="545">
        <f>'Foglio deposito bis'!$E$160/sezione!$B$247*B1885</f>
        <v>122.95772835132098</v>
      </c>
      <c r="D1885" s="603">
        <f>-'Sollecitazioni nel paramento'!$G$47*'Sollecitazioni nel paramento'!$G$41*IF(DATI!$G$211="dx",DATI!$E$61,DATI!$E$64*DATI!$E$63)*1000*C1885^2*sezione!$AD$5*(1-sezione!$AD$6)</f>
        <v>-336368475.53810489</v>
      </c>
      <c r="E1885" s="545">
        <f>-'Foglio deposito bis'!$F$78*(C1885-sezione!$AL$34)*IF(ABS(K1885)&lt;'Sollecitazioni nel paramento'!$G$58,ABS(K1885)*'Sollecitazioni nel paramento'!$G$54,'Sollecitazioni nel paramento'!$G$53)</f>
        <v>0</v>
      </c>
      <c r="F1885" s="545">
        <f>-'Foglio deposito bis'!$F$79*(C1885-sezione!$AM$34)*IF(ABS(L1885)&lt;'Sollecitazioni nel paramento'!$G$58,ABS(L1885)*'Sollecitazioni nel paramento'!$G$54,'Sollecitazioni nel paramento'!$G$53)</f>
        <v>-9127196.8700791188</v>
      </c>
      <c r="G1885" s="545">
        <f>-'Foglio deposito bis'!$F$80*(C1885-sezione!$AN$34)*IF(ABS(M1885)&lt;'Sollecitazioni nel paramento'!$G$58,ABS(M1885)*'Sollecitazioni nel paramento'!$G$54,'Sollecitazioni nel paramento'!$G$53)</f>
        <v>0</v>
      </c>
      <c r="H1885" s="545">
        <f>-'Foglio deposito bis'!$F$81*(C1885-sezione!$AO$34)*IF(ABS(N1885)&lt;'Sollecitazioni nel paramento'!$G$58,ABS(N1885)*'Sollecitazioni nel paramento'!$G$54,'Sollecitazioni nel paramento'!$G$53)</f>
        <v>8189729.1918484215</v>
      </c>
      <c r="I1885" s="472">
        <f>-'Foglio deposito bis'!$F$82*(C1885-sezione!$AP$34)*IF(ABS(O1885)&lt;'Sollecitazioni nel paramento'!$G$58,ABS(O1885)*'Sollecitazioni nel paramento'!$G$54,'Sollecitazioni nel paramento'!$G$53)</f>
        <v>455276472.25791043</v>
      </c>
      <c r="J1885" s="472">
        <f t="shared" si="132"/>
        <v>117970529.04157484</v>
      </c>
      <c r="K1885" s="550">
        <f>'Sollecitazioni nel paramento'!$G$60*(sezione!$AL$34-C1885)/C1885</f>
        <v>-2.3613973120909897E-3</v>
      </c>
      <c r="L1885" s="550">
        <f>'Sollecitazioni nel paramento'!$G$60*(sezione!$AM$34-C1885)/C1885</f>
        <v>-1.7920959681364845E-3</v>
      </c>
      <c r="M1885" s="551">
        <f>'Sollecitazioni nel paramento'!$G$60*(sezione!$AN$34-C1885)/C1885</f>
        <v>-1.2227946241819795E-3</v>
      </c>
      <c r="N1885" s="551">
        <f>'Sollecitazioni nel paramento'!$G$60*(sezione!$AO$34-C1885)/C1885</f>
        <v>1.0544107516360416E-3</v>
      </c>
      <c r="O1885" s="551">
        <f>'Sollecitazioni nel paramento'!$G$60*(sezione!$AP$34-C1885)/C1885</f>
        <v>1.4520656571350274E-2</v>
      </c>
      <c r="P1885" s="545">
        <f>-'Sollecitazioni nel paramento'!$G$47*'Sollecitazioni nel paramento'!$G$41*IF(DATI!$G$211="dx",DATI!$E$61,DATI!$E$64*DATI!$E$63)*1000*C1885*sezione!$AD$5</f>
        <v>-4684320.5770002743</v>
      </c>
      <c r="Q1885" s="545">
        <f>'Foglio deposito bis'!$F$78*IF(ABS(K1885)&lt;'Sollecitazioni nel paramento'!$G$58,ABS(K1885)*'Sollecitazioni nel paramento'!$G$54,'Sollecitazioni nel paramento'!$G$53)*IF(K1885&lt;0,-1,1)</f>
        <v>0</v>
      </c>
      <c r="R1885" s="545">
        <f>'Foglio deposito bis'!$F$79*IF(ABS(L1885)&lt;'Sollecitazioni nel paramento'!$G$58,ABS(L1885)*'Sollecitazioni nel paramento'!$G$54,'Sollecitazioni nel paramento'!$G$53)*IF(L1885&lt;0,-1,1)</f>
        <v>-144973.4148466558</v>
      </c>
      <c r="S1885" s="545">
        <f>'Foglio deposito bis'!$F$80*IF(ABS(M1885)&lt;'Sollecitazioni nel paramento'!$G$58,ABS(M1885)*'Sollecitazioni nel paramento'!$G$54,'Sollecitazioni nel paramento'!$G$53)*IF(M1885&lt;0,-1,1)</f>
        <v>0</v>
      </c>
      <c r="T1885" s="545">
        <f>'Foglio deposito bis'!$F$81*IF(ABS(N1885)&lt;'Sollecitazioni nel paramento'!$G$58,ABS(N1885)*'Sollecitazioni nel paramento'!$G$54,'Sollecitazioni nel paramento'!$G$53)*IF(N1885&lt;0,-1,1)</f>
        <v>221091.44032856525</v>
      </c>
      <c r="U1885" s="545">
        <f>'Foglio deposito bis'!$F$82*IF(ABS(O1885)&lt;'Sollecitazioni nel paramento'!$G$58,ABS(O1885)*'Sollecitazioni nel paramento'!$G$54,'Sollecitazioni nel paramento'!$G$53)*IF(O1885&lt;0,-1,1)</f>
        <v>892485.49558937876</v>
      </c>
      <c r="V1885" s="472">
        <f t="shared" si="134"/>
        <v>-3715717.0559289861</v>
      </c>
      <c r="W1885" s="551"/>
      <c r="X1885" s="551"/>
    </row>
    <row r="1886" spans="1:24" x14ac:dyDescent="0.25">
      <c r="A1886" s="545">
        <f t="shared" si="133"/>
        <v>3801072.6850168356</v>
      </c>
      <c r="B1886" s="3">
        <f t="shared" si="131"/>
        <v>13.699999999999973</v>
      </c>
      <c r="C1886" s="545">
        <f>'Foglio deposito bis'!$E$160/sezione!$B$247*B1886</f>
        <v>124.7793243268961</v>
      </c>
      <c r="D1886" s="603">
        <f>-'Sollecitazioni nel paramento'!$G$47*'Sollecitazioni nel paramento'!$G$41*IF(DATI!$G$211="dx",DATI!$E$61,DATI!$E$64*DATI!$E$63)*1000*C1886^2*sezione!$AD$5*(1-sezione!$AD$6)</f>
        <v>-346408774.61589521</v>
      </c>
      <c r="E1886" s="545">
        <f>-'Foglio deposito bis'!$F$78*(C1886-sezione!$AL$34)*IF(ABS(K1886)&lt;'Sollecitazioni nel paramento'!$G$58,ABS(K1886)*'Sollecitazioni nel paramento'!$G$54,'Sollecitazioni nel paramento'!$G$53)</f>
        <v>0</v>
      </c>
      <c r="F1886" s="545">
        <f>-'Foglio deposito bis'!$F$79*(C1886-sezione!$AM$34)*IF(ABS(L1886)&lt;'Sollecitazioni nel paramento'!$G$58,ABS(L1886)*'Sollecitazioni nel paramento'!$G$54,'Sollecitazioni nel paramento'!$G$53)</f>
        <v>-9521937.9813034311</v>
      </c>
      <c r="G1886" s="545">
        <f>-'Foglio deposito bis'!$F$80*(C1886-sezione!$AN$34)*IF(ABS(M1886)&lt;'Sollecitazioni nel paramento'!$G$58,ABS(M1886)*'Sollecitazioni nel paramento'!$G$54,'Sollecitazioni nel paramento'!$G$53)</f>
        <v>0</v>
      </c>
      <c r="H1886" s="545">
        <f>-'Foglio deposito bis'!$F$81*(C1886-sezione!$AO$34)*IF(ABS(N1886)&lt;'Sollecitazioni nel paramento'!$G$58,ABS(N1886)*'Sollecitazioni nel paramento'!$G$54,'Sollecitazioni nel paramento'!$G$53)</f>
        <v>7295967.393682844</v>
      </c>
      <c r="I1886" s="472">
        <f>-'Foglio deposito bis'!$F$82*(C1886-sezione!$AP$34)*IF(ABS(O1886)&lt;'Sollecitazioni nel paramento'!$G$58,ABS(O1886)*'Sollecitazioni nel paramento'!$G$54,'Sollecitazioni nel paramento'!$G$53)</f>
        <v>453650724.27088559</v>
      </c>
      <c r="J1886" s="472">
        <f t="shared" si="132"/>
        <v>105015979.06736976</v>
      </c>
      <c r="K1886" s="550">
        <f>'Sollecitazioni nel paramento'!$G$60*(sezione!$AL$34-C1886)/C1886</f>
        <v>-2.3780192491407561E-3</v>
      </c>
      <c r="L1886" s="550">
        <f>'Sollecitazioni nel paramento'!$G$60*(sezione!$AM$34-C1886)/C1886</f>
        <v>-1.8170288737111343E-3</v>
      </c>
      <c r="M1886" s="551">
        <f>'Sollecitazioni nel paramento'!$G$60*(sezione!$AN$34-C1886)/C1886</f>
        <v>-1.2560384982815125E-3</v>
      </c>
      <c r="N1886" s="551">
        <f>'Sollecitazioni nel paramento'!$G$60*(sezione!$AO$34-C1886)/C1886</f>
        <v>9.8792300343697524E-4</v>
      </c>
      <c r="O1886" s="551">
        <f>'Sollecitazioni nel paramento'!$G$60*(sezione!$AP$34-C1886)/C1886</f>
        <v>1.4257581292936399E-2</v>
      </c>
      <c r="P1886" s="545">
        <f>-'Sollecitazioni nel paramento'!$G$47*'Sollecitazioni nel paramento'!$G$41*IF(DATI!$G$211="dx",DATI!$E$61,DATI!$E$64*DATI!$E$63)*1000*C1886*sezione!$AD$5</f>
        <v>-4753717.91888176</v>
      </c>
      <c r="Q1886" s="545">
        <f>'Foglio deposito bis'!$F$78*IF(ABS(K1886)&lt;'Sollecitazioni nel paramento'!$G$58,ABS(K1886)*'Sollecitazioni nel paramento'!$G$54,'Sollecitazioni nel paramento'!$G$53)*IF(K1886&lt;0,-1,1)</f>
        <v>0</v>
      </c>
      <c r="R1886" s="545">
        <f>'Foglio deposito bis'!$F$79*IF(ABS(L1886)&lt;'Sollecitazioni nel paramento'!$G$58,ABS(L1886)*'Sollecitazioni nel paramento'!$G$54,'Sollecitazioni nel paramento'!$G$53)*IF(L1886&lt;0,-1,1)</f>
        <v>-146990.38744604448</v>
      </c>
      <c r="S1886" s="545">
        <f>'Foglio deposito bis'!$F$80*IF(ABS(M1886)&lt;'Sollecitazioni nel paramento'!$G$58,ABS(M1886)*'Sollecitazioni nel paramento'!$G$54,'Sollecitazioni nel paramento'!$G$53)*IF(M1886&lt;0,-1,1)</f>
        <v>0</v>
      </c>
      <c r="T1886" s="545">
        <f>'Foglio deposito bis'!$F$81*IF(ABS(N1886)&lt;'Sollecitazioni nel paramento'!$G$58,ABS(N1886)*'Sollecitazioni nel paramento'!$G$54,'Sollecitazioni nel paramento'!$G$53)*IF(N1886&lt;0,-1,1)</f>
        <v>207150.12572159071</v>
      </c>
      <c r="U1886" s="545">
        <f>'Foglio deposito bis'!$F$82*IF(ABS(O1886)&lt;'Sollecitazioni nel paramento'!$G$58,ABS(O1886)*'Sollecitazioni nel paramento'!$G$54,'Sollecitazioni nel paramento'!$G$53)*IF(O1886&lt;0,-1,1)</f>
        <v>892485.49558937876</v>
      </c>
      <c r="V1886" s="472">
        <f t="shared" si="134"/>
        <v>-3801072.6850168356</v>
      </c>
      <c r="W1886" s="551"/>
      <c r="X1886" s="551"/>
    </row>
    <row r="1887" spans="1:24" x14ac:dyDescent="0.25">
      <c r="A1887" s="545">
        <f t="shared" si="133"/>
        <v>3885969.0828181696</v>
      </c>
      <c r="B1887" s="3">
        <f t="shared" si="131"/>
        <v>13.899999999999972</v>
      </c>
      <c r="C1887" s="545">
        <f>'Foglio deposito bis'!$E$160/sezione!$B$247*B1887</f>
        <v>126.60092030247122</v>
      </c>
      <c r="D1887" s="603">
        <f>-'Sollecitazioni nel paramento'!$G$47*'Sollecitazioni nel paramento'!$G$41*IF(DATI!$G$211="dx",DATI!$E$61,DATI!$E$64*DATI!$E$63)*1000*C1887^2*sezione!$AD$5*(1-sezione!$AD$6)</f>
        <v>-356596725.15071189</v>
      </c>
      <c r="E1887" s="545">
        <f>-'Foglio deposito bis'!$F$78*(C1887-sezione!$AL$34)*IF(ABS(K1887)&lt;'Sollecitazioni nel paramento'!$G$58,ABS(K1887)*'Sollecitazioni nel paramento'!$G$54,'Sollecitazioni nel paramento'!$G$53)</f>
        <v>0</v>
      </c>
      <c r="F1887" s="545">
        <f>-'Foglio deposito bis'!$F$79*(C1887-sezione!$AM$34)*IF(ABS(L1887)&lt;'Sollecitazioni nel paramento'!$G$58,ABS(L1887)*'Sollecitazioni nel paramento'!$G$54,'Sollecitazioni nel paramento'!$G$53)</f>
        <v>-9920161.6351453904</v>
      </c>
      <c r="G1887" s="545">
        <f>-'Foglio deposito bis'!$F$80*(C1887-sezione!$AN$34)*IF(ABS(M1887)&lt;'Sollecitazioni nel paramento'!$G$58,ABS(M1887)*'Sollecitazioni nel paramento'!$G$54,'Sollecitazioni nel paramento'!$G$53)</f>
        <v>0</v>
      </c>
      <c r="H1887" s="545">
        <f>-'Foglio deposito bis'!$F$81*(C1887-sezione!$AO$34)*IF(ABS(N1887)&lt;'Sollecitazioni nel paramento'!$G$58,ABS(N1887)*'Sollecitazioni nel paramento'!$G$54,'Sollecitazioni nel paramento'!$G$53)</f>
        <v>6466395.8210457852</v>
      </c>
      <c r="I1887" s="472">
        <f>-'Foglio deposito bis'!$F$82*(C1887-sezione!$AP$34)*IF(ABS(O1887)&lt;'Sollecitazioni nel paramento'!$G$58,ABS(O1887)*'Sollecitazioni nel paramento'!$G$54,'Sollecitazioni nel paramento'!$G$53)</f>
        <v>452024976.28386086</v>
      </c>
      <c r="J1887" s="472">
        <f t="shared" si="132"/>
        <v>91974485.319049358</v>
      </c>
      <c r="K1887" s="550">
        <f>'Sollecitazioni nel paramento'!$G$60*(sezione!$AL$34-C1887)/C1887</f>
        <v>-2.3941628570667882E-3</v>
      </c>
      <c r="L1887" s="550">
        <f>'Sollecitazioni nel paramento'!$G$60*(sezione!$AM$34-C1887)/C1887</f>
        <v>-1.8412442856001825E-3</v>
      </c>
      <c r="M1887" s="551">
        <f>'Sollecitazioni nel paramento'!$G$60*(sezione!$AN$34-C1887)/C1887</f>
        <v>-1.2883257141335768E-3</v>
      </c>
      <c r="N1887" s="551">
        <f>'Sollecitazioni nel paramento'!$G$60*(sezione!$AO$34-C1887)/C1887</f>
        <v>9.2334857173284645E-4</v>
      </c>
      <c r="O1887" s="551">
        <f>'Sollecitazioni nel paramento'!$G$60*(sezione!$AP$34-C1887)/C1887</f>
        <v>1.4002076526131562E-2</v>
      </c>
      <c r="P1887" s="545">
        <f>-'Sollecitazioni nel paramento'!$G$47*'Sollecitazioni nel paramento'!$G$41*IF(DATI!$G$211="dx",DATI!$E$61,DATI!$E$64*DATI!$E$63)*1000*C1887*sezione!$AD$5</f>
        <v>-4823115.2607632456</v>
      </c>
      <c r="Q1887" s="545">
        <f>'Foglio deposito bis'!$F$78*IF(ABS(K1887)&lt;'Sollecitazioni nel paramento'!$G$58,ABS(K1887)*'Sollecitazioni nel paramento'!$G$54,'Sollecitazioni nel paramento'!$G$53)*IF(K1887&lt;0,-1,1)</f>
        <v>0</v>
      </c>
      <c r="R1887" s="545">
        <f>'Foglio deposito bis'!$F$79*IF(ABS(L1887)&lt;'Sollecitazioni nel paramento'!$G$58,ABS(L1887)*'Sollecitazioni nel paramento'!$G$54,'Sollecitazioni nel paramento'!$G$53)*IF(L1887&lt;0,-1,1)</f>
        <v>-148949.31766847227</v>
      </c>
      <c r="S1887" s="545">
        <f>'Foglio deposito bis'!$F$80*IF(ABS(M1887)&lt;'Sollecitazioni nel paramento'!$G$58,ABS(M1887)*'Sollecitazioni nel paramento'!$G$54,'Sollecitazioni nel paramento'!$G$53)*IF(M1887&lt;0,-1,1)</f>
        <v>0</v>
      </c>
      <c r="T1887" s="545">
        <f>'Foglio deposito bis'!$F$81*IF(ABS(N1887)&lt;'Sollecitazioni nel paramento'!$G$58,ABS(N1887)*'Sollecitazioni nel paramento'!$G$54,'Sollecitazioni nel paramento'!$G$53)*IF(N1887&lt;0,-1,1)</f>
        <v>193610.00002416948</v>
      </c>
      <c r="U1887" s="545">
        <f>'Foglio deposito bis'!$F$82*IF(ABS(O1887)&lt;'Sollecitazioni nel paramento'!$G$58,ABS(O1887)*'Sollecitazioni nel paramento'!$G$54,'Sollecitazioni nel paramento'!$G$53)*IF(O1887&lt;0,-1,1)</f>
        <v>892485.49558937876</v>
      </c>
      <c r="V1887" s="472">
        <f t="shared" si="134"/>
        <v>-3885969.0828181696</v>
      </c>
      <c r="W1887" s="551"/>
      <c r="X1887" s="551"/>
    </row>
    <row r="1888" spans="1:24" x14ac:dyDescent="0.25">
      <c r="A1888" s="545">
        <f t="shared" si="133"/>
        <v>3970425.7910898631</v>
      </c>
      <c r="B1888" s="3">
        <f t="shared" si="131"/>
        <v>14.099999999999971</v>
      </c>
      <c r="C1888" s="545">
        <f>'Foglio deposito bis'!$E$160/sezione!$B$247*B1888</f>
        <v>128.42251627804634</v>
      </c>
      <c r="D1888" s="603">
        <f>-'Sollecitazioni nel paramento'!$G$47*'Sollecitazioni nel paramento'!$G$41*IF(DATI!$G$211="dx",DATI!$E$61,DATI!$E$64*DATI!$E$63)*1000*C1888^2*sezione!$AD$5*(1-sezione!$AD$6)</f>
        <v>-366932327.14255488</v>
      </c>
      <c r="E1888" s="545">
        <f>-'Foglio deposito bis'!$F$78*(C1888-sezione!$AL$34)*IF(ABS(K1888)&lt;'Sollecitazioni nel paramento'!$G$58,ABS(K1888)*'Sollecitazioni nel paramento'!$G$54,'Sollecitazioni nel paramento'!$G$53)</f>
        <v>0</v>
      </c>
      <c r="F1888" s="545">
        <f>-'Foglio deposito bis'!$F$79*(C1888-sezione!$AM$34)*IF(ABS(L1888)&lt;'Sollecitazioni nel paramento'!$G$58,ABS(L1888)*'Sollecitazioni nel paramento'!$G$54,'Sollecitazioni nel paramento'!$G$53)</f>
        <v>-10321719.638302125</v>
      </c>
      <c r="G1888" s="545">
        <f>-'Foglio deposito bis'!$F$80*(C1888-sezione!$AN$34)*IF(ABS(M1888)&lt;'Sollecitazioni nel paramento'!$G$58,ABS(M1888)*'Sollecitazioni nel paramento'!$G$54,'Sollecitazioni nel paramento'!$G$53)</f>
        <v>0</v>
      </c>
      <c r="H1888" s="545">
        <f>-'Foglio deposito bis'!$F$81*(C1888-sezione!$AO$34)*IF(ABS(N1888)&lt;'Sollecitazioni nel paramento'!$G$58,ABS(N1888)*'Sollecitazioni nel paramento'!$G$54,'Sollecitazioni nel paramento'!$G$53)</f>
        <v>5698282.9749785792</v>
      </c>
      <c r="I1888" s="472">
        <f>-'Foglio deposito bis'!$F$82*(C1888-sezione!$AP$34)*IF(ABS(O1888)&lt;'Sollecitazioni nel paramento'!$G$58,ABS(O1888)*'Sollecitazioni nel paramento'!$G$54,'Sollecitazioni nel paramento'!$G$53)</f>
        <v>450399228.29683602</v>
      </c>
      <c r="J1888" s="472">
        <f t="shared" si="132"/>
        <v>78843464.490957558</v>
      </c>
      <c r="K1888" s="550">
        <f>'Sollecitazioni nel paramento'!$G$60*(sezione!$AL$34-C1888)/C1888</f>
        <v>-2.4098484902998836E-3</v>
      </c>
      <c r="L1888" s="550">
        <f>'Sollecitazioni nel paramento'!$G$60*(sezione!$AM$34-C1888)/C1888</f>
        <v>-1.8647727354498254E-3</v>
      </c>
      <c r="M1888" s="551">
        <f>'Sollecitazioni nel paramento'!$G$60*(sezione!$AN$34-C1888)/C1888</f>
        <v>-1.3196969805997672E-3</v>
      </c>
      <c r="N1888" s="551">
        <f>'Sollecitazioni nel paramento'!$G$60*(sezione!$AO$34-C1888)/C1888</f>
        <v>8.6060603880046575E-4</v>
      </c>
      <c r="O1888" s="551">
        <f>'Sollecitazioni nel paramento'!$G$60*(sezione!$AP$34-C1888)/C1888</f>
        <v>1.3753820121505582E-2</v>
      </c>
      <c r="P1888" s="545">
        <f>-'Sollecitazioni nel paramento'!$G$47*'Sollecitazioni nel paramento'!$G$41*IF(DATI!$G$211="dx",DATI!$E$61,DATI!$E$64*DATI!$E$63)*1000*C1888*sezione!$AD$5</f>
        <v>-4892512.6026447304</v>
      </c>
      <c r="Q1888" s="545">
        <f>'Foglio deposito bis'!$F$78*IF(ABS(K1888)&lt;'Sollecitazioni nel paramento'!$G$58,ABS(K1888)*'Sollecitazioni nel paramento'!$G$54,'Sollecitazioni nel paramento'!$G$53)*IF(K1888&lt;0,-1,1)</f>
        <v>0</v>
      </c>
      <c r="R1888" s="545">
        <f>'Foglio deposito bis'!$F$79*IF(ABS(L1888)&lt;'Sollecitazioni nel paramento'!$G$58,ABS(L1888)*'Sollecitazioni nel paramento'!$G$54,'Sollecitazioni nel paramento'!$G$53)*IF(L1888&lt;0,-1,1)</f>
        <v>-150852.67540232063</v>
      </c>
      <c r="S1888" s="545">
        <f>'Foglio deposito bis'!$F$80*IF(ABS(M1888)&lt;'Sollecitazioni nel paramento'!$G$58,ABS(M1888)*'Sollecitazioni nel paramento'!$G$54,'Sollecitazioni nel paramento'!$G$53)*IF(M1888&lt;0,-1,1)</f>
        <v>0</v>
      </c>
      <c r="T1888" s="545">
        <f>'Foglio deposito bis'!$F$81*IF(ABS(N1888)&lt;'Sollecitazioni nel paramento'!$G$58,ABS(N1888)*'Sollecitazioni nel paramento'!$G$54,'Sollecitazioni nel paramento'!$G$53)*IF(N1888&lt;0,-1,1)</f>
        <v>180453.99136780982</v>
      </c>
      <c r="U1888" s="545">
        <f>'Foglio deposito bis'!$F$82*IF(ABS(O1888)&lt;'Sollecitazioni nel paramento'!$G$58,ABS(O1888)*'Sollecitazioni nel paramento'!$G$54,'Sollecitazioni nel paramento'!$G$53)*IF(O1888&lt;0,-1,1)</f>
        <v>892485.49558937876</v>
      </c>
      <c r="V1888" s="472">
        <f t="shared" si="134"/>
        <v>-3970425.7910898631</v>
      </c>
      <c r="W1888" s="551"/>
      <c r="X1888" s="551"/>
    </row>
    <row r="1889" spans="1:24" x14ac:dyDescent="0.25">
      <c r="A1889" s="545">
        <f t="shared" si="133"/>
        <v>4055423.3240392744</v>
      </c>
      <c r="B1889" s="3">
        <f t="shared" si="131"/>
        <v>14.299999999999971</v>
      </c>
      <c r="C1889" s="545">
        <f>'Foglio deposito bis'!$E$160/sezione!$B$247*B1889</f>
        <v>130.24411225362147</v>
      </c>
      <c r="D1889" s="603">
        <f>-'Sollecitazioni nel paramento'!$G$47*'Sollecitazioni nel paramento'!$G$41*IF(DATI!$G$211="dx",DATI!$E$61,DATI!$E$64*DATI!$E$63)*1000*C1889^2*sezione!$AD$5*(1-sezione!$AD$6)</f>
        <v>-377415580.59142423</v>
      </c>
      <c r="E1889" s="545">
        <f>-'Foglio deposito bis'!$F$78*(C1889-sezione!$AL$34)*IF(ABS(K1889)&lt;'Sollecitazioni nel paramento'!$G$58,ABS(K1889)*'Sollecitazioni nel paramento'!$G$54,'Sollecitazioni nel paramento'!$G$53)</f>
        <v>0</v>
      </c>
      <c r="F1889" s="545">
        <f>-'Foglio deposito bis'!$F$79*(C1889-sezione!$AM$34)*IF(ABS(L1889)&lt;'Sollecitazioni nel paramento'!$G$58,ABS(L1889)*'Sollecitazioni nel paramento'!$G$54,'Sollecitazioni nel paramento'!$G$53)</f>
        <v>-10794051.538724054</v>
      </c>
      <c r="G1889" s="545">
        <f>-'Foglio deposito bis'!$F$80*(C1889-sezione!$AN$34)*IF(ABS(M1889)&lt;'Sollecitazioni nel paramento'!$G$58,ABS(M1889)*'Sollecitazioni nel paramento'!$G$54,'Sollecitazioni nel paramento'!$G$53)</f>
        <v>0</v>
      </c>
      <c r="H1889" s="545">
        <f>-'Foglio deposito bis'!$F$81*(C1889-sezione!$AO$34)*IF(ABS(N1889)&lt;'Sollecitazioni nel paramento'!$G$58,ABS(N1889)*'Sollecitazioni nel paramento'!$G$54,'Sollecitazioni nel paramento'!$G$53)</f>
        <v>4989050.1676531238</v>
      </c>
      <c r="I1889" s="472">
        <f>-'Foglio deposito bis'!$F$82*(C1889-sezione!$AP$34)*IF(ABS(O1889)&lt;'Sollecitazioni nel paramento'!$G$58,ABS(O1889)*'Sollecitazioni nel paramento'!$G$54,'Sollecitazioni nel paramento'!$G$53)</f>
        <v>448773480.30981123</v>
      </c>
      <c r="J1889" s="472">
        <f t="shared" si="132"/>
        <v>65552898.347316086</v>
      </c>
      <c r="K1889" s="550">
        <f>'Sollecitazioni nel paramento'!$G$60*(sezione!$AL$34-C1889)/C1889</f>
        <v>-2.4250953645614235E-3</v>
      </c>
      <c r="L1889" s="550">
        <f>'Sollecitazioni nel paramento'!$G$60*(sezione!$AM$34-C1889)/C1889</f>
        <v>-1.8876430468421355E-3</v>
      </c>
      <c r="M1889" s="551">
        <f>'Sollecitazioni nel paramento'!$G$60*(sezione!$AN$34-C1889)/C1889</f>
        <v>-1.3501907291228472E-3</v>
      </c>
      <c r="N1889" s="551">
        <f>'Sollecitazioni nel paramento'!$G$60*(sezione!$AO$34-C1889)/C1889</f>
        <v>7.9961854175430557E-4</v>
      </c>
      <c r="O1889" s="551">
        <f>'Sollecitazioni nel paramento'!$G$60*(sezione!$AP$34-C1889)/C1889</f>
        <v>1.3512507951974036E-2</v>
      </c>
      <c r="P1889" s="545">
        <f>-'Sollecitazioni nel paramento'!$G$47*'Sollecitazioni nel paramento'!$G$41*IF(DATI!$G$211="dx",DATI!$E$61,DATI!$E$64*DATI!$E$63)*1000*C1889*sezione!$AD$5</f>
        <v>-4961909.944526216</v>
      </c>
      <c r="Q1889" s="545">
        <f>'Foglio deposito bis'!$F$78*IF(ABS(K1889)&lt;'Sollecitazioni nel paramento'!$G$58,ABS(K1889)*'Sollecitazioni nel paramento'!$G$54,'Sollecitazioni nel paramento'!$G$53)*IF(K1889&lt;0,-1,1)</f>
        <v>0</v>
      </c>
      <c r="R1889" s="545">
        <f>'Foglio deposito bis'!$F$79*IF(ABS(L1889)&lt;'Sollecitazioni nel paramento'!$G$58,ABS(L1889)*'Sollecitazioni nel paramento'!$G$54,'Sollecitazioni nel paramento'!$G$53)*IF(L1889&lt;0,-1,1)</f>
        <v>-153664.85805602249</v>
      </c>
      <c r="S1889" s="545">
        <f>'Foglio deposito bis'!$F$80*IF(ABS(M1889)&lt;'Sollecitazioni nel paramento'!$G$58,ABS(M1889)*'Sollecitazioni nel paramento'!$G$54,'Sollecitazioni nel paramento'!$G$53)*IF(M1889&lt;0,-1,1)</f>
        <v>0</v>
      </c>
      <c r="T1889" s="545">
        <f>'Foglio deposito bis'!$F$81*IF(ABS(N1889)&lt;'Sollecitazioni nel paramento'!$G$58,ABS(N1889)*'Sollecitazioni nel paramento'!$G$54,'Sollecitazioni nel paramento'!$G$53)*IF(N1889&lt;0,-1,1)</f>
        <v>167665.98295358606</v>
      </c>
      <c r="U1889" s="545">
        <f>'Foglio deposito bis'!$F$82*IF(ABS(O1889)&lt;'Sollecitazioni nel paramento'!$G$58,ABS(O1889)*'Sollecitazioni nel paramento'!$G$54,'Sollecitazioni nel paramento'!$G$53)*IF(O1889&lt;0,-1,1)</f>
        <v>892485.49558937876</v>
      </c>
      <c r="V1889" s="472">
        <f t="shared" si="134"/>
        <v>-4055423.3240392744</v>
      </c>
      <c r="W1889" s="551"/>
      <c r="X1889" s="551"/>
    </row>
    <row r="1890" spans="1:24" x14ac:dyDescent="0.25">
      <c r="A1890" s="545">
        <f t="shared" si="133"/>
        <v>4137255.9016890735</v>
      </c>
      <c r="B1890" s="3">
        <f t="shared" si="131"/>
        <v>14.49999999999997</v>
      </c>
      <c r="C1890" s="545">
        <f>'Foglio deposito bis'!$E$160/sezione!$B$247*B1890</f>
        <v>132.06570822919659</v>
      </c>
      <c r="D1890" s="603">
        <f>-'Sollecitazioni nel paramento'!$G$47*'Sollecitazioni nel paramento'!$G$41*IF(DATI!$G$211="dx",DATI!$E$61,DATI!$E$64*DATI!$E$63)*1000*C1890^2*sezione!$AD$5*(1-sezione!$AD$6)</f>
        <v>-388046485.49731988</v>
      </c>
      <c r="E1890" s="545">
        <f>-'Foglio deposito bis'!$F$78*(C1890-sezione!$AL$34)*IF(ABS(K1890)&lt;'Sollecitazioni nel paramento'!$G$58,ABS(K1890)*'Sollecitazioni nel paramento'!$G$54,'Sollecitazioni nel paramento'!$G$53)</f>
        <v>0</v>
      </c>
      <c r="F1890" s="545">
        <f>-'Foglio deposito bis'!$F$79*(C1890-sezione!$AM$34)*IF(ABS(L1890)&lt;'Sollecitazioni nel paramento'!$G$58,ABS(L1890)*'Sollecitazioni nel paramento'!$G$54,'Sollecitazioni nel paramento'!$G$53)</f>
        <v>-11073966.825746227</v>
      </c>
      <c r="G1890" s="545">
        <f>-'Foglio deposito bis'!$F$80*(C1890-sezione!$AN$34)*IF(ABS(M1890)&lt;'Sollecitazioni nel paramento'!$G$58,ABS(M1890)*'Sollecitazioni nel paramento'!$G$54,'Sollecitazioni nel paramento'!$G$53)</f>
        <v>0</v>
      </c>
      <c r="H1890" s="545">
        <f>-'Foglio deposito bis'!$F$81*(C1890-sezione!$AO$34)*IF(ABS(N1890)&lt;'Sollecitazioni nel paramento'!$G$58,ABS(N1890)*'Sollecitazioni nel paramento'!$G$54,'Sollecitazioni nel paramento'!$G$53)</f>
        <v>4336260.9836732065</v>
      </c>
      <c r="I1890" s="472">
        <f>-'Foglio deposito bis'!$F$82*(C1890-sezione!$AP$34)*IF(ABS(O1890)&lt;'Sollecitazioni nel paramento'!$G$58,ABS(O1890)*'Sollecitazioni nel paramento'!$G$54,'Sollecitazioni nel paramento'!$G$53)</f>
        <v>447147732.32278639</v>
      </c>
      <c r="J1890" s="472">
        <f t="shared" si="132"/>
        <v>52363540.98339349</v>
      </c>
      <c r="K1890" s="550">
        <f>'Sollecitazioni nel paramento'!$G$60*(sezione!$AL$34-C1890)/C1890</f>
        <v>-2.4399216353950593E-3</v>
      </c>
      <c r="L1890" s="550">
        <f>'Sollecitazioni nel paramento'!$G$60*(sezione!$AM$34-C1890)/C1890</f>
        <v>-1.9098824530925887E-3</v>
      </c>
      <c r="M1890" s="551">
        <f>'Sollecitazioni nel paramento'!$G$60*(sezione!$AN$34-C1890)/C1890</f>
        <v>-1.3798432707901181E-3</v>
      </c>
      <c r="N1890" s="551">
        <f>'Sollecitazioni nel paramento'!$G$60*(sezione!$AO$34-C1890)/C1890</f>
        <v>7.4031345841976345E-4</v>
      </c>
      <c r="O1890" s="551">
        <f>'Sollecitazioni nel paramento'!$G$60*(sezione!$AP$34-C1890)/C1890</f>
        <v>1.3277852669877844E-2</v>
      </c>
      <c r="P1890" s="545">
        <f>-'Sollecitazioni nel paramento'!$G$47*'Sollecitazioni nel paramento'!$G$41*IF(DATI!$G$211="dx",DATI!$E$61,DATI!$E$64*DATI!$E$63)*1000*C1890*sezione!$AD$5</f>
        <v>-5031307.2864077017</v>
      </c>
      <c r="Q1890" s="545">
        <f>'Foglio deposito bis'!$F$78*IF(ABS(K1890)&lt;'Sollecitazioni nel paramento'!$G$58,ABS(K1890)*'Sollecitazioni nel paramento'!$G$54,'Sollecitazioni nel paramento'!$G$53)*IF(K1890&lt;0,-1,1)</f>
        <v>0</v>
      </c>
      <c r="R1890" s="545">
        <f>'Foglio deposito bis'!$F$79*IF(ABS(L1890)&lt;'Sollecitazioni nel paramento'!$G$58,ABS(L1890)*'Sollecitazioni nel paramento'!$G$54,'Sollecitazioni nel paramento'!$G$53)*IF(L1890&lt;0,-1,1)</f>
        <v>-153664.85805602249</v>
      </c>
      <c r="S1890" s="545">
        <f>'Foglio deposito bis'!$F$80*IF(ABS(M1890)&lt;'Sollecitazioni nel paramento'!$G$58,ABS(M1890)*'Sollecitazioni nel paramento'!$G$54,'Sollecitazioni nel paramento'!$G$53)*IF(M1890&lt;0,-1,1)</f>
        <v>0</v>
      </c>
      <c r="T1890" s="545">
        <f>'Foglio deposito bis'!$F$81*IF(ABS(N1890)&lt;'Sollecitazioni nel paramento'!$G$58,ABS(N1890)*'Sollecitazioni nel paramento'!$G$54,'Sollecitazioni nel paramento'!$G$53)*IF(N1890&lt;0,-1,1)</f>
        <v>155230.7471852719</v>
      </c>
      <c r="U1890" s="545">
        <f>'Foglio deposito bis'!$F$82*IF(ABS(O1890)&lt;'Sollecitazioni nel paramento'!$G$58,ABS(O1890)*'Sollecitazioni nel paramento'!$G$54,'Sollecitazioni nel paramento'!$G$53)*IF(O1890&lt;0,-1,1)</f>
        <v>892485.49558937876</v>
      </c>
      <c r="V1890" s="472">
        <f t="shared" si="134"/>
        <v>-4137255.9016890735</v>
      </c>
      <c r="W1890" s="551"/>
      <c r="X1890" s="551"/>
    </row>
    <row r="1891" spans="1:24" x14ac:dyDescent="0.25">
      <c r="A1891" s="545">
        <f t="shared" si="133"/>
        <v>4218750.1055764705</v>
      </c>
      <c r="B1891" s="3">
        <f t="shared" si="131"/>
        <v>14.699999999999969</v>
      </c>
      <c r="C1891" s="545">
        <f>'Foglio deposito bis'!$E$160/sezione!$B$247*B1891</f>
        <v>133.88730420477171</v>
      </c>
      <c r="D1891" s="603">
        <f>-'Sollecitazioni nel paramento'!$G$47*'Sollecitazioni nel paramento'!$G$41*IF(DATI!$G$211="dx",DATI!$E$61,DATI!$E$64*DATI!$E$63)*1000*C1891^2*sezione!$AD$5*(1-sezione!$AD$6)</f>
        <v>-398825041.86024183</v>
      </c>
      <c r="E1891" s="545">
        <f>-'Foglio deposito bis'!$F$78*(C1891-sezione!$AL$34)*IF(ABS(K1891)&lt;'Sollecitazioni nel paramento'!$G$58,ABS(K1891)*'Sollecitazioni nel paramento'!$G$54,'Sollecitazioni nel paramento'!$G$53)</f>
        <v>0</v>
      </c>
      <c r="F1891" s="545">
        <f>-'Foglio deposito bis'!$F$79*(C1891-sezione!$AM$34)*IF(ABS(L1891)&lt;'Sollecitazioni nel paramento'!$G$58,ABS(L1891)*'Sollecitazioni nel paramento'!$G$54,'Sollecitazioni nel paramento'!$G$53)</f>
        <v>-11353882.112768399</v>
      </c>
      <c r="G1891" s="545">
        <f>-'Foglio deposito bis'!$F$80*(C1891-sezione!$AN$34)*IF(ABS(M1891)&lt;'Sollecitazioni nel paramento'!$G$58,ABS(M1891)*'Sollecitazioni nel paramento'!$G$54,'Sollecitazioni nel paramento'!$G$53)</f>
        <v>0</v>
      </c>
      <c r="H1891" s="545">
        <f>-'Foglio deposito bis'!$F$81*(C1891-sezione!$AO$34)*IF(ABS(N1891)&lt;'Sollecitazioni nel paramento'!$G$58,ABS(N1891)*'Sollecitazioni nel paramento'!$G$54,'Sollecitazioni nel paramento'!$G$53)</f>
        <v>3737611.6016777861</v>
      </c>
      <c r="I1891" s="472">
        <f>-'Foglio deposito bis'!$F$82*(C1891-sezione!$AP$34)*IF(ABS(O1891)&lt;'Sollecitazioni nel paramento'!$G$58,ABS(O1891)*'Sollecitazioni nel paramento'!$G$54,'Sollecitazioni nel paramento'!$G$53)</f>
        <v>445521984.33576173</v>
      </c>
      <c r="J1891" s="472">
        <f t="shared" si="132"/>
        <v>39080671.964429259</v>
      </c>
      <c r="K1891" s="550">
        <f>'Sollecitazioni nel paramento'!$G$60*(sezione!$AL$34-C1891)/C1891</f>
        <v>-2.4543444702876433E-3</v>
      </c>
      <c r="L1891" s="550">
        <f>'Sollecitazioni nel paramento'!$G$60*(sezione!$AM$34-C1891)/C1891</f>
        <v>-1.9315167054314651E-3</v>
      </c>
      <c r="M1891" s="551">
        <f>'Sollecitazioni nel paramento'!$G$60*(sezione!$AN$34-C1891)/C1891</f>
        <v>-1.4086889405752867E-3</v>
      </c>
      <c r="N1891" s="551">
        <f>'Sollecitazioni nel paramento'!$G$60*(sezione!$AO$34-C1891)/C1891</f>
        <v>6.8262211884942664E-4</v>
      </c>
      <c r="O1891" s="551">
        <f>'Sollecitazioni nel paramento'!$G$60*(sezione!$AP$34-C1891)/C1891</f>
        <v>1.3049582565525764E-2</v>
      </c>
      <c r="P1891" s="545">
        <f>-'Sollecitazioni nel paramento'!$G$47*'Sollecitazioni nel paramento'!$G$41*IF(DATI!$G$211="dx",DATI!$E$61,DATI!$E$64*DATI!$E$63)*1000*C1891*sezione!$AD$5</f>
        <v>-5100704.6282891873</v>
      </c>
      <c r="Q1891" s="545">
        <f>'Foglio deposito bis'!$F$78*IF(ABS(K1891)&lt;'Sollecitazioni nel paramento'!$G$58,ABS(K1891)*'Sollecitazioni nel paramento'!$G$54,'Sollecitazioni nel paramento'!$G$53)*IF(K1891&lt;0,-1,1)</f>
        <v>0</v>
      </c>
      <c r="R1891" s="545">
        <f>'Foglio deposito bis'!$F$79*IF(ABS(L1891)&lt;'Sollecitazioni nel paramento'!$G$58,ABS(L1891)*'Sollecitazioni nel paramento'!$G$54,'Sollecitazioni nel paramento'!$G$53)*IF(L1891&lt;0,-1,1)</f>
        <v>-153664.85805602249</v>
      </c>
      <c r="S1891" s="545">
        <f>'Foglio deposito bis'!$F$80*IF(ABS(M1891)&lt;'Sollecitazioni nel paramento'!$G$58,ABS(M1891)*'Sollecitazioni nel paramento'!$G$54,'Sollecitazioni nel paramento'!$G$53)*IF(M1891&lt;0,-1,1)</f>
        <v>0</v>
      </c>
      <c r="T1891" s="545">
        <f>'Foglio deposito bis'!$F$81*IF(ABS(N1891)&lt;'Sollecitazioni nel paramento'!$G$58,ABS(N1891)*'Sollecitazioni nel paramento'!$G$54,'Sollecitazioni nel paramento'!$G$53)*IF(N1891&lt;0,-1,1)</f>
        <v>143133.88517936089</v>
      </c>
      <c r="U1891" s="545">
        <f>'Foglio deposito bis'!$F$82*IF(ABS(O1891)&lt;'Sollecitazioni nel paramento'!$G$58,ABS(O1891)*'Sollecitazioni nel paramento'!$G$54,'Sollecitazioni nel paramento'!$G$53)*IF(O1891&lt;0,-1,1)</f>
        <v>892485.49558937876</v>
      </c>
      <c r="V1891" s="472">
        <f t="shared" si="134"/>
        <v>-4218750.1055764705</v>
      </c>
      <c r="W1891" s="551"/>
      <c r="X1891" s="551"/>
    </row>
    <row r="1892" spans="1:24" x14ac:dyDescent="0.25">
      <c r="A1892" s="545">
        <f t="shared" si="133"/>
        <v>4299919.5614905525</v>
      </c>
      <c r="B1892" s="3">
        <f t="shared" si="131"/>
        <v>14.899999999999968</v>
      </c>
      <c r="C1892" s="545">
        <f>'Foglio deposito bis'!$E$160/sezione!$B$247*B1892</f>
        <v>135.70890018034683</v>
      </c>
      <c r="D1892" s="603">
        <f>-'Sollecitazioni nel paramento'!$G$47*'Sollecitazioni nel paramento'!$G$41*IF(DATI!$G$211="dx",DATI!$E$61,DATI!$E$64*DATI!$E$63)*1000*C1892^2*sezione!$AD$5*(1-sezione!$AD$6)</f>
        <v>-409751249.68019009</v>
      </c>
      <c r="E1892" s="545">
        <f>-'Foglio deposito bis'!$F$78*(C1892-sezione!$AL$34)*IF(ABS(K1892)&lt;'Sollecitazioni nel paramento'!$G$58,ABS(K1892)*'Sollecitazioni nel paramento'!$G$54,'Sollecitazioni nel paramento'!$G$53)</f>
        <v>0</v>
      </c>
      <c r="F1892" s="545">
        <f>-'Foglio deposito bis'!$F$79*(C1892-sezione!$AM$34)*IF(ABS(L1892)&lt;'Sollecitazioni nel paramento'!$G$58,ABS(L1892)*'Sollecitazioni nel paramento'!$G$54,'Sollecitazioni nel paramento'!$G$53)</f>
        <v>-11633797.399790572</v>
      </c>
      <c r="G1892" s="545">
        <f>-'Foglio deposito bis'!$F$80*(C1892-sezione!$AN$34)*IF(ABS(M1892)&lt;'Sollecitazioni nel paramento'!$G$58,ABS(M1892)*'Sollecitazioni nel paramento'!$G$54,'Sollecitazioni nel paramento'!$G$53)</f>
        <v>0</v>
      </c>
      <c r="H1892" s="545">
        <f>-'Foglio deposito bis'!$F$81*(C1892-sezione!$AO$34)*IF(ABS(N1892)&lt;'Sollecitazioni nel paramento'!$G$58,ABS(N1892)*'Sollecitazioni nel paramento'!$G$54,'Sollecitazioni nel paramento'!$G$53)</f>
        <v>3190921.8954124539</v>
      </c>
      <c r="I1892" s="472">
        <f>-'Foglio deposito bis'!$F$82*(C1892-sezione!$AP$34)*IF(ABS(O1892)&lt;'Sollecitazioni nel paramento'!$G$58,ABS(O1892)*'Sollecitazioni nel paramento'!$G$54,'Sollecitazioni nel paramento'!$G$53)</f>
        <v>443896236.34873688</v>
      </c>
      <c r="J1892" s="472">
        <f t="shared" si="132"/>
        <v>25702111.164168656</v>
      </c>
      <c r="K1892" s="550">
        <f>'Sollecitazioni nel paramento'!$G$60*(sezione!$AL$34-C1892)/C1892</f>
        <v>-2.468380114981769E-3</v>
      </c>
      <c r="L1892" s="550">
        <f>'Sollecitazioni nel paramento'!$G$60*(sezione!$AM$34-C1892)/C1892</f>
        <v>-1.9525701724726534E-3</v>
      </c>
      <c r="M1892" s="551">
        <f>'Sollecitazioni nel paramento'!$G$60*(sezione!$AN$34-C1892)/C1892</f>
        <v>-1.4367602299635378E-3</v>
      </c>
      <c r="N1892" s="551">
        <f>'Sollecitazioni nel paramento'!$G$60*(sezione!$AO$34-C1892)/C1892</f>
        <v>6.2647954007292441E-4</v>
      </c>
      <c r="O1892" s="551">
        <f>'Sollecitazioni nel paramento'!$G$60*(sezione!$AP$34-C1892)/C1892</f>
        <v>1.2827440517666358E-2</v>
      </c>
      <c r="P1892" s="545">
        <f>-'Sollecitazioni nel paramento'!$G$47*'Sollecitazioni nel paramento'!$G$41*IF(DATI!$G$211="dx",DATI!$E$61,DATI!$E$64*DATI!$E$63)*1000*C1892*sezione!$AD$5</f>
        <v>-5170101.9701706721</v>
      </c>
      <c r="Q1892" s="545">
        <f>'Foglio deposito bis'!$F$78*IF(ABS(K1892)&lt;'Sollecitazioni nel paramento'!$G$58,ABS(K1892)*'Sollecitazioni nel paramento'!$G$54,'Sollecitazioni nel paramento'!$G$53)*IF(K1892&lt;0,-1,1)</f>
        <v>0</v>
      </c>
      <c r="R1892" s="545">
        <f>'Foglio deposito bis'!$F$79*IF(ABS(L1892)&lt;'Sollecitazioni nel paramento'!$G$58,ABS(L1892)*'Sollecitazioni nel paramento'!$G$54,'Sollecitazioni nel paramento'!$G$53)*IF(L1892&lt;0,-1,1)</f>
        <v>-153664.85805602249</v>
      </c>
      <c r="S1892" s="545">
        <f>'Foglio deposito bis'!$F$80*IF(ABS(M1892)&lt;'Sollecitazioni nel paramento'!$G$58,ABS(M1892)*'Sollecitazioni nel paramento'!$G$54,'Sollecitazioni nel paramento'!$G$53)*IF(M1892&lt;0,-1,1)</f>
        <v>0</v>
      </c>
      <c r="T1892" s="545">
        <f>'Foglio deposito bis'!$F$81*IF(ABS(N1892)&lt;'Sollecitazioni nel paramento'!$G$58,ABS(N1892)*'Sollecitazioni nel paramento'!$G$54,'Sollecitazioni nel paramento'!$G$53)*IF(N1892&lt;0,-1,1)</f>
        <v>131361.77114676294</v>
      </c>
      <c r="U1892" s="545">
        <f>'Foglio deposito bis'!$F$82*IF(ABS(O1892)&lt;'Sollecitazioni nel paramento'!$G$58,ABS(O1892)*'Sollecitazioni nel paramento'!$G$54,'Sollecitazioni nel paramento'!$G$53)*IF(O1892&lt;0,-1,1)</f>
        <v>892485.49558937876</v>
      </c>
      <c r="V1892" s="472">
        <f t="shared" si="134"/>
        <v>-4299919.5614905525</v>
      </c>
      <c r="W1892" s="551"/>
      <c r="X1892" s="551"/>
    </row>
    <row r="1893" spans="1:24" x14ac:dyDescent="0.25">
      <c r="A1893" s="545">
        <f t="shared" si="133"/>
        <v>4380777.1733243037</v>
      </c>
      <c r="B1893" s="3">
        <f t="shared" si="131"/>
        <v>15.099999999999968</v>
      </c>
      <c r="C1893" s="545">
        <f>'Foglio deposito bis'!$E$160/sezione!$B$247*B1893</f>
        <v>137.53049615592195</v>
      </c>
      <c r="D1893" s="603">
        <f>-'Sollecitazioni nel paramento'!$G$47*'Sollecitazioni nel paramento'!$G$41*IF(DATI!$G$211="dx",DATI!$E$61,DATI!$E$64*DATI!$E$63)*1000*C1893^2*sezione!$AD$5*(1-sezione!$AD$6)</f>
        <v>-420825108.9571647</v>
      </c>
      <c r="E1893" s="545">
        <f>-'Foglio deposito bis'!$F$78*(C1893-sezione!$AL$34)*IF(ABS(K1893)&lt;'Sollecitazioni nel paramento'!$G$58,ABS(K1893)*'Sollecitazioni nel paramento'!$G$54,'Sollecitazioni nel paramento'!$G$53)</f>
        <v>0</v>
      </c>
      <c r="F1893" s="545">
        <f>-'Foglio deposito bis'!$F$79*(C1893-sezione!$AM$34)*IF(ABS(L1893)&lt;'Sollecitazioni nel paramento'!$G$58,ABS(L1893)*'Sollecitazioni nel paramento'!$G$54,'Sollecitazioni nel paramento'!$G$53)</f>
        <v>-11913712.686812745</v>
      </c>
      <c r="G1893" s="545">
        <f>-'Foglio deposito bis'!$F$80*(C1893-sezione!$AN$34)*IF(ABS(M1893)&lt;'Sollecitazioni nel paramento'!$G$58,ABS(M1893)*'Sollecitazioni nel paramento'!$G$54,'Sollecitazioni nel paramento'!$G$53)</f>
        <v>0</v>
      </c>
      <c r="H1893" s="545">
        <f>-'Foglio deposito bis'!$F$81*(C1893-sezione!$AO$34)*IF(ABS(N1893)&lt;'Sollecitazioni nel paramento'!$G$58,ABS(N1893)*'Sollecitazioni nel paramento'!$G$54,'Sollecitazioni nel paramento'!$G$53)</f>
        <v>2694127.2420005165</v>
      </c>
      <c r="I1893" s="472">
        <f>-'Foglio deposito bis'!$F$82*(C1893-sezione!$AP$34)*IF(ABS(O1893)&lt;'Sollecitazioni nel paramento'!$G$58,ABS(O1893)*'Sollecitazioni nel paramento'!$G$54,'Sollecitazioni nel paramento'!$G$53)</f>
        <v>442270488.36171216</v>
      </c>
      <c r="J1893" s="472">
        <f t="shared" si="132"/>
        <v>12225793.959735215</v>
      </c>
      <c r="K1893" s="550">
        <f>'Sollecitazioni nel paramento'!$G$60*(sezione!$AL$34-C1893)/C1893</f>
        <v>-2.4820439545184341E-3</v>
      </c>
      <c r="L1893" s="550">
        <f>'Sollecitazioni nel paramento'!$G$60*(sezione!$AM$34-C1893)/C1893</f>
        <v>-1.9730659317776515E-3</v>
      </c>
      <c r="M1893" s="551">
        <f>'Sollecitazioni nel paramento'!$G$60*(sezione!$AN$34-C1893)/C1893</f>
        <v>-1.4640879090368683E-3</v>
      </c>
      <c r="N1893" s="551">
        <f>'Sollecitazioni nel paramento'!$G$60*(sezione!$AO$34-C1893)/C1893</f>
        <v>5.718241819262633E-4</v>
      </c>
      <c r="O1893" s="551">
        <f>'Sollecitazioni nel paramento'!$G$60*(sezione!$AP$34-C1893)/C1893</f>
        <v>1.2611183027366142E-2</v>
      </c>
      <c r="P1893" s="545">
        <f>-'Sollecitazioni nel paramento'!$G$47*'Sollecitazioni nel paramento'!$G$41*IF(DATI!$G$211="dx",DATI!$E$61,DATI!$E$64*DATI!$E$63)*1000*C1893*sezione!$AD$5</f>
        <v>-5239499.3120521577</v>
      </c>
      <c r="Q1893" s="545">
        <f>'Foglio deposito bis'!$F$78*IF(ABS(K1893)&lt;'Sollecitazioni nel paramento'!$G$58,ABS(K1893)*'Sollecitazioni nel paramento'!$G$54,'Sollecitazioni nel paramento'!$G$53)*IF(K1893&lt;0,-1,1)</f>
        <v>0</v>
      </c>
      <c r="R1893" s="545">
        <f>'Foglio deposito bis'!$F$79*IF(ABS(L1893)&lt;'Sollecitazioni nel paramento'!$G$58,ABS(L1893)*'Sollecitazioni nel paramento'!$G$54,'Sollecitazioni nel paramento'!$G$53)*IF(L1893&lt;0,-1,1)</f>
        <v>-153664.85805602249</v>
      </c>
      <c r="S1893" s="545">
        <f>'Foglio deposito bis'!$F$80*IF(ABS(M1893)&lt;'Sollecitazioni nel paramento'!$G$58,ABS(M1893)*'Sollecitazioni nel paramento'!$G$54,'Sollecitazioni nel paramento'!$G$53)*IF(M1893&lt;0,-1,1)</f>
        <v>0</v>
      </c>
      <c r="T1893" s="545">
        <f>'Foglio deposito bis'!$F$81*IF(ABS(N1893)&lt;'Sollecitazioni nel paramento'!$G$58,ABS(N1893)*'Sollecitazioni nel paramento'!$G$54,'Sollecitazioni nel paramento'!$G$53)*IF(N1893&lt;0,-1,1)</f>
        <v>119901.50119449868</v>
      </c>
      <c r="U1893" s="545">
        <f>'Foglio deposito bis'!$F$82*IF(ABS(O1893)&lt;'Sollecitazioni nel paramento'!$G$58,ABS(O1893)*'Sollecitazioni nel paramento'!$G$54,'Sollecitazioni nel paramento'!$G$53)*IF(O1893&lt;0,-1,1)</f>
        <v>892485.49558937876</v>
      </c>
      <c r="V1893" s="472">
        <f t="shared" si="134"/>
        <v>-4380777.1733243037</v>
      </c>
      <c r="W1893" s="551"/>
      <c r="X1893" s="551"/>
    </row>
    <row r="1894" spans="1:24" x14ac:dyDescent="0.25">
      <c r="A1894" s="545">
        <f t="shared" si="133"/>
        <v>4461335.1702573393</v>
      </c>
      <c r="B1894" s="3">
        <f t="shared" si="131"/>
        <v>15.299999999999967</v>
      </c>
      <c r="C1894" s="545">
        <f>'Foglio deposito bis'!$E$160/sezione!$B$247*B1894</f>
        <v>139.35209213149707</v>
      </c>
      <c r="D1894" s="603">
        <f>-'Sollecitazioni nel paramento'!$G$47*'Sollecitazioni nel paramento'!$G$41*IF(DATI!$G$211="dx",DATI!$E$61,DATI!$E$64*DATI!$E$63)*1000*C1894^2*sezione!$AD$5*(1-sezione!$AD$6)</f>
        <v>-432046619.69116563</v>
      </c>
      <c r="E1894" s="545">
        <f>-'Foglio deposito bis'!$F$78*(C1894-sezione!$AL$34)*IF(ABS(K1894)&lt;'Sollecitazioni nel paramento'!$G$58,ABS(K1894)*'Sollecitazioni nel paramento'!$G$54,'Sollecitazioni nel paramento'!$G$53)</f>
        <v>0</v>
      </c>
      <c r="F1894" s="545">
        <f>-'Foglio deposito bis'!$F$79*(C1894-sezione!$AM$34)*IF(ABS(L1894)&lt;'Sollecitazioni nel paramento'!$G$58,ABS(L1894)*'Sollecitazioni nel paramento'!$G$54,'Sollecitazioni nel paramento'!$G$53)</f>
        <v>-12193627.973834917</v>
      </c>
      <c r="G1894" s="545">
        <f>-'Foglio deposito bis'!$F$80*(C1894-sezione!$AN$34)*IF(ABS(M1894)&lt;'Sollecitazioni nel paramento'!$G$58,ABS(M1894)*'Sollecitazioni nel paramento'!$G$54,'Sollecitazioni nel paramento'!$G$53)</f>
        <v>0</v>
      </c>
      <c r="H1894" s="545">
        <f>-'Foglio deposito bis'!$F$81*(C1894-sezione!$AO$34)*IF(ABS(N1894)&lt;'Sollecitazioni nel paramento'!$G$58,ABS(N1894)*'Sollecitazioni nel paramento'!$G$54,'Sollecitazioni nel paramento'!$G$53)</f>
        <v>2245270.9727026257</v>
      </c>
      <c r="I1894" s="472">
        <f>-'Foglio deposito bis'!$F$82*(C1894-sezione!$AP$34)*IF(ABS(O1894)&lt;'Sollecitazioni nel paramento'!$G$58,ABS(O1894)*'Sollecitazioni nel paramento'!$G$54,'Sollecitazioni nel paramento'!$G$53)</f>
        <v>440644740.37468731</v>
      </c>
      <c r="J1894" s="472">
        <f t="shared" si="132"/>
        <v>-1350236.3176106215</v>
      </c>
      <c r="K1894" s="550">
        <f>'Sollecitazioni nel paramento'!$G$60*(sezione!$AL$34-C1894)/C1894</f>
        <v>-2.4953505694920494E-3</v>
      </c>
      <c r="L1894" s="550">
        <f>'Sollecitazioni nel paramento'!$G$60*(sezione!$AM$34-C1894)/C1894</f>
        <v>-1.9930258542380742E-3</v>
      </c>
      <c r="M1894" s="551">
        <f>'Sollecitazioni nel paramento'!$G$60*(sezione!$AN$34-C1894)/C1894</f>
        <v>-1.4907011389840988E-3</v>
      </c>
      <c r="N1894" s="551">
        <f>'Sollecitazioni nel paramento'!$G$60*(sezione!$AO$34-C1894)/C1894</f>
        <v>5.1859772203180238E-4</v>
      </c>
      <c r="O1894" s="551">
        <f>'Sollecitazioni nel paramento'!$G$60*(sezione!$AP$34-C1894)/C1894</f>
        <v>1.240057932766201E-2</v>
      </c>
      <c r="P1894" s="545">
        <f>-'Sollecitazioni nel paramento'!$G$47*'Sollecitazioni nel paramento'!$G$41*IF(DATI!$G$211="dx",DATI!$E$61,DATI!$E$64*DATI!$E$63)*1000*C1894*sezione!$AD$5</f>
        <v>-5308896.6539336434</v>
      </c>
      <c r="Q1894" s="545">
        <f>'Foglio deposito bis'!$F$78*IF(ABS(K1894)&lt;'Sollecitazioni nel paramento'!$G$58,ABS(K1894)*'Sollecitazioni nel paramento'!$G$54,'Sollecitazioni nel paramento'!$G$53)*IF(K1894&lt;0,-1,1)</f>
        <v>0</v>
      </c>
      <c r="R1894" s="545">
        <f>'Foglio deposito bis'!$F$79*IF(ABS(L1894)&lt;'Sollecitazioni nel paramento'!$G$58,ABS(L1894)*'Sollecitazioni nel paramento'!$G$54,'Sollecitazioni nel paramento'!$G$53)*IF(L1894&lt;0,-1,1)</f>
        <v>-153664.85805602249</v>
      </c>
      <c r="S1894" s="545">
        <f>'Foglio deposito bis'!$F$80*IF(ABS(M1894)&lt;'Sollecitazioni nel paramento'!$G$58,ABS(M1894)*'Sollecitazioni nel paramento'!$G$54,'Sollecitazioni nel paramento'!$G$53)*IF(M1894&lt;0,-1,1)</f>
        <v>0</v>
      </c>
      <c r="T1894" s="545">
        <f>'Foglio deposito bis'!$F$81*IF(ABS(N1894)&lt;'Sollecitazioni nel paramento'!$G$58,ABS(N1894)*'Sollecitazioni nel paramento'!$G$54,'Sollecitazioni nel paramento'!$G$53)*IF(N1894&lt;0,-1,1)</f>
        <v>108740.84614294721</v>
      </c>
      <c r="U1894" s="545">
        <f>'Foglio deposito bis'!$F$82*IF(ABS(O1894)&lt;'Sollecitazioni nel paramento'!$G$58,ABS(O1894)*'Sollecitazioni nel paramento'!$G$54,'Sollecitazioni nel paramento'!$G$53)*IF(O1894&lt;0,-1,1)</f>
        <v>892485.49558937876</v>
      </c>
      <c r="V1894" s="472">
        <f t="shared" si="134"/>
        <v>-4461335.1702573393</v>
      </c>
      <c r="W1894" s="551"/>
      <c r="X1894" s="551"/>
    </row>
    <row r="1895" spans="1:24" x14ac:dyDescent="0.25">
      <c r="A1895" s="545">
        <f t="shared" si="133"/>
        <v>4541605.1502858214</v>
      </c>
      <c r="B1895" s="3">
        <f t="shared" si="131"/>
        <v>15.499999999999966</v>
      </c>
      <c r="C1895" s="545">
        <f>'Foglio deposito bis'!$E$160/sezione!$B$247*B1895</f>
        <v>141.17368810707219</v>
      </c>
      <c r="D1895" s="603">
        <f>-'Sollecitazioni nel paramento'!$G$47*'Sollecitazioni nel paramento'!$G$41*IF(DATI!$G$211="dx",DATI!$E$61,DATI!$E$64*DATI!$E$63)*1000*C1895^2*sezione!$AD$5*(1-sezione!$AD$6)</f>
        <v>-443415781.88219291</v>
      </c>
      <c r="E1895" s="545">
        <f>-'Foglio deposito bis'!$F$78*(C1895-sezione!$AL$34)*IF(ABS(K1895)&lt;'Sollecitazioni nel paramento'!$G$58,ABS(K1895)*'Sollecitazioni nel paramento'!$G$54,'Sollecitazioni nel paramento'!$G$53)</f>
        <v>0</v>
      </c>
      <c r="F1895" s="545">
        <f>-'Foglio deposito bis'!$F$79*(C1895-sezione!$AM$34)*IF(ABS(L1895)&lt;'Sollecitazioni nel paramento'!$G$58,ABS(L1895)*'Sollecitazioni nel paramento'!$G$54,'Sollecitazioni nel paramento'!$G$53)</f>
        <v>-12473543.26085709</v>
      </c>
      <c r="G1895" s="545">
        <f>-'Foglio deposito bis'!$F$80*(C1895-sezione!$AN$34)*IF(ABS(M1895)&lt;'Sollecitazioni nel paramento'!$G$58,ABS(M1895)*'Sollecitazioni nel paramento'!$G$54,'Sollecitazioni nel paramento'!$G$53)</f>
        <v>0</v>
      </c>
      <c r="H1895" s="545">
        <f>-'Foglio deposito bis'!$F$81*(C1895-sezione!$AO$34)*IF(ABS(N1895)&lt;'Sollecitazioni nel paramento'!$G$58,ABS(N1895)*'Sollecitazioni nel paramento'!$G$54,'Sollecitazioni nel paramento'!$G$53)</f>
        <v>1842497.4081337217</v>
      </c>
      <c r="I1895" s="472">
        <f>-'Foglio deposito bis'!$F$82*(C1895-sezione!$AP$34)*IF(ABS(O1895)&lt;'Sollecitazioni nel paramento'!$G$58,ABS(O1895)*'Sollecitazioni nel paramento'!$G$54,'Sollecitazioni nel paramento'!$G$53)</f>
        <v>439018992.38766259</v>
      </c>
      <c r="J1895" s="472">
        <f t="shared" si="132"/>
        <v>-15027835.34725368</v>
      </c>
      <c r="K1895" s="550">
        <f>'Sollecitazioni nel paramento'!$G$60*(sezione!$AL$34-C1895)/C1895</f>
        <v>-2.5083137879502167E-3</v>
      </c>
      <c r="L1895" s="550">
        <f>'Sollecitazioni nel paramento'!$G$60*(sezione!$AM$34-C1895)/C1895</f>
        <v>-2.0124706819253249E-3</v>
      </c>
      <c r="M1895" s="551">
        <f>'Sollecitazioni nel paramento'!$G$60*(sezione!$AN$34-C1895)/C1895</f>
        <v>-1.516627575900433E-3</v>
      </c>
      <c r="N1895" s="551">
        <f>'Sollecitazioni nel paramento'!$G$60*(sezione!$AO$34-C1895)/C1895</f>
        <v>4.6674484819913409E-4</v>
      </c>
      <c r="O1895" s="551">
        <f>'Sollecitazioni nel paramento'!$G$60*(sezione!$AP$34-C1895)/C1895</f>
        <v>1.2195410562143792E-2</v>
      </c>
      <c r="P1895" s="545">
        <f>-'Sollecitazioni nel paramento'!$G$47*'Sollecitazioni nel paramento'!$G$41*IF(DATI!$G$211="dx",DATI!$E$61,DATI!$E$64*DATI!$E$63)*1000*C1895*sezione!$AD$5</f>
        <v>-5378293.995815129</v>
      </c>
      <c r="Q1895" s="545">
        <f>'Foglio deposito bis'!$F$78*IF(ABS(K1895)&lt;'Sollecitazioni nel paramento'!$G$58,ABS(K1895)*'Sollecitazioni nel paramento'!$G$54,'Sollecitazioni nel paramento'!$G$53)*IF(K1895&lt;0,-1,1)</f>
        <v>0</v>
      </c>
      <c r="R1895" s="545">
        <f>'Foglio deposito bis'!$F$79*IF(ABS(L1895)&lt;'Sollecitazioni nel paramento'!$G$58,ABS(L1895)*'Sollecitazioni nel paramento'!$G$54,'Sollecitazioni nel paramento'!$G$53)*IF(L1895&lt;0,-1,1)</f>
        <v>-153664.85805602249</v>
      </c>
      <c r="S1895" s="545">
        <f>'Foglio deposito bis'!$F$80*IF(ABS(M1895)&lt;'Sollecitazioni nel paramento'!$G$58,ABS(M1895)*'Sollecitazioni nel paramento'!$G$54,'Sollecitazioni nel paramento'!$G$53)*IF(M1895&lt;0,-1,1)</f>
        <v>0</v>
      </c>
      <c r="T1895" s="545">
        <f>'Foglio deposito bis'!$F$81*IF(ABS(N1895)&lt;'Sollecitazioni nel paramento'!$G$58,ABS(N1895)*'Sollecitazioni nel paramento'!$G$54,'Sollecitazioni nel paramento'!$G$53)*IF(N1895&lt;0,-1,1)</f>
        <v>97868.207995951903</v>
      </c>
      <c r="U1895" s="545">
        <f>'Foglio deposito bis'!$F$82*IF(ABS(O1895)&lt;'Sollecitazioni nel paramento'!$G$58,ABS(O1895)*'Sollecitazioni nel paramento'!$G$54,'Sollecitazioni nel paramento'!$G$53)*IF(O1895&lt;0,-1,1)</f>
        <v>892485.49558937876</v>
      </c>
      <c r="V1895" s="472">
        <f t="shared" si="134"/>
        <v>-4541605.1502858214</v>
      </c>
      <c r="W1895" s="551"/>
      <c r="X1895" s="551"/>
    </row>
    <row r="1896" spans="1:24" x14ac:dyDescent="0.25">
      <c r="A1896" s="545">
        <f t="shared" si="133"/>
        <v>4621598.1204252075</v>
      </c>
      <c r="B1896" s="3">
        <f t="shared" si="131"/>
        <v>15.699999999999966</v>
      </c>
      <c r="C1896" s="545">
        <f>'Foglio deposito bis'!$E$160/sezione!$B$247*B1896</f>
        <v>142.99528408264734</v>
      </c>
      <c r="D1896" s="603">
        <f>-'Sollecitazioni nel paramento'!$G$47*'Sollecitazioni nel paramento'!$G$41*IF(DATI!$G$211="dx",DATI!$E$61,DATI!$E$64*DATI!$E$63)*1000*C1896^2*sezione!$AD$5*(1-sezione!$AD$6)</f>
        <v>-454932595.53024668</v>
      </c>
      <c r="E1896" s="545">
        <f>-'Foglio deposito bis'!$F$78*(C1896-sezione!$AL$34)*IF(ABS(K1896)&lt;'Sollecitazioni nel paramento'!$G$58,ABS(K1896)*'Sollecitazioni nel paramento'!$G$54,'Sollecitazioni nel paramento'!$G$53)</f>
        <v>0</v>
      </c>
      <c r="F1896" s="545">
        <f>-'Foglio deposito bis'!$F$79*(C1896-sezione!$AM$34)*IF(ABS(L1896)&lt;'Sollecitazioni nel paramento'!$G$58,ABS(L1896)*'Sollecitazioni nel paramento'!$G$54,'Sollecitazioni nel paramento'!$G$53)</f>
        <v>-12753458.547879267</v>
      </c>
      <c r="G1896" s="545">
        <f>-'Foglio deposito bis'!$F$80*(C1896-sezione!$AN$34)*IF(ABS(M1896)&lt;'Sollecitazioni nel paramento'!$G$58,ABS(M1896)*'Sollecitazioni nel paramento'!$G$54,'Sollecitazioni nel paramento'!$G$53)</f>
        <v>0</v>
      </c>
      <c r="H1896" s="545">
        <f>-'Foglio deposito bis'!$F$81*(C1896-sezione!$AO$34)*IF(ABS(N1896)&lt;'Sollecitazioni nel paramento'!$G$58,ABS(N1896)*'Sollecitazioni nel paramento'!$G$54,'Sollecitazioni nel paramento'!$G$53)</f>
        <v>1484045.4258200794</v>
      </c>
      <c r="I1896" s="472">
        <f>-'Foglio deposito bis'!$F$82*(C1896-sezione!$AP$34)*IF(ABS(O1896)&lt;'Sollecitazioni nel paramento'!$G$58,ABS(O1896)*'Sollecitazioni nel paramento'!$G$54,'Sollecitazioni nel paramento'!$G$53)</f>
        <v>437393244.40063775</v>
      </c>
      <c r="J1896" s="472">
        <f t="shared" si="132"/>
        <v>-28808764.251668155</v>
      </c>
      <c r="K1896" s="550">
        <f>'Sollecitazioni nel paramento'!$G$60*(sezione!$AL$34-C1896)/C1896</f>
        <v>-2.5209467333266473E-3</v>
      </c>
      <c r="L1896" s="550">
        <f>'Sollecitazioni nel paramento'!$G$60*(sezione!$AM$34-C1896)/C1896</f>
        <v>-2.0314200999899707E-3</v>
      </c>
      <c r="M1896" s="551">
        <f>'Sollecitazioni nel paramento'!$G$60*(sezione!$AN$34-C1896)/C1896</f>
        <v>-1.541893466653294E-3</v>
      </c>
      <c r="N1896" s="551">
        <f>'Sollecitazioni nel paramento'!$G$60*(sezione!$AO$34-C1896)/C1896</f>
        <v>4.1621306669341199E-4</v>
      </c>
      <c r="O1896" s="551">
        <f>'Sollecitazioni nel paramento'!$G$60*(sezione!$AP$34-C1896)/C1896</f>
        <v>1.1995469026320302E-2</v>
      </c>
      <c r="P1896" s="545">
        <f>-'Sollecitazioni nel paramento'!$G$47*'Sollecitazioni nel paramento'!$G$41*IF(DATI!$G$211="dx",DATI!$E$61,DATI!$E$64*DATI!$E$63)*1000*C1896*sezione!$AD$5</f>
        <v>-5447691.3376966147</v>
      </c>
      <c r="Q1896" s="545">
        <f>'Foglio deposito bis'!$F$78*IF(ABS(K1896)&lt;'Sollecitazioni nel paramento'!$G$58,ABS(K1896)*'Sollecitazioni nel paramento'!$G$54,'Sollecitazioni nel paramento'!$G$53)*IF(K1896&lt;0,-1,1)</f>
        <v>0</v>
      </c>
      <c r="R1896" s="545">
        <f>'Foglio deposito bis'!$F$79*IF(ABS(L1896)&lt;'Sollecitazioni nel paramento'!$G$58,ABS(L1896)*'Sollecitazioni nel paramento'!$G$54,'Sollecitazioni nel paramento'!$G$53)*IF(L1896&lt;0,-1,1)</f>
        <v>-153664.85805602249</v>
      </c>
      <c r="S1896" s="545">
        <f>'Foglio deposito bis'!$F$80*IF(ABS(M1896)&lt;'Sollecitazioni nel paramento'!$G$58,ABS(M1896)*'Sollecitazioni nel paramento'!$G$54,'Sollecitazioni nel paramento'!$G$53)*IF(M1896&lt;0,-1,1)</f>
        <v>0</v>
      </c>
      <c r="T1896" s="545">
        <f>'Foglio deposito bis'!$F$81*IF(ABS(N1896)&lt;'Sollecitazioni nel paramento'!$G$58,ABS(N1896)*'Sollecitazioni nel paramento'!$G$54,'Sollecitazioni nel paramento'!$G$53)*IF(N1896&lt;0,-1,1)</f>
        <v>87272.579738051878</v>
      </c>
      <c r="U1896" s="545">
        <f>'Foglio deposito bis'!$F$82*IF(ABS(O1896)&lt;'Sollecitazioni nel paramento'!$G$58,ABS(O1896)*'Sollecitazioni nel paramento'!$G$54,'Sollecitazioni nel paramento'!$G$53)*IF(O1896&lt;0,-1,1)</f>
        <v>892485.49558937876</v>
      </c>
      <c r="V1896" s="472">
        <f t="shared" si="134"/>
        <v>-4621598.1204252075</v>
      </c>
      <c r="W1896" s="551"/>
      <c r="X1896" s="551"/>
    </row>
    <row r="1897" spans="1:24" x14ac:dyDescent="0.25">
      <c r="A1897" s="545">
        <f t="shared" si="133"/>
        <v>4701324.5338788591</v>
      </c>
      <c r="B1897" s="3">
        <f t="shared" si="131"/>
        <v>15.899999999999965</v>
      </c>
      <c r="C1897" s="545">
        <f>'Foglio deposito bis'!$E$160/sezione!$B$247*B1897</f>
        <v>144.81688005822247</v>
      </c>
      <c r="D1897" s="603">
        <f>-'Sollecitazioni nel paramento'!$G$47*'Sollecitazioni nel paramento'!$G$41*IF(DATI!$G$211="dx",DATI!$E$61,DATI!$E$64*DATI!$E$63)*1000*C1897^2*sezione!$AD$5*(1-sezione!$AD$6)</f>
        <v>-466597060.63532674</v>
      </c>
      <c r="E1897" s="545">
        <f>-'Foglio deposito bis'!$F$78*(C1897-sezione!$AL$34)*IF(ABS(K1897)&lt;'Sollecitazioni nel paramento'!$G$58,ABS(K1897)*'Sollecitazioni nel paramento'!$G$54,'Sollecitazioni nel paramento'!$G$53)</f>
        <v>0</v>
      </c>
      <c r="F1897" s="545">
        <f>-'Foglio deposito bis'!$F$79*(C1897-sezione!$AM$34)*IF(ABS(L1897)&lt;'Sollecitazioni nel paramento'!$G$58,ABS(L1897)*'Sollecitazioni nel paramento'!$G$54,'Sollecitazioni nel paramento'!$G$53)</f>
        <v>-13033373.834901439</v>
      </c>
      <c r="G1897" s="545">
        <f>-'Foglio deposito bis'!$F$80*(C1897-sezione!$AN$34)*IF(ABS(M1897)&lt;'Sollecitazioni nel paramento'!$G$58,ABS(M1897)*'Sollecitazioni nel paramento'!$G$54,'Sollecitazioni nel paramento'!$G$53)</f>
        <v>0</v>
      </c>
      <c r="H1897" s="545">
        <f>-'Foglio deposito bis'!$F$81*(C1897-sezione!$AO$34)*IF(ABS(N1897)&lt;'Sollecitazioni nel paramento'!$G$58,ABS(N1897)*'Sollecitazioni nel paramento'!$G$54,'Sollecitazioni nel paramento'!$G$53)</f>
        <v>1168242.5132237764</v>
      </c>
      <c r="I1897" s="472">
        <f>-'Foglio deposito bis'!$F$82*(C1897-sezione!$AP$34)*IF(ABS(O1897)&lt;'Sollecitazioni nel paramento'!$G$58,ABS(O1897)*'Sollecitazioni nel paramento'!$G$54,'Sollecitazioni nel paramento'!$G$53)</f>
        <v>435767496.41361296</v>
      </c>
      <c r="J1897" s="472">
        <f t="shared" si="132"/>
        <v>-42694695.543391466</v>
      </c>
      <c r="K1897" s="550">
        <f>'Sollecitazioni nel paramento'!$G$60*(sezione!$AL$34-C1897)/C1897</f>
        <v>-2.5332618687565005E-3</v>
      </c>
      <c r="L1897" s="550">
        <f>'Sollecitazioni nel paramento'!$G$60*(sezione!$AM$34-C1897)/C1897</f>
        <v>-2.0498928031347508E-3</v>
      </c>
      <c r="M1897" s="551">
        <f>'Sollecitazioni nel paramento'!$G$60*(sezione!$AN$34-C1897)/C1897</f>
        <v>-1.566523737513001E-3</v>
      </c>
      <c r="N1897" s="551">
        <f>'Sollecitazioni nel paramento'!$G$60*(sezione!$AO$34-C1897)/C1897</f>
        <v>3.6695252497399812E-4</v>
      </c>
      <c r="O1897" s="551">
        <f>'Sollecitazioni nel paramento'!$G$60*(sezione!$AP$34-C1897)/C1897</f>
        <v>1.1800557466240801E-2</v>
      </c>
      <c r="P1897" s="545">
        <f>-'Sollecitazioni nel paramento'!$G$47*'Sollecitazioni nel paramento'!$G$41*IF(DATI!$G$211="dx",DATI!$E$61,DATI!$E$64*DATI!$E$63)*1000*C1897*sezione!$AD$5</f>
        <v>-5517088.6795781003</v>
      </c>
      <c r="Q1897" s="545">
        <f>'Foglio deposito bis'!$F$78*IF(ABS(K1897)&lt;'Sollecitazioni nel paramento'!$G$58,ABS(K1897)*'Sollecitazioni nel paramento'!$G$54,'Sollecitazioni nel paramento'!$G$53)*IF(K1897&lt;0,-1,1)</f>
        <v>0</v>
      </c>
      <c r="R1897" s="545">
        <f>'Foglio deposito bis'!$F$79*IF(ABS(L1897)&lt;'Sollecitazioni nel paramento'!$G$58,ABS(L1897)*'Sollecitazioni nel paramento'!$G$54,'Sollecitazioni nel paramento'!$G$53)*IF(L1897&lt;0,-1,1)</f>
        <v>-153664.85805602249</v>
      </c>
      <c r="S1897" s="545">
        <f>'Foglio deposito bis'!$F$80*IF(ABS(M1897)&lt;'Sollecitazioni nel paramento'!$G$58,ABS(M1897)*'Sollecitazioni nel paramento'!$G$54,'Sollecitazioni nel paramento'!$G$53)*IF(M1897&lt;0,-1,1)</f>
        <v>0</v>
      </c>
      <c r="T1897" s="545">
        <f>'Foglio deposito bis'!$F$81*IF(ABS(N1897)&lt;'Sollecitazioni nel paramento'!$G$58,ABS(N1897)*'Sollecitazioni nel paramento'!$G$54,'Sollecitazioni nel paramento'!$G$53)*IF(N1897&lt;0,-1,1)</f>
        <v>76943.508165885345</v>
      </c>
      <c r="U1897" s="545">
        <f>'Foglio deposito bis'!$F$82*IF(ABS(O1897)&lt;'Sollecitazioni nel paramento'!$G$58,ABS(O1897)*'Sollecitazioni nel paramento'!$G$54,'Sollecitazioni nel paramento'!$G$53)*IF(O1897&lt;0,-1,1)</f>
        <v>892485.49558937876</v>
      </c>
      <c r="V1897" s="472">
        <f t="shared" si="134"/>
        <v>-4701324.5338788591</v>
      </c>
      <c r="W1897" s="551"/>
      <c r="X1897" s="551"/>
    </row>
    <row r="1898" spans="1:24" x14ac:dyDescent="0.25">
      <c r="A1898" s="545">
        <f t="shared" si="133"/>
        <v>4780794.324436307</v>
      </c>
      <c r="B1898" s="3">
        <f t="shared" si="131"/>
        <v>16.099999999999966</v>
      </c>
      <c r="C1898" s="545">
        <f>'Foglio deposito bis'!$E$160/sezione!$B$247*B1898</f>
        <v>146.63847603379759</v>
      </c>
      <c r="D1898" s="603">
        <f>-'Sollecitazioni nel paramento'!$G$47*'Sollecitazioni nel paramento'!$G$41*IF(DATI!$G$211="dx",DATI!$E$61,DATI!$E$64*DATI!$E$63)*1000*C1898^2*sezione!$AD$5*(1-sezione!$AD$6)</f>
        <v>-478409177.19743294</v>
      </c>
      <c r="E1898" s="545">
        <f>-'Foglio deposito bis'!$F$78*(C1898-sezione!$AL$34)*IF(ABS(K1898)&lt;'Sollecitazioni nel paramento'!$G$58,ABS(K1898)*'Sollecitazioni nel paramento'!$G$54,'Sollecitazioni nel paramento'!$G$53)</f>
        <v>0</v>
      </c>
      <c r="F1898" s="545">
        <f>-'Foglio deposito bis'!$F$79*(C1898-sezione!$AM$34)*IF(ABS(L1898)&lt;'Sollecitazioni nel paramento'!$G$58,ABS(L1898)*'Sollecitazioni nel paramento'!$G$54,'Sollecitazioni nel paramento'!$G$53)</f>
        <v>-13313289.121923612</v>
      </c>
      <c r="G1898" s="545">
        <f>-'Foglio deposito bis'!$F$80*(C1898-sezione!$AN$34)*IF(ABS(M1898)&lt;'Sollecitazioni nel paramento'!$G$58,ABS(M1898)*'Sollecitazioni nel paramento'!$G$54,'Sollecitazioni nel paramento'!$G$53)</f>
        <v>0</v>
      </c>
      <c r="H1898" s="545">
        <f>-'Foglio deposito bis'!$F$81*(C1898-sezione!$AO$34)*IF(ABS(N1898)&lt;'Sollecitazioni nel paramento'!$G$58,ABS(N1898)*'Sollecitazioni nel paramento'!$G$54,'Sollecitazioni nel paramento'!$G$53)</f>
        <v>893499.26401993586</v>
      </c>
      <c r="I1898" s="472">
        <f>-'Foglio deposito bis'!$F$82*(C1898-sezione!$AP$34)*IF(ABS(O1898)&lt;'Sollecitazioni nel paramento'!$G$58,ABS(O1898)*'Sollecitazioni nel paramento'!$G$54,'Sollecitazioni nel paramento'!$G$53)</f>
        <v>434141748.42658824</v>
      </c>
      <c r="J1898" s="472">
        <f t="shared" si="132"/>
        <v>-56687218.628748417</v>
      </c>
      <c r="K1898" s="550">
        <f>'Sollecitazioni nel paramento'!$G$60*(sezione!$AL$34-C1898)/C1898</f>
        <v>-2.5452710380887179E-3</v>
      </c>
      <c r="L1898" s="550">
        <f>'Sollecitazioni nel paramento'!$G$60*(sezione!$AM$34-C1898)/C1898</f>
        <v>-2.0679065571330771E-3</v>
      </c>
      <c r="M1898" s="551">
        <f>'Sollecitazioni nel paramento'!$G$60*(sezione!$AN$34-C1898)/C1898</f>
        <v>-1.5905420761774356E-3</v>
      </c>
      <c r="N1898" s="551">
        <f>'Sollecitazioni nel paramento'!$G$60*(sezione!$AO$34-C1898)/C1898</f>
        <v>3.1891584764512864E-4</v>
      </c>
      <c r="O1898" s="551">
        <f>'Sollecitazioni nel paramento'!$G$60*(sezione!$AP$34-C1898)/C1898</f>
        <v>1.1610488429393089E-2</v>
      </c>
      <c r="P1898" s="545">
        <f>-'Sollecitazioni nel paramento'!$G$47*'Sollecitazioni nel paramento'!$G$41*IF(DATI!$G$211="dx",DATI!$E$61,DATI!$E$64*DATI!$E$63)*1000*C1898*sezione!$AD$5</f>
        <v>-5586486.0214595851</v>
      </c>
      <c r="Q1898" s="545">
        <f>'Foglio deposito bis'!$F$78*IF(ABS(K1898)&lt;'Sollecitazioni nel paramento'!$G$58,ABS(K1898)*'Sollecitazioni nel paramento'!$G$54,'Sollecitazioni nel paramento'!$G$53)*IF(K1898&lt;0,-1,1)</f>
        <v>0</v>
      </c>
      <c r="R1898" s="545">
        <f>'Foglio deposito bis'!$F$79*IF(ABS(L1898)&lt;'Sollecitazioni nel paramento'!$G$58,ABS(L1898)*'Sollecitazioni nel paramento'!$G$54,'Sollecitazioni nel paramento'!$G$53)*IF(L1898&lt;0,-1,1)</f>
        <v>-153664.85805602249</v>
      </c>
      <c r="S1898" s="545">
        <f>'Foglio deposito bis'!$F$80*IF(ABS(M1898)&lt;'Sollecitazioni nel paramento'!$G$58,ABS(M1898)*'Sollecitazioni nel paramento'!$G$54,'Sollecitazioni nel paramento'!$G$53)*IF(M1898&lt;0,-1,1)</f>
        <v>0</v>
      </c>
      <c r="T1898" s="545">
        <f>'Foglio deposito bis'!$F$81*IF(ABS(N1898)&lt;'Sollecitazioni nel paramento'!$G$58,ABS(N1898)*'Sollecitazioni nel paramento'!$G$54,'Sollecitazioni nel paramento'!$G$53)*IF(N1898&lt;0,-1,1)</f>
        <v>66871.059489921681</v>
      </c>
      <c r="U1898" s="545">
        <f>'Foglio deposito bis'!$F$82*IF(ABS(O1898)&lt;'Sollecitazioni nel paramento'!$G$58,ABS(O1898)*'Sollecitazioni nel paramento'!$G$54,'Sollecitazioni nel paramento'!$G$53)*IF(O1898&lt;0,-1,1)</f>
        <v>892485.49558937876</v>
      </c>
      <c r="V1898" s="472">
        <f t="shared" si="134"/>
        <v>-4780794.324436307</v>
      </c>
      <c r="W1898" s="551"/>
      <c r="X1898" s="551"/>
    </row>
    <row r="1899" spans="1:24" x14ac:dyDescent="0.25">
      <c r="A1899" s="545">
        <f t="shared" si="133"/>
        <v>4860016.938339131</v>
      </c>
      <c r="B1899" s="3">
        <f t="shared" si="131"/>
        <v>16.299999999999965</v>
      </c>
      <c r="C1899" s="545">
        <f>'Foglio deposito bis'!$E$160/sezione!$B$247*B1899</f>
        <v>148.46007200937271</v>
      </c>
      <c r="D1899" s="603">
        <f>-'Sollecitazioni nel paramento'!$G$47*'Sollecitazioni nel paramento'!$G$41*IF(DATI!$G$211="dx",DATI!$E$61,DATI!$E$64*DATI!$E$63)*1000*C1899^2*sezione!$AD$5*(1-sezione!$AD$6)</f>
        <v>-490368945.21656555</v>
      </c>
      <c r="E1899" s="545">
        <f>-'Foglio deposito bis'!$F$78*(C1899-sezione!$AL$34)*IF(ABS(K1899)&lt;'Sollecitazioni nel paramento'!$G$58,ABS(K1899)*'Sollecitazioni nel paramento'!$G$54,'Sollecitazioni nel paramento'!$G$53)</f>
        <v>0</v>
      </c>
      <c r="F1899" s="545">
        <f>-'Foglio deposito bis'!$F$79*(C1899-sezione!$AM$34)*IF(ABS(L1899)&lt;'Sollecitazioni nel paramento'!$G$58,ABS(L1899)*'Sollecitazioni nel paramento'!$G$54,'Sollecitazioni nel paramento'!$G$53)</f>
        <v>-13593204.408945786</v>
      </c>
      <c r="G1899" s="545">
        <f>-'Foglio deposito bis'!$F$80*(C1899-sezione!$AN$34)*IF(ABS(M1899)&lt;'Sollecitazioni nel paramento'!$G$58,ABS(M1899)*'Sollecitazioni nel paramento'!$G$54,'Sollecitazioni nel paramento'!$G$53)</f>
        <v>0</v>
      </c>
      <c r="H1899" s="545">
        <f>-'Foglio deposito bis'!$F$81*(C1899-sezione!$AO$34)*IF(ABS(N1899)&lt;'Sollecitazioni nel paramento'!$G$58,ABS(N1899)*'Sollecitazioni nel paramento'!$G$54,'Sollecitazioni nel paramento'!$G$53)</f>
        <v>658304.27955607558</v>
      </c>
      <c r="I1899" s="472">
        <f>-'Foglio deposito bis'!$F$82*(C1899-sezione!$AP$34)*IF(ABS(O1899)&lt;'Sollecitazioni nel paramento'!$G$58,ABS(O1899)*'Sollecitazioni nel paramento'!$G$54,'Sollecitazioni nel paramento'!$G$53)</f>
        <v>432516000.43956339</v>
      </c>
      <c r="J1899" s="472">
        <f t="shared" si="132"/>
        <v>-70787844.906391859</v>
      </c>
      <c r="K1899" s="550">
        <f>'Sollecitazioni nel paramento'!$G$60*(sezione!$AL$34-C1899)/C1899</f>
        <v>-2.55698550387904E-3</v>
      </c>
      <c r="L1899" s="550">
        <f>'Sollecitazioni nel paramento'!$G$60*(sezione!$AM$34-C1899)/C1899</f>
        <v>-2.0854782558185608E-3</v>
      </c>
      <c r="M1899" s="551">
        <f>'Sollecitazioni nel paramento'!$G$60*(sezione!$AN$34-C1899)/C1899</f>
        <v>-1.6139710077580805E-3</v>
      </c>
      <c r="N1899" s="551">
        <f>'Sollecitazioni nel paramento'!$G$60*(sezione!$AO$34-C1899)/C1899</f>
        <v>2.7205798448383888E-4</v>
      </c>
      <c r="O1899" s="551">
        <f>'Sollecitazioni nel paramento'!$G$60*(sezione!$AP$34-C1899)/C1899</f>
        <v>1.1425083663388267E-2</v>
      </c>
      <c r="P1899" s="545">
        <f>-'Sollecitazioni nel paramento'!$G$47*'Sollecitazioni nel paramento'!$G$41*IF(DATI!$G$211="dx",DATI!$E$61,DATI!$E$64*DATI!$E$63)*1000*C1899*sezione!$AD$5</f>
        <v>-5655883.3633410707</v>
      </c>
      <c r="Q1899" s="545">
        <f>'Foglio deposito bis'!$F$78*IF(ABS(K1899)&lt;'Sollecitazioni nel paramento'!$G$58,ABS(K1899)*'Sollecitazioni nel paramento'!$G$54,'Sollecitazioni nel paramento'!$G$53)*IF(K1899&lt;0,-1,1)</f>
        <v>0</v>
      </c>
      <c r="R1899" s="545">
        <f>'Foglio deposito bis'!$F$79*IF(ABS(L1899)&lt;'Sollecitazioni nel paramento'!$G$58,ABS(L1899)*'Sollecitazioni nel paramento'!$G$54,'Sollecitazioni nel paramento'!$G$53)*IF(L1899&lt;0,-1,1)</f>
        <v>-153664.85805602249</v>
      </c>
      <c r="S1899" s="545">
        <f>'Foglio deposito bis'!$F$80*IF(ABS(M1899)&lt;'Sollecitazioni nel paramento'!$G$58,ABS(M1899)*'Sollecitazioni nel paramento'!$G$54,'Sollecitazioni nel paramento'!$G$53)*IF(M1899&lt;0,-1,1)</f>
        <v>0</v>
      </c>
      <c r="T1899" s="545">
        <f>'Foglio deposito bis'!$F$81*IF(ABS(N1899)&lt;'Sollecitazioni nel paramento'!$G$58,ABS(N1899)*'Sollecitazioni nel paramento'!$G$54,'Sollecitazioni nel paramento'!$G$53)*IF(N1899&lt;0,-1,1)</f>
        <v>57045.787468582923</v>
      </c>
      <c r="U1899" s="545">
        <f>'Foglio deposito bis'!$F$82*IF(ABS(O1899)&lt;'Sollecitazioni nel paramento'!$G$58,ABS(O1899)*'Sollecitazioni nel paramento'!$G$54,'Sollecitazioni nel paramento'!$G$53)*IF(O1899&lt;0,-1,1)</f>
        <v>892485.49558937876</v>
      </c>
      <c r="V1899" s="472">
        <f t="shared" si="134"/>
        <v>-4860016.938339131</v>
      </c>
      <c r="W1899" s="551"/>
      <c r="X1899" s="551"/>
    </row>
    <row r="1900" spans="1:24" x14ac:dyDescent="0.25">
      <c r="A1900" s="545">
        <f t="shared" si="133"/>
        <v>4939001.3638293184</v>
      </c>
      <c r="B1900" s="3">
        <f t="shared" si="131"/>
        <v>16.499999999999964</v>
      </c>
      <c r="C1900" s="545">
        <f>'Foglio deposito bis'!$E$160/sezione!$B$247*B1900</f>
        <v>150.28166798494783</v>
      </c>
      <c r="D1900" s="603">
        <f>-'Sollecitazioni nel paramento'!$G$47*'Sollecitazioni nel paramento'!$G$41*IF(DATI!$G$211="dx",DATI!$E$61,DATI!$E$64*DATI!$E$63)*1000*C1900^2*sezione!$AD$5*(1-sezione!$AD$6)</f>
        <v>-502476364.69272447</v>
      </c>
      <c r="E1900" s="545">
        <f>-'Foglio deposito bis'!$F$78*(C1900-sezione!$AL$34)*IF(ABS(K1900)&lt;'Sollecitazioni nel paramento'!$G$58,ABS(K1900)*'Sollecitazioni nel paramento'!$G$54,'Sollecitazioni nel paramento'!$G$53)</f>
        <v>0</v>
      </c>
      <c r="F1900" s="545">
        <f>-'Foglio deposito bis'!$F$79*(C1900-sezione!$AM$34)*IF(ABS(L1900)&lt;'Sollecitazioni nel paramento'!$G$58,ABS(L1900)*'Sollecitazioni nel paramento'!$G$54,'Sollecitazioni nel paramento'!$G$53)</f>
        <v>-13873119.695967959</v>
      </c>
      <c r="G1900" s="545">
        <f>-'Foglio deposito bis'!$F$80*(C1900-sezione!$AN$34)*IF(ABS(M1900)&lt;'Sollecitazioni nel paramento'!$G$58,ABS(M1900)*'Sollecitazioni nel paramento'!$G$54,'Sollecitazioni nel paramento'!$G$53)</f>
        <v>0</v>
      </c>
      <c r="H1900" s="545">
        <f>-'Foglio deposito bis'!$F$81*(C1900-sezione!$AO$34)*IF(ABS(N1900)&lt;'Sollecitazioni nel paramento'!$G$58,ABS(N1900)*'Sollecitazioni nel paramento'!$G$54,'Sollecitazioni nel paramento'!$G$53)</f>
        <v>461219.44111437758</v>
      </c>
      <c r="I1900" s="472">
        <f>-'Foglio deposito bis'!$F$82*(C1900-sezione!$AP$34)*IF(ABS(O1900)&lt;'Sollecitazioni nel paramento'!$G$58,ABS(O1900)*'Sollecitazioni nel paramento'!$G$54,'Sollecitazioni nel paramento'!$G$53)</f>
        <v>430890252.45253861</v>
      </c>
      <c r="J1900" s="472">
        <f t="shared" si="132"/>
        <v>-84998012.495039463</v>
      </c>
      <c r="K1900" s="550">
        <f>'Sollecitazioni nel paramento'!$G$60*(sezione!$AL$34-C1900)/C1900</f>
        <v>-2.5684159826199001E-3</v>
      </c>
      <c r="L1900" s="550">
        <f>'Sollecitazioni nel paramento'!$G$60*(sezione!$AM$34-C1900)/C1900</f>
        <v>-2.1026239739298509E-3</v>
      </c>
      <c r="M1900" s="551">
        <f>'Sollecitazioni nel paramento'!$G$60*(sezione!$AN$34-C1900)/C1900</f>
        <v>-1.6368319652398007E-3</v>
      </c>
      <c r="N1900" s="551">
        <f>'Sollecitazioni nel paramento'!$G$60*(sezione!$AO$34-C1900)/C1900</f>
        <v>2.2633606952039849E-4</v>
      </c>
      <c r="O1900" s="551">
        <f>'Sollecitazioni nel paramento'!$G$60*(sezione!$AP$34-C1900)/C1900</f>
        <v>1.12441735583775E-2</v>
      </c>
      <c r="P1900" s="545">
        <f>-'Sollecitazioni nel paramento'!$G$47*'Sollecitazioni nel paramento'!$G$41*IF(DATI!$G$211="dx",DATI!$E$61,DATI!$E$64*DATI!$E$63)*1000*C1900*sezione!$AD$5</f>
        <v>-5725280.7052225564</v>
      </c>
      <c r="Q1900" s="545">
        <f>'Foglio deposito bis'!$F$78*IF(ABS(K1900)&lt;'Sollecitazioni nel paramento'!$G$58,ABS(K1900)*'Sollecitazioni nel paramento'!$G$54,'Sollecitazioni nel paramento'!$G$53)*IF(K1900&lt;0,-1,1)</f>
        <v>0</v>
      </c>
      <c r="R1900" s="545">
        <f>'Foglio deposito bis'!$F$79*IF(ABS(L1900)&lt;'Sollecitazioni nel paramento'!$G$58,ABS(L1900)*'Sollecitazioni nel paramento'!$G$54,'Sollecitazioni nel paramento'!$G$53)*IF(L1900&lt;0,-1,1)</f>
        <v>-153664.85805602249</v>
      </c>
      <c r="S1900" s="545">
        <f>'Foglio deposito bis'!$F$80*IF(ABS(M1900)&lt;'Sollecitazioni nel paramento'!$G$58,ABS(M1900)*'Sollecitazioni nel paramento'!$G$54,'Sollecitazioni nel paramento'!$G$53)*IF(M1900&lt;0,-1,1)</f>
        <v>0</v>
      </c>
      <c r="T1900" s="545">
        <f>'Foglio deposito bis'!$F$81*IF(ABS(N1900)&lt;'Sollecitazioni nel paramento'!$G$58,ABS(N1900)*'Sollecitazioni nel paramento'!$G$54,'Sollecitazioni nel paramento'!$G$53)*IF(N1900&lt;0,-1,1)</f>
        <v>47458.703859882655</v>
      </c>
      <c r="U1900" s="545">
        <f>'Foglio deposito bis'!$F$82*IF(ABS(O1900)&lt;'Sollecitazioni nel paramento'!$G$58,ABS(O1900)*'Sollecitazioni nel paramento'!$G$54,'Sollecitazioni nel paramento'!$G$53)*IF(O1900&lt;0,-1,1)</f>
        <v>892485.49558937876</v>
      </c>
      <c r="V1900" s="472">
        <f t="shared" si="134"/>
        <v>-4939001.3638293184</v>
      </c>
      <c r="W1900" s="551"/>
      <c r="X1900" s="551"/>
    </row>
    <row r="1901" spans="1:24" x14ac:dyDescent="0.25">
      <c r="A1901" s="545">
        <f t="shared" si="133"/>
        <v>5017756.1585743837</v>
      </c>
      <c r="B1901" s="3">
        <f t="shared" si="131"/>
        <v>16.699999999999964</v>
      </c>
      <c r="C1901" s="545">
        <f>'Foglio deposito bis'!$E$160/sezione!$B$247*B1901</f>
        <v>152.10326396052295</v>
      </c>
      <c r="D1901" s="603">
        <f>-'Sollecitazioni nel paramento'!$G$47*'Sollecitazioni nel paramento'!$G$41*IF(DATI!$G$211="dx",DATI!$E$61,DATI!$E$64*DATI!$E$63)*1000*C1901^2*sezione!$AD$5*(1-sezione!$AD$6)</f>
        <v>-514731435.62590969</v>
      </c>
      <c r="E1901" s="545">
        <f>-'Foglio deposito bis'!$F$78*(C1901-sezione!$AL$34)*IF(ABS(K1901)&lt;'Sollecitazioni nel paramento'!$G$58,ABS(K1901)*'Sollecitazioni nel paramento'!$G$54,'Sollecitazioni nel paramento'!$G$53)</f>
        <v>0</v>
      </c>
      <c r="F1901" s="545">
        <f>-'Foglio deposito bis'!$F$79*(C1901-sezione!$AM$34)*IF(ABS(L1901)&lt;'Sollecitazioni nel paramento'!$G$58,ABS(L1901)*'Sollecitazioni nel paramento'!$G$54,'Sollecitazioni nel paramento'!$G$53)</f>
        <v>-14153034.982990131</v>
      </c>
      <c r="G1901" s="545">
        <f>-'Foglio deposito bis'!$F$80*(C1901-sezione!$AN$34)*IF(ABS(M1901)&lt;'Sollecitazioni nel paramento'!$G$58,ABS(M1901)*'Sollecitazioni nel paramento'!$G$54,'Sollecitazioni nel paramento'!$G$53)</f>
        <v>0</v>
      </c>
      <c r="H1901" s="545">
        <f>-'Foglio deposito bis'!$F$81*(C1901-sezione!$AO$34)*IF(ABS(N1901)&lt;'Sollecitazioni nel paramento'!$G$58,ABS(N1901)*'Sollecitazioni nel paramento'!$G$54,'Sollecitazioni nel paramento'!$G$53)</f>
        <v>300875.52189165063</v>
      </c>
      <c r="I1901" s="472">
        <f>-'Foglio deposito bis'!$F$82*(C1901-sezione!$AP$34)*IF(ABS(O1901)&lt;'Sollecitazioni nel paramento'!$G$58,ABS(O1901)*'Sollecitazioni nel paramento'!$G$54,'Sollecitazioni nel paramento'!$G$53)</f>
        <v>429264504.46551389</v>
      </c>
      <c r="J1901" s="472">
        <f t="shared" si="132"/>
        <v>-99319090.621494293</v>
      </c>
      <c r="K1901" s="550">
        <f>'Sollecitazioni nel paramento'!$G$60*(sezione!$AL$34-C1901)/C1901</f>
        <v>-2.5795726774388238E-3</v>
      </c>
      <c r="L1901" s="550">
        <f>'Sollecitazioni nel paramento'!$G$60*(sezione!$AM$34-C1901)/C1901</f>
        <v>-2.1193590161582357E-3</v>
      </c>
      <c r="M1901" s="551">
        <f>'Sollecitazioni nel paramento'!$G$60*(sezione!$AN$34-C1901)/C1901</f>
        <v>-1.6591453548776476E-3</v>
      </c>
      <c r="N1901" s="551">
        <f>'Sollecitazioni nel paramento'!$G$60*(sezione!$AO$34-C1901)/C1901</f>
        <v>1.8170929024470517E-4</v>
      </c>
      <c r="O1901" s="551">
        <f>'Sollecitazioni nel paramento'!$G$60*(sezione!$AP$34-C1901)/C1901</f>
        <v>1.1067596629534656E-2</v>
      </c>
      <c r="P1901" s="545">
        <f>-'Sollecitazioni nel paramento'!$G$47*'Sollecitazioni nel paramento'!$G$41*IF(DATI!$G$211="dx",DATI!$E$61,DATI!$E$64*DATI!$E$63)*1000*C1901*sezione!$AD$5</f>
        <v>-5794678.0471040411</v>
      </c>
      <c r="Q1901" s="545">
        <f>'Foglio deposito bis'!$F$78*IF(ABS(K1901)&lt;'Sollecitazioni nel paramento'!$G$58,ABS(K1901)*'Sollecitazioni nel paramento'!$G$54,'Sollecitazioni nel paramento'!$G$53)*IF(K1901&lt;0,-1,1)</f>
        <v>0</v>
      </c>
      <c r="R1901" s="545">
        <f>'Foglio deposito bis'!$F$79*IF(ABS(L1901)&lt;'Sollecitazioni nel paramento'!$G$58,ABS(L1901)*'Sollecitazioni nel paramento'!$G$54,'Sollecitazioni nel paramento'!$G$53)*IF(L1901&lt;0,-1,1)</f>
        <v>-153664.85805602249</v>
      </c>
      <c r="S1901" s="545">
        <f>'Foglio deposito bis'!$F$80*IF(ABS(M1901)&lt;'Sollecitazioni nel paramento'!$G$58,ABS(M1901)*'Sollecitazioni nel paramento'!$G$54,'Sollecitazioni nel paramento'!$G$53)*IF(M1901&lt;0,-1,1)</f>
        <v>0</v>
      </c>
      <c r="T1901" s="545">
        <f>'Foglio deposito bis'!$F$81*IF(ABS(N1901)&lt;'Sollecitazioni nel paramento'!$G$58,ABS(N1901)*'Sollecitazioni nel paramento'!$G$54,'Sollecitazioni nel paramento'!$G$53)*IF(N1901&lt;0,-1,1)</f>
        <v>38101.250996300965</v>
      </c>
      <c r="U1901" s="545">
        <f>'Foglio deposito bis'!$F$82*IF(ABS(O1901)&lt;'Sollecitazioni nel paramento'!$G$58,ABS(O1901)*'Sollecitazioni nel paramento'!$G$54,'Sollecitazioni nel paramento'!$G$53)*IF(O1901&lt;0,-1,1)</f>
        <v>892485.49558937876</v>
      </c>
      <c r="V1901" s="472">
        <f t="shared" si="134"/>
        <v>-5017756.1585743837</v>
      </c>
      <c r="W1901" s="551"/>
      <c r="X1901" s="551"/>
    </row>
    <row r="1902" spans="1:24" x14ac:dyDescent="0.25">
      <c r="A1902" s="545">
        <f t="shared" si="133"/>
        <v>5096289.4751451649</v>
      </c>
      <c r="B1902" s="3">
        <f t="shared" si="131"/>
        <v>16.899999999999963</v>
      </c>
      <c r="C1902" s="545">
        <f>'Foglio deposito bis'!$E$160/sezione!$B$247*B1902</f>
        <v>153.92485993609807</v>
      </c>
      <c r="D1902" s="603">
        <f>-'Sollecitazioni nel paramento'!$G$47*'Sollecitazioni nel paramento'!$G$41*IF(DATI!$G$211="dx",DATI!$E$61,DATI!$E$64*DATI!$E$63)*1000*C1902^2*sezione!$AD$5*(1-sezione!$AD$6)</f>
        <v>-527134158.01612127</v>
      </c>
      <c r="E1902" s="545">
        <f>-'Foglio deposito bis'!$F$78*(C1902-sezione!$AL$34)*IF(ABS(K1902)&lt;'Sollecitazioni nel paramento'!$G$58,ABS(K1902)*'Sollecitazioni nel paramento'!$G$54,'Sollecitazioni nel paramento'!$G$53)</f>
        <v>0</v>
      </c>
      <c r="F1902" s="545">
        <f>-'Foglio deposito bis'!$F$79*(C1902-sezione!$AM$34)*IF(ABS(L1902)&lt;'Sollecitazioni nel paramento'!$G$58,ABS(L1902)*'Sollecitazioni nel paramento'!$G$54,'Sollecitazioni nel paramento'!$G$53)</f>
        <v>-14432950.270012304</v>
      </c>
      <c r="G1902" s="545">
        <f>-'Foglio deposito bis'!$F$80*(C1902-sezione!$AN$34)*IF(ABS(M1902)&lt;'Sollecitazioni nel paramento'!$G$58,ABS(M1902)*'Sollecitazioni nel paramento'!$G$54,'Sollecitazioni nel paramento'!$G$53)</f>
        <v>0</v>
      </c>
      <c r="H1902" s="545">
        <f>-'Foglio deposito bis'!$F$81*(C1902-sezione!$AO$34)*IF(ABS(N1902)&lt;'Sollecitazioni nel paramento'!$G$58,ABS(N1902)*'Sollecitazioni nel paramento'!$G$54,'Sollecitazioni nel paramento'!$G$53)</f>
        <v>175968.11055467671</v>
      </c>
      <c r="I1902" s="472">
        <f>-'Foglio deposito bis'!$F$82*(C1902-sezione!$AP$34)*IF(ABS(O1902)&lt;'Sollecitazioni nel paramento'!$G$58,ABS(O1902)*'Sollecitazioni nel paramento'!$G$54,'Sollecitazioni nel paramento'!$G$53)</f>
        <v>427638756.47848904</v>
      </c>
      <c r="J1902" s="472">
        <f t="shared" si="132"/>
        <v>-113752383.69708979</v>
      </c>
      <c r="K1902" s="550">
        <f>'Sollecitazioni nel paramento'!$G$60*(sezione!$AL$34-C1902)/C1902</f>
        <v>-2.5904653084750503E-3</v>
      </c>
      <c r="L1902" s="550">
        <f>'Sollecitazioni nel paramento'!$G$60*(sezione!$AM$34-C1902)/C1902</f>
        <v>-2.1356979627125757E-3</v>
      </c>
      <c r="M1902" s="551">
        <f>'Sollecitazioni nel paramento'!$G$60*(sezione!$AN$34-C1902)/C1902</f>
        <v>-1.6809306169501014E-3</v>
      </c>
      <c r="N1902" s="551">
        <f>'Sollecitazioni nel paramento'!$G$60*(sezione!$AO$34-C1902)/C1902</f>
        <v>1.381387660997975E-4</v>
      </c>
      <c r="O1902" s="551">
        <f>'Sollecitazioni nel paramento'!$G$60*(sezione!$AP$34-C1902)/C1902</f>
        <v>1.0895199036285726E-2</v>
      </c>
      <c r="P1902" s="545">
        <f>-'Sollecitazioni nel paramento'!$G$47*'Sollecitazioni nel paramento'!$G$41*IF(DATI!$G$211="dx",DATI!$E$61,DATI!$E$64*DATI!$E$63)*1000*C1902*sezione!$AD$5</f>
        <v>-5864075.3889855267</v>
      </c>
      <c r="Q1902" s="545">
        <f>'Foglio deposito bis'!$F$78*IF(ABS(K1902)&lt;'Sollecitazioni nel paramento'!$G$58,ABS(K1902)*'Sollecitazioni nel paramento'!$G$54,'Sollecitazioni nel paramento'!$G$53)*IF(K1902&lt;0,-1,1)</f>
        <v>0</v>
      </c>
      <c r="R1902" s="545">
        <f>'Foglio deposito bis'!$F$79*IF(ABS(L1902)&lt;'Sollecitazioni nel paramento'!$G$58,ABS(L1902)*'Sollecitazioni nel paramento'!$G$54,'Sollecitazioni nel paramento'!$G$53)*IF(L1902&lt;0,-1,1)</f>
        <v>-153664.85805602249</v>
      </c>
      <c r="S1902" s="545">
        <f>'Foglio deposito bis'!$F$80*IF(ABS(M1902)&lt;'Sollecitazioni nel paramento'!$G$58,ABS(M1902)*'Sollecitazioni nel paramento'!$G$54,'Sollecitazioni nel paramento'!$G$53)*IF(M1902&lt;0,-1,1)</f>
        <v>0</v>
      </c>
      <c r="T1902" s="545">
        <f>'Foglio deposito bis'!$F$81*IF(ABS(N1902)&lt;'Sollecitazioni nel paramento'!$G$58,ABS(N1902)*'Sollecitazioni nel paramento'!$G$54,'Sollecitazioni nel paramento'!$G$53)*IF(N1902&lt;0,-1,1)</f>
        <v>28965.276307005232</v>
      </c>
      <c r="U1902" s="545">
        <f>'Foglio deposito bis'!$F$82*IF(ABS(O1902)&lt;'Sollecitazioni nel paramento'!$G$58,ABS(O1902)*'Sollecitazioni nel paramento'!$G$54,'Sollecitazioni nel paramento'!$G$53)*IF(O1902&lt;0,-1,1)</f>
        <v>892485.49558937876</v>
      </c>
      <c r="V1902" s="472">
        <f t="shared" si="134"/>
        <v>-5096289.4751451649</v>
      </c>
      <c r="W1902" s="551"/>
      <c r="X1902" s="551"/>
    </row>
    <row r="1903" spans="1:24" x14ac:dyDescent="0.25">
      <c r="A1903" s="545">
        <f t="shared" si="133"/>
        <v>5174609.0847056713</v>
      </c>
      <c r="B1903" s="3">
        <f t="shared" si="131"/>
        <v>17.099999999999962</v>
      </c>
      <c r="C1903" s="545">
        <f>'Foglio deposito bis'!$E$160/sezione!$B$247*B1903</f>
        <v>155.74645591167319</v>
      </c>
      <c r="D1903" s="603">
        <f>-'Sollecitazioni nel paramento'!$G$47*'Sollecitazioni nel paramento'!$G$41*IF(DATI!$G$211="dx",DATI!$E$61,DATI!$E$64*DATI!$E$63)*1000*C1903^2*sezione!$AD$5*(1-sezione!$AD$6)</f>
        <v>-539684531.86335921</v>
      </c>
      <c r="E1903" s="545">
        <f>-'Foglio deposito bis'!$F$78*(C1903-sezione!$AL$34)*IF(ABS(K1903)&lt;'Sollecitazioni nel paramento'!$G$58,ABS(K1903)*'Sollecitazioni nel paramento'!$G$54,'Sollecitazioni nel paramento'!$G$53)</f>
        <v>0</v>
      </c>
      <c r="F1903" s="545">
        <f>-'Foglio deposito bis'!$F$79*(C1903-sezione!$AM$34)*IF(ABS(L1903)&lt;'Sollecitazioni nel paramento'!$G$58,ABS(L1903)*'Sollecitazioni nel paramento'!$G$54,'Sollecitazioni nel paramento'!$G$53)</f>
        <v>-14712865.557034478</v>
      </c>
      <c r="G1903" s="545">
        <f>-'Foglio deposito bis'!$F$80*(C1903-sezione!$AN$34)*IF(ABS(M1903)&lt;'Sollecitazioni nel paramento'!$G$58,ABS(M1903)*'Sollecitazioni nel paramento'!$G$54,'Sollecitazioni nel paramento'!$G$53)</f>
        <v>0</v>
      </c>
      <c r="H1903" s="545">
        <f>-'Foglio deposito bis'!$F$81*(C1903-sezione!$AO$34)*IF(ABS(N1903)&lt;'Sollecitazioni nel paramento'!$G$58,ABS(N1903)*'Sollecitazioni nel paramento'!$G$54,'Sollecitazioni nel paramento'!$G$53)</f>
        <v>85253.820861850545</v>
      </c>
      <c r="I1903" s="472">
        <f>-'Foglio deposito bis'!$F$82*(C1903-sezione!$AP$34)*IF(ABS(O1903)&lt;'Sollecitazioni nel paramento'!$G$58,ABS(O1903)*'Sollecitazioni nel paramento'!$G$54,'Sollecitazioni nel paramento'!$G$53)</f>
        <v>426013008.49146432</v>
      </c>
      <c r="J1903" s="472">
        <f t="shared" si="132"/>
        <v>-128299135.10806757</v>
      </c>
      <c r="K1903" s="550">
        <f>'Sollecitazioni nel paramento'!$G$60*(sezione!$AL$34-C1903)/C1903</f>
        <v>-2.601103141124465E-3</v>
      </c>
      <c r="L1903" s="550">
        <f>'Sollecitazioni nel paramento'!$G$60*(sezione!$AM$34-C1903)/C1903</f>
        <v>-2.1516547116866977E-3</v>
      </c>
      <c r="M1903" s="551">
        <f>'Sollecitazioni nel paramento'!$G$60*(sezione!$AN$34-C1903)/C1903</f>
        <v>-1.7022062822489306E-3</v>
      </c>
      <c r="N1903" s="551">
        <f>'Sollecitazioni nel paramento'!$G$60*(sezione!$AO$34-C1903)/C1903</f>
        <v>9.558743550213913E-5</v>
      </c>
      <c r="O1903" s="551">
        <f>'Sollecitazioni nel paramento'!$G$60*(sezione!$AP$34-C1903)/C1903</f>
        <v>1.0726834135276538E-2</v>
      </c>
      <c r="P1903" s="545">
        <f>-'Sollecitazioni nel paramento'!$G$47*'Sollecitazioni nel paramento'!$G$41*IF(DATI!$G$211="dx",DATI!$E$61,DATI!$E$64*DATI!$E$63)*1000*C1903*sezione!$AD$5</f>
        <v>-5933472.7308670124</v>
      </c>
      <c r="Q1903" s="545">
        <f>'Foglio deposito bis'!$F$78*IF(ABS(K1903)&lt;'Sollecitazioni nel paramento'!$G$58,ABS(K1903)*'Sollecitazioni nel paramento'!$G$54,'Sollecitazioni nel paramento'!$G$53)*IF(K1903&lt;0,-1,1)</f>
        <v>0</v>
      </c>
      <c r="R1903" s="545">
        <f>'Foglio deposito bis'!$F$79*IF(ABS(L1903)&lt;'Sollecitazioni nel paramento'!$G$58,ABS(L1903)*'Sollecitazioni nel paramento'!$G$54,'Sollecitazioni nel paramento'!$G$53)*IF(L1903&lt;0,-1,1)</f>
        <v>-153664.85805602249</v>
      </c>
      <c r="S1903" s="545">
        <f>'Foglio deposito bis'!$F$80*IF(ABS(M1903)&lt;'Sollecitazioni nel paramento'!$G$58,ABS(M1903)*'Sollecitazioni nel paramento'!$G$54,'Sollecitazioni nel paramento'!$G$53)*IF(M1903&lt;0,-1,1)</f>
        <v>0</v>
      </c>
      <c r="T1903" s="545">
        <f>'Foglio deposito bis'!$F$81*IF(ABS(N1903)&lt;'Sollecitazioni nel paramento'!$G$58,ABS(N1903)*'Sollecitazioni nel paramento'!$G$54,'Sollecitazioni nel paramento'!$G$53)*IF(N1903&lt;0,-1,1)</f>
        <v>20043.008627985422</v>
      </c>
      <c r="U1903" s="545">
        <f>'Foglio deposito bis'!$F$82*IF(ABS(O1903)&lt;'Sollecitazioni nel paramento'!$G$58,ABS(O1903)*'Sollecitazioni nel paramento'!$G$54,'Sollecitazioni nel paramento'!$G$53)*IF(O1903&lt;0,-1,1)</f>
        <v>892485.49558937876</v>
      </c>
      <c r="V1903" s="472">
        <f t="shared" si="134"/>
        <v>-5174609.0847056713</v>
      </c>
      <c r="W1903" s="551"/>
      <c r="X1903" s="551"/>
    </row>
    <row r="1904" spans="1:24" x14ac:dyDescent="0.25">
      <c r="A1904" s="545">
        <f t="shared" si="133"/>
        <v>5252722.3990597241</v>
      </c>
      <c r="B1904" s="3">
        <f t="shared" si="131"/>
        <v>17.299999999999962</v>
      </c>
      <c r="C1904" s="545">
        <f>'Foglio deposito bis'!$E$160/sezione!$B$247*B1904</f>
        <v>157.56805188724832</v>
      </c>
      <c r="D1904" s="603">
        <f>-'Sollecitazioni nel paramento'!$G$47*'Sollecitazioni nel paramento'!$G$41*IF(DATI!$G$211="dx",DATI!$E$61,DATI!$E$64*DATI!$E$63)*1000*C1904^2*sezione!$AD$5*(1-sezione!$AD$6)</f>
        <v>-552382557.16762328</v>
      </c>
      <c r="E1904" s="545">
        <f>-'Foglio deposito bis'!$F$78*(C1904-sezione!$AL$34)*IF(ABS(K1904)&lt;'Sollecitazioni nel paramento'!$G$58,ABS(K1904)*'Sollecitazioni nel paramento'!$G$54,'Sollecitazioni nel paramento'!$G$53)</f>
        <v>0</v>
      </c>
      <c r="F1904" s="545">
        <f>-'Foglio deposito bis'!$F$79*(C1904-sezione!$AM$34)*IF(ABS(L1904)&lt;'Sollecitazioni nel paramento'!$G$58,ABS(L1904)*'Sollecitazioni nel paramento'!$G$54,'Sollecitazioni nel paramento'!$G$53)</f>
        <v>-14992780.844056651</v>
      </c>
      <c r="G1904" s="545">
        <f>-'Foglio deposito bis'!$F$80*(C1904-sezione!$AN$34)*IF(ABS(M1904)&lt;'Sollecitazioni nel paramento'!$G$58,ABS(M1904)*'Sollecitazioni nel paramento'!$G$54,'Sollecitazioni nel paramento'!$G$53)</f>
        <v>0</v>
      </c>
      <c r="H1904" s="545">
        <f>-'Foglio deposito bis'!$F$81*(C1904-sezione!$AO$34)*IF(ABS(N1904)&lt;'Sollecitazioni nel paramento'!$G$58,ABS(N1904)*'Sollecitazioni nel paramento'!$G$54,'Sollecitazioni nel paramento'!$G$53)</f>
        <v>27546.764201236303</v>
      </c>
      <c r="I1904" s="472">
        <f>-'Foglio deposito bis'!$F$82*(C1904-sezione!$AP$34)*IF(ABS(O1904)&lt;'Sollecitazioni nel paramento'!$G$58,ABS(O1904)*'Sollecitazioni nel paramento'!$G$54,'Sollecitazioni nel paramento'!$G$53)</f>
        <v>424387260.50443953</v>
      </c>
      <c r="J1904" s="472">
        <f t="shared" si="132"/>
        <v>-142960530.74303907</v>
      </c>
      <c r="K1904" s="550">
        <f>'Sollecitazioni nel paramento'!$G$60*(sezione!$AL$34-C1904)/C1904</f>
        <v>-2.6114950123253384E-3</v>
      </c>
      <c r="L1904" s="550">
        <f>'Sollecitazioni nel paramento'!$G$60*(sezione!$AM$34-C1904)/C1904</f>
        <v>-2.1672425184880075E-3</v>
      </c>
      <c r="M1904" s="551">
        <f>'Sollecitazioni nel paramento'!$G$60*(sezione!$AN$34-C1904)/C1904</f>
        <v>-1.7229900246506771E-3</v>
      </c>
      <c r="N1904" s="551">
        <f>'Sollecitazioni nel paramento'!$G$60*(sezione!$AO$34-C1904)/C1904</f>
        <v>5.4019950698646278E-5</v>
      </c>
      <c r="O1904" s="551">
        <f>'Sollecitazioni nel paramento'!$G$60*(sezione!$AP$34-C1904)/C1904</f>
        <v>1.0562362064348485E-2</v>
      </c>
      <c r="P1904" s="545">
        <f>-'Sollecitazioni nel paramento'!$G$47*'Sollecitazioni nel paramento'!$G$41*IF(DATI!$G$211="dx",DATI!$E$61,DATI!$E$64*DATI!$E$63)*1000*C1904*sezione!$AD$5</f>
        <v>-6002870.0727484971</v>
      </c>
      <c r="Q1904" s="545">
        <f>'Foglio deposito bis'!$F$78*IF(ABS(K1904)&lt;'Sollecitazioni nel paramento'!$G$58,ABS(K1904)*'Sollecitazioni nel paramento'!$G$54,'Sollecitazioni nel paramento'!$G$53)*IF(K1904&lt;0,-1,1)</f>
        <v>0</v>
      </c>
      <c r="R1904" s="545">
        <f>'Foglio deposito bis'!$F$79*IF(ABS(L1904)&lt;'Sollecitazioni nel paramento'!$G$58,ABS(L1904)*'Sollecitazioni nel paramento'!$G$54,'Sollecitazioni nel paramento'!$G$53)*IF(L1904&lt;0,-1,1)</f>
        <v>-153664.85805602249</v>
      </c>
      <c r="S1904" s="545">
        <f>'Foglio deposito bis'!$F$80*IF(ABS(M1904)&lt;'Sollecitazioni nel paramento'!$G$58,ABS(M1904)*'Sollecitazioni nel paramento'!$G$54,'Sollecitazioni nel paramento'!$G$53)*IF(M1904&lt;0,-1,1)</f>
        <v>0</v>
      </c>
      <c r="T1904" s="545">
        <f>'Foglio deposito bis'!$F$81*IF(ABS(N1904)&lt;'Sollecitazioni nel paramento'!$G$58,ABS(N1904)*'Sollecitazioni nel paramento'!$G$54,'Sollecitazioni nel paramento'!$G$53)*IF(N1904&lt;0,-1,1)</f>
        <v>11327.036155416936</v>
      </c>
      <c r="U1904" s="545">
        <f>'Foglio deposito bis'!$F$82*IF(ABS(O1904)&lt;'Sollecitazioni nel paramento'!$G$58,ABS(O1904)*'Sollecitazioni nel paramento'!$G$54,'Sollecitazioni nel paramento'!$G$53)*IF(O1904&lt;0,-1,1)</f>
        <v>892485.49558937876</v>
      </c>
      <c r="V1904" s="472">
        <f t="shared" si="134"/>
        <v>-5252722.3990597241</v>
      </c>
      <c r="W1904" s="551"/>
      <c r="X1904" s="551"/>
    </row>
    <row r="1905" spans="1:24" x14ac:dyDescent="0.25">
      <c r="A1905" s="545">
        <f t="shared" si="133"/>
        <v>5330636.4911858365</v>
      </c>
      <c r="B1905" s="3">
        <f t="shared" si="131"/>
        <v>17.499999999999961</v>
      </c>
      <c r="C1905" s="545">
        <f>'Foglio deposito bis'!$E$160/sezione!$B$247*B1905</f>
        <v>159.38964786282347</v>
      </c>
      <c r="D1905" s="603">
        <f>-'Sollecitazioni nel paramento'!$G$47*'Sollecitazioni nel paramento'!$G$41*IF(DATI!$G$211="dx",DATI!$E$61,DATI!$E$64*DATI!$E$63)*1000*C1905^2*sezione!$AD$5*(1-sezione!$AD$6)</f>
        <v>-565228233.92891407</v>
      </c>
      <c r="E1905" s="545">
        <f>-'Foglio deposito bis'!$F$78*(C1905-sezione!$AL$34)*IF(ABS(K1905)&lt;'Sollecitazioni nel paramento'!$G$58,ABS(K1905)*'Sollecitazioni nel paramento'!$G$54,'Sollecitazioni nel paramento'!$G$53)</f>
        <v>0</v>
      </c>
      <c r="F1905" s="545">
        <f>-'Foglio deposito bis'!$F$79*(C1905-sezione!$AM$34)*IF(ABS(L1905)&lt;'Sollecitazioni nel paramento'!$G$58,ABS(L1905)*'Sollecitazioni nel paramento'!$G$54,'Sollecitazioni nel paramento'!$G$53)</f>
        <v>-15272696.131078828</v>
      </c>
      <c r="G1905" s="545">
        <f>-'Foglio deposito bis'!$F$80*(C1905-sezione!$AN$34)*IF(ABS(M1905)&lt;'Sollecitazioni nel paramento'!$G$58,ABS(M1905)*'Sollecitazioni nel paramento'!$G$54,'Sollecitazioni nel paramento'!$G$53)</f>
        <v>0</v>
      </c>
      <c r="H1905" s="545">
        <f>-'Foglio deposito bis'!$F$81*(C1905-sezione!$AO$34)*IF(ABS(N1905)&lt;'Sollecitazioni nel paramento'!$G$58,ABS(N1905)*'Sollecitazioni nel paramento'!$G$54,'Sollecitazioni nel paramento'!$G$53)</f>
        <v>1715.2640117294532</v>
      </c>
      <c r="I1905" s="472">
        <f>-'Foglio deposito bis'!$F$82*(C1905-sezione!$AP$34)*IF(ABS(O1905)&lt;'Sollecitazioni nel paramento'!$G$58,ABS(O1905)*'Sollecitazioni nel paramento'!$G$54,'Sollecitazioni nel paramento'!$G$53)</f>
        <v>422761512.51741469</v>
      </c>
      <c r="J1905" s="472">
        <f t="shared" si="132"/>
        <v>-157737702.27856648</v>
      </c>
      <c r="K1905" s="550">
        <f>'Sollecitazioni nel paramento'!$G$60*(sezione!$AL$34-C1905)/C1905</f>
        <v>-2.6216493550416204E-3</v>
      </c>
      <c r="L1905" s="550">
        <f>'Sollecitazioni nel paramento'!$G$60*(sezione!$AM$34-C1905)/C1905</f>
        <v>-2.1824740325624304E-3</v>
      </c>
      <c r="M1905" s="551">
        <f>'Sollecitazioni nel paramento'!$G$60*(sezione!$AN$34-C1905)/C1905</f>
        <v>-1.7432987100832408E-3</v>
      </c>
      <c r="N1905" s="551">
        <f>'Sollecitazioni nel paramento'!$G$60*(sezione!$AO$34-C1905)/C1905</f>
        <v>1.3402579833518349E-5</v>
      </c>
      <c r="O1905" s="551">
        <f>'Sollecitazioni nel paramento'!$G$60*(sezione!$AP$34-C1905)/C1905</f>
        <v>1.0401649355041643E-2</v>
      </c>
      <c r="P1905" s="545">
        <f>-'Sollecitazioni nel paramento'!$G$47*'Sollecitazioni nel paramento'!$G$41*IF(DATI!$G$211="dx",DATI!$E$61,DATI!$E$64*DATI!$E$63)*1000*C1905*sezione!$AD$5</f>
        <v>-6072267.4146299846</v>
      </c>
      <c r="Q1905" s="545">
        <f>'Foglio deposito bis'!$F$78*IF(ABS(K1905)&lt;'Sollecitazioni nel paramento'!$G$58,ABS(K1905)*'Sollecitazioni nel paramento'!$G$54,'Sollecitazioni nel paramento'!$G$53)*IF(K1905&lt;0,-1,1)</f>
        <v>0</v>
      </c>
      <c r="R1905" s="545">
        <f>'Foglio deposito bis'!$F$79*IF(ABS(L1905)&lt;'Sollecitazioni nel paramento'!$G$58,ABS(L1905)*'Sollecitazioni nel paramento'!$G$54,'Sollecitazioni nel paramento'!$G$53)*IF(L1905&lt;0,-1,1)</f>
        <v>-153664.85805602249</v>
      </c>
      <c r="S1905" s="545">
        <f>'Foglio deposito bis'!$F$80*IF(ABS(M1905)&lt;'Sollecitazioni nel paramento'!$G$58,ABS(M1905)*'Sollecitazioni nel paramento'!$G$54,'Sollecitazioni nel paramento'!$G$53)*IF(M1905&lt;0,-1,1)</f>
        <v>0</v>
      </c>
      <c r="T1905" s="545">
        <f>'Foglio deposito bis'!$F$81*IF(ABS(N1905)&lt;'Sollecitazioni nel paramento'!$G$58,ABS(N1905)*'Sollecitazioni nel paramento'!$G$54,'Sollecitazioni nel paramento'!$G$53)*IF(N1905&lt;0,-1,1)</f>
        <v>2810.2859107927434</v>
      </c>
      <c r="U1905" s="545">
        <f>'Foglio deposito bis'!$F$82*IF(ABS(O1905)&lt;'Sollecitazioni nel paramento'!$G$58,ABS(O1905)*'Sollecitazioni nel paramento'!$G$54,'Sollecitazioni nel paramento'!$G$53)*IF(O1905&lt;0,-1,1)</f>
        <v>892485.49558937876</v>
      </c>
      <c r="V1905" s="472">
        <f t="shared" si="134"/>
        <v>-5330636.4911858365</v>
      </c>
      <c r="W1905" s="551"/>
      <c r="X1905" s="551"/>
    </row>
    <row r="1906" spans="1:24" x14ac:dyDescent="0.25">
      <c r="A1906" s="545">
        <f t="shared" si="133"/>
        <v>5408358.1143798623</v>
      </c>
      <c r="B1906" s="3">
        <f t="shared" si="131"/>
        <v>17.69999999999996</v>
      </c>
      <c r="C1906" s="545">
        <f>'Foglio deposito bis'!$E$160/sezione!$B$247*B1906</f>
        <v>161.21124383839859</v>
      </c>
      <c r="D1906" s="603">
        <f>-'Sollecitazioni nel paramento'!$G$47*'Sollecitazioni nel paramento'!$G$41*IF(DATI!$G$211="dx",DATI!$E$61,DATI!$E$64*DATI!$E$63)*1000*C1906^2*sezione!$AD$5*(1-sezione!$AD$6)</f>
        <v>-578221562.14723098</v>
      </c>
      <c r="E1906" s="545">
        <f>-'Foglio deposito bis'!$F$78*(C1906-sezione!$AL$34)*IF(ABS(K1906)&lt;'Sollecitazioni nel paramento'!$G$58,ABS(K1906)*'Sollecitazioni nel paramento'!$G$54,'Sollecitazioni nel paramento'!$G$53)</f>
        <v>0</v>
      </c>
      <c r="F1906" s="545">
        <f>-'Foglio deposito bis'!$F$79*(C1906-sezione!$AM$34)*IF(ABS(L1906)&lt;'Sollecitazioni nel paramento'!$G$58,ABS(L1906)*'Sollecitazioni nel paramento'!$G$54,'Sollecitazioni nel paramento'!$G$53)</f>
        <v>-15552611.418101</v>
      </c>
      <c r="G1906" s="545">
        <f>-'Foglio deposito bis'!$F$80*(C1906-sezione!$AN$34)*IF(ABS(M1906)&lt;'Sollecitazioni nel paramento'!$G$58,ABS(M1906)*'Sollecitazioni nel paramento'!$G$54,'Sollecitazioni nel paramento'!$G$53)</f>
        <v>0</v>
      </c>
      <c r="H1906" s="545">
        <f>-'Foglio deposito bis'!$F$81*(C1906-sezione!$AO$34)*IF(ABS(N1906)&lt;'Sollecitazioni nel paramento'!$G$58,ABS(N1906)*'Sollecitazioni nel paramento'!$G$54,'Sollecitazioni nel paramento'!$G$53)</f>
        <v>-6678.792955327126</v>
      </c>
      <c r="I1906" s="472">
        <f>-'Foglio deposito bis'!$F$82*(C1906-sezione!$AP$34)*IF(ABS(O1906)&lt;'Sollecitazioni nel paramento'!$G$58,ABS(O1906)*'Sollecitazioni nel paramento'!$G$54,'Sollecitazioni nel paramento'!$G$53)</f>
        <v>421135764.53038996</v>
      </c>
      <c r="J1906" s="472">
        <f t="shared" si="132"/>
        <v>-172645087.82789725</v>
      </c>
      <c r="K1906" s="550">
        <f>'Sollecitazioni nel paramento'!$G$60*(sezione!$AL$34-C1906)/C1906</f>
        <v>-2.6315742210863478E-3</v>
      </c>
      <c r="L1906" s="550">
        <f>'Sollecitazioni nel paramento'!$G$60*(sezione!$AM$34-C1906)/C1906</f>
        <v>-2.1973613316295217E-3</v>
      </c>
      <c r="M1906" s="551">
        <f>'Sollecitazioni nel paramento'!$G$60*(sezione!$AN$34-C1906)/C1906</f>
        <v>-1.7631484421726956E-3</v>
      </c>
      <c r="N1906" s="551">
        <f>'Sollecitazioni nel paramento'!$G$60*(sezione!$AO$34-C1906)/C1906</f>
        <v>-2.6296884345391381E-5</v>
      </c>
      <c r="O1906" s="551">
        <f>'Sollecitazioni nel paramento'!$G$60*(sezione!$AP$34-C1906)/C1906</f>
        <v>1.0244568571368856E-2</v>
      </c>
      <c r="P1906" s="545">
        <f>-'Sollecitazioni nel paramento'!$G$47*'Sollecitazioni nel paramento'!$G$41*IF(DATI!$G$211="dx",DATI!$E$61,DATI!$E$64*DATI!$E$63)*1000*C1906*sezione!$AD$5</f>
        <v>-6141664.7565114694</v>
      </c>
      <c r="Q1906" s="545">
        <f>'Foglio deposito bis'!$F$78*IF(ABS(K1906)&lt;'Sollecitazioni nel paramento'!$G$58,ABS(K1906)*'Sollecitazioni nel paramento'!$G$54,'Sollecitazioni nel paramento'!$G$53)*IF(K1906&lt;0,-1,1)</f>
        <v>0</v>
      </c>
      <c r="R1906" s="545">
        <f>'Foglio deposito bis'!$F$79*IF(ABS(L1906)&lt;'Sollecitazioni nel paramento'!$G$58,ABS(L1906)*'Sollecitazioni nel paramento'!$G$54,'Sollecitazioni nel paramento'!$G$53)*IF(L1906&lt;0,-1,1)</f>
        <v>-153664.85805602249</v>
      </c>
      <c r="S1906" s="545">
        <f>'Foglio deposito bis'!$F$80*IF(ABS(M1906)&lt;'Sollecitazioni nel paramento'!$G$58,ABS(M1906)*'Sollecitazioni nel paramento'!$G$54,'Sollecitazioni nel paramento'!$G$53)*IF(M1906&lt;0,-1,1)</f>
        <v>0</v>
      </c>
      <c r="T1906" s="545">
        <f>'Foglio deposito bis'!$F$81*IF(ABS(N1906)&lt;'Sollecitazioni nel paramento'!$G$58,ABS(N1906)*'Sollecitazioni nel paramento'!$G$54,'Sollecitazioni nel paramento'!$G$53)*IF(N1906&lt;0,-1,1)</f>
        <v>-5513.9954017494174</v>
      </c>
      <c r="U1906" s="545">
        <f>'Foglio deposito bis'!$F$82*IF(ABS(O1906)&lt;'Sollecitazioni nel paramento'!$G$58,ABS(O1906)*'Sollecitazioni nel paramento'!$G$54,'Sollecitazioni nel paramento'!$G$53)*IF(O1906&lt;0,-1,1)</f>
        <v>892485.49558937876</v>
      </c>
      <c r="V1906" s="472">
        <f t="shared" si="134"/>
        <v>-5408358.1143798623</v>
      </c>
      <c r="W1906" s="551"/>
      <c r="X1906" s="551"/>
    </row>
    <row r="1907" spans="1:24" x14ac:dyDescent="0.25">
      <c r="A1907" s="545">
        <f t="shared" si="133"/>
        <v>5485893.7201143932</v>
      </c>
      <c r="B1907" s="3">
        <f t="shared" si="131"/>
        <v>17.899999999999959</v>
      </c>
      <c r="C1907" s="545">
        <f>'Foglio deposito bis'!$E$160/sezione!$B$247*B1907</f>
        <v>163.03283981397371</v>
      </c>
      <c r="D1907" s="603">
        <f>-'Sollecitazioni nel paramento'!$G$47*'Sollecitazioni nel paramento'!$G$41*IF(DATI!$G$211="dx",DATI!$E$61,DATI!$E$64*DATI!$E$63)*1000*C1907^2*sezione!$AD$5*(1-sezione!$AD$6)</f>
        <v>-591362541.82257426</v>
      </c>
      <c r="E1907" s="545">
        <f>-'Foglio deposito bis'!$F$78*(C1907-sezione!$AL$34)*IF(ABS(K1907)&lt;'Sollecitazioni nel paramento'!$G$58,ABS(K1907)*'Sollecitazioni nel paramento'!$G$54,'Sollecitazioni nel paramento'!$G$53)</f>
        <v>0</v>
      </c>
      <c r="F1907" s="545">
        <f>-'Foglio deposito bis'!$F$79*(C1907-sezione!$AM$34)*IF(ABS(L1907)&lt;'Sollecitazioni nel paramento'!$G$58,ABS(L1907)*'Sollecitazioni nel paramento'!$G$54,'Sollecitazioni nel paramento'!$G$53)</f>
        <v>-15832526.705123173</v>
      </c>
      <c r="G1907" s="545">
        <f>-'Foglio deposito bis'!$F$80*(C1907-sezione!$AN$34)*IF(ABS(M1907)&lt;'Sollecitazioni nel paramento'!$G$58,ABS(M1907)*'Sollecitazioni nel paramento'!$G$54,'Sollecitazioni nel paramento'!$G$53)</f>
        <v>0</v>
      </c>
      <c r="H1907" s="545">
        <f>-'Foglio deposito bis'!$F$81*(C1907-sezione!$AO$34)*IF(ABS(N1907)&lt;'Sollecitazioni nel paramento'!$G$58,ABS(N1907)*'Sollecitazioni nel paramento'!$G$54,'Sollecitazioni nel paramento'!$G$53)</f>
        <v>-41405.115418628542</v>
      </c>
      <c r="I1907" s="472">
        <f>-'Foglio deposito bis'!$F$82*(C1907-sezione!$AP$34)*IF(ABS(O1907)&lt;'Sollecitazioni nel paramento'!$G$58,ABS(O1907)*'Sollecitazioni nel paramento'!$G$54,'Sollecitazioni nel paramento'!$G$53)</f>
        <v>419510016.54336512</v>
      </c>
      <c r="J1907" s="472">
        <f t="shared" si="132"/>
        <v>-187726457.099751</v>
      </c>
      <c r="K1907" s="550">
        <f>'Sollecitazioni nel paramento'!$G$60*(sezione!$AL$34-C1907)/C1907</f>
        <v>-2.641277302414992E-3</v>
      </c>
      <c r="L1907" s="550">
        <f>'Sollecitazioni nel paramento'!$G$60*(sezione!$AM$34-C1907)/C1907</f>
        <v>-2.2119159536224879E-3</v>
      </c>
      <c r="M1907" s="551">
        <f>'Sollecitazioni nel paramento'!$G$60*(sezione!$AN$34-C1907)/C1907</f>
        <v>-1.7825546048299838E-3</v>
      </c>
      <c r="N1907" s="551">
        <f>'Sollecitazioni nel paramento'!$G$60*(sezione!$AO$34-C1907)/C1907</f>
        <v>-6.5109209659967924E-5</v>
      </c>
      <c r="O1907" s="551">
        <f>'Sollecitazioni nel paramento'!$G$60*(sezione!$AP$34-C1907)/C1907</f>
        <v>1.0090997972806074E-2</v>
      </c>
      <c r="P1907" s="545">
        <f>-'Sollecitazioni nel paramento'!$G$47*'Sollecitazioni nel paramento'!$G$41*IF(DATI!$G$211="dx",DATI!$E$61,DATI!$E$64*DATI!$E$63)*1000*C1907*sezione!$AD$5</f>
        <v>-6211062.098392955</v>
      </c>
      <c r="Q1907" s="545">
        <f>'Foglio deposito bis'!$F$78*IF(ABS(K1907)&lt;'Sollecitazioni nel paramento'!$G$58,ABS(K1907)*'Sollecitazioni nel paramento'!$G$54,'Sollecitazioni nel paramento'!$G$53)*IF(K1907&lt;0,-1,1)</f>
        <v>0</v>
      </c>
      <c r="R1907" s="545">
        <f>'Foglio deposito bis'!$F$79*IF(ABS(L1907)&lt;'Sollecitazioni nel paramento'!$G$58,ABS(L1907)*'Sollecitazioni nel paramento'!$G$54,'Sollecitazioni nel paramento'!$G$53)*IF(L1907&lt;0,-1,1)</f>
        <v>-153664.85805602249</v>
      </c>
      <c r="S1907" s="545">
        <f>'Foglio deposito bis'!$F$80*IF(ABS(M1907)&lt;'Sollecitazioni nel paramento'!$G$58,ABS(M1907)*'Sollecitazioni nel paramento'!$G$54,'Sollecitazioni nel paramento'!$G$53)*IF(M1907&lt;0,-1,1)</f>
        <v>0</v>
      </c>
      <c r="T1907" s="545">
        <f>'Foglio deposito bis'!$F$81*IF(ABS(N1907)&lt;'Sollecitazioni nel paramento'!$G$58,ABS(N1907)*'Sollecitazioni nel paramento'!$G$54,'Sollecitazioni nel paramento'!$G$53)*IF(N1907&lt;0,-1,1)</f>
        <v>-13652.259254793427</v>
      </c>
      <c r="U1907" s="545">
        <f>'Foglio deposito bis'!$F$82*IF(ABS(O1907)&lt;'Sollecitazioni nel paramento'!$G$58,ABS(O1907)*'Sollecitazioni nel paramento'!$G$54,'Sollecitazioni nel paramento'!$G$53)*IF(O1907&lt;0,-1,1)</f>
        <v>892485.49558937876</v>
      </c>
      <c r="V1907" s="472">
        <f t="shared" si="134"/>
        <v>-5485893.7201143932</v>
      </c>
      <c r="W1907" s="551"/>
      <c r="X1907" s="551"/>
    </row>
    <row r="1908" spans="1:24" x14ac:dyDescent="0.25">
      <c r="A1908" s="545">
        <f t="shared" si="133"/>
        <v>5563249.4747140482</v>
      </c>
      <c r="B1908" s="3">
        <f t="shared" si="131"/>
        <v>18.099999999999959</v>
      </c>
      <c r="C1908" s="545">
        <f>'Foglio deposito bis'!$E$160/sezione!$B$247*B1908</f>
        <v>164.85443578954883</v>
      </c>
      <c r="D1908" s="603">
        <f>-'Sollecitazioni nel paramento'!$G$47*'Sollecitazioni nel paramento'!$G$41*IF(DATI!$G$211="dx",DATI!$E$61,DATI!$E$64*DATI!$E$63)*1000*C1908^2*sezione!$AD$5*(1-sezione!$AD$6)</f>
        <v>-604651172.9549439</v>
      </c>
      <c r="E1908" s="545">
        <f>-'Foglio deposito bis'!$F$78*(C1908-sezione!$AL$34)*IF(ABS(K1908)&lt;'Sollecitazioni nel paramento'!$G$58,ABS(K1908)*'Sollecitazioni nel paramento'!$G$54,'Sollecitazioni nel paramento'!$G$53)</f>
        <v>0</v>
      </c>
      <c r="F1908" s="545">
        <f>-'Foglio deposito bis'!$F$79*(C1908-sezione!$AM$34)*IF(ABS(L1908)&lt;'Sollecitazioni nel paramento'!$G$58,ABS(L1908)*'Sollecitazioni nel paramento'!$G$54,'Sollecitazioni nel paramento'!$G$53)</f>
        <v>-16112441.992145346</v>
      </c>
      <c r="G1908" s="545">
        <f>-'Foglio deposito bis'!$F$80*(C1908-sezione!$AN$34)*IF(ABS(M1908)&lt;'Sollecitazioni nel paramento'!$G$58,ABS(M1908)*'Sollecitazioni nel paramento'!$G$54,'Sollecitazioni nel paramento'!$G$53)</f>
        <v>0</v>
      </c>
      <c r="H1908" s="545">
        <f>-'Foglio deposito bis'!$F$81*(C1908-sezione!$AO$34)*IF(ABS(N1908)&lt;'Sollecitazioni nel paramento'!$G$58,ABS(N1908)*'Sollecitazioni nel paramento'!$G$54,'Sollecitazioni nel paramento'!$G$53)</f>
        <v>-104907.61946175403</v>
      </c>
      <c r="I1908" s="472">
        <f>-'Foglio deposito bis'!$F$82*(C1908-sezione!$AP$34)*IF(ABS(O1908)&lt;'Sollecitazioni nel paramento'!$G$58,ABS(O1908)*'Sollecitazioni nel paramento'!$G$54,'Sollecitazioni nel paramento'!$G$53)</f>
        <v>417884268.55634034</v>
      </c>
      <c r="J1908" s="472">
        <f t="shared" si="132"/>
        <v>-202984254.01021063</v>
      </c>
      <c r="K1908" s="550">
        <f>'Sollecitazioni nel paramento'!$G$60*(sezione!$AL$34-C1908)/C1908</f>
        <v>-2.6507659510070915E-3</v>
      </c>
      <c r="L1908" s="550">
        <f>'Sollecitazioni nel paramento'!$G$60*(sezione!$AM$34-C1908)/C1908</f>
        <v>-2.2261489265106372E-3</v>
      </c>
      <c r="M1908" s="551">
        <f>'Sollecitazioni nel paramento'!$G$60*(sezione!$AN$34-C1908)/C1908</f>
        <v>-1.8015319020141831E-3</v>
      </c>
      <c r="N1908" s="551">
        <f>'Sollecitazioni nel paramento'!$G$60*(sezione!$AO$34-C1908)/C1908</f>
        <v>-1.0306380402836599E-4</v>
      </c>
      <c r="O1908" s="551">
        <f>'Sollecitazioni nel paramento'!$G$60*(sezione!$AP$34-C1908)/C1908</f>
        <v>9.9408211996258999E-3</v>
      </c>
      <c r="P1908" s="545">
        <f>-'Sollecitazioni nel paramento'!$G$47*'Sollecitazioni nel paramento'!$G$41*IF(DATI!$G$211="dx",DATI!$E$61,DATI!$E$64*DATI!$E$63)*1000*C1908*sezione!$AD$5</f>
        <v>-6280459.4402744407</v>
      </c>
      <c r="Q1908" s="545">
        <f>'Foglio deposito bis'!$F$78*IF(ABS(K1908)&lt;'Sollecitazioni nel paramento'!$G$58,ABS(K1908)*'Sollecitazioni nel paramento'!$G$54,'Sollecitazioni nel paramento'!$G$53)*IF(K1908&lt;0,-1,1)</f>
        <v>0</v>
      </c>
      <c r="R1908" s="545">
        <f>'Foglio deposito bis'!$F$79*IF(ABS(L1908)&lt;'Sollecitazioni nel paramento'!$G$58,ABS(L1908)*'Sollecitazioni nel paramento'!$G$54,'Sollecitazioni nel paramento'!$G$53)*IF(L1908&lt;0,-1,1)</f>
        <v>-153664.85805602249</v>
      </c>
      <c r="S1908" s="545">
        <f>'Foglio deposito bis'!$F$80*IF(ABS(M1908)&lt;'Sollecitazioni nel paramento'!$G$58,ABS(M1908)*'Sollecitazioni nel paramento'!$G$54,'Sollecitazioni nel paramento'!$G$53)*IF(M1908&lt;0,-1,1)</f>
        <v>0</v>
      </c>
      <c r="T1908" s="545">
        <f>'Foglio deposito bis'!$F$81*IF(ABS(N1908)&lt;'Sollecitazioni nel paramento'!$G$58,ABS(N1908)*'Sollecitazioni nel paramento'!$G$54,'Sollecitazioni nel paramento'!$G$53)*IF(N1908&lt;0,-1,1)</f>
        <v>-21610.671972963541</v>
      </c>
      <c r="U1908" s="545">
        <f>'Foglio deposito bis'!$F$82*IF(ABS(O1908)&lt;'Sollecitazioni nel paramento'!$G$58,ABS(O1908)*'Sollecitazioni nel paramento'!$G$54,'Sollecitazioni nel paramento'!$G$53)*IF(O1908&lt;0,-1,1)</f>
        <v>892485.49558937876</v>
      </c>
      <c r="V1908" s="472">
        <f t="shared" si="134"/>
        <v>-5563249.4747140482</v>
      </c>
      <c r="W1908" s="551"/>
      <c r="X1908" s="551"/>
    </row>
    <row r="1909" spans="1:24" x14ac:dyDescent="0.25">
      <c r="A1909" s="545">
        <f t="shared" si="133"/>
        <v>5640431.2749373503</v>
      </c>
      <c r="B1909" s="3">
        <f t="shared" ref="B1909:B1932" si="135">B1908+0.2</f>
        <v>18.299999999999958</v>
      </c>
      <c r="C1909" s="545">
        <f>'Foglio deposito bis'!$E$160/sezione!$B$247*B1909</f>
        <v>166.67603176512395</v>
      </c>
      <c r="D1909" s="603">
        <f>-'Sollecitazioni nel paramento'!$G$47*'Sollecitazioni nel paramento'!$G$41*IF(DATI!$G$211="dx",DATI!$E$61,DATI!$E$64*DATI!$E$63)*1000*C1909^2*sezione!$AD$5*(1-sezione!$AD$6)</f>
        <v>-618087455.54433966</v>
      </c>
      <c r="E1909" s="545">
        <f>-'Foglio deposito bis'!$F$78*(C1909-sezione!$AL$34)*IF(ABS(K1909)&lt;'Sollecitazioni nel paramento'!$G$58,ABS(K1909)*'Sollecitazioni nel paramento'!$G$54,'Sollecitazioni nel paramento'!$G$53)</f>
        <v>0</v>
      </c>
      <c r="F1909" s="545">
        <f>-'Foglio deposito bis'!$F$79*(C1909-sezione!$AM$34)*IF(ABS(L1909)&lt;'Sollecitazioni nel paramento'!$G$58,ABS(L1909)*'Sollecitazioni nel paramento'!$G$54,'Sollecitazioni nel paramento'!$G$53)</f>
        <v>-16392357.27916752</v>
      </c>
      <c r="G1909" s="545">
        <f>-'Foglio deposito bis'!$F$80*(C1909-sezione!$AN$34)*IF(ABS(M1909)&lt;'Sollecitazioni nel paramento'!$G$58,ABS(M1909)*'Sollecitazioni nel paramento'!$G$54,'Sollecitazioni nel paramento'!$G$53)</f>
        <v>0</v>
      </c>
      <c r="H1909" s="545">
        <f>-'Foglio deposito bis'!$F$81*(C1909-sezione!$AO$34)*IF(ABS(N1909)&lt;'Sollecitazioni nel paramento'!$G$58,ABS(N1909)*'Sollecitazioni nel paramento'!$G$54,'Sollecitazioni nel paramento'!$G$53)</f>
        <v>-196242.82372143067</v>
      </c>
      <c r="I1909" s="472">
        <f>-'Foglio deposito bis'!$F$82*(C1909-sezione!$AP$34)*IF(ABS(O1909)&lt;'Sollecitazioni nel paramento'!$G$58,ABS(O1909)*'Sollecitazioni nel paramento'!$G$54,'Sollecitazioni nel paramento'!$G$53)</f>
        <v>416258520.56931555</v>
      </c>
      <c r="J1909" s="472">
        <f t="shared" si="132"/>
        <v>-218417535.07791305</v>
      </c>
      <c r="K1909" s="550">
        <f>'Sollecitazioni nel paramento'!$G$60*(sezione!$AL$34-C1909)/C1909</f>
        <v>-2.6600471974441726E-3</v>
      </c>
      <c r="L1909" s="550">
        <f>'Sollecitazioni nel paramento'!$G$60*(sezione!$AM$34-C1909)/C1909</f>
        <v>-2.2400707961662586E-3</v>
      </c>
      <c r="M1909" s="551">
        <f>'Sollecitazioni nel paramento'!$G$60*(sezione!$AN$34-C1909)/C1909</f>
        <v>-1.8200943948883449E-3</v>
      </c>
      <c r="N1909" s="551">
        <f>'Sollecitazioni nel paramento'!$G$60*(sezione!$AO$34-C1909)/C1909</f>
        <v>-1.4018878977668979E-4</v>
      </c>
      <c r="O1909" s="551">
        <f>'Sollecitazioni nel paramento'!$G$60*(sezione!$AP$34-C1909)/C1909</f>
        <v>9.7939269788649592E-3</v>
      </c>
      <c r="P1909" s="545">
        <f>-'Sollecitazioni nel paramento'!$G$47*'Sollecitazioni nel paramento'!$G$41*IF(DATI!$G$211="dx",DATI!$E$61,DATI!$E$64*DATI!$E$63)*1000*C1909*sezione!$AD$5</f>
        <v>-6349856.7821559263</v>
      </c>
      <c r="Q1909" s="545">
        <f>'Foglio deposito bis'!$F$78*IF(ABS(K1909)&lt;'Sollecitazioni nel paramento'!$G$58,ABS(K1909)*'Sollecitazioni nel paramento'!$G$54,'Sollecitazioni nel paramento'!$G$53)*IF(K1909&lt;0,-1,1)</f>
        <v>0</v>
      </c>
      <c r="R1909" s="545">
        <f>'Foglio deposito bis'!$F$79*IF(ABS(L1909)&lt;'Sollecitazioni nel paramento'!$G$58,ABS(L1909)*'Sollecitazioni nel paramento'!$G$54,'Sollecitazioni nel paramento'!$G$53)*IF(L1909&lt;0,-1,1)</f>
        <v>-153664.85805602249</v>
      </c>
      <c r="S1909" s="545">
        <f>'Foglio deposito bis'!$F$80*IF(ABS(M1909)&lt;'Sollecitazioni nel paramento'!$G$58,ABS(M1909)*'Sollecitazioni nel paramento'!$G$54,'Sollecitazioni nel paramento'!$G$53)*IF(M1909&lt;0,-1,1)</f>
        <v>0</v>
      </c>
      <c r="T1909" s="545">
        <f>'Foglio deposito bis'!$F$81*IF(ABS(N1909)&lt;'Sollecitazioni nel paramento'!$G$58,ABS(N1909)*'Sollecitazioni nel paramento'!$G$54,'Sollecitazioni nel paramento'!$G$53)*IF(N1909&lt;0,-1,1)</f>
        <v>-29395.130314780206</v>
      </c>
      <c r="U1909" s="545">
        <f>'Foglio deposito bis'!$F$82*IF(ABS(O1909)&lt;'Sollecitazioni nel paramento'!$G$58,ABS(O1909)*'Sollecitazioni nel paramento'!$G$54,'Sollecitazioni nel paramento'!$G$53)*IF(O1909&lt;0,-1,1)</f>
        <v>892485.49558937876</v>
      </c>
      <c r="V1909" s="472">
        <f t="shared" si="134"/>
        <v>-5640431.2749373503</v>
      </c>
      <c r="W1909" s="551"/>
      <c r="X1909" s="551"/>
    </row>
    <row r="1910" spans="1:24" x14ac:dyDescent="0.25">
      <c r="A1910" s="545">
        <f t="shared" si="133"/>
        <v>5717444.7625478562</v>
      </c>
      <c r="B1910" s="3">
        <f t="shared" si="135"/>
        <v>18.499999999999957</v>
      </c>
      <c r="C1910" s="545">
        <f>'Foglio deposito bis'!$E$160/sezione!$B$247*B1910</f>
        <v>168.49762774069907</v>
      </c>
      <c r="D1910" s="603">
        <f>-'Sollecitazioni nel paramento'!$G$47*'Sollecitazioni nel paramento'!$G$41*IF(DATI!$G$211="dx",DATI!$E$61,DATI!$E$64*DATI!$E$63)*1000*C1910^2*sezione!$AD$5*(1-sezione!$AD$6)</f>
        <v>-631671389.59076178</v>
      </c>
      <c r="E1910" s="545">
        <f>-'Foglio deposito bis'!$F$78*(C1910-sezione!$AL$34)*IF(ABS(K1910)&lt;'Sollecitazioni nel paramento'!$G$58,ABS(K1910)*'Sollecitazioni nel paramento'!$G$54,'Sollecitazioni nel paramento'!$G$53)</f>
        <v>0</v>
      </c>
      <c r="F1910" s="545">
        <f>-'Foglio deposito bis'!$F$79*(C1910-sezione!$AM$34)*IF(ABS(L1910)&lt;'Sollecitazioni nel paramento'!$G$58,ABS(L1910)*'Sollecitazioni nel paramento'!$G$54,'Sollecitazioni nel paramento'!$G$53)</f>
        <v>-16672272.566189691</v>
      </c>
      <c r="G1910" s="545">
        <f>-'Foglio deposito bis'!$F$80*(C1910-sezione!$AN$34)*IF(ABS(M1910)&lt;'Sollecitazioni nel paramento'!$G$58,ABS(M1910)*'Sollecitazioni nel paramento'!$G$54,'Sollecitazioni nel paramento'!$G$53)</f>
        <v>0</v>
      </c>
      <c r="H1910" s="545">
        <f>-'Foglio deposito bis'!$F$81*(C1910-sezione!$AO$34)*IF(ABS(N1910)&lt;'Sollecitazioni nel paramento'!$G$58,ABS(N1910)*'Sollecitazioni nel paramento'!$G$54,'Sollecitazioni nel paramento'!$G$53)</f>
        <v>-314508.04602847307</v>
      </c>
      <c r="I1910" s="472">
        <f>-'Foglio deposito bis'!$F$82*(C1910-sezione!$AP$34)*IF(ABS(O1910)&lt;'Sollecitazioni nel paramento'!$G$58,ABS(O1910)*'Sollecitazioni nel paramento'!$G$54,'Sollecitazioni nel paramento'!$G$53)</f>
        <v>414632772.58229089</v>
      </c>
      <c r="J1910" s="472">
        <f t="shared" si="132"/>
        <v>-234025397.62068903</v>
      </c>
      <c r="K1910" s="550">
        <f>'Sollecitazioni nel paramento'!$G$60*(sezione!$AL$34-C1910)/C1910</f>
        <v>-2.669127768282614E-3</v>
      </c>
      <c r="L1910" s="550">
        <f>'Sollecitazioni nel paramento'!$G$60*(sezione!$AM$34-C1910)/C1910</f>
        <v>-2.2536916524239208E-3</v>
      </c>
      <c r="M1910" s="551">
        <f>'Sollecitazioni nel paramento'!$G$60*(sezione!$AN$34-C1910)/C1910</f>
        <v>-1.8382555365652276E-3</v>
      </c>
      <c r="N1910" s="551">
        <f>'Sollecitazioni nel paramento'!$G$60*(sezione!$AO$34-C1910)/C1910</f>
        <v>-1.7651107313045524E-4</v>
      </c>
      <c r="O1910" s="551">
        <f>'Sollecitazioni nel paramento'!$G$60*(sezione!$AP$34-C1910)/C1910</f>
        <v>9.6502088493637186E-3</v>
      </c>
      <c r="P1910" s="545">
        <f>-'Sollecitazioni nel paramento'!$G$47*'Sollecitazioni nel paramento'!$G$41*IF(DATI!$G$211="dx",DATI!$E$61,DATI!$E$64*DATI!$E$63)*1000*C1910*sezione!$AD$5</f>
        <v>-6419254.1240374111</v>
      </c>
      <c r="Q1910" s="545">
        <f>'Foglio deposito bis'!$F$78*IF(ABS(K1910)&lt;'Sollecitazioni nel paramento'!$G$58,ABS(K1910)*'Sollecitazioni nel paramento'!$G$54,'Sollecitazioni nel paramento'!$G$53)*IF(K1910&lt;0,-1,1)</f>
        <v>0</v>
      </c>
      <c r="R1910" s="545">
        <f>'Foglio deposito bis'!$F$79*IF(ABS(L1910)&lt;'Sollecitazioni nel paramento'!$G$58,ABS(L1910)*'Sollecitazioni nel paramento'!$G$54,'Sollecitazioni nel paramento'!$G$53)*IF(L1910&lt;0,-1,1)</f>
        <v>-153664.85805602249</v>
      </c>
      <c r="S1910" s="545">
        <f>'Foglio deposito bis'!$F$80*IF(ABS(M1910)&lt;'Sollecitazioni nel paramento'!$G$58,ABS(M1910)*'Sollecitazioni nel paramento'!$G$54,'Sollecitazioni nel paramento'!$G$53)*IF(M1910&lt;0,-1,1)</f>
        <v>0</v>
      </c>
      <c r="T1910" s="545">
        <f>'Foglio deposito bis'!$F$81*IF(ABS(N1910)&lt;'Sollecitazioni nel paramento'!$G$58,ABS(N1910)*'Sollecitazioni nel paramento'!$G$54,'Sollecitazioni nel paramento'!$G$53)*IF(N1910&lt;0,-1,1)</f>
        <v>-37011.276043800841</v>
      </c>
      <c r="U1910" s="545">
        <f>'Foglio deposito bis'!$F$82*IF(ABS(O1910)&lt;'Sollecitazioni nel paramento'!$G$58,ABS(O1910)*'Sollecitazioni nel paramento'!$G$54,'Sollecitazioni nel paramento'!$G$53)*IF(O1910&lt;0,-1,1)</f>
        <v>892485.49558937876</v>
      </c>
      <c r="V1910" s="472">
        <f t="shared" si="134"/>
        <v>-5717444.7625478562</v>
      </c>
      <c r="W1910" s="551"/>
      <c r="X1910" s="551"/>
    </row>
    <row r="1911" spans="1:24" x14ac:dyDescent="0.25">
      <c r="A1911" s="545">
        <f t="shared" si="133"/>
        <v>5794295.3379502557</v>
      </c>
      <c r="B1911" s="3">
        <f t="shared" si="135"/>
        <v>18.699999999999957</v>
      </c>
      <c r="C1911" s="545">
        <f>'Foglio deposito bis'!$E$160/sezione!$B$247*B1911</f>
        <v>170.31922371627419</v>
      </c>
      <c r="D1911" s="603">
        <f>-'Sollecitazioni nel paramento'!$G$47*'Sollecitazioni nel paramento'!$G$41*IF(DATI!$G$211="dx",DATI!$E$61,DATI!$E$64*DATI!$E$63)*1000*C1911^2*sezione!$AD$5*(1-sezione!$AD$6)</f>
        <v>-645402975.09421039</v>
      </c>
      <c r="E1911" s="545">
        <f>-'Foglio deposito bis'!$F$78*(C1911-sezione!$AL$34)*IF(ABS(K1911)&lt;'Sollecitazioni nel paramento'!$G$58,ABS(K1911)*'Sollecitazioni nel paramento'!$G$54,'Sollecitazioni nel paramento'!$G$53)</f>
        <v>0</v>
      </c>
      <c r="F1911" s="545">
        <f>-'Foglio deposito bis'!$F$79*(C1911-sezione!$AM$34)*IF(ABS(L1911)&lt;'Sollecitazioni nel paramento'!$G$58,ABS(L1911)*'Sollecitazioni nel paramento'!$G$54,'Sollecitazioni nel paramento'!$G$53)</f>
        <v>-16952187.853211865</v>
      </c>
      <c r="G1911" s="545">
        <f>-'Foglio deposito bis'!$F$80*(C1911-sezione!$AN$34)*IF(ABS(M1911)&lt;'Sollecitazioni nel paramento'!$G$58,ABS(M1911)*'Sollecitazioni nel paramento'!$G$54,'Sollecitazioni nel paramento'!$G$53)</f>
        <v>0</v>
      </c>
      <c r="H1911" s="545">
        <f>-'Foglio deposito bis'!$F$81*(C1911-sezione!$AO$34)*IF(ABS(N1911)&lt;'Sollecitazioni nel paramento'!$G$58,ABS(N1911)*'Sollecitazioni nel paramento'!$G$54,'Sollecitazioni nel paramento'!$G$53)</f>
        <v>-458839.22163269826</v>
      </c>
      <c r="I1911" s="472">
        <f>-'Foglio deposito bis'!$F$82*(C1911-sezione!$AP$34)*IF(ABS(O1911)&lt;'Sollecitazioni nel paramento'!$G$58,ABS(O1911)*'Sollecitazioni nel paramento'!$G$54,'Sollecitazioni nel paramento'!$G$53)</f>
        <v>413007024.59526604</v>
      </c>
      <c r="J1911" s="472">
        <f t="shared" si="132"/>
        <v>-249806977.57378894</v>
      </c>
      <c r="K1911" s="550">
        <f>'Sollecitazioni nel paramento'!$G$60*(sezione!$AL$34-C1911)/C1911</f>
        <v>-2.6780141023116768E-3</v>
      </c>
      <c r="L1911" s="550">
        <f>'Sollecitazioni nel paramento'!$G$60*(sezione!$AM$34-C1911)/C1911</f>
        <v>-2.2670211534675153E-3</v>
      </c>
      <c r="M1911" s="551">
        <f>'Sollecitazioni nel paramento'!$G$60*(sezione!$AN$34-C1911)/C1911</f>
        <v>-1.8560282046233534E-3</v>
      </c>
      <c r="N1911" s="551">
        <f>'Sollecitazioni nel paramento'!$G$60*(sezione!$AO$34-C1911)/C1911</f>
        <v>-2.1205640924670699E-4</v>
      </c>
      <c r="O1911" s="551">
        <f>'Sollecitazioni nel paramento'!$G$60*(sezione!$AP$34-C1911)/C1911</f>
        <v>9.5095649044507364E-3</v>
      </c>
      <c r="P1911" s="545">
        <f>-'Sollecitazioni nel paramento'!$G$47*'Sollecitazioni nel paramento'!$G$41*IF(DATI!$G$211="dx",DATI!$E$61,DATI!$E$64*DATI!$E$63)*1000*C1911*sezione!$AD$5</f>
        <v>-6488651.4659188967</v>
      </c>
      <c r="Q1911" s="545">
        <f>'Foglio deposito bis'!$F$78*IF(ABS(K1911)&lt;'Sollecitazioni nel paramento'!$G$58,ABS(K1911)*'Sollecitazioni nel paramento'!$G$54,'Sollecitazioni nel paramento'!$G$53)*IF(K1911&lt;0,-1,1)</f>
        <v>0</v>
      </c>
      <c r="R1911" s="545">
        <f>'Foglio deposito bis'!$F$79*IF(ABS(L1911)&lt;'Sollecitazioni nel paramento'!$G$58,ABS(L1911)*'Sollecitazioni nel paramento'!$G$54,'Sollecitazioni nel paramento'!$G$53)*IF(L1911&lt;0,-1,1)</f>
        <v>-153664.85805602249</v>
      </c>
      <c r="S1911" s="545">
        <f>'Foglio deposito bis'!$F$80*IF(ABS(M1911)&lt;'Sollecitazioni nel paramento'!$G$58,ABS(M1911)*'Sollecitazioni nel paramento'!$G$54,'Sollecitazioni nel paramento'!$G$53)*IF(M1911&lt;0,-1,1)</f>
        <v>0</v>
      </c>
      <c r="T1911" s="545">
        <f>'Foglio deposito bis'!$F$81*IF(ABS(N1911)&lt;'Sollecitazioni nel paramento'!$G$58,ABS(N1911)*'Sollecitazioni nel paramento'!$G$54,'Sollecitazioni nel paramento'!$G$53)*IF(N1911&lt;0,-1,1)</f>
        <v>-44464.509564714077</v>
      </c>
      <c r="U1911" s="545">
        <f>'Foglio deposito bis'!$F$82*IF(ABS(O1911)&lt;'Sollecitazioni nel paramento'!$G$58,ABS(O1911)*'Sollecitazioni nel paramento'!$G$54,'Sollecitazioni nel paramento'!$G$53)*IF(O1911&lt;0,-1,1)</f>
        <v>892485.49558937876</v>
      </c>
      <c r="V1911" s="472">
        <f t="shared" si="134"/>
        <v>-5794295.3379502557</v>
      </c>
      <c r="W1911" s="551"/>
      <c r="X1911" s="551"/>
    </row>
    <row r="1912" spans="1:24" x14ac:dyDescent="0.25">
      <c r="A1912" s="545">
        <f t="shared" si="133"/>
        <v>5870988.1729606763</v>
      </c>
      <c r="B1912" s="3">
        <f t="shared" si="135"/>
        <v>18.899999999999956</v>
      </c>
      <c r="C1912" s="545">
        <f>'Foglio deposito bis'!$E$160/sezione!$B$247*B1912</f>
        <v>172.14081969184932</v>
      </c>
      <c r="D1912" s="603">
        <f>-'Sollecitazioni nel paramento'!$G$47*'Sollecitazioni nel paramento'!$G$41*IF(DATI!$G$211="dx",DATI!$E$61,DATI!$E$64*DATI!$E$63)*1000*C1912^2*sezione!$AD$5*(1-sezione!$AD$6)</f>
        <v>-659282212.05468535</v>
      </c>
      <c r="E1912" s="545">
        <f>-'Foglio deposito bis'!$F$78*(C1912-sezione!$AL$34)*IF(ABS(K1912)&lt;'Sollecitazioni nel paramento'!$G$58,ABS(K1912)*'Sollecitazioni nel paramento'!$G$54,'Sollecitazioni nel paramento'!$G$53)</f>
        <v>0</v>
      </c>
      <c r="F1912" s="545">
        <f>-'Foglio deposito bis'!$F$79*(C1912-sezione!$AM$34)*IF(ABS(L1912)&lt;'Sollecitazioni nel paramento'!$G$58,ABS(L1912)*'Sollecitazioni nel paramento'!$G$54,'Sollecitazioni nel paramento'!$G$53)</f>
        <v>-17232103.140234038</v>
      </c>
      <c r="G1912" s="545">
        <f>-'Foglio deposito bis'!$F$80*(C1912-sezione!$AN$34)*IF(ABS(M1912)&lt;'Sollecitazioni nel paramento'!$G$58,ABS(M1912)*'Sollecitazioni nel paramento'!$G$54,'Sollecitazioni nel paramento'!$G$53)</f>
        <v>0</v>
      </c>
      <c r="H1912" s="545">
        <f>-'Foglio deposito bis'!$F$81*(C1912-sezione!$AO$34)*IF(ABS(N1912)&lt;'Sollecitazioni nel paramento'!$G$58,ABS(N1912)*'Sollecitazioni nel paramento'!$G$54,'Sollecitazioni nel paramento'!$G$53)</f>
        <v>-628408.85995324352</v>
      </c>
      <c r="I1912" s="472">
        <f>-'Foglio deposito bis'!$F$82*(C1912-sezione!$AP$34)*IF(ABS(O1912)&lt;'Sollecitazioni nel paramento'!$G$58,ABS(O1912)*'Sollecitazioni nel paramento'!$G$54,'Sollecitazioni nel paramento'!$G$53)</f>
        <v>411381276.60824126</v>
      </c>
      <c r="J1912" s="472">
        <f t="shared" si="132"/>
        <v>-265761447.44663137</v>
      </c>
      <c r="K1912" s="550">
        <f>'Sollecitazioni nel paramento'!$G$60*(sezione!$AL$34-C1912)/C1912</f>
        <v>-2.6867123657792779E-3</v>
      </c>
      <c r="L1912" s="550">
        <f>'Sollecitazioni nel paramento'!$G$60*(sezione!$AM$34-C1912)/C1912</f>
        <v>-2.2800685486689173E-3</v>
      </c>
      <c r="M1912" s="551">
        <f>'Sollecitazioni nel paramento'!$G$60*(sezione!$AN$34-C1912)/C1912</f>
        <v>-1.873424731558556E-3</v>
      </c>
      <c r="N1912" s="551">
        <f>'Sollecitazioni nel paramento'!$G$60*(sezione!$AO$34-C1912)/C1912</f>
        <v>-2.4684946311711214E-4</v>
      </c>
      <c r="O1912" s="551">
        <f>'Sollecitazioni nel paramento'!$G$60*(sezione!$AP$34-C1912)/C1912</f>
        <v>9.3718975509644864E-3</v>
      </c>
      <c r="P1912" s="545">
        <f>-'Sollecitazioni nel paramento'!$G$47*'Sollecitazioni nel paramento'!$G$41*IF(DATI!$G$211="dx",DATI!$E$61,DATI!$E$64*DATI!$E$63)*1000*C1912*sezione!$AD$5</f>
        <v>-6558048.8078003824</v>
      </c>
      <c r="Q1912" s="545">
        <f>'Foglio deposito bis'!$F$78*IF(ABS(K1912)&lt;'Sollecitazioni nel paramento'!$G$58,ABS(K1912)*'Sollecitazioni nel paramento'!$G$54,'Sollecitazioni nel paramento'!$G$53)*IF(K1912&lt;0,-1,1)</f>
        <v>0</v>
      </c>
      <c r="R1912" s="545">
        <f>'Foglio deposito bis'!$F$79*IF(ABS(L1912)&lt;'Sollecitazioni nel paramento'!$G$58,ABS(L1912)*'Sollecitazioni nel paramento'!$G$54,'Sollecitazioni nel paramento'!$G$53)*IF(L1912&lt;0,-1,1)</f>
        <v>-153664.85805602249</v>
      </c>
      <c r="S1912" s="545">
        <f>'Foglio deposito bis'!$F$80*IF(ABS(M1912)&lt;'Sollecitazioni nel paramento'!$G$58,ABS(M1912)*'Sollecitazioni nel paramento'!$G$54,'Sollecitazioni nel paramento'!$G$53)*IF(M1912&lt;0,-1,1)</f>
        <v>0</v>
      </c>
      <c r="T1912" s="545">
        <f>'Foglio deposito bis'!$F$81*IF(ABS(N1912)&lt;'Sollecitazioni nel paramento'!$G$58,ABS(N1912)*'Sollecitazioni nel paramento'!$G$54,'Sollecitazioni nel paramento'!$G$53)*IF(N1912&lt;0,-1,1)</f>
        <v>-51760.00269365032</v>
      </c>
      <c r="U1912" s="545">
        <f>'Foglio deposito bis'!$F$82*IF(ABS(O1912)&lt;'Sollecitazioni nel paramento'!$G$58,ABS(O1912)*'Sollecitazioni nel paramento'!$G$54,'Sollecitazioni nel paramento'!$G$53)*IF(O1912&lt;0,-1,1)</f>
        <v>892485.49558937876</v>
      </c>
      <c r="V1912" s="472">
        <f t="shared" si="134"/>
        <v>-5870988.1729606763</v>
      </c>
      <c r="W1912" s="551"/>
      <c r="X1912" s="551"/>
    </row>
    <row r="1913" spans="1:24" x14ac:dyDescent="0.25">
      <c r="A1913" s="545">
        <f t="shared" si="133"/>
        <v>5947528.2227746807</v>
      </c>
      <c r="B1913" s="3">
        <f t="shared" si="135"/>
        <v>19.099999999999955</v>
      </c>
      <c r="C1913" s="545">
        <f>'Foglio deposito bis'!$E$160/sezione!$B$247*B1913</f>
        <v>173.96241566742444</v>
      </c>
      <c r="D1913" s="603">
        <f>-'Sollecitazioni nel paramento'!$G$47*'Sollecitazioni nel paramento'!$G$41*IF(DATI!$G$211="dx",DATI!$E$61,DATI!$E$64*DATI!$E$63)*1000*C1913^2*sezione!$AD$5*(1-sezione!$AD$6)</f>
        <v>-673309100.47218645</v>
      </c>
      <c r="E1913" s="545">
        <f>-'Foglio deposito bis'!$F$78*(C1913-sezione!$AL$34)*IF(ABS(K1913)&lt;'Sollecitazioni nel paramento'!$G$58,ABS(K1913)*'Sollecitazioni nel paramento'!$G$54,'Sollecitazioni nel paramento'!$G$53)</f>
        <v>0</v>
      </c>
      <c r="F1913" s="545">
        <f>-'Foglio deposito bis'!$F$79*(C1913-sezione!$AM$34)*IF(ABS(L1913)&lt;'Sollecitazioni nel paramento'!$G$58,ABS(L1913)*'Sollecitazioni nel paramento'!$G$54,'Sollecitazioni nel paramento'!$G$53)</f>
        <v>-17512018.427256212</v>
      </c>
      <c r="G1913" s="545">
        <f>-'Foglio deposito bis'!$F$80*(C1913-sezione!$AN$34)*IF(ABS(M1913)&lt;'Sollecitazioni nel paramento'!$G$58,ABS(M1913)*'Sollecitazioni nel paramento'!$G$54,'Sollecitazioni nel paramento'!$G$53)</f>
        <v>0</v>
      </c>
      <c r="H1913" s="545">
        <f>-'Foglio deposito bis'!$F$81*(C1913-sezione!$AO$34)*IF(ABS(N1913)&lt;'Sollecitazioni nel paramento'!$G$58,ABS(N1913)*'Sollecitazioni nel paramento'!$G$54,'Sollecitazioni nel paramento'!$G$53)</f>
        <v>-822424.12970059051</v>
      </c>
      <c r="I1913" s="472">
        <f>-'Foglio deposito bis'!$F$82*(C1913-sezione!$AP$34)*IF(ABS(O1913)&lt;'Sollecitazioni nel paramento'!$G$58,ABS(O1913)*'Sollecitazioni nel paramento'!$G$54,'Sollecitazioni nel paramento'!$G$53)</f>
        <v>409755528.62121642</v>
      </c>
      <c r="J1913" s="472">
        <f t="shared" si="132"/>
        <v>-281888014.4079268</v>
      </c>
      <c r="K1913" s="550">
        <f>'Sollecitazioni nel paramento'!$G$60*(sezione!$AL$34-C1913)/C1913</f>
        <v>-2.6952284666611707E-3</v>
      </c>
      <c r="L1913" s="550">
        <f>'Sollecitazioni nel paramento'!$G$60*(sezione!$AM$34-C1913)/C1913</f>
        <v>-2.2928426999917558E-3</v>
      </c>
      <c r="M1913" s="551">
        <f>'Sollecitazioni nel paramento'!$G$60*(sezione!$AN$34-C1913)/C1913</f>
        <v>-1.8904569333223408E-3</v>
      </c>
      <c r="N1913" s="551">
        <f>'Sollecitazioni nel paramento'!$G$60*(sezione!$AO$34-C1913)/C1913</f>
        <v>-2.8091386664468157E-4</v>
      </c>
      <c r="O1913" s="551">
        <f>'Sollecitazioni nel paramento'!$G$60*(sezione!$AP$34-C1913)/C1913</f>
        <v>9.2371132834151194E-3</v>
      </c>
      <c r="P1913" s="545">
        <f>-'Sollecitazioni nel paramento'!$G$47*'Sollecitazioni nel paramento'!$G$41*IF(DATI!$G$211="dx",DATI!$E$61,DATI!$E$64*DATI!$E$63)*1000*C1913*sezione!$AD$5</f>
        <v>-6627446.1496818671</v>
      </c>
      <c r="Q1913" s="545">
        <f>'Foglio deposito bis'!$F$78*IF(ABS(K1913)&lt;'Sollecitazioni nel paramento'!$G$58,ABS(K1913)*'Sollecitazioni nel paramento'!$G$54,'Sollecitazioni nel paramento'!$G$53)*IF(K1913&lt;0,-1,1)</f>
        <v>0</v>
      </c>
      <c r="R1913" s="545">
        <f>'Foglio deposito bis'!$F$79*IF(ABS(L1913)&lt;'Sollecitazioni nel paramento'!$G$58,ABS(L1913)*'Sollecitazioni nel paramento'!$G$54,'Sollecitazioni nel paramento'!$G$53)*IF(L1913&lt;0,-1,1)</f>
        <v>-153664.85805602249</v>
      </c>
      <c r="S1913" s="545">
        <f>'Foglio deposito bis'!$F$80*IF(ABS(M1913)&lt;'Sollecitazioni nel paramento'!$G$58,ABS(M1913)*'Sollecitazioni nel paramento'!$G$54,'Sollecitazioni nel paramento'!$G$53)*IF(M1913&lt;0,-1,1)</f>
        <v>0</v>
      </c>
      <c r="T1913" s="545">
        <f>'Foglio deposito bis'!$F$81*IF(ABS(N1913)&lt;'Sollecitazioni nel paramento'!$G$58,ABS(N1913)*'Sollecitazioni nel paramento'!$G$54,'Sollecitazioni nel paramento'!$G$53)*IF(N1913&lt;0,-1,1)</f>
        <v>-58902.710626169042</v>
      </c>
      <c r="U1913" s="545">
        <f>'Foglio deposito bis'!$F$82*IF(ABS(O1913)&lt;'Sollecitazioni nel paramento'!$G$58,ABS(O1913)*'Sollecitazioni nel paramento'!$G$54,'Sollecitazioni nel paramento'!$G$53)*IF(O1913&lt;0,-1,1)</f>
        <v>892485.49558937876</v>
      </c>
      <c r="V1913" s="472">
        <f t="shared" si="134"/>
        <v>-5947528.2227746807</v>
      </c>
      <c r="W1913" s="551"/>
      <c r="X1913" s="551"/>
    </row>
    <row r="1914" spans="1:24" x14ac:dyDescent="0.25">
      <c r="A1914" s="545">
        <f t="shared" si="133"/>
        <v>6023920.2371911202</v>
      </c>
      <c r="B1914" s="3">
        <f t="shared" si="135"/>
        <v>19.299999999999955</v>
      </c>
      <c r="C1914" s="545">
        <f>'Foglio deposito bis'!$E$160/sezione!$B$247*B1914</f>
        <v>175.78401164299956</v>
      </c>
      <c r="D1914" s="603">
        <f>-'Sollecitazioni nel paramento'!$G$47*'Sollecitazioni nel paramento'!$G$41*IF(DATI!$G$211="dx",DATI!$E$61,DATI!$E$64*DATI!$E$63)*1000*C1914^2*sezione!$AD$5*(1-sezione!$AD$6)</f>
        <v>-687483640.34671402</v>
      </c>
      <c r="E1914" s="545">
        <f>-'Foglio deposito bis'!$F$78*(C1914-sezione!$AL$34)*IF(ABS(K1914)&lt;'Sollecitazioni nel paramento'!$G$58,ABS(K1914)*'Sollecitazioni nel paramento'!$G$54,'Sollecitazioni nel paramento'!$G$53)</f>
        <v>0</v>
      </c>
      <c r="F1914" s="545">
        <f>-'Foglio deposito bis'!$F$79*(C1914-sezione!$AM$34)*IF(ABS(L1914)&lt;'Sollecitazioni nel paramento'!$G$58,ABS(L1914)*'Sollecitazioni nel paramento'!$G$54,'Sollecitazioni nel paramento'!$G$53)</f>
        <v>-17791933.714278381</v>
      </c>
      <c r="G1914" s="545">
        <f>-'Foglio deposito bis'!$F$80*(C1914-sezione!$AN$34)*IF(ABS(M1914)&lt;'Sollecitazioni nel paramento'!$G$58,ABS(M1914)*'Sollecitazioni nel paramento'!$G$54,'Sollecitazioni nel paramento'!$G$53)</f>
        <v>0</v>
      </c>
      <c r="H1914" s="545">
        <f>-'Foglio deposito bis'!$F$81*(C1914-sezione!$AO$34)*IF(ABS(N1914)&lt;'Sollecitazioni nel paramento'!$G$58,ABS(N1914)*'Sollecitazioni nel paramento'!$G$54,'Sollecitazioni nel paramento'!$G$53)</f>
        <v>-1040125.0630583623</v>
      </c>
      <c r="I1914" s="472">
        <f>-'Foglio deposito bis'!$F$82*(C1914-sezione!$AP$34)*IF(ABS(O1914)&lt;'Sollecitazioni nel paramento'!$G$58,ABS(O1914)*'Sollecitazioni nel paramento'!$G$54,'Sollecitazioni nel paramento'!$G$53)</f>
        <v>408129780.63419175</v>
      </c>
      <c r="J1914" s="472">
        <f t="shared" si="132"/>
        <v>-298185918.48985898</v>
      </c>
      <c r="K1914" s="550">
        <f>'Sollecitazioni nel paramento'!$G$60*(sezione!$AL$34-C1914)/C1914</f>
        <v>-2.7035680680429202E-3</v>
      </c>
      <c r="L1914" s="550">
        <f>'Sollecitazioni nel paramento'!$G$60*(sezione!$AM$34-C1914)/C1914</f>
        <v>-2.30535210206438E-3</v>
      </c>
      <c r="M1914" s="551">
        <f>'Sollecitazioni nel paramento'!$G$60*(sezione!$AN$34-C1914)/C1914</f>
        <v>-1.9071361360858399E-3</v>
      </c>
      <c r="N1914" s="551">
        <f>'Sollecitazioni nel paramento'!$G$60*(sezione!$AO$34-C1914)/C1914</f>
        <v>-3.1427227217167961E-4</v>
      </c>
      <c r="O1914" s="551">
        <f>'Sollecitazioni nel paramento'!$G$60*(sezione!$AP$34-C1914)/C1914</f>
        <v>9.1051224721880215E-3</v>
      </c>
      <c r="P1914" s="545">
        <f>-'Sollecitazioni nel paramento'!$G$47*'Sollecitazioni nel paramento'!$G$41*IF(DATI!$G$211="dx",DATI!$E$61,DATI!$E$64*DATI!$E$63)*1000*C1914*sezione!$AD$5</f>
        <v>-6696843.4915633528</v>
      </c>
      <c r="Q1914" s="545">
        <f>'Foglio deposito bis'!$F$78*IF(ABS(K1914)&lt;'Sollecitazioni nel paramento'!$G$58,ABS(K1914)*'Sollecitazioni nel paramento'!$G$54,'Sollecitazioni nel paramento'!$G$53)*IF(K1914&lt;0,-1,1)</f>
        <v>0</v>
      </c>
      <c r="R1914" s="545">
        <f>'Foglio deposito bis'!$F$79*IF(ABS(L1914)&lt;'Sollecitazioni nel paramento'!$G$58,ABS(L1914)*'Sollecitazioni nel paramento'!$G$54,'Sollecitazioni nel paramento'!$G$53)*IF(L1914&lt;0,-1,1)</f>
        <v>-153664.85805602249</v>
      </c>
      <c r="S1914" s="545">
        <f>'Foglio deposito bis'!$F$80*IF(ABS(M1914)&lt;'Sollecitazioni nel paramento'!$G$58,ABS(M1914)*'Sollecitazioni nel paramento'!$G$54,'Sollecitazioni nel paramento'!$G$53)*IF(M1914&lt;0,-1,1)</f>
        <v>0</v>
      </c>
      <c r="T1914" s="545">
        <f>'Foglio deposito bis'!$F$81*IF(ABS(N1914)&lt;'Sollecitazioni nel paramento'!$G$58,ABS(N1914)*'Sollecitazioni nel paramento'!$G$54,'Sollecitazioni nel paramento'!$G$53)*IF(N1914&lt;0,-1,1)</f>
        <v>-65897.38316112262</v>
      </c>
      <c r="U1914" s="545">
        <f>'Foglio deposito bis'!$F$82*IF(ABS(O1914)&lt;'Sollecitazioni nel paramento'!$G$58,ABS(O1914)*'Sollecitazioni nel paramento'!$G$54,'Sollecitazioni nel paramento'!$G$53)*IF(O1914&lt;0,-1,1)</f>
        <v>892485.49558937876</v>
      </c>
      <c r="V1914" s="472">
        <f t="shared" si="134"/>
        <v>-6023920.2371911202</v>
      </c>
      <c r="W1914" s="551"/>
      <c r="X1914" s="551"/>
    </row>
    <row r="1915" spans="1:24" x14ac:dyDescent="0.25">
      <c r="A1915" s="545">
        <f t="shared" si="133"/>
        <v>6100168.7711453028</v>
      </c>
      <c r="B1915" s="3">
        <f t="shared" si="135"/>
        <v>19.499999999999954</v>
      </c>
      <c r="C1915" s="545">
        <f>'Foglio deposito bis'!$E$160/sezione!$B$247*B1915</f>
        <v>177.60560761857468</v>
      </c>
      <c r="D1915" s="603">
        <f>-'Sollecitazioni nel paramento'!$G$47*'Sollecitazioni nel paramento'!$G$41*IF(DATI!$G$211="dx",DATI!$E$61,DATI!$E$64*DATI!$E$63)*1000*C1915^2*sezione!$AD$5*(1-sezione!$AD$6)</f>
        <v>-701805831.67826784</v>
      </c>
      <c r="E1915" s="545">
        <f>-'Foglio deposito bis'!$F$78*(C1915-sezione!$AL$34)*IF(ABS(K1915)&lt;'Sollecitazioni nel paramento'!$G$58,ABS(K1915)*'Sollecitazioni nel paramento'!$G$54,'Sollecitazioni nel paramento'!$G$53)</f>
        <v>0</v>
      </c>
      <c r="F1915" s="545">
        <f>-'Foglio deposito bis'!$F$79*(C1915-sezione!$AM$34)*IF(ABS(L1915)&lt;'Sollecitazioni nel paramento'!$G$58,ABS(L1915)*'Sollecitazioni nel paramento'!$G$54,'Sollecitazioni nel paramento'!$G$53)</f>
        <v>-18071849.001300555</v>
      </c>
      <c r="G1915" s="545">
        <f>-'Foglio deposito bis'!$F$80*(C1915-sezione!$AN$34)*IF(ABS(M1915)&lt;'Sollecitazioni nel paramento'!$G$58,ABS(M1915)*'Sollecitazioni nel paramento'!$G$54,'Sollecitazioni nel paramento'!$G$53)</f>
        <v>0</v>
      </c>
      <c r="H1915" s="545">
        <f>-'Foglio deposito bis'!$F$81*(C1915-sezione!$AO$34)*IF(ABS(N1915)&lt;'Sollecitazioni nel paramento'!$G$58,ABS(N1915)*'Sollecitazioni nel paramento'!$G$54,'Sollecitazioni nel paramento'!$G$53)</f>
        <v>-1280782.8703770074</v>
      </c>
      <c r="I1915" s="472">
        <f>-'Foglio deposito bis'!$F$82*(C1915-sezione!$AP$34)*IF(ABS(O1915)&lt;'Sollecitazioni nel paramento'!$G$58,ABS(O1915)*'Sollecitazioni nel paramento'!$G$54,'Sollecitazioni nel paramento'!$G$53)</f>
        <v>406504032.64716691</v>
      </c>
      <c r="J1915" s="472">
        <f t="shared" si="132"/>
        <v>-314654430.90277857</v>
      </c>
      <c r="K1915" s="550">
        <f>'Sollecitazioni nel paramento'!$G$60*(sezione!$AL$34-C1915)/C1915</f>
        <v>-2.7117366006783774E-3</v>
      </c>
      <c r="L1915" s="550">
        <f>'Sollecitazioni nel paramento'!$G$60*(sezione!$AM$34-C1915)/C1915</f>
        <v>-2.3176049010175657E-3</v>
      </c>
      <c r="M1915" s="551">
        <f>'Sollecitazioni nel paramento'!$G$60*(sezione!$AN$34-C1915)/C1915</f>
        <v>-1.9234732013567544E-3</v>
      </c>
      <c r="N1915" s="551">
        <f>'Sollecitazioni nel paramento'!$G$60*(sezione!$AO$34-C1915)/C1915</f>
        <v>-3.4694640271350848E-4</v>
      </c>
      <c r="O1915" s="551">
        <f>'Sollecitazioni nel paramento'!$G$60*(sezione!$AP$34-C1915)/C1915</f>
        <v>8.9758391647809625E-3</v>
      </c>
      <c r="P1915" s="545">
        <f>-'Sollecitazioni nel paramento'!$G$47*'Sollecitazioni nel paramento'!$G$41*IF(DATI!$G$211="dx",DATI!$E$61,DATI!$E$64*DATI!$E$63)*1000*C1915*sezione!$AD$5</f>
        <v>-6766240.8334448384</v>
      </c>
      <c r="Q1915" s="545">
        <f>'Foglio deposito bis'!$F$78*IF(ABS(K1915)&lt;'Sollecitazioni nel paramento'!$G$58,ABS(K1915)*'Sollecitazioni nel paramento'!$G$54,'Sollecitazioni nel paramento'!$G$53)*IF(K1915&lt;0,-1,1)</f>
        <v>0</v>
      </c>
      <c r="R1915" s="545">
        <f>'Foglio deposito bis'!$F$79*IF(ABS(L1915)&lt;'Sollecitazioni nel paramento'!$G$58,ABS(L1915)*'Sollecitazioni nel paramento'!$G$54,'Sollecitazioni nel paramento'!$G$53)*IF(L1915&lt;0,-1,1)</f>
        <v>-153664.85805602249</v>
      </c>
      <c r="S1915" s="545">
        <f>'Foglio deposito bis'!$F$80*IF(ABS(M1915)&lt;'Sollecitazioni nel paramento'!$G$58,ABS(M1915)*'Sollecitazioni nel paramento'!$G$54,'Sollecitazioni nel paramento'!$G$53)*IF(M1915&lt;0,-1,1)</f>
        <v>0</v>
      </c>
      <c r="T1915" s="545">
        <f>'Foglio deposito bis'!$F$81*IF(ABS(N1915)&lt;'Sollecitazioni nel paramento'!$G$58,ABS(N1915)*'Sollecitazioni nel paramento'!$G$54,'Sollecitazioni nel paramento'!$G$53)*IF(N1915&lt;0,-1,1)</f>
        <v>-72748.575233820724</v>
      </c>
      <c r="U1915" s="545">
        <f>'Foglio deposito bis'!$F$82*IF(ABS(O1915)&lt;'Sollecitazioni nel paramento'!$G$58,ABS(O1915)*'Sollecitazioni nel paramento'!$G$54,'Sollecitazioni nel paramento'!$G$53)*IF(O1915&lt;0,-1,1)</f>
        <v>892485.49558937876</v>
      </c>
      <c r="V1915" s="472">
        <f t="shared" si="134"/>
        <v>-6100168.7711453028</v>
      </c>
      <c r="W1915" s="551"/>
      <c r="X1915" s="551"/>
    </row>
    <row r="1916" spans="1:24" x14ac:dyDescent="0.25">
      <c r="A1916" s="545">
        <f t="shared" si="133"/>
        <v>6176278.1946005486</v>
      </c>
      <c r="B1916" s="3">
        <f t="shared" si="135"/>
        <v>19.699999999999953</v>
      </c>
      <c r="C1916" s="545">
        <f>'Foglio deposito bis'!$E$160/sezione!$B$247*B1916</f>
        <v>179.4272035941498</v>
      </c>
      <c r="D1916" s="603">
        <f>-'Sollecitazioni nel paramento'!$G$47*'Sollecitazioni nel paramento'!$G$41*IF(DATI!$G$211="dx",DATI!$E$61,DATI!$E$64*DATI!$E$63)*1000*C1916^2*sezione!$AD$5*(1-sezione!$AD$6)</f>
        <v>-716275674.46684802</v>
      </c>
      <c r="E1916" s="545">
        <f>-'Foglio deposito bis'!$F$78*(C1916-sezione!$AL$34)*IF(ABS(K1916)&lt;'Sollecitazioni nel paramento'!$G$58,ABS(K1916)*'Sollecitazioni nel paramento'!$G$54,'Sollecitazioni nel paramento'!$G$53)</f>
        <v>0</v>
      </c>
      <c r="F1916" s="545">
        <f>-'Foglio deposito bis'!$F$79*(C1916-sezione!$AM$34)*IF(ABS(L1916)&lt;'Sollecitazioni nel paramento'!$G$58,ABS(L1916)*'Sollecitazioni nel paramento'!$G$54,'Sollecitazioni nel paramento'!$G$53)</f>
        <v>-18351764.288322728</v>
      </c>
      <c r="G1916" s="545">
        <f>-'Foglio deposito bis'!$F$80*(C1916-sezione!$AN$34)*IF(ABS(M1916)&lt;'Sollecitazioni nel paramento'!$G$58,ABS(M1916)*'Sollecitazioni nel paramento'!$G$54,'Sollecitazioni nel paramento'!$G$53)</f>
        <v>0</v>
      </c>
      <c r="H1916" s="545">
        <f>-'Foglio deposito bis'!$F$81*(C1916-sezione!$AO$34)*IF(ABS(N1916)&lt;'Sollecitazioni nel paramento'!$G$58,ABS(N1916)*'Sollecitazioni nel paramento'!$G$54,'Sollecitazioni nel paramento'!$G$53)</f>
        <v>-1543698.3575257375</v>
      </c>
      <c r="I1916" s="472">
        <f>-'Foglio deposito bis'!$F$82*(C1916-sezione!$AP$34)*IF(ABS(O1916)&lt;'Sollecitazioni nel paramento'!$G$58,ABS(O1916)*'Sollecitazioni nel paramento'!$G$54,'Sollecitazioni nel paramento'!$G$53)</f>
        <v>404878284.66014212</v>
      </c>
      <c r="J1916" s="472">
        <f t="shared" si="132"/>
        <v>-331292852.45255429</v>
      </c>
      <c r="K1916" s="550">
        <f>'Sollecitazioni nel paramento'!$G$60*(sezione!$AL$34-C1916)/C1916</f>
        <v>-2.7197392747831651E-3</v>
      </c>
      <c r="L1916" s="550">
        <f>'Sollecitazioni nel paramento'!$G$60*(sezione!$AM$34-C1916)/C1916</f>
        <v>-2.329608912174748E-3</v>
      </c>
      <c r="M1916" s="551">
        <f>'Sollecitazioni nel paramento'!$G$60*(sezione!$AN$34-C1916)/C1916</f>
        <v>-1.9394785495663303E-3</v>
      </c>
      <c r="N1916" s="551">
        <f>'Sollecitazioni nel paramento'!$G$60*(sezione!$AO$34-C1916)/C1916</f>
        <v>-3.789570991326606E-4</v>
      </c>
      <c r="O1916" s="551">
        <f>'Sollecitazioni nel paramento'!$G$60*(sezione!$AP$34-C1916)/C1916</f>
        <v>8.8491808991486703E-3</v>
      </c>
      <c r="P1916" s="545">
        <f>-'Sollecitazioni nel paramento'!$G$47*'Sollecitazioni nel paramento'!$G$41*IF(DATI!$G$211="dx",DATI!$E$61,DATI!$E$64*DATI!$E$63)*1000*C1916*sezione!$AD$5</f>
        <v>-6835638.1753263231</v>
      </c>
      <c r="Q1916" s="545">
        <f>'Foglio deposito bis'!$F$78*IF(ABS(K1916)&lt;'Sollecitazioni nel paramento'!$G$58,ABS(K1916)*'Sollecitazioni nel paramento'!$G$54,'Sollecitazioni nel paramento'!$G$53)*IF(K1916&lt;0,-1,1)</f>
        <v>0</v>
      </c>
      <c r="R1916" s="545">
        <f>'Foglio deposito bis'!$F$79*IF(ABS(L1916)&lt;'Sollecitazioni nel paramento'!$G$58,ABS(L1916)*'Sollecitazioni nel paramento'!$G$54,'Sollecitazioni nel paramento'!$G$53)*IF(L1916&lt;0,-1,1)</f>
        <v>-153664.85805602249</v>
      </c>
      <c r="S1916" s="545">
        <f>'Foglio deposito bis'!$F$80*IF(ABS(M1916)&lt;'Sollecitazioni nel paramento'!$G$58,ABS(M1916)*'Sollecitazioni nel paramento'!$G$54,'Sollecitazioni nel paramento'!$G$53)*IF(M1916&lt;0,-1,1)</f>
        <v>0</v>
      </c>
      <c r="T1916" s="545">
        <f>'Foglio deposito bis'!$F$81*IF(ABS(N1916)&lt;'Sollecitazioni nel paramento'!$G$58,ABS(N1916)*'Sollecitazioni nel paramento'!$G$54,'Sollecitazioni nel paramento'!$G$53)*IF(N1916&lt;0,-1,1)</f>
        <v>-79460.656807580803</v>
      </c>
      <c r="U1916" s="545">
        <f>'Foglio deposito bis'!$F$82*IF(ABS(O1916)&lt;'Sollecitazioni nel paramento'!$G$58,ABS(O1916)*'Sollecitazioni nel paramento'!$G$54,'Sollecitazioni nel paramento'!$G$53)*IF(O1916&lt;0,-1,1)</f>
        <v>892485.49558937876</v>
      </c>
      <c r="V1916" s="472">
        <f t="shared" si="134"/>
        <v>-6176278.1946005486</v>
      </c>
      <c r="W1916" s="551"/>
      <c r="X1916" s="551"/>
    </row>
    <row r="1917" spans="1:24" x14ac:dyDescent="0.25">
      <c r="A1917" s="545">
        <f t="shared" si="133"/>
        <v>6252252.7018432561</v>
      </c>
      <c r="B1917" s="3">
        <f t="shared" si="135"/>
        <v>19.899999999999952</v>
      </c>
      <c r="C1917" s="545">
        <f>'Foglio deposito bis'!$E$160/sezione!$B$247*B1917</f>
        <v>181.24879956972492</v>
      </c>
      <c r="D1917" s="603">
        <f>-'Sollecitazioni nel paramento'!$G$47*'Sollecitazioni nel paramento'!$G$41*IF(DATI!$G$211="dx",DATI!$E$61,DATI!$E$64*DATI!$E$63)*1000*C1917^2*sezione!$AD$5*(1-sezione!$AD$6)</f>
        <v>-730893168.71245444</v>
      </c>
      <c r="E1917" s="545">
        <f>-'Foglio deposito bis'!$F$78*(C1917-sezione!$AL$34)*IF(ABS(K1917)&lt;'Sollecitazioni nel paramento'!$G$58,ABS(K1917)*'Sollecitazioni nel paramento'!$G$54,'Sollecitazioni nel paramento'!$G$53)</f>
        <v>0</v>
      </c>
      <c r="F1917" s="545">
        <f>-'Foglio deposito bis'!$F$79*(C1917-sezione!$AM$34)*IF(ABS(L1917)&lt;'Sollecitazioni nel paramento'!$G$58,ABS(L1917)*'Sollecitazioni nel paramento'!$G$54,'Sollecitazioni nel paramento'!$G$53)</f>
        <v>-18631679.575344902</v>
      </c>
      <c r="G1917" s="545">
        <f>-'Foglio deposito bis'!$F$80*(C1917-sezione!$AN$34)*IF(ABS(M1917)&lt;'Sollecitazioni nel paramento'!$G$58,ABS(M1917)*'Sollecitazioni nel paramento'!$G$54,'Sollecitazioni nel paramento'!$G$53)</f>
        <v>0</v>
      </c>
      <c r="H1917" s="545">
        <f>-'Foglio deposito bis'!$F$81*(C1917-sezione!$AO$34)*IF(ABS(N1917)&lt;'Sollecitazioni nel paramento'!$G$58,ABS(N1917)*'Sollecitazioni nel paramento'!$G$54,'Sollecitazioni nel paramento'!$G$53)</f>
        <v>-1828200.4386805303</v>
      </c>
      <c r="I1917" s="472">
        <f>-'Foglio deposito bis'!$F$82*(C1917-sezione!$AP$34)*IF(ABS(O1917)&lt;'Sollecitazioni nel paramento'!$G$58,ABS(O1917)*'Sollecitazioni nel paramento'!$G$54,'Sollecitazioni nel paramento'!$G$53)</f>
        <v>403252536.67311734</v>
      </c>
      <c r="J1917" s="472">
        <f t="shared" si="132"/>
        <v>-348100512.05336255</v>
      </c>
      <c r="K1917" s="550">
        <f>'Sollecitazioni nel paramento'!$G$60*(sezione!$AL$34-C1917)/C1917</f>
        <v>-2.727581091117003E-3</v>
      </c>
      <c r="L1917" s="550">
        <f>'Sollecitazioni nel paramento'!$G$60*(sezione!$AM$34-C1917)/C1917</f>
        <v>-2.3413716366755041E-3</v>
      </c>
      <c r="M1917" s="551">
        <f>'Sollecitazioni nel paramento'!$G$60*(sezione!$AN$34-C1917)/C1917</f>
        <v>-1.9551621822340055E-3</v>
      </c>
      <c r="N1917" s="551">
        <f>'Sollecitazioni nel paramento'!$G$60*(sezione!$AO$34-C1917)/C1917</f>
        <v>-4.1032436446801067E-4</v>
      </c>
      <c r="O1917" s="551">
        <f>'Sollecitazioni nel paramento'!$G$60*(sezione!$AP$34-C1917)/C1917</f>
        <v>8.7250685283029542E-3</v>
      </c>
      <c r="P1917" s="545">
        <f>-'Sollecitazioni nel paramento'!$G$47*'Sollecitazioni nel paramento'!$G$41*IF(DATI!$G$211="dx",DATI!$E$61,DATI!$E$64*DATI!$E$63)*1000*C1917*sezione!$AD$5</f>
        <v>-6905035.5172078097</v>
      </c>
      <c r="Q1917" s="545">
        <f>'Foglio deposito bis'!$F$78*IF(ABS(K1917)&lt;'Sollecitazioni nel paramento'!$G$58,ABS(K1917)*'Sollecitazioni nel paramento'!$G$54,'Sollecitazioni nel paramento'!$G$53)*IF(K1917&lt;0,-1,1)</f>
        <v>0</v>
      </c>
      <c r="R1917" s="545">
        <f>'Foglio deposito bis'!$F$79*IF(ABS(L1917)&lt;'Sollecitazioni nel paramento'!$G$58,ABS(L1917)*'Sollecitazioni nel paramento'!$G$54,'Sollecitazioni nel paramento'!$G$53)*IF(L1917&lt;0,-1,1)</f>
        <v>-153664.85805602249</v>
      </c>
      <c r="S1917" s="545">
        <f>'Foglio deposito bis'!$F$80*IF(ABS(M1917)&lt;'Sollecitazioni nel paramento'!$G$58,ABS(M1917)*'Sollecitazioni nel paramento'!$G$54,'Sollecitazioni nel paramento'!$G$53)*IF(M1917&lt;0,-1,1)</f>
        <v>0</v>
      </c>
      <c r="T1917" s="545">
        <f>'Foglio deposito bis'!$F$81*IF(ABS(N1917)&lt;'Sollecitazioni nel paramento'!$G$58,ABS(N1917)*'Sollecitazioni nel paramento'!$G$54,'Sollecitazioni nel paramento'!$G$53)*IF(N1917&lt;0,-1,1)</f>
        <v>-86037.822168802988</v>
      </c>
      <c r="U1917" s="545">
        <f>'Foglio deposito bis'!$F$82*IF(ABS(O1917)&lt;'Sollecitazioni nel paramento'!$G$58,ABS(O1917)*'Sollecitazioni nel paramento'!$G$54,'Sollecitazioni nel paramento'!$G$53)*IF(O1917&lt;0,-1,1)</f>
        <v>892485.49558937876</v>
      </c>
      <c r="V1917" s="472">
        <f t="shared" si="134"/>
        <v>-6252252.7018432561</v>
      </c>
      <c r="W1917" s="551"/>
      <c r="X1917" s="551"/>
    </row>
    <row r="1918" spans="1:24" x14ac:dyDescent="0.25">
      <c r="A1918" s="545">
        <f t="shared" si="133"/>
        <v>6328096.3202230539</v>
      </c>
      <c r="B1918" s="3">
        <f t="shared" si="135"/>
        <v>20.099999999999952</v>
      </c>
      <c r="C1918" s="545">
        <f>'Foglio deposito bis'!$E$160/sezione!$B$247*B1918</f>
        <v>183.07039554530004</v>
      </c>
      <c r="D1918" s="603">
        <f>-'Sollecitazioni nel paramento'!$G$47*'Sollecitazioni nel paramento'!$G$41*IF(DATI!$G$211="dx",DATI!$E$61,DATI!$E$64*DATI!$E$63)*1000*C1918^2*sezione!$AD$5*(1-sezione!$AD$6)</f>
        <v>-745658314.41508734</v>
      </c>
      <c r="E1918" s="545">
        <f>-'Foglio deposito bis'!$F$78*(C1918-sezione!$AL$34)*IF(ABS(K1918)&lt;'Sollecitazioni nel paramento'!$G$58,ABS(K1918)*'Sollecitazioni nel paramento'!$G$54,'Sollecitazioni nel paramento'!$G$53)</f>
        <v>0</v>
      </c>
      <c r="F1918" s="545">
        <f>-'Foglio deposito bis'!$F$79*(C1918-sezione!$AM$34)*IF(ABS(L1918)&lt;'Sollecitazioni nel paramento'!$G$58,ABS(L1918)*'Sollecitazioni nel paramento'!$G$54,'Sollecitazioni nel paramento'!$G$53)</f>
        <v>-18911594.862367075</v>
      </c>
      <c r="G1918" s="545">
        <f>-'Foglio deposito bis'!$F$80*(C1918-sezione!$AN$34)*IF(ABS(M1918)&lt;'Sollecitazioni nel paramento'!$G$58,ABS(M1918)*'Sollecitazioni nel paramento'!$G$54,'Sollecitazioni nel paramento'!$G$53)</f>
        <v>0</v>
      </c>
      <c r="H1918" s="545">
        <f>-'Foglio deposito bis'!$F$81*(C1918-sezione!$AO$34)*IF(ABS(N1918)&lt;'Sollecitazioni nel paramento'!$G$58,ABS(N1918)*'Sollecitazioni nel paramento'!$G$54,'Sollecitazioni nel paramento'!$G$53)</f>
        <v>-2133644.7379009062</v>
      </c>
      <c r="I1918" s="472">
        <f>-'Foglio deposito bis'!$F$82*(C1918-sezione!$AP$34)*IF(ABS(O1918)&lt;'Sollecitazioni nel paramento'!$G$58,ABS(O1918)*'Sollecitazioni nel paramento'!$G$54,'Sollecitazioni nel paramento'!$G$53)</f>
        <v>401626788.68609262</v>
      </c>
      <c r="J1918" s="472">
        <f t="shared" si="132"/>
        <v>-365076765.32926261</v>
      </c>
      <c r="K1918" s="550">
        <f>'Sollecitazioni nel paramento'!$G$60*(sezione!$AL$34-C1918)/C1918</f>
        <v>-2.7352668514043954E-3</v>
      </c>
      <c r="L1918" s="550">
        <f>'Sollecitazioni nel paramento'!$G$60*(sezione!$AM$34-C1918)/C1918</f>
        <v>-2.3529002771065935E-3</v>
      </c>
      <c r="M1918" s="551">
        <f>'Sollecitazioni nel paramento'!$G$60*(sezione!$AN$34-C1918)/C1918</f>
        <v>-1.9705337028087912E-3</v>
      </c>
      <c r="N1918" s="551">
        <f>'Sollecitazioni nel paramento'!$G$60*(sezione!$AO$34-C1918)/C1918</f>
        <v>-4.4106740561758266E-4</v>
      </c>
      <c r="O1918" s="551">
        <f>'Sollecitazioni nel paramento'!$G$60*(sezione!$AP$34-C1918)/C1918</f>
        <v>8.603426055384519E-3</v>
      </c>
      <c r="P1918" s="545">
        <f>-'Sollecitazioni nel paramento'!$G$47*'Sollecitazioni nel paramento'!$G$41*IF(DATI!$G$211="dx",DATI!$E$61,DATI!$E$64*DATI!$E$63)*1000*C1918*sezione!$AD$5</f>
        <v>-6974432.8590892944</v>
      </c>
      <c r="Q1918" s="545">
        <f>'Foglio deposito bis'!$F$78*IF(ABS(K1918)&lt;'Sollecitazioni nel paramento'!$G$58,ABS(K1918)*'Sollecitazioni nel paramento'!$G$54,'Sollecitazioni nel paramento'!$G$53)*IF(K1918&lt;0,-1,1)</f>
        <v>0</v>
      </c>
      <c r="R1918" s="545">
        <f>'Foglio deposito bis'!$F$79*IF(ABS(L1918)&lt;'Sollecitazioni nel paramento'!$G$58,ABS(L1918)*'Sollecitazioni nel paramento'!$G$54,'Sollecitazioni nel paramento'!$G$53)*IF(L1918&lt;0,-1,1)</f>
        <v>-153664.85805602249</v>
      </c>
      <c r="S1918" s="545">
        <f>'Foglio deposito bis'!$F$80*IF(ABS(M1918)&lt;'Sollecitazioni nel paramento'!$G$58,ABS(M1918)*'Sollecitazioni nel paramento'!$G$54,'Sollecitazioni nel paramento'!$G$53)*IF(M1918&lt;0,-1,1)</f>
        <v>0</v>
      </c>
      <c r="T1918" s="545">
        <f>'Foglio deposito bis'!$F$81*IF(ABS(N1918)&lt;'Sollecitazioni nel paramento'!$G$58,ABS(N1918)*'Sollecitazioni nel paramento'!$G$54,'Sollecitazioni nel paramento'!$G$53)*IF(N1918&lt;0,-1,1)</f>
        <v>-92484.098667115293</v>
      </c>
      <c r="U1918" s="545">
        <f>'Foglio deposito bis'!$F$82*IF(ABS(O1918)&lt;'Sollecitazioni nel paramento'!$G$58,ABS(O1918)*'Sollecitazioni nel paramento'!$G$54,'Sollecitazioni nel paramento'!$G$53)*IF(O1918&lt;0,-1,1)</f>
        <v>892485.49558937876</v>
      </c>
      <c r="V1918" s="472">
        <f t="shared" si="134"/>
        <v>-6328096.3202230539</v>
      </c>
      <c r="W1918" s="551"/>
      <c r="X1918" s="551"/>
    </row>
    <row r="1919" spans="1:24" x14ac:dyDescent="0.25">
      <c r="A1919" s="545">
        <f t="shared" si="133"/>
        <v>6403812.9183762837</v>
      </c>
      <c r="B1919" s="3">
        <f t="shared" si="135"/>
        <v>20.299999999999951</v>
      </c>
      <c r="C1919" s="545">
        <f>'Foglio deposito bis'!$E$160/sezione!$B$247*B1919</f>
        <v>184.89199152087517</v>
      </c>
      <c r="D1919" s="603">
        <f>-'Sollecitazioni nel paramento'!$G$47*'Sollecitazioni nel paramento'!$G$41*IF(DATI!$G$211="dx",DATI!$E$61,DATI!$E$64*DATI!$E$63)*1000*C1919^2*sezione!$AD$5*(1-sezione!$AD$6)</f>
        <v>-760571111.57474649</v>
      </c>
      <c r="E1919" s="545">
        <f>-'Foglio deposito bis'!$F$78*(C1919-sezione!$AL$34)*IF(ABS(K1919)&lt;'Sollecitazioni nel paramento'!$G$58,ABS(K1919)*'Sollecitazioni nel paramento'!$G$54,'Sollecitazioni nel paramento'!$G$53)</f>
        <v>0</v>
      </c>
      <c r="F1919" s="545">
        <f>-'Foglio deposito bis'!$F$79*(C1919-sezione!$AM$34)*IF(ABS(L1919)&lt;'Sollecitazioni nel paramento'!$G$58,ABS(L1919)*'Sollecitazioni nel paramento'!$G$54,'Sollecitazioni nel paramento'!$G$53)</f>
        <v>-19191510.149389248</v>
      </c>
      <c r="G1919" s="545">
        <f>-'Foglio deposito bis'!$F$80*(C1919-sezione!$AN$34)*IF(ABS(M1919)&lt;'Sollecitazioni nel paramento'!$G$58,ABS(M1919)*'Sollecitazioni nel paramento'!$G$54,'Sollecitazioni nel paramento'!$G$53)</f>
        <v>0</v>
      </c>
      <c r="H1919" s="545">
        <f>-'Foglio deposito bis'!$F$81*(C1919-sezione!$AO$34)*IF(ABS(N1919)&lt;'Sollecitazioni nel paramento'!$G$58,ABS(N1919)*'Sollecitazioni nel paramento'!$G$54,'Sollecitazioni nel paramento'!$G$53)</f>
        <v>-2459412.2733721193</v>
      </c>
      <c r="I1919" s="472">
        <f>-'Foglio deposito bis'!$F$82*(C1919-sezione!$AP$34)*IF(ABS(O1919)&lt;'Sollecitazioni nel paramento'!$G$58,ABS(O1919)*'Sollecitazioni nel paramento'!$G$54,'Sollecitazioni nel paramento'!$G$53)</f>
        <v>400001040.69906777</v>
      </c>
      <c r="J1919" s="472">
        <f t="shared" si="132"/>
        <v>-382220993.29844016</v>
      </c>
      <c r="K1919" s="550">
        <f>'Sollecitazioni nel paramento'!$G$60*(sezione!$AL$34-C1919)/C1919</f>
        <v>-2.7428011681393276E-3</v>
      </c>
      <c r="L1919" s="550">
        <f>'Sollecitazioni nel paramento'!$G$60*(sezione!$AM$34-C1919)/C1919</f>
        <v>-2.3642017522089915E-3</v>
      </c>
      <c r="M1919" s="551">
        <f>'Sollecitazioni nel paramento'!$G$60*(sezione!$AN$34-C1919)/C1919</f>
        <v>-1.9856023362786555E-3</v>
      </c>
      <c r="N1919" s="551">
        <f>'Sollecitazioni nel paramento'!$G$60*(sezione!$AO$34-C1919)/C1919</f>
        <v>-4.7120467255731087E-4</v>
      </c>
      <c r="O1919" s="551">
        <f>'Sollecitazioni nel paramento'!$G$60*(sezione!$AP$34-C1919)/C1919</f>
        <v>8.4841804784841768E-3</v>
      </c>
      <c r="P1919" s="545">
        <f>-'Sollecitazioni nel paramento'!$G$47*'Sollecitazioni nel paramento'!$G$41*IF(DATI!$G$211="dx",DATI!$E$61,DATI!$E$64*DATI!$E$63)*1000*C1919*sezione!$AD$5</f>
        <v>-7043830.2009707792</v>
      </c>
      <c r="Q1919" s="545">
        <f>'Foglio deposito bis'!$F$78*IF(ABS(K1919)&lt;'Sollecitazioni nel paramento'!$G$58,ABS(K1919)*'Sollecitazioni nel paramento'!$G$54,'Sollecitazioni nel paramento'!$G$53)*IF(K1919&lt;0,-1,1)</f>
        <v>0</v>
      </c>
      <c r="R1919" s="545">
        <f>'Foglio deposito bis'!$F$79*IF(ABS(L1919)&lt;'Sollecitazioni nel paramento'!$G$58,ABS(L1919)*'Sollecitazioni nel paramento'!$G$54,'Sollecitazioni nel paramento'!$G$53)*IF(L1919&lt;0,-1,1)</f>
        <v>-153664.85805602249</v>
      </c>
      <c r="S1919" s="545">
        <f>'Foglio deposito bis'!$F$80*IF(ABS(M1919)&lt;'Sollecitazioni nel paramento'!$G$58,ABS(M1919)*'Sollecitazioni nel paramento'!$G$54,'Sollecitazioni nel paramento'!$G$53)*IF(M1919&lt;0,-1,1)</f>
        <v>0</v>
      </c>
      <c r="T1919" s="545">
        <f>'Foglio deposito bis'!$F$81*IF(ABS(N1919)&lt;'Sollecitazioni nel paramento'!$G$58,ABS(N1919)*'Sollecitazioni nel paramento'!$G$54,'Sollecitazioni nel paramento'!$G$53)*IF(N1919&lt;0,-1,1)</f>
        <v>-98803.354938859862</v>
      </c>
      <c r="U1919" s="545">
        <f>'Foglio deposito bis'!$F$82*IF(ABS(O1919)&lt;'Sollecitazioni nel paramento'!$G$58,ABS(O1919)*'Sollecitazioni nel paramento'!$G$54,'Sollecitazioni nel paramento'!$G$53)*IF(O1919&lt;0,-1,1)</f>
        <v>892485.49558937876</v>
      </c>
      <c r="V1919" s="472">
        <f t="shared" si="134"/>
        <v>-6403812.9183762837</v>
      </c>
      <c r="W1919" s="551"/>
      <c r="X1919" s="551"/>
    </row>
    <row r="1920" spans="1:24" x14ac:dyDescent="0.25">
      <c r="A1920" s="545">
        <f t="shared" si="133"/>
        <v>6479406.2139681149</v>
      </c>
      <c r="B1920" s="3">
        <f t="shared" si="135"/>
        <v>20.49999999999995</v>
      </c>
      <c r="C1920" s="545">
        <f>'Foglio deposito bis'!$E$160/sezione!$B$247*B1920</f>
        <v>186.71358749645029</v>
      </c>
      <c r="D1920" s="603">
        <f>-'Sollecitazioni nel paramento'!$G$47*'Sollecitazioni nel paramento'!$G$41*IF(DATI!$G$211="dx",DATI!$E$61,DATI!$E$64*DATI!$E$63)*1000*C1920^2*sezione!$AD$5*(1-sezione!$AD$6)</f>
        <v>-775631560.191432</v>
      </c>
      <c r="E1920" s="545">
        <f>-'Foglio deposito bis'!$F$78*(C1920-sezione!$AL$34)*IF(ABS(K1920)&lt;'Sollecitazioni nel paramento'!$G$58,ABS(K1920)*'Sollecitazioni nel paramento'!$G$54,'Sollecitazioni nel paramento'!$G$53)</f>
        <v>0</v>
      </c>
      <c r="F1920" s="545">
        <f>-'Foglio deposito bis'!$F$79*(C1920-sezione!$AM$34)*IF(ABS(L1920)&lt;'Sollecitazioni nel paramento'!$G$58,ABS(L1920)*'Sollecitazioni nel paramento'!$G$54,'Sollecitazioni nel paramento'!$G$53)</f>
        <v>-19471425.436411422</v>
      </c>
      <c r="G1920" s="545">
        <f>-'Foglio deposito bis'!$F$80*(C1920-sezione!$AN$34)*IF(ABS(M1920)&lt;'Sollecitazioni nel paramento'!$G$58,ABS(M1920)*'Sollecitazioni nel paramento'!$G$54,'Sollecitazioni nel paramento'!$G$53)</f>
        <v>0</v>
      </c>
      <c r="H1920" s="545">
        <f>-'Foglio deposito bis'!$F$81*(C1920-sezione!$AO$34)*IF(ABS(N1920)&lt;'Sollecitazioni nel paramento'!$G$58,ABS(N1920)*'Sollecitazioni nel paramento'!$G$54,'Sollecitazioni nel paramento'!$G$53)</f>
        <v>-2804908.2186673149</v>
      </c>
      <c r="I1920" s="472">
        <f>-'Foglio deposito bis'!$F$82*(C1920-sezione!$AP$34)*IF(ABS(O1920)&lt;'Sollecitazioni nel paramento'!$G$58,ABS(O1920)*'Sollecitazioni nel paramento'!$G$54,'Sollecitazioni nel paramento'!$G$53)</f>
        <v>398375292.71204305</v>
      </c>
      <c r="J1920" s="472">
        <f t="shared" si="132"/>
        <v>-399532601.1344676</v>
      </c>
      <c r="K1920" s="550">
        <f>'Sollecitazioni nel paramento'!$G$60*(sezione!$AL$34-C1920)/C1920</f>
        <v>-2.750188473816017E-3</v>
      </c>
      <c r="L1920" s="550">
        <f>'Sollecitazioni nel paramento'!$G$60*(sezione!$AM$34-C1920)/C1920</f>
        <v>-2.3752827107240259E-3</v>
      </c>
      <c r="M1920" s="551">
        <f>'Sollecitazioni nel paramento'!$G$60*(sezione!$AN$34-C1920)/C1920</f>
        <v>-2.0003769476320344E-3</v>
      </c>
      <c r="N1920" s="551">
        <f>'Sollecitazioni nel paramento'!$G$60*(sezione!$AO$34-C1920)/C1920</f>
        <v>-5.0075389526406877E-4</v>
      </c>
      <c r="O1920" s="551">
        <f>'Sollecitazioni nel paramento'!$G$60*(sezione!$AP$34-C1920)/C1920</f>
        <v>8.3672616445477476E-3</v>
      </c>
      <c r="P1920" s="545">
        <f>-'Sollecitazioni nel paramento'!$G$47*'Sollecitazioni nel paramento'!$G$41*IF(DATI!$G$211="dx",DATI!$E$61,DATI!$E$64*DATI!$E$63)*1000*C1920*sezione!$AD$5</f>
        <v>-7113227.5428522658</v>
      </c>
      <c r="Q1920" s="545">
        <f>'Foglio deposito bis'!$F$78*IF(ABS(K1920)&lt;'Sollecitazioni nel paramento'!$G$58,ABS(K1920)*'Sollecitazioni nel paramento'!$G$54,'Sollecitazioni nel paramento'!$G$53)*IF(K1920&lt;0,-1,1)</f>
        <v>0</v>
      </c>
      <c r="R1920" s="545">
        <f>'Foglio deposito bis'!$F$79*IF(ABS(L1920)&lt;'Sollecitazioni nel paramento'!$G$58,ABS(L1920)*'Sollecitazioni nel paramento'!$G$54,'Sollecitazioni nel paramento'!$G$53)*IF(L1920&lt;0,-1,1)</f>
        <v>-153664.85805602249</v>
      </c>
      <c r="S1920" s="545">
        <f>'Foglio deposito bis'!$F$80*IF(ABS(M1920)&lt;'Sollecitazioni nel paramento'!$G$58,ABS(M1920)*'Sollecitazioni nel paramento'!$G$54,'Sollecitazioni nel paramento'!$G$53)*IF(M1920&lt;0,-1,1)</f>
        <v>0</v>
      </c>
      <c r="T1920" s="545">
        <f>'Foglio deposito bis'!$F$81*IF(ABS(N1920)&lt;'Sollecitazioni nel paramento'!$G$58,ABS(N1920)*'Sollecitazioni nel paramento'!$G$54,'Sollecitazioni nel paramento'!$G$53)*IF(N1920&lt;0,-1,1)</f>
        <v>-104999.30864920454</v>
      </c>
      <c r="U1920" s="545">
        <f>'Foglio deposito bis'!$F$82*IF(ABS(O1920)&lt;'Sollecitazioni nel paramento'!$G$58,ABS(O1920)*'Sollecitazioni nel paramento'!$G$54,'Sollecitazioni nel paramento'!$G$53)*IF(O1920&lt;0,-1,1)</f>
        <v>892485.49558937876</v>
      </c>
      <c r="V1920" s="472">
        <f t="shared" si="134"/>
        <v>-6479406.2139681149</v>
      </c>
      <c r="W1920" s="551"/>
      <c r="X1920" s="551"/>
    </row>
    <row r="1921" spans="1:24" x14ac:dyDescent="0.25">
      <c r="A1921" s="545">
        <f t="shared" si="133"/>
        <v>6554879.7809858304</v>
      </c>
      <c r="B1921" s="3">
        <f t="shared" si="135"/>
        <v>20.69999999999995</v>
      </c>
      <c r="C1921" s="545">
        <f>'Foglio deposito bis'!$E$160/sezione!$B$247*B1921</f>
        <v>188.53518347202541</v>
      </c>
      <c r="D1921" s="603">
        <f>-'Sollecitazioni nel paramento'!$G$47*'Sollecitazioni nel paramento'!$G$41*IF(DATI!$G$211="dx",DATI!$E$61,DATI!$E$64*DATI!$E$63)*1000*C1921^2*sezione!$AD$5*(1-sezione!$AD$6)</f>
        <v>-790839660.26514363</v>
      </c>
      <c r="E1921" s="545">
        <f>-'Foglio deposito bis'!$F$78*(C1921-sezione!$AL$34)*IF(ABS(K1921)&lt;'Sollecitazioni nel paramento'!$G$58,ABS(K1921)*'Sollecitazioni nel paramento'!$G$54,'Sollecitazioni nel paramento'!$G$53)</f>
        <v>0</v>
      </c>
      <c r="F1921" s="545">
        <f>-'Foglio deposito bis'!$F$79*(C1921-sezione!$AM$34)*IF(ABS(L1921)&lt;'Sollecitazioni nel paramento'!$G$58,ABS(L1921)*'Sollecitazioni nel paramento'!$G$54,'Sollecitazioni nel paramento'!$G$53)</f>
        <v>-19751340.723433591</v>
      </c>
      <c r="G1921" s="545">
        <f>-'Foglio deposito bis'!$F$80*(C1921-sezione!$AN$34)*IF(ABS(M1921)&lt;'Sollecitazioni nel paramento'!$G$58,ABS(M1921)*'Sollecitazioni nel paramento'!$G$54,'Sollecitazioni nel paramento'!$G$53)</f>
        <v>0</v>
      </c>
      <c r="H1921" s="545">
        <f>-'Foglio deposito bis'!$F$81*(C1921-sezione!$AO$34)*IF(ABS(N1921)&lt;'Sollecitazioni nel paramento'!$G$58,ABS(N1921)*'Sollecitazioni nel paramento'!$G$54,'Sollecitazioni nel paramento'!$G$53)</f>
        <v>-3169560.7358205812</v>
      </c>
      <c r="I1921" s="472">
        <f>-'Foglio deposito bis'!$F$82*(C1921-sezione!$AP$34)*IF(ABS(O1921)&lt;'Sollecitazioni nel paramento'!$G$58,ABS(O1921)*'Sollecitazioni nel paramento'!$G$54,'Sollecitazioni nel paramento'!$G$53)</f>
        <v>396749544.7250182</v>
      </c>
      <c r="J1921" s="472">
        <f t="shared" si="132"/>
        <v>-417011016.99937958</v>
      </c>
      <c r="K1921" s="550">
        <f>'Sollecitazioni nel paramento'!$G$60*(sezione!$AL$34-C1921)/C1921</f>
        <v>-2.7574330296245581E-3</v>
      </c>
      <c r="L1921" s="550">
        <f>'Sollecitazioni nel paramento'!$G$60*(sezione!$AM$34-C1921)/C1921</f>
        <v>-2.3861495444368374E-3</v>
      </c>
      <c r="M1921" s="551">
        <f>'Sollecitazioni nel paramento'!$G$60*(sezione!$AN$34-C1921)/C1921</f>
        <v>-2.0148660592491162E-3</v>
      </c>
      <c r="N1921" s="551">
        <f>'Sollecitazioni nel paramento'!$G$60*(sezione!$AO$34-C1921)/C1921</f>
        <v>-5.2973211849823237E-4</v>
      </c>
      <c r="O1921" s="551">
        <f>'Sollecitazioni nel paramento'!$G$60*(sezione!$AP$34-C1921)/C1921</f>
        <v>8.2526021117501833E-3</v>
      </c>
      <c r="P1921" s="545">
        <f>-'Sollecitazioni nel paramento'!$G$47*'Sollecitazioni nel paramento'!$G$41*IF(DATI!$G$211="dx",DATI!$E$61,DATI!$E$64*DATI!$E$63)*1000*C1921*sezione!$AD$5</f>
        <v>-7182624.8847337505</v>
      </c>
      <c r="Q1921" s="545">
        <f>'Foglio deposito bis'!$F$78*IF(ABS(K1921)&lt;'Sollecitazioni nel paramento'!$G$58,ABS(K1921)*'Sollecitazioni nel paramento'!$G$54,'Sollecitazioni nel paramento'!$G$53)*IF(K1921&lt;0,-1,1)</f>
        <v>0</v>
      </c>
      <c r="R1921" s="545">
        <f>'Foglio deposito bis'!$F$79*IF(ABS(L1921)&lt;'Sollecitazioni nel paramento'!$G$58,ABS(L1921)*'Sollecitazioni nel paramento'!$G$54,'Sollecitazioni nel paramento'!$G$53)*IF(L1921&lt;0,-1,1)</f>
        <v>-153664.85805602249</v>
      </c>
      <c r="S1921" s="545">
        <f>'Foglio deposito bis'!$F$80*IF(ABS(M1921)&lt;'Sollecitazioni nel paramento'!$G$58,ABS(M1921)*'Sollecitazioni nel paramento'!$G$54,'Sollecitazioni nel paramento'!$G$53)*IF(M1921&lt;0,-1,1)</f>
        <v>0</v>
      </c>
      <c r="T1921" s="545">
        <f>'Foglio deposito bis'!$F$81*IF(ABS(N1921)&lt;'Sollecitazioni nel paramento'!$G$58,ABS(N1921)*'Sollecitazioni nel paramento'!$G$54,'Sollecitazioni nel paramento'!$G$53)*IF(N1921&lt;0,-1,1)</f>
        <v>-111075.53378543629</v>
      </c>
      <c r="U1921" s="545">
        <f>'Foglio deposito bis'!$F$82*IF(ABS(O1921)&lt;'Sollecitazioni nel paramento'!$G$58,ABS(O1921)*'Sollecitazioni nel paramento'!$G$54,'Sollecitazioni nel paramento'!$G$53)*IF(O1921&lt;0,-1,1)</f>
        <v>892485.49558937876</v>
      </c>
      <c r="V1921" s="472">
        <f t="shared" si="134"/>
        <v>-6554879.7809858304</v>
      </c>
      <c r="W1921" s="551"/>
      <c r="X1921" s="551"/>
    </row>
    <row r="1922" spans="1:24" x14ac:dyDescent="0.25">
      <c r="A1922" s="545">
        <f t="shared" si="133"/>
        <v>6630237.0566133801</v>
      </c>
      <c r="B1922" s="3">
        <f t="shared" si="135"/>
        <v>20.899999999999949</v>
      </c>
      <c r="C1922" s="545">
        <f>'Foglio deposito bis'!$E$160/sezione!$B$247*B1922</f>
        <v>190.35677944760053</v>
      </c>
      <c r="D1922" s="603">
        <f>-'Sollecitazioni nel paramento'!$G$47*'Sollecitazioni nel paramento'!$G$41*IF(DATI!$G$211="dx",DATI!$E$61,DATI!$E$64*DATI!$E$63)*1000*C1922^2*sezione!$AD$5*(1-sezione!$AD$6)</f>
        <v>-806195411.79588175</v>
      </c>
      <c r="E1922" s="545">
        <f>-'Foglio deposito bis'!$F$78*(C1922-sezione!$AL$34)*IF(ABS(K1922)&lt;'Sollecitazioni nel paramento'!$G$58,ABS(K1922)*'Sollecitazioni nel paramento'!$G$54,'Sollecitazioni nel paramento'!$G$53)</f>
        <v>0</v>
      </c>
      <c r="F1922" s="545">
        <f>-'Foglio deposito bis'!$F$79*(C1922-sezione!$AM$34)*IF(ABS(L1922)&lt;'Sollecitazioni nel paramento'!$G$58,ABS(L1922)*'Sollecitazioni nel paramento'!$G$54,'Sollecitazioni nel paramento'!$G$53)</f>
        <v>-20031256.010455765</v>
      </c>
      <c r="G1922" s="545">
        <f>-'Foglio deposito bis'!$F$80*(C1922-sezione!$AN$34)*IF(ABS(M1922)&lt;'Sollecitazioni nel paramento'!$G$58,ABS(M1922)*'Sollecitazioni nel paramento'!$G$54,'Sollecitazioni nel paramento'!$G$53)</f>
        <v>0</v>
      </c>
      <c r="H1922" s="545">
        <f>-'Foglio deposito bis'!$F$81*(C1922-sezione!$AO$34)*IF(ABS(N1922)&lt;'Sollecitazioni nel paramento'!$G$58,ABS(N1922)*'Sollecitazioni nel paramento'!$G$54,'Sollecitazioni nel paramento'!$G$53)</f>
        <v>-3552819.8754005856</v>
      </c>
      <c r="I1922" s="472">
        <f>-'Foglio deposito bis'!$F$82*(C1922-sezione!$AP$34)*IF(ABS(O1922)&lt;'Sollecitazioni nel paramento'!$G$58,ABS(O1922)*'Sollecitazioni nel paramento'!$G$54,'Sollecitazioni nel paramento'!$G$53)</f>
        <v>395123796.73799348</v>
      </c>
      <c r="J1922" s="472">
        <f t="shared" si="132"/>
        <v>-434655690.94374454</v>
      </c>
      <c r="K1922" s="550">
        <f>'Sollecitazioni nel paramento'!$G$60*(sezione!$AL$34-C1922)/C1922</f>
        <v>-2.7645389336472892E-3</v>
      </c>
      <c r="L1922" s="550">
        <f>'Sollecitazioni nel paramento'!$G$60*(sezione!$AM$34-C1922)/C1922</f>
        <v>-2.3968084004709345E-3</v>
      </c>
      <c r="M1922" s="551">
        <f>'Sollecitazioni nel paramento'!$G$60*(sezione!$AN$34-C1922)/C1922</f>
        <v>-2.0290778672945793E-3</v>
      </c>
      <c r="N1922" s="551">
        <f>'Sollecitazioni nel paramento'!$G$60*(sezione!$AO$34-C1922)/C1922</f>
        <v>-5.5815573458915834E-4</v>
      </c>
      <c r="O1922" s="551">
        <f>'Sollecitazioni nel paramento'!$G$60*(sezione!$AP$34-C1922)/C1922</f>
        <v>8.1401370197717142E-3</v>
      </c>
      <c r="P1922" s="545">
        <f>-'Sollecitazioni nel paramento'!$G$47*'Sollecitazioni nel paramento'!$G$41*IF(DATI!$G$211="dx",DATI!$E$61,DATI!$E$64*DATI!$E$63)*1000*C1922*sezione!$AD$5</f>
        <v>-7252022.2266152352</v>
      </c>
      <c r="Q1922" s="545">
        <f>'Foglio deposito bis'!$F$78*IF(ABS(K1922)&lt;'Sollecitazioni nel paramento'!$G$58,ABS(K1922)*'Sollecitazioni nel paramento'!$G$54,'Sollecitazioni nel paramento'!$G$53)*IF(K1922&lt;0,-1,1)</f>
        <v>0</v>
      </c>
      <c r="R1922" s="545">
        <f>'Foglio deposito bis'!$F$79*IF(ABS(L1922)&lt;'Sollecitazioni nel paramento'!$G$58,ABS(L1922)*'Sollecitazioni nel paramento'!$G$54,'Sollecitazioni nel paramento'!$G$53)*IF(L1922&lt;0,-1,1)</f>
        <v>-153664.85805602249</v>
      </c>
      <c r="S1922" s="545">
        <f>'Foglio deposito bis'!$F$80*IF(ABS(M1922)&lt;'Sollecitazioni nel paramento'!$G$58,ABS(M1922)*'Sollecitazioni nel paramento'!$G$54,'Sollecitazioni nel paramento'!$G$53)*IF(M1922&lt;0,-1,1)</f>
        <v>0</v>
      </c>
      <c r="T1922" s="545">
        <f>'Foglio deposito bis'!$F$81*IF(ABS(N1922)&lt;'Sollecitazioni nel paramento'!$G$58,ABS(N1922)*'Sollecitazioni nel paramento'!$G$54,'Sollecitazioni nel paramento'!$G$53)*IF(N1922&lt;0,-1,1)</f>
        <v>-117035.46753150089</v>
      </c>
      <c r="U1922" s="545">
        <f>'Foglio deposito bis'!$F$82*IF(ABS(O1922)&lt;'Sollecitazioni nel paramento'!$G$58,ABS(O1922)*'Sollecitazioni nel paramento'!$G$54,'Sollecitazioni nel paramento'!$G$53)*IF(O1922&lt;0,-1,1)</f>
        <v>892485.49558937876</v>
      </c>
      <c r="V1922" s="472">
        <f t="shared" si="134"/>
        <v>-6630237.0566133801</v>
      </c>
      <c r="W1922" s="551"/>
      <c r="X1922" s="551"/>
    </row>
    <row r="1923" spans="1:24" x14ac:dyDescent="0.25">
      <c r="A1923" s="545">
        <f t="shared" si="133"/>
        <v>6705481.3477149401</v>
      </c>
      <c r="B1923" s="3">
        <f t="shared" si="135"/>
        <v>21.099999999999948</v>
      </c>
      <c r="C1923" s="545">
        <f>'Foglio deposito bis'!$E$160/sezione!$B$247*B1923</f>
        <v>192.17837542317565</v>
      </c>
      <c r="D1923" s="603">
        <f>-'Sollecitazioni nel paramento'!$G$47*'Sollecitazioni nel paramento'!$G$41*IF(DATI!$G$211="dx",DATI!$E$61,DATI!$E$64*DATI!$E$63)*1000*C1923^2*sezione!$AD$5*(1-sezione!$AD$6)</f>
        <v>-821698814.78364635</v>
      </c>
      <c r="E1923" s="545">
        <f>-'Foglio deposito bis'!$F$78*(C1923-sezione!$AL$34)*IF(ABS(K1923)&lt;'Sollecitazioni nel paramento'!$G$58,ABS(K1923)*'Sollecitazioni nel paramento'!$G$54,'Sollecitazioni nel paramento'!$G$53)</f>
        <v>0</v>
      </c>
      <c r="F1923" s="545">
        <f>-'Foglio deposito bis'!$F$79*(C1923-sezione!$AM$34)*IF(ABS(L1923)&lt;'Sollecitazioni nel paramento'!$G$58,ABS(L1923)*'Sollecitazioni nel paramento'!$G$54,'Sollecitazioni nel paramento'!$G$53)</f>
        <v>-20311171.297477938</v>
      </c>
      <c r="G1923" s="545">
        <f>-'Foglio deposito bis'!$F$80*(C1923-sezione!$AN$34)*IF(ABS(M1923)&lt;'Sollecitazioni nel paramento'!$G$58,ABS(M1923)*'Sollecitazioni nel paramento'!$G$54,'Sollecitazioni nel paramento'!$G$53)</f>
        <v>0</v>
      </c>
      <c r="H1923" s="545">
        <f>-'Foglio deposito bis'!$F$81*(C1923-sezione!$AO$34)*IF(ABS(N1923)&lt;'Sollecitazioni nel paramento'!$G$58,ABS(N1923)*'Sollecitazioni nel paramento'!$G$54,'Sollecitazioni nel paramento'!$G$53)</f>
        <v>-3954156.5391392689</v>
      </c>
      <c r="I1923" s="472">
        <f>-'Foglio deposito bis'!$F$82*(C1923-sezione!$AP$34)*IF(ABS(O1923)&lt;'Sollecitazioni nel paramento'!$G$58,ABS(O1923)*'Sollecitazioni nel paramento'!$G$54,'Sollecitazioni nel paramento'!$G$53)</f>
        <v>393498048.75096869</v>
      </c>
      <c r="J1923" s="472">
        <f t="shared" si="132"/>
        <v>-452466093.86929488</v>
      </c>
      <c r="K1923" s="550">
        <f>'Sollecitazioni nel paramento'!$G$60*(sezione!$AL$34-C1923)/C1923</f>
        <v>-2.7715101285890214E-3</v>
      </c>
      <c r="L1923" s="550">
        <f>'Sollecitazioni nel paramento'!$G$60*(sezione!$AM$34-C1923)/C1923</f>
        <v>-2.4072651928835321E-3</v>
      </c>
      <c r="M1923" s="551">
        <f>'Sollecitazioni nel paramento'!$G$60*(sezione!$AN$34-C1923)/C1923</f>
        <v>-2.0430202571780427E-3</v>
      </c>
      <c r="N1923" s="551">
        <f>'Sollecitazioni nel paramento'!$G$60*(sezione!$AO$34-C1923)/C1923</f>
        <v>-5.8604051435608563E-4</v>
      </c>
      <c r="O1923" s="551">
        <f>'Sollecitazioni nel paramento'!$G$60*(sezione!$AP$34-C1923)/C1923</f>
        <v>8.0298039674516035E-3</v>
      </c>
      <c r="P1923" s="545">
        <f>-'Sollecitazioni nel paramento'!$G$47*'Sollecitazioni nel paramento'!$G$41*IF(DATI!$G$211="dx",DATI!$E$61,DATI!$E$64*DATI!$E$63)*1000*C1923*sezione!$AD$5</f>
        <v>-7321419.5684967218</v>
      </c>
      <c r="Q1923" s="545">
        <f>'Foglio deposito bis'!$F$78*IF(ABS(K1923)&lt;'Sollecitazioni nel paramento'!$G$58,ABS(K1923)*'Sollecitazioni nel paramento'!$G$54,'Sollecitazioni nel paramento'!$G$53)*IF(K1923&lt;0,-1,1)</f>
        <v>0</v>
      </c>
      <c r="R1923" s="545">
        <f>'Foglio deposito bis'!$F$79*IF(ABS(L1923)&lt;'Sollecitazioni nel paramento'!$G$58,ABS(L1923)*'Sollecitazioni nel paramento'!$G$54,'Sollecitazioni nel paramento'!$G$53)*IF(L1923&lt;0,-1,1)</f>
        <v>-153664.85805602249</v>
      </c>
      <c r="S1923" s="545">
        <f>'Foglio deposito bis'!$F$80*IF(ABS(M1923)&lt;'Sollecitazioni nel paramento'!$G$58,ABS(M1923)*'Sollecitazioni nel paramento'!$G$54,'Sollecitazioni nel paramento'!$G$53)*IF(M1923&lt;0,-1,1)</f>
        <v>0</v>
      </c>
      <c r="T1923" s="545">
        <f>'Foglio deposito bis'!$F$81*IF(ABS(N1923)&lt;'Sollecitazioni nel paramento'!$G$58,ABS(N1923)*'Sollecitazioni nel paramento'!$G$54,'Sollecitazioni nel paramento'!$G$53)*IF(N1923&lt;0,-1,1)</f>
        <v>-122882.41675157375</v>
      </c>
      <c r="U1923" s="545">
        <f>'Foglio deposito bis'!$F$82*IF(ABS(O1923)&lt;'Sollecitazioni nel paramento'!$G$58,ABS(O1923)*'Sollecitazioni nel paramento'!$G$54,'Sollecitazioni nel paramento'!$G$53)*IF(O1923&lt;0,-1,1)</f>
        <v>892485.49558937876</v>
      </c>
      <c r="V1923" s="472">
        <f t="shared" si="134"/>
        <v>-6705481.3477149401</v>
      </c>
      <c r="W1923" s="551"/>
      <c r="X1923" s="551"/>
    </row>
    <row r="1924" spans="1:24" x14ac:dyDescent="0.25">
      <c r="A1924" s="545">
        <f t="shared" si="133"/>
        <v>6780615.8369532097</v>
      </c>
      <c r="B1924" s="3">
        <f t="shared" si="135"/>
        <v>21.299999999999947</v>
      </c>
      <c r="C1924" s="545">
        <f>'Foglio deposito bis'!$E$160/sezione!$B$247*B1924</f>
        <v>193.99997139875077</v>
      </c>
      <c r="D1924" s="603">
        <f>-'Sollecitazioni nel paramento'!$G$47*'Sollecitazioni nel paramento'!$G$41*IF(DATI!$G$211="dx",DATI!$E$61,DATI!$E$64*DATI!$E$63)*1000*C1924^2*sezione!$AD$5*(1-sezione!$AD$6)</f>
        <v>-837349869.22843719</v>
      </c>
      <c r="E1924" s="545">
        <f>-'Foglio deposito bis'!$F$78*(C1924-sezione!$AL$34)*IF(ABS(K1924)&lt;'Sollecitazioni nel paramento'!$G$58,ABS(K1924)*'Sollecitazioni nel paramento'!$G$54,'Sollecitazioni nel paramento'!$G$53)</f>
        <v>0</v>
      </c>
      <c r="F1924" s="545">
        <f>-'Foglio deposito bis'!$F$79*(C1924-sezione!$AM$34)*IF(ABS(L1924)&lt;'Sollecitazioni nel paramento'!$G$58,ABS(L1924)*'Sollecitazioni nel paramento'!$G$54,'Sollecitazioni nel paramento'!$G$53)</f>
        <v>-20591086.584500112</v>
      </c>
      <c r="G1924" s="545">
        <f>-'Foglio deposito bis'!$F$80*(C1924-sezione!$AN$34)*IF(ABS(M1924)&lt;'Sollecitazioni nel paramento'!$G$58,ABS(M1924)*'Sollecitazioni nel paramento'!$G$54,'Sollecitazioni nel paramento'!$G$53)</f>
        <v>0</v>
      </c>
      <c r="H1924" s="545">
        <f>-'Foglio deposito bis'!$F$81*(C1924-sezione!$AO$34)*IF(ABS(N1924)&lt;'Sollecitazioni nel paramento'!$G$58,ABS(N1924)*'Sollecitazioni nel paramento'!$G$54,'Sollecitazioni nel paramento'!$G$53)</f>
        <v>-4373061.5010039937</v>
      </c>
      <c r="I1924" s="472">
        <f>-'Foglio deposito bis'!$F$82*(C1924-sezione!$AP$34)*IF(ABS(O1924)&lt;'Sollecitazioni nel paramento'!$G$58,ABS(O1924)*'Sollecitazioni nel paramento'!$G$54,'Sollecitazioni nel paramento'!$G$53)</f>
        <v>391872300.76394391</v>
      </c>
      <c r="J1924" s="472">
        <f t="shared" si="132"/>
        <v>-470441716.54999733</v>
      </c>
      <c r="K1924" s="550">
        <f>'Sollecitazioni nel paramento'!$G$60*(sezione!$AL$34-C1924)/C1924</f>
        <v>-2.7783504090717536E-3</v>
      </c>
      <c r="L1924" s="550">
        <f>'Sollecitazioni nel paramento'!$G$60*(sezione!$AM$34-C1924)/C1924</f>
        <v>-2.4175256136076306E-3</v>
      </c>
      <c r="M1924" s="551">
        <f>'Sollecitazioni nel paramento'!$G$60*(sezione!$AN$34-C1924)/C1924</f>
        <v>-2.0567008181435072E-3</v>
      </c>
      <c r="N1924" s="551">
        <f>'Sollecitazioni nel paramento'!$G$60*(sezione!$AO$34-C1924)/C1924</f>
        <v>-6.1340163628701436E-4</v>
      </c>
      <c r="O1924" s="551">
        <f>'Sollecitazioni nel paramento'!$G$60*(sezione!$AP$34-C1924)/C1924</f>
        <v>7.9215428973346876E-3</v>
      </c>
      <c r="P1924" s="545">
        <f>-'Sollecitazioni nel paramento'!$G$47*'Sollecitazioni nel paramento'!$G$41*IF(DATI!$G$211="dx",DATI!$E$61,DATI!$E$64*DATI!$E$63)*1000*C1924*sezione!$AD$5</f>
        <v>-7390816.9103782065</v>
      </c>
      <c r="Q1924" s="545">
        <f>'Foglio deposito bis'!$F$78*IF(ABS(K1924)&lt;'Sollecitazioni nel paramento'!$G$58,ABS(K1924)*'Sollecitazioni nel paramento'!$G$54,'Sollecitazioni nel paramento'!$G$53)*IF(K1924&lt;0,-1,1)</f>
        <v>0</v>
      </c>
      <c r="R1924" s="545">
        <f>'Foglio deposito bis'!$F$79*IF(ABS(L1924)&lt;'Sollecitazioni nel paramento'!$G$58,ABS(L1924)*'Sollecitazioni nel paramento'!$G$54,'Sollecitazioni nel paramento'!$G$53)*IF(L1924&lt;0,-1,1)</f>
        <v>-153664.85805602249</v>
      </c>
      <c r="S1924" s="545">
        <f>'Foglio deposito bis'!$F$80*IF(ABS(M1924)&lt;'Sollecitazioni nel paramento'!$G$58,ABS(M1924)*'Sollecitazioni nel paramento'!$G$54,'Sollecitazioni nel paramento'!$G$53)*IF(M1924&lt;0,-1,1)</f>
        <v>0</v>
      </c>
      <c r="T1924" s="545">
        <f>'Foglio deposito bis'!$F$81*IF(ABS(N1924)&lt;'Sollecitazioni nel paramento'!$G$58,ABS(N1924)*'Sollecitazioni nel paramento'!$G$54,'Sollecitazioni nel paramento'!$G$53)*IF(N1924&lt;0,-1,1)</f>
        <v>-128619.56410835889</v>
      </c>
      <c r="U1924" s="545">
        <f>'Foglio deposito bis'!$F$82*IF(ABS(O1924)&lt;'Sollecitazioni nel paramento'!$G$58,ABS(O1924)*'Sollecitazioni nel paramento'!$G$54,'Sollecitazioni nel paramento'!$G$53)*IF(O1924&lt;0,-1,1)</f>
        <v>892485.49558937876</v>
      </c>
      <c r="V1924" s="472">
        <f t="shared" si="134"/>
        <v>-6780615.8369532097</v>
      </c>
      <c r="W1924" s="551"/>
      <c r="X1924" s="551"/>
    </row>
    <row r="1925" spans="1:24" x14ac:dyDescent="0.25">
      <c r="A1925" s="545">
        <f t="shared" si="133"/>
        <v>6855643.5885662381</v>
      </c>
      <c r="B1925" s="3">
        <f t="shared" si="135"/>
        <v>21.499999999999947</v>
      </c>
      <c r="C1925" s="545">
        <f>'Foglio deposito bis'!$E$160/sezione!$B$247*B1925</f>
        <v>195.82156737432589</v>
      </c>
      <c r="D1925" s="603">
        <f>-'Sollecitazioni nel paramento'!$G$47*'Sollecitazioni nel paramento'!$G$41*IF(DATI!$G$211="dx",DATI!$E$61,DATI!$E$64*DATI!$E$63)*1000*C1925^2*sezione!$AD$5*(1-sezione!$AD$6)</f>
        <v>-853148575.13025403</v>
      </c>
      <c r="E1925" s="545">
        <f>-'Foglio deposito bis'!$F$78*(C1925-sezione!$AL$34)*IF(ABS(K1925)&lt;'Sollecitazioni nel paramento'!$G$58,ABS(K1925)*'Sollecitazioni nel paramento'!$G$54,'Sollecitazioni nel paramento'!$G$53)</f>
        <v>0</v>
      </c>
      <c r="F1925" s="545">
        <f>-'Foglio deposito bis'!$F$79*(C1925-sezione!$AM$34)*IF(ABS(L1925)&lt;'Sollecitazioni nel paramento'!$G$58,ABS(L1925)*'Sollecitazioni nel paramento'!$G$54,'Sollecitazioni nel paramento'!$G$53)</f>
        <v>-20871001.871522285</v>
      </c>
      <c r="G1925" s="545">
        <f>-'Foglio deposito bis'!$F$80*(C1925-sezione!$AN$34)*IF(ABS(M1925)&lt;'Sollecitazioni nel paramento'!$G$58,ABS(M1925)*'Sollecitazioni nel paramento'!$G$54,'Sollecitazioni nel paramento'!$G$53)</f>
        <v>0</v>
      </c>
      <c r="H1925" s="545">
        <f>-'Foglio deposito bis'!$F$81*(C1925-sezione!$AO$34)*IF(ABS(N1925)&lt;'Sollecitazioni nel paramento'!$G$58,ABS(N1925)*'Sollecitazioni nel paramento'!$G$54,'Sollecitazioni nel paramento'!$G$53)</f>
        <v>-4809044.4829075197</v>
      </c>
      <c r="I1925" s="472">
        <f>-'Foglio deposito bis'!$F$82*(C1925-sezione!$AP$34)*IF(ABS(O1925)&lt;'Sollecitazioni nel paramento'!$G$58,ABS(O1925)*'Sollecitazioni nel paramento'!$G$54,'Sollecitazioni nel paramento'!$G$53)</f>
        <v>390246552.77691907</v>
      </c>
      <c r="J1925" s="472">
        <f t="shared" si="132"/>
        <v>-488582068.7077648</v>
      </c>
      <c r="K1925" s="550">
        <f>'Sollecitazioni nel paramento'!$G$60*(sezione!$AL$34-C1925)/C1925</f>
        <v>-2.7850634285222489E-3</v>
      </c>
      <c r="L1925" s="550">
        <f>'Sollecitazioni nel paramento'!$G$60*(sezione!$AM$34-C1925)/C1925</f>
        <v>-2.4275951427833735E-3</v>
      </c>
      <c r="M1925" s="551">
        <f>'Sollecitazioni nel paramento'!$G$60*(sezione!$AN$34-C1925)/C1925</f>
        <v>-2.0701268570444977E-3</v>
      </c>
      <c r="N1925" s="551">
        <f>'Sollecitazioni nel paramento'!$G$60*(sezione!$AO$34-C1925)/C1925</f>
        <v>-6.4025371408899553E-4</v>
      </c>
      <c r="O1925" s="551">
        <f>'Sollecitazioni nel paramento'!$G$60*(sezione!$AP$34-C1925)/C1925</f>
        <v>7.815295986661806E-3</v>
      </c>
      <c r="P1925" s="545">
        <f>-'Sollecitazioni nel paramento'!$G$47*'Sollecitazioni nel paramento'!$G$41*IF(DATI!$G$211="dx",DATI!$E$61,DATI!$E$64*DATI!$E$63)*1000*C1925*sezione!$AD$5</f>
        <v>-7460214.2522596931</v>
      </c>
      <c r="Q1925" s="545">
        <f>'Foglio deposito bis'!$F$78*IF(ABS(K1925)&lt;'Sollecitazioni nel paramento'!$G$58,ABS(K1925)*'Sollecitazioni nel paramento'!$G$54,'Sollecitazioni nel paramento'!$G$53)*IF(K1925&lt;0,-1,1)</f>
        <v>0</v>
      </c>
      <c r="R1925" s="545">
        <f>'Foglio deposito bis'!$F$79*IF(ABS(L1925)&lt;'Sollecitazioni nel paramento'!$G$58,ABS(L1925)*'Sollecitazioni nel paramento'!$G$54,'Sollecitazioni nel paramento'!$G$53)*IF(L1925&lt;0,-1,1)</f>
        <v>-153664.85805602249</v>
      </c>
      <c r="S1925" s="545">
        <f>'Foglio deposito bis'!$F$80*IF(ABS(M1925)&lt;'Sollecitazioni nel paramento'!$G$58,ABS(M1925)*'Sollecitazioni nel paramento'!$G$54,'Sollecitazioni nel paramento'!$G$53)*IF(M1925&lt;0,-1,1)</f>
        <v>0</v>
      </c>
      <c r="T1925" s="545">
        <f>'Foglio deposito bis'!$F$81*IF(ABS(N1925)&lt;'Sollecitazioni nel paramento'!$G$58,ABS(N1925)*'Sollecitazioni nel paramento'!$G$54,'Sollecitazioni nel paramento'!$G$53)*IF(N1925&lt;0,-1,1)</f>
        <v>-134249.97383990148</v>
      </c>
      <c r="U1925" s="545">
        <f>'Foglio deposito bis'!$F$82*IF(ABS(O1925)&lt;'Sollecitazioni nel paramento'!$G$58,ABS(O1925)*'Sollecitazioni nel paramento'!$G$54,'Sollecitazioni nel paramento'!$G$53)*IF(O1925&lt;0,-1,1)</f>
        <v>892485.49558937876</v>
      </c>
      <c r="V1925" s="472">
        <f t="shared" si="134"/>
        <v>-6855643.5885662381</v>
      </c>
      <c r="W1925" s="551"/>
      <c r="X1925" s="551"/>
    </row>
    <row r="1926" spans="1:24" x14ac:dyDescent="0.25">
      <c r="A1926" s="545">
        <f t="shared" si="133"/>
        <v>6930567.5538247693</v>
      </c>
      <c r="B1926" s="3">
        <f t="shared" si="135"/>
        <v>21.699999999999946</v>
      </c>
      <c r="C1926" s="545">
        <f>'Foglio deposito bis'!$E$160/sezione!$B$247*B1926</f>
        <v>197.64316334990104</v>
      </c>
      <c r="D1926" s="603">
        <f>-'Sollecitazioni nel paramento'!$G$47*'Sollecitazioni nel paramento'!$G$41*IF(DATI!$G$211="dx",DATI!$E$61,DATI!$E$64*DATI!$E$63)*1000*C1926^2*sezione!$AD$5*(1-sezione!$AD$6)</f>
        <v>-869094932.48909783</v>
      </c>
      <c r="E1926" s="545">
        <f>-'Foglio deposito bis'!$F$78*(C1926-sezione!$AL$34)*IF(ABS(K1926)&lt;'Sollecitazioni nel paramento'!$G$58,ABS(K1926)*'Sollecitazioni nel paramento'!$G$54,'Sollecitazioni nel paramento'!$G$53)</f>
        <v>0</v>
      </c>
      <c r="F1926" s="545">
        <f>-'Foglio deposito bis'!$F$79*(C1926-sezione!$AM$34)*IF(ABS(L1926)&lt;'Sollecitazioni nel paramento'!$G$58,ABS(L1926)*'Sollecitazioni nel paramento'!$G$54,'Sollecitazioni nel paramento'!$G$53)</f>
        <v>-21150917.158544462</v>
      </c>
      <c r="G1926" s="545">
        <f>-'Foglio deposito bis'!$F$80*(C1926-sezione!$AN$34)*IF(ABS(M1926)&lt;'Sollecitazioni nel paramento'!$G$58,ABS(M1926)*'Sollecitazioni nel paramento'!$G$54,'Sollecitazioni nel paramento'!$G$53)</f>
        <v>0</v>
      </c>
      <c r="H1926" s="545">
        <f>-'Foglio deposito bis'!$F$81*(C1926-sezione!$AO$34)*IF(ABS(N1926)&lt;'Sollecitazioni nel paramento'!$G$58,ABS(N1926)*'Sollecitazioni nel paramento'!$G$54,'Sollecitazioni nel paramento'!$G$53)</f>
        <v>-5261633.2815308115</v>
      </c>
      <c r="I1926" s="472">
        <f>-'Foglio deposito bis'!$F$82*(C1926-sezione!$AP$34)*IF(ABS(O1926)&lt;'Sollecitazioni nel paramento'!$G$58,ABS(O1926)*'Sollecitazioni nel paramento'!$G$54,'Sollecitazioni nel paramento'!$G$53)</f>
        <v>388620804.78989428</v>
      </c>
      <c r="J1926" s="472">
        <f t="shared" si="132"/>
        <v>-506886678.13927883</v>
      </c>
      <c r="K1926" s="550">
        <f>'Sollecitazioni nel paramento'!$G$60*(sezione!$AL$34-C1926)/C1926</f>
        <v>-2.7916527056787259E-3</v>
      </c>
      <c r="L1926" s="550">
        <f>'Sollecitazioni nel paramento'!$G$60*(sezione!$AM$34-C1926)/C1926</f>
        <v>-2.437479058518089E-3</v>
      </c>
      <c r="M1926" s="551">
        <f>'Sollecitazioni nel paramento'!$G$60*(sezione!$AN$34-C1926)/C1926</f>
        <v>-2.0833054113574517E-3</v>
      </c>
      <c r="N1926" s="551">
        <f>'Sollecitazioni nel paramento'!$G$60*(sezione!$AO$34-C1926)/C1926</f>
        <v>-6.666108227149039E-4</v>
      </c>
      <c r="O1926" s="551">
        <f>'Sollecitazioni nel paramento'!$G$60*(sezione!$AP$34-C1926)/C1926</f>
        <v>7.7110075443884239E-3</v>
      </c>
      <c r="P1926" s="545">
        <f>-'Sollecitazioni nel paramento'!$G$47*'Sollecitazioni nel paramento'!$G$41*IF(DATI!$G$211="dx",DATI!$E$61,DATI!$E$64*DATI!$E$63)*1000*C1926*sezione!$AD$5</f>
        <v>-7529611.5941411788</v>
      </c>
      <c r="Q1926" s="545">
        <f>'Foglio deposito bis'!$F$78*IF(ABS(K1926)&lt;'Sollecitazioni nel paramento'!$G$58,ABS(K1926)*'Sollecitazioni nel paramento'!$G$54,'Sollecitazioni nel paramento'!$G$53)*IF(K1926&lt;0,-1,1)</f>
        <v>0</v>
      </c>
      <c r="R1926" s="545">
        <f>'Foglio deposito bis'!$F$79*IF(ABS(L1926)&lt;'Sollecitazioni nel paramento'!$G$58,ABS(L1926)*'Sollecitazioni nel paramento'!$G$54,'Sollecitazioni nel paramento'!$G$53)*IF(L1926&lt;0,-1,1)</f>
        <v>-153664.85805602249</v>
      </c>
      <c r="S1926" s="545">
        <f>'Foglio deposito bis'!$F$80*IF(ABS(M1926)&lt;'Sollecitazioni nel paramento'!$G$58,ABS(M1926)*'Sollecitazioni nel paramento'!$G$54,'Sollecitazioni nel paramento'!$G$53)*IF(M1926&lt;0,-1,1)</f>
        <v>0</v>
      </c>
      <c r="T1926" s="545">
        <f>'Foglio deposito bis'!$F$81*IF(ABS(N1926)&lt;'Sollecitazioni nel paramento'!$G$58,ABS(N1926)*'Sollecitazioni nel paramento'!$G$54,'Sollecitazioni nel paramento'!$G$53)*IF(N1926&lt;0,-1,1)</f>
        <v>-139776.59721694572</v>
      </c>
      <c r="U1926" s="545">
        <f>'Foglio deposito bis'!$F$82*IF(ABS(O1926)&lt;'Sollecitazioni nel paramento'!$G$58,ABS(O1926)*'Sollecitazioni nel paramento'!$G$54,'Sollecitazioni nel paramento'!$G$53)*IF(O1926&lt;0,-1,1)</f>
        <v>892485.49558937876</v>
      </c>
      <c r="V1926" s="472">
        <f t="shared" si="134"/>
        <v>-6930567.5538247693</v>
      </c>
      <c r="W1926" s="551"/>
      <c r="X1926" s="551"/>
    </row>
    <row r="1927" spans="1:24" x14ac:dyDescent="0.25">
      <c r="A1927" s="545">
        <f t="shared" si="133"/>
        <v>7005390.5761905666</v>
      </c>
      <c r="B1927" s="3">
        <f t="shared" si="135"/>
        <v>21.899999999999945</v>
      </c>
      <c r="C1927" s="545">
        <f>'Foglio deposito bis'!$E$160/sezione!$B$247*B1927</f>
        <v>199.46475932547617</v>
      </c>
      <c r="D1927" s="603">
        <f>-'Sollecitazioni nel paramento'!$G$47*'Sollecitazioni nel paramento'!$G$41*IF(DATI!$G$211="dx",DATI!$E$61,DATI!$E$64*DATI!$E$63)*1000*C1927^2*sezione!$AD$5*(1-sezione!$AD$6)</f>
        <v>-885188941.30496776</v>
      </c>
      <c r="E1927" s="545">
        <f>-'Foglio deposito bis'!$F$78*(C1927-sezione!$AL$34)*IF(ABS(K1927)&lt;'Sollecitazioni nel paramento'!$G$58,ABS(K1927)*'Sollecitazioni nel paramento'!$G$54,'Sollecitazioni nel paramento'!$G$53)</f>
        <v>0</v>
      </c>
      <c r="F1927" s="545">
        <f>-'Foglio deposito bis'!$F$79*(C1927-sezione!$AM$34)*IF(ABS(L1927)&lt;'Sollecitazioni nel paramento'!$G$58,ABS(L1927)*'Sollecitazioni nel paramento'!$G$54,'Sollecitazioni nel paramento'!$G$53)</f>
        <v>-21430832.445566636</v>
      </c>
      <c r="G1927" s="545">
        <f>-'Foglio deposito bis'!$F$80*(C1927-sezione!$AN$34)*IF(ABS(M1927)&lt;'Sollecitazioni nel paramento'!$G$58,ABS(M1927)*'Sollecitazioni nel paramento'!$G$54,'Sollecitazioni nel paramento'!$G$53)</f>
        <v>0</v>
      </c>
      <c r="H1927" s="545">
        <f>-'Foglio deposito bis'!$F$81*(C1927-sezione!$AO$34)*IF(ABS(N1927)&lt;'Sollecitazioni nel paramento'!$G$58,ABS(N1927)*'Sollecitazioni nel paramento'!$G$54,'Sollecitazioni nel paramento'!$G$53)</f>
        <v>-5730372.9429911189</v>
      </c>
      <c r="I1927" s="472">
        <f>-'Foglio deposito bis'!$F$82*(C1927-sezione!$AP$34)*IF(ABS(O1927)&lt;'Sollecitazioni nel paramento'!$G$58,ABS(O1927)*'Sollecitazioni nel paramento'!$G$54,'Sollecitazioni nel paramento'!$G$53)</f>
        <v>386995056.80286956</v>
      </c>
      <c r="J1927" s="472">
        <f t="shared" si="132"/>
        <v>-525355089.89065599</v>
      </c>
      <c r="K1927" s="550">
        <f>'Sollecitazioni nel paramento'!$G$60*(sezione!$AL$34-C1927)/C1927</f>
        <v>-2.7981216307410208E-3</v>
      </c>
      <c r="L1927" s="550">
        <f>'Sollecitazioni nel paramento'!$G$60*(sezione!$AM$34-C1927)/C1927</f>
        <v>-2.447182446111531E-3</v>
      </c>
      <c r="M1927" s="551">
        <f>'Sollecitazioni nel paramento'!$G$60*(sezione!$AN$34-C1927)/C1927</f>
        <v>-2.0962432614820411E-3</v>
      </c>
      <c r="N1927" s="551">
        <f>'Sollecitazioni nel paramento'!$G$60*(sezione!$AO$34-C1927)/C1927</f>
        <v>-6.9248652296408282E-4</v>
      </c>
      <c r="O1927" s="551">
        <f>'Sollecitazioni nel paramento'!$G$60*(sezione!$AP$34-C1927)/C1927</f>
        <v>7.608623913846064E-3</v>
      </c>
      <c r="P1927" s="545">
        <f>-'Sollecitazioni nel paramento'!$G$47*'Sollecitazioni nel paramento'!$G$41*IF(DATI!$G$211="dx",DATI!$E$61,DATI!$E$64*DATI!$E$63)*1000*C1927*sezione!$AD$5</f>
        <v>-7599008.9360226644</v>
      </c>
      <c r="Q1927" s="545">
        <f>'Foglio deposito bis'!$F$78*IF(ABS(K1927)&lt;'Sollecitazioni nel paramento'!$G$58,ABS(K1927)*'Sollecitazioni nel paramento'!$G$54,'Sollecitazioni nel paramento'!$G$53)*IF(K1927&lt;0,-1,1)</f>
        <v>0</v>
      </c>
      <c r="R1927" s="545">
        <f>'Foglio deposito bis'!$F$79*IF(ABS(L1927)&lt;'Sollecitazioni nel paramento'!$G$58,ABS(L1927)*'Sollecitazioni nel paramento'!$G$54,'Sollecitazioni nel paramento'!$G$53)*IF(L1927&lt;0,-1,1)</f>
        <v>-153664.85805602249</v>
      </c>
      <c r="S1927" s="545">
        <f>'Foglio deposito bis'!$F$80*IF(ABS(M1927)&lt;'Sollecitazioni nel paramento'!$G$58,ABS(M1927)*'Sollecitazioni nel paramento'!$G$54,'Sollecitazioni nel paramento'!$G$53)*IF(M1927&lt;0,-1,1)</f>
        <v>0</v>
      </c>
      <c r="T1927" s="545">
        <f>'Foglio deposito bis'!$F$81*IF(ABS(N1927)&lt;'Sollecitazioni nel paramento'!$G$58,ABS(N1927)*'Sollecitazioni nel paramento'!$G$54,'Sollecitazioni nel paramento'!$G$53)*IF(N1927&lt;0,-1,1)</f>
        <v>-145202.27770125846</v>
      </c>
      <c r="U1927" s="545">
        <f>'Foglio deposito bis'!$F$82*IF(ABS(O1927)&lt;'Sollecitazioni nel paramento'!$G$58,ABS(O1927)*'Sollecitazioni nel paramento'!$G$54,'Sollecitazioni nel paramento'!$G$53)*IF(O1927&lt;0,-1,1)</f>
        <v>892485.49558937876</v>
      </c>
      <c r="V1927" s="472">
        <f t="shared" si="134"/>
        <v>-7005390.5761905666</v>
      </c>
      <c r="W1927" s="551"/>
      <c r="X1927" s="551"/>
    </row>
    <row r="1928" spans="1:24" x14ac:dyDescent="0.25">
      <c r="A1928" s="545">
        <f t="shared" si="133"/>
        <v>7080115.3961946573</v>
      </c>
      <c r="B1928" s="3">
        <f t="shared" si="135"/>
        <v>22.099999999999945</v>
      </c>
      <c r="C1928" s="545">
        <f>'Foglio deposito bis'!$E$160/sezione!$B$247*B1928</f>
        <v>201.28635530105129</v>
      </c>
      <c r="D1928" s="603">
        <f>-'Sollecitazioni nel paramento'!$G$47*'Sollecitazioni nel paramento'!$G$41*IF(DATI!$G$211="dx",DATI!$E$61,DATI!$E$64*DATI!$E$63)*1000*C1928^2*sezione!$AD$5*(1-sezione!$AD$6)</f>
        <v>-901430601.57786381</v>
      </c>
      <c r="E1928" s="545">
        <f>-'Foglio deposito bis'!$F$78*(C1928-sezione!$AL$34)*IF(ABS(K1928)&lt;'Sollecitazioni nel paramento'!$G$58,ABS(K1928)*'Sollecitazioni nel paramento'!$G$54,'Sollecitazioni nel paramento'!$G$53)</f>
        <v>0</v>
      </c>
      <c r="F1928" s="545">
        <f>-'Foglio deposito bis'!$F$79*(C1928-sezione!$AM$34)*IF(ABS(L1928)&lt;'Sollecitazioni nel paramento'!$G$58,ABS(L1928)*'Sollecitazioni nel paramento'!$G$54,'Sollecitazioni nel paramento'!$G$53)</f>
        <v>-21710747.732588809</v>
      </c>
      <c r="G1928" s="545">
        <f>-'Foglio deposito bis'!$F$80*(C1928-sezione!$AN$34)*IF(ABS(M1928)&lt;'Sollecitazioni nel paramento'!$G$58,ABS(M1928)*'Sollecitazioni nel paramento'!$G$54,'Sollecitazioni nel paramento'!$G$53)</f>
        <v>0</v>
      </c>
      <c r="H1928" s="545">
        <f>-'Foglio deposito bis'!$F$81*(C1928-sezione!$AO$34)*IF(ABS(N1928)&lt;'Sollecitazioni nel paramento'!$G$58,ABS(N1928)*'Sollecitazioni nel paramento'!$G$54,'Sollecitazioni nel paramento'!$G$53)</f>
        <v>-6214824.9823245499</v>
      </c>
      <c r="I1928" s="472">
        <f>-'Foglio deposito bis'!$F$82*(C1928-sezione!$AP$34)*IF(ABS(O1928)&lt;'Sollecitazioni nel paramento'!$G$58,ABS(O1928)*'Sollecitazioni nel paramento'!$G$54,'Sollecitazioni nel paramento'!$G$53)</f>
        <v>385369308.81584471</v>
      </c>
      <c r="J1928" s="472">
        <f t="shared" si="132"/>
        <v>-543986865.47693253</v>
      </c>
      <c r="K1928" s="550">
        <f>'Sollecitazioni nel paramento'!$G$60*(sezione!$AL$34-C1928)/C1928</f>
        <v>-2.8044734711868032E-3</v>
      </c>
      <c r="L1928" s="550">
        <f>'Sollecitazioni nel paramento'!$G$60*(sezione!$AM$34-C1928)/C1928</f>
        <v>-2.4567102067802049E-3</v>
      </c>
      <c r="M1928" s="551">
        <f>'Sollecitazioni nel paramento'!$G$60*(sezione!$AN$34-C1928)/C1928</f>
        <v>-2.1089469423736067E-3</v>
      </c>
      <c r="N1928" s="551">
        <f>'Sollecitazioni nel paramento'!$G$60*(sezione!$AO$34-C1928)/C1928</f>
        <v>-7.1789388474721326E-4</v>
      </c>
      <c r="O1928" s="551">
        <f>'Sollecitazioni nel paramento'!$G$60*(sezione!$AP$34-C1928)/C1928</f>
        <v>7.5080933806890866E-3</v>
      </c>
      <c r="P1928" s="545">
        <f>-'Sollecitazioni nel paramento'!$G$47*'Sollecitazioni nel paramento'!$G$41*IF(DATI!$G$211="dx",DATI!$E$61,DATI!$E$64*DATI!$E$63)*1000*C1928*sezione!$AD$5</f>
        <v>-7668406.2779041491</v>
      </c>
      <c r="Q1928" s="545">
        <f>'Foglio deposito bis'!$F$78*IF(ABS(K1928)&lt;'Sollecitazioni nel paramento'!$G$58,ABS(K1928)*'Sollecitazioni nel paramento'!$G$54,'Sollecitazioni nel paramento'!$G$53)*IF(K1928&lt;0,-1,1)</f>
        <v>0</v>
      </c>
      <c r="R1928" s="545">
        <f>'Foglio deposito bis'!$F$79*IF(ABS(L1928)&lt;'Sollecitazioni nel paramento'!$G$58,ABS(L1928)*'Sollecitazioni nel paramento'!$G$54,'Sollecitazioni nel paramento'!$G$53)*IF(L1928&lt;0,-1,1)</f>
        <v>-153664.85805602249</v>
      </c>
      <c r="S1928" s="545">
        <f>'Foglio deposito bis'!$F$80*IF(ABS(M1928)&lt;'Sollecitazioni nel paramento'!$G$58,ABS(M1928)*'Sollecitazioni nel paramento'!$G$54,'Sollecitazioni nel paramento'!$G$53)*IF(M1928&lt;0,-1,1)</f>
        <v>0</v>
      </c>
      <c r="T1928" s="545">
        <f>'Foglio deposito bis'!$F$81*IF(ABS(N1928)&lt;'Sollecitazioni nel paramento'!$G$58,ABS(N1928)*'Sollecitazioni nel paramento'!$G$54,'Sollecitazioni nel paramento'!$G$53)*IF(N1928&lt;0,-1,1)</f>
        <v>-150529.75582386416</v>
      </c>
      <c r="U1928" s="545">
        <f>'Foglio deposito bis'!$F$82*IF(ABS(O1928)&lt;'Sollecitazioni nel paramento'!$G$58,ABS(O1928)*'Sollecitazioni nel paramento'!$G$54,'Sollecitazioni nel paramento'!$G$53)*IF(O1928&lt;0,-1,1)</f>
        <v>892485.49558937876</v>
      </c>
      <c r="V1928" s="472">
        <f t="shared" si="134"/>
        <v>-7080115.3961946573</v>
      </c>
      <c r="W1928" s="551"/>
      <c r="X1928" s="551"/>
    </row>
    <row r="1929" spans="1:24" x14ac:dyDescent="0.25">
      <c r="A1929" s="545">
        <f t="shared" si="133"/>
        <v>7154744.6560530514</v>
      </c>
      <c r="B1929" s="3">
        <f t="shared" si="135"/>
        <v>22.299999999999944</v>
      </c>
      <c r="C1929" s="545">
        <f>'Foglio deposito bis'!$E$160/sezione!$B$247*B1929</f>
        <v>203.10795127662641</v>
      </c>
      <c r="D1929" s="603">
        <f>-'Sollecitazioni nel paramento'!$G$47*'Sollecitazioni nel paramento'!$G$41*IF(DATI!$G$211="dx",DATI!$E$61,DATI!$E$64*DATI!$E$63)*1000*C1929^2*sezione!$AD$5*(1-sezione!$AD$6)</f>
        <v>-917819913.30778635</v>
      </c>
      <c r="E1929" s="545">
        <f>-'Foglio deposito bis'!$F$78*(C1929-sezione!$AL$34)*IF(ABS(K1929)&lt;'Sollecitazioni nel paramento'!$G$58,ABS(K1929)*'Sollecitazioni nel paramento'!$G$54,'Sollecitazioni nel paramento'!$G$53)</f>
        <v>0</v>
      </c>
      <c r="F1929" s="545">
        <f>-'Foglio deposito bis'!$F$79*(C1929-sezione!$AM$34)*IF(ABS(L1929)&lt;'Sollecitazioni nel paramento'!$G$58,ABS(L1929)*'Sollecitazioni nel paramento'!$G$54,'Sollecitazioni nel paramento'!$G$53)</f>
        <v>-21990663.019610982</v>
      </c>
      <c r="G1929" s="545">
        <f>-'Foglio deposito bis'!$F$80*(C1929-sezione!$AN$34)*IF(ABS(M1929)&lt;'Sollecitazioni nel paramento'!$G$58,ABS(M1929)*'Sollecitazioni nel paramento'!$G$54,'Sollecitazioni nel paramento'!$G$53)</f>
        <v>0</v>
      </c>
      <c r="H1929" s="545">
        <f>-'Foglio deposito bis'!$F$81*(C1929-sezione!$AO$34)*IF(ABS(N1929)&lt;'Sollecitazioni nel paramento'!$G$58,ABS(N1929)*'Sollecitazioni nel paramento'!$G$54,'Sollecitazioni nel paramento'!$G$53)</f>
        <v>-6714566.6449694922</v>
      </c>
      <c r="I1929" s="472">
        <f>-'Foglio deposito bis'!$F$82*(C1929-sezione!$AP$34)*IF(ABS(O1929)&lt;'Sollecitazioni nel paramento'!$G$58,ABS(O1929)*'Sollecitazioni nel paramento'!$G$54,'Sollecitazioni nel paramento'!$G$53)</f>
        <v>383743560.82881993</v>
      </c>
      <c r="J1929" s="472">
        <f t="shared" si="132"/>
        <v>-562781582.14354682</v>
      </c>
      <c r="K1929" s="550">
        <f>'Sollecitazioni nel paramento'!$G$60*(sezione!$AL$34-C1929)/C1929</f>
        <v>-2.8107113772748138E-3</v>
      </c>
      <c r="L1929" s="550">
        <f>'Sollecitazioni nel paramento'!$G$60*(sezione!$AM$34-C1929)/C1929</f>
        <v>-2.4660670659122212E-3</v>
      </c>
      <c r="M1929" s="551">
        <f>'Sollecitazioni nel paramento'!$G$60*(sezione!$AN$34-C1929)/C1929</f>
        <v>-2.1214227545496281E-3</v>
      </c>
      <c r="N1929" s="551">
        <f>'Sollecitazioni nel paramento'!$G$60*(sezione!$AO$34-C1929)/C1929</f>
        <v>-7.4284550909925592E-4</v>
      </c>
      <c r="O1929" s="551">
        <f>'Sollecitazioni nel paramento'!$G$60*(sezione!$AP$34-C1929)/C1929</f>
        <v>7.409366085795014E-3</v>
      </c>
      <c r="P1929" s="545">
        <f>-'Sollecitazioni nel paramento'!$G$47*'Sollecitazioni nel paramento'!$G$41*IF(DATI!$G$211="dx",DATI!$E$61,DATI!$E$64*DATI!$E$63)*1000*C1929*sezione!$AD$5</f>
        <v>-7737803.6197856348</v>
      </c>
      <c r="Q1929" s="545">
        <f>'Foglio deposito bis'!$F$78*IF(ABS(K1929)&lt;'Sollecitazioni nel paramento'!$G$58,ABS(K1929)*'Sollecitazioni nel paramento'!$G$54,'Sollecitazioni nel paramento'!$G$53)*IF(K1929&lt;0,-1,1)</f>
        <v>0</v>
      </c>
      <c r="R1929" s="545">
        <f>'Foglio deposito bis'!$F$79*IF(ABS(L1929)&lt;'Sollecitazioni nel paramento'!$G$58,ABS(L1929)*'Sollecitazioni nel paramento'!$G$54,'Sollecitazioni nel paramento'!$G$53)*IF(L1929&lt;0,-1,1)</f>
        <v>-153664.85805602249</v>
      </c>
      <c r="S1929" s="545">
        <f>'Foglio deposito bis'!$F$80*IF(ABS(M1929)&lt;'Sollecitazioni nel paramento'!$G$58,ABS(M1929)*'Sollecitazioni nel paramento'!$G$54,'Sollecitazioni nel paramento'!$G$53)*IF(M1929&lt;0,-1,1)</f>
        <v>0</v>
      </c>
      <c r="T1929" s="545">
        <f>'Foglio deposito bis'!$F$81*IF(ABS(N1929)&lt;'Sollecitazioni nel paramento'!$G$58,ABS(N1929)*'Sollecitazioni nel paramento'!$G$54,'Sollecitazioni nel paramento'!$G$53)*IF(N1929&lt;0,-1,1)</f>
        <v>-155761.67380077284</v>
      </c>
      <c r="U1929" s="545">
        <f>'Foglio deposito bis'!$F$82*IF(ABS(O1929)&lt;'Sollecitazioni nel paramento'!$G$58,ABS(O1929)*'Sollecitazioni nel paramento'!$G$54,'Sollecitazioni nel paramento'!$G$53)*IF(O1929&lt;0,-1,1)</f>
        <v>892485.49558937876</v>
      </c>
      <c r="V1929" s="472">
        <f t="shared" si="134"/>
        <v>-7154744.6560530514</v>
      </c>
      <c r="W1929" s="551"/>
      <c r="X1929" s="551"/>
    </row>
    <row r="1930" spans="1:24" x14ac:dyDescent="0.25">
      <c r="A1930" s="545">
        <f t="shared" si="133"/>
        <v>7229280.9040363003</v>
      </c>
      <c r="B1930" s="3">
        <f t="shared" si="135"/>
        <v>22.499999999999943</v>
      </c>
      <c r="C1930" s="545">
        <f>'Foglio deposito bis'!$E$160/sezione!$B$247*B1930</f>
        <v>204.92954725220153</v>
      </c>
      <c r="D1930" s="603">
        <f>-'Sollecitazioni nel paramento'!$G$47*'Sollecitazioni nel paramento'!$G$41*IF(DATI!$G$211="dx",DATI!$E$61,DATI!$E$64*DATI!$E$63)*1000*C1930^2*sezione!$AD$5*(1-sezione!$AD$6)</f>
        <v>-934356876.494735</v>
      </c>
      <c r="E1930" s="545">
        <f>-'Foglio deposito bis'!$F$78*(C1930-sezione!$AL$34)*IF(ABS(K1930)&lt;'Sollecitazioni nel paramento'!$G$58,ABS(K1930)*'Sollecitazioni nel paramento'!$G$54,'Sollecitazioni nel paramento'!$G$53)</f>
        <v>0</v>
      </c>
      <c r="F1930" s="545">
        <f>-'Foglio deposito bis'!$F$79*(C1930-sezione!$AM$34)*IF(ABS(L1930)&lt;'Sollecitazioni nel paramento'!$G$58,ABS(L1930)*'Sollecitazioni nel paramento'!$G$54,'Sollecitazioni nel paramento'!$G$53)</f>
        <v>-22270578.306633152</v>
      </c>
      <c r="G1930" s="545">
        <f>-'Foglio deposito bis'!$F$80*(C1930-sezione!$AN$34)*IF(ABS(M1930)&lt;'Sollecitazioni nel paramento'!$G$58,ABS(M1930)*'Sollecitazioni nel paramento'!$G$54,'Sollecitazioni nel paramento'!$G$53)</f>
        <v>0</v>
      </c>
      <c r="H1930" s="545">
        <f>-'Foglio deposito bis'!$F$81*(C1930-sezione!$AO$34)*IF(ABS(N1930)&lt;'Sollecitazioni nel paramento'!$G$58,ABS(N1930)*'Sollecitazioni nel paramento'!$G$54,'Sollecitazioni nel paramento'!$G$53)</f>
        <v>-7229190.2076376434</v>
      </c>
      <c r="I1930" s="472">
        <f>-'Foglio deposito bis'!$F$82*(C1930-sezione!$AP$34)*IF(ABS(O1930)&lt;'Sollecitazioni nel paramento'!$G$58,ABS(O1930)*'Sollecitazioni nel paramento'!$G$54,'Sollecitazioni nel paramento'!$G$53)</f>
        <v>382117812.84179521</v>
      </c>
      <c r="J1930" s="472">
        <f t="shared" si="132"/>
        <v>-581738832.16721058</v>
      </c>
      <c r="K1930" s="550">
        <f>'Sollecitazioni nel paramento'!$G$60*(sezione!$AL$34-C1930)/C1930</f>
        <v>-2.8168383872545933E-3</v>
      </c>
      <c r="L1930" s="550">
        <f>'Sollecitazioni nel paramento'!$G$60*(sezione!$AM$34-C1930)/C1930</f>
        <v>-2.4752575808818906E-3</v>
      </c>
      <c r="M1930" s="551">
        <f>'Sollecitazioni nel paramento'!$G$60*(sezione!$AN$34-C1930)/C1930</f>
        <v>-2.133676774509187E-3</v>
      </c>
      <c r="N1930" s="551">
        <f>'Sollecitazioni nel paramento'!$G$60*(sezione!$AO$34-C1930)/C1930</f>
        <v>-7.6735354901837365E-4</v>
      </c>
      <c r="O1930" s="551">
        <f>'Sollecitazioni nel paramento'!$G$60*(sezione!$AP$34-C1930)/C1930</f>
        <v>7.3123939428101697E-3</v>
      </c>
      <c r="P1930" s="545">
        <f>-'Sollecitazioni nel paramento'!$G$47*'Sollecitazioni nel paramento'!$G$41*IF(DATI!$G$211="dx",DATI!$E$61,DATI!$E$64*DATI!$E$63)*1000*C1930*sezione!$AD$5</f>
        <v>-7807200.9616671205</v>
      </c>
      <c r="Q1930" s="545">
        <f>'Foglio deposito bis'!$F$78*IF(ABS(K1930)&lt;'Sollecitazioni nel paramento'!$G$58,ABS(K1930)*'Sollecitazioni nel paramento'!$G$54,'Sollecitazioni nel paramento'!$G$53)*IF(K1930&lt;0,-1,1)</f>
        <v>0</v>
      </c>
      <c r="R1930" s="545">
        <f>'Foglio deposito bis'!$F$79*IF(ABS(L1930)&lt;'Sollecitazioni nel paramento'!$G$58,ABS(L1930)*'Sollecitazioni nel paramento'!$G$54,'Sollecitazioni nel paramento'!$G$53)*IF(L1930&lt;0,-1,1)</f>
        <v>-153664.85805602249</v>
      </c>
      <c r="S1930" s="545">
        <f>'Foglio deposito bis'!$F$80*IF(ABS(M1930)&lt;'Sollecitazioni nel paramento'!$G$58,ABS(M1930)*'Sollecitazioni nel paramento'!$G$54,'Sollecitazioni nel paramento'!$G$53)*IF(M1930&lt;0,-1,1)</f>
        <v>0</v>
      </c>
      <c r="T1930" s="545">
        <f>'Foglio deposito bis'!$F$81*IF(ABS(N1930)&lt;'Sollecitazioni nel paramento'!$G$58,ABS(N1930)*'Sollecitazioni nel paramento'!$G$54,'Sollecitazioni nel paramento'!$G$53)*IF(N1930&lt;0,-1,1)</f>
        <v>-160900.57990253656</v>
      </c>
      <c r="U1930" s="545">
        <f>'Foglio deposito bis'!$F$82*IF(ABS(O1930)&lt;'Sollecitazioni nel paramento'!$G$58,ABS(O1930)*'Sollecitazioni nel paramento'!$G$54,'Sollecitazioni nel paramento'!$G$53)*IF(O1930&lt;0,-1,1)</f>
        <v>892485.49558937876</v>
      </c>
      <c r="V1930" s="472">
        <f t="shared" si="134"/>
        <v>-7229280.9040363003</v>
      </c>
      <c r="W1930" s="551"/>
      <c r="X1930" s="551"/>
    </row>
    <row r="1931" spans="1:24" x14ac:dyDescent="0.25">
      <c r="A1931" s="545">
        <f t="shared" si="133"/>
        <v>7303726.5986080654</v>
      </c>
      <c r="B1931" s="3">
        <f t="shared" si="135"/>
        <v>22.699999999999942</v>
      </c>
      <c r="C1931" s="545">
        <f>'Foglio deposito bis'!$E$160/sezione!$B$247*B1931</f>
        <v>206.75114322777665</v>
      </c>
      <c r="D1931" s="603">
        <f>-'Sollecitazioni nel paramento'!$G$47*'Sollecitazioni nel paramento'!$G$41*IF(DATI!$G$211="dx",DATI!$E$61,DATI!$E$64*DATI!$E$63)*1000*C1931^2*sezione!$AD$5*(1-sezione!$AD$6)</f>
        <v>-951041491.13871002</v>
      </c>
      <c r="E1931" s="545">
        <f>-'Foglio deposito bis'!$F$78*(C1931-sezione!$AL$34)*IF(ABS(K1931)&lt;'Sollecitazioni nel paramento'!$G$58,ABS(K1931)*'Sollecitazioni nel paramento'!$G$54,'Sollecitazioni nel paramento'!$G$53)</f>
        <v>0</v>
      </c>
      <c r="F1931" s="545">
        <f>-'Foglio deposito bis'!$F$79*(C1931-sezione!$AM$34)*IF(ABS(L1931)&lt;'Sollecitazioni nel paramento'!$G$58,ABS(L1931)*'Sollecitazioni nel paramento'!$G$54,'Sollecitazioni nel paramento'!$G$53)</f>
        <v>-22550493.593655325</v>
      </c>
      <c r="G1931" s="545">
        <f>-'Foglio deposito bis'!$F$80*(C1931-sezione!$AN$34)*IF(ABS(M1931)&lt;'Sollecitazioni nel paramento'!$G$58,ABS(M1931)*'Sollecitazioni nel paramento'!$G$54,'Sollecitazioni nel paramento'!$G$53)</f>
        <v>0</v>
      </c>
      <c r="H1931" s="545">
        <f>-'Foglio deposito bis'!$F$81*(C1931-sezione!$AO$34)*IF(ABS(N1931)&lt;'Sollecitazioni nel paramento'!$G$58,ABS(N1931)*'Sollecitazioni nel paramento'!$G$54,'Sollecitazioni nel paramento'!$G$53)</f>
        <v>-7758302.3161433674</v>
      </c>
      <c r="I1931" s="472">
        <f>-'Foglio deposito bis'!$F$82*(C1931-sezione!$AP$34)*IF(ABS(O1931)&lt;'Sollecitazioni nel paramento'!$G$58,ABS(O1931)*'Sollecitazioni nel paramento'!$G$54,'Sollecitazioni nel paramento'!$G$53)</f>
        <v>380492064.85477042</v>
      </c>
      <c r="J1931" s="472">
        <f t="shared" si="132"/>
        <v>-600858222.19373834</v>
      </c>
      <c r="K1931" s="550">
        <f>'Sollecitazioni nel paramento'!$G$60*(sezione!$AL$34-C1931)/C1931</f>
        <v>-2.8228574323008087E-3</v>
      </c>
      <c r="L1931" s="550">
        <f>'Sollecitazioni nel paramento'!$G$60*(sezione!$AM$34-C1931)/C1931</f>
        <v>-2.4842861484512127E-3</v>
      </c>
      <c r="M1931" s="551">
        <f>'Sollecitazioni nel paramento'!$G$60*(sezione!$AN$34-C1931)/C1931</f>
        <v>-2.1457148646016168E-3</v>
      </c>
      <c r="N1931" s="551">
        <f>'Sollecitazioni nel paramento'!$G$60*(sezione!$AO$34-C1931)/C1931</f>
        <v>-7.9142972920323378E-4</v>
      </c>
      <c r="O1931" s="551">
        <f>'Sollecitazioni nel paramento'!$G$60*(sezione!$AP$34-C1931)/C1931</f>
        <v>7.2171305600541328E-3</v>
      </c>
      <c r="P1931" s="545">
        <f>-'Sollecitazioni nel paramento'!$G$47*'Sollecitazioni nel paramento'!$G$41*IF(DATI!$G$211="dx",DATI!$E$61,DATI!$E$64*DATI!$E$63)*1000*C1931*sezione!$AD$5</f>
        <v>-7876598.3035486052</v>
      </c>
      <c r="Q1931" s="545">
        <f>'Foglio deposito bis'!$F$78*IF(ABS(K1931)&lt;'Sollecitazioni nel paramento'!$G$58,ABS(K1931)*'Sollecitazioni nel paramento'!$G$54,'Sollecitazioni nel paramento'!$G$53)*IF(K1931&lt;0,-1,1)</f>
        <v>0</v>
      </c>
      <c r="R1931" s="545">
        <f>'Foglio deposito bis'!$F$79*IF(ABS(L1931)&lt;'Sollecitazioni nel paramento'!$G$58,ABS(L1931)*'Sollecitazioni nel paramento'!$G$54,'Sollecitazioni nel paramento'!$G$53)*IF(L1931&lt;0,-1,1)</f>
        <v>-153664.85805602249</v>
      </c>
      <c r="S1931" s="545">
        <f>'Foglio deposito bis'!$F$80*IF(ABS(M1931)&lt;'Sollecitazioni nel paramento'!$G$58,ABS(M1931)*'Sollecitazioni nel paramento'!$G$54,'Sollecitazioni nel paramento'!$G$53)*IF(M1931&lt;0,-1,1)</f>
        <v>0</v>
      </c>
      <c r="T1931" s="545">
        <f>'Foglio deposito bis'!$F$81*IF(ABS(N1931)&lt;'Sollecitazioni nel paramento'!$G$58,ABS(N1931)*'Sollecitazioni nel paramento'!$G$54,'Sollecitazioni nel paramento'!$G$53)*IF(N1931&lt;0,-1,1)</f>
        <v>-165948.93259281543</v>
      </c>
      <c r="U1931" s="545">
        <f>'Foglio deposito bis'!$F$82*IF(ABS(O1931)&lt;'Sollecitazioni nel paramento'!$G$58,ABS(O1931)*'Sollecitazioni nel paramento'!$G$54,'Sollecitazioni nel paramento'!$G$53)*IF(O1931&lt;0,-1,1)</f>
        <v>892485.49558937876</v>
      </c>
      <c r="V1931" s="472">
        <f t="shared" si="134"/>
        <v>-7303726.5986080654</v>
      </c>
      <c r="W1931" s="551"/>
      <c r="X1931" s="551"/>
    </row>
    <row r="1932" spans="1:24" x14ac:dyDescent="0.25">
      <c r="A1932" s="545">
        <f t="shared" si="133"/>
        <v>7378084.1123468112</v>
      </c>
      <c r="B1932" s="3">
        <f t="shared" si="135"/>
        <v>22.899999999999942</v>
      </c>
      <c r="C1932" s="545">
        <f>'Foglio deposito bis'!$E$160/sezione!$B$247*B1932</f>
        <v>208.57273920335177</v>
      </c>
      <c r="D1932" s="603">
        <f>-'Sollecitazioni nel paramento'!$G$47*'Sollecitazioni nel paramento'!$G$41*IF(DATI!$G$211="dx",DATI!$E$61,DATI!$E$64*DATI!$E$63)*1000*C1932^2*sezione!$AD$5*(1-sezione!$AD$6)</f>
        <v>-967873757.2397114</v>
      </c>
      <c r="E1932" s="545">
        <f>-'Foglio deposito bis'!$F$78*(C1932-sezione!$AL$34)*IF(ABS(K1932)&lt;'Sollecitazioni nel paramento'!$G$58,ABS(K1932)*'Sollecitazioni nel paramento'!$G$54,'Sollecitazioni nel paramento'!$G$53)</f>
        <v>0</v>
      </c>
      <c r="F1932" s="545">
        <f>-'Foglio deposito bis'!$F$79*(C1932-sezione!$AM$34)*IF(ABS(L1932)&lt;'Sollecitazioni nel paramento'!$G$58,ABS(L1932)*'Sollecitazioni nel paramento'!$G$54,'Sollecitazioni nel paramento'!$G$53)</f>
        <v>-22830408.880677499</v>
      </c>
      <c r="G1932" s="545">
        <f>-'Foglio deposito bis'!$F$80*(C1932-sezione!$AN$34)*IF(ABS(M1932)&lt;'Sollecitazioni nel paramento'!$G$58,ABS(M1932)*'Sollecitazioni nel paramento'!$G$54,'Sollecitazioni nel paramento'!$G$53)</f>
        <v>0</v>
      </c>
      <c r="H1932" s="545">
        <f>-'Foglio deposito bis'!$F$81*(C1932-sezione!$AO$34)*IF(ABS(N1932)&lt;'Sollecitazioni nel paramento'!$G$58,ABS(N1932)*'Sollecitazioni nel paramento'!$G$54,'Sollecitazioni nel paramento'!$G$53)</f>
        <v>-8301523.3579319669</v>
      </c>
      <c r="I1932" s="472">
        <f>-'Foglio deposito bis'!$F$82*(C1932-sezione!$AP$34)*IF(ABS(O1932)&lt;'Sollecitazioni nel paramento'!$G$58,ABS(O1932)*'Sollecitazioni nel paramento'!$G$54,'Sollecitazioni nel paramento'!$G$53)</f>
        <v>378866316.86774558</v>
      </c>
      <c r="J1932" s="472">
        <f t="shared" si="132"/>
        <v>-620139372.6105752</v>
      </c>
      <c r="K1932" s="550">
        <f>'Sollecitazioni nel paramento'!$G$60*(sezione!$AL$34-C1932)/C1932</f>
        <v>-2.828771341189011E-3</v>
      </c>
      <c r="L1932" s="550">
        <f>'Sollecitazioni nel paramento'!$G$60*(sezione!$AM$34-C1932)/C1932</f>
        <v>-2.4931570117835166E-3</v>
      </c>
      <c r="M1932" s="551">
        <f>'Sollecitazioni nel paramento'!$G$60*(sezione!$AN$34-C1932)/C1932</f>
        <v>-2.1575426823780218E-3</v>
      </c>
      <c r="N1932" s="551">
        <f>'Sollecitazioni nel paramento'!$G$60*(sezione!$AO$34-C1932)/C1932</f>
        <v>-8.1508536475604395E-4</v>
      </c>
      <c r="O1932" s="551">
        <f>'Sollecitazioni nel paramento'!$G$60*(sezione!$AP$34-C1932)/C1932</f>
        <v>7.1235311665165425E-3</v>
      </c>
      <c r="P1932" s="545">
        <f>-'Sollecitazioni nel paramento'!$G$47*'Sollecitazioni nel paramento'!$G$41*IF(DATI!$G$211="dx",DATI!$E$61,DATI!$E$64*DATI!$E$63)*1000*C1932*sezione!$AD$5</f>
        <v>-7945995.6454300908</v>
      </c>
      <c r="Q1932" s="545">
        <f>'Foglio deposito bis'!$F$78*IF(ABS(K1932)&lt;'Sollecitazioni nel paramento'!$G$58,ABS(K1932)*'Sollecitazioni nel paramento'!$G$54,'Sollecitazioni nel paramento'!$G$53)*IF(K1932&lt;0,-1,1)</f>
        <v>0</v>
      </c>
      <c r="R1932" s="545">
        <f>'Foglio deposito bis'!$F$79*IF(ABS(L1932)&lt;'Sollecitazioni nel paramento'!$G$58,ABS(L1932)*'Sollecitazioni nel paramento'!$G$54,'Sollecitazioni nel paramento'!$G$53)*IF(L1932&lt;0,-1,1)</f>
        <v>-153664.85805602249</v>
      </c>
      <c r="S1932" s="545">
        <f>'Foglio deposito bis'!$F$80*IF(ABS(M1932)&lt;'Sollecitazioni nel paramento'!$G$58,ABS(M1932)*'Sollecitazioni nel paramento'!$G$54,'Sollecitazioni nel paramento'!$G$53)*IF(M1932&lt;0,-1,1)</f>
        <v>0</v>
      </c>
      <c r="T1932" s="545">
        <f>'Foglio deposito bis'!$F$81*IF(ABS(N1932)&lt;'Sollecitazioni nel paramento'!$G$58,ABS(N1932)*'Sollecitazioni nel paramento'!$G$54,'Sollecitazioni nel paramento'!$G$53)*IF(N1932&lt;0,-1,1)</f>
        <v>-170909.10445007635</v>
      </c>
      <c r="U1932" s="545">
        <f>'Foglio deposito bis'!$F$82*IF(ABS(O1932)&lt;'Sollecitazioni nel paramento'!$G$58,ABS(O1932)*'Sollecitazioni nel paramento'!$G$54,'Sollecitazioni nel paramento'!$G$53)*IF(O1932&lt;0,-1,1)</f>
        <v>892485.49558937876</v>
      </c>
      <c r="V1932" s="472">
        <f t="shared" si="134"/>
        <v>-7378084.1123468112</v>
      </c>
      <c r="W1932" s="551"/>
      <c r="X1932" s="551"/>
    </row>
    <row r="1933" spans="1:24" x14ac:dyDescent="0.25">
      <c r="A1933" s="545">
        <f t="shared" si="133"/>
        <v>7748626.4496119414</v>
      </c>
      <c r="B1933" s="3">
        <f t="shared" ref="B1933:B1983" si="136">B1932+1</f>
        <v>23.899999999999942</v>
      </c>
      <c r="C1933" s="545">
        <f>'Foglio deposito bis'!$E$160/sezione!$B$247*B1933</f>
        <v>217.68071908122741</v>
      </c>
      <c r="D1933" s="603">
        <f>-'Sollecitazioni nel paramento'!$G$47*'Sollecitazioni nel paramento'!$G$41*IF(DATI!$G$211="dx",DATI!$E$61,DATI!$E$64*DATI!$E$63)*1000*C1933^2*sezione!$AD$5*(1-sezione!$AD$6)</f>
        <v>-1054249859.6001137</v>
      </c>
      <c r="E1933" s="545">
        <f>-'Foglio deposito bis'!$F$78*(C1933-sezione!$AL$34)*IF(ABS(K1933)&lt;'Sollecitazioni nel paramento'!$G$58,ABS(K1933)*'Sollecitazioni nel paramento'!$G$54,'Sollecitazioni nel paramento'!$G$53)</f>
        <v>0</v>
      </c>
      <c r="F1933" s="545">
        <f>-'Foglio deposito bis'!$F$79*(C1933-sezione!$AM$34)*IF(ABS(L1933)&lt;'Sollecitazioni nel paramento'!$G$58,ABS(L1933)*'Sollecitazioni nel paramento'!$G$54,'Sollecitazioni nel paramento'!$G$53)</f>
        <v>-24229985.315788366</v>
      </c>
      <c r="G1933" s="545">
        <f>-'Foglio deposito bis'!$F$80*(C1933-sezione!$AN$34)*IF(ABS(M1933)&lt;'Sollecitazioni nel paramento'!$G$58,ABS(M1933)*'Sollecitazioni nel paramento'!$G$54,'Sollecitazioni nel paramento'!$G$53)</f>
        <v>0</v>
      </c>
      <c r="H1933" s="545">
        <f>-'Foglio deposito bis'!$F$81*(C1933-sezione!$AO$34)*IF(ABS(N1933)&lt;'Sollecitazioni nel paramento'!$G$58,ABS(N1933)*'Sollecitazioni nel paramento'!$G$54,'Sollecitazioni nel paramento'!$G$53)</f>
        <v>-11216865.595451141</v>
      </c>
      <c r="I1933" s="472">
        <f>-'Foglio deposito bis'!$F$82*(C1933-sezione!$AP$34)*IF(ABS(O1933)&lt;'Sollecitazioni nel paramento'!$G$58,ABS(O1933)*'Sollecitazioni nel paramento'!$G$54,'Sollecitazioni nel paramento'!$G$53)</f>
        <v>370737576.93262172</v>
      </c>
      <c r="J1933" s="472">
        <f t="shared" ref="J1933:J1983" si="137">D1933+E1933+F1933+G1933+H1933+I1933</f>
        <v>-718959133.57873154</v>
      </c>
      <c r="K1933" s="550">
        <f>'Sollecitazioni nel paramento'!$G$60*(sezione!$AL$34-C1933)/C1933</f>
        <v>-2.85685622231081E-3</v>
      </c>
      <c r="L1933" s="550">
        <f>'Sollecitazioni nel paramento'!$G$60*(sezione!$AM$34-C1933)/C1933</f>
        <v>-2.5352843334662143E-3</v>
      </c>
      <c r="M1933" s="551">
        <f>'Sollecitazioni nel paramento'!$G$60*(sezione!$AN$34-C1933)/C1933</f>
        <v>-2.2137124446216195E-3</v>
      </c>
      <c r="N1933" s="551">
        <f>'Sollecitazioni nel paramento'!$G$60*(sezione!$AO$34-C1933)/C1933</f>
        <v>-9.2742488924323898E-4</v>
      </c>
      <c r="O1933" s="551">
        <f>'Sollecitazioni nel paramento'!$G$60*(sezione!$AP$34-C1933)/C1933</f>
        <v>6.6790319545284027E-3</v>
      </c>
      <c r="P1933" s="545">
        <f>-'Sollecitazioni nel paramento'!$G$47*'Sollecitazioni nel paramento'!$G$41*IF(DATI!$G$211="dx",DATI!$E$61,DATI!$E$64*DATI!$E$63)*1000*C1933*sezione!$AD$5</f>
        <v>-8292982.3548375182</v>
      </c>
      <c r="Q1933" s="545">
        <f>'Foglio deposito bis'!$F$78*IF(ABS(K1933)&lt;'Sollecitazioni nel paramento'!$G$58,ABS(K1933)*'Sollecitazioni nel paramento'!$G$54,'Sollecitazioni nel paramento'!$G$53)*IF(K1933&lt;0,-1,1)</f>
        <v>0</v>
      </c>
      <c r="R1933" s="545">
        <f>'Foglio deposito bis'!$F$79*IF(ABS(L1933)&lt;'Sollecitazioni nel paramento'!$G$58,ABS(L1933)*'Sollecitazioni nel paramento'!$G$54,'Sollecitazioni nel paramento'!$G$53)*IF(L1933&lt;0,-1,1)</f>
        <v>-153664.85805602249</v>
      </c>
      <c r="S1933" s="545">
        <f>'Foglio deposito bis'!$F$80*IF(ABS(M1933)&lt;'Sollecitazioni nel paramento'!$G$58,ABS(M1933)*'Sollecitazioni nel paramento'!$G$54,'Sollecitazioni nel paramento'!$G$53)*IF(M1933&lt;0,-1,1)</f>
        <v>0</v>
      </c>
      <c r="T1933" s="545">
        <f>'Foglio deposito bis'!$F$81*IF(ABS(N1933)&lt;'Sollecitazioni nel paramento'!$G$58,ABS(N1933)*'Sollecitazioni nel paramento'!$G$54,'Sollecitazioni nel paramento'!$G$53)*IF(N1933&lt;0,-1,1)</f>
        <v>-194464.73230777989</v>
      </c>
      <c r="U1933" s="545">
        <f>'Foglio deposito bis'!$F$82*IF(ABS(O1933)&lt;'Sollecitazioni nel paramento'!$G$58,ABS(O1933)*'Sollecitazioni nel paramento'!$G$54,'Sollecitazioni nel paramento'!$G$53)*IF(O1933&lt;0,-1,1)</f>
        <v>892485.49558937876</v>
      </c>
      <c r="V1933" s="472">
        <f t="shared" si="134"/>
        <v>-7748626.4496119414</v>
      </c>
      <c r="W1933" s="551"/>
      <c r="X1933" s="551"/>
    </row>
    <row r="1934" spans="1:24" x14ac:dyDescent="0.25">
      <c r="A1934" s="545">
        <f t="shared" ref="A1934:A1983" si="138">ABS(V1934)</f>
        <v>8117276.7685752511</v>
      </c>
      <c r="B1934" s="3">
        <f t="shared" si="136"/>
        <v>24.899999999999942</v>
      </c>
      <c r="C1934" s="545">
        <f>'Foglio deposito bis'!$E$160/sezione!$B$247*B1934</f>
        <v>226.78869895910307</v>
      </c>
      <c r="D1934" s="603">
        <f>-'Sollecitazioni nel paramento'!$G$47*'Sollecitazioni nel paramento'!$G$41*IF(DATI!$G$211="dx",DATI!$E$61,DATI!$E$64*DATI!$E$63)*1000*C1934^2*sezione!$AD$5*(1-sezione!$AD$6)</f>
        <v>-1144317248.3861747</v>
      </c>
      <c r="E1934" s="545">
        <f>-'Foglio deposito bis'!$F$78*(C1934-sezione!$AL$34)*IF(ABS(K1934)&lt;'Sollecitazioni nel paramento'!$G$58,ABS(K1934)*'Sollecitazioni nel paramento'!$G$54,'Sollecitazioni nel paramento'!$G$53)</f>
        <v>0</v>
      </c>
      <c r="F1934" s="545">
        <f>-'Foglio deposito bis'!$F$79*(C1934-sezione!$AM$34)*IF(ABS(L1934)&lt;'Sollecitazioni nel paramento'!$G$58,ABS(L1934)*'Sollecitazioni nel paramento'!$G$54,'Sollecitazioni nel paramento'!$G$53)</f>
        <v>-25629561.75089924</v>
      </c>
      <c r="G1934" s="545">
        <f>-'Foglio deposito bis'!$F$80*(C1934-sezione!$AN$34)*IF(ABS(M1934)&lt;'Sollecitazioni nel paramento'!$G$58,ABS(M1934)*'Sollecitazioni nel paramento'!$G$54,'Sollecitazioni nel paramento'!$G$53)</f>
        <v>0</v>
      </c>
      <c r="H1934" s="545">
        <f>-'Foglio deposito bis'!$F$81*(C1934-sezione!$AO$34)*IF(ABS(N1934)&lt;'Sollecitazioni nel paramento'!$G$58,ABS(N1934)*'Sollecitazioni nel paramento'!$G$54,'Sollecitazioni nel paramento'!$G$53)</f>
        <v>-14434930.761262093</v>
      </c>
      <c r="I1934" s="472">
        <f>-'Foglio deposito bis'!$F$82*(C1934-sezione!$AP$34)*IF(ABS(O1934)&lt;'Sollecitazioni nel paramento'!$G$58,ABS(O1934)*'Sollecitazioni nel paramento'!$G$54,'Sollecitazioni nel paramento'!$G$53)</f>
        <v>362608836.9974978</v>
      </c>
      <c r="J1934" s="472">
        <f t="shared" si="137"/>
        <v>-821772903.90083838</v>
      </c>
      <c r="K1934" s="550">
        <f>'Sollecitazioni nel paramento'!$G$60*(sezione!$AL$34-C1934)/C1934</f>
        <v>-2.8826852896878859E-3</v>
      </c>
      <c r="L1934" s="550">
        <f>'Sollecitazioni nel paramento'!$G$60*(sezione!$AM$34-C1934)/C1934</f>
        <v>-2.5740279345318287E-3</v>
      </c>
      <c r="M1934" s="551">
        <f>'Sollecitazioni nel paramento'!$G$60*(sezione!$AN$34-C1934)/C1934</f>
        <v>-2.2653705793757718E-3</v>
      </c>
      <c r="N1934" s="551">
        <f>'Sollecitazioni nel paramento'!$G$60*(sezione!$AO$34-C1934)/C1934</f>
        <v>-1.0307411587515429E-3</v>
      </c>
      <c r="O1934" s="551">
        <f>'Sollecitazioni nel paramento'!$G$60*(sezione!$AP$34-C1934)/C1934</f>
        <v>6.2702354904911155E-3</v>
      </c>
      <c r="P1934" s="545">
        <f>-'Sollecitazioni nel paramento'!$G$47*'Sollecitazioni nel paramento'!$G$41*IF(DATI!$G$211="dx",DATI!$E$61,DATI!$E$64*DATI!$E$63)*1000*C1934*sezione!$AD$5</f>
        <v>-8639969.0642449483</v>
      </c>
      <c r="Q1934" s="545">
        <f>'Foglio deposito bis'!$F$78*IF(ABS(K1934)&lt;'Sollecitazioni nel paramento'!$G$58,ABS(K1934)*'Sollecitazioni nel paramento'!$G$54,'Sollecitazioni nel paramento'!$G$53)*IF(K1934&lt;0,-1,1)</f>
        <v>0</v>
      </c>
      <c r="R1934" s="545">
        <f>'Foglio deposito bis'!$F$79*IF(ABS(L1934)&lt;'Sollecitazioni nel paramento'!$G$58,ABS(L1934)*'Sollecitazioni nel paramento'!$G$54,'Sollecitazioni nel paramento'!$G$53)*IF(L1934&lt;0,-1,1)</f>
        <v>-153664.85805602249</v>
      </c>
      <c r="S1934" s="545">
        <f>'Foglio deposito bis'!$F$80*IF(ABS(M1934)&lt;'Sollecitazioni nel paramento'!$G$58,ABS(M1934)*'Sollecitazioni nel paramento'!$G$54,'Sollecitazioni nel paramento'!$G$53)*IF(M1934&lt;0,-1,1)</f>
        <v>0</v>
      </c>
      <c r="T1934" s="545">
        <f>'Foglio deposito bis'!$F$81*IF(ABS(N1934)&lt;'Sollecitazioni nel paramento'!$G$58,ABS(N1934)*'Sollecitazioni nel paramento'!$G$54,'Sollecitazioni nel paramento'!$G$53)*IF(N1934&lt;0,-1,1)</f>
        <v>-216128.34186365988</v>
      </c>
      <c r="U1934" s="545">
        <f>'Foglio deposito bis'!$F$82*IF(ABS(O1934)&lt;'Sollecitazioni nel paramento'!$G$58,ABS(O1934)*'Sollecitazioni nel paramento'!$G$54,'Sollecitazioni nel paramento'!$G$53)*IF(O1934&lt;0,-1,1)</f>
        <v>892485.49558937876</v>
      </c>
      <c r="V1934" s="472">
        <f t="shared" ref="V1934:V1983" si="139">P1934+Q1934+R1934+S1934+T1934+U1934</f>
        <v>-8117276.7685752511</v>
      </c>
      <c r="W1934" s="551"/>
      <c r="X1934" s="551"/>
    </row>
    <row r="1935" spans="1:24" x14ac:dyDescent="0.25">
      <c r="A1935" s="545">
        <f t="shared" si="138"/>
        <v>8484254.2219357882</v>
      </c>
      <c r="B1935" s="3">
        <f t="shared" si="136"/>
        <v>25.899999999999942</v>
      </c>
      <c r="C1935" s="545">
        <f>'Foglio deposito bis'!$E$160/sezione!$B$247*B1935</f>
        <v>235.89667883697871</v>
      </c>
      <c r="D1935" s="603">
        <f>-'Sollecitazioni nel paramento'!$G$47*'Sollecitazioni nel paramento'!$G$41*IF(DATI!$G$211="dx",DATI!$E$61,DATI!$E$64*DATI!$E$63)*1000*C1935^2*sezione!$AD$5*(1-sezione!$AD$6)</f>
        <v>-1238075923.5978935</v>
      </c>
      <c r="E1935" s="545">
        <f>-'Foglio deposito bis'!$F$78*(C1935-sezione!$AL$34)*IF(ABS(K1935)&lt;'Sollecitazioni nel paramento'!$G$58,ABS(K1935)*'Sollecitazioni nel paramento'!$G$54,'Sollecitazioni nel paramento'!$G$53)</f>
        <v>0</v>
      </c>
      <c r="F1935" s="545">
        <f>-'Foglio deposito bis'!$F$79*(C1935-sezione!$AM$34)*IF(ABS(L1935)&lt;'Sollecitazioni nel paramento'!$G$58,ABS(L1935)*'Sollecitazioni nel paramento'!$G$54,'Sollecitazioni nel paramento'!$G$53)</f>
        <v>-27029138.186010107</v>
      </c>
      <c r="G1935" s="545">
        <f>-'Foglio deposito bis'!$F$80*(C1935-sezione!$AN$34)*IF(ABS(M1935)&lt;'Sollecitazioni nel paramento'!$G$58,ABS(M1935)*'Sollecitazioni nel paramento'!$G$54,'Sollecitazioni nel paramento'!$G$53)</f>
        <v>0</v>
      </c>
      <c r="H1935" s="545">
        <f>-'Foglio deposito bis'!$F$81*(C1935-sezione!$AO$34)*IF(ABS(N1935)&lt;'Sollecitazioni nel paramento'!$G$58,ABS(N1935)*'Sollecitazioni nel paramento'!$G$54,'Sollecitazioni nel paramento'!$G$53)</f>
        <v>-17920654.423516344</v>
      </c>
      <c r="I1935" s="472">
        <f>-'Foglio deposito bis'!$F$82*(C1935-sezione!$AP$34)*IF(ABS(O1935)&lt;'Sollecitazioni nel paramento'!$G$58,ABS(O1935)*'Sollecitazioni nel paramento'!$G$54,'Sollecitazioni nel paramento'!$G$53)</f>
        <v>354480097.06237382</v>
      </c>
      <c r="J1935" s="472">
        <f t="shared" si="137"/>
        <v>-928545619.145046</v>
      </c>
      <c r="K1935" s="550">
        <f>'Sollecitazioni nel paramento'!$G$60*(sezione!$AL$34-C1935)/C1935</f>
        <v>-2.9065198344875812E-3</v>
      </c>
      <c r="L1935" s="550">
        <f>'Sollecitazioni nel paramento'!$G$60*(sezione!$AM$34-C1935)/C1935</f>
        <v>-2.609779751731372E-3</v>
      </c>
      <c r="M1935" s="551">
        <f>'Sollecitazioni nel paramento'!$G$60*(sezione!$AN$34-C1935)/C1935</f>
        <v>-2.3130396689751628E-3</v>
      </c>
      <c r="N1935" s="551">
        <f>'Sollecitazioni nel paramento'!$G$60*(sezione!$AO$34-C1935)/C1935</f>
        <v>-1.1260793379503252E-3</v>
      </c>
      <c r="O1935" s="551">
        <f>'Sollecitazioni nel paramento'!$G$60*(sezione!$AP$34-C1935)/C1935</f>
        <v>5.8930063209740834E-3</v>
      </c>
      <c r="P1935" s="545">
        <f>-'Sollecitazioni nel paramento'!$G$47*'Sollecitazioni nel paramento'!$G$41*IF(DATI!$G$211="dx",DATI!$E$61,DATI!$E$64*DATI!$E$63)*1000*C1935*sezione!$AD$5</f>
        <v>-8986955.7736523766</v>
      </c>
      <c r="Q1935" s="545">
        <f>'Foglio deposito bis'!$F$78*IF(ABS(K1935)&lt;'Sollecitazioni nel paramento'!$G$58,ABS(K1935)*'Sollecitazioni nel paramento'!$G$54,'Sollecitazioni nel paramento'!$G$53)*IF(K1935&lt;0,-1,1)</f>
        <v>0</v>
      </c>
      <c r="R1935" s="545">
        <f>'Foglio deposito bis'!$F$79*IF(ABS(L1935)&lt;'Sollecitazioni nel paramento'!$G$58,ABS(L1935)*'Sollecitazioni nel paramento'!$G$54,'Sollecitazioni nel paramento'!$G$53)*IF(L1935&lt;0,-1,1)</f>
        <v>-153664.85805602249</v>
      </c>
      <c r="S1935" s="545">
        <f>'Foglio deposito bis'!$F$80*IF(ABS(M1935)&lt;'Sollecitazioni nel paramento'!$G$58,ABS(M1935)*'Sollecitazioni nel paramento'!$G$54,'Sollecitazioni nel paramento'!$G$53)*IF(M1935&lt;0,-1,1)</f>
        <v>0</v>
      </c>
      <c r="T1935" s="545">
        <f>'Foglio deposito bis'!$F$81*IF(ABS(N1935)&lt;'Sollecitazioni nel paramento'!$G$58,ABS(N1935)*'Sollecitazioni nel paramento'!$G$54,'Sollecitazioni nel paramento'!$G$53)*IF(N1935&lt;0,-1,1)</f>
        <v>-236119.08581676919</v>
      </c>
      <c r="U1935" s="545">
        <f>'Foglio deposito bis'!$F$82*IF(ABS(O1935)&lt;'Sollecitazioni nel paramento'!$G$58,ABS(O1935)*'Sollecitazioni nel paramento'!$G$54,'Sollecitazioni nel paramento'!$G$53)*IF(O1935&lt;0,-1,1)</f>
        <v>892485.49558937876</v>
      </c>
      <c r="V1935" s="472">
        <f t="shared" si="139"/>
        <v>-8484254.2219357882</v>
      </c>
      <c r="W1935" s="551"/>
      <c r="X1935" s="551"/>
    </row>
    <row r="1936" spans="1:24" x14ac:dyDescent="0.25">
      <c r="A1936" s="545">
        <f t="shared" si="138"/>
        <v>8849745.3746306673</v>
      </c>
      <c r="B1936" s="3">
        <f t="shared" si="136"/>
        <v>26.899999999999942</v>
      </c>
      <c r="C1936" s="545">
        <f>'Foglio deposito bis'!$E$160/sezione!$B$247*B1936</f>
        <v>245.00465871485434</v>
      </c>
      <c r="D1936" s="603">
        <f>-'Sollecitazioni nel paramento'!$G$47*'Sollecitazioni nel paramento'!$G$41*IF(DATI!$G$211="dx",DATI!$E$61,DATI!$E$64*DATI!$E$63)*1000*C1936^2*sezione!$AD$5*(1-sezione!$AD$6)</f>
        <v>-1335525885.2352703</v>
      </c>
      <c r="E1936" s="545">
        <f>-'Foglio deposito bis'!$F$78*(C1936-sezione!$AL$34)*IF(ABS(K1936)&lt;'Sollecitazioni nel paramento'!$G$58,ABS(K1936)*'Sollecitazioni nel paramento'!$G$54,'Sollecitazioni nel paramento'!$G$53)</f>
        <v>0</v>
      </c>
      <c r="F1936" s="545">
        <f>-'Foglio deposito bis'!$F$79*(C1936-sezione!$AM$34)*IF(ABS(L1936)&lt;'Sollecitazioni nel paramento'!$G$58,ABS(L1936)*'Sollecitazioni nel paramento'!$G$54,'Sollecitazioni nel paramento'!$G$53)</f>
        <v>-28428714.621120978</v>
      </c>
      <c r="G1936" s="545">
        <f>-'Foglio deposito bis'!$F$80*(C1936-sezione!$AN$34)*IF(ABS(M1936)&lt;'Sollecitazioni nel paramento'!$G$58,ABS(M1936)*'Sollecitazioni nel paramento'!$G$54,'Sollecitazioni nel paramento'!$G$53)</f>
        <v>0</v>
      </c>
      <c r="H1936" s="545">
        <f>-'Foglio deposito bis'!$F$81*(C1936-sezione!$AO$34)*IF(ABS(N1936)&lt;'Sollecitazioni nel paramento'!$G$58,ABS(N1936)*'Sollecitazioni nel paramento'!$G$54,'Sollecitazioni nel paramento'!$G$53)</f>
        <v>-21644186.192275986</v>
      </c>
      <c r="I1936" s="472">
        <f>-'Foglio deposito bis'!$F$82*(C1936-sezione!$AP$34)*IF(ABS(O1936)&lt;'Sollecitazioni nel paramento'!$G$58,ABS(O1936)*'Sollecitazioni nel paramento'!$G$54,'Sollecitazioni nel paramento'!$G$53)</f>
        <v>346351357.1272499</v>
      </c>
      <c r="J1936" s="472">
        <f t="shared" si="137"/>
        <v>-1039247428.9214172</v>
      </c>
      <c r="K1936" s="550">
        <f>'Sollecitazioni nel paramento'!$G$60*(sezione!$AL$34-C1936)/C1936</f>
        <v>-2.9285822941720577E-3</v>
      </c>
      <c r="L1936" s="550">
        <f>'Sollecitazioni nel paramento'!$G$60*(sezione!$AM$34-C1936)/C1936</f>
        <v>-2.6428734412580869E-3</v>
      </c>
      <c r="M1936" s="551">
        <f>'Sollecitazioni nel paramento'!$G$60*(sezione!$AN$34-C1936)/C1936</f>
        <v>-2.3571645883441157E-3</v>
      </c>
      <c r="N1936" s="551">
        <f>'Sollecitazioni nel paramento'!$G$60*(sezione!$AO$34-C1936)/C1936</f>
        <v>-1.2143291766882314E-3</v>
      </c>
      <c r="O1936" s="551">
        <f>'Sollecitazioni nel paramento'!$G$60*(sezione!$AP$34-C1936)/C1936</f>
        <v>5.5438239298598044E-3</v>
      </c>
      <c r="P1936" s="545">
        <f>-'Sollecitazioni nel paramento'!$G$47*'Sollecitazioni nel paramento'!$G$41*IF(DATI!$G$211="dx",DATI!$E$61,DATI!$E$64*DATI!$E$63)*1000*C1936*sezione!$AD$5</f>
        <v>-9333942.4830598049</v>
      </c>
      <c r="Q1936" s="545">
        <f>'Foglio deposito bis'!$F$78*IF(ABS(K1936)&lt;'Sollecitazioni nel paramento'!$G$58,ABS(K1936)*'Sollecitazioni nel paramento'!$G$54,'Sollecitazioni nel paramento'!$G$53)*IF(K1936&lt;0,-1,1)</f>
        <v>0</v>
      </c>
      <c r="R1936" s="545">
        <f>'Foglio deposito bis'!$F$79*IF(ABS(L1936)&lt;'Sollecitazioni nel paramento'!$G$58,ABS(L1936)*'Sollecitazioni nel paramento'!$G$54,'Sollecitazioni nel paramento'!$G$53)*IF(L1936&lt;0,-1,1)</f>
        <v>-153664.85805602249</v>
      </c>
      <c r="S1936" s="545">
        <f>'Foglio deposito bis'!$F$80*IF(ABS(M1936)&lt;'Sollecitazioni nel paramento'!$G$58,ABS(M1936)*'Sollecitazioni nel paramento'!$G$54,'Sollecitazioni nel paramento'!$G$53)*IF(M1936&lt;0,-1,1)</f>
        <v>0</v>
      </c>
      <c r="T1936" s="545">
        <f>'Foglio deposito bis'!$F$81*IF(ABS(N1936)&lt;'Sollecitazioni nel paramento'!$G$58,ABS(N1936)*'Sollecitazioni nel paramento'!$G$54,'Sollecitazioni nel paramento'!$G$53)*IF(N1936&lt;0,-1,1)</f>
        <v>-254623.52910421978</v>
      </c>
      <c r="U1936" s="545">
        <f>'Foglio deposito bis'!$F$82*IF(ABS(O1936)&lt;'Sollecitazioni nel paramento'!$G$58,ABS(O1936)*'Sollecitazioni nel paramento'!$G$54,'Sollecitazioni nel paramento'!$G$53)*IF(O1936&lt;0,-1,1)</f>
        <v>892485.49558937876</v>
      </c>
      <c r="V1936" s="472">
        <f t="shared" si="139"/>
        <v>-8849745.3746306673</v>
      </c>
      <c r="W1936" s="551"/>
      <c r="X1936" s="551"/>
    </row>
    <row r="1937" spans="1:24" x14ac:dyDescent="0.25">
      <c r="A1937" s="545">
        <f t="shared" si="138"/>
        <v>9213910.0439357646</v>
      </c>
      <c r="B1937" s="3">
        <f t="shared" si="136"/>
        <v>27.899999999999942</v>
      </c>
      <c r="C1937" s="545">
        <f>'Foglio deposito bis'!$E$160/sezione!$B$247*B1937</f>
        <v>254.11263859273001</v>
      </c>
      <c r="D1937" s="603">
        <f>-'Sollecitazioni nel paramento'!$G$47*'Sollecitazioni nel paramento'!$G$41*IF(DATI!$G$211="dx",DATI!$E$61,DATI!$E$64*DATI!$E$63)*1000*C1937^2*sezione!$AD$5*(1-sezione!$AD$6)</f>
        <v>-1436667133.2983057</v>
      </c>
      <c r="E1937" s="545">
        <f>-'Foglio deposito bis'!$F$78*(C1937-sezione!$AL$34)*IF(ABS(K1937)&lt;'Sollecitazioni nel paramento'!$G$58,ABS(K1937)*'Sollecitazioni nel paramento'!$G$54,'Sollecitazioni nel paramento'!$G$53)</f>
        <v>0</v>
      </c>
      <c r="F1937" s="545">
        <f>-'Foglio deposito bis'!$F$79*(C1937-sezione!$AM$34)*IF(ABS(L1937)&lt;'Sollecitazioni nel paramento'!$G$58,ABS(L1937)*'Sollecitazioni nel paramento'!$G$54,'Sollecitazioni nel paramento'!$G$53)</f>
        <v>-29828291.056231849</v>
      </c>
      <c r="G1937" s="545">
        <f>-'Foglio deposito bis'!$F$80*(C1937-sezione!$AN$34)*IF(ABS(M1937)&lt;'Sollecitazioni nel paramento'!$G$58,ABS(M1937)*'Sollecitazioni nel paramento'!$G$54,'Sollecitazioni nel paramento'!$G$53)</f>
        <v>0</v>
      </c>
      <c r="H1937" s="545">
        <f>-'Foglio deposito bis'!$F$81*(C1937-sezione!$AO$34)*IF(ABS(N1937)&lt;'Sollecitazioni nel paramento'!$G$58,ABS(N1937)*'Sollecitazioni nel paramento'!$G$54,'Sollecitazioni nel paramento'!$G$53)</f>
        <v>-25579955.303400662</v>
      </c>
      <c r="I1937" s="472">
        <f>-'Foglio deposito bis'!$F$82*(C1937-sezione!$AP$34)*IF(ABS(O1937)&lt;'Sollecitazioni nel paramento'!$G$58,ABS(O1937)*'Sollecitazioni nel paramento'!$G$54,'Sollecitazioni nel paramento'!$G$53)</f>
        <v>338222617.19212592</v>
      </c>
      <c r="J1937" s="472">
        <f t="shared" si="137"/>
        <v>-1153852762.4658122</v>
      </c>
      <c r="K1937" s="550">
        <f>'Sollecitazioni nel paramento'!$G$60*(sezione!$AL$34-C1937)/C1937</f>
        <v>-2.9490632155278981E-3</v>
      </c>
      <c r="L1937" s="550">
        <f>'Sollecitazioni nel paramento'!$G$60*(sezione!$AM$34-C1937)/C1937</f>
        <v>-2.6735948232918471E-3</v>
      </c>
      <c r="M1937" s="551">
        <f>'Sollecitazioni nel paramento'!$G$60*(sezione!$AN$34-C1937)/C1937</f>
        <v>-2.3981264310557965E-3</v>
      </c>
      <c r="N1937" s="551">
        <f>'Sollecitazioni nel paramento'!$G$60*(sezione!$AO$34-C1937)/C1937</f>
        <v>-1.2962528621115925E-3</v>
      </c>
      <c r="O1937" s="551">
        <f>'Sollecitazioni nel paramento'!$G$60*(sezione!$AP$34-C1937)/C1937</f>
        <v>5.2196725345243266E-3</v>
      </c>
      <c r="P1937" s="545">
        <f>-'Sollecitazioni nel paramento'!$G$47*'Sollecitazioni nel paramento'!$G$41*IF(DATI!$G$211="dx",DATI!$E$61,DATI!$E$64*DATI!$E$63)*1000*C1937*sezione!$AD$5</f>
        <v>-9680929.1924672332</v>
      </c>
      <c r="Q1937" s="545">
        <f>'Foglio deposito bis'!$F$78*IF(ABS(K1937)&lt;'Sollecitazioni nel paramento'!$G$58,ABS(K1937)*'Sollecitazioni nel paramento'!$G$54,'Sollecitazioni nel paramento'!$G$53)*IF(K1937&lt;0,-1,1)</f>
        <v>0</v>
      </c>
      <c r="R1937" s="545">
        <f>'Foglio deposito bis'!$F$79*IF(ABS(L1937)&lt;'Sollecitazioni nel paramento'!$G$58,ABS(L1937)*'Sollecitazioni nel paramento'!$G$54,'Sollecitazioni nel paramento'!$G$53)*IF(L1937&lt;0,-1,1)</f>
        <v>-153664.85805602249</v>
      </c>
      <c r="S1937" s="545">
        <f>'Foglio deposito bis'!$F$80*IF(ABS(M1937)&lt;'Sollecitazioni nel paramento'!$G$58,ABS(M1937)*'Sollecitazioni nel paramento'!$G$54,'Sollecitazioni nel paramento'!$G$53)*IF(M1937&lt;0,-1,1)</f>
        <v>0</v>
      </c>
      <c r="T1937" s="545">
        <f>'Foglio deposito bis'!$F$81*IF(ABS(N1937)&lt;'Sollecitazioni nel paramento'!$G$58,ABS(N1937)*'Sollecitazioni nel paramento'!$G$54,'Sollecitazioni nel paramento'!$G$53)*IF(N1937&lt;0,-1,1)</f>
        <v>-271801.48900188901</v>
      </c>
      <c r="U1937" s="545">
        <f>'Foglio deposito bis'!$F$82*IF(ABS(O1937)&lt;'Sollecitazioni nel paramento'!$G$58,ABS(O1937)*'Sollecitazioni nel paramento'!$G$54,'Sollecitazioni nel paramento'!$G$53)*IF(O1937&lt;0,-1,1)</f>
        <v>892485.49558937876</v>
      </c>
      <c r="V1937" s="472">
        <f t="shared" si="139"/>
        <v>-9213910.0439357646</v>
      </c>
      <c r="W1937" s="551"/>
      <c r="X1937" s="551"/>
    </row>
    <row r="1938" spans="1:24" x14ac:dyDescent="0.25">
      <c r="A1938" s="545">
        <f t="shared" si="138"/>
        <v>9576885.9270887747</v>
      </c>
      <c r="B1938" s="3">
        <f t="shared" si="136"/>
        <v>28.899999999999942</v>
      </c>
      <c r="C1938" s="545">
        <f>'Foglio deposito bis'!$E$160/sezione!$B$247*B1938</f>
        <v>263.22061847060564</v>
      </c>
      <c r="D1938" s="603">
        <f>-'Sollecitazioni nel paramento'!$G$47*'Sollecitazioni nel paramento'!$G$41*IF(DATI!$G$211="dx",DATI!$E$61,DATI!$E$64*DATI!$E$63)*1000*C1938^2*sezione!$AD$5*(1-sezione!$AD$6)</f>
        <v>-1541499667.7869992</v>
      </c>
      <c r="E1938" s="545">
        <f>-'Foglio deposito bis'!$F$78*(C1938-sezione!$AL$34)*IF(ABS(K1938)&lt;'Sollecitazioni nel paramento'!$G$58,ABS(K1938)*'Sollecitazioni nel paramento'!$G$54,'Sollecitazioni nel paramento'!$G$53)</f>
        <v>0</v>
      </c>
      <c r="F1938" s="545">
        <f>-'Foglio deposito bis'!$F$79*(C1938-sezione!$AM$34)*IF(ABS(L1938)&lt;'Sollecitazioni nel paramento'!$G$58,ABS(L1938)*'Sollecitazioni nel paramento'!$G$54,'Sollecitazioni nel paramento'!$G$53)</f>
        <v>-31227867.49134272</v>
      </c>
      <c r="G1938" s="545">
        <f>-'Foglio deposito bis'!$F$80*(C1938-sezione!$AN$34)*IF(ABS(M1938)&lt;'Sollecitazioni nel paramento'!$G$58,ABS(M1938)*'Sollecitazioni nel paramento'!$G$54,'Sollecitazioni nel paramento'!$G$53)</f>
        <v>0</v>
      </c>
      <c r="H1938" s="545">
        <f>-'Foglio deposito bis'!$F$81*(C1938-sezione!$AO$34)*IF(ABS(N1938)&lt;'Sollecitazioni nel paramento'!$G$58,ABS(N1938)*'Sollecitazioni nel paramento'!$G$54,'Sollecitazioni nel paramento'!$G$53)</f>
        <v>-29705930.198859382</v>
      </c>
      <c r="I1938" s="472">
        <f>-'Foglio deposito bis'!$F$82*(C1938-sezione!$AP$34)*IF(ABS(O1938)&lt;'Sollecitazioni nel paramento'!$G$58,ABS(O1938)*'Sollecitazioni nel paramento'!$G$54,'Sollecitazioni nel paramento'!$G$53)</f>
        <v>330093877.25700206</v>
      </c>
      <c r="J1938" s="472">
        <f t="shared" si="137"/>
        <v>-1272339588.2201993</v>
      </c>
      <c r="K1938" s="550">
        <f>'Sollecitazioni nel paramento'!$G$60*(sezione!$AL$34-C1938)/C1938</f>
        <v>-2.9681267720840262E-3</v>
      </c>
      <c r="L1938" s="550">
        <f>'Sollecitazioni nel paramento'!$G$60*(sezione!$AM$34-C1938)/C1938</f>
        <v>-2.7021901581260393E-3</v>
      </c>
      <c r="M1938" s="551">
        <f>'Sollecitazioni nel paramento'!$G$60*(sezione!$AN$34-C1938)/C1938</f>
        <v>-2.4362535441680528E-3</v>
      </c>
      <c r="N1938" s="551">
        <f>'Sollecitazioni nel paramento'!$G$60*(sezione!$AO$34-C1938)/C1938</f>
        <v>-1.3725070883361052E-3</v>
      </c>
      <c r="O1938" s="551">
        <f>'Sollecitazioni nel paramento'!$G$60*(sezione!$AP$34-C1938)/C1938</f>
        <v>4.9179537617034157E-3</v>
      </c>
      <c r="P1938" s="545">
        <f>-'Sollecitazioni nel paramento'!$G$47*'Sollecitazioni nel paramento'!$G$41*IF(DATI!$G$211="dx",DATI!$E$61,DATI!$E$64*DATI!$E$63)*1000*C1938*sezione!$AD$5</f>
        <v>-10027915.901874661</v>
      </c>
      <c r="Q1938" s="545">
        <f>'Foglio deposito bis'!$F$78*IF(ABS(K1938)&lt;'Sollecitazioni nel paramento'!$G$58,ABS(K1938)*'Sollecitazioni nel paramento'!$G$54,'Sollecitazioni nel paramento'!$G$53)*IF(K1938&lt;0,-1,1)</f>
        <v>0</v>
      </c>
      <c r="R1938" s="545">
        <f>'Foglio deposito bis'!$F$79*IF(ABS(L1938)&lt;'Sollecitazioni nel paramento'!$G$58,ABS(L1938)*'Sollecitazioni nel paramento'!$G$54,'Sollecitazioni nel paramento'!$G$53)*IF(L1938&lt;0,-1,1)</f>
        <v>-153664.85805602249</v>
      </c>
      <c r="S1938" s="545">
        <f>'Foglio deposito bis'!$F$80*IF(ABS(M1938)&lt;'Sollecitazioni nel paramento'!$G$58,ABS(M1938)*'Sollecitazioni nel paramento'!$G$54,'Sollecitazioni nel paramento'!$G$53)*IF(M1938&lt;0,-1,1)</f>
        <v>0</v>
      </c>
      <c r="T1938" s="545">
        <f>'Foglio deposito bis'!$F$81*IF(ABS(N1938)&lt;'Sollecitazioni nel paramento'!$G$58,ABS(N1938)*'Sollecitazioni nel paramento'!$G$54,'Sollecitazioni nel paramento'!$G$53)*IF(N1938&lt;0,-1,1)</f>
        <v>-287790.66274747043</v>
      </c>
      <c r="U1938" s="545">
        <f>'Foglio deposito bis'!$F$82*IF(ABS(O1938)&lt;'Sollecitazioni nel paramento'!$G$58,ABS(O1938)*'Sollecitazioni nel paramento'!$G$54,'Sollecitazioni nel paramento'!$G$53)*IF(O1938&lt;0,-1,1)</f>
        <v>892485.49558937876</v>
      </c>
      <c r="V1938" s="472">
        <f t="shared" si="139"/>
        <v>-9576885.9270887747</v>
      </c>
      <c r="W1938" s="551"/>
      <c r="X1938" s="551"/>
    </row>
    <row r="1939" spans="1:24" x14ac:dyDescent="0.25">
      <c r="A1939" s="545">
        <f t="shared" si="138"/>
        <v>9938792.3002922498</v>
      </c>
      <c r="B1939" s="3">
        <f t="shared" si="136"/>
        <v>29.899999999999942</v>
      </c>
      <c r="C1939" s="545">
        <f>'Foglio deposito bis'!$E$160/sezione!$B$247*B1939</f>
        <v>272.32859834848131</v>
      </c>
      <c r="D1939" s="603">
        <f>-'Sollecitazioni nel paramento'!$G$47*'Sollecitazioni nel paramento'!$G$41*IF(DATI!$G$211="dx",DATI!$E$61,DATI!$E$64*DATI!$E$63)*1000*C1939^2*sezione!$AD$5*(1-sezione!$AD$6)</f>
        <v>-1650023488.7013512</v>
      </c>
      <c r="E1939" s="545">
        <f>-'Foglio deposito bis'!$F$78*(C1939-sezione!$AL$34)*IF(ABS(K1939)&lt;'Sollecitazioni nel paramento'!$G$58,ABS(K1939)*'Sollecitazioni nel paramento'!$G$54,'Sollecitazioni nel paramento'!$G$53)</f>
        <v>0</v>
      </c>
      <c r="F1939" s="545">
        <f>-'Foglio deposito bis'!$F$79*(C1939-sezione!$AM$34)*IF(ABS(L1939)&lt;'Sollecitazioni nel paramento'!$G$58,ABS(L1939)*'Sollecitazioni nel paramento'!$G$54,'Sollecitazioni nel paramento'!$G$53)</f>
        <v>-32627443.92645359</v>
      </c>
      <c r="G1939" s="545">
        <f>-'Foglio deposito bis'!$F$80*(C1939-sezione!$AN$34)*IF(ABS(M1939)&lt;'Sollecitazioni nel paramento'!$G$58,ABS(M1939)*'Sollecitazioni nel paramento'!$G$54,'Sollecitazioni nel paramento'!$G$53)</f>
        <v>0</v>
      </c>
      <c r="H1939" s="545">
        <f>-'Foglio deposito bis'!$F$81*(C1939-sezione!$AO$34)*IF(ABS(N1939)&lt;'Sollecitazioni nel paramento'!$G$58,ABS(N1939)*'Sollecitazioni nel paramento'!$G$54,'Sollecitazioni nel paramento'!$G$53)</f>
        <v>-34003026.686244071</v>
      </c>
      <c r="I1939" s="472">
        <f>-'Foglio deposito bis'!$F$82*(C1939-sezione!$AP$34)*IF(ABS(O1939)&lt;'Sollecitazioni nel paramento'!$G$58,ABS(O1939)*'Sollecitazioni nel paramento'!$G$54,'Sollecitazioni nel paramento'!$G$53)</f>
        <v>321965137.32187808</v>
      </c>
      <c r="J1939" s="472">
        <f t="shared" si="137"/>
        <v>-1394688821.9921708</v>
      </c>
      <c r="K1939" s="550">
        <f>'Sollecitazioni nel paramento'!$G$60*(sezione!$AL$34-C1939)/C1939</f>
        <v>-2.9859151743554632E-3</v>
      </c>
      <c r="L1939" s="550">
        <f>'Sollecitazioni nel paramento'!$G$60*(sezione!$AM$34-C1939)/C1939</f>
        <v>-2.7288727615331953E-3</v>
      </c>
      <c r="M1939" s="551">
        <f>'Sollecitazioni nel paramento'!$G$60*(sezione!$AN$34-C1939)/C1939</f>
        <v>-2.4718303487109273E-3</v>
      </c>
      <c r="N1939" s="551">
        <f>'Sollecitazioni nel paramento'!$G$60*(sezione!$AO$34-C1939)/C1939</f>
        <v>-1.4436606974218545E-3</v>
      </c>
      <c r="O1939" s="551">
        <f>'Sollecitazioni nel paramento'!$G$60*(sezione!$AP$34-C1939)/C1939</f>
        <v>4.6364168465962766E-3</v>
      </c>
      <c r="P1939" s="545">
        <f>-'Sollecitazioni nel paramento'!$G$47*'Sollecitazioni nel paramento'!$G$41*IF(DATI!$G$211="dx",DATI!$E$61,DATI!$E$64*DATI!$E$63)*1000*C1939*sezione!$AD$5</f>
        <v>-10374902.611282092</v>
      </c>
      <c r="Q1939" s="545">
        <f>'Foglio deposito bis'!$F$78*IF(ABS(K1939)&lt;'Sollecitazioni nel paramento'!$G$58,ABS(K1939)*'Sollecitazioni nel paramento'!$G$54,'Sollecitazioni nel paramento'!$G$53)*IF(K1939&lt;0,-1,1)</f>
        <v>0</v>
      </c>
      <c r="R1939" s="545">
        <f>'Foglio deposito bis'!$F$79*IF(ABS(L1939)&lt;'Sollecitazioni nel paramento'!$G$58,ABS(L1939)*'Sollecitazioni nel paramento'!$G$54,'Sollecitazioni nel paramento'!$G$53)*IF(L1939&lt;0,-1,1)</f>
        <v>-153664.85805602249</v>
      </c>
      <c r="S1939" s="545">
        <f>'Foglio deposito bis'!$F$80*IF(ABS(M1939)&lt;'Sollecitazioni nel paramento'!$G$58,ABS(M1939)*'Sollecitazioni nel paramento'!$G$54,'Sollecitazioni nel paramento'!$G$53)*IF(M1939&lt;0,-1,1)</f>
        <v>0</v>
      </c>
      <c r="T1939" s="545">
        <f>'Foglio deposito bis'!$F$81*IF(ABS(N1939)&lt;'Sollecitazioni nel paramento'!$G$58,ABS(N1939)*'Sollecitazioni nel paramento'!$G$54,'Sollecitazioni nel paramento'!$G$53)*IF(N1939&lt;0,-1,1)</f>
        <v>-302710.32654351462</v>
      </c>
      <c r="U1939" s="545">
        <f>'Foglio deposito bis'!$F$82*IF(ABS(O1939)&lt;'Sollecitazioni nel paramento'!$G$58,ABS(O1939)*'Sollecitazioni nel paramento'!$G$54,'Sollecitazioni nel paramento'!$G$53)*IF(O1939&lt;0,-1,1)</f>
        <v>892485.49558937876</v>
      </c>
      <c r="V1939" s="472">
        <f t="shared" si="139"/>
        <v>-9938792.3002922498</v>
      </c>
      <c r="W1939" s="551"/>
      <c r="X1939" s="551"/>
    </row>
    <row r="1940" spans="1:24" x14ac:dyDescent="0.25">
      <c r="A1940" s="545">
        <f t="shared" si="138"/>
        <v>10299732.999463612</v>
      </c>
      <c r="B1940" s="3">
        <f t="shared" si="136"/>
        <v>30.899999999999942</v>
      </c>
      <c r="C1940" s="545">
        <f>'Foglio deposito bis'!$E$160/sezione!$B$247*B1940</f>
        <v>281.43657822635691</v>
      </c>
      <c r="D1940" s="603">
        <f>-'Sollecitazioni nel paramento'!$G$47*'Sollecitazioni nel paramento'!$G$41*IF(DATI!$G$211="dx",DATI!$E$61,DATI!$E$64*DATI!$E$63)*1000*C1940^2*sezione!$AD$5*(1-sezione!$AD$6)</f>
        <v>-1762238596.0413604</v>
      </c>
      <c r="E1940" s="545">
        <f>-'Foglio deposito bis'!$F$78*(C1940-sezione!$AL$34)*IF(ABS(K1940)&lt;'Sollecitazioni nel paramento'!$G$58,ABS(K1940)*'Sollecitazioni nel paramento'!$G$54,'Sollecitazioni nel paramento'!$G$53)</f>
        <v>0</v>
      </c>
      <c r="F1940" s="545">
        <f>-'Foglio deposito bis'!$F$79*(C1940-sezione!$AM$34)*IF(ABS(L1940)&lt;'Sollecitazioni nel paramento'!$G$58,ABS(L1940)*'Sollecitazioni nel paramento'!$G$54,'Sollecitazioni nel paramento'!$G$53)</f>
        <v>-34027020.361564457</v>
      </c>
      <c r="G1940" s="545">
        <f>-'Foglio deposito bis'!$F$80*(C1940-sezione!$AN$34)*IF(ABS(M1940)&lt;'Sollecitazioni nel paramento'!$G$58,ABS(M1940)*'Sollecitazioni nel paramento'!$G$54,'Sollecitazioni nel paramento'!$G$53)</f>
        <v>0</v>
      </c>
      <c r="H1940" s="545">
        <f>-'Foglio deposito bis'!$F$81*(C1940-sezione!$AO$34)*IF(ABS(N1940)&lt;'Sollecitazioni nel paramento'!$G$58,ABS(N1940)*'Sollecitazioni nel paramento'!$G$54,'Sollecitazioni nel paramento'!$G$53)</f>
        <v>-38454631.018765755</v>
      </c>
      <c r="I1940" s="472">
        <f>-'Foglio deposito bis'!$F$82*(C1940-sezione!$AP$34)*IF(ABS(O1940)&lt;'Sollecitazioni nel paramento'!$G$58,ABS(O1940)*'Sollecitazioni nel paramento'!$G$54,'Sollecitazioni nel paramento'!$G$53)</f>
        <v>313836397.38675416</v>
      </c>
      <c r="J1940" s="472">
        <f t="shared" si="137"/>
        <v>-1520883850.0349364</v>
      </c>
      <c r="K1940" s="550">
        <f>'Sollecitazioni nel paramento'!$G$60*(sezione!$AL$34-C1940)/C1940</f>
        <v>-3.0025522237290729E-3</v>
      </c>
      <c r="L1940" s="550">
        <f>'Sollecitazioni nel paramento'!$G$60*(sezione!$AM$34-C1940)/C1940</f>
        <v>-2.7538283355936096E-3</v>
      </c>
      <c r="M1940" s="551">
        <f>'Sollecitazioni nel paramento'!$G$60*(sezione!$AN$34-C1940)/C1940</f>
        <v>-2.5051044474581467E-3</v>
      </c>
      <c r="N1940" s="551">
        <f>'Sollecitazioni nel paramento'!$G$60*(sezione!$AO$34-C1940)/C1940</f>
        <v>-1.5102088949162924E-3</v>
      </c>
      <c r="O1940" s="551">
        <f>'Sollecitazioni nel paramento'!$G$60*(sezione!$AP$34-C1940)/C1940</f>
        <v>4.373102385541382E-3</v>
      </c>
      <c r="P1940" s="545">
        <f>-'Sollecitazioni nel paramento'!$G$47*'Sollecitazioni nel paramento'!$G$41*IF(DATI!$G$211="dx",DATI!$E$61,DATI!$E$64*DATI!$E$63)*1000*C1940*sezione!$AD$5</f>
        <v>-10721889.320689518</v>
      </c>
      <c r="Q1940" s="545">
        <f>'Foglio deposito bis'!$F$78*IF(ABS(K1940)&lt;'Sollecitazioni nel paramento'!$G$58,ABS(K1940)*'Sollecitazioni nel paramento'!$G$54,'Sollecitazioni nel paramento'!$G$53)*IF(K1940&lt;0,-1,1)</f>
        <v>0</v>
      </c>
      <c r="R1940" s="545">
        <f>'Foglio deposito bis'!$F$79*IF(ABS(L1940)&lt;'Sollecitazioni nel paramento'!$G$58,ABS(L1940)*'Sollecitazioni nel paramento'!$G$54,'Sollecitazioni nel paramento'!$G$53)*IF(L1940&lt;0,-1,1)</f>
        <v>-153664.85805602249</v>
      </c>
      <c r="S1940" s="545">
        <f>'Foglio deposito bis'!$F$80*IF(ABS(M1940)&lt;'Sollecitazioni nel paramento'!$G$58,ABS(M1940)*'Sollecitazioni nel paramento'!$G$54,'Sollecitazioni nel paramento'!$G$53)*IF(M1940&lt;0,-1,1)</f>
        <v>0</v>
      </c>
      <c r="T1940" s="545">
        <f>'Foglio deposito bis'!$F$81*IF(ABS(N1940)&lt;'Sollecitazioni nel paramento'!$G$58,ABS(N1940)*'Sollecitazioni nel paramento'!$G$54,'Sollecitazioni nel paramento'!$G$53)*IF(N1940&lt;0,-1,1)</f>
        <v>-316664.31630745227</v>
      </c>
      <c r="U1940" s="545">
        <f>'Foglio deposito bis'!$F$82*IF(ABS(O1940)&lt;'Sollecitazioni nel paramento'!$G$58,ABS(O1940)*'Sollecitazioni nel paramento'!$G$54,'Sollecitazioni nel paramento'!$G$53)*IF(O1940&lt;0,-1,1)</f>
        <v>892485.49558937876</v>
      </c>
      <c r="V1940" s="472">
        <f t="shared" si="139"/>
        <v>-10299732.999463612</v>
      </c>
      <c r="W1940" s="551"/>
      <c r="X1940" s="551"/>
    </row>
    <row r="1941" spans="1:24" x14ac:dyDescent="0.25">
      <c r="A1941" s="545">
        <f t="shared" si="138"/>
        <v>10659798.840342568</v>
      </c>
      <c r="B1941" s="3">
        <f t="shared" si="136"/>
        <v>31.899999999999942</v>
      </c>
      <c r="C1941" s="545">
        <f>'Foglio deposito bis'!$E$160/sezione!$B$247*B1941</f>
        <v>290.54455810423258</v>
      </c>
      <c r="D1941" s="603">
        <f>-'Sollecitazioni nel paramento'!$G$47*'Sollecitazioni nel paramento'!$G$41*IF(DATI!$G$211="dx",DATI!$E$61,DATI!$E$64*DATI!$E$63)*1000*C1941^2*sezione!$AD$5*(1-sezione!$AD$6)</f>
        <v>-1878144989.8070292</v>
      </c>
      <c r="E1941" s="545">
        <f>-'Foglio deposito bis'!$F$78*(C1941-sezione!$AL$34)*IF(ABS(K1941)&lt;'Sollecitazioni nel paramento'!$G$58,ABS(K1941)*'Sollecitazioni nel paramento'!$G$54,'Sollecitazioni nel paramento'!$G$53)</f>
        <v>0</v>
      </c>
      <c r="F1941" s="545">
        <f>-'Foglio deposito bis'!$F$79*(C1941-sezione!$AM$34)*IF(ABS(L1941)&lt;'Sollecitazioni nel paramento'!$G$58,ABS(L1941)*'Sollecitazioni nel paramento'!$G$54,'Sollecitazioni nel paramento'!$G$53)</f>
        <v>-35426596.796675332</v>
      </c>
      <c r="G1941" s="545">
        <f>-'Foglio deposito bis'!$F$80*(C1941-sezione!$AN$34)*IF(ABS(M1941)&lt;'Sollecitazioni nel paramento'!$G$58,ABS(M1941)*'Sollecitazioni nel paramento'!$G$54,'Sollecitazioni nel paramento'!$G$53)</f>
        <v>0</v>
      </c>
      <c r="H1941" s="545">
        <f>-'Foglio deposito bis'!$F$81*(C1941-sezione!$AO$34)*IF(ABS(N1941)&lt;'Sollecitazioni nel paramento'!$G$58,ABS(N1941)*'Sollecitazioni nel paramento'!$G$54,'Sollecitazioni nel paramento'!$G$53)</f>
        <v>-43046212.678073063</v>
      </c>
      <c r="I1941" s="472">
        <f>-'Foglio deposito bis'!$F$82*(C1941-sezione!$AP$34)*IF(ABS(O1941)&lt;'Sollecitazioni nel paramento'!$G$58,ABS(O1941)*'Sollecitazioni nel paramento'!$G$54,'Sollecitazioni nel paramento'!$G$53)</f>
        <v>305707657.45163018</v>
      </c>
      <c r="J1941" s="472">
        <f t="shared" si="137"/>
        <v>-1650910141.8301477</v>
      </c>
      <c r="K1941" s="550">
        <f>'Sollecitazioni nel paramento'!$G$60*(sezione!$AL$34-C1941)/C1941</f>
        <v>-3.0181461979068452E-3</v>
      </c>
      <c r="L1941" s="550">
        <f>'Sollecitazioni nel paramento'!$G$60*(sezione!$AM$34-C1941)/C1941</f>
        <v>-2.7772192968602682E-3</v>
      </c>
      <c r="M1941" s="551">
        <f>'Sollecitazioni nel paramento'!$G$60*(sezione!$AN$34-C1941)/C1941</f>
        <v>-2.5362923958136903E-3</v>
      </c>
      <c r="N1941" s="551">
        <f>'Sollecitazioni nel paramento'!$G$60*(sezione!$AO$34-C1941)/C1941</f>
        <v>-1.572584791627381E-3</v>
      </c>
      <c r="O1941" s="551">
        <f>'Sollecitazioni nel paramento'!$G$60*(sezione!$AP$34-C1941)/C1941</f>
        <v>4.1262966681262902E-3</v>
      </c>
      <c r="P1941" s="545">
        <f>-'Sollecitazioni nel paramento'!$G$47*'Sollecitazioni nel paramento'!$G$41*IF(DATI!$G$211="dx",DATI!$E$61,DATI!$E$64*DATI!$E$63)*1000*C1941*sezione!$AD$5</f>
        <v>-11068876.030096946</v>
      </c>
      <c r="Q1941" s="545">
        <f>'Foglio deposito bis'!$F$78*IF(ABS(K1941)&lt;'Sollecitazioni nel paramento'!$G$58,ABS(K1941)*'Sollecitazioni nel paramento'!$G$54,'Sollecitazioni nel paramento'!$G$53)*IF(K1941&lt;0,-1,1)</f>
        <v>0</v>
      </c>
      <c r="R1941" s="545">
        <f>'Foglio deposito bis'!$F$79*IF(ABS(L1941)&lt;'Sollecitazioni nel paramento'!$G$58,ABS(L1941)*'Sollecitazioni nel paramento'!$G$54,'Sollecitazioni nel paramento'!$G$53)*IF(L1941&lt;0,-1,1)</f>
        <v>-153664.85805602249</v>
      </c>
      <c r="S1941" s="545">
        <f>'Foglio deposito bis'!$F$80*IF(ABS(M1941)&lt;'Sollecitazioni nel paramento'!$G$58,ABS(M1941)*'Sollecitazioni nel paramento'!$G$54,'Sollecitazioni nel paramento'!$G$53)*IF(M1941&lt;0,-1,1)</f>
        <v>0</v>
      </c>
      <c r="T1941" s="545">
        <f>'Foglio deposito bis'!$F$81*IF(ABS(N1941)&lt;'Sollecitazioni nel paramento'!$G$58,ABS(N1941)*'Sollecitazioni nel paramento'!$G$54,'Sollecitazioni nel paramento'!$G$53)*IF(N1941&lt;0,-1,1)</f>
        <v>-329743.44777898019</v>
      </c>
      <c r="U1941" s="545">
        <f>'Foglio deposito bis'!$F$82*IF(ABS(O1941)&lt;'Sollecitazioni nel paramento'!$G$58,ABS(O1941)*'Sollecitazioni nel paramento'!$G$54,'Sollecitazioni nel paramento'!$G$53)*IF(O1941&lt;0,-1,1)</f>
        <v>892485.49558937876</v>
      </c>
      <c r="V1941" s="472">
        <f t="shared" si="139"/>
        <v>-10659798.840342568</v>
      </c>
      <c r="W1941" s="551"/>
      <c r="X1941" s="551"/>
    </row>
    <row r="1942" spans="1:24" x14ac:dyDescent="0.25">
      <c r="A1942" s="545">
        <f t="shared" si="138"/>
        <v>11019069.597241495</v>
      </c>
      <c r="B1942" s="3">
        <f t="shared" si="136"/>
        <v>32.899999999999942</v>
      </c>
      <c r="C1942" s="545">
        <f>'Foglio deposito bis'!$E$160/sezione!$B$247*B1942</f>
        <v>299.65253798210824</v>
      </c>
      <c r="D1942" s="603">
        <f>-'Sollecitazioni nel paramento'!$G$47*'Sollecitazioni nel paramento'!$G$41*IF(DATI!$G$211="dx",DATI!$E$61,DATI!$E$64*DATI!$E$63)*1000*C1942^2*sezione!$AD$5*(1-sezione!$AD$6)</f>
        <v>-1997742669.9983559</v>
      </c>
      <c r="E1942" s="545">
        <f>-'Foglio deposito bis'!$F$78*(C1942-sezione!$AL$34)*IF(ABS(K1942)&lt;'Sollecitazioni nel paramento'!$G$58,ABS(K1942)*'Sollecitazioni nel paramento'!$G$54,'Sollecitazioni nel paramento'!$G$53)</f>
        <v>0</v>
      </c>
      <c r="F1942" s="545">
        <f>-'Foglio deposito bis'!$F$79*(C1942-sezione!$AM$34)*IF(ABS(L1942)&lt;'Sollecitazioni nel paramento'!$G$58,ABS(L1942)*'Sollecitazioni nel paramento'!$G$54,'Sollecitazioni nel paramento'!$G$53)</f>
        <v>-36826173.231786206</v>
      </c>
      <c r="G1942" s="545">
        <f>-'Foglio deposito bis'!$F$80*(C1942-sezione!$AN$34)*IF(ABS(M1942)&lt;'Sollecitazioni nel paramento'!$G$58,ABS(M1942)*'Sollecitazioni nel paramento'!$G$54,'Sollecitazioni nel paramento'!$G$53)</f>
        <v>0</v>
      </c>
      <c r="H1942" s="545">
        <f>-'Foglio deposito bis'!$F$81*(C1942-sezione!$AO$34)*IF(ABS(N1942)&lt;'Sollecitazioni nel paramento'!$G$58,ABS(N1942)*'Sollecitazioni nel paramento'!$G$54,'Sollecitazioni nel paramento'!$G$53)</f>
        <v>-47765007.774185486</v>
      </c>
      <c r="I1942" s="472">
        <f>-'Foglio deposito bis'!$F$82*(C1942-sezione!$AP$34)*IF(ABS(O1942)&lt;'Sollecitazioni nel paramento'!$G$58,ABS(O1942)*'Sollecitazioni nel paramento'!$G$54,'Sollecitazioni nel paramento'!$G$53)</f>
        <v>297578917.51650625</v>
      </c>
      <c r="J1942" s="472">
        <f t="shared" si="137"/>
        <v>-1784754933.4878213</v>
      </c>
      <c r="K1942" s="550">
        <f>'Sollecitazioni nel paramento'!$G$60*(sezione!$AL$34-C1942)/C1942</f>
        <v>-3.0327922101285217E-3</v>
      </c>
      <c r="L1942" s="550">
        <f>'Sollecitazioni nel paramento'!$G$60*(sezione!$AM$34-C1942)/C1942</f>
        <v>-2.7991883151927827E-3</v>
      </c>
      <c r="M1942" s="551">
        <f>'Sollecitazioni nel paramento'!$G$60*(sezione!$AN$34-C1942)/C1942</f>
        <v>-2.5655844202570437E-3</v>
      </c>
      <c r="N1942" s="551">
        <f>'Sollecitazioni nel paramento'!$G$60*(sezione!$AO$34-C1942)/C1942</f>
        <v>-1.6311688405140868E-3</v>
      </c>
      <c r="O1942" s="551">
        <f>'Sollecitazioni nel paramento'!$G$60*(sezione!$AP$34-C1942)/C1942</f>
        <v>3.8944943377881044E-3</v>
      </c>
      <c r="P1942" s="545">
        <f>-'Sollecitazioni nel paramento'!$G$47*'Sollecitazioni nel paramento'!$G$41*IF(DATI!$G$211="dx",DATI!$E$61,DATI!$E$64*DATI!$E$63)*1000*C1942*sezione!$AD$5</f>
        <v>-11415862.739504376</v>
      </c>
      <c r="Q1942" s="545">
        <f>'Foglio deposito bis'!$F$78*IF(ABS(K1942)&lt;'Sollecitazioni nel paramento'!$G$58,ABS(K1942)*'Sollecitazioni nel paramento'!$G$54,'Sollecitazioni nel paramento'!$G$53)*IF(K1942&lt;0,-1,1)</f>
        <v>0</v>
      </c>
      <c r="R1942" s="545">
        <f>'Foglio deposito bis'!$F$79*IF(ABS(L1942)&lt;'Sollecitazioni nel paramento'!$G$58,ABS(L1942)*'Sollecitazioni nel paramento'!$G$54,'Sollecitazioni nel paramento'!$G$53)*IF(L1942&lt;0,-1,1)</f>
        <v>-153664.85805602249</v>
      </c>
      <c r="S1942" s="545">
        <f>'Foglio deposito bis'!$F$80*IF(ABS(M1942)&lt;'Sollecitazioni nel paramento'!$G$58,ABS(M1942)*'Sollecitazioni nel paramento'!$G$54,'Sollecitazioni nel paramento'!$G$53)*IF(M1942&lt;0,-1,1)</f>
        <v>0</v>
      </c>
      <c r="T1942" s="545">
        <f>'Foglio deposito bis'!$F$81*IF(ABS(N1942)&lt;'Sollecitazioni nel paramento'!$G$58,ABS(N1942)*'Sollecitazioni nel paramento'!$G$54,'Sollecitazioni nel paramento'!$G$53)*IF(N1942&lt;0,-1,1)</f>
        <v>-342027.49527047592</v>
      </c>
      <c r="U1942" s="545">
        <f>'Foglio deposito bis'!$F$82*IF(ABS(O1942)&lt;'Sollecitazioni nel paramento'!$G$58,ABS(O1942)*'Sollecitazioni nel paramento'!$G$54,'Sollecitazioni nel paramento'!$G$53)*IF(O1942&lt;0,-1,1)</f>
        <v>892485.49558937876</v>
      </c>
      <c r="V1942" s="472">
        <f t="shared" si="139"/>
        <v>-11019069.597241495</v>
      </c>
      <c r="W1942" s="551"/>
      <c r="X1942" s="551"/>
    </row>
    <row r="1943" spans="1:24" x14ac:dyDescent="0.25">
      <c r="A1943" s="545">
        <f t="shared" si="138"/>
        <v>11377615.631574547</v>
      </c>
      <c r="B1943" s="3">
        <f t="shared" si="136"/>
        <v>33.899999999999942</v>
      </c>
      <c r="C1943" s="545">
        <f>'Foglio deposito bis'!$E$160/sezione!$B$247*B1943</f>
        <v>308.76051785998385</v>
      </c>
      <c r="D1943" s="603">
        <f>-'Sollecitazioni nel paramento'!$G$47*'Sollecitazioni nel paramento'!$G$41*IF(DATI!$G$211="dx",DATI!$E$61,DATI!$E$64*DATI!$E$63)*1000*C1943^2*sezione!$AD$5*(1-sezione!$AD$6)</f>
        <v>-2121031636.61534</v>
      </c>
      <c r="E1943" s="545">
        <f>-'Foglio deposito bis'!$F$78*(C1943-sezione!$AL$34)*IF(ABS(K1943)&lt;'Sollecitazioni nel paramento'!$G$58,ABS(K1943)*'Sollecitazioni nel paramento'!$G$54,'Sollecitazioni nel paramento'!$G$53)</f>
        <v>0</v>
      </c>
      <c r="F1943" s="545">
        <f>-'Foglio deposito bis'!$F$79*(C1943-sezione!$AM$34)*IF(ABS(L1943)&lt;'Sollecitazioni nel paramento'!$G$58,ABS(L1943)*'Sollecitazioni nel paramento'!$G$54,'Sollecitazioni nel paramento'!$G$53)</f>
        <v>-38225749.666897066</v>
      </c>
      <c r="G1943" s="545">
        <f>-'Foglio deposito bis'!$F$80*(C1943-sezione!$AN$34)*IF(ABS(M1943)&lt;'Sollecitazioni nel paramento'!$G$58,ABS(M1943)*'Sollecitazioni nel paramento'!$G$54,'Sollecitazioni nel paramento'!$G$53)</f>
        <v>0</v>
      </c>
      <c r="H1943" s="545">
        <f>-'Foglio deposito bis'!$F$81*(C1943-sezione!$AO$34)*IF(ABS(N1943)&lt;'Sollecitazioni nel paramento'!$G$58,ABS(N1943)*'Sollecitazioni nel paramento'!$G$54,'Sollecitazioni nel paramento'!$G$53)</f>
        <v>-52599758.480837077</v>
      </c>
      <c r="I1943" s="472">
        <f>-'Foglio deposito bis'!$F$82*(C1943-sezione!$AP$34)*IF(ABS(O1943)&lt;'Sollecitazioni nel paramento'!$G$58,ABS(O1943)*'Sollecitazioni nel paramento'!$G$54,'Sollecitazioni nel paramento'!$G$53)</f>
        <v>289450177.58138233</v>
      </c>
      <c r="J1943" s="472">
        <f t="shared" si="137"/>
        <v>-1922406967.1816916</v>
      </c>
      <c r="K1943" s="550">
        <f>'Sollecitazioni nel paramento'!$G$60*(sezione!$AL$34-C1943)/C1943</f>
        <v>-3.0465741508326951E-3</v>
      </c>
      <c r="L1943" s="550">
        <f>'Sollecitazioni nel paramento'!$G$60*(sezione!$AM$34-C1943)/C1943</f>
        <v>-2.8198612262490424E-3</v>
      </c>
      <c r="M1943" s="551">
        <f>'Sollecitazioni nel paramento'!$G$60*(sezione!$AN$34-C1943)/C1943</f>
        <v>-2.5931483016653901E-3</v>
      </c>
      <c r="N1943" s="551">
        <f>'Sollecitazioni nel paramento'!$G$60*(sezione!$AO$34-C1943)/C1943</f>
        <v>-1.6862966033307802E-3</v>
      </c>
      <c r="O1943" s="551">
        <f>'Sollecitazioni nel paramento'!$G$60*(sezione!$AP$34-C1943)/C1943</f>
        <v>3.6763676611571874E-3</v>
      </c>
      <c r="P1943" s="545">
        <f>-'Sollecitazioni nel paramento'!$G$47*'Sollecitazioni nel paramento'!$G$41*IF(DATI!$G$211="dx",DATI!$E$61,DATI!$E$64*DATI!$E$63)*1000*C1943*sezione!$AD$5</f>
        <v>-11762849.448911803</v>
      </c>
      <c r="Q1943" s="545">
        <f>'Foglio deposito bis'!$F$78*IF(ABS(K1943)&lt;'Sollecitazioni nel paramento'!$G$58,ABS(K1943)*'Sollecitazioni nel paramento'!$G$54,'Sollecitazioni nel paramento'!$G$53)*IF(K1943&lt;0,-1,1)</f>
        <v>0</v>
      </c>
      <c r="R1943" s="545">
        <f>'Foglio deposito bis'!$F$79*IF(ABS(L1943)&lt;'Sollecitazioni nel paramento'!$G$58,ABS(L1943)*'Sollecitazioni nel paramento'!$G$54,'Sollecitazioni nel paramento'!$G$53)*IF(L1943&lt;0,-1,1)</f>
        <v>-153664.85805602249</v>
      </c>
      <c r="S1943" s="545">
        <f>'Foglio deposito bis'!$F$80*IF(ABS(M1943)&lt;'Sollecitazioni nel paramento'!$G$58,ABS(M1943)*'Sollecitazioni nel paramento'!$G$54,'Sollecitazioni nel paramento'!$G$53)*IF(M1943&lt;0,-1,1)</f>
        <v>0</v>
      </c>
      <c r="T1943" s="545">
        <f>'Foglio deposito bis'!$F$81*IF(ABS(N1943)&lt;'Sollecitazioni nel paramento'!$G$58,ABS(N1943)*'Sollecitazioni nel paramento'!$G$54,'Sollecitazioni nel paramento'!$G$53)*IF(N1943&lt;0,-1,1)</f>
        <v>-353586.82019610167</v>
      </c>
      <c r="U1943" s="545">
        <f>'Foglio deposito bis'!$F$82*IF(ABS(O1943)&lt;'Sollecitazioni nel paramento'!$G$58,ABS(O1943)*'Sollecitazioni nel paramento'!$G$54,'Sollecitazioni nel paramento'!$G$53)*IF(O1943&lt;0,-1,1)</f>
        <v>892485.49558937876</v>
      </c>
      <c r="V1943" s="472">
        <f t="shared" si="139"/>
        <v>-11377615.631574547</v>
      </c>
      <c r="W1943" s="551"/>
      <c r="X1943" s="551"/>
    </row>
    <row r="1944" spans="1:24" x14ac:dyDescent="0.25">
      <c r="A1944" s="545">
        <f t="shared" si="138"/>
        <v>11735499.24041043</v>
      </c>
      <c r="B1944" s="3">
        <f t="shared" si="136"/>
        <v>34.899999999999942</v>
      </c>
      <c r="C1944" s="545">
        <f>'Foglio deposito bis'!$E$160/sezione!$B$247*B1944</f>
        <v>317.86849773785951</v>
      </c>
      <c r="D1944" s="603">
        <f>-'Sollecitazioni nel paramento'!$G$47*'Sollecitazioni nel paramento'!$G$41*IF(DATI!$G$211="dx",DATI!$E$61,DATI!$E$64*DATI!$E$63)*1000*C1944^2*sezione!$AD$5*(1-sezione!$AD$6)</f>
        <v>-2248011889.6579828</v>
      </c>
      <c r="E1944" s="545">
        <f>-'Foglio deposito bis'!$F$78*(C1944-sezione!$AL$34)*IF(ABS(K1944)&lt;'Sollecitazioni nel paramento'!$G$58,ABS(K1944)*'Sollecitazioni nel paramento'!$G$54,'Sollecitazioni nel paramento'!$G$53)</f>
        <v>0</v>
      </c>
      <c r="F1944" s="545">
        <f>-'Foglio deposito bis'!$F$79*(C1944-sezione!$AM$34)*IF(ABS(L1944)&lt;'Sollecitazioni nel paramento'!$G$58,ABS(L1944)*'Sollecitazioni nel paramento'!$G$54,'Sollecitazioni nel paramento'!$G$53)</f>
        <v>-39625326.10200794</v>
      </c>
      <c r="G1944" s="545">
        <f>-'Foglio deposito bis'!$F$80*(C1944-sezione!$AN$34)*IF(ABS(M1944)&lt;'Sollecitazioni nel paramento'!$G$58,ABS(M1944)*'Sollecitazioni nel paramento'!$G$54,'Sollecitazioni nel paramento'!$G$53)</f>
        <v>0</v>
      </c>
      <c r="H1944" s="545">
        <f>-'Foglio deposito bis'!$F$81*(C1944-sezione!$AO$34)*IF(ABS(N1944)&lt;'Sollecitazioni nel paramento'!$G$58,ABS(N1944)*'Sollecitazioni nel paramento'!$G$54,'Sollecitazioni nel paramento'!$G$53)</f>
        <v>-57540497.267035991</v>
      </c>
      <c r="I1944" s="472">
        <f>-'Foglio deposito bis'!$F$82*(C1944-sezione!$AP$34)*IF(ABS(O1944)&lt;'Sollecitazioni nel paramento'!$G$58,ABS(O1944)*'Sollecitazioni nel paramento'!$G$54,'Sollecitazioni nel paramento'!$G$53)</f>
        <v>281321437.64625841</v>
      </c>
      <c r="J1944" s="472">
        <f t="shared" si="137"/>
        <v>-2063856275.3807683</v>
      </c>
      <c r="K1944" s="550">
        <f>'Sollecitazioni nel paramento'!$G$60*(sezione!$AL$34-C1944)/C1944</f>
        <v>-3.0595662955079758E-3</v>
      </c>
      <c r="L1944" s="550">
        <f>'Sollecitazioni nel paramento'!$G$60*(sezione!$AM$34-C1944)/C1944</f>
        <v>-2.8393494432619642E-3</v>
      </c>
      <c r="M1944" s="551">
        <f>'Sollecitazioni nel paramento'!$G$60*(sezione!$AN$34-C1944)/C1944</f>
        <v>-2.6191325910159525E-3</v>
      </c>
      <c r="N1944" s="551">
        <f>'Sollecitazioni nel paramento'!$G$60*(sezione!$AO$34-C1944)/C1944</f>
        <v>-1.7382651820319042E-3</v>
      </c>
      <c r="O1944" s="551">
        <f>'Sollecitazioni nel paramento'!$G$60*(sezione!$AP$34-C1944)/C1944</f>
        <v>3.4707410806082699E-3</v>
      </c>
      <c r="P1944" s="545">
        <f>-'Sollecitazioni nel paramento'!$G$47*'Sollecitazioni nel paramento'!$G$41*IF(DATI!$G$211="dx",DATI!$E$61,DATI!$E$64*DATI!$E$63)*1000*C1944*sezione!$AD$5</f>
        <v>-12109836.158319231</v>
      </c>
      <c r="Q1944" s="545">
        <f>'Foglio deposito bis'!$F$78*IF(ABS(K1944)&lt;'Sollecitazioni nel paramento'!$G$58,ABS(K1944)*'Sollecitazioni nel paramento'!$G$54,'Sollecitazioni nel paramento'!$G$53)*IF(K1944&lt;0,-1,1)</f>
        <v>0</v>
      </c>
      <c r="R1944" s="545">
        <f>'Foglio deposito bis'!$F$79*IF(ABS(L1944)&lt;'Sollecitazioni nel paramento'!$G$58,ABS(L1944)*'Sollecitazioni nel paramento'!$G$54,'Sollecitazioni nel paramento'!$G$53)*IF(L1944&lt;0,-1,1)</f>
        <v>-153664.85805602249</v>
      </c>
      <c r="S1944" s="545">
        <f>'Foglio deposito bis'!$F$80*IF(ABS(M1944)&lt;'Sollecitazioni nel paramento'!$G$58,ABS(M1944)*'Sollecitazioni nel paramento'!$G$54,'Sollecitazioni nel paramento'!$G$53)*IF(M1944&lt;0,-1,1)</f>
        <v>0</v>
      </c>
      <c r="T1944" s="545">
        <f>'Foglio deposito bis'!$F$81*IF(ABS(N1944)&lt;'Sollecitazioni nel paramento'!$G$58,ABS(N1944)*'Sollecitazioni nel paramento'!$G$54,'Sollecitazioni nel paramento'!$G$53)*IF(N1944&lt;0,-1,1)</f>
        <v>-364483.71962455701</v>
      </c>
      <c r="U1944" s="545">
        <f>'Foglio deposito bis'!$F$82*IF(ABS(O1944)&lt;'Sollecitazioni nel paramento'!$G$58,ABS(O1944)*'Sollecitazioni nel paramento'!$G$54,'Sollecitazioni nel paramento'!$G$53)*IF(O1944&lt;0,-1,1)</f>
        <v>892485.49558937876</v>
      </c>
      <c r="V1944" s="472">
        <f t="shared" si="139"/>
        <v>-11735499.24041043</v>
      </c>
      <c r="W1944" s="551"/>
      <c r="X1944" s="551"/>
    </row>
    <row r="1945" spans="1:24" x14ac:dyDescent="0.25">
      <c r="A1945" s="545">
        <f t="shared" si="138"/>
        <v>12092775.779640272</v>
      </c>
      <c r="B1945" s="3">
        <f t="shared" si="136"/>
        <v>35.899999999999942</v>
      </c>
      <c r="C1945" s="545">
        <f>'Foglio deposito bis'!$E$160/sezione!$B$247*B1945</f>
        <v>326.97647761573518</v>
      </c>
      <c r="D1945" s="603">
        <f>-'Sollecitazioni nel paramento'!$G$47*'Sollecitazioni nel paramento'!$G$41*IF(DATI!$G$211="dx",DATI!$E$61,DATI!$E$64*DATI!$E$63)*1000*C1945^2*sezione!$AD$5*(1-sezione!$AD$6)</f>
        <v>-2378683429.1262846</v>
      </c>
      <c r="E1945" s="545">
        <f>-'Foglio deposito bis'!$F$78*(C1945-sezione!$AL$34)*IF(ABS(K1945)&lt;'Sollecitazioni nel paramento'!$G$58,ABS(K1945)*'Sollecitazioni nel paramento'!$G$54,'Sollecitazioni nel paramento'!$G$53)</f>
        <v>0</v>
      </c>
      <c r="F1945" s="545">
        <f>-'Foglio deposito bis'!$F$79*(C1945-sezione!$AM$34)*IF(ABS(L1945)&lt;'Sollecitazioni nel paramento'!$G$58,ABS(L1945)*'Sollecitazioni nel paramento'!$G$54,'Sollecitazioni nel paramento'!$G$53)</f>
        <v>-41024902.537118807</v>
      </c>
      <c r="G1945" s="545">
        <f>-'Foglio deposito bis'!$F$80*(C1945-sezione!$AN$34)*IF(ABS(M1945)&lt;'Sollecitazioni nel paramento'!$G$58,ABS(M1945)*'Sollecitazioni nel paramento'!$G$54,'Sollecitazioni nel paramento'!$G$53)</f>
        <v>0</v>
      </c>
      <c r="H1945" s="545">
        <f>-'Foglio deposito bis'!$F$81*(C1945-sezione!$AO$34)*IF(ABS(N1945)&lt;'Sollecitazioni nel paramento'!$G$58,ABS(N1945)*'Sollecitazioni nel paramento'!$G$54,'Sollecitazioni nel paramento'!$G$53)</f>
        <v>-62578367.19020164</v>
      </c>
      <c r="I1945" s="472">
        <f>-'Foglio deposito bis'!$F$82*(C1945-sezione!$AP$34)*IF(ABS(O1945)&lt;'Sollecitazioni nel paramento'!$G$58,ABS(O1945)*'Sollecitazioni nel paramento'!$G$54,'Sollecitazioni nel paramento'!$G$53)</f>
        <v>273192697.71113443</v>
      </c>
      <c r="J1945" s="472">
        <f t="shared" si="137"/>
        <v>-2209094001.1424708</v>
      </c>
      <c r="K1945" s="550">
        <f>'Sollecitazioni nel paramento'!$G$60*(sezione!$AL$34-C1945)/C1945</f>
        <v>-3.0718346438225173E-3</v>
      </c>
      <c r="L1945" s="550">
        <f>'Sollecitazioni nel paramento'!$G$60*(sezione!$AM$34-C1945)/C1945</f>
        <v>-2.8577519657337759E-3</v>
      </c>
      <c r="M1945" s="551">
        <f>'Sollecitazioni nel paramento'!$G$60*(sezione!$AN$34-C1945)/C1945</f>
        <v>-2.6436692876450341E-3</v>
      </c>
      <c r="N1945" s="551">
        <f>'Sollecitazioni nel paramento'!$G$60*(sezione!$AO$34-C1945)/C1945</f>
        <v>-1.7873385752900685E-3</v>
      </c>
      <c r="O1945" s="551">
        <f>'Sollecitazioni nel paramento'!$G$60*(sezione!$AP$34-C1945)/C1945</f>
        <v>3.2765700198670918E-3</v>
      </c>
      <c r="P1945" s="545">
        <f>-'Sollecitazioni nel paramento'!$G$47*'Sollecitazioni nel paramento'!$G$41*IF(DATI!$G$211="dx",DATI!$E$61,DATI!$E$64*DATI!$E$63)*1000*C1945*sezione!$AD$5</f>
        <v>-12456822.867726659</v>
      </c>
      <c r="Q1945" s="545">
        <f>'Foglio deposito bis'!$F$78*IF(ABS(K1945)&lt;'Sollecitazioni nel paramento'!$G$58,ABS(K1945)*'Sollecitazioni nel paramento'!$G$54,'Sollecitazioni nel paramento'!$G$53)*IF(K1945&lt;0,-1,1)</f>
        <v>0</v>
      </c>
      <c r="R1945" s="545">
        <f>'Foglio deposito bis'!$F$79*IF(ABS(L1945)&lt;'Sollecitazioni nel paramento'!$G$58,ABS(L1945)*'Sollecitazioni nel paramento'!$G$54,'Sollecitazioni nel paramento'!$G$53)*IF(L1945&lt;0,-1,1)</f>
        <v>-153664.85805602249</v>
      </c>
      <c r="S1945" s="545">
        <f>'Foglio deposito bis'!$F$80*IF(ABS(M1945)&lt;'Sollecitazioni nel paramento'!$G$58,ABS(M1945)*'Sollecitazioni nel paramento'!$G$54,'Sollecitazioni nel paramento'!$G$53)*IF(M1945&lt;0,-1,1)</f>
        <v>0</v>
      </c>
      <c r="T1945" s="545">
        <f>'Foglio deposito bis'!$F$81*IF(ABS(N1945)&lt;'Sollecitazioni nel paramento'!$G$58,ABS(N1945)*'Sollecitazioni nel paramento'!$G$54,'Sollecitazioni nel paramento'!$G$53)*IF(N1945&lt;0,-1,1)</f>
        <v>-374773.54944697017</v>
      </c>
      <c r="U1945" s="545">
        <f>'Foglio deposito bis'!$F$82*IF(ABS(O1945)&lt;'Sollecitazioni nel paramento'!$G$58,ABS(O1945)*'Sollecitazioni nel paramento'!$G$54,'Sollecitazioni nel paramento'!$G$53)*IF(O1945&lt;0,-1,1)</f>
        <v>892485.49558937876</v>
      </c>
      <c r="V1945" s="472">
        <f t="shared" si="139"/>
        <v>-12092775.779640272</v>
      </c>
      <c r="W1945" s="551"/>
      <c r="X1945" s="551"/>
    </row>
    <row r="1946" spans="1:24" x14ac:dyDescent="0.25">
      <c r="A1946" s="545">
        <f t="shared" si="138"/>
        <v>12449494.604516597</v>
      </c>
      <c r="B1946" s="3">
        <f t="shared" si="136"/>
        <v>36.899999999999942</v>
      </c>
      <c r="C1946" s="545">
        <f>'Foglio deposito bis'!$E$160/sezione!$B$247*B1946</f>
        <v>336.08445749361084</v>
      </c>
      <c r="D1946" s="603">
        <f>-'Sollecitazioni nel paramento'!$G$47*'Sollecitazioni nel paramento'!$G$41*IF(DATI!$G$211="dx",DATI!$E$61,DATI!$E$64*DATI!$E$63)*1000*C1946^2*sezione!$AD$5*(1-sezione!$AD$6)</f>
        <v>-2513046255.0202441</v>
      </c>
      <c r="E1946" s="545">
        <f>-'Foglio deposito bis'!$F$78*(C1946-sezione!$AL$34)*IF(ABS(K1946)&lt;'Sollecitazioni nel paramento'!$G$58,ABS(K1946)*'Sollecitazioni nel paramento'!$G$54,'Sollecitazioni nel paramento'!$G$53)</f>
        <v>0</v>
      </c>
      <c r="F1946" s="545">
        <f>-'Foglio deposito bis'!$F$79*(C1946-sezione!$AM$34)*IF(ABS(L1946)&lt;'Sollecitazioni nel paramento'!$G$58,ABS(L1946)*'Sollecitazioni nel paramento'!$G$54,'Sollecitazioni nel paramento'!$G$53)</f>
        <v>-42424478.972229689</v>
      </c>
      <c r="G1946" s="545">
        <f>-'Foglio deposito bis'!$F$80*(C1946-sezione!$AN$34)*IF(ABS(M1946)&lt;'Sollecitazioni nel paramento'!$G$58,ABS(M1946)*'Sollecitazioni nel paramento'!$G$54,'Sollecitazioni nel paramento'!$G$53)</f>
        <v>0</v>
      </c>
      <c r="H1946" s="545">
        <f>-'Foglio deposito bis'!$F$81*(C1946-sezione!$AO$34)*IF(ABS(N1946)&lt;'Sollecitazioni nel paramento'!$G$58,ABS(N1946)*'Sollecitazioni nel paramento'!$G$54,'Sollecitazioni nel paramento'!$G$53)</f>
        <v>-67705471.409930214</v>
      </c>
      <c r="I1946" s="472">
        <f>-'Foglio deposito bis'!$F$82*(C1946-sezione!$AP$34)*IF(ABS(O1946)&lt;'Sollecitazioni nel paramento'!$G$58,ABS(O1946)*'Sollecitazioni nel paramento'!$G$54,'Sollecitazioni nel paramento'!$G$53)</f>
        <v>265063957.77601051</v>
      </c>
      <c r="J1946" s="472">
        <f t="shared" si="137"/>
        <v>-2358112247.6263933</v>
      </c>
      <c r="K1946" s="550">
        <f>'Sollecitazioni nel paramento'!$G$60*(sezione!$AL$34-C1946)/C1946</f>
        <v>-3.0834380410088985E-3</v>
      </c>
      <c r="L1946" s="550">
        <f>'Sollecitazioni nel paramento'!$G$60*(sezione!$AM$34-C1946)/C1946</f>
        <v>-2.8751570615133479E-3</v>
      </c>
      <c r="M1946" s="551">
        <f>'Sollecitazioni nel paramento'!$G$60*(sezione!$AN$34-C1946)/C1946</f>
        <v>-2.6668760820177978E-3</v>
      </c>
      <c r="N1946" s="551">
        <f>'Sollecitazioni nel paramento'!$G$60*(sezione!$AO$34-C1946)/C1946</f>
        <v>-1.8337521640355953E-3</v>
      </c>
      <c r="O1946" s="551">
        <f>'Sollecitazioni nel paramento'!$G$60*(sezione!$AP$34-C1946)/C1946</f>
        <v>3.0929231358598529E-3</v>
      </c>
      <c r="P1946" s="545">
        <f>-'Sollecitazioni nel paramento'!$G$47*'Sollecitazioni nel paramento'!$G$41*IF(DATI!$G$211="dx",DATI!$E$61,DATI!$E$64*DATI!$E$63)*1000*C1946*sezione!$AD$5</f>
        <v>-12803809.57713409</v>
      </c>
      <c r="Q1946" s="545">
        <f>'Foglio deposito bis'!$F$78*IF(ABS(K1946)&lt;'Sollecitazioni nel paramento'!$G$58,ABS(K1946)*'Sollecitazioni nel paramento'!$G$54,'Sollecitazioni nel paramento'!$G$53)*IF(K1946&lt;0,-1,1)</f>
        <v>0</v>
      </c>
      <c r="R1946" s="545">
        <f>'Foglio deposito bis'!$F$79*IF(ABS(L1946)&lt;'Sollecitazioni nel paramento'!$G$58,ABS(L1946)*'Sollecitazioni nel paramento'!$G$54,'Sollecitazioni nel paramento'!$G$53)*IF(L1946&lt;0,-1,1)</f>
        <v>-153664.85805602249</v>
      </c>
      <c r="S1946" s="545">
        <f>'Foglio deposito bis'!$F$80*IF(ABS(M1946)&lt;'Sollecitazioni nel paramento'!$G$58,ABS(M1946)*'Sollecitazioni nel paramento'!$G$54,'Sollecitazioni nel paramento'!$G$53)*IF(M1946&lt;0,-1,1)</f>
        <v>0</v>
      </c>
      <c r="T1946" s="545">
        <f>'Foglio deposito bis'!$F$81*IF(ABS(N1946)&lt;'Sollecitazioni nel paramento'!$G$58,ABS(N1946)*'Sollecitazioni nel paramento'!$G$54,'Sollecitazioni nel paramento'!$G$53)*IF(N1946&lt;0,-1,1)</f>
        <v>-384505.66491586505</v>
      </c>
      <c r="U1946" s="545">
        <f>'Foglio deposito bis'!$F$82*IF(ABS(O1946)&lt;'Sollecitazioni nel paramento'!$G$58,ABS(O1946)*'Sollecitazioni nel paramento'!$G$54,'Sollecitazioni nel paramento'!$G$53)*IF(O1946&lt;0,-1,1)</f>
        <v>892485.49558937876</v>
      </c>
      <c r="V1946" s="472">
        <f t="shared" si="139"/>
        <v>-12449494.604516597</v>
      </c>
      <c r="W1946" s="551"/>
      <c r="X1946" s="551"/>
    </row>
    <row r="1947" spans="1:24" x14ac:dyDescent="0.25">
      <c r="A1947" s="545">
        <f t="shared" si="138"/>
        <v>12810274.961089369</v>
      </c>
      <c r="B1947" s="3">
        <f t="shared" si="136"/>
        <v>37.899999999999942</v>
      </c>
      <c r="C1947" s="545">
        <f>'Foglio deposito bis'!$E$160/sezione!$B$247*B1947</f>
        <v>345.19243737148645</v>
      </c>
      <c r="D1947" s="603">
        <f>-'Sollecitazioni nel paramento'!$G$47*'Sollecitazioni nel paramento'!$G$41*IF(DATI!$G$211="dx",DATI!$E$61,DATI!$E$64*DATI!$E$63)*1000*C1947^2*sezione!$AD$5*(1-sezione!$AD$6)</f>
        <v>-2651100367.3398614</v>
      </c>
      <c r="E1947" s="545">
        <f>-'Foglio deposito bis'!$F$78*(C1947-sezione!$AL$34)*IF(ABS(K1947)&lt;'Sollecitazioni nel paramento'!$G$58,ABS(K1947)*'Sollecitazioni nel paramento'!$G$54,'Sollecitazioni nel paramento'!$G$53)</f>
        <v>0</v>
      </c>
      <c r="F1947" s="545">
        <f>-'Foglio deposito bis'!$F$79*(C1947-sezione!$AM$34)*IF(ABS(L1947)&lt;'Sollecitazioni nel paramento'!$G$58,ABS(L1947)*'Sollecitazioni nel paramento'!$G$54,'Sollecitazioni nel paramento'!$G$53)</f>
        <v>-43824055.407340556</v>
      </c>
      <c r="G1947" s="545">
        <f>-'Foglio deposito bis'!$F$80*(C1947-sezione!$AN$34)*IF(ABS(M1947)&lt;'Sollecitazioni nel paramento'!$G$58,ABS(M1947)*'Sollecitazioni nel paramento'!$G$54,'Sollecitazioni nel paramento'!$G$53)</f>
        <v>0</v>
      </c>
      <c r="H1947" s="545">
        <f>-'Foglio deposito bis'!$F$81*(C1947-sezione!$AO$34)*IF(ABS(N1947)&lt;'Sollecitazioni nel paramento'!$G$58,ABS(N1947)*'Sollecitazioni nel paramento'!$G$54,'Sollecitazioni nel paramento'!$G$53)</f>
        <v>-73762020.40770568</v>
      </c>
      <c r="I1947" s="472">
        <f>-'Foglio deposito bis'!$F$82*(C1947-sezione!$AP$34)*IF(ABS(O1947)&lt;'Sollecitazioni nel paramento'!$G$58,ABS(O1947)*'Sollecitazioni nel paramento'!$G$54,'Sollecitazioni nel paramento'!$G$53)</f>
        <v>256935217.84088662</v>
      </c>
      <c r="J1947" s="472">
        <f t="shared" si="137"/>
        <v>-2511751225.3140211</v>
      </c>
      <c r="K1947" s="550">
        <f>'Sollecitazioni nel paramento'!$G$60*(sezione!$AL$34-C1947)/C1947</f>
        <v>-3.0944291217210648E-3</v>
      </c>
      <c r="L1947" s="550">
        <f>'Sollecitazioni nel paramento'!$G$60*(sezione!$AM$34-C1947)/C1947</f>
        <v>-2.8916436825815977E-3</v>
      </c>
      <c r="M1947" s="551">
        <f>'Sollecitazioni nel paramento'!$G$60*(sezione!$AN$34-C1947)/C1947</f>
        <v>-2.6888582434421303E-3</v>
      </c>
      <c r="N1947" s="551">
        <f>'Sollecitazioni nel paramento'!$G$60*(sezione!$AO$34-C1947)/C1947</f>
        <v>-1.8777164868842603E-3</v>
      </c>
      <c r="O1947" s="551">
        <f>'Sollecitazioni nel paramento'!$G$60*(sezione!$AP$34-C1947)/C1947</f>
        <v>2.9189673802962695E-3</v>
      </c>
      <c r="P1947" s="545">
        <f>-'Sollecitazioni nel paramento'!$G$47*'Sollecitazioni nel paramento'!$G$41*IF(DATI!$G$211="dx",DATI!$E$61,DATI!$E$64*DATI!$E$63)*1000*C1947*sezione!$AD$5</f>
        <v>-13150796.286541516</v>
      </c>
      <c r="Q1947" s="545">
        <f>'Foglio deposito bis'!$F$78*IF(ABS(K1947)&lt;'Sollecitazioni nel paramento'!$G$58,ABS(K1947)*'Sollecitazioni nel paramento'!$G$54,'Sollecitazioni nel paramento'!$G$53)*IF(K1947&lt;0,-1,1)</f>
        <v>0</v>
      </c>
      <c r="R1947" s="545">
        <f>'Foglio deposito bis'!$F$79*IF(ABS(L1947)&lt;'Sollecitazioni nel paramento'!$G$58,ABS(L1947)*'Sollecitazioni nel paramento'!$G$54,'Sollecitazioni nel paramento'!$G$53)*IF(L1947&lt;0,-1,1)</f>
        <v>-153664.85805602249</v>
      </c>
      <c r="S1947" s="545">
        <f>'Foglio deposito bis'!$F$80*IF(ABS(M1947)&lt;'Sollecitazioni nel paramento'!$G$58,ABS(M1947)*'Sollecitazioni nel paramento'!$G$54,'Sollecitazioni nel paramento'!$G$53)*IF(M1947&lt;0,-1,1)</f>
        <v>0</v>
      </c>
      <c r="T1947" s="545">
        <f>'Foglio deposito bis'!$F$81*IF(ABS(N1947)&lt;'Sollecitazioni nel paramento'!$G$58,ABS(N1947)*'Sollecitazioni nel paramento'!$G$54,'Sollecitazioni nel paramento'!$G$53)*IF(N1947&lt;0,-1,1)</f>
        <v>-398299.31208121032</v>
      </c>
      <c r="U1947" s="545">
        <f>'Foglio deposito bis'!$F$82*IF(ABS(O1947)&lt;'Sollecitazioni nel paramento'!$G$58,ABS(O1947)*'Sollecitazioni nel paramento'!$G$54,'Sollecitazioni nel paramento'!$G$53)*IF(O1947&lt;0,-1,1)</f>
        <v>892485.49558937876</v>
      </c>
      <c r="V1947" s="472">
        <f t="shared" si="139"/>
        <v>-12810274.961089369</v>
      </c>
      <c r="W1947" s="551"/>
      <c r="X1947" s="551"/>
    </row>
    <row r="1948" spans="1:24" x14ac:dyDescent="0.25">
      <c r="A1948" s="545">
        <f t="shared" si="138"/>
        <v>13157261.670496799</v>
      </c>
      <c r="B1948" s="3">
        <f t="shared" si="136"/>
        <v>38.899999999999942</v>
      </c>
      <c r="C1948" s="545">
        <f>'Foglio deposito bis'!$E$160/sezione!$B$247*B1948</f>
        <v>354.30041724936211</v>
      </c>
      <c r="D1948" s="603">
        <f>-'Sollecitazioni nel paramento'!$G$47*'Sollecitazioni nel paramento'!$G$41*IF(DATI!$G$211="dx",DATI!$E$61,DATI!$E$64*DATI!$E$63)*1000*C1948^2*sezione!$AD$5*(1-sezione!$AD$6)</f>
        <v>-2792845766.0851374</v>
      </c>
      <c r="E1948" s="545">
        <f>-'Foglio deposito bis'!$F$78*(C1948-sezione!$AL$34)*IF(ABS(K1948)&lt;'Sollecitazioni nel paramento'!$G$58,ABS(K1948)*'Sollecitazioni nel paramento'!$G$54,'Sollecitazioni nel paramento'!$G$53)</f>
        <v>0</v>
      </c>
      <c r="F1948" s="545">
        <f>-'Foglio deposito bis'!$F$79*(C1948-sezione!$AM$34)*IF(ABS(L1948)&lt;'Sollecitazioni nel paramento'!$G$58,ABS(L1948)*'Sollecitazioni nel paramento'!$G$54,'Sollecitazioni nel paramento'!$G$53)</f>
        <v>-45223631.842451423</v>
      </c>
      <c r="G1948" s="545">
        <f>-'Foglio deposito bis'!$F$80*(C1948-sezione!$AN$34)*IF(ABS(M1948)&lt;'Sollecitazioni nel paramento'!$G$58,ABS(M1948)*'Sollecitazioni nel paramento'!$G$54,'Sollecitazioni nel paramento'!$G$53)</f>
        <v>0</v>
      </c>
      <c r="H1948" s="545">
        <f>-'Foglio deposito bis'!$F$81*(C1948-sezione!$AO$34)*IF(ABS(N1948)&lt;'Sollecitazioni nel paramento'!$G$58,ABS(N1948)*'Sollecitazioni nel paramento'!$G$54,'Sollecitazioni nel paramento'!$G$53)</f>
        <v>-77389722.527513057</v>
      </c>
      <c r="I1948" s="472">
        <f>-'Foglio deposito bis'!$F$82*(C1948-sezione!$AP$34)*IF(ABS(O1948)&lt;'Sollecitazioni nel paramento'!$G$58,ABS(O1948)*'Sollecitazioni nel paramento'!$G$54,'Sollecitazioni nel paramento'!$G$53)</f>
        <v>248806477.90576264</v>
      </c>
      <c r="J1948" s="472">
        <f t="shared" si="137"/>
        <v>-2666652642.5493393</v>
      </c>
      <c r="K1948" s="550">
        <f>'Sollecitazioni nel paramento'!$G$60*(sezione!$AL$34-C1948)/C1948</f>
        <v>-3.1048551083092124E-3</v>
      </c>
      <c r="L1948" s="550">
        <f>'Sollecitazioni nel paramento'!$G$60*(sezione!$AM$34-C1948)/C1948</f>
        <v>-2.9072826624638192E-3</v>
      </c>
      <c r="M1948" s="551">
        <f>'Sollecitazioni nel paramento'!$G$60*(sezione!$AN$34-C1948)/C1948</f>
        <v>-2.7097102166184252E-3</v>
      </c>
      <c r="N1948" s="551">
        <f>'Sollecitazioni nel paramento'!$G$60*(sezione!$AO$34-C1948)/C1948</f>
        <v>-1.9194204332368503E-3</v>
      </c>
      <c r="O1948" s="551">
        <f>'Sollecitazioni nel paramento'!$G$60*(sezione!$AP$34-C1948)/C1948</f>
        <v>2.7539553653786264E-3</v>
      </c>
      <c r="P1948" s="545">
        <f>-'Sollecitazioni nel paramento'!$G$47*'Sollecitazioni nel paramento'!$G$41*IF(DATI!$G$211="dx",DATI!$E$61,DATI!$E$64*DATI!$E$63)*1000*C1948*sezione!$AD$5</f>
        <v>-13497782.995948946</v>
      </c>
      <c r="Q1948" s="545">
        <f>'Foglio deposito bis'!$F$78*IF(ABS(K1948)&lt;'Sollecitazioni nel paramento'!$G$58,ABS(K1948)*'Sollecitazioni nel paramento'!$G$54,'Sollecitazioni nel paramento'!$G$53)*IF(K1948&lt;0,-1,1)</f>
        <v>0</v>
      </c>
      <c r="R1948" s="545">
        <f>'Foglio deposito bis'!$F$79*IF(ABS(L1948)&lt;'Sollecitazioni nel paramento'!$G$58,ABS(L1948)*'Sollecitazioni nel paramento'!$G$54,'Sollecitazioni nel paramento'!$G$53)*IF(L1948&lt;0,-1,1)</f>
        <v>-153664.85805602249</v>
      </c>
      <c r="S1948" s="545">
        <f>'Foglio deposito bis'!$F$80*IF(ABS(M1948)&lt;'Sollecitazioni nel paramento'!$G$58,ABS(M1948)*'Sollecitazioni nel paramento'!$G$54,'Sollecitazioni nel paramento'!$G$53)*IF(M1948&lt;0,-1,1)</f>
        <v>0</v>
      </c>
      <c r="T1948" s="545">
        <f>'Foglio deposito bis'!$F$81*IF(ABS(N1948)&lt;'Sollecitazioni nel paramento'!$G$58,ABS(N1948)*'Sollecitazioni nel paramento'!$G$54,'Sollecitazioni nel paramento'!$G$53)*IF(N1948&lt;0,-1,1)</f>
        <v>-398299.31208121032</v>
      </c>
      <c r="U1948" s="545">
        <f>'Foglio deposito bis'!$F$82*IF(ABS(O1948)&lt;'Sollecitazioni nel paramento'!$G$58,ABS(O1948)*'Sollecitazioni nel paramento'!$G$54,'Sollecitazioni nel paramento'!$G$53)*IF(O1948&lt;0,-1,1)</f>
        <v>892485.49558937876</v>
      </c>
      <c r="V1948" s="472">
        <f t="shared" si="139"/>
        <v>-13157261.670496799</v>
      </c>
      <c r="W1948" s="551"/>
      <c r="X1948" s="551"/>
    </row>
    <row r="1949" spans="1:24" x14ac:dyDescent="0.25">
      <c r="A1949" s="545">
        <f t="shared" si="138"/>
        <v>13504248.379904227</v>
      </c>
      <c r="B1949" s="3">
        <f t="shared" si="136"/>
        <v>39.899999999999942</v>
      </c>
      <c r="C1949" s="545">
        <f>'Foglio deposito bis'!$E$160/sezione!$B$247*B1949</f>
        <v>363.40839712723778</v>
      </c>
      <c r="D1949" s="603">
        <f>-'Sollecitazioni nel paramento'!$G$47*'Sollecitazioni nel paramento'!$G$41*IF(DATI!$G$211="dx",DATI!$E$61,DATI!$E$64*DATI!$E$63)*1000*C1949^2*sezione!$AD$5*(1-sezione!$AD$6)</f>
        <v>-2938282451.2560716</v>
      </c>
      <c r="E1949" s="545">
        <f>-'Foglio deposito bis'!$F$78*(C1949-sezione!$AL$34)*IF(ABS(K1949)&lt;'Sollecitazioni nel paramento'!$G$58,ABS(K1949)*'Sollecitazioni nel paramento'!$G$54,'Sollecitazioni nel paramento'!$G$53)</f>
        <v>0</v>
      </c>
      <c r="F1949" s="545">
        <f>-'Foglio deposito bis'!$F$79*(C1949-sezione!$AM$34)*IF(ABS(L1949)&lt;'Sollecitazioni nel paramento'!$G$58,ABS(L1949)*'Sollecitazioni nel paramento'!$G$54,'Sollecitazioni nel paramento'!$G$53)</f>
        <v>-46623208.277562298</v>
      </c>
      <c r="G1949" s="545">
        <f>-'Foglio deposito bis'!$F$80*(C1949-sezione!$AN$34)*IF(ABS(M1949)&lt;'Sollecitazioni nel paramento'!$G$58,ABS(M1949)*'Sollecitazioni nel paramento'!$G$54,'Sollecitazioni nel paramento'!$G$53)</f>
        <v>0</v>
      </c>
      <c r="H1949" s="545">
        <f>-'Foglio deposito bis'!$F$81*(C1949-sezione!$AO$34)*IF(ABS(N1949)&lt;'Sollecitazioni nel paramento'!$G$58,ABS(N1949)*'Sollecitazioni nel paramento'!$G$54,'Sollecitazioni nel paramento'!$G$53)</f>
        <v>-81017424.647320449</v>
      </c>
      <c r="I1949" s="472">
        <f>-'Foglio deposito bis'!$F$82*(C1949-sezione!$AP$34)*IF(ABS(O1949)&lt;'Sollecitazioni nel paramento'!$G$58,ABS(O1949)*'Sollecitazioni nel paramento'!$G$54,'Sollecitazioni nel paramento'!$G$53)</f>
        <v>240677737.97063872</v>
      </c>
      <c r="J1949" s="472">
        <f t="shared" si="137"/>
        <v>-2825245346.2103152</v>
      </c>
      <c r="K1949" s="550">
        <f>'Sollecitazioni nel paramento'!$G$60*(sezione!$AL$34-C1949)/C1949</f>
        <v>-3.1147584890533426E-3</v>
      </c>
      <c r="L1949" s="550">
        <f>'Sollecitazioni nel paramento'!$G$60*(sezione!$AM$34-C1949)/C1949</f>
        <v>-2.9221377335800136E-3</v>
      </c>
      <c r="M1949" s="551">
        <f>'Sollecitazioni nel paramento'!$G$60*(sezione!$AN$34-C1949)/C1949</f>
        <v>-2.729516978106685E-3</v>
      </c>
      <c r="N1949" s="551">
        <f>'Sollecitazioni nel paramento'!$G$60*(sezione!$AO$34-C1949)/C1949</f>
        <v>-1.9590339562133704E-3</v>
      </c>
      <c r="O1949" s="551">
        <f>'Sollecitazioni nel paramento'!$G$60*(sezione!$AP$34-C1949)/C1949</f>
        <v>2.5972146294042245E-3</v>
      </c>
      <c r="P1949" s="545">
        <f>-'Sollecitazioni nel paramento'!$G$47*'Sollecitazioni nel paramento'!$G$41*IF(DATI!$G$211="dx",DATI!$E$61,DATI!$E$64*DATI!$E$63)*1000*C1949*sezione!$AD$5</f>
        <v>-13844769.705356374</v>
      </c>
      <c r="Q1949" s="545">
        <f>'Foglio deposito bis'!$F$78*IF(ABS(K1949)&lt;'Sollecitazioni nel paramento'!$G$58,ABS(K1949)*'Sollecitazioni nel paramento'!$G$54,'Sollecitazioni nel paramento'!$G$53)*IF(K1949&lt;0,-1,1)</f>
        <v>0</v>
      </c>
      <c r="R1949" s="545">
        <f>'Foglio deposito bis'!$F$79*IF(ABS(L1949)&lt;'Sollecitazioni nel paramento'!$G$58,ABS(L1949)*'Sollecitazioni nel paramento'!$G$54,'Sollecitazioni nel paramento'!$G$53)*IF(L1949&lt;0,-1,1)</f>
        <v>-153664.85805602249</v>
      </c>
      <c r="S1949" s="545">
        <f>'Foglio deposito bis'!$F$80*IF(ABS(M1949)&lt;'Sollecitazioni nel paramento'!$G$58,ABS(M1949)*'Sollecitazioni nel paramento'!$G$54,'Sollecitazioni nel paramento'!$G$53)*IF(M1949&lt;0,-1,1)</f>
        <v>0</v>
      </c>
      <c r="T1949" s="545">
        <f>'Foglio deposito bis'!$F$81*IF(ABS(N1949)&lt;'Sollecitazioni nel paramento'!$G$58,ABS(N1949)*'Sollecitazioni nel paramento'!$G$54,'Sollecitazioni nel paramento'!$G$53)*IF(N1949&lt;0,-1,1)</f>
        <v>-398299.31208121032</v>
      </c>
      <c r="U1949" s="545">
        <f>'Foglio deposito bis'!$F$82*IF(ABS(O1949)&lt;'Sollecitazioni nel paramento'!$G$58,ABS(O1949)*'Sollecitazioni nel paramento'!$G$54,'Sollecitazioni nel paramento'!$G$53)*IF(O1949&lt;0,-1,1)</f>
        <v>892485.49558937876</v>
      </c>
      <c r="V1949" s="472">
        <f t="shared" si="139"/>
        <v>-13504248.379904227</v>
      </c>
      <c r="W1949" s="551"/>
      <c r="X1949" s="551"/>
    </row>
    <row r="1950" spans="1:24" x14ac:dyDescent="0.25">
      <c r="A1950" s="545">
        <f t="shared" si="138"/>
        <v>13851235.089311654</v>
      </c>
      <c r="B1950" s="3">
        <f t="shared" si="136"/>
        <v>40.899999999999942</v>
      </c>
      <c r="C1950" s="545">
        <f>'Foglio deposito bis'!$E$160/sezione!$B$247*B1950</f>
        <v>372.51637700511338</v>
      </c>
      <c r="D1950" s="603">
        <f>-'Sollecitazioni nel paramento'!$G$47*'Sollecitazioni nel paramento'!$G$41*IF(DATI!$G$211="dx",DATI!$E$61,DATI!$E$64*DATI!$E$63)*1000*C1950^2*sezione!$AD$5*(1-sezione!$AD$6)</f>
        <v>-3087410422.852663</v>
      </c>
      <c r="E1950" s="545">
        <f>-'Foglio deposito bis'!$F$78*(C1950-sezione!$AL$34)*IF(ABS(K1950)&lt;'Sollecitazioni nel paramento'!$G$58,ABS(K1950)*'Sollecitazioni nel paramento'!$G$54,'Sollecitazioni nel paramento'!$G$53)</f>
        <v>0</v>
      </c>
      <c r="F1950" s="545">
        <f>-'Foglio deposito bis'!$F$79*(C1950-sezione!$AM$34)*IF(ABS(L1950)&lt;'Sollecitazioni nel paramento'!$G$58,ABS(L1950)*'Sollecitazioni nel paramento'!$G$54,'Sollecitazioni nel paramento'!$G$53)</f>
        <v>-48022784.712673157</v>
      </c>
      <c r="G1950" s="545">
        <f>-'Foglio deposito bis'!$F$80*(C1950-sezione!$AN$34)*IF(ABS(M1950)&lt;'Sollecitazioni nel paramento'!$G$58,ABS(M1950)*'Sollecitazioni nel paramento'!$G$54,'Sollecitazioni nel paramento'!$G$53)</f>
        <v>0</v>
      </c>
      <c r="H1950" s="545">
        <f>-'Foglio deposito bis'!$F$81*(C1950-sezione!$AO$34)*IF(ABS(N1950)&lt;'Sollecitazioni nel paramento'!$G$58,ABS(N1950)*'Sollecitazioni nel paramento'!$G$54,'Sollecitazioni nel paramento'!$G$53)</f>
        <v>-84645126.767127812</v>
      </c>
      <c r="I1950" s="472">
        <f>-'Foglio deposito bis'!$F$82*(C1950-sezione!$AP$34)*IF(ABS(O1950)&lt;'Sollecitazioni nel paramento'!$G$58,ABS(O1950)*'Sollecitazioni nel paramento'!$G$54,'Sollecitazioni nel paramento'!$G$53)</f>
        <v>232548998.03551477</v>
      </c>
      <c r="J1950" s="472">
        <f t="shared" si="137"/>
        <v>-2987529336.2969494</v>
      </c>
      <c r="K1950" s="550">
        <f>'Sollecitazioni nel paramento'!$G$60*(sezione!$AL$34-C1950)/C1950</f>
        <v>-3.1241775969004489E-3</v>
      </c>
      <c r="L1950" s="550">
        <f>'Sollecitazioni nel paramento'!$G$60*(sezione!$AM$34-C1950)/C1950</f>
        <v>-2.9362663953506735E-3</v>
      </c>
      <c r="M1950" s="551">
        <f>'Sollecitazioni nel paramento'!$G$60*(sezione!$AN$34-C1950)/C1950</f>
        <v>-2.7483551938008986E-3</v>
      </c>
      <c r="N1950" s="551">
        <f>'Sollecitazioni nel paramento'!$G$60*(sezione!$AO$34-C1950)/C1950</f>
        <v>-1.9967103876017962E-3</v>
      </c>
      <c r="O1950" s="551">
        <f>'Sollecitazioni nel paramento'!$G$60*(sezione!$AP$34-C1950)/C1950</f>
        <v>2.4481384770960531E-3</v>
      </c>
      <c r="P1950" s="545">
        <f>-'Sollecitazioni nel paramento'!$G$47*'Sollecitazioni nel paramento'!$G$41*IF(DATI!$G$211="dx",DATI!$E$61,DATI!$E$64*DATI!$E$63)*1000*C1950*sezione!$AD$5</f>
        <v>-14191756.414763801</v>
      </c>
      <c r="Q1950" s="545">
        <f>'Foglio deposito bis'!$F$78*IF(ABS(K1950)&lt;'Sollecitazioni nel paramento'!$G$58,ABS(K1950)*'Sollecitazioni nel paramento'!$G$54,'Sollecitazioni nel paramento'!$G$53)*IF(K1950&lt;0,-1,1)</f>
        <v>0</v>
      </c>
      <c r="R1950" s="545">
        <f>'Foglio deposito bis'!$F$79*IF(ABS(L1950)&lt;'Sollecitazioni nel paramento'!$G$58,ABS(L1950)*'Sollecitazioni nel paramento'!$G$54,'Sollecitazioni nel paramento'!$G$53)*IF(L1950&lt;0,-1,1)</f>
        <v>-153664.85805602249</v>
      </c>
      <c r="S1950" s="545">
        <f>'Foglio deposito bis'!$F$80*IF(ABS(M1950)&lt;'Sollecitazioni nel paramento'!$G$58,ABS(M1950)*'Sollecitazioni nel paramento'!$G$54,'Sollecitazioni nel paramento'!$G$53)*IF(M1950&lt;0,-1,1)</f>
        <v>0</v>
      </c>
      <c r="T1950" s="545">
        <f>'Foglio deposito bis'!$F$81*IF(ABS(N1950)&lt;'Sollecitazioni nel paramento'!$G$58,ABS(N1950)*'Sollecitazioni nel paramento'!$G$54,'Sollecitazioni nel paramento'!$G$53)*IF(N1950&lt;0,-1,1)</f>
        <v>-398299.31208121032</v>
      </c>
      <c r="U1950" s="545">
        <f>'Foglio deposito bis'!$F$82*IF(ABS(O1950)&lt;'Sollecitazioni nel paramento'!$G$58,ABS(O1950)*'Sollecitazioni nel paramento'!$G$54,'Sollecitazioni nel paramento'!$G$53)*IF(O1950&lt;0,-1,1)</f>
        <v>892485.49558937876</v>
      </c>
      <c r="V1950" s="472">
        <f t="shared" si="139"/>
        <v>-13851235.089311654</v>
      </c>
      <c r="W1950" s="551"/>
      <c r="X1950" s="551"/>
    </row>
    <row r="1951" spans="1:24" x14ac:dyDescent="0.25">
      <c r="A1951" s="545">
        <f t="shared" si="138"/>
        <v>14198221.798719084</v>
      </c>
      <c r="B1951" s="3">
        <f t="shared" si="136"/>
        <v>41.899999999999942</v>
      </c>
      <c r="C1951" s="545">
        <f>'Foglio deposito bis'!$E$160/sezione!$B$247*B1951</f>
        <v>381.62435688298905</v>
      </c>
      <c r="D1951" s="603">
        <f>-'Sollecitazioni nel paramento'!$G$47*'Sollecitazioni nel paramento'!$G$41*IF(DATI!$G$211="dx",DATI!$E$61,DATI!$E$64*DATI!$E$63)*1000*C1951^2*sezione!$AD$5*(1-sezione!$AD$6)</f>
        <v>-3240229680.8749146</v>
      </c>
      <c r="E1951" s="545">
        <f>-'Foglio deposito bis'!$F$78*(C1951-sezione!$AL$34)*IF(ABS(K1951)&lt;'Sollecitazioni nel paramento'!$G$58,ABS(K1951)*'Sollecitazioni nel paramento'!$G$54,'Sollecitazioni nel paramento'!$G$53)</f>
        <v>0</v>
      </c>
      <c r="F1951" s="545">
        <f>-'Foglio deposito bis'!$F$79*(C1951-sezione!$AM$34)*IF(ABS(L1951)&lt;'Sollecitazioni nel paramento'!$G$58,ABS(L1951)*'Sollecitazioni nel paramento'!$G$54,'Sollecitazioni nel paramento'!$G$53)</f>
        <v>-49422361.147784032</v>
      </c>
      <c r="G1951" s="545">
        <f>-'Foglio deposito bis'!$F$80*(C1951-sezione!$AN$34)*IF(ABS(M1951)&lt;'Sollecitazioni nel paramento'!$G$58,ABS(M1951)*'Sollecitazioni nel paramento'!$G$54,'Sollecitazioni nel paramento'!$G$53)</f>
        <v>0</v>
      </c>
      <c r="H1951" s="545">
        <f>-'Foglio deposito bis'!$F$81*(C1951-sezione!$AO$34)*IF(ABS(N1951)&lt;'Sollecitazioni nel paramento'!$G$58,ABS(N1951)*'Sollecitazioni nel paramento'!$G$54,'Sollecitazioni nel paramento'!$G$53)</f>
        <v>-88272828.886935189</v>
      </c>
      <c r="I1951" s="472">
        <f>-'Foglio deposito bis'!$F$82*(C1951-sezione!$AP$34)*IF(ABS(O1951)&lt;'Sollecitazioni nel paramento'!$G$58,ABS(O1951)*'Sollecitazioni nel paramento'!$G$54,'Sollecitazioni nel paramento'!$G$53)</f>
        <v>224420258.10039085</v>
      </c>
      <c r="J1951" s="472">
        <f t="shared" si="137"/>
        <v>-3153504612.8092432</v>
      </c>
      <c r="K1951" s="550">
        <f>'Sollecitazioni nel paramento'!$G$60*(sezione!$AL$34-C1951)/C1951</f>
        <v>-3.1331471053276461E-3</v>
      </c>
      <c r="L1951" s="550">
        <f>'Sollecitazioni nel paramento'!$G$60*(sezione!$AM$34-C1951)/C1951</f>
        <v>-2.9497206579914689E-3</v>
      </c>
      <c r="M1951" s="551">
        <f>'Sollecitazioni nel paramento'!$G$60*(sezione!$AN$34-C1951)/C1951</f>
        <v>-2.7662942106552926E-3</v>
      </c>
      <c r="N1951" s="551">
        <f>'Sollecitazioni nel paramento'!$G$60*(sezione!$AO$34-C1951)/C1951</f>
        <v>-2.0325884213105842E-3</v>
      </c>
      <c r="O1951" s="551">
        <f>'Sollecitazioni nel paramento'!$G$60*(sezione!$AP$34-C1951)/C1951</f>
        <v>2.3061781315806334E-3</v>
      </c>
      <c r="P1951" s="545">
        <f>-'Sollecitazioni nel paramento'!$G$47*'Sollecitazioni nel paramento'!$G$41*IF(DATI!$G$211="dx",DATI!$E$61,DATI!$E$64*DATI!$E$63)*1000*C1951*sezione!$AD$5</f>
        <v>-14538743.124171231</v>
      </c>
      <c r="Q1951" s="545">
        <f>'Foglio deposito bis'!$F$78*IF(ABS(K1951)&lt;'Sollecitazioni nel paramento'!$G$58,ABS(K1951)*'Sollecitazioni nel paramento'!$G$54,'Sollecitazioni nel paramento'!$G$53)*IF(K1951&lt;0,-1,1)</f>
        <v>0</v>
      </c>
      <c r="R1951" s="545">
        <f>'Foglio deposito bis'!$F$79*IF(ABS(L1951)&lt;'Sollecitazioni nel paramento'!$G$58,ABS(L1951)*'Sollecitazioni nel paramento'!$G$54,'Sollecitazioni nel paramento'!$G$53)*IF(L1951&lt;0,-1,1)</f>
        <v>-153664.85805602249</v>
      </c>
      <c r="S1951" s="545">
        <f>'Foglio deposito bis'!$F$80*IF(ABS(M1951)&lt;'Sollecitazioni nel paramento'!$G$58,ABS(M1951)*'Sollecitazioni nel paramento'!$G$54,'Sollecitazioni nel paramento'!$G$53)*IF(M1951&lt;0,-1,1)</f>
        <v>0</v>
      </c>
      <c r="T1951" s="545">
        <f>'Foglio deposito bis'!$F$81*IF(ABS(N1951)&lt;'Sollecitazioni nel paramento'!$G$58,ABS(N1951)*'Sollecitazioni nel paramento'!$G$54,'Sollecitazioni nel paramento'!$G$53)*IF(N1951&lt;0,-1,1)</f>
        <v>-398299.31208121032</v>
      </c>
      <c r="U1951" s="545">
        <f>'Foglio deposito bis'!$F$82*IF(ABS(O1951)&lt;'Sollecitazioni nel paramento'!$G$58,ABS(O1951)*'Sollecitazioni nel paramento'!$G$54,'Sollecitazioni nel paramento'!$G$53)*IF(O1951&lt;0,-1,1)</f>
        <v>892485.49558937876</v>
      </c>
      <c r="V1951" s="472">
        <f t="shared" si="139"/>
        <v>-14198221.798719084</v>
      </c>
      <c r="W1951" s="551"/>
      <c r="X1951" s="551"/>
    </row>
    <row r="1952" spans="1:24" x14ac:dyDescent="0.25">
      <c r="A1952" s="545">
        <f t="shared" si="138"/>
        <v>14545208.508126514</v>
      </c>
      <c r="B1952" s="3">
        <f t="shared" si="136"/>
        <v>42.899999999999942</v>
      </c>
      <c r="C1952" s="545">
        <f>'Foglio deposito bis'!$E$160/sezione!$B$247*B1952</f>
        <v>390.73233676086471</v>
      </c>
      <c r="D1952" s="603">
        <f>-'Sollecitazioni nel paramento'!$G$47*'Sollecitazioni nel paramento'!$G$41*IF(DATI!$G$211="dx",DATI!$E$61,DATI!$E$64*DATI!$E$63)*1000*C1952^2*sezione!$AD$5*(1-sezione!$AD$6)</f>
        <v>-3396740225.3228235</v>
      </c>
      <c r="E1952" s="545">
        <f>-'Foglio deposito bis'!$F$78*(C1952-sezione!$AL$34)*IF(ABS(K1952)&lt;'Sollecitazioni nel paramento'!$G$58,ABS(K1952)*'Sollecitazioni nel paramento'!$G$54,'Sollecitazioni nel paramento'!$G$53)</f>
        <v>0</v>
      </c>
      <c r="F1952" s="545">
        <f>-'Foglio deposito bis'!$F$79*(C1952-sezione!$AM$34)*IF(ABS(L1952)&lt;'Sollecitazioni nel paramento'!$G$58,ABS(L1952)*'Sollecitazioni nel paramento'!$G$54,'Sollecitazioni nel paramento'!$G$53)</f>
        <v>-50821937.582894906</v>
      </c>
      <c r="G1952" s="545">
        <f>-'Foglio deposito bis'!$F$80*(C1952-sezione!$AN$34)*IF(ABS(M1952)&lt;'Sollecitazioni nel paramento'!$G$58,ABS(M1952)*'Sollecitazioni nel paramento'!$G$54,'Sollecitazioni nel paramento'!$G$53)</f>
        <v>0</v>
      </c>
      <c r="H1952" s="545">
        <f>-'Foglio deposito bis'!$F$81*(C1952-sezione!$AO$34)*IF(ABS(N1952)&lt;'Sollecitazioni nel paramento'!$G$58,ABS(N1952)*'Sollecitazioni nel paramento'!$G$54,'Sollecitazioni nel paramento'!$G$53)</f>
        <v>-91900531.006742567</v>
      </c>
      <c r="I1952" s="472">
        <f>-'Foglio deposito bis'!$F$82*(C1952-sezione!$AP$34)*IF(ABS(O1952)&lt;'Sollecitazioni nel paramento'!$G$58,ABS(O1952)*'Sollecitazioni nel paramento'!$G$54,'Sollecitazioni nel paramento'!$G$53)</f>
        <v>216291518.16526687</v>
      </c>
      <c r="J1952" s="472">
        <f t="shared" si="137"/>
        <v>-3323171175.7471938</v>
      </c>
      <c r="K1952" s="550">
        <f>'Sollecitazioni nel paramento'!$G$60*(sezione!$AL$34-C1952)/C1952</f>
        <v>-3.1416984548538083E-3</v>
      </c>
      <c r="L1952" s="550">
        <f>'Sollecitazioni nel paramento'!$G$60*(sezione!$AM$34-C1952)/C1952</f>
        <v>-2.9625476822807122E-3</v>
      </c>
      <c r="M1952" s="551">
        <f>'Sollecitazioni nel paramento'!$G$60*(sezione!$AN$34-C1952)/C1952</f>
        <v>-2.7833969097076161E-3</v>
      </c>
      <c r="N1952" s="551">
        <f>'Sollecitazioni nel paramento'!$G$60*(sezione!$AO$34-C1952)/C1952</f>
        <v>-2.0667938194152326E-3</v>
      </c>
      <c r="O1952" s="551">
        <f>'Sollecitazioni nel paramento'!$G$60*(sezione!$AP$34-C1952)/C1952</f>
        <v>2.170835983991341E-3</v>
      </c>
      <c r="P1952" s="545">
        <f>-'Sollecitazioni nel paramento'!$G$47*'Sollecitazioni nel paramento'!$G$41*IF(DATI!$G$211="dx",DATI!$E$61,DATI!$E$64*DATI!$E$63)*1000*C1952*sezione!$AD$5</f>
        <v>-14885729.833578661</v>
      </c>
      <c r="Q1952" s="545">
        <f>'Foglio deposito bis'!$F$78*IF(ABS(K1952)&lt;'Sollecitazioni nel paramento'!$G$58,ABS(K1952)*'Sollecitazioni nel paramento'!$G$54,'Sollecitazioni nel paramento'!$G$53)*IF(K1952&lt;0,-1,1)</f>
        <v>0</v>
      </c>
      <c r="R1952" s="545">
        <f>'Foglio deposito bis'!$F$79*IF(ABS(L1952)&lt;'Sollecitazioni nel paramento'!$G$58,ABS(L1952)*'Sollecitazioni nel paramento'!$G$54,'Sollecitazioni nel paramento'!$G$53)*IF(L1952&lt;0,-1,1)</f>
        <v>-153664.85805602249</v>
      </c>
      <c r="S1952" s="545">
        <f>'Foglio deposito bis'!$F$80*IF(ABS(M1952)&lt;'Sollecitazioni nel paramento'!$G$58,ABS(M1952)*'Sollecitazioni nel paramento'!$G$54,'Sollecitazioni nel paramento'!$G$53)*IF(M1952&lt;0,-1,1)</f>
        <v>0</v>
      </c>
      <c r="T1952" s="545">
        <f>'Foglio deposito bis'!$F$81*IF(ABS(N1952)&lt;'Sollecitazioni nel paramento'!$G$58,ABS(N1952)*'Sollecitazioni nel paramento'!$G$54,'Sollecitazioni nel paramento'!$G$53)*IF(N1952&lt;0,-1,1)</f>
        <v>-398299.31208121032</v>
      </c>
      <c r="U1952" s="545">
        <f>'Foglio deposito bis'!$F$82*IF(ABS(O1952)&lt;'Sollecitazioni nel paramento'!$G$58,ABS(O1952)*'Sollecitazioni nel paramento'!$G$54,'Sollecitazioni nel paramento'!$G$53)*IF(O1952&lt;0,-1,1)</f>
        <v>892485.49558937876</v>
      </c>
      <c r="V1952" s="472">
        <f t="shared" si="139"/>
        <v>-14545208.508126514</v>
      </c>
      <c r="W1952" s="551"/>
      <c r="X1952" s="551"/>
    </row>
    <row r="1953" spans="1:24" x14ac:dyDescent="0.25">
      <c r="A1953" s="545">
        <f t="shared" si="138"/>
        <v>14892195.217533939</v>
      </c>
      <c r="B1953" s="3">
        <f t="shared" si="136"/>
        <v>43.899999999999942</v>
      </c>
      <c r="C1953" s="545">
        <f>'Foglio deposito bis'!$E$160/sezione!$B$247*B1953</f>
        <v>399.84031663874032</v>
      </c>
      <c r="D1953" s="603">
        <f>-'Sollecitazioni nel paramento'!$G$47*'Sollecitazioni nel paramento'!$G$41*IF(DATI!$G$211="dx",DATI!$E$61,DATI!$E$64*DATI!$E$63)*1000*C1953^2*sezione!$AD$5*(1-sezione!$AD$6)</f>
        <v>-3556942056.1963897</v>
      </c>
      <c r="E1953" s="545">
        <f>-'Foglio deposito bis'!$F$78*(C1953-sezione!$AL$34)*IF(ABS(K1953)&lt;'Sollecitazioni nel paramento'!$G$58,ABS(K1953)*'Sollecitazioni nel paramento'!$G$54,'Sollecitazioni nel paramento'!$G$53)</f>
        <v>0</v>
      </c>
      <c r="F1953" s="545">
        <f>-'Foglio deposito bis'!$F$79*(C1953-sezione!$AM$34)*IF(ABS(L1953)&lt;'Sollecitazioni nel paramento'!$G$58,ABS(L1953)*'Sollecitazioni nel paramento'!$G$54,'Sollecitazioni nel paramento'!$G$53)</f>
        <v>-52221514.018005766</v>
      </c>
      <c r="G1953" s="545">
        <f>-'Foglio deposito bis'!$F$80*(C1953-sezione!$AN$34)*IF(ABS(M1953)&lt;'Sollecitazioni nel paramento'!$G$58,ABS(M1953)*'Sollecitazioni nel paramento'!$G$54,'Sollecitazioni nel paramento'!$G$53)</f>
        <v>0</v>
      </c>
      <c r="H1953" s="545">
        <f>-'Foglio deposito bis'!$F$81*(C1953-sezione!$AO$34)*IF(ABS(N1953)&lt;'Sollecitazioni nel paramento'!$G$58,ABS(N1953)*'Sollecitazioni nel paramento'!$G$54,'Sollecitazioni nel paramento'!$G$53)</f>
        <v>-95528233.126549929</v>
      </c>
      <c r="I1953" s="472">
        <f>-'Foglio deposito bis'!$F$82*(C1953-sezione!$AP$34)*IF(ABS(O1953)&lt;'Sollecitazioni nel paramento'!$G$58,ABS(O1953)*'Sollecitazioni nel paramento'!$G$54,'Sollecitazioni nel paramento'!$G$53)</f>
        <v>208162778.23014301</v>
      </c>
      <c r="J1953" s="472">
        <f t="shared" si="137"/>
        <v>-3496529025.1108022</v>
      </c>
      <c r="K1953" s="550">
        <f>'Sollecitazioni nel paramento'!$G$60*(sezione!$AL$34-C1953)/C1953</f>
        <v>-3.1498602212580496E-3</v>
      </c>
      <c r="L1953" s="550">
        <f>'Sollecitazioni nel paramento'!$G$60*(sezione!$AM$34-C1953)/C1953</f>
        <v>-2.974790331887074E-3</v>
      </c>
      <c r="M1953" s="551">
        <f>'Sollecitazioni nel paramento'!$G$60*(sezione!$AN$34-C1953)/C1953</f>
        <v>-2.7997204425160988E-3</v>
      </c>
      <c r="N1953" s="551">
        <f>'Sollecitazioni nel paramento'!$G$60*(sezione!$AO$34-C1953)/C1953</f>
        <v>-2.0994408850321979E-3</v>
      </c>
      <c r="O1953" s="551">
        <f>'Sollecitazioni nel paramento'!$G$60*(sezione!$AP$34-C1953)/C1953</f>
        <v>2.0416597656771878E-3</v>
      </c>
      <c r="P1953" s="545">
        <f>-'Sollecitazioni nel paramento'!$G$47*'Sollecitazioni nel paramento'!$G$41*IF(DATI!$G$211="dx",DATI!$E$61,DATI!$E$64*DATI!$E$63)*1000*C1953*sezione!$AD$5</f>
        <v>-15232716.542986086</v>
      </c>
      <c r="Q1953" s="545">
        <f>'Foglio deposito bis'!$F$78*IF(ABS(K1953)&lt;'Sollecitazioni nel paramento'!$G$58,ABS(K1953)*'Sollecitazioni nel paramento'!$G$54,'Sollecitazioni nel paramento'!$G$53)*IF(K1953&lt;0,-1,1)</f>
        <v>0</v>
      </c>
      <c r="R1953" s="545">
        <f>'Foglio deposito bis'!$F$79*IF(ABS(L1953)&lt;'Sollecitazioni nel paramento'!$G$58,ABS(L1953)*'Sollecitazioni nel paramento'!$G$54,'Sollecitazioni nel paramento'!$G$53)*IF(L1953&lt;0,-1,1)</f>
        <v>-153664.85805602249</v>
      </c>
      <c r="S1953" s="545">
        <f>'Foglio deposito bis'!$F$80*IF(ABS(M1953)&lt;'Sollecitazioni nel paramento'!$G$58,ABS(M1953)*'Sollecitazioni nel paramento'!$G$54,'Sollecitazioni nel paramento'!$G$53)*IF(M1953&lt;0,-1,1)</f>
        <v>0</v>
      </c>
      <c r="T1953" s="545">
        <f>'Foglio deposito bis'!$F$81*IF(ABS(N1953)&lt;'Sollecitazioni nel paramento'!$G$58,ABS(N1953)*'Sollecitazioni nel paramento'!$G$54,'Sollecitazioni nel paramento'!$G$53)*IF(N1953&lt;0,-1,1)</f>
        <v>-398299.31208121032</v>
      </c>
      <c r="U1953" s="545">
        <f>'Foglio deposito bis'!$F$82*IF(ABS(O1953)&lt;'Sollecitazioni nel paramento'!$G$58,ABS(O1953)*'Sollecitazioni nel paramento'!$G$54,'Sollecitazioni nel paramento'!$G$53)*IF(O1953&lt;0,-1,1)</f>
        <v>892485.49558937876</v>
      </c>
      <c r="V1953" s="472">
        <f t="shared" si="139"/>
        <v>-14892195.217533939</v>
      </c>
      <c r="W1953" s="551"/>
      <c r="X1953" s="551"/>
    </row>
    <row r="1954" spans="1:24" x14ac:dyDescent="0.25">
      <c r="A1954" s="545">
        <f t="shared" si="138"/>
        <v>15239181.926941369</v>
      </c>
      <c r="B1954" s="3">
        <f t="shared" si="136"/>
        <v>44.899999999999942</v>
      </c>
      <c r="C1954" s="545">
        <f>'Foglio deposito bis'!$E$160/sezione!$B$247*B1954</f>
        <v>408.94829651661598</v>
      </c>
      <c r="D1954" s="603">
        <f>-'Sollecitazioni nel paramento'!$G$47*'Sollecitazioni nel paramento'!$G$41*IF(DATI!$G$211="dx",DATI!$E$61,DATI!$E$64*DATI!$E$63)*1000*C1954^2*sezione!$AD$5*(1-sezione!$AD$6)</f>
        <v>-3720835173.4956155</v>
      </c>
      <c r="E1954" s="545">
        <f>-'Foglio deposito bis'!$F$78*(C1954-sezione!$AL$34)*IF(ABS(K1954)&lt;'Sollecitazioni nel paramento'!$G$58,ABS(K1954)*'Sollecitazioni nel paramento'!$G$54,'Sollecitazioni nel paramento'!$G$53)</f>
        <v>0</v>
      </c>
      <c r="F1954" s="545">
        <f>-'Foglio deposito bis'!$F$79*(C1954-sezione!$AM$34)*IF(ABS(L1954)&lt;'Sollecitazioni nel paramento'!$G$58,ABS(L1954)*'Sollecitazioni nel paramento'!$G$54,'Sollecitazioni nel paramento'!$G$53)</f>
        <v>-53621090.45311664</v>
      </c>
      <c r="G1954" s="545">
        <f>-'Foglio deposito bis'!$F$80*(C1954-sezione!$AN$34)*IF(ABS(M1954)&lt;'Sollecitazioni nel paramento'!$G$58,ABS(M1954)*'Sollecitazioni nel paramento'!$G$54,'Sollecitazioni nel paramento'!$G$53)</f>
        <v>0</v>
      </c>
      <c r="H1954" s="545">
        <f>-'Foglio deposito bis'!$F$81*(C1954-sezione!$AO$34)*IF(ABS(N1954)&lt;'Sollecitazioni nel paramento'!$G$58,ABS(N1954)*'Sollecitazioni nel paramento'!$G$54,'Sollecitazioni nel paramento'!$G$53)</f>
        <v>-99155935.246357322</v>
      </c>
      <c r="I1954" s="472">
        <f>-'Foglio deposito bis'!$F$82*(C1954-sezione!$AP$34)*IF(ABS(O1954)&lt;'Sollecitazioni nel paramento'!$G$58,ABS(O1954)*'Sollecitazioni nel paramento'!$G$54,'Sollecitazioni nel paramento'!$G$53)</f>
        <v>200034038.29501906</v>
      </c>
      <c r="J1954" s="472">
        <f t="shared" si="137"/>
        <v>-3673578160.9000702</v>
      </c>
      <c r="K1954" s="550">
        <f>'Sollecitazioni nel paramento'!$G$60*(sezione!$AL$34-C1954)/C1954</f>
        <v>-3.1576584345930597E-3</v>
      </c>
      <c r="L1954" s="550">
        <f>'Sollecitazioni nel paramento'!$G$60*(sezione!$AM$34-C1954)/C1954</f>
        <v>-2.9864876518895895E-3</v>
      </c>
      <c r="M1954" s="551">
        <f>'Sollecitazioni nel paramento'!$G$60*(sezione!$AN$34-C1954)/C1954</f>
        <v>-2.8153168691861189E-3</v>
      </c>
      <c r="N1954" s="551">
        <f>'Sollecitazioni nel paramento'!$G$60*(sezione!$AO$34-C1954)/C1954</f>
        <v>-2.1306337383722382E-3</v>
      </c>
      <c r="O1954" s="551">
        <f>'Sollecitazioni nel paramento'!$G$60*(sezione!$AP$34-C1954)/C1954</f>
        <v>1.9182374991810363E-3</v>
      </c>
      <c r="P1954" s="545">
        <f>-'Sollecitazioni nel paramento'!$G$47*'Sollecitazioni nel paramento'!$G$41*IF(DATI!$G$211="dx",DATI!$E$61,DATI!$E$64*DATI!$E$63)*1000*C1954*sezione!$AD$5</f>
        <v>-15579703.252393516</v>
      </c>
      <c r="Q1954" s="545">
        <f>'Foglio deposito bis'!$F$78*IF(ABS(K1954)&lt;'Sollecitazioni nel paramento'!$G$58,ABS(K1954)*'Sollecitazioni nel paramento'!$G$54,'Sollecitazioni nel paramento'!$G$53)*IF(K1954&lt;0,-1,1)</f>
        <v>0</v>
      </c>
      <c r="R1954" s="545">
        <f>'Foglio deposito bis'!$F$79*IF(ABS(L1954)&lt;'Sollecitazioni nel paramento'!$G$58,ABS(L1954)*'Sollecitazioni nel paramento'!$G$54,'Sollecitazioni nel paramento'!$G$53)*IF(L1954&lt;0,-1,1)</f>
        <v>-153664.85805602249</v>
      </c>
      <c r="S1954" s="545">
        <f>'Foglio deposito bis'!$F$80*IF(ABS(M1954)&lt;'Sollecitazioni nel paramento'!$G$58,ABS(M1954)*'Sollecitazioni nel paramento'!$G$54,'Sollecitazioni nel paramento'!$G$53)*IF(M1954&lt;0,-1,1)</f>
        <v>0</v>
      </c>
      <c r="T1954" s="545">
        <f>'Foglio deposito bis'!$F$81*IF(ABS(N1954)&lt;'Sollecitazioni nel paramento'!$G$58,ABS(N1954)*'Sollecitazioni nel paramento'!$G$54,'Sollecitazioni nel paramento'!$G$53)*IF(N1954&lt;0,-1,1)</f>
        <v>-398299.31208121032</v>
      </c>
      <c r="U1954" s="545">
        <f>'Foglio deposito bis'!$F$82*IF(ABS(O1954)&lt;'Sollecitazioni nel paramento'!$G$58,ABS(O1954)*'Sollecitazioni nel paramento'!$G$54,'Sollecitazioni nel paramento'!$G$53)*IF(O1954&lt;0,-1,1)</f>
        <v>892485.49558937876</v>
      </c>
      <c r="V1954" s="472">
        <f t="shared" si="139"/>
        <v>-15239181.926941369</v>
      </c>
      <c r="W1954" s="551"/>
      <c r="X1954" s="551"/>
    </row>
    <row r="1955" spans="1:24" x14ac:dyDescent="0.25">
      <c r="A1955" s="545">
        <f t="shared" si="138"/>
        <v>15632844.145103041</v>
      </c>
      <c r="B1955" s="3">
        <f t="shared" si="136"/>
        <v>45.899999999999942</v>
      </c>
      <c r="C1955" s="545">
        <f>'Foglio deposito bis'!$E$160/sezione!$B$247*B1955</f>
        <v>418.05627639449165</v>
      </c>
      <c r="D1955" s="603">
        <f>-'Sollecitazioni nel paramento'!$G$47*'Sollecitazioni nel paramento'!$G$41*IF(DATI!$G$211="dx",DATI!$E$61,DATI!$E$64*DATI!$E$63)*1000*C1955^2*sezione!$AD$5*(1-sezione!$AD$6)</f>
        <v>-3888419577.220499</v>
      </c>
      <c r="E1955" s="545">
        <f>-'Foglio deposito bis'!$F$78*(C1955-sezione!$AL$34)*IF(ABS(K1955)&lt;'Sollecitazioni nel paramento'!$G$58,ABS(K1955)*'Sollecitazioni nel paramento'!$G$54,'Sollecitazioni nel paramento'!$G$53)</f>
        <v>0</v>
      </c>
      <c r="F1955" s="545">
        <f>-'Foglio deposito bis'!$F$79*(C1955-sezione!$AM$34)*IF(ABS(L1955)&lt;'Sollecitazioni nel paramento'!$G$58,ABS(L1955)*'Sollecitazioni nel paramento'!$G$54,'Sollecitazioni nel paramento'!$G$53)</f>
        <v>-55020666.888227522</v>
      </c>
      <c r="G1955" s="545">
        <f>-'Foglio deposito bis'!$F$80*(C1955-sezione!$AN$34)*IF(ABS(M1955)&lt;'Sollecitazioni nel paramento'!$G$58,ABS(M1955)*'Sollecitazioni nel paramento'!$G$54,'Sollecitazioni nel paramento'!$G$53)</f>
        <v>0</v>
      </c>
      <c r="H1955" s="545">
        <f>-'Foglio deposito bis'!$F$81*(C1955-sezione!$AO$34)*IF(ABS(N1955)&lt;'Sollecitazioni nel paramento'!$G$58,ABS(N1955)*'Sollecitazioni nel paramento'!$G$54,'Sollecitazioni nel paramento'!$G$53)</f>
        <v>-102783637.3661647</v>
      </c>
      <c r="I1955" s="472">
        <f>-'Foglio deposito bis'!$F$82*(C1955-sezione!$AP$34)*IF(ABS(O1955)&lt;'Sollecitazioni nel paramento'!$G$58,ABS(O1955)*'Sollecitazioni nel paramento'!$G$54,'Sollecitazioni nel paramento'!$G$53)</f>
        <v>181868970.06341383</v>
      </c>
      <c r="J1955" s="472">
        <f t="shared" si="137"/>
        <v>-3864354911.4114776</v>
      </c>
      <c r="K1955" s="550">
        <f>'Sollecitazioni nel paramento'!$G$60*(sezione!$AL$34-C1955)/C1955</f>
        <v>-3.1651168564973504E-3</v>
      </c>
      <c r="L1955" s="550">
        <f>'Sollecitazioni nel paramento'!$G$60*(sezione!$AM$34-C1955)/C1955</f>
        <v>-2.9976752847460254E-3</v>
      </c>
      <c r="M1955" s="551">
        <f>'Sollecitazioni nel paramento'!$G$60*(sezione!$AN$34-C1955)/C1955</f>
        <v>-2.8302337129947003E-3</v>
      </c>
      <c r="N1955" s="551">
        <f>'Sollecitazioni nel paramento'!$G$60*(sezione!$AO$34-C1955)/C1955</f>
        <v>-2.1604674259894006E-3</v>
      </c>
      <c r="O1955" s="551">
        <f>'Sollecitazioni nel paramento'!$G$60*(sezione!$AP$34-C1955)/C1955</f>
        <v>1.8001931092206647E-3</v>
      </c>
      <c r="P1955" s="545">
        <f>-'Sollecitazioni nel paramento'!$G$47*'Sollecitazioni nel paramento'!$G$41*IF(DATI!$G$211="dx",DATI!$E$61,DATI!$E$64*DATI!$E$63)*1000*C1955*sezione!$AD$5</f>
        <v>-15926689.961800946</v>
      </c>
      <c r="Q1955" s="545">
        <f>'Foglio deposito bis'!$F$78*IF(ABS(K1955)&lt;'Sollecitazioni nel paramento'!$G$58,ABS(K1955)*'Sollecitazioni nel paramento'!$G$54,'Sollecitazioni nel paramento'!$G$53)*IF(K1955&lt;0,-1,1)</f>
        <v>0</v>
      </c>
      <c r="R1955" s="545">
        <f>'Foglio deposito bis'!$F$79*IF(ABS(L1955)&lt;'Sollecitazioni nel paramento'!$G$58,ABS(L1955)*'Sollecitazioni nel paramento'!$G$54,'Sollecitazioni nel paramento'!$G$53)*IF(L1955&lt;0,-1,1)</f>
        <v>-153664.85805602249</v>
      </c>
      <c r="S1955" s="545">
        <f>'Foglio deposito bis'!$F$80*IF(ABS(M1955)&lt;'Sollecitazioni nel paramento'!$G$58,ABS(M1955)*'Sollecitazioni nel paramento'!$G$54,'Sollecitazioni nel paramento'!$G$53)*IF(M1955&lt;0,-1,1)</f>
        <v>0</v>
      </c>
      <c r="T1955" s="545">
        <f>'Foglio deposito bis'!$F$81*IF(ABS(N1955)&lt;'Sollecitazioni nel paramento'!$G$58,ABS(N1955)*'Sollecitazioni nel paramento'!$G$54,'Sollecitazioni nel paramento'!$G$53)*IF(N1955&lt;0,-1,1)</f>
        <v>-398299.31208121032</v>
      </c>
      <c r="U1955" s="545">
        <f>'Foglio deposito bis'!$F$82*IF(ABS(O1955)&lt;'Sollecitazioni nel paramento'!$G$58,ABS(O1955)*'Sollecitazioni nel paramento'!$G$54,'Sollecitazioni nel paramento'!$G$53)*IF(O1955&lt;0,-1,1)</f>
        <v>845809.98683513643</v>
      </c>
      <c r="V1955" s="472">
        <f t="shared" si="139"/>
        <v>-15632844.145103041</v>
      </c>
      <c r="W1955" s="551"/>
      <c r="X1955" s="551"/>
    </row>
    <row r="1956" spans="1:24" x14ac:dyDescent="0.25">
      <c r="A1956" s="545">
        <f t="shared" si="138"/>
        <v>16032928.169968594</v>
      </c>
      <c r="B1956" s="3">
        <f t="shared" si="136"/>
        <v>46.899999999999942</v>
      </c>
      <c r="C1956" s="545">
        <f>'Foglio deposito bis'!$E$160/sezione!$B$247*B1956</f>
        <v>427.16425627236725</v>
      </c>
      <c r="D1956" s="603">
        <f>-'Sollecitazioni nel paramento'!$G$47*'Sollecitazioni nel paramento'!$G$41*IF(DATI!$G$211="dx",DATI!$E$61,DATI!$E$64*DATI!$E$63)*1000*C1956^2*sezione!$AD$5*(1-sezione!$AD$6)</f>
        <v>-4059695267.3710403</v>
      </c>
      <c r="E1956" s="545">
        <f>-'Foglio deposito bis'!$F$78*(C1956-sezione!$AL$34)*IF(ABS(K1956)&lt;'Sollecitazioni nel paramento'!$G$58,ABS(K1956)*'Sollecitazioni nel paramento'!$G$54,'Sollecitazioni nel paramento'!$G$53)</f>
        <v>0</v>
      </c>
      <c r="F1956" s="545">
        <f>-'Foglio deposito bis'!$F$79*(C1956-sezione!$AM$34)*IF(ABS(L1956)&lt;'Sollecitazioni nel paramento'!$G$58,ABS(L1956)*'Sollecitazioni nel paramento'!$G$54,'Sollecitazioni nel paramento'!$G$53)</f>
        <v>-56420243.323338382</v>
      </c>
      <c r="G1956" s="545">
        <f>-'Foglio deposito bis'!$F$80*(C1956-sezione!$AN$34)*IF(ABS(M1956)&lt;'Sollecitazioni nel paramento'!$G$58,ABS(M1956)*'Sollecitazioni nel paramento'!$G$54,'Sollecitazioni nel paramento'!$G$53)</f>
        <v>0</v>
      </c>
      <c r="H1956" s="545">
        <f>-'Foglio deposito bis'!$F$81*(C1956-sezione!$AO$34)*IF(ABS(N1956)&lt;'Sollecitazioni nel paramento'!$G$58,ABS(N1956)*'Sollecitazioni nel paramento'!$G$54,'Sollecitazioni nel paramento'!$G$53)</f>
        <v>-106411339.48597205</v>
      </c>
      <c r="I1956" s="472">
        <f>-'Foglio deposito bis'!$F$82*(C1956-sezione!$AP$34)*IF(ABS(O1956)&lt;'Sollecitazioni nel paramento'!$G$58,ABS(O1956)*'Sollecitazioni nel paramento'!$G$54,'Sollecitazioni nel paramento'!$G$53)</f>
        <v>163231791.76056898</v>
      </c>
      <c r="J1956" s="472">
        <f t="shared" si="137"/>
        <v>-4059295058.4197817</v>
      </c>
      <c r="K1956" s="550">
        <f>'Sollecitazioni nel paramento'!$G$60*(sezione!$AL$34-C1956)/C1956</f>
        <v>-3.1722572220304556E-3</v>
      </c>
      <c r="L1956" s="550">
        <f>'Sollecitazioni nel paramento'!$G$60*(sezione!$AM$34-C1956)/C1956</f>
        <v>-3.0083858330456838E-3</v>
      </c>
      <c r="M1956" s="551">
        <f>'Sollecitazioni nel paramento'!$G$60*(sezione!$AN$34-C1956)/C1956</f>
        <v>-2.8445144440609115E-3</v>
      </c>
      <c r="N1956" s="551">
        <f>'Sollecitazioni nel paramento'!$G$60*(sezione!$AO$34-C1956)/C1956</f>
        <v>-2.1890288881218226E-3</v>
      </c>
      <c r="O1956" s="551">
        <f>'Sollecitazioni nel paramento'!$G$60*(sezione!$AP$34-C1956)/C1956</f>
        <v>1.6871825951647874E-3</v>
      </c>
      <c r="P1956" s="545">
        <f>-'Sollecitazioni nel paramento'!$G$47*'Sollecitazioni nel paramento'!$G$41*IF(DATI!$G$211="dx",DATI!$E$61,DATI!$E$64*DATI!$E$63)*1000*C1956*sezione!$AD$5</f>
        <v>-16273676.671208372</v>
      </c>
      <c r="Q1956" s="545">
        <f>'Foglio deposito bis'!$F$78*IF(ABS(K1956)&lt;'Sollecitazioni nel paramento'!$G$58,ABS(K1956)*'Sollecitazioni nel paramento'!$G$54,'Sollecitazioni nel paramento'!$G$53)*IF(K1956&lt;0,-1,1)</f>
        <v>0</v>
      </c>
      <c r="R1956" s="545">
        <f>'Foglio deposito bis'!$F$79*IF(ABS(L1956)&lt;'Sollecitazioni nel paramento'!$G$58,ABS(L1956)*'Sollecitazioni nel paramento'!$G$54,'Sollecitazioni nel paramento'!$G$53)*IF(L1956&lt;0,-1,1)</f>
        <v>-153664.85805602249</v>
      </c>
      <c r="S1956" s="545">
        <f>'Foglio deposito bis'!$F$80*IF(ABS(M1956)&lt;'Sollecitazioni nel paramento'!$G$58,ABS(M1956)*'Sollecitazioni nel paramento'!$G$54,'Sollecitazioni nel paramento'!$G$53)*IF(M1956&lt;0,-1,1)</f>
        <v>0</v>
      </c>
      <c r="T1956" s="545">
        <f>'Foglio deposito bis'!$F$81*IF(ABS(N1956)&lt;'Sollecitazioni nel paramento'!$G$58,ABS(N1956)*'Sollecitazioni nel paramento'!$G$54,'Sollecitazioni nel paramento'!$G$53)*IF(N1956&lt;0,-1,1)</f>
        <v>-398299.31208121032</v>
      </c>
      <c r="U1956" s="545">
        <f>'Foglio deposito bis'!$F$82*IF(ABS(O1956)&lt;'Sollecitazioni nel paramento'!$G$58,ABS(O1956)*'Sollecitazioni nel paramento'!$G$54,'Sollecitazioni nel paramento'!$G$53)*IF(O1956&lt;0,-1,1)</f>
        <v>792712.67137701076</v>
      </c>
      <c r="V1956" s="472">
        <f t="shared" si="139"/>
        <v>-16032928.169968594</v>
      </c>
      <c r="W1956" s="551"/>
      <c r="X1956" s="551"/>
    </row>
    <row r="1957" spans="1:24" x14ac:dyDescent="0.25">
      <c r="A1957" s="545">
        <f t="shared" si="138"/>
        <v>16430795.187925668</v>
      </c>
      <c r="B1957" s="3">
        <f t="shared" si="136"/>
        <v>47.899999999999942</v>
      </c>
      <c r="C1957" s="545">
        <f>'Foglio deposito bis'!$E$160/sezione!$B$247*B1957</f>
        <v>436.27223615024292</v>
      </c>
      <c r="D1957" s="603">
        <f>-'Sollecitazioni nel paramento'!$G$47*'Sollecitazioni nel paramento'!$G$41*IF(DATI!$G$211="dx",DATI!$E$61,DATI!$E$64*DATI!$E$63)*1000*C1957^2*sezione!$AD$5*(1-sezione!$AD$6)</f>
        <v>-4234662243.9472399</v>
      </c>
      <c r="E1957" s="545">
        <f>-'Foglio deposito bis'!$F$78*(C1957-sezione!$AL$34)*IF(ABS(K1957)&lt;'Sollecitazioni nel paramento'!$G$58,ABS(K1957)*'Sollecitazioni nel paramento'!$G$54,'Sollecitazioni nel paramento'!$G$53)</f>
        <v>0</v>
      </c>
      <c r="F1957" s="545">
        <f>-'Foglio deposito bis'!$F$79*(C1957-sezione!$AM$34)*IF(ABS(L1957)&lt;'Sollecitazioni nel paramento'!$G$58,ABS(L1957)*'Sollecitazioni nel paramento'!$G$54,'Sollecitazioni nel paramento'!$G$53)</f>
        <v>-57819819.758449249</v>
      </c>
      <c r="G1957" s="545">
        <f>-'Foglio deposito bis'!$F$80*(C1957-sezione!$AN$34)*IF(ABS(M1957)&lt;'Sollecitazioni nel paramento'!$G$58,ABS(M1957)*'Sollecitazioni nel paramento'!$G$54,'Sollecitazioni nel paramento'!$G$53)</f>
        <v>0</v>
      </c>
      <c r="H1957" s="545">
        <f>-'Foglio deposito bis'!$F$81*(C1957-sezione!$AO$34)*IF(ABS(N1957)&lt;'Sollecitazioni nel paramento'!$G$58,ABS(N1957)*'Sollecitazioni nel paramento'!$G$54,'Sollecitazioni nel paramento'!$G$53)</f>
        <v>-110039041.60577944</v>
      </c>
      <c r="I1957" s="472">
        <f>-'Foglio deposito bis'!$F$82*(C1957-sezione!$AP$34)*IF(ABS(O1957)&lt;'Sollecitazioni nel paramento'!$G$58,ABS(O1957)*'Sollecitazioni nel paramento'!$G$54,'Sollecitazioni nel paramento'!$G$53)</f>
        <v>145998155.55500889</v>
      </c>
      <c r="J1957" s="472">
        <f t="shared" si="137"/>
        <v>-4256522949.7564592</v>
      </c>
      <c r="K1957" s="550">
        <f>'Sollecitazioni nel paramento'!$G$60*(sezione!$AL$34-C1957)/C1957</f>
        <v>-3.1790994512156234E-3</v>
      </c>
      <c r="L1957" s="550">
        <f>'Sollecitazioni nel paramento'!$G$60*(sezione!$AM$34-C1957)/C1957</f>
        <v>-3.0186491768234357E-3</v>
      </c>
      <c r="M1957" s="551">
        <f>'Sollecitazioni nel paramento'!$G$60*(sezione!$AN$34-C1957)/C1957</f>
        <v>-2.8581989024312475E-3</v>
      </c>
      <c r="N1957" s="551">
        <f>'Sollecitazioni nel paramento'!$G$60*(sezione!$AO$34-C1957)/C1957</f>
        <v>-2.2163978048624945E-3</v>
      </c>
      <c r="O1957" s="551">
        <f>'Sollecitazioni nel paramento'!$G$60*(sezione!$AP$34-C1957)/C1957</f>
        <v>1.578890682948403E-3</v>
      </c>
      <c r="P1957" s="545">
        <f>-'Sollecitazioni nel paramento'!$G$47*'Sollecitazioni nel paramento'!$G$41*IF(DATI!$G$211="dx",DATI!$E$61,DATI!$E$64*DATI!$E$63)*1000*C1957*sezione!$AD$5</f>
        <v>-16620663.380615801</v>
      </c>
      <c r="Q1957" s="545">
        <f>'Foglio deposito bis'!$F$78*IF(ABS(K1957)&lt;'Sollecitazioni nel paramento'!$G$58,ABS(K1957)*'Sollecitazioni nel paramento'!$G$54,'Sollecitazioni nel paramento'!$G$53)*IF(K1957&lt;0,-1,1)</f>
        <v>0</v>
      </c>
      <c r="R1957" s="545">
        <f>'Foglio deposito bis'!$F$79*IF(ABS(L1957)&lt;'Sollecitazioni nel paramento'!$G$58,ABS(L1957)*'Sollecitazioni nel paramento'!$G$54,'Sollecitazioni nel paramento'!$G$53)*IF(L1957&lt;0,-1,1)</f>
        <v>-153664.85805602249</v>
      </c>
      <c r="S1957" s="545">
        <f>'Foglio deposito bis'!$F$80*IF(ABS(M1957)&lt;'Sollecitazioni nel paramento'!$G$58,ABS(M1957)*'Sollecitazioni nel paramento'!$G$54,'Sollecitazioni nel paramento'!$G$53)*IF(M1957&lt;0,-1,1)</f>
        <v>0</v>
      </c>
      <c r="T1957" s="545">
        <f>'Foglio deposito bis'!$F$81*IF(ABS(N1957)&lt;'Sollecitazioni nel paramento'!$G$58,ABS(N1957)*'Sollecitazioni nel paramento'!$G$54,'Sollecitazioni nel paramento'!$G$53)*IF(N1957&lt;0,-1,1)</f>
        <v>-398299.31208121032</v>
      </c>
      <c r="U1957" s="545">
        <f>'Foglio deposito bis'!$F$82*IF(ABS(O1957)&lt;'Sollecitazioni nel paramento'!$G$58,ABS(O1957)*'Sollecitazioni nel paramento'!$G$54,'Sollecitazioni nel paramento'!$G$53)*IF(O1957&lt;0,-1,1)</f>
        <v>741832.36282736599</v>
      </c>
      <c r="V1957" s="472">
        <f t="shared" si="139"/>
        <v>-16430795.187925668</v>
      </c>
      <c r="W1957" s="551"/>
      <c r="X1957" s="551"/>
    </row>
    <row r="1958" spans="1:24" x14ac:dyDescent="0.25">
      <c r="A1958" s="545">
        <f t="shared" si="138"/>
        <v>16826581.211668033</v>
      </c>
      <c r="B1958" s="3">
        <f t="shared" si="136"/>
        <v>48.899999999999942</v>
      </c>
      <c r="C1958" s="545">
        <f>'Foglio deposito bis'!$E$160/sezione!$B$247*B1958</f>
        <v>445.38021602811858</v>
      </c>
      <c r="D1958" s="603">
        <f>-'Sollecitazioni nel paramento'!$G$47*'Sollecitazioni nel paramento'!$G$41*IF(DATI!$G$211="dx",DATI!$E$61,DATI!$E$64*DATI!$E$63)*1000*C1958^2*sezione!$AD$5*(1-sezione!$AD$6)</f>
        <v>-4413320506.9490986</v>
      </c>
      <c r="E1958" s="545">
        <f>-'Foglio deposito bis'!$F$78*(C1958-sezione!$AL$34)*IF(ABS(K1958)&lt;'Sollecitazioni nel paramento'!$G$58,ABS(K1958)*'Sollecitazioni nel paramento'!$G$54,'Sollecitazioni nel paramento'!$G$53)</f>
        <v>0</v>
      </c>
      <c r="F1958" s="545">
        <f>-'Foglio deposito bis'!$F$79*(C1958-sezione!$AM$34)*IF(ABS(L1958)&lt;'Sollecitazioni nel paramento'!$G$58,ABS(L1958)*'Sollecitazioni nel paramento'!$G$54,'Sollecitazioni nel paramento'!$G$53)</f>
        <v>-59219396.193560123</v>
      </c>
      <c r="G1958" s="545">
        <f>-'Foglio deposito bis'!$F$80*(C1958-sezione!$AN$34)*IF(ABS(M1958)&lt;'Sollecitazioni nel paramento'!$G$58,ABS(M1958)*'Sollecitazioni nel paramento'!$G$54,'Sollecitazioni nel paramento'!$G$53)</f>
        <v>0</v>
      </c>
      <c r="H1958" s="545">
        <f>-'Foglio deposito bis'!$F$81*(C1958-sezione!$AO$34)*IF(ABS(N1958)&lt;'Sollecitazioni nel paramento'!$G$58,ABS(N1958)*'Sollecitazioni nel paramento'!$G$54,'Sollecitazioni nel paramento'!$G$53)</f>
        <v>-113666743.72558682</v>
      </c>
      <c r="I1958" s="472">
        <f>-'Foglio deposito bis'!$F$82*(C1958-sezione!$AP$34)*IF(ABS(O1958)&lt;'Sollecitazioni nel paramento'!$G$58,ABS(O1958)*'Sollecitazioni nel paramento'!$G$54,'Sollecitazioni nel paramento'!$G$53)</f>
        <v>130081954.5695997</v>
      </c>
      <c r="J1958" s="472">
        <f t="shared" si="137"/>
        <v>-4456124692.298645</v>
      </c>
      <c r="K1958" s="550">
        <f>'Sollecitazioni nel paramento'!$G$60*(sezione!$AL$34-C1958)/C1958</f>
        <v>-3.185661834626347E-3</v>
      </c>
      <c r="L1958" s="550">
        <f>'Sollecitazioni nel paramento'!$G$60*(sezione!$AM$34-C1958)/C1958</f>
        <v>-3.0284927519395204E-3</v>
      </c>
      <c r="M1958" s="551">
        <f>'Sollecitazioni nel paramento'!$G$60*(sezione!$AN$34-C1958)/C1958</f>
        <v>-2.8713236692526943E-3</v>
      </c>
      <c r="N1958" s="551">
        <f>'Sollecitazioni nel paramento'!$G$60*(sezione!$AO$34-C1958)/C1958</f>
        <v>-2.2426473385053886E-3</v>
      </c>
      <c r="O1958" s="551">
        <f>'Sollecitazioni nel paramento'!$G$60*(sezione!$AP$34-C1958)/C1958</f>
        <v>1.4750278877960837E-3</v>
      </c>
      <c r="P1958" s="545">
        <f>-'Sollecitazioni nel paramento'!$G$47*'Sollecitazioni nel paramento'!$G$41*IF(DATI!$G$211="dx",DATI!$E$61,DATI!$E$64*DATI!$E$63)*1000*C1958*sezione!$AD$5</f>
        <v>-16967650.090023231</v>
      </c>
      <c r="Q1958" s="545">
        <f>'Foglio deposito bis'!$F$78*IF(ABS(K1958)&lt;'Sollecitazioni nel paramento'!$G$58,ABS(K1958)*'Sollecitazioni nel paramento'!$G$54,'Sollecitazioni nel paramento'!$G$53)*IF(K1958&lt;0,-1,1)</f>
        <v>0</v>
      </c>
      <c r="R1958" s="545">
        <f>'Foglio deposito bis'!$F$79*IF(ABS(L1958)&lt;'Sollecitazioni nel paramento'!$G$58,ABS(L1958)*'Sollecitazioni nel paramento'!$G$54,'Sollecitazioni nel paramento'!$G$53)*IF(L1958&lt;0,-1,1)</f>
        <v>-153664.85805602249</v>
      </c>
      <c r="S1958" s="545">
        <f>'Foglio deposito bis'!$F$80*IF(ABS(M1958)&lt;'Sollecitazioni nel paramento'!$G$58,ABS(M1958)*'Sollecitazioni nel paramento'!$G$54,'Sollecitazioni nel paramento'!$G$53)*IF(M1958&lt;0,-1,1)</f>
        <v>0</v>
      </c>
      <c r="T1958" s="545">
        <f>'Foglio deposito bis'!$F$81*IF(ABS(N1958)&lt;'Sollecitazioni nel paramento'!$G$58,ABS(N1958)*'Sollecitazioni nel paramento'!$G$54,'Sollecitazioni nel paramento'!$G$53)*IF(N1958&lt;0,-1,1)</f>
        <v>-398299.31208121032</v>
      </c>
      <c r="U1958" s="545">
        <f>'Foglio deposito bis'!$F$82*IF(ABS(O1958)&lt;'Sollecitazioni nel paramento'!$G$58,ABS(O1958)*'Sollecitazioni nel paramento'!$G$54,'Sollecitazioni nel paramento'!$G$53)*IF(O1958&lt;0,-1,1)</f>
        <v>693033.04849243083</v>
      </c>
      <c r="V1958" s="472">
        <f t="shared" si="139"/>
        <v>-16826581.211668033</v>
      </c>
      <c r="W1958" s="551"/>
      <c r="X1958" s="551"/>
    </row>
    <row r="1959" spans="1:24" x14ac:dyDescent="0.25">
      <c r="A1959" s="545">
        <f t="shared" si="138"/>
        <v>17220411.351068314</v>
      </c>
      <c r="B1959" s="3">
        <f t="shared" si="136"/>
        <v>49.899999999999942</v>
      </c>
      <c r="C1959" s="545">
        <f>'Foglio deposito bis'!$E$160/sezione!$B$247*B1959</f>
        <v>454.48819590599419</v>
      </c>
      <c r="D1959" s="603">
        <f>-'Sollecitazioni nel paramento'!$G$47*'Sollecitazioni nel paramento'!$G$41*IF(DATI!$G$211="dx",DATI!$E$61,DATI!$E$64*DATI!$E$63)*1000*C1959^2*sezione!$AD$5*(1-sezione!$AD$6)</f>
        <v>-4595670056.3766146</v>
      </c>
      <c r="E1959" s="545">
        <f>-'Foglio deposito bis'!$F$78*(C1959-sezione!$AL$34)*IF(ABS(K1959)&lt;'Sollecitazioni nel paramento'!$G$58,ABS(K1959)*'Sollecitazioni nel paramento'!$G$54,'Sollecitazioni nel paramento'!$G$53)</f>
        <v>0</v>
      </c>
      <c r="F1959" s="545">
        <f>-'Foglio deposito bis'!$F$79*(C1959-sezione!$AM$34)*IF(ABS(L1959)&lt;'Sollecitazioni nel paramento'!$G$58,ABS(L1959)*'Sollecitazioni nel paramento'!$G$54,'Sollecitazioni nel paramento'!$G$53)</f>
        <v>-60618972.62867099</v>
      </c>
      <c r="G1959" s="545">
        <f>-'Foglio deposito bis'!$F$80*(C1959-sezione!$AN$34)*IF(ABS(M1959)&lt;'Sollecitazioni nel paramento'!$G$58,ABS(M1959)*'Sollecitazioni nel paramento'!$G$54,'Sollecitazioni nel paramento'!$G$53)</f>
        <v>0</v>
      </c>
      <c r="H1959" s="545">
        <f>-'Foglio deposito bis'!$F$81*(C1959-sezione!$AO$34)*IF(ABS(N1959)&lt;'Sollecitazioni nel paramento'!$G$58,ABS(N1959)*'Sollecitazioni nel paramento'!$G$54,'Sollecitazioni nel paramento'!$G$53)</f>
        <v>-117294445.84539418</v>
      </c>
      <c r="I1959" s="472">
        <f>-'Foglio deposito bis'!$F$82*(C1959-sezione!$AP$34)*IF(ABS(O1959)&lt;'Sollecitazioni nel paramento'!$G$58,ABS(O1959)*'Sollecitazioni nel paramento'!$G$54,'Sollecitazioni nel paramento'!$G$53)</f>
        <v>115403984.28208795</v>
      </c>
      <c r="J1959" s="472">
        <f t="shared" si="137"/>
        <v>-4658179490.5685911</v>
      </c>
      <c r="K1959" s="550">
        <f>'Sollecitazioni nel paramento'!$G$60*(sezione!$AL$34-C1959)/C1959</f>
        <v>-3.1919611966578832E-3</v>
      </c>
      <c r="L1959" s="550">
        <f>'Sollecitazioni nel paramento'!$G$60*(sezione!$AM$34-C1959)/C1959</f>
        <v>-3.0379417949868248E-3</v>
      </c>
      <c r="M1959" s="551">
        <f>'Sollecitazioni nel paramento'!$G$60*(sezione!$AN$34-C1959)/C1959</f>
        <v>-2.8839223933157668E-3</v>
      </c>
      <c r="N1959" s="551">
        <f>'Sollecitazioni nel paramento'!$G$60*(sezione!$AO$34-C1959)/C1959</f>
        <v>-2.2678447866315331E-3</v>
      </c>
      <c r="O1959" s="551">
        <f>'Sollecitazioni nel paramento'!$G$60*(sezione!$AP$34-C1959)/C1959</f>
        <v>1.37532793012482E-3</v>
      </c>
      <c r="P1959" s="545">
        <f>-'Sollecitazioni nel paramento'!$G$47*'Sollecitazioni nel paramento'!$G$41*IF(DATI!$G$211="dx",DATI!$E$61,DATI!$E$64*DATI!$E$63)*1000*C1959*sezione!$AD$5</f>
        <v>-17314636.799430657</v>
      </c>
      <c r="Q1959" s="545">
        <f>'Foglio deposito bis'!$F$78*IF(ABS(K1959)&lt;'Sollecitazioni nel paramento'!$G$58,ABS(K1959)*'Sollecitazioni nel paramento'!$G$54,'Sollecitazioni nel paramento'!$G$53)*IF(K1959&lt;0,-1,1)</f>
        <v>0</v>
      </c>
      <c r="R1959" s="545">
        <f>'Foglio deposito bis'!$F$79*IF(ABS(L1959)&lt;'Sollecitazioni nel paramento'!$G$58,ABS(L1959)*'Sollecitazioni nel paramento'!$G$54,'Sollecitazioni nel paramento'!$G$53)*IF(L1959&lt;0,-1,1)</f>
        <v>-153664.85805602249</v>
      </c>
      <c r="S1959" s="545">
        <f>'Foglio deposito bis'!$F$80*IF(ABS(M1959)&lt;'Sollecitazioni nel paramento'!$G$58,ABS(M1959)*'Sollecitazioni nel paramento'!$G$54,'Sollecitazioni nel paramento'!$G$53)*IF(M1959&lt;0,-1,1)</f>
        <v>0</v>
      </c>
      <c r="T1959" s="545">
        <f>'Foglio deposito bis'!$F$81*IF(ABS(N1959)&lt;'Sollecitazioni nel paramento'!$G$58,ABS(N1959)*'Sollecitazioni nel paramento'!$G$54,'Sollecitazioni nel paramento'!$G$53)*IF(N1959&lt;0,-1,1)</f>
        <v>-398299.31208121032</v>
      </c>
      <c r="U1959" s="545">
        <f>'Foglio deposito bis'!$F$82*IF(ABS(O1959)&lt;'Sollecitazioni nel paramento'!$G$58,ABS(O1959)*'Sollecitazioni nel paramento'!$G$54,'Sollecitazioni nel paramento'!$G$53)*IF(O1959&lt;0,-1,1)</f>
        <v>646189.61849957739</v>
      </c>
      <c r="V1959" s="472">
        <f t="shared" si="139"/>
        <v>-17220411.351068314</v>
      </c>
      <c r="W1959" s="551"/>
      <c r="X1959" s="551"/>
    </row>
    <row r="1960" spans="1:24" x14ac:dyDescent="0.25">
      <c r="A1960" s="545">
        <f t="shared" si="138"/>
        <v>17612400.88418204</v>
      </c>
      <c r="B1960" s="3">
        <f t="shared" si="136"/>
        <v>50.899999999999942</v>
      </c>
      <c r="C1960" s="545">
        <f>'Foglio deposito bis'!$E$160/sezione!$B$247*B1960</f>
        <v>463.59617578386985</v>
      </c>
      <c r="D1960" s="603">
        <f>-'Sollecitazioni nel paramento'!$G$47*'Sollecitazioni nel paramento'!$G$41*IF(DATI!$G$211="dx",DATI!$E$61,DATI!$E$64*DATI!$E$63)*1000*C1960^2*sezione!$AD$5*(1-sezione!$AD$6)</f>
        <v>-4781710892.2297897</v>
      </c>
      <c r="E1960" s="545">
        <f>-'Foglio deposito bis'!$F$78*(C1960-sezione!$AL$34)*IF(ABS(K1960)&lt;'Sollecitazioni nel paramento'!$G$58,ABS(K1960)*'Sollecitazioni nel paramento'!$G$54,'Sollecitazioni nel paramento'!$G$53)</f>
        <v>0</v>
      </c>
      <c r="F1960" s="545">
        <f>-'Foglio deposito bis'!$F$79*(C1960-sezione!$AM$34)*IF(ABS(L1960)&lt;'Sollecitazioni nel paramento'!$G$58,ABS(L1960)*'Sollecitazioni nel paramento'!$G$54,'Sollecitazioni nel paramento'!$G$53)</f>
        <v>-62018549.063781865</v>
      </c>
      <c r="G1960" s="545">
        <f>-'Foglio deposito bis'!$F$80*(C1960-sezione!$AN$34)*IF(ABS(M1960)&lt;'Sollecitazioni nel paramento'!$G$58,ABS(M1960)*'Sollecitazioni nel paramento'!$G$54,'Sollecitazioni nel paramento'!$G$53)</f>
        <v>0</v>
      </c>
      <c r="H1960" s="545">
        <f>-'Foglio deposito bis'!$F$81*(C1960-sezione!$AO$34)*IF(ABS(N1960)&lt;'Sollecitazioni nel paramento'!$G$58,ABS(N1960)*'Sollecitazioni nel paramento'!$G$54,'Sollecitazioni nel paramento'!$G$53)</f>
        <v>-120922147.96520157</v>
      </c>
      <c r="I1960" s="472">
        <f>-'Foglio deposito bis'!$F$82*(C1960-sezione!$AP$34)*IF(ABS(O1960)&lt;'Sollecitazioni nel paramento'!$G$58,ABS(O1960)*'Sollecitazioni nel paramento'!$G$54,'Sollecitazioni nel paramento'!$G$53)</f>
        <v>101891264.49416903</v>
      </c>
      <c r="J1960" s="472">
        <f t="shared" si="137"/>
        <v>-4862760324.7646036</v>
      </c>
      <c r="K1960" s="550">
        <f>'Sollecitazioni nel paramento'!$G$60*(sezione!$AL$34-C1960)/C1960</f>
        <v>-3.1980130395526203E-3</v>
      </c>
      <c r="L1960" s="550">
        <f>'Sollecitazioni nel paramento'!$G$60*(sezione!$AM$34-C1960)/C1960</f>
        <v>-3.0470195593289302E-3</v>
      </c>
      <c r="M1960" s="551">
        <f>'Sollecitazioni nel paramento'!$G$60*(sezione!$AN$34-C1960)/C1960</f>
        <v>-2.8960260791052409E-3</v>
      </c>
      <c r="N1960" s="551">
        <f>'Sollecitazioni nel paramento'!$G$60*(sezione!$AO$34-C1960)/C1960</f>
        <v>-2.2920521582104813E-3</v>
      </c>
      <c r="O1960" s="551">
        <f>'Sollecitazioni nel paramento'!$G$60*(sezione!$AP$34-C1960)/C1960</f>
        <v>1.2795454560555696E-3</v>
      </c>
      <c r="P1960" s="545">
        <f>-'Sollecitazioni nel paramento'!$G$47*'Sollecitazioni nel paramento'!$G$41*IF(DATI!$G$211="dx",DATI!$E$61,DATI!$E$64*DATI!$E$63)*1000*C1960*sezione!$AD$5</f>
        <v>-17661623.508838084</v>
      </c>
      <c r="Q1960" s="545">
        <f>'Foglio deposito bis'!$F$78*IF(ABS(K1960)&lt;'Sollecitazioni nel paramento'!$G$58,ABS(K1960)*'Sollecitazioni nel paramento'!$G$54,'Sollecitazioni nel paramento'!$G$53)*IF(K1960&lt;0,-1,1)</f>
        <v>0</v>
      </c>
      <c r="R1960" s="545">
        <f>'Foglio deposito bis'!$F$79*IF(ABS(L1960)&lt;'Sollecitazioni nel paramento'!$G$58,ABS(L1960)*'Sollecitazioni nel paramento'!$G$54,'Sollecitazioni nel paramento'!$G$53)*IF(L1960&lt;0,-1,1)</f>
        <v>-153664.85805602249</v>
      </c>
      <c r="S1960" s="545">
        <f>'Foglio deposito bis'!$F$80*IF(ABS(M1960)&lt;'Sollecitazioni nel paramento'!$G$58,ABS(M1960)*'Sollecitazioni nel paramento'!$G$54,'Sollecitazioni nel paramento'!$G$53)*IF(M1960&lt;0,-1,1)</f>
        <v>0</v>
      </c>
      <c r="T1960" s="545">
        <f>'Foglio deposito bis'!$F$81*IF(ABS(N1960)&lt;'Sollecitazioni nel paramento'!$G$58,ABS(N1960)*'Sollecitazioni nel paramento'!$G$54,'Sollecitazioni nel paramento'!$G$53)*IF(N1960&lt;0,-1,1)</f>
        <v>-398299.31208121032</v>
      </c>
      <c r="U1960" s="545">
        <f>'Foglio deposito bis'!$F$82*IF(ABS(O1960)&lt;'Sollecitazioni nel paramento'!$G$58,ABS(O1960)*'Sollecitazioni nel paramento'!$G$54,'Sollecitazioni nel paramento'!$G$53)*IF(O1960&lt;0,-1,1)</f>
        <v>601186.79479327973</v>
      </c>
      <c r="V1960" s="472">
        <f t="shared" si="139"/>
        <v>-17612400.88418204</v>
      </c>
      <c r="W1960" s="551"/>
      <c r="X1960" s="551"/>
    </row>
    <row r="1961" spans="1:24" x14ac:dyDescent="0.25">
      <c r="A1961" s="545">
        <f t="shared" si="138"/>
        <v>18002656.204436179</v>
      </c>
      <c r="B1961" s="3">
        <f t="shared" si="136"/>
        <v>51.899999999999942</v>
      </c>
      <c r="C1961" s="545">
        <f>'Foglio deposito bis'!$E$160/sezione!$B$247*B1961</f>
        <v>472.70415566174552</v>
      </c>
      <c r="D1961" s="603">
        <f>-'Sollecitazioni nel paramento'!$G$47*'Sollecitazioni nel paramento'!$G$41*IF(DATI!$G$211="dx",DATI!$E$61,DATI!$E$64*DATI!$E$63)*1000*C1961^2*sezione!$AD$5*(1-sezione!$AD$6)</f>
        <v>-4971443014.5086222</v>
      </c>
      <c r="E1961" s="545">
        <f>-'Foglio deposito bis'!$F$78*(C1961-sezione!$AL$34)*IF(ABS(K1961)&lt;'Sollecitazioni nel paramento'!$G$58,ABS(K1961)*'Sollecitazioni nel paramento'!$G$54,'Sollecitazioni nel paramento'!$G$53)</f>
        <v>0</v>
      </c>
      <c r="F1961" s="545">
        <f>-'Foglio deposito bis'!$F$79*(C1961-sezione!$AM$34)*IF(ABS(L1961)&lt;'Sollecitazioni nel paramento'!$G$58,ABS(L1961)*'Sollecitazioni nel paramento'!$G$54,'Sollecitazioni nel paramento'!$G$53)</f>
        <v>-63418125.498892739</v>
      </c>
      <c r="G1961" s="545">
        <f>-'Foglio deposito bis'!$F$80*(C1961-sezione!$AN$34)*IF(ABS(M1961)&lt;'Sollecitazioni nel paramento'!$G$58,ABS(M1961)*'Sollecitazioni nel paramento'!$G$54,'Sollecitazioni nel paramento'!$G$53)</f>
        <v>0</v>
      </c>
      <c r="H1961" s="545">
        <f>-'Foglio deposito bis'!$F$81*(C1961-sezione!$AO$34)*IF(ABS(N1961)&lt;'Sollecitazioni nel paramento'!$G$58,ABS(N1961)*'Sollecitazioni nel paramento'!$G$54,'Sollecitazioni nel paramento'!$G$53)</f>
        <v>-124549850.08500895</v>
      </c>
      <c r="I1961" s="472">
        <f>-'Foglio deposito bis'!$F$82*(C1961-sezione!$AP$34)*IF(ABS(O1961)&lt;'Sollecitazioni nel paramento'!$G$58,ABS(O1961)*'Sollecitazioni nel paramento'!$G$54,'Sollecitazioni nel paramento'!$G$53)</f>
        <v>89476439.685635388</v>
      </c>
      <c r="J1961" s="472">
        <f t="shared" si="137"/>
        <v>-5069934550.406888</v>
      </c>
      <c r="K1961" s="550">
        <f>'Sollecitazioni nel paramento'!$G$60*(sezione!$AL$34-C1961)/C1961</f>
        <v>-3.2038316707751133E-3</v>
      </c>
      <c r="L1961" s="550">
        <f>'Sollecitazioni nel paramento'!$G$60*(sezione!$AM$34-C1961)/C1961</f>
        <v>-3.0557475061626697E-3</v>
      </c>
      <c r="M1961" s="551">
        <f>'Sollecitazioni nel paramento'!$G$60*(sezione!$AN$34-C1961)/C1961</f>
        <v>-2.907663341550226E-3</v>
      </c>
      <c r="N1961" s="551">
        <f>'Sollecitazioni nel paramento'!$G$60*(sezione!$AO$34-C1961)/C1961</f>
        <v>-2.3153266831004529E-3</v>
      </c>
      <c r="O1961" s="551">
        <f>'Sollecitazioni nel paramento'!$G$60*(sezione!$AP$34-C1961)/C1961</f>
        <v>1.187454021449489E-3</v>
      </c>
      <c r="P1961" s="545">
        <f>-'Sollecitazioni nel paramento'!$G$47*'Sollecitazioni nel paramento'!$G$41*IF(DATI!$G$211="dx",DATI!$E$61,DATI!$E$64*DATI!$E$63)*1000*C1961*sezione!$AD$5</f>
        <v>-18008610.218245514</v>
      </c>
      <c r="Q1961" s="545">
        <f>'Foglio deposito bis'!$F$78*IF(ABS(K1961)&lt;'Sollecitazioni nel paramento'!$G$58,ABS(K1961)*'Sollecitazioni nel paramento'!$G$54,'Sollecitazioni nel paramento'!$G$53)*IF(K1961&lt;0,-1,1)</f>
        <v>0</v>
      </c>
      <c r="R1961" s="545">
        <f>'Foglio deposito bis'!$F$79*IF(ABS(L1961)&lt;'Sollecitazioni nel paramento'!$G$58,ABS(L1961)*'Sollecitazioni nel paramento'!$G$54,'Sollecitazioni nel paramento'!$G$53)*IF(L1961&lt;0,-1,1)</f>
        <v>-153664.85805602249</v>
      </c>
      <c r="S1961" s="545">
        <f>'Foglio deposito bis'!$F$80*IF(ABS(M1961)&lt;'Sollecitazioni nel paramento'!$G$58,ABS(M1961)*'Sollecitazioni nel paramento'!$G$54,'Sollecitazioni nel paramento'!$G$53)*IF(M1961&lt;0,-1,1)</f>
        <v>0</v>
      </c>
      <c r="T1961" s="545">
        <f>'Foglio deposito bis'!$F$81*IF(ABS(N1961)&lt;'Sollecitazioni nel paramento'!$G$58,ABS(N1961)*'Sollecitazioni nel paramento'!$G$54,'Sollecitazioni nel paramento'!$G$53)*IF(N1961&lt;0,-1,1)</f>
        <v>-398299.31208121032</v>
      </c>
      <c r="U1961" s="545">
        <f>'Foglio deposito bis'!$F$82*IF(ABS(O1961)&lt;'Sollecitazioni nel paramento'!$G$58,ABS(O1961)*'Sollecitazioni nel paramento'!$G$54,'Sollecitazioni nel paramento'!$G$53)*IF(O1961&lt;0,-1,1)</f>
        <v>557918.18394656968</v>
      </c>
      <c r="V1961" s="472">
        <f t="shared" si="139"/>
        <v>-18002656.204436179</v>
      </c>
      <c r="W1961" s="551"/>
      <c r="X1961" s="551"/>
    </row>
    <row r="1962" spans="1:24" x14ac:dyDescent="0.25">
      <c r="A1962" s="545">
        <f t="shared" si="138"/>
        <v>18391275.660386093</v>
      </c>
      <c r="B1962" s="3">
        <f t="shared" si="136"/>
        <v>52.899999999999942</v>
      </c>
      <c r="C1962" s="545">
        <f>'Foglio deposito bis'!$E$160/sezione!$B$247*B1962</f>
        <v>481.81213553962118</v>
      </c>
      <c r="D1962" s="603">
        <f>-'Sollecitazioni nel paramento'!$G$47*'Sollecitazioni nel paramento'!$G$41*IF(DATI!$G$211="dx",DATI!$E$61,DATI!$E$64*DATI!$E$63)*1000*C1962^2*sezione!$AD$5*(1-sezione!$AD$6)</f>
        <v>-5164866423.2131138</v>
      </c>
      <c r="E1962" s="545">
        <f>-'Foglio deposito bis'!$F$78*(C1962-sezione!$AL$34)*IF(ABS(K1962)&lt;'Sollecitazioni nel paramento'!$G$58,ABS(K1962)*'Sollecitazioni nel paramento'!$G$54,'Sollecitazioni nel paramento'!$G$53)</f>
        <v>0</v>
      </c>
      <c r="F1962" s="545">
        <f>-'Foglio deposito bis'!$F$79*(C1962-sezione!$AM$34)*IF(ABS(L1962)&lt;'Sollecitazioni nel paramento'!$G$58,ABS(L1962)*'Sollecitazioni nel paramento'!$G$54,'Sollecitazioni nel paramento'!$G$53)</f>
        <v>-64817701.934003606</v>
      </c>
      <c r="G1962" s="545">
        <f>-'Foglio deposito bis'!$F$80*(C1962-sezione!$AN$34)*IF(ABS(M1962)&lt;'Sollecitazioni nel paramento'!$G$58,ABS(M1962)*'Sollecitazioni nel paramento'!$G$54,'Sollecitazioni nel paramento'!$G$53)</f>
        <v>0</v>
      </c>
      <c r="H1962" s="545">
        <f>-'Foglio deposito bis'!$F$81*(C1962-sezione!$AO$34)*IF(ABS(N1962)&lt;'Sollecitazioni nel paramento'!$G$58,ABS(N1962)*'Sollecitazioni nel paramento'!$G$54,'Sollecitazioni nel paramento'!$G$53)</f>
        <v>-128177552.20481634</v>
      </c>
      <c r="I1962" s="472">
        <f>-'Foglio deposito bis'!$F$82*(C1962-sezione!$AP$34)*IF(ABS(O1962)&lt;'Sollecitazioni nel paramento'!$G$58,ABS(O1962)*'Sollecitazioni nel paramento'!$G$54,'Sollecitazioni nel paramento'!$G$53)</f>
        <v>78097247.381285608</v>
      </c>
      <c r="J1962" s="472">
        <f t="shared" si="137"/>
        <v>-5279764429.9706488</v>
      </c>
      <c r="K1962" s="550">
        <f>'Sollecitazioni nel paramento'!$G$60*(sezione!$AL$34-C1962)/C1962</f>
        <v>-3.2094303159400451E-3</v>
      </c>
      <c r="L1962" s="550">
        <f>'Sollecitazioni nel paramento'!$G$60*(sezione!$AM$34-C1962)/C1962</f>
        <v>-3.0641454739100673E-3</v>
      </c>
      <c r="M1962" s="551">
        <f>'Sollecitazioni nel paramento'!$G$60*(sezione!$AN$34-C1962)/C1962</f>
        <v>-2.9188606318800896E-3</v>
      </c>
      <c r="N1962" s="551">
        <f>'Sollecitazioni nel paramento'!$G$60*(sezione!$AO$34-C1962)/C1962</f>
        <v>-2.3377212637601796E-3</v>
      </c>
      <c r="O1962" s="551">
        <f>'Sollecitazioni nel paramento'!$G$60*(sezione!$AP$34-C1962)/C1962</f>
        <v>1.0988443045978915E-3</v>
      </c>
      <c r="P1962" s="545">
        <f>-'Sollecitazioni nel paramento'!$G$47*'Sollecitazioni nel paramento'!$G$41*IF(DATI!$G$211="dx",DATI!$E$61,DATI!$E$64*DATI!$E$63)*1000*C1962*sezione!$AD$5</f>
        <v>-18355596.927652944</v>
      </c>
      <c r="Q1962" s="545">
        <f>'Foglio deposito bis'!$F$78*IF(ABS(K1962)&lt;'Sollecitazioni nel paramento'!$G$58,ABS(K1962)*'Sollecitazioni nel paramento'!$G$54,'Sollecitazioni nel paramento'!$G$53)*IF(K1962&lt;0,-1,1)</f>
        <v>0</v>
      </c>
      <c r="R1962" s="545">
        <f>'Foglio deposito bis'!$F$79*IF(ABS(L1962)&lt;'Sollecitazioni nel paramento'!$G$58,ABS(L1962)*'Sollecitazioni nel paramento'!$G$54,'Sollecitazioni nel paramento'!$G$53)*IF(L1962&lt;0,-1,1)</f>
        <v>-153664.85805602249</v>
      </c>
      <c r="S1962" s="545">
        <f>'Foglio deposito bis'!$F$80*IF(ABS(M1962)&lt;'Sollecitazioni nel paramento'!$G$58,ABS(M1962)*'Sollecitazioni nel paramento'!$G$54,'Sollecitazioni nel paramento'!$G$53)*IF(M1962&lt;0,-1,1)</f>
        <v>0</v>
      </c>
      <c r="T1962" s="545">
        <f>'Foglio deposito bis'!$F$81*IF(ABS(N1962)&lt;'Sollecitazioni nel paramento'!$G$58,ABS(N1962)*'Sollecitazioni nel paramento'!$G$54,'Sollecitazioni nel paramento'!$G$53)*IF(N1962&lt;0,-1,1)</f>
        <v>-398299.31208121032</v>
      </c>
      <c r="U1962" s="545">
        <f>'Foglio deposito bis'!$F$82*IF(ABS(O1962)&lt;'Sollecitazioni nel paramento'!$G$58,ABS(O1962)*'Sollecitazioni nel paramento'!$G$54,'Sollecitazioni nel paramento'!$G$53)*IF(O1962&lt;0,-1,1)</f>
        <v>516285.43740408309</v>
      </c>
      <c r="V1962" s="472">
        <f t="shared" si="139"/>
        <v>-18391275.660386093</v>
      </c>
      <c r="W1962" s="551"/>
      <c r="X1962" s="551"/>
    </row>
    <row r="1963" spans="1:24" x14ac:dyDescent="0.25">
      <c r="A1963" s="545">
        <f t="shared" si="138"/>
        <v>18778350.301993061</v>
      </c>
      <c r="B1963" s="3">
        <f t="shared" si="136"/>
        <v>53.899999999999942</v>
      </c>
      <c r="C1963" s="545">
        <f>'Foglio deposito bis'!$E$160/sezione!$B$247*B1963</f>
        <v>490.92011541749679</v>
      </c>
      <c r="D1963" s="603">
        <f>-'Sollecitazioni nel paramento'!$G$47*'Sollecitazioni nel paramento'!$G$41*IF(DATI!$G$211="dx",DATI!$E$61,DATI!$E$64*DATI!$E$63)*1000*C1963^2*sezione!$AD$5*(1-sezione!$AD$6)</f>
        <v>-5361981118.3432627</v>
      </c>
      <c r="E1963" s="545">
        <f>-'Foglio deposito bis'!$F$78*(C1963-sezione!$AL$34)*IF(ABS(K1963)&lt;'Sollecitazioni nel paramento'!$G$58,ABS(K1963)*'Sollecitazioni nel paramento'!$G$54,'Sollecitazioni nel paramento'!$G$53)</f>
        <v>0</v>
      </c>
      <c r="F1963" s="545">
        <f>-'Foglio deposito bis'!$F$79*(C1963-sezione!$AM$34)*IF(ABS(L1963)&lt;'Sollecitazioni nel paramento'!$G$58,ABS(L1963)*'Sollecitazioni nel paramento'!$G$54,'Sollecitazioni nel paramento'!$G$53)</f>
        <v>-66217278.369114481</v>
      </c>
      <c r="G1963" s="545">
        <f>-'Foglio deposito bis'!$F$80*(C1963-sezione!$AN$34)*IF(ABS(M1963)&lt;'Sollecitazioni nel paramento'!$G$58,ABS(M1963)*'Sollecitazioni nel paramento'!$G$54,'Sollecitazioni nel paramento'!$G$53)</f>
        <v>0</v>
      </c>
      <c r="H1963" s="545">
        <f>-'Foglio deposito bis'!$F$81*(C1963-sezione!$AO$34)*IF(ABS(N1963)&lt;'Sollecitazioni nel paramento'!$G$58,ABS(N1963)*'Sollecitazioni nel paramento'!$G$54,'Sollecitazioni nel paramento'!$G$53)</f>
        <v>-131805254.32462367</v>
      </c>
      <c r="I1963" s="472">
        <f>-'Foglio deposito bis'!$F$82*(C1963-sezione!$AP$34)*IF(ABS(O1963)&lt;'Sollecitazioni nel paramento'!$G$58,ABS(O1963)*'Sollecitazioni nel paramento'!$G$54,'Sollecitazioni nel paramento'!$G$53)</f>
        <v>67696045.69777</v>
      </c>
      <c r="J1963" s="472">
        <f t="shared" si="137"/>
        <v>-5492307605.3392315</v>
      </c>
      <c r="K1963" s="550">
        <f>'Sollecitazioni nel paramento'!$G$60*(sezione!$AL$34-C1963)/C1963</f>
        <v>-3.2148212191693577E-3</v>
      </c>
      <c r="L1963" s="550">
        <f>'Sollecitazioni nel paramento'!$G$60*(sezione!$AM$34-C1963)/C1963</f>
        <v>-3.0722318287540362E-3</v>
      </c>
      <c r="M1963" s="551">
        <f>'Sollecitazioni nel paramento'!$G$60*(sezione!$AN$34-C1963)/C1963</f>
        <v>-2.9296424383387152E-3</v>
      </c>
      <c r="N1963" s="551">
        <f>'Sollecitazioni nel paramento'!$G$60*(sezione!$AO$34-C1963)/C1963</f>
        <v>-2.35928487667743E-3</v>
      </c>
      <c r="O1963" s="551">
        <f>'Sollecitazioni nel paramento'!$G$60*(sezione!$AP$34-C1963)/C1963</f>
        <v>1.0135225178706582E-3</v>
      </c>
      <c r="P1963" s="545">
        <f>-'Sollecitazioni nel paramento'!$G$47*'Sollecitazioni nel paramento'!$G$41*IF(DATI!$G$211="dx",DATI!$E$61,DATI!$E$64*DATI!$E$63)*1000*C1963*sezione!$AD$5</f>
        <v>-18702583.637060374</v>
      </c>
      <c r="Q1963" s="545">
        <f>'Foglio deposito bis'!$F$78*IF(ABS(K1963)&lt;'Sollecitazioni nel paramento'!$G$58,ABS(K1963)*'Sollecitazioni nel paramento'!$G$54,'Sollecitazioni nel paramento'!$G$53)*IF(K1963&lt;0,-1,1)</f>
        <v>0</v>
      </c>
      <c r="R1963" s="545">
        <f>'Foglio deposito bis'!$F$79*IF(ABS(L1963)&lt;'Sollecitazioni nel paramento'!$G$58,ABS(L1963)*'Sollecitazioni nel paramento'!$G$54,'Sollecitazioni nel paramento'!$G$53)*IF(L1963&lt;0,-1,1)</f>
        <v>-153664.85805602249</v>
      </c>
      <c r="S1963" s="545">
        <f>'Foglio deposito bis'!$F$80*IF(ABS(M1963)&lt;'Sollecitazioni nel paramento'!$G$58,ABS(M1963)*'Sollecitazioni nel paramento'!$G$54,'Sollecitazioni nel paramento'!$G$53)*IF(M1963&lt;0,-1,1)</f>
        <v>0</v>
      </c>
      <c r="T1963" s="545">
        <f>'Foglio deposito bis'!$F$81*IF(ABS(N1963)&lt;'Sollecitazioni nel paramento'!$G$58,ABS(N1963)*'Sollecitazioni nel paramento'!$G$54,'Sollecitazioni nel paramento'!$G$53)*IF(N1963&lt;0,-1,1)</f>
        <v>-398299.31208121032</v>
      </c>
      <c r="U1963" s="545">
        <f>'Foglio deposito bis'!$F$82*IF(ABS(O1963)&lt;'Sollecitazioni nel paramento'!$G$58,ABS(O1963)*'Sollecitazioni nel paramento'!$G$54,'Sollecitazioni nel paramento'!$G$53)*IF(O1963&lt;0,-1,1)</f>
        <v>476197.50520454627</v>
      </c>
      <c r="V1963" s="472">
        <f t="shared" si="139"/>
        <v>-18778350.301993061</v>
      </c>
      <c r="W1963" s="551"/>
      <c r="X1963" s="551"/>
    </row>
    <row r="1964" spans="1:24" x14ac:dyDescent="0.25">
      <c r="A1964" s="545">
        <f t="shared" si="138"/>
        <v>19163964.545341391</v>
      </c>
      <c r="B1964" s="3">
        <f t="shared" si="136"/>
        <v>54.899999999999942</v>
      </c>
      <c r="C1964" s="545">
        <f>'Foglio deposito bis'!$E$160/sezione!$B$247*B1964</f>
        <v>500.02809529537245</v>
      </c>
      <c r="D1964" s="603">
        <f>-'Sollecitazioni nel paramento'!$G$47*'Sollecitazioni nel paramento'!$G$41*IF(DATI!$G$211="dx",DATI!$E$61,DATI!$E$64*DATI!$E$63)*1000*C1964^2*sezione!$AD$5*(1-sezione!$AD$6)</f>
        <v>-5562787099.8990698</v>
      </c>
      <c r="E1964" s="545">
        <f>-'Foglio deposito bis'!$F$78*(C1964-sezione!$AL$34)*IF(ABS(K1964)&lt;'Sollecitazioni nel paramento'!$G$58,ABS(K1964)*'Sollecitazioni nel paramento'!$G$54,'Sollecitazioni nel paramento'!$G$53)</f>
        <v>0</v>
      </c>
      <c r="F1964" s="545">
        <f>-'Foglio deposito bis'!$F$79*(C1964-sezione!$AM$34)*IF(ABS(L1964)&lt;'Sollecitazioni nel paramento'!$G$58,ABS(L1964)*'Sollecitazioni nel paramento'!$G$54,'Sollecitazioni nel paramento'!$G$53)</f>
        <v>-67616854.804225355</v>
      </c>
      <c r="G1964" s="545">
        <f>-'Foglio deposito bis'!$F$80*(C1964-sezione!$AN$34)*IF(ABS(M1964)&lt;'Sollecitazioni nel paramento'!$G$58,ABS(M1964)*'Sollecitazioni nel paramento'!$G$54,'Sollecitazioni nel paramento'!$G$53)</f>
        <v>0</v>
      </c>
      <c r="H1964" s="545">
        <f>-'Foglio deposito bis'!$F$81*(C1964-sezione!$AO$34)*IF(ABS(N1964)&lt;'Sollecitazioni nel paramento'!$G$58,ABS(N1964)*'Sollecitazioni nel paramento'!$G$54,'Sollecitazioni nel paramento'!$G$53)</f>
        <v>-135432956.44443107</v>
      </c>
      <c r="I1964" s="472">
        <f>-'Foglio deposito bis'!$F$82*(C1964-sezione!$AP$34)*IF(ABS(O1964)&lt;'Sollecitazioni nel paramento'!$G$58,ABS(O1964)*'Sollecitazioni nel paramento'!$G$54,'Sollecitazioni nel paramento'!$G$53)</f>
        <v>58219392.524660304</v>
      </c>
      <c r="J1964" s="472">
        <f t="shared" si="137"/>
        <v>-5707617518.6230659</v>
      </c>
      <c r="K1964" s="550">
        <f>'Sollecitazioni nel paramento'!$G$60*(sezione!$AL$34-C1964)/C1964</f>
        <v>-3.2200157324813916E-3</v>
      </c>
      <c r="L1964" s="550">
        <f>'Sollecitazioni nel paramento'!$G$60*(sezione!$AM$34-C1964)/C1964</f>
        <v>-3.080023598722087E-3</v>
      </c>
      <c r="M1964" s="551">
        <f>'Sollecitazioni nel paramento'!$G$60*(sezione!$AN$34-C1964)/C1964</f>
        <v>-2.9400314649627823E-3</v>
      </c>
      <c r="N1964" s="551">
        <f>'Sollecitazioni nel paramento'!$G$60*(sezione!$AO$34-C1964)/C1964</f>
        <v>-2.3800629299255646E-3</v>
      </c>
      <c r="O1964" s="551">
        <f>'Sollecitazioni nel paramento'!$G$60*(sezione!$AP$34-C1964)/C1964</f>
        <v>9.313089929549812E-4</v>
      </c>
      <c r="P1964" s="545">
        <f>-'Sollecitazioni nel paramento'!$G$47*'Sollecitazioni nel paramento'!$G$41*IF(DATI!$G$211="dx",DATI!$E$61,DATI!$E$64*DATI!$E$63)*1000*C1964*sezione!$AD$5</f>
        <v>-19049570.3464678</v>
      </c>
      <c r="Q1964" s="545">
        <f>'Foglio deposito bis'!$F$78*IF(ABS(K1964)&lt;'Sollecitazioni nel paramento'!$G$58,ABS(K1964)*'Sollecitazioni nel paramento'!$G$54,'Sollecitazioni nel paramento'!$G$53)*IF(K1964&lt;0,-1,1)</f>
        <v>0</v>
      </c>
      <c r="R1964" s="545">
        <f>'Foglio deposito bis'!$F$79*IF(ABS(L1964)&lt;'Sollecitazioni nel paramento'!$G$58,ABS(L1964)*'Sollecitazioni nel paramento'!$G$54,'Sollecitazioni nel paramento'!$G$53)*IF(L1964&lt;0,-1,1)</f>
        <v>-153664.85805602249</v>
      </c>
      <c r="S1964" s="545">
        <f>'Foglio deposito bis'!$F$80*IF(ABS(M1964)&lt;'Sollecitazioni nel paramento'!$G$58,ABS(M1964)*'Sollecitazioni nel paramento'!$G$54,'Sollecitazioni nel paramento'!$G$53)*IF(M1964&lt;0,-1,1)</f>
        <v>0</v>
      </c>
      <c r="T1964" s="545">
        <f>'Foglio deposito bis'!$F$81*IF(ABS(N1964)&lt;'Sollecitazioni nel paramento'!$G$58,ABS(N1964)*'Sollecitazioni nel paramento'!$G$54,'Sollecitazioni nel paramento'!$G$53)*IF(N1964&lt;0,-1,1)</f>
        <v>-398299.31208121032</v>
      </c>
      <c r="U1964" s="545">
        <f>'Foglio deposito bis'!$F$82*IF(ABS(O1964)&lt;'Sollecitazioni nel paramento'!$G$58,ABS(O1964)*'Sollecitazioni nel paramento'!$G$54,'Sollecitazioni nel paramento'!$G$53)*IF(O1964&lt;0,-1,1)</f>
        <v>437569.97126364434</v>
      </c>
      <c r="V1964" s="472">
        <f t="shared" si="139"/>
        <v>-19163964.545341391</v>
      </c>
      <c r="W1964" s="551"/>
      <c r="X1964" s="551"/>
    </row>
    <row r="1965" spans="1:24" x14ac:dyDescent="0.25">
      <c r="A1965" s="545">
        <f t="shared" si="138"/>
        <v>19548196.766008474</v>
      </c>
      <c r="B1965" s="3">
        <f t="shared" si="136"/>
        <v>55.899999999999942</v>
      </c>
      <c r="C1965" s="545">
        <f>'Foglio deposito bis'!$E$160/sezione!$B$247*B1965</f>
        <v>509.13607517324812</v>
      </c>
      <c r="D1965" s="603">
        <f>-'Sollecitazioni nel paramento'!$G$47*'Sollecitazioni nel paramento'!$G$41*IF(DATI!$G$211="dx",DATI!$E$61,DATI!$E$64*DATI!$E$63)*1000*C1965^2*sezione!$AD$5*(1-sezione!$AD$6)</f>
        <v>-5767284367.880537</v>
      </c>
      <c r="E1965" s="545">
        <f>-'Foglio deposito bis'!$F$78*(C1965-sezione!$AL$34)*IF(ABS(K1965)&lt;'Sollecitazioni nel paramento'!$G$58,ABS(K1965)*'Sollecitazioni nel paramento'!$G$54,'Sollecitazioni nel paramento'!$G$53)</f>
        <v>0</v>
      </c>
      <c r="F1965" s="545">
        <f>-'Foglio deposito bis'!$F$79*(C1965-sezione!$AM$34)*IF(ABS(L1965)&lt;'Sollecitazioni nel paramento'!$G$58,ABS(L1965)*'Sollecitazioni nel paramento'!$G$54,'Sollecitazioni nel paramento'!$G$53)</f>
        <v>-69016431.239336222</v>
      </c>
      <c r="G1965" s="545">
        <f>-'Foglio deposito bis'!$F$80*(C1965-sezione!$AN$34)*IF(ABS(M1965)&lt;'Sollecitazioni nel paramento'!$G$58,ABS(M1965)*'Sollecitazioni nel paramento'!$G$54,'Sollecitazioni nel paramento'!$G$53)</f>
        <v>0</v>
      </c>
      <c r="H1965" s="545">
        <f>-'Foglio deposito bis'!$F$81*(C1965-sezione!$AO$34)*IF(ABS(N1965)&lt;'Sollecitazioni nel paramento'!$G$58,ABS(N1965)*'Sollecitazioni nel paramento'!$G$54,'Sollecitazioni nel paramento'!$G$53)</f>
        <v>-139060658.56423846</v>
      </c>
      <c r="I1965" s="472">
        <f>-'Foglio deposito bis'!$F$82*(C1965-sezione!$AP$34)*IF(ABS(O1965)&lt;'Sollecitazioni nel paramento'!$G$58,ABS(O1965)*'Sollecitazioni nel paramento'!$G$54,'Sollecitazioni nel paramento'!$G$53)</f>
        <v>49617669.873920508</v>
      </c>
      <c r="J1965" s="472">
        <f t="shared" si="137"/>
        <v>-5925743787.8101912</v>
      </c>
      <c r="K1965" s="550">
        <f>'Sollecitazioni nel paramento'!$G$60*(sezione!$AL$34-C1965)/C1965</f>
        <v>-3.2250243955854806E-3</v>
      </c>
      <c r="L1965" s="550">
        <f>'Sollecitazioni nel paramento'!$G$60*(sezione!$AM$34-C1965)/C1965</f>
        <v>-3.0875365933782212E-3</v>
      </c>
      <c r="M1965" s="551">
        <f>'Sollecitazioni nel paramento'!$G$60*(sezione!$AN$34-C1965)/C1965</f>
        <v>-2.9500487911709615E-3</v>
      </c>
      <c r="N1965" s="551">
        <f>'Sollecitazioni nel paramento'!$G$60*(sezione!$AO$34-C1965)/C1965</f>
        <v>-2.4000975823419233E-3</v>
      </c>
      <c r="O1965" s="551">
        <f>'Sollecitazioni nel paramento'!$G$60*(sezione!$AP$34-C1965)/C1965</f>
        <v>8.5203691794684172E-4</v>
      </c>
      <c r="P1965" s="545">
        <f>-'Sollecitazioni nel paramento'!$G$47*'Sollecitazioni nel paramento'!$G$41*IF(DATI!$G$211="dx",DATI!$E$61,DATI!$E$64*DATI!$E$63)*1000*C1965*sezione!$AD$5</f>
        <v>-19396557.055875231</v>
      </c>
      <c r="Q1965" s="545">
        <f>'Foglio deposito bis'!$F$78*IF(ABS(K1965)&lt;'Sollecitazioni nel paramento'!$G$58,ABS(K1965)*'Sollecitazioni nel paramento'!$G$54,'Sollecitazioni nel paramento'!$G$53)*IF(K1965&lt;0,-1,1)</f>
        <v>0</v>
      </c>
      <c r="R1965" s="545">
        <f>'Foglio deposito bis'!$F$79*IF(ABS(L1965)&lt;'Sollecitazioni nel paramento'!$G$58,ABS(L1965)*'Sollecitazioni nel paramento'!$G$54,'Sollecitazioni nel paramento'!$G$53)*IF(L1965&lt;0,-1,1)</f>
        <v>-153664.85805602249</v>
      </c>
      <c r="S1965" s="545">
        <f>'Foglio deposito bis'!$F$80*IF(ABS(M1965)&lt;'Sollecitazioni nel paramento'!$G$58,ABS(M1965)*'Sollecitazioni nel paramento'!$G$54,'Sollecitazioni nel paramento'!$G$53)*IF(M1965&lt;0,-1,1)</f>
        <v>0</v>
      </c>
      <c r="T1965" s="545">
        <f>'Foglio deposito bis'!$F$81*IF(ABS(N1965)&lt;'Sollecitazioni nel paramento'!$G$58,ABS(N1965)*'Sollecitazioni nel paramento'!$G$54,'Sollecitazioni nel paramento'!$G$53)*IF(N1965&lt;0,-1,1)</f>
        <v>-398299.31208121032</v>
      </c>
      <c r="U1965" s="545">
        <f>'Foglio deposito bis'!$F$82*IF(ABS(O1965)&lt;'Sollecitazioni nel paramento'!$G$58,ABS(O1965)*'Sollecitazioni nel paramento'!$G$54,'Sollecitazioni nel paramento'!$G$53)*IF(O1965&lt;0,-1,1)</f>
        <v>400324.46000399115</v>
      </c>
      <c r="V1965" s="472">
        <f t="shared" si="139"/>
        <v>-19548196.766008474</v>
      </c>
      <c r="W1965" s="551"/>
      <c r="X1965" s="551"/>
    </row>
    <row r="1966" spans="1:24" x14ac:dyDescent="0.25">
      <c r="A1966" s="545">
        <f t="shared" si="138"/>
        <v>19931119.82986502</v>
      </c>
      <c r="B1966" s="3">
        <f t="shared" si="136"/>
        <v>56.899999999999942</v>
      </c>
      <c r="C1966" s="545">
        <f>'Foglio deposito bis'!$E$160/sezione!$B$247*B1966</f>
        <v>518.24405505112372</v>
      </c>
      <c r="D1966" s="603">
        <f>-'Sollecitazioni nel paramento'!$G$47*'Sollecitazioni nel paramento'!$G$41*IF(DATI!$G$211="dx",DATI!$E$61,DATI!$E$64*DATI!$E$63)*1000*C1966^2*sezione!$AD$5*(1-sezione!$AD$6)</f>
        <v>-5975472922.2876587</v>
      </c>
      <c r="E1966" s="545">
        <f>-'Foglio deposito bis'!$F$78*(C1966-sezione!$AL$34)*IF(ABS(K1966)&lt;'Sollecitazioni nel paramento'!$G$58,ABS(K1966)*'Sollecitazioni nel paramento'!$G$54,'Sollecitazioni nel paramento'!$G$53)</f>
        <v>0</v>
      </c>
      <c r="F1966" s="545">
        <f>-'Foglio deposito bis'!$F$79*(C1966-sezione!$AM$34)*IF(ABS(L1966)&lt;'Sollecitazioni nel paramento'!$G$58,ABS(L1966)*'Sollecitazioni nel paramento'!$G$54,'Sollecitazioni nel paramento'!$G$53)</f>
        <v>-70416007.674447075</v>
      </c>
      <c r="G1966" s="545">
        <f>-'Foglio deposito bis'!$F$80*(C1966-sezione!$AN$34)*IF(ABS(M1966)&lt;'Sollecitazioni nel paramento'!$G$58,ABS(M1966)*'Sollecitazioni nel paramento'!$G$54,'Sollecitazioni nel paramento'!$G$53)</f>
        <v>0</v>
      </c>
      <c r="H1966" s="545">
        <f>-'Foglio deposito bis'!$F$81*(C1966-sezione!$AO$34)*IF(ABS(N1966)&lt;'Sollecitazioni nel paramento'!$G$58,ABS(N1966)*'Sollecitazioni nel paramento'!$G$54,'Sollecitazioni nel paramento'!$G$53)</f>
        <v>-142688360.68404582</v>
      </c>
      <c r="I1966" s="472">
        <f>-'Foglio deposito bis'!$F$82*(C1966-sezione!$AP$34)*IF(ABS(O1966)&lt;'Sollecitazioni nel paramento'!$G$58,ABS(O1966)*'Sollecitazioni nel paramento'!$G$54,'Sollecitazioni nel paramento'!$G$53)</f>
        <v>41844747.841032028</v>
      </c>
      <c r="J1966" s="472">
        <f t="shared" si="137"/>
        <v>-6146732542.8051195</v>
      </c>
      <c r="K1966" s="550">
        <f>'Sollecitazioni nel paramento'!$G$60*(sezione!$AL$34-C1966)/C1966</f>
        <v>-3.2298570072623613E-3</v>
      </c>
      <c r="L1966" s="550">
        <f>'Sollecitazioni nel paramento'!$G$60*(sezione!$AM$34-C1966)/C1966</f>
        <v>-3.0947855108935424E-3</v>
      </c>
      <c r="M1966" s="551">
        <f>'Sollecitazioni nel paramento'!$G$60*(sezione!$AN$34-C1966)/C1966</f>
        <v>-2.9597140145247234E-3</v>
      </c>
      <c r="N1966" s="551">
        <f>'Sollecitazioni nel paramento'!$G$60*(sezione!$AO$34-C1966)/C1966</f>
        <v>-2.4194280290494464E-3</v>
      </c>
      <c r="O1966" s="551">
        <f>'Sollecitazioni nel paramento'!$G$60*(sezione!$AP$34-C1966)/C1966</f>
        <v>7.7555120761385707E-4</v>
      </c>
      <c r="P1966" s="545">
        <f>-'Sollecitazioni nel paramento'!$G$47*'Sollecitazioni nel paramento'!$G$41*IF(DATI!$G$211="dx",DATI!$E$61,DATI!$E$64*DATI!$E$63)*1000*C1966*sezione!$AD$5</f>
        <v>-19743543.765282657</v>
      </c>
      <c r="Q1966" s="545">
        <f>'Foglio deposito bis'!$F$78*IF(ABS(K1966)&lt;'Sollecitazioni nel paramento'!$G$58,ABS(K1966)*'Sollecitazioni nel paramento'!$G$54,'Sollecitazioni nel paramento'!$G$53)*IF(K1966&lt;0,-1,1)</f>
        <v>0</v>
      </c>
      <c r="R1966" s="545">
        <f>'Foglio deposito bis'!$F$79*IF(ABS(L1966)&lt;'Sollecitazioni nel paramento'!$G$58,ABS(L1966)*'Sollecitazioni nel paramento'!$G$54,'Sollecitazioni nel paramento'!$G$53)*IF(L1966&lt;0,-1,1)</f>
        <v>-153664.85805602249</v>
      </c>
      <c r="S1966" s="545">
        <f>'Foglio deposito bis'!$F$80*IF(ABS(M1966)&lt;'Sollecitazioni nel paramento'!$G$58,ABS(M1966)*'Sollecitazioni nel paramento'!$G$54,'Sollecitazioni nel paramento'!$G$53)*IF(M1966&lt;0,-1,1)</f>
        <v>0</v>
      </c>
      <c r="T1966" s="545">
        <f>'Foglio deposito bis'!$F$81*IF(ABS(N1966)&lt;'Sollecitazioni nel paramento'!$G$58,ABS(N1966)*'Sollecitazioni nel paramento'!$G$54,'Sollecitazioni nel paramento'!$G$53)*IF(N1966&lt;0,-1,1)</f>
        <v>-398299.31208121032</v>
      </c>
      <c r="U1966" s="545">
        <f>'Foglio deposito bis'!$F$82*IF(ABS(O1966)&lt;'Sollecitazioni nel paramento'!$G$58,ABS(O1966)*'Sollecitazioni nel paramento'!$G$54,'Sollecitazioni nel paramento'!$G$53)*IF(O1966&lt;0,-1,1)</f>
        <v>364388.1055548708</v>
      </c>
      <c r="V1966" s="472">
        <f t="shared" si="139"/>
        <v>-19931119.82986502</v>
      </c>
      <c r="W1966" s="551"/>
      <c r="X1966" s="551"/>
    </row>
    <row r="1967" spans="1:24" x14ac:dyDescent="0.25">
      <c r="A1967" s="545">
        <f t="shared" si="138"/>
        <v>20312801.568870131</v>
      </c>
      <c r="B1967" s="3">
        <f t="shared" si="136"/>
        <v>57.899999999999942</v>
      </c>
      <c r="C1967" s="545">
        <f>'Foglio deposito bis'!$E$160/sezione!$B$247*B1967</f>
        <v>527.35203492899939</v>
      </c>
      <c r="D1967" s="603">
        <f>-'Sollecitazioni nel paramento'!$G$47*'Sollecitazioni nel paramento'!$G$41*IF(DATI!$G$211="dx",DATI!$E$61,DATI!$E$64*DATI!$E$63)*1000*C1967^2*sezione!$AD$5*(1-sezione!$AD$6)</f>
        <v>-6187352763.1204424</v>
      </c>
      <c r="E1967" s="545">
        <f>-'Foglio deposito bis'!$F$78*(C1967-sezione!$AL$34)*IF(ABS(K1967)&lt;'Sollecitazioni nel paramento'!$G$58,ABS(K1967)*'Sollecitazioni nel paramento'!$G$54,'Sollecitazioni nel paramento'!$G$53)</f>
        <v>0</v>
      </c>
      <c r="F1967" s="545">
        <f>-'Foglio deposito bis'!$F$79*(C1967-sezione!$AM$34)*IF(ABS(L1967)&lt;'Sollecitazioni nel paramento'!$G$58,ABS(L1967)*'Sollecitazioni nel paramento'!$G$54,'Sollecitazioni nel paramento'!$G$53)</f>
        <v>-71815584.109557956</v>
      </c>
      <c r="G1967" s="545">
        <f>-'Foglio deposito bis'!$F$80*(C1967-sezione!$AN$34)*IF(ABS(M1967)&lt;'Sollecitazioni nel paramento'!$G$58,ABS(M1967)*'Sollecitazioni nel paramento'!$G$54,'Sollecitazioni nel paramento'!$G$53)</f>
        <v>0</v>
      </c>
      <c r="H1967" s="545">
        <f>-'Foglio deposito bis'!$F$81*(C1967-sezione!$AO$34)*IF(ABS(N1967)&lt;'Sollecitazioni nel paramento'!$G$58,ABS(N1967)*'Sollecitazioni nel paramento'!$G$54,'Sollecitazioni nel paramento'!$G$53)</f>
        <v>-146316062.80385321</v>
      </c>
      <c r="I1967" s="472">
        <f>-'Foglio deposito bis'!$F$82*(C1967-sezione!$AP$34)*IF(ABS(O1967)&lt;'Sollecitazioni nel paramento'!$G$58,ABS(O1967)*'Sollecitazioni nel paramento'!$G$54,'Sollecitazioni nel paramento'!$G$53)</f>
        <v>34857683.388800412</v>
      </c>
      <c r="J1967" s="472">
        <f t="shared" si="137"/>
        <v>-6370626726.6450529</v>
      </c>
      <c r="K1967" s="550">
        <f>'Sollecitazioni nel paramento'!$G$60*(sezione!$AL$34-C1967)/C1967</f>
        <v>-3.2345226893476403E-3</v>
      </c>
      <c r="L1967" s="550">
        <f>'Sollecitazioni nel paramento'!$G$60*(sezione!$AM$34-C1967)/C1967</f>
        <v>-3.1017840340214608E-3</v>
      </c>
      <c r="M1967" s="551">
        <f>'Sollecitazioni nel paramento'!$G$60*(sezione!$AN$34-C1967)/C1967</f>
        <v>-2.9690453786952809E-3</v>
      </c>
      <c r="N1967" s="551">
        <f>'Sollecitazioni nel paramento'!$G$60*(sezione!$AO$34-C1967)/C1967</f>
        <v>-2.4380907573905613E-3</v>
      </c>
      <c r="O1967" s="551">
        <f>'Sollecitazioni nel paramento'!$G$60*(sezione!$AP$34-C1967)/C1967</f>
        <v>7.0170749072933432E-4</v>
      </c>
      <c r="P1967" s="545">
        <f>-'Sollecitazioni nel paramento'!$G$47*'Sollecitazioni nel paramento'!$G$41*IF(DATI!$G$211="dx",DATI!$E$61,DATI!$E$64*DATI!$E$63)*1000*C1967*sezione!$AD$5</f>
        <v>-20090530.474690083</v>
      </c>
      <c r="Q1967" s="545">
        <f>'Foglio deposito bis'!$F$78*IF(ABS(K1967)&lt;'Sollecitazioni nel paramento'!$G$58,ABS(K1967)*'Sollecitazioni nel paramento'!$G$54,'Sollecitazioni nel paramento'!$G$53)*IF(K1967&lt;0,-1,1)</f>
        <v>0</v>
      </c>
      <c r="R1967" s="545">
        <f>'Foglio deposito bis'!$F$79*IF(ABS(L1967)&lt;'Sollecitazioni nel paramento'!$G$58,ABS(L1967)*'Sollecitazioni nel paramento'!$G$54,'Sollecitazioni nel paramento'!$G$53)*IF(L1967&lt;0,-1,1)</f>
        <v>-153664.85805602249</v>
      </c>
      <c r="S1967" s="545">
        <f>'Foglio deposito bis'!$F$80*IF(ABS(M1967)&lt;'Sollecitazioni nel paramento'!$G$58,ABS(M1967)*'Sollecitazioni nel paramento'!$G$54,'Sollecitazioni nel paramento'!$G$53)*IF(M1967&lt;0,-1,1)</f>
        <v>0</v>
      </c>
      <c r="T1967" s="545">
        <f>'Foglio deposito bis'!$F$81*IF(ABS(N1967)&lt;'Sollecitazioni nel paramento'!$G$58,ABS(N1967)*'Sollecitazioni nel paramento'!$G$54,'Sollecitazioni nel paramento'!$G$53)*IF(N1967&lt;0,-1,1)</f>
        <v>-398299.31208121032</v>
      </c>
      <c r="U1967" s="545">
        <f>'Foglio deposito bis'!$F$82*IF(ABS(O1967)&lt;'Sollecitazioni nel paramento'!$G$58,ABS(O1967)*'Sollecitazioni nel paramento'!$G$54,'Sollecitazioni nel paramento'!$G$53)*IF(O1967&lt;0,-1,1)</f>
        <v>329693.07595718786</v>
      </c>
      <c r="V1967" s="472">
        <f t="shared" si="139"/>
        <v>-20312801.568870131</v>
      </c>
      <c r="W1967" s="551"/>
      <c r="X1967" s="551"/>
    </row>
    <row r="1968" spans="1:24" x14ac:dyDescent="0.25">
      <c r="A1968" s="545">
        <f t="shared" si="138"/>
        <v>20693305.208398242</v>
      </c>
      <c r="B1968" s="3">
        <f t="shared" si="136"/>
        <v>58.899999999999942</v>
      </c>
      <c r="C1968" s="545">
        <f>'Foglio deposito bis'!$E$160/sezione!$B$247*B1968</f>
        <v>536.46001480687505</v>
      </c>
      <c r="D1968" s="603">
        <f>-'Sollecitazioni nel paramento'!$G$47*'Sollecitazioni nel paramento'!$G$41*IF(DATI!$G$211="dx",DATI!$E$61,DATI!$E$64*DATI!$E$63)*1000*C1968^2*sezione!$AD$5*(1-sezione!$AD$6)</f>
        <v>-6402923890.3788834</v>
      </c>
      <c r="E1968" s="545">
        <f>-'Foglio deposito bis'!$F$78*(C1968-sezione!$AL$34)*IF(ABS(K1968)&lt;'Sollecitazioni nel paramento'!$G$58,ABS(K1968)*'Sollecitazioni nel paramento'!$G$54,'Sollecitazioni nel paramento'!$G$53)</f>
        <v>0</v>
      </c>
      <c r="F1968" s="545">
        <f>-'Foglio deposito bis'!$F$79*(C1968-sezione!$AM$34)*IF(ABS(L1968)&lt;'Sollecitazioni nel paramento'!$G$58,ABS(L1968)*'Sollecitazioni nel paramento'!$G$54,'Sollecitazioni nel paramento'!$G$53)</f>
        <v>-73215160.544668838</v>
      </c>
      <c r="G1968" s="545">
        <f>-'Foglio deposito bis'!$F$80*(C1968-sezione!$AN$34)*IF(ABS(M1968)&lt;'Sollecitazioni nel paramento'!$G$58,ABS(M1968)*'Sollecitazioni nel paramento'!$G$54,'Sollecitazioni nel paramento'!$G$53)</f>
        <v>0</v>
      </c>
      <c r="H1968" s="545">
        <f>-'Foglio deposito bis'!$F$81*(C1968-sezione!$AO$34)*IF(ABS(N1968)&lt;'Sollecitazioni nel paramento'!$G$58,ABS(N1968)*'Sollecitazioni nel paramento'!$G$54,'Sollecitazioni nel paramento'!$G$53)</f>
        <v>-149943764.92366061</v>
      </c>
      <c r="I1968" s="472">
        <f>-'Foglio deposito bis'!$F$82*(C1968-sezione!$AP$34)*IF(ABS(O1968)&lt;'Sollecitazioni nel paramento'!$G$58,ABS(O1968)*'Sollecitazioni nel paramento'!$G$54,'Sollecitazioni nel paramento'!$G$53)</f>
        <v>28616449.815324672</v>
      </c>
      <c r="J1968" s="472">
        <f t="shared" si="137"/>
        <v>-6597466366.031888</v>
      </c>
      <c r="K1968" s="550">
        <f>'Sollecitazioni nel paramento'!$G$60*(sezione!$AL$34-C1968)/C1968</f>
        <v>-3.2390299441974256E-3</v>
      </c>
      <c r="L1968" s="550">
        <f>'Sollecitazioni nel paramento'!$G$60*(sezione!$AM$34-C1968)/C1968</f>
        <v>-3.1085449162961383E-3</v>
      </c>
      <c r="M1968" s="551">
        <f>'Sollecitazioni nel paramento'!$G$60*(sezione!$AN$34-C1968)/C1968</f>
        <v>-2.9780598883948515E-3</v>
      </c>
      <c r="N1968" s="551">
        <f>'Sollecitazioni nel paramento'!$G$60*(sezione!$AO$34-C1968)/C1968</f>
        <v>-2.456119776789703E-3</v>
      </c>
      <c r="O1968" s="551">
        <f>'Sollecitazioni nel paramento'!$G$60*(sezione!$AP$34-C1968)/C1968</f>
        <v>6.3037120056415004E-4</v>
      </c>
      <c r="P1968" s="545">
        <f>-'Sollecitazioni nel paramento'!$G$47*'Sollecitazioni nel paramento'!$G$41*IF(DATI!$G$211="dx",DATI!$E$61,DATI!$E$64*DATI!$E$63)*1000*C1968*sezione!$AD$5</f>
        <v>-20437517.184097514</v>
      </c>
      <c r="Q1968" s="545">
        <f>'Foglio deposito bis'!$F$78*IF(ABS(K1968)&lt;'Sollecitazioni nel paramento'!$G$58,ABS(K1968)*'Sollecitazioni nel paramento'!$G$54,'Sollecitazioni nel paramento'!$G$53)*IF(K1968&lt;0,-1,1)</f>
        <v>0</v>
      </c>
      <c r="R1968" s="545">
        <f>'Foglio deposito bis'!$F$79*IF(ABS(L1968)&lt;'Sollecitazioni nel paramento'!$G$58,ABS(L1968)*'Sollecitazioni nel paramento'!$G$54,'Sollecitazioni nel paramento'!$G$53)*IF(L1968&lt;0,-1,1)</f>
        <v>-153664.85805602249</v>
      </c>
      <c r="S1968" s="545">
        <f>'Foglio deposito bis'!$F$80*IF(ABS(M1968)&lt;'Sollecitazioni nel paramento'!$G$58,ABS(M1968)*'Sollecitazioni nel paramento'!$G$54,'Sollecitazioni nel paramento'!$G$53)*IF(M1968&lt;0,-1,1)</f>
        <v>0</v>
      </c>
      <c r="T1968" s="545">
        <f>'Foglio deposito bis'!$F$81*IF(ABS(N1968)&lt;'Sollecitazioni nel paramento'!$G$58,ABS(N1968)*'Sollecitazioni nel paramento'!$G$54,'Sollecitazioni nel paramento'!$G$53)*IF(N1968&lt;0,-1,1)</f>
        <v>-398299.31208121032</v>
      </c>
      <c r="U1968" s="545">
        <f>'Foglio deposito bis'!$F$82*IF(ABS(O1968)&lt;'Sollecitazioni nel paramento'!$G$58,ABS(O1968)*'Sollecitazioni nel paramento'!$G$54,'Sollecitazioni nel paramento'!$G$53)*IF(O1968&lt;0,-1,1)</f>
        <v>296176.1458365061</v>
      </c>
      <c r="V1968" s="472">
        <f t="shared" si="139"/>
        <v>-20693305.208398242</v>
      </c>
      <c r="W1968" s="551"/>
      <c r="X1968" s="551"/>
    </row>
    <row r="1969" spans="1:24" x14ac:dyDescent="0.25">
      <c r="A1969" s="545">
        <f t="shared" si="138"/>
        <v>21072689.751762059</v>
      </c>
      <c r="B1969" s="3">
        <f t="shared" si="136"/>
        <v>59.899999999999942</v>
      </c>
      <c r="C1969" s="545">
        <f>'Foglio deposito bis'!$E$160/sezione!$B$247*B1969</f>
        <v>545.56799468475072</v>
      </c>
      <c r="D1969" s="603">
        <f>-'Sollecitazioni nel paramento'!$G$47*'Sollecitazioni nel paramento'!$G$41*IF(DATI!$G$211="dx",DATI!$E$61,DATI!$E$64*DATI!$E$63)*1000*C1969^2*sezione!$AD$5*(1-sezione!$AD$6)</f>
        <v>-6622186304.0629826</v>
      </c>
      <c r="E1969" s="545">
        <f>-'Foglio deposito bis'!$F$78*(C1969-sezione!$AL$34)*IF(ABS(K1969)&lt;'Sollecitazioni nel paramento'!$G$58,ABS(K1969)*'Sollecitazioni nel paramento'!$G$54,'Sollecitazioni nel paramento'!$G$53)</f>
        <v>0</v>
      </c>
      <c r="F1969" s="545">
        <f>-'Foglio deposito bis'!$F$79*(C1969-sezione!$AM$34)*IF(ABS(L1969)&lt;'Sollecitazioni nel paramento'!$G$58,ABS(L1969)*'Sollecitazioni nel paramento'!$G$54,'Sollecitazioni nel paramento'!$G$53)</f>
        <v>-74614736.979779705</v>
      </c>
      <c r="G1969" s="545">
        <f>-'Foglio deposito bis'!$F$80*(C1969-sezione!$AN$34)*IF(ABS(M1969)&lt;'Sollecitazioni nel paramento'!$G$58,ABS(M1969)*'Sollecitazioni nel paramento'!$G$54,'Sollecitazioni nel paramento'!$G$53)</f>
        <v>0</v>
      </c>
      <c r="H1969" s="545">
        <f>-'Foglio deposito bis'!$F$81*(C1969-sezione!$AO$34)*IF(ABS(N1969)&lt;'Sollecitazioni nel paramento'!$G$58,ABS(N1969)*'Sollecitazioni nel paramento'!$G$54,'Sollecitazioni nel paramento'!$G$53)</f>
        <v>-153571467.04346797</v>
      </c>
      <c r="I1969" s="472">
        <f>-'Foglio deposito bis'!$F$82*(C1969-sezione!$AP$34)*IF(ABS(O1969)&lt;'Sollecitazioni nel paramento'!$G$58,ABS(O1969)*'Sollecitazioni nel paramento'!$G$54,'Sollecitazioni nel paramento'!$G$53)</f>
        <v>23083693.320333235</v>
      </c>
      <c r="J1969" s="472">
        <f t="shared" si="137"/>
        <v>-6827288814.7658958</v>
      </c>
      <c r="K1969" s="550">
        <f>'Sollecitazioni nel paramento'!$G$60*(sezione!$AL$34-C1969)/C1969</f>
        <v>-3.2433867063978027E-3</v>
      </c>
      <c r="L1969" s="550">
        <f>'Sollecitazioni nel paramento'!$G$60*(sezione!$AM$34-C1969)/C1969</f>
        <v>-3.115080059596704E-3</v>
      </c>
      <c r="M1969" s="551">
        <f>'Sollecitazioni nel paramento'!$G$60*(sezione!$AN$34-C1969)/C1969</f>
        <v>-2.9867734127956053E-3</v>
      </c>
      <c r="N1969" s="551">
        <f>'Sollecitazioni nel paramento'!$G$60*(sezione!$AO$34-C1969)/C1969</f>
        <v>-2.4735468255912105E-3</v>
      </c>
      <c r="O1969" s="551">
        <f>'Sollecitazioni nel paramento'!$G$60*(sezione!$AP$34-C1969)/C1969</f>
        <v>5.6141675648127597E-4</v>
      </c>
      <c r="P1969" s="545">
        <f>-'Sollecitazioni nel paramento'!$G$47*'Sollecitazioni nel paramento'!$G$41*IF(DATI!$G$211="dx",DATI!$E$61,DATI!$E$64*DATI!$E$63)*1000*C1969*sezione!$AD$5</f>
        <v>-20784503.893504944</v>
      </c>
      <c r="Q1969" s="545">
        <f>'Foglio deposito bis'!$F$78*IF(ABS(K1969)&lt;'Sollecitazioni nel paramento'!$G$58,ABS(K1969)*'Sollecitazioni nel paramento'!$G$54,'Sollecitazioni nel paramento'!$G$53)*IF(K1969&lt;0,-1,1)</f>
        <v>0</v>
      </c>
      <c r="R1969" s="545">
        <f>'Foglio deposito bis'!$F$79*IF(ABS(L1969)&lt;'Sollecitazioni nel paramento'!$G$58,ABS(L1969)*'Sollecitazioni nel paramento'!$G$54,'Sollecitazioni nel paramento'!$G$53)*IF(L1969&lt;0,-1,1)</f>
        <v>-153664.85805602249</v>
      </c>
      <c r="S1969" s="545">
        <f>'Foglio deposito bis'!$F$80*IF(ABS(M1969)&lt;'Sollecitazioni nel paramento'!$G$58,ABS(M1969)*'Sollecitazioni nel paramento'!$G$54,'Sollecitazioni nel paramento'!$G$53)*IF(M1969&lt;0,-1,1)</f>
        <v>0</v>
      </c>
      <c r="T1969" s="545">
        <f>'Foglio deposito bis'!$F$81*IF(ABS(N1969)&lt;'Sollecitazioni nel paramento'!$G$58,ABS(N1969)*'Sollecitazioni nel paramento'!$G$54,'Sollecitazioni nel paramento'!$G$53)*IF(N1969&lt;0,-1,1)</f>
        <v>-398299.31208121032</v>
      </c>
      <c r="U1969" s="545">
        <f>'Foglio deposito bis'!$F$82*IF(ABS(O1969)&lt;'Sollecitazioni nel paramento'!$G$58,ABS(O1969)*'Sollecitazioni nel paramento'!$G$54,'Sollecitazioni nel paramento'!$G$53)*IF(O1969&lt;0,-1,1)</f>
        <v>263778.31188012089</v>
      </c>
      <c r="V1969" s="472">
        <f t="shared" si="139"/>
        <v>-21072689.751762059</v>
      </c>
      <c r="W1969" s="551"/>
      <c r="X1969" s="551"/>
    </row>
    <row r="1970" spans="1:24" x14ac:dyDescent="0.25">
      <c r="A1970" s="545">
        <f t="shared" si="138"/>
        <v>21451010.326851442</v>
      </c>
      <c r="B1970" s="3">
        <f t="shared" si="136"/>
        <v>60.899999999999942</v>
      </c>
      <c r="C1970" s="545">
        <f>'Foglio deposito bis'!$E$160/sezione!$B$247*B1970</f>
        <v>554.67597456262638</v>
      </c>
      <c r="D1970" s="603">
        <f>-'Sollecitazioni nel paramento'!$G$47*'Sollecitazioni nel paramento'!$G$41*IF(DATI!$G$211="dx",DATI!$E$61,DATI!$E$64*DATI!$E$63)*1000*C1970^2*sezione!$AD$5*(1-sezione!$AD$6)</f>
        <v>-6845140004.17274</v>
      </c>
      <c r="E1970" s="545">
        <f>-'Foglio deposito bis'!$F$78*(C1970-sezione!$AL$34)*IF(ABS(K1970)&lt;'Sollecitazioni nel paramento'!$G$58,ABS(K1970)*'Sollecitazioni nel paramento'!$G$54,'Sollecitazioni nel paramento'!$G$53)</f>
        <v>0</v>
      </c>
      <c r="F1970" s="545">
        <f>-'Foglio deposito bis'!$F$79*(C1970-sezione!$AM$34)*IF(ABS(L1970)&lt;'Sollecitazioni nel paramento'!$G$58,ABS(L1970)*'Sollecitazioni nel paramento'!$G$54,'Sollecitazioni nel paramento'!$G$53)</f>
        <v>-76014313.414890572</v>
      </c>
      <c r="G1970" s="545">
        <f>-'Foglio deposito bis'!$F$80*(C1970-sezione!$AN$34)*IF(ABS(M1970)&lt;'Sollecitazioni nel paramento'!$G$58,ABS(M1970)*'Sollecitazioni nel paramento'!$G$54,'Sollecitazioni nel paramento'!$G$53)</f>
        <v>0</v>
      </c>
      <c r="H1970" s="545">
        <f>-'Foglio deposito bis'!$F$81*(C1970-sezione!$AO$34)*IF(ABS(N1970)&lt;'Sollecitazioni nel paramento'!$G$58,ABS(N1970)*'Sollecitazioni nel paramento'!$G$54,'Sollecitazioni nel paramento'!$G$53)</f>
        <v>-157199169.16327536</v>
      </c>
      <c r="I1970" s="472">
        <f>-'Foglio deposito bis'!$F$82*(C1970-sezione!$AP$34)*IF(ABS(O1970)&lt;'Sollecitazioni nel paramento'!$G$58,ABS(O1970)*'Sollecitazioni nel paramento'!$G$54,'Sollecitazioni nel paramento'!$G$53)</f>
        <v>18224513.555132285</v>
      </c>
      <c r="J1970" s="472">
        <f t="shared" si="137"/>
        <v>-7060128973.1957741</v>
      </c>
      <c r="K1970" s="550">
        <f>'Sollecitazioni nel paramento'!$G$60*(sezione!$AL$34-C1970)/C1970</f>
        <v>-3.2476003893797765E-3</v>
      </c>
      <c r="L1970" s="550">
        <f>'Sollecitazioni nel paramento'!$G$60*(sezione!$AM$34-C1970)/C1970</f>
        <v>-3.1214005840696645E-3</v>
      </c>
      <c r="M1970" s="551">
        <f>'Sollecitazioni nel paramento'!$G$60*(sezione!$AN$34-C1970)/C1970</f>
        <v>-2.9952007787595524E-3</v>
      </c>
      <c r="N1970" s="551">
        <f>'Sollecitazioni nel paramento'!$G$60*(sezione!$AO$34-C1970)/C1970</f>
        <v>-2.4904015575191053E-3</v>
      </c>
      <c r="O1970" s="551">
        <f>'Sollecitazioni nel paramento'!$G$60*(sezione!$AP$34-C1970)/C1970</f>
        <v>4.9472682616138618E-4</v>
      </c>
      <c r="P1970" s="545">
        <f>-'Sollecitazioni nel paramento'!$G$47*'Sollecitazioni nel paramento'!$G$41*IF(DATI!$G$211="dx",DATI!$E$61,DATI!$E$64*DATI!$E$63)*1000*C1970*sezione!$AD$5</f>
        <v>-21131490.602912374</v>
      </c>
      <c r="Q1970" s="545">
        <f>'Foglio deposito bis'!$F$78*IF(ABS(K1970)&lt;'Sollecitazioni nel paramento'!$G$58,ABS(K1970)*'Sollecitazioni nel paramento'!$G$54,'Sollecitazioni nel paramento'!$G$53)*IF(K1970&lt;0,-1,1)</f>
        <v>0</v>
      </c>
      <c r="R1970" s="545">
        <f>'Foglio deposito bis'!$F$79*IF(ABS(L1970)&lt;'Sollecitazioni nel paramento'!$G$58,ABS(L1970)*'Sollecitazioni nel paramento'!$G$54,'Sollecitazioni nel paramento'!$G$53)*IF(L1970&lt;0,-1,1)</f>
        <v>-153664.85805602249</v>
      </c>
      <c r="S1970" s="545">
        <f>'Foglio deposito bis'!$F$80*IF(ABS(M1970)&lt;'Sollecitazioni nel paramento'!$G$58,ABS(M1970)*'Sollecitazioni nel paramento'!$G$54,'Sollecitazioni nel paramento'!$G$53)*IF(M1970&lt;0,-1,1)</f>
        <v>0</v>
      </c>
      <c r="T1970" s="545">
        <f>'Foglio deposito bis'!$F$81*IF(ABS(N1970)&lt;'Sollecitazioni nel paramento'!$G$58,ABS(N1970)*'Sollecitazioni nel paramento'!$G$54,'Sollecitazioni nel paramento'!$G$53)*IF(N1970&lt;0,-1,1)</f>
        <v>-398299.31208121032</v>
      </c>
      <c r="U1970" s="545">
        <f>'Foglio deposito bis'!$F$82*IF(ABS(O1970)&lt;'Sollecitazioni nel paramento'!$G$58,ABS(O1970)*'Sollecitazioni nel paramento'!$G$54,'Sollecitazioni nel paramento'!$G$53)*IF(O1970&lt;0,-1,1)</f>
        <v>232444.44619816539</v>
      </c>
      <c r="V1970" s="472">
        <f t="shared" si="139"/>
        <v>-21451010.326851442</v>
      </c>
      <c r="W1970" s="551"/>
      <c r="X1970" s="551"/>
    </row>
    <row r="1971" spans="1:24" x14ac:dyDescent="0.25">
      <c r="A1971" s="545">
        <f t="shared" si="138"/>
        <v>21828318.499172419</v>
      </c>
      <c r="B1971" s="3">
        <f t="shared" si="136"/>
        <v>61.899999999999942</v>
      </c>
      <c r="C1971" s="545">
        <f>'Foglio deposito bis'!$E$160/sezione!$B$247*B1971</f>
        <v>563.78395444050193</v>
      </c>
      <c r="D1971" s="603">
        <f>-'Sollecitazioni nel paramento'!$G$47*'Sollecitazioni nel paramento'!$G$41*IF(DATI!$G$211="dx",DATI!$E$61,DATI!$E$64*DATI!$E$63)*1000*C1971^2*sezione!$AD$5*(1-sezione!$AD$6)</f>
        <v>-7071784990.7081509</v>
      </c>
      <c r="E1971" s="545">
        <f>-'Foglio deposito bis'!$F$78*(C1971-sezione!$AL$34)*IF(ABS(K1971)&lt;'Sollecitazioni nel paramento'!$G$58,ABS(K1971)*'Sollecitazioni nel paramento'!$G$54,'Sollecitazioni nel paramento'!$G$53)</f>
        <v>0</v>
      </c>
      <c r="F1971" s="545">
        <f>-'Foglio deposito bis'!$F$79*(C1971-sezione!$AM$34)*IF(ABS(L1971)&lt;'Sollecitazioni nel paramento'!$G$58,ABS(L1971)*'Sollecitazioni nel paramento'!$G$54,'Sollecitazioni nel paramento'!$G$53)</f>
        <v>-77413889.850001439</v>
      </c>
      <c r="G1971" s="545">
        <f>-'Foglio deposito bis'!$F$80*(C1971-sezione!$AN$34)*IF(ABS(M1971)&lt;'Sollecitazioni nel paramento'!$G$58,ABS(M1971)*'Sollecitazioni nel paramento'!$G$54,'Sollecitazioni nel paramento'!$G$53)</f>
        <v>0</v>
      </c>
      <c r="H1971" s="545">
        <f>-'Foglio deposito bis'!$F$81*(C1971-sezione!$AO$34)*IF(ABS(N1971)&lt;'Sollecitazioni nel paramento'!$G$58,ABS(N1971)*'Sollecitazioni nel paramento'!$G$54,'Sollecitazioni nel paramento'!$G$53)</f>
        <v>-160826871.28308266</v>
      </c>
      <c r="I1971" s="472">
        <f>-'Foglio deposito bis'!$F$82*(C1971-sezione!$AP$34)*IF(ABS(O1971)&lt;'Sollecitazioni nel paramento'!$G$58,ABS(O1971)*'Sollecitazioni nel paramento'!$G$54,'Sollecitazioni nel paramento'!$G$53)</f>
        <v>14006265.443964664</v>
      </c>
      <c r="J1971" s="472">
        <f t="shared" si="137"/>
        <v>-7296019486.3972702</v>
      </c>
      <c r="K1971" s="550">
        <f>'Sollecitazioni nel paramento'!$G$60*(sezione!$AL$34-C1971)/C1971</f>
        <v>-3.251677927515806E-3</v>
      </c>
      <c r="L1971" s="550">
        <f>'Sollecitazioni nel paramento'!$G$60*(sezione!$AM$34-C1971)/C1971</f>
        <v>-3.1275168912737088E-3</v>
      </c>
      <c r="M1971" s="551">
        <f>'Sollecitazioni nel paramento'!$G$60*(sezione!$AN$34-C1971)/C1971</f>
        <v>-3.0033558550316116E-3</v>
      </c>
      <c r="N1971" s="551">
        <f>'Sollecitazioni nel paramento'!$G$60*(sezione!$AO$34-C1971)/C1971</f>
        <v>-2.5067117100632231E-3</v>
      </c>
      <c r="O1971" s="551">
        <f>'Sollecitazioni nel paramento'!$G$60*(sezione!$AP$34-C1971)/C1971</f>
        <v>4.3019165934133209E-4</v>
      </c>
      <c r="P1971" s="545">
        <f>-'Sollecitazioni nel paramento'!$G$47*'Sollecitazioni nel paramento'!$G$41*IF(DATI!$G$211="dx",DATI!$E$61,DATI!$E$64*DATI!$E$63)*1000*C1971*sezione!$AD$5</f>
        <v>-21478477.312319797</v>
      </c>
      <c r="Q1971" s="545">
        <f>'Foglio deposito bis'!$F$78*IF(ABS(K1971)&lt;'Sollecitazioni nel paramento'!$G$58,ABS(K1971)*'Sollecitazioni nel paramento'!$G$54,'Sollecitazioni nel paramento'!$G$53)*IF(K1971&lt;0,-1,1)</f>
        <v>0</v>
      </c>
      <c r="R1971" s="545">
        <f>'Foglio deposito bis'!$F$79*IF(ABS(L1971)&lt;'Sollecitazioni nel paramento'!$G$58,ABS(L1971)*'Sollecitazioni nel paramento'!$G$54,'Sollecitazioni nel paramento'!$G$53)*IF(L1971&lt;0,-1,1)</f>
        <v>-153664.85805602249</v>
      </c>
      <c r="S1971" s="545">
        <f>'Foglio deposito bis'!$F$80*IF(ABS(M1971)&lt;'Sollecitazioni nel paramento'!$G$58,ABS(M1971)*'Sollecitazioni nel paramento'!$G$54,'Sollecitazioni nel paramento'!$G$53)*IF(M1971&lt;0,-1,1)</f>
        <v>0</v>
      </c>
      <c r="T1971" s="545">
        <f>'Foglio deposito bis'!$F$81*IF(ABS(N1971)&lt;'Sollecitazioni nel paramento'!$G$58,ABS(N1971)*'Sollecitazioni nel paramento'!$G$54,'Sollecitazioni nel paramento'!$G$53)*IF(N1971&lt;0,-1,1)</f>
        <v>-398299.31208121032</v>
      </c>
      <c r="U1971" s="545">
        <f>'Foglio deposito bis'!$F$82*IF(ABS(O1971)&lt;'Sollecitazioni nel paramento'!$G$58,ABS(O1971)*'Sollecitazioni nel paramento'!$G$54,'Sollecitazioni nel paramento'!$G$53)*IF(O1971&lt;0,-1,1)</f>
        <v>202122.98328460945</v>
      </c>
      <c r="V1971" s="472">
        <f t="shared" si="139"/>
        <v>-21828318.499172419</v>
      </c>
      <c r="W1971" s="551"/>
      <c r="X1971" s="551"/>
    </row>
    <row r="1972" spans="1:24" x14ac:dyDescent="0.25">
      <c r="A1972" s="545">
        <f t="shared" si="138"/>
        <v>22204662.555025566</v>
      </c>
      <c r="B1972" s="3">
        <f t="shared" si="136"/>
        <v>62.899999999999942</v>
      </c>
      <c r="C1972" s="545">
        <f>'Foglio deposito bis'!$E$160/sezione!$B$247*B1972</f>
        <v>572.89193431837759</v>
      </c>
      <c r="D1972" s="603">
        <f>-'Sollecitazioni nel paramento'!$G$47*'Sollecitazioni nel paramento'!$G$41*IF(DATI!$G$211="dx",DATI!$E$61,DATI!$E$64*DATI!$E$63)*1000*C1972^2*sezione!$AD$5*(1-sezione!$AD$6)</f>
        <v>-7302121263.6692266</v>
      </c>
      <c r="E1972" s="545">
        <f>-'Foglio deposito bis'!$F$78*(C1972-sezione!$AL$34)*IF(ABS(K1972)&lt;'Sollecitazioni nel paramento'!$G$58,ABS(K1972)*'Sollecitazioni nel paramento'!$G$54,'Sollecitazioni nel paramento'!$G$53)</f>
        <v>0</v>
      </c>
      <c r="F1972" s="545">
        <f>-'Foglio deposito bis'!$F$79*(C1972-sezione!$AM$34)*IF(ABS(L1972)&lt;'Sollecitazioni nel paramento'!$G$58,ABS(L1972)*'Sollecitazioni nel paramento'!$G$54,'Sollecitazioni nel paramento'!$G$53)</f>
        <v>-78813466.285112306</v>
      </c>
      <c r="G1972" s="545">
        <f>-'Foglio deposito bis'!$F$80*(C1972-sezione!$AN$34)*IF(ABS(M1972)&lt;'Sollecitazioni nel paramento'!$G$58,ABS(M1972)*'Sollecitazioni nel paramento'!$G$54,'Sollecitazioni nel paramento'!$G$53)</f>
        <v>0</v>
      </c>
      <c r="H1972" s="545">
        <f>-'Foglio deposito bis'!$F$81*(C1972-sezione!$AO$34)*IF(ABS(N1972)&lt;'Sollecitazioni nel paramento'!$G$58,ABS(N1972)*'Sollecitazioni nel paramento'!$G$54,'Sollecitazioni nel paramento'!$G$53)</f>
        <v>-164454573.40289006</v>
      </c>
      <c r="I1972" s="472">
        <f>-'Foglio deposito bis'!$F$82*(C1972-sezione!$AP$34)*IF(ABS(O1972)&lt;'Sollecitazioni nel paramento'!$G$58,ABS(O1972)*'Sollecitazioni nel paramento'!$G$54,'Sollecitazioni nel paramento'!$G$53)</f>
        <v>10398379.909531381</v>
      </c>
      <c r="J1972" s="472">
        <f t="shared" si="137"/>
        <v>-7534990923.4476976</v>
      </c>
      <c r="K1972" s="550">
        <f>'Sollecitazioni nel paramento'!$G$60*(sezione!$AL$34-C1972)/C1972</f>
        <v>-3.2556258142007691E-3</v>
      </c>
      <c r="L1972" s="550">
        <f>'Sollecitazioni nel paramento'!$G$60*(sezione!$AM$34-C1972)/C1972</f>
        <v>-3.1334387213011539E-3</v>
      </c>
      <c r="M1972" s="551">
        <f>'Sollecitazioni nel paramento'!$G$60*(sezione!$AN$34-C1972)/C1972</f>
        <v>-3.0112516284015382E-3</v>
      </c>
      <c r="N1972" s="551">
        <f>'Sollecitazioni nel paramento'!$G$60*(sezione!$AO$34-C1972)/C1972</f>
        <v>-2.5225032568030764E-3</v>
      </c>
      <c r="O1972" s="551">
        <f>'Sollecitazioni nel paramento'!$G$60*(sezione!$AP$34-C1972)/C1972</f>
        <v>3.677084851069705E-4</v>
      </c>
      <c r="P1972" s="545">
        <f>-'Sollecitazioni nel paramento'!$G$47*'Sollecitazioni nel paramento'!$G$41*IF(DATI!$G$211="dx",DATI!$E$61,DATI!$E$64*DATI!$E$63)*1000*C1972*sezione!$AD$5</f>
        <v>-21825464.021727227</v>
      </c>
      <c r="Q1972" s="545">
        <f>'Foglio deposito bis'!$F$78*IF(ABS(K1972)&lt;'Sollecitazioni nel paramento'!$G$58,ABS(K1972)*'Sollecitazioni nel paramento'!$G$54,'Sollecitazioni nel paramento'!$G$53)*IF(K1972&lt;0,-1,1)</f>
        <v>0</v>
      </c>
      <c r="R1972" s="545">
        <f>'Foglio deposito bis'!$F$79*IF(ABS(L1972)&lt;'Sollecitazioni nel paramento'!$G$58,ABS(L1972)*'Sollecitazioni nel paramento'!$G$54,'Sollecitazioni nel paramento'!$G$53)*IF(L1972&lt;0,-1,1)</f>
        <v>-153664.85805602249</v>
      </c>
      <c r="S1972" s="545">
        <f>'Foglio deposito bis'!$F$80*IF(ABS(M1972)&lt;'Sollecitazioni nel paramento'!$G$58,ABS(M1972)*'Sollecitazioni nel paramento'!$G$54,'Sollecitazioni nel paramento'!$G$53)*IF(M1972&lt;0,-1,1)</f>
        <v>0</v>
      </c>
      <c r="T1972" s="545">
        <f>'Foglio deposito bis'!$F$81*IF(ABS(N1972)&lt;'Sollecitazioni nel paramento'!$G$58,ABS(N1972)*'Sollecitazioni nel paramento'!$G$54,'Sollecitazioni nel paramento'!$G$53)*IF(N1972&lt;0,-1,1)</f>
        <v>-398299.31208121032</v>
      </c>
      <c r="U1972" s="545">
        <f>'Foglio deposito bis'!$F$82*IF(ABS(O1972)&lt;'Sollecitazioni nel paramento'!$G$58,ABS(O1972)*'Sollecitazioni nel paramento'!$G$54,'Sollecitazioni nel paramento'!$G$53)*IF(O1972&lt;0,-1,1)</f>
        <v>172765.63683889282</v>
      </c>
      <c r="V1972" s="472">
        <f t="shared" si="139"/>
        <v>-22204662.555025566</v>
      </c>
      <c r="W1972" s="551"/>
      <c r="X1972" s="551"/>
    </row>
    <row r="1973" spans="1:24" x14ac:dyDescent="0.25">
      <c r="A1973" s="545">
        <f t="shared" si="138"/>
        <v>22580087.75809481</v>
      </c>
      <c r="B1973" s="3">
        <f t="shared" si="136"/>
        <v>63.899999999999942</v>
      </c>
      <c r="C1973" s="545">
        <f>'Foglio deposito bis'!$E$160/sezione!$B$247*B1973</f>
        <v>581.99991419625326</v>
      </c>
      <c r="D1973" s="603">
        <f>-'Sollecitazioni nel paramento'!$G$47*'Sollecitazioni nel paramento'!$G$41*IF(DATI!$G$211="dx",DATI!$E$61,DATI!$E$64*DATI!$E$63)*1000*C1973^2*sezione!$AD$5*(1-sezione!$AD$6)</f>
        <v>-7536148823.0559578</v>
      </c>
      <c r="E1973" s="545">
        <f>-'Foglio deposito bis'!$F$78*(C1973-sezione!$AL$34)*IF(ABS(K1973)&lt;'Sollecitazioni nel paramento'!$G$58,ABS(K1973)*'Sollecitazioni nel paramento'!$G$54,'Sollecitazioni nel paramento'!$G$53)</f>
        <v>0</v>
      </c>
      <c r="F1973" s="545">
        <f>-'Foglio deposito bis'!$F$79*(C1973-sezione!$AM$34)*IF(ABS(L1973)&lt;'Sollecitazioni nel paramento'!$G$58,ABS(L1973)*'Sollecitazioni nel paramento'!$G$54,'Sollecitazioni nel paramento'!$G$53)</f>
        <v>-80213042.720223173</v>
      </c>
      <c r="G1973" s="545">
        <f>-'Foglio deposito bis'!$F$80*(C1973-sezione!$AN$34)*IF(ABS(M1973)&lt;'Sollecitazioni nel paramento'!$G$58,ABS(M1973)*'Sollecitazioni nel paramento'!$G$54,'Sollecitazioni nel paramento'!$G$53)</f>
        <v>0</v>
      </c>
      <c r="H1973" s="545">
        <f>-'Foglio deposito bis'!$F$81*(C1973-sezione!$AO$34)*IF(ABS(N1973)&lt;'Sollecitazioni nel paramento'!$G$58,ABS(N1973)*'Sollecitazioni nel paramento'!$G$54,'Sollecitazioni nel paramento'!$G$53)</f>
        <v>-168082275.52269745</v>
      </c>
      <c r="I1973" s="472">
        <f>-'Foglio deposito bis'!$F$82*(C1973-sezione!$AP$34)*IF(ABS(O1973)&lt;'Sollecitazioni nel paramento'!$G$58,ABS(O1973)*'Sollecitazioni nel paramento'!$G$54,'Sollecitazioni nel paramento'!$G$53)</f>
        <v>7372201.4317980111</v>
      </c>
      <c r="J1973" s="472">
        <f t="shared" si="137"/>
        <v>-7777071939.8670807</v>
      </c>
      <c r="K1973" s="550">
        <f>'Sollecitazioni nel paramento'!$G$60*(sezione!$AL$34-C1973)/C1973</f>
        <v>-3.259450136357252E-3</v>
      </c>
      <c r="L1973" s="550">
        <f>'Sollecitazioni nel paramento'!$G$60*(sezione!$AM$34-C1973)/C1973</f>
        <v>-3.1391752045358775E-3</v>
      </c>
      <c r="M1973" s="551">
        <f>'Sollecitazioni nel paramento'!$G$60*(sezione!$AN$34-C1973)/C1973</f>
        <v>-3.018900272714503E-3</v>
      </c>
      <c r="N1973" s="551">
        <f>'Sollecitazioni nel paramento'!$G$60*(sezione!$AO$34-C1973)/C1973</f>
        <v>-2.5378005454290064E-3</v>
      </c>
      <c r="O1973" s="551">
        <f>'Sollecitazioni nel paramento'!$G$60*(sezione!$AP$34-C1973)/C1973</f>
        <v>3.0718096577822274E-4</v>
      </c>
      <c r="P1973" s="545">
        <f>-'Sollecitazioni nel paramento'!$G$47*'Sollecitazioni nel paramento'!$G$41*IF(DATI!$G$211="dx",DATI!$E$61,DATI!$E$64*DATI!$E$63)*1000*C1973*sezione!$AD$5</f>
        <v>-22172450.731134657</v>
      </c>
      <c r="Q1973" s="545">
        <f>'Foglio deposito bis'!$F$78*IF(ABS(K1973)&lt;'Sollecitazioni nel paramento'!$G$58,ABS(K1973)*'Sollecitazioni nel paramento'!$G$54,'Sollecitazioni nel paramento'!$G$53)*IF(K1973&lt;0,-1,1)</f>
        <v>0</v>
      </c>
      <c r="R1973" s="545">
        <f>'Foglio deposito bis'!$F$79*IF(ABS(L1973)&lt;'Sollecitazioni nel paramento'!$G$58,ABS(L1973)*'Sollecitazioni nel paramento'!$G$54,'Sollecitazioni nel paramento'!$G$53)*IF(L1973&lt;0,-1,1)</f>
        <v>-153664.85805602249</v>
      </c>
      <c r="S1973" s="545">
        <f>'Foglio deposito bis'!$F$80*IF(ABS(M1973)&lt;'Sollecitazioni nel paramento'!$G$58,ABS(M1973)*'Sollecitazioni nel paramento'!$G$54,'Sollecitazioni nel paramento'!$G$53)*IF(M1973&lt;0,-1,1)</f>
        <v>0</v>
      </c>
      <c r="T1973" s="545">
        <f>'Foglio deposito bis'!$F$81*IF(ABS(N1973)&lt;'Sollecitazioni nel paramento'!$G$58,ABS(N1973)*'Sollecitazioni nel paramento'!$G$54,'Sollecitazioni nel paramento'!$G$53)*IF(N1973&lt;0,-1,1)</f>
        <v>-398299.31208121032</v>
      </c>
      <c r="U1973" s="545">
        <f>'Foglio deposito bis'!$F$82*IF(ABS(O1973)&lt;'Sollecitazioni nel paramento'!$G$58,ABS(O1973)*'Sollecitazioni nel paramento'!$G$54,'Sollecitazioni nel paramento'!$G$53)*IF(O1973&lt;0,-1,1)</f>
        <v>144327.14317707965</v>
      </c>
      <c r="V1973" s="472">
        <f t="shared" si="139"/>
        <v>-22580087.75809481</v>
      </c>
      <c r="W1973" s="551"/>
      <c r="X1973" s="551"/>
    </row>
    <row r="1974" spans="1:24" x14ac:dyDescent="0.25">
      <c r="A1974" s="545">
        <f t="shared" si="138"/>
        <v>22954636.582314689</v>
      </c>
      <c r="B1974" s="3">
        <f t="shared" si="136"/>
        <v>64.899999999999949</v>
      </c>
      <c r="C1974" s="545">
        <f>'Foglio deposito bis'!$E$160/sezione!$B$247*B1974</f>
        <v>591.10789407412892</v>
      </c>
      <c r="D1974" s="603">
        <f>-'Sollecitazioni nel paramento'!$G$47*'Sollecitazioni nel paramento'!$G$41*IF(DATI!$G$211="dx",DATI!$E$61,DATI!$E$64*DATI!$E$63)*1000*C1974^2*sezione!$AD$5*(1-sezione!$AD$6)</f>
        <v>-7773867668.8683481</v>
      </c>
      <c r="E1974" s="545">
        <f>-'Foglio deposito bis'!$F$78*(C1974-sezione!$AL$34)*IF(ABS(K1974)&lt;'Sollecitazioni nel paramento'!$G$58,ABS(K1974)*'Sollecitazioni nel paramento'!$G$54,'Sollecitazioni nel paramento'!$G$53)</f>
        <v>0</v>
      </c>
      <c r="F1974" s="545">
        <f>-'Foglio deposito bis'!$F$79*(C1974-sezione!$AM$34)*IF(ABS(L1974)&lt;'Sollecitazioni nel paramento'!$G$58,ABS(L1974)*'Sollecitazioni nel paramento'!$G$54,'Sollecitazioni nel paramento'!$G$53)</f>
        <v>-81612619.155334041</v>
      </c>
      <c r="G1974" s="545">
        <f>-'Foglio deposito bis'!$F$80*(C1974-sezione!$AN$34)*IF(ABS(M1974)&lt;'Sollecitazioni nel paramento'!$G$58,ABS(M1974)*'Sollecitazioni nel paramento'!$G$54,'Sollecitazioni nel paramento'!$G$53)</f>
        <v>0</v>
      </c>
      <c r="H1974" s="545">
        <f>-'Foglio deposito bis'!$F$81*(C1974-sezione!$AO$34)*IF(ABS(N1974)&lt;'Sollecitazioni nel paramento'!$G$58,ABS(N1974)*'Sollecitazioni nel paramento'!$G$54,'Sollecitazioni nel paramento'!$G$53)</f>
        <v>-171709977.64250484</v>
      </c>
      <c r="I1974" s="472">
        <f>-'Foglio deposito bis'!$F$82*(C1974-sezione!$AP$34)*IF(ABS(O1974)&lt;'Sollecitazioni nel paramento'!$G$58,ABS(O1974)*'Sollecitazioni nel paramento'!$G$54,'Sollecitazioni nel paramento'!$G$53)</f>
        <v>4900840.6244764253</v>
      </c>
      <c r="J1974" s="472">
        <f t="shared" si="137"/>
        <v>-8022289425.0417109</v>
      </c>
      <c r="K1974" s="550">
        <f>'Sollecitazioni nel paramento'!$G$60*(sezione!$AL$34-C1974)/C1974</f>
        <v>-3.2631566057508225E-3</v>
      </c>
      <c r="L1974" s="550">
        <f>'Sollecitazioni nel paramento'!$G$60*(sezione!$AM$34-C1974)/C1974</f>
        <v>-3.1447349086262339E-3</v>
      </c>
      <c r="M1974" s="551">
        <f>'Sollecitazioni nel paramento'!$G$60*(sezione!$AN$34-C1974)/C1974</f>
        <v>-3.0263132115016449E-3</v>
      </c>
      <c r="N1974" s="551">
        <f>'Sollecitazioni nel paramento'!$G$60*(sezione!$AO$34-C1974)/C1974</f>
        <v>-2.5526264230032896E-3</v>
      </c>
      <c r="O1974" s="551">
        <f>'Sollecitazioni nel paramento'!$G$60*(sezione!$AP$34-C1974)/C1974</f>
        <v>2.4851870128241022E-4</v>
      </c>
      <c r="P1974" s="545">
        <f>-'Sollecitazioni nel paramento'!$G$47*'Sollecitazioni nel paramento'!$G$41*IF(DATI!$G$211="dx",DATI!$E$61,DATI!$E$64*DATI!$E$63)*1000*C1974*sezione!$AD$5</f>
        <v>-22519437.440542083</v>
      </c>
      <c r="Q1974" s="545">
        <f>'Foglio deposito bis'!$F$78*IF(ABS(K1974)&lt;'Sollecitazioni nel paramento'!$G$58,ABS(K1974)*'Sollecitazioni nel paramento'!$G$54,'Sollecitazioni nel paramento'!$G$53)*IF(K1974&lt;0,-1,1)</f>
        <v>0</v>
      </c>
      <c r="R1974" s="545">
        <f>'Foglio deposito bis'!$F$79*IF(ABS(L1974)&lt;'Sollecitazioni nel paramento'!$G$58,ABS(L1974)*'Sollecitazioni nel paramento'!$G$54,'Sollecitazioni nel paramento'!$G$53)*IF(L1974&lt;0,-1,1)</f>
        <v>-153664.85805602249</v>
      </c>
      <c r="S1974" s="545">
        <f>'Foglio deposito bis'!$F$80*IF(ABS(M1974)&lt;'Sollecitazioni nel paramento'!$G$58,ABS(M1974)*'Sollecitazioni nel paramento'!$G$54,'Sollecitazioni nel paramento'!$G$53)*IF(M1974&lt;0,-1,1)</f>
        <v>0</v>
      </c>
      <c r="T1974" s="545">
        <f>'Foglio deposito bis'!$F$81*IF(ABS(N1974)&lt;'Sollecitazioni nel paramento'!$G$58,ABS(N1974)*'Sollecitazioni nel paramento'!$G$54,'Sollecitazioni nel paramento'!$G$53)*IF(N1974&lt;0,-1,1)</f>
        <v>-398299.31208121032</v>
      </c>
      <c r="U1974" s="545">
        <f>'Foglio deposito bis'!$F$82*IF(ABS(O1974)&lt;'Sollecitazioni nel paramento'!$G$58,ABS(O1974)*'Sollecitazioni nel paramento'!$G$54,'Sollecitazioni nel paramento'!$G$53)*IF(O1974&lt;0,-1,1)</f>
        <v>116765.028364629</v>
      </c>
      <c r="V1974" s="472">
        <f t="shared" si="139"/>
        <v>-22954636.582314689</v>
      </c>
      <c r="W1974" s="551"/>
      <c r="X1974" s="551"/>
    </row>
    <row r="1975" spans="1:24" x14ac:dyDescent="0.25">
      <c r="A1975" s="545">
        <f t="shared" si="138"/>
        <v>23328348.923535708</v>
      </c>
      <c r="B1975" s="3">
        <f t="shared" si="136"/>
        <v>65.899999999999949</v>
      </c>
      <c r="C1975" s="545">
        <f>'Foglio deposito bis'!$E$160/sezione!$B$247*B1975</f>
        <v>600.21587395200459</v>
      </c>
      <c r="D1975" s="603">
        <f>-'Sollecitazioni nel paramento'!$G$47*'Sollecitazioni nel paramento'!$G$41*IF(DATI!$G$211="dx",DATI!$E$61,DATI!$E$64*DATI!$E$63)*1000*C1975^2*sezione!$AD$5*(1-sezione!$AD$6)</f>
        <v>-8015277801.1063976</v>
      </c>
      <c r="E1975" s="545">
        <f>-'Foglio deposito bis'!$F$78*(C1975-sezione!$AL$34)*IF(ABS(K1975)&lt;'Sollecitazioni nel paramento'!$G$58,ABS(K1975)*'Sollecitazioni nel paramento'!$G$54,'Sollecitazioni nel paramento'!$G$53)</f>
        <v>0</v>
      </c>
      <c r="F1975" s="545">
        <f>-'Foglio deposito bis'!$F$79*(C1975-sezione!$AM$34)*IF(ABS(L1975)&lt;'Sollecitazioni nel paramento'!$G$58,ABS(L1975)*'Sollecitazioni nel paramento'!$G$54,'Sollecitazioni nel paramento'!$G$53)</f>
        <v>-83012195.590444922</v>
      </c>
      <c r="G1975" s="545">
        <f>-'Foglio deposito bis'!$F$80*(C1975-sezione!$AN$34)*IF(ABS(M1975)&lt;'Sollecitazioni nel paramento'!$G$58,ABS(M1975)*'Sollecitazioni nel paramento'!$G$54,'Sollecitazioni nel paramento'!$G$53)</f>
        <v>0</v>
      </c>
      <c r="H1975" s="545">
        <f>-'Foglio deposito bis'!$F$81*(C1975-sezione!$AO$34)*IF(ABS(N1975)&lt;'Sollecitazioni nel paramento'!$G$58,ABS(N1975)*'Sollecitazioni nel paramento'!$G$54,'Sollecitazioni nel paramento'!$G$53)</f>
        <v>-175337679.76231223</v>
      </c>
      <c r="I1975" s="472">
        <f>-'Foglio deposito bis'!$F$82*(C1975-sezione!$AP$34)*IF(ABS(O1975)&lt;'Sollecitazioni nel paramento'!$G$58,ABS(O1975)*'Sollecitazioni nel paramento'!$G$54,'Sollecitazioni nel paramento'!$G$53)</f>
        <v>2959040.2339818669</v>
      </c>
      <c r="J1975" s="472">
        <f t="shared" si="137"/>
        <v>-8270668636.225172</v>
      </c>
      <c r="K1975" s="550">
        <f>'Sollecitazioni nel paramento'!$G$60*(sezione!$AL$34-C1975)/C1975</f>
        <v>-3.2667505874541484E-3</v>
      </c>
      <c r="L1975" s="550">
        <f>'Sollecitazioni nel paramento'!$G$60*(sezione!$AM$34-C1975)/C1975</f>
        <v>-3.1501258811812228E-3</v>
      </c>
      <c r="M1975" s="551">
        <f>'Sollecitazioni nel paramento'!$G$60*(sezione!$AN$34-C1975)/C1975</f>
        <v>-3.0335011749082967E-3</v>
      </c>
      <c r="N1975" s="551">
        <f>'Sollecitazioni nel paramento'!$G$60*(sezione!$AO$34-C1975)/C1975</f>
        <v>-2.5670023498165937E-3</v>
      </c>
      <c r="O1975" s="551">
        <f>'Sollecitazioni nel paramento'!$G$60*(sezione!$AP$34-C1975)/C1975</f>
        <v>1.9163677865293493E-4</v>
      </c>
      <c r="P1975" s="545">
        <f>-'Sollecitazioni nel paramento'!$G$47*'Sollecitazioni nel paramento'!$G$41*IF(DATI!$G$211="dx",DATI!$E$61,DATI!$E$64*DATI!$E$63)*1000*C1975*sezione!$AD$5</f>
        <v>-22866424.149949513</v>
      </c>
      <c r="Q1975" s="545">
        <f>'Foglio deposito bis'!$F$78*IF(ABS(K1975)&lt;'Sollecitazioni nel paramento'!$G$58,ABS(K1975)*'Sollecitazioni nel paramento'!$G$54,'Sollecitazioni nel paramento'!$G$53)*IF(K1975&lt;0,-1,1)</f>
        <v>0</v>
      </c>
      <c r="R1975" s="545">
        <f>'Foglio deposito bis'!$F$79*IF(ABS(L1975)&lt;'Sollecitazioni nel paramento'!$G$58,ABS(L1975)*'Sollecitazioni nel paramento'!$G$54,'Sollecitazioni nel paramento'!$G$53)*IF(L1975&lt;0,-1,1)</f>
        <v>-153664.85805602249</v>
      </c>
      <c r="S1975" s="545">
        <f>'Foglio deposito bis'!$F$80*IF(ABS(M1975)&lt;'Sollecitazioni nel paramento'!$G$58,ABS(M1975)*'Sollecitazioni nel paramento'!$G$54,'Sollecitazioni nel paramento'!$G$53)*IF(M1975&lt;0,-1,1)</f>
        <v>0</v>
      </c>
      <c r="T1975" s="545">
        <f>'Foglio deposito bis'!$F$81*IF(ABS(N1975)&lt;'Sollecitazioni nel paramento'!$G$58,ABS(N1975)*'Sollecitazioni nel paramento'!$G$54,'Sollecitazioni nel paramento'!$G$53)*IF(N1975&lt;0,-1,1)</f>
        <v>-398299.31208121032</v>
      </c>
      <c r="U1975" s="545">
        <f>'Foglio deposito bis'!$F$82*IF(ABS(O1975)&lt;'Sollecitazioni nel paramento'!$G$58,ABS(O1975)*'Sollecitazioni nel paramento'!$G$54,'Sollecitazioni nel paramento'!$G$53)*IF(O1975&lt;0,-1,1)</f>
        <v>90039.39655103875</v>
      </c>
      <c r="V1975" s="472">
        <f t="shared" si="139"/>
        <v>-23328348.923535708</v>
      </c>
      <c r="W1975" s="551"/>
      <c r="X1975" s="551"/>
    </row>
    <row r="1976" spans="1:24" x14ac:dyDescent="0.25">
      <c r="A1976" s="545">
        <f t="shared" si="138"/>
        <v>23701262.292206246</v>
      </c>
      <c r="B1976" s="3">
        <f t="shared" si="136"/>
        <v>66.899999999999949</v>
      </c>
      <c r="C1976" s="545">
        <f>'Foglio deposito bis'!$E$160/sezione!$B$247*B1976</f>
        <v>609.32385382988025</v>
      </c>
      <c r="D1976" s="603">
        <f>-'Sollecitazioni nel paramento'!$G$47*'Sollecitazioni nel paramento'!$G$41*IF(DATI!$G$211="dx",DATI!$E$61,DATI!$E$64*DATI!$E$63)*1000*C1976^2*sezione!$AD$5*(1-sezione!$AD$6)</f>
        <v>-8260379219.7701035</v>
      </c>
      <c r="E1976" s="545">
        <f>-'Foglio deposito bis'!$F$78*(C1976-sezione!$AL$34)*IF(ABS(K1976)&lt;'Sollecitazioni nel paramento'!$G$58,ABS(K1976)*'Sollecitazioni nel paramento'!$G$54,'Sollecitazioni nel paramento'!$G$53)</f>
        <v>0</v>
      </c>
      <c r="F1976" s="545">
        <f>-'Foglio deposito bis'!$F$79*(C1976-sezione!$AM$34)*IF(ABS(L1976)&lt;'Sollecitazioni nel paramento'!$G$58,ABS(L1976)*'Sollecitazioni nel paramento'!$G$54,'Sollecitazioni nel paramento'!$G$53)</f>
        <v>-84411772.025555804</v>
      </c>
      <c r="G1976" s="545">
        <f>-'Foglio deposito bis'!$F$80*(C1976-sezione!$AN$34)*IF(ABS(M1976)&lt;'Sollecitazioni nel paramento'!$G$58,ABS(M1976)*'Sollecitazioni nel paramento'!$G$54,'Sollecitazioni nel paramento'!$G$53)</f>
        <v>0</v>
      </c>
      <c r="H1976" s="545">
        <f>-'Foglio deposito bis'!$F$81*(C1976-sezione!$AO$34)*IF(ABS(N1976)&lt;'Sollecitazioni nel paramento'!$G$58,ABS(N1976)*'Sollecitazioni nel paramento'!$G$54,'Sollecitazioni nel paramento'!$G$53)</f>
        <v>-178965381.8821196</v>
      </c>
      <c r="I1976" s="472">
        <f>-'Foglio deposito bis'!$F$82*(C1976-sezione!$AP$34)*IF(ABS(O1976)&lt;'Sollecitazioni nel paramento'!$G$58,ABS(O1976)*'Sollecitazioni nel paramento'!$G$54,'Sollecitazioni nel paramento'!$G$53)</f>
        <v>1523053.1564207482</v>
      </c>
      <c r="J1976" s="472">
        <f t="shared" si="137"/>
        <v>-8522233320.5213575</v>
      </c>
      <c r="K1976" s="550">
        <f>'Sollecitazioni nel paramento'!$G$60*(sezione!$AL$34-C1976)/C1976</f>
        <v>-3.2702371257582719E-3</v>
      </c>
      <c r="L1976" s="550">
        <f>'Sollecitazioni nel paramento'!$G$60*(sezione!$AM$34-C1976)/C1976</f>
        <v>-3.1553556886374074E-3</v>
      </c>
      <c r="M1976" s="551">
        <f>'Sollecitazioni nel paramento'!$G$60*(sezione!$AN$34-C1976)/C1976</f>
        <v>-3.0404742515165437E-3</v>
      </c>
      <c r="N1976" s="551">
        <f>'Sollecitazioni nel paramento'!$G$60*(sezione!$AO$34-C1976)/C1976</f>
        <v>-2.580948503033087E-3</v>
      </c>
      <c r="O1976" s="551">
        <f>'Sollecitazioni nel paramento'!$G$60*(sezione!$AP$34-C1976)/C1976</f>
        <v>1.364553619316652E-4</v>
      </c>
      <c r="P1976" s="545">
        <f>-'Sollecitazioni nel paramento'!$G$47*'Sollecitazioni nel paramento'!$G$41*IF(DATI!$G$211="dx",DATI!$E$61,DATI!$E$64*DATI!$E$63)*1000*C1976*sezione!$AD$5</f>
        <v>-23213410.859356944</v>
      </c>
      <c r="Q1976" s="545">
        <f>'Foglio deposito bis'!$F$78*IF(ABS(K1976)&lt;'Sollecitazioni nel paramento'!$G$58,ABS(K1976)*'Sollecitazioni nel paramento'!$G$54,'Sollecitazioni nel paramento'!$G$53)*IF(K1976&lt;0,-1,1)</f>
        <v>0</v>
      </c>
      <c r="R1976" s="545">
        <f>'Foglio deposito bis'!$F$79*IF(ABS(L1976)&lt;'Sollecitazioni nel paramento'!$G$58,ABS(L1976)*'Sollecitazioni nel paramento'!$G$54,'Sollecitazioni nel paramento'!$G$53)*IF(L1976&lt;0,-1,1)</f>
        <v>-153664.85805602249</v>
      </c>
      <c r="S1976" s="545">
        <f>'Foglio deposito bis'!$F$80*IF(ABS(M1976)&lt;'Sollecitazioni nel paramento'!$G$58,ABS(M1976)*'Sollecitazioni nel paramento'!$G$54,'Sollecitazioni nel paramento'!$G$53)*IF(M1976&lt;0,-1,1)</f>
        <v>0</v>
      </c>
      <c r="T1976" s="545">
        <f>'Foglio deposito bis'!$F$81*IF(ABS(N1976)&lt;'Sollecitazioni nel paramento'!$G$58,ABS(N1976)*'Sollecitazioni nel paramento'!$G$54,'Sollecitazioni nel paramento'!$G$53)*IF(N1976&lt;0,-1,1)</f>
        <v>-398299.31208121032</v>
      </c>
      <c r="U1976" s="545">
        <f>'Foglio deposito bis'!$F$82*IF(ABS(O1976)&lt;'Sollecitazioni nel paramento'!$G$58,ABS(O1976)*'Sollecitazioni nel paramento'!$G$54,'Sollecitazioni nel paramento'!$G$53)*IF(O1976&lt;0,-1,1)</f>
        <v>64112.737287929529</v>
      </c>
      <c r="V1976" s="472">
        <f t="shared" si="139"/>
        <v>-23701262.292206246</v>
      </c>
      <c r="W1976" s="551"/>
      <c r="X1976" s="551"/>
    </row>
    <row r="1977" spans="1:24" x14ac:dyDescent="0.25">
      <c r="A1977" s="545">
        <f t="shared" si="138"/>
        <v>24073411.989028096</v>
      </c>
      <c r="B1977" s="3">
        <f t="shared" si="136"/>
        <v>67.899999999999949</v>
      </c>
      <c r="C1977" s="545">
        <f>'Foglio deposito bis'!$E$160/sezione!$B$247*B1977</f>
        <v>618.43183370775591</v>
      </c>
      <c r="D1977" s="603">
        <f>-'Sollecitazioni nel paramento'!$G$47*'Sollecitazioni nel paramento'!$G$41*IF(DATI!$G$211="dx",DATI!$E$61,DATI!$E$64*DATI!$E$63)*1000*C1977^2*sezione!$AD$5*(1-sezione!$AD$6)</f>
        <v>-8509171924.8594694</v>
      </c>
      <c r="E1977" s="545">
        <f>-'Foglio deposito bis'!$F$78*(C1977-sezione!$AL$34)*IF(ABS(K1977)&lt;'Sollecitazioni nel paramento'!$G$58,ABS(K1977)*'Sollecitazioni nel paramento'!$G$54,'Sollecitazioni nel paramento'!$G$53)</f>
        <v>0</v>
      </c>
      <c r="F1977" s="545">
        <f>-'Foglio deposito bis'!$F$79*(C1977-sezione!$AM$34)*IF(ABS(L1977)&lt;'Sollecitazioni nel paramento'!$G$58,ABS(L1977)*'Sollecitazioni nel paramento'!$G$54,'Sollecitazioni nel paramento'!$G$53)</f>
        <v>-85811348.460666671</v>
      </c>
      <c r="G1977" s="545">
        <f>-'Foglio deposito bis'!$F$80*(C1977-sezione!$AN$34)*IF(ABS(M1977)&lt;'Sollecitazioni nel paramento'!$G$58,ABS(M1977)*'Sollecitazioni nel paramento'!$G$54,'Sollecitazioni nel paramento'!$G$53)</f>
        <v>0</v>
      </c>
      <c r="H1977" s="545">
        <f>-'Foglio deposito bis'!$F$81*(C1977-sezione!$AO$34)*IF(ABS(N1977)&lt;'Sollecitazioni nel paramento'!$G$58,ABS(N1977)*'Sollecitazioni nel paramento'!$G$54,'Sollecitazioni nel paramento'!$G$53)</f>
        <v>-182593084.00192699</v>
      </c>
      <c r="I1977" s="472">
        <f>-'Foglio deposito bis'!$F$82*(C1977-sezione!$AP$34)*IF(ABS(O1977)&lt;'Sollecitazioni nel paramento'!$G$58,ABS(O1977)*'Sollecitazioni nel paramento'!$G$54,'Sollecitazioni nel paramento'!$G$53)</f>
        <v>570531.23363695189</v>
      </c>
      <c r="J1977" s="472">
        <f t="shared" si="137"/>
        <v>-8777005826.0884266</v>
      </c>
      <c r="K1977" s="550">
        <f>'Sollecitazioni nel paramento'!$G$60*(sezione!$AL$34-C1977)/C1977</f>
        <v>-3.2736209677942324E-3</v>
      </c>
      <c r="L1977" s="550">
        <f>'Sollecitazioni nel paramento'!$G$60*(sezione!$AM$34-C1977)/C1977</f>
        <v>-3.1604314516913484E-3</v>
      </c>
      <c r="M1977" s="551">
        <f>'Sollecitazioni nel paramento'!$G$60*(sezione!$AN$34-C1977)/C1977</f>
        <v>-3.0472419355884648E-3</v>
      </c>
      <c r="N1977" s="551">
        <f>'Sollecitazioni nel paramento'!$G$60*(sezione!$AO$34-C1977)/C1977</f>
        <v>-2.5944838711769295E-3</v>
      </c>
      <c r="O1977" s="551">
        <f>'Sollecitazioni nel paramento'!$G$60*(sezione!$AP$34-C1977)/C1977</f>
        <v>8.2899318309696493E-5</v>
      </c>
      <c r="P1977" s="545">
        <f>-'Sollecitazioni nel paramento'!$G$47*'Sollecitazioni nel paramento'!$G$41*IF(DATI!$G$211="dx",DATI!$E$61,DATI!$E$64*DATI!$E$63)*1000*C1977*sezione!$AD$5</f>
        <v>-23560397.568764374</v>
      </c>
      <c r="Q1977" s="545">
        <f>'Foglio deposito bis'!$F$78*IF(ABS(K1977)&lt;'Sollecitazioni nel paramento'!$G$58,ABS(K1977)*'Sollecitazioni nel paramento'!$G$54,'Sollecitazioni nel paramento'!$G$53)*IF(K1977&lt;0,-1,1)</f>
        <v>0</v>
      </c>
      <c r="R1977" s="545">
        <f>'Foglio deposito bis'!$F$79*IF(ABS(L1977)&lt;'Sollecitazioni nel paramento'!$G$58,ABS(L1977)*'Sollecitazioni nel paramento'!$G$54,'Sollecitazioni nel paramento'!$G$53)*IF(L1977&lt;0,-1,1)</f>
        <v>-153664.85805602249</v>
      </c>
      <c r="S1977" s="545">
        <f>'Foglio deposito bis'!$F$80*IF(ABS(M1977)&lt;'Sollecitazioni nel paramento'!$G$58,ABS(M1977)*'Sollecitazioni nel paramento'!$G$54,'Sollecitazioni nel paramento'!$G$53)*IF(M1977&lt;0,-1,1)</f>
        <v>0</v>
      </c>
      <c r="T1977" s="545">
        <f>'Foglio deposito bis'!$F$81*IF(ABS(N1977)&lt;'Sollecitazioni nel paramento'!$G$58,ABS(N1977)*'Sollecitazioni nel paramento'!$G$54,'Sollecitazioni nel paramento'!$G$53)*IF(N1977&lt;0,-1,1)</f>
        <v>-398299.31208121032</v>
      </c>
      <c r="U1977" s="545">
        <f>'Foglio deposito bis'!$F$82*IF(ABS(O1977)&lt;'Sollecitazioni nel paramento'!$G$58,ABS(O1977)*'Sollecitazioni nel paramento'!$G$54,'Sollecitazioni nel paramento'!$G$53)*IF(O1977&lt;0,-1,1)</f>
        <v>38949.749873512781</v>
      </c>
      <c r="V1977" s="472">
        <f t="shared" si="139"/>
        <v>-24073411.989028096</v>
      </c>
      <c r="W1977" s="551"/>
      <c r="X1977" s="551"/>
    </row>
    <row r="1978" spans="1:24" x14ac:dyDescent="0.25">
      <c r="A1978" s="545">
        <f t="shared" si="138"/>
        <v>24444831.265315417</v>
      </c>
      <c r="B1978" s="3">
        <f t="shared" si="136"/>
        <v>68.899999999999949</v>
      </c>
      <c r="C1978" s="545">
        <f>'Foglio deposito bis'!$E$160/sezione!$B$247*B1978</f>
        <v>627.53981358563158</v>
      </c>
      <c r="D1978" s="603">
        <f>-'Sollecitazioni nel paramento'!$G$47*'Sollecitazioni nel paramento'!$G$41*IF(DATI!$G$211="dx",DATI!$E$61,DATI!$E$64*DATI!$E$63)*1000*C1978^2*sezione!$AD$5*(1-sezione!$AD$6)</f>
        <v>-8761655916.3744926</v>
      </c>
      <c r="E1978" s="545">
        <f>-'Foglio deposito bis'!$F$78*(C1978-sezione!$AL$34)*IF(ABS(K1978)&lt;'Sollecitazioni nel paramento'!$G$58,ABS(K1978)*'Sollecitazioni nel paramento'!$G$54,'Sollecitazioni nel paramento'!$G$53)</f>
        <v>0</v>
      </c>
      <c r="F1978" s="545">
        <f>-'Foglio deposito bis'!$F$79*(C1978-sezione!$AM$34)*IF(ABS(L1978)&lt;'Sollecitazioni nel paramento'!$G$58,ABS(L1978)*'Sollecitazioni nel paramento'!$G$54,'Sollecitazioni nel paramento'!$G$53)</f>
        <v>-87210924.895777538</v>
      </c>
      <c r="G1978" s="545">
        <f>-'Foglio deposito bis'!$F$80*(C1978-sezione!$AN$34)*IF(ABS(M1978)&lt;'Sollecitazioni nel paramento'!$G$58,ABS(M1978)*'Sollecitazioni nel paramento'!$G$54,'Sollecitazioni nel paramento'!$G$53)</f>
        <v>0</v>
      </c>
      <c r="H1978" s="545">
        <f>-'Foglio deposito bis'!$F$81*(C1978-sezione!$AO$34)*IF(ABS(N1978)&lt;'Sollecitazioni nel paramento'!$G$58,ABS(N1978)*'Sollecitazioni nel paramento'!$G$54,'Sollecitazioni nel paramento'!$G$53)</f>
        <v>-186220786.12173438</v>
      </c>
      <c r="I1978" s="472">
        <f>-'Foglio deposito bis'!$F$82*(C1978-sezione!$AP$34)*IF(ABS(O1978)&lt;'Sollecitazioni nel paramento'!$G$58,ABS(O1978)*'Sollecitazioni nel paramento'!$G$54,'Sollecitazioni nel paramento'!$G$53)</f>
        <v>80423.733201857773</v>
      </c>
      <c r="J1978" s="472">
        <f t="shared" si="137"/>
        <v>-9035007203.658802</v>
      </c>
      <c r="K1978" s="550">
        <f>'Sollecitazioni nel paramento'!$G$60*(sezione!$AL$34-C1978)/C1978</f>
        <v>-3.2769065850976544E-3</v>
      </c>
      <c r="L1978" s="550">
        <f>'Sollecitazioni nel paramento'!$G$60*(sezione!$AM$34-C1978)/C1978</f>
        <v>-3.1653598776464815E-3</v>
      </c>
      <c r="M1978" s="551">
        <f>'Sollecitazioni nel paramento'!$G$60*(sezione!$AN$34-C1978)/C1978</f>
        <v>-3.0538131701953086E-3</v>
      </c>
      <c r="N1978" s="551">
        <f>'Sollecitazioni nel paramento'!$G$60*(sezione!$AO$34-C1978)/C1978</f>
        <v>-2.6076263403906172E-3</v>
      </c>
      <c r="O1978" s="551">
        <f>'Sollecitazioni nel paramento'!$G$60*(sezione!$AP$34-C1978)/C1978</f>
        <v>3.0897876824795095E-5</v>
      </c>
      <c r="P1978" s="545">
        <f>-'Sollecitazioni nel paramento'!$G$47*'Sollecitazioni nel paramento'!$G$41*IF(DATI!$G$211="dx",DATI!$E$61,DATI!$E$64*DATI!$E$63)*1000*C1978*sezione!$AD$5</f>
        <v>-23907384.278171804</v>
      </c>
      <c r="Q1978" s="545">
        <f>'Foglio deposito bis'!$F$78*IF(ABS(K1978)&lt;'Sollecitazioni nel paramento'!$G$58,ABS(K1978)*'Sollecitazioni nel paramento'!$G$54,'Sollecitazioni nel paramento'!$G$53)*IF(K1978&lt;0,-1,1)</f>
        <v>0</v>
      </c>
      <c r="R1978" s="545">
        <f>'Foglio deposito bis'!$F$79*IF(ABS(L1978)&lt;'Sollecitazioni nel paramento'!$G$58,ABS(L1978)*'Sollecitazioni nel paramento'!$G$54,'Sollecitazioni nel paramento'!$G$53)*IF(L1978&lt;0,-1,1)</f>
        <v>-153664.85805602249</v>
      </c>
      <c r="S1978" s="545">
        <f>'Foglio deposito bis'!$F$80*IF(ABS(M1978)&lt;'Sollecitazioni nel paramento'!$G$58,ABS(M1978)*'Sollecitazioni nel paramento'!$G$54,'Sollecitazioni nel paramento'!$G$53)*IF(M1978&lt;0,-1,1)</f>
        <v>0</v>
      </c>
      <c r="T1978" s="545">
        <f>'Foglio deposito bis'!$F$81*IF(ABS(N1978)&lt;'Sollecitazioni nel paramento'!$G$58,ABS(N1978)*'Sollecitazioni nel paramento'!$G$54,'Sollecitazioni nel paramento'!$G$53)*IF(N1978&lt;0,-1,1)</f>
        <v>-398299.31208121032</v>
      </c>
      <c r="U1978" s="545">
        <f>'Foglio deposito bis'!$F$82*IF(ABS(O1978)&lt;'Sollecitazioni nel paramento'!$G$58,ABS(O1978)*'Sollecitazioni nel paramento'!$G$54,'Sollecitazioni nel paramento'!$G$53)*IF(O1978&lt;0,-1,1)</f>
        <v>14517.182993621922</v>
      </c>
      <c r="V1978" s="472">
        <f t="shared" si="139"/>
        <v>-24444831.265315417</v>
      </c>
      <c r="W1978" s="551"/>
      <c r="X1978" s="551"/>
    </row>
    <row r="1979" spans="1:24" x14ac:dyDescent="0.25">
      <c r="A1979" s="545">
        <f t="shared" si="138"/>
        <v>24815551.469589002</v>
      </c>
      <c r="B1979" s="3">
        <f t="shared" si="136"/>
        <v>69.899999999999949</v>
      </c>
      <c r="C1979" s="545">
        <f>'Foglio deposito bis'!$E$160/sezione!$B$247*B1979</f>
        <v>636.64779346350724</v>
      </c>
      <c r="D1979" s="603">
        <f>-'Sollecitazioni nel paramento'!$G$47*'Sollecitazioni nel paramento'!$G$41*IF(DATI!$G$211="dx",DATI!$E$61,DATI!$E$64*DATI!$E$63)*1000*C1979^2*sezione!$AD$5*(1-sezione!$AD$6)</f>
        <v>-9017831194.3151741</v>
      </c>
      <c r="E1979" s="545">
        <f>-'Foglio deposito bis'!$F$78*(C1979-sezione!$AL$34)*IF(ABS(K1979)&lt;'Sollecitazioni nel paramento'!$G$58,ABS(K1979)*'Sollecitazioni nel paramento'!$G$54,'Sollecitazioni nel paramento'!$G$53)</f>
        <v>0</v>
      </c>
      <c r="F1979" s="545">
        <f>-'Foglio deposito bis'!$F$79*(C1979-sezione!$AM$34)*IF(ABS(L1979)&lt;'Sollecitazioni nel paramento'!$G$58,ABS(L1979)*'Sollecitazioni nel paramento'!$G$54,'Sollecitazioni nel paramento'!$G$53)</f>
        <v>-88610501.33088842</v>
      </c>
      <c r="G1979" s="545">
        <f>-'Foglio deposito bis'!$F$80*(C1979-sezione!$AN$34)*IF(ABS(M1979)&lt;'Sollecitazioni nel paramento'!$G$58,ABS(M1979)*'Sollecitazioni nel paramento'!$G$54,'Sollecitazioni nel paramento'!$G$53)</f>
        <v>0</v>
      </c>
      <c r="H1979" s="545">
        <f>-'Foglio deposito bis'!$F$81*(C1979-sezione!$AO$34)*IF(ABS(N1979)&lt;'Sollecitazioni nel paramento'!$G$58,ABS(N1979)*'Sollecitazioni nel paramento'!$G$54,'Sollecitazioni nel paramento'!$G$53)</f>
        <v>-189848488.24154174</v>
      </c>
      <c r="I1979" s="472">
        <f>-'Foglio deposito bis'!$F$82*(C1979-sezione!$AP$34)*IF(ABS(O1979)&lt;'Sollecitazioni nel paramento'!$G$58,ABS(O1979)*'Sollecitazioni nel paramento'!$G$54,'Sollecitazioni nel paramento'!$G$53)</f>
        <v>-32884.542568310848</v>
      </c>
      <c r="J1979" s="472">
        <f t="shared" si="137"/>
        <v>-9296323068.430172</v>
      </c>
      <c r="K1979" s="550">
        <f>'Sollecitazioni nel paramento'!$G$60*(sezione!$AL$34-C1979)/C1979</f>
        <v>-3.2800981933222948E-3</v>
      </c>
      <c r="L1979" s="550">
        <f>'Sollecitazioni nel paramento'!$G$60*(sezione!$AM$34-C1979)/C1979</f>
        <v>-3.1701472899834421E-3</v>
      </c>
      <c r="M1979" s="551">
        <f>'Sollecitazioni nel paramento'!$G$60*(sezione!$AN$34-C1979)/C1979</f>
        <v>-3.060196386644589E-3</v>
      </c>
      <c r="N1979" s="551">
        <f>'Sollecitazioni nel paramento'!$G$60*(sezione!$AO$34-C1979)/C1979</f>
        <v>-2.6203927732891775E-3</v>
      </c>
      <c r="O1979" s="551">
        <f>'Sollecitazioni nel paramento'!$G$60*(sezione!$AP$34-C1979)/C1979</f>
        <v>-1.9615683644801533E-5</v>
      </c>
      <c r="P1979" s="545">
        <f>-'Sollecitazioni nel paramento'!$G$47*'Sollecitazioni nel paramento'!$G$41*IF(DATI!$G$211="dx",DATI!$E$61,DATI!$E$64*DATI!$E$63)*1000*C1979*sezione!$AD$5</f>
        <v>-24254370.98757923</v>
      </c>
      <c r="Q1979" s="545">
        <f>'Foglio deposito bis'!$F$78*IF(ABS(K1979)&lt;'Sollecitazioni nel paramento'!$G$58,ABS(K1979)*'Sollecitazioni nel paramento'!$G$54,'Sollecitazioni nel paramento'!$G$53)*IF(K1979&lt;0,-1,1)</f>
        <v>0</v>
      </c>
      <c r="R1979" s="545">
        <f>'Foglio deposito bis'!$F$79*IF(ABS(L1979)&lt;'Sollecitazioni nel paramento'!$G$58,ABS(L1979)*'Sollecitazioni nel paramento'!$G$54,'Sollecitazioni nel paramento'!$G$53)*IF(L1979&lt;0,-1,1)</f>
        <v>-153664.85805602249</v>
      </c>
      <c r="S1979" s="545">
        <f>'Foglio deposito bis'!$F$80*IF(ABS(M1979)&lt;'Sollecitazioni nel paramento'!$G$58,ABS(M1979)*'Sollecitazioni nel paramento'!$G$54,'Sollecitazioni nel paramento'!$G$53)*IF(M1979&lt;0,-1,1)</f>
        <v>0</v>
      </c>
      <c r="T1979" s="545">
        <f>'Foglio deposito bis'!$F$81*IF(ABS(N1979)&lt;'Sollecitazioni nel paramento'!$G$58,ABS(N1979)*'Sollecitazioni nel paramento'!$G$54,'Sollecitazioni nel paramento'!$G$53)*IF(N1979&lt;0,-1,1)</f>
        <v>-398299.31208121032</v>
      </c>
      <c r="U1979" s="545">
        <f>'Foglio deposito bis'!$F$82*IF(ABS(O1979)&lt;'Sollecitazioni nel paramento'!$G$58,ABS(O1979)*'Sollecitazioni nel paramento'!$G$54,'Sollecitazioni nel paramento'!$G$53)*IF(O1979&lt;0,-1,1)</f>
        <v>-9216.3118725381519</v>
      </c>
      <c r="V1979" s="472">
        <f t="shared" si="139"/>
        <v>-24815551.469589002</v>
      </c>
      <c r="W1979" s="551"/>
      <c r="X1979" s="551"/>
    </row>
    <row r="1980" spans="1:24" x14ac:dyDescent="0.25">
      <c r="A1980" s="545">
        <f t="shared" si="138"/>
        <v>25185602.181764815</v>
      </c>
      <c r="B1980" s="3">
        <f t="shared" si="136"/>
        <v>70.899999999999949</v>
      </c>
      <c r="C1980" s="545">
        <f>'Foglio deposito bis'!$E$160/sezione!$B$247*B1980</f>
        <v>645.75577334138291</v>
      </c>
      <c r="D1980" s="603">
        <f>-'Sollecitazioni nel paramento'!$G$47*'Sollecitazioni nel paramento'!$G$41*IF(DATI!$G$211="dx",DATI!$E$61,DATI!$E$64*DATI!$E$63)*1000*C1980^2*sezione!$AD$5*(1-sezione!$AD$6)</f>
        <v>-9277697758.6815147</v>
      </c>
      <c r="E1980" s="545">
        <f>-'Foglio deposito bis'!$F$78*(C1980-sezione!$AL$34)*IF(ABS(K1980)&lt;'Sollecitazioni nel paramento'!$G$58,ABS(K1980)*'Sollecitazioni nel paramento'!$G$54,'Sollecitazioni nel paramento'!$G$53)</f>
        <v>0</v>
      </c>
      <c r="F1980" s="545">
        <f>-'Foglio deposito bis'!$F$79*(C1980-sezione!$AM$34)*IF(ABS(L1980)&lt;'Sollecitazioni nel paramento'!$G$58,ABS(L1980)*'Sollecitazioni nel paramento'!$G$54,'Sollecitazioni nel paramento'!$G$53)</f>
        <v>-90010077.765999287</v>
      </c>
      <c r="G1980" s="545">
        <f>-'Foglio deposito bis'!$F$80*(C1980-sezione!$AN$34)*IF(ABS(M1980)&lt;'Sollecitazioni nel paramento'!$G$58,ABS(M1980)*'Sollecitazioni nel paramento'!$G$54,'Sollecitazioni nel paramento'!$G$53)</f>
        <v>0</v>
      </c>
      <c r="H1980" s="545">
        <f>-'Foglio deposito bis'!$F$81*(C1980-sezione!$AO$34)*IF(ABS(N1980)&lt;'Sollecitazioni nel paramento'!$G$58,ABS(N1980)*'Sollecitazioni nel paramento'!$G$54,'Sollecitazioni nel paramento'!$G$53)</f>
        <v>-193476190.36134914</v>
      </c>
      <c r="I1980" s="472">
        <f>-'Foglio deposito bis'!$F$82*(C1980-sezione!$AP$34)*IF(ABS(O1980)&lt;'Sollecitazioni nel paramento'!$G$58,ABS(O1980)*'Sollecitazioni nel paramento'!$G$54,'Sollecitazioni nel paramento'!$G$53)</f>
        <v>-409187.21703384793</v>
      </c>
      <c r="J1980" s="472">
        <f t="shared" si="137"/>
        <v>-9561593214.0258961</v>
      </c>
      <c r="K1980" s="550">
        <f>'Sollecitazioni nel paramento'!$G$60*(sezione!$AL$34-C1980)/C1980</f>
        <v>-3.2831997702853087E-3</v>
      </c>
      <c r="L1980" s="550">
        <f>'Sollecitazioni nel paramento'!$G$60*(sezione!$AM$34-C1980)/C1980</f>
        <v>-3.1747996554279626E-3</v>
      </c>
      <c r="M1980" s="551">
        <f>'Sollecitazioni nel paramento'!$G$60*(sezione!$AN$34-C1980)/C1980</f>
        <v>-3.0663995405706174E-3</v>
      </c>
      <c r="N1980" s="551">
        <f>'Sollecitazioni nel paramento'!$G$60*(sezione!$AO$34-C1980)/C1980</f>
        <v>-2.6327990811412343E-3</v>
      </c>
      <c r="O1980" s="551">
        <f>'Sollecitazioni nel paramento'!$G$60*(sezione!$AP$34-C1980)/C1980</f>
        <v>-6.87043199826747E-5</v>
      </c>
      <c r="P1980" s="545">
        <f>-'Sollecitazioni nel paramento'!$G$47*'Sollecitazioni nel paramento'!$G$41*IF(DATI!$G$211="dx",DATI!$E$61,DATI!$E$64*DATI!$E$63)*1000*C1980*sezione!$AD$5</f>
        <v>-24601357.69698666</v>
      </c>
      <c r="Q1980" s="545">
        <f>'Foglio deposito bis'!$F$78*IF(ABS(K1980)&lt;'Sollecitazioni nel paramento'!$G$58,ABS(K1980)*'Sollecitazioni nel paramento'!$G$54,'Sollecitazioni nel paramento'!$G$53)*IF(K1980&lt;0,-1,1)</f>
        <v>0</v>
      </c>
      <c r="R1980" s="545">
        <f>'Foglio deposito bis'!$F$79*IF(ABS(L1980)&lt;'Sollecitazioni nel paramento'!$G$58,ABS(L1980)*'Sollecitazioni nel paramento'!$G$54,'Sollecitazioni nel paramento'!$G$53)*IF(L1980&lt;0,-1,1)</f>
        <v>-153664.85805602249</v>
      </c>
      <c r="S1980" s="545">
        <f>'Foglio deposito bis'!$F$80*IF(ABS(M1980)&lt;'Sollecitazioni nel paramento'!$G$58,ABS(M1980)*'Sollecitazioni nel paramento'!$G$54,'Sollecitazioni nel paramento'!$G$53)*IF(M1980&lt;0,-1,1)</f>
        <v>0</v>
      </c>
      <c r="T1980" s="545">
        <f>'Foglio deposito bis'!$F$81*IF(ABS(N1980)&lt;'Sollecitazioni nel paramento'!$G$58,ABS(N1980)*'Sollecitazioni nel paramento'!$G$54,'Sollecitazioni nel paramento'!$G$53)*IF(N1980&lt;0,-1,1)</f>
        <v>-398299.31208121032</v>
      </c>
      <c r="U1980" s="545">
        <f>'Foglio deposito bis'!$F$82*IF(ABS(O1980)&lt;'Sollecitazioni nel paramento'!$G$58,ABS(O1980)*'Sollecitazioni nel paramento'!$G$54,'Sollecitazioni nel paramento'!$G$53)*IF(O1980&lt;0,-1,1)</f>
        <v>-32280.314640922203</v>
      </c>
      <c r="V1980" s="472">
        <f t="shared" si="139"/>
        <v>-25185602.181764815</v>
      </c>
      <c r="W1980" s="551"/>
      <c r="X1980" s="551"/>
    </row>
    <row r="1981" spans="1:24" x14ac:dyDescent="0.25">
      <c r="A1981" s="545">
        <f t="shared" si="138"/>
        <v>25555011.336144563</v>
      </c>
      <c r="B1981" s="3">
        <f t="shared" si="136"/>
        <v>71.899999999999949</v>
      </c>
      <c r="C1981" s="545">
        <f>'Foglio deposito bis'!$E$160/sezione!$B$247*B1981</f>
        <v>654.86375321925846</v>
      </c>
      <c r="D1981" s="603">
        <f>-'Sollecitazioni nel paramento'!$G$47*'Sollecitazioni nel paramento'!$G$41*IF(DATI!$G$211="dx",DATI!$E$61,DATI!$E$64*DATI!$E$63)*1000*C1981^2*sezione!$AD$5*(1-sezione!$AD$6)</f>
        <v>-9541255609.4735088</v>
      </c>
      <c r="E1981" s="545">
        <f>-'Foglio deposito bis'!$F$78*(C1981-sezione!$AL$34)*IF(ABS(K1981)&lt;'Sollecitazioni nel paramento'!$G$58,ABS(K1981)*'Sollecitazioni nel paramento'!$G$54,'Sollecitazioni nel paramento'!$G$53)</f>
        <v>0</v>
      </c>
      <c r="F1981" s="545">
        <f>-'Foglio deposito bis'!$F$79*(C1981-sezione!$AM$34)*IF(ABS(L1981)&lt;'Sollecitazioni nel paramento'!$G$58,ABS(L1981)*'Sollecitazioni nel paramento'!$G$54,'Sollecitazioni nel paramento'!$G$53)</f>
        <v>-91409654.201110139</v>
      </c>
      <c r="G1981" s="545">
        <f>-'Foglio deposito bis'!$F$80*(C1981-sezione!$AN$34)*IF(ABS(M1981)&lt;'Sollecitazioni nel paramento'!$G$58,ABS(M1981)*'Sollecitazioni nel paramento'!$G$54,'Sollecitazioni nel paramento'!$G$53)</f>
        <v>0</v>
      </c>
      <c r="H1981" s="545">
        <f>-'Foglio deposito bis'!$F$81*(C1981-sezione!$AO$34)*IF(ABS(N1981)&lt;'Sollecitazioni nel paramento'!$G$58,ABS(N1981)*'Sollecitazioni nel paramento'!$G$54,'Sollecitazioni nel paramento'!$G$53)</f>
        <v>-197103892.48115647</v>
      </c>
      <c r="I1981" s="472">
        <f>-'Foglio deposito bis'!$F$82*(C1981-sezione!$AP$34)*IF(ABS(O1981)&lt;'Sollecitazioni nel paramento'!$G$58,ABS(O1981)*'Sollecitazioni nel paramento'!$G$54,'Sollecitazioni nel paramento'!$G$53)</f>
        <v>-1191647.1168863948</v>
      </c>
      <c r="J1981" s="472">
        <f t="shared" si="137"/>
        <v>-9830960803.2726631</v>
      </c>
      <c r="K1981" s="550">
        <f>'Sollecitazioni nel paramento'!$G$60*(sezione!$AL$34-C1981)/C1981</f>
        <v>-3.2862150725066538E-3</v>
      </c>
      <c r="L1981" s="550">
        <f>'Sollecitazioni nel paramento'!$G$60*(sezione!$AM$34-C1981)/C1981</f>
        <v>-3.17932260875998E-3</v>
      </c>
      <c r="M1981" s="551">
        <f>'Sollecitazioni nel paramento'!$G$60*(sezione!$AN$34-C1981)/C1981</f>
        <v>-3.0724301450133066E-3</v>
      </c>
      <c r="N1981" s="551">
        <f>'Sollecitazioni nel paramento'!$G$60*(sezione!$AO$34-C1981)/C1981</f>
        <v>-2.6448602900266136E-3</v>
      </c>
      <c r="O1981" s="551">
        <f>'Sollecitazioni nel paramento'!$G$60*(sezione!$AP$34-C1981)/C1981</f>
        <v>-1.1642748660322118E-4</v>
      </c>
      <c r="P1981" s="545">
        <f>-'Sollecitazioni nel paramento'!$G$47*'Sollecitazioni nel paramento'!$G$41*IF(DATI!$G$211="dx",DATI!$E$61,DATI!$E$64*DATI!$E$63)*1000*C1981*sezione!$AD$5</f>
        <v>-24948344.406394083</v>
      </c>
      <c r="Q1981" s="545">
        <f>'Foglio deposito bis'!$F$78*IF(ABS(K1981)&lt;'Sollecitazioni nel paramento'!$G$58,ABS(K1981)*'Sollecitazioni nel paramento'!$G$54,'Sollecitazioni nel paramento'!$G$53)*IF(K1981&lt;0,-1,1)</f>
        <v>0</v>
      </c>
      <c r="R1981" s="545">
        <f>'Foglio deposito bis'!$F$79*IF(ABS(L1981)&lt;'Sollecitazioni nel paramento'!$G$58,ABS(L1981)*'Sollecitazioni nel paramento'!$G$54,'Sollecitazioni nel paramento'!$G$53)*IF(L1981&lt;0,-1,1)</f>
        <v>-153664.85805602249</v>
      </c>
      <c r="S1981" s="545">
        <f>'Foglio deposito bis'!$F$80*IF(ABS(M1981)&lt;'Sollecitazioni nel paramento'!$G$58,ABS(M1981)*'Sollecitazioni nel paramento'!$G$54,'Sollecitazioni nel paramento'!$G$53)*IF(M1981&lt;0,-1,1)</f>
        <v>0</v>
      </c>
      <c r="T1981" s="545">
        <f>'Foglio deposito bis'!$F$81*IF(ABS(N1981)&lt;'Sollecitazioni nel paramento'!$G$58,ABS(N1981)*'Sollecitazioni nel paramento'!$G$54,'Sollecitazioni nel paramento'!$G$53)*IF(N1981&lt;0,-1,1)</f>
        <v>-398299.31208121032</v>
      </c>
      <c r="U1981" s="545">
        <f>'Foglio deposito bis'!$F$82*IF(ABS(O1981)&lt;'Sollecitazioni nel paramento'!$G$58,ABS(O1981)*'Sollecitazioni nel paramento'!$G$54,'Sollecitazioni nel paramento'!$G$53)*IF(O1981&lt;0,-1,1)</f>
        <v>-54702.759613245216</v>
      </c>
      <c r="V1981" s="472">
        <f t="shared" si="139"/>
        <v>-25555011.336144563</v>
      </c>
      <c r="W1981" s="551"/>
      <c r="X1981" s="551"/>
    </row>
    <row r="1982" spans="1:24" x14ac:dyDescent="0.25">
      <c r="A1982" s="545">
        <f t="shared" si="138"/>
        <v>25923805.33428365</v>
      </c>
      <c r="B1982" s="3">
        <f t="shared" si="136"/>
        <v>72.899999999999949</v>
      </c>
      <c r="C1982" s="545">
        <f>'Foglio deposito bis'!$E$160/sezione!$B$247*B1982</f>
        <v>663.97173309713412</v>
      </c>
      <c r="D1982" s="603">
        <f>-'Sollecitazioni nel paramento'!$G$47*'Sollecitazioni nel paramento'!$G$41*IF(DATI!$G$211="dx",DATI!$E$61,DATI!$E$64*DATI!$E$63)*1000*C1982^2*sezione!$AD$5*(1-sezione!$AD$6)</f>
        <v>-9808504746.691164</v>
      </c>
      <c r="E1982" s="545">
        <f>-'Foglio deposito bis'!$F$78*(C1982-sezione!$AL$34)*IF(ABS(K1982)&lt;'Sollecitazioni nel paramento'!$G$58,ABS(K1982)*'Sollecitazioni nel paramento'!$G$54,'Sollecitazioni nel paramento'!$G$53)</f>
        <v>0</v>
      </c>
      <c r="F1982" s="545">
        <f>-'Foglio deposito bis'!$F$79*(C1982-sezione!$AM$34)*IF(ABS(L1982)&lt;'Sollecitazioni nel paramento'!$G$58,ABS(L1982)*'Sollecitazioni nel paramento'!$G$54,'Sollecitazioni nel paramento'!$G$53)</f>
        <v>-92809230.636221021</v>
      </c>
      <c r="G1982" s="545">
        <f>-'Foglio deposito bis'!$F$80*(C1982-sezione!$AN$34)*IF(ABS(M1982)&lt;'Sollecitazioni nel paramento'!$G$58,ABS(M1982)*'Sollecitazioni nel paramento'!$G$54,'Sollecitazioni nel paramento'!$G$53)</f>
        <v>0</v>
      </c>
      <c r="H1982" s="545">
        <f>-'Foglio deposito bis'!$F$81*(C1982-sezione!$AO$34)*IF(ABS(N1982)&lt;'Sollecitazioni nel paramento'!$G$58,ABS(N1982)*'Sollecitazioni nel paramento'!$G$54,'Sollecitazioni nel paramento'!$G$53)</f>
        <v>-200731594.60096386</v>
      </c>
      <c r="I1982" s="472">
        <f>-'Foglio deposito bis'!$F$82*(C1982-sezione!$AP$34)*IF(ABS(O1982)&lt;'Sollecitazioni nel paramento'!$G$58,ABS(O1982)*'Sollecitazioni nel paramento'!$G$54,'Sollecitazioni nel paramento'!$G$53)</f>
        <v>-2363549.953015394</v>
      </c>
      <c r="J1982" s="472">
        <f t="shared" si="137"/>
        <v>-10104409121.881365</v>
      </c>
      <c r="K1982" s="550">
        <f>'Sollecitazioni nel paramento'!$G$60*(sezione!$AL$34-C1982)/C1982</f>
        <v>-3.2891476503872207E-3</v>
      </c>
      <c r="L1982" s="550">
        <f>'Sollecitazioni nel paramento'!$G$60*(sezione!$AM$34-C1982)/C1982</f>
        <v>-3.1837214755808308E-3</v>
      </c>
      <c r="M1982" s="551">
        <f>'Sollecitazioni nel paramento'!$G$60*(sezione!$AN$34-C1982)/C1982</f>
        <v>-3.0782953007744414E-3</v>
      </c>
      <c r="N1982" s="551">
        <f>'Sollecitazioni nel paramento'!$G$60*(sezione!$AO$34-C1982)/C1982</f>
        <v>-2.6565906015488822E-3</v>
      </c>
      <c r="O1982" s="551">
        <f>'Sollecitazioni nel paramento'!$G$60*(sezione!$AP$34-C1982)/C1982</f>
        <v>-1.6284137567587945E-4</v>
      </c>
      <c r="P1982" s="545">
        <f>-'Sollecitazioni nel paramento'!$G$47*'Sollecitazioni nel paramento'!$G$41*IF(DATI!$G$211="dx",DATI!$E$61,DATI!$E$64*DATI!$E$63)*1000*C1982*sezione!$AD$5</f>
        <v>-25295331.115801513</v>
      </c>
      <c r="Q1982" s="545">
        <f>'Foglio deposito bis'!$F$78*IF(ABS(K1982)&lt;'Sollecitazioni nel paramento'!$G$58,ABS(K1982)*'Sollecitazioni nel paramento'!$G$54,'Sollecitazioni nel paramento'!$G$53)*IF(K1982&lt;0,-1,1)</f>
        <v>0</v>
      </c>
      <c r="R1982" s="545">
        <f>'Foglio deposito bis'!$F$79*IF(ABS(L1982)&lt;'Sollecitazioni nel paramento'!$G$58,ABS(L1982)*'Sollecitazioni nel paramento'!$G$54,'Sollecitazioni nel paramento'!$G$53)*IF(L1982&lt;0,-1,1)</f>
        <v>-153664.85805602249</v>
      </c>
      <c r="S1982" s="545">
        <f>'Foglio deposito bis'!$F$80*IF(ABS(M1982)&lt;'Sollecitazioni nel paramento'!$G$58,ABS(M1982)*'Sollecitazioni nel paramento'!$G$54,'Sollecitazioni nel paramento'!$G$53)*IF(M1982&lt;0,-1,1)</f>
        <v>0</v>
      </c>
      <c r="T1982" s="545">
        <f>'Foglio deposito bis'!$F$81*IF(ABS(N1982)&lt;'Sollecitazioni nel paramento'!$G$58,ABS(N1982)*'Sollecitazioni nel paramento'!$G$54,'Sollecitazioni nel paramento'!$G$53)*IF(N1982&lt;0,-1,1)</f>
        <v>-398299.31208121032</v>
      </c>
      <c r="U1982" s="545">
        <f>'Foglio deposito bis'!$F$82*IF(ABS(O1982)&lt;'Sollecitazioni nel paramento'!$G$58,ABS(O1982)*'Sollecitazioni nel paramento'!$G$54,'Sollecitazioni nel paramento'!$G$53)*IF(O1982&lt;0,-1,1)</f>
        <v>-76510.04834490121</v>
      </c>
      <c r="V1982" s="472">
        <f t="shared" si="139"/>
        <v>-25923805.33428365</v>
      </c>
      <c r="W1982" s="551"/>
      <c r="X1982" s="551"/>
    </row>
    <row r="1983" spans="1:24" x14ac:dyDescent="0.25">
      <c r="A1983" s="545">
        <f t="shared" si="138"/>
        <v>26292009.148695216</v>
      </c>
      <c r="B1983" s="3">
        <f t="shared" si="136"/>
        <v>73.899999999999949</v>
      </c>
      <c r="C1983" s="545">
        <f>'Foglio deposito bis'!$E$160/sezione!$B$247*B1983</f>
        <v>673.07971297500978</v>
      </c>
      <c r="D1983" s="31">
        <f>-'Sollecitazioni nel paramento'!$G$47*'Sollecitazioni nel paramento'!$G$41*IF(DATI!$G$211="dx",DATI!$E$61,DATI!$E$64*DATI!$E$63)*1000*C1983^2*sezione!$AD$5*(1-sezione!$AD$6)</f>
        <v>-10079445170.334478</v>
      </c>
      <c r="E1983" s="545">
        <f>-'Foglio deposito bis'!$F$78*(C1983-sezione!$AL$34)*IF(ABS(K1983)&lt;'Sollecitazioni nel paramento'!$G$58,ABS(K1983)*'Sollecitazioni nel paramento'!$G$54,'Sollecitazioni nel paramento'!$G$53)</f>
        <v>0</v>
      </c>
      <c r="F1983" s="545">
        <f>-'Foglio deposito bis'!$F$79*(C1983-sezione!$AM$34)*IF(ABS(L1983)&lt;'Sollecitazioni nel paramento'!$G$58,ABS(L1983)*'Sollecitazioni nel paramento'!$G$54,'Sollecitazioni nel paramento'!$G$53)</f>
        <v>-94208807.071331888</v>
      </c>
      <c r="G1983" s="545">
        <f>-'Foglio deposito bis'!$F$80*(C1983-sezione!$AN$34)*IF(ABS(M1983)&lt;'Sollecitazioni nel paramento'!$G$58,ABS(M1983)*'Sollecitazioni nel paramento'!$G$54,'Sollecitazioni nel paramento'!$G$53)</f>
        <v>0</v>
      </c>
      <c r="H1983" s="545">
        <f>-'Foglio deposito bis'!$F$81*(C1983-sezione!$AO$34)*IF(ABS(N1983)&lt;'Sollecitazioni nel paramento'!$G$58,ABS(N1983)*'Sollecitazioni nel paramento'!$G$54,'Sollecitazioni nel paramento'!$G$53)</f>
        <v>-204359296.72077125</v>
      </c>
      <c r="I1983" s="472">
        <f>-'Foglio deposito bis'!$F$82*(C1983-sezione!$AP$34)*IF(ABS(O1983)&lt;'Sollecitazioni nel paramento'!$G$58,ABS(O1983)*'Sollecitazioni nel paramento'!$G$54,'Sollecitazioni nel paramento'!$G$53)</f>
        <v>-3909086.1339617139</v>
      </c>
      <c r="J1983" s="472">
        <f t="shared" si="137"/>
        <v>-10381922360.260544</v>
      </c>
      <c r="K1983" s="550">
        <f>'Sollecitazioni nel paramento'!$G$60*(sezione!$AL$34-C1983)/C1983</f>
        <v>-3.2920008621546469E-3</v>
      </c>
      <c r="L1983" s="550">
        <f>'Sollecitazioni nel paramento'!$G$60*(sezione!$AM$34-C1983)/C1983</f>
        <v>-3.1880012932319697E-3</v>
      </c>
      <c r="M1983" s="551">
        <f>'Sollecitazioni nel paramento'!$G$60*(sezione!$AN$34-C1983)/C1983</f>
        <v>-3.0840017243092934E-3</v>
      </c>
      <c r="N1983" s="551">
        <f>'Sollecitazioni nel paramento'!$G$60*(sezione!$AO$34-C1983)/C1983</f>
        <v>-2.6680034486185862E-3</v>
      </c>
      <c r="O1983" s="551">
        <f>'Sollecitazioni nel paramento'!$G$60*(sezione!$AP$34-C1983)/C1983</f>
        <v>-2.0799913784535348E-4</v>
      </c>
      <c r="P1983" s="545">
        <f>-'Sollecitazioni nel paramento'!$G$47*'Sollecitazioni nel paramento'!$G$41*IF(DATI!$G$211="dx",DATI!$E$61,DATI!$E$64*DATI!$E$63)*1000*C1983*sezione!$AD$5</f>
        <v>-25642317.82520894</v>
      </c>
      <c r="Q1983" s="545">
        <f>'Foglio deposito bis'!$F$78*IF(ABS(K1983)&lt;'Sollecitazioni nel paramento'!$G$58,ABS(K1983)*'Sollecitazioni nel paramento'!$G$54,'Sollecitazioni nel paramento'!$G$53)*IF(K1983&lt;0,-1,1)</f>
        <v>0</v>
      </c>
      <c r="R1983" s="545">
        <f>'Foglio deposito bis'!$F$79*IF(ABS(L1983)&lt;'Sollecitazioni nel paramento'!$G$58,ABS(L1983)*'Sollecitazioni nel paramento'!$G$54,'Sollecitazioni nel paramento'!$G$53)*IF(L1983&lt;0,-1,1)</f>
        <v>-153664.85805602249</v>
      </c>
      <c r="S1983" s="545">
        <f>'Foglio deposito bis'!$F$80*IF(ABS(M1983)&lt;'Sollecitazioni nel paramento'!$G$58,ABS(M1983)*'Sollecitazioni nel paramento'!$G$54,'Sollecitazioni nel paramento'!$G$53)*IF(M1983&lt;0,-1,1)</f>
        <v>0</v>
      </c>
      <c r="T1983" s="545">
        <f>'Foglio deposito bis'!$F$81*IF(ABS(N1983)&lt;'Sollecitazioni nel paramento'!$G$58,ABS(N1983)*'Sollecitazioni nel paramento'!$G$54,'Sollecitazioni nel paramento'!$G$53)*IF(N1983&lt;0,-1,1)</f>
        <v>-398299.31208121032</v>
      </c>
      <c r="U1983" s="545">
        <f>'Foglio deposito bis'!$F$82*IF(ABS(O1983)&lt;'Sollecitazioni nel paramento'!$G$58,ABS(O1983)*'Sollecitazioni nel paramento'!$G$54,'Sollecitazioni nel paramento'!$G$53)*IF(O1983&lt;0,-1,1)</f>
        <v>-97727.153349042856</v>
      </c>
      <c r="V1983" s="472">
        <f t="shared" si="139"/>
        <v>-26292009.148695216</v>
      </c>
      <c r="W1983" s="551"/>
      <c r="X1983" s="551"/>
    </row>
    <row r="1984" spans="1:24" x14ac:dyDescent="0.25">
      <c r="P1984" s="545"/>
      <c r="Q1984" s="545"/>
      <c r="R1984" s="545"/>
      <c r="S1984" s="545"/>
      <c r="T1984" s="545"/>
      <c r="U1984" s="545"/>
      <c r="V1984" s="472"/>
    </row>
    <row r="1985" spans="1:24" x14ac:dyDescent="0.25">
      <c r="P1985" s="545"/>
      <c r="Q1985" s="545"/>
      <c r="R1985" s="545"/>
      <c r="S1985" s="545"/>
      <c r="T1985" s="545"/>
      <c r="U1985" s="545"/>
      <c r="V1985" s="472"/>
    </row>
    <row r="1986" spans="1:24" ht="15.75" x14ac:dyDescent="0.25">
      <c r="A1986" s="1035" t="s">
        <v>958</v>
      </c>
      <c r="B1986" s="1036"/>
      <c r="C1986" s="1036"/>
      <c r="D1986" s="1036"/>
      <c r="E1986" s="1036"/>
      <c r="F1986" s="1036"/>
      <c r="G1986" s="1036"/>
      <c r="H1986" s="1036"/>
      <c r="I1986" s="1036"/>
      <c r="J1986" s="1036"/>
      <c r="K1986" s="1036"/>
      <c r="L1986" s="1036"/>
      <c r="M1986" s="1036"/>
      <c r="N1986" s="1036"/>
      <c r="O1986" s="1037"/>
      <c r="P1986" s="545"/>
      <c r="Q1986" s="545"/>
      <c r="R1986" s="545"/>
      <c r="S1986" s="545"/>
      <c r="T1986" s="545"/>
      <c r="U1986" s="545"/>
      <c r="V1986" s="472"/>
      <c r="W1986" s="605"/>
      <c r="X1986" s="605"/>
    </row>
    <row r="1987" spans="1:24" x14ac:dyDescent="0.25">
      <c r="A1987" s="563">
        <v>1</v>
      </c>
      <c r="B1987" s="563">
        <v>2</v>
      </c>
      <c r="C1987" s="563">
        <v>3</v>
      </c>
      <c r="D1987" s="563">
        <v>4</v>
      </c>
      <c r="E1987" s="563">
        <v>5</v>
      </c>
      <c r="F1987" s="563">
        <v>6</v>
      </c>
      <c r="G1987" s="563">
        <v>7</v>
      </c>
      <c r="H1987" s="563">
        <v>8</v>
      </c>
      <c r="I1987" s="563">
        <v>9</v>
      </c>
      <c r="J1987" s="563">
        <v>10</v>
      </c>
      <c r="K1987" s="563">
        <v>11</v>
      </c>
      <c r="L1987" s="563">
        <v>12</v>
      </c>
      <c r="M1987" s="563">
        <v>13</v>
      </c>
      <c r="N1987" s="563">
        <v>14</v>
      </c>
      <c r="O1987" s="563">
        <v>15</v>
      </c>
      <c r="P1987" s="598">
        <v>4</v>
      </c>
      <c r="Q1987" s="598">
        <v>5</v>
      </c>
      <c r="R1987" s="598">
        <v>6</v>
      </c>
      <c r="S1987" s="598">
        <v>7</v>
      </c>
      <c r="T1987" s="598">
        <v>8</v>
      </c>
      <c r="U1987" s="598">
        <v>9</v>
      </c>
      <c r="V1987" s="598">
        <v>10</v>
      </c>
      <c r="W1987" s="46"/>
      <c r="X1987" s="46"/>
    </row>
    <row r="1988" spans="1:24" x14ac:dyDescent="0.25">
      <c r="A1988" s="565" t="s">
        <v>930</v>
      </c>
      <c r="B1988" s="80" t="s">
        <v>918</v>
      </c>
      <c r="C1988" s="563" t="s">
        <v>137</v>
      </c>
      <c r="D1988" s="563" t="s">
        <v>912</v>
      </c>
      <c r="E1988" s="563" t="s">
        <v>913</v>
      </c>
      <c r="F1988" s="563" t="s">
        <v>914</v>
      </c>
      <c r="G1988" s="563" t="s">
        <v>915</v>
      </c>
      <c r="H1988" s="563" t="s">
        <v>916</v>
      </c>
      <c r="I1988" s="563" t="s">
        <v>917</v>
      </c>
      <c r="J1988" s="564" t="s">
        <v>911</v>
      </c>
      <c r="K1988" s="565" t="s">
        <v>924</v>
      </c>
      <c r="L1988" s="565" t="s">
        <v>925</v>
      </c>
      <c r="M1988" s="565" t="s">
        <v>926</v>
      </c>
      <c r="N1988" s="565" t="s">
        <v>927</v>
      </c>
      <c r="O1988" s="565" t="s">
        <v>928</v>
      </c>
      <c r="P1988" s="598" t="s">
        <v>296</v>
      </c>
      <c r="Q1988" s="598" t="s">
        <v>969</v>
      </c>
      <c r="R1988" s="598" t="s">
        <v>970</v>
      </c>
      <c r="S1988" s="598" t="s">
        <v>971</v>
      </c>
      <c r="T1988" s="598" t="s">
        <v>972</v>
      </c>
      <c r="U1988" s="598" t="s">
        <v>973</v>
      </c>
      <c r="V1988" s="599" t="s">
        <v>1022</v>
      </c>
      <c r="W1988" s="57"/>
      <c r="X1988" s="57"/>
    </row>
    <row r="1989" spans="1:24" x14ac:dyDescent="0.25">
      <c r="A1989" s="545">
        <f>ABS(V1989)</f>
        <v>1444068.6957266117</v>
      </c>
      <c r="B1989" s="3">
        <v>0</v>
      </c>
      <c r="C1989" s="41">
        <v>0.01</v>
      </c>
      <c r="D1989" s="603">
        <f>-'Sollecitazioni nel paramento'!$G$47*'Sollecitazioni nel paramento'!$G$41*IF(DATI!$G$211="dx",DATI!$E$61,DATI!$E$64*DATI!$E$63)*1000*C1989^2*sezione!$AD$5*(1-sezione!$AD$6)</f>
        <v>-2.2248647999999998</v>
      </c>
      <c r="E1989" s="545">
        <f>-'Foglio deposito bis'!$F$78*(C1989-sezione!$AL$35)*IF(ABS(K1989)&lt;'Sollecitazioni nel paramento'!$G$58,ABS(K1989)*'Sollecitazioni nel paramento'!$G$54,'Sollecitazioni nel paramento'!$G$53)</f>
        <v>0</v>
      </c>
      <c r="F1989" s="545">
        <f>-'Foglio deposito bis'!$F$79*(C1989-sezione!$AM$35)*IF(ABS(L1989)&lt;'Sollecitazioni nel paramento'!$G$58,ABS(L1989)*'Sollecitazioni nel paramento'!$G$54,'Sollecitazioni nel paramento'!$G$53)</f>
        <v>9218354.8347807899</v>
      </c>
      <c r="G1989" s="545">
        <f>-'Foglio deposito bis'!$F$80*(C1989-sezione!$AN$35)*IF(ABS(M1989)&lt;'Sollecitazioni nel paramento'!$G$58,ABS(M1989)*'Sollecitazioni nel paramento'!$G$54,'Sollecitazioni nel paramento'!$G$53)</f>
        <v>0</v>
      </c>
      <c r="H1989" s="545">
        <f>-'Foglio deposito bis'!$F$81*(C1989-sezione!$AO$35)*IF(ABS(N1989)&lt;'Sollecitazioni nel paramento'!$G$58,ABS(N1989)*'Sollecitazioni nel paramento'!$G$54,'Sollecitazioni nel paramento'!$G$53)</f>
        <v>63723906.939872839</v>
      </c>
      <c r="I1989" s="472">
        <f>-'Foglio deposito bis'!$F$82*(C1989-sezione!$AP$35)*IF(ABS(O1989)&lt;'Sollecitazioni nel paramento'!$G$58,ABS(O1989)*'Sollecitazioni nel paramento'!$G$54,'Sollecitazioni nel paramento'!$G$53)</f>
        <v>619681756.90015566</v>
      </c>
      <c r="J1989" s="472">
        <f t="shared" ref="J1989:J2052" si="140">D1989+E1989+F1989+G1989+H1989+I1989</f>
        <v>692624016.4499445</v>
      </c>
      <c r="K1989" s="550">
        <f>'Sollecitazioni nel paramento'!$G$60*(sezione!$AL$35-C1989)/C1989</f>
        <v>13.996500000000001</v>
      </c>
      <c r="L1989" s="550">
        <f>'Sollecitazioni nel paramento'!$G$60*(sezione!$AM$35-C1989)/C1989</f>
        <v>20.996500000000001</v>
      </c>
      <c r="M1989" s="551">
        <f>'Sollecitazioni nel paramento'!$G$60*(sezione!$AN$35-C1989)/C1989</f>
        <v>27.996499999999997</v>
      </c>
      <c r="N1989" s="551">
        <f>'Sollecitazioni nel paramento'!$G$60*(sezione!$AO$35-C1989)/C1989</f>
        <v>55.996500000000005</v>
      </c>
      <c r="O1989" s="551">
        <f>'Sollecitazioni nel paramento'!$G$60*(sezione!$AP$35-C1989)/C1989</f>
        <v>243.01640305294345</v>
      </c>
      <c r="P1989" s="545">
        <f>-'Sollecitazioni nel paramento'!$G$47*'Sollecitazioni nel paramento'!$G$41*IF(DATI!$G$211="dx",DATI!$E$61,DATI!$E$64*DATI!$E$63)*1000*C1989*sezione!$AD$5</f>
        <v>-380.96999999999991</v>
      </c>
      <c r="Q1989" s="545">
        <f>'Foglio deposito bis'!$F$78*IF(ABS(K1989)&lt;'Sollecitazioni nel paramento'!$G$58,ABS(K1989)*'Sollecitazioni nel paramento'!$G$54,'Sollecitazioni nel paramento'!$G$53)*IF(K1989&lt;0,-1,1)</f>
        <v>0</v>
      </c>
      <c r="R1989" s="545">
        <f>'Foglio deposito bis'!$F$79*IF(ABS(L1989)&lt;'Sollecitazioni nel paramento'!$G$58,ABS(L1989)*'Sollecitazioni nel paramento'!$G$54,'Sollecitazioni nel paramento'!$G$53)*IF(L1989&lt;0,-1,1)</f>
        <v>153664.85805602249</v>
      </c>
      <c r="S1989" s="545">
        <f>'Foglio deposito bis'!$F$80*IF(ABS(M1989)&lt;'Sollecitazioni nel paramento'!$G$58,ABS(M1989)*'Sollecitazioni nel paramento'!$G$54,'Sollecitazioni nel paramento'!$G$53)*IF(M1989&lt;0,-1,1)</f>
        <v>0</v>
      </c>
      <c r="T1989" s="545">
        <f>'Foglio deposito bis'!$F$81*IF(ABS(N1989)&lt;'Sollecitazioni nel paramento'!$G$58,ABS(N1989)*'Sollecitazioni nel paramento'!$G$54,'Sollecitazioni nel paramento'!$G$53)*IF(N1989&lt;0,-1,1)</f>
        <v>398299.31208121032</v>
      </c>
      <c r="U1989" s="545">
        <f>'Foglio deposito bis'!$F$82*IF(ABS(O1989)&lt;'Sollecitazioni nel paramento'!$G$58,ABS(O1989)*'Sollecitazioni nel paramento'!$G$54,'Sollecitazioni nel paramento'!$G$53)*IF(O1989&lt;0,-1,1)</f>
        <v>892485.49558937876</v>
      </c>
      <c r="V1989" s="472">
        <f>P1989+Q1989+R1989+S1989+T1989+U1989</f>
        <v>1444068.6957266117</v>
      </c>
      <c r="W1989" s="551"/>
      <c r="X1989" s="551"/>
    </row>
    <row r="1990" spans="1:24" x14ac:dyDescent="0.25">
      <c r="A1990" s="545">
        <f t="shared" ref="A1990:A2053" si="141">ABS(V1990)</f>
        <v>1425521.2156075162</v>
      </c>
      <c r="B1990" s="3">
        <f>B1989+0.05</f>
        <v>0.05</v>
      </c>
      <c r="C1990" s="545">
        <f>'Foglio deposito bis'!$E$161/sezione!$B$247*B1990</f>
        <v>0.49684883636756938</v>
      </c>
      <c r="D1990" s="603">
        <f>-'Sollecitazioni nel paramento'!$G$47*'Sollecitazioni nel paramento'!$G$41*IF(DATI!$G$211="dx",DATI!$E$61,DATI!$E$64*DATI!$E$63)*1000*C1990^2*sezione!$AD$5*(1-sezione!$AD$6)</f>
        <v>-5492.2737948938193</v>
      </c>
      <c r="E1990" s="545">
        <f>-'Foglio deposito bis'!$F$78*(C1990-sezione!$AL$35)*IF(ABS(K1990)&lt;'Sollecitazioni nel paramento'!$G$58,ABS(K1990)*'Sollecitazioni nel paramento'!$G$54,'Sollecitazioni nel paramento'!$G$53)</f>
        <v>0</v>
      </c>
      <c r="F1990" s="545">
        <f>-'Foglio deposito bis'!$F$79*(C1990-sezione!$AM$35)*IF(ABS(L1990)&lt;'Sollecitazioni nel paramento'!$G$58,ABS(L1990)*'Sollecitazioni nel paramento'!$G$54,'Sollecitazioni nel paramento'!$G$53)</f>
        <v>9143543.2774456274</v>
      </c>
      <c r="G1990" s="545">
        <f>-'Foglio deposito bis'!$F$80*(C1990-sezione!$AN$35)*IF(ABS(M1990)&lt;'Sollecitazioni nel paramento'!$G$58,ABS(M1990)*'Sollecitazioni nel paramento'!$G$54,'Sollecitazioni nel paramento'!$G$53)</f>
        <v>0</v>
      </c>
      <c r="H1990" s="545">
        <f>-'Foglio deposito bis'!$F$81*(C1990-sezione!$AO$35)*IF(ABS(N1990)&lt;'Sollecitazioni nel paramento'!$G$58,ABS(N1990)*'Sollecitazioni nel paramento'!$G$54,'Sollecitazioni nel paramento'!$G$53)</f>
        <v>63529995.383260094</v>
      </c>
      <c r="I1990" s="472">
        <f>-'Foglio deposito bis'!$F$82*(C1990-sezione!$AP$35)*IF(ABS(O1990)&lt;'Sollecitazioni nel paramento'!$G$58,ABS(O1990)*'Sollecitazioni nel paramento'!$G$54,'Sollecitazioni nel paramento'!$G$53)</f>
        <v>619247251.37515306</v>
      </c>
      <c r="J1990" s="472">
        <f t="shared" si="140"/>
        <v>691915297.76206386</v>
      </c>
      <c r="K1990" s="550">
        <f>'Sollecitazioni nel paramento'!$G$60*(sezione!$AL$35-C1990)/C1990</f>
        <v>0.27827584358158347</v>
      </c>
      <c r="L1990" s="550">
        <f>'Sollecitazioni nel paramento'!$G$60*(sezione!$AM$35-C1990)/C1990</f>
        <v>0.41916376537237526</v>
      </c>
      <c r="M1990" s="551">
        <f>'Sollecitazioni nel paramento'!$G$60*(sezione!$AN$35-C1990)/C1990</f>
        <v>0.560051687163167</v>
      </c>
      <c r="N1990" s="551">
        <f>'Sollecitazioni nel paramento'!$G$60*(sezione!$AO$35-C1990)/C1990</f>
        <v>1.1236033743263338</v>
      </c>
      <c r="O1990" s="551">
        <f>'Sollecitazioni nel paramento'!$G$60*(sezione!$AP$35-C1990)/C1990</f>
        <v>4.8877241564184137</v>
      </c>
      <c r="P1990" s="545">
        <f>-'Sollecitazioni nel paramento'!$G$47*'Sollecitazioni nel paramento'!$G$41*IF(DATI!$G$211="dx",DATI!$E$61,DATI!$E$64*DATI!$E$63)*1000*C1990*sezione!$AD$5</f>
        <v>-18928.450119095287</v>
      </c>
      <c r="Q1990" s="545">
        <f>'Foglio deposito bis'!$F$78*IF(ABS(K1990)&lt;'Sollecitazioni nel paramento'!$G$58,ABS(K1990)*'Sollecitazioni nel paramento'!$G$54,'Sollecitazioni nel paramento'!$G$53)*IF(K1990&lt;0,-1,1)</f>
        <v>0</v>
      </c>
      <c r="R1990" s="545">
        <f>'Foglio deposito bis'!$F$79*IF(ABS(L1990)&lt;'Sollecitazioni nel paramento'!$G$58,ABS(L1990)*'Sollecitazioni nel paramento'!$G$54,'Sollecitazioni nel paramento'!$G$53)*IF(L1990&lt;0,-1,1)</f>
        <v>153664.85805602249</v>
      </c>
      <c r="S1990" s="545">
        <f>'Foglio deposito bis'!$F$80*IF(ABS(M1990)&lt;'Sollecitazioni nel paramento'!$G$58,ABS(M1990)*'Sollecitazioni nel paramento'!$G$54,'Sollecitazioni nel paramento'!$G$53)*IF(M1990&lt;0,-1,1)</f>
        <v>0</v>
      </c>
      <c r="T1990" s="545">
        <f>'Foglio deposito bis'!$F$81*IF(ABS(N1990)&lt;'Sollecitazioni nel paramento'!$G$58,ABS(N1990)*'Sollecitazioni nel paramento'!$G$54,'Sollecitazioni nel paramento'!$G$53)*IF(N1990&lt;0,-1,1)</f>
        <v>398299.31208121032</v>
      </c>
      <c r="U1990" s="545">
        <f>'Foglio deposito bis'!$F$82*IF(ABS(O1990)&lt;'Sollecitazioni nel paramento'!$G$58,ABS(O1990)*'Sollecitazioni nel paramento'!$G$54,'Sollecitazioni nel paramento'!$G$53)*IF(O1990&lt;0,-1,1)</f>
        <v>892485.49558937876</v>
      </c>
      <c r="V1990" s="472">
        <f t="shared" ref="V1990:V2053" si="142">P1990+Q1990+R1990+S1990+T1990+U1990</f>
        <v>1425521.2156075162</v>
      </c>
      <c r="W1990" s="551"/>
      <c r="X1990" s="551"/>
    </row>
    <row r="1991" spans="1:24" x14ac:dyDescent="0.25">
      <c r="A1991" s="545">
        <f t="shared" si="141"/>
        <v>1406592.7654884211</v>
      </c>
      <c r="B1991" s="3">
        <f t="shared" ref="B1991:B2054" si="143">B1990+0.05</f>
        <v>0.1</v>
      </c>
      <c r="C1991" s="545">
        <f>'Foglio deposito bis'!$E$161/sezione!$B$247*B1991</f>
        <v>0.99369767273513876</v>
      </c>
      <c r="D1991" s="603">
        <f>-'Sollecitazioni nel paramento'!$G$47*'Sollecitazioni nel paramento'!$G$41*IF(DATI!$G$211="dx",DATI!$E$61,DATI!$E$64*DATI!$E$63)*1000*C1991^2*sezione!$AD$5*(1-sezione!$AD$6)</f>
        <v>-21969.095179575277</v>
      </c>
      <c r="E1991" s="545">
        <f>-'Foglio deposito bis'!$F$78*(C1991-sezione!$AL$35)*IF(ABS(K1991)&lt;'Sollecitazioni nel paramento'!$G$58,ABS(K1991)*'Sollecitazioni nel paramento'!$G$54,'Sollecitazioni nel paramento'!$G$53)</f>
        <v>0</v>
      </c>
      <c r="F1991" s="545">
        <f>-'Foglio deposito bis'!$F$79*(C1991-sezione!$AM$35)*IF(ABS(L1991)&lt;'Sollecitazioni nel paramento'!$G$58,ABS(L1991)*'Sollecitazioni nel paramento'!$G$54,'Sollecitazioni nel paramento'!$G$53)</f>
        <v>9067195.0715299044</v>
      </c>
      <c r="G1991" s="545">
        <f>-'Foglio deposito bis'!$F$80*(C1991-sezione!$AN$35)*IF(ABS(M1991)&lt;'Sollecitazioni nel paramento'!$G$58,ABS(M1991)*'Sollecitazioni nel paramento'!$G$54,'Sollecitazioni nel paramento'!$G$53)</f>
        <v>0</v>
      </c>
      <c r="H1991" s="545">
        <f>-'Foglio deposito bis'!$F$81*(C1991-sezione!$AO$35)*IF(ABS(N1991)&lt;'Sollecitazioni nel paramento'!$G$58,ABS(N1991)*'Sollecitazioni nel paramento'!$G$54,'Sollecitazioni nel paramento'!$G$53)</f>
        <v>63332100.833526537</v>
      </c>
      <c r="I1991" s="472">
        <f>-'Foglio deposito bis'!$F$82*(C1991-sezione!$AP$35)*IF(ABS(O1991)&lt;'Sollecitazioni nel paramento'!$G$58,ABS(O1991)*'Sollecitazioni nel paramento'!$G$54,'Sollecitazioni nel paramento'!$G$53)</f>
        <v>618803820.99519444</v>
      </c>
      <c r="J1991" s="472">
        <f t="shared" si="140"/>
        <v>691181147.80507135</v>
      </c>
      <c r="K1991" s="550">
        <f>'Sollecitazioni nel paramento'!$G$60*(sezione!$AL$35-C1991)/C1991</f>
        <v>0.13738792179079176</v>
      </c>
      <c r="L1991" s="550">
        <f>'Sollecitazioni nel paramento'!$G$60*(sezione!$AM$35-C1991)/C1991</f>
        <v>0.2078318826861876</v>
      </c>
      <c r="M1991" s="551">
        <f>'Sollecitazioni nel paramento'!$G$60*(sezione!$AN$35-C1991)/C1991</f>
        <v>0.27827584358158347</v>
      </c>
      <c r="N1991" s="551">
        <f>'Sollecitazioni nel paramento'!$G$60*(sezione!$AO$35-C1991)/C1991</f>
        <v>0.560051687163167</v>
      </c>
      <c r="O1991" s="551">
        <f>'Sollecitazioni nel paramento'!$G$60*(sezione!$AP$35-C1991)/C1991</f>
        <v>2.4421120782092065</v>
      </c>
      <c r="P1991" s="545">
        <f>-'Sollecitazioni nel paramento'!$G$47*'Sollecitazioni nel paramento'!$G$41*IF(DATI!$G$211="dx",DATI!$E$61,DATI!$E$64*DATI!$E$63)*1000*C1991*sezione!$AD$5</f>
        <v>-37856.900238190574</v>
      </c>
      <c r="Q1991" s="545">
        <f>'Foglio deposito bis'!$F$78*IF(ABS(K1991)&lt;'Sollecitazioni nel paramento'!$G$58,ABS(K1991)*'Sollecitazioni nel paramento'!$G$54,'Sollecitazioni nel paramento'!$G$53)*IF(K1991&lt;0,-1,1)</f>
        <v>0</v>
      </c>
      <c r="R1991" s="545">
        <f>'Foglio deposito bis'!$F$79*IF(ABS(L1991)&lt;'Sollecitazioni nel paramento'!$G$58,ABS(L1991)*'Sollecitazioni nel paramento'!$G$54,'Sollecitazioni nel paramento'!$G$53)*IF(L1991&lt;0,-1,1)</f>
        <v>153664.85805602249</v>
      </c>
      <c r="S1991" s="545">
        <f>'Foglio deposito bis'!$F$80*IF(ABS(M1991)&lt;'Sollecitazioni nel paramento'!$G$58,ABS(M1991)*'Sollecitazioni nel paramento'!$G$54,'Sollecitazioni nel paramento'!$G$53)*IF(M1991&lt;0,-1,1)</f>
        <v>0</v>
      </c>
      <c r="T1991" s="545">
        <f>'Foglio deposito bis'!$F$81*IF(ABS(N1991)&lt;'Sollecitazioni nel paramento'!$G$58,ABS(N1991)*'Sollecitazioni nel paramento'!$G$54,'Sollecitazioni nel paramento'!$G$53)*IF(N1991&lt;0,-1,1)</f>
        <v>398299.31208121032</v>
      </c>
      <c r="U1991" s="545">
        <f>'Foglio deposito bis'!$F$82*IF(ABS(O1991)&lt;'Sollecitazioni nel paramento'!$G$58,ABS(O1991)*'Sollecitazioni nel paramento'!$G$54,'Sollecitazioni nel paramento'!$G$53)*IF(O1991&lt;0,-1,1)</f>
        <v>892485.49558937876</v>
      </c>
      <c r="V1991" s="472">
        <f t="shared" si="142"/>
        <v>1406592.7654884211</v>
      </c>
      <c r="W1991" s="551"/>
      <c r="X1991" s="551"/>
    </row>
    <row r="1992" spans="1:24" x14ac:dyDescent="0.25">
      <c r="A1992" s="545">
        <f t="shared" si="141"/>
        <v>1387664.3153693257</v>
      </c>
      <c r="B1992" s="3">
        <f t="shared" si="143"/>
        <v>0.15000000000000002</v>
      </c>
      <c r="C1992" s="545">
        <f>'Foglio deposito bis'!$E$161/sezione!$B$247*B1992</f>
        <v>1.4905465091027084</v>
      </c>
      <c r="D1992" s="603">
        <f>-'Sollecitazioni nel paramento'!$G$47*'Sollecitazioni nel paramento'!$G$41*IF(DATI!$G$211="dx",DATI!$E$61,DATI!$E$64*DATI!$E$63)*1000*C1992^2*sezione!$AD$5*(1-sezione!$AD$6)</f>
        <v>-49430.464154044392</v>
      </c>
      <c r="E1992" s="545">
        <f>-'Foglio deposito bis'!$F$78*(C1992-sezione!$AL$35)*IF(ABS(K1992)&lt;'Sollecitazioni nel paramento'!$G$58,ABS(K1992)*'Sollecitazioni nel paramento'!$G$54,'Sollecitazioni nel paramento'!$G$53)</f>
        <v>0</v>
      </c>
      <c r="F1992" s="545">
        <f>-'Foglio deposito bis'!$F$79*(C1992-sezione!$AM$35)*IF(ABS(L1992)&lt;'Sollecitazioni nel paramento'!$G$58,ABS(L1992)*'Sollecitazioni nel paramento'!$G$54,'Sollecitazioni nel paramento'!$G$53)</f>
        <v>8990846.8656141814</v>
      </c>
      <c r="G1992" s="545">
        <f>-'Foglio deposito bis'!$F$80*(C1992-sezione!$AN$35)*IF(ABS(M1992)&lt;'Sollecitazioni nel paramento'!$G$58,ABS(M1992)*'Sollecitazioni nel paramento'!$G$54,'Sollecitazioni nel paramento'!$G$53)</f>
        <v>0</v>
      </c>
      <c r="H1992" s="545">
        <f>-'Foglio deposito bis'!$F$81*(C1992-sezione!$AO$35)*IF(ABS(N1992)&lt;'Sollecitazioni nel paramento'!$G$58,ABS(N1992)*'Sollecitazioni nel paramento'!$G$54,'Sollecitazioni nel paramento'!$G$53)</f>
        <v>63134206.283792995</v>
      </c>
      <c r="I1992" s="472">
        <f>-'Foglio deposito bis'!$F$82*(C1992-sezione!$AP$35)*IF(ABS(O1992)&lt;'Sollecitazioni nel paramento'!$G$58,ABS(O1992)*'Sollecitazioni nel paramento'!$G$54,'Sollecitazioni nel paramento'!$G$53)</f>
        <v>618360390.61523592</v>
      </c>
      <c r="J1992" s="472">
        <f t="shared" si="140"/>
        <v>690436013.30048907</v>
      </c>
      <c r="K1992" s="550">
        <f>'Sollecitazioni nel paramento'!$G$60*(sezione!$AL$35-C1992)/C1992</f>
        <v>9.0425281193861159E-2</v>
      </c>
      <c r="L1992" s="550">
        <f>'Sollecitazioni nel paramento'!$G$60*(sezione!$AM$35-C1992)/C1992</f>
        <v>0.13738792179079173</v>
      </c>
      <c r="M1992" s="551">
        <f>'Sollecitazioni nel paramento'!$G$60*(sezione!$AN$35-C1992)/C1992</f>
        <v>0.18435056238772227</v>
      </c>
      <c r="N1992" s="551">
        <f>'Sollecitazioni nel paramento'!$G$60*(sezione!$AO$35-C1992)/C1992</f>
        <v>0.37220112477544459</v>
      </c>
      <c r="O1992" s="551">
        <f>'Sollecitazioni nel paramento'!$G$60*(sezione!$AP$35-C1992)/C1992</f>
        <v>1.6269080521394708</v>
      </c>
      <c r="P1992" s="545">
        <f>-'Sollecitazioni nel paramento'!$G$47*'Sollecitazioni nel paramento'!$G$41*IF(DATI!$G$211="dx",DATI!$E$61,DATI!$E$64*DATI!$E$63)*1000*C1992*sezione!$AD$5</f>
        <v>-56785.350357285868</v>
      </c>
      <c r="Q1992" s="545">
        <f>'Foglio deposito bis'!$F$78*IF(ABS(K1992)&lt;'Sollecitazioni nel paramento'!$G$58,ABS(K1992)*'Sollecitazioni nel paramento'!$G$54,'Sollecitazioni nel paramento'!$G$53)*IF(K1992&lt;0,-1,1)</f>
        <v>0</v>
      </c>
      <c r="R1992" s="545">
        <f>'Foglio deposito bis'!$F$79*IF(ABS(L1992)&lt;'Sollecitazioni nel paramento'!$G$58,ABS(L1992)*'Sollecitazioni nel paramento'!$G$54,'Sollecitazioni nel paramento'!$G$53)*IF(L1992&lt;0,-1,1)</f>
        <v>153664.85805602249</v>
      </c>
      <c r="S1992" s="545">
        <f>'Foglio deposito bis'!$F$80*IF(ABS(M1992)&lt;'Sollecitazioni nel paramento'!$G$58,ABS(M1992)*'Sollecitazioni nel paramento'!$G$54,'Sollecitazioni nel paramento'!$G$53)*IF(M1992&lt;0,-1,1)</f>
        <v>0</v>
      </c>
      <c r="T1992" s="545">
        <f>'Foglio deposito bis'!$F$81*IF(ABS(N1992)&lt;'Sollecitazioni nel paramento'!$G$58,ABS(N1992)*'Sollecitazioni nel paramento'!$G$54,'Sollecitazioni nel paramento'!$G$53)*IF(N1992&lt;0,-1,1)</f>
        <v>398299.31208121032</v>
      </c>
      <c r="U1992" s="545">
        <f>'Foglio deposito bis'!$F$82*IF(ABS(O1992)&lt;'Sollecitazioni nel paramento'!$G$58,ABS(O1992)*'Sollecitazioni nel paramento'!$G$54,'Sollecitazioni nel paramento'!$G$53)*IF(O1992&lt;0,-1,1)</f>
        <v>892485.49558937876</v>
      </c>
      <c r="V1992" s="472">
        <f t="shared" si="142"/>
        <v>1387664.3153693257</v>
      </c>
      <c r="W1992" s="551"/>
      <c r="X1992" s="551"/>
    </row>
    <row r="1993" spans="1:24" x14ac:dyDescent="0.25">
      <c r="A1993" s="545">
        <f t="shared" si="141"/>
        <v>1368735.8652502303</v>
      </c>
      <c r="B1993" s="3">
        <f t="shared" si="143"/>
        <v>0.2</v>
      </c>
      <c r="C1993" s="545">
        <f>'Foglio deposito bis'!$E$161/sezione!$B$247*B1993</f>
        <v>1.9873953454702775</v>
      </c>
      <c r="D1993" s="603">
        <f>-'Sollecitazioni nel paramento'!$G$47*'Sollecitazioni nel paramento'!$G$41*IF(DATI!$G$211="dx",DATI!$E$61,DATI!$E$64*DATI!$E$63)*1000*C1993^2*sezione!$AD$5*(1-sezione!$AD$6)</f>
        <v>-87876.380718301109</v>
      </c>
      <c r="E1993" s="545">
        <f>-'Foglio deposito bis'!$F$78*(C1993-sezione!$AL$35)*IF(ABS(K1993)&lt;'Sollecitazioni nel paramento'!$G$58,ABS(K1993)*'Sollecitazioni nel paramento'!$G$54,'Sollecitazioni nel paramento'!$G$53)</f>
        <v>0</v>
      </c>
      <c r="F1993" s="545">
        <f>-'Foglio deposito bis'!$F$79*(C1993-sezione!$AM$35)*IF(ABS(L1993)&lt;'Sollecitazioni nel paramento'!$G$58,ABS(L1993)*'Sollecitazioni nel paramento'!$G$54,'Sollecitazioni nel paramento'!$G$53)</f>
        <v>8914498.6596984603</v>
      </c>
      <c r="G1993" s="545">
        <f>-'Foglio deposito bis'!$F$80*(C1993-sezione!$AN$35)*IF(ABS(M1993)&lt;'Sollecitazioni nel paramento'!$G$58,ABS(M1993)*'Sollecitazioni nel paramento'!$G$54,'Sollecitazioni nel paramento'!$G$53)</f>
        <v>0</v>
      </c>
      <c r="H1993" s="545">
        <f>-'Foglio deposito bis'!$F$81*(C1993-sezione!$AO$35)*IF(ABS(N1993)&lt;'Sollecitazioni nel paramento'!$G$58,ABS(N1993)*'Sollecitazioni nel paramento'!$G$54,'Sollecitazioni nel paramento'!$G$53)</f>
        <v>62936311.734059446</v>
      </c>
      <c r="I1993" s="472">
        <f>-'Foglio deposito bis'!$F$82*(C1993-sezione!$AP$35)*IF(ABS(O1993)&lt;'Sollecitazioni nel paramento'!$G$58,ABS(O1993)*'Sollecitazioni nel paramento'!$G$54,'Sollecitazioni nel paramento'!$G$53)</f>
        <v>617916960.23527753</v>
      </c>
      <c r="J1993" s="472">
        <f t="shared" si="140"/>
        <v>689679894.24831712</v>
      </c>
      <c r="K1993" s="550">
        <f>'Sollecitazioni nel paramento'!$G$60*(sezione!$AL$35-C1993)/C1993</f>
        <v>6.6943960895395865E-2</v>
      </c>
      <c r="L1993" s="550">
        <f>'Sollecitazioni nel paramento'!$G$60*(sezione!$AM$35-C1993)/C1993</f>
        <v>0.10216594134309381</v>
      </c>
      <c r="M1993" s="551">
        <f>'Sollecitazioni nel paramento'!$G$60*(sezione!$AN$35-C1993)/C1993</f>
        <v>0.13738792179079176</v>
      </c>
      <c r="N1993" s="551">
        <f>'Sollecitazioni nel paramento'!$G$60*(sezione!$AO$35-C1993)/C1993</f>
        <v>0.27827584358158347</v>
      </c>
      <c r="O1993" s="551">
        <f>'Sollecitazioni nel paramento'!$G$60*(sezione!$AP$35-C1993)/C1993</f>
        <v>1.2193060391046031</v>
      </c>
      <c r="P1993" s="545">
        <f>-'Sollecitazioni nel paramento'!$G$47*'Sollecitazioni nel paramento'!$G$41*IF(DATI!$G$211="dx",DATI!$E$61,DATI!$E$64*DATI!$E$63)*1000*C1993*sezione!$AD$5</f>
        <v>-75713.800476381148</v>
      </c>
      <c r="Q1993" s="545">
        <f>'Foglio deposito bis'!$F$78*IF(ABS(K1993)&lt;'Sollecitazioni nel paramento'!$G$58,ABS(K1993)*'Sollecitazioni nel paramento'!$G$54,'Sollecitazioni nel paramento'!$G$53)*IF(K1993&lt;0,-1,1)</f>
        <v>0</v>
      </c>
      <c r="R1993" s="545">
        <f>'Foglio deposito bis'!$F$79*IF(ABS(L1993)&lt;'Sollecitazioni nel paramento'!$G$58,ABS(L1993)*'Sollecitazioni nel paramento'!$G$54,'Sollecitazioni nel paramento'!$G$53)*IF(L1993&lt;0,-1,1)</f>
        <v>153664.85805602249</v>
      </c>
      <c r="S1993" s="545">
        <f>'Foglio deposito bis'!$F$80*IF(ABS(M1993)&lt;'Sollecitazioni nel paramento'!$G$58,ABS(M1993)*'Sollecitazioni nel paramento'!$G$54,'Sollecitazioni nel paramento'!$G$53)*IF(M1993&lt;0,-1,1)</f>
        <v>0</v>
      </c>
      <c r="T1993" s="545">
        <f>'Foglio deposito bis'!$F$81*IF(ABS(N1993)&lt;'Sollecitazioni nel paramento'!$G$58,ABS(N1993)*'Sollecitazioni nel paramento'!$G$54,'Sollecitazioni nel paramento'!$G$53)*IF(N1993&lt;0,-1,1)</f>
        <v>398299.31208121032</v>
      </c>
      <c r="U1993" s="545">
        <f>'Foglio deposito bis'!$F$82*IF(ABS(O1993)&lt;'Sollecitazioni nel paramento'!$G$58,ABS(O1993)*'Sollecitazioni nel paramento'!$G$54,'Sollecitazioni nel paramento'!$G$53)*IF(O1993&lt;0,-1,1)</f>
        <v>892485.49558937876</v>
      </c>
      <c r="V1993" s="472">
        <f t="shared" si="142"/>
        <v>1368735.8652502303</v>
      </c>
      <c r="W1993" s="551"/>
      <c r="X1993" s="551"/>
    </row>
    <row r="1994" spans="1:24" x14ac:dyDescent="0.25">
      <c r="A1994" s="545">
        <f t="shared" si="141"/>
        <v>1349807.4151311351</v>
      </c>
      <c r="B1994" s="3">
        <f t="shared" si="143"/>
        <v>0.25</v>
      </c>
      <c r="C1994" s="545">
        <f>'Foglio deposito bis'!$E$161/sezione!$B$247*B1994</f>
        <v>2.4842441818378469</v>
      </c>
      <c r="D1994" s="603">
        <f>-'Sollecitazioni nel paramento'!$G$47*'Sollecitazioni nel paramento'!$G$41*IF(DATI!$G$211="dx",DATI!$E$61,DATI!$E$64*DATI!$E$63)*1000*C1994^2*sezione!$AD$5*(1-sezione!$AD$6)</f>
        <v>-137306.84487234551</v>
      </c>
      <c r="E1994" s="545">
        <f>-'Foglio deposito bis'!$F$78*(C1994-sezione!$AL$35)*IF(ABS(K1994)&lt;'Sollecitazioni nel paramento'!$G$58,ABS(K1994)*'Sollecitazioni nel paramento'!$G$54,'Sollecitazioni nel paramento'!$G$53)</f>
        <v>0</v>
      </c>
      <c r="F1994" s="545">
        <f>-'Foglio deposito bis'!$F$79*(C1994-sezione!$AM$35)*IF(ABS(L1994)&lt;'Sollecitazioni nel paramento'!$G$58,ABS(L1994)*'Sollecitazioni nel paramento'!$G$54,'Sollecitazioni nel paramento'!$G$53)</f>
        <v>8838150.4537827391</v>
      </c>
      <c r="G1994" s="545">
        <f>-'Foglio deposito bis'!$F$80*(C1994-sezione!$AN$35)*IF(ABS(M1994)&lt;'Sollecitazioni nel paramento'!$G$58,ABS(M1994)*'Sollecitazioni nel paramento'!$G$54,'Sollecitazioni nel paramento'!$G$53)</f>
        <v>0</v>
      </c>
      <c r="H1994" s="545">
        <f>-'Foglio deposito bis'!$F$81*(C1994-sezione!$AO$35)*IF(ABS(N1994)&lt;'Sollecitazioni nel paramento'!$G$58,ABS(N1994)*'Sollecitazioni nel paramento'!$G$54,'Sollecitazioni nel paramento'!$G$53)</f>
        <v>62738417.184325889</v>
      </c>
      <c r="I1994" s="472">
        <f>-'Foglio deposito bis'!$F$82*(C1994-sezione!$AP$35)*IF(ABS(O1994)&lt;'Sollecitazioni nel paramento'!$G$58,ABS(O1994)*'Sollecitazioni nel paramento'!$G$54,'Sollecitazioni nel paramento'!$G$53)</f>
        <v>617473529.8553189</v>
      </c>
      <c r="J1994" s="472">
        <f t="shared" si="140"/>
        <v>688912790.64855516</v>
      </c>
      <c r="K1994" s="550">
        <f>'Sollecitazioni nel paramento'!$G$60*(sezione!$AL$35-C1994)/C1994</f>
        <v>5.2855168716316701E-2</v>
      </c>
      <c r="L1994" s="550">
        <f>'Sollecitazioni nel paramento'!$G$60*(sezione!$AM$35-C1994)/C1994</f>
        <v>8.103275307447505E-2</v>
      </c>
      <c r="M1994" s="551">
        <f>'Sollecitazioni nel paramento'!$G$60*(sezione!$AN$35-C1994)/C1994</f>
        <v>0.10921033743263339</v>
      </c>
      <c r="N1994" s="551">
        <f>'Sollecitazioni nel paramento'!$G$60*(sezione!$AO$35-C1994)/C1994</f>
        <v>0.22192067486526681</v>
      </c>
      <c r="O1994" s="551">
        <f>'Sollecitazioni nel paramento'!$G$60*(sezione!$AP$35-C1994)/C1994</f>
        <v>0.9747448312836825</v>
      </c>
      <c r="P1994" s="545">
        <f>-'Sollecitazioni nel paramento'!$G$47*'Sollecitazioni nel paramento'!$G$41*IF(DATI!$G$211="dx",DATI!$E$61,DATI!$E$64*DATI!$E$63)*1000*C1994*sezione!$AD$5</f>
        <v>-94642.250595476435</v>
      </c>
      <c r="Q1994" s="545">
        <f>'Foglio deposito bis'!$F$78*IF(ABS(K1994)&lt;'Sollecitazioni nel paramento'!$G$58,ABS(K1994)*'Sollecitazioni nel paramento'!$G$54,'Sollecitazioni nel paramento'!$G$53)*IF(K1994&lt;0,-1,1)</f>
        <v>0</v>
      </c>
      <c r="R1994" s="545">
        <f>'Foglio deposito bis'!$F$79*IF(ABS(L1994)&lt;'Sollecitazioni nel paramento'!$G$58,ABS(L1994)*'Sollecitazioni nel paramento'!$G$54,'Sollecitazioni nel paramento'!$G$53)*IF(L1994&lt;0,-1,1)</f>
        <v>153664.85805602249</v>
      </c>
      <c r="S1994" s="545">
        <f>'Foglio deposito bis'!$F$80*IF(ABS(M1994)&lt;'Sollecitazioni nel paramento'!$G$58,ABS(M1994)*'Sollecitazioni nel paramento'!$G$54,'Sollecitazioni nel paramento'!$G$53)*IF(M1994&lt;0,-1,1)</f>
        <v>0</v>
      </c>
      <c r="T1994" s="545">
        <f>'Foglio deposito bis'!$F$81*IF(ABS(N1994)&lt;'Sollecitazioni nel paramento'!$G$58,ABS(N1994)*'Sollecitazioni nel paramento'!$G$54,'Sollecitazioni nel paramento'!$G$53)*IF(N1994&lt;0,-1,1)</f>
        <v>398299.31208121032</v>
      </c>
      <c r="U1994" s="545">
        <f>'Foglio deposito bis'!$F$82*IF(ABS(O1994)&lt;'Sollecitazioni nel paramento'!$G$58,ABS(O1994)*'Sollecitazioni nel paramento'!$G$54,'Sollecitazioni nel paramento'!$G$53)*IF(O1994&lt;0,-1,1)</f>
        <v>892485.49558937876</v>
      </c>
      <c r="V1994" s="472">
        <f t="shared" si="142"/>
        <v>1349807.4151311351</v>
      </c>
      <c r="W1994" s="551"/>
      <c r="X1994" s="551"/>
    </row>
    <row r="1995" spans="1:24" x14ac:dyDescent="0.25">
      <c r="A1995" s="545">
        <f t="shared" si="141"/>
        <v>1330878.96501204</v>
      </c>
      <c r="B1995" s="3">
        <f t="shared" si="143"/>
        <v>0.3</v>
      </c>
      <c r="C1995" s="545">
        <f>'Foglio deposito bis'!$E$161/sezione!$B$247*B1995</f>
        <v>2.9810930182054163</v>
      </c>
      <c r="D1995" s="603">
        <f>-'Sollecitazioni nel paramento'!$G$47*'Sollecitazioni nel paramento'!$G$41*IF(DATI!$G$211="dx",DATI!$E$61,DATI!$E$64*DATI!$E$63)*1000*C1995^2*sezione!$AD$5*(1-sezione!$AD$6)</f>
        <v>-197721.85661617751</v>
      </c>
      <c r="E1995" s="545">
        <f>-'Foglio deposito bis'!$F$78*(C1995-sezione!$AL$35)*IF(ABS(K1995)&lt;'Sollecitazioni nel paramento'!$G$58,ABS(K1995)*'Sollecitazioni nel paramento'!$G$54,'Sollecitazioni nel paramento'!$G$53)</f>
        <v>0</v>
      </c>
      <c r="F1995" s="545">
        <f>-'Foglio deposito bis'!$F$79*(C1995-sezione!$AM$35)*IF(ABS(L1995)&lt;'Sollecitazioni nel paramento'!$G$58,ABS(L1995)*'Sollecitazioni nel paramento'!$G$54,'Sollecitazioni nel paramento'!$G$53)</f>
        <v>8761802.2478670161</v>
      </c>
      <c r="G1995" s="545">
        <f>-'Foglio deposito bis'!$F$80*(C1995-sezione!$AN$35)*IF(ABS(M1995)&lt;'Sollecitazioni nel paramento'!$G$58,ABS(M1995)*'Sollecitazioni nel paramento'!$G$54,'Sollecitazioni nel paramento'!$G$53)</f>
        <v>0</v>
      </c>
      <c r="H1995" s="545">
        <f>-'Foglio deposito bis'!$F$81*(C1995-sezione!$AO$35)*IF(ABS(N1995)&lt;'Sollecitazioni nel paramento'!$G$58,ABS(N1995)*'Sollecitazioni nel paramento'!$G$54,'Sollecitazioni nel paramento'!$G$53)</f>
        <v>62540522.634592332</v>
      </c>
      <c r="I1995" s="472">
        <f>-'Foglio deposito bis'!$F$82*(C1995-sezione!$AP$35)*IF(ABS(O1995)&lt;'Sollecitazioni nel paramento'!$G$58,ABS(O1995)*'Sollecitazioni nel paramento'!$G$54,'Sollecitazioni nel paramento'!$G$53)</f>
        <v>617030099.47536039</v>
      </c>
      <c r="J1995" s="472">
        <f t="shared" si="140"/>
        <v>688134702.50120354</v>
      </c>
      <c r="K1995" s="550">
        <f>'Sollecitazioni nel paramento'!$G$60*(sezione!$AL$35-C1995)/C1995</f>
        <v>4.3462640596930585E-2</v>
      </c>
      <c r="L1995" s="550">
        <f>'Sollecitazioni nel paramento'!$G$60*(sezione!$AM$35-C1995)/C1995</f>
        <v>6.6943960895395879E-2</v>
      </c>
      <c r="M1995" s="551">
        <f>'Sollecitazioni nel paramento'!$G$60*(sezione!$AN$35-C1995)/C1995</f>
        <v>9.0425281193861173E-2</v>
      </c>
      <c r="N1995" s="551">
        <f>'Sollecitazioni nel paramento'!$G$60*(sezione!$AO$35-C1995)/C1995</f>
        <v>0.18435056238772229</v>
      </c>
      <c r="O1995" s="551">
        <f>'Sollecitazioni nel paramento'!$G$60*(sezione!$AP$35-C1995)/C1995</f>
        <v>0.81170402606973546</v>
      </c>
      <c r="P1995" s="545">
        <f>-'Sollecitazioni nel paramento'!$G$47*'Sollecitazioni nel paramento'!$G$41*IF(DATI!$G$211="dx",DATI!$E$61,DATI!$E$64*DATI!$E$63)*1000*C1995*sezione!$AD$5</f>
        <v>-113570.70071457172</v>
      </c>
      <c r="Q1995" s="545">
        <f>'Foglio deposito bis'!$F$78*IF(ABS(K1995)&lt;'Sollecitazioni nel paramento'!$G$58,ABS(K1995)*'Sollecitazioni nel paramento'!$G$54,'Sollecitazioni nel paramento'!$G$53)*IF(K1995&lt;0,-1,1)</f>
        <v>0</v>
      </c>
      <c r="R1995" s="545">
        <f>'Foglio deposito bis'!$F$79*IF(ABS(L1995)&lt;'Sollecitazioni nel paramento'!$G$58,ABS(L1995)*'Sollecitazioni nel paramento'!$G$54,'Sollecitazioni nel paramento'!$G$53)*IF(L1995&lt;0,-1,1)</f>
        <v>153664.85805602249</v>
      </c>
      <c r="S1995" s="545">
        <f>'Foglio deposito bis'!$F$80*IF(ABS(M1995)&lt;'Sollecitazioni nel paramento'!$G$58,ABS(M1995)*'Sollecitazioni nel paramento'!$G$54,'Sollecitazioni nel paramento'!$G$53)*IF(M1995&lt;0,-1,1)</f>
        <v>0</v>
      </c>
      <c r="T1995" s="545">
        <f>'Foglio deposito bis'!$F$81*IF(ABS(N1995)&lt;'Sollecitazioni nel paramento'!$G$58,ABS(N1995)*'Sollecitazioni nel paramento'!$G$54,'Sollecitazioni nel paramento'!$G$53)*IF(N1995&lt;0,-1,1)</f>
        <v>398299.31208121032</v>
      </c>
      <c r="U1995" s="545">
        <f>'Foglio deposito bis'!$F$82*IF(ABS(O1995)&lt;'Sollecitazioni nel paramento'!$G$58,ABS(O1995)*'Sollecitazioni nel paramento'!$G$54,'Sollecitazioni nel paramento'!$G$53)*IF(O1995&lt;0,-1,1)</f>
        <v>892485.49558937876</v>
      </c>
      <c r="V1995" s="472">
        <f t="shared" si="142"/>
        <v>1330878.96501204</v>
      </c>
      <c r="W1995" s="551"/>
      <c r="X1995" s="551"/>
    </row>
    <row r="1996" spans="1:24" x14ac:dyDescent="0.25">
      <c r="A1996" s="545">
        <f t="shared" si="141"/>
        <v>1311950.5148929446</v>
      </c>
      <c r="B1996" s="3">
        <f t="shared" si="143"/>
        <v>0.35</v>
      </c>
      <c r="C1996" s="545">
        <f>'Foglio deposito bis'!$E$161/sezione!$B$247*B1996</f>
        <v>3.4779418545729857</v>
      </c>
      <c r="D1996" s="603">
        <f>-'Sollecitazioni nel paramento'!$G$47*'Sollecitazioni nel paramento'!$G$41*IF(DATI!$G$211="dx",DATI!$E$61,DATI!$E$64*DATI!$E$63)*1000*C1996^2*sezione!$AD$5*(1-sezione!$AD$6)</f>
        <v>-269121.41594979714</v>
      </c>
      <c r="E1996" s="545">
        <f>-'Foglio deposito bis'!$F$78*(C1996-sezione!$AL$35)*IF(ABS(K1996)&lt;'Sollecitazioni nel paramento'!$G$58,ABS(K1996)*'Sollecitazioni nel paramento'!$G$54,'Sollecitazioni nel paramento'!$G$53)</f>
        <v>0</v>
      </c>
      <c r="F1996" s="545">
        <f>-'Foglio deposito bis'!$F$79*(C1996-sezione!$AM$35)*IF(ABS(L1996)&lt;'Sollecitazioni nel paramento'!$G$58,ABS(L1996)*'Sollecitazioni nel paramento'!$G$54,'Sollecitazioni nel paramento'!$G$53)</f>
        <v>8685454.0419512931</v>
      </c>
      <c r="G1996" s="545">
        <f>-'Foglio deposito bis'!$F$80*(C1996-sezione!$AN$35)*IF(ABS(M1996)&lt;'Sollecitazioni nel paramento'!$G$58,ABS(M1996)*'Sollecitazioni nel paramento'!$G$54,'Sollecitazioni nel paramento'!$G$53)</f>
        <v>0</v>
      </c>
      <c r="H1996" s="545">
        <f>-'Foglio deposito bis'!$F$81*(C1996-sezione!$AO$35)*IF(ABS(N1996)&lt;'Sollecitazioni nel paramento'!$G$58,ABS(N1996)*'Sollecitazioni nel paramento'!$G$54,'Sollecitazioni nel paramento'!$G$53)</f>
        <v>62342628.08485879</v>
      </c>
      <c r="I1996" s="472">
        <f>-'Foglio deposito bis'!$F$82*(C1996-sezione!$AP$35)*IF(ABS(O1996)&lt;'Sollecitazioni nel paramento'!$G$58,ABS(O1996)*'Sollecitazioni nel paramento'!$G$54,'Sollecitazioni nel paramento'!$G$53)</f>
        <v>616586669.09540188</v>
      </c>
      <c r="J1996" s="472">
        <f t="shared" si="140"/>
        <v>687345629.80626214</v>
      </c>
      <c r="K1996" s="550">
        <f>'Sollecitazioni nel paramento'!$G$60*(sezione!$AL$35-C1996)/C1996</f>
        <v>3.6753691940226221E-2</v>
      </c>
      <c r="L1996" s="550">
        <f>'Sollecitazioni nel paramento'!$G$60*(sezione!$AM$35-C1996)/C1996</f>
        <v>5.6880537910339327E-2</v>
      </c>
      <c r="M1996" s="551">
        <f>'Sollecitazioni nel paramento'!$G$60*(sezione!$AN$35-C1996)/C1996</f>
        <v>7.7007383880452418E-2</v>
      </c>
      <c r="N1996" s="551">
        <f>'Sollecitazioni nel paramento'!$G$60*(sezione!$AO$35-C1996)/C1996</f>
        <v>0.15751476776090487</v>
      </c>
      <c r="O1996" s="551">
        <f>'Sollecitazioni nel paramento'!$G$60*(sezione!$AP$35-C1996)/C1996</f>
        <v>0.69524630805977317</v>
      </c>
      <c r="P1996" s="545">
        <f>-'Sollecitazioni nel paramento'!$G$47*'Sollecitazioni nel paramento'!$G$41*IF(DATI!$G$211="dx",DATI!$E$61,DATI!$E$64*DATI!$E$63)*1000*C1996*sezione!$AD$5</f>
        <v>-132499.15083366699</v>
      </c>
      <c r="Q1996" s="545">
        <f>'Foglio deposito bis'!$F$78*IF(ABS(K1996)&lt;'Sollecitazioni nel paramento'!$G$58,ABS(K1996)*'Sollecitazioni nel paramento'!$G$54,'Sollecitazioni nel paramento'!$G$53)*IF(K1996&lt;0,-1,1)</f>
        <v>0</v>
      </c>
      <c r="R1996" s="545">
        <f>'Foglio deposito bis'!$F$79*IF(ABS(L1996)&lt;'Sollecitazioni nel paramento'!$G$58,ABS(L1996)*'Sollecitazioni nel paramento'!$G$54,'Sollecitazioni nel paramento'!$G$53)*IF(L1996&lt;0,-1,1)</f>
        <v>153664.85805602249</v>
      </c>
      <c r="S1996" s="545">
        <f>'Foglio deposito bis'!$F$80*IF(ABS(M1996)&lt;'Sollecitazioni nel paramento'!$G$58,ABS(M1996)*'Sollecitazioni nel paramento'!$G$54,'Sollecitazioni nel paramento'!$G$53)*IF(M1996&lt;0,-1,1)</f>
        <v>0</v>
      </c>
      <c r="T1996" s="545">
        <f>'Foglio deposito bis'!$F$81*IF(ABS(N1996)&lt;'Sollecitazioni nel paramento'!$G$58,ABS(N1996)*'Sollecitazioni nel paramento'!$G$54,'Sollecitazioni nel paramento'!$G$53)*IF(N1996&lt;0,-1,1)</f>
        <v>398299.31208121032</v>
      </c>
      <c r="U1996" s="545">
        <f>'Foglio deposito bis'!$F$82*IF(ABS(O1996)&lt;'Sollecitazioni nel paramento'!$G$58,ABS(O1996)*'Sollecitazioni nel paramento'!$G$54,'Sollecitazioni nel paramento'!$G$53)*IF(O1996&lt;0,-1,1)</f>
        <v>892485.49558937876</v>
      </c>
      <c r="V1996" s="472">
        <f t="shared" si="142"/>
        <v>1311950.5148929446</v>
      </c>
      <c r="W1996" s="551"/>
      <c r="X1996" s="551"/>
    </row>
    <row r="1997" spans="1:24" x14ac:dyDescent="0.25">
      <c r="A1997" s="545">
        <f t="shared" si="141"/>
        <v>1293022.0647738492</v>
      </c>
      <c r="B1997" s="3">
        <f t="shared" si="143"/>
        <v>0.39999999999999997</v>
      </c>
      <c r="C1997" s="545">
        <f>'Foglio deposito bis'!$E$161/sezione!$B$247*B1997</f>
        <v>3.9747906909405546</v>
      </c>
      <c r="D1997" s="603">
        <f>-'Sollecitazioni nel paramento'!$G$47*'Sollecitazioni nel paramento'!$G$41*IF(DATI!$G$211="dx",DATI!$E$61,DATI!$E$64*DATI!$E$63)*1000*C1997^2*sezione!$AD$5*(1-sezione!$AD$6)</f>
        <v>-351505.52287320438</v>
      </c>
      <c r="E1997" s="545">
        <f>-'Foglio deposito bis'!$F$78*(C1997-sezione!$AL$35)*IF(ABS(K1997)&lt;'Sollecitazioni nel paramento'!$G$58,ABS(K1997)*'Sollecitazioni nel paramento'!$G$54,'Sollecitazioni nel paramento'!$G$53)</f>
        <v>0</v>
      </c>
      <c r="F1997" s="545">
        <f>-'Foglio deposito bis'!$F$79*(C1997-sezione!$AM$35)*IF(ABS(L1997)&lt;'Sollecitazioni nel paramento'!$G$58,ABS(L1997)*'Sollecitazioni nel paramento'!$G$54,'Sollecitazioni nel paramento'!$G$53)</f>
        <v>8609105.8360355701</v>
      </c>
      <c r="G1997" s="545">
        <f>-'Foglio deposito bis'!$F$80*(C1997-sezione!$AN$35)*IF(ABS(M1997)&lt;'Sollecitazioni nel paramento'!$G$58,ABS(M1997)*'Sollecitazioni nel paramento'!$G$54,'Sollecitazioni nel paramento'!$G$53)</f>
        <v>0</v>
      </c>
      <c r="H1997" s="545">
        <f>-'Foglio deposito bis'!$F$81*(C1997-sezione!$AO$35)*IF(ABS(N1997)&lt;'Sollecitazioni nel paramento'!$G$58,ABS(N1997)*'Sollecitazioni nel paramento'!$G$54,'Sollecitazioni nel paramento'!$G$53)</f>
        <v>62144733.535125226</v>
      </c>
      <c r="I1997" s="472">
        <f>-'Foglio deposito bis'!$F$82*(C1997-sezione!$AP$35)*IF(ABS(O1997)&lt;'Sollecitazioni nel paramento'!$G$58,ABS(O1997)*'Sollecitazioni nel paramento'!$G$54,'Sollecitazioni nel paramento'!$G$53)</f>
        <v>616143238.71544337</v>
      </c>
      <c r="J1997" s="472">
        <f t="shared" si="140"/>
        <v>686545572.56373096</v>
      </c>
      <c r="K1997" s="550">
        <f>'Sollecitazioni nel paramento'!$G$60*(sezione!$AL$35-C1997)/C1997</f>
        <v>3.1721980447697945E-2</v>
      </c>
      <c r="L1997" s="550">
        <f>'Sollecitazioni nel paramento'!$G$60*(sezione!$AM$35-C1997)/C1997</f>
        <v>4.9332970671546912E-2</v>
      </c>
      <c r="M1997" s="551">
        <f>'Sollecitazioni nel paramento'!$G$60*(sezione!$AN$35-C1997)/C1997</f>
        <v>6.6943960895395879E-2</v>
      </c>
      <c r="N1997" s="551">
        <f>'Sollecitazioni nel paramento'!$G$60*(sezione!$AO$35-C1997)/C1997</f>
        <v>0.13738792179079179</v>
      </c>
      <c r="O1997" s="551">
        <f>'Sollecitazioni nel paramento'!$G$60*(sezione!$AP$35-C1997)/C1997</f>
        <v>0.60790301955230175</v>
      </c>
      <c r="P1997" s="545">
        <f>-'Sollecitazioni nel paramento'!$G$47*'Sollecitazioni nel paramento'!$G$41*IF(DATI!$G$211="dx",DATI!$E$61,DATI!$E$64*DATI!$E$63)*1000*C1997*sezione!$AD$5</f>
        <v>-151427.60095276227</v>
      </c>
      <c r="Q1997" s="545">
        <f>'Foglio deposito bis'!$F$78*IF(ABS(K1997)&lt;'Sollecitazioni nel paramento'!$G$58,ABS(K1997)*'Sollecitazioni nel paramento'!$G$54,'Sollecitazioni nel paramento'!$G$53)*IF(K1997&lt;0,-1,1)</f>
        <v>0</v>
      </c>
      <c r="R1997" s="545">
        <f>'Foglio deposito bis'!$F$79*IF(ABS(L1997)&lt;'Sollecitazioni nel paramento'!$G$58,ABS(L1997)*'Sollecitazioni nel paramento'!$G$54,'Sollecitazioni nel paramento'!$G$53)*IF(L1997&lt;0,-1,1)</f>
        <v>153664.85805602249</v>
      </c>
      <c r="S1997" s="545">
        <f>'Foglio deposito bis'!$F$80*IF(ABS(M1997)&lt;'Sollecitazioni nel paramento'!$G$58,ABS(M1997)*'Sollecitazioni nel paramento'!$G$54,'Sollecitazioni nel paramento'!$G$53)*IF(M1997&lt;0,-1,1)</f>
        <v>0</v>
      </c>
      <c r="T1997" s="545">
        <f>'Foglio deposito bis'!$F$81*IF(ABS(N1997)&lt;'Sollecitazioni nel paramento'!$G$58,ABS(N1997)*'Sollecitazioni nel paramento'!$G$54,'Sollecitazioni nel paramento'!$G$53)*IF(N1997&lt;0,-1,1)</f>
        <v>398299.31208121032</v>
      </c>
      <c r="U1997" s="545">
        <f>'Foglio deposito bis'!$F$82*IF(ABS(O1997)&lt;'Sollecitazioni nel paramento'!$G$58,ABS(O1997)*'Sollecitazioni nel paramento'!$G$54,'Sollecitazioni nel paramento'!$G$53)*IF(O1997&lt;0,-1,1)</f>
        <v>892485.49558937876</v>
      </c>
      <c r="V1997" s="472">
        <f t="shared" si="142"/>
        <v>1293022.0647738492</v>
      </c>
      <c r="W1997" s="551"/>
      <c r="X1997" s="551"/>
    </row>
    <row r="1998" spans="1:24" x14ac:dyDescent="0.25">
      <c r="A1998" s="545">
        <f t="shared" si="141"/>
        <v>1274093.6146547541</v>
      </c>
      <c r="B1998" s="3">
        <f t="shared" si="143"/>
        <v>0.44999999999999996</v>
      </c>
      <c r="C1998" s="545">
        <f>'Foglio deposito bis'!$E$161/sezione!$B$247*B1998</f>
        <v>4.471639527308124</v>
      </c>
      <c r="D1998" s="603">
        <f>-'Sollecitazioni nel paramento'!$G$47*'Sollecitazioni nel paramento'!$G$41*IF(DATI!$G$211="dx",DATI!$E$61,DATI!$E$64*DATI!$E$63)*1000*C1998^2*sezione!$AD$5*(1-sezione!$AD$6)</f>
        <v>-444874.1773863993</v>
      </c>
      <c r="E1998" s="545">
        <f>-'Foglio deposito bis'!$F$78*(C1998-sezione!$AL$35)*IF(ABS(K1998)&lt;'Sollecitazioni nel paramento'!$G$58,ABS(K1998)*'Sollecitazioni nel paramento'!$G$54,'Sollecitazioni nel paramento'!$G$53)</f>
        <v>0</v>
      </c>
      <c r="F1998" s="545">
        <f>-'Foglio deposito bis'!$F$79*(C1998-sezione!$AM$35)*IF(ABS(L1998)&lt;'Sollecitazioni nel paramento'!$G$58,ABS(L1998)*'Sollecitazioni nel paramento'!$G$54,'Sollecitazioni nel paramento'!$G$53)</f>
        <v>8532757.6301198471</v>
      </c>
      <c r="G1998" s="545">
        <f>-'Foglio deposito bis'!$F$80*(C1998-sezione!$AN$35)*IF(ABS(M1998)&lt;'Sollecitazioni nel paramento'!$G$58,ABS(M1998)*'Sollecitazioni nel paramento'!$G$54,'Sollecitazioni nel paramento'!$G$53)</f>
        <v>0</v>
      </c>
      <c r="H1998" s="545">
        <f>-'Foglio deposito bis'!$F$81*(C1998-sezione!$AO$35)*IF(ABS(N1998)&lt;'Sollecitazioni nel paramento'!$G$58,ABS(N1998)*'Sollecitazioni nel paramento'!$G$54,'Sollecitazioni nel paramento'!$G$53)</f>
        <v>61946838.985391669</v>
      </c>
      <c r="I1998" s="472">
        <f>-'Foglio deposito bis'!$F$82*(C1998-sezione!$AP$35)*IF(ABS(O1998)&lt;'Sollecitazioni nel paramento'!$G$58,ABS(O1998)*'Sollecitazioni nel paramento'!$G$54,'Sollecitazioni nel paramento'!$G$53)</f>
        <v>615699808.33548498</v>
      </c>
      <c r="J1998" s="472">
        <f t="shared" si="140"/>
        <v>685734530.77361012</v>
      </c>
      <c r="K1998" s="550">
        <f>'Sollecitazioni nel paramento'!$G$60*(sezione!$AL$35-C1998)/C1998</f>
        <v>2.7808427064620389E-2</v>
      </c>
      <c r="L1998" s="550">
        <f>'Sollecitazioni nel paramento'!$G$60*(sezione!$AM$35-C1998)/C1998</f>
        <v>4.3462640596930585E-2</v>
      </c>
      <c r="M1998" s="551">
        <f>'Sollecitazioni nel paramento'!$G$60*(sezione!$AN$35-C1998)/C1998</f>
        <v>5.9116854129240781E-2</v>
      </c>
      <c r="N1998" s="551">
        <f>'Sollecitazioni nel paramento'!$G$60*(sezione!$AO$35-C1998)/C1998</f>
        <v>0.12173370825848157</v>
      </c>
      <c r="O1998" s="551">
        <f>'Sollecitazioni nel paramento'!$G$60*(sezione!$AP$35-C1998)/C1998</f>
        <v>0.5399693507131571</v>
      </c>
      <c r="P1998" s="545">
        <f>-'Sollecitazioni nel paramento'!$G$47*'Sollecitazioni nel paramento'!$G$41*IF(DATI!$G$211="dx",DATI!$E$61,DATI!$E$64*DATI!$E$63)*1000*C1998*sezione!$AD$5</f>
        <v>-170356.05107185757</v>
      </c>
      <c r="Q1998" s="545">
        <f>'Foglio deposito bis'!$F$78*IF(ABS(K1998)&lt;'Sollecitazioni nel paramento'!$G$58,ABS(K1998)*'Sollecitazioni nel paramento'!$G$54,'Sollecitazioni nel paramento'!$G$53)*IF(K1998&lt;0,-1,1)</f>
        <v>0</v>
      </c>
      <c r="R1998" s="545">
        <f>'Foglio deposito bis'!$F$79*IF(ABS(L1998)&lt;'Sollecitazioni nel paramento'!$G$58,ABS(L1998)*'Sollecitazioni nel paramento'!$G$54,'Sollecitazioni nel paramento'!$G$53)*IF(L1998&lt;0,-1,1)</f>
        <v>153664.85805602249</v>
      </c>
      <c r="S1998" s="545">
        <f>'Foglio deposito bis'!$F$80*IF(ABS(M1998)&lt;'Sollecitazioni nel paramento'!$G$58,ABS(M1998)*'Sollecitazioni nel paramento'!$G$54,'Sollecitazioni nel paramento'!$G$53)*IF(M1998&lt;0,-1,1)</f>
        <v>0</v>
      </c>
      <c r="T1998" s="545">
        <f>'Foglio deposito bis'!$F$81*IF(ABS(N1998)&lt;'Sollecitazioni nel paramento'!$G$58,ABS(N1998)*'Sollecitazioni nel paramento'!$G$54,'Sollecitazioni nel paramento'!$G$53)*IF(N1998&lt;0,-1,1)</f>
        <v>398299.31208121032</v>
      </c>
      <c r="U1998" s="545">
        <f>'Foglio deposito bis'!$F$82*IF(ABS(O1998)&lt;'Sollecitazioni nel paramento'!$G$58,ABS(O1998)*'Sollecitazioni nel paramento'!$G$54,'Sollecitazioni nel paramento'!$G$53)*IF(O1998&lt;0,-1,1)</f>
        <v>892485.49558937876</v>
      </c>
      <c r="V1998" s="472">
        <f t="shared" si="142"/>
        <v>1274093.6146547541</v>
      </c>
      <c r="W1998" s="551"/>
      <c r="X1998" s="551"/>
    </row>
    <row r="1999" spans="1:24" x14ac:dyDescent="0.25">
      <c r="A1999" s="545">
        <f t="shared" si="141"/>
        <v>1255165.1645356587</v>
      </c>
      <c r="B1999" s="3">
        <f t="shared" si="143"/>
        <v>0.49999999999999994</v>
      </c>
      <c r="C1999" s="545">
        <f>'Foglio deposito bis'!$E$161/sezione!$B$247*B1999</f>
        <v>4.9684883636756929</v>
      </c>
      <c r="D1999" s="603">
        <f>-'Sollecitazioni nel paramento'!$G$47*'Sollecitazioni nel paramento'!$G$41*IF(DATI!$G$211="dx",DATI!$E$61,DATI!$E$64*DATI!$E$63)*1000*C1999^2*sezione!$AD$5*(1-sezione!$AD$6)</f>
        <v>-549227.37948938168</v>
      </c>
      <c r="E1999" s="545">
        <f>-'Foglio deposito bis'!$F$78*(C1999-sezione!$AL$35)*IF(ABS(K1999)&lt;'Sollecitazioni nel paramento'!$G$58,ABS(K1999)*'Sollecitazioni nel paramento'!$G$54,'Sollecitazioni nel paramento'!$G$53)</f>
        <v>0</v>
      </c>
      <c r="F1999" s="545">
        <f>-'Foglio deposito bis'!$F$79*(C1999-sezione!$AM$35)*IF(ABS(L1999)&lt;'Sollecitazioni nel paramento'!$G$58,ABS(L1999)*'Sollecitazioni nel paramento'!$G$54,'Sollecitazioni nel paramento'!$G$53)</f>
        <v>8456409.424204126</v>
      </c>
      <c r="G1999" s="545">
        <f>-'Foglio deposito bis'!$F$80*(C1999-sezione!$AN$35)*IF(ABS(M1999)&lt;'Sollecitazioni nel paramento'!$G$58,ABS(M1999)*'Sollecitazioni nel paramento'!$G$54,'Sollecitazioni nel paramento'!$G$53)</f>
        <v>0</v>
      </c>
      <c r="H1999" s="545">
        <f>-'Foglio deposito bis'!$F$81*(C1999-sezione!$AO$35)*IF(ABS(N1999)&lt;'Sollecitazioni nel paramento'!$G$58,ABS(N1999)*'Sollecitazioni nel paramento'!$G$54,'Sollecitazioni nel paramento'!$G$53)</f>
        <v>61748944.43565812</v>
      </c>
      <c r="I1999" s="472">
        <f>-'Foglio deposito bis'!$F$82*(C1999-sezione!$AP$35)*IF(ABS(O1999)&lt;'Sollecitazioni nel paramento'!$G$58,ABS(O1999)*'Sollecitazioni nel paramento'!$G$54,'Sollecitazioni nel paramento'!$G$53)</f>
        <v>615256377.95552647</v>
      </c>
      <c r="J1999" s="472">
        <f t="shared" si="140"/>
        <v>684912504.43589938</v>
      </c>
      <c r="K1999" s="550">
        <f>'Sollecitazioni nel paramento'!$G$60*(sezione!$AL$35-C1999)/C1999</f>
        <v>2.4677584358158356E-2</v>
      </c>
      <c r="L1999" s="550">
        <f>'Sollecitazioni nel paramento'!$G$60*(sezione!$AM$35-C1999)/C1999</f>
        <v>3.8766376537237537E-2</v>
      </c>
      <c r="M1999" s="551">
        <f>'Sollecitazioni nel paramento'!$G$60*(sezione!$AN$35-C1999)/C1999</f>
        <v>5.2855168716316715E-2</v>
      </c>
      <c r="N1999" s="551">
        <f>'Sollecitazioni nel paramento'!$G$60*(sezione!$AO$35-C1999)/C1999</f>
        <v>0.10921033743263342</v>
      </c>
      <c r="O1999" s="551">
        <f>'Sollecitazioni nel paramento'!$G$60*(sezione!$AP$35-C1999)/C1999</f>
        <v>0.48562241564184144</v>
      </c>
      <c r="P1999" s="545">
        <f>-'Sollecitazioni nel paramento'!$G$47*'Sollecitazioni nel paramento'!$G$41*IF(DATI!$G$211="dx",DATI!$E$61,DATI!$E$64*DATI!$E$63)*1000*C1999*sezione!$AD$5</f>
        <v>-189284.50119095284</v>
      </c>
      <c r="Q1999" s="545">
        <f>'Foglio deposito bis'!$F$78*IF(ABS(K1999)&lt;'Sollecitazioni nel paramento'!$G$58,ABS(K1999)*'Sollecitazioni nel paramento'!$G$54,'Sollecitazioni nel paramento'!$G$53)*IF(K1999&lt;0,-1,1)</f>
        <v>0</v>
      </c>
      <c r="R1999" s="545">
        <f>'Foglio deposito bis'!$F$79*IF(ABS(L1999)&lt;'Sollecitazioni nel paramento'!$G$58,ABS(L1999)*'Sollecitazioni nel paramento'!$G$54,'Sollecitazioni nel paramento'!$G$53)*IF(L1999&lt;0,-1,1)</f>
        <v>153664.85805602249</v>
      </c>
      <c r="S1999" s="545">
        <f>'Foglio deposito bis'!$F$80*IF(ABS(M1999)&lt;'Sollecitazioni nel paramento'!$G$58,ABS(M1999)*'Sollecitazioni nel paramento'!$G$54,'Sollecitazioni nel paramento'!$G$53)*IF(M1999&lt;0,-1,1)</f>
        <v>0</v>
      </c>
      <c r="T1999" s="545">
        <f>'Foglio deposito bis'!$F$81*IF(ABS(N1999)&lt;'Sollecitazioni nel paramento'!$G$58,ABS(N1999)*'Sollecitazioni nel paramento'!$G$54,'Sollecitazioni nel paramento'!$G$53)*IF(N1999&lt;0,-1,1)</f>
        <v>398299.31208121032</v>
      </c>
      <c r="U1999" s="545">
        <f>'Foglio deposito bis'!$F$82*IF(ABS(O1999)&lt;'Sollecitazioni nel paramento'!$G$58,ABS(O1999)*'Sollecitazioni nel paramento'!$G$54,'Sollecitazioni nel paramento'!$G$53)*IF(O1999&lt;0,-1,1)</f>
        <v>892485.49558937876</v>
      </c>
      <c r="V1999" s="472">
        <f t="shared" si="142"/>
        <v>1255165.1645356587</v>
      </c>
      <c r="W1999" s="551"/>
      <c r="X1999" s="551"/>
    </row>
    <row r="2000" spans="1:24" x14ac:dyDescent="0.25">
      <c r="A2000" s="545">
        <f t="shared" si="141"/>
        <v>1236236.7144165635</v>
      </c>
      <c r="B2000" s="3">
        <f t="shared" si="143"/>
        <v>0.54999999999999993</v>
      </c>
      <c r="C2000" s="545">
        <f>'Foglio deposito bis'!$E$161/sezione!$B$247*B2000</f>
        <v>5.4653372000432627</v>
      </c>
      <c r="D2000" s="603">
        <f>-'Sollecitazioni nel paramento'!$G$47*'Sollecitazioni nel paramento'!$G$41*IF(DATI!$G$211="dx",DATI!$E$61,DATI!$E$64*DATI!$E$63)*1000*C2000^2*sezione!$AD$5*(1-sezione!$AD$6)</f>
        <v>-664565.1291821521</v>
      </c>
      <c r="E2000" s="545">
        <f>-'Foglio deposito bis'!$F$78*(C2000-sezione!$AL$35)*IF(ABS(K2000)&lt;'Sollecitazioni nel paramento'!$G$58,ABS(K2000)*'Sollecitazioni nel paramento'!$G$54,'Sollecitazioni nel paramento'!$G$53)</f>
        <v>0</v>
      </c>
      <c r="F2000" s="545">
        <f>-'Foglio deposito bis'!$F$79*(C2000-sezione!$AM$35)*IF(ABS(L2000)&lt;'Sollecitazioni nel paramento'!$G$58,ABS(L2000)*'Sollecitazioni nel paramento'!$G$54,'Sollecitazioni nel paramento'!$G$53)</f>
        <v>8380061.2182884021</v>
      </c>
      <c r="G2000" s="545">
        <f>-'Foglio deposito bis'!$F$80*(C2000-sezione!$AN$35)*IF(ABS(M2000)&lt;'Sollecitazioni nel paramento'!$G$58,ABS(M2000)*'Sollecitazioni nel paramento'!$G$54,'Sollecitazioni nel paramento'!$G$53)</f>
        <v>0</v>
      </c>
      <c r="H2000" s="545">
        <f>-'Foglio deposito bis'!$F$81*(C2000-sezione!$AO$35)*IF(ABS(N2000)&lt;'Sollecitazioni nel paramento'!$G$58,ABS(N2000)*'Sollecitazioni nel paramento'!$G$54,'Sollecitazioni nel paramento'!$G$53)</f>
        <v>61551049.88592457</v>
      </c>
      <c r="I2000" s="472">
        <f>-'Foglio deposito bis'!$F$82*(C2000-sezione!$AP$35)*IF(ABS(O2000)&lt;'Sollecitazioni nel paramento'!$G$58,ABS(O2000)*'Sollecitazioni nel paramento'!$G$54,'Sollecitazioni nel paramento'!$G$53)</f>
        <v>614812947.57556784</v>
      </c>
      <c r="J2000" s="472">
        <f t="shared" si="140"/>
        <v>684079493.55059862</v>
      </c>
      <c r="K2000" s="550">
        <f>'Sollecitazioni nel paramento'!$G$60*(sezione!$AL$35-C2000)/C2000</f>
        <v>2.2115985780143954E-2</v>
      </c>
      <c r="L2000" s="550">
        <f>'Sollecitazioni nel paramento'!$G$60*(sezione!$AM$35-C2000)/C2000</f>
        <v>3.4923978670215933E-2</v>
      </c>
      <c r="M2000" s="551">
        <f>'Sollecitazioni nel paramento'!$G$60*(sezione!$AN$35-C2000)/C2000</f>
        <v>4.7731971560287911E-2</v>
      </c>
      <c r="N2000" s="551">
        <f>'Sollecitazioni nel paramento'!$G$60*(sezione!$AO$35-C2000)/C2000</f>
        <v>9.8963943120575826E-2</v>
      </c>
      <c r="O2000" s="551">
        <f>'Sollecitazioni nel paramento'!$G$60*(sezione!$AP$35-C2000)/C2000</f>
        <v>0.44115674149258305</v>
      </c>
      <c r="P2000" s="545">
        <f>-'Sollecitazioni nel paramento'!$G$47*'Sollecitazioni nel paramento'!$G$41*IF(DATI!$G$211="dx",DATI!$E$61,DATI!$E$64*DATI!$E$63)*1000*C2000*sezione!$AD$5</f>
        <v>-208212.95131004814</v>
      </c>
      <c r="Q2000" s="545">
        <f>'Foglio deposito bis'!$F$78*IF(ABS(K2000)&lt;'Sollecitazioni nel paramento'!$G$58,ABS(K2000)*'Sollecitazioni nel paramento'!$G$54,'Sollecitazioni nel paramento'!$G$53)*IF(K2000&lt;0,-1,1)</f>
        <v>0</v>
      </c>
      <c r="R2000" s="545">
        <f>'Foglio deposito bis'!$F$79*IF(ABS(L2000)&lt;'Sollecitazioni nel paramento'!$G$58,ABS(L2000)*'Sollecitazioni nel paramento'!$G$54,'Sollecitazioni nel paramento'!$G$53)*IF(L2000&lt;0,-1,1)</f>
        <v>153664.85805602249</v>
      </c>
      <c r="S2000" s="545">
        <f>'Foglio deposito bis'!$F$80*IF(ABS(M2000)&lt;'Sollecitazioni nel paramento'!$G$58,ABS(M2000)*'Sollecitazioni nel paramento'!$G$54,'Sollecitazioni nel paramento'!$G$53)*IF(M2000&lt;0,-1,1)</f>
        <v>0</v>
      </c>
      <c r="T2000" s="545">
        <f>'Foglio deposito bis'!$F$81*IF(ABS(N2000)&lt;'Sollecitazioni nel paramento'!$G$58,ABS(N2000)*'Sollecitazioni nel paramento'!$G$54,'Sollecitazioni nel paramento'!$G$53)*IF(N2000&lt;0,-1,1)</f>
        <v>398299.31208121032</v>
      </c>
      <c r="U2000" s="545">
        <f>'Foglio deposito bis'!$F$82*IF(ABS(O2000)&lt;'Sollecitazioni nel paramento'!$G$58,ABS(O2000)*'Sollecitazioni nel paramento'!$G$54,'Sollecitazioni nel paramento'!$G$53)*IF(O2000&lt;0,-1,1)</f>
        <v>892485.49558937876</v>
      </c>
      <c r="V2000" s="472">
        <f t="shared" si="142"/>
        <v>1236236.7144165635</v>
      </c>
      <c r="W2000" s="551"/>
      <c r="X2000" s="551"/>
    </row>
    <row r="2001" spans="1:24" x14ac:dyDescent="0.25">
      <c r="A2001" s="545">
        <f t="shared" si="141"/>
        <v>1217308.2642974681</v>
      </c>
      <c r="B2001" s="3">
        <f t="shared" si="143"/>
        <v>0.6</v>
      </c>
      <c r="C2001" s="545">
        <f>'Foglio deposito bis'!$E$161/sezione!$B$247*B2001</f>
        <v>5.9621860364108326</v>
      </c>
      <c r="D2001" s="603">
        <f>-'Sollecitazioni nel paramento'!$G$47*'Sollecitazioni nel paramento'!$G$41*IF(DATI!$G$211="dx",DATI!$E$61,DATI!$E$64*DATI!$E$63)*1000*C2001^2*sezione!$AD$5*(1-sezione!$AD$6)</f>
        <v>-790887.42646471004</v>
      </c>
      <c r="E2001" s="545">
        <f>-'Foglio deposito bis'!$F$78*(C2001-sezione!$AL$35)*IF(ABS(K2001)&lt;'Sollecitazioni nel paramento'!$G$58,ABS(K2001)*'Sollecitazioni nel paramento'!$G$54,'Sollecitazioni nel paramento'!$G$53)</f>
        <v>0</v>
      </c>
      <c r="F2001" s="545">
        <f>-'Foglio deposito bis'!$F$79*(C2001-sezione!$AM$35)*IF(ABS(L2001)&lt;'Sollecitazioni nel paramento'!$G$58,ABS(L2001)*'Sollecitazioni nel paramento'!$G$54,'Sollecitazioni nel paramento'!$G$53)</f>
        <v>8303713.01237268</v>
      </c>
      <c r="G2001" s="545">
        <f>-'Foglio deposito bis'!$F$80*(C2001-sezione!$AN$35)*IF(ABS(M2001)&lt;'Sollecitazioni nel paramento'!$G$58,ABS(M2001)*'Sollecitazioni nel paramento'!$G$54,'Sollecitazioni nel paramento'!$G$53)</f>
        <v>0</v>
      </c>
      <c r="H2001" s="545">
        <f>-'Foglio deposito bis'!$F$81*(C2001-sezione!$AO$35)*IF(ABS(N2001)&lt;'Sollecitazioni nel paramento'!$G$58,ABS(N2001)*'Sollecitazioni nel paramento'!$G$54,'Sollecitazioni nel paramento'!$G$53)</f>
        <v>61353155.336191021</v>
      </c>
      <c r="I2001" s="472">
        <f>-'Foglio deposito bis'!$F$82*(C2001-sezione!$AP$35)*IF(ABS(O2001)&lt;'Sollecitazioni nel paramento'!$G$58,ABS(O2001)*'Sollecitazioni nel paramento'!$G$54,'Sollecitazioni nel paramento'!$G$53)</f>
        <v>614369517.19560933</v>
      </c>
      <c r="J2001" s="472">
        <f t="shared" si="140"/>
        <v>683235498.11770833</v>
      </c>
      <c r="K2001" s="550">
        <f>'Sollecitazioni nel paramento'!$G$60*(sezione!$AL$35-C2001)/C2001</f>
        <v>1.9981320298465291E-2</v>
      </c>
      <c r="L2001" s="550">
        <f>'Sollecitazioni nel paramento'!$G$60*(sezione!$AM$35-C2001)/C2001</f>
        <v>3.1721980447697938E-2</v>
      </c>
      <c r="M2001" s="551">
        <f>'Sollecitazioni nel paramento'!$G$60*(sezione!$AN$35-C2001)/C2001</f>
        <v>4.3462640596930585E-2</v>
      </c>
      <c r="N2001" s="551">
        <f>'Sollecitazioni nel paramento'!$G$60*(sezione!$AO$35-C2001)/C2001</f>
        <v>9.0425281193861173E-2</v>
      </c>
      <c r="O2001" s="551">
        <f>'Sollecitazioni nel paramento'!$G$60*(sezione!$AP$35-C2001)/C2001</f>
        <v>0.40410201303486776</v>
      </c>
      <c r="P2001" s="545">
        <f>-'Sollecitazioni nel paramento'!$G$47*'Sollecitazioni nel paramento'!$G$41*IF(DATI!$G$211="dx",DATI!$E$61,DATI!$E$64*DATI!$E$63)*1000*C2001*sezione!$AD$5</f>
        <v>-227141.40142914344</v>
      </c>
      <c r="Q2001" s="545">
        <f>'Foglio deposito bis'!$F$78*IF(ABS(K2001)&lt;'Sollecitazioni nel paramento'!$G$58,ABS(K2001)*'Sollecitazioni nel paramento'!$G$54,'Sollecitazioni nel paramento'!$G$53)*IF(K2001&lt;0,-1,1)</f>
        <v>0</v>
      </c>
      <c r="R2001" s="545">
        <f>'Foglio deposito bis'!$F$79*IF(ABS(L2001)&lt;'Sollecitazioni nel paramento'!$G$58,ABS(L2001)*'Sollecitazioni nel paramento'!$G$54,'Sollecitazioni nel paramento'!$G$53)*IF(L2001&lt;0,-1,1)</f>
        <v>153664.85805602249</v>
      </c>
      <c r="S2001" s="545">
        <f>'Foglio deposito bis'!$F$80*IF(ABS(M2001)&lt;'Sollecitazioni nel paramento'!$G$58,ABS(M2001)*'Sollecitazioni nel paramento'!$G$54,'Sollecitazioni nel paramento'!$G$53)*IF(M2001&lt;0,-1,1)</f>
        <v>0</v>
      </c>
      <c r="T2001" s="545">
        <f>'Foglio deposito bis'!$F$81*IF(ABS(N2001)&lt;'Sollecitazioni nel paramento'!$G$58,ABS(N2001)*'Sollecitazioni nel paramento'!$G$54,'Sollecitazioni nel paramento'!$G$53)*IF(N2001&lt;0,-1,1)</f>
        <v>398299.31208121032</v>
      </c>
      <c r="U2001" s="545">
        <f>'Foglio deposito bis'!$F$82*IF(ABS(O2001)&lt;'Sollecitazioni nel paramento'!$G$58,ABS(O2001)*'Sollecitazioni nel paramento'!$G$54,'Sollecitazioni nel paramento'!$G$53)*IF(O2001&lt;0,-1,1)</f>
        <v>892485.49558937876</v>
      </c>
      <c r="V2001" s="472">
        <f t="shared" si="142"/>
        <v>1217308.2642974681</v>
      </c>
      <c r="W2001" s="551"/>
      <c r="X2001" s="551"/>
    </row>
    <row r="2002" spans="1:24" x14ac:dyDescent="0.25">
      <c r="A2002" s="545">
        <f t="shared" si="141"/>
        <v>1198379.8141783727</v>
      </c>
      <c r="B2002" s="3">
        <f t="shared" si="143"/>
        <v>0.65</v>
      </c>
      <c r="C2002" s="545">
        <f>'Foglio deposito bis'!$E$161/sezione!$B$247*B2002</f>
        <v>6.4590348727784024</v>
      </c>
      <c r="D2002" s="603">
        <f>-'Sollecitazioni nel paramento'!$G$47*'Sollecitazioni nel paramento'!$G$41*IF(DATI!$G$211="dx",DATI!$E$61,DATI!$E$64*DATI!$E$63)*1000*C2002^2*sezione!$AD$5*(1-sezione!$AD$6)</f>
        <v>-928194.27133705572</v>
      </c>
      <c r="E2002" s="545">
        <f>-'Foglio deposito bis'!$F$78*(C2002-sezione!$AL$35)*IF(ABS(K2002)&lt;'Sollecitazioni nel paramento'!$G$58,ABS(K2002)*'Sollecitazioni nel paramento'!$G$54,'Sollecitazioni nel paramento'!$G$53)</f>
        <v>0</v>
      </c>
      <c r="F2002" s="545">
        <f>-'Foglio deposito bis'!$F$79*(C2002-sezione!$AM$35)*IF(ABS(L2002)&lt;'Sollecitazioni nel paramento'!$G$58,ABS(L2002)*'Sollecitazioni nel paramento'!$G$54,'Sollecitazioni nel paramento'!$G$53)</f>
        <v>8227364.806456957</v>
      </c>
      <c r="G2002" s="545">
        <f>-'Foglio deposito bis'!$F$80*(C2002-sezione!$AN$35)*IF(ABS(M2002)&lt;'Sollecitazioni nel paramento'!$G$58,ABS(M2002)*'Sollecitazioni nel paramento'!$G$54,'Sollecitazioni nel paramento'!$G$53)</f>
        <v>0</v>
      </c>
      <c r="H2002" s="545">
        <f>-'Foglio deposito bis'!$F$81*(C2002-sezione!$AO$35)*IF(ABS(N2002)&lt;'Sollecitazioni nel paramento'!$G$58,ABS(N2002)*'Sollecitazioni nel paramento'!$G$54,'Sollecitazioni nel paramento'!$G$53)</f>
        <v>61155260.786457464</v>
      </c>
      <c r="I2002" s="472">
        <f>-'Foglio deposito bis'!$F$82*(C2002-sezione!$AP$35)*IF(ABS(O2002)&lt;'Sollecitazioni nel paramento'!$G$58,ABS(O2002)*'Sollecitazioni nel paramento'!$G$54,'Sollecitazioni nel paramento'!$G$53)</f>
        <v>613926086.81565082</v>
      </c>
      <c r="J2002" s="472">
        <f t="shared" si="140"/>
        <v>682380518.13722825</v>
      </c>
      <c r="K2002" s="550">
        <f>'Sollecitazioni nel paramento'!$G$60*(sezione!$AL$35-C2002)/C2002</f>
        <v>1.8175064890891036E-2</v>
      </c>
      <c r="L2002" s="550">
        <f>'Sollecitazioni nel paramento'!$G$60*(sezione!$AM$35-C2002)/C2002</f>
        <v>2.9012597336336553E-2</v>
      </c>
      <c r="M2002" s="551">
        <f>'Sollecitazioni nel paramento'!$G$60*(sezione!$AN$35-C2002)/C2002</f>
        <v>3.9850129781782075E-2</v>
      </c>
      <c r="N2002" s="551">
        <f>'Sollecitazioni nel paramento'!$G$60*(sezione!$AO$35-C2002)/C2002</f>
        <v>8.3200259563564152E-2</v>
      </c>
      <c r="O2002" s="551">
        <f>'Sollecitazioni nel paramento'!$G$60*(sezione!$AP$35-C2002)/C2002</f>
        <v>0.3727480120321856</v>
      </c>
      <c r="P2002" s="545">
        <f>-'Sollecitazioni nel paramento'!$G$47*'Sollecitazioni nel paramento'!$G$41*IF(DATI!$G$211="dx",DATI!$E$61,DATI!$E$64*DATI!$E$63)*1000*C2002*sezione!$AD$5</f>
        <v>-246069.85154823874</v>
      </c>
      <c r="Q2002" s="545">
        <f>'Foglio deposito bis'!$F$78*IF(ABS(K2002)&lt;'Sollecitazioni nel paramento'!$G$58,ABS(K2002)*'Sollecitazioni nel paramento'!$G$54,'Sollecitazioni nel paramento'!$G$53)*IF(K2002&lt;0,-1,1)</f>
        <v>0</v>
      </c>
      <c r="R2002" s="545">
        <f>'Foglio deposito bis'!$F$79*IF(ABS(L2002)&lt;'Sollecitazioni nel paramento'!$G$58,ABS(L2002)*'Sollecitazioni nel paramento'!$G$54,'Sollecitazioni nel paramento'!$G$53)*IF(L2002&lt;0,-1,1)</f>
        <v>153664.85805602249</v>
      </c>
      <c r="S2002" s="545">
        <f>'Foglio deposito bis'!$F$80*IF(ABS(M2002)&lt;'Sollecitazioni nel paramento'!$G$58,ABS(M2002)*'Sollecitazioni nel paramento'!$G$54,'Sollecitazioni nel paramento'!$G$53)*IF(M2002&lt;0,-1,1)</f>
        <v>0</v>
      </c>
      <c r="T2002" s="545">
        <f>'Foglio deposito bis'!$F$81*IF(ABS(N2002)&lt;'Sollecitazioni nel paramento'!$G$58,ABS(N2002)*'Sollecitazioni nel paramento'!$G$54,'Sollecitazioni nel paramento'!$G$53)*IF(N2002&lt;0,-1,1)</f>
        <v>398299.31208121032</v>
      </c>
      <c r="U2002" s="545">
        <f>'Foglio deposito bis'!$F$82*IF(ABS(O2002)&lt;'Sollecitazioni nel paramento'!$G$58,ABS(O2002)*'Sollecitazioni nel paramento'!$G$54,'Sollecitazioni nel paramento'!$G$53)*IF(O2002&lt;0,-1,1)</f>
        <v>892485.49558937876</v>
      </c>
      <c r="V2002" s="472">
        <f t="shared" si="142"/>
        <v>1198379.8141783727</v>
      </c>
      <c r="W2002" s="551"/>
      <c r="X2002" s="551"/>
    </row>
    <row r="2003" spans="1:24" x14ac:dyDescent="0.25">
      <c r="A2003" s="545">
        <f t="shared" si="141"/>
        <v>1179451.3640592776</v>
      </c>
      <c r="B2003" s="3">
        <f t="shared" si="143"/>
        <v>0.70000000000000007</v>
      </c>
      <c r="C2003" s="545">
        <f>'Foglio deposito bis'!$E$161/sezione!$B$247*B2003</f>
        <v>6.9558837091459722</v>
      </c>
      <c r="D2003" s="603">
        <f>-'Sollecitazioni nel paramento'!$G$47*'Sollecitazioni nel paramento'!$G$41*IF(DATI!$G$211="dx",DATI!$E$61,DATI!$E$64*DATI!$E$63)*1000*C2003^2*sezione!$AD$5*(1-sezione!$AD$6)</f>
        <v>-1076485.6637991888</v>
      </c>
      <c r="E2003" s="545">
        <f>-'Foglio deposito bis'!$F$78*(C2003-sezione!$AL$35)*IF(ABS(K2003)&lt;'Sollecitazioni nel paramento'!$G$58,ABS(K2003)*'Sollecitazioni nel paramento'!$G$54,'Sollecitazioni nel paramento'!$G$53)</f>
        <v>0</v>
      </c>
      <c r="F2003" s="545">
        <f>-'Foglio deposito bis'!$F$79*(C2003-sezione!$AM$35)*IF(ABS(L2003)&lt;'Sollecitazioni nel paramento'!$G$58,ABS(L2003)*'Sollecitazioni nel paramento'!$G$54,'Sollecitazioni nel paramento'!$G$53)</f>
        <v>8151016.6005412349</v>
      </c>
      <c r="G2003" s="545">
        <f>-'Foglio deposito bis'!$F$80*(C2003-sezione!$AN$35)*IF(ABS(M2003)&lt;'Sollecitazioni nel paramento'!$G$58,ABS(M2003)*'Sollecitazioni nel paramento'!$G$54,'Sollecitazioni nel paramento'!$G$53)</f>
        <v>0</v>
      </c>
      <c r="H2003" s="545">
        <f>-'Foglio deposito bis'!$F$81*(C2003-sezione!$AO$35)*IF(ABS(N2003)&lt;'Sollecitazioni nel paramento'!$G$58,ABS(N2003)*'Sollecitazioni nel paramento'!$G$54,'Sollecitazioni nel paramento'!$G$53)</f>
        <v>60957366.236723915</v>
      </c>
      <c r="I2003" s="472">
        <f>-'Foglio deposito bis'!$F$82*(C2003-sezione!$AP$35)*IF(ABS(O2003)&lt;'Sollecitazioni nel paramento'!$G$58,ABS(O2003)*'Sollecitazioni nel paramento'!$G$54,'Sollecitazioni nel paramento'!$G$53)</f>
        <v>613482656.43569231</v>
      </c>
      <c r="J2003" s="472">
        <f t="shared" si="140"/>
        <v>681514553.60915828</v>
      </c>
      <c r="K2003" s="550">
        <f>'Sollecitazioni nel paramento'!$G$60*(sezione!$AL$35-C2003)/C2003</f>
        <v>1.6626845970113102E-2</v>
      </c>
      <c r="L2003" s="550">
        <f>'Sollecitazioni nel paramento'!$G$60*(sezione!$AM$35-C2003)/C2003</f>
        <v>2.6690268955169658E-2</v>
      </c>
      <c r="M2003" s="551">
        <f>'Sollecitazioni nel paramento'!$G$60*(sezione!$AN$35-C2003)/C2003</f>
        <v>3.6753691940226207E-2</v>
      </c>
      <c r="N2003" s="551">
        <f>'Sollecitazioni nel paramento'!$G$60*(sezione!$AO$35-C2003)/C2003</f>
        <v>7.7007383880452404E-2</v>
      </c>
      <c r="O2003" s="551">
        <f>'Sollecitazioni nel paramento'!$G$60*(sezione!$AP$35-C2003)/C2003</f>
        <v>0.34587315402988666</v>
      </c>
      <c r="P2003" s="545">
        <f>-'Sollecitazioni nel paramento'!$G$47*'Sollecitazioni nel paramento'!$G$41*IF(DATI!$G$211="dx",DATI!$E$61,DATI!$E$64*DATI!$E$63)*1000*C2003*sezione!$AD$5</f>
        <v>-264998.30166733405</v>
      </c>
      <c r="Q2003" s="545">
        <f>'Foglio deposito bis'!$F$78*IF(ABS(K2003)&lt;'Sollecitazioni nel paramento'!$G$58,ABS(K2003)*'Sollecitazioni nel paramento'!$G$54,'Sollecitazioni nel paramento'!$G$53)*IF(K2003&lt;0,-1,1)</f>
        <v>0</v>
      </c>
      <c r="R2003" s="545">
        <f>'Foglio deposito bis'!$F$79*IF(ABS(L2003)&lt;'Sollecitazioni nel paramento'!$G$58,ABS(L2003)*'Sollecitazioni nel paramento'!$G$54,'Sollecitazioni nel paramento'!$G$53)*IF(L2003&lt;0,-1,1)</f>
        <v>153664.85805602249</v>
      </c>
      <c r="S2003" s="545">
        <f>'Foglio deposito bis'!$F$80*IF(ABS(M2003)&lt;'Sollecitazioni nel paramento'!$G$58,ABS(M2003)*'Sollecitazioni nel paramento'!$G$54,'Sollecitazioni nel paramento'!$G$53)*IF(M2003&lt;0,-1,1)</f>
        <v>0</v>
      </c>
      <c r="T2003" s="545">
        <f>'Foglio deposito bis'!$F$81*IF(ABS(N2003)&lt;'Sollecitazioni nel paramento'!$G$58,ABS(N2003)*'Sollecitazioni nel paramento'!$G$54,'Sollecitazioni nel paramento'!$G$53)*IF(N2003&lt;0,-1,1)</f>
        <v>398299.31208121032</v>
      </c>
      <c r="U2003" s="545">
        <f>'Foglio deposito bis'!$F$82*IF(ABS(O2003)&lt;'Sollecitazioni nel paramento'!$G$58,ABS(O2003)*'Sollecitazioni nel paramento'!$G$54,'Sollecitazioni nel paramento'!$G$53)*IF(O2003&lt;0,-1,1)</f>
        <v>892485.49558937876</v>
      </c>
      <c r="V2003" s="472">
        <f t="shared" si="142"/>
        <v>1179451.3640592776</v>
      </c>
      <c r="W2003" s="551"/>
      <c r="X2003" s="551"/>
    </row>
    <row r="2004" spans="1:24" x14ac:dyDescent="0.25">
      <c r="A2004" s="545">
        <f t="shared" si="141"/>
        <v>1160522.9139401822</v>
      </c>
      <c r="B2004" s="3">
        <f t="shared" si="143"/>
        <v>0.75000000000000011</v>
      </c>
      <c r="C2004" s="545">
        <f>'Foglio deposito bis'!$E$161/sezione!$B$247*B2004</f>
        <v>7.452732545513542</v>
      </c>
      <c r="D2004" s="603">
        <f>-'Sollecitazioni nel paramento'!$G$47*'Sollecitazioni nel paramento'!$G$41*IF(DATI!$G$211="dx",DATI!$E$61,DATI!$E$64*DATI!$E$63)*1000*C2004^2*sezione!$AD$5*(1-sezione!$AD$6)</f>
        <v>-1235761.6038511097</v>
      </c>
      <c r="E2004" s="545">
        <f>-'Foglio deposito bis'!$F$78*(C2004-sezione!$AL$35)*IF(ABS(K2004)&lt;'Sollecitazioni nel paramento'!$G$58,ABS(K2004)*'Sollecitazioni nel paramento'!$G$54,'Sollecitazioni nel paramento'!$G$53)</f>
        <v>0</v>
      </c>
      <c r="F2004" s="545">
        <f>-'Foglio deposito bis'!$F$79*(C2004-sezione!$AM$35)*IF(ABS(L2004)&lt;'Sollecitazioni nel paramento'!$G$58,ABS(L2004)*'Sollecitazioni nel paramento'!$G$54,'Sollecitazioni nel paramento'!$G$53)</f>
        <v>8074668.394625512</v>
      </c>
      <c r="G2004" s="545">
        <f>-'Foglio deposito bis'!$F$80*(C2004-sezione!$AN$35)*IF(ABS(M2004)&lt;'Sollecitazioni nel paramento'!$G$58,ABS(M2004)*'Sollecitazioni nel paramento'!$G$54,'Sollecitazioni nel paramento'!$G$53)</f>
        <v>0</v>
      </c>
      <c r="H2004" s="545">
        <f>-'Foglio deposito bis'!$F$81*(C2004-sezione!$AO$35)*IF(ABS(N2004)&lt;'Sollecitazioni nel paramento'!$G$58,ABS(N2004)*'Sollecitazioni nel paramento'!$G$54,'Sollecitazioni nel paramento'!$G$53)</f>
        <v>60759471.686990358</v>
      </c>
      <c r="I2004" s="472">
        <f>-'Foglio deposito bis'!$F$82*(C2004-sezione!$AP$35)*IF(ABS(O2004)&lt;'Sollecitazioni nel paramento'!$G$58,ABS(O2004)*'Sollecitazioni nel paramento'!$G$54,'Sollecitazioni nel paramento'!$G$53)</f>
        <v>613039226.0557338</v>
      </c>
      <c r="J2004" s="472">
        <f t="shared" si="140"/>
        <v>680637604.53349853</v>
      </c>
      <c r="K2004" s="550">
        <f>'Sollecitazioni nel paramento'!$G$60*(sezione!$AL$35-C2004)/C2004</f>
        <v>1.5285056238772229E-2</v>
      </c>
      <c r="L2004" s="550">
        <f>'Sollecitazioni nel paramento'!$G$60*(sezione!$AM$35-C2004)/C2004</f>
        <v>2.4677584358158342E-2</v>
      </c>
      <c r="M2004" s="551">
        <f>'Sollecitazioni nel paramento'!$G$60*(sezione!$AN$35-C2004)/C2004</f>
        <v>3.4070112477544462E-2</v>
      </c>
      <c r="N2004" s="551">
        <f>'Sollecitazioni nel paramento'!$G$60*(sezione!$AO$35-C2004)/C2004</f>
        <v>7.1640224955088913E-2</v>
      </c>
      <c r="O2004" s="551">
        <f>'Sollecitazioni nel paramento'!$G$60*(sezione!$AP$35-C2004)/C2004</f>
        <v>0.32258161042789418</v>
      </c>
      <c r="P2004" s="545">
        <f>-'Sollecitazioni nel paramento'!$G$47*'Sollecitazioni nel paramento'!$G$41*IF(DATI!$G$211="dx",DATI!$E$61,DATI!$E$64*DATI!$E$63)*1000*C2004*sezione!$AD$5</f>
        <v>-283926.75178642938</v>
      </c>
      <c r="Q2004" s="545">
        <f>'Foglio deposito bis'!$F$78*IF(ABS(K2004)&lt;'Sollecitazioni nel paramento'!$G$58,ABS(K2004)*'Sollecitazioni nel paramento'!$G$54,'Sollecitazioni nel paramento'!$G$53)*IF(K2004&lt;0,-1,1)</f>
        <v>0</v>
      </c>
      <c r="R2004" s="545">
        <f>'Foglio deposito bis'!$F$79*IF(ABS(L2004)&lt;'Sollecitazioni nel paramento'!$G$58,ABS(L2004)*'Sollecitazioni nel paramento'!$G$54,'Sollecitazioni nel paramento'!$G$53)*IF(L2004&lt;0,-1,1)</f>
        <v>153664.85805602249</v>
      </c>
      <c r="S2004" s="545">
        <f>'Foglio deposito bis'!$F$80*IF(ABS(M2004)&lt;'Sollecitazioni nel paramento'!$G$58,ABS(M2004)*'Sollecitazioni nel paramento'!$G$54,'Sollecitazioni nel paramento'!$G$53)*IF(M2004&lt;0,-1,1)</f>
        <v>0</v>
      </c>
      <c r="T2004" s="545">
        <f>'Foglio deposito bis'!$F$81*IF(ABS(N2004)&lt;'Sollecitazioni nel paramento'!$G$58,ABS(N2004)*'Sollecitazioni nel paramento'!$G$54,'Sollecitazioni nel paramento'!$G$53)*IF(N2004&lt;0,-1,1)</f>
        <v>398299.31208121032</v>
      </c>
      <c r="U2004" s="545">
        <f>'Foglio deposito bis'!$F$82*IF(ABS(O2004)&lt;'Sollecitazioni nel paramento'!$G$58,ABS(O2004)*'Sollecitazioni nel paramento'!$G$54,'Sollecitazioni nel paramento'!$G$53)*IF(O2004&lt;0,-1,1)</f>
        <v>892485.49558937876</v>
      </c>
      <c r="V2004" s="472">
        <f t="shared" si="142"/>
        <v>1160522.9139401822</v>
      </c>
      <c r="W2004" s="551"/>
      <c r="X2004" s="551"/>
    </row>
    <row r="2005" spans="1:24" x14ac:dyDescent="0.25">
      <c r="A2005" s="545">
        <f t="shared" si="141"/>
        <v>1141594.463821087</v>
      </c>
      <c r="B2005" s="3">
        <f t="shared" si="143"/>
        <v>0.80000000000000016</v>
      </c>
      <c r="C2005" s="545">
        <f>'Foglio deposito bis'!$E$161/sezione!$B$247*B2005</f>
        <v>7.9495813818811119</v>
      </c>
      <c r="D2005" s="603">
        <f>-'Sollecitazioni nel paramento'!$G$47*'Sollecitazioni nel paramento'!$G$41*IF(DATI!$G$211="dx",DATI!$E$61,DATI!$E$64*DATI!$E$63)*1000*C2005^2*sezione!$AD$5*(1-sezione!$AD$6)</f>
        <v>-1406022.0914928187</v>
      </c>
      <c r="E2005" s="545">
        <f>-'Foglio deposito bis'!$F$78*(C2005-sezione!$AL$35)*IF(ABS(K2005)&lt;'Sollecitazioni nel paramento'!$G$58,ABS(K2005)*'Sollecitazioni nel paramento'!$G$54,'Sollecitazioni nel paramento'!$G$53)</f>
        <v>0</v>
      </c>
      <c r="F2005" s="545">
        <f>-'Foglio deposito bis'!$F$79*(C2005-sezione!$AM$35)*IF(ABS(L2005)&lt;'Sollecitazioni nel paramento'!$G$58,ABS(L2005)*'Sollecitazioni nel paramento'!$G$54,'Sollecitazioni nel paramento'!$G$53)</f>
        <v>7998320.1887097899</v>
      </c>
      <c r="G2005" s="545">
        <f>-'Foglio deposito bis'!$F$80*(C2005-sezione!$AN$35)*IF(ABS(M2005)&lt;'Sollecitazioni nel paramento'!$G$58,ABS(M2005)*'Sollecitazioni nel paramento'!$G$54,'Sollecitazioni nel paramento'!$G$53)</f>
        <v>0</v>
      </c>
      <c r="H2005" s="545">
        <f>-'Foglio deposito bis'!$F$81*(C2005-sezione!$AO$35)*IF(ABS(N2005)&lt;'Sollecitazioni nel paramento'!$G$58,ABS(N2005)*'Sollecitazioni nel paramento'!$G$54,'Sollecitazioni nel paramento'!$G$53)</f>
        <v>60561577.137256816</v>
      </c>
      <c r="I2005" s="472">
        <f>-'Foglio deposito bis'!$F$82*(C2005-sezione!$AP$35)*IF(ABS(O2005)&lt;'Sollecitazioni nel paramento'!$G$58,ABS(O2005)*'Sollecitazioni nel paramento'!$G$54,'Sollecitazioni nel paramento'!$G$53)</f>
        <v>612595795.67577529</v>
      </c>
      <c r="J2005" s="472">
        <f t="shared" si="140"/>
        <v>679749670.91024911</v>
      </c>
      <c r="K2005" s="550">
        <f>'Sollecitazioni nel paramento'!$G$60*(sezione!$AL$35-C2005)/C2005</f>
        <v>1.4110990223848966E-2</v>
      </c>
      <c r="L2005" s="550">
        <f>'Sollecitazioni nel paramento'!$G$60*(sezione!$AM$35-C2005)/C2005</f>
        <v>2.2916485335773448E-2</v>
      </c>
      <c r="M2005" s="551">
        <f>'Sollecitazioni nel paramento'!$G$60*(sezione!$AN$35-C2005)/C2005</f>
        <v>3.1721980447697924E-2</v>
      </c>
      <c r="N2005" s="551">
        <f>'Sollecitazioni nel paramento'!$G$60*(sezione!$AO$35-C2005)/C2005</f>
        <v>6.6943960895395851E-2</v>
      </c>
      <c r="O2005" s="551">
        <f>'Sollecitazioni nel paramento'!$G$60*(sezione!$AP$35-C2005)/C2005</f>
        <v>0.30220150977615079</v>
      </c>
      <c r="P2005" s="545">
        <f>-'Sollecitazioni nel paramento'!$G$47*'Sollecitazioni nel paramento'!$G$41*IF(DATI!$G$211="dx",DATI!$E$61,DATI!$E$64*DATI!$E$63)*1000*C2005*sezione!$AD$5</f>
        <v>-302855.20190552465</v>
      </c>
      <c r="Q2005" s="545">
        <f>'Foglio deposito bis'!$F$78*IF(ABS(K2005)&lt;'Sollecitazioni nel paramento'!$G$58,ABS(K2005)*'Sollecitazioni nel paramento'!$G$54,'Sollecitazioni nel paramento'!$G$53)*IF(K2005&lt;0,-1,1)</f>
        <v>0</v>
      </c>
      <c r="R2005" s="545">
        <f>'Foglio deposito bis'!$F$79*IF(ABS(L2005)&lt;'Sollecitazioni nel paramento'!$G$58,ABS(L2005)*'Sollecitazioni nel paramento'!$G$54,'Sollecitazioni nel paramento'!$G$53)*IF(L2005&lt;0,-1,1)</f>
        <v>153664.85805602249</v>
      </c>
      <c r="S2005" s="545">
        <f>'Foglio deposito bis'!$F$80*IF(ABS(M2005)&lt;'Sollecitazioni nel paramento'!$G$58,ABS(M2005)*'Sollecitazioni nel paramento'!$G$54,'Sollecitazioni nel paramento'!$G$53)*IF(M2005&lt;0,-1,1)</f>
        <v>0</v>
      </c>
      <c r="T2005" s="545">
        <f>'Foglio deposito bis'!$F$81*IF(ABS(N2005)&lt;'Sollecitazioni nel paramento'!$G$58,ABS(N2005)*'Sollecitazioni nel paramento'!$G$54,'Sollecitazioni nel paramento'!$G$53)*IF(N2005&lt;0,-1,1)</f>
        <v>398299.31208121032</v>
      </c>
      <c r="U2005" s="545">
        <f>'Foglio deposito bis'!$F$82*IF(ABS(O2005)&lt;'Sollecitazioni nel paramento'!$G$58,ABS(O2005)*'Sollecitazioni nel paramento'!$G$54,'Sollecitazioni nel paramento'!$G$53)*IF(O2005&lt;0,-1,1)</f>
        <v>892485.49558937876</v>
      </c>
      <c r="V2005" s="472">
        <f t="shared" si="142"/>
        <v>1141594.463821087</v>
      </c>
      <c r="W2005" s="551"/>
      <c r="X2005" s="551"/>
    </row>
    <row r="2006" spans="1:24" x14ac:dyDescent="0.25">
      <c r="A2006" s="545">
        <f t="shared" si="141"/>
        <v>1122666.0137019916</v>
      </c>
      <c r="B2006" s="3">
        <f t="shared" si="143"/>
        <v>0.8500000000000002</v>
      </c>
      <c r="C2006" s="545">
        <f>'Foglio deposito bis'!$E$161/sezione!$B$247*B2006</f>
        <v>8.4464302182486808</v>
      </c>
      <c r="D2006" s="603">
        <f>-'Sollecitazioni nel paramento'!$G$47*'Sollecitazioni nel paramento'!$G$41*IF(DATI!$G$211="dx",DATI!$E$61,DATI!$E$64*DATI!$E$63)*1000*C2006^2*sezione!$AD$5*(1-sezione!$AD$6)</f>
        <v>-1587267.1267243146</v>
      </c>
      <c r="E2006" s="545">
        <f>-'Foglio deposito bis'!$F$78*(C2006-sezione!$AL$35)*IF(ABS(K2006)&lt;'Sollecitazioni nel paramento'!$G$58,ABS(K2006)*'Sollecitazioni nel paramento'!$G$54,'Sollecitazioni nel paramento'!$G$53)</f>
        <v>0</v>
      </c>
      <c r="F2006" s="545">
        <f>-'Foglio deposito bis'!$F$79*(C2006-sezione!$AM$35)*IF(ABS(L2006)&lt;'Sollecitazioni nel paramento'!$G$58,ABS(L2006)*'Sollecitazioni nel paramento'!$G$54,'Sollecitazioni nel paramento'!$G$53)</f>
        <v>7921971.9827940678</v>
      </c>
      <c r="G2006" s="545">
        <f>-'Foglio deposito bis'!$F$80*(C2006-sezione!$AN$35)*IF(ABS(M2006)&lt;'Sollecitazioni nel paramento'!$G$58,ABS(M2006)*'Sollecitazioni nel paramento'!$G$54,'Sollecitazioni nel paramento'!$G$53)</f>
        <v>0</v>
      </c>
      <c r="H2006" s="545">
        <f>-'Foglio deposito bis'!$F$81*(C2006-sezione!$AO$35)*IF(ABS(N2006)&lt;'Sollecitazioni nel paramento'!$G$58,ABS(N2006)*'Sollecitazioni nel paramento'!$G$54,'Sollecitazioni nel paramento'!$G$53)</f>
        <v>60363682.587523259</v>
      </c>
      <c r="I2006" s="472">
        <f>-'Foglio deposito bis'!$F$82*(C2006-sezione!$AP$35)*IF(ABS(O2006)&lt;'Sollecitazioni nel paramento'!$G$58,ABS(O2006)*'Sollecitazioni nel paramento'!$G$54,'Sollecitazioni nel paramento'!$G$53)</f>
        <v>612152365.29581678</v>
      </c>
      <c r="J2006" s="472">
        <f t="shared" si="140"/>
        <v>678850752.7394098</v>
      </c>
      <c r="K2006" s="550">
        <f>'Sollecitazioni nel paramento'!$G$60*(sezione!$AL$35-C2006)/C2006</f>
        <v>1.3075049622446086E-2</v>
      </c>
      <c r="L2006" s="550">
        <f>'Sollecitazioni nel paramento'!$G$60*(sezione!$AM$35-C2006)/C2006</f>
        <v>2.1362574433669127E-2</v>
      </c>
      <c r="M2006" s="551">
        <f>'Sollecitazioni nel paramento'!$G$60*(sezione!$AN$35-C2006)/C2006</f>
        <v>2.9650099244892175E-2</v>
      </c>
      <c r="N2006" s="551">
        <f>'Sollecitazioni nel paramento'!$G$60*(sezione!$AO$35-C2006)/C2006</f>
        <v>6.280019848978434E-2</v>
      </c>
      <c r="O2006" s="551">
        <f>'Sollecitazioni nel paramento'!$G$60*(sezione!$AP$35-C2006)/C2006</f>
        <v>0.2842190680246125</v>
      </c>
      <c r="P2006" s="545">
        <f>-'Sollecitazioni nel paramento'!$G$47*'Sollecitazioni nel paramento'!$G$41*IF(DATI!$G$211="dx",DATI!$E$61,DATI!$E$64*DATI!$E$63)*1000*C2006*sezione!$AD$5</f>
        <v>-321783.65202461992</v>
      </c>
      <c r="Q2006" s="545">
        <f>'Foglio deposito bis'!$F$78*IF(ABS(K2006)&lt;'Sollecitazioni nel paramento'!$G$58,ABS(K2006)*'Sollecitazioni nel paramento'!$G$54,'Sollecitazioni nel paramento'!$G$53)*IF(K2006&lt;0,-1,1)</f>
        <v>0</v>
      </c>
      <c r="R2006" s="545">
        <f>'Foglio deposito bis'!$F$79*IF(ABS(L2006)&lt;'Sollecitazioni nel paramento'!$G$58,ABS(L2006)*'Sollecitazioni nel paramento'!$G$54,'Sollecitazioni nel paramento'!$G$53)*IF(L2006&lt;0,-1,1)</f>
        <v>153664.85805602249</v>
      </c>
      <c r="S2006" s="545">
        <f>'Foglio deposito bis'!$F$80*IF(ABS(M2006)&lt;'Sollecitazioni nel paramento'!$G$58,ABS(M2006)*'Sollecitazioni nel paramento'!$G$54,'Sollecitazioni nel paramento'!$G$53)*IF(M2006&lt;0,-1,1)</f>
        <v>0</v>
      </c>
      <c r="T2006" s="545">
        <f>'Foglio deposito bis'!$F$81*IF(ABS(N2006)&lt;'Sollecitazioni nel paramento'!$G$58,ABS(N2006)*'Sollecitazioni nel paramento'!$G$54,'Sollecitazioni nel paramento'!$G$53)*IF(N2006&lt;0,-1,1)</f>
        <v>398299.31208121032</v>
      </c>
      <c r="U2006" s="545">
        <f>'Foglio deposito bis'!$F$82*IF(ABS(O2006)&lt;'Sollecitazioni nel paramento'!$G$58,ABS(O2006)*'Sollecitazioni nel paramento'!$G$54,'Sollecitazioni nel paramento'!$G$53)*IF(O2006&lt;0,-1,1)</f>
        <v>892485.49558937876</v>
      </c>
      <c r="V2006" s="472">
        <f t="shared" si="142"/>
        <v>1122666.0137019916</v>
      </c>
      <c r="W2006" s="551"/>
      <c r="X2006" s="551"/>
    </row>
    <row r="2007" spans="1:24" x14ac:dyDescent="0.25">
      <c r="A2007" s="545">
        <f t="shared" si="141"/>
        <v>1103737.5635828963</v>
      </c>
      <c r="B2007" s="3">
        <f t="shared" si="143"/>
        <v>0.90000000000000024</v>
      </c>
      <c r="C2007" s="545">
        <f>'Foglio deposito bis'!$E$161/sezione!$B$247*B2007</f>
        <v>8.9432790546162515</v>
      </c>
      <c r="D2007" s="603">
        <f>-'Sollecitazioni nel paramento'!$G$47*'Sollecitazioni nel paramento'!$G$41*IF(DATI!$G$211="dx",DATI!$E$61,DATI!$E$64*DATI!$E$63)*1000*C2007^2*sezione!$AD$5*(1-sezione!$AD$6)</f>
        <v>-1779496.7095455986</v>
      </c>
      <c r="E2007" s="545">
        <f>-'Foglio deposito bis'!$F$78*(C2007-sezione!$AL$35)*IF(ABS(K2007)&lt;'Sollecitazioni nel paramento'!$G$58,ABS(K2007)*'Sollecitazioni nel paramento'!$G$54,'Sollecitazioni nel paramento'!$G$53)</f>
        <v>0</v>
      </c>
      <c r="F2007" s="545">
        <f>-'Foglio deposito bis'!$F$79*(C2007-sezione!$AM$35)*IF(ABS(L2007)&lt;'Sollecitazioni nel paramento'!$G$58,ABS(L2007)*'Sollecitazioni nel paramento'!$G$54,'Sollecitazioni nel paramento'!$G$53)</f>
        <v>7845623.7768783439</v>
      </c>
      <c r="G2007" s="545">
        <f>-'Foglio deposito bis'!$F$80*(C2007-sezione!$AN$35)*IF(ABS(M2007)&lt;'Sollecitazioni nel paramento'!$G$58,ABS(M2007)*'Sollecitazioni nel paramento'!$G$54,'Sollecitazioni nel paramento'!$G$53)</f>
        <v>0</v>
      </c>
      <c r="H2007" s="545">
        <f>-'Foglio deposito bis'!$F$81*(C2007-sezione!$AO$35)*IF(ABS(N2007)&lt;'Sollecitazioni nel paramento'!$G$58,ABS(N2007)*'Sollecitazioni nel paramento'!$G$54,'Sollecitazioni nel paramento'!$G$53)</f>
        <v>60165788.037789695</v>
      </c>
      <c r="I2007" s="472">
        <f>-'Foglio deposito bis'!$F$82*(C2007-sezione!$AP$35)*IF(ABS(O2007)&lt;'Sollecitazioni nel paramento'!$G$58,ABS(O2007)*'Sollecitazioni nel paramento'!$G$54,'Sollecitazioni nel paramento'!$G$53)</f>
        <v>611708934.91585827</v>
      </c>
      <c r="J2007" s="472">
        <f t="shared" si="140"/>
        <v>677940850.02098072</v>
      </c>
      <c r="K2007" s="550">
        <f>'Sollecitazioni nel paramento'!$G$60*(sezione!$AL$35-C2007)/C2007</f>
        <v>1.2154213532310189E-2</v>
      </c>
      <c r="L2007" s="550">
        <f>'Sollecitazioni nel paramento'!$G$60*(sezione!$AM$35-C2007)/C2007</f>
        <v>1.9981320298465284E-2</v>
      </c>
      <c r="M2007" s="551">
        <f>'Sollecitazioni nel paramento'!$G$60*(sezione!$AN$35-C2007)/C2007</f>
        <v>2.7808427064620379E-2</v>
      </c>
      <c r="N2007" s="551">
        <f>'Sollecitazioni nel paramento'!$G$60*(sezione!$AO$35-C2007)/C2007</f>
        <v>5.911685412924076E-2</v>
      </c>
      <c r="O2007" s="551">
        <f>'Sollecitazioni nel paramento'!$G$60*(sezione!$AP$35-C2007)/C2007</f>
        <v>0.26823467535657841</v>
      </c>
      <c r="P2007" s="545">
        <f>-'Sollecitazioni nel paramento'!$G$47*'Sollecitazioni nel paramento'!$G$41*IF(DATI!$G$211="dx",DATI!$E$61,DATI!$E$64*DATI!$E$63)*1000*C2007*sezione!$AD$5</f>
        <v>-340712.10214371525</v>
      </c>
      <c r="Q2007" s="545">
        <f>'Foglio deposito bis'!$F$78*IF(ABS(K2007)&lt;'Sollecitazioni nel paramento'!$G$58,ABS(K2007)*'Sollecitazioni nel paramento'!$G$54,'Sollecitazioni nel paramento'!$G$53)*IF(K2007&lt;0,-1,1)</f>
        <v>0</v>
      </c>
      <c r="R2007" s="545">
        <f>'Foglio deposito bis'!$F$79*IF(ABS(L2007)&lt;'Sollecitazioni nel paramento'!$G$58,ABS(L2007)*'Sollecitazioni nel paramento'!$G$54,'Sollecitazioni nel paramento'!$G$53)*IF(L2007&lt;0,-1,1)</f>
        <v>153664.85805602249</v>
      </c>
      <c r="S2007" s="545">
        <f>'Foglio deposito bis'!$F$80*IF(ABS(M2007)&lt;'Sollecitazioni nel paramento'!$G$58,ABS(M2007)*'Sollecitazioni nel paramento'!$G$54,'Sollecitazioni nel paramento'!$G$53)*IF(M2007&lt;0,-1,1)</f>
        <v>0</v>
      </c>
      <c r="T2007" s="545">
        <f>'Foglio deposito bis'!$F$81*IF(ABS(N2007)&lt;'Sollecitazioni nel paramento'!$G$58,ABS(N2007)*'Sollecitazioni nel paramento'!$G$54,'Sollecitazioni nel paramento'!$G$53)*IF(N2007&lt;0,-1,1)</f>
        <v>398299.31208121032</v>
      </c>
      <c r="U2007" s="545">
        <f>'Foglio deposito bis'!$F$82*IF(ABS(O2007)&lt;'Sollecitazioni nel paramento'!$G$58,ABS(O2007)*'Sollecitazioni nel paramento'!$G$54,'Sollecitazioni nel paramento'!$G$53)*IF(O2007&lt;0,-1,1)</f>
        <v>892485.49558937876</v>
      </c>
      <c r="V2007" s="472">
        <f t="shared" si="142"/>
        <v>1103737.5635828963</v>
      </c>
      <c r="W2007" s="551"/>
      <c r="X2007" s="551"/>
    </row>
    <row r="2008" spans="1:24" x14ac:dyDescent="0.25">
      <c r="A2008" s="545">
        <f t="shared" si="141"/>
        <v>1084809.1134638011</v>
      </c>
      <c r="B2008" s="3">
        <f t="shared" si="143"/>
        <v>0.95000000000000029</v>
      </c>
      <c r="C2008" s="545">
        <f>'Foglio deposito bis'!$E$161/sezione!$B$247*B2008</f>
        <v>9.4401278909838204</v>
      </c>
      <c r="D2008" s="603">
        <f>-'Sollecitazioni nel paramento'!$G$47*'Sollecitazioni nel paramento'!$G$41*IF(DATI!$G$211="dx",DATI!$E$61,DATI!$E$64*DATI!$E$63)*1000*C2008^2*sezione!$AD$5*(1-sezione!$AD$6)</f>
        <v>-1982710.8399566698</v>
      </c>
      <c r="E2008" s="545">
        <f>-'Foglio deposito bis'!$F$78*(C2008-sezione!$AL$35)*IF(ABS(K2008)&lt;'Sollecitazioni nel paramento'!$G$58,ABS(K2008)*'Sollecitazioni nel paramento'!$G$54,'Sollecitazioni nel paramento'!$G$53)</f>
        <v>0</v>
      </c>
      <c r="F2008" s="545">
        <f>-'Foglio deposito bis'!$F$79*(C2008-sezione!$AM$35)*IF(ABS(L2008)&lt;'Sollecitazioni nel paramento'!$G$58,ABS(L2008)*'Sollecitazioni nel paramento'!$G$54,'Sollecitazioni nel paramento'!$G$53)</f>
        <v>7769275.5709626228</v>
      </c>
      <c r="G2008" s="545">
        <f>-'Foglio deposito bis'!$F$80*(C2008-sezione!$AN$35)*IF(ABS(M2008)&lt;'Sollecitazioni nel paramento'!$G$58,ABS(M2008)*'Sollecitazioni nel paramento'!$G$54,'Sollecitazioni nel paramento'!$G$53)</f>
        <v>0</v>
      </c>
      <c r="H2008" s="545">
        <f>-'Foglio deposito bis'!$F$81*(C2008-sezione!$AO$35)*IF(ABS(N2008)&lt;'Sollecitazioni nel paramento'!$G$58,ABS(N2008)*'Sollecitazioni nel paramento'!$G$54,'Sollecitazioni nel paramento'!$G$53)</f>
        <v>59967893.488056138</v>
      </c>
      <c r="I2008" s="472">
        <f>-'Foglio deposito bis'!$F$82*(C2008-sezione!$AP$35)*IF(ABS(O2008)&lt;'Sollecitazioni nel paramento'!$G$58,ABS(O2008)*'Sollecitazioni nel paramento'!$G$54,'Sollecitazioni nel paramento'!$G$53)</f>
        <v>611265504.53589964</v>
      </c>
      <c r="J2008" s="472">
        <f t="shared" si="140"/>
        <v>677019962.75496173</v>
      </c>
      <c r="K2008" s="550">
        <f>'Sollecitazioni nel paramento'!$G$60*(sezione!$AL$35-C2008)/C2008</f>
        <v>1.1330307556925445E-2</v>
      </c>
      <c r="L2008" s="550">
        <f>'Sollecitazioni nel paramento'!$G$60*(sezione!$AM$35-C2008)/C2008</f>
        <v>1.8745461335388167E-2</v>
      </c>
      <c r="M2008" s="551">
        <f>'Sollecitazioni nel paramento'!$G$60*(sezione!$AN$35-C2008)/C2008</f>
        <v>2.6160615113850889E-2</v>
      </c>
      <c r="N2008" s="551">
        <f>'Sollecitazioni nel paramento'!$G$60*(sezione!$AO$35-C2008)/C2008</f>
        <v>5.5821230227701767E-2</v>
      </c>
      <c r="O2008" s="551">
        <f>'Sollecitazioni nel paramento'!$G$60*(sezione!$AP$35-C2008)/C2008</f>
        <v>0.25393285033781116</v>
      </c>
      <c r="P2008" s="545">
        <f>-'Sollecitazioni nel paramento'!$G$47*'Sollecitazioni nel paramento'!$G$41*IF(DATI!$G$211="dx",DATI!$E$61,DATI!$E$64*DATI!$E$63)*1000*C2008*sezione!$AD$5</f>
        <v>-359640.55226281052</v>
      </c>
      <c r="Q2008" s="545">
        <f>'Foglio deposito bis'!$F$78*IF(ABS(K2008)&lt;'Sollecitazioni nel paramento'!$G$58,ABS(K2008)*'Sollecitazioni nel paramento'!$G$54,'Sollecitazioni nel paramento'!$G$53)*IF(K2008&lt;0,-1,1)</f>
        <v>0</v>
      </c>
      <c r="R2008" s="545">
        <f>'Foglio deposito bis'!$F$79*IF(ABS(L2008)&lt;'Sollecitazioni nel paramento'!$G$58,ABS(L2008)*'Sollecitazioni nel paramento'!$G$54,'Sollecitazioni nel paramento'!$G$53)*IF(L2008&lt;0,-1,1)</f>
        <v>153664.85805602249</v>
      </c>
      <c r="S2008" s="545">
        <f>'Foglio deposito bis'!$F$80*IF(ABS(M2008)&lt;'Sollecitazioni nel paramento'!$G$58,ABS(M2008)*'Sollecitazioni nel paramento'!$G$54,'Sollecitazioni nel paramento'!$G$53)*IF(M2008&lt;0,-1,1)</f>
        <v>0</v>
      </c>
      <c r="T2008" s="545">
        <f>'Foglio deposito bis'!$F$81*IF(ABS(N2008)&lt;'Sollecitazioni nel paramento'!$G$58,ABS(N2008)*'Sollecitazioni nel paramento'!$G$54,'Sollecitazioni nel paramento'!$G$53)*IF(N2008&lt;0,-1,1)</f>
        <v>398299.31208121032</v>
      </c>
      <c r="U2008" s="545">
        <f>'Foglio deposito bis'!$F$82*IF(ABS(O2008)&lt;'Sollecitazioni nel paramento'!$G$58,ABS(O2008)*'Sollecitazioni nel paramento'!$G$54,'Sollecitazioni nel paramento'!$G$53)*IF(O2008&lt;0,-1,1)</f>
        <v>892485.49558937876</v>
      </c>
      <c r="V2008" s="472">
        <f t="shared" si="142"/>
        <v>1084809.1134638011</v>
      </c>
      <c r="W2008" s="551"/>
      <c r="X2008" s="551"/>
    </row>
    <row r="2009" spans="1:24" x14ac:dyDescent="0.25">
      <c r="A2009" s="545">
        <f t="shared" si="141"/>
        <v>1065880.6633447057</v>
      </c>
      <c r="B2009" s="3">
        <f t="shared" si="143"/>
        <v>1.0000000000000002</v>
      </c>
      <c r="C2009" s="545">
        <f>'Foglio deposito bis'!$E$161/sezione!$B$247*B2009</f>
        <v>9.9369767273513894</v>
      </c>
      <c r="D2009" s="603">
        <f>-'Sollecitazioni nel paramento'!$G$47*'Sollecitazioni nel paramento'!$G$41*IF(DATI!$G$211="dx",DATI!$E$61,DATI!$E$64*DATI!$E$63)*1000*C2009^2*sezione!$AD$5*(1-sezione!$AD$6)</f>
        <v>-2196909.5179575281</v>
      </c>
      <c r="E2009" s="545">
        <f>-'Foglio deposito bis'!$F$78*(C2009-sezione!$AL$35)*IF(ABS(K2009)&lt;'Sollecitazioni nel paramento'!$G$58,ABS(K2009)*'Sollecitazioni nel paramento'!$G$54,'Sollecitazioni nel paramento'!$G$53)</f>
        <v>0</v>
      </c>
      <c r="F2009" s="545">
        <f>-'Foglio deposito bis'!$F$79*(C2009-sezione!$AM$35)*IF(ABS(L2009)&lt;'Sollecitazioni nel paramento'!$G$58,ABS(L2009)*'Sollecitazioni nel paramento'!$G$54,'Sollecitazioni nel paramento'!$G$53)</f>
        <v>7692927.3650468988</v>
      </c>
      <c r="G2009" s="545">
        <f>-'Foglio deposito bis'!$F$80*(C2009-sezione!$AN$35)*IF(ABS(M2009)&lt;'Sollecitazioni nel paramento'!$G$58,ABS(M2009)*'Sollecitazioni nel paramento'!$G$54,'Sollecitazioni nel paramento'!$G$53)</f>
        <v>0</v>
      </c>
      <c r="H2009" s="545">
        <f>-'Foglio deposito bis'!$F$81*(C2009-sezione!$AO$35)*IF(ABS(N2009)&lt;'Sollecitazioni nel paramento'!$G$58,ABS(N2009)*'Sollecitazioni nel paramento'!$G$54,'Sollecitazioni nel paramento'!$G$53)</f>
        <v>59769998.938322596</v>
      </c>
      <c r="I2009" s="472">
        <f>-'Foglio deposito bis'!$F$82*(C2009-sezione!$AP$35)*IF(ABS(O2009)&lt;'Sollecitazioni nel paramento'!$G$58,ABS(O2009)*'Sollecitazioni nel paramento'!$G$54,'Sollecitazioni nel paramento'!$G$53)</f>
        <v>610822074.15594125</v>
      </c>
      <c r="J2009" s="472">
        <f t="shared" si="140"/>
        <v>676088090.9413532</v>
      </c>
      <c r="K2009" s="550">
        <f>'Sollecitazioni nel paramento'!$G$60*(sezione!$AL$35-C2009)/C2009</f>
        <v>1.0588792179079173E-2</v>
      </c>
      <c r="L2009" s="550">
        <f>'Sollecitazioni nel paramento'!$G$60*(sezione!$AM$35-C2009)/C2009</f>
        <v>1.7633188268618757E-2</v>
      </c>
      <c r="M2009" s="551">
        <f>'Sollecitazioni nel paramento'!$G$60*(sezione!$AN$35-C2009)/C2009</f>
        <v>2.4677584358158346E-2</v>
      </c>
      <c r="N2009" s="551">
        <f>'Sollecitazioni nel paramento'!$G$60*(sezione!$AO$35-C2009)/C2009</f>
        <v>5.2855168716316694E-2</v>
      </c>
      <c r="O2009" s="551">
        <f>'Sollecitazioni nel paramento'!$G$60*(sezione!$AP$35-C2009)/C2009</f>
        <v>0.24106120782092058</v>
      </c>
      <c r="P2009" s="545">
        <f>-'Sollecitazioni nel paramento'!$G$47*'Sollecitazioni nel paramento'!$G$41*IF(DATI!$G$211="dx",DATI!$E$61,DATI!$E$64*DATI!$E$63)*1000*C2009*sezione!$AD$5</f>
        <v>-378569.00238190586</v>
      </c>
      <c r="Q2009" s="545">
        <f>'Foglio deposito bis'!$F$78*IF(ABS(K2009)&lt;'Sollecitazioni nel paramento'!$G$58,ABS(K2009)*'Sollecitazioni nel paramento'!$G$54,'Sollecitazioni nel paramento'!$G$53)*IF(K2009&lt;0,-1,1)</f>
        <v>0</v>
      </c>
      <c r="R2009" s="545">
        <f>'Foglio deposito bis'!$F$79*IF(ABS(L2009)&lt;'Sollecitazioni nel paramento'!$G$58,ABS(L2009)*'Sollecitazioni nel paramento'!$G$54,'Sollecitazioni nel paramento'!$G$53)*IF(L2009&lt;0,-1,1)</f>
        <v>153664.85805602249</v>
      </c>
      <c r="S2009" s="545">
        <f>'Foglio deposito bis'!$F$80*IF(ABS(M2009)&lt;'Sollecitazioni nel paramento'!$G$58,ABS(M2009)*'Sollecitazioni nel paramento'!$G$54,'Sollecitazioni nel paramento'!$G$53)*IF(M2009&lt;0,-1,1)</f>
        <v>0</v>
      </c>
      <c r="T2009" s="545">
        <f>'Foglio deposito bis'!$F$81*IF(ABS(N2009)&lt;'Sollecitazioni nel paramento'!$G$58,ABS(N2009)*'Sollecitazioni nel paramento'!$G$54,'Sollecitazioni nel paramento'!$G$53)*IF(N2009&lt;0,-1,1)</f>
        <v>398299.31208121032</v>
      </c>
      <c r="U2009" s="545">
        <f>'Foglio deposito bis'!$F$82*IF(ABS(O2009)&lt;'Sollecitazioni nel paramento'!$G$58,ABS(O2009)*'Sollecitazioni nel paramento'!$G$54,'Sollecitazioni nel paramento'!$G$53)*IF(O2009&lt;0,-1,1)</f>
        <v>892485.49558937876</v>
      </c>
      <c r="V2009" s="472">
        <f t="shared" si="142"/>
        <v>1065880.6633447057</v>
      </c>
      <c r="W2009" s="551"/>
      <c r="X2009" s="551"/>
    </row>
    <row r="2010" spans="1:24" x14ac:dyDescent="0.25">
      <c r="A2010" s="545">
        <f t="shared" si="141"/>
        <v>1046952.2132256104</v>
      </c>
      <c r="B2010" s="3">
        <f t="shared" si="143"/>
        <v>1.0500000000000003</v>
      </c>
      <c r="C2010" s="545">
        <f>'Foglio deposito bis'!$E$161/sezione!$B$247*B2010</f>
        <v>10.43382556371896</v>
      </c>
      <c r="D2010" s="603">
        <f>-'Sollecitazioni nel paramento'!$G$47*'Sollecitazioni nel paramento'!$G$41*IF(DATI!$G$211="dx",DATI!$E$61,DATI!$E$64*DATI!$E$63)*1000*C2010^2*sezione!$AD$5*(1-sezione!$AD$6)</f>
        <v>-2422092.7435481758</v>
      </c>
      <c r="E2010" s="545">
        <f>-'Foglio deposito bis'!$F$78*(C2010-sezione!$AL$35)*IF(ABS(K2010)&lt;'Sollecitazioni nel paramento'!$G$58,ABS(K2010)*'Sollecitazioni nel paramento'!$G$54,'Sollecitazioni nel paramento'!$G$53)</f>
        <v>0</v>
      </c>
      <c r="F2010" s="545">
        <f>-'Foglio deposito bis'!$F$79*(C2010-sezione!$AM$35)*IF(ABS(L2010)&lt;'Sollecitazioni nel paramento'!$G$58,ABS(L2010)*'Sollecitazioni nel paramento'!$G$54,'Sollecitazioni nel paramento'!$G$53)</f>
        <v>7616579.1591311758</v>
      </c>
      <c r="G2010" s="545">
        <f>-'Foglio deposito bis'!$F$80*(C2010-sezione!$AN$35)*IF(ABS(M2010)&lt;'Sollecitazioni nel paramento'!$G$58,ABS(M2010)*'Sollecitazioni nel paramento'!$G$54,'Sollecitazioni nel paramento'!$G$53)</f>
        <v>0</v>
      </c>
      <c r="H2010" s="545">
        <f>-'Foglio deposito bis'!$F$81*(C2010-sezione!$AO$35)*IF(ABS(N2010)&lt;'Sollecitazioni nel paramento'!$G$58,ABS(N2010)*'Sollecitazioni nel paramento'!$G$54,'Sollecitazioni nel paramento'!$G$53)</f>
        <v>59572104.388589039</v>
      </c>
      <c r="I2010" s="472">
        <f>-'Foglio deposito bis'!$F$82*(C2010-sezione!$AP$35)*IF(ABS(O2010)&lt;'Sollecitazioni nel paramento'!$G$58,ABS(O2010)*'Sollecitazioni nel paramento'!$G$54,'Sollecitazioni nel paramento'!$G$53)</f>
        <v>610378643.77598274</v>
      </c>
      <c r="J2010" s="472">
        <f t="shared" si="140"/>
        <v>675145234.58015478</v>
      </c>
      <c r="K2010" s="550">
        <f>'Sollecitazioni nel paramento'!$G$60*(sezione!$AL$35-C2010)/C2010</f>
        <v>9.9178973134087332E-3</v>
      </c>
      <c r="L2010" s="550">
        <f>'Sollecitazioni nel paramento'!$G$60*(sezione!$AM$35-C2010)/C2010</f>
        <v>1.6626845970113099E-2</v>
      </c>
      <c r="M2010" s="551">
        <f>'Sollecitazioni nel paramento'!$G$60*(sezione!$AN$35-C2010)/C2010</f>
        <v>2.3335794626817469E-2</v>
      </c>
      <c r="N2010" s="551">
        <f>'Sollecitazioni nel paramento'!$G$60*(sezione!$AO$35-C2010)/C2010</f>
        <v>5.0171589253634942E-2</v>
      </c>
      <c r="O2010" s="551">
        <f>'Sollecitazioni nel paramento'!$G$60*(sezione!$AP$35-C2010)/C2010</f>
        <v>0.22941543601992437</v>
      </c>
      <c r="P2010" s="545">
        <f>-'Sollecitazioni nel paramento'!$G$47*'Sollecitazioni nel paramento'!$G$41*IF(DATI!$G$211="dx",DATI!$E$61,DATI!$E$64*DATI!$E$63)*1000*C2010*sezione!$AD$5</f>
        <v>-397497.45250100113</v>
      </c>
      <c r="Q2010" s="545">
        <f>'Foglio deposito bis'!$F$78*IF(ABS(K2010)&lt;'Sollecitazioni nel paramento'!$G$58,ABS(K2010)*'Sollecitazioni nel paramento'!$G$54,'Sollecitazioni nel paramento'!$G$53)*IF(K2010&lt;0,-1,1)</f>
        <v>0</v>
      </c>
      <c r="R2010" s="545">
        <f>'Foglio deposito bis'!$F$79*IF(ABS(L2010)&lt;'Sollecitazioni nel paramento'!$G$58,ABS(L2010)*'Sollecitazioni nel paramento'!$G$54,'Sollecitazioni nel paramento'!$G$53)*IF(L2010&lt;0,-1,1)</f>
        <v>153664.85805602249</v>
      </c>
      <c r="S2010" s="545">
        <f>'Foglio deposito bis'!$F$80*IF(ABS(M2010)&lt;'Sollecitazioni nel paramento'!$G$58,ABS(M2010)*'Sollecitazioni nel paramento'!$G$54,'Sollecitazioni nel paramento'!$G$53)*IF(M2010&lt;0,-1,1)</f>
        <v>0</v>
      </c>
      <c r="T2010" s="545">
        <f>'Foglio deposito bis'!$F$81*IF(ABS(N2010)&lt;'Sollecitazioni nel paramento'!$G$58,ABS(N2010)*'Sollecitazioni nel paramento'!$G$54,'Sollecitazioni nel paramento'!$G$53)*IF(N2010&lt;0,-1,1)</f>
        <v>398299.31208121032</v>
      </c>
      <c r="U2010" s="545">
        <f>'Foglio deposito bis'!$F$82*IF(ABS(O2010)&lt;'Sollecitazioni nel paramento'!$G$58,ABS(O2010)*'Sollecitazioni nel paramento'!$G$54,'Sollecitazioni nel paramento'!$G$53)*IF(O2010&lt;0,-1,1)</f>
        <v>892485.49558937876</v>
      </c>
      <c r="V2010" s="472">
        <f t="shared" si="142"/>
        <v>1046952.2132256104</v>
      </c>
      <c r="W2010" s="551"/>
      <c r="X2010" s="551"/>
    </row>
    <row r="2011" spans="1:24" x14ac:dyDescent="0.25">
      <c r="A2011" s="545">
        <f t="shared" si="141"/>
        <v>1028023.7631065152</v>
      </c>
      <c r="B2011" s="3">
        <f t="shared" si="143"/>
        <v>1.1000000000000003</v>
      </c>
      <c r="C2011" s="545">
        <f>'Foglio deposito bis'!$E$161/sezione!$B$247*B2011</f>
        <v>10.930674400086529</v>
      </c>
      <c r="D2011" s="603">
        <f>-'Sollecitazioni nel paramento'!$G$47*'Sollecitazioni nel paramento'!$G$41*IF(DATI!$G$211="dx",DATI!$E$61,DATI!$E$64*DATI!$E$63)*1000*C2011^2*sezione!$AD$5*(1-sezione!$AD$6)</f>
        <v>-2658260.5167286098</v>
      </c>
      <c r="E2011" s="545">
        <f>-'Foglio deposito bis'!$F$78*(C2011-sezione!$AL$35)*IF(ABS(K2011)&lt;'Sollecitazioni nel paramento'!$G$58,ABS(K2011)*'Sollecitazioni nel paramento'!$G$54,'Sollecitazioni nel paramento'!$G$53)</f>
        <v>0</v>
      </c>
      <c r="F2011" s="545">
        <f>-'Foglio deposito bis'!$F$79*(C2011-sezione!$AM$35)*IF(ABS(L2011)&lt;'Sollecitazioni nel paramento'!$G$58,ABS(L2011)*'Sollecitazioni nel paramento'!$G$54,'Sollecitazioni nel paramento'!$G$53)</f>
        <v>7540230.9532154538</v>
      </c>
      <c r="G2011" s="545">
        <f>-'Foglio deposito bis'!$F$80*(C2011-sezione!$AN$35)*IF(ABS(M2011)&lt;'Sollecitazioni nel paramento'!$G$58,ABS(M2011)*'Sollecitazioni nel paramento'!$G$54,'Sollecitazioni nel paramento'!$G$53)</f>
        <v>0</v>
      </c>
      <c r="H2011" s="545">
        <f>-'Foglio deposito bis'!$F$81*(C2011-sezione!$AO$35)*IF(ABS(N2011)&lt;'Sollecitazioni nel paramento'!$G$58,ABS(N2011)*'Sollecitazioni nel paramento'!$G$54,'Sollecitazioni nel paramento'!$G$53)</f>
        <v>59374209.83885549</v>
      </c>
      <c r="I2011" s="472">
        <f>-'Foglio deposito bis'!$F$82*(C2011-sezione!$AP$35)*IF(ABS(O2011)&lt;'Sollecitazioni nel paramento'!$G$58,ABS(O2011)*'Sollecitazioni nel paramento'!$G$54,'Sollecitazioni nel paramento'!$G$53)</f>
        <v>609935213.39602411</v>
      </c>
      <c r="J2011" s="472">
        <f t="shared" si="140"/>
        <v>674191393.67136645</v>
      </c>
      <c r="K2011" s="550">
        <f>'Sollecitazioni nel paramento'!$G$60*(sezione!$AL$35-C2011)/C2011</f>
        <v>9.3079928900719738E-3</v>
      </c>
      <c r="L2011" s="550">
        <f>'Sollecitazioni nel paramento'!$G$60*(sezione!$AM$35-C2011)/C2011</f>
        <v>1.5711989335107961E-2</v>
      </c>
      <c r="M2011" s="551">
        <f>'Sollecitazioni nel paramento'!$G$60*(sezione!$AN$35-C2011)/C2011</f>
        <v>2.2115985780143947E-2</v>
      </c>
      <c r="N2011" s="551">
        <f>'Sollecitazioni nel paramento'!$G$60*(sezione!$AO$35-C2011)/C2011</f>
        <v>4.7731971560287891E-2</v>
      </c>
      <c r="O2011" s="551">
        <f>'Sollecitazioni nel paramento'!$G$60*(sezione!$AP$35-C2011)/C2011</f>
        <v>0.21882837074629144</v>
      </c>
      <c r="P2011" s="545">
        <f>-'Sollecitazioni nel paramento'!$G$47*'Sollecitazioni nel paramento'!$G$41*IF(DATI!$G$211="dx",DATI!$E$61,DATI!$E$64*DATI!$E$63)*1000*C2011*sezione!$AD$5</f>
        <v>-416425.9026200964</v>
      </c>
      <c r="Q2011" s="545">
        <f>'Foglio deposito bis'!$F$78*IF(ABS(K2011)&lt;'Sollecitazioni nel paramento'!$G$58,ABS(K2011)*'Sollecitazioni nel paramento'!$G$54,'Sollecitazioni nel paramento'!$G$53)*IF(K2011&lt;0,-1,1)</f>
        <v>0</v>
      </c>
      <c r="R2011" s="545">
        <f>'Foglio deposito bis'!$F$79*IF(ABS(L2011)&lt;'Sollecitazioni nel paramento'!$G$58,ABS(L2011)*'Sollecitazioni nel paramento'!$G$54,'Sollecitazioni nel paramento'!$G$53)*IF(L2011&lt;0,-1,1)</f>
        <v>153664.85805602249</v>
      </c>
      <c r="S2011" s="545">
        <f>'Foglio deposito bis'!$F$80*IF(ABS(M2011)&lt;'Sollecitazioni nel paramento'!$G$58,ABS(M2011)*'Sollecitazioni nel paramento'!$G$54,'Sollecitazioni nel paramento'!$G$53)*IF(M2011&lt;0,-1,1)</f>
        <v>0</v>
      </c>
      <c r="T2011" s="545">
        <f>'Foglio deposito bis'!$F$81*IF(ABS(N2011)&lt;'Sollecitazioni nel paramento'!$G$58,ABS(N2011)*'Sollecitazioni nel paramento'!$G$54,'Sollecitazioni nel paramento'!$G$53)*IF(N2011&lt;0,-1,1)</f>
        <v>398299.31208121032</v>
      </c>
      <c r="U2011" s="545">
        <f>'Foglio deposito bis'!$F$82*IF(ABS(O2011)&lt;'Sollecitazioni nel paramento'!$G$58,ABS(O2011)*'Sollecitazioni nel paramento'!$G$54,'Sollecitazioni nel paramento'!$G$53)*IF(O2011&lt;0,-1,1)</f>
        <v>892485.49558937876</v>
      </c>
      <c r="V2011" s="472">
        <f t="shared" si="142"/>
        <v>1028023.7631065152</v>
      </c>
      <c r="W2011" s="551"/>
      <c r="X2011" s="551"/>
    </row>
    <row r="2012" spans="1:24" x14ac:dyDescent="0.25">
      <c r="A2012" s="545">
        <f t="shared" si="141"/>
        <v>1009095.3129874198</v>
      </c>
      <c r="B2012" s="3">
        <f t="shared" si="143"/>
        <v>1.1500000000000004</v>
      </c>
      <c r="C2012" s="545">
        <f>'Foglio deposito bis'!$E$161/sezione!$B$247*B2012</f>
        <v>11.4275232364541</v>
      </c>
      <c r="D2012" s="603">
        <f>-'Sollecitazioni nel paramento'!$G$47*'Sollecitazioni nel paramento'!$G$41*IF(DATI!$G$211="dx",DATI!$E$61,DATI!$E$64*DATI!$E$63)*1000*C2012^2*sezione!$AD$5*(1-sezione!$AD$6)</f>
        <v>-2905412.837498833</v>
      </c>
      <c r="E2012" s="545">
        <f>-'Foglio deposito bis'!$F$78*(C2012-sezione!$AL$35)*IF(ABS(K2012)&lt;'Sollecitazioni nel paramento'!$G$58,ABS(K2012)*'Sollecitazioni nel paramento'!$G$54,'Sollecitazioni nel paramento'!$G$53)</f>
        <v>0</v>
      </c>
      <c r="F2012" s="545">
        <f>-'Foglio deposito bis'!$F$79*(C2012-sezione!$AM$35)*IF(ABS(L2012)&lt;'Sollecitazioni nel paramento'!$G$58,ABS(L2012)*'Sollecitazioni nel paramento'!$G$54,'Sollecitazioni nel paramento'!$G$53)</f>
        <v>7463882.7472997317</v>
      </c>
      <c r="G2012" s="545">
        <f>-'Foglio deposito bis'!$F$80*(C2012-sezione!$AN$35)*IF(ABS(M2012)&lt;'Sollecitazioni nel paramento'!$G$58,ABS(M2012)*'Sollecitazioni nel paramento'!$G$54,'Sollecitazioni nel paramento'!$G$53)</f>
        <v>0</v>
      </c>
      <c r="H2012" s="545">
        <f>-'Foglio deposito bis'!$F$81*(C2012-sezione!$AO$35)*IF(ABS(N2012)&lt;'Sollecitazioni nel paramento'!$G$58,ABS(N2012)*'Sollecitazioni nel paramento'!$G$54,'Sollecitazioni nel paramento'!$G$53)</f>
        <v>59176315.289121933</v>
      </c>
      <c r="I2012" s="472">
        <f>-'Foglio deposito bis'!$F$82*(C2012-sezione!$AP$35)*IF(ABS(O2012)&lt;'Sollecitazioni nel paramento'!$G$58,ABS(O2012)*'Sollecitazioni nel paramento'!$G$54,'Sollecitazioni nel paramento'!$G$53)</f>
        <v>609491783.0160656</v>
      </c>
      <c r="J2012" s="472">
        <f t="shared" si="140"/>
        <v>673226568.21498847</v>
      </c>
      <c r="K2012" s="550">
        <f>'Sollecitazioni nel paramento'!$G$60*(sezione!$AL$35-C2012)/C2012</f>
        <v>8.7511236339818874E-3</v>
      </c>
      <c r="L2012" s="550">
        <f>'Sollecitazioni nel paramento'!$G$60*(sezione!$AM$35-C2012)/C2012</f>
        <v>1.4876685450972829E-2</v>
      </c>
      <c r="M2012" s="551">
        <f>'Sollecitazioni nel paramento'!$G$60*(sezione!$AN$35-C2012)/C2012</f>
        <v>2.1002247267963771E-2</v>
      </c>
      <c r="N2012" s="551">
        <f>'Sollecitazioni nel paramento'!$G$60*(sezione!$AO$35-C2012)/C2012</f>
        <v>4.5504494535927545E-2</v>
      </c>
      <c r="O2012" s="551">
        <f>'Sollecitazioni nel paramento'!$G$60*(sezione!$AP$35-C2012)/C2012</f>
        <v>0.20916191984427876</v>
      </c>
      <c r="P2012" s="545">
        <f>-'Sollecitazioni nel paramento'!$G$47*'Sollecitazioni nel paramento'!$G$41*IF(DATI!$G$211="dx",DATI!$E$61,DATI!$E$64*DATI!$E$63)*1000*C2012*sezione!$AD$5</f>
        <v>-435354.35273919179</v>
      </c>
      <c r="Q2012" s="545">
        <f>'Foglio deposito bis'!$F$78*IF(ABS(K2012)&lt;'Sollecitazioni nel paramento'!$G$58,ABS(K2012)*'Sollecitazioni nel paramento'!$G$54,'Sollecitazioni nel paramento'!$G$53)*IF(K2012&lt;0,-1,1)</f>
        <v>0</v>
      </c>
      <c r="R2012" s="545">
        <f>'Foglio deposito bis'!$F$79*IF(ABS(L2012)&lt;'Sollecitazioni nel paramento'!$G$58,ABS(L2012)*'Sollecitazioni nel paramento'!$G$54,'Sollecitazioni nel paramento'!$G$53)*IF(L2012&lt;0,-1,1)</f>
        <v>153664.85805602249</v>
      </c>
      <c r="S2012" s="545">
        <f>'Foglio deposito bis'!$F$80*IF(ABS(M2012)&lt;'Sollecitazioni nel paramento'!$G$58,ABS(M2012)*'Sollecitazioni nel paramento'!$G$54,'Sollecitazioni nel paramento'!$G$53)*IF(M2012&lt;0,-1,1)</f>
        <v>0</v>
      </c>
      <c r="T2012" s="545">
        <f>'Foglio deposito bis'!$F$81*IF(ABS(N2012)&lt;'Sollecitazioni nel paramento'!$G$58,ABS(N2012)*'Sollecitazioni nel paramento'!$G$54,'Sollecitazioni nel paramento'!$G$53)*IF(N2012&lt;0,-1,1)</f>
        <v>398299.31208121032</v>
      </c>
      <c r="U2012" s="545">
        <f>'Foglio deposito bis'!$F$82*IF(ABS(O2012)&lt;'Sollecitazioni nel paramento'!$G$58,ABS(O2012)*'Sollecitazioni nel paramento'!$G$54,'Sollecitazioni nel paramento'!$G$53)*IF(O2012&lt;0,-1,1)</f>
        <v>892485.49558937876</v>
      </c>
      <c r="V2012" s="472">
        <f t="shared" si="142"/>
        <v>1009095.3129874198</v>
      </c>
      <c r="W2012" s="551"/>
      <c r="X2012" s="551"/>
    </row>
    <row r="2013" spans="1:24" x14ac:dyDescent="0.25">
      <c r="A2013" s="545">
        <f t="shared" si="141"/>
        <v>990166.8628683245</v>
      </c>
      <c r="B2013" s="3">
        <f t="shared" si="143"/>
        <v>1.2000000000000004</v>
      </c>
      <c r="C2013" s="545">
        <f>'Foglio deposito bis'!$E$161/sezione!$B$247*B2013</f>
        <v>11.924372072821669</v>
      </c>
      <c r="D2013" s="603">
        <f>-'Sollecitazioni nel paramento'!$G$47*'Sollecitazioni nel paramento'!$G$41*IF(DATI!$G$211="dx",DATI!$E$61,DATI!$E$64*DATI!$E$63)*1000*C2013^2*sezione!$AD$5*(1-sezione!$AD$6)</f>
        <v>-3163549.7058588415</v>
      </c>
      <c r="E2013" s="545">
        <f>-'Foglio deposito bis'!$F$78*(C2013-sezione!$AL$35)*IF(ABS(K2013)&lt;'Sollecitazioni nel paramento'!$G$58,ABS(K2013)*'Sollecitazioni nel paramento'!$G$54,'Sollecitazioni nel paramento'!$G$53)</f>
        <v>0</v>
      </c>
      <c r="F2013" s="545">
        <f>-'Foglio deposito bis'!$F$79*(C2013-sezione!$AM$35)*IF(ABS(L2013)&lt;'Sollecitazioni nel paramento'!$G$58,ABS(L2013)*'Sollecitazioni nel paramento'!$G$54,'Sollecitazioni nel paramento'!$G$53)</f>
        <v>7387534.5413840087</v>
      </c>
      <c r="G2013" s="545">
        <f>-'Foglio deposito bis'!$F$80*(C2013-sezione!$AN$35)*IF(ABS(M2013)&lt;'Sollecitazioni nel paramento'!$G$58,ABS(M2013)*'Sollecitazioni nel paramento'!$G$54,'Sollecitazioni nel paramento'!$G$53)</f>
        <v>0</v>
      </c>
      <c r="H2013" s="545">
        <f>-'Foglio deposito bis'!$F$81*(C2013-sezione!$AO$35)*IF(ABS(N2013)&lt;'Sollecitazioni nel paramento'!$G$58,ABS(N2013)*'Sollecitazioni nel paramento'!$G$54,'Sollecitazioni nel paramento'!$G$53)</f>
        <v>58978420.739388391</v>
      </c>
      <c r="I2013" s="472">
        <f>-'Foglio deposito bis'!$F$82*(C2013-sezione!$AP$35)*IF(ABS(O2013)&lt;'Sollecitazioni nel paramento'!$G$58,ABS(O2013)*'Sollecitazioni nel paramento'!$G$54,'Sollecitazioni nel paramento'!$G$53)</f>
        <v>609048352.63610709</v>
      </c>
      <c r="J2013" s="472">
        <f t="shared" si="140"/>
        <v>672250758.21102071</v>
      </c>
      <c r="K2013" s="550">
        <f>'Sollecitazioni nel paramento'!$G$60*(sezione!$AL$35-C2013)/C2013</f>
        <v>8.2406601492326422E-3</v>
      </c>
      <c r="L2013" s="550">
        <f>'Sollecitazioni nel paramento'!$G$60*(sezione!$AM$35-C2013)/C2013</f>
        <v>1.4110990223848964E-2</v>
      </c>
      <c r="M2013" s="551">
        <f>'Sollecitazioni nel paramento'!$G$60*(sezione!$AN$35-C2013)/C2013</f>
        <v>1.9981320298465284E-2</v>
      </c>
      <c r="N2013" s="551">
        <f>'Sollecitazioni nel paramento'!$G$60*(sezione!$AO$35-C2013)/C2013</f>
        <v>4.3462640596930571E-2</v>
      </c>
      <c r="O2013" s="551">
        <f>'Sollecitazioni nel paramento'!$G$60*(sezione!$AP$35-C2013)/C2013</f>
        <v>0.20030100651743379</v>
      </c>
      <c r="P2013" s="545">
        <f>-'Sollecitazioni nel paramento'!$G$47*'Sollecitazioni nel paramento'!$G$41*IF(DATI!$G$211="dx",DATI!$E$61,DATI!$E$64*DATI!$E$63)*1000*C2013*sezione!$AD$5</f>
        <v>-454282.80285828706</v>
      </c>
      <c r="Q2013" s="545">
        <f>'Foglio deposito bis'!$F$78*IF(ABS(K2013)&lt;'Sollecitazioni nel paramento'!$G$58,ABS(K2013)*'Sollecitazioni nel paramento'!$G$54,'Sollecitazioni nel paramento'!$G$53)*IF(K2013&lt;0,-1,1)</f>
        <v>0</v>
      </c>
      <c r="R2013" s="545">
        <f>'Foglio deposito bis'!$F$79*IF(ABS(L2013)&lt;'Sollecitazioni nel paramento'!$G$58,ABS(L2013)*'Sollecitazioni nel paramento'!$G$54,'Sollecitazioni nel paramento'!$G$53)*IF(L2013&lt;0,-1,1)</f>
        <v>153664.85805602249</v>
      </c>
      <c r="S2013" s="545">
        <f>'Foglio deposito bis'!$F$80*IF(ABS(M2013)&lt;'Sollecitazioni nel paramento'!$G$58,ABS(M2013)*'Sollecitazioni nel paramento'!$G$54,'Sollecitazioni nel paramento'!$G$53)*IF(M2013&lt;0,-1,1)</f>
        <v>0</v>
      </c>
      <c r="T2013" s="545">
        <f>'Foglio deposito bis'!$F$81*IF(ABS(N2013)&lt;'Sollecitazioni nel paramento'!$G$58,ABS(N2013)*'Sollecitazioni nel paramento'!$G$54,'Sollecitazioni nel paramento'!$G$53)*IF(N2013&lt;0,-1,1)</f>
        <v>398299.31208121032</v>
      </c>
      <c r="U2013" s="545">
        <f>'Foglio deposito bis'!$F$82*IF(ABS(O2013)&lt;'Sollecitazioni nel paramento'!$G$58,ABS(O2013)*'Sollecitazioni nel paramento'!$G$54,'Sollecitazioni nel paramento'!$G$53)*IF(O2013&lt;0,-1,1)</f>
        <v>892485.49558937876</v>
      </c>
      <c r="V2013" s="472">
        <f t="shared" si="142"/>
        <v>990166.8628683245</v>
      </c>
      <c r="W2013" s="551"/>
      <c r="X2013" s="551"/>
    </row>
    <row r="2014" spans="1:24" x14ac:dyDescent="0.25">
      <c r="A2014" s="545">
        <f t="shared" si="141"/>
        <v>971238.41274922923</v>
      </c>
      <c r="B2014" s="3">
        <f t="shared" si="143"/>
        <v>1.2500000000000004</v>
      </c>
      <c r="C2014" s="545">
        <f>'Foglio deposito bis'!$E$161/sezione!$B$247*B2014</f>
        <v>12.421220909189239</v>
      </c>
      <c r="D2014" s="603">
        <f>-'Sollecitazioni nel paramento'!$G$47*'Sollecitazioni nel paramento'!$G$41*IF(DATI!$G$211="dx",DATI!$E$61,DATI!$E$64*DATI!$E$63)*1000*C2014^2*sezione!$AD$5*(1-sezione!$AD$6)</f>
        <v>-3432671.1218086393</v>
      </c>
      <c r="E2014" s="545">
        <f>-'Foglio deposito bis'!$F$78*(C2014-sezione!$AL$35)*IF(ABS(K2014)&lt;'Sollecitazioni nel paramento'!$G$58,ABS(K2014)*'Sollecitazioni nel paramento'!$G$54,'Sollecitazioni nel paramento'!$G$53)</f>
        <v>0</v>
      </c>
      <c r="F2014" s="545">
        <f>-'Foglio deposito bis'!$F$79*(C2014-sezione!$AM$35)*IF(ABS(L2014)&lt;'Sollecitazioni nel paramento'!$G$58,ABS(L2014)*'Sollecitazioni nel paramento'!$G$54,'Sollecitazioni nel paramento'!$G$53)</f>
        <v>7311186.3354682866</v>
      </c>
      <c r="G2014" s="545">
        <f>-'Foglio deposito bis'!$F$80*(C2014-sezione!$AN$35)*IF(ABS(M2014)&lt;'Sollecitazioni nel paramento'!$G$58,ABS(M2014)*'Sollecitazioni nel paramento'!$G$54,'Sollecitazioni nel paramento'!$G$53)</f>
        <v>0</v>
      </c>
      <c r="H2014" s="545">
        <f>-'Foglio deposito bis'!$F$81*(C2014-sezione!$AO$35)*IF(ABS(N2014)&lt;'Sollecitazioni nel paramento'!$G$58,ABS(N2014)*'Sollecitazioni nel paramento'!$G$54,'Sollecitazioni nel paramento'!$G$53)</f>
        <v>58780526.189654835</v>
      </c>
      <c r="I2014" s="472">
        <f>-'Foglio deposito bis'!$F$82*(C2014-sezione!$AP$35)*IF(ABS(O2014)&lt;'Sollecitazioni nel paramento'!$G$58,ABS(O2014)*'Sollecitazioni nel paramento'!$G$54,'Sollecitazioni nel paramento'!$G$53)</f>
        <v>608604922.25614858</v>
      </c>
      <c r="J2014" s="472">
        <f t="shared" si="140"/>
        <v>671263963.65946305</v>
      </c>
      <c r="K2014" s="550">
        <f>'Sollecitazioni nel paramento'!$G$60*(sezione!$AL$35-C2014)/C2014</f>
        <v>7.7710337432633355E-3</v>
      </c>
      <c r="L2014" s="550">
        <f>'Sollecitazioni nel paramento'!$G$60*(sezione!$AM$35-C2014)/C2014</f>
        <v>1.3406550614895003E-2</v>
      </c>
      <c r="M2014" s="551">
        <f>'Sollecitazioni nel paramento'!$G$60*(sezione!$AN$35-C2014)/C2014</f>
        <v>1.9042067486526669E-2</v>
      </c>
      <c r="N2014" s="551">
        <f>'Sollecitazioni nel paramento'!$G$60*(sezione!$AO$35-C2014)/C2014</f>
        <v>4.1584134973053341E-2</v>
      </c>
      <c r="O2014" s="551">
        <f>'Sollecitazioni nel paramento'!$G$60*(sezione!$AP$35-C2014)/C2014</f>
        <v>0.19214896625673641</v>
      </c>
      <c r="P2014" s="545">
        <f>-'Sollecitazioni nel paramento'!$G$47*'Sollecitazioni nel paramento'!$G$41*IF(DATI!$G$211="dx",DATI!$E$61,DATI!$E$64*DATI!$E$63)*1000*C2014*sezione!$AD$5</f>
        <v>-473211.25297738239</v>
      </c>
      <c r="Q2014" s="545">
        <f>'Foglio deposito bis'!$F$78*IF(ABS(K2014)&lt;'Sollecitazioni nel paramento'!$G$58,ABS(K2014)*'Sollecitazioni nel paramento'!$G$54,'Sollecitazioni nel paramento'!$G$53)*IF(K2014&lt;0,-1,1)</f>
        <v>0</v>
      </c>
      <c r="R2014" s="545">
        <f>'Foglio deposito bis'!$F$79*IF(ABS(L2014)&lt;'Sollecitazioni nel paramento'!$G$58,ABS(L2014)*'Sollecitazioni nel paramento'!$G$54,'Sollecitazioni nel paramento'!$G$53)*IF(L2014&lt;0,-1,1)</f>
        <v>153664.85805602249</v>
      </c>
      <c r="S2014" s="545">
        <f>'Foglio deposito bis'!$F$80*IF(ABS(M2014)&lt;'Sollecitazioni nel paramento'!$G$58,ABS(M2014)*'Sollecitazioni nel paramento'!$G$54,'Sollecitazioni nel paramento'!$G$53)*IF(M2014&lt;0,-1,1)</f>
        <v>0</v>
      </c>
      <c r="T2014" s="545">
        <f>'Foglio deposito bis'!$F$81*IF(ABS(N2014)&lt;'Sollecitazioni nel paramento'!$G$58,ABS(N2014)*'Sollecitazioni nel paramento'!$G$54,'Sollecitazioni nel paramento'!$G$53)*IF(N2014&lt;0,-1,1)</f>
        <v>398299.31208121032</v>
      </c>
      <c r="U2014" s="545">
        <f>'Foglio deposito bis'!$F$82*IF(ABS(O2014)&lt;'Sollecitazioni nel paramento'!$G$58,ABS(O2014)*'Sollecitazioni nel paramento'!$G$54,'Sollecitazioni nel paramento'!$G$53)*IF(O2014&lt;0,-1,1)</f>
        <v>892485.49558937876</v>
      </c>
      <c r="V2014" s="472">
        <f t="shared" si="142"/>
        <v>971238.41274922923</v>
      </c>
      <c r="W2014" s="551"/>
      <c r="X2014" s="551"/>
    </row>
    <row r="2015" spans="1:24" x14ac:dyDescent="0.25">
      <c r="A2015" s="545">
        <f t="shared" si="141"/>
        <v>952309.96263013384</v>
      </c>
      <c r="B2015" s="3">
        <f t="shared" si="143"/>
        <v>1.3000000000000005</v>
      </c>
      <c r="C2015" s="545">
        <f>'Foglio deposito bis'!$E$161/sezione!$B$247*B2015</f>
        <v>12.918069745556808</v>
      </c>
      <c r="D2015" s="603">
        <f>-'Sollecitazioni nel paramento'!$G$47*'Sollecitazioni nel paramento'!$G$41*IF(DATI!$G$211="dx",DATI!$E$61,DATI!$E$64*DATI!$E$63)*1000*C2015^2*sezione!$AD$5*(1-sezione!$AD$6)</f>
        <v>-3712777.0853482243</v>
      </c>
      <c r="E2015" s="545">
        <f>-'Foglio deposito bis'!$F$78*(C2015-sezione!$AL$35)*IF(ABS(K2015)&lt;'Sollecitazioni nel paramento'!$G$58,ABS(K2015)*'Sollecitazioni nel paramento'!$G$54,'Sollecitazioni nel paramento'!$G$53)</f>
        <v>0</v>
      </c>
      <c r="F2015" s="545">
        <f>-'Foglio deposito bis'!$F$79*(C2015-sezione!$AM$35)*IF(ABS(L2015)&lt;'Sollecitazioni nel paramento'!$G$58,ABS(L2015)*'Sollecitazioni nel paramento'!$G$54,'Sollecitazioni nel paramento'!$G$53)</f>
        <v>7234838.1295525637</v>
      </c>
      <c r="G2015" s="545">
        <f>-'Foglio deposito bis'!$F$80*(C2015-sezione!$AN$35)*IF(ABS(M2015)&lt;'Sollecitazioni nel paramento'!$G$58,ABS(M2015)*'Sollecitazioni nel paramento'!$G$54,'Sollecitazioni nel paramento'!$G$53)</f>
        <v>0</v>
      </c>
      <c r="H2015" s="545">
        <f>-'Foglio deposito bis'!$F$81*(C2015-sezione!$AO$35)*IF(ABS(N2015)&lt;'Sollecitazioni nel paramento'!$G$58,ABS(N2015)*'Sollecitazioni nel paramento'!$G$54,'Sollecitazioni nel paramento'!$G$53)</f>
        <v>58582631.639921285</v>
      </c>
      <c r="I2015" s="472">
        <f>-'Foglio deposito bis'!$F$82*(C2015-sezione!$AP$35)*IF(ABS(O2015)&lt;'Sollecitazioni nel paramento'!$G$58,ABS(O2015)*'Sollecitazioni nel paramento'!$G$54,'Sollecitazioni nel paramento'!$G$53)</f>
        <v>608161491.87619007</v>
      </c>
      <c r="J2015" s="472">
        <f t="shared" si="140"/>
        <v>670266184.56031573</v>
      </c>
      <c r="K2015" s="550">
        <f>'Sollecitazioni nel paramento'!$G$60*(sezione!$AL$35-C2015)/C2015</f>
        <v>7.3375324454455155E-3</v>
      </c>
      <c r="L2015" s="550">
        <f>'Sollecitazioni nel paramento'!$G$60*(sezione!$AM$35-C2015)/C2015</f>
        <v>1.2756298668168272E-2</v>
      </c>
      <c r="M2015" s="551">
        <f>'Sollecitazioni nel paramento'!$G$60*(sezione!$AN$35-C2015)/C2015</f>
        <v>1.8175064890891029E-2</v>
      </c>
      <c r="N2015" s="551">
        <f>'Sollecitazioni nel paramento'!$G$60*(sezione!$AO$35-C2015)/C2015</f>
        <v>3.9850129781782068E-2</v>
      </c>
      <c r="O2015" s="551">
        <f>'Sollecitazioni nel paramento'!$G$60*(sezione!$AP$35-C2015)/C2015</f>
        <v>0.18462400601609272</v>
      </c>
      <c r="P2015" s="545">
        <f>-'Sollecitazioni nel paramento'!$G$47*'Sollecitazioni nel paramento'!$G$41*IF(DATI!$G$211="dx",DATI!$E$61,DATI!$E$64*DATI!$E$63)*1000*C2015*sezione!$AD$5</f>
        <v>-492139.70309647766</v>
      </c>
      <c r="Q2015" s="545">
        <f>'Foglio deposito bis'!$F$78*IF(ABS(K2015)&lt;'Sollecitazioni nel paramento'!$G$58,ABS(K2015)*'Sollecitazioni nel paramento'!$G$54,'Sollecitazioni nel paramento'!$G$53)*IF(K2015&lt;0,-1,1)</f>
        <v>0</v>
      </c>
      <c r="R2015" s="545">
        <f>'Foglio deposito bis'!$F$79*IF(ABS(L2015)&lt;'Sollecitazioni nel paramento'!$G$58,ABS(L2015)*'Sollecitazioni nel paramento'!$G$54,'Sollecitazioni nel paramento'!$G$53)*IF(L2015&lt;0,-1,1)</f>
        <v>153664.85805602249</v>
      </c>
      <c r="S2015" s="545">
        <f>'Foglio deposito bis'!$F$80*IF(ABS(M2015)&lt;'Sollecitazioni nel paramento'!$G$58,ABS(M2015)*'Sollecitazioni nel paramento'!$G$54,'Sollecitazioni nel paramento'!$G$53)*IF(M2015&lt;0,-1,1)</f>
        <v>0</v>
      </c>
      <c r="T2015" s="545">
        <f>'Foglio deposito bis'!$F$81*IF(ABS(N2015)&lt;'Sollecitazioni nel paramento'!$G$58,ABS(N2015)*'Sollecitazioni nel paramento'!$G$54,'Sollecitazioni nel paramento'!$G$53)*IF(N2015&lt;0,-1,1)</f>
        <v>398299.31208121032</v>
      </c>
      <c r="U2015" s="545">
        <f>'Foglio deposito bis'!$F$82*IF(ABS(O2015)&lt;'Sollecitazioni nel paramento'!$G$58,ABS(O2015)*'Sollecitazioni nel paramento'!$G$54,'Sollecitazioni nel paramento'!$G$53)*IF(O2015&lt;0,-1,1)</f>
        <v>892485.49558937876</v>
      </c>
      <c r="V2015" s="472">
        <f t="shared" si="142"/>
        <v>952309.96263013384</v>
      </c>
      <c r="W2015" s="551"/>
      <c r="X2015" s="551"/>
    </row>
    <row r="2016" spans="1:24" x14ac:dyDescent="0.25">
      <c r="A2016" s="545">
        <f t="shared" si="141"/>
        <v>933381.51251103857</v>
      </c>
      <c r="B2016" s="3">
        <f t="shared" si="143"/>
        <v>1.3500000000000005</v>
      </c>
      <c r="C2016" s="545">
        <f>'Foglio deposito bis'!$E$161/sezione!$B$247*B2016</f>
        <v>13.414918581924379</v>
      </c>
      <c r="D2016" s="603">
        <f>-'Sollecitazioni nel paramento'!$G$47*'Sollecitazioni nel paramento'!$G$41*IF(DATI!$G$211="dx",DATI!$E$61,DATI!$E$64*DATI!$E$63)*1000*C2016^2*sezione!$AD$5*(1-sezione!$AD$6)</f>
        <v>-4003867.5964775975</v>
      </c>
      <c r="E2016" s="545">
        <f>-'Foglio deposito bis'!$F$78*(C2016-sezione!$AL$35)*IF(ABS(K2016)&lt;'Sollecitazioni nel paramento'!$G$58,ABS(K2016)*'Sollecitazioni nel paramento'!$G$54,'Sollecitazioni nel paramento'!$G$53)</f>
        <v>0</v>
      </c>
      <c r="F2016" s="545">
        <f>-'Foglio deposito bis'!$F$79*(C2016-sezione!$AM$35)*IF(ABS(L2016)&lt;'Sollecitazioni nel paramento'!$G$58,ABS(L2016)*'Sollecitazioni nel paramento'!$G$54,'Sollecitazioni nel paramento'!$G$53)</f>
        <v>7158489.9236368416</v>
      </c>
      <c r="G2016" s="545">
        <f>-'Foglio deposito bis'!$F$80*(C2016-sezione!$AN$35)*IF(ABS(M2016)&lt;'Sollecitazioni nel paramento'!$G$58,ABS(M2016)*'Sollecitazioni nel paramento'!$G$54,'Sollecitazioni nel paramento'!$G$53)</f>
        <v>0</v>
      </c>
      <c r="H2016" s="545">
        <f>-'Foglio deposito bis'!$F$81*(C2016-sezione!$AO$35)*IF(ABS(N2016)&lt;'Sollecitazioni nel paramento'!$G$58,ABS(N2016)*'Sollecitazioni nel paramento'!$G$54,'Sollecitazioni nel paramento'!$G$53)</f>
        <v>58384737.090187728</v>
      </c>
      <c r="I2016" s="472">
        <f>-'Foglio deposito bis'!$F$82*(C2016-sezione!$AP$35)*IF(ABS(O2016)&lt;'Sollecitazioni nel paramento'!$G$58,ABS(O2016)*'Sollecitazioni nel paramento'!$G$54,'Sollecitazioni nel paramento'!$G$53)</f>
        <v>607718061.49623156</v>
      </c>
      <c r="J2016" s="472">
        <f t="shared" si="140"/>
        <v>669257420.91357851</v>
      </c>
      <c r="K2016" s="550">
        <f>'Sollecitazioni nel paramento'!$G$60*(sezione!$AL$35-C2016)/C2016</f>
        <v>6.9361423548734581E-3</v>
      </c>
      <c r="L2016" s="550">
        <f>'Sollecitazioni nel paramento'!$G$60*(sezione!$AM$35-C2016)/C2016</f>
        <v>1.2154213532310186E-2</v>
      </c>
      <c r="M2016" s="551">
        <f>'Sollecitazioni nel paramento'!$G$60*(sezione!$AN$35-C2016)/C2016</f>
        <v>1.7372284709746916E-2</v>
      </c>
      <c r="N2016" s="551">
        <f>'Sollecitazioni nel paramento'!$G$60*(sezione!$AO$35-C2016)/C2016</f>
        <v>3.8244569419493828E-2</v>
      </c>
      <c r="O2016" s="551">
        <f>'Sollecitazioni nel paramento'!$G$60*(sezione!$AP$35-C2016)/C2016</f>
        <v>0.17765645023771892</v>
      </c>
      <c r="P2016" s="545">
        <f>-'Sollecitazioni nel paramento'!$G$47*'Sollecitazioni nel paramento'!$G$41*IF(DATI!$G$211="dx",DATI!$E$61,DATI!$E$64*DATI!$E$63)*1000*C2016*sezione!$AD$5</f>
        <v>-511068.15321557299</v>
      </c>
      <c r="Q2016" s="545">
        <f>'Foglio deposito bis'!$F$78*IF(ABS(K2016)&lt;'Sollecitazioni nel paramento'!$G$58,ABS(K2016)*'Sollecitazioni nel paramento'!$G$54,'Sollecitazioni nel paramento'!$G$53)*IF(K2016&lt;0,-1,1)</f>
        <v>0</v>
      </c>
      <c r="R2016" s="545">
        <f>'Foglio deposito bis'!$F$79*IF(ABS(L2016)&lt;'Sollecitazioni nel paramento'!$G$58,ABS(L2016)*'Sollecitazioni nel paramento'!$G$54,'Sollecitazioni nel paramento'!$G$53)*IF(L2016&lt;0,-1,1)</f>
        <v>153664.85805602249</v>
      </c>
      <c r="S2016" s="545">
        <f>'Foglio deposito bis'!$F$80*IF(ABS(M2016)&lt;'Sollecitazioni nel paramento'!$G$58,ABS(M2016)*'Sollecitazioni nel paramento'!$G$54,'Sollecitazioni nel paramento'!$G$53)*IF(M2016&lt;0,-1,1)</f>
        <v>0</v>
      </c>
      <c r="T2016" s="545">
        <f>'Foglio deposito bis'!$F$81*IF(ABS(N2016)&lt;'Sollecitazioni nel paramento'!$G$58,ABS(N2016)*'Sollecitazioni nel paramento'!$G$54,'Sollecitazioni nel paramento'!$G$53)*IF(N2016&lt;0,-1,1)</f>
        <v>398299.31208121032</v>
      </c>
      <c r="U2016" s="545">
        <f>'Foglio deposito bis'!$F$82*IF(ABS(O2016)&lt;'Sollecitazioni nel paramento'!$G$58,ABS(O2016)*'Sollecitazioni nel paramento'!$G$54,'Sollecitazioni nel paramento'!$G$53)*IF(O2016&lt;0,-1,1)</f>
        <v>892485.49558937876</v>
      </c>
      <c r="V2016" s="472">
        <f t="shared" si="142"/>
        <v>933381.51251103857</v>
      </c>
      <c r="W2016" s="551"/>
      <c r="X2016" s="551"/>
    </row>
    <row r="2017" spans="1:24" x14ac:dyDescent="0.25">
      <c r="A2017" s="545">
        <f t="shared" si="141"/>
        <v>914453.0623919433</v>
      </c>
      <c r="B2017" s="3">
        <f t="shared" si="143"/>
        <v>1.4000000000000006</v>
      </c>
      <c r="C2017" s="545">
        <f>'Foglio deposito bis'!$E$161/sezione!$B$247*B2017</f>
        <v>13.911767418291948</v>
      </c>
      <c r="D2017" s="603">
        <f>-'Sollecitazioni nel paramento'!$G$47*'Sollecitazioni nel paramento'!$G$41*IF(DATI!$G$211="dx",DATI!$E$61,DATI!$E$64*DATI!$E$63)*1000*C2017^2*sezione!$AD$5*(1-sezione!$AD$6)</f>
        <v>-4305942.655196758</v>
      </c>
      <c r="E2017" s="545">
        <f>-'Foglio deposito bis'!$F$78*(C2017-sezione!$AL$35)*IF(ABS(K2017)&lt;'Sollecitazioni nel paramento'!$G$58,ABS(K2017)*'Sollecitazioni nel paramento'!$G$54,'Sollecitazioni nel paramento'!$G$53)</f>
        <v>0</v>
      </c>
      <c r="F2017" s="545">
        <f>-'Foglio deposito bis'!$F$79*(C2017-sezione!$AM$35)*IF(ABS(L2017)&lt;'Sollecitazioni nel paramento'!$G$58,ABS(L2017)*'Sollecitazioni nel paramento'!$G$54,'Sollecitazioni nel paramento'!$G$53)</f>
        <v>7082141.7177211186</v>
      </c>
      <c r="G2017" s="545">
        <f>-'Foglio deposito bis'!$F$80*(C2017-sezione!$AN$35)*IF(ABS(M2017)&lt;'Sollecitazioni nel paramento'!$G$58,ABS(M2017)*'Sollecitazioni nel paramento'!$G$54,'Sollecitazioni nel paramento'!$G$53)</f>
        <v>0</v>
      </c>
      <c r="H2017" s="545">
        <f>-'Foglio deposito bis'!$F$81*(C2017-sezione!$AO$35)*IF(ABS(N2017)&lt;'Sollecitazioni nel paramento'!$G$58,ABS(N2017)*'Sollecitazioni nel paramento'!$G$54,'Sollecitazioni nel paramento'!$G$53)</f>
        <v>58186842.540454164</v>
      </c>
      <c r="I2017" s="472">
        <f>-'Foglio deposito bis'!$F$82*(C2017-sezione!$AP$35)*IF(ABS(O2017)&lt;'Sollecitazioni nel paramento'!$G$58,ABS(O2017)*'Sollecitazioni nel paramento'!$G$54,'Sollecitazioni nel paramento'!$G$53)</f>
        <v>607274631.11627305</v>
      </c>
      <c r="J2017" s="472">
        <f t="shared" si="140"/>
        <v>668237672.71925163</v>
      </c>
      <c r="K2017" s="550">
        <f>'Sollecitazioni nel paramento'!$G$60*(sezione!$AL$35-C2017)/C2017</f>
        <v>6.5634229850565495E-3</v>
      </c>
      <c r="L2017" s="550">
        <f>'Sollecitazioni nel paramento'!$G$60*(sezione!$AM$35-C2017)/C2017</f>
        <v>1.1595134477584824E-2</v>
      </c>
      <c r="M2017" s="551">
        <f>'Sollecitazioni nel paramento'!$G$60*(sezione!$AN$35-C2017)/C2017</f>
        <v>1.6626845970113099E-2</v>
      </c>
      <c r="N2017" s="551">
        <f>'Sollecitazioni nel paramento'!$G$60*(sezione!$AO$35-C2017)/C2017</f>
        <v>3.6753691940226194E-2</v>
      </c>
      <c r="O2017" s="551">
        <f>'Sollecitazioni nel paramento'!$G$60*(sezione!$AP$35-C2017)/C2017</f>
        <v>0.17118657701494328</v>
      </c>
      <c r="P2017" s="545">
        <f>-'Sollecitazioni nel paramento'!$G$47*'Sollecitazioni nel paramento'!$G$41*IF(DATI!$G$211="dx",DATI!$E$61,DATI!$E$64*DATI!$E$63)*1000*C2017*sezione!$AD$5</f>
        <v>-529996.60333466833</v>
      </c>
      <c r="Q2017" s="545">
        <f>'Foglio deposito bis'!$F$78*IF(ABS(K2017)&lt;'Sollecitazioni nel paramento'!$G$58,ABS(K2017)*'Sollecitazioni nel paramento'!$G$54,'Sollecitazioni nel paramento'!$G$53)*IF(K2017&lt;0,-1,1)</f>
        <v>0</v>
      </c>
      <c r="R2017" s="545">
        <f>'Foglio deposito bis'!$F$79*IF(ABS(L2017)&lt;'Sollecitazioni nel paramento'!$G$58,ABS(L2017)*'Sollecitazioni nel paramento'!$G$54,'Sollecitazioni nel paramento'!$G$53)*IF(L2017&lt;0,-1,1)</f>
        <v>153664.85805602249</v>
      </c>
      <c r="S2017" s="545">
        <f>'Foglio deposito bis'!$F$80*IF(ABS(M2017)&lt;'Sollecitazioni nel paramento'!$G$58,ABS(M2017)*'Sollecitazioni nel paramento'!$G$54,'Sollecitazioni nel paramento'!$G$53)*IF(M2017&lt;0,-1,1)</f>
        <v>0</v>
      </c>
      <c r="T2017" s="545">
        <f>'Foglio deposito bis'!$F$81*IF(ABS(N2017)&lt;'Sollecitazioni nel paramento'!$G$58,ABS(N2017)*'Sollecitazioni nel paramento'!$G$54,'Sollecitazioni nel paramento'!$G$53)*IF(N2017&lt;0,-1,1)</f>
        <v>398299.31208121032</v>
      </c>
      <c r="U2017" s="545">
        <f>'Foglio deposito bis'!$F$82*IF(ABS(O2017)&lt;'Sollecitazioni nel paramento'!$G$58,ABS(O2017)*'Sollecitazioni nel paramento'!$G$54,'Sollecitazioni nel paramento'!$G$53)*IF(O2017&lt;0,-1,1)</f>
        <v>892485.49558937876</v>
      </c>
      <c r="V2017" s="472">
        <f t="shared" si="142"/>
        <v>914453.0623919433</v>
      </c>
      <c r="W2017" s="551"/>
      <c r="X2017" s="551"/>
    </row>
    <row r="2018" spans="1:24" x14ac:dyDescent="0.25">
      <c r="A2018" s="545">
        <f t="shared" si="141"/>
        <v>895524.61227284814</v>
      </c>
      <c r="B2018" s="3">
        <f t="shared" si="143"/>
        <v>1.4500000000000006</v>
      </c>
      <c r="C2018" s="545">
        <f>'Foglio deposito bis'!$E$161/sezione!$B$247*B2018</f>
        <v>14.408616254659519</v>
      </c>
      <c r="D2018" s="603">
        <f>-'Sollecitazioni nel paramento'!$G$47*'Sollecitazioni nel paramento'!$G$41*IF(DATI!$G$211="dx",DATI!$E$61,DATI!$E$64*DATI!$E$63)*1000*C2018^2*sezione!$AD$5*(1-sezione!$AD$6)</f>
        <v>-4619002.2615057072</v>
      </c>
      <c r="E2018" s="545">
        <f>-'Foglio deposito bis'!$F$78*(C2018-sezione!$AL$35)*IF(ABS(K2018)&lt;'Sollecitazioni nel paramento'!$G$58,ABS(K2018)*'Sollecitazioni nel paramento'!$G$54,'Sollecitazioni nel paramento'!$G$53)</f>
        <v>0</v>
      </c>
      <c r="F2018" s="545">
        <f>-'Foglio deposito bis'!$F$79*(C2018-sezione!$AM$35)*IF(ABS(L2018)&lt;'Sollecitazioni nel paramento'!$G$58,ABS(L2018)*'Sollecitazioni nel paramento'!$G$54,'Sollecitazioni nel paramento'!$G$53)</f>
        <v>7005793.5118053965</v>
      </c>
      <c r="G2018" s="545">
        <f>-'Foglio deposito bis'!$F$80*(C2018-sezione!$AN$35)*IF(ABS(M2018)&lt;'Sollecitazioni nel paramento'!$G$58,ABS(M2018)*'Sollecitazioni nel paramento'!$G$54,'Sollecitazioni nel paramento'!$G$53)</f>
        <v>0</v>
      </c>
      <c r="H2018" s="545">
        <f>-'Foglio deposito bis'!$F$81*(C2018-sezione!$AO$35)*IF(ABS(N2018)&lt;'Sollecitazioni nel paramento'!$G$58,ABS(N2018)*'Sollecitazioni nel paramento'!$G$54,'Sollecitazioni nel paramento'!$G$53)</f>
        <v>57988947.990720622</v>
      </c>
      <c r="I2018" s="472">
        <f>-'Foglio deposito bis'!$F$82*(C2018-sezione!$AP$35)*IF(ABS(O2018)&lt;'Sollecitazioni nel paramento'!$G$58,ABS(O2018)*'Sollecitazioni nel paramento'!$G$54,'Sollecitazioni nel paramento'!$G$53)</f>
        <v>606831200.73631465</v>
      </c>
      <c r="J2018" s="472">
        <f t="shared" si="140"/>
        <v>667206939.97733498</v>
      </c>
      <c r="K2018" s="550">
        <f>'Sollecitazioni nel paramento'!$G$60*(sezione!$AL$35-C2018)/C2018</f>
        <v>6.2164083993649427E-3</v>
      </c>
      <c r="L2018" s="550">
        <f>'Sollecitazioni nel paramento'!$G$60*(sezione!$AM$35-C2018)/C2018</f>
        <v>1.1074612599047415E-2</v>
      </c>
      <c r="M2018" s="551">
        <f>'Sollecitazioni nel paramento'!$G$60*(sezione!$AN$35-C2018)/C2018</f>
        <v>1.5932816798729887E-2</v>
      </c>
      <c r="N2018" s="551">
        <f>'Sollecitazioni nel paramento'!$G$60*(sezione!$AO$35-C2018)/C2018</f>
        <v>3.5365633597459777E-2</v>
      </c>
      <c r="O2018" s="551">
        <f>'Sollecitazioni nel paramento'!$G$60*(sezione!$AP$35-C2018)/C2018</f>
        <v>0.16516290194546246</v>
      </c>
      <c r="P2018" s="545">
        <f>-'Sollecitazioni nel paramento'!$G$47*'Sollecitazioni nel paramento'!$G$41*IF(DATI!$G$211="dx",DATI!$E$61,DATI!$E$64*DATI!$E$63)*1000*C2018*sezione!$AD$5</f>
        <v>-548925.05345376348</v>
      </c>
      <c r="Q2018" s="545">
        <f>'Foglio deposito bis'!$F$78*IF(ABS(K2018)&lt;'Sollecitazioni nel paramento'!$G$58,ABS(K2018)*'Sollecitazioni nel paramento'!$G$54,'Sollecitazioni nel paramento'!$G$53)*IF(K2018&lt;0,-1,1)</f>
        <v>0</v>
      </c>
      <c r="R2018" s="545">
        <f>'Foglio deposito bis'!$F$79*IF(ABS(L2018)&lt;'Sollecitazioni nel paramento'!$G$58,ABS(L2018)*'Sollecitazioni nel paramento'!$G$54,'Sollecitazioni nel paramento'!$G$53)*IF(L2018&lt;0,-1,1)</f>
        <v>153664.85805602249</v>
      </c>
      <c r="S2018" s="545">
        <f>'Foglio deposito bis'!$F$80*IF(ABS(M2018)&lt;'Sollecitazioni nel paramento'!$G$58,ABS(M2018)*'Sollecitazioni nel paramento'!$G$54,'Sollecitazioni nel paramento'!$G$53)*IF(M2018&lt;0,-1,1)</f>
        <v>0</v>
      </c>
      <c r="T2018" s="545">
        <f>'Foglio deposito bis'!$F$81*IF(ABS(N2018)&lt;'Sollecitazioni nel paramento'!$G$58,ABS(N2018)*'Sollecitazioni nel paramento'!$G$54,'Sollecitazioni nel paramento'!$G$53)*IF(N2018&lt;0,-1,1)</f>
        <v>398299.31208121032</v>
      </c>
      <c r="U2018" s="545">
        <f>'Foglio deposito bis'!$F$82*IF(ABS(O2018)&lt;'Sollecitazioni nel paramento'!$G$58,ABS(O2018)*'Sollecitazioni nel paramento'!$G$54,'Sollecitazioni nel paramento'!$G$53)*IF(O2018&lt;0,-1,1)</f>
        <v>892485.49558937876</v>
      </c>
      <c r="V2018" s="472">
        <f t="shared" si="142"/>
        <v>895524.61227284814</v>
      </c>
      <c r="W2018" s="551"/>
      <c r="X2018" s="551"/>
    </row>
    <row r="2019" spans="1:24" x14ac:dyDescent="0.25">
      <c r="A2019" s="545">
        <f t="shared" si="141"/>
        <v>876596.16215375275</v>
      </c>
      <c r="B2019" s="3">
        <f t="shared" si="143"/>
        <v>1.5000000000000007</v>
      </c>
      <c r="C2019" s="545">
        <f>'Foglio deposito bis'!$E$161/sezione!$B$247*B2019</f>
        <v>14.905465091027088</v>
      </c>
      <c r="D2019" s="603">
        <f>-'Sollecitazioni nel paramento'!$G$47*'Sollecitazioni nel paramento'!$G$41*IF(DATI!$G$211="dx",DATI!$E$61,DATI!$E$64*DATI!$E$63)*1000*C2019^2*sezione!$AD$5*(1-sezione!$AD$6)</f>
        <v>-4943046.4154044427</v>
      </c>
      <c r="E2019" s="545">
        <f>-'Foglio deposito bis'!$F$78*(C2019-sezione!$AL$35)*IF(ABS(K2019)&lt;'Sollecitazioni nel paramento'!$G$58,ABS(K2019)*'Sollecitazioni nel paramento'!$G$54,'Sollecitazioni nel paramento'!$G$53)</f>
        <v>0</v>
      </c>
      <c r="F2019" s="545">
        <f>-'Foglio deposito bis'!$F$79*(C2019-sezione!$AM$35)*IF(ABS(L2019)&lt;'Sollecitazioni nel paramento'!$G$58,ABS(L2019)*'Sollecitazioni nel paramento'!$G$54,'Sollecitazioni nel paramento'!$G$53)</f>
        <v>6929445.3058896745</v>
      </c>
      <c r="G2019" s="545">
        <f>-'Foglio deposito bis'!$F$80*(C2019-sezione!$AN$35)*IF(ABS(M2019)&lt;'Sollecitazioni nel paramento'!$G$58,ABS(M2019)*'Sollecitazioni nel paramento'!$G$54,'Sollecitazioni nel paramento'!$G$53)</f>
        <v>0</v>
      </c>
      <c r="H2019" s="545">
        <f>-'Foglio deposito bis'!$F$81*(C2019-sezione!$AO$35)*IF(ABS(N2019)&lt;'Sollecitazioni nel paramento'!$G$58,ABS(N2019)*'Sollecitazioni nel paramento'!$G$54,'Sollecitazioni nel paramento'!$G$53)</f>
        <v>57791053.440987065</v>
      </c>
      <c r="I2019" s="472">
        <f>-'Foglio deposito bis'!$F$82*(C2019-sezione!$AP$35)*IF(ABS(O2019)&lt;'Sollecitazioni nel paramento'!$G$58,ABS(O2019)*'Sollecitazioni nel paramento'!$G$54,'Sollecitazioni nel paramento'!$G$53)</f>
        <v>606387770.35635602</v>
      </c>
      <c r="J2019" s="472">
        <f t="shared" si="140"/>
        <v>666165222.6878283</v>
      </c>
      <c r="K2019" s="550">
        <f>'Sollecitazioni nel paramento'!$G$60*(sezione!$AL$35-C2019)/C2019</f>
        <v>5.8925281193861123E-3</v>
      </c>
      <c r="L2019" s="550">
        <f>'Sollecitazioni nel paramento'!$G$60*(sezione!$AM$35-C2019)/C2019</f>
        <v>1.0588792179079168E-2</v>
      </c>
      <c r="M2019" s="551">
        <f>'Sollecitazioni nel paramento'!$G$60*(sezione!$AN$35-C2019)/C2019</f>
        <v>1.5285056238772226E-2</v>
      </c>
      <c r="N2019" s="551">
        <f>'Sollecitazioni nel paramento'!$G$60*(sezione!$AO$35-C2019)/C2019</f>
        <v>3.4070112477544448E-2</v>
      </c>
      <c r="O2019" s="551">
        <f>'Sollecitazioni nel paramento'!$G$60*(sezione!$AP$35-C2019)/C2019</f>
        <v>0.15954080521394703</v>
      </c>
      <c r="P2019" s="545">
        <f>-'Sollecitazioni nel paramento'!$G$47*'Sollecitazioni nel paramento'!$G$41*IF(DATI!$G$211="dx",DATI!$E$61,DATI!$E$64*DATI!$E$63)*1000*C2019*sezione!$AD$5</f>
        <v>-567853.50357285887</v>
      </c>
      <c r="Q2019" s="545">
        <f>'Foglio deposito bis'!$F$78*IF(ABS(K2019)&lt;'Sollecitazioni nel paramento'!$G$58,ABS(K2019)*'Sollecitazioni nel paramento'!$G$54,'Sollecitazioni nel paramento'!$G$53)*IF(K2019&lt;0,-1,1)</f>
        <v>0</v>
      </c>
      <c r="R2019" s="545">
        <f>'Foglio deposito bis'!$F$79*IF(ABS(L2019)&lt;'Sollecitazioni nel paramento'!$G$58,ABS(L2019)*'Sollecitazioni nel paramento'!$G$54,'Sollecitazioni nel paramento'!$G$53)*IF(L2019&lt;0,-1,1)</f>
        <v>153664.85805602249</v>
      </c>
      <c r="S2019" s="545">
        <f>'Foglio deposito bis'!$F$80*IF(ABS(M2019)&lt;'Sollecitazioni nel paramento'!$G$58,ABS(M2019)*'Sollecitazioni nel paramento'!$G$54,'Sollecitazioni nel paramento'!$G$53)*IF(M2019&lt;0,-1,1)</f>
        <v>0</v>
      </c>
      <c r="T2019" s="545">
        <f>'Foglio deposito bis'!$F$81*IF(ABS(N2019)&lt;'Sollecitazioni nel paramento'!$G$58,ABS(N2019)*'Sollecitazioni nel paramento'!$G$54,'Sollecitazioni nel paramento'!$G$53)*IF(N2019&lt;0,-1,1)</f>
        <v>398299.31208121032</v>
      </c>
      <c r="U2019" s="545">
        <f>'Foglio deposito bis'!$F$82*IF(ABS(O2019)&lt;'Sollecitazioni nel paramento'!$G$58,ABS(O2019)*'Sollecitazioni nel paramento'!$G$54,'Sollecitazioni nel paramento'!$G$53)*IF(O2019&lt;0,-1,1)</f>
        <v>892485.49558937876</v>
      </c>
      <c r="V2019" s="472">
        <f t="shared" si="142"/>
        <v>876596.16215375275</v>
      </c>
      <c r="W2019" s="551"/>
      <c r="X2019" s="551"/>
    </row>
    <row r="2020" spans="1:24" x14ac:dyDescent="0.25">
      <c r="A2020" s="545">
        <f t="shared" si="141"/>
        <v>857667.71203465736</v>
      </c>
      <c r="B2020" s="3">
        <f t="shared" si="143"/>
        <v>1.5500000000000007</v>
      </c>
      <c r="C2020" s="545">
        <f>'Foglio deposito bis'!$E$161/sezione!$B$247*B2020</f>
        <v>15.402313927394658</v>
      </c>
      <c r="D2020" s="603">
        <f>-'Sollecitazioni nel paramento'!$G$47*'Sollecitazioni nel paramento'!$G$41*IF(DATI!$G$211="dx",DATI!$E$61,DATI!$E$64*DATI!$E$63)*1000*C2020^2*sezione!$AD$5*(1-sezione!$AD$6)</f>
        <v>-5278075.1168929664</v>
      </c>
      <c r="E2020" s="545">
        <f>-'Foglio deposito bis'!$F$78*(C2020-sezione!$AL$35)*IF(ABS(K2020)&lt;'Sollecitazioni nel paramento'!$G$58,ABS(K2020)*'Sollecitazioni nel paramento'!$G$54,'Sollecitazioni nel paramento'!$G$53)</f>
        <v>0</v>
      </c>
      <c r="F2020" s="545">
        <f>-'Foglio deposito bis'!$F$79*(C2020-sezione!$AM$35)*IF(ABS(L2020)&lt;'Sollecitazioni nel paramento'!$G$58,ABS(L2020)*'Sollecitazioni nel paramento'!$G$54,'Sollecitazioni nel paramento'!$G$53)</f>
        <v>6853097.0999739515</v>
      </c>
      <c r="G2020" s="545">
        <f>-'Foglio deposito bis'!$F$80*(C2020-sezione!$AN$35)*IF(ABS(M2020)&lt;'Sollecitazioni nel paramento'!$G$58,ABS(M2020)*'Sollecitazioni nel paramento'!$G$54,'Sollecitazioni nel paramento'!$G$53)</f>
        <v>0</v>
      </c>
      <c r="H2020" s="545">
        <f>-'Foglio deposito bis'!$F$81*(C2020-sezione!$AO$35)*IF(ABS(N2020)&lt;'Sollecitazioni nel paramento'!$G$58,ABS(N2020)*'Sollecitazioni nel paramento'!$G$54,'Sollecitazioni nel paramento'!$G$53)</f>
        <v>57593158.891253509</v>
      </c>
      <c r="I2020" s="472">
        <f>-'Foglio deposito bis'!$F$82*(C2020-sezione!$AP$35)*IF(ABS(O2020)&lt;'Sollecitazioni nel paramento'!$G$58,ABS(O2020)*'Sollecitazioni nel paramento'!$G$54,'Sollecitazioni nel paramento'!$G$53)</f>
        <v>605944339.97639751</v>
      </c>
      <c r="J2020" s="472">
        <f t="shared" si="140"/>
        <v>665112520.85073197</v>
      </c>
      <c r="K2020" s="550">
        <f>'Sollecitazioni nel paramento'!$G$60*(sezione!$AL$35-C2020)/C2020</f>
        <v>5.5895433413413985E-3</v>
      </c>
      <c r="L2020" s="550">
        <f>'Sollecitazioni nel paramento'!$G$60*(sezione!$AM$35-C2020)/C2020</f>
        <v>1.0134315012012098E-2</v>
      </c>
      <c r="M2020" s="551">
        <f>'Sollecitazioni nel paramento'!$G$60*(sezione!$AN$35-C2020)/C2020</f>
        <v>1.4679086682682798E-2</v>
      </c>
      <c r="N2020" s="551">
        <f>'Sollecitazioni nel paramento'!$G$60*(sezione!$AO$35-C2020)/C2020</f>
        <v>3.2858173365365596E-2</v>
      </c>
      <c r="O2020" s="551">
        <f>'Sollecitazioni nel paramento'!$G$60*(sezione!$AP$35-C2020)/C2020</f>
        <v>0.15428142440059389</v>
      </c>
      <c r="P2020" s="545">
        <f>-'Sollecitazioni nel paramento'!$G$47*'Sollecitazioni nel paramento'!$G$41*IF(DATI!$G$211="dx",DATI!$E$61,DATI!$E$64*DATI!$E$63)*1000*C2020*sezione!$AD$5</f>
        <v>-586781.95369195414</v>
      </c>
      <c r="Q2020" s="545">
        <f>'Foglio deposito bis'!$F$78*IF(ABS(K2020)&lt;'Sollecitazioni nel paramento'!$G$58,ABS(K2020)*'Sollecitazioni nel paramento'!$G$54,'Sollecitazioni nel paramento'!$G$53)*IF(K2020&lt;0,-1,1)</f>
        <v>0</v>
      </c>
      <c r="R2020" s="545">
        <f>'Foglio deposito bis'!$F$79*IF(ABS(L2020)&lt;'Sollecitazioni nel paramento'!$G$58,ABS(L2020)*'Sollecitazioni nel paramento'!$G$54,'Sollecitazioni nel paramento'!$G$53)*IF(L2020&lt;0,-1,1)</f>
        <v>153664.85805602249</v>
      </c>
      <c r="S2020" s="545">
        <f>'Foglio deposito bis'!$F$80*IF(ABS(M2020)&lt;'Sollecitazioni nel paramento'!$G$58,ABS(M2020)*'Sollecitazioni nel paramento'!$G$54,'Sollecitazioni nel paramento'!$G$53)*IF(M2020&lt;0,-1,1)</f>
        <v>0</v>
      </c>
      <c r="T2020" s="545">
        <f>'Foglio deposito bis'!$F$81*IF(ABS(N2020)&lt;'Sollecitazioni nel paramento'!$G$58,ABS(N2020)*'Sollecitazioni nel paramento'!$G$54,'Sollecitazioni nel paramento'!$G$53)*IF(N2020&lt;0,-1,1)</f>
        <v>398299.31208121032</v>
      </c>
      <c r="U2020" s="545">
        <f>'Foglio deposito bis'!$F$82*IF(ABS(O2020)&lt;'Sollecitazioni nel paramento'!$G$58,ABS(O2020)*'Sollecitazioni nel paramento'!$G$54,'Sollecitazioni nel paramento'!$G$53)*IF(O2020&lt;0,-1,1)</f>
        <v>892485.49558937876</v>
      </c>
      <c r="V2020" s="472">
        <f t="shared" si="142"/>
        <v>857667.71203465736</v>
      </c>
      <c r="W2020" s="551"/>
      <c r="X2020" s="551"/>
    </row>
    <row r="2021" spans="1:24" x14ac:dyDescent="0.25">
      <c r="A2021" s="545">
        <f t="shared" si="141"/>
        <v>838739.26191556198</v>
      </c>
      <c r="B2021" s="3">
        <f t="shared" si="143"/>
        <v>1.6000000000000008</v>
      </c>
      <c r="C2021" s="545">
        <f>'Foglio deposito bis'!$E$161/sezione!$B$247*B2021</f>
        <v>15.899162763762227</v>
      </c>
      <c r="D2021" s="603">
        <f>-'Sollecitazioni nel paramento'!$G$47*'Sollecitazioni nel paramento'!$G$41*IF(DATI!$G$211="dx",DATI!$E$61,DATI!$E$64*DATI!$E$63)*1000*C2021^2*sezione!$AD$5*(1-sezione!$AD$6)</f>
        <v>-5624088.3659712765</v>
      </c>
      <c r="E2021" s="545">
        <f>-'Foglio deposito bis'!$F$78*(C2021-sezione!$AL$35)*IF(ABS(K2021)&lt;'Sollecitazioni nel paramento'!$G$58,ABS(K2021)*'Sollecitazioni nel paramento'!$G$54,'Sollecitazioni nel paramento'!$G$53)</f>
        <v>0</v>
      </c>
      <c r="F2021" s="545">
        <f>-'Foglio deposito bis'!$F$79*(C2021-sezione!$AM$35)*IF(ABS(L2021)&lt;'Sollecitazioni nel paramento'!$G$58,ABS(L2021)*'Sollecitazioni nel paramento'!$G$54,'Sollecitazioni nel paramento'!$G$53)</f>
        <v>6776748.8940582294</v>
      </c>
      <c r="G2021" s="545">
        <f>-'Foglio deposito bis'!$F$80*(C2021-sezione!$AN$35)*IF(ABS(M2021)&lt;'Sollecitazioni nel paramento'!$G$58,ABS(M2021)*'Sollecitazioni nel paramento'!$G$54,'Sollecitazioni nel paramento'!$G$53)</f>
        <v>0</v>
      </c>
      <c r="H2021" s="545">
        <f>-'Foglio deposito bis'!$F$81*(C2021-sezione!$AO$35)*IF(ABS(N2021)&lt;'Sollecitazioni nel paramento'!$G$58,ABS(N2021)*'Sollecitazioni nel paramento'!$G$54,'Sollecitazioni nel paramento'!$G$53)</f>
        <v>57395264.341519959</v>
      </c>
      <c r="I2021" s="472">
        <f>-'Foglio deposito bis'!$F$82*(C2021-sezione!$AP$35)*IF(ABS(O2021)&lt;'Sollecitazioni nel paramento'!$G$58,ABS(O2021)*'Sollecitazioni nel paramento'!$G$54,'Sollecitazioni nel paramento'!$G$53)</f>
        <v>605500909.596439</v>
      </c>
      <c r="J2021" s="472">
        <f t="shared" si="140"/>
        <v>664048834.46604586</v>
      </c>
      <c r="K2021" s="550">
        <f>'Sollecitazioni nel paramento'!$G$60*(sezione!$AL$35-C2021)/C2021</f>
        <v>5.3054951119244805E-3</v>
      </c>
      <c r="L2021" s="550">
        <f>'Sollecitazioni nel paramento'!$G$60*(sezione!$AM$35-C2021)/C2021</f>
        <v>9.7082426678867205E-3</v>
      </c>
      <c r="M2021" s="551">
        <f>'Sollecitazioni nel paramento'!$G$60*(sezione!$AN$35-C2021)/C2021</f>
        <v>1.4110990223848959E-2</v>
      </c>
      <c r="N2021" s="551">
        <f>'Sollecitazioni nel paramento'!$G$60*(sezione!$AO$35-C2021)/C2021</f>
        <v>3.1721980447697917E-2</v>
      </c>
      <c r="O2021" s="551">
        <f>'Sollecitazioni nel paramento'!$G$60*(sezione!$AP$35-C2021)/C2021</f>
        <v>0.14935075488807534</v>
      </c>
      <c r="P2021" s="545">
        <f>-'Sollecitazioni nel paramento'!$G$47*'Sollecitazioni nel paramento'!$G$41*IF(DATI!$G$211="dx",DATI!$E$61,DATI!$E$64*DATI!$E$63)*1000*C2021*sezione!$AD$5</f>
        <v>-605710.40381104953</v>
      </c>
      <c r="Q2021" s="545">
        <f>'Foglio deposito bis'!$F$78*IF(ABS(K2021)&lt;'Sollecitazioni nel paramento'!$G$58,ABS(K2021)*'Sollecitazioni nel paramento'!$G$54,'Sollecitazioni nel paramento'!$G$53)*IF(K2021&lt;0,-1,1)</f>
        <v>0</v>
      </c>
      <c r="R2021" s="545">
        <f>'Foglio deposito bis'!$F$79*IF(ABS(L2021)&lt;'Sollecitazioni nel paramento'!$G$58,ABS(L2021)*'Sollecitazioni nel paramento'!$G$54,'Sollecitazioni nel paramento'!$G$53)*IF(L2021&lt;0,-1,1)</f>
        <v>153664.85805602249</v>
      </c>
      <c r="S2021" s="545">
        <f>'Foglio deposito bis'!$F$80*IF(ABS(M2021)&lt;'Sollecitazioni nel paramento'!$G$58,ABS(M2021)*'Sollecitazioni nel paramento'!$G$54,'Sollecitazioni nel paramento'!$G$53)*IF(M2021&lt;0,-1,1)</f>
        <v>0</v>
      </c>
      <c r="T2021" s="545">
        <f>'Foglio deposito bis'!$F$81*IF(ABS(N2021)&lt;'Sollecitazioni nel paramento'!$G$58,ABS(N2021)*'Sollecitazioni nel paramento'!$G$54,'Sollecitazioni nel paramento'!$G$53)*IF(N2021&lt;0,-1,1)</f>
        <v>398299.31208121032</v>
      </c>
      <c r="U2021" s="545">
        <f>'Foglio deposito bis'!$F$82*IF(ABS(O2021)&lt;'Sollecitazioni nel paramento'!$G$58,ABS(O2021)*'Sollecitazioni nel paramento'!$G$54,'Sollecitazioni nel paramento'!$G$53)*IF(O2021&lt;0,-1,1)</f>
        <v>892485.49558937876</v>
      </c>
      <c r="V2021" s="472">
        <f t="shared" si="142"/>
        <v>838739.26191556198</v>
      </c>
      <c r="W2021" s="551"/>
      <c r="X2021" s="551"/>
    </row>
    <row r="2022" spans="1:24" x14ac:dyDescent="0.25">
      <c r="A2022" s="545">
        <f t="shared" si="141"/>
        <v>819810.81179646682</v>
      </c>
      <c r="B2022" s="3">
        <f t="shared" si="143"/>
        <v>1.6500000000000008</v>
      </c>
      <c r="C2022" s="545">
        <f>'Foglio deposito bis'!$E$161/sezione!$B$247*B2022</f>
        <v>16.396011600129796</v>
      </c>
      <c r="D2022" s="603">
        <f>-'Sollecitazioni nel paramento'!$G$47*'Sollecitazioni nel paramento'!$G$41*IF(DATI!$G$211="dx",DATI!$E$61,DATI!$E$64*DATI!$E$63)*1000*C2022^2*sezione!$AD$5*(1-sezione!$AD$6)</f>
        <v>-5981086.1626393739</v>
      </c>
      <c r="E2022" s="545">
        <f>-'Foglio deposito bis'!$F$78*(C2022-sezione!$AL$35)*IF(ABS(K2022)&lt;'Sollecitazioni nel paramento'!$G$58,ABS(K2022)*'Sollecitazioni nel paramento'!$G$54,'Sollecitazioni nel paramento'!$G$53)</f>
        <v>0</v>
      </c>
      <c r="F2022" s="545">
        <f>-'Foglio deposito bis'!$F$79*(C2022-sezione!$AM$35)*IF(ABS(L2022)&lt;'Sollecitazioni nel paramento'!$G$58,ABS(L2022)*'Sollecitazioni nel paramento'!$G$54,'Sollecitazioni nel paramento'!$G$53)</f>
        <v>6700400.6881425064</v>
      </c>
      <c r="G2022" s="545">
        <f>-'Foglio deposito bis'!$F$80*(C2022-sezione!$AN$35)*IF(ABS(M2022)&lt;'Sollecitazioni nel paramento'!$G$58,ABS(M2022)*'Sollecitazioni nel paramento'!$G$54,'Sollecitazioni nel paramento'!$G$53)</f>
        <v>0</v>
      </c>
      <c r="H2022" s="545">
        <f>-'Foglio deposito bis'!$F$81*(C2022-sezione!$AO$35)*IF(ABS(N2022)&lt;'Sollecitazioni nel paramento'!$G$58,ABS(N2022)*'Sollecitazioni nel paramento'!$G$54,'Sollecitazioni nel paramento'!$G$53)</f>
        <v>57197369.791786417</v>
      </c>
      <c r="I2022" s="472">
        <f>-'Foglio deposito bis'!$F$82*(C2022-sezione!$AP$35)*IF(ABS(O2022)&lt;'Sollecitazioni nel paramento'!$G$58,ABS(O2022)*'Sollecitazioni nel paramento'!$G$54,'Sollecitazioni nel paramento'!$G$53)</f>
        <v>605057479.21648049</v>
      </c>
      <c r="J2022" s="472">
        <f t="shared" si="140"/>
        <v>662974163.53377008</v>
      </c>
      <c r="K2022" s="550">
        <f>'Sollecitazioni nel paramento'!$G$60*(sezione!$AL$35-C2022)/C2022</f>
        <v>5.0386619267146476E-3</v>
      </c>
      <c r="L2022" s="550">
        <f>'Sollecitazioni nel paramento'!$G$60*(sezione!$AM$35-C2022)/C2022</f>
        <v>9.307992890071972E-3</v>
      </c>
      <c r="M2022" s="551">
        <f>'Sollecitazioni nel paramento'!$G$60*(sezione!$AN$35-C2022)/C2022</f>
        <v>1.3577323853429296E-2</v>
      </c>
      <c r="N2022" s="551">
        <f>'Sollecitazioni nel paramento'!$G$60*(sezione!$AO$35-C2022)/C2022</f>
        <v>3.0654647706858596E-2</v>
      </c>
      <c r="O2022" s="551">
        <f>'Sollecitazioni nel paramento'!$G$60*(sezione!$AP$35-C2022)/C2022</f>
        <v>0.14471891383086094</v>
      </c>
      <c r="P2022" s="545">
        <f>-'Sollecitazioni nel paramento'!$G$47*'Sollecitazioni nel paramento'!$G$41*IF(DATI!$G$211="dx",DATI!$E$61,DATI!$E$64*DATI!$E$63)*1000*C2022*sezione!$AD$5</f>
        <v>-624638.8539301448</v>
      </c>
      <c r="Q2022" s="545">
        <f>'Foglio deposito bis'!$F$78*IF(ABS(K2022)&lt;'Sollecitazioni nel paramento'!$G$58,ABS(K2022)*'Sollecitazioni nel paramento'!$G$54,'Sollecitazioni nel paramento'!$G$53)*IF(K2022&lt;0,-1,1)</f>
        <v>0</v>
      </c>
      <c r="R2022" s="545">
        <f>'Foglio deposito bis'!$F$79*IF(ABS(L2022)&lt;'Sollecitazioni nel paramento'!$G$58,ABS(L2022)*'Sollecitazioni nel paramento'!$G$54,'Sollecitazioni nel paramento'!$G$53)*IF(L2022&lt;0,-1,1)</f>
        <v>153664.85805602249</v>
      </c>
      <c r="S2022" s="545">
        <f>'Foglio deposito bis'!$F$80*IF(ABS(M2022)&lt;'Sollecitazioni nel paramento'!$G$58,ABS(M2022)*'Sollecitazioni nel paramento'!$G$54,'Sollecitazioni nel paramento'!$G$53)*IF(M2022&lt;0,-1,1)</f>
        <v>0</v>
      </c>
      <c r="T2022" s="545">
        <f>'Foglio deposito bis'!$F$81*IF(ABS(N2022)&lt;'Sollecitazioni nel paramento'!$G$58,ABS(N2022)*'Sollecitazioni nel paramento'!$G$54,'Sollecitazioni nel paramento'!$G$53)*IF(N2022&lt;0,-1,1)</f>
        <v>398299.31208121032</v>
      </c>
      <c r="U2022" s="545">
        <f>'Foglio deposito bis'!$F$82*IF(ABS(O2022)&lt;'Sollecitazioni nel paramento'!$G$58,ABS(O2022)*'Sollecitazioni nel paramento'!$G$54,'Sollecitazioni nel paramento'!$G$53)*IF(O2022&lt;0,-1,1)</f>
        <v>892485.49558937876</v>
      </c>
      <c r="V2022" s="472">
        <f t="shared" si="142"/>
        <v>819810.81179646682</v>
      </c>
      <c r="W2022" s="551"/>
      <c r="X2022" s="551"/>
    </row>
    <row r="2023" spans="1:24" x14ac:dyDescent="0.25">
      <c r="A2023" s="545">
        <f t="shared" si="141"/>
        <v>800882.36167737143</v>
      </c>
      <c r="B2023" s="3">
        <f t="shared" si="143"/>
        <v>1.7000000000000008</v>
      </c>
      <c r="C2023" s="545">
        <f>'Foglio deposito bis'!$E$161/sezione!$B$247*B2023</f>
        <v>16.892860436497369</v>
      </c>
      <c r="D2023" s="603">
        <f>-'Sollecitazioni nel paramento'!$G$47*'Sollecitazioni nel paramento'!$G$41*IF(DATI!$G$211="dx",DATI!$E$61,DATI!$E$64*DATI!$E$63)*1000*C2023^2*sezione!$AD$5*(1-sezione!$AD$6)</f>
        <v>-6349068.5068972623</v>
      </c>
      <c r="E2023" s="545">
        <f>-'Foglio deposito bis'!$F$78*(C2023-sezione!$AL$35)*IF(ABS(K2023)&lt;'Sollecitazioni nel paramento'!$G$58,ABS(K2023)*'Sollecitazioni nel paramento'!$G$54,'Sollecitazioni nel paramento'!$G$53)</f>
        <v>0</v>
      </c>
      <c r="F2023" s="545">
        <f>-'Foglio deposito bis'!$F$79*(C2023-sezione!$AM$35)*IF(ABS(L2023)&lt;'Sollecitazioni nel paramento'!$G$58,ABS(L2023)*'Sollecitazioni nel paramento'!$G$54,'Sollecitazioni nel paramento'!$G$53)</f>
        <v>6624052.4822267825</v>
      </c>
      <c r="G2023" s="545">
        <f>-'Foglio deposito bis'!$F$80*(C2023-sezione!$AN$35)*IF(ABS(M2023)&lt;'Sollecitazioni nel paramento'!$G$58,ABS(M2023)*'Sollecitazioni nel paramento'!$G$54,'Sollecitazioni nel paramento'!$G$53)</f>
        <v>0</v>
      </c>
      <c r="H2023" s="545">
        <f>-'Foglio deposito bis'!$F$81*(C2023-sezione!$AO$35)*IF(ABS(N2023)&lt;'Sollecitazioni nel paramento'!$G$58,ABS(N2023)*'Sollecitazioni nel paramento'!$G$54,'Sollecitazioni nel paramento'!$G$53)</f>
        <v>56999475.242052861</v>
      </c>
      <c r="I2023" s="472">
        <f>-'Foglio deposito bis'!$F$82*(C2023-sezione!$AP$35)*IF(ABS(O2023)&lt;'Sollecitazioni nel paramento'!$G$58,ABS(O2023)*'Sollecitazioni nel paramento'!$G$54,'Sollecitazioni nel paramento'!$G$53)</f>
        <v>604614048.83652198</v>
      </c>
      <c r="J2023" s="472">
        <f t="shared" si="140"/>
        <v>661888508.05390441</v>
      </c>
      <c r="K2023" s="550">
        <f>'Sollecitazioni nel paramento'!$G$60*(sezione!$AL$35-C2023)/C2023</f>
        <v>4.7875248112230389E-3</v>
      </c>
      <c r="L2023" s="550">
        <f>'Sollecitazioni nel paramento'!$G$60*(sezione!$AM$35-C2023)/C2023</f>
        <v>8.9312872168345568E-3</v>
      </c>
      <c r="M2023" s="551">
        <f>'Sollecitazioni nel paramento'!$G$60*(sezione!$AN$35-C2023)/C2023</f>
        <v>1.3075049622446077E-2</v>
      </c>
      <c r="N2023" s="551">
        <f>'Sollecitazioni nel paramento'!$G$60*(sezione!$AO$35-C2023)/C2023</f>
        <v>2.9650099244892161E-2</v>
      </c>
      <c r="O2023" s="551">
        <f>'Sollecitazioni nel paramento'!$G$60*(sezione!$AP$35-C2023)/C2023</f>
        <v>0.14035953401230619</v>
      </c>
      <c r="P2023" s="545">
        <f>-'Sollecitazioni nel paramento'!$G$47*'Sollecitazioni nel paramento'!$G$41*IF(DATI!$G$211="dx",DATI!$E$61,DATI!$E$64*DATI!$E$63)*1000*C2023*sezione!$AD$5</f>
        <v>-643567.30404924008</v>
      </c>
      <c r="Q2023" s="545">
        <f>'Foglio deposito bis'!$F$78*IF(ABS(K2023)&lt;'Sollecitazioni nel paramento'!$G$58,ABS(K2023)*'Sollecitazioni nel paramento'!$G$54,'Sollecitazioni nel paramento'!$G$53)*IF(K2023&lt;0,-1,1)</f>
        <v>0</v>
      </c>
      <c r="R2023" s="545">
        <f>'Foglio deposito bis'!$F$79*IF(ABS(L2023)&lt;'Sollecitazioni nel paramento'!$G$58,ABS(L2023)*'Sollecitazioni nel paramento'!$G$54,'Sollecitazioni nel paramento'!$G$53)*IF(L2023&lt;0,-1,1)</f>
        <v>153664.85805602249</v>
      </c>
      <c r="S2023" s="545">
        <f>'Foglio deposito bis'!$F$80*IF(ABS(M2023)&lt;'Sollecitazioni nel paramento'!$G$58,ABS(M2023)*'Sollecitazioni nel paramento'!$G$54,'Sollecitazioni nel paramento'!$G$53)*IF(M2023&lt;0,-1,1)</f>
        <v>0</v>
      </c>
      <c r="T2023" s="545">
        <f>'Foglio deposito bis'!$F$81*IF(ABS(N2023)&lt;'Sollecitazioni nel paramento'!$G$58,ABS(N2023)*'Sollecitazioni nel paramento'!$G$54,'Sollecitazioni nel paramento'!$G$53)*IF(N2023&lt;0,-1,1)</f>
        <v>398299.31208121032</v>
      </c>
      <c r="U2023" s="545">
        <f>'Foglio deposito bis'!$F$82*IF(ABS(O2023)&lt;'Sollecitazioni nel paramento'!$G$58,ABS(O2023)*'Sollecitazioni nel paramento'!$G$54,'Sollecitazioni nel paramento'!$G$53)*IF(O2023&lt;0,-1,1)</f>
        <v>892485.49558937876</v>
      </c>
      <c r="V2023" s="472">
        <f t="shared" si="142"/>
        <v>800882.36167737143</v>
      </c>
      <c r="W2023" s="551"/>
      <c r="X2023" s="551"/>
    </row>
    <row r="2024" spans="1:24" x14ac:dyDescent="0.25">
      <c r="A2024" s="545">
        <f t="shared" si="141"/>
        <v>781953.91155827628</v>
      </c>
      <c r="B2024" s="3">
        <f t="shared" si="143"/>
        <v>1.7500000000000009</v>
      </c>
      <c r="C2024" s="545">
        <f>'Foglio deposito bis'!$E$161/sezione!$B$247*B2024</f>
        <v>17.389709272864938</v>
      </c>
      <c r="D2024" s="603">
        <f>-'Sollecitazioni nel paramento'!$G$47*'Sollecitazioni nel paramento'!$G$41*IF(DATI!$G$211="dx",DATI!$E$61,DATI!$E$64*DATI!$E$63)*1000*C2024^2*sezione!$AD$5*(1-sezione!$AD$6)</f>
        <v>-6728035.3987449361</v>
      </c>
      <c r="E2024" s="545">
        <f>-'Foglio deposito bis'!$F$78*(C2024-sezione!$AL$35)*IF(ABS(K2024)&lt;'Sollecitazioni nel paramento'!$G$58,ABS(K2024)*'Sollecitazioni nel paramento'!$G$54,'Sollecitazioni nel paramento'!$G$53)</f>
        <v>0</v>
      </c>
      <c r="F2024" s="545">
        <f>-'Foglio deposito bis'!$F$79*(C2024-sezione!$AM$35)*IF(ABS(L2024)&lt;'Sollecitazioni nel paramento'!$G$58,ABS(L2024)*'Sollecitazioni nel paramento'!$G$54,'Sollecitazioni nel paramento'!$G$53)</f>
        <v>6547704.2763110623</v>
      </c>
      <c r="G2024" s="545">
        <f>-'Foglio deposito bis'!$F$80*(C2024-sezione!$AN$35)*IF(ABS(M2024)&lt;'Sollecitazioni nel paramento'!$G$58,ABS(M2024)*'Sollecitazioni nel paramento'!$G$54,'Sollecitazioni nel paramento'!$G$53)</f>
        <v>0</v>
      </c>
      <c r="H2024" s="545">
        <f>-'Foglio deposito bis'!$F$81*(C2024-sezione!$AO$35)*IF(ABS(N2024)&lt;'Sollecitazioni nel paramento'!$G$58,ABS(N2024)*'Sollecitazioni nel paramento'!$G$54,'Sollecitazioni nel paramento'!$G$53)</f>
        <v>56801580.692319304</v>
      </c>
      <c r="I2024" s="472">
        <f>-'Foglio deposito bis'!$F$82*(C2024-sezione!$AP$35)*IF(ABS(O2024)&lt;'Sollecitazioni nel paramento'!$G$58,ABS(O2024)*'Sollecitazioni nel paramento'!$G$54,'Sollecitazioni nel paramento'!$G$53)</f>
        <v>604170618.45656347</v>
      </c>
      <c r="J2024" s="472">
        <f t="shared" si="140"/>
        <v>660791868.02644897</v>
      </c>
      <c r="K2024" s="550">
        <f>'Sollecitazioni nel paramento'!$G$60*(sezione!$AL$35-C2024)/C2024</f>
        <v>4.5507383880452387E-3</v>
      </c>
      <c r="L2024" s="550">
        <f>'Sollecitazioni nel paramento'!$G$60*(sezione!$AM$35-C2024)/C2024</f>
        <v>8.5761075820678587E-3</v>
      </c>
      <c r="M2024" s="551">
        <f>'Sollecitazioni nel paramento'!$G$60*(sezione!$AN$35-C2024)/C2024</f>
        <v>1.2601476776090477E-2</v>
      </c>
      <c r="N2024" s="551">
        <f>'Sollecitazioni nel paramento'!$G$60*(sezione!$AO$35-C2024)/C2024</f>
        <v>2.8702953552180954E-2</v>
      </c>
      <c r="O2024" s="551">
        <f>'Sollecitazioni nel paramento'!$G$60*(sezione!$AP$35-C2024)/C2024</f>
        <v>0.13624926161195458</v>
      </c>
      <c r="P2024" s="545">
        <f>-'Sollecitazioni nel paramento'!$G$47*'Sollecitazioni nel paramento'!$G$41*IF(DATI!$G$211="dx",DATI!$E$61,DATI!$E$64*DATI!$E$63)*1000*C2024*sezione!$AD$5</f>
        <v>-662495.75416833535</v>
      </c>
      <c r="Q2024" s="545">
        <f>'Foglio deposito bis'!$F$78*IF(ABS(K2024)&lt;'Sollecitazioni nel paramento'!$G$58,ABS(K2024)*'Sollecitazioni nel paramento'!$G$54,'Sollecitazioni nel paramento'!$G$53)*IF(K2024&lt;0,-1,1)</f>
        <v>0</v>
      </c>
      <c r="R2024" s="545">
        <f>'Foglio deposito bis'!$F$79*IF(ABS(L2024)&lt;'Sollecitazioni nel paramento'!$G$58,ABS(L2024)*'Sollecitazioni nel paramento'!$G$54,'Sollecitazioni nel paramento'!$G$53)*IF(L2024&lt;0,-1,1)</f>
        <v>153664.85805602249</v>
      </c>
      <c r="S2024" s="545">
        <f>'Foglio deposito bis'!$F$80*IF(ABS(M2024)&lt;'Sollecitazioni nel paramento'!$G$58,ABS(M2024)*'Sollecitazioni nel paramento'!$G$54,'Sollecitazioni nel paramento'!$G$53)*IF(M2024&lt;0,-1,1)</f>
        <v>0</v>
      </c>
      <c r="T2024" s="545">
        <f>'Foglio deposito bis'!$F$81*IF(ABS(N2024)&lt;'Sollecitazioni nel paramento'!$G$58,ABS(N2024)*'Sollecitazioni nel paramento'!$G$54,'Sollecitazioni nel paramento'!$G$53)*IF(N2024&lt;0,-1,1)</f>
        <v>398299.31208121032</v>
      </c>
      <c r="U2024" s="545">
        <f>'Foglio deposito bis'!$F$82*IF(ABS(O2024)&lt;'Sollecitazioni nel paramento'!$G$58,ABS(O2024)*'Sollecitazioni nel paramento'!$G$54,'Sollecitazioni nel paramento'!$G$53)*IF(O2024&lt;0,-1,1)</f>
        <v>892485.49558937876</v>
      </c>
      <c r="V2024" s="472">
        <f t="shared" si="142"/>
        <v>781953.91155827628</v>
      </c>
      <c r="W2024" s="551"/>
      <c r="X2024" s="551"/>
    </row>
    <row r="2025" spans="1:24" x14ac:dyDescent="0.25">
      <c r="A2025" s="545">
        <f t="shared" si="141"/>
        <v>763025.46143918089</v>
      </c>
      <c r="B2025" s="3">
        <f t="shared" si="143"/>
        <v>1.8000000000000009</v>
      </c>
      <c r="C2025" s="545">
        <f>'Foglio deposito bis'!$E$161/sezione!$B$247*B2025</f>
        <v>17.886558109232507</v>
      </c>
      <c r="D2025" s="603">
        <f>-'Sollecitazioni nel paramento'!$G$47*'Sollecitazioni nel paramento'!$G$41*IF(DATI!$G$211="dx",DATI!$E$61,DATI!$E$64*DATI!$E$63)*1000*C2025^2*sezione!$AD$5*(1-sezione!$AD$6)</f>
        <v>-7117986.8381823972</v>
      </c>
      <c r="E2025" s="545">
        <f>-'Foglio deposito bis'!$F$78*(C2025-sezione!$AL$35)*IF(ABS(K2025)&lt;'Sollecitazioni nel paramento'!$G$58,ABS(K2025)*'Sollecitazioni nel paramento'!$G$54,'Sollecitazioni nel paramento'!$G$53)</f>
        <v>0</v>
      </c>
      <c r="F2025" s="545">
        <f>-'Foglio deposito bis'!$F$79*(C2025-sezione!$AM$35)*IF(ABS(L2025)&lt;'Sollecitazioni nel paramento'!$G$58,ABS(L2025)*'Sollecitazioni nel paramento'!$G$54,'Sollecitazioni nel paramento'!$G$53)</f>
        <v>6471356.0703953383</v>
      </c>
      <c r="G2025" s="545">
        <f>-'Foglio deposito bis'!$F$80*(C2025-sezione!$AN$35)*IF(ABS(M2025)&lt;'Sollecitazioni nel paramento'!$G$58,ABS(M2025)*'Sollecitazioni nel paramento'!$G$54,'Sollecitazioni nel paramento'!$G$53)</f>
        <v>0</v>
      </c>
      <c r="H2025" s="545">
        <f>-'Foglio deposito bis'!$F$81*(C2025-sezione!$AO$35)*IF(ABS(N2025)&lt;'Sollecitazioni nel paramento'!$G$58,ABS(N2025)*'Sollecitazioni nel paramento'!$G$54,'Sollecitazioni nel paramento'!$G$53)</f>
        <v>56603686.142585754</v>
      </c>
      <c r="I2025" s="472">
        <f>-'Foglio deposito bis'!$F$82*(C2025-sezione!$AP$35)*IF(ABS(O2025)&lt;'Sollecitazioni nel paramento'!$G$58,ABS(O2025)*'Sollecitazioni nel paramento'!$G$54,'Sollecitazioni nel paramento'!$G$53)</f>
        <v>603727188.07660496</v>
      </c>
      <c r="J2025" s="472">
        <f t="shared" si="140"/>
        <v>659684243.45140362</v>
      </c>
      <c r="K2025" s="550">
        <f>'Sollecitazioni nel paramento'!$G$60*(sezione!$AL$35-C2025)/C2025</f>
        <v>4.3271067661550932E-3</v>
      </c>
      <c r="L2025" s="550">
        <f>'Sollecitazioni nel paramento'!$G$60*(sezione!$AM$35-C2025)/C2025</f>
        <v>8.2406601492326387E-3</v>
      </c>
      <c r="M2025" s="551">
        <f>'Sollecitazioni nel paramento'!$G$60*(sezione!$AN$35-C2025)/C2025</f>
        <v>1.2154213532310186E-2</v>
      </c>
      <c r="N2025" s="551">
        <f>'Sollecitazioni nel paramento'!$G$60*(sezione!$AO$35-C2025)/C2025</f>
        <v>2.7808427064620372E-2</v>
      </c>
      <c r="O2025" s="551">
        <f>'Sollecitazioni nel paramento'!$G$60*(sezione!$AP$35-C2025)/C2025</f>
        <v>0.13236733767828918</v>
      </c>
      <c r="P2025" s="545">
        <f>-'Sollecitazioni nel paramento'!$G$47*'Sollecitazioni nel paramento'!$G$41*IF(DATI!$G$211="dx",DATI!$E$61,DATI!$E$64*DATI!$E$63)*1000*C2025*sezione!$AD$5</f>
        <v>-681424.20428743062</v>
      </c>
      <c r="Q2025" s="545">
        <f>'Foglio deposito bis'!$F$78*IF(ABS(K2025)&lt;'Sollecitazioni nel paramento'!$G$58,ABS(K2025)*'Sollecitazioni nel paramento'!$G$54,'Sollecitazioni nel paramento'!$G$53)*IF(K2025&lt;0,-1,1)</f>
        <v>0</v>
      </c>
      <c r="R2025" s="545">
        <f>'Foglio deposito bis'!$F$79*IF(ABS(L2025)&lt;'Sollecitazioni nel paramento'!$G$58,ABS(L2025)*'Sollecitazioni nel paramento'!$G$54,'Sollecitazioni nel paramento'!$G$53)*IF(L2025&lt;0,-1,1)</f>
        <v>153664.85805602249</v>
      </c>
      <c r="S2025" s="545">
        <f>'Foglio deposito bis'!$F$80*IF(ABS(M2025)&lt;'Sollecitazioni nel paramento'!$G$58,ABS(M2025)*'Sollecitazioni nel paramento'!$G$54,'Sollecitazioni nel paramento'!$G$53)*IF(M2025&lt;0,-1,1)</f>
        <v>0</v>
      </c>
      <c r="T2025" s="545">
        <f>'Foglio deposito bis'!$F$81*IF(ABS(N2025)&lt;'Sollecitazioni nel paramento'!$G$58,ABS(N2025)*'Sollecitazioni nel paramento'!$G$54,'Sollecitazioni nel paramento'!$G$53)*IF(N2025&lt;0,-1,1)</f>
        <v>398299.31208121032</v>
      </c>
      <c r="U2025" s="545">
        <f>'Foglio deposito bis'!$F$82*IF(ABS(O2025)&lt;'Sollecitazioni nel paramento'!$G$58,ABS(O2025)*'Sollecitazioni nel paramento'!$G$54,'Sollecitazioni nel paramento'!$G$53)*IF(O2025&lt;0,-1,1)</f>
        <v>892485.49558937876</v>
      </c>
      <c r="V2025" s="472">
        <f t="shared" si="142"/>
        <v>763025.46143918089</v>
      </c>
      <c r="W2025" s="551"/>
      <c r="X2025" s="551"/>
    </row>
    <row r="2026" spans="1:24" x14ac:dyDescent="0.25">
      <c r="A2026" s="545">
        <f t="shared" si="141"/>
        <v>744097.0113200855</v>
      </c>
      <c r="B2026" s="3">
        <f t="shared" si="143"/>
        <v>1.850000000000001</v>
      </c>
      <c r="C2026" s="545">
        <f>'Foglio deposito bis'!$E$161/sezione!$B$247*B2026</f>
        <v>18.383406945600075</v>
      </c>
      <c r="D2026" s="603">
        <f>-'Sollecitazioni nel paramento'!$G$47*'Sollecitazioni nel paramento'!$G$41*IF(DATI!$G$211="dx",DATI!$E$61,DATI!$E$64*DATI!$E$63)*1000*C2026^2*sezione!$AD$5*(1-sezione!$AD$6)</f>
        <v>-7518922.8252096465</v>
      </c>
      <c r="E2026" s="545">
        <f>-'Foglio deposito bis'!$F$78*(C2026-sezione!$AL$35)*IF(ABS(K2026)&lt;'Sollecitazioni nel paramento'!$G$58,ABS(K2026)*'Sollecitazioni nel paramento'!$G$54,'Sollecitazioni nel paramento'!$G$53)</f>
        <v>0</v>
      </c>
      <c r="F2026" s="545">
        <f>-'Foglio deposito bis'!$F$79*(C2026-sezione!$AM$35)*IF(ABS(L2026)&lt;'Sollecitazioni nel paramento'!$G$58,ABS(L2026)*'Sollecitazioni nel paramento'!$G$54,'Sollecitazioni nel paramento'!$G$53)</f>
        <v>6395007.8644796172</v>
      </c>
      <c r="G2026" s="545">
        <f>-'Foglio deposito bis'!$F$80*(C2026-sezione!$AN$35)*IF(ABS(M2026)&lt;'Sollecitazioni nel paramento'!$G$58,ABS(M2026)*'Sollecitazioni nel paramento'!$G$54,'Sollecitazioni nel paramento'!$G$53)</f>
        <v>0</v>
      </c>
      <c r="H2026" s="545">
        <f>-'Foglio deposito bis'!$F$81*(C2026-sezione!$AO$35)*IF(ABS(N2026)&lt;'Sollecitazioni nel paramento'!$G$58,ABS(N2026)*'Sollecitazioni nel paramento'!$G$54,'Sollecitazioni nel paramento'!$G$53)</f>
        <v>56405791.592852198</v>
      </c>
      <c r="I2026" s="472">
        <f>-'Foglio deposito bis'!$F$82*(C2026-sezione!$AP$35)*IF(ABS(O2026)&lt;'Sollecitazioni nel paramento'!$G$58,ABS(O2026)*'Sollecitazioni nel paramento'!$G$54,'Sollecitazioni nel paramento'!$G$53)</f>
        <v>603283757.69664645</v>
      </c>
      <c r="J2026" s="472">
        <f t="shared" si="140"/>
        <v>658565634.32876861</v>
      </c>
      <c r="K2026" s="550">
        <f>'Sollecitazioni nel paramento'!$G$60*(sezione!$AL$35-C2026)/C2026</f>
        <v>4.1155633400427943E-3</v>
      </c>
      <c r="L2026" s="550">
        <f>'Sollecitazioni nel paramento'!$G$60*(sezione!$AM$35-C2026)/C2026</f>
        <v>7.9233450100641926E-3</v>
      </c>
      <c r="M2026" s="551">
        <f>'Sollecitazioni nel paramento'!$G$60*(sezione!$AN$35-C2026)/C2026</f>
        <v>1.1731126680085588E-2</v>
      </c>
      <c r="N2026" s="551">
        <f>'Sollecitazioni nel paramento'!$G$60*(sezione!$AO$35-C2026)/C2026</f>
        <v>2.6962253360171173E-2</v>
      </c>
      <c r="O2026" s="551">
        <f>'Sollecitazioni nel paramento'!$G$60*(sezione!$AP$35-C2026)/C2026</f>
        <v>0.12869524747076785</v>
      </c>
      <c r="P2026" s="545">
        <f>-'Sollecitazioni nel paramento'!$G$47*'Sollecitazioni nel paramento'!$G$41*IF(DATI!$G$211="dx",DATI!$E$61,DATI!$E$64*DATI!$E$63)*1000*C2026*sezione!$AD$5</f>
        <v>-700352.65440652601</v>
      </c>
      <c r="Q2026" s="545">
        <f>'Foglio deposito bis'!$F$78*IF(ABS(K2026)&lt;'Sollecitazioni nel paramento'!$G$58,ABS(K2026)*'Sollecitazioni nel paramento'!$G$54,'Sollecitazioni nel paramento'!$G$53)*IF(K2026&lt;0,-1,1)</f>
        <v>0</v>
      </c>
      <c r="R2026" s="545">
        <f>'Foglio deposito bis'!$F$79*IF(ABS(L2026)&lt;'Sollecitazioni nel paramento'!$G$58,ABS(L2026)*'Sollecitazioni nel paramento'!$G$54,'Sollecitazioni nel paramento'!$G$53)*IF(L2026&lt;0,-1,1)</f>
        <v>153664.85805602249</v>
      </c>
      <c r="S2026" s="545">
        <f>'Foglio deposito bis'!$F$80*IF(ABS(M2026)&lt;'Sollecitazioni nel paramento'!$G$58,ABS(M2026)*'Sollecitazioni nel paramento'!$G$54,'Sollecitazioni nel paramento'!$G$53)*IF(M2026&lt;0,-1,1)</f>
        <v>0</v>
      </c>
      <c r="T2026" s="545">
        <f>'Foglio deposito bis'!$F$81*IF(ABS(N2026)&lt;'Sollecitazioni nel paramento'!$G$58,ABS(N2026)*'Sollecitazioni nel paramento'!$G$54,'Sollecitazioni nel paramento'!$G$53)*IF(N2026&lt;0,-1,1)</f>
        <v>398299.31208121032</v>
      </c>
      <c r="U2026" s="545">
        <f>'Foglio deposito bis'!$F$82*IF(ABS(O2026)&lt;'Sollecitazioni nel paramento'!$G$58,ABS(O2026)*'Sollecitazioni nel paramento'!$G$54,'Sollecitazioni nel paramento'!$G$53)*IF(O2026&lt;0,-1,1)</f>
        <v>892485.49558937876</v>
      </c>
      <c r="V2026" s="472">
        <f t="shared" si="142"/>
        <v>744097.0113200855</v>
      </c>
      <c r="W2026" s="551"/>
      <c r="X2026" s="551"/>
    </row>
    <row r="2027" spans="1:24" x14ac:dyDescent="0.25">
      <c r="A2027" s="545">
        <f t="shared" si="141"/>
        <v>725168.56120099034</v>
      </c>
      <c r="B2027" s="3">
        <f t="shared" si="143"/>
        <v>1.900000000000001</v>
      </c>
      <c r="C2027" s="545">
        <f>'Foglio deposito bis'!$E$161/sezione!$B$247*B2027</f>
        <v>18.880255781967648</v>
      </c>
      <c r="D2027" s="603">
        <f>-'Sollecitazioni nel paramento'!$G$47*'Sollecitazioni nel paramento'!$G$41*IF(DATI!$G$211="dx",DATI!$E$61,DATI!$E$64*DATI!$E$63)*1000*C2027^2*sezione!$AD$5*(1-sezione!$AD$6)</f>
        <v>-7930843.3598266859</v>
      </c>
      <c r="E2027" s="545">
        <f>-'Foglio deposito bis'!$F$78*(C2027-sezione!$AL$35)*IF(ABS(K2027)&lt;'Sollecitazioni nel paramento'!$G$58,ABS(K2027)*'Sollecitazioni nel paramento'!$G$54,'Sollecitazioni nel paramento'!$G$53)</f>
        <v>0</v>
      </c>
      <c r="F2027" s="545">
        <f>-'Foglio deposito bis'!$F$79*(C2027-sezione!$AM$35)*IF(ABS(L2027)&lt;'Sollecitazioni nel paramento'!$G$58,ABS(L2027)*'Sollecitazioni nel paramento'!$G$54,'Sollecitazioni nel paramento'!$G$53)</f>
        <v>6318659.6585638933</v>
      </c>
      <c r="G2027" s="545">
        <f>-'Foglio deposito bis'!$F$80*(C2027-sezione!$AN$35)*IF(ABS(M2027)&lt;'Sollecitazioni nel paramento'!$G$58,ABS(M2027)*'Sollecitazioni nel paramento'!$G$54,'Sollecitazioni nel paramento'!$G$53)</f>
        <v>0</v>
      </c>
      <c r="H2027" s="545">
        <f>-'Foglio deposito bis'!$F$81*(C2027-sezione!$AO$35)*IF(ABS(N2027)&lt;'Sollecitazioni nel paramento'!$G$58,ABS(N2027)*'Sollecitazioni nel paramento'!$G$54,'Sollecitazioni nel paramento'!$G$53)</f>
        <v>56207897.043118633</v>
      </c>
      <c r="I2027" s="472">
        <f>-'Foglio deposito bis'!$F$82*(C2027-sezione!$AP$35)*IF(ABS(O2027)&lt;'Sollecitazioni nel paramento'!$G$58,ABS(O2027)*'Sollecitazioni nel paramento'!$G$54,'Sollecitazioni nel paramento'!$G$53)</f>
        <v>602840327.31668782</v>
      </c>
      <c r="J2027" s="472">
        <f t="shared" si="140"/>
        <v>657436040.65854371</v>
      </c>
      <c r="K2027" s="550">
        <f>'Sollecitazioni nel paramento'!$G$60*(sezione!$AL$35-C2027)/C2027</f>
        <v>3.915153778462719E-3</v>
      </c>
      <c r="L2027" s="550">
        <f>'Sollecitazioni nel paramento'!$G$60*(sezione!$AM$35-C2027)/C2027</f>
        <v>7.6227306676940783E-3</v>
      </c>
      <c r="M2027" s="551">
        <f>'Sollecitazioni nel paramento'!$G$60*(sezione!$AN$35-C2027)/C2027</f>
        <v>1.1330307556925438E-2</v>
      </c>
      <c r="N2027" s="551">
        <f>'Sollecitazioni nel paramento'!$G$60*(sezione!$AO$35-C2027)/C2027</f>
        <v>2.6160615113850871E-2</v>
      </c>
      <c r="O2027" s="551">
        <f>'Sollecitazioni nel paramento'!$G$60*(sezione!$AP$35-C2027)/C2027</f>
        <v>0.12521642516890552</v>
      </c>
      <c r="P2027" s="545">
        <f>-'Sollecitazioni nel paramento'!$G$47*'Sollecitazioni nel paramento'!$G$41*IF(DATI!$G$211="dx",DATI!$E$61,DATI!$E$64*DATI!$E$63)*1000*C2027*sezione!$AD$5</f>
        <v>-719281.10452562128</v>
      </c>
      <c r="Q2027" s="545">
        <f>'Foglio deposito bis'!$F$78*IF(ABS(K2027)&lt;'Sollecitazioni nel paramento'!$G$58,ABS(K2027)*'Sollecitazioni nel paramento'!$G$54,'Sollecitazioni nel paramento'!$G$53)*IF(K2027&lt;0,-1,1)</f>
        <v>0</v>
      </c>
      <c r="R2027" s="545">
        <f>'Foglio deposito bis'!$F$79*IF(ABS(L2027)&lt;'Sollecitazioni nel paramento'!$G$58,ABS(L2027)*'Sollecitazioni nel paramento'!$G$54,'Sollecitazioni nel paramento'!$G$53)*IF(L2027&lt;0,-1,1)</f>
        <v>153664.85805602249</v>
      </c>
      <c r="S2027" s="545">
        <f>'Foglio deposito bis'!$F$80*IF(ABS(M2027)&lt;'Sollecitazioni nel paramento'!$G$58,ABS(M2027)*'Sollecitazioni nel paramento'!$G$54,'Sollecitazioni nel paramento'!$G$53)*IF(M2027&lt;0,-1,1)</f>
        <v>0</v>
      </c>
      <c r="T2027" s="545">
        <f>'Foglio deposito bis'!$F$81*IF(ABS(N2027)&lt;'Sollecitazioni nel paramento'!$G$58,ABS(N2027)*'Sollecitazioni nel paramento'!$G$54,'Sollecitazioni nel paramento'!$G$53)*IF(N2027&lt;0,-1,1)</f>
        <v>398299.31208121032</v>
      </c>
      <c r="U2027" s="545">
        <f>'Foglio deposito bis'!$F$82*IF(ABS(O2027)&lt;'Sollecitazioni nel paramento'!$G$58,ABS(O2027)*'Sollecitazioni nel paramento'!$G$54,'Sollecitazioni nel paramento'!$G$53)*IF(O2027&lt;0,-1,1)</f>
        <v>892485.49558937876</v>
      </c>
      <c r="V2027" s="472">
        <f t="shared" si="142"/>
        <v>725168.56120099034</v>
      </c>
      <c r="W2027" s="551"/>
      <c r="X2027" s="551"/>
    </row>
    <row r="2028" spans="1:24" x14ac:dyDescent="0.25">
      <c r="A2028" s="545">
        <f t="shared" si="141"/>
        <v>706240.11108189495</v>
      </c>
      <c r="B2028" s="3">
        <f t="shared" si="143"/>
        <v>1.9500000000000011</v>
      </c>
      <c r="C2028" s="545">
        <f>'Foglio deposito bis'!$E$161/sezione!$B$247*B2028</f>
        <v>19.377104618335217</v>
      </c>
      <c r="D2028" s="603">
        <f>-'Sollecitazioni nel paramento'!$G$47*'Sollecitazioni nel paramento'!$G$41*IF(DATI!$G$211="dx",DATI!$E$61,DATI!$E$64*DATI!$E$63)*1000*C2028^2*sezione!$AD$5*(1-sezione!$AD$6)</f>
        <v>-8353748.4420335079</v>
      </c>
      <c r="E2028" s="545">
        <f>-'Foglio deposito bis'!$F$78*(C2028-sezione!$AL$35)*IF(ABS(K2028)&lt;'Sollecitazioni nel paramento'!$G$58,ABS(K2028)*'Sollecitazioni nel paramento'!$G$54,'Sollecitazioni nel paramento'!$G$53)</f>
        <v>0</v>
      </c>
      <c r="F2028" s="545">
        <f>-'Foglio deposito bis'!$F$79*(C2028-sezione!$AM$35)*IF(ABS(L2028)&lt;'Sollecitazioni nel paramento'!$G$58,ABS(L2028)*'Sollecitazioni nel paramento'!$G$54,'Sollecitazioni nel paramento'!$G$53)</f>
        <v>6242311.4526481703</v>
      </c>
      <c r="G2028" s="545">
        <f>-'Foglio deposito bis'!$F$80*(C2028-sezione!$AN$35)*IF(ABS(M2028)&lt;'Sollecitazioni nel paramento'!$G$58,ABS(M2028)*'Sollecitazioni nel paramento'!$G$54,'Sollecitazioni nel paramento'!$G$53)</f>
        <v>0</v>
      </c>
      <c r="H2028" s="545">
        <f>-'Foglio deposito bis'!$F$81*(C2028-sezione!$AO$35)*IF(ABS(N2028)&lt;'Sollecitazioni nel paramento'!$G$58,ABS(N2028)*'Sollecitazioni nel paramento'!$G$54,'Sollecitazioni nel paramento'!$G$53)</f>
        <v>56010002.493385091</v>
      </c>
      <c r="I2028" s="472">
        <f>-'Foglio deposito bis'!$F$82*(C2028-sezione!$AP$35)*IF(ABS(O2028)&lt;'Sollecitazioni nel paramento'!$G$58,ABS(O2028)*'Sollecitazioni nel paramento'!$G$54,'Sollecitazioni nel paramento'!$G$53)</f>
        <v>602396896.93672931</v>
      </c>
      <c r="J2028" s="472">
        <f t="shared" si="140"/>
        <v>656295462.44072902</v>
      </c>
      <c r="K2028" s="550">
        <f>'Sollecitazioni nel paramento'!$G$60*(sezione!$AL$35-C2028)/C2028</f>
        <v>3.7250216302970088E-3</v>
      </c>
      <c r="L2028" s="550">
        <f>'Sollecitazioni nel paramento'!$G$60*(sezione!$AM$35-C2028)/C2028</f>
        <v>7.3375324454455137E-3</v>
      </c>
      <c r="M2028" s="551">
        <f>'Sollecitazioni nel paramento'!$G$60*(sezione!$AN$35-C2028)/C2028</f>
        <v>1.0950043260594016E-2</v>
      </c>
      <c r="N2028" s="551">
        <f>'Sollecitazioni nel paramento'!$G$60*(sezione!$AO$35-C2028)/C2028</f>
        <v>2.5400086521188036E-2</v>
      </c>
      <c r="O2028" s="551">
        <f>'Sollecitazioni nel paramento'!$G$60*(sezione!$AP$35-C2028)/C2028</f>
        <v>0.12191600401072845</v>
      </c>
      <c r="P2028" s="545">
        <f>-'Sollecitazioni nel paramento'!$G$47*'Sollecitazioni nel paramento'!$G$41*IF(DATI!$G$211="dx",DATI!$E$61,DATI!$E$64*DATI!$E$63)*1000*C2028*sezione!$AD$5</f>
        <v>-738209.55464471655</v>
      </c>
      <c r="Q2028" s="545">
        <f>'Foglio deposito bis'!$F$78*IF(ABS(K2028)&lt;'Sollecitazioni nel paramento'!$G$58,ABS(K2028)*'Sollecitazioni nel paramento'!$G$54,'Sollecitazioni nel paramento'!$G$53)*IF(K2028&lt;0,-1,1)</f>
        <v>0</v>
      </c>
      <c r="R2028" s="545">
        <f>'Foglio deposito bis'!$F$79*IF(ABS(L2028)&lt;'Sollecitazioni nel paramento'!$G$58,ABS(L2028)*'Sollecitazioni nel paramento'!$G$54,'Sollecitazioni nel paramento'!$G$53)*IF(L2028&lt;0,-1,1)</f>
        <v>153664.85805602249</v>
      </c>
      <c r="S2028" s="545">
        <f>'Foglio deposito bis'!$F$80*IF(ABS(M2028)&lt;'Sollecitazioni nel paramento'!$G$58,ABS(M2028)*'Sollecitazioni nel paramento'!$G$54,'Sollecitazioni nel paramento'!$G$53)*IF(M2028&lt;0,-1,1)</f>
        <v>0</v>
      </c>
      <c r="T2028" s="545">
        <f>'Foglio deposito bis'!$F$81*IF(ABS(N2028)&lt;'Sollecitazioni nel paramento'!$G$58,ABS(N2028)*'Sollecitazioni nel paramento'!$G$54,'Sollecitazioni nel paramento'!$G$53)*IF(N2028&lt;0,-1,1)</f>
        <v>398299.31208121032</v>
      </c>
      <c r="U2028" s="545">
        <f>'Foglio deposito bis'!$F$82*IF(ABS(O2028)&lt;'Sollecitazioni nel paramento'!$G$58,ABS(O2028)*'Sollecitazioni nel paramento'!$G$54,'Sollecitazioni nel paramento'!$G$53)*IF(O2028&lt;0,-1,1)</f>
        <v>892485.49558937876</v>
      </c>
      <c r="V2028" s="472">
        <f t="shared" si="142"/>
        <v>706240.11108189495</v>
      </c>
      <c r="W2028" s="551"/>
      <c r="X2028" s="551"/>
    </row>
    <row r="2029" spans="1:24" x14ac:dyDescent="0.25">
      <c r="A2029" s="545">
        <f t="shared" si="141"/>
        <v>687311.6609627998</v>
      </c>
      <c r="B2029" s="3">
        <f t="shared" si="143"/>
        <v>2.0000000000000009</v>
      </c>
      <c r="C2029" s="545">
        <f>'Foglio deposito bis'!$E$161/sezione!$B$247*B2029</f>
        <v>19.873953454702782</v>
      </c>
      <c r="D2029" s="603">
        <f>-'Sollecitazioni nel paramento'!$G$47*'Sollecitazioni nel paramento'!$G$41*IF(DATI!$G$211="dx",DATI!$E$61,DATI!$E$64*DATI!$E$63)*1000*C2029^2*sezione!$AD$5*(1-sezione!$AD$6)</f>
        <v>-8787638.0718301181</v>
      </c>
      <c r="E2029" s="545">
        <f>-'Foglio deposito bis'!$F$78*(C2029-sezione!$AL$35)*IF(ABS(K2029)&lt;'Sollecitazioni nel paramento'!$G$58,ABS(K2029)*'Sollecitazioni nel paramento'!$G$54,'Sollecitazioni nel paramento'!$G$53)</f>
        <v>0</v>
      </c>
      <c r="F2029" s="545">
        <f>-'Foglio deposito bis'!$F$79*(C2029-sezione!$AM$35)*IF(ABS(L2029)&lt;'Sollecitazioni nel paramento'!$G$58,ABS(L2029)*'Sollecitazioni nel paramento'!$G$54,'Sollecitazioni nel paramento'!$G$53)</f>
        <v>6165963.2467324482</v>
      </c>
      <c r="G2029" s="545">
        <f>-'Foglio deposito bis'!$F$80*(C2029-sezione!$AN$35)*IF(ABS(M2029)&lt;'Sollecitazioni nel paramento'!$G$58,ABS(M2029)*'Sollecitazioni nel paramento'!$G$54,'Sollecitazioni nel paramento'!$G$53)</f>
        <v>0</v>
      </c>
      <c r="H2029" s="545">
        <f>-'Foglio deposito bis'!$F$81*(C2029-sezione!$AO$35)*IF(ABS(N2029)&lt;'Sollecitazioni nel paramento'!$G$58,ABS(N2029)*'Sollecitazioni nel paramento'!$G$54,'Sollecitazioni nel paramento'!$G$53)</f>
        <v>55812107.943651535</v>
      </c>
      <c r="I2029" s="472">
        <f>-'Foglio deposito bis'!$F$82*(C2029-sezione!$AP$35)*IF(ABS(O2029)&lt;'Sollecitazioni nel paramento'!$G$58,ABS(O2029)*'Sollecitazioni nel paramento'!$G$54,'Sollecitazioni nel paramento'!$G$53)</f>
        <v>601953466.55677092</v>
      </c>
      <c r="J2029" s="472">
        <f t="shared" si="140"/>
        <v>655143899.6753248</v>
      </c>
      <c r="K2029" s="550">
        <f>'Sollecitazioni nel paramento'!$G$60*(sezione!$AL$35-C2029)/C2029</f>
        <v>3.5443960895395845E-3</v>
      </c>
      <c r="L2029" s="550">
        <f>'Sollecitazioni nel paramento'!$G$60*(sezione!$AM$35-C2029)/C2029</f>
        <v>7.0665941343093768E-3</v>
      </c>
      <c r="M2029" s="551">
        <f>'Sollecitazioni nel paramento'!$G$60*(sezione!$AN$35-C2029)/C2029</f>
        <v>1.058879217907917E-2</v>
      </c>
      <c r="N2029" s="551">
        <f>'Sollecitazioni nel paramento'!$G$60*(sezione!$AO$35-C2029)/C2029</f>
        <v>2.4677584358158339E-2</v>
      </c>
      <c r="O2029" s="551">
        <f>'Sollecitazioni nel paramento'!$G$60*(sezione!$AP$35-C2029)/C2029</f>
        <v>0.11878060391046029</v>
      </c>
      <c r="P2029" s="545">
        <f>-'Sollecitazioni nel paramento'!$G$47*'Sollecitazioni nel paramento'!$G$41*IF(DATI!$G$211="dx",DATI!$E$61,DATI!$E$64*DATI!$E$63)*1000*C2029*sezione!$AD$5</f>
        <v>-757138.00476381171</v>
      </c>
      <c r="Q2029" s="545">
        <f>'Foglio deposito bis'!$F$78*IF(ABS(K2029)&lt;'Sollecitazioni nel paramento'!$G$58,ABS(K2029)*'Sollecitazioni nel paramento'!$G$54,'Sollecitazioni nel paramento'!$G$53)*IF(K2029&lt;0,-1,1)</f>
        <v>0</v>
      </c>
      <c r="R2029" s="545">
        <f>'Foglio deposito bis'!$F$79*IF(ABS(L2029)&lt;'Sollecitazioni nel paramento'!$G$58,ABS(L2029)*'Sollecitazioni nel paramento'!$G$54,'Sollecitazioni nel paramento'!$G$53)*IF(L2029&lt;0,-1,1)</f>
        <v>153664.85805602249</v>
      </c>
      <c r="S2029" s="545">
        <f>'Foglio deposito bis'!$F$80*IF(ABS(M2029)&lt;'Sollecitazioni nel paramento'!$G$58,ABS(M2029)*'Sollecitazioni nel paramento'!$G$54,'Sollecitazioni nel paramento'!$G$53)*IF(M2029&lt;0,-1,1)</f>
        <v>0</v>
      </c>
      <c r="T2029" s="545">
        <f>'Foglio deposito bis'!$F$81*IF(ABS(N2029)&lt;'Sollecitazioni nel paramento'!$G$58,ABS(N2029)*'Sollecitazioni nel paramento'!$G$54,'Sollecitazioni nel paramento'!$G$53)*IF(N2029&lt;0,-1,1)</f>
        <v>398299.31208121032</v>
      </c>
      <c r="U2029" s="545">
        <f>'Foglio deposito bis'!$F$82*IF(ABS(O2029)&lt;'Sollecitazioni nel paramento'!$G$58,ABS(O2029)*'Sollecitazioni nel paramento'!$G$54,'Sollecitazioni nel paramento'!$G$53)*IF(O2029&lt;0,-1,1)</f>
        <v>892485.49558937876</v>
      </c>
      <c r="V2029" s="472">
        <f t="shared" si="142"/>
        <v>687311.6609627998</v>
      </c>
      <c r="W2029" s="551"/>
      <c r="X2029" s="551"/>
    </row>
    <row r="2030" spans="1:24" x14ac:dyDescent="0.25">
      <c r="A2030" s="545">
        <f t="shared" si="141"/>
        <v>668383.21084370464</v>
      </c>
      <c r="B2030" s="3">
        <f t="shared" si="143"/>
        <v>2.0500000000000007</v>
      </c>
      <c r="C2030" s="545">
        <f>'Foglio deposito bis'!$E$161/sezione!$B$247*B2030</f>
        <v>20.370802291070351</v>
      </c>
      <c r="D2030" s="603">
        <f>-'Sollecitazioni nel paramento'!$G$47*'Sollecitazioni nel paramento'!$G$41*IF(DATI!$G$211="dx",DATI!$E$61,DATI!$E$64*DATI!$E$63)*1000*C2030^2*sezione!$AD$5*(1-sezione!$AD$6)</f>
        <v>-9232512.2492165156</v>
      </c>
      <c r="E2030" s="545">
        <f>-'Foglio deposito bis'!$F$78*(C2030-sezione!$AL$35)*IF(ABS(K2030)&lt;'Sollecitazioni nel paramento'!$G$58,ABS(K2030)*'Sollecitazioni nel paramento'!$G$54,'Sollecitazioni nel paramento'!$G$53)</f>
        <v>0</v>
      </c>
      <c r="F2030" s="545">
        <f>-'Foglio deposito bis'!$F$79*(C2030-sezione!$AM$35)*IF(ABS(L2030)&lt;'Sollecitazioni nel paramento'!$G$58,ABS(L2030)*'Sollecitazioni nel paramento'!$G$54,'Sollecitazioni nel paramento'!$G$53)</f>
        <v>6089615.0408167271</v>
      </c>
      <c r="G2030" s="545">
        <f>-'Foglio deposito bis'!$F$80*(C2030-sezione!$AN$35)*IF(ABS(M2030)&lt;'Sollecitazioni nel paramento'!$G$58,ABS(M2030)*'Sollecitazioni nel paramento'!$G$54,'Sollecitazioni nel paramento'!$G$53)</f>
        <v>0</v>
      </c>
      <c r="H2030" s="545">
        <f>-'Foglio deposito bis'!$F$81*(C2030-sezione!$AO$35)*IF(ABS(N2030)&lt;'Sollecitazioni nel paramento'!$G$58,ABS(N2030)*'Sollecitazioni nel paramento'!$G$54,'Sollecitazioni nel paramento'!$G$53)</f>
        <v>55614213.393917978</v>
      </c>
      <c r="I2030" s="472">
        <f>-'Foglio deposito bis'!$F$82*(C2030-sezione!$AP$35)*IF(ABS(O2030)&lt;'Sollecitazioni nel paramento'!$G$58,ABS(O2030)*'Sollecitazioni nel paramento'!$G$54,'Sollecitazioni nel paramento'!$G$53)</f>
        <v>601510036.17681229</v>
      </c>
      <c r="J2030" s="472">
        <f t="shared" si="140"/>
        <v>653981352.36233044</v>
      </c>
      <c r="K2030" s="550">
        <f>'Sollecitazioni nel paramento'!$G$60*(sezione!$AL$35-C2030)/C2030</f>
        <v>3.3725815507703268E-3</v>
      </c>
      <c r="L2030" s="550">
        <f>'Sollecitazioni nel paramento'!$G$60*(sezione!$AM$35-C2030)/C2030</f>
        <v>6.8088723261554903E-3</v>
      </c>
      <c r="M2030" s="551">
        <f>'Sollecitazioni nel paramento'!$G$60*(sezione!$AN$35-C2030)/C2030</f>
        <v>1.0245163101540654E-2</v>
      </c>
      <c r="N2030" s="551">
        <f>'Sollecitazioni nel paramento'!$G$60*(sezione!$AO$35-C2030)/C2030</f>
        <v>2.3990326203081305E-2</v>
      </c>
      <c r="O2030" s="551">
        <f>'Sollecitazioni nel paramento'!$G$60*(sezione!$AP$35-C2030)/C2030</f>
        <v>0.11579815015654663</v>
      </c>
      <c r="P2030" s="545">
        <f>-'Sollecitazioni nel paramento'!$G$47*'Sollecitazioni nel paramento'!$G$41*IF(DATI!$G$211="dx",DATI!$E$61,DATI!$E$64*DATI!$E$63)*1000*C2030*sezione!$AD$5</f>
        <v>-776066.45488290698</v>
      </c>
      <c r="Q2030" s="545">
        <f>'Foglio deposito bis'!$F$78*IF(ABS(K2030)&lt;'Sollecitazioni nel paramento'!$G$58,ABS(K2030)*'Sollecitazioni nel paramento'!$G$54,'Sollecitazioni nel paramento'!$G$53)*IF(K2030&lt;0,-1,1)</f>
        <v>0</v>
      </c>
      <c r="R2030" s="545">
        <f>'Foglio deposito bis'!$F$79*IF(ABS(L2030)&lt;'Sollecitazioni nel paramento'!$G$58,ABS(L2030)*'Sollecitazioni nel paramento'!$G$54,'Sollecitazioni nel paramento'!$G$53)*IF(L2030&lt;0,-1,1)</f>
        <v>153664.85805602249</v>
      </c>
      <c r="S2030" s="545">
        <f>'Foglio deposito bis'!$F$80*IF(ABS(M2030)&lt;'Sollecitazioni nel paramento'!$G$58,ABS(M2030)*'Sollecitazioni nel paramento'!$G$54,'Sollecitazioni nel paramento'!$G$53)*IF(M2030&lt;0,-1,1)</f>
        <v>0</v>
      </c>
      <c r="T2030" s="545">
        <f>'Foglio deposito bis'!$F$81*IF(ABS(N2030)&lt;'Sollecitazioni nel paramento'!$G$58,ABS(N2030)*'Sollecitazioni nel paramento'!$G$54,'Sollecitazioni nel paramento'!$G$53)*IF(N2030&lt;0,-1,1)</f>
        <v>398299.31208121032</v>
      </c>
      <c r="U2030" s="545">
        <f>'Foglio deposito bis'!$F$82*IF(ABS(O2030)&lt;'Sollecitazioni nel paramento'!$G$58,ABS(O2030)*'Sollecitazioni nel paramento'!$G$54,'Sollecitazioni nel paramento'!$G$53)*IF(O2030&lt;0,-1,1)</f>
        <v>892485.49558937876</v>
      </c>
      <c r="V2030" s="472">
        <f t="shared" si="142"/>
        <v>668383.21084370464</v>
      </c>
      <c r="W2030" s="551"/>
      <c r="X2030" s="551"/>
    </row>
    <row r="2031" spans="1:24" x14ac:dyDescent="0.25">
      <c r="A2031" s="545">
        <f t="shared" si="141"/>
        <v>649454.76072460925</v>
      </c>
      <c r="B2031" s="3">
        <f t="shared" si="143"/>
        <v>2.1000000000000005</v>
      </c>
      <c r="C2031" s="545">
        <f>'Foglio deposito bis'!$E$161/sezione!$B$247*B2031</f>
        <v>20.86765112743792</v>
      </c>
      <c r="D2031" s="603">
        <f>-'Sollecitazioni nel paramento'!$G$47*'Sollecitazioni nel paramento'!$G$41*IF(DATI!$G$211="dx",DATI!$E$61,DATI!$E$64*DATI!$E$63)*1000*C2031^2*sezione!$AD$5*(1-sezione!$AD$6)</f>
        <v>-9688370.9741927031</v>
      </c>
      <c r="E2031" s="545">
        <f>-'Foglio deposito bis'!$F$78*(C2031-sezione!$AL$35)*IF(ABS(K2031)&lt;'Sollecitazioni nel paramento'!$G$58,ABS(K2031)*'Sollecitazioni nel paramento'!$G$54,'Sollecitazioni nel paramento'!$G$53)</f>
        <v>0</v>
      </c>
      <c r="F2031" s="545">
        <f>-'Foglio deposito bis'!$F$79*(C2031-sezione!$AM$35)*IF(ABS(L2031)&lt;'Sollecitazioni nel paramento'!$G$58,ABS(L2031)*'Sollecitazioni nel paramento'!$G$54,'Sollecitazioni nel paramento'!$G$53)</f>
        <v>6013266.8349010032</v>
      </c>
      <c r="G2031" s="545">
        <f>-'Foglio deposito bis'!$F$80*(C2031-sezione!$AN$35)*IF(ABS(M2031)&lt;'Sollecitazioni nel paramento'!$G$58,ABS(M2031)*'Sollecitazioni nel paramento'!$G$54,'Sollecitazioni nel paramento'!$G$53)</f>
        <v>0</v>
      </c>
      <c r="H2031" s="545">
        <f>-'Foglio deposito bis'!$F$81*(C2031-sezione!$AO$35)*IF(ABS(N2031)&lt;'Sollecitazioni nel paramento'!$G$58,ABS(N2031)*'Sollecitazioni nel paramento'!$G$54,'Sollecitazioni nel paramento'!$G$53)</f>
        <v>55416318.844184436</v>
      </c>
      <c r="I2031" s="472">
        <f>-'Foglio deposito bis'!$F$82*(C2031-sezione!$AP$35)*IF(ABS(O2031)&lt;'Sollecitazioni nel paramento'!$G$58,ABS(O2031)*'Sollecitazioni nel paramento'!$G$54,'Sollecitazioni nel paramento'!$G$53)</f>
        <v>601066605.79685378</v>
      </c>
      <c r="J2031" s="472">
        <f t="shared" si="140"/>
        <v>652807820.50174654</v>
      </c>
      <c r="K2031" s="550">
        <f>'Sollecitazioni nel paramento'!$G$60*(sezione!$AL$35-C2031)/C2031</f>
        <v>3.2089486567043668E-3</v>
      </c>
      <c r="L2031" s="550">
        <f>'Sollecitazioni nel paramento'!$G$60*(sezione!$AM$35-C2031)/C2031</f>
        <v>6.5634229850565495E-3</v>
      </c>
      <c r="M2031" s="551">
        <f>'Sollecitazioni nel paramento'!$G$60*(sezione!$AN$35-C2031)/C2031</f>
        <v>9.9178973134087332E-3</v>
      </c>
      <c r="N2031" s="551">
        <f>'Sollecitazioni nel paramento'!$G$60*(sezione!$AO$35-C2031)/C2031</f>
        <v>2.3335794626817469E-2</v>
      </c>
      <c r="O2031" s="551">
        <f>'Sollecitazioni nel paramento'!$G$60*(sezione!$AP$35-C2031)/C2031</f>
        <v>0.11295771800996218</v>
      </c>
      <c r="P2031" s="545">
        <f>-'Sollecitazioni nel paramento'!$G$47*'Sollecitazioni nel paramento'!$G$41*IF(DATI!$G$211="dx",DATI!$E$61,DATI!$E$64*DATI!$E$63)*1000*C2031*sezione!$AD$5</f>
        <v>-794994.90500200226</v>
      </c>
      <c r="Q2031" s="545">
        <f>'Foglio deposito bis'!$F$78*IF(ABS(K2031)&lt;'Sollecitazioni nel paramento'!$G$58,ABS(K2031)*'Sollecitazioni nel paramento'!$G$54,'Sollecitazioni nel paramento'!$G$53)*IF(K2031&lt;0,-1,1)</f>
        <v>0</v>
      </c>
      <c r="R2031" s="545">
        <f>'Foglio deposito bis'!$F$79*IF(ABS(L2031)&lt;'Sollecitazioni nel paramento'!$G$58,ABS(L2031)*'Sollecitazioni nel paramento'!$G$54,'Sollecitazioni nel paramento'!$G$53)*IF(L2031&lt;0,-1,1)</f>
        <v>153664.85805602249</v>
      </c>
      <c r="S2031" s="545">
        <f>'Foglio deposito bis'!$F$80*IF(ABS(M2031)&lt;'Sollecitazioni nel paramento'!$G$58,ABS(M2031)*'Sollecitazioni nel paramento'!$G$54,'Sollecitazioni nel paramento'!$G$53)*IF(M2031&lt;0,-1,1)</f>
        <v>0</v>
      </c>
      <c r="T2031" s="545">
        <f>'Foglio deposito bis'!$F$81*IF(ABS(N2031)&lt;'Sollecitazioni nel paramento'!$G$58,ABS(N2031)*'Sollecitazioni nel paramento'!$G$54,'Sollecitazioni nel paramento'!$G$53)*IF(N2031&lt;0,-1,1)</f>
        <v>398299.31208121032</v>
      </c>
      <c r="U2031" s="545">
        <f>'Foglio deposito bis'!$F$82*IF(ABS(O2031)&lt;'Sollecitazioni nel paramento'!$G$58,ABS(O2031)*'Sollecitazioni nel paramento'!$G$54,'Sollecitazioni nel paramento'!$G$53)*IF(O2031&lt;0,-1,1)</f>
        <v>892485.49558937876</v>
      </c>
      <c r="V2031" s="472">
        <f t="shared" si="142"/>
        <v>649454.76072460925</v>
      </c>
      <c r="W2031" s="551"/>
      <c r="X2031" s="551"/>
    </row>
    <row r="2032" spans="1:24" x14ac:dyDescent="0.25">
      <c r="A2032" s="545">
        <f t="shared" si="141"/>
        <v>630526.3106055141</v>
      </c>
      <c r="B2032" s="3">
        <f t="shared" si="143"/>
        <v>2.1500000000000004</v>
      </c>
      <c r="C2032" s="545">
        <f>'Foglio deposito bis'!$E$161/sezione!$B$247*B2032</f>
        <v>21.364499963805486</v>
      </c>
      <c r="D2032" s="603">
        <f>-'Sollecitazioni nel paramento'!$G$47*'Sollecitazioni nel paramento'!$G$41*IF(DATI!$G$211="dx",DATI!$E$61,DATI!$E$64*DATI!$E$63)*1000*C2032^2*sezione!$AD$5*(1-sezione!$AD$6)</f>
        <v>-10155214.246758675</v>
      </c>
      <c r="E2032" s="545">
        <f>-'Foglio deposito bis'!$F$78*(C2032-sezione!$AL$35)*IF(ABS(K2032)&lt;'Sollecitazioni nel paramento'!$G$58,ABS(K2032)*'Sollecitazioni nel paramento'!$G$54,'Sollecitazioni nel paramento'!$G$53)</f>
        <v>0</v>
      </c>
      <c r="F2032" s="545">
        <f>-'Foglio deposito bis'!$F$79*(C2032-sezione!$AM$35)*IF(ABS(L2032)&lt;'Sollecitazioni nel paramento'!$G$58,ABS(L2032)*'Sollecitazioni nel paramento'!$G$54,'Sollecitazioni nel paramento'!$G$53)</f>
        <v>5936918.628985282</v>
      </c>
      <c r="G2032" s="545">
        <f>-'Foglio deposito bis'!$F$80*(C2032-sezione!$AN$35)*IF(ABS(M2032)&lt;'Sollecitazioni nel paramento'!$G$58,ABS(M2032)*'Sollecitazioni nel paramento'!$G$54,'Sollecitazioni nel paramento'!$G$53)</f>
        <v>0</v>
      </c>
      <c r="H2032" s="545">
        <f>-'Foglio deposito bis'!$F$81*(C2032-sezione!$AO$35)*IF(ABS(N2032)&lt;'Sollecitazioni nel paramento'!$G$58,ABS(N2032)*'Sollecitazioni nel paramento'!$G$54,'Sollecitazioni nel paramento'!$G$53)</f>
        <v>55218424.294450887</v>
      </c>
      <c r="I2032" s="472">
        <f>-'Foglio deposito bis'!$F$82*(C2032-sezione!$AP$35)*IF(ABS(O2032)&lt;'Sollecitazioni nel paramento'!$G$58,ABS(O2032)*'Sollecitazioni nel paramento'!$G$54,'Sollecitazioni nel paramento'!$G$53)</f>
        <v>600623175.41689527</v>
      </c>
      <c r="J2032" s="472">
        <f t="shared" si="140"/>
        <v>651623304.09357274</v>
      </c>
      <c r="K2032" s="550">
        <f>'Sollecitazioni nel paramento'!$G$60*(sezione!$AL$35-C2032)/C2032</f>
        <v>3.0529265949205456E-3</v>
      </c>
      <c r="L2032" s="550">
        <f>'Sollecitazioni nel paramento'!$G$60*(sezione!$AM$35-C2032)/C2032</f>
        <v>6.329389892380818E-3</v>
      </c>
      <c r="M2032" s="551">
        <f>'Sollecitazioni nel paramento'!$G$60*(sezione!$AN$35-C2032)/C2032</f>
        <v>9.6058531898410918E-3</v>
      </c>
      <c r="N2032" s="551">
        <f>'Sollecitazioni nel paramento'!$G$60*(sezione!$AO$35-C2032)/C2032</f>
        <v>2.2711706379682183E-2</v>
      </c>
      <c r="O2032" s="551">
        <f>'Sollecitazioni nel paramento'!$G$60*(sezione!$AP$35-C2032)/C2032</f>
        <v>0.11024939898647471</v>
      </c>
      <c r="P2032" s="545">
        <f>-'Sollecitazioni nel paramento'!$G$47*'Sollecitazioni nel paramento'!$G$41*IF(DATI!$G$211="dx",DATI!$E$61,DATI!$E$64*DATI!$E$63)*1000*C2032*sezione!$AD$5</f>
        <v>-813923.35512109741</v>
      </c>
      <c r="Q2032" s="545">
        <f>'Foglio deposito bis'!$F$78*IF(ABS(K2032)&lt;'Sollecitazioni nel paramento'!$G$58,ABS(K2032)*'Sollecitazioni nel paramento'!$G$54,'Sollecitazioni nel paramento'!$G$53)*IF(K2032&lt;0,-1,1)</f>
        <v>0</v>
      </c>
      <c r="R2032" s="545">
        <f>'Foglio deposito bis'!$F$79*IF(ABS(L2032)&lt;'Sollecitazioni nel paramento'!$G$58,ABS(L2032)*'Sollecitazioni nel paramento'!$G$54,'Sollecitazioni nel paramento'!$G$53)*IF(L2032&lt;0,-1,1)</f>
        <v>153664.85805602249</v>
      </c>
      <c r="S2032" s="545">
        <f>'Foglio deposito bis'!$F$80*IF(ABS(M2032)&lt;'Sollecitazioni nel paramento'!$G$58,ABS(M2032)*'Sollecitazioni nel paramento'!$G$54,'Sollecitazioni nel paramento'!$G$53)*IF(M2032&lt;0,-1,1)</f>
        <v>0</v>
      </c>
      <c r="T2032" s="545">
        <f>'Foglio deposito bis'!$F$81*IF(ABS(N2032)&lt;'Sollecitazioni nel paramento'!$G$58,ABS(N2032)*'Sollecitazioni nel paramento'!$G$54,'Sollecitazioni nel paramento'!$G$53)*IF(N2032&lt;0,-1,1)</f>
        <v>398299.31208121032</v>
      </c>
      <c r="U2032" s="545">
        <f>'Foglio deposito bis'!$F$82*IF(ABS(O2032)&lt;'Sollecitazioni nel paramento'!$G$58,ABS(O2032)*'Sollecitazioni nel paramento'!$G$54,'Sollecitazioni nel paramento'!$G$53)*IF(O2032&lt;0,-1,1)</f>
        <v>892485.49558937876</v>
      </c>
      <c r="V2032" s="472">
        <f t="shared" si="142"/>
        <v>630526.3106055141</v>
      </c>
      <c r="W2032" s="551"/>
      <c r="X2032" s="551"/>
    </row>
    <row r="2033" spans="1:24" x14ac:dyDescent="0.25">
      <c r="A2033" s="545">
        <f t="shared" si="141"/>
        <v>611597.86048641894</v>
      </c>
      <c r="B2033" s="3">
        <f t="shared" si="143"/>
        <v>2.2000000000000002</v>
      </c>
      <c r="C2033" s="545">
        <f>'Foglio deposito bis'!$E$161/sezione!$B$247*B2033</f>
        <v>21.861348800173054</v>
      </c>
      <c r="D2033" s="603">
        <f>-'Sollecitazioni nel paramento'!$G$47*'Sollecitazioni nel paramento'!$G$41*IF(DATI!$G$211="dx",DATI!$E$61,DATI!$E$64*DATI!$E$63)*1000*C2033^2*sezione!$AD$5*(1-sezione!$AD$6)</f>
        <v>-10633042.066914437</v>
      </c>
      <c r="E2033" s="545">
        <f>-'Foglio deposito bis'!$F$78*(C2033-sezione!$AL$35)*IF(ABS(K2033)&lt;'Sollecitazioni nel paramento'!$G$58,ABS(K2033)*'Sollecitazioni nel paramento'!$G$54,'Sollecitazioni nel paramento'!$G$53)</f>
        <v>0</v>
      </c>
      <c r="F2033" s="545">
        <f>-'Foglio deposito bis'!$F$79*(C2033-sezione!$AM$35)*IF(ABS(L2033)&lt;'Sollecitazioni nel paramento'!$G$58,ABS(L2033)*'Sollecitazioni nel paramento'!$G$54,'Sollecitazioni nel paramento'!$G$53)</f>
        <v>5860570.42306956</v>
      </c>
      <c r="G2033" s="545">
        <f>-'Foglio deposito bis'!$F$80*(C2033-sezione!$AN$35)*IF(ABS(M2033)&lt;'Sollecitazioni nel paramento'!$G$58,ABS(M2033)*'Sollecitazioni nel paramento'!$G$54,'Sollecitazioni nel paramento'!$G$53)</f>
        <v>0</v>
      </c>
      <c r="H2033" s="545">
        <f>-'Foglio deposito bis'!$F$81*(C2033-sezione!$AO$35)*IF(ABS(N2033)&lt;'Sollecitazioni nel paramento'!$G$58,ABS(N2033)*'Sollecitazioni nel paramento'!$G$54,'Sollecitazioni nel paramento'!$G$53)</f>
        <v>55020529.74471733</v>
      </c>
      <c r="I2033" s="472">
        <f>-'Foglio deposito bis'!$F$82*(C2033-sezione!$AP$35)*IF(ABS(O2033)&lt;'Sollecitazioni nel paramento'!$G$58,ABS(O2033)*'Sollecitazioni nel paramento'!$G$54,'Sollecitazioni nel paramento'!$G$53)</f>
        <v>600179745.03693688</v>
      </c>
      <c r="J2033" s="472">
        <f t="shared" si="140"/>
        <v>650427803.13780928</v>
      </c>
      <c r="K2033" s="550">
        <f>'Sollecitazioni nel paramento'!$G$60*(sezione!$AL$35-C2033)/C2033</f>
        <v>2.9039964450359879E-3</v>
      </c>
      <c r="L2033" s="550">
        <f>'Sollecitazioni nel paramento'!$G$60*(sezione!$AM$35-C2033)/C2033</f>
        <v>6.1059946675539826E-3</v>
      </c>
      <c r="M2033" s="551">
        <f>'Sollecitazioni nel paramento'!$G$60*(sezione!$AN$35-C2033)/C2033</f>
        <v>9.3079928900719772E-3</v>
      </c>
      <c r="N2033" s="551">
        <f>'Sollecitazioni nel paramento'!$G$60*(sezione!$AO$35-C2033)/C2033</f>
        <v>2.2115985780143951E-2</v>
      </c>
      <c r="O2033" s="551">
        <f>'Sollecitazioni nel paramento'!$G$60*(sezione!$AP$35-C2033)/C2033</f>
        <v>0.10766418537314575</v>
      </c>
      <c r="P2033" s="545">
        <f>-'Sollecitazioni nel paramento'!$G$47*'Sollecitazioni nel paramento'!$G$41*IF(DATI!$G$211="dx",DATI!$E$61,DATI!$E$64*DATI!$E$63)*1000*C2033*sezione!$AD$5</f>
        <v>-832851.80524019268</v>
      </c>
      <c r="Q2033" s="545">
        <f>'Foglio deposito bis'!$F$78*IF(ABS(K2033)&lt;'Sollecitazioni nel paramento'!$G$58,ABS(K2033)*'Sollecitazioni nel paramento'!$G$54,'Sollecitazioni nel paramento'!$G$53)*IF(K2033&lt;0,-1,1)</f>
        <v>0</v>
      </c>
      <c r="R2033" s="545">
        <f>'Foglio deposito bis'!$F$79*IF(ABS(L2033)&lt;'Sollecitazioni nel paramento'!$G$58,ABS(L2033)*'Sollecitazioni nel paramento'!$G$54,'Sollecitazioni nel paramento'!$G$53)*IF(L2033&lt;0,-1,1)</f>
        <v>153664.85805602249</v>
      </c>
      <c r="S2033" s="545">
        <f>'Foglio deposito bis'!$F$80*IF(ABS(M2033)&lt;'Sollecitazioni nel paramento'!$G$58,ABS(M2033)*'Sollecitazioni nel paramento'!$G$54,'Sollecitazioni nel paramento'!$G$53)*IF(M2033&lt;0,-1,1)</f>
        <v>0</v>
      </c>
      <c r="T2033" s="545">
        <f>'Foglio deposito bis'!$F$81*IF(ABS(N2033)&lt;'Sollecitazioni nel paramento'!$G$58,ABS(N2033)*'Sollecitazioni nel paramento'!$G$54,'Sollecitazioni nel paramento'!$G$53)*IF(N2033&lt;0,-1,1)</f>
        <v>398299.31208121032</v>
      </c>
      <c r="U2033" s="545">
        <f>'Foglio deposito bis'!$F$82*IF(ABS(O2033)&lt;'Sollecitazioni nel paramento'!$G$58,ABS(O2033)*'Sollecitazioni nel paramento'!$G$54,'Sollecitazioni nel paramento'!$G$53)*IF(O2033&lt;0,-1,1)</f>
        <v>892485.49558937876</v>
      </c>
      <c r="V2033" s="472">
        <f t="shared" si="142"/>
        <v>611597.86048641894</v>
      </c>
      <c r="W2033" s="551"/>
      <c r="X2033" s="551"/>
    </row>
    <row r="2034" spans="1:24" x14ac:dyDescent="0.25">
      <c r="A2034" s="545">
        <f t="shared" si="141"/>
        <v>592669.41036732355</v>
      </c>
      <c r="B2034" s="3">
        <f t="shared" si="143"/>
        <v>2.25</v>
      </c>
      <c r="C2034" s="545">
        <f>'Foglio deposito bis'!$E$161/sezione!$B$247*B2034</f>
        <v>22.358197636540623</v>
      </c>
      <c r="D2034" s="603">
        <f>-'Sollecitazioni nel paramento'!$G$47*'Sollecitazioni nel paramento'!$G$41*IF(DATI!$G$211="dx",DATI!$E$61,DATI!$E$64*DATI!$E$63)*1000*C2034^2*sezione!$AD$5*(1-sezione!$AD$6)</f>
        <v>-11121854.434659986</v>
      </c>
      <c r="E2034" s="545">
        <f>-'Foglio deposito bis'!$F$78*(C2034-sezione!$AL$35)*IF(ABS(K2034)&lt;'Sollecitazioni nel paramento'!$G$58,ABS(K2034)*'Sollecitazioni nel paramento'!$G$54,'Sollecitazioni nel paramento'!$G$53)</f>
        <v>0</v>
      </c>
      <c r="F2034" s="545">
        <f>-'Foglio deposito bis'!$F$79*(C2034-sezione!$AM$35)*IF(ABS(L2034)&lt;'Sollecitazioni nel paramento'!$G$58,ABS(L2034)*'Sollecitazioni nel paramento'!$G$54,'Sollecitazioni nel paramento'!$G$53)</f>
        <v>5784222.217153837</v>
      </c>
      <c r="G2034" s="545">
        <f>-'Foglio deposito bis'!$F$80*(C2034-sezione!$AN$35)*IF(ABS(M2034)&lt;'Sollecitazioni nel paramento'!$G$58,ABS(M2034)*'Sollecitazioni nel paramento'!$G$54,'Sollecitazioni nel paramento'!$G$53)</f>
        <v>0</v>
      </c>
      <c r="H2034" s="545">
        <f>-'Foglio deposito bis'!$F$81*(C2034-sezione!$AO$35)*IF(ABS(N2034)&lt;'Sollecitazioni nel paramento'!$G$58,ABS(N2034)*'Sollecitazioni nel paramento'!$G$54,'Sollecitazioni nel paramento'!$G$53)</f>
        <v>54822635.194983773</v>
      </c>
      <c r="I2034" s="472">
        <f>-'Foglio deposito bis'!$F$82*(C2034-sezione!$AP$35)*IF(ABS(O2034)&lt;'Sollecitazioni nel paramento'!$G$58,ABS(O2034)*'Sollecitazioni nel paramento'!$G$54,'Sollecitazioni nel paramento'!$G$53)</f>
        <v>599736314.65697837</v>
      </c>
      <c r="J2034" s="472">
        <f t="shared" si="140"/>
        <v>649221317.63445604</v>
      </c>
      <c r="K2034" s="550">
        <f>'Sollecitazioni nel paramento'!$G$60*(sezione!$AL$35-C2034)/C2034</f>
        <v>2.7616854129240776E-3</v>
      </c>
      <c r="L2034" s="550">
        <f>'Sollecitazioni nel paramento'!$G$60*(sezione!$AM$35-C2034)/C2034</f>
        <v>5.8925281193861158E-3</v>
      </c>
      <c r="M2034" s="551">
        <f>'Sollecitazioni nel paramento'!$G$60*(sezione!$AN$35-C2034)/C2034</f>
        <v>9.0233708258481548E-3</v>
      </c>
      <c r="N2034" s="551">
        <f>'Sollecitazioni nel paramento'!$G$60*(sezione!$AO$35-C2034)/C2034</f>
        <v>2.1546741651696309E-2</v>
      </c>
      <c r="O2034" s="551">
        <f>'Sollecitazioni nel paramento'!$G$60*(sezione!$AP$35-C2034)/C2034</f>
        <v>0.1051938701426314</v>
      </c>
      <c r="P2034" s="545">
        <f>-'Sollecitazioni nel paramento'!$G$47*'Sollecitazioni nel paramento'!$G$41*IF(DATI!$G$211="dx",DATI!$E$61,DATI!$E$64*DATI!$E$63)*1000*C2034*sezione!$AD$5</f>
        <v>-851780.25535928807</v>
      </c>
      <c r="Q2034" s="545">
        <f>'Foglio deposito bis'!$F$78*IF(ABS(K2034)&lt;'Sollecitazioni nel paramento'!$G$58,ABS(K2034)*'Sollecitazioni nel paramento'!$G$54,'Sollecitazioni nel paramento'!$G$53)*IF(K2034&lt;0,-1,1)</f>
        <v>0</v>
      </c>
      <c r="R2034" s="545">
        <f>'Foglio deposito bis'!$F$79*IF(ABS(L2034)&lt;'Sollecitazioni nel paramento'!$G$58,ABS(L2034)*'Sollecitazioni nel paramento'!$G$54,'Sollecitazioni nel paramento'!$G$53)*IF(L2034&lt;0,-1,1)</f>
        <v>153664.85805602249</v>
      </c>
      <c r="S2034" s="545">
        <f>'Foglio deposito bis'!$F$80*IF(ABS(M2034)&lt;'Sollecitazioni nel paramento'!$G$58,ABS(M2034)*'Sollecitazioni nel paramento'!$G$54,'Sollecitazioni nel paramento'!$G$53)*IF(M2034&lt;0,-1,1)</f>
        <v>0</v>
      </c>
      <c r="T2034" s="545">
        <f>'Foglio deposito bis'!$F$81*IF(ABS(N2034)&lt;'Sollecitazioni nel paramento'!$G$58,ABS(N2034)*'Sollecitazioni nel paramento'!$G$54,'Sollecitazioni nel paramento'!$G$53)*IF(N2034&lt;0,-1,1)</f>
        <v>398299.31208121032</v>
      </c>
      <c r="U2034" s="545">
        <f>'Foglio deposito bis'!$F$82*IF(ABS(O2034)&lt;'Sollecitazioni nel paramento'!$G$58,ABS(O2034)*'Sollecitazioni nel paramento'!$G$54,'Sollecitazioni nel paramento'!$G$53)*IF(O2034&lt;0,-1,1)</f>
        <v>892485.49558937876</v>
      </c>
      <c r="V2034" s="472">
        <f t="shared" si="142"/>
        <v>592669.41036732355</v>
      </c>
      <c r="W2034" s="551"/>
      <c r="X2034" s="551"/>
    </row>
    <row r="2035" spans="1:24" x14ac:dyDescent="0.25">
      <c r="A2035" s="545">
        <f t="shared" si="141"/>
        <v>573740.96024822863</v>
      </c>
      <c r="B2035" s="3">
        <f t="shared" si="143"/>
        <v>2.2999999999999998</v>
      </c>
      <c r="C2035" s="545">
        <f>'Foglio deposito bis'!$E$161/sezione!$B$247*B2035</f>
        <v>22.855046472908189</v>
      </c>
      <c r="D2035" s="603">
        <f>-'Sollecitazioni nel paramento'!$G$47*'Sollecitazioni nel paramento'!$G$41*IF(DATI!$G$211="dx",DATI!$E$61,DATI!$E$64*DATI!$E$63)*1000*C2035^2*sezione!$AD$5*(1-sezione!$AD$6)</f>
        <v>-11621651.349995319</v>
      </c>
      <c r="E2035" s="545">
        <f>-'Foglio deposito bis'!$F$78*(C2035-sezione!$AL$35)*IF(ABS(K2035)&lt;'Sollecitazioni nel paramento'!$G$58,ABS(K2035)*'Sollecitazioni nel paramento'!$G$54,'Sollecitazioni nel paramento'!$G$53)</f>
        <v>0</v>
      </c>
      <c r="F2035" s="545">
        <f>-'Foglio deposito bis'!$F$79*(C2035-sezione!$AM$35)*IF(ABS(L2035)&lt;'Sollecitazioni nel paramento'!$G$58,ABS(L2035)*'Sollecitazioni nel paramento'!$G$54,'Sollecitazioni nel paramento'!$G$53)</f>
        <v>5707874.0112381158</v>
      </c>
      <c r="G2035" s="545">
        <f>-'Foglio deposito bis'!$F$80*(C2035-sezione!$AN$35)*IF(ABS(M2035)&lt;'Sollecitazioni nel paramento'!$G$58,ABS(M2035)*'Sollecitazioni nel paramento'!$G$54,'Sollecitazioni nel paramento'!$G$53)</f>
        <v>0</v>
      </c>
      <c r="H2035" s="545">
        <f>-'Foglio deposito bis'!$F$81*(C2035-sezione!$AO$35)*IF(ABS(N2035)&lt;'Sollecitazioni nel paramento'!$G$58,ABS(N2035)*'Sollecitazioni nel paramento'!$G$54,'Sollecitazioni nel paramento'!$G$53)</f>
        <v>54624740.645250231</v>
      </c>
      <c r="I2035" s="472">
        <f>-'Foglio deposito bis'!$F$82*(C2035-sezione!$AP$35)*IF(ABS(O2035)&lt;'Sollecitazioni nel paramento'!$G$58,ABS(O2035)*'Sollecitazioni nel paramento'!$G$54,'Sollecitazioni nel paramento'!$G$53)</f>
        <v>599292884.27701986</v>
      </c>
      <c r="J2035" s="472">
        <f t="shared" si="140"/>
        <v>648003847.5835129</v>
      </c>
      <c r="K2035" s="550">
        <f>'Sollecitazioni nel paramento'!$G$60*(sezione!$AL$35-C2035)/C2035</f>
        <v>2.625561816990946E-3</v>
      </c>
      <c r="L2035" s="550">
        <f>'Sollecitazioni nel paramento'!$G$60*(sezione!$AM$35-C2035)/C2035</f>
        <v>5.6883427254864208E-3</v>
      </c>
      <c r="M2035" s="551">
        <f>'Sollecitazioni nel paramento'!$G$60*(sezione!$AN$35-C2035)/C2035</f>
        <v>8.7511236339818926E-3</v>
      </c>
      <c r="N2035" s="551">
        <f>'Sollecitazioni nel paramento'!$G$60*(sezione!$AO$35-C2035)/C2035</f>
        <v>2.1002247267963785E-2</v>
      </c>
      <c r="O2035" s="551">
        <f>'Sollecitazioni nel paramento'!$G$60*(sezione!$AP$35-C2035)/C2035</f>
        <v>0.10283095992213942</v>
      </c>
      <c r="P2035" s="545">
        <f>-'Sollecitazioni nel paramento'!$G$47*'Sollecitazioni nel paramento'!$G$41*IF(DATI!$G$211="dx",DATI!$E$61,DATI!$E$64*DATI!$E$63)*1000*C2035*sezione!$AD$5</f>
        <v>-870708.705478383</v>
      </c>
      <c r="Q2035" s="545">
        <f>'Foglio deposito bis'!$F$78*IF(ABS(K2035)&lt;'Sollecitazioni nel paramento'!$G$58,ABS(K2035)*'Sollecitazioni nel paramento'!$G$54,'Sollecitazioni nel paramento'!$G$53)*IF(K2035&lt;0,-1,1)</f>
        <v>0</v>
      </c>
      <c r="R2035" s="545">
        <f>'Foglio deposito bis'!$F$79*IF(ABS(L2035)&lt;'Sollecitazioni nel paramento'!$G$58,ABS(L2035)*'Sollecitazioni nel paramento'!$G$54,'Sollecitazioni nel paramento'!$G$53)*IF(L2035&lt;0,-1,1)</f>
        <v>153664.85805602249</v>
      </c>
      <c r="S2035" s="545">
        <f>'Foglio deposito bis'!$F$80*IF(ABS(M2035)&lt;'Sollecitazioni nel paramento'!$G$58,ABS(M2035)*'Sollecitazioni nel paramento'!$G$54,'Sollecitazioni nel paramento'!$G$53)*IF(M2035&lt;0,-1,1)</f>
        <v>0</v>
      </c>
      <c r="T2035" s="545">
        <f>'Foglio deposito bis'!$F$81*IF(ABS(N2035)&lt;'Sollecitazioni nel paramento'!$G$58,ABS(N2035)*'Sollecitazioni nel paramento'!$G$54,'Sollecitazioni nel paramento'!$G$53)*IF(N2035&lt;0,-1,1)</f>
        <v>398299.31208121032</v>
      </c>
      <c r="U2035" s="545">
        <f>'Foglio deposito bis'!$F$82*IF(ABS(O2035)&lt;'Sollecitazioni nel paramento'!$G$58,ABS(O2035)*'Sollecitazioni nel paramento'!$G$54,'Sollecitazioni nel paramento'!$G$53)*IF(O2035&lt;0,-1,1)</f>
        <v>892485.49558937876</v>
      </c>
      <c r="V2035" s="472">
        <f t="shared" si="142"/>
        <v>573740.96024822863</v>
      </c>
      <c r="W2035" s="551"/>
      <c r="X2035" s="551"/>
    </row>
    <row r="2036" spans="1:24" x14ac:dyDescent="0.25">
      <c r="A2036" s="545">
        <f t="shared" si="141"/>
        <v>554812.51012913324</v>
      </c>
      <c r="B2036" s="3">
        <f t="shared" si="143"/>
        <v>2.3499999999999996</v>
      </c>
      <c r="C2036" s="545">
        <f>'Foglio deposito bis'!$E$161/sezione!$B$247*B2036</f>
        <v>23.351895309275758</v>
      </c>
      <c r="D2036" s="603">
        <f>-'Sollecitazioni nel paramento'!$G$47*'Sollecitazioni nel paramento'!$G$41*IF(DATI!$G$211="dx",DATI!$E$61,DATI!$E$64*DATI!$E$63)*1000*C2036^2*sezione!$AD$5*(1-sezione!$AD$6)</f>
        <v>-12132432.812920446</v>
      </c>
      <c r="E2036" s="545">
        <f>-'Foglio deposito bis'!$F$78*(C2036-sezione!$AL$35)*IF(ABS(K2036)&lt;'Sollecitazioni nel paramento'!$G$58,ABS(K2036)*'Sollecitazioni nel paramento'!$G$54,'Sollecitazioni nel paramento'!$G$53)</f>
        <v>0</v>
      </c>
      <c r="F2036" s="545">
        <f>-'Foglio deposito bis'!$F$79*(C2036-sezione!$AM$35)*IF(ABS(L2036)&lt;'Sollecitazioni nel paramento'!$G$58,ABS(L2036)*'Sollecitazioni nel paramento'!$G$54,'Sollecitazioni nel paramento'!$G$53)</f>
        <v>5631525.8053223928</v>
      </c>
      <c r="G2036" s="545">
        <f>-'Foglio deposito bis'!$F$80*(C2036-sezione!$AN$35)*IF(ABS(M2036)&lt;'Sollecitazioni nel paramento'!$G$58,ABS(M2036)*'Sollecitazioni nel paramento'!$G$54,'Sollecitazioni nel paramento'!$G$53)</f>
        <v>0</v>
      </c>
      <c r="H2036" s="545">
        <f>-'Foglio deposito bis'!$F$81*(C2036-sezione!$AO$35)*IF(ABS(N2036)&lt;'Sollecitazioni nel paramento'!$G$58,ABS(N2036)*'Sollecitazioni nel paramento'!$G$54,'Sollecitazioni nel paramento'!$G$53)</f>
        <v>54426846.095516682</v>
      </c>
      <c r="I2036" s="472">
        <f>-'Foglio deposito bis'!$F$82*(C2036-sezione!$AP$35)*IF(ABS(O2036)&lt;'Sollecitazioni nel paramento'!$G$58,ABS(O2036)*'Sollecitazioni nel paramento'!$G$54,'Sollecitazioni nel paramento'!$G$53)</f>
        <v>598849453.89706123</v>
      </c>
      <c r="J2036" s="472">
        <f t="shared" si="140"/>
        <v>646775392.98497987</v>
      </c>
      <c r="K2036" s="550">
        <f>'Sollecitazioni nel paramento'!$G$60*(sezione!$AL$35-C2036)/C2036</f>
        <v>2.4952307145017774E-3</v>
      </c>
      <c r="L2036" s="550">
        <f>'Sollecitazioni nel paramento'!$G$60*(sezione!$AM$35-C2036)/C2036</f>
        <v>5.4928460717526655E-3</v>
      </c>
      <c r="M2036" s="551">
        <f>'Sollecitazioni nel paramento'!$G$60*(sezione!$AN$35-C2036)/C2036</f>
        <v>8.4904614290035544E-3</v>
      </c>
      <c r="N2036" s="551">
        <f>'Sollecitazioni nel paramento'!$G$60*(sezione!$AO$35-C2036)/C2036</f>
        <v>2.0480922858007108E-2</v>
      </c>
      <c r="O2036" s="551">
        <f>'Sollecitazioni nel paramento'!$G$60*(sezione!$AP$35-C2036)/C2036</f>
        <v>0.10056859907273222</v>
      </c>
      <c r="P2036" s="545">
        <f>-'Sollecitazioni nel paramento'!$G$47*'Sollecitazioni nel paramento'!$G$41*IF(DATI!$G$211="dx",DATI!$E$61,DATI!$E$64*DATI!$E$63)*1000*C2036*sezione!$AD$5</f>
        <v>-889637.15559747838</v>
      </c>
      <c r="Q2036" s="545">
        <f>'Foglio deposito bis'!$F$78*IF(ABS(K2036)&lt;'Sollecitazioni nel paramento'!$G$58,ABS(K2036)*'Sollecitazioni nel paramento'!$G$54,'Sollecitazioni nel paramento'!$G$53)*IF(K2036&lt;0,-1,1)</f>
        <v>0</v>
      </c>
      <c r="R2036" s="545">
        <f>'Foglio deposito bis'!$F$79*IF(ABS(L2036)&lt;'Sollecitazioni nel paramento'!$G$58,ABS(L2036)*'Sollecitazioni nel paramento'!$G$54,'Sollecitazioni nel paramento'!$G$53)*IF(L2036&lt;0,-1,1)</f>
        <v>153664.85805602249</v>
      </c>
      <c r="S2036" s="545">
        <f>'Foglio deposito bis'!$F$80*IF(ABS(M2036)&lt;'Sollecitazioni nel paramento'!$G$58,ABS(M2036)*'Sollecitazioni nel paramento'!$G$54,'Sollecitazioni nel paramento'!$G$53)*IF(M2036&lt;0,-1,1)</f>
        <v>0</v>
      </c>
      <c r="T2036" s="545">
        <f>'Foglio deposito bis'!$F$81*IF(ABS(N2036)&lt;'Sollecitazioni nel paramento'!$G$58,ABS(N2036)*'Sollecitazioni nel paramento'!$G$54,'Sollecitazioni nel paramento'!$G$53)*IF(N2036&lt;0,-1,1)</f>
        <v>398299.31208121032</v>
      </c>
      <c r="U2036" s="545">
        <f>'Foglio deposito bis'!$F$82*IF(ABS(O2036)&lt;'Sollecitazioni nel paramento'!$G$58,ABS(O2036)*'Sollecitazioni nel paramento'!$G$54,'Sollecitazioni nel paramento'!$G$53)*IF(O2036&lt;0,-1,1)</f>
        <v>892485.49558937876</v>
      </c>
      <c r="V2036" s="472">
        <f t="shared" si="142"/>
        <v>554812.51012913324</v>
      </c>
      <c r="W2036" s="551"/>
      <c r="X2036" s="551"/>
    </row>
    <row r="2037" spans="1:24" x14ac:dyDescent="0.25">
      <c r="A2037" s="545">
        <f t="shared" si="141"/>
        <v>535884.06001003785</v>
      </c>
      <c r="B2037" s="3">
        <f t="shared" si="143"/>
        <v>2.3999999999999995</v>
      </c>
      <c r="C2037" s="545">
        <f>'Foglio deposito bis'!$E$161/sezione!$B$247*B2037</f>
        <v>23.848744145643327</v>
      </c>
      <c r="D2037" s="603">
        <f>-'Sollecitazioni nel paramento'!$G$47*'Sollecitazioni nel paramento'!$G$41*IF(DATI!$G$211="dx",DATI!$E$61,DATI!$E$64*DATI!$E$63)*1000*C2037^2*sezione!$AD$5*(1-sezione!$AD$6)</f>
        <v>-12654198.823435355</v>
      </c>
      <c r="E2037" s="545">
        <f>-'Foglio deposito bis'!$F$78*(C2037-sezione!$AL$35)*IF(ABS(K2037)&lt;'Sollecitazioni nel paramento'!$G$58,ABS(K2037)*'Sollecitazioni nel paramento'!$G$54,'Sollecitazioni nel paramento'!$G$53)</f>
        <v>0</v>
      </c>
      <c r="F2037" s="545">
        <f>-'Foglio deposito bis'!$F$79*(C2037-sezione!$AM$35)*IF(ABS(L2037)&lt;'Sollecitazioni nel paramento'!$G$58,ABS(L2037)*'Sollecitazioni nel paramento'!$G$54,'Sollecitazioni nel paramento'!$G$53)</f>
        <v>5555177.5994066708</v>
      </c>
      <c r="G2037" s="545">
        <f>-'Foglio deposito bis'!$F$80*(C2037-sezione!$AN$35)*IF(ABS(M2037)&lt;'Sollecitazioni nel paramento'!$G$58,ABS(M2037)*'Sollecitazioni nel paramento'!$G$54,'Sollecitazioni nel paramento'!$G$53)</f>
        <v>0</v>
      </c>
      <c r="H2037" s="545">
        <f>-'Foglio deposito bis'!$F$81*(C2037-sezione!$AO$35)*IF(ABS(N2037)&lt;'Sollecitazioni nel paramento'!$G$58,ABS(N2037)*'Sollecitazioni nel paramento'!$G$54,'Sollecitazioni nel paramento'!$G$53)</f>
        <v>54228951.54578311</v>
      </c>
      <c r="I2037" s="472">
        <f>-'Foglio deposito bis'!$F$82*(C2037-sezione!$AP$35)*IF(ABS(O2037)&lt;'Sollecitazioni nel paramento'!$G$58,ABS(O2037)*'Sollecitazioni nel paramento'!$G$54,'Sollecitazioni nel paramento'!$G$53)</f>
        <v>598406023.51710272</v>
      </c>
      <c r="J2037" s="472">
        <f t="shared" si="140"/>
        <v>645535953.83885717</v>
      </c>
      <c r="K2037" s="550">
        <f>'Sollecitazioni nel paramento'!$G$60*(sezione!$AL$35-C2037)/C2037</f>
        <v>2.3703300746163239E-3</v>
      </c>
      <c r="L2037" s="550">
        <f>'Sollecitazioni nel paramento'!$G$60*(sezione!$AM$35-C2037)/C2037</f>
        <v>5.3054951119244857E-3</v>
      </c>
      <c r="M2037" s="551">
        <f>'Sollecitazioni nel paramento'!$G$60*(sezione!$AN$35-C2037)/C2037</f>
        <v>8.2406601492326474E-3</v>
      </c>
      <c r="N2037" s="551">
        <f>'Sollecitazioni nel paramento'!$G$60*(sezione!$AO$35-C2037)/C2037</f>
        <v>1.9981320298465291E-2</v>
      </c>
      <c r="O2037" s="551">
        <f>'Sollecitazioni nel paramento'!$G$60*(sezione!$AP$35-C2037)/C2037</f>
        <v>9.8400503258716965E-2</v>
      </c>
      <c r="P2037" s="545">
        <f>-'Sollecitazioni nel paramento'!$G$47*'Sollecitazioni nel paramento'!$G$41*IF(DATI!$G$211="dx",DATI!$E$61,DATI!$E$64*DATI!$E$63)*1000*C2037*sezione!$AD$5</f>
        <v>-908565.60571657377</v>
      </c>
      <c r="Q2037" s="545">
        <f>'Foglio deposito bis'!$F$78*IF(ABS(K2037)&lt;'Sollecitazioni nel paramento'!$G$58,ABS(K2037)*'Sollecitazioni nel paramento'!$G$54,'Sollecitazioni nel paramento'!$G$53)*IF(K2037&lt;0,-1,1)</f>
        <v>0</v>
      </c>
      <c r="R2037" s="545">
        <f>'Foglio deposito bis'!$F$79*IF(ABS(L2037)&lt;'Sollecitazioni nel paramento'!$G$58,ABS(L2037)*'Sollecitazioni nel paramento'!$G$54,'Sollecitazioni nel paramento'!$G$53)*IF(L2037&lt;0,-1,1)</f>
        <v>153664.85805602249</v>
      </c>
      <c r="S2037" s="545">
        <f>'Foglio deposito bis'!$F$80*IF(ABS(M2037)&lt;'Sollecitazioni nel paramento'!$G$58,ABS(M2037)*'Sollecitazioni nel paramento'!$G$54,'Sollecitazioni nel paramento'!$G$53)*IF(M2037&lt;0,-1,1)</f>
        <v>0</v>
      </c>
      <c r="T2037" s="545">
        <f>'Foglio deposito bis'!$F$81*IF(ABS(N2037)&lt;'Sollecitazioni nel paramento'!$G$58,ABS(N2037)*'Sollecitazioni nel paramento'!$G$54,'Sollecitazioni nel paramento'!$G$53)*IF(N2037&lt;0,-1,1)</f>
        <v>398299.31208121032</v>
      </c>
      <c r="U2037" s="545">
        <f>'Foglio deposito bis'!$F$82*IF(ABS(O2037)&lt;'Sollecitazioni nel paramento'!$G$58,ABS(O2037)*'Sollecitazioni nel paramento'!$G$54,'Sollecitazioni nel paramento'!$G$53)*IF(O2037&lt;0,-1,1)</f>
        <v>892485.49558937876</v>
      </c>
      <c r="V2037" s="472">
        <f t="shared" si="142"/>
        <v>535884.06001003785</v>
      </c>
      <c r="W2037" s="551"/>
      <c r="X2037" s="551"/>
    </row>
    <row r="2038" spans="1:24" x14ac:dyDescent="0.25">
      <c r="A2038" s="545">
        <f t="shared" si="141"/>
        <v>516955.60989094293</v>
      </c>
      <c r="B2038" s="3">
        <f t="shared" si="143"/>
        <v>2.4499999999999993</v>
      </c>
      <c r="C2038" s="545">
        <f>'Foglio deposito bis'!$E$161/sezione!$B$247*B2038</f>
        <v>24.345592982010892</v>
      </c>
      <c r="D2038" s="603">
        <f>-'Sollecitazioni nel paramento'!$G$47*'Sollecitazioni nel paramento'!$G$41*IF(DATI!$G$211="dx",DATI!$E$61,DATI!$E$64*DATI!$E$63)*1000*C2038^2*sezione!$AD$5*(1-sezione!$AD$6)</f>
        <v>-13186949.381540051</v>
      </c>
      <c r="E2038" s="545">
        <f>-'Foglio deposito bis'!$F$78*(C2038-sezione!$AL$35)*IF(ABS(K2038)&lt;'Sollecitazioni nel paramento'!$G$58,ABS(K2038)*'Sollecitazioni nel paramento'!$G$54,'Sollecitazioni nel paramento'!$G$53)</f>
        <v>0</v>
      </c>
      <c r="F2038" s="545">
        <f>-'Foglio deposito bis'!$F$79*(C2038-sezione!$AM$35)*IF(ABS(L2038)&lt;'Sollecitazioni nel paramento'!$G$58,ABS(L2038)*'Sollecitazioni nel paramento'!$G$54,'Sollecitazioni nel paramento'!$G$53)</f>
        <v>5478829.3934909478</v>
      </c>
      <c r="G2038" s="545">
        <f>-'Foglio deposito bis'!$F$80*(C2038-sezione!$AN$35)*IF(ABS(M2038)&lt;'Sollecitazioni nel paramento'!$G$58,ABS(M2038)*'Sollecitazioni nel paramento'!$G$54,'Sollecitazioni nel paramento'!$G$53)</f>
        <v>0</v>
      </c>
      <c r="H2038" s="545">
        <f>-'Foglio deposito bis'!$F$81*(C2038-sezione!$AO$35)*IF(ABS(N2038)&lt;'Sollecitazioni nel paramento'!$G$58,ABS(N2038)*'Sollecitazioni nel paramento'!$G$54,'Sollecitazioni nel paramento'!$G$53)</f>
        <v>54031056.996049568</v>
      </c>
      <c r="I2038" s="472">
        <f>-'Foglio deposito bis'!$F$82*(C2038-sezione!$AP$35)*IF(ABS(O2038)&lt;'Sollecitazioni nel paramento'!$G$58,ABS(O2038)*'Sollecitazioni nel paramento'!$G$54,'Sollecitazioni nel paramento'!$G$53)</f>
        <v>597962593.13714433</v>
      </c>
      <c r="J2038" s="472">
        <f t="shared" si="140"/>
        <v>644285530.14514482</v>
      </c>
      <c r="K2038" s="550">
        <f>'Sollecitazioni nel paramento'!$G$60*(sezione!$AL$35-C2038)/C2038</f>
        <v>2.250527420032318E-3</v>
      </c>
      <c r="L2038" s="550">
        <f>'Sollecitazioni nel paramento'!$G$60*(sezione!$AM$35-C2038)/C2038</f>
        <v>5.1257911300484774E-3</v>
      </c>
      <c r="M2038" s="551">
        <f>'Sollecitazioni nel paramento'!$G$60*(sezione!$AN$35-C2038)/C2038</f>
        <v>8.0010548400646364E-3</v>
      </c>
      <c r="N2038" s="551">
        <f>'Sollecitazioni nel paramento'!$G$60*(sezione!$AO$35-C2038)/C2038</f>
        <v>1.9502109680129272E-2</v>
      </c>
      <c r="O2038" s="551">
        <f>'Sollecitazioni nel paramento'!$G$60*(sezione!$AP$35-C2038)/C2038</f>
        <v>9.6320901151396215E-2</v>
      </c>
      <c r="P2038" s="545">
        <f>-'Sollecitazioni nel paramento'!$G$47*'Sollecitazioni nel paramento'!$G$41*IF(DATI!$G$211="dx",DATI!$E$61,DATI!$E$64*DATI!$E$63)*1000*C2038*sezione!$AD$5</f>
        <v>-927494.0558356687</v>
      </c>
      <c r="Q2038" s="545">
        <f>'Foglio deposito bis'!$F$78*IF(ABS(K2038)&lt;'Sollecitazioni nel paramento'!$G$58,ABS(K2038)*'Sollecitazioni nel paramento'!$G$54,'Sollecitazioni nel paramento'!$G$53)*IF(K2038&lt;0,-1,1)</f>
        <v>0</v>
      </c>
      <c r="R2038" s="545">
        <f>'Foglio deposito bis'!$F$79*IF(ABS(L2038)&lt;'Sollecitazioni nel paramento'!$G$58,ABS(L2038)*'Sollecitazioni nel paramento'!$G$54,'Sollecitazioni nel paramento'!$G$53)*IF(L2038&lt;0,-1,1)</f>
        <v>153664.85805602249</v>
      </c>
      <c r="S2038" s="545">
        <f>'Foglio deposito bis'!$F$80*IF(ABS(M2038)&lt;'Sollecitazioni nel paramento'!$G$58,ABS(M2038)*'Sollecitazioni nel paramento'!$G$54,'Sollecitazioni nel paramento'!$G$53)*IF(M2038&lt;0,-1,1)</f>
        <v>0</v>
      </c>
      <c r="T2038" s="545">
        <f>'Foglio deposito bis'!$F$81*IF(ABS(N2038)&lt;'Sollecitazioni nel paramento'!$G$58,ABS(N2038)*'Sollecitazioni nel paramento'!$G$54,'Sollecitazioni nel paramento'!$G$53)*IF(N2038&lt;0,-1,1)</f>
        <v>398299.31208121032</v>
      </c>
      <c r="U2038" s="545">
        <f>'Foglio deposito bis'!$F$82*IF(ABS(O2038)&lt;'Sollecitazioni nel paramento'!$G$58,ABS(O2038)*'Sollecitazioni nel paramento'!$G$54,'Sollecitazioni nel paramento'!$G$53)*IF(O2038&lt;0,-1,1)</f>
        <v>892485.49558937876</v>
      </c>
      <c r="V2038" s="472">
        <f t="shared" si="142"/>
        <v>516955.60989094293</v>
      </c>
      <c r="W2038" s="551"/>
      <c r="X2038" s="551"/>
    </row>
    <row r="2039" spans="1:24" x14ac:dyDescent="0.25">
      <c r="A2039" s="545">
        <f t="shared" si="141"/>
        <v>498027.15977184754</v>
      </c>
      <c r="B2039" s="3">
        <f t="shared" si="143"/>
        <v>2.4999999999999991</v>
      </c>
      <c r="C2039" s="545">
        <f>'Foglio deposito bis'!$E$161/sezione!$B$247*B2039</f>
        <v>24.842441818378461</v>
      </c>
      <c r="D2039" s="603">
        <f>-'Sollecitazioni nel paramento'!$G$47*'Sollecitazioni nel paramento'!$G$41*IF(DATI!$G$211="dx",DATI!$E$61,DATI!$E$64*DATI!$E$63)*1000*C2039^2*sezione!$AD$5*(1-sezione!$AD$6)</f>
        <v>-13730684.48723454</v>
      </c>
      <c r="E2039" s="545">
        <f>-'Foglio deposito bis'!$F$78*(C2039-sezione!$AL$35)*IF(ABS(K2039)&lt;'Sollecitazioni nel paramento'!$G$58,ABS(K2039)*'Sollecitazioni nel paramento'!$G$54,'Sollecitazioni nel paramento'!$G$53)</f>
        <v>0</v>
      </c>
      <c r="F2039" s="545">
        <f>-'Foglio deposito bis'!$F$79*(C2039-sezione!$AM$35)*IF(ABS(L2039)&lt;'Sollecitazioni nel paramento'!$G$58,ABS(L2039)*'Sollecitazioni nel paramento'!$G$54,'Sollecitazioni nel paramento'!$G$53)</f>
        <v>5402481.1875752266</v>
      </c>
      <c r="G2039" s="545">
        <f>-'Foglio deposito bis'!$F$80*(C2039-sezione!$AN$35)*IF(ABS(M2039)&lt;'Sollecitazioni nel paramento'!$G$58,ABS(M2039)*'Sollecitazioni nel paramento'!$G$54,'Sollecitazioni nel paramento'!$G$53)</f>
        <v>0</v>
      </c>
      <c r="H2039" s="545">
        <f>-'Foglio deposito bis'!$F$81*(C2039-sezione!$AO$35)*IF(ABS(N2039)&lt;'Sollecitazioni nel paramento'!$G$58,ABS(N2039)*'Sollecitazioni nel paramento'!$G$54,'Sollecitazioni nel paramento'!$G$53)</f>
        <v>53833162.446316019</v>
      </c>
      <c r="I2039" s="472">
        <f>-'Foglio deposito bis'!$F$82*(C2039-sezione!$AP$35)*IF(ABS(O2039)&lt;'Sollecitazioni nel paramento'!$G$58,ABS(O2039)*'Sollecitazioni nel paramento'!$G$54,'Sollecitazioni nel paramento'!$G$53)</f>
        <v>597519162.7571857</v>
      </c>
      <c r="J2039" s="472">
        <f t="shared" si="140"/>
        <v>643024121.90384245</v>
      </c>
      <c r="K2039" s="550">
        <f>'Sollecitazioni nel paramento'!$G$60*(sezione!$AL$35-C2039)/C2039</f>
        <v>2.1355168716316714E-3</v>
      </c>
      <c r="L2039" s="550">
        <f>'Sollecitazioni nel paramento'!$G$60*(sezione!$AM$35-C2039)/C2039</f>
        <v>4.9532753074475076E-3</v>
      </c>
      <c r="M2039" s="551">
        <f>'Sollecitazioni nel paramento'!$G$60*(sezione!$AN$35-C2039)/C2039</f>
        <v>7.7710337432633433E-3</v>
      </c>
      <c r="N2039" s="551">
        <f>'Sollecitazioni nel paramento'!$G$60*(sezione!$AO$35-C2039)/C2039</f>
        <v>1.9042067486526686E-2</v>
      </c>
      <c r="O2039" s="551">
        <f>'Sollecitazioni nel paramento'!$G$60*(sezione!$AP$35-C2039)/C2039</f>
        <v>9.4324483128368289E-2</v>
      </c>
      <c r="P2039" s="545">
        <f>-'Sollecitazioni nel paramento'!$G$47*'Sollecitazioni nel paramento'!$G$41*IF(DATI!$G$211="dx",DATI!$E$61,DATI!$E$64*DATI!$E$63)*1000*C2039*sezione!$AD$5</f>
        <v>-946422.50595476408</v>
      </c>
      <c r="Q2039" s="545">
        <f>'Foglio deposito bis'!$F$78*IF(ABS(K2039)&lt;'Sollecitazioni nel paramento'!$G$58,ABS(K2039)*'Sollecitazioni nel paramento'!$G$54,'Sollecitazioni nel paramento'!$G$53)*IF(K2039&lt;0,-1,1)</f>
        <v>0</v>
      </c>
      <c r="R2039" s="545">
        <f>'Foglio deposito bis'!$F$79*IF(ABS(L2039)&lt;'Sollecitazioni nel paramento'!$G$58,ABS(L2039)*'Sollecitazioni nel paramento'!$G$54,'Sollecitazioni nel paramento'!$G$53)*IF(L2039&lt;0,-1,1)</f>
        <v>153664.85805602249</v>
      </c>
      <c r="S2039" s="545">
        <f>'Foglio deposito bis'!$F$80*IF(ABS(M2039)&lt;'Sollecitazioni nel paramento'!$G$58,ABS(M2039)*'Sollecitazioni nel paramento'!$G$54,'Sollecitazioni nel paramento'!$G$53)*IF(M2039&lt;0,-1,1)</f>
        <v>0</v>
      </c>
      <c r="T2039" s="545">
        <f>'Foglio deposito bis'!$F$81*IF(ABS(N2039)&lt;'Sollecitazioni nel paramento'!$G$58,ABS(N2039)*'Sollecitazioni nel paramento'!$G$54,'Sollecitazioni nel paramento'!$G$53)*IF(N2039&lt;0,-1,1)</f>
        <v>398299.31208121032</v>
      </c>
      <c r="U2039" s="545">
        <f>'Foglio deposito bis'!$F$82*IF(ABS(O2039)&lt;'Sollecitazioni nel paramento'!$G$58,ABS(O2039)*'Sollecitazioni nel paramento'!$G$54,'Sollecitazioni nel paramento'!$G$53)*IF(O2039&lt;0,-1,1)</f>
        <v>892485.49558937876</v>
      </c>
      <c r="V2039" s="472">
        <f t="shared" si="142"/>
        <v>498027.15977184754</v>
      </c>
      <c r="W2039" s="551"/>
      <c r="X2039" s="551"/>
    </row>
    <row r="2040" spans="1:24" x14ac:dyDescent="0.25">
      <c r="A2040" s="545">
        <f t="shared" si="141"/>
        <v>479098.70965275238</v>
      </c>
      <c r="B2040" s="3">
        <f t="shared" si="143"/>
        <v>2.5499999999999989</v>
      </c>
      <c r="C2040" s="545">
        <f>'Foglio deposito bis'!$E$161/sezione!$B$247*B2040</f>
        <v>25.339290654746026</v>
      </c>
      <c r="D2040" s="603">
        <f>-'Sollecitazioni nel paramento'!$G$47*'Sollecitazioni nel paramento'!$G$41*IF(DATI!$G$211="dx",DATI!$E$61,DATI!$E$64*DATI!$E$63)*1000*C2040^2*sezione!$AD$5*(1-sezione!$AD$6)</f>
        <v>-14285404.140518811</v>
      </c>
      <c r="E2040" s="545">
        <f>-'Foglio deposito bis'!$F$78*(C2040-sezione!$AL$35)*IF(ABS(K2040)&lt;'Sollecitazioni nel paramento'!$G$58,ABS(K2040)*'Sollecitazioni nel paramento'!$G$54,'Sollecitazioni nel paramento'!$G$53)</f>
        <v>0</v>
      </c>
      <c r="F2040" s="545">
        <f>-'Foglio deposito bis'!$F$79*(C2040-sezione!$AM$35)*IF(ABS(L2040)&lt;'Sollecitazioni nel paramento'!$G$58,ABS(L2040)*'Sollecitazioni nel paramento'!$G$54,'Sollecitazioni nel paramento'!$G$53)</f>
        <v>5326132.9816595046</v>
      </c>
      <c r="G2040" s="545">
        <f>-'Foglio deposito bis'!$F$80*(C2040-sezione!$AN$35)*IF(ABS(M2040)&lt;'Sollecitazioni nel paramento'!$G$58,ABS(M2040)*'Sollecitazioni nel paramento'!$G$54,'Sollecitazioni nel paramento'!$G$53)</f>
        <v>0</v>
      </c>
      <c r="H2040" s="545">
        <f>-'Foglio deposito bis'!$F$81*(C2040-sezione!$AO$35)*IF(ABS(N2040)&lt;'Sollecitazioni nel paramento'!$G$58,ABS(N2040)*'Sollecitazioni nel paramento'!$G$54,'Sollecitazioni nel paramento'!$G$53)</f>
        <v>53635267.896582462</v>
      </c>
      <c r="I2040" s="472">
        <f>-'Foglio deposito bis'!$F$82*(C2040-sezione!$AP$35)*IF(ABS(O2040)&lt;'Sollecitazioni nel paramento'!$G$58,ABS(O2040)*'Sollecitazioni nel paramento'!$G$54,'Sollecitazioni nel paramento'!$G$53)</f>
        <v>597075732.37722719</v>
      </c>
      <c r="J2040" s="472">
        <f t="shared" si="140"/>
        <v>641751729.1149503</v>
      </c>
      <c r="K2040" s="550">
        <f>'Sollecitazioni nel paramento'!$G$60*(sezione!$AL$35-C2040)/C2040</f>
        <v>2.0250165408153653E-3</v>
      </c>
      <c r="L2040" s="550">
        <f>'Sollecitazioni nel paramento'!$G$60*(sezione!$AM$35-C2040)/C2040</f>
        <v>4.7875248112230484E-3</v>
      </c>
      <c r="M2040" s="551">
        <f>'Sollecitazioni nel paramento'!$G$60*(sezione!$AN$35-C2040)/C2040</f>
        <v>7.5500330816307311E-3</v>
      </c>
      <c r="N2040" s="551">
        <f>'Sollecitazioni nel paramento'!$G$60*(sezione!$AO$35-C2040)/C2040</f>
        <v>1.8600066163261458E-2</v>
      </c>
      <c r="O2040" s="551">
        <f>'Sollecitazioni nel paramento'!$G$60*(sezione!$AP$35-C2040)/C2040</f>
        <v>9.2406356008204224E-2</v>
      </c>
      <c r="P2040" s="545">
        <f>-'Sollecitazioni nel paramento'!$G$47*'Sollecitazioni nel paramento'!$G$41*IF(DATI!$G$211="dx",DATI!$E$61,DATI!$E$64*DATI!$E$63)*1000*C2040*sezione!$AD$5</f>
        <v>-965350.95607385924</v>
      </c>
      <c r="Q2040" s="545">
        <f>'Foglio deposito bis'!$F$78*IF(ABS(K2040)&lt;'Sollecitazioni nel paramento'!$G$58,ABS(K2040)*'Sollecitazioni nel paramento'!$G$54,'Sollecitazioni nel paramento'!$G$53)*IF(K2040&lt;0,-1,1)</f>
        <v>0</v>
      </c>
      <c r="R2040" s="545">
        <f>'Foglio deposito bis'!$F$79*IF(ABS(L2040)&lt;'Sollecitazioni nel paramento'!$G$58,ABS(L2040)*'Sollecitazioni nel paramento'!$G$54,'Sollecitazioni nel paramento'!$G$53)*IF(L2040&lt;0,-1,1)</f>
        <v>153664.85805602249</v>
      </c>
      <c r="S2040" s="545">
        <f>'Foglio deposito bis'!$F$80*IF(ABS(M2040)&lt;'Sollecitazioni nel paramento'!$G$58,ABS(M2040)*'Sollecitazioni nel paramento'!$G$54,'Sollecitazioni nel paramento'!$G$53)*IF(M2040&lt;0,-1,1)</f>
        <v>0</v>
      </c>
      <c r="T2040" s="545">
        <f>'Foglio deposito bis'!$F$81*IF(ABS(N2040)&lt;'Sollecitazioni nel paramento'!$G$58,ABS(N2040)*'Sollecitazioni nel paramento'!$G$54,'Sollecitazioni nel paramento'!$G$53)*IF(N2040&lt;0,-1,1)</f>
        <v>398299.31208121032</v>
      </c>
      <c r="U2040" s="545">
        <f>'Foglio deposito bis'!$F$82*IF(ABS(O2040)&lt;'Sollecitazioni nel paramento'!$G$58,ABS(O2040)*'Sollecitazioni nel paramento'!$G$54,'Sollecitazioni nel paramento'!$G$53)*IF(O2040&lt;0,-1,1)</f>
        <v>892485.49558937876</v>
      </c>
      <c r="V2040" s="472">
        <f t="shared" si="142"/>
        <v>479098.70965275238</v>
      </c>
      <c r="W2040" s="551"/>
      <c r="X2040" s="551"/>
    </row>
    <row r="2041" spans="1:24" x14ac:dyDescent="0.25">
      <c r="A2041" s="545">
        <f t="shared" si="141"/>
        <v>460170.25953365723</v>
      </c>
      <c r="B2041" s="3">
        <f t="shared" si="143"/>
        <v>2.5999999999999988</v>
      </c>
      <c r="C2041" s="545">
        <f>'Foglio deposito bis'!$E$161/sezione!$B$247*B2041</f>
        <v>25.836139491113595</v>
      </c>
      <c r="D2041" s="603">
        <f>-'Sollecitazioni nel paramento'!$G$47*'Sollecitazioni nel paramento'!$G$41*IF(DATI!$G$211="dx",DATI!$E$61,DATI!$E$64*DATI!$E$63)*1000*C2041^2*sezione!$AD$5*(1-sezione!$AD$6)</f>
        <v>-14851108.341392875</v>
      </c>
      <c r="E2041" s="545">
        <f>-'Foglio deposito bis'!$F$78*(C2041-sezione!$AL$35)*IF(ABS(K2041)&lt;'Sollecitazioni nel paramento'!$G$58,ABS(K2041)*'Sollecitazioni nel paramento'!$G$54,'Sollecitazioni nel paramento'!$G$53)</f>
        <v>0</v>
      </c>
      <c r="F2041" s="545">
        <f>-'Foglio deposito bis'!$F$79*(C2041-sezione!$AM$35)*IF(ABS(L2041)&lt;'Sollecitazioni nel paramento'!$G$58,ABS(L2041)*'Sollecitazioni nel paramento'!$G$54,'Sollecitazioni nel paramento'!$G$53)</f>
        <v>5249784.7757437816</v>
      </c>
      <c r="G2041" s="545">
        <f>-'Foglio deposito bis'!$F$80*(C2041-sezione!$AN$35)*IF(ABS(M2041)&lt;'Sollecitazioni nel paramento'!$G$58,ABS(M2041)*'Sollecitazioni nel paramento'!$G$54,'Sollecitazioni nel paramento'!$G$53)</f>
        <v>0</v>
      </c>
      <c r="H2041" s="545">
        <f>-'Foglio deposito bis'!$F$81*(C2041-sezione!$AO$35)*IF(ABS(N2041)&lt;'Sollecitazioni nel paramento'!$G$58,ABS(N2041)*'Sollecitazioni nel paramento'!$G$54,'Sollecitazioni nel paramento'!$G$53)</f>
        <v>53437373.34684892</v>
      </c>
      <c r="I2041" s="472">
        <f>-'Foglio deposito bis'!$F$82*(C2041-sezione!$AP$35)*IF(ABS(O2041)&lt;'Sollecitazioni nel paramento'!$G$58,ABS(O2041)*'Sollecitazioni nel paramento'!$G$54,'Sollecitazioni nel paramento'!$G$53)</f>
        <v>596632301.99726868</v>
      </c>
      <c r="J2041" s="472">
        <f t="shared" si="140"/>
        <v>640468351.77846849</v>
      </c>
      <c r="K2041" s="550">
        <f>'Sollecitazioni nel paramento'!$G$60*(sezione!$AL$35-C2041)/C2041</f>
        <v>1.9187662227227622E-3</v>
      </c>
      <c r="L2041" s="550">
        <f>'Sollecitazioni nel paramento'!$G$60*(sezione!$AM$35-C2041)/C2041</f>
        <v>4.628149334084143E-3</v>
      </c>
      <c r="M2041" s="551">
        <f>'Sollecitazioni nel paramento'!$G$60*(sezione!$AN$35-C2041)/C2041</f>
        <v>7.3375324454455233E-3</v>
      </c>
      <c r="N2041" s="551">
        <f>'Sollecitazioni nel paramento'!$G$60*(sezione!$AO$35-C2041)/C2041</f>
        <v>1.817506489089105E-2</v>
      </c>
      <c r="O2041" s="551">
        <f>'Sollecitazioni nel paramento'!$G$60*(sezione!$AP$35-C2041)/C2041</f>
        <v>9.0562003008046441E-2</v>
      </c>
      <c r="P2041" s="545">
        <f>-'Sollecitazioni nel paramento'!$G$47*'Sollecitazioni nel paramento'!$G$41*IF(DATI!$G$211="dx",DATI!$E$61,DATI!$E$64*DATI!$E$63)*1000*C2041*sezione!$AD$5</f>
        <v>-984279.4061929544</v>
      </c>
      <c r="Q2041" s="545">
        <f>'Foglio deposito bis'!$F$78*IF(ABS(K2041)&lt;'Sollecitazioni nel paramento'!$G$58,ABS(K2041)*'Sollecitazioni nel paramento'!$G$54,'Sollecitazioni nel paramento'!$G$53)*IF(K2041&lt;0,-1,1)</f>
        <v>0</v>
      </c>
      <c r="R2041" s="545">
        <f>'Foglio deposito bis'!$F$79*IF(ABS(L2041)&lt;'Sollecitazioni nel paramento'!$G$58,ABS(L2041)*'Sollecitazioni nel paramento'!$G$54,'Sollecitazioni nel paramento'!$G$53)*IF(L2041&lt;0,-1,1)</f>
        <v>153664.85805602249</v>
      </c>
      <c r="S2041" s="545">
        <f>'Foglio deposito bis'!$F$80*IF(ABS(M2041)&lt;'Sollecitazioni nel paramento'!$G$58,ABS(M2041)*'Sollecitazioni nel paramento'!$G$54,'Sollecitazioni nel paramento'!$G$53)*IF(M2041&lt;0,-1,1)</f>
        <v>0</v>
      </c>
      <c r="T2041" s="545">
        <f>'Foglio deposito bis'!$F$81*IF(ABS(N2041)&lt;'Sollecitazioni nel paramento'!$G$58,ABS(N2041)*'Sollecitazioni nel paramento'!$G$54,'Sollecitazioni nel paramento'!$G$53)*IF(N2041&lt;0,-1,1)</f>
        <v>398299.31208121032</v>
      </c>
      <c r="U2041" s="545">
        <f>'Foglio deposito bis'!$F$82*IF(ABS(O2041)&lt;'Sollecitazioni nel paramento'!$G$58,ABS(O2041)*'Sollecitazioni nel paramento'!$G$54,'Sollecitazioni nel paramento'!$G$53)*IF(O2041&lt;0,-1,1)</f>
        <v>892485.49558937876</v>
      </c>
      <c r="V2041" s="472">
        <f t="shared" si="142"/>
        <v>460170.25953365723</v>
      </c>
      <c r="W2041" s="551"/>
      <c r="X2041" s="551"/>
    </row>
    <row r="2042" spans="1:24" x14ac:dyDescent="0.25">
      <c r="A2042" s="545">
        <f t="shared" si="141"/>
        <v>441241.80941456184</v>
      </c>
      <c r="B2042" s="3">
        <f t="shared" si="143"/>
        <v>2.6499999999999986</v>
      </c>
      <c r="C2042" s="545">
        <f>'Foglio deposito bis'!$E$161/sezione!$B$247*B2042</f>
        <v>26.332988327481164</v>
      </c>
      <c r="D2042" s="603">
        <f>-'Sollecitazioni nel paramento'!$G$47*'Sollecitazioni nel paramento'!$G$41*IF(DATI!$G$211="dx",DATI!$E$61,DATI!$E$64*DATI!$E$63)*1000*C2042^2*sezione!$AD$5*(1-sezione!$AD$6)</f>
        <v>-15427797.089856725</v>
      </c>
      <c r="E2042" s="545">
        <f>-'Foglio deposito bis'!$F$78*(C2042-sezione!$AL$35)*IF(ABS(K2042)&lt;'Sollecitazioni nel paramento'!$G$58,ABS(K2042)*'Sollecitazioni nel paramento'!$G$54,'Sollecitazioni nel paramento'!$G$53)</f>
        <v>0</v>
      </c>
      <c r="F2042" s="545">
        <f>-'Foglio deposito bis'!$F$79*(C2042-sezione!$AM$35)*IF(ABS(L2042)&lt;'Sollecitazioni nel paramento'!$G$58,ABS(L2042)*'Sollecitazioni nel paramento'!$G$54,'Sollecitazioni nel paramento'!$G$53)</f>
        <v>5173436.5698280595</v>
      </c>
      <c r="G2042" s="545">
        <f>-'Foglio deposito bis'!$F$80*(C2042-sezione!$AN$35)*IF(ABS(M2042)&lt;'Sollecitazioni nel paramento'!$G$58,ABS(M2042)*'Sollecitazioni nel paramento'!$G$54,'Sollecitazioni nel paramento'!$G$53)</f>
        <v>0</v>
      </c>
      <c r="H2042" s="545">
        <f>-'Foglio deposito bis'!$F$81*(C2042-sezione!$AO$35)*IF(ABS(N2042)&lt;'Sollecitazioni nel paramento'!$G$58,ABS(N2042)*'Sollecitazioni nel paramento'!$G$54,'Sollecitazioni nel paramento'!$G$53)</f>
        <v>53239478.797115363</v>
      </c>
      <c r="I2042" s="472">
        <f>-'Foglio deposito bis'!$F$82*(C2042-sezione!$AP$35)*IF(ABS(O2042)&lt;'Sollecitazioni nel paramento'!$G$58,ABS(O2042)*'Sollecitazioni nel paramento'!$G$54,'Sollecitazioni nel paramento'!$G$53)</f>
        <v>596188871.61731017</v>
      </c>
      <c r="J2042" s="472">
        <f t="shared" si="140"/>
        <v>639173989.8943969</v>
      </c>
      <c r="K2042" s="550">
        <f>'Sollecitazioni nel paramento'!$G$60*(sezione!$AL$35-C2042)/C2042</f>
        <v>1.8165253505959176E-3</v>
      </c>
      <c r="L2042" s="550">
        <f>'Sollecitazioni nel paramento'!$G$60*(sezione!$AM$35-C2042)/C2042</f>
        <v>4.4747880258938768E-3</v>
      </c>
      <c r="M2042" s="551">
        <f>'Sollecitazioni nel paramento'!$G$60*(sezione!$AN$35-C2042)/C2042</f>
        <v>7.1330507011918348E-3</v>
      </c>
      <c r="N2042" s="551">
        <f>'Sollecitazioni nel paramento'!$G$60*(sezione!$AO$35-C2042)/C2042</f>
        <v>1.7766101402383671E-2</v>
      </c>
      <c r="O2042" s="551">
        <f>'Sollecitazioni nel paramento'!$G$60*(sezione!$AP$35-C2042)/C2042</f>
        <v>8.8787248234309724E-2</v>
      </c>
      <c r="P2042" s="545">
        <f>-'Sollecitazioni nel paramento'!$G$47*'Sollecitazioni nel paramento'!$G$41*IF(DATI!$G$211="dx",DATI!$E$61,DATI!$E$64*DATI!$E$63)*1000*C2042*sezione!$AD$5</f>
        <v>-1003207.8563120498</v>
      </c>
      <c r="Q2042" s="545">
        <f>'Foglio deposito bis'!$F$78*IF(ABS(K2042)&lt;'Sollecitazioni nel paramento'!$G$58,ABS(K2042)*'Sollecitazioni nel paramento'!$G$54,'Sollecitazioni nel paramento'!$G$53)*IF(K2042&lt;0,-1,1)</f>
        <v>0</v>
      </c>
      <c r="R2042" s="545">
        <f>'Foglio deposito bis'!$F$79*IF(ABS(L2042)&lt;'Sollecitazioni nel paramento'!$G$58,ABS(L2042)*'Sollecitazioni nel paramento'!$G$54,'Sollecitazioni nel paramento'!$G$53)*IF(L2042&lt;0,-1,1)</f>
        <v>153664.85805602249</v>
      </c>
      <c r="S2042" s="545">
        <f>'Foglio deposito bis'!$F$80*IF(ABS(M2042)&lt;'Sollecitazioni nel paramento'!$G$58,ABS(M2042)*'Sollecitazioni nel paramento'!$G$54,'Sollecitazioni nel paramento'!$G$53)*IF(M2042&lt;0,-1,1)</f>
        <v>0</v>
      </c>
      <c r="T2042" s="545">
        <f>'Foglio deposito bis'!$F$81*IF(ABS(N2042)&lt;'Sollecitazioni nel paramento'!$G$58,ABS(N2042)*'Sollecitazioni nel paramento'!$G$54,'Sollecitazioni nel paramento'!$G$53)*IF(N2042&lt;0,-1,1)</f>
        <v>398299.31208121032</v>
      </c>
      <c r="U2042" s="545">
        <f>'Foglio deposito bis'!$F$82*IF(ABS(O2042)&lt;'Sollecitazioni nel paramento'!$G$58,ABS(O2042)*'Sollecitazioni nel paramento'!$G$54,'Sollecitazioni nel paramento'!$G$53)*IF(O2042&lt;0,-1,1)</f>
        <v>892485.49558937876</v>
      </c>
      <c r="V2042" s="472">
        <f t="shared" si="142"/>
        <v>441241.80941456184</v>
      </c>
      <c r="W2042" s="551"/>
      <c r="X2042" s="551"/>
    </row>
    <row r="2043" spans="1:24" x14ac:dyDescent="0.25">
      <c r="A2043" s="545">
        <f t="shared" si="141"/>
        <v>422313.35929546668</v>
      </c>
      <c r="B2043" s="3">
        <f t="shared" si="143"/>
        <v>2.6999999999999984</v>
      </c>
      <c r="C2043" s="545">
        <f>'Foglio deposito bis'!$E$161/sezione!$B$247*B2043</f>
        <v>26.82983716384873</v>
      </c>
      <c r="D2043" s="603">
        <f>-'Sollecitazioni nel paramento'!$G$47*'Sollecitazioni nel paramento'!$G$41*IF(DATI!$G$211="dx",DATI!$E$61,DATI!$E$64*DATI!$E$63)*1000*C2043^2*sezione!$AD$5*(1-sezione!$AD$6)</f>
        <v>-16015470.385910356</v>
      </c>
      <c r="E2043" s="545">
        <f>-'Foglio deposito bis'!$F$78*(C2043-sezione!$AL$35)*IF(ABS(K2043)&lt;'Sollecitazioni nel paramento'!$G$58,ABS(K2043)*'Sollecitazioni nel paramento'!$G$54,'Sollecitazioni nel paramento'!$G$53)</f>
        <v>0</v>
      </c>
      <c r="F2043" s="545">
        <f>-'Foglio deposito bis'!$F$79*(C2043-sezione!$AM$35)*IF(ABS(L2043)&lt;'Sollecitazioni nel paramento'!$G$58,ABS(L2043)*'Sollecitazioni nel paramento'!$G$54,'Sollecitazioni nel paramento'!$G$53)</f>
        <v>5097088.3639123375</v>
      </c>
      <c r="G2043" s="545">
        <f>-'Foglio deposito bis'!$F$80*(C2043-sezione!$AN$35)*IF(ABS(M2043)&lt;'Sollecitazioni nel paramento'!$G$58,ABS(M2043)*'Sollecitazioni nel paramento'!$G$54,'Sollecitazioni nel paramento'!$G$53)</f>
        <v>0</v>
      </c>
      <c r="H2043" s="545">
        <f>-'Foglio deposito bis'!$F$81*(C2043-sezione!$AO$35)*IF(ABS(N2043)&lt;'Sollecitazioni nel paramento'!$G$58,ABS(N2043)*'Sollecitazioni nel paramento'!$G$54,'Sollecitazioni nel paramento'!$G$53)</f>
        <v>53041584.247381814</v>
      </c>
      <c r="I2043" s="472">
        <f>-'Foglio deposito bis'!$F$82*(C2043-sezione!$AP$35)*IF(ABS(O2043)&lt;'Sollecitazioni nel paramento'!$G$58,ABS(O2043)*'Sollecitazioni nel paramento'!$G$54,'Sollecitazioni nel paramento'!$G$53)</f>
        <v>595745441.23735166</v>
      </c>
      <c r="J2043" s="472">
        <f t="shared" si="140"/>
        <v>637868643.46273541</v>
      </c>
      <c r="K2043" s="550">
        <f>'Sollecitazioni nel paramento'!$G$60*(sezione!$AL$35-C2043)/C2043</f>
        <v>1.7180711774367346E-3</v>
      </c>
      <c r="L2043" s="550">
        <f>'Sollecitazioni nel paramento'!$G$60*(sezione!$AM$35-C2043)/C2043</f>
        <v>4.3271067661551019E-3</v>
      </c>
      <c r="M2043" s="551">
        <f>'Sollecitazioni nel paramento'!$G$60*(sezione!$AN$35-C2043)/C2043</f>
        <v>6.9361423548734693E-3</v>
      </c>
      <c r="N2043" s="551">
        <f>'Sollecitazioni nel paramento'!$G$60*(sezione!$AO$35-C2043)/C2043</f>
        <v>1.737228470974694E-2</v>
      </c>
      <c r="O2043" s="551">
        <f>'Sollecitazioni nel paramento'!$G$60*(sezione!$AP$35-C2043)/C2043</f>
        <v>8.7078225118859556E-2</v>
      </c>
      <c r="P2043" s="545">
        <f>-'Sollecitazioni nel paramento'!$G$47*'Sollecitazioni nel paramento'!$G$41*IF(DATI!$G$211="dx",DATI!$E$61,DATI!$E$64*DATI!$E$63)*1000*C2043*sezione!$AD$5</f>
        <v>-1022136.3064311449</v>
      </c>
      <c r="Q2043" s="545">
        <f>'Foglio deposito bis'!$F$78*IF(ABS(K2043)&lt;'Sollecitazioni nel paramento'!$G$58,ABS(K2043)*'Sollecitazioni nel paramento'!$G$54,'Sollecitazioni nel paramento'!$G$53)*IF(K2043&lt;0,-1,1)</f>
        <v>0</v>
      </c>
      <c r="R2043" s="545">
        <f>'Foglio deposito bis'!$F$79*IF(ABS(L2043)&lt;'Sollecitazioni nel paramento'!$G$58,ABS(L2043)*'Sollecitazioni nel paramento'!$G$54,'Sollecitazioni nel paramento'!$G$53)*IF(L2043&lt;0,-1,1)</f>
        <v>153664.85805602249</v>
      </c>
      <c r="S2043" s="545">
        <f>'Foglio deposito bis'!$F$80*IF(ABS(M2043)&lt;'Sollecitazioni nel paramento'!$G$58,ABS(M2043)*'Sollecitazioni nel paramento'!$G$54,'Sollecitazioni nel paramento'!$G$53)*IF(M2043&lt;0,-1,1)</f>
        <v>0</v>
      </c>
      <c r="T2043" s="545">
        <f>'Foglio deposito bis'!$F$81*IF(ABS(N2043)&lt;'Sollecitazioni nel paramento'!$G$58,ABS(N2043)*'Sollecitazioni nel paramento'!$G$54,'Sollecitazioni nel paramento'!$G$53)*IF(N2043&lt;0,-1,1)</f>
        <v>398299.31208121032</v>
      </c>
      <c r="U2043" s="545">
        <f>'Foglio deposito bis'!$F$82*IF(ABS(O2043)&lt;'Sollecitazioni nel paramento'!$G$58,ABS(O2043)*'Sollecitazioni nel paramento'!$G$54,'Sollecitazioni nel paramento'!$G$53)*IF(O2043&lt;0,-1,1)</f>
        <v>892485.49558937876</v>
      </c>
      <c r="V2043" s="472">
        <f t="shared" si="142"/>
        <v>422313.35929546668</v>
      </c>
      <c r="W2043" s="551"/>
      <c r="X2043" s="551"/>
    </row>
    <row r="2044" spans="1:24" x14ac:dyDescent="0.25">
      <c r="A2044" s="545">
        <f t="shared" si="141"/>
        <v>403384.90917637153</v>
      </c>
      <c r="B2044" s="3">
        <f t="shared" si="143"/>
        <v>2.7499999999999982</v>
      </c>
      <c r="C2044" s="545">
        <f>'Foglio deposito bis'!$E$161/sezione!$B$247*B2044</f>
        <v>27.326686000216299</v>
      </c>
      <c r="D2044" s="603">
        <f>-'Sollecitazioni nel paramento'!$G$47*'Sollecitazioni nel paramento'!$G$41*IF(DATI!$G$211="dx",DATI!$E$61,DATI!$E$64*DATI!$E$63)*1000*C2044^2*sezione!$AD$5*(1-sezione!$AD$6)</f>
        <v>-16614128.229553781</v>
      </c>
      <c r="E2044" s="545">
        <f>-'Foglio deposito bis'!$F$78*(C2044-sezione!$AL$35)*IF(ABS(K2044)&lt;'Sollecitazioni nel paramento'!$G$58,ABS(K2044)*'Sollecitazioni nel paramento'!$G$54,'Sollecitazioni nel paramento'!$G$53)</f>
        <v>0</v>
      </c>
      <c r="F2044" s="545">
        <f>-'Foglio deposito bis'!$F$79*(C2044-sezione!$AM$35)*IF(ABS(L2044)&lt;'Sollecitazioni nel paramento'!$G$58,ABS(L2044)*'Sollecitazioni nel paramento'!$G$54,'Sollecitazioni nel paramento'!$G$53)</f>
        <v>5020740.1579966154</v>
      </c>
      <c r="G2044" s="545">
        <f>-'Foglio deposito bis'!$F$80*(C2044-sezione!$AN$35)*IF(ABS(M2044)&lt;'Sollecitazioni nel paramento'!$G$58,ABS(M2044)*'Sollecitazioni nel paramento'!$G$54,'Sollecitazioni nel paramento'!$G$53)</f>
        <v>0</v>
      </c>
      <c r="H2044" s="545">
        <f>-'Foglio deposito bis'!$F$81*(C2044-sezione!$AO$35)*IF(ABS(N2044)&lt;'Sollecitazioni nel paramento'!$G$58,ABS(N2044)*'Sollecitazioni nel paramento'!$G$54,'Sollecitazioni nel paramento'!$G$53)</f>
        <v>52843689.697648264</v>
      </c>
      <c r="I2044" s="472">
        <f>-'Foglio deposito bis'!$F$82*(C2044-sezione!$AP$35)*IF(ABS(O2044)&lt;'Sollecitazioni nel paramento'!$G$58,ABS(O2044)*'Sollecitazioni nel paramento'!$G$54,'Sollecitazioni nel paramento'!$G$53)</f>
        <v>595302010.85739303</v>
      </c>
      <c r="J2044" s="472">
        <f t="shared" si="140"/>
        <v>636552312.48348415</v>
      </c>
      <c r="K2044" s="550">
        <f>'Sollecitazioni nel paramento'!$G$60*(sezione!$AL$35-C2044)/C2044</f>
        <v>1.6231971560287941E-3</v>
      </c>
      <c r="L2044" s="550">
        <f>'Sollecitazioni nel paramento'!$G$60*(sezione!$AM$35-C2044)/C2044</f>
        <v>4.1847957340431906E-3</v>
      </c>
      <c r="M2044" s="551">
        <f>'Sollecitazioni nel paramento'!$G$60*(sezione!$AN$35-C2044)/C2044</f>
        <v>6.7463943120575874E-3</v>
      </c>
      <c r="N2044" s="551">
        <f>'Sollecitazioni nel paramento'!$G$60*(sezione!$AO$35-C2044)/C2044</f>
        <v>1.6992788624115178E-2</v>
      </c>
      <c r="O2044" s="551">
        <f>'Sollecitazioni nel paramento'!$G$60*(sezione!$AP$35-C2044)/C2044</f>
        <v>8.543134829851666E-2</v>
      </c>
      <c r="P2044" s="545">
        <f>-'Sollecitazioni nel paramento'!$G$47*'Sollecitazioni nel paramento'!$G$41*IF(DATI!$G$211="dx",DATI!$E$61,DATI!$E$64*DATI!$E$63)*1000*C2044*sezione!$AD$5</f>
        <v>-1041064.7565502401</v>
      </c>
      <c r="Q2044" s="545">
        <f>'Foglio deposito bis'!$F$78*IF(ABS(K2044)&lt;'Sollecitazioni nel paramento'!$G$58,ABS(K2044)*'Sollecitazioni nel paramento'!$G$54,'Sollecitazioni nel paramento'!$G$53)*IF(K2044&lt;0,-1,1)</f>
        <v>0</v>
      </c>
      <c r="R2044" s="545">
        <f>'Foglio deposito bis'!$F$79*IF(ABS(L2044)&lt;'Sollecitazioni nel paramento'!$G$58,ABS(L2044)*'Sollecitazioni nel paramento'!$G$54,'Sollecitazioni nel paramento'!$G$53)*IF(L2044&lt;0,-1,1)</f>
        <v>153664.85805602249</v>
      </c>
      <c r="S2044" s="545">
        <f>'Foglio deposito bis'!$F$80*IF(ABS(M2044)&lt;'Sollecitazioni nel paramento'!$G$58,ABS(M2044)*'Sollecitazioni nel paramento'!$G$54,'Sollecitazioni nel paramento'!$G$53)*IF(M2044&lt;0,-1,1)</f>
        <v>0</v>
      </c>
      <c r="T2044" s="545">
        <f>'Foglio deposito bis'!$F$81*IF(ABS(N2044)&lt;'Sollecitazioni nel paramento'!$G$58,ABS(N2044)*'Sollecitazioni nel paramento'!$G$54,'Sollecitazioni nel paramento'!$G$53)*IF(N2044&lt;0,-1,1)</f>
        <v>398299.31208121032</v>
      </c>
      <c r="U2044" s="545">
        <f>'Foglio deposito bis'!$F$82*IF(ABS(O2044)&lt;'Sollecitazioni nel paramento'!$G$58,ABS(O2044)*'Sollecitazioni nel paramento'!$G$54,'Sollecitazioni nel paramento'!$G$53)*IF(O2044&lt;0,-1,1)</f>
        <v>892485.49558937876</v>
      </c>
      <c r="V2044" s="472">
        <f t="shared" si="142"/>
        <v>403384.90917637153</v>
      </c>
      <c r="W2044" s="551"/>
      <c r="X2044" s="551"/>
    </row>
    <row r="2045" spans="1:24" x14ac:dyDescent="0.25">
      <c r="A2045" s="545">
        <f t="shared" si="141"/>
        <v>384456.45905727614</v>
      </c>
      <c r="B2045" s="3">
        <f t="shared" si="143"/>
        <v>2.799999999999998</v>
      </c>
      <c r="C2045" s="545">
        <f>'Foglio deposito bis'!$E$161/sezione!$B$247*B2045</f>
        <v>27.823534836583868</v>
      </c>
      <c r="D2045" s="603">
        <f>-'Sollecitazioni nel paramento'!$G$47*'Sollecitazioni nel paramento'!$G$41*IF(DATI!$G$211="dx",DATI!$E$61,DATI!$E$64*DATI!$E$63)*1000*C2045^2*sezione!$AD$5*(1-sezione!$AD$6)</f>
        <v>-17223770.620786995</v>
      </c>
      <c r="E2045" s="545">
        <f>-'Foglio deposito bis'!$F$78*(C2045-sezione!$AL$35)*IF(ABS(K2045)&lt;'Sollecitazioni nel paramento'!$G$58,ABS(K2045)*'Sollecitazioni nel paramento'!$G$54,'Sollecitazioni nel paramento'!$G$53)</f>
        <v>0</v>
      </c>
      <c r="F2045" s="545">
        <f>-'Foglio deposito bis'!$F$79*(C2045-sezione!$AM$35)*IF(ABS(L2045)&lt;'Sollecitazioni nel paramento'!$G$58,ABS(L2045)*'Sollecitazioni nel paramento'!$G$54,'Sollecitazioni nel paramento'!$G$53)</f>
        <v>4944391.9520808924</v>
      </c>
      <c r="G2045" s="545">
        <f>-'Foglio deposito bis'!$F$80*(C2045-sezione!$AN$35)*IF(ABS(M2045)&lt;'Sollecitazioni nel paramento'!$G$58,ABS(M2045)*'Sollecitazioni nel paramento'!$G$54,'Sollecitazioni nel paramento'!$G$53)</f>
        <v>0</v>
      </c>
      <c r="H2045" s="545">
        <f>-'Foglio deposito bis'!$F$81*(C2045-sezione!$AO$35)*IF(ABS(N2045)&lt;'Sollecitazioni nel paramento'!$G$58,ABS(N2045)*'Sollecitazioni nel paramento'!$G$54,'Sollecitazioni nel paramento'!$G$53)</f>
        <v>52645795.147914715</v>
      </c>
      <c r="I2045" s="472">
        <f>-'Foglio deposito bis'!$F$82*(C2045-sezione!$AP$35)*IF(ABS(O2045)&lt;'Sollecitazioni nel paramento'!$G$58,ABS(O2045)*'Sollecitazioni nel paramento'!$G$54,'Sollecitazioni nel paramento'!$G$53)</f>
        <v>594858580.47743464</v>
      </c>
      <c r="J2045" s="472">
        <f t="shared" si="140"/>
        <v>635224996.95664322</v>
      </c>
      <c r="K2045" s="550">
        <f>'Sollecitazioni nel paramento'!$G$60*(sezione!$AL$35-C2045)/C2045</f>
        <v>1.5317114925282799E-3</v>
      </c>
      <c r="L2045" s="550">
        <f>'Sollecitazioni nel paramento'!$G$60*(sezione!$AM$35-C2045)/C2045</f>
        <v>4.04756723879242E-3</v>
      </c>
      <c r="M2045" s="551">
        <f>'Sollecitazioni nel paramento'!$G$60*(sezione!$AN$35-C2045)/C2045</f>
        <v>6.5634229850565599E-3</v>
      </c>
      <c r="N2045" s="551">
        <f>'Sollecitazioni nel paramento'!$G$60*(sezione!$AO$35-C2045)/C2045</f>
        <v>1.662684597011312E-2</v>
      </c>
      <c r="O2045" s="551">
        <f>'Sollecitazioni nel paramento'!$G$60*(sezione!$AP$35-C2045)/C2045</f>
        <v>8.3843288507471705E-2</v>
      </c>
      <c r="P2045" s="545">
        <f>-'Sollecitazioni nel paramento'!$G$47*'Sollecitazioni nel paramento'!$G$41*IF(DATI!$G$211="dx",DATI!$E$61,DATI!$E$64*DATI!$E$63)*1000*C2045*sezione!$AD$5</f>
        <v>-1059993.2066693355</v>
      </c>
      <c r="Q2045" s="545">
        <f>'Foglio deposito bis'!$F$78*IF(ABS(K2045)&lt;'Sollecitazioni nel paramento'!$G$58,ABS(K2045)*'Sollecitazioni nel paramento'!$G$54,'Sollecitazioni nel paramento'!$G$53)*IF(K2045&lt;0,-1,1)</f>
        <v>0</v>
      </c>
      <c r="R2045" s="545">
        <f>'Foglio deposito bis'!$F$79*IF(ABS(L2045)&lt;'Sollecitazioni nel paramento'!$G$58,ABS(L2045)*'Sollecitazioni nel paramento'!$G$54,'Sollecitazioni nel paramento'!$G$53)*IF(L2045&lt;0,-1,1)</f>
        <v>153664.85805602249</v>
      </c>
      <c r="S2045" s="545">
        <f>'Foglio deposito bis'!$F$80*IF(ABS(M2045)&lt;'Sollecitazioni nel paramento'!$G$58,ABS(M2045)*'Sollecitazioni nel paramento'!$G$54,'Sollecitazioni nel paramento'!$G$53)*IF(M2045&lt;0,-1,1)</f>
        <v>0</v>
      </c>
      <c r="T2045" s="545">
        <f>'Foglio deposito bis'!$F$81*IF(ABS(N2045)&lt;'Sollecitazioni nel paramento'!$G$58,ABS(N2045)*'Sollecitazioni nel paramento'!$G$54,'Sollecitazioni nel paramento'!$G$53)*IF(N2045&lt;0,-1,1)</f>
        <v>398299.31208121032</v>
      </c>
      <c r="U2045" s="545">
        <f>'Foglio deposito bis'!$F$82*IF(ABS(O2045)&lt;'Sollecitazioni nel paramento'!$G$58,ABS(O2045)*'Sollecitazioni nel paramento'!$G$54,'Sollecitazioni nel paramento'!$G$53)*IF(O2045&lt;0,-1,1)</f>
        <v>892485.49558937876</v>
      </c>
      <c r="V2045" s="472">
        <f t="shared" si="142"/>
        <v>384456.45905727614</v>
      </c>
      <c r="W2045" s="551"/>
      <c r="X2045" s="551"/>
    </row>
    <row r="2046" spans="1:24" x14ac:dyDescent="0.25">
      <c r="A2046" s="545">
        <f t="shared" si="141"/>
        <v>365528.00893818098</v>
      </c>
      <c r="B2046" s="3">
        <f t="shared" si="143"/>
        <v>2.8499999999999979</v>
      </c>
      <c r="C2046" s="545">
        <f>'Foglio deposito bis'!$E$161/sezione!$B$247*B2046</f>
        <v>28.320383672951433</v>
      </c>
      <c r="D2046" s="603">
        <f>-'Sollecitazioni nel paramento'!$G$47*'Sollecitazioni nel paramento'!$G$41*IF(DATI!$G$211="dx",DATI!$E$61,DATI!$E$64*DATI!$E$63)*1000*C2046^2*sezione!$AD$5*(1-sezione!$AD$6)</f>
        <v>-17844397.559609991</v>
      </c>
      <c r="E2046" s="545">
        <f>-'Foglio deposito bis'!$F$78*(C2046-sezione!$AL$35)*IF(ABS(K2046)&lt;'Sollecitazioni nel paramento'!$G$58,ABS(K2046)*'Sollecitazioni nel paramento'!$G$54,'Sollecitazioni nel paramento'!$G$53)</f>
        <v>0</v>
      </c>
      <c r="F2046" s="545">
        <f>-'Foglio deposito bis'!$F$79*(C2046-sezione!$AM$35)*IF(ABS(L2046)&lt;'Sollecitazioni nel paramento'!$G$58,ABS(L2046)*'Sollecitazioni nel paramento'!$G$54,'Sollecitazioni nel paramento'!$G$53)</f>
        <v>4868043.7461651703</v>
      </c>
      <c r="G2046" s="545">
        <f>-'Foglio deposito bis'!$F$80*(C2046-sezione!$AN$35)*IF(ABS(M2046)&lt;'Sollecitazioni nel paramento'!$G$58,ABS(M2046)*'Sollecitazioni nel paramento'!$G$54,'Sollecitazioni nel paramento'!$G$53)</f>
        <v>0</v>
      </c>
      <c r="H2046" s="545">
        <f>-'Foglio deposito bis'!$F$81*(C2046-sezione!$AO$35)*IF(ABS(N2046)&lt;'Sollecitazioni nel paramento'!$G$58,ABS(N2046)*'Sollecitazioni nel paramento'!$G$54,'Sollecitazioni nel paramento'!$G$53)</f>
        <v>52447900.598181158</v>
      </c>
      <c r="I2046" s="472">
        <f>-'Foglio deposito bis'!$F$82*(C2046-sezione!$AP$35)*IF(ABS(O2046)&lt;'Sollecitazioni nel paramento'!$G$58,ABS(O2046)*'Sollecitazioni nel paramento'!$G$54,'Sollecitazioni nel paramento'!$G$53)</f>
        <v>594415150.09747624</v>
      </c>
      <c r="J2046" s="472">
        <f t="shared" si="140"/>
        <v>633886696.88221264</v>
      </c>
      <c r="K2046" s="550">
        <f>'Sollecitazioni nel paramento'!$G$60*(sezione!$AL$35-C2046)/C2046</f>
        <v>1.443435852308486E-3</v>
      </c>
      <c r="L2046" s="550">
        <f>'Sollecitazioni nel paramento'!$G$60*(sezione!$AM$35-C2046)/C2046</f>
        <v>3.9151537784627294E-3</v>
      </c>
      <c r="M2046" s="551">
        <f>'Sollecitazioni nel paramento'!$G$60*(sezione!$AN$35-C2046)/C2046</f>
        <v>6.3868717046169712E-3</v>
      </c>
      <c r="N2046" s="551">
        <f>'Sollecitazioni nel paramento'!$G$60*(sezione!$AO$35-C2046)/C2046</f>
        <v>1.6273743409233942E-2</v>
      </c>
      <c r="O2046" s="551">
        <f>'Sollecitazioni nel paramento'!$G$60*(sezione!$AP$35-C2046)/C2046</f>
        <v>8.2310950112603809E-2</v>
      </c>
      <c r="P2046" s="545">
        <f>-'Sollecitazioni nel paramento'!$G$47*'Sollecitazioni nel paramento'!$G$41*IF(DATI!$G$211="dx",DATI!$E$61,DATI!$E$64*DATI!$E$63)*1000*C2046*sezione!$AD$5</f>
        <v>-1078921.6567884306</v>
      </c>
      <c r="Q2046" s="545">
        <f>'Foglio deposito bis'!$F$78*IF(ABS(K2046)&lt;'Sollecitazioni nel paramento'!$G$58,ABS(K2046)*'Sollecitazioni nel paramento'!$G$54,'Sollecitazioni nel paramento'!$G$53)*IF(K2046&lt;0,-1,1)</f>
        <v>0</v>
      </c>
      <c r="R2046" s="545">
        <f>'Foglio deposito bis'!$F$79*IF(ABS(L2046)&lt;'Sollecitazioni nel paramento'!$G$58,ABS(L2046)*'Sollecitazioni nel paramento'!$G$54,'Sollecitazioni nel paramento'!$G$53)*IF(L2046&lt;0,-1,1)</f>
        <v>153664.85805602249</v>
      </c>
      <c r="S2046" s="545">
        <f>'Foglio deposito bis'!$F$80*IF(ABS(M2046)&lt;'Sollecitazioni nel paramento'!$G$58,ABS(M2046)*'Sollecitazioni nel paramento'!$G$54,'Sollecitazioni nel paramento'!$G$53)*IF(M2046&lt;0,-1,1)</f>
        <v>0</v>
      </c>
      <c r="T2046" s="545">
        <f>'Foglio deposito bis'!$F$81*IF(ABS(N2046)&lt;'Sollecitazioni nel paramento'!$G$58,ABS(N2046)*'Sollecitazioni nel paramento'!$G$54,'Sollecitazioni nel paramento'!$G$53)*IF(N2046&lt;0,-1,1)</f>
        <v>398299.31208121032</v>
      </c>
      <c r="U2046" s="545">
        <f>'Foglio deposito bis'!$F$82*IF(ABS(O2046)&lt;'Sollecitazioni nel paramento'!$G$58,ABS(O2046)*'Sollecitazioni nel paramento'!$G$54,'Sollecitazioni nel paramento'!$G$53)*IF(O2046&lt;0,-1,1)</f>
        <v>892485.49558937876</v>
      </c>
      <c r="V2046" s="472">
        <f t="shared" si="142"/>
        <v>365528.00893818098</v>
      </c>
      <c r="W2046" s="551"/>
      <c r="X2046" s="551"/>
    </row>
    <row r="2047" spans="1:24" x14ac:dyDescent="0.25">
      <c r="A2047" s="545">
        <f t="shared" si="141"/>
        <v>346599.55881908583</v>
      </c>
      <c r="B2047" s="3">
        <f t="shared" si="143"/>
        <v>2.8999999999999977</v>
      </c>
      <c r="C2047" s="545">
        <f>'Foglio deposito bis'!$E$161/sezione!$B$247*B2047</f>
        <v>28.817232509319002</v>
      </c>
      <c r="D2047" s="603">
        <f>-'Sollecitazioni nel paramento'!$G$47*'Sollecitazioni nel paramento'!$G$41*IF(DATI!$G$211="dx",DATI!$E$61,DATI!$E$64*DATI!$E$63)*1000*C2047^2*sezione!$AD$5*(1-sezione!$AD$6)</f>
        <v>-18476009.04602278</v>
      </c>
      <c r="E2047" s="545">
        <f>-'Foglio deposito bis'!$F$78*(C2047-sezione!$AL$35)*IF(ABS(K2047)&lt;'Sollecitazioni nel paramento'!$G$58,ABS(K2047)*'Sollecitazioni nel paramento'!$G$54,'Sollecitazioni nel paramento'!$G$53)</f>
        <v>0</v>
      </c>
      <c r="F2047" s="545">
        <f>-'Foglio deposito bis'!$F$79*(C2047-sezione!$AM$35)*IF(ABS(L2047)&lt;'Sollecitazioni nel paramento'!$G$58,ABS(L2047)*'Sollecitazioni nel paramento'!$G$54,'Sollecitazioni nel paramento'!$G$53)</f>
        <v>4791695.5402494483</v>
      </c>
      <c r="G2047" s="545">
        <f>-'Foglio deposito bis'!$F$80*(C2047-sezione!$AN$35)*IF(ABS(M2047)&lt;'Sollecitazioni nel paramento'!$G$58,ABS(M2047)*'Sollecitazioni nel paramento'!$G$54,'Sollecitazioni nel paramento'!$G$53)</f>
        <v>0</v>
      </c>
      <c r="H2047" s="545">
        <f>-'Foglio deposito bis'!$F$81*(C2047-sezione!$AO$35)*IF(ABS(N2047)&lt;'Sollecitazioni nel paramento'!$G$58,ABS(N2047)*'Sollecitazioni nel paramento'!$G$54,'Sollecitazioni nel paramento'!$G$53)</f>
        <v>52250006.048447594</v>
      </c>
      <c r="I2047" s="472">
        <f>-'Foglio deposito bis'!$F$82*(C2047-sezione!$AP$35)*IF(ABS(O2047)&lt;'Sollecitazioni nel paramento'!$G$58,ABS(O2047)*'Sollecitazioni nel paramento'!$G$54,'Sollecitazioni nel paramento'!$G$53)</f>
        <v>593971719.71751761</v>
      </c>
      <c r="J2047" s="472">
        <f t="shared" si="140"/>
        <v>632537412.26019192</v>
      </c>
      <c r="K2047" s="550">
        <f>'Sollecitazioni nel paramento'!$G$60*(sezione!$AL$35-C2047)/C2047</f>
        <v>1.3582041996824776E-3</v>
      </c>
      <c r="L2047" s="550">
        <f>'Sollecitazioni nel paramento'!$G$60*(sezione!$AM$35-C2047)/C2047</f>
        <v>3.7873062995237169E-3</v>
      </c>
      <c r="M2047" s="551">
        <f>'Sollecitazioni nel paramento'!$G$60*(sezione!$AN$35-C2047)/C2047</f>
        <v>6.2164083993649566E-3</v>
      </c>
      <c r="N2047" s="551">
        <f>'Sollecitazioni nel paramento'!$G$60*(sezione!$AO$35-C2047)/C2047</f>
        <v>1.5932816798729911E-2</v>
      </c>
      <c r="O2047" s="551">
        <f>'Sollecitazioni nel paramento'!$G$60*(sezione!$AP$35-C2047)/C2047</f>
        <v>8.0831450972731325E-2</v>
      </c>
      <c r="P2047" s="545">
        <f>-'Sollecitazioni nel paramento'!$G$47*'Sollecitazioni nel paramento'!$G$41*IF(DATI!$G$211="dx",DATI!$E$61,DATI!$E$64*DATI!$E$63)*1000*C2047*sezione!$AD$5</f>
        <v>-1097850.1069075258</v>
      </c>
      <c r="Q2047" s="545">
        <f>'Foglio deposito bis'!$F$78*IF(ABS(K2047)&lt;'Sollecitazioni nel paramento'!$G$58,ABS(K2047)*'Sollecitazioni nel paramento'!$G$54,'Sollecitazioni nel paramento'!$G$53)*IF(K2047&lt;0,-1,1)</f>
        <v>0</v>
      </c>
      <c r="R2047" s="545">
        <f>'Foglio deposito bis'!$F$79*IF(ABS(L2047)&lt;'Sollecitazioni nel paramento'!$G$58,ABS(L2047)*'Sollecitazioni nel paramento'!$G$54,'Sollecitazioni nel paramento'!$G$53)*IF(L2047&lt;0,-1,1)</f>
        <v>153664.85805602249</v>
      </c>
      <c r="S2047" s="545">
        <f>'Foglio deposito bis'!$F$80*IF(ABS(M2047)&lt;'Sollecitazioni nel paramento'!$G$58,ABS(M2047)*'Sollecitazioni nel paramento'!$G$54,'Sollecitazioni nel paramento'!$G$53)*IF(M2047&lt;0,-1,1)</f>
        <v>0</v>
      </c>
      <c r="T2047" s="545">
        <f>'Foglio deposito bis'!$F$81*IF(ABS(N2047)&lt;'Sollecitazioni nel paramento'!$G$58,ABS(N2047)*'Sollecitazioni nel paramento'!$G$54,'Sollecitazioni nel paramento'!$G$53)*IF(N2047&lt;0,-1,1)</f>
        <v>398299.31208121032</v>
      </c>
      <c r="U2047" s="545">
        <f>'Foglio deposito bis'!$F$82*IF(ABS(O2047)&lt;'Sollecitazioni nel paramento'!$G$58,ABS(O2047)*'Sollecitazioni nel paramento'!$G$54,'Sollecitazioni nel paramento'!$G$53)*IF(O2047&lt;0,-1,1)</f>
        <v>892485.49558937876</v>
      </c>
      <c r="V2047" s="472">
        <f t="shared" si="142"/>
        <v>346599.55881908583</v>
      </c>
      <c r="W2047" s="551"/>
      <c r="X2047" s="551"/>
    </row>
    <row r="2048" spans="1:24" x14ac:dyDescent="0.25">
      <c r="A2048" s="545">
        <f t="shared" si="141"/>
        <v>327671.10869999067</v>
      </c>
      <c r="B2048" s="3">
        <f t="shared" si="143"/>
        <v>2.9499999999999975</v>
      </c>
      <c r="C2048" s="545">
        <f>'Foglio deposito bis'!$E$161/sezione!$B$247*B2048</f>
        <v>29.314081345686567</v>
      </c>
      <c r="D2048" s="603">
        <f>-'Sollecitazioni nel paramento'!$G$47*'Sollecitazioni nel paramento'!$G$41*IF(DATI!$G$211="dx",DATI!$E$61,DATI!$E$64*DATI!$E$63)*1000*C2048^2*sezione!$AD$5*(1-sezione!$AD$6)</f>
        <v>-19118605.080025349</v>
      </c>
      <c r="E2048" s="545">
        <f>-'Foglio deposito bis'!$F$78*(C2048-sezione!$AL$35)*IF(ABS(K2048)&lt;'Sollecitazioni nel paramento'!$G$58,ABS(K2048)*'Sollecitazioni nel paramento'!$G$54,'Sollecitazioni nel paramento'!$G$53)</f>
        <v>0</v>
      </c>
      <c r="F2048" s="545">
        <f>-'Foglio deposito bis'!$F$79*(C2048-sezione!$AM$35)*IF(ABS(L2048)&lt;'Sollecitazioni nel paramento'!$G$58,ABS(L2048)*'Sollecitazioni nel paramento'!$G$54,'Sollecitazioni nel paramento'!$G$53)</f>
        <v>4715347.3343337262</v>
      </c>
      <c r="G2048" s="545">
        <f>-'Foglio deposito bis'!$F$80*(C2048-sezione!$AN$35)*IF(ABS(M2048)&lt;'Sollecitazioni nel paramento'!$G$58,ABS(M2048)*'Sollecitazioni nel paramento'!$G$54,'Sollecitazioni nel paramento'!$G$53)</f>
        <v>0</v>
      </c>
      <c r="H2048" s="545">
        <f>-'Foglio deposito bis'!$F$81*(C2048-sezione!$AO$35)*IF(ABS(N2048)&lt;'Sollecitazioni nel paramento'!$G$58,ABS(N2048)*'Sollecitazioni nel paramento'!$G$54,'Sollecitazioni nel paramento'!$G$53)</f>
        <v>52052111.498714052</v>
      </c>
      <c r="I2048" s="472">
        <f>-'Foglio deposito bis'!$F$82*(C2048-sezione!$AP$35)*IF(ABS(O2048)&lt;'Sollecitazioni nel paramento'!$G$58,ABS(O2048)*'Sollecitazioni nel paramento'!$G$54,'Sollecitazioni nel paramento'!$G$53)</f>
        <v>593528289.3375591</v>
      </c>
      <c r="J2048" s="472">
        <f t="shared" si="140"/>
        <v>631177143.09058154</v>
      </c>
      <c r="K2048" s="550">
        <f>'Sollecitazioni nel paramento'!$G$60*(sezione!$AL$35-C2048)/C2048</f>
        <v>1.2758617556200636E-3</v>
      </c>
      <c r="L2048" s="550">
        <f>'Sollecitazioni nel paramento'!$G$60*(sezione!$AM$35-C2048)/C2048</f>
        <v>3.6637926334300956E-3</v>
      </c>
      <c r="M2048" s="551">
        <f>'Sollecitazioni nel paramento'!$G$60*(sezione!$AN$35-C2048)/C2048</f>
        <v>6.0517235112401268E-3</v>
      </c>
      <c r="N2048" s="551">
        <f>'Sollecitazioni nel paramento'!$G$60*(sezione!$AO$35-C2048)/C2048</f>
        <v>1.5603447022480255E-2</v>
      </c>
      <c r="O2048" s="551">
        <f>'Sollecitazioni nel paramento'!$G$60*(sezione!$AP$35-C2048)/C2048</f>
        <v>7.9402104346074864E-2</v>
      </c>
      <c r="P2048" s="545">
        <f>-'Sollecitazioni nel paramento'!$G$47*'Sollecitazioni nel paramento'!$G$41*IF(DATI!$G$211="dx",DATI!$E$61,DATI!$E$64*DATI!$E$63)*1000*C2048*sezione!$AD$5</f>
        <v>-1116778.557026621</v>
      </c>
      <c r="Q2048" s="545">
        <f>'Foglio deposito bis'!$F$78*IF(ABS(K2048)&lt;'Sollecitazioni nel paramento'!$G$58,ABS(K2048)*'Sollecitazioni nel paramento'!$G$54,'Sollecitazioni nel paramento'!$G$53)*IF(K2048&lt;0,-1,1)</f>
        <v>0</v>
      </c>
      <c r="R2048" s="545">
        <f>'Foglio deposito bis'!$F$79*IF(ABS(L2048)&lt;'Sollecitazioni nel paramento'!$G$58,ABS(L2048)*'Sollecitazioni nel paramento'!$G$54,'Sollecitazioni nel paramento'!$G$53)*IF(L2048&lt;0,-1,1)</f>
        <v>153664.85805602249</v>
      </c>
      <c r="S2048" s="545">
        <f>'Foglio deposito bis'!$F$80*IF(ABS(M2048)&lt;'Sollecitazioni nel paramento'!$G$58,ABS(M2048)*'Sollecitazioni nel paramento'!$G$54,'Sollecitazioni nel paramento'!$G$53)*IF(M2048&lt;0,-1,1)</f>
        <v>0</v>
      </c>
      <c r="T2048" s="545">
        <f>'Foglio deposito bis'!$F$81*IF(ABS(N2048)&lt;'Sollecitazioni nel paramento'!$G$58,ABS(N2048)*'Sollecitazioni nel paramento'!$G$54,'Sollecitazioni nel paramento'!$G$53)*IF(N2048&lt;0,-1,1)</f>
        <v>398299.31208121032</v>
      </c>
      <c r="U2048" s="545">
        <f>'Foglio deposito bis'!$F$82*IF(ABS(O2048)&lt;'Sollecitazioni nel paramento'!$G$58,ABS(O2048)*'Sollecitazioni nel paramento'!$G$54,'Sollecitazioni nel paramento'!$G$53)*IF(O2048&lt;0,-1,1)</f>
        <v>892485.49558937876</v>
      </c>
      <c r="V2048" s="472">
        <f t="shared" si="142"/>
        <v>327671.10869999067</v>
      </c>
      <c r="W2048" s="551"/>
      <c r="X2048" s="551"/>
    </row>
    <row r="2049" spans="1:24" x14ac:dyDescent="0.25">
      <c r="A2049" s="545">
        <f t="shared" si="141"/>
        <v>308742.65858089528</v>
      </c>
      <c r="B2049" s="3">
        <f t="shared" si="143"/>
        <v>2.9999999999999973</v>
      </c>
      <c r="C2049" s="545">
        <f>'Foglio deposito bis'!$E$161/sezione!$B$247*B2049</f>
        <v>29.810930182054136</v>
      </c>
      <c r="D2049" s="603">
        <f>-'Sollecitazioni nel paramento'!$G$47*'Sollecitazioni nel paramento'!$G$41*IF(DATI!$G$211="dx",DATI!$E$61,DATI!$E$64*DATI!$E$63)*1000*C2049^2*sezione!$AD$5*(1-sezione!$AD$6)</f>
        <v>-19772185.661617715</v>
      </c>
      <c r="E2049" s="545">
        <f>-'Foglio deposito bis'!$F$78*(C2049-sezione!$AL$35)*IF(ABS(K2049)&lt;'Sollecitazioni nel paramento'!$G$58,ABS(K2049)*'Sollecitazioni nel paramento'!$G$54,'Sollecitazioni nel paramento'!$G$53)</f>
        <v>0</v>
      </c>
      <c r="F2049" s="545">
        <f>-'Foglio deposito bis'!$F$79*(C2049-sezione!$AM$35)*IF(ABS(L2049)&lt;'Sollecitazioni nel paramento'!$G$58,ABS(L2049)*'Sollecitazioni nel paramento'!$G$54,'Sollecitazioni nel paramento'!$G$53)</f>
        <v>4638999.1284180041</v>
      </c>
      <c r="G2049" s="545">
        <f>-'Foglio deposito bis'!$F$80*(C2049-sezione!$AN$35)*IF(ABS(M2049)&lt;'Sollecitazioni nel paramento'!$G$58,ABS(M2049)*'Sollecitazioni nel paramento'!$G$54,'Sollecitazioni nel paramento'!$G$53)</f>
        <v>0</v>
      </c>
      <c r="H2049" s="545">
        <f>-'Foglio deposito bis'!$F$81*(C2049-sezione!$AO$35)*IF(ABS(N2049)&lt;'Sollecitazioni nel paramento'!$G$58,ABS(N2049)*'Sollecitazioni nel paramento'!$G$54,'Sollecitazioni nel paramento'!$G$53)</f>
        <v>51854216.948980495</v>
      </c>
      <c r="I2049" s="472">
        <f>-'Foglio deposito bis'!$F$82*(C2049-sezione!$AP$35)*IF(ABS(O2049)&lt;'Sollecitazioni nel paramento'!$G$58,ABS(O2049)*'Sollecitazioni nel paramento'!$G$54,'Sollecitazioni nel paramento'!$G$53)</f>
        <v>593084858.95760059</v>
      </c>
      <c r="J2049" s="472">
        <f t="shared" si="140"/>
        <v>629805889.37338138</v>
      </c>
      <c r="K2049" s="550">
        <f>'Sollecitazioni nel paramento'!$G$60*(sezione!$AL$35-C2049)/C2049</f>
        <v>1.1962640596930624E-3</v>
      </c>
      <c r="L2049" s="550">
        <f>'Sollecitazioni nel paramento'!$G$60*(sezione!$AM$35-C2049)/C2049</f>
        <v>3.5443960895395936E-3</v>
      </c>
      <c r="M2049" s="551">
        <f>'Sollecitazioni nel paramento'!$G$60*(sezione!$AN$35-C2049)/C2049</f>
        <v>5.8925281193861253E-3</v>
      </c>
      <c r="N2049" s="551">
        <f>'Sollecitazioni nel paramento'!$G$60*(sezione!$AO$35-C2049)/C2049</f>
        <v>1.528505623877225E-2</v>
      </c>
      <c r="O2049" s="551">
        <f>'Sollecitazioni nel paramento'!$G$60*(sezione!$AP$35-C2049)/C2049</f>
        <v>7.8020402606973641E-2</v>
      </c>
      <c r="P2049" s="545">
        <f>-'Sollecitazioni nel paramento'!$G$47*'Sollecitazioni nel paramento'!$G$41*IF(DATI!$G$211="dx",DATI!$E$61,DATI!$E$64*DATI!$E$63)*1000*C2049*sezione!$AD$5</f>
        <v>-1135707.0071457163</v>
      </c>
      <c r="Q2049" s="545">
        <f>'Foglio deposito bis'!$F$78*IF(ABS(K2049)&lt;'Sollecitazioni nel paramento'!$G$58,ABS(K2049)*'Sollecitazioni nel paramento'!$G$54,'Sollecitazioni nel paramento'!$G$53)*IF(K2049&lt;0,-1,1)</f>
        <v>0</v>
      </c>
      <c r="R2049" s="545">
        <f>'Foglio deposito bis'!$F$79*IF(ABS(L2049)&lt;'Sollecitazioni nel paramento'!$G$58,ABS(L2049)*'Sollecitazioni nel paramento'!$G$54,'Sollecitazioni nel paramento'!$G$53)*IF(L2049&lt;0,-1,1)</f>
        <v>153664.85805602249</v>
      </c>
      <c r="S2049" s="545">
        <f>'Foglio deposito bis'!$F$80*IF(ABS(M2049)&lt;'Sollecitazioni nel paramento'!$G$58,ABS(M2049)*'Sollecitazioni nel paramento'!$G$54,'Sollecitazioni nel paramento'!$G$53)*IF(M2049&lt;0,-1,1)</f>
        <v>0</v>
      </c>
      <c r="T2049" s="545">
        <f>'Foglio deposito bis'!$F$81*IF(ABS(N2049)&lt;'Sollecitazioni nel paramento'!$G$58,ABS(N2049)*'Sollecitazioni nel paramento'!$G$54,'Sollecitazioni nel paramento'!$G$53)*IF(N2049&lt;0,-1,1)</f>
        <v>398299.31208121032</v>
      </c>
      <c r="U2049" s="545">
        <f>'Foglio deposito bis'!$F$82*IF(ABS(O2049)&lt;'Sollecitazioni nel paramento'!$G$58,ABS(O2049)*'Sollecitazioni nel paramento'!$G$54,'Sollecitazioni nel paramento'!$G$53)*IF(O2049&lt;0,-1,1)</f>
        <v>892485.49558937876</v>
      </c>
      <c r="V2049" s="472">
        <f t="shared" si="142"/>
        <v>308742.65858089528</v>
      </c>
      <c r="W2049" s="551"/>
      <c r="X2049" s="551"/>
    </row>
    <row r="2050" spans="1:24" x14ac:dyDescent="0.25">
      <c r="A2050" s="545">
        <f t="shared" si="141"/>
        <v>289814.20846180012</v>
      </c>
      <c r="B2050" s="3">
        <f t="shared" si="143"/>
        <v>3.0499999999999972</v>
      </c>
      <c r="C2050" s="545">
        <f>'Foglio deposito bis'!$E$161/sezione!$B$247*B2050</f>
        <v>30.307779018421705</v>
      </c>
      <c r="D2050" s="603">
        <f>-'Sollecitazioni nel paramento'!$G$47*'Sollecitazioni nel paramento'!$G$41*IF(DATI!$G$211="dx",DATI!$E$61,DATI!$E$64*DATI!$E$63)*1000*C2050^2*sezione!$AD$5*(1-sezione!$AD$6)</f>
        <v>-20436750.790799867</v>
      </c>
      <c r="E2050" s="545">
        <f>-'Foglio deposito bis'!$F$78*(C2050-sezione!$AL$35)*IF(ABS(K2050)&lt;'Sollecitazioni nel paramento'!$G$58,ABS(K2050)*'Sollecitazioni nel paramento'!$G$54,'Sollecitazioni nel paramento'!$G$53)</f>
        <v>0</v>
      </c>
      <c r="F2050" s="545">
        <f>-'Foglio deposito bis'!$F$79*(C2050-sezione!$AM$35)*IF(ABS(L2050)&lt;'Sollecitazioni nel paramento'!$G$58,ABS(L2050)*'Sollecitazioni nel paramento'!$G$54,'Sollecitazioni nel paramento'!$G$53)</f>
        <v>4562650.9225022821</v>
      </c>
      <c r="G2050" s="545">
        <f>-'Foglio deposito bis'!$F$80*(C2050-sezione!$AN$35)*IF(ABS(M2050)&lt;'Sollecitazioni nel paramento'!$G$58,ABS(M2050)*'Sollecitazioni nel paramento'!$G$54,'Sollecitazioni nel paramento'!$G$53)</f>
        <v>0</v>
      </c>
      <c r="H2050" s="545">
        <f>-'Foglio deposito bis'!$F$81*(C2050-sezione!$AO$35)*IF(ABS(N2050)&lt;'Sollecitazioni nel paramento'!$G$58,ABS(N2050)*'Sollecitazioni nel paramento'!$G$54,'Sollecitazioni nel paramento'!$G$53)</f>
        <v>51656322.399246939</v>
      </c>
      <c r="I2050" s="472">
        <f>-'Foglio deposito bis'!$F$82*(C2050-sezione!$AP$35)*IF(ABS(O2050)&lt;'Sollecitazioni nel paramento'!$G$58,ABS(O2050)*'Sollecitazioni nel paramento'!$G$54,'Sollecitazioni nel paramento'!$G$53)</f>
        <v>592641428.57764208</v>
      </c>
      <c r="J2050" s="472">
        <f t="shared" si="140"/>
        <v>628423651.10859144</v>
      </c>
      <c r="K2050" s="550">
        <f>'Sollecitazioni nel paramento'!$G$60*(sezione!$AL$35-C2050)/C2050</f>
        <v>1.1192761242882581E-3</v>
      </c>
      <c r="L2050" s="550">
        <f>'Sollecitazioni nel paramento'!$G$60*(sezione!$AM$35-C2050)/C2050</f>
        <v>3.4289141864323868E-3</v>
      </c>
      <c r="M2050" s="551">
        <f>'Sollecitazioni nel paramento'!$G$60*(sezione!$AN$35-C2050)/C2050</f>
        <v>5.7385522485765162E-3</v>
      </c>
      <c r="N2050" s="551">
        <f>'Sollecitazioni nel paramento'!$G$60*(sezione!$AO$35-C2050)/C2050</f>
        <v>1.4977104497153032E-2</v>
      </c>
      <c r="O2050" s="551">
        <f>'Sollecitazioni nel paramento'!$G$60*(sezione!$AP$35-C2050)/C2050</f>
        <v>7.6684002564236353E-2</v>
      </c>
      <c r="P2050" s="545">
        <f>-'Sollecitazioni nel paramento'!$G$47*'Sollecitazioni nel paramento'!$G$41*IF(DATI!$G$211="dx",DATI!$E$61,DATI!$E$64*DATI!$E$63)*1000*C2050*sezione!$AD$5</f>
        <v>-1154635.4572648115</v>
      </c>
      <c r="Q2050" s="545">
        <f>'Foglio deposito bis'!$F$78*IF(ABS(K2050)&lt;'Sollecitazioni nel paramento'!$G$58,ABS(K2050)*'Sollecitazioni nel paramento'!$G$54,'Sollecitazioni nel paramento'!$G$53)*IF(K2050&lt;0,-1,1)</f>
        <v>0</v>
      </c>
      <c r="R2050" s="545">
        <f>'Foglio deposito bis'!$F$79*IF(ABS(L2050)&lt;'Sollecitazioni nel paramento'!$G$58,ABS(L2050)*'Sollecitazioni nel paramento'!$G$54,'Sollecitazioni nel paramento'!$G$53)*IF(L2050&lt;0,-1,1)</f>
        <v>153664.85805602249</v>
      </c>
      <c r="S2050" s="545">
        <f>'Foglio deposito bis'!$F$80*IF(ABS(M2050)&lt;'Sollecitazioni nel paramento'!$G$58,ABS(M2050)*'Sollecitazioni nel paramento'!$G$54,'Sollecitazioni nel paramento'!$G$53)*IF(M2050&lt;0,-1,1)</f>
        <v>0</v>
      </c>
      <c r="T2050" s="545">
        <f>'Foglio deposito bis'!$F$81*IF(ABS(N2050)&lt;'Sollecitazioni nel paramento'!$G$58,ABS(N2050)*'Sollecitazioni nel paramento'!$G$54,'Sollecitazioni nel paramento'!$G$53)*IF(N2050&lt;0,-1,1)</f>
        <v>398299.31208121032</v>
      </c>
      <c r="U2050" s="545">
        <f>'Foglio deposito bis'!$F$82*IF(ABS(O2050)&lt;'Sollecitazioni nel paramento'!$G$58,ABS(O2050)*'Sollecitazioni nel paramento'!$G$54,'Sollecitazioni nel paramento'!$G$53)*IF(O2050&lt;0,-1,1)</f>
        <v>892485.49558937876</v>
      </c>
      <c r="V2050" s="472">
        <f t="shared" si="142"/>
        <v>289814.20846180012</v>
      </c>
      <c r="W2050" s="551"/>
      <c r="X2050" s="551"/>
    </row>
    <row r="2051" spans="1:24" x14ac:dyDescent="0.25">
      <c r="A2051" s="545">
        <f t="shared" si="141"/>
        <v>270885.75834270497</v>
      </c>
      <c r="B2051" s="3">
        <f t="shared" si="143"/>
        <v>3.099999999999997</v>
      </c>
      <c r="C2051" s="545">
        <f>'Foglio deposito bis'!$E$161/sezione!$B$247*B2051</f>
        <v>30.80462785478927</v>
      </c>
      <c r="D2051" s="603">
        <f>-'Sollecitazioni nel paramento'!$G$47*'Sollecitazioni nel paramento'!$G$41*IF(DATI!$G$211="dx",DATI!$E$61,DATI!$E$64*DATI!$E$63)*1000*C2051^2*sezione!$AD$5*(1-sezione!$AD$6)</f>
        <v>-21112300.467571802</v>
      </c>
      <c r="E2051" s="545">
        <f>-'Foglio deposito bis'!$F$78*(C2051-sezione!$AL$35)*IF(ABS(K2051)&lt;'Sollecitazioni nel paramento'!$G$58,ABS(K2051)*'Sollecitazioni nel paramento'!$G$54,'Sollecitazioni nel paramento'!$G$53)</f>
        <v>0</v>
      </c>
      <c r="F2051" s="545">
        <f>-'Foglio deposito bis'!$F$79*(C2051-sezione!$AM$35)*IF(ABS(L2051)&lt;'Sollecitazioni nel paramento'!$G$58,ABS(L2051)*'Sollecitazioni nel paramento'!$G$54,'Sollecitazioni nel paramento'!$G$53)</f>
        <v>4486302.71658656</v>
      </c>
      <c r="G2051" s="545">
        <f>-'Foglio deposito bis'!$F$80*(C2051-sezione!$AN$35)*IF(ABS(M2051)&lt;'Sollecitazioni nel paramento'!$G$58,ABS(M2051)*'Sollecitazioni nel paramento'!$G$54,'Sollecitazioni nel paramento'!$G$53)</f>
        <v>0</v>
      </c>
      <c r="H2051" s="545">
        <f>-'Foglio deposito bis'!$F$81*(C2051-sezione!$AO$35)*IF(ABS(N2051)&lt;'Sollecitazioni nel paramento'!$G$58,ABS(N2051)*'Sollecitazioni nel paramento'!$G$54,'Sollecitazioni nel paramento'!$G$53)</f>
        <v>51458427.849513397</v>
      </c>
      <c r="I2051" s="472">
        <f>-'Foglio deposito bis'!$F$82*(C2051-sezione!$AP$35)*IF(ABS(O2051)&lt;'Sollecitazioni nel paramento'!$G$58,ABS(O2051)*'Sollecitazioni nel paramento'!$G$54,'Sollecitazioni nel paramento'!$G$53)</f>
        <v>592197998.19768357</v>
      </c>
      <c r="J2051" s="472">
        <f t="shared" si="140"/>
        <v>627030428.29621172</v>
      </c>
      <c r="K2051" s="550">
        <f>'Sollecitazioni nel paramento'!$G$60*(sezione!$AL$35-C2051)/C2051</f>
        <v>1.0447716706707061E-3</v>
      </c>
      <c r="L2051" s="550">
        <f>'Sollecitazioni nel paramento'!$G$60*(sezione!$AM$35-C2051)/C2051</f>
        <v>3.3171575060060589E-3</v>
      </c>
      <c r="M2051" s="551">
        <f>'Sollecitazioni nel paramento'!$G$60*(sezione!$AN$35-C2051)/C2051</f>
        <v>5.5895433413414115E-3</v>
      </c>
      <c r="N2051" s="551">
        <f>'Sollecitazioni nel paramento'!$G$60*(sezione!$AO$35-C2051)/C2051</f>
        <v>1.4679086682682824E-2</v>
      </c>
      <c r="O2051" s="551">
        <f>'Sollecitazioni nel paramento'!$G$60*(sezione!$AP$35-C2051)/C2051</f>
        <v>7.5390712200297069E-2</v>
      </c>
      <c r="P2051" s="545">
        <f>-'Sollecitazioni nel paramento'!$G$47*'Sollecitazioni nel paramento'!$G$41*IF(DATI!$G$211="dx",DATI!$E$61,DATI!$E$64*DATI!$E$63)*1000*C2051*sezione!$AD$5</f>
        <v>-1173563.9073839067</v>
      </c>
      <c r="Q2051" s="545">
        <f>'Foglio deposito bis'!$F$78*IF(ABS(K2051)&lt;'Sollecitazioni nel paramento'!$G$58,ABS(K2051)*'Sollecitazioni nel paramento'!$G$54,'Sollecitazioni nel paramento'!$G$53)*IF(K2051&lt;0,-1,1)</f>
        <v>0</v>
      </c>
      <c r="R2051" s="545">
        <f>'Foglio deposito bis'!$F$79*IF(ABS(L2051)&lt;'Sollecitazioni nel paramento'!$G$58,ABS(L2051)*'Sollecitazioni nel paramento'!$G$54,'Sollecitazioni nel paramento'!$G$53)*IF(L2051&lt;0,-1,1)</f>
        <v>153664.85805602249</v>
      </c>
      <c r="S2051" s="545">
        <f>'Foglio deposito bis'!$F$80*IF(ABS(M2051)&lt;'Sollecitazioni nel paramento'!$G$58,ABS(M2051)*'Sollecitazioni nel paramento'!$G$54,'Sollecitazioni nel paramento'!$G$53)*IF(M2051&lt;0,-1,1)</f>
        <v>0</v>
      </c>
      <c r="T2051" s="545">
        <f>'Foglio deposito bis'!$F$81*IF(ABS(N2051)&lt;'Sollecitazioni nel paramento'!$G$58,ABS(N2051)*'Sollecitazioni nel paramento'!$G$54,'Sollecitazioni nel paramento'!$G$53)*IF(N2051&lt;0,-1,1)</f>
        <v>398299.31208121032</v>
      </c>
      <c r="U2051" s="545">
        <f>'Foglio deposito bis'!$F$82*IF(ABS(O2051)&lt;'Sollecitazioni nel paramento'!$G$58,ABS(O2051)*'Sollecitazioni nel paramento'!$G$54,'Sollecitazioni nel paramento'!$G$53)*IF(O2051&lt;0,-1,1)</f>
        <v>892485.49558937876</v>
      </c>
      <c r="V2051" s="472">
        <f t="shared" si="142"/>
        <v>270885.75834270497</v>
      </c>
      <c r="W2051" s="551"/>
      <c r="X2051" s="551"/>
    </row>
    <row r="2052" spans="1:24" x14ac:dyDescent="0.25">
      <c r="A2052" s="545">
        <f t="shared" si="141"/>
        <v>251957.30822360958</v>
      </c>
      <c r="B2052" s="3">
        <f t="shared" si="143"/>
        <v>3.1499999999999968</v>
      </c>
      <c r="C2052" s="545">
        <f>'Foglio deposito bis'!$E$161/sezione!$B$247*B2052</f>
        <v>31.301476691156839</v>
      </c>
      <c r="D2052" s="603">
        <f>-'Sollecitazioni nel paramento'!$G$47*'Sollecitazioni nel paramento'!$G$41*IF(DATI!$G$211="dx",DATI!$E$61,DATI!$E$64*DATI!$E$63)*1000*C2052^2*sezione!$AD$5*(1-sezione!$AD$6)</f>
        <v>-21798834.691933524</v>
      </c>
      <c r="E2052" s="545">
        <f>-'Foglio deposito bis'!$F$78*(C2052-sezione!$AL$35)*IF(ABS(K2052)&lt;'Sollecitazioni nel paramento'!$G$58,ABS(K2052)*'Sollecitazioni nel paramento'!$G$54,'Sollecitazioni nel paramento'!$G$53)</f>
        <v>0</v>
      </c>
      <c r="F2052" s="545">
        <f>-'Foglio deposito bis'!$F$79*(C2052-sezione!$AM$35)*IF(ABS(L2052)&lt;'Sollecitazioni nel paramento'!$G$58,ABS(L2052)*'Sollecitazioni nel paramento'!$G$54,'Sollecitazioni nel paramento'!$G$53)</f>
        <v>4409954.510670837</v>
      </c>
      <c r="G2052" s="545">
        <f>-'Foglio deposito bis'!$F$80*(C2052-sezione!$AN$35)*IF(ABS(M2052)&lt;'Sollecitazioni nel paramento'!$G$58,ABS(M2052)*'Sollecitazioni nel paramento'!$G$54,'Sollecitazioni nel paramento'!$G$53)</f>
        <v>0</v>
      </c>
      <c r="H2052" s="545">
        <f>-'Foglio deposito bis'!$F$81*(C2052-sezione!$AO$35)*IF(ABS(N2052)&lt;'Sollecitazioni nel paramento'!$G$58,ABS(N2052)*'Sollecitazioni nel paramento'!$G$54,'Sollecitazioni nel paramento'!$G$53)</f>
        <v>51260533.299779847</v>
      </c>
      <c r="I2052" s="472">
        <f>-'Foglio deposito bis'!$F$82*(C2052-sezione!$AP$35)*IF(ABS(O2052)&lt;'Sollecitazioni nel paramento'!$G$58,ABS(O2052)*'Sollecitazioni nel paramento'!$G$54,'Sollecitazioni nel paramento'!$G$53)</f>
        <v>591754567.81772506</v>
      </c>
      <c r="J2052" s="472">
        <f t="shared" si="140"/>
        <v>625626220.93624222</v>
      </c>
      <c r="K2052" s="550">
        <f>'Sollecitazioni nel paramento'!$G$60*(sezione!$AL$35-C2052)/C2052</f>
        <v>9.7263243780291704E-4</v>
      </c>
      <c r="L2052" s="550">
        <f>'Sollecitazioni nel paramento'!$G$60*(sezione!$AM$35-C2052)/C2052</f>
        <v>3.2089486567043754E-3</v>
      </c>
      <c r="M2052" s="551">
        <f>'Sollecitazioni nel paramento'!$G$60*(sezione!$AN$35-C2052)/C2052</f>
        <v>5.4452648756058344E-3</v>
      </c>
      <c r="N2052" s="551">
        <f>'Sollecitazioni nel paramento'!$G$60*(sezione!$AO$35-C2052)/C2052</f>
        <v>1.439052975121167E-2</v>
      </c>
      <c r="O2052" s="551">
        <f>'Sollecitazioni nel paramento'!$G$60*(sezione!$AP$35-C2052)/C2052</f>
        <v>7.4138478673308222E-2</v>
      </c>
      <c r="P2052" s="545">
        <f>-'Sollecitazioni nel paramento'!$G$47*'Sollecitazioni nel paramento'!$G$41*IF(DATI!$G$211="dx",DATI!$E$61,DATI!$E$64*DATI!$E$63)*1000*C2052*sezione!$AD$5</f>
        <v>-1192492.357503002</v>
      </c>
      <c r="Q2052" s="545">
        <f>'Foglio deposito bis'!$F$78*IF(ABS(K2052)&lt;'Sollecitazioni nel paramento'!$G$58,ABS(K2052)*'Sollecitazioni nel paramento'!$G$54,'Sollecitazioni nel paramento'!$G$53)*IF(K2052&lt;0,-1,1)</f>
        <v>0</v>
      </c>
      <c r="R2052" s="545">
        <f>'Foglio deposito bis'!$F$79*IF(ABS(L2052)&lt;'Sollecitazioni nel paramento'!$G$58,ABS(L2052)*'Sollecitazioni nel paramento'!$G$54,'Sollecitazioni nel paramento'!$G$53)*IF(L2052&lt;0,-1,1)</f>
        <v>153664.85805602249</v>
      </c>
      <c r="S2052" s="545">
        <f>'Foglio deposito bis'!$F$80*IF(ABS(M2052)&lt;'Sollecitazioni nel paramento'!$G$58,ABS(M2052)*'Sollecitazioni nel paramento'!$G$54,'Sollecitazioni nel paramento'!$G$53)*IF(M2052&lt;0,-1,1)</f>
        <v>0</v>
      </c>
      <c r="T2052" s="545">
        <f>'Foglio deposito bis'!$F$81*IF(ABS(N2052)&lt;'Sollecitazioni nel paramento'!$G$58,ABS(N2052)*'Sollecitazioni nel paramento'!$G$54,'Sollecitazioni nel paramento'!$G$53)*IF(N2052&lt;0,-1,1)</f>
        <v>398299.31208121032</v>
      </c>
      <c r="U2052" s="545">
        <f>'Foglio deposito bis'!$F$82*IF(ABS(O2052)&lt;'Sollecitazioni nel paramento'!$G$58,ABS(O2052)*'Sollecitazioni nel paramento'!$G$54,'Sollecitazioni nel paramento'!$G$53)*IF(O2052&lt;0,-1,1)</f>
        <v>892485.49558937876</v>
      </c>
      <c r="V2052" s="472">
        <f t="shared" si="142"/>
        <v>251957.30822360958</v>
      </c>
      <c r="W2052" s="551"/>
      <c r="X2052" s="551"/>
    </row>
    <row r="2053" spans="1:24" x14ac:dyDescent="0.25">
      <c r="A2053" s="545">
        <f t="shared" si="141"/>
        <v>233028.85810451442</v>
      </c>
      <c r="B2053" s="3">
        <f t="shared" si="143"/>
        <v>3.1999999999999966</v>
      </c>
      <c r="C2053" s="545">
        <f>'Foglio deposito bis'!$E$161/sezione!$B$247*B2053</f>
        <v>31.798325527524408</v>
      </c>
      <c r="D2053" s="603">
        <f>-'Sollecitazioni nel paramento'!$G$47*'Sollecitazioni nel paramento'!$G$41*IF(DATI!$G$211="dx",DATI!$E$61,DATI!$E$64*DATI!$E$63)*1000*C2053^2*sezione!$AD$5*(1-sezione!$AD$6)</f>
        <v>-22496353.463885039</v>
      </c>
      <c r="E2053" s="545">
        <f>-'Foglio deposito bis'!$F$78*(C2053-sezione!$AL$35)*IF(ABS(K2053)&lt;'Sollecitazioni nel paramento'!$G$58,ABS(K2053)*'Sollecitazioni nel paramento'!$G$54,'Sollecitazioni nel paramento'!$G$53)</f>
        <v>0</v>
      </c>
      <c r="F2053" s="545">
        <f>-'Foglio deposito bis'!$F$79*(C2053-sezione!$AM$35)*IF(ABS(L2053)&lt;'Sollecitazioni nel paramento'!$G$58,ABS(L2053)*'Sollecitazioni nel paramento'!$G$54,'Sollecitazioni nel paramento'!$G$53)</f>
        <v>4333606.304755115</v>
      </c>
      <c r="G2053" s="545">
        <f>-'Foglio deposito bis'!$F$80*(C2053-sezione!$AN$35)*IF(ABS(M2053)&lt;'Sollecitazioni nel paramento'!$G$58,ABS(M2053)*'Sollecitazioni nel paramento'!$G$54,'Sollecitazioni nel paramento'!$G$53)</f>
        <v>0</v>
      </c>
      <c r="H2053" s="545">
        <f>-'Foglio deposito bis'!$F$81*(C2053-sezione!$AO$35)*IF(ABS(N2053)&lt;'Sollecitazioni nel paramento'!$G$58,ABS(N2053)*'Sollecitazioni nel paramento'!$G$54,'Sollecitazioni nel paramento'!$G$53)</f>
        <v>51062638.75004629</v>
      </c>
      <c r="I2053" s="472">
        <f>-'Foglio deposito bis'!$F$82*(C2053-sezione!$AP$35)*IF(ABS(O2053)&lt;'Sollecitazioni nel paramento'!$G$58,ABS(O2053)*'Sollecitazioni nel paramento'!$G$54,'Sollecitazioni nel paramento'!$G$53)</f>
        <v>591311137.43776643</v>
      </c>
      <c r="J2053" s="472">
        <f t="shared" ref="J2053:J2116" si="144">D2053+E2053+F2053+G2053+H2053+I2053</f>
        <v>624211029.02868283</v>
      </c>
      <c r="K2053" s="550">
        <f>'Sollecitazioni nel paramento'!$G$60*(sezione!$AL$35-C2053)/C2053</f>
        <v>9.0274755596224648E-4</v>
      </c>
      <c r="L2053" s="550">
        <f>'Sollecitazioni nel paramento'!$G$60*(sezione!$AM$35-C2053)/C2053</f>
        <v>3.10412133394337E-3</v>
      </c>
      <c r="M2053" s="551">
        <f>'Sollecitazioni nel paramento'!$G$60*(sezione!$AN$35-C2053)/C2053</f>
        <v>5.3054951119244926E-3</v>
      </c>
      <c r="N2053" s="551">
        <f>'Sollecitazioni nel paramento'!$G$60*(sezione!$AO$35-C2053)/C2053</f>
        <v>1.4110990223848987E-2</v>
      </c>
      <c r="O2053" s="551">
        <f>'Sollecitazioni nel paramento'!$G$60*(sezione!$AP$35-C2053)/C2053</f>
        <v>7.2925377444037778E-2</v>
      </c>
      <c r="P2053" s="545">
        <f>-'Sollecitazioni nel paramento'!$G$47*'Sollecitazioni nel paramento'!$G$41*IF(DATI!$G$211="dx",DATI!$E$61,DATI!$E$64*DATI!$E$63)*1000*C2053*sezione!$AD$5</f>
        <v>-1211420.8076220972</v>
      </c>
      <c r="Q2053" s="545">
        <f>'Foglio deposito bis'!$F$78*IF(ABS(K2053)&lt;'Sollecitazioni nel paramento'!$G$58,ABS(K2053)*'Sollecitazioni nel paramento'!$G$54,'Sollecitazioni nel paramento'!$G$53)*IF(K2053&lt;0,-1,1)</f>
        <v>0</v>
      </c>
      <c r="R2053" s="545">
        <f>'Foglio deposito bis'!$F$79*IF(ABS(L2053)&lt;'Sollecitazioni nel paramento'!$G$58,ABS(L2053)*'Sollecitazioni nel paramento'!$G$54,'Sollecitazioni nel paramento'!$G$53)*IF(L2053&lt;0,-1,1)</f>
        <v>153664.85805602249</v>
      </c>
      <c r="S2053" s="545">
        <f>'Foglio deposito bis'!$F$80*IF(ABS(M2053)&lt;'Sollecitazioni nel paramento'!$G$58,ABS(M2053)*'Sollecitazioni nel paramento'!$G$54,'Sollecitazioni nel paramento'!$G$53)*IF(M2053&lt;0,-1,1)</f>
        <v>0</v>
      </c>
      <c r="T2053" s="545">
        <f>'Foglio deposito bis'!$F$81*IF(ABS(N2053)&lt;'Sollecitazioni nel paramento'!$G$58,ABS(N2053)*'Sollecitazioni nel paramento'!$G$54,'Sollecitazioni nel paramento'!$G$53)*IF(N2053&lt;0,-1,1)</f>
        <v>398299.31208121032</v>
      </c>
      <c r="U2053" s="545">
        <f>'Foglio deposito bis'!$F$82*IF(ABS(O2053)&lt;'Sollecitazioni nel paramento'!$G$58,ABS(O2053)*'Sollecitazioni nel paramento'!$G$54,'Sollecitazioni nel paramento'!$G$53)*IF(O2053&lt;0,-1,1)</f>
        <v>892485.49558937876</v>
      </c>
      <c r="V2053" s="472">
        <f t="shared" si="142"/>
        <v>233028.85810451442</v>
      </c>
      <c r="W2053" s="551"/>
      <c r="X2053" s="551"/>
    </row>
    <row r="2054" spans="1:24" x14ac:dyDescent="0.25">
      <c r="A2054" s="545">
        <f t="shared" ref="A2054:A2117" si="145">ABS(V2054)</f>
        <v>214100.40798541927</v>
      </c>
      <c r="B2054" s="3">
        <f t="shared" si="143"/>
        <v>3.2499999999999964</v>
      </c>
      <c r="C2054" s="545">
        <f>'Foglio deposito bis'!$E$161/sezione!$B$247*B2054</f>
        <v>32.295174363891974</v>
      </c>
      <c r="D2054" s="603">
        <f>-'Sollecitazioni nel paramento'!$G$47*'Sollecitazioni nel paramento'!$G$41*IF(DATI!$G$211="dx",DATI!$E$61,DATI!$E$64*DATI!$E$63)*1000*C2054^2*sezione!$AD$5*(1-sezione!$AD$6)</f>
        <v>-23204856.783426337</v>
      </c>
      <c r="E2054" s="545">
        <f>-'Foglio deposito bis'!$F$78*(C2054-sezione!$AL$35)*IF(ABS(K2054)&lt;'Sollecitazioni nel paramento'!$G$58,ABS(K2054)*'Sollecitazioni nel paramento'!$G$54,'Sollecitazioni nel paramento'!$G$53)</f>
        <v>0</v>
      </c>
      <c r="F2054" s="545">
        <f>-'Foglio deposito bis'!$F$79*(C2054-sezione!$AM$35)*IF(ABS(L2054)&lt;'Sollecitazioni nel paramento'!$G$58,ABS(L2054)*'Sollecitazioni nel paramento'!$G$54,'Sollecitazioni nel paramento'!$G$53)</f>
        <v>4257258.0988393929</v>
      </c>
      <c r="G2054" s="545">
        <f>-'Foglio deposito bis'!$F$80*(C2054-sezione!$AN$35)*IF(ABS(M2054)&lt;'Sollecitazioni nel paramento'!$G$58,ABS(M2054)*'Sollecitazioni nel paramento'!$G$54,'Sollecitazioni nel paramento'!$G$53)</f>
        <v>0</v>
      </c>
      <c r="H2054" s="545">
        <f>-'Foglio deposito bis'!$F$81*(C2054-sezione!$AO$35)*IF(ABS(N2054)&lt;'Sollecitazioni nel paramento'!$G$58,ABS(N2054)*'Sollecitazioni nel paramento'!$G$54,'Sollecitazioni nel paramento'!$G$53)</f>
        <v>50864744.200312734</v>
      </c>
      <c r="I2054" s="472">
        <f>-'Foglio deposito bis'!$F$82*(C2054-sezione!$AP$35)*IF(ABS(O2054)&lt;'Sollecitazioni nel paramento'!$G$58,ABS(O2054)*'Sollecitazioni nel paramento'!$G$54,'Sollecitazioni nel paramento'!$G$53)</f>
        <v>590867707.05780804</v>
      </c>
      <c r="J2054" s="472">
        <f t="shared" si="144"/>
        <v>622784852.57353377</v>
      </c>
      <c r="K2054" s="550">
        <f>'Sollecitazioni nel paramento'!$G$60*(sezione!$AL$35-C2054)/C2054</f>
        <v>8.3501297817821247E-4</v>
      </c>
      <c r="L2054" s="550">
        <f>'Sollecitazioni nel paramento'!$G$60*(sezione!$AM$35-C2054)/C2054</f>
        <v>3.0025194672673185E-3</v>
      </c>
      <c r="M2054" s="551">
        <f>'Sollecitazioni nel paramento'!$G$60*(sezione!$AN$35-C2054)/C2054</f>
        <v>5.1700259563564254E-3</v>
      </c>
      <c r="N2054" s="551">
        <f>'Sollecitazioni nel paramento'!$G$60*(sezione!$AO$35-C2054)/C2054</f>
        <v>1.3840051912712851E-2</v>
      </c>
      <c r="O2054" s="551">
        <f>'Sollecitazioni nel paramento'!$G$60*(sezione!$AP$35-C2054)/C2054</f>
        <v>7.1749602406437199E-2</v>
      </c>
      <c r="P2054" s="545">
        <f>-'Sollecitazioni nel paramento'!$G$47*'Sollecitazioni nel paramento'!$G$41*IF(DATI!$G$211="dx",DATI!$E$61,DATI!$E$64*DATI!$E$63)*1000*C2054*sezione!$AD$5</f>
        <v>-1230349.2577411924</v>
      </c>
      <c r="Q2054" s="545">
        <f>'Foglio deposito bis'!$F$78*IF(ABS(K2054)&lt;'Sollecitazioni nel paramento'!$G$58,ABS(K2054)*'Sollecitazioni nel paramento'!$G$54,'Sollecitazioni nel paramento'!$G$53)*IF(K2054&lt;0,-1,1)</f>
        <v>0</v>
      </c>
      <c r="R2054" s="545">
        <f>'Foglio deposito bis'!$F$79*IF(ABS(L2054)&lt;'Sollecitazioni nel paramento'!$G$58,ABS(L2054)*'Sollecitazioni nel paramento'!$G$54,'Sollecitazioni nel paramento'!$G$53)*IF(L2054&lt;0,-1,1)</f>
        <v>153664.85805602249</v>
      </c>
      <c r="S2054" s="545">
        <f>'Foglio deposito bis'!$F$80*IF(ABS(M2054)&lt;'Sollecitazioni nel paramento'!$G$58,ABS(M2054)*'Sollecitazioni nel paramento'!$G$54,'Sollecitazioni nel paramento'!$G$53)*IF(M2054&lt;0,-1,1)</f>
        <v>0</v>
      </c>
      <c r="T2054" s="545">
        <f>'Foglio deposito bis'!$F$81*IF(ABS(N2054)&lt;'Sollecitazioni nel paramento'!$G$58,ABS(N2054)*'Sollecitazioni nel paramento'!$G$54,'Sollecitazioni nel paramento'!$G$53)*IF(N2054&lt;0,-1,1)</f>
        <v>398299.31208121032</v>
      </c>
      <c r="U2054" s="545">
        <f>'Foglio deposito bis'!$F$82*IF(ABS(O2054)&lt;'Sollecitazioni nel paramento'!$G$58,ABS(O2054)*'Sollecitazioni nel paramento'!$G$54,'Sollecitazioni nel paramento'!$G$53)*IF(O2054&lt;0,-1,1)</f>
        <v>892485.49558937876</v>
      </c>
      <c r="V2054" s="472">
        <f t="shared" ref="V2054:V2117" si="146">P2054+Q2054+R2054+S2054+T2054+U2054</f>
        <v>214100.40798541927</v>
      </c>
      <c r="W2054" s="551"/>
      <c r="X2054" s="551"/>
    </row>
    <row r="2055" spans="1:24" x14ac:dyDescent="0.25">
      <c r="A2055" s="545">
        <f t="shared" si="145"/>
        <v>195171.95786632411</v>
      </c>
      <c r="B2055" s="3">
        <f t="shared" ref="B2055:B2091" si="147">B2054+0.05</f>
        <v>3.2999999999999963</v>
      </c>
      <c r="C2055" s="545">
        <f>'Foglio deposito bis'!$E$161/sezione!$B$247*B2055</f>
        <v>32.792023200259543</v>
      </c>
      <c r="D2055" s="603">
        <f>-'Sollecitazioni nel paramento'!$G$47*'Sollecitazioni nel paramento'!$G$41*IF(DATI!$G$211="dx",DATI!$E$61,DATI!$E$64*DATI!$E$63)*1000*C2055^2*sezione!$AD$5*(1-sezione!$AD$6)</f>
        <v>-23924344.650557425</v>
      </c>
      <c r="E2055" s="545">
        <f>-'Foglio deposito bis'!$F$78*(C2055-sezione!$AL$35)*IF(ABS(K2055)&lt;'Sollecitazioni nel paramento'!$G$58,ABS(K2055)*'Sollecitazioni nel paramento'!$G$54,'Sollecitazioni nel paramento'!$G$53)</f>
        <v>0</v>
      </c>
      <c r="F2055" s="545">
        <f>-'Foglio deposito bis'!$F$79*(C2055-sezione!$AM$35)*IF(ABS(L2055)&lt;'Sollecitazioni nel paramento'!$G$58,ABS(L2055)*'Sollecitazioni nel paramento'!$G$54,'Sollecitazioni nel paramento'!$G$53)</f>
        <v>4180909.8929236708</v>
      </c>
      <c r="G2055" s="545">
        <f>-'Foglio deposito bis'!$F$80*(C2055-sezione!$AN$35)*IF(ABS(M2055)&lt;'Sollecitazioni nel paramento'!$G$58,ABS(M2055)*'Sollecitazioni nel paramento'!$G$54,'Sollecitazioni nel paramento'!$G$53)</f>
        <v>0</v>
      </c>
      <c r="H2055" s="545">
        <f>-'Foglio deposito bis'!$F$81*(C2055-sezione!$AO$35)*IF(ABS(N2055)&lt;'Sollecitazioni nel paramento'!$G$58,ABS(N2055)*'Sollecitazioni nel paramento'!$G$54,'Sollecitazioni nel paramento'!$G$53)</f>
        <v>50666849.650579184</v>
      </c>
      <c r="I2055" s="472">
        <f>-'Foglio deposito bis'!$F$82*(C2055-sezione!$AP$35)*IF(ABS(O2055)&lt;'Sollecitazioni nel paramento'!$G$58,ABS(O2055)*'Sollecitazioni nel paramento'!$G$54,'Sollecitazioni nel paramento'!$G$53)</f>
        <v>590424276.67784953</v>
      </c>
      <c r="J2055" s="472">
        <f t="shared" si="144"/>
        <v>621347691.57079494</v>
      </c>
      <c r="K2055" s="550">
        <f>'Sollecitazioni nel paramento'!$G$60*(sezione!$AL$35-C2055)/C2055</f>
        <v>7.6933096335733036E-4</v>
      </c>
      <c r="L2055" s="550">
        <f>'Sollecitazioni nel paramento'!$G$60*(sezione!$AM$35-C2055)/C2055</f>
        <v>2.9039964450359957E-3</v>
      </c>
      <c r="M2055" s="551">
        <f>'Sollecitazioni nel paramento'!$G$60*(sezione!$AN$35-C2055)/C2055</f>
        <v>5.0386619267146606E-3</v>
      </c>
      <c r="N2055" s="551">
        <f>'Sollecitazioni nel paramento'!$G$60*(sezione!$AO$35-C2055)/C2055</f>
        <v>1.3577323853429323E-2</v>
      </c>
      <c r="O2055" s="551">
        <f>'Sollecitazioni nel paramento'!$G$60*(sezione!$AP$35-C2055)/C2055</f>
        <v>7.0609456915430593E-2</v>
      </c>
      <c r="P2055" s="545">
        <f>-'Sollecitazioni nel paramento'!$G$47*'Sollecitazioni nel paramento'!$G$41*IF(DATI!$G$211="dx",DATI!$E$61,DATI!$E$64*DATI!$E$63)*1000*C2055*sezione!$AD$5</f>
        <v>-1249277.7078602875</v>
      </c>
      <c r="Q2055" s="545">
        <f>'Foglio deposito bis'!$F$78*IF(ABS(K2055)&lt;'Sollecitazioni nel paramento'!$G$58,ABS(K2055)*'Sollecitazioni nel paramento'!$G$54,'Sollecitazioni nel paramento'!$G$53)*IF(K2055&lt;0,-1,1)</f>
        <v>0</v>
      </c>
      <c r="R2055" s="545">
        <f>'Foglio deposito bis'!$F$79*IF(ABS(L2055)&lt;'Sollecitazioni nel paramento'!$G$58,ABS(L2055)*'Sollecitazioni nel paramento'!$G$54,'Sollecitazioni nel paramento'!$G$53)*IF(L2055&lt;0,-1,1)</f>
        <v>153664.85805602249</v>
      </c>
      <c r="S2055" s="545">
        <f>'Foglio deposito bis'!$F$80*IF(ABS(M2055)&lt;'Sollecitazioni nel paramento'!$G$58,ABS(M2055)*'Sollecitazioni nel paramento'!$G$54,'Sollecitazioni nel paramento'!$G$53)*IF(M2055&lt;0,-1,1)</f>
        <v>0</v>
      </c>
      <c r="T2055" s="545">
        <f>'Foglio deposito bis'!$F$81*IF(ABS(N2055)&lt;'Sollecitazioni nel paramento'!$G$58,ABS(N2055)*'Sollecitazioni nel paramento'!$G$54,'Sollecitazioni nel paramento'!$G$53)*IF(N2055&lt;0,-1,1)</f>
        <v>398299.31208121032</v>
      </c>
      <c r="U2055" s="545">
        <f>'Foglio deposito bis'!$F$82*IF(ABS(O2055)&lt;'Sollecitazioni nel paramento'!$G$58,ABS(O2055)*'Sollecitazioni nel paramento'!$G$54,'Sollecitazioni nel paramento'!$G$53)*IF(O2055&lt;0,-1,1)</f>
        <v>892485.49558937876</v>
      </c>
      <c r="V2055" s="472">
        <f t="shared" si="146"/>
        <v>195171.95786632411</v>
      </c>
      <c r="W2055" s="551"/>
      <c r="X2055" s="551"/>
    </row>
    <row r="2056" spans="1:24" x14ac:dyDescent="0.25">
      <c r="A2056" s="545">
        <f t="shared" si="145"/>
        <v>176243.50774722872</v>
      </c>
      <c r="B2056" s="3">
        <f t="shared" si="147"/>
        <v>3.3499999999999961</v>
      </c>
      <c r="C2056" s="545">
        <f>'Foglio deposito bis'!$E$161/sezione!$B$247*B2056</f>
        <v>33.288872036627112</v>
      </c>
      <c r="D2056" s="603">
        <f>-'Sollecitazioni nel paramento'!$G$47*'Sollecitazioni nel paramento'!$G$41*IF(DATI!$G$211="dx",DATI!$E$61,DATI!$E$64*DATI!$E$63)*1000*C2056^2*sezione!$AD$5*(1-sezione!$AD$6)</f>
        <v>-24654817.065278303</v>
      </c>
      <c r="E2056" s="545">
        <f>-'Foglio deposito bis'!$F$78*(C2056-sezione!$AL$35)*IF(ABS(K2056)&lt;'Sollecitazioni nel paramento'!$G$58,ABS(K2056)*'Sollecitazioni nel paramento'!$G$54,'Sollecitazioni nel paramento'!$G$53)</f>
        <v>0</v>
      </c>
      <c r="F2056" s="545">
        <f>-'Foglio deposito bis'!$F$79*(C2056-sezione!$AM$35)*IF(ABS(L2056)&lt;'Sollecitazioni nel paramento'!$G$58,ABS(L2056)*'Sollecitazioni nel paramento'!$G$54,'Sollecitazioni nel paramento'!$G$53)</f>
        <v>4104561.6870079483</v>
      </c>
      <c r="G2056" s="545">
        <f>-'Foglio deposito bis'!$F$80*(C2056-sezione!$AN$35)*IF(ABS(M2056)&lt;'Sollecitazioni nel paramento'!$G$58,ABS(M2056)*'Sollecitazioni nel paramento'!$G$54,'Sollecitazioni nel paramento'!$G$53)</f>
        <v>0</v>
      </c>
      <c r="H2056" s="545">
        <f>-'Foglio deposito bis'!$F$81*(C2056-sezione!$AO$35)*IF(ABS(N2056)&lt;'Sollecitazioni nel paramento'!$G$58,ABS(N2056)*'Sollecitazioni nel paramento'!$G$54,'Sollecitazioni nel paramento'!$G$53)</f>
        <v>50468955.100845635</v>
      </c>
      <c r="I2056" s="472">
        <f>-'Foglio deposito bis'!$F$82*(C2056-sezione!$AP$35)*IF(ABS(O2056)&lt;'Sollecitazioni nel paramento'!$G$58,ABS(O2056)*'Sollecitazioni nel paramento'!$G$54,'Sollecitazioni nel paramento'!$G$53)</f>
        <v>589980846.2978909</v>
      </c>
      <c r="J2056" s="472">
        <f t="shared" si="144"/>
        <v>619899546.02046621</v>
      </c>
      <c r="K2056" s="550">
        <f>'Sollecitazioni nel paramento'!$G$60*(sezione!$AL$35-C2056)/C2056</f>
        <v>7.0560960569528066E-4</v>
      </c>
      <c r="L2056" s="550">
        <f>'Sollecitazioni nel paramento'!$G$60*(sezione!$AM$35-C2056)/C2056</f>
        <v>2.8084144085429212E-3</v>
      </c>
      <c r="M2056" s="551">
        <f>'Sollecitazioni nel paramento'!$G$60*(sezione!$AN$35-C2056)/C2056</f>
        <v>4.9112192113905618E-3</v>
      </c>
      <c r="N2056" s="551">
        <f>'Sollecitazioni nel paramento'!$G$60*(sezione!$AO$35-C2056)/C2056</f>
        <v>1.3322438422781122E-2</v>
      </c>
      <c r="O2056" s="551">
        <f>'Sollecitazioni nel paramento'!$G$60*(sezione!$AP$35-C2056)/C2056</f>
        <v>6.9503345618185358E-2</v>
      </c>
      <c r="P2056" s="545">
        <f>-'Sollecitazioni nel paramento'!$G$47*'Sollecitazioni nel paramento'!$G$41*IF(DATI!$G$211="dx",DATI!$E$61,DATI!$E$64*DATI!$E$63)*1000*C2056*sezione!$AD$5</f>
        <v>-1268206.1579793829</v>
      </c>
      <c r="Q2056" s="545">
        <f>'Foglio deposito bis'!$F$78*IF(ABS(K2056)&lt;'Sollecitazioni nel paramento'!$G$58,ABS(K2056)*'Sollecitazioni nel paramento'!$G$54,'Sollecitazioni nel paramento'!$G$53)*IF(K2056&lt;0,-1,1)</f>
        <v>0</v>
      </c>
      <c r="R2056" s="545">
        <f>'Foglio deposito bis'!$F$79*IF(ABS(L2056)&lt;'Sollecitazioni nel paramento'!$G$58,ABS(L2056)*'Sollecitazioni nel paramento'!$G$54,'Sollecitazioni nel paramento'!$G$53)*IF(L2056&lt;0,-1,1)</f>
        <v>153664.85805602249</v>
      </c>
      <c r="S2056" s="545">
        <f>'Foglio deposito bis'!$F$80*IF(ABS(M2056)&lt;'Sollecitazioni nel paramento'!$G$58,ABS(M2056)*'Sollecitazioni nel paramento'!$G$54,'Sollecitazioni nel paramento'!$G$53)*IF(M2056&lt;0,-1,1)</f>
        <v>0</v>
      </c>
      <c r="T2056" s="545">
        <f>'Foglio deposito bis'!$F$81*IF(ABS(N2056)&lt;'Sollecitazioni nel paramento'!$G$58,ABS(N2056)*'Sollecitazioni nel paramento'!$G$54,'Sollecitazioni nel paramento'!$G$53)*IF(N2056&lt;0,-1,1)</f>
        <v>398299.31208121032</v>
      </c>
      <c r="U2056" s="545">
        <f>'Foglio deposito bis'!$F$82*IF(ABS(O2056)&lt;'Sollecitazioni nel paramento'!$G$58,ABS(O2056)*'Sollecitazioni nel paramento'!$G$54,'Sollecitazioni nel paramento'!$G$53)*IF(O2056&lt;0,-1,1)</f>
        <v>892485.49558937876</v>
      </c>
      <c r="V2056" s="472">
        <f t="shared" si="146"/>
        <v>176243.50774722872</v>
      </c>
      <c r="W2056" s="551"/>
      <c r="X2056" s="551"/>
    </row>
    <row r="2057" spans="1:24" x14ac:dyDescent="0.25">
      <c r="A2057" s="545">
        <f t="shared" si="145"/>
        <v>157315.05762813357</v>
      </c>
      <c r="B2057" s="3">
        <f t="shared" si="147"/>
        <v>3.3999999999999959</v>
      </c>
      <c r="C2057" s="545">
        <f>'Foglio deposito bis'!$E$161/sezione!$B$247*B2057</f>
        <v>33.785720872994681</v>
      </c>
      <c r="D2057" s="603">
        <f>-'Sollecitazioni nel paramento'!$G$47*'Sollecitazioni nel paramento'!$G$41*IF(DATI!$G$211="dx",DATI!$E$61,DATI!$E$64*DATI!$E$63)*1000*C2057^2*sezione!$AD$5*(1-sezione!$AD$6)</f>
        <v>-25396274.027588964</v>
      </c>
      <c r="E2057" s="545">
        <f>-'Foglio deposito bis'!$F$78*(C2057-sezione!$AL$35)*IF(ABS(K2057)&lt;'Sollecitazioni nel paramento'!$G$58,ABS(K2057)*'Sollecitazioni nel paramento'!$G$54,'Sollecitazioni nel paramento'!$G$53)</f>
        <v>0</v>
      </c>
      <c r="F2057" s="545">
        <f>-'Foglio deposito bis'!$F$79*(C2057-sezione!$AM$35)*IF(ABS(L2057)&lt;'Sollecitazioni nel paramento'!$G$58,ABS(L2057)*'Sollecitazioni nel paramento'!$G$54,'Sollecitazioni nel paramento'!$G$53)</f>
        <v>4028213.4810922258</v>
      </c>
      <c r="G2057" s="545">
        <f>-'Foglio deposito bis'!$F$80*(C2057-sezione!$AN$35)*IF(ABS(M2057)&lt;'Sollecitazioni nel paramento'!$G$58,ABS(M2057)*'Sollecitazioni nel paramento'!$G$54,'Sollecitazioni nel paramento'!$G$53)</f>
        <v>0</v>
      </c>
      <c r="H2057" s="545">
        <f>-'Foglio deposito bis'!$F$81*(C2057-sezione!$AO$35)*IF(ABS(N2057)&lt;'Sollecitazioni nel paramento'!$G$58,ABS(N2057)*'Sollecitazioni nel paramento'!$G$54,'Sollecitazioni nel paramento'!$G$53)</f>
        <v>50271060.551112078</v>
      </c>
      <c r="I2057" s="472">
        <f>-'Foglio deposito bis'!$F$82*(C2057-sezione!$AP$35)*IF(ABS(O2057)&lt;'Sollecitazioni nel paramento'!$G$58,ABS(O2057)*'Sollecitazioni nel paramento'!$G$54,'Sollecitazioni nel paramento'!$G$53)</f>
        <v>589537415.91793239</v>
      </c>
      <c r="J2057" s="472">
        <f t="shared" si="144"/>
        <v>618440415.9225477</v>
      </c>
      <c r="K2057" s="550">
        <f>'Sollecitazioni nel paramento'!$G$60*(sezione!$AL$35-C2057)/C2057</f>
        <v>6.4376240561152655E-4</v>
      </c>
      <c r="L2057" s="550">
        <f>'Sollecitazioni nel paramento'!$G$60*(sezione!$AM$35-C2057)/C2057</f>
        <v>2.7156436084172899E-3</v>
      </c>
      <c r="M2057" s="551">
        <f>'Sollecitazioni nel paramento'!$G$60*(sezione!$AN$35-C2057)/C2057</f>
        <v>4.7875248112230527E-3</v>
      </c>
      <c r="N2057" s="551">
        <f>'Sollecitazioni nel paramento'!$G$60*(sezione!$AO$35-C2057)/C2057</f>
        <v>1.3075049622446105E-2</v>
      </c>
      <c r="O2057" s="551">
        <f>'Sollecitazioni nel paramento'!$G$60*(sezione!$AP$35-C2057)/C2057</f>
        <v>6.8429767006153205E-2</v>
      </c>
      <c r="P2057" s="545">
        <f>-'Sollecitazioni nel paramento'!$G$47*'Sollecitazioni nel paramento'!$G$41*IF(DATI!$G$211="dx",DATI!$E$61,DATI!$E$64*DATI!$E$63)*1000*C2057*sezione!$AD$5</f>
        <v>-1287134.6080984781</v>
      </c>
      <c r="Q2057" s="545">
        <f>'Foglio deposito bis'!$F$78*IF(ABS(K2057)&lt;'Sollecitazioni nel paramento'!$G$58,ABS(K2057)*'Sollecitazioni nel paramento'!$G$54,'Sollecitazioni nel paramento'!$G$53)*IF(K2057&lt;0,-1,1)</f>
        <v>0</v>
      </c>
      <c r="R2057" s="545">
        <f>'Foglio deposito bis'!$F$79*IF(ABS(L2057)&lt;'Sollecitazioni nel paramento'!$G$58,ABS(L2057)*'Sollecitazioni nel paramento'!$G$54,'Sollecitazioni nel paramento'!$G$53)*IF(L2057&lt;0,-1,1)</f>
        <v>153664.85805602249</v>
      </c>
      <c r="S2057" s="545">
        <f>'Foglio deposito bis'!$F$80*IF(ABS(M2057)&lt;'Sollecitazioni nel paramento'!$G$58,ABS(M2057)*'Sollecitazioni nel paramento'!$G$54,'Sollecitazioni nel paramento'!$G$53)*IF(M2057&lt;0,-1,1)</f>
        <v>0</v>
      </c>
      <c r="T2057" s="545">
        <f>'Foglio deposito bis'!$F$81*IF(ABS(N2057)&lt;'Sollecitazioni nel paramento'!$G$58,ABS(N2057)*'Sollecitazioni nel paramento'!$G$54,'Sollecitazioni nel paramento'!$G$53)*IF(N2057&lt;0,-1,1)</f>
        <v>398299.31208121032</v>
      </c>
      <c r="U2057" s="545">
        <f>'Foglio deposito bis'!$F$82*IF(ABS(O2057)&lt;'Sollecitazioni nel paramento'!$G$58,ABS(O2057)*'Sollecitazioni nel paramento'!$G$54,'Sollecitazioni nel paramento'!$G$53)*IF(O2057&lt;0,-1,1)</f>
        <v>892485.49558937876</v>
      </c>
      <c r="V2057" s="472">
        <f t="shared" si="146"/>
        <v>157315.05762813357</v>
      </c>
      <c r="W2057" s="551"/>
      <c r="X2057" s="551"/>
    </row>
    <row r="2058" spans="1:24" x14ac:dyDescent="0.25">
      <c r="A2058" s="545">
        <f t="shared" si="145"/>
        <v>138386.60750903841</v>
      </c>
      <c r="B2058" s="3">
        <f t="shared" si="147"/>
        <v>3.4499999999999957</v>
      </c>
      <c r="C2058" s="545">
        <f>'Foglio deposito bis'!$E$161/sezione!$B$247*B2058</f>
        <v>34.282569709362242</v>
      </c>
      <c r="D2058" s="603">
        <f>-'Sollecitazioni nel paramento'!$G$47*'Sollecitazioni nel paramento'!$G$41*IF(DATI!$G$211="dx",DATI!$E$61,DATI!$E$64*DATI!$E$63)*1000*C2058^2*sezione!$AD$5*(1-sezione!$AD$6)</f>
        <v>-26148715.537489407</v>
      </c>
      <c r="E2058" s="545">
        <f>-'Foglio deposito bis'!$F$78*(C2058-sezione!$AL$35)*IF(ABS(K2058)&lt;'Sollecitazioni nel paramento'!$G$58,ABS(K2058)*'Sollecitazioni nel paramento'!$G$54,'Sollecitazioni nel paramento'!$G$53)</f>
        <v>0</v>
      </c>
      <c r="F2058" s="545">
        <f>-'Foglio deposito bis'!$F$79*(C2058-sezione!$AM$35)*IF(ABS(L2058)&lt;'Sollecitazioni nel paramento'!$G$58,ABS(L2058)*'Sollecitazioni nel paramento'!$G$54,'Sollecitazioni nel paramento'!$G$53)</f>
        <v>3951865.2751765042</v>
      </c>
      <c r="G2058" s="545">
        <f>-'Foglio deposito bis'!$F$80*(C2058-sezione!$AN$35)*IF(ABS(M2058)&lt;'Sollecitazioni nel paramento'!$G$58,ABS(M2058)*'Sollecitazioni nel paramento'!$G$54,'Sollecitazioni nel paramento'!$G$53)</f>
        <v>0</v>
      </c>
      <c r="H2058" s="545">
        <f>-'Foglio deposito bis'!$F$81*(C2058-sezione!$AO$35)*IF(ABS(N2058)&lt;'Sollecitazioni nel paramento'!$G$58,ABS(N2058)*'Sollecitazioni nel paramento'!$G$54,'Sollecitazioni nel paramento'!$G$53)</f>
        <v>50073166.001378536</v>
      </c>
      <c r="I2058" s="472">
        <f>-'Foglio deposito bis'!$F$82*(C2058-sezione!$AP$35)*IF(ABS(O2058)&lt;'Sollecitazioni nel paramento'!$G$58,ABS(O2058)*'Sollecitazioni nel paramento'!$G$54,'Sollecitazioni nel paramento'!$G$53)</f>
        <v>589093985.53797388</v>
      </c>
      <c r="J2058" s="472">
        <f t="shared" si="144"/>
        <v>616970301.27703953</v>
      </c>
      <c r="K2058" s="550">
        <f>'Sollecitazioni nel paramento'!$G$60*(sezione!$AL$35-C2058)/C2058</f>
        <v>5.8370787799396891E-4</v>
      </c>
      <c r="L2058" s="550">
        <f>'Sollecitazioni nel paramento'!$G$60*(sezione!$AM$35-C2058)/C2058</f>
        <v>2.6255618169909534E-3</v>
      </c>
      <c r="M2058" s="551">
        <f>'Sollecitazioni nel paramento'!$G$60*(sezione!$AN$35-C2058)/C2058</f>
        <v>4.6674157559879375E-3</v>
      </c>
      <c r="N2058" s="551">
        <f>'Sollecitazioni nel paramento'!$G$60*(sezione!$AO$35-C2058)/C2058</f>
        <v>1.2834831511975878E-2</v>
      </c>
      <c r="O2058" s="551">
        <f>'Sollecitazioni nel paramento'!$G$60*(sezione!$AP$35-C2058)/C2058</f>
        <v>6.7387306614759696E-2</v>
      </c>
      <c r="P2058" s="545">
        <f>-'Sollecitazioni nel paramento'!$G$47*'Sollecitazioni nel paramento'!$G$41*IF(DATI!$G$211="dx",DATI!$E$61,DATI!$E$64*DATI!$E$63)*1000*C2058*sezione!$AD$5</f>
        <v>-1306063.0582175732</v>
      </c>
      <c r="Q2058" s="545">
        <f>'Foglio deposito bis'!$F$78*IF(ABS(K2058)&lt;'Sollecitazioni nel paramento'!$G$58,ABS(K2058)*'Sollecitazioni nel paramento'!$G$54,'Sollecitazioni nel paramento'!$G$53)*IF(K2058&lt;0,-1,1)</f>
        <v>0</v>
      </c>
      <c r="R2058" s="545">
        <f>'Foglio deposito bis'!$F$79*IF(ABS(L2058)&lt;'Sollecitazioni nel paramento'!$G$58,ABS(L2058)*'Sollecitazioni nel paramento'!$G$54,'Sollecitazioni nel paramento'!$G$53)*IF(L2058&lt;0,-1,1)</f>
        <v>153664.85805602249</v>
      </c>
      <c r="S2058" s="545">
        <f>'Foglio deposito bis'!$F$80*IF(ABS(M2058)&lt;'Sollecitazioni nel paramento'!$G$58,ABS(M2058)*'Sollecitazioni nel paramento'!$G$54,'Sollecitazioni nel paramento'!$G$53)*IF(M2058&lt;0,-1,1)</f>
        <v>0</v>
      </c>
      <c r="T2058" s="545">
        <f>'Foglio deposito bis'!$F$81*IF(ABS(N2058)&lt;'Sollecitazioni nel paramento'!$G$58,ABS(N2058)*'Sollecitazioni nel paramento'!$G$54,'Sollecitazioni nel paramento'!$G$53)*IF(N2058&lt;0,-1,1)</f>
        <v>398299.31208121032</v>
      </c>
      <c r="U2058" s="545">
        <f>'Foglio deposito bis'!$F$82*IF(ABS(O2058)&lt;'Sollecitazioni nel paramento'!$G$58,ABS(O2058)*'Sollecitazioni nel paramento'!$G$54,'Sollecitazioni nel paramento'!$G$53)*IF(O2058&lt;0,-1,1)</f>
        <v>892485.49558937876</v>
      </c>
      <c r="V2058" s="472">
        <f t="shared" si="146"/>
        <v>138386.60750903841</v>
      </c>
      <c r="W2058" s="551"/>
      <c r="X2058" s="551"/>
    </row>
    <row r="2059" spans="1:24" x14ac:dyDescent="0.25">
      <c r="A2059" s="545">
        <f t="shared" si="145"/>
        <v>119458.15738994326</v>
      </c>
      <c r="B2059" s="3">
        <f t="shared" si="147"/>
        <v>3.4999999999999956</v>
      </c>
      <c r="C2059" s="545">
        <f>'Foglio deposito bis'!$E$161/sezione!$B$247*B2059</f>
        <v>34.779418545729811</v>
      </c>
      <c r="D2059" s="603">
        <f>-'Sollecitazioni nel paramento'!$G$47*'Sollecitazioni nel paramento'!$G$41*IF(DATI!$G$211="dx",DATI!$E$61,DATI!$E$64*DATI!$E$63)*1000*C2059^2*sezione!$AD$5*(1-sezione!$AD$6)</f>
        <v>-26912141.594979644</v>
      </c>
      <c r="E2059" s="545">
        <f>-'Foglio deposito bis'!$F$78*(C2059-sezione!$AL$35)*IF(ABS(K2059)&lt;'Sollecitazioni nel paramento'!$G$58,ABS(K2059)*'Sollecitazioni nel paramento'!$G$54,'Sollecitazioni nel paramento'!$G$53)</f>
        <v>0</v>
      </c>
      <c r="F2059" s="545">
        <f>-'Foglio deposito bis'!$F$79*(C2059-sezione!$AM$35)*IF(ABS(L2059)&lt;'Sollecitazioni nel paramento'!$G$58,ABS(L2059)*'Sollecitazioni nel paramento'!$G$54,'Sollecitazioni nel paramento'!$G$53)</f>
        <v>3875517.0692607816</v>
      </c>
      <c r="G2059" s="545">
        <f>-'Foglio deposito bis'!$F$80*(C2059-sezione!$AN$35)*IF(ABS(M2059)&lt;'Sollecitazioni nel paramento'!$G$58,ABS(M2059)*'Sollecitazioni nel paramento'!$G$54,'Sollecitazioni nel paramento'!$G$53)</f>
        <v>0</v>
      </c>
      <c r="H2059" s="545">
        <f>-'Foglio deposito bis'!$F$81*(C2059-sezione!$AO$35)*IF(ABS(N2059)&lt;'Sollecitazioni nel paramento'!$G$58,ABS(N2059)*'Sollecitazioni nel paramento'!$G$54,'Sollecitazioni nel paramento'!$G$53)</f>
        <v>49875271.451644979</v>
      </c>
      <c r="I2059" s="472">
        <f>-'Foglio deposito bis'!$F$82*(C2059-sezione!$AP$35)*IF(ABS(O2059)&lt;'Sollecitazioni nel paramento'!$G$58,ABS(O2059)*'Sollecitazioni nel paramento'!$G$54,'Sollecitazioni nel paramento'!$G$53)</f>
        <v>588650555.15801549</v>
      </c>
      <c r="J2059" s="472">
        <f t="shared" si="144"/>
        <v>615489202.08394158</v>
      </c>
      <c r="K2059" s="550">
        <f>'Sollecitazioni nel paramento'!$G$60*(sezione!$AL$35-C2059)/C2059</f>
        <v>5.2536919402262656E-4</v>
      </c>
      <c r="L2059" s="550">
        <f>'Sollecitazioni nel paramento'!$G$60*(sezione!$AM$35-C2059)/C2059</f>
        <v>2.5380537910339399E-3</v>
      </c>
      <c r="M2059" s="551">
        <f>'Sollecitazioni nel paramento'!$G$60*(sezione!$AN$35-C2059)/C2059</f>
        <v>4.5507383880452534E-3</v>
      </c>
      <c r="N2059" s="551">
        <f>'Sollecitazioni nel paramento'!$G$60*(sezione!$AO$35-C2059)/C2059</f>
        <v>1.2601476776090506E-2</v>
      </c>
      <c r="O2059" s="551">
        <f>'Sollecitazioni nel paramento'!$G$60*(sezione!$AP$35-C2059)/C2059</f>
        <v>6.6374630805977428E-2</v>
      </c>
      <c r="P2059" s="545">
        <f>-'Sollecitazioni nel paramento'!$G$47*'Sollecitazioni nel paramento'!$G$41*IF(DATI!$G$211="dx",DATI!$E$61,DATI!$E$64*DATI!$E$63)*1000*C2059*sezione!$AD$5</f>
        <v>-1324991.5083366684</v>
      </c>
      <c r="Q2059" s="545">
        <f>'Foglio deposito bis'!$F$78*IF(ABS(K2059)&lt;'Sollecitazioni nel paramento'!$G$58,ABS(K2059)*'Sollecitazioni nel paramento'!$G$54,'Sollecitazioni nel paramento'!$G$53)*IF(K2059&lt;0,-1,1)</f>
        <v>0</v>
      </c>
      <c r="R2059" s="545">
        <f>'Foglio deposito bis'!$F$79*IF(ABS(L2059)&lt;'Sollecitazioni nel paramento'!$G$58,ABS(L2059)*'Sollecitazioni nel paramento'!$G$54,'Sollecitazioni nel paramento'!$G$53)*IF(L2059&lt;0,-1,1)</f>
        <v>153664.85805602249</v>
      </c>
      <c r="S2059" s="545">
        <f>'Foglio deposito bis'!$F$80*IF(ABS(M2059)&lt;'Sollecitazioni nel paramento'!$G$58,ABS(M2059)*'Sollecitazioni nel paramento'!$G$54,'Sollecitazioni nel paramento'!$G$53)*IF(M2059&lt;0,-1,1)</f>
        <v>0</v>
      </c>
      <c r="T2059" s="545">
        <f>'Foglio deposito bis'!$F$81*IF(ABS(N2059)&lt;'Sollecitazioni nel paramento'!$G$58,ABS(N2059)*'Sollecitazioni nel paramento'!$G$54,'Sollecitazioni nel paramento'!$G$53)*IF(N2059&lt;0,-1,1)</f>
        <v>398299.31208121032</v>
      </c>
      <c r="U2059" s="545">
        <f>'Foglio deposito bis'!$F$82*IF(ABS(O2059)&lt;'Sollecitazioni nel paramento'!$G$58,ABS(O2059)*'Sollecitazioni nel paramento'!$G$54,'Sollecitazioni nel paramento'!$G$53)*IF(O2059&lt;0,-1,1)</f>
        <v>892485.49558937876</v>
      </c>
      <c r="V2059" s="472">
        <f t="shared" si="146"/>
        <v>119458.15738994326</v>
      </c>
      <c r="W2059" s="551"/>
      <c r="X2059" s="551"/>
    </row>
    <row r="2060" spans="1:24" x14ac:dyDescent="0.25">
      <c r="A2060" s="545">
        <f t="shared" si="145"/>
        <v>100529.7072708481</v>
      </c>
      <c r="B2060" s="3">
        <f t="shared" si="147"/>
        <v>3.5499999999999954</v>
      </c>
      <c r="C2060" s="545">
        <f>'Foglio deposito bis'!$E$161/sezione!$B$247*B2060</f>
        <v>35.27626738209738</v>
      </c>
      <c r="D2060" s="603">
        <f>-'Sollecitazioni nel paramento'!$G$47*'Sollecitazioni nel paramento'!$G$41*IF(DATI!$G$211="dx",DATI!$E$61,DATI!$E$64*DATI!$E$63)*1000*C2060^2*sezione!$AD$5*(1-sezione!$AD$6)</f>
        <v>-27686552.200059675</v>
      </c>
      <c r="E2060" s="545">
        <f>-'Foglio deposito bis'!$F$78*(C2060-sezione!$AL$35)*IF(ABS(K2060)&lt;'Sollecitazioni nel paramento'!$G$58,ABS(K2060)*'Sollecitazioni nel paramento'!$G$54,'Sollecitazioni nel paramento'!$G$53)</f>
        <v>0</v>
      </c>
      <c r="F2060" s="545">
        <f>-'Foglio deposito bis'!$F$79*(C2060-sezione!$AM$35)*IF(ABS(L2060)&lt;'Sollecitazioni nel paramento'!$G$58,ABS(L2060)*'Sollecitazioni nel paramento'!$G$54,'Sollecitazioni nel paramento'!$G$53)</f>
        <v>3799168.8633450591</v>
      </c>
      <c r="G2060" s="545">
        <f>-'Foglio deposito bis'!$F$80*(C2060-sezione!$AN$35)*IF(ABS(M2060)&lt;'Sollecitazioni nel paramento'!$G$58,ABS(M2060)*'Sollecitazioni nel paramento'!$G$54,'Sollecitazioni nel paramento'!$G$53)</f>
        <v>0</v>
      </c>
      <c r="H2060" s="545">
        <f>-'Foglio deposito bis'!$F$81*(C2060-sezione!$AO$35)*IF(ABS(N2060)&lt;'Sollecitazioni nel paramento'!$G$58,ABS(N2060)*'Sollecitazioni nel paramento'!$G$54,'Sollecitazioni nel paramento'!$G$53)</f>
        <v>49677376.901911423</v>
      </c>
      <c r="I2060" s="472">
        <f>-'Foglio deposito bis'!$F$82*(C2060-sezione!$AP$35)*IF(ABS(O2060)&lt;'Sollecitazioni nel paramento'!$G$58,ABS(O2060)*'Sollecitazioni nel paramento'!$G$54,'Sollecitazioni nel paramento'!$G$53)</f>
        <v>588207124.77805698</v>
      </c>
      <c r="J2060" s="472">
        <f t="shared" si="144"/>
        <v>613997118.34325373</v>
      </c>
      <c r="K2060" s="550">
        <f>'Sollecitazioni nel paramento'!$G$60*(sezione!$AL$35-C2060)/C2060</f>
        <v>4.6867385326174448E-4</v>
      </c>
      <c r="L2060" s="550">
        <f>'Sollecitazioni nel paramento'!$G$60*(sezione!$AM$35-C2060)/C2060</f>
        <v>2.4530107798926169E-3</v>
      </c>
      <c r="M2060" s="551">
        <f>'Sollecitazioni nel paramento'!$G$60*(sezione!$AN$35-C2060)/C2060</f>
        <v>4.4373477065234885E-3</v>
      </c>
      <c r="N2060" s="551">
        <f>'Sollecitazioni nel paramento'!$G$60*(sezione!$AO$35-C2060)/C2060</f>
        <v>1.2374695413046977E-2</v>
      </c>
      <c r="O2060" s="551">
        <f>'Sollecitazioni nel paramento'!$G$60*(sezione!$AP$35-C2060)/C2060</f>
        <v>6.5390481076315773E-2</v>
      </c>
      <c r="P2060" s="545">
        <f>-'Sollecitazioni nel paramento'!$G$47*'Sollecitazioni nel paramento'!$G$41*IF(DATI!$G$211="dx",DATI!$E$61,DATI!$E$64*DATI!$E$63)*1000*C2060*sezione!$AD$5</f>
        <v>-1343919.9584557635</v>
      </c>
      <c r="Q2060" s="545">
        <f>'Foglio deposito bis'!$F$78*IF(ABS(K2060)&lt;'Sollecitazioni nel paramento'!$G$58,ABS(K2060)*'Sollecitazioni nel paramento'!$G$54,'Sollecitazioni nel paramento'!$G$53)*IF(K2060&lt;0,-1,1)</f>
        <v>0</v>
      </c>
      <c r="R2060" s="545">
        <f>'Foglio deposito bis'!$F$79*IF(ABS(L2060)&lt;'Sollecitazioni nel paramento'!$G$58,ABS(L2060)*'Sollecitazioni nel paramento'!$G$54,'Sollecitazioni nel paramento'!$G$53)*IF(L2060&lt;0,-1,1)</f>
        <v>153664.85805602249</v>
      </c>
      <c r="S2060" s="545">
        <f>'Foglio deposito bis'!$F$80*IF(ABS(M2060)&lt;'Sollecitazioni nel paramento'!$G$58,ABS(M2060)*'Sollecitazioni nel paramento'!$G$54,'Sollecitazioni nel paramento'!$G$53)*IF(M2060&lt;0,-1,1)</f>
        <v>0</v>
      </c>
      <c r="T2060" s="545">
        <f>'Foglio deposito bis'!$F$81*IF(ABS(N2060)&lt;'Sollecitazioni nel paramento'!$G$58,ABS(N2060)*'Sollecitazioni nel paramento'!$G$54,'Sollecitazioni nel paramento'!$G$53)*IF(N2060&lt;0,-1,1)</f>
        <v>398299.31208121032</v>
      </c>
      <c r="U2060" s="545">
        <f>'Foglio deposito bis'!$F$82*IF(ABS(O2060)&lt;'Sollecitazioni nel paramento'!$G$58,ABS(O2060)*'Sollecitazioni nel paramento'!$G$54,'Sollecitazioni nel paramento'!$G$53)*IF(O2060&lt;0,-1,1)</f>
        <v>892485.49558937876</v>
      </c>
      <c r="V2060" s="472">
        <f t="shared" si="146"/>
        <v>100529.7072708481</v>
      </c>
      <c r="W2060" s="551"/>
      <c r="X2060" s="551"/>
    </row>
    <row r="2061" spans="1:24" x14ac:dyDescent="0.25">
      <c r="A2061" s="545">
        <f t="shared" si="145"/>
        <v>81601.25715175271</v>
      </c>
      <c r="B2061" s="3">
        <f t="shared" si="147"/>
        <v>3.5999999999999952</v>
      </c>
      <c r="C2061" s="545">
        <f>'Foglio deposito bis'!$E$161/sezione!$B$247*B2061</f>
        <v>35.773116218464949</v>
      </c>
      <c r="D2061" s="603">
        <f>-'Sollecitazioni nel paramento'!$G$47*'Sollecitazioni nel paramento'!$G$41*IF(DATI!$G$211="dx",DATI!$E$61,DATI!$E$64*DATI!$E$63)*1000*C2061^2*sezione!$AD$5*(1-sezione!$AD$6)</f>
        <v>-28471947.352729488</v>
      </c>
      <c r="E2061" s="545">
        <f>-'Foglio deposito bis'!$F$78*(C2061-sezione!$AL$35)*IF(ABS(K2061)&lt;'Sollecitazioni nel paramento'!$G$58,ABS(K2061)*'Sollecitazioni nel paramento'!$G$54,'Sollecitazioni nel paramento'!$G$53)</f>
        <v>0</v>
      </c>
      <c r="F2061" s="545">
        <f>-'Foglio deposito bis'!$F$79*(C2061-sezione!$AM$35)*IF(ABS(L2061)&lt;'Sollecitazioni nel paramento'!$G$58,ABS(L2061)*'Sollecitazioni nel paramento'!$G$54,'Sollecitazioni nel paramento'!$G$53)</f>
        <v>3722820.657429337</v>
      </c>
      <c r="G2061" s="545">
        <f>-'Foglio deposito bis'!$F$80*(C2061-sezione!$AN$35)*IF(ABS(M2061)&lt;'Sollecitazioni nel paramento'!$G$58,ABS(M2061)*'Sollecitazioni nel paramento'!$G$54,'Sollecitazioni nel paramento'!$G$53)</f>
        <v>0</v>
      </c>
      <c r="H2061" s="545">
        <f>-'Foglio deposito bis'!$F$81*(C2061-sezione!$AO$35)*IF(ABS(N2061)&lt;'Sollecitazioni nel paramento'!$G$58,ABS(N2061)*'Sollecitazioni nel paramento'!$G$54,'Sollecitazioni nel paramento'!$G$53)</f>
        <v>49479482.352177873</v>
      </c>
      <c r="I2061" s="472">
        <f>-'Foglio deposito bis'!$F$82*(C2061-sezione!$AP$35)*IF(ABS(O2061)&lt;'Sollecitazioni nel paramento'!$G$58,ABS(O2061)*'Sollecitazioni nel paramento'!$G$54,'Sollecitazioni nel paramento'!$G$53)</f>
        <v>587763694.39809847</v>
      </c>
      <c r="J2061" s="472">
        <f t="shared" si="144"/>
        <v>612494050.05497622</v>
      </c>
      <c r="K2061" s="550">
        <f>'Sollecitazioni nel paramento'!$G$60*(sezione!$AL$35-C2061)/C2061</f>
        <v>4.135533830775535E-4</v>
      </c>
      <c r="L2061" s="550">
        <f>'Sollecitazioni nel paramento'!$G$60*(sezione!$AM$35-C2061)/C2061</f>
        <v>2.3703300746163304E-3</v>
      </c>
      <c r="M2061" s="551">
        <f>'Sollecitazioni nel paramento'!$G$60*(sezione!$AN$35-C2061)/C2061</f>
        <v>4.3271067661551071E-3</v>
      </c>
      <c r="N2061" s="551">
        <f>'Sollecitazioni nel paramento'!$G$60*(sezione!$AO$35-C2061)/C2061</f>
        <v>1.2154213532310216E-2</v>
      </c>
      <c r="O2061" s="551">
        <f>'Sollecitazioni nel paramento'!$G$60*(sezione!$AP$35-C2061)/C2061</f>
        <v>6.4433668839144712E-2</v>
      </c>
      <c r="P2061" s="545">
        <f>-'Sollecitazioni nel paramento'!$G$47*'Sollecitazioni nel paramento'!$G$41*IF(DATI!$G$211="dx",DATI!$E$61,DATI!$E$64*DATI!$E$63)*1000*C2061*sezione!$AD$5</f>
        <v>-1362848.4085748589</v>
      </c>
      <c r="Q2061" s="545">
        <f>'Foglio deposito bis'!$F$78*IF(ABS(K2061)&lt;'Sollecitazioni nel paramento'!$G$58,ABS(K2061)*'Sollecitazioni nel paramento'!$G$54,'Sollecitazioni nel paramento'!$G$53)*IF(K2061&lt;0,-1,1)</f>
        <v>0</v>
      </c>
      <c r="R2061" s="545">
        <f>'Foglio deposito bis'!$F$79*IF(ABS(L2061)&lt;'Sollecitazioni nel paramento'!$G$58,ABS(L2061)*'Sollecitazioni nel paramento'!$G$54,'Sollecitazioni nel paramento'!$G$53)*IF(L2061&lt;0,-1,1)</f>
        <v>153664.85805602249</v>
      </c>
      <c r="S2061" s="545">
        <f>'Foglio deposito bis'!$F$80*IF(ABS(M2061)&lt;'Sollecitazioni nel paramento'!$G$58,ABS(M2061)*'Sollecitazioni nel paramento'!$G$54,'Sollecitazioni nel paramento'!$G$53)*IF(M2061&lt;0,-1,1)</f>
        <v>0</v>
      </c>
      <c r="T2061" s="545">
        <f>'Foglio deposito bis'!$F$81*IF(ABS(N2061)&lt;'Sollecitazioni nel paramento'!$G$58,ABS(N2061)*'Sollecitazioni nel paramento'!$G$54,'Sollecitazioni nel paramento'!$G$53)*IF(N2061&lt;0,-1,1)</f>
        <v>398299.31208121032</v>
      </c>
      <c r="U2061" s="545">
        <f>'Foglio deposito bis'!$F$82*IF(ABS(O2061)&lt;'Sollecitazioni nel paramento'!$G$58,ABS(O2061)*'Sollecitazioni nel paramento'!$G$54,'Sollecitazioni nel paramento'!$G$53)*IF(O2061&lt;0,-1,1)</f>
        <v>892485.49558937876</v>
      </c>
      <c r="V2061" s="472">
        <f t="shared" si="146"/>
        <v>81601.25715175271</v>
      </c>
      <c r="W2061" s="551"/>
      <c r="X2061" s="551"/>
    </row>
    <row r="2062" spans="1:24" x14ac:dyDescent="0.25">
      <c r="A2062" s="545">
        <f t="shared" si="145"/>
        <v>62672.807032657554</v>
      </c>
      <c r="B2062" s="3">
        <f t="shared" si="147"/>
        <v>3.649999999999995</v>
      </c>
      <c r="C2062" s="545">
        <f>'Foglio deposito bis'!$E$161/sezione!$B$247*B2062</f>
        <v>36.269965054832518</v>
      </c>
      <c r="D2062" s="603">
        <f>-'Sollecitazioni nel paramento'!$G$47*'Sollecitazioni nel paramento'!$G$41*IF(DATI!$G$211="dx",DATI!$E$61,DATI!$E$64*DATI!$E$63)*1000*C2062^2*sezione!$AD$5*(1-sezione!$AD$6)</f>
        <v>-29268327.052989092</v>
      </c>
      <c r="E2062" s="545">
        <f>-'Foglio deposito bis'!$F$78*(C2062-sezione!$AL$35)*IF(ABS(K2062)&lt;'Sollecitazioni nel paramento'!$G$58,ABS(K2062)*'Sollecitazioni nel paramento'!$G$54,'Sollecitazioni nel paramento'!$G$53)</f>
        <v>0</v>
      </c>
      <c r="F2062" s="545">
        <f>-'Foglio deposito bis'!$F$79*(C2062-sezione!$AM$35)*IF(ABS(L2062)&lt;'Sollecitazioni nel paramento'!$G$58,ABS(L2062)*'Sollecitazioni nel paramento'!$G$54,'Sollecitazioni nel paramento'!$G$53)</f>
        <v>3646472.4515136145</v>
      </c>
      <c r="G2062" s="545">
        <f>-'Foglio deposito bis'!$F$80*(C2062-sezione!$AN$35)*IF(ABS(M2062)&lt;'Sollecitazioni nel paramento'!$G$58,ABS(M2062)*'Sollecitazioni nel paramento'!$G$54,'Sollecitazioni nel paramento'!$G$53)</f>
        <v>0</v>
      </c>
      <c r="H2062" s="545">
        <f>-'Foglio deposito bis'!$F$81*(C2062-sezione!$AO$35)*IF(ABS(N2062)&lt;'Sollecitazioni nel paramento'!$G$58,ABS(N2062)*'Sollecitazioni nel paramento'!$G$54,'Sollecitazioni nel paramento'!$G$53)</f>
        <v>49281587.802444324</v>
      </c>
      <c r="I2062" s="472">
        <f>-'Foglio deposito bis'!$F$82*(C2062-sezione!$AP$35)*IF(ABS(O2062)&lt;'Sollecitazioni nel paramento'!$G$58,ABS(O2062)*'Sollecitazioni nel paramento'!$G$54,'Sollecitazioni nel paramento'!$G$53)</f>
        <v>587320264.01813996</v>
      </c>
      <c r="J2062" s="472">
        <f t="shared" si="144"/>
        <v>610979997.21910882</v>
      </c>
      <c r="K2062" s="550">
        <f>'Sollecitazioni nel paramento'!$G$60*(sezione!$AL$35-C2062)/C2062</f>
        <v>3.5994306276142262E-4</v>
      </c>
      <c r="L2062" s="550">
        <f>'Sollecitazioni nel paramento'!$G$60*(sezione!$AM$35-C2062)/C2062</f>
        <v>2.289914594142134E-3</v>
      </c>
      <c r="M2062" s="551">
        <f>'Sollecitazioni nel paramento'!$G$60*(sezione!$AN$35-C2062)/C2062</f>
        <v>4.2198861255228455E-3</v>
      </c>
      <c r="N2062" s="551">
        <f>'Sollecitazioni nel paramento'!$G$60*(sezione!$AO$35-C2062)/C2062</f>
        <v>1.1939772251045692E-2</v>
      </c>
      <c r="O2062" s="551">
        <f>'Sollecitazioni nel paramento'!$G$60*(sezione!$AP$35-C2062)/C2062</f>
        <v>6.3503070635868769E-2</v>
      </c>
      <c r="P2062" s="545">
        <f>-'Sollecitazioni nel paramento'!$G$47*'Sollecitazioni nel paramento'!$G$41*IF(DATI!$G$211="dx",DATI!$E$61,DATI!$E$64*DATI!$E$63)*1000*C2062*sezione!$AD$5</f>
        <v>-1381776.8586939541</v>
      </c>
      <c r="Q2062" s="545">
        <f>'Foglio deposito bis'!$F$78*IF(ABS(K2062)&lt;'Sollecitazioni nel paramento'!$G$58,ABS(K2062)*'Sollecitazioni nel paramento'!$G$54,'Sollecitazioni nel paramento'!$G$53)*IF(K2062&lt;0,-1,1)</f>
        <v>0</v>
      </c>
      <c r="R2062" s="545">
        <f>'Foglio deposito bis'!$F$79*IF(ABS(L2062)&lt;'Sollecitazioni nel paramento'!$G$58,ABS(L2062)*'Sollecitazioni nel paramento'!$G$54,'Sollecitazioni nel paramento'!$G$53)*IF(L2062&lt;0,-1,1)</f>
        <v>153664.85805602249</v>
      </c>
      <c r="S2062" s="545">
        <f>'Foglio deposito bis'!$F$80*IF(ABS(M2062)&lt;'Sollecitazioni nel paramento'!$G$58,ABS(M2062)*'Sollecitazioni nel paramento'!$G$54,'Sollecitazioni nel paramento'!$G$53)*IF(M2062&lt;0,-1,1)</f>
        <v>0</v>
      </c>
      <c r="T2062" s="545">
        <f>'Foglio deposito bis'!$F$81*IF(ABS(N2062)&lt;'Sollecitazioni nel paramento'!$G$58,ABS(N2062)*'Sollecitazioni nel paramento'!$G$54,'Sollecitazioni nel paramento'!$G$53)*IF(N2062&lt;0,-1,1)</f>
        <v>398299.31208121032</v>
      </c>
      <c r="U2062" s="545">
        <f>'Foglio deposito bis'!$F$82*IF(ABS(O2062)&lt;'Sollecitazioni nel paramento'!$G$58,ABS(O2062)*'Sollecitazioni nel paramento'!$G$54,'Sollecitazioni nel paramento'!$G$53)*IF(O2062&lt;0,-1,1)</f>
        <v>892485.49558937876</v>
      </c>
      <c r="V2062" s="472">
        <f t="shared" si="146"/>
        <v>62672.807032657554</v>
      </c>
      <c r="W2062" s="551"/>
      <c r="X2062" s="551"/>
    </row>
    <row r="2063" spans="1:24" x14ac:dyDescent="0.25">
      <c r="A2063" s="545">
        <f t="shared" si="145"/>
        <v>43744.356913562398</v>
      </c>
      <c r="B2063" s="3">
        <f t="shared" si="147"/>
        <v>3.6999999999999948</v>
      </c>
      <c r="C2063" s="545">
        <f>'Foglio deposito bis'!$E$161/sezione!$B$247*B2063</f>
        <v>36.76681389120008</v>
      </c>
      <c r="D2063" s="603">
        <f>-'Sollecitazioni nel paramento'!$G$47*'Sollecitazioni nel paramento'!$G$41*IF(DATI!$G$211="dx",DATI!$E$61,DATI!$E$64*DATI!$E$63)*1000*C2063^2*sezione!$AD$5*(1-sezione!$AD$6)</f>
        <v>-30075691.30083847</v>
      </c>
      <c r="E2063" s="545">
        <f>-'Foglio deposito bis'!$F$78*(C2063-sezione!$AL$35)*IF(ABS(K2063)&lt;'Sollecitazioni nel paramento'!$G$58,ABS(K2063)*'Sollecitazioni nel paramento'!$G$54,'Sollecitazioni nel paramento'!$G$53)</f>
        <v>0</v>
      </c>
      <c r="F2063" s="545">
        <f>-'Foglio deposito bis'!$F$79*(C2063-sezione!$AM$35)*IF(ABS(L2063)&lt;'Sollecitazioni nel paramento'!$G$58,ABS(L2063)*'Sollecitazioni nel paramento'!$G$54,'Sollecitazioni nel paramento'!$G$53)</f>
        <v>3570124.2455978934</v>
      </c>
      <c r="G2063" s="545">
        <f>-'Foglio deposito bis'!$F$80*(C2063-sezione!$AN$35)*IF(ABS(M2063)&lt;'Sollecitazioni nel paramento'!$G$58,ABS(M2063)*'Sollecitazioni nel paramento'!$G$54,'Sollecitazioni nel paramento'!$G$53)</f>
        <v>0</v>
      </c>
      <c r="H2063" s="545">
        <f>-'Foglio deposito bis'!$F$81*(C2063-sezione!$AO$35)*IF(ABS(N2063)&lt;'Sollecitazioni nel paramento'!$G$58,ABS(N2063)*'Sollecitazioni nel paramento'!$G$54,'Sollecitazioni nel paramento'!$G$53)</f>
        <v>49083693.252710775</v>
      </c>
      <c r="I2063" s="472">
        <f>-'Foglio deposito bis'!$F$82*(C2063-sezione!$AP$35)*IF(ABS(O2063)&lt;'Sollecitazioni nel paramento'!$G$58,ABS(O2063)*'Sollecitazioni nel paramento'!$G$54,'Sollecitazioni nel paramento'!$G$53)</f>
        <v>586876833.63818145</v>
      </c>
      <c r="J2063" s="472">
        <f t="shared" si="144"/>
        <v>609454959.83565164</v>
      </c>
      <c r="K2063" s="550">
        <f>'Sollecitazioni nel paramento'!$G$60*(sezione!$AL$35-C2063)/C2063</f>
        <v>3.0778167002140411E-4</v>
      </c>
      <c r="L2063" s="550">
        <f>'Sollecitazioni nel paramento'!$G$60*(sezione!$AM$35-C2063)/C2063</f>
        <v>2.2116725050321064E-3</v>
      </c>
      <c r="M2063" s="551">
        <f>'Sollecitazioni nel paramento'!$G$60*(sezione!$AN$35-C2063)/C2063</f>
        <v>4.115563340042809E-3</v>
      </c>
      <c r="N2063" s="551">
        <f>'Sollecitazioni nel paramento'!$G$60*(sezione!$AO$35-C2063)/C2063</f>
        <v>1.1731126680085616E-2</v>
      </c>
      <c r="O2063" s="551">
        <f>'Sollecitazioni nel paramento'!$G$60*(sezione!$AP$35-C2063)/C2063</f>
        <v>6.2597623735384064E-2</v>
      </c>
      <c r="P2063" s="545">
        <f>-'Sollecitazioni nel paramento'!$G$47*'Sollecitazioni nel paramento'!$G$41*IF(DATI!$G$211="dx",DATI!$E$61,DATI!$E$64*DATI!$E$63)*1000*C2063*sezione!$AD$5</f>
        <v>-1400705.3088130492</v>
      </c>
      <c r="Q2063" s="545">
        <f>'Foglio deposito bis'!$F$78*IF(ABS(K2063)&lt;'Sollecitazioni nel paramento'!$G$58,ABS(K2063)*'Sollecitazioni nel paramento'!$G$54,'Sollecitazioni nel paramento'!$G$53)*IF(K2063&lt;0,-1,1)</f>
        <v>0</v>
      </c>
      <c r="R2063" s="545">
        <f>'Foglio deposito bis'!$F$79*IF(ABS(L2063)&lt;'Sollecitazioni nel paramento'!$G$58,ABS(L2063)*'Sollecitazioni nel paramento'!$G$54,'Sollecitazioni nel paramento'!$G$53)*IF(L2063&lt;0,-1,1)</f>
        <v>153664.85805602249</v>
      </c>
      <c r="S2063" s="545">
        <f>'Foglio deposito bis'!$F$80*IF(ABS(M2063)&lt;'Sollecitazioni nel paramento'!$G$58,ABS(M2063)*'Sollecitazioni nel paramento'!$G$54,'Sollecitazioni nel paramento'!$G$53)*IF(M2063&lt;0,-1,1)</f>
        <v>0</v>
      </c>
      <c r="T2063" s="545">
        <f>'Foglio deposito bis'!$F$81*IF(ABS(N2063)&lt;'Sollecitazioni nel paramento'!$G$58,ABS(N2063)*'Sollecitazioni nel paramento'!$G$54,'Sollecitazioni nel paramento'!$G$53)*IF(N2063&lt;0,-1,1)</f>
        <v>398299.31208121032</v>
      </c>
      <c r="U2063" s="545">
        <f>'Foglio deposito bis'!$F$82*IF(ABS(O2063)&lt;'Sollecitazioni nel paramento'!$G$58,ABS(O2063)*'Sollecitazioni nel paramento'!$G$54,'Sollecitazioni nel paramento'!$G$53)*IF(O2063&lt;0,-1,1)</f>
        <v>892485.49558937876</v>
      </c>
      <c r="V2063" s="472">
        <f t="shared" si="146"/>
        <v>43744.356913562398</v>
      </c>
      <c r="W2063" s="551"/>
      <c r="X2063" s="551"/>
    </row>
    <row r="2064" spans="1:24" x14ac:dyDescent="0.25">
      <c r="A2064" s="545">
        <f t="shared" si="145"/>
        <v>24815.906794467242</v>
      </c>
      <c r="B2064" s="3">
        <f t="shared" si="147"/>
        <v>3.7499999999999947</v>
      </c>
      <c r="C2064" s="545">
        <f>'Foglio deposito bis'!$E$161/sezione!$B$247*B2064</f>
        <v>37.263662727567649</v>
      </c>
      <c r="D2064" s="603">
        <f>-'Sollecitazioni nel paramento'!$G$47*'Sollecitazioni nel paramento'!$G$41*IF(DATI!$G$211="dx",DATI!$E$61,DATI!$E$64*DATI!$E$63)*1000*C2064^2*sezione!$AD$5*(1-sezione!$AD$6)</f>
        <v>-30894040.096277643</v>
      </c>
      <c r="E2064" s="545">
        <f>-'Foglio deposito bis'!$F$78*(C2064-sezione!$AL$35)*IF(ABS(K2064)&lt;'Sollecitazioni nel paramento'!$G$58,ABS(K2064)*'Sollecitazioni nel paramento'!$G$54,'Sollecitazioni nel paramento'!$G$53)</f>
        <v>0</v>
      </c>
      <c r="F2064" s="545">
        <f>-'Foglio deposito bis'!$F$79*(C2064-sezione!$AM$35)*IF(ABS(L2064)&lt;'Sollecitazioni nel paramento'!$G$58,ABS(L2064)*'Sollecitazioni nel paramento'!$G$54,'Sollecitazioni nel paramento'!$G$53)</f>
        <v>3493776.0396821708</v>
      </c>
      <c r="G2064" s="545">
        <f>-'Foglio deposito bis'!$F$80*(C2064-sezione!$AN$35)*IF(ABS(M2064)&lt;'Sollecitazioni nel paramento'!$G$58,ABS(M2064)*'Sollecitazioni nel paramento'!$G$54,'Sollecitazioni nel paramento'!$G$53)</f>
        <v>0</v>
      </c>
      <c r="H2064" s="545">
        <f>-'Foglio deposito bis'!$F$81*(C2064-sezione!$AO$35)*IF(ABS(N2064)&lt;'Sollecitazioni nel paramento'!$G$58,ABS(N2064)*'Sollecitazioni nel paramento'!$G$54,'Sollecitazioni nel paramento'!$G$53)</f>
        <v>48885798.702977218</v>
      </c>
      <c r="I2064" s="472">
        <f>-'Foglio deposito bis'!$F$82*(C2064-sezione!$AP$35)*IF(ABS(O2064)&lt;'Sollecitazioni nel paramento'!$G$58,ABS(O2064)*'Sollecitazioni nel paramento'!$G$54,'Sollecitazioni nel paramento'!$G$53)</f>
        <v>586433403.25822282</v>
      </c>
      <c r="J2064" s="472">
        <f t="shared" si="144"/>
        <v>607918937.90460455</v>
      </c>
      <c r="K2064" s="550">
        <f>'Sollecitazioni nel paramento'!$G$60*(sezione!$AL$35-C2064)/C2064</f>
        <v>2.5701124775445207E-4</v>
      </c>
      <c r="L2064" s="550">
        <f>'Sollecitazioni nel paramento'!$G$60*(sezione!$AM$35-C2064)/C2064</f>
        <v>2.1355168716316779E-3</v>
      </c>
      <c r="M2064" s="551">
        <f>'Sollecitazioni nel paramento'!$G$60*(sezione!$AN$35-C2064)/C2064</f>
        <v>4.0140224955089038E-3</v>
      </c>
      <c r="N2064" s="551">
        <f>'Sollecitazioni nel paramento'!$G$60*(sezione!$AO$35-C2064)/C2064</f>
        <v>1.1528044991017809E-2</v>
      </c>
      <c r="O2064" s="551">
        <f>'Sollecitazioni nel paramento'!$G$60*(sezione!$AP$35-C2064)/C2064</f>
        <v>6.1716322085578937E-2</v>
      </c>
      <c r="P2064" s="545">
        <f>-'Sollecitazioni nel paramento'!$G$47*'Sollecitazioni nel paramento'!$G$41*IF(DATI!$G$211="dx",DATI!$E$61,DATI!$E$64*DATI!$E$63)*1000*C2064*sezione!$AD$5</f>
        <v>-1419633.7589321444</v>
      </c>
      <c r="Q2064" s="545">
        <f>'Foglio deposito bis'!$F$78*IF(ABS(K2064)&lt;'Sollecitazioni nel paramento'!$G$58,ABS(K2064)*'Sollecitazioni nel paramento'!$G$54,'Sollecitazioni nel paramento'!$G$53)*IF(K2064&lt;0,-1,1)</f>
        <v>0</v>
      </c>
      <c r="R2064" s="545">
        <f>'Foglio deposito bis'!$F$79*IF(ABS(L2064)&lt;'Sollecitazioni nel paramento'!$G$58,ABS(L2064)*'Sollecitazioni nel paramento'!$G$54,'Sollecitazioni nel paramento'!$G$53)*IF(L2064&lt;0,-1,1)</f>
        <v>153664.85805602249</v>
      </c>
      <c r="S2064" s="545">
        <f>'Foglio deposito bis'!$F$80*IF(ABS(M2064)&lt;'Sollecitazioni nel paramento'!$G$58,ABS(M2064)*'Sollecitazioni nel paramento'!$G$54,'Sollecitazioni nel paramento'!$G$53)*IF(M2064&lt;0,-1,1)</f>
        <v>0</v>
      </c>
      <c r="T2064" s="545">
        <f>'Foglio deposito bis'!$F$81*IF(ABS(N2064)&lt;'Sollecitazioni nel paramento'!$G$58,ABS(N2064)*'Sollecitazioni nel paramento'!$G$54,'Sollecitazioni nel paramento'!$G$53)*IF(N2064&lt;0,-1,1)</f>
        <v>398299.31208121032</v>
      </c>
      <c r="U2064" s="545">
        <f>'Foglio deposito bis'!$F$82*IF(ABS(O2064)&lt;'Sollecitazioni nel paramento'!$G$58,ABS(O2064)*'Sollecitazioni nel paramento'!$G$54,'Sollecitazioni nel paramento'!$G$53)*IF(O2064&lt;0,-1,1)</f>
        <v>892485.49558937876</v>
      </c>
      <c r="V2064" s="472">
        <f t="shared" si="146"/>
        <v>24815.906794467242</v>
      </c>
      <c r="W2064" s="551"/>
      <c r="X2064" s="551"/>
    </row>
    <row r="2065" spans="1:24" x14ac:dyDescent="0.25">
      <c r="A2065" s="545">
        <f t="shared" si="145"/>
        <v>5887.4566753720865</v>
      </c>
      <c r="B2065" s="3">
        <f t="shared" si="147"/>
        <v>3.7999999999999945</v>
      </c>
      <c r="C2065" s="545">
        <f>'Foglio deposito bis'!$E$161/sezione!$B$247*B2065</f>
        <v>37.760511563935218</v>
      </c>
      <c r="D2065" s="603">
        <f>-'Sollecitazioni nel paramento'!$G$47*'Sollecitazioni nel paramento'!$G$41*IF(DATI!$G$211="dx",DATI!$E$61,DATI!$E$64*DATI!$E$63)*1000*C2065^2*sezione!$AD$5*(1-sezione!$AD$6)</f>
        <v>-31723373.439306606</v>
      </c>
      <c r="E2065" s="545">
        <f>-'Foglio deposito bis'!$F$78*(C2065-sezione!$AL$35)*IF(ABS(K2065)&lt;'Sollecitazioni nel paramento'!$G$58,ABS(K2065)*'Sollecitazioni nel paramento'!$G$54,'Sollecitazioni nel paramento'!$G$53)</f>
        <v>0</v>
      </c>
      <c r="F2065" s="545">
        <f>-'Foglio deposito bis'!$F$79*(C2065-sezione!$AM$35)*IF(ABS(L2065)&lt;'Sollecitazioni nel paramento'!$G$58,ABS(L2065)*'Sollecitazioni nel paramento'!$G$54,'Sollecitazioni nel paramento'!$G$53)</f>
        <v>3417427.8337664483</v>
      </c>
      <c r="G2065" s="545">
        <f>-'Foglio deposito bis'!$F$80*(C2065-sezione!$AN$35)*IF(ABS(M2065)&lt;'Sollecitazioni nel paramento'!$G$58,ABS(M2065)*'Sollecitazioni nel paramento'!$G$54,'Sollecitazioni nel paramento'!$G$53)</f>
        <v>0</v>
      </c>
      <c r="H2065" s="545">
        <f>-'Foglio deposito bis'!$F$81*(C2065-sezione!$AO$35)*IF(ABS(N2065)&lt;'Sollecitazioni nel paramento'!$G$58,ABS(N2065)*'Sollecitazioni nel paramento'!$G$54,'Sollecitazioni nel paramento'!$G$53)</f>
        <v>48687904.153243668</v>
      </c>
      <c r="I2065" s="472">
        <f>-'Foglio deposito bis'!$F$82*(C2065-sezione!$AP$35)*IF(ABS(O2065)&lt;'Sollecitazioni nel paramento'!$G$58,ABS(O2065)*'Sollecitazioni nel paramento'!$G$54,'Sollecitazioni nel paramento'!$G$53)</f>
        <v>585989972.87826431</v>
      </c>
      <c r="J2065" s="472">
        <f t="shared" si="144"/>
        <v>606371931.42596781</v>
      </c>
      <c r="K2065" s="550">
        <f>'Sollecitazioni nel paramento'!$G$60*(sezione!$AL$35-C2065)/C2065</f>
        <v>2.0757688923136712E-4</v>
      </c>
      <c r="L2065" s="550">
        <f>'Sollecitazioni nel paramento'!$G$60*(sezione!$AM$35-C2065)/C2065</f>
        <v>2.0613653338470506E-3</v>
      </c>
      <c r="M2065" s="551">
        <f>'Sollecitazioni nel paramento'!$G$60*(sezione!$AN$35-C2065)/C2065</f>
        <v>3.9151537784627337E-3</v>
      </c>
      <c r="N2065" s="551">
        <f>'Sollecitazioni nel paramento'!$G$60*(sezione!$AO$35-C2065)/C2065</f>
        <v>1.1330307556925469E-2</v>
      </c>
      <c r="O2065" s="551">
        <f>'Sollecitazioni nel paramento'!$G$60*(sezione!$AP$35-C2065)/C2065</f>
        <v>6.0858212584452898E-2</v>
      </c>
      <c r="P2065" s="545">
        <f>-'Sollecitazioni nel paramento'!$G$47*'Sollecitazioni nel paramento'!$G$41*IF(DATI!$G$211="dx",DATI!$E$61,DATI!$E$64*DATI!$E$63)*1000*C2065*sezione!$AD$5</f>
        <v>-1438562.2090512395</v>
      </c>
      <c r="Q2065" s="545">
        <f>'Foglio deposito bis'!$F$78*IF(ABS(K2065)&lt;'Sollecitazioni nel paramento'!$G$58,ABS(K2065)*'Sollecitazioni nel paramento'!$G$54,'Sollecitazioni nel paramento'!$G$53)*IF(K2065&lt;0,-1,1)</f>
        <v>0</v>
      </c>
      <c r="R2065" s="545">
        <f>'Foglio deposito bis'!$F$79*IF(ABS(L2065)&lt;'Sollecitazioni nel paramento'!$G$58,ABS(L2065)*'Sollecitazioni nel paramento'!$G$54,'Sollecitazioni nel paramento'!$G$53)*IF(L2065&lt;0,-1,1)</f>
        <v>153664.85805602249</v>
      </c>
      <c r="S2065" s="545">
        <f>'Foglio deposito bis'!$F$80*IF(ABS(M2065)&lt;'Sollecitazioni nel paramento'!$G$58,ABS(M2065)*'Sollecitazioni nel paramento'!$G$54,'Sollecitazioni nel paramento'!$G$53)*IF(M2065&lt;0,-1,1)</f>
        <v>0</v>
      </c>
      <c r="T2065" s="545">
        <f>'Foglio deposito bis'!$F$81*IF(ABS(N2065)&lt;'Sollecitazioni nel paramento'!$G$58,ABS(N2065)*'Sollecitazioni nel paramento'!$G$54,'Sollecitazioni nel paramento'!$G$53)*IF(N2065&lt;0,-1,1)</f>
        <v>398299.31208121032</v>
      </c>
      <c r="U2065" s="545">
        <f>'Foglio deposito bis'!$F$82*IF(ABS(O2065)&lt;'Sollecitazioni nel paramento'!$G$58,ABS(O2065)*'Sollecitazioni nel paramento'!$G$54,'Sollecitazioni nel paramento'!$G$53)*IF(O2065&lt;0,-1,1)</f>
        <v>892485.49558937876</v>
      </c>
      <c r="V2065" s="472">
        <f t="shared" si="146"/>
        <v>5887.4566753720865</v>
      </c>
      <c r="W2065" s="551"/>
      <c r="X2065" s="551"/>
    </row>
    <row r="2066" spans="1:24" x14ac:dyDescent="0.25">
      <c r="A2066" s="545">
        <f t="shared" si="145"/>
        <v>13040.993443723302</v>
      </c>
      <c r="B2066" s="3">
        <f t="shared" si="147"/>
        <v>3.8499999999999943</v>
      </c>
      <c r="C2066" s="545">
        <f>'Foglio deposito bis'!$E$161/sezione!$B$247*B2066</f>
        <v>38.257360400302787</v>
      </c>
      <c r="D2066" s="603">
        <f>-'Sollecitazioni nel paramento'!$G$47*'Sollecitazioni nel paramento'!$G$41*IF(DATI!$G$211="dx",DATI!$E$61,DATI!$E$64*DATI!$E$63)*1000*C2066^2*sezione!$AD$5*(1-sezione!$AD$6)</f>
        <v>-32563691.329925355</v>
      </c>
      <c r="E2066" s="545">
        <f>-'Foglio deposito bis'!$F$78*(C2066-sezione!$AL$35)*IF(ABS(K2066)&lt;'Sollecitazioni nel paramento'!$G$58,ABS(K2066)*'Sollecitazioni nel paramento'!$G$54,'Sollecitazioni nel paramento'!$G$53)</f>
        <v>0</v>
      </c>
      <c r="F2066" s="545">
        <f>-'Foglio deposito bis'!$F$79*(C2066-sezione!$AM$35)*IF(ABS(L2066)&lt;'Sollecitazioni nel paramento'!$G$58,ABS(L2066)*'Sollecitazioni nel paramento'!$G$54,'Sollecitazioni nel paramento'!$G$53)</f>
        <v>3341079.6278507258</v>
      </c>
      <c r="G2066" s="545">
        <f>-'Foglio deposito bis'!$F$80*(C2066-sezione!$AN$35)*IF(ABS(M2066)&lt;'Sollecitazioni nel paramento'!$G$58,ABS(M2066)*'Sollecitazioni nel paramento'!$G$54,'Sollecitazioni nel paramento'!$G$53)</f>
        <v>0</v>
      </c>
      <c r="H2066" s="545">
        <f>-'Foglio deposito bis'!$F$81*(C2066-sezione!$AO$35)*IF(ABS(N2066)&lt;'Sollecitazioni nel paramento'!$G$58,ABS(N2066)*'Sollecitazioni nel paramento'!$G$54,'Sollecitazioni nel paramento'!$G$53)</f>
        <v>48490009.603510112</v>
      </c>
      <c r="I2066" s="472">
        <f>-'Foglio deposito bis'!$F$82*(C2066-sezione!$AP$35)*IF(ABS(O2066)&lt;'Sollecitazioni nel paramento'!$G$58,ABS(O2066)*'Sollecitazioni nel paramento'!$G$54,'Sollecitazioni nel paramento'!$G$53)</f>
        <v>585546542.4983058</v>
      </c>
      <c r="J2066" s="472">
        <f t="shared" si="144"/>
        <v>604813940.39974129</v>
      </c>
      <c r="K2066" s="550">
        <f>'Sollecitazioni nel paramento'!$G$60*(sezione!$AL$35-C2066)/C2066</f>
        <v>1.5942654002057012E-4</v>
      </c>
      <c r="L2066" s="550">
        <f>'Sollecitazioni nel paramento'!$G$60*(sezione!$AM$35-C2066)/C2066</f>
        <v>1.9891398100308549E-3</v>
      </c>
      <c r="M2066" s="551">
        <f>'Sollecitazioni nel paramento'!$G$60*(sezione!$AN$35-C2066)/C2066</f>
        <v>3.8188530800411405E-3</v>
      </c>
      <c r="N2066" s="551">
        <f>'Sollecitazioni nel paramento'!$G$60*(sezione!$AO$35-C2066)/C2066</f>
        <v>1.1137706160082281E-2</v>
      </c>
      <c r="O2066" s="551">
        <f>'Sollecitazioni nel paramento'!$G$60*(sezione!$AP$35-C2066)/C2066</f>
        <v>6.0022391641797665E-2</v>
      </c>
      <c r="P2066" s="545">
        <f>-'Sollecitazioni nel paramento'!$G$47*'Sollecitazioni nel paramento'!$G$41*IF(DATI!$G$211="dx",DATI!$E$61,DATI!$E$64*DATI!$E$63)*1000*C2066*sezione!$AD$5</f>
        <v>-1457490.6591703349</v>
      </c>
      <c r="Q2066" s="545">
        <f>'Foglio deposito bis'!$F$78*IF(ABS(K2066)&lt;'Sollecitazioni nel paramento'!$G$58,ABS(K2066)*'Sollecitazioni nel paramento'!$G$54,'Sollecitazioni nel paramento'!$G$53)*IF(K2066&lt;0,-1,1)</f>
        <v>0</v>
      </c>
      <c r="R2066" s="545">
        <f>'Foglio deposito bis'!$F$79*IF(ABS(L2066)&lt;'Sollecitazioni nel paramento'!$G$58,ABS(L2066)*'Sollecitazioni nel paramento'!$G$54,'Sollecitazioni nel paramento'!$G$53)*IF(L2066&lt;0,-1,1)</f>
        <v>153664.85805602249</v>
      </c>
      <c r="S2066" s="545">
        <f>'Foglio deposito bis'!$F$80*IF(ABS(M2066)&lt;'Sollecitazioni nel paramento'!$G$58,ABS(M2066)*'Sollecitazioni nel paramento'!$G$54,'Sollecitazioni nel paramento'!$G$53)*IF(M2066&lt;0,-1,1)</f>
        <v>0</v>
      </c>
      <c r="T2066" s="545">
        <f>'Foglio deposito bis'!$F$81*IF(ABS(N2066)&lt;'Sollecitazioni nel paramento'!$G$58,ABS(N2066)*'Sollecitazioni nel paramento'!$G$54,'Sollecitazioni nel paramento'!$G$53)*IF(N2066&lt;0,-1,1)</f>
        <v>398299.31208121032</v>
      </c>
      <c r="U2066" s="545">
        <f>'Foglio deposito bis'!$F$82*IF(ABS(O2066)&lt;'Sollecitazioni nel paramento'!$G$58,ABS(O2066)*'Sollecitazioni nel paramento'!$G$54,'Sollecitazioni nel paramento'!$G$53)*IF(O2066&lt;0,-1,1)</f>
        <v>892485.49558937876</v>
      </c>
      <c r="V2066" s="472">
        <f t="shared" si="146"/>
        <v>-13040.993443723302</v>
      </c>
      <c r="W2066" s="551"/>
      <c r="X2066" s="551"/>
    </row>
    <row r="2067" spans="1:24" x14ac:dyDescent="0.25">
      <c r="A2067" s="545">
        <f t="shared" si="145"/>
        <v>31969.443562818458</v>
      </c>
      <c r="B2067" s="3">
        <f t="shared" si="147"/>
        <v>3.8999999999999941</v>
      </c>
      <c r="C2067" s="545">
        <f>'Foglio deposito bis'!$E$161/sezione!$B$247*B2067</f>
        <v>38.754209236670356</v>
      </c>
      <c r="D2067" s="603">
        <f>-'Sollecitazioni nel paramento'!$G$47*'Sollecitazioni nel paramento'!$G$41*IF(DATI!$G$211="dx",DATI!$E$61,DATI!$E$64*DATI!$E$63)*1000*C2067^2*sezione!$AD$5*(1-sezione!$AD$6)</f>
        <v>-33414993.768133905</v>
      </c>
      <c r="E2067" s="545">
        <f>-'Foglio deposito bis'!$F$78*(C2067-sezione!$AL$35)*IF(ABS(K2067)&lt;'Sollecitazioni nel paramento'!$G$58,ABS(K2067)*'Sollecitazioni nel paramento'!$G$54,'Sollecitazioni nel paramento'!$G$53)</f>
        <v>0</v>
      </c>
      <c r="F2067" s="545">
        <f>-'Foglio deposito bis'!$F$79*(C2067-sezione!$AM$35)*IF(ABS(L2067)&lt;'Sollecitazioni nel paramento'!$G$58,ABS(L2067)*'Sollecitazioni nel paramento'!$G$54,'Sollecitazioni nel paramento'!$G$53)</f>
        <v>3264731.4219350037</v>
      </c>
      <c r="G2067" s="545">
        <f>-'Foglio deposito bis'!$F$80*(C2067-sezione!$AN$35)*IF(ABS(M2067)&lt;'Sollecitazioni nel paramento'!$G$58,ABS(M2067)*'Sollecitazioni nel paramento'!$G$54,'Sollecitazioni nel paramento'!$G$53)</f>
        <v>0</v>
      </c>
      <c r="H2067" s="545">
        <f>-'Foglio deposito bis'!$F$81*(C2067-sezione!$AO$35)*IF(ABS(N2067)&lt;'Sollecitazioni nel paramento'!$G$58,ABS(N2067)*'Sollecitazioni nel paramento'!$G$54,'Sollecitazioni nel paramento'!$G$53)</f>
        <v>48292115.053776562</v>
      </c>
      <c r="I2067" s="472">
        <f>-'Foglio deposito bis'!$F$82*(C2067-sezione!$AP$35)*IF(ABS(O2067)&lt;'Sollecitazioni nel paramento'!$G$58,ABS(O2067)*'Sollecitazioni nel paramento'!$G$54,'Sollecitazioni nel paramento'!$G$53)</f>
        <v>585103112.11834729</v>
      </c>
      <c r="J2067" s="472">
        <f t="shared" si="144"/>
        <v>603244964.82592499</v>
      </c>
      <c r="K2067" s="550">
        <f>'Sollecitazioni nel paramento'!$G$60*(sezione!$AL$35-C2067)/C2067</f>
        <v>1.1251081514851149E-4</v>
      </c>
      <c r="L2067" s="550">
        <f>'Sollecitazioni nel paramento'!$G$60*(sezione!$AM$35-C2067)/C2067</f>
        <v>1.9187662227227672E-3</v>
      </c>
      <c r="M2067" s="551">
        <f>'Sollecitazioni nel paramento'!$G$60*(sezione!$AN$35-C2067)/C2067</f>
        <v>3.7250216302970227E-3</v>
      </c>
      <c r="N2067" s="551">
        <f>'Sollecitazioni nel paramento'!$G$60*(sezione!$AO$35-C2067)/C2067</f>
        <v>1.0950043260594046E-2</v>
      </c>
      <c r="O2067" s="551">
        <f>'Sollecitazioni nel paramento'!$G$60*(sezione!$AP$35-C2067)/C2067</f>
        <v>5.9208002005364357E-2</v>
      </c>
      <c r="P2067" s="545">
        <f>-'Sollecitazioni nel paramento'!$G$47*'Sollecitazioni nel paramento'!$G$41*IF(DATI!$G$211="dx",DATI!$E$61,DATI!$E$64*DATI!$E$63)*1000*C2067*sezione!$AD$5</f>
        <v>-1476419.1092894301</v>
      </c>
      <c r="Q2067" s="545">
        <f>'Foglio deposito bis'!$F$78*IF(ABS(K2067)&lt;'Sollecitazioni nel paramento'!$G$58,ABS(K2067)*'Sollecitazioni nel paramento'!$G$54,'Sollecitazioni nel paramento'!$G$53)*IF(K2067&lt;0,-1,1)</f>
        <v>0</v>
      </c>
      <c r="R2067" s="545">
        <f>'Foglio deposito bis'!$F$79*IF(ABS(L2067)&lt;'Sollecitazioni nel paramento'!$G$58,ABS(L2067)*'Sollecitazioni nel paramento'!$G$54,'Sollecitazioni nel paramento'!$G$53)*IF(L2067&lt;0,-1,1)</f>
        <v>153664.85805602249</v>
      </c>
      <c r="S2067" s="545">
        <f>'Foglio deposito bis'!$F$80*IF(ABS(M2067)&lt;'Sollecitazioni nel paramento'!$G$58,ABS(M2067)*'Sollecitazioni nel paramento'!$G$54,'Sollecitazioni nel paramento'!$G$53)*IF(M2067&lt;0,-1,1)</f>
        <v>0</v>
      </c>
      <c r="T2067" s="545">
        <f>'Foglio deposito bis'!$F$81*IF(ABS(N2067)&lt;'Sollecitazioni nel paramento'!$G$58,ABS(N2067)*'Sollecitazioni nel paramento'!$G$54,'Sollecitazioni nel paramento'!$G$53)*IF(N2067&lt;0,-1,1)</f>
        <v>398299.31208121032</v>
      </c>
      <c r="U2067" s="545">
        <f>'Foglio deposito bis'!$F$82*IF(ABS(O2067)&lt;'Sollecitazioni nel paramento'!$G$58,ABS(O2067)*'Sollecitazioni nel paramento'!$G$54,'Sollecitazioni nel paramento'!$G$53)*IF(O2067&lt;0,-1,1)</f>
        <v>892485.49558937876</v>
      </c>
      <c r="V2067" s="472">
        <f t="shared" si="146"/>
        <v>-31969.443562818458</v>
      </c>
      <c r="W2067" s="551"/>
      <c r="X2067" s="551"/>
    </row>
    <row r="2068" spans="1:24" x14ac:dyDescent="0.25">
      <c r="A2068" s="545">
        <f t="shared" si="145"/>
        <v>54891.035959352273</v>
      </c>
      <c r="B2068" s="3">
        <f t="shared" si="147"/>
        <v>3.949999999999994</v>
      </c>
      <c r="C2068" s="545">
        <f>'Foglio deposito bis'!$E$161/sezione!$B$247*B2068</f>
        <v>39.251058073037917</v>
      </c>
      <c r="D2068" s="603">
        <f>-'Sollecitazioni nel paramento'!$G$47*'Sollecitazioni nel paramento'!$G$41*IF(DATI!$G$211="dx",DATI!$E$61,DATI!$E$64*DATI!$E$63)*1000*C2068^2*sezione!$AD$5*(1-sezione!$AD$6)</f>
        <v>-34277280.753932223</v>
      </c>
      <c r="E2068" s="545">
        <f>-'Foglio deposito bis'!$F$78*(C2068-sezione!$AL$35)*IF(ABS(K2068)&lt;'Sollecitazioni nel paramento'!$G$58,ABS(K2068)*'Sollecitazioni nel paramento'!$G$54,'Sollecitazioni nel paramento'!$G$53)</f>
        <v>0</v>
      </c>
      <c r="F2068" s="545">
        <f>-'Foglio deposito bis'!$F$79*(C2068-sezione!$AM$35)*IF(ABS(L2068)&lt;'Sollecitazioni nel paramento'!$G$58,ABS(L2068)*'Sollecitazioni nel paramento'!$G$54,'Sollecitazioni nel paramento'!$G$53)</f>
        <v>3105529.7387986095</v>
      </c>
      <c r="G2068" s="545">
        <f>-'Foglio deposito bis'!$F$80*(C2068-sezione!$AN$35)*IF(ABS(M2068)&lt;'Sollecitazioni nel paramento'!$G$58,ABS(M2068)*'Sollecitazioni nel paramento'!$G$54,'Sollecitazioni nel paramento'!$G$53)</f>
        <v>0</v>
      </c>
      <c r="H2068" s="545">
        <f>-'Foglio deposito bis'!$F$81*(C2068-sezione!$AO$35)*IF(ABS(N2068)&lt;'Sollecitazioni nel paramento'!$G$58,ABS(N2068)*'Sollecitazioni nel paramento'!$G$54,'Sollecitazioni nel paramento'!$G$53)</f>
        <v>48094220.50404302</v>
      </c>
      <c r="I2068" s="472">
        <f>-'Foglio deposito bis'!$F$82*(C2068-sezione!$AP$35)*IF(ABS(O2068)&lt;'Sollecitazioni nel paramento'!$G$58,ABS(O2068)*'Sollecitazioni nel paramento'!$G$54,'Sollecitazioni nel paramento'!$G$53)</f>
        <v>584659681.73838878</v>
      </c>
      <c r="J2068" s="472">
        <f t="shared" si="144"/>
        <v>601582151.22729814</v>
      </c>
      <c r="K2068" s="550">
        <f>'Sollecitazioni nel paramento'!$G$60*(sezione!$AL$35-C2068)/C2068</f>
        <v>6.6782830146632221E-5</v>
      </c>
      <c r="L2068" s="550">
        <f>'Sollecitazioni nel paramento'!$G$60*(sezione!$AM$35-C2068)/C2068</f>
        <v>1.8501742452199485E-3</v>
      </c>
      <c r="M2068" s="551">
        <f>'Sollecitazioni nel paramento'!$G$60*(sezione!$AN$35-C2068)/C2068</f>
        <v>3.6335656602932646E-3</v>
      </c>
      <c r="N2068" s="551">
        <f>'Sollecitazioni nel paramento'!$G$60*(sezione!$AO$35-C2068)/C2068</f>
        <v>1.0767131320586531E-2</v>
      </c>
      <c r="O2068" s="551">
        <f>'Sollecitazioni nel paramento'!$G$60*(sezione!$AP$35-C2068)/C2068</f>
        <v>5.8414229828081268E-2</v>
      </c>
      <c r="P2068" s="545">
        <f>-'Sollecitazioni nel paramento'!$G$47*'Sollecitazioni nel paramento'!$G$41*IF(DATI!$G$211="dx",DATI!$E$61,DATI!$E$64*DATI!$E$63)*1000*C2068*sezione!$AD$5</f>
        <v>-1495347.5594085252</v>
      </c>
      <c r="Q2068" s="545">
        <f>'Foglio deposito bis'!$F$78*IF(ABS(K2068)&lt;'Sollecitazioni nel paramento'!$G$58,ABS(K2068)*'Sollecitazioni nel paramento'!$G$54,'Sollecitazioni nel paramento'!$G$53)*IF(K2068&lt;0,-1,1)</f>
        <v>0</v>
      </c>
      <c r="R2068" s="545">
        <f>'Foglio deposito bis'!$F$79*IF(ABS(L2068)&lt;'Sollecitazioni nel paramento'!$G$58,ABS(L2068)*'Sollecitazioni nel paramento'!$G$54,'Sollecitazioni nel paramento'!$G$53)*IF(L2068&lt;0,-1,1)</f>
        <v>149671.71577858378</v>
      </c>
      <c r="S2068" s="545">
        <f>'Foglio deposito bis'!$F$80*IF(ABS(M2068)&lt;'Sollecitazioni nel paramento'!$G$58,ABS(M2068)*'Sollecitazioni nel paramento'!$G$54,'Sollecitazioni nel paramento'!$G$53)*IF(M2068&lt;0,-1,1)</f>
        <v>0</v>
      </c>
      <c r="T2068" s="545">
        <f>'Foglio deposito bis'!$F$81*IF(ABS(N2068)&lt;'Sollecitazioni nel paramento'!$G$58,ABS(N2068)*'Sollecitazioni nel paramento'!$G$54,'Sollecitazioni nel paramento'!$G$53)*IF(N2068&lt;0,-1,1)</f>
        <v>398299.31208121032</v>
      </c>
      <c r="U2068" s="545">
        <f>'Foglio deposito bis'!$F$82*IF(ABS(O2068)&lt;'Sollecitazioni nel paramento'!$G$58,ABS(O2068)*'Sollecitazioni nel paramento'!$G$54,'Sollecitazioni nel paramento'!$G$53)*IF(O2068&lt;0,-1,1)</f>
        <v>892485.49558937876</v>
      </c>
      <c r="V2068" s="472">
        <f t="shared" si="146"/>
        <v>-54891.035959352273</v>
      </c>
      <c r="W2068" s="551"/>
      <c r="X2068" s="551"/>
    </row>
    <row r="2069" spans="1:24" x14ac:dyDescent="0.25">
      <c r="A2069" s="545">
        <f t="shared" si="145"/>
        <v>79229.582999489503</v>
      </c>
      <c r="B2069" s="3">
        <f t="shared" si="147"/>
        <v>3.9999999999999938</v>
      </c>
      <c r="C2069" s="545">
        <f>'Foglio deposito bis'!$E$161/sezione!$B$247*B2069</f>
        <v>39.747906909405486</v>
      </c>
      <c r="D2069" s="603">
        <f>-'Sollecitazioni nel paramento'!$G$47*'Sollecitazioni nel paramento'!$G$41*IF(DATI!$G$211="dx",DATI!$E$61,DATI!$E$64*DATI!$E$63)*1000*C2069^2*sezione!$AD$5*(1-sezione!$AD$6)</f>
        <v>-35150552.287320338</v>
      </c>
      <c r="E2069" s="545">
        <f>-'Foglio deposito bis'!$F$78*(C2069-sezione!$AL$35)*IF(ABS(K2069)&lt;'Sollecitazioni nel paramento'!$G$58,ABS(K2069)*'Sollecitazioni nel paramento'!$G$54,'Sollecitazioni nel paramento'!$G$53)</f>
        <v>0</v>
      </c>
      <c r="F2069" s="545">
        <f>-'Foglio deposito bis'!$F$79*(C2069-sezione!$AM$35)*IF(ABS(L2069)&lt;'Sollecitazioni nel paramento'!$G$58,ABS(L2069)*'Sollecitazioni nel paramento'!$G$54,'Sollecitazioni nel paramento'!$G$53)</f>
        <v>2921599.7345027998</v>
      </c>
      <c r="G2069" s="545">
        <f>-'Foglio deposito bis'!$F$80*(C2069-sezione!$AN$35)*IF(ABS(M2069)&lt;'Sollecitazioni nel paramento'!$G$58,ABS(M2069)*'Sollecitazioni nel paramento'!$G$54,'Sollecitazioni nel paramento'!$G$53)</f>
        <v>0</v>
      </c>
      <c r="H2069" s="545">
        <f>-'Foglio deposito bis'!$F$81*(C2069-sezione!$AO$35)*IF(ABS(N2069)&lt;'Sollecitazioni nel paramento'!$G$58,ABS(N2069)*'Sollecitazioni nel paramento'!$G$54,'Sollecitazioni nel paramento'!$G$53)</f>
        <v>47896325.954309456</v>
      </c>
      <c r="I2069" s="472">
        <f>-'Foglio deposito bis'!$F$82*(C2069-sezione!$AP$35)*IF(ABS(O2069)&lt;'Sollecitazioni nel paramento'!$G$58,ABS(O2069)*'Sollecitazioni nel paramento'!$G$54,'Sollecitazioni nel paramento'!$G$53)</f>
        <v>584216251.35843027</v>
      </c>
      <c r="J2069" s="472">
        <f t="shared" si="144"/>
        <v>599883624.75992215</v>
      </c>
      <c r="K2069" s="550">
        <f>'Sollecitazioni nel paramento'!$G$60*(sezione!$AL$35-C2069)/C2069</f>
        <v>2.2198044769799291E-5</v>
      </c>
      <c r="L2069" s="550">
        <f>'Sollecitazioni nel paramento'!$G$60*(sezione!$AM$35-C2069)/C2069</f>
        <v>1.783297067154699E-3</v>
      </c>
      <c r="M2069" s="551">
        <f>'Sollecitazioni nel paramento'!$G$60*(sezione!$AN$35-C2069)/C2069</f>
        <v>3.5443960895395984E-3</v>
      </c>
      <c r="N2069" s="551">
        <f>'Sollecitazioni nel paramento'!$G$60*(sezione!$AO$35-C2069)/C2069</f>
        <v>1.0588792179079197E-2</v>
      </c>
      <c r="O2069" s="551">
        <f>'Sollecitazioni nel paramento'!$G$60*(sezione!$AP$35-C2069)/C2069</f>
        <v>5.7640301955230261E-2</v>
      </c>
      <c r="P2069" s="545">
        <f>-'Sollecitazioni nel paramento'!$G$47*'Sollecitazioni nel paramento'!$G$41*IF(DATI!$G$211="dx",DATI!$E$61,DATI!$E$64*DATI!$E$63)*1000*C2069*sezione!$AD$5</f>
        <v>-1514276.0095276204</v>
      </c>
      <c r="Q2069" s="545">
        <f>'Foglio deposito bis'!$F$78*IF(ABS(K2069)&lt;'Sollecitazioni nel paramento'!$G$58,ABS(K2069)*'Sollecitazioni nel paramento'!$G$54,'Sollecitazioni nel paramento'!$G$53)*IF(K2069&lt;0,-1,1)</f>
        <v>0</v>
      </c>
      <c r="R2069" s="545">
        <f>'Foglio deposito bis'!$F$79*IF(ABS(L2069)&lt;'Sollecitazioni nel paramento'!$G$58,ABS(L2069)*'Sollecitazioni nel paramento'!$G$54,'Sollecitazioni nel paramento'!$G$53)*IF(L2069&lt;0,-1,1)</f>
        <v>144261.61885754173</v>
      </c>
      <c r="S2069" s="545">
        <f>'Foglio deposito bis'!$F$80*IF(ABS(M2069)&lt;'Sollecitazioni nel paramento'!$G$58,ABS(M2069)*'Sollecitazioni nel paramento'!$G$54,'Sollecitazioni nel paramento'!$G$53)*IF(M2069&lt;0,-1,1)</f>
        <v>0</v>
      </c>
      <c r="T2069" s="545">
        <f>'Foglio deposito bis'!$F$81*IF(ABS(N2069)&lt;'Sollecitazioni nel paramento'!$G$58,ABS(N2069)*'Sollecitazioni nel paramento'!$G$54,'Sollecitazioni nel paramento'!$G$53)*IF(N2069&lt;0,-1,1)</f>
        <v>398299.31208121032</v>
      </c>
      <c r="U2069" s="545">
        <f>'Foglio deposito bis'!$F$82*IF(ABS(O2069)&lt;'Sollecitazioni nel paramento'!$G$58,ABS(O2069)*'Sollecitazioni nel paramento'!$G$54,'Sollecitazioni nel paramento'!$G$53)*IF(O2069&lt;0,-1,1)</f>
        <v>892485.49558937876</v>
      </c>
      <c r="V2069" s="472">
        <f t="shared" si="146"/>
        <v>-79229.582999489503</v>
      </c>
      <c r="W2069" s="551"/>
      <c r="X2069" s="551"/>
    </row>
    <row r="2070" spans="1:24" x14ac:dyDescent="0.25">
      <c r="A2070" s="545">
        <f t="shared" si="145"/>
        <v>103434.5473996012</v>
      </c>
      <c r="B2070" s="3">
        <f t="shared" si="147"/>
        <v>4.0499999999999936</v>
      </c>
      <c r="C2070" s="545">
        <f>'Foglio deposito bis'!$E$161/sezione!$B$247*B2070</f>
        <v>40.244755745773055</v>
      </c>
      <c r="D2070" s="603">
        <f>-'Sollecitazioni nel paramento'!$G$47*'Sollecitazioni nel paramento'!$G$41*IF(DATI!$G$211="dx",DATI!$E$61,DATI!$E$64*DATI!$E$63)*1000*C2070^2*sezione!$AD$5*(1-sezione!$AD$6)</f>
        <v>-36034808.36829824</v>
      </c>
      <c r="E2070" s="545">
        <f>-'Foglio deposito bis'!$F$78*(C2070-sezione!$AL$35)*IF(ABS(K2070)&lt;'Sollecitazioni nel paramento'!$G$58,ABS(K2070)*'Sollecitazioni nel paramento'!$G$54,'Sollecitazioni nel paramento'!$G$53)</f>
        <v>0</v>
      </c>
      <c r="F2070" s="545">
        <f>-'Foglio deposito bis'!$F$79*(C2070-sezione!$AM$35)*IF(ABS(L2070)&lt;'Sollecitazioni nel paramento'!$G$58,ABS(L2070)*'Sollecitazioni nel paramento'!$G$54,'Sollecitazioni nel paramento'!$G$53)</f>
        <v>2745684.6886085346</v>
      </c>
      <c r="G2070" s="545">
        <f>-'Foglio deposito bis'!$F$80*(C2070-sezione!$AN$35)*IF(ABS(M2070)&lt;'Sollecitazioni nel paramento'!$G$58,ABS(M2070)*'Sollecitazioni nel paramento'!$G$54,'Sollecitazioni nel paramento'!$G$53)</f>
        <v>0</v>
      </c>
      <c r="H2070" s="545">
        <f>-'Foglio deposito bis'!$F$81*(C2070-sezione!$AO$35)*IF(ABS(N2070)&lt;'Sollecitazioni nel paramento'!$G$58,ABS(N2070)*'Sollecitazioni nel paramento'!$G$54,'Sollecitazioni nel paramento'!$G$53)</f>
        <v>47698431.404575899</v>
      </c>
      <c r="I2070" s="472">
        <f>-'Foglio deposito bis'!$F$82*(C2070-sezione!$AP$35)*IF(ABS(O2070)&lt;'Sollecitazioni nel paramento'!$G$58,ABS(O2070)*'Sollecitazioni nel paramento'!$G$54,'Sollecitazioni nel paramento'!$G$53)</f>
        <v>583772820.97847176</v>
      </c>
      <c r="J2070" s="472">
        <f t="shared" si="144"/>
        <v>598182128.70335793</v>
      </c>
      <c r="K2070" s="550">
        <f>'Sollecitazioni nel paramento'!$G$60*(sezione!$AL$35-C2070)/C2070</f>
        <v>-2.1285881708840241E-5</v>
      </c>
      <c r="L2070" s="550">
        <f>'Sollecitazioni nel paramento'!$G$60*(sezione!$AM$35-C2070)/C2070</f>
        <v>1.7180711774367398E-3</v>
      </c>
      <c r="M2070" s="551">
        <f>'Sollecitazioni nel paramento'!$G$60*(sezione!$AN$35-C2070)/C2070</f>
        <v>3.4574282365823199E-3</v>
      </c>
      <c r="N2070" s="551">
        <f>'Sollecitazioni nel paramento'!$G$60*(sezione!$AO$35-C2070)/C2070</f>
        <v>1.041485647316464E-2</v>
      </c>
      <c r="O2070" s="551">
        <f>'Sollecitazioni nel paramento'!$G$60*(sezione!$AP$35-C2070)/C2070</f>
        <v>5.6885483412573094E-2</v>
      </c>
      <c r="P2070" s="545">
        <f>-'Sollecitazioni nel paramento'!$G$47*'Sollecitazioni nel paramento'!$G$41*IF(DATI!$G$211="dx",DATI!$E$61,DATI!$E$64*DATI!$E$63)*1000*C2070*sezione!$AD$5</f>
        <v>-1533204.4596467158</v>
      </c>
      <c r="Q2070" s="545">
        <f>'Foglio deposito bis'!$F$78*IF(ABS(K2070)&lt;'Sollecitazioni nel paramento'!$G$58,ABS(K2070)*'Sollecitazioni nel paramento'!$G$54,'Sollecitazioni nel paramento'!$G$53)*IF(K2070&lt;0,-1,1)</f>
        <v>0</v>
      </c>
      <c r="R2070" s="545">
        <f>'Foglio deposito bis'!$F$79*IF(ABS(L2070)&lt;'Sollecitazioni nel paramento'!$G$58,ABS(L2070)*'Sollecitazioni nel paramento'!$G$54,'Sollecitazioni nel paramento'!$G$53)*IF(L2070&lt;0,-1,1)</f>
        <v>138985.10457652542</v>
      </c>
      <c r="S2070" s="545">
        <f>'Foglio deposito bis'!$F$80*IF(ABS(M2070)&lt;'Sollecitazioni nel paramento'!$G$58,ABS(M2070)*'Sollecitazioni nel paramento'!$G$54,'Sollecitazioni nel paramento'!$G$53)*IF(M2070&lt;0,-1,1)</f>
        <v>0</v>
      </c>
      <c r="T2070" s="545">
        <f>'Foglio deposito bis'!$F$81*IF(ABS(N2070)&lt;'Sollecitazioni nel paramento'!$G$58,ABS(N2070)*'Sollecitazioni nel paramento'!$G$54,'Sollecitazioni nel paramento'!$G$53)*IF(N2070&lt;0,-1,1)</f>
        <v>398299.31208121032</v>
      </c>
      <c r="U2070" s="545">
        <f>'Foglio deposito bis'!$F$82*IF(ABS(O2070)&lt;'Sollecitazioni nel paramento'!$G$58,ABS(O2070)*'Sollecitazioni nel paramento'!$G$54,'Sollecitazioni nel paramento'!$G$53)*IF(O2070&lt;0,-1,1)</f>
        <v>892485.49558937876</v>
      </c>
      <c r="V2070" s="472">
        <f t="shared" si="146"/>
        <v>-103434.5473996012</v>
      </c>
      <c r="W2070" s="551"/>
      <c r="X2070" s="551"/>
    </row>
    <row r="2071" spans="1:24" x14ac:dyDescent="0.25">
      <c r="A2071" s="545">
        <f t="shared" si="145"/>
        <v>127510.81632944406</v>
      </c>
      <c r="B2071" s="3">
        <f t="shared" si="147"/>
        <v>4.0999999999999934</v>
      </c>
      <c r="C2071" s="545">
        <f>'Foglio deposito bis'!$E$161/sezione!$B$247*B2071</f>
        <v>40.741604582140624</v>
      </c>
      <c r="D2071" s="603">
        <f>-'Sollecitazioni nel paramento'!$G$47*'Sollecitazioni nel paramento'!$G$41*IF(DATI!$G$211="dx",DATI!$E$61,DATI!$E$64*DATI!$E$63)*1000*C2071^2*sezione!$AD$5*(1-sezione!$AD$6)</f>
        <v>-36930048.996865921</v>
      </c>
      <c r="E2071" s="545">
        <f>-'Foglio deposito bis'!$F$78*(C2071-sezione!$AL$35)*IF(ABS(K2071)&lt;'Sollecitazioni nel paramento'!$G$58,ABS(K2071)*'Sollecitazioni nel paramento'!$G$54,'Sollecitazioni nel paramento'!$G$53)</f>
        <v>0</v>
      </c>
      <c r="F2071" s="545">
        <f>-'Foglio deposito bis'!$F$79*(C2071-sezione!$AM$35)*IF(ABS(L2071)&lt;'Sollecitazioni nel paramento'!$G$58,ABS(L2071)*'Sollecitazioni nel paramento'!$G$54,'Sollecitazioni nel paramento'!$G$53)</f>
        <v>2577491.3709303904</v>
      </c>
      <c r="G2071" s="545">
        <f>-'Foglio deposito bis'!$F$80*(C2071-sezione!$AN$35)*IF(ABS(M2071)&lt;'Sollecitazioni nel paramento'!$G$58,ABS(M2071)*'Sollecitazioni nel paramento'!$G$54,'Sollecitazioni nel paramento'!$G$53)</f>
        <v>0</v>
      </c>
      <c r="H2071" s="545">
        <f>-'Foglio deposito bis'!$F$81*(C2071-sezione!$AO$35)*IF(ABS(N2071)&lt;'Sollecitazioni nel paramento'!$G$58,ABS(N2071)*'Sollecitazioni nel paramento'!$G$54,'Sollecitazioni nel paramento'!$G$53)</f>
        <v>47500536.854842357</v>
      </c>
      <c r="I2071" s="472">
        <f>-'Foglio deposito bis'!$F$82*(C2071-sezione!$AP$35)*IF(ABS(O2071)&lt;'Sollecitazioni nel paramento'!$G$58,ABS(O2071)*'Sollecitazioni nel paramento'!$G$54,'Sollecitazioni nel paramento'!$G$53)</f>
        <v>583329390.59851325</v>
      </c>
      <c r="J2071" s="472">
        <f t="shared" si="144"/>
        <v>596477369.82742012</v>
      </c>
      <c r="K2071" s="550">
        <f>'Sollecitazioni nel paramento'!$G$60*(sezione!$AL$35-C2071)/C2071</f>
        <v>-6.3709224614830014E-5</v>
      </c>
      <c r="L2071" s="550">
        <f>'Sollecitazioni nel paramento'!$G$60*(sezione!$AM$35-C2071)/C2071</f>
        <v>1.6544361630777551E-3</v>
      </c>
      <c r="M2071" s="551">
        <f>'Sollecitazioni nel paramento'!$G$60*(sezione!$AN$35-C2071)/C2071</f>
        <v>3.3725815507703399E-3</v>
      </c>
      <c r="N2071" s="551">
        <f>'Sollecitazioni nel paramento'!$G$60*(sezione!$AO$35-C2071)/C2071</f>
        <v>1.024516310154068E-2</v>
      </c>
      <c r="O2071" s="551">
        <f>'Sollecitazioni nel paramento'!$G$60*(sezione!$AP$35-C2071)/C2071</f>
        <v>5.6149075078273422E-2</v>
      </c>
      <c r="P2071" s="545">
        <f>-'Sollecitazioni nel paramento'!$G$47*'Sollecitazioni nel paramento'!$G$41*IF(DATI!$G$211="dx",DATI!$E$61,DATI!$E$64*DATI!$E$63)*1000*C2071*sezione!$AD$5</f>
        <v>-1552132.9097658109</v>
      </c>
      <c r="Q2071" s="545">
        <f>'Foglio deposito bis'!$F$78*IF(ABS(K2071)&lt;'Sollecitazioni nel paramento'!$G$58,ABS(K2071)*'Sollecitazioni nel paramento'!$G$54,'Sollecitazioni nel paramento'!$G$53)*IF(K2071&lt;0,-1,1)</f>
        <v>0</v>
      </c>
      <c r="R2071" s="545">
        <f>'Foglio deposito bis'!$F$79*IF(ABS(L2071)&lt;'Sollecitazioni nel paramento'!$G$58,ABS(L2071)*'Sollecitazioni nel paramento'!$G$54,'Sollecitazioni nel paramento'!$G$53)*IF(L2071&lt;0,-1,1)</f>
        <v>133837.28576577778</v>
      </c>
      <c r="S2071" s="545">
        <f>'Foglio deposito bis'!$F$80*IF(ABS(M2071)&lt;'Sollecitazioni nel paramento'!$G$58,ABS(M2071)*'Sollecitazioni nel paramento'!$G$54,'Sollecitazioni nel paramento'!$G$53)*IF(M2071&lt;0,-1,1)</f>
        <v>0</v>
      </c>
      <c r="T2071" s="545">
        <f>'Foglio deposito bis'!$F$81*IF(ABS(N2071)&lt;'Sollecitazioni nel paramento'!$G$58,ABS(N2071)*'Sollecitazioni nel paramento'!$G$54,'Sollecitazioni nel paramento'!$G$53)*IF(N2071&lt;0,-1,1)</f>
        <v>398299.31208121032</v>
      </c>
      <c r="U2071" s="545">
        <f>'Foglio deposito bis'!$F$82*IF(ABS(O2071)&lt;'Sollecitazioni nel paramento'!$G$58,ABS(O2071)*'Sollecitazioni nel paramento'!$G$54,'Sollecitazioni nel paramento'!$G$53)*IF(O2071&lt;0,-1,1)</f>
        <v>892485.49558937876</v>
      </c>
      <c r="V2071" s="472">
        <f t="shared" si="146"/>
        <v>-127510.81632944406</v>
      </c>
      <c r="W2071" s="551"/>
      <c r="X2071" s="551"/>
    </row>
    <row r="2072" spans="1:24" x14ac:dyDescent="0.25">
      <c r="A2072" s="545">
        <f t="shared" si="145"/>
        <v>151463.041432522</v>
      </c>
      <c r="B2072" s="3">
        <f t="shared" si="147"/>
        <v>4.1499999999999932</v>
      </c>
      <c r="C2072" s="545">
        <f>'Foglio deposito bis'!$E$161/sezione!$B$247*B2072</f>
        <v>41.238453418508193</v>
      </c>
      <c r="D2072" s="603">
        <f>-'Sollecitazioni nel paramento'!$G$47*'Sollecitazioni nel paramento'!$G$41*IF(DATI!$G$211="dx",DATI!$E$61,DATI!$E$64*DATI!$E$63)*1000*C2072^2*sezione!$AD$5*(1-sezione!$AD$6)</f>
        <v>-37836274.173023403</v>
      </c>
      <c r="E2072" s="545">
        <f>-'Foglio deposito bis'!$F$78*(C2072-sezione!$AL$35)*IF(ABS(K2072)&lt;'Sollecitazioni nel paramento'!$G$58,ABS(K2072)*'Sollecitazioni nel paramento'!$G$54,'Sollecitazioni nel paramento'!$G$53)</f>
        <v>0</v>
      </c>
      <c r="F2072" s="545">
        <f>-'Foglio deposito bis'!$F$79*(C2072-sezione!$AM$35)*IF(ABS(L2072)&lt;'Sollecitazioni nel paramento'!$G$58,ABS(L2072)*'Sollecitazioni nel paramento'!$G$54,'Sollecitazioni nel paramento'!$G$53)</f>
        <v>2416740.6828581467</v>
      </c>
      <c r="G2072" s="545">
        <f>-'Foglio deposito bis'!$F$80*(C2072-sezione!$AN$35)*IF(ABS(M2072)&lt;'Sollecitazioni nel paramento'!$G$58,ABS(M2072)*'Sollecitazioni nel paramento'!$G$54,'Sollecitazioni nel paramento'!$G$53)</f>
        <v>0</v>
      </c>
      <c r="H2072" s="545">
        <f>-'Foglio deposito bis'!$F$81*(C2072-sezione!$AO$35)*IF(ABS(N2072)&lt;'Sollecitazioni nel paramento'!$G$58,ABS(N2072)*'Sollecitazioni nel paramento'!$G$54,'Sollecitazioni nel paramento'!$G$53)</f>
        <v>47302642.305108808</v>
      </c>
      <c r="I2072" s="472">
        <f>-'Foglio deposito bis'!$F$82*(C2072-sezione!$AP$35)*IF(ABS(O2072)&lt;'Sollecitazioni nel paramento'!$G$58,ABS(O2072)*'Sollecitazioni nel paramento'!$G$54,'Sollecitazioni nel paramento'!$G$53)</f>
        <v>582885960.21855474</v>
      </c>
      <c r="J2072" s="472">
        <f t="shared" si="144"/>
        <v>594769069.03349829</v>
      </c>
      <c r="K2072" s="550">
        <f>'Sollecitazioni nel paramento'!$G$60*(sezione!$AL$35-C2072)/C2072</f>
        <v>-1.0511031829416945E-4</v>
      </c>
      <c r="L2072" s="550">
        <f>'Sollecitazioni nel paramento'!$G$60*(sezione!$AM$35-C2072)/C2072</f>
        <v>1.592334522558746E-3</v>
      </c>
      <c r="M2072" s="551">
        <f>'Sollecitazioni nel paramento'!$G$60*(sezione!$AN$35-C2072)/C2072</f>
        <v>3.2897793634116615E-3</v>
      </c>
      <c r="N2072" s="551">
        <f>'Sollecitazioni nel paramento'!$G$60*(sezione!$AO$35-C2072)/C2072</f>
        <v>1.0079558726823323E-2</v>
      </c>
      <c r="O2072" s="551">
        <f>'Sollecitazioni nel paramento'!$G$60*(sezione!$AP$35-C2072)/C2072</f>
        <v>5.5430411523113496E-2</v>
      </c>
      <c r="P2072" s="545">
        <f>-'Sollecitazioni nel paramento'!$G$47*'Sollecitazioni nel paramento'!$G$41*IF(DATI!$G$211="dx",DATI!$E$61,DATI!$E$64*DATI!$E$63)*1000*C2072*sezione!$AD$5</f>
        <v>-1571061.3598849063</v>
      </c>
      <c r="Q2072" s="545">
        <f>'Foglio deposito bis'!$F$78*IF(ABS(K2072)&lt;'Sollecitazioni nel paramento'!$G$58,ABS(K2072)*'Sollecitazioni nel paramento'!$G$54,'Sollecitazioni nel paramento'!$G$53)*IF(K2072&lt;0,-1,1)</f>
        <v>0</v>
      </c>
      <c r="R2072" s="545">
        <f>'Foglio deposito bis'!$F$79*IF(ABS(L2072)&lt;'Sollecitazioni nel paramento'!$G$58,ABS(L2072)*'Sollecitazioni nel paramento'!$G$54,'Sollecitazioni nel paramento'!$G$53)*IF(L2072&lt;0,-1,1)</f>
        <v>128813.51078179515</v>
      </c>
      <c r="S2072" s="545">
        <f>'Foglio deposito bis'!$F$80*IF(ABS(M2072)&lt;'Sollecitazioni nel paramento'!$G$58,ABS(M2072)*'Sollecitazioni nel paramento'!$G$54,'Sollecitazioni nel paramento'!$G$53)*IF(M2072&lt;0,-1,1)</f>
        <v>0</v>
      </c>
      <c r="T2072" s="545">
        <f>'Foglio deposito bis'!$F$81*IF(ABS(N2072)&lt;'Sollecitazioni nel paramento'!$G$58,ABS(N2072)*'Sollecitazioni nel paramento'!$G$54,'Sollecitazioni nel paramento'!$G$53)*IF(N2072&lt;0,-1,1)</f>
        <v>398299.31208121032</v>
      </c>
      <c r="U2072" s="545">
        <f>'Foglio deposito bis'!$F$82*IF(ABS(O2072)&lt;'Sollecitazioni nel paramento'!$G$58,ABS(O2072)*'Sollecitazioni nel paramento'!$G$54,'Sollecitazioni nel paramento'!$G$53)*IF(O2072&lt;0,-1,1)</f>
        <v>892485.49558937876</v>
      </c>
      <c r="V2072" s="472">
        <f t="shared" si="146"/>
        <v>-151463.041432522</v>
      </c>
      <c r="W2072" s="551"/>
      <c r="X2072" s="551"/>
    </row>
    <row r="2073" spans="1:24" x14ac:dyDescent="0.25">
      <c r="A2073" s="545">
        <f t="shared" si="145"/>
        <v>175295.65284550516</v>
      </c>
      <c r="B2073" s="3">
        <f t="shared" si="147"/>
        <v>4.1999999999999931</v>
      </c>
      <c r="C2073" s="545">
        <f>'Foglio deposito bis'!$E$161/sezione!$B$247*B2073</f>
        <v>41.735302254875762</v>
      </c>
      <c r="D2073" s="603">
        <f>-'Sollecitazioni nel paramento'!$G$47*'Sollecitazioni nel paramento'!$G$41*IF(DATI!$G$211="dx",DATI!$E$61,DATI!$E$64*DATI!$E$63)*1000*C2073^2*sezione!$AD$5*(1-sezione!$AD$6)</f>
        <v>-38753483.896770671</v>
      </c>
      <c r="E2073" s="545">
        <f>-'Foglio deposito bis'!$F$78*(C2073-sezione!$AL$35)*IF(ABS(K2073)&lt;'Sollecitazioni nel paramento'!$G$58,ABS(K2073)*'Sollecitazioni nel paramento'!$G$54,'Sollecitazioni nel paramento'!$G$53)</f>
        <v>0</v>
      </c>
      <c r="F2073" s="545">
        <f>-'Foglio deposito bis'!$F$79*(C2073-sezione!$AM$35)*IF(ABS(L2073)&lt;'Sollecitazioni nel paramento'!$G$58,ABS(L2073)*'Sollecitazioni nel paramento'!$G$54,'Sollecitazioni nel paramento'!$G$53)</f>
        <v>2263166.8161915923</v>
      </c>
      <c r="G2073" s="545">
        <f>-'Foglio deposito bis'!$F$80*(C2073-sezione!$AN$35)*IF(ABS(M2073)&lt;'Sollecitazioni nel paramento'!$G$58,ABS(M2073)*'Sollecitazioni nel paramento'!$G$54,'Sollecitazioni nel paramento'!$G$53)</f>
        <v>0</v>
      </c>
      <c r="H2073" s="545">
        <f>-'Foglio deposito bis'!$F$81*(C2073-sezione!$AO$35)*IF(ABS(N2073)&lt;'Sollecitazioni nel paramento'!$G$58,ABS(N2073)*'Sollecitazioni nel paramento'!$G$54,'Sollecitazioni nel paramento'!$G$53)</f>
        <v>47104747.755375251</v>
      </c>
      <c r="I2073" s="472">
        <f>-'Foglio deposito bis'!$F$82*(C2073-sezione!$AP$35)*IF(ABS(O2073)&lt;'Sollecitazioni nel paramento'!$G$58,ABS(O2073)*'Sollecitazioni nel paramento'!$G$54,'Sollecitazioni nel paramento'!$G$53)</f>
        <v>582442529.83859611</v>
      </c>
      <c r="J2073" s="472">
        <f t="shared" si="144"/>
        <v>593056960.51339233</v>
      </c>
      <c r="K2073" s="550">
        <f>'Sollecitazioni nel paramento'!$G$60*(sezione!$AL$35-C2073)/C2073</f>
        <v>-1.4552567164781031E-4</v>
      </c>
      <c r="L2073" s="550">
        <f>'Sollecitazioni nel paramento'!$G$60*(sezione!$AM$35-C2073)/C2073</f>
        <v>1.5317114925282845E-3</v>
      </c>
      <c r="M2073" s="551">
        <f>'Sollecitazioni nel paramento'!$G$60*(sezione!$AN$35-C2073)/C2073</f>
        <v>3.2089486567043793E-3</v>
      </c>
      <c r="N2073" s="551">
        <f>'Sollecitazioni nel paramento'!$G$60*(sezione!$AO$35-C2073)/C2073</f>
        <v>9.9178973134087592E-3</v>
      </c>
      <c r="O2073" s="551">
        <f>'Sollecitazioni nel paramento'!$G$60*(sezione!$AP$35-C2073)/C2073</f>
        <v>5.4728859004981194E-2</v>
      </c>
      <c r="P2073" s="545">
        <f>-'Sollecitazioni nel paramento'!$G$47*'Sollecitazioni nel paramento'!$G$41*IF(DATI!$G$211="dx",DATI!$E$61,DATI!$E$64*DATI!$E$63)*1000*C2073*sezione!$AD$5</f>
        <v>-1589989.8100040015</v>
      </c>
      <c r="Q2073" s="545">
        <f>'Foglio deposito bis'!$F$78*IF(ABS(K2073)&lt;'Sollecitazioni nel paramento'!$G$58,ABS(K2073)*'Sollecitazioni nel paramento'!$G$54,'Sollecitazioni nel paramento'!$G$53)*IF(K2073&lt;0,-1,1)</f>
        <v>0</v>
      </c>
      <c r="R2073" s="545">
        <f>'Foglio deposito bis'!$F$79*IF(ABS(L2073)&lt;'Sollecitazioni nel paramento'!$G$58,ABS(L2073)*'Sollecitazioni nel paramento'!$G$54,'Sollecitazioni nel paramento'!$G$53)*IF(L2073&lt;0,-1,1)</f>
        <v>123909.34948790733</v>
      </c>
      <c r="S2073" s="545">
        <f>'Foglio deposito bis'!$F$80*IF(ABS(M2073)&lt;'Sollecitazioni nel paramento'!$G$58,ABS(M2073)*'Sollecitazioni nel paramento'!$G$54,'Sollecitazioni nel paramento'!$G$53)*IF(M2073&lt;0,-1,1)</f>
        <v>0</v>
      </c>
      <c r="T2073" s="545">
        <f>'Foglio deposito bis'!$F$81*IF(ABS(N2073)&lt;'Sollecitazioni nel paramento'!$G$58,ABS(N2073)*'Sollecitazioni nel paramento'!$G$54,'Sollecitazioni nel paramento'!$G$53)*IF(N2073&lt;0,-1,1)</f>
        <v>398299.31208121032</v>
      </c>
      <c r="U2073" s="545">
        <f>'Foglio deposito bis'!$F$82*IF(ABS(O2073)&lt;'Sollecitazioni nel paramento'!$G$58,ABS(O2073)*'Sollecitazioni nel paramento'!$G$54,'Sollecitazioni nel paramento'!$G$53)*IF(O2073&lt;0,-1,1)</f>
        <v>892485.49558937876</v>
      </c>
      <c r="V2073" s="472">
        <f t="shared" si="146"/>
        <v>-175295.65284550516</v>
      </c>
      <c r="W2073" s="551"/>
      <c r="X2073" s="551"/>
    </row>
    <row r="2074" spans="1:24" x14ac:dyDescent="0.25">
      <c r="A2074" s="545">
        <f t="shared" si="145"/>
        <v>199012.87222804362</v>
      </c>
      <c r="B2074" s="3">
        <f t="shared" si="147"/>
        <v>4.2499999999999929</v>
      </c>
      <c r="C2074" s="545">
        <f>'Foglio deposito bis'!$E$161/sezione!$B$247*B2074</f>
        <v>42.232151091243324</v>
      </c>
      <c r="D2074" s="603">
        <f>-'Sollecitazioni nel paramento'!$G$47*'Sollecitazioni nel paramento'!$G$41*IF(DATI!$G$211="dx",DATI!$E$61,DATI!$E$64*DATI!$E$63)*1000*C2074^2*sezione!$AD$5*(1-sezione!$AD$6)</f>
        <v>-39681678.168107703</v>
      </c>
      <c r="E2074" s="545">
        <f>-'Foglio deposito bis'!$F$78*(C2074-sezione!$AL$35)*IF(ABS(K2074)&lt;'Sollecitazioni nel paramento'!$G$58,ABS(K2074)*'Sollecitazioni nel paramento'!$G$54,'Sollecitazioni nel paramento'!$G$53)</f>
        <v>0</v>
      </c>
      <c r="F2074" s="545">
        <f>-'Foglio deposito bis'!$F$79*(C2074-sezione!$AM$35)*IF(ABS(L2074)&lt;'Sollecitazioni nel paramento'!$G$58,ABS(L2074)*'Sollecitazioni nel paramento'!$G$54,'Sollecitazioni nel paramento'!$G$53)</f>
        <v>2116516.471351705</v>
      </c>
      <c r="G2074" s="545">
        <f>-'Foglio deposito bis'!$F$80*(C2074-sezione!$AN$35)*IF(ABS(M2074)&lt;'Sollecitazioni nel paramento'!$G$58,ABS(M2074)*'Sollecitazioni nel paramento'!$G$54,'Sollecitazioni nel paramento'!$G$53)</f>
        <v>0</v>
      </c>
      <c r="H2074" s="545">
        <f>-'Foglio deposito bis'!$F$81*(C2074-sezione!$AO$35)*IF(ABS(N2074)&lt;'Sollecitazioni nel paramento'!$G$58,ABS(N2074)*'Sollecitazioni nel paramento'!$G$54,'Sollecitazioni nel paramento'!$G$53)</f>
        <v>46906853.205641694</v>
      </c>
      <c r="I2074" s="472">
        <f>-'Foglio deposito bis'!$F$82*(C2074-sezione!$AP$35)*IF(ABS(O2074)&lt;'Sollecitazioni nel paramento'!$G$58,ABS(O2074)*'Sollecitazioni nel paramento'!$G$54,'Sollecitazioni nel paramento'!$G$53)</f>
        <v>581999099.45863771</v>
      </c>
      <c r="J2074" s="472">
        <f t="shared" si="144"/>
        <v>591340790.96752346</v>
      </c>
      <c r="K2074" s="550">
        <f>'Sollecitazioni nel paramento'!$G$60*(sezione!$AL$35-C2074)/C2074</f>
        <v>-1.8499007551077672E-4</v>
      </c>
      <c r="L2074" s="550">
        <f>'Sollecitazioni nel paramento'!$G$60*(sezione!$AM$35-C2074)/C2074</f>
        <v>1.4725148867338349E-3</v>
      </c>
      <c r="M2074" s="551">
        <f>'Sollecitazioni nel paramento'!$G$60*(sezione!$AN$35-C2074)/C2074</f>
        <v>3.1300198489784465E-3</v>
      </c>
      <c r="N2074" s="551">
        <f>'Sollecitazioni nel paramento'!$G$60*(sezione!$AO$35-C2074)/C2074</f>
        <v>9.7600396979568935E-3</v>
      </c>
      <c r="O2074" s="551">
        <f>'Sollecitazioni nel paramento'!$G$60*(sezione!$AP$35-C2074)/C2074</f>
        <v>5.4043813604922608E-2</v>
      </c>
      <c r="P2074" s="545">
        <f>-'Sollecitazioni nel paramento'!$G$47*'Sollecitazioni nel paramento'!$G$41*IF(DATI!$G$211="dx",DATI!$E$61,DATI!$E$64*DATI!$E$63)*1000*C2074*sezione!$AD$5</f>
        <v>-1608918.2601230966</v>
      </c>
      <c r="Q2074" s="545">
        <f>'Foglio deposito bis'!$F$78*IF(ABS(K2074)&lt;'Sollecitazioni nel paramento'!$G$58,ABS(K2074)*'Sollecitazioni nel paramento'!$G$54,'Sollecitazioni nel paramento'!$G$53)*IF(K2074&lt;0,-1,1)</f>
        <v>0</v>
      </c>
      <c r="R2074" s="545">
        <f>'Foglio deposito bis'!$F$79*IF(ABS(L2074)&lt;'Sollecitazioni nel paramento'!$G$58,ABS(L2074)*'Sollecitazioni nel paramento'!$G$54,'Sollecitazioni nel paramento'!$G$53)*IF(L2074&lt;0,-1,1)</f>
        <v>119120.58022446401</v>
      </c>
      <c r="S2074" s="545">
        <f>'Foglio deposito bis'!$F$80*IF(ABS(M2074)&lt;'Sollecitazioni nel paramento'!$G$58,ABS(M2074)*'Sollecitazioni nel paramento'!$G$54,'Sollecitazioni nel paramento'!$G$53)*IF(M2074&lt;0,-1,1)</f>
        <v>0</v>
      </c>
      <c r="T2074" s="545">
        <f>'Foglio deposito bis'!$F$81*IF(ABS(N2074)&lt;'Sollecitazioni nel paramento'!$G$58,ABS(N2074)*'Sollecitazioni nel paramento'!$G$54,'Sollecitazioni nel paramento'!$G$53)*IF(N2074&lt;0,-1,1)</f>
        <v>398299.31208121032</v>
      </c>
      <c r="U2074" s="545">
        <f>'Foglio deposito bis'!$F$82*IF(ABS(O2074)&lt;'Sollecitazioni nel paramento'!$G$58,ABS(O2074)*'Sollecitazioni nel paramento'!$G$54,'Sollecitazioni nel paramento'!$G$53)*IF(O2074&lt;0,-1,1)</f>
        <v>892485.49558937876</v>
      </c>
      <c r="V2074" s="472">
        <f t="shared" si="146"/>
        <v>-199012.87222804362</v>
      </c>
      <c r="W2074" s="551"/>
      <c r="X2074" s="551"/>
    </row>
    <row r="2075" spans="1:24" x14ac:dyDescent="0.25">
      <c r="A2075" s="545">
        <f t="shared" si="145"/>
        <v>222618.72488352517</v>
      </c>
      <c r="B2075" s="3">
        <f t="shared" si="147"/>
        <v>4.2999999999999927</v>
      </c>
      <c r="C2075" s="545">
        <f>'Foglio deposito bis'!$E$161/sezione!$B$247*B2075</f>
        <v>42.728999927610893</v>
      </c>
      <c r="D2075" s="603">
        <f>-'Sollecitazioni nel paramento'!$G$47*'Sollecitazioni nel paramento'!$G$41*IF(DATI!$G$211="dx",DATI!$E$61,DATI!$E$64*DATI!$E$63)*1000*C2075^2*sezione!$AD$5*(1-sezione!$AD$6)</f>
        <v>-40620856.987034544</v>
      </c>
      <c r="E2075" s="545">
        <f>-'Foglio deposito bis'!$F$78*(C2075-sezione!$AL$35)*IF(ABS(K2075)&lt;'Sollecitazioni nel paramento'!$G$58,ABS(K2075)*'Sollecitazioni nel paramento'!$G$54,'Sollecitazioni nel paramento'!$G$53)</f>
        <v>0</v>
      </c>
      <c r="F2075" s="545">
        <f>-'Foglio deposito bis'!$F$79*(C2075-sezione!$AM$35)*IF(ABS(L2075)&lt;'Sollecitazioni nel paramento'!$G$58,ABS(L2075)*'Sollecitazioni nel paramento'!$G$54,'Sollecitazioni nel paramento'!$G$53)</f>
        <v>1976548.1301352249</v>
      </c>
      <c r="G2075" s="545">
        <f>-'Foglio deposito bis'!$F$80*(C2075-sezione!$AN$35)*IF(ABS(M2075)&lt;'Sollecitazioni nel paramento'!$G$58,ABS(M2075)*'Sollecitazioni nel paramento'!$G$54,'Sollecitazioni nel paramento'!$G$53)</f>
        <v>0</v>
      </c>
      <c r="H2075" s="545">
        <f>-'Foglio deposito bis'!$F$81*(C2075-sezione!$AO$35)*IF(ABS(N2075)&lt;'Sollecitazioni nel paramento'!$G$58,ABS(N2075)*'Sollecitazioni nel paramento'!$G$54,'Sollecitazioni nel paramento'!$G$53)</f>
        <v>46708958.655908145</v>
      </c>
      <c r="I2075" s="472">
        <f>-'Foglio deposito bis'!$F$82*(C2075-sezione!$AP$35)*IF(ABS(O2075)&lt;'Sollecitazioni nel paramento'!$G$58,ABS(O2075)*'Sollecitazioni nel paramento'!$G$54,'Sollecitazioni nel paramento'!$G$53)</f>
        <v>581555669.07867932</v>
      </c>
      <c r="J2075" s="472">
        <f t="shared" si="144"/>
        <v>589620318.87768817</v>
      </c>
      <c r="K2075" s="550">
        <f>'Sollecitazioni nel paramento'!$G$60*(sezione!$AL$35-C2075)/C2075</f>
        <v>-2.2353670253972123E-4</v>
      </c>
      <c r="L2075" s="550">
        <f>'Sollecitazioni nel paramento'!$G$60*(sezione!$AM$35-C2075)/C2075</f>
        <v>1.4146949461904181E-3</v>
      </c>
      <c r="M2075" s="551">
        <f>'Sollecitazioni nel paramento'!$G$60*(sezione!$AN$35-C2075)/C2075</f>
        <v>3.0529265949205578E-3</v>
      </c>
      <c r="N2075" s="551">
        <f>'Sollecitazioni nel paramento'!$G$60*(sezione!$AO$35-C2075)/C2075</f>
        <v>9.6058531898411161E-3</v>
      </c>
      <c r="O2075" s="551">
        <f>'Sollecitazioni nel paramento'!$G$60*(sezione!$AP$35-C2075)/C2075</f>
        <v>5.3374699493237469E-2</v>
      </c>
      <c r="P2075" s="545">
        <f>-'Sollecitazioni nel paramento'!$G$47*'Sollecitazioni nel paramento'!$G$41*IF(DATI!$G$211="dx",DATI!$E$61,DATI!$E$64*DATI!$E$63)*1000*C2075*sezione!$AD$5</f>
        <v>-1627846.7102421918</v>
      </c>
      <c r="Q2075" s="545">
        <f>'Foglio deposito bis'!$F$78*IF(ABS(K2075)&lt;'Sollecitazioni nel paramento'!$G$58,ABS(K2075)*'Sollecitazioni nel paramento'!$G$54,'Sollecitazioni nel paramento'!$G$53)*IF(K2075&lt;0,-1,1)</f>
        <v>0</v>
      </c>
      <c r="R2075" s="545">
        <f>'Foglio deposito bis'!$F$79*IF(ABS(L2075)&lt;'Sollecitazioni nel paramento'!$G$58,ABS(L2075)*'Sollecitazioni nel paramento'!$G$54,'Sollecitazioni nel paramento'!$G$53)*IF(L2075&lt;0,-1,1)</f>
        <v>114443.17768807744</v>
      </c>
      <c r="S2075" s="545">
        <f>'Foglio deposito bis'!$F$80*IF(ABS(M2075)&lt;'Sollecitazioni nel paramento'!$G$58,ABS(M2075)*'Sollecitazioni nel paramento'!$G$54,'Sollecitazioni nel paramento'!$G$53)*IF(M2075&lt;0,-1,1)</f>
        <v>0</v>
      </c>
      <c r="T2075" s="545">
        <f>'Foglio deposito bis'!$F$81*IF(ABS(N2075)&lt;'Sollecitazioni nel paramento'!$G$58,ABS(N2075)*'Sollecitazioni nel paramento'!$G$54,'Sollecitazioni nel paramento'!$G$53)*IF(N2075&lt;0,-1,1)</f>
        <v>398299.31208121032</v>
      </c>
      <c r="U2075" s="545">
        <f>'Foglio deposito bis'!$F$82*IF(ABS(O2075)&lt;'Sollecitazioni nel paramento'!$G$58,ABS(O2075)*'Sollecitazioni nel paramento'!$G$54,'Sollecitazioni nel paramento'!$G$53)*IF(O2075&lt;0,-1,1)</f>
        <v>892485.49558937876</v>
      </c>
      <c r="V2075" s="472">
        <f t="shared" si="146"/>
        <v>-222618.72488352517</v>
      </c>
      <c r="W2075" s="551"/>
      <c r="X2075" s="551"/>
    </row>
    <row r="2076" spans="1:24" x14ac:dyDescent="0.25">
      <c r="A2076" s="545">
        <f t="shared" si="145"/>
        <v>246117.05104391789</v>
      </c>
      <c r="B2076" s="3">
        <f t="shared" si="147"/>
        <v>4.3499999999999925</v>
      </c>
      <c r="C2076" s="545">
        <f>'Foglio deposito bis'!$E$161/sezione!$B$247*B2076</f>
        <v>43.225848763978462</v>
      </c>
      <c r="D2076" s="603">
        <f>-'Sollecitazioni nel paramento'!$G$47*'Sollecitazioni nel paramento'!$G$41*IF(DATI!$G$211="dx",DATI!$E$61,DATI!$E$64*DATI!$E$63)*1000*C2076^2*sezione!$AD$5*(1-sezione!$AD$6)</f>
        <v>-41571020.353551179</v>
      </c>
      <c r="E2076" s="545">
        <f>-'Foglio deposito bis'!$F$78*(C2076-sezione!$AL$35)*IF(ABS(K2076)&lt;'Sollecitazioni nel paramento'!$G$58,ABS(K2076)*'Sollecitazioni nel paramento'!$G$54,'Sollecitazioni nel paramento'!$G$53)</f>
        <v>0</v>
      </c>
      <c r="F2076" s="545">
        <f>-'Foglio deposito bis'!$F$79*(C2076-sezione!$AM$35)*IF(ABS(L2076)&lt;'Sollecitazioni nel paramento'!$G$58,ABS(L2076)*'Sollecitazioni nel paramento'!$G$54,'Sollecitazioni nel paramento'!$G$53)</f>
        <v>1843031.3786241061</v>
      </c>
      <c r="G2076" s="545">
        <f>-'Foglio deposito bis'!$F$80*(C2076-sezione!$AN$35)*IF(ABS(M2076)&lt;'Sollecitazioni nel paramento'!$G$58,ABS(M2076)*'Sollecitazioni nel paramento'!$G$54,'Sollecitazioni nel paramento'!$G$53)</f>
        <v>0</v>
      </c>
      <c r="H2076" s="545">
        <f>-'Foglio deposito bis'!$F$81*(C2076-sezione!$AO$35)*IF(ABS(N2076)&lt;'Sollecitazioni nel paramento'!$G$58,ABS(N2076)*'Sollecitazioni nel paramento'!$G$54,'Sollecitazioni nel paramento'!$G$53)</f>
        <v>46511064.106174596</v>
      </c>
      <c r="I2076" s="472">
        <f>-'Foglio deposito bis'!$F$82*(C2076-sezione!$AP$35)*IF(ABS(O2076)&lt;'Sollecitazioni nel paramento'!$G$58,ABS(O2076)*'Sollecitazioni nel paramento'!$G$54,'Sollecitazioni nel paramento'!$G$53)</f>
        <v>581112238.69872069</v>
      </c>
      <c r="J2076" s="472">
        <f t="shared" si="144"/>
        <v>587895313.82996821</v>
      </c>
      <c r="K2076" s="550">
        <f>'Sollecitazioni nel paramento'!$G$60*(sezione!$AL$35-C2076)/C2076</f>
        <v>-2.6119720021167847E-4</v>
      </c>
      <c r="L2076" s="550">
        <f>'Sollecitazioni nel paramento'!$G$60*(sezione!$AM$35-C2076)/C2076</f>
        <v>1.3582041996824824E-3</v>
      </c>
      <c r="M2076" s="551">
        <f>'Sollecitazioni nel paramento'!$G$60*(sezione!$AN$35-C2076)/C2076</f>
        <v>2.977605599576643E-3</v>
      </c>
      <c r="N2076" s="551">
        <f>'Sollecitazioni nel paramento'!$G$60*(sezione!$AO$35-C2076)/C2076</f>
        <v>9.4552111991532874E-3</v>
      </c>
      <c r="O2076" s="551">
        <f>'Sollecitazioni nel paramento'!$G$60*(sezione!$AP$35-C2076)/C2076</f>
        <v>5.2720967315154278E-2</v>
      </c>
      <c r="P2076" s="545">
        <f>-'Sollecitazioni nel paramento'!$G$47*'Sollecitazioni nel paramento'!$G$41*IF(DATI!$G$211="dx",DATI!$E$61,DATI!$E$64*DATI!$E$63)*1000*C2076*sezione!$AD$5</f>
        <v>-1646775.1603612872</v>
      </c>
      <c r="Q2076" s="545">
        <f>'Foglio deposito bis'!$F$78*IF(ABS(K2076)&lt;'Sollecitazioni nel paramento'!$G$58,ABS(K2076)*'Sollecitazioni nel paramento'!$G$54,'Sollecitazioni nel paramento'!$G$53)*IF(K2076&lt;0,-1,1)</f>
        <v>0</v>
      </c>
      <c r="R2076" s="545">
        <f>'Foglio deposito bis'!$F$79*IF(ABS(L2076)&lt;'Sollecitazioni nel paramento'!$G$58,ABS(L2076)*'Sollecitazioni nel paramento'!$G$54,'Sollecitazioni nel paramento'!$G$53)*IF(L2076&lt;0,-1,1)</f>
        <v>109873.30164678024</v>
      </c>
      <c r="S2076" s="545">
        <f>'Foglio deposito bis'!$F$80*IF(ABS(M2076)&lt;'Sollecitazioni nel paramento'!$G$58,ABS(M2076)*'Sollecitazioni nel paramento'!$G$54,'Sollecitazioni nel paramento'!$G$53)*IF(M2076&lt;0,-1,1)</f>
        <v>0</v>
      </c>
      <c r="T2076" s="545">
        <f>'Foglio deposito bis'!$F$81*IF(ABS(N2076)&lt;'Sollecitazioni nel paramento'!$G$58,ABS(N2076)*'Sollecitazioni nel paramento'!$G$54,'Sollecitazioni nel paramento'!$G$53)*IF(N2076&lt;0,-1,1)</f>
        <v>398299.31208121032</v>
      </c>
      <c r="U2076" s="545">
        <f>'Foglio deposito bis'!$F$82*IF(ABS(O2076)&lt;'Sollecitazioni nel paramento'!$G$58,ABS(O2076)*'Sollecitazioni nel paramento'!$G$54,'Sollecitazioni nel paramento'!$G$53)*IF(O2076&lt;0,-1,1)</f>
        <v>892485.49558937876</v>
      </c>
      <c r="V2076" s="472">
        <f t="shared" si="146"/>
        <v>-246117.05104391789</v>
      </c>
      <c r="W2076" s="551"/>
      <c r="X2076" s="551"/>
    </row>
    <row r="2077" spans="1:24" x14ac:dyDescent="0.25">
      <c r="A2077" s="545">
        <f t="shared" si="145"/>
        <v>269511.51638518996</v>
      </c>
      <c r="B2077" s="3">
        <f t="shared" si="147"/>
        <v>4.3999999999999924</v>
      </c>
      <c r="C2077" s="545">
        <f>'Foglio deposito bis'!$E$161/sezione!$B$247*B2077</f>
        <v>43.722697600346031</v>
      </c>
      <c r="D2077" s="603">
        <f>-'Sollecitazioni nel paramento'!$G$47*'Sollecitazioni nel paramento'!$G$41*IF(DATI!$G$211="dx",DATI!$E$61,DATI!$E$64*DATI!$E$63)*1000*C2077^2*sezione!$AD$5*(1-sezione!$AD$6)</f>
        <v>-42532168.267657593</v>
      </c>
      <c r="E2077" s="545">
        <f>-'Foglio deposito bis'!$F$78*(C2077-sezione!$AL$35)*IF(ABS(K2077)&lt;'Sollecitazioni nel paramento'!$G$58,ABS(K2077)*'Sollecitazioni nel paramento'!$G$54,'Sollecitazioni nel paramento'!$G$53)</f>
        <v>0</v>
      </c>
      <c r="F2077" s="545">
        <f>-'Foglio deposito bis'!$F$79*(C2077-sezione!$AM$35)*IF(ABS(L2077)&lt;'Sollecitazioni nel paramento'!$G$58,ABS(L2077)*'Sollecitazioni nel paramento'!$G$54,'Sollecitazioni nel paramento'!$G$53)</f>
        <v>1715746.2762602102</v>
      </c>
      <c r="G2077" s="545">
        <f>-'Foglio deposito bis'!$F$80*(C2077-sezione!$AN$35)*IF(ABS(M2077)&lt;'Sollecitazioni nel paramento'!$G$58,ABS(M2077)*'Sollecitazioni nel paramento'!$G$54,'Sollecitazioni nel paramento'!$G$53)</f>
        <v>0</v>
      </c>
      <c r="H2077" s="545">
        <f>-'Foglio deposito bis'!$F$81*(C2077-sezione!$AO$35)*IF(ABS(N2077)&lt;'Sollecitazioni nel paramento'!$G$58,ABS(N2077)*'Sollecitazioni nel paramento'!$G$54,'Sollecitazioni nel paramento'!$G$53)</f>
        <v>46313169.556441039</v>
      </c>
      <c r="I2077" s="472">
        <f>-'Foglio deposito bis'!$F$82*(C2077-sezione!$AP$35)*IF(ABS(O2077)&lt;'Sollecitazioni nel paramento'!$G$58,ABS(O2077)*'Sollecitazioni nel paramento'!$G$54,'Sollecitazioni nel paramento'!$G$53)</f>
        <v>580668808.31876218</v>
      </c>
      <c r="J2077" s="472">
        <f t="shared" si="144"/>
        <v>586165555.88380587</v>
      </c>
      <c r="K2077" s="550">
        <f>'Sollecitazioni nel paramento'!$G$60*(sezione!$AL$35-C2077)/C2077</f>
        <v>-2.9800177748200032E-4</v>
      </c>
      <c r="L2077" s="550">
        <f>'Sollecitazioni nel paramento'!$G$60*(sezione!$AM$35-C2077)/C2077</f>
        <v>1.3029973337769995E-3</v>
      </c>
      <c r="M2077" s="551">
        <f>'Sollecitazioni nel paramento'!$G$60*(sezione!$AN$35-C2077)/C2077</f>
        <v>2.9039964450359996E-3</v>
      </c>
      <c r="N2077" s="551">
        <f>'Sollecitazioni nel paramento'!$G$60*(sezione!$AO$35-C2077)/C2077</f>
        <v>9.3079928900719981E-3</v>
      </c>
      <c r="O2077" s="551">
        <f>'Sollecitazioni nel paramento'!$G$60*(sezione!$AP$35-C2077)/C2077</f>
        <v>5.2082092686572976E-2</v>
      </c>
      <c r="P2077" s="545">
        <f>-'Sollecitazioni nel paramento'!$G$47*'Sollecitazioni nel paramento'!$G$41*IF(DATI!$G$211="dx",DATI!$E$61,DATI!$E$64*DATI!$E$63)*1000*C2077*sezione!$AD$5</f>
        <v>-1665703.6104803823</v>
      </c>
      <c r="Q2077" s="545">
        <f>'Foglio deposito bis'!$F$78*IF(ABS(K2077)&lt;'Sollecitazioni nel paramento'!$G$58,ABS(K2077)*'Sollecitazioni nel paramento'!$G$54,'Sollecitazioni nel paramento'!$G$53)*IF(K2077&lt;0,-1,1)</f>
        <v>0</v>
      </c>
      <c r="R2077" s="545">
        <f>'Foglio deposito bis'!$F$79*IF(ABS(L2077)&lt;'Sollecitazioni nel paramento'!$G$58,ABS(L2077)*'Sollecitazioni nel paramento'!$G$54,'Sollecitazioni nel paramento'!$G$53)*IF(L2077&lt;0,-1,1)</f>
        <v>105407.2864246034</v>
      </c>
      <c r="S2077" s="545">
        <f>'Foglio deposito bis'!$F$80*IF(ABS(M2077)&lt;'Sollecitazioni nel paramento'!$G$58,ABS(M2077)*'Sollecitazioni nel paramento'!$G$54,'Sollecitazioni nel paramento'!$G$53)*IF(M2077&lt;0,-1,1)</f>
        <v>0</v>
      </c>
      <c r="T2077" s="545">
        <f>'Foglio deposito bis'!$F$81*IF(ABS(N2077)&lt;'Sollecitazioni nel paramento'!$G$58,ABS(N2077)*'Sollecitazioni nel paramento'!$G$54,'Sollecitazioni nel paramento'!$G$53)*IF(N2077&lt;0,-1,1)</f>
        <v>398299.31208121032</v>
      </c>
      <c r="U2077" s="545">
        <f>'Foglio deposito bis'!$F$82*IF(ABS(O2077)&lt;'Sollecitazioni nel paramento'!$G$58,ABS(O2077)*'Sollecitazioni nel paramento'!$G$54,'Sollecitazioni nel paramento'!$G$53)*IF(O2077&lt;0,-1,1)</f>
        <v>892485.49558937876</v>
      </c>
      <c r="V2077" s="472">
        <f t="shared" si="146"/>
        <v>-269511.51638518996</v>
      </c>
      <c r="W2077" s="551"/>
      <c r="X2077" s="551"/>
    </row>
    <row r="2078" spans="1:24" x14ac:dyDescent="0.25">
      <c r="A2078" s="545">
        <f t="shared" si="145"/>
        <v>292805.62183382898</v>
      </c>
      <c r="B2078" s="3">
        <f t="shared" si="147"/>
        <v>4.4499999999999922</v>
      </c>
      <c r="C2078" s="545">
        <f>'Foglio deposito bis'!$E$161/sezione!$B$247*B2078</f>
        <v>44.2195464367136</v>
      </c>
      <c r="D2078" s="603">
        <f>-'Sollecitazioni nel paramento'!$G$47*'Sollecitazioni nel paramento'!$G$41*IF(DATI!$G$211="dx",DATI!$E$61,DATI!$E$64*DATI!$E$63)*1000*C2078^2*sezione!$AD$5*(1-sezione!$AD$6)</f>
        <v>-43504300.7293538</v>
      </c>
      <c r="E2078" s="545">
        <f>-'Foglio deposito bis'!$F$78*(C2078-sezione!$AL$35)*IF(ABS(K2078)&lt;'Sollecitazioni nel paramento'!$G$58,ABS(K2078)*'Sollecitazioni nel paramento'!$G$54,'Sollecitazioni nel paramento'!$G$53)</f>
        <v>0</v>
      </c>
      <c r="F2078" s="545">
        <f>-'Foglio deposito bis'!$F$79*(C2078-sezione!$AM$35)*IF(ABS(L2078)&lt;'Sollecitazioni nel paramento'!$G$58,ABS(L2078)*'Sollecitazioni nel paramento'!$G$54,'Sollecitazioni nel paramento'!$G$53)</f>
        <v>1594482.7674543059</v>
      </c>
      <c r="G2078" s="545">
        <f>-'Foglio deposito bis'!$F$80*(C2078-sezione!$AN$35)*IF(ABS(M2078)&lt;'Sollecitazioni nel paramento'!$G$58,ABS(M2078)*'Sollecitazioni nel paramento'!$G$54,'Sollecitazioni nel paramento'!$G$53)</f>
        <v>0</v>
      </c>
      <c r="H2078" s="545">
        <f>-'Foglio deposito bis'!$F$81*(C2078-sezione!$AO$35)*IF(ABS(N2078)&lt;'Sollecitazioni nel paramento'!$G$58,ABS(N2078)*'Sollecitazioni nel paramento'!$G$54,'Sollecitazioni nel paramento'!$G$53)</f>
        <v>46115275.006707489</v>
      </c>
      <c r="I2078" s="472">
        <f>-'Foglio deposito bis'!$F$82*(C2078-sezione!$AP$35)*IF(ABS(O2078)&lt;'Sollecitazioni nel paramento'!$G$58,ABS(O2078)*'Sollecitazioni nel paramento'!$G$54,'Sollecitazioni nel paramento'!$G$53)</f>
        <v>580225377.93880367</v>
      </c>
      <c r="J2078" s="472">
        <f t="shared" si="144"/>
        <v>584430834.9836117</v>
      </c>
      <c r="K2078" s="550">
        <f>'Sollecitazioni nel paramento'!$G$60*(sezione!$AL$35-C2078)/C2078</f>
        <v>-3.3397928560018015E-4</v>
      </c>
      <c r="L2078" s="550">
        <f>'Sollecitazioni nel paramento'!$G$60*(sezione!$AM$35-C2078)/C2078</f>
        <v>1.2490310715997299E-3</v>
      </c>
      <c r="M2078" s="551">
        <f>'Sollecitazioni nel paramento'!$G$60*(sezione!$AN$35-C2078)/C2078</f>
        <v>2.8320414287996399E-3</v>
      </c>
      <c r="N2078" s="551">
        <f>'Sollecitazioni nel paramento'!$G$60*(sezione!$AO$35-C2078)/C2078</f>
        <v>9.1640828575992785E-3</v>
      </c>
      <c r="O2078" s="551">
        <f>'Sollecitazioni nel paramento'!$G$60*(sezione!$AP$35-C2078)/C2078</f>
        <v>5.1457574791218222E-2</v>
      </c>
      <c r="P2078" s="545">
        <f>-'Sollecitazioni nel paramento'!$G$47*'Sollecitazioni nel paramento'!$G$41*IF(DATI!$G$211="dx",DATI!$E$61,DATI!$E$64*DATI!$E$63)*1000*C2078*sezione!$AD$5</f>
        <v>-1684632.0605994777</v>
      </c>
      <c r="Q2078" s="545">
        <f>'Foglio deposito bis'!$F$78*IF(ABS(K2078)&lt;'Sollecitazioni nel paramento'!$G$58,ABS(K2078)*'Sollecitazioni nel paramento'!$G$54,'Sollecitazioni nel paramento'!$G$53)*IF(K2078&lt;0,-1,1)</f>
        <v>0</v>
      </c>
      <c r="R2078" s="545">
        <f>'Foglio deposito bis'!$F$79*IF(ABS(L2078)&lt;'Sollecitazioni nel paramento'!$G$58,ABS(L2078)*'Sollecitazioni nel paramento'!$G$54,'Sollecitazioni nel paramento'!$G$53)*IF(L2078&lt;0,-1,1)</f>
        <v>101041.63109505977</v>
      </c>
      <c r="S2078" s="545">
        <f>'Foglio deposito bis'!$F$80*IF(ABS(M2078)&lt;'Sollecitazioni nel paramento'!$G$58,ABS(M2078)*'Sollecitazioni nel paramento'!$G$54,'Sollecitazioni nel paramento'!$G$53)*IF(M2078&lt;0,-1,1)</f>
        <v>0</v>
      </c>
      <c r="T2078" s="545">
        <f>'Foglio deposito bis'!$F$81*IF(ABS(N2078)&lt;'Sollecitazioni nel paramento'!$G$58,ABS(N2078)*'Sollecitazioni nel paramento'!$G$54,'Sollecitazioni nel paramento'!$G$53)*IF(N2078&lt;0,-1,1)</f>
        <v>398299.31208121032</v>
      </c>
      <c r="U2078" s="545">
        <f>'Foglio deposito bis'!$F$82*IF(ABS(O2078)&lt;'Sollecitazioni nel paramento'!$G$58,ABS(O2078)*'Sollecitazioni nel paramento'!$G$54,'Sollecitazioni nel paramento'!$G$53)*IF(O2078&lt;0,-1,1)</f>
        <v>892485.49558937876</v>
      </c>
      <c r="V2078" s="472">
        <f t="shared" si="146"/>
        <v>-292805.62183382898</v>
      </c>
      <c r="W2078" s="551"/>
      <c r="X2078" s="551"/>
    </row>
    <row r="2079" spans="1:24" x14ac:dyDescent="0.25">
      <c r="A2079" s="545">
        <f t="shared" si="145"/>
        <v>316002.71271958854</v>
      </c>
      <c r="B2079" s="3">
        <f t="shared" si="147"/>
        <v>4.499999999999992</v>
      </c>
      <c r="C2079" s="545">
        <f>'Foglio deposito bis'!$E$161/sezione!$B$247*B2079</f>
        <v>44.716395273081162</v>
      </c>
      <c r="D2079" s="603">
        <f>-'Sollecitazioni nel paramento'!$G$47*'Sollecitazioni nel paramento'!$G$41*IF(DATI!$G$211="dx",DATI!$E$61,DATI!$E$64*DATI!$E$63)*1000*C2079^2*sezione!$AD$5*(1-sezione!$AD$6)</f>
        <v>-44487417.738639772</v>
      </c>
      <c r="E2079" s="545">
        <f>-'Foglio deposito bis'!$F$78*(C2079-sezione!$AL$35)*IF(ABS(K2079)&lt;'Sollecitazioni nel paramento'!$G$58,ABS(K2079)*'Sollecitazioni nel paramento'!$G$54,'Sollecitazioni nel paramento'!$G$53)</f>
        <v>0</v>
      </c>
      <c r="F2079" s="545">
        <f>-'Foglio deposito bis'!$F$79*(C2079-sezione!$AM$35)*IF(ABS(L2079)&lt;'Sollecitazioni nel paramento'!$G$58,ABS(L2079)*'Sollecitazioni nel paramento'!$G$54,'Sollecitazioni nel paramento'!$G$53)</f>
        <v>1479040.132421128</v>
      </c>
      <c r="G2079" s="545">
        <f>-'Foglio deposito bis'!$F$80*(C2079-sezione!$AN$35)*IF(ABS(M2079)&lt;'Sollecitazioni nel paramento'!$G$58,ABS(M2079)*'Sollecitazioni nel paramento'!$G$54,'Sollecitazioni nel paramento'!$G$53)</f>
        <v>0</v>
      </c>
      <c r="H2079" s="545">
        <f>-'Foglio deposito bis'!$F$81*(C2079-sezione!$AO$35)*IF(ABS(N2079)&lt;'Sollecitazioni nel paramento'!$G$58,ABS(N2079)*'Sollecitazioni nel paramento'!$G$54,'Sollecitazioni nel paramento'!$G$53)</f>
        <v>45917380.45697394</v>
      </c>
      <c r="I2079" s="472">
        <f>-'Foglio deposito bis'!$F$82*(C2079-sezione!$AP$35)*IF(ABS(O2079)&lt;'Sollecitazioni nel paramento'!$G$58,ABS(O2079)*'Sollecitazioni nel paramento'!$G$54,'Sollecitazioni nel paramento'!$G$53)</f>
        <v>579781947.55884516</v>
      </c>
      <c r="J2079" s="472">
        <f t="shared" si="144"/>
        <v>582690950.4096005</v>
      </c>
      <c r="K2079" s="550">
        <f>'Sollecitazioni nel paramento'!$G$60*(sezione!$AL$35-C2079)/C2079</f>
        <v>-3.691572935379555E-4</v>
      </c>
      <c r="L2079" s="550">
        <f>'Sollecitazioni nel paramento'!$G$60*(sezione!$AM$35-C2079)/C2079</f>
        <v>1.1962640596930669E-3</v>
      </c>
      <c r="M2079" s="551">
        <f>'Sollecitazioni nel paramento'!$G$60*(sezione!$AN$35-C2079)/C2079</f>
        <v>2.7616854129240893E-3</v>
      </c>
      <c r="N2079" s="551">
        <f>'Sollecitazioni nel paramento'!$G$60*(sezione!$AO$35-C2079)/C2079</f>
        <v>9.0233708258481773E-3</v>
      </c>
      <c r="O2079" s="551">
        <f>'Sollecitazioni nel paramento'!$G$60*(sezione!$AP$35-C2079)/C2079</f>
        <v>5.0846935071315803E-2</v>
      </c>
      <c r="P2079" s="545">
        <f>-'Sollecitazioni nel paramento'!$G$47*'Sollecitazioni nel paramento'!$G$41*IF(DATI!$G$211="dx",DATI!$E$61,DATI!$E$64*DATI!$E$63)*1000*C2079*sezione!$AD$5</f>
        <v>-1703560.5107185727</v>
      </c>
      <c r="Q2079" s="545">
        <f>'Foglio deposito bis'!$F$78*IF(ABS(K2079)&lt;'Sollecitazioni nel paramento'!$G$58,ABS(K2079)*'Sollecitazioni nel paramento'!$G$54,'Sollecitazioni nel paramento'!$G$53)*IF(K2079&lt;0,-1,1)</f>
        <v>0</v>
      </c>
      <c r="R2079" s="545">
        <f>'Foglio deposito bis'!$F$79*IF(ABS(L2079)&lt;'Sollecitazioni nel paramento'!$G$58,ABS(L2079)*'Sollecitazioni nel paramento'!$G$54,'Sollecitazioni nel paramento'!$G$53)*IF(L2079&lt;0,-1,1)</f>
        <v>96772.990328394939</v>
      </c>
      <c r="S2079" s="545">
        <f>'Foglio deposito bis'!$F$80*IF(ABS(M2079)&lt;'Sollecitazioni nel paramento'!$G$58,ABS(M2079)*'Sollecitazioni nel paramento'!$G$54,'Sollecitazioni nel paramento'!$G$53)*IF(M2079&lt;0,-1,1)</f>
        <v>0</v>
      </c>
      <c r="T2079" s="545">
        <f>'Foglio deposito bis'!$F$81*IF(ABS(N2079)&lt;'Sollecitazioni nel paramento'!$G$58,ABS(N2079)*'Sollecitazioni nel paramento'!$G$54,'Sollecitazioni nel paramento'!$G$53)*IF(N2079&lt;0,-1,1)</f>
        <v>398299.31208121032</v>
      </c>
      <c r="U2079" s="545">
        <f>'Foglio deposito bis'!$F$82*IF(ABS(O2079)&lt;'Sollecitazioni nel paramento'!$G$58,ABS(O2079)*'Sollecitazioni nel paramento'!$G$54,'Sollecitazioni nel paramento'!$G$53)*IF(O2079&lt;0,-1,1)</f>
        <v>892485.49558937876</v>
      </c>
      <c r="V2079" s="472">
        <f t="shared" si="146"/>
        <v>-316002.71271958854</v>
      </c>
      <c r="W2079" s="551"/>
      <c r="X2079" s="551"/>
    </row>
    <row r="2080" spans="1:24" x14ac:dyDescent="0.25">
      <c r="A2080" s="545">
        <f t="shared" si="145"/>
        <v>339105.98732476286</v>
      </c>
      <c r="B2080" s="3">
        <f t="shared" si="147"/>
        <v>4.5499999999999918</v>
      </c>
      <c r="C2080" s="545">
        <f>'Foglio deposito bis'!$E$161/sezione!$B$247*B2080</f>
        <v>45.213244109448731</v>
      </c>
      <c r="D2080" s="603">
        <f>-'Sollecitazioni nel paramento'!$G$47*'Sollecitazioni nel paramento'!$G$41*IF(DATI!$G$211="dx",DATI!$E$61,DATI!$E$64*DATI!$E$63)*1000*C2080^2*sezione!$AD$5*(1-sezione!$AD$6)</f>
        <v>-45481519.29551556</v>
      </c>
      <c r="E2080" s="545">
        <f>-'Foglio deposito bis'!$F$78*(C2080-sezione!$AL$35)*IF(ABS(K2080)&lt;'Sollecitazioni nel paramento'!$G$58,ABS(K2080)*'Sollecitazioni nel paramento'!$G$54,'Sollecitazioni nel paramento'!$G$53)</f>
        <v>0</v>
      </c>
      <c r="F2080" s="545">
        <f>-'Foglio deposito bis'!$F$79*(C2080-sezione!$AM$35)*IF(ABS(L2080)&lt;'Sollecitazioni nel paramento'!$G$58,ABS(L2080)*'Sollecitazioni nel paramento'!$G$54,'Sollecitazioni nel paramento'!$G$53)</f>
        <v>1369226.4742231108</v>
      </c>
      <c r="G2080" s="545">
        <f>-'Foglio deposito bis'!$F$80*(C2080-sezione!$AN$35)*IF(ABS(M2080)&lt;'Sollecitazioni nel paramento'!$G$58,ABS(M2080)*'Sollecitazioni nel paramento'!$G$54,'Sollecitazioni nel paramento'!$G$53)</f>
        <v>0</v>
      </c>
      <c r="H2080" s="545">
        <f>-'Foglio deposito bis'!$F$81*(C2080-sezione!$AO$35)*IF(ABS(N2080)&lt;'Sollecitazioni nel paramento'!$G$58,ABS(N2080)*'Sollecitazioni nel paramento'!$G$54,'Sollecitazioni nel paramento'!$G$53)</f>
        <v>45719485.907240383</v>
      </c>
      <c r="I2080" s="472">
        <f>-'Foglio deposito bis'!$F$82*(C2080-sezione!$AP$35)*IF(ABS(O2080)&lt;'Sollecitazioni nel paramento'!$G$58,ABS(O2080)*'Sollecitazioni nel paramento'!$G$54,'Sollecitazioni nel paramento'!$G$53)</f>
        <v>579338517.17888665</v>
      </c>
      <c r="J2080" s="472">
        <f t="shared" si="144"/>
        <v>580945710.26483464</v>
      </c>
      <c r="K2080" s="550">
        <f>'Sollecitazioni nel paramento'!$G$60*(sezione!$AL$35-C2080)/C2080</f>
        <v>-4.0356215844413178E-4</v>
      </c>
      <c r="L2080" s="550">
        <f>'Sollecitazioni nel paramento'!$G$60*(sezione!$AM$35-C2080)/C2080</f>
        <v>1.1446567623338024E-3</v>
      </c>
      <c r="M2080" s="551">
        <f>'Sollecitazioni nel paramento'!$G$60*(sezione!$AN$35-C2080)/C2080</f>
        <v>2.6928756831117364E-3</v>
      </c>
      <c r="N2080" s="551">
        <f>'Sollecitazioni nel paramento'!$G$60*(sezione!$AO$35-C2080)/C2080</f>
        <v>8.8857513662234724E-3</v>
      </c>
      <c r="O2080" s="551">
        <f>'Sollecitazioni nel paramento'!$G$60*(sezione!$AP$35-C2080)/C2080</f>
        <v>5.0249716004598044E-2</v>
      </c>
      <c r="P2080" s="545">
        <f>-'Sollecitazioni nel paramento'!$G$47*'Sollecitazioni nel paramento'!$G$41*IF(DATI!$G$211="dx",DATI!$E$61,DATI!$E$64*DATI!$E$63)*1000*C2080*sezione!$AD$5</f>
        <v>-1722488.960837668</v>
      </c>
      <c r="Q2080" s="545">
        <f>'Foglio deposito bis'!$F$78*IF(ABS(K2080)&lt;'Sollecitazioni nel paramento'!$G$58,ABS(K2080)*'Sollecitazioni nel paramento'!$G$54,'Sollecitazioni nel paramento'!$G$53)*IF(K2080&lt;0,-1,1)</f>
        <v>0</v>
      </c>
      <c r="R2080" s="545">
        <f>'Foglio deposito bis'!$F$79*IF(ABS(L2080)&lt;'Sollecitazioni nel paramento'!$G$58,ABS(L2080)*'Sollecitazioni nel paramento'!$G$54,'Sollecitazioni nel paramento'!$G$53)*IF(L2080&lt;0,-1,1)</f>
        <v>92598.165842316099</v>
      </c>
      <c r="S2080" s="545">
        <f>'Foglio deposito bis'!$F$80*IF(ABS(M2080)&lt;'Sollecitazioni nel paramento'!$G$58,ABS(M2080)*'Sollecitazioni nel paramento'!$G$54,'Sollecitazioni nel paramento'!$G$53)*IF(M2080&lt;0,-1,1)</f>
        <v>0</v>
      </c>
      <c r="T2080" s="545">
        <f>'Foglio deposito bis'!$F$81*IF(ABS(N2080)&lt;'Sollecitazioni nel paramento'!$G$58,ABS(N2080)*'Sollecitazioni nel paramento'!$G$54,'Sollecitazioni nel paramento'!$G$53)*IF(N2080&lt;0,-1,1)</f>
        <v>398299.31208121032</v>
      </c>
      <c r="U2080" s="545">
        <f>'Foglio deposito bis'!$F$82*IF(ABS(O2080)&lt;'Sollecitazioni nel paramento'!$G$58,ABS(O2080)*'Sollecitazioni nel paramento'!$G$54,'Sollecitazioni nel paramento'!$G$53)*IF(O2080&lt;0,-1,1)</f>
        <v>892485.49558937876</v>
      </c>
      <c r="V2080" s="472">
        <f t="shared" si="146"/>
        <v>-339105.98732476286</v>
      </c>
      <c r="W2080" s="551"/>
      <c r="X2080" s="551"/>
    </row>
    <row r="2081" spans="1:24" x14ac:dyDescent="0.25">
      <c r="A2081" s="545">
        <f t="shared" si="145"/>
        <v>362118.50487589184</v>
      </c>
      <c r="B2081" s="3">
        <f t="shared" si="147"/>
        <v>4.5999999999999917</v>
      </c>
      <c r="C2081" s="545">
        <f>'Foglio deposito bis'!$E$161/sezione!$B$247*B2081</f>
        <v>45.710092945816299</v>
      </c>
      <c r="D2081" s="603">
        <f>-'Sollecitazioni nel paramento'!$G$47*'Sollecitazioni nel paramento'!$G$41*IF(DATI!$G$211="dx",DATI!$E$61,DATI!$E$64*DATI!$E$63)*1000*C2081^2*sezione!$AD$5*(1-sezione!$AD$6)</f>
        <v>-46486605.399981119</v>
      </c>
      <c r="E2081" s="545">
        <f>-'Foglio deposito bis'!$F$78*(C2081-sezione!$AL$35)*IF(ABS(K2081)&lt;'Sollecitazioni nel paramento'!$G$58,ABS(K2081)*'Sollecitazioni nel paramento'!$G$54,'Sollecitazioni nel paramento'!$G$53)</f>
        <v>0</v>
      </c>
      <c r="F2081" s="545">
        <f>-'Foglio deposito bis'!$F$79*(C2081-sezione!$AM$35)*IF(ABS(L2081)&lt;'Sollecitazioni nel paramento'!$G$58,ABS(L2081)*'Sollecitazioni nel paramento'!$G$54,'Sollecitazioni nel paramento'!$G$53)</f>
        <v>1264858.2392678051</v>
      </c>
      <c r="G2081" s="545">
        <f>-'Foglio deposito bis'!$F$80*(C2081-sezione!$AN$35)*IF(ABS(M2081)&lt;'Sollecitazioni nel paramento'!$G$58,ABS(M2081)*'Sollecitazioni nel paramento'!$G$54,'Sollecitazioni nel paramento'!$G$53)</f>
        <v>0</v>
      </c>
      <c r="H2081" s="545">
        <f>-'Foglio deposito bis'!$F$81*(C2081-sezione!$AO$35)*IF(ABS(N2081)&lt;'Sollecitazioni nel paramento'!$G$58,ABS(N2081)*'Sollecitazioni nel paramento'!$G$54,'Sollecitazioni nel paramento'!$G$53)</f>
        <v>45521591.357506834</v>
      </c>
      <c r="I2081" s="472">
        <f>-'Foglio deposito bis'!$F$82*(C2081-sezione!$AP$35)*IF(ABS(O2081)&lt;'Sollecitazioni nel paramento'!$G$58,ABS(O2081)*'Sollecitazioni nel paramento'!$G$54,'Sollecitazioni nel paramento'!$G$53)</f>
        <v>578895086.79892802</v>
      </c>
      <c r="J2081" s="472">
        <f t="shared" si="144"/>
        <v>579194930.99572158</v>
      </c>
      <c r="K2081" s="550">
        <f>'Sollecitazioni nel paramento'!$G$60*(sezione!$AL$35-C2081)/C2081</f>
        <v>-4.3721909150452165E-4</v>
      </c>
      <c r="L2081" s="550">
        <f>'Sollecitazioni nel paramento'!$G$60*(sezione!$AM$35-C2081)/C2081</f>
        <v>1.0941713627432175E-3</v>
      </c>
      <c r="M2081" s="551">
        <f>'Sollecitazioni nel paramento'!$G$60*(sezione!$AN$35-C2081)/C2081</f>
        <v>2.6255618169909569E-3</v>
      </c>
      <c r="N2081" s="551">
        <f>'Sollecitazioni nel paramento'!$G$60*(sezione!$AO$35-C2081)/C2081</f>
        <v>8.7511236339819134E-3</v>
      </c>
      <c r="O2081" s="551">
        <f>'Sollecitazioni nel paramento'!$G$60*(sezione!$AP$35-C2081)/C2081</f>
        <v>4.9665479961069799E-2</v>
      </c>
      <c r="P2081" s="545">
        <f>-'Sollecitazioni nel paramento'!$G$47*'Sollecitazioni nel paramento'!$G$41*IF(DATI!$G$211="dx",DATI!$E$61,DATI!$E$64*DATI!$E$63)*1000*C2081*sezione!$AD$5</f>
        <v>-1741417.4109567634</v>
      </c>
      <c r="Q2081" s="545">
        <f>'Foglio deposito bis'!$F$78*IF(ABS(K2081)&lt;'Sollecitazioni nel paramento'!$G$58,ABS(K2081)*'Sollecitazioni nel paramento'!$G$54,'Sollecitazioni nel paramento'!$G$53)*IF(K2081&lt;0,-1,1)</f>
        <v>0</v>
      </c>
      <c r="R2081" s="545">
        <f>'Foglio deposito bis'!$F$79*IF(ABS(L2081)&lt;'Sollecitazioni nel paramento'!$G$58,ABS(L2081)*'Sollecitazioni nel paramento'!$G$54,'Sollecitazioni nel paramento'!$G$53)*IF(L2081&lt;0,-1,1)</f>
        <v>88514.098410282444</v>
      </c>
      <c r="S2081" s="545">
        <f>'Foglio deposito bis'!$F$80*IF(ABS(M2081)&lt;'Sollecitazioni nel paramento'!$G$58,ABS(M2081)*'Sollecitazioni nel paramento'!$G$54,'Sollecitazioni nel paramento'!$G$53)*IF(M2081&lt;0,-1,1)</f>
        <v>0</v>
      </c>
      <c r="T2081" s="545">
        <f>'Foglio deposito bis'!$F$81*IF(ABS(N2081)&lt;'Sollecitazioni nel paramento'!$G$58,ABS(N2081)*'Sollecitazioni nel paramento'!$G$54,'Sollecitazioni nel paramento'!$G$53)*IF(N2081&lt;0,-1,1)</f>
        <v>398299.31208121032</v>
      </c>
      <c r="U2081" s="545">
        <f>'Foglio deposito bis'!$F$82*IF(ABS(O2081)&lt;'Sollecitazioni nel paramento'!$G$58,ABS(O2081)*'Sollecitazioni nel paramento'!$G$54,'Sollecitazioni nel paramento'!$G$53)*IF(O2081&lt;0,-1,1)</f>
        <v>892485.49558937876</v>
      </c>
      <c r="V2081" s="472">
        <f t="shared" si="146"/>
        <v>-362118.50487589184</v>
      </c>
      <c r="W2081" s="551"/>
      <c r="X2081" s="551"/>
    </row>
    <row r="2082" spans="1:24" x14ac:dyDescent="0.25">
      <c r="A2082" s="545">
        <f t="shared" si="145"/>
        <v>385043.19301987998</v>
      </c>
      <c r="B2082" s="3">
        <f t="shared" si="147"/>
        <v>4.6499999999999915</v>
      </c>
      <c r="C2082" s="545">
        <f>'Foglio deposito bis'!$E$161/sezione!$B$247*B2082</f>
        <v>46.206941782183868</v>
      </c>
      <c r="D2082" s="603">
        <f>-'Sollecitazioni nel paramento'!$G$47*'Sollecitazioni nel paramento'!$G$41*IF(DATI!$G$211="dx",DATI!$E$61,DATI!$E$64*DATI!$E$63)*1000*C2082^2*sezione!$AD$5*(1-sezione!$AD$6)</f>
        <v>-47502676.052036479</v>
      </c>
      <c r="E2082" s="545">
        <f>-'Foglio deposito bis'!$F$78*(C2082-sezione!$AL$35)*IF(ABS(K2082)&lt;'Sollecitazioni nel paramento'!$G$58,ABS(K2082)*'Sollecitazioni nel paramento'!$G$54,'Sollecitazioni nel paramento'!$G$53)</f>
        <v>0</v>
      </c>
      <c r="F2082" s="545">
        <f>-'Foglio deposito bis'!$F$79*(C2082-sezione!$AM$35)*IF(ABS(L2082)&lt;'Sollecitazioni nel paramento'!$G$58,ABS(L2082)*'Sollecitazioni nel paramento'!$G$54,'Sollecitazioni nel paramento'!$G$53)</f>
        <v>1165759.7687409299</v>
      </c>
      <c r="G2082" s="545">
        <f>-'Foglio deposito bis'!$F$80*(C2082-sezione!$AN$35)*IF(ABS(M2082)&lt;'Sollecitazioni nel paramento'!$G$58,ABS(M2082)*'Sollecitazioni nel paramento'!$G$54,'Sollecitazioni nel paramento'!$G$53)</f>
        <v>0</v>
      </c>
      <c r="H2082" s="545">
        <f>-'Foglio deposito bis'!$F$81*(C2082-sezione!$AO$35)*IF(ABS(N2082)&lt;'Sollecitazioni nel paramento'!$G$58,ABS(N2082)*'Sollecitazioni nel paramento'!$G$54,'Sollecitazioni nel paramento'!$G$53)</f>
        <v>45323696.807773285</v>
      </c>
      <c r="I2082" s="472">
        <f>-'Foglio deposito bis'!$F$82*(C2082-sezione!$AP$35)*IF(ABS(O2082)&lt;'Sollecitazioni nel paramento'!$G$58,ABS(O2082)*'Sollecitazioni nel paramento'!$G$54,'Sollecitazioni nel paramento'!$G$53)</f>
        <v>578451656.41896951</v>
      </c>
      <c r="J2082" s="472">
        <f t="shared" si="144"/>
        <v>577438436.94344723</v>
      </c>
      <c r="K2082" s="550">
        <f>'Sollecitazioni nel paramento'!$G$60*(sezione!$AL$35-C2082)/C2082</f>
        <v>-4.7015221955286021E-4</v>
      </c>
      <c r="L2082" s="550">
        <f>'Sollecitazioni nel paramento'!$G$60*(sezione!$AM$35-C2082)/C2082</f>
        <v>1.0447716706707096E-3</v>
      </c>
      <c r="M2082" s="551">
        <f>'Sollecitazioni nel paramento'!$G$60*(sezione!$AN$35-C2082)/C2082</f>
        <v>2.5596955608942797E-3</v>
      </c>
      <c r="N2082" s="551">
        <f>'Sollecitazioni nel paramento'!$G$60*(sezione!$AO$35-C2082)/C2082</f>
        <v>8.6193911217885607E-3</v>
      </c>
      <c r="O2082" s="551">
        <f>'Sollecitazioni nel paramento'!$G$60*(sezione!$AP$35-C2082)/C2082</f>
        <v>4.9093808133531418E-2</v>
      </c>
      <c r="P2082" s="545">
        <f>-'Sollecitazioni nel paramento'!$G$47*'Sollecitazioni nel paramento'!$G$41*IF(DATI!$G$211="dx",DATI!$E$61,DATI!$E$64*DATI!$E$63)*1000*C2082*sezione!$AD$5</f>
        <v>-1760345.8610758584</v>
      </c>
      <c r="Q2082" s="545">
        <f>'Foglio deposito bis'!$F$78*IF(ABS(K2082)&lt;'Sollecitazioni nel paramento'!$G$58,ABS(K2082)*'Sollecitazioni nel paramento'!$G$54,'Sollecitazioni nel paramento'!$G$53)*IF(K2082&lt;0,-1,1)</f>
        <v>0</v>
      </c>
      <c r="R2082" s="545">
        <f>'Foglio deposito bis'!$F$79*IF(ABS(L2082)&lt;'Sollecitazioni nel paramento'!$G$58,ABS(L2082)*'Sollecitazioni nel paramento'!$G$54,'Sollecitazioni nel paramento'!$G$53)*IF(L2082&lt;0,-1,1)</f>
        <v>84517.860385389271</v>
      </c>
      <c r="S2082" s="545">
        <f>'Foglio deposito bis'!$F$80*IF(ABS(M2082)&lt;'Sollecitazioni nel paramento'!$G$58,ABS(M2082)*'Sollecitazioni nel paramento'!$G$54,'Sollecitazioni nel paramento'!$G$53)*IF(M2082&lt;0,-1,1)</f>
        <v>0</v>
      </c>
      <c r="T2082" s="545">
        <f>'Foglio deposito bis'!$F$81*IF(ABS(N2082)&lt;'Sollecitazioni nel paramento'!$G$58,ABS(N2082)*'Sollecitazioni nel paramento'!$G$54,'Sollecitazioni nel paramento'!$G$53)*IF(N2082&lt;0,-1,1)</f>
        <v>398299.31208121032</v>
      </c>
      <c r="U2082" s="545">
        <f>'Foglio deposito bis'!$F$82*IF(ABS(O2082)&lt;'Sollecitazioni nel paramento'!$G$58,ABS(O2082)*'Sollecitazioni nel paramento'!$G$54,'Sollecitazioni nel paramento'!$G$53)*IF(O2082&lt;0,-1,1)</f>
        <v>892485.49558937876</v>
      </c>
      <c r="V2082" s="472">
        <f t="shared" si="146"/>
        <v>-385043.19301987998</v>
      </c>
      <c r="W2082" s="551"/>
      <c r="X2082" s="551"/>
    </row>
    <row r="2083" spans="1:24" x14ac:dyDescent="0.25">
      <c r="A2083" s="545">
        <f t="shared" si="145"/>
        <v>407882.85482291342</v>
      </c>
      <c r="B2083" s="3">
        <f t="shared" si="147"/>
        <v>4.6999999999999913</v>
      </c>
      <c r="C2083" s="545">
        <f>'Foglio deposito bis'!$E$161/sezione!$B$247*B2083</f>
        <v>46.703790618551437</v>
      </c>
      <c r="D2083" s="603">
        <f>-'Sollecitazioni nel paramento'!$G$47*'Sollecitazioni nel paramento'!$G$41*IF(DATI!$G$211="dx",DATI!$E$61,DATI!$E$64*DATI!$E$63)*1000*C2083^2*sezione!$AD$5*(1-sezione!$AD$6)</f>
        <v>-48529731.251681611</v>
      </c>
      <c r="E2083" s="545">
        <f>-'Foglio deposito bis'!$F$78*(C2083-sezione!$AL$35)*IF(ABS(K2083)&lt;'Sollecitazioni nel paramento'!$G$58,ABS(K2083)*'Sollecitazioni nel paramento'!$G$54,'Sollecitazioni nel paramento'!$G$53)</f>
        <v>0</v>
      </c>
      <c r="F2083" s="545">
        <f>-'Foglio deposito bis'!$F$79*(C2083-sezione!$AM$35)*IF(ABS(L2083)&lt;'Sollecitazioni nel paramento'!$G$58,ABS(L2083)*'Sollecitazioni nel paramento'!$G$54,'Sollecitazioni nel paramento'!$G$53)</f>
        <v>1071762.8786713656</v>
      </c>
      <c r="G2083" s="545">
        <f>-'Foglio deposito bis'!$F$80*(C2083-sezione!$AN$35)*IF(ABS(M2083)&lt;'Sollecitazioni nel paramento'!$G$58,ABS(M2083)*'Sollecitazioni nel paramento'!$G$54,'Sollecitazioni nel paramento'!$G$53)</f>
        <v>0</v>
      </c>
      <c r="H2083" s="545">
        <f>-'Foglio deposito bis'!$F$81*(C2083-sezione!$AO$35)*IF(ABS(N2083)&lt;'Sollecitazioni nel paramento'!$G$58,ABS(N2083)*'Sollecitazioni nel paramento'!$G$54,'Sollecitazioni nel paramento'!$G$53)</f>
        <v>45125802.258039735</v>
      </c>
      <c r="I2083" s="472">
        <f>-'Foglio deposito bis'!$F$82*(C2083-sezione!$AP$35)*IF(ABS(O2083)&lt;'Sollecitazioni nel paramento'!$G$58,ABS(O2083)*'Sollecitazioni nel paramento'!$G$54,'Sollecitazioni nel paramento'!$G$53)</f>
        <v>578008226.03901112</v>
      </c>
      <c r="J2083" s="472">
        <f t="shared" si="144"/>
        <v>575676059.92404056</v>
      </c>
      <c r="K2083" s="550">
        <f>'Sollecitazioni nel paramento'!$G$60*(sezione!$AL$35-C2083)/C2083</f>
        <v>-5.0238464274910636E-4</v>
      </c>
      <c r="L2083" s="550">
        <f>'Sollecitazioni nel paramento'!$G$60*(sezione!$AM$35-C2083)/C2083</f>
        <v>9.964230358763405E-4</v>
      </c>
      <c r="M2083" s="551">
        <f>'Sollecitazioni nel paramento'!$G$60*(sezione!$AN$35-C2083)/C2083</f>
        <v>2.4952307145017874E-3</v>
      </c>
      <c r="N2083" s="551">
        <f>'Sollecitazioni nel paramento'!$G$60*(sezione!$AO$35-C2083)/C2083</f>
        <v>8.4904614290035735E-3</v>
      </c>
      <c r="O2083" s="551">
        <f>'Sollecitazioni nel paramento'!$G$60*(sezione!$AP$35-C2083)/C2083</f>
        <v>4.8534299536366191E-2</v>
      </c>
      <c r="P2083" s="545">
        <f>-'Sollecitazioni nel paramento'!$G$47*'Sollecitazioni nel paramento'!$G$41*IF(DATI!$G$211="dx",DATI!$E$61,DATI!$E$64*DATI!$E$63)*1000*C2083*sezione!$AD$5</f>
        <v>-1779274.3111949537</v>
      </c>
      <c r="Q2083" s="545">
        <f>'Foglio deposito bis'!$F$78*IF(ABS(K2083)&lt;'Sollecitazioni nel paramento'!$G$58,ABS(K2083)*'Sollecitazioni nel paramento'!$G$54,'Sollecitazioni nel paramento'!$G$53)*IF(K2083&lt;0,-1,1)</f>
        <v>0</v>
      </c>
      <c r="R2083" s="545">
        <f>'Foglio deposito bis'!$F$79*IF(ABS(L2083)&lt;'Sollecitazioni nel paramento'!$G$58,ABS(L2083)*'Sollecitazioni nel paramento'!$G$54,'Sollecitazioni nel paramento'!$G$53)*IF(L2083&lt;0,-1,1)</f>
        <v>80606.648701451311</v>
      </c>
      <c r="S2083" s="545">
        <f>'Foglio deposito bis'!$F$80*IF(ABS(M2083)&lt;'Sollecitazioni nel paramento'!$G$58,ABS(M2083)*'Sollecitazioni nel paramento'!$G$54,'Sollecitazioni nel paramento'!$G$53)*IF(M2083&lt;0,-1,1)</f>
        <v>0</v>
      </c>
      <c r="T2083" s="545">
        <f>'Foglio deposito bis'!$F$81*IF(ABS(N2083)&lt;'Sollecitazioni nel paramento'!$G$58,ABS(N2083)*'Sollecitazioni nel paramento'!$G$54,'Sollecitazioni nel paramento'!$G$53)*IF(N2083&lt;0,-1,1)</f>
        <v>398299.31208121032</v>
      </c>
      <c r="U2083" s="545">
        <f>'Foglio deposito bis'!$F$82*IF(ABS(O2083)&lt;'Sollecitazioni nel paramento'!$G$58,ABS(O2083)*'Sollecitazioni nel paramento'!$G$54,'Sollecitazioni nel paramento'!$G$53)*IF(O2083&lt;0,-1,1)</f>
        <v>892485.49558937876</v>
      </c>
      <c r="V2083" s="472">
        <f t="shared" si="146"/>
        <v>-407882.85482291342</v>
      </c>
      <c r="W2083" s="551"/>
      <c r="X2083" s="551"/>
    </row>
    <row r="2084" spans="1:24" x14ac:dyDescent="0.25">
      <c r="A2084" s="545">
        <f t="shared" si="145"/>
        <v>430640.17532733758</v>
      </c>
      <c r="B2084" s="3">
        <f t="shared" si="147"/>
        <v>4.7499999999999911</v>
      </c>
      <c r="C2084" s="545">
        <f>'Foglio deposito bis'!$E$161/sezione!$B$247*B2084</f>
        <v>47.200639454919006</v>
      </c>
      <c r="D2084" s="603">
        <f>-'Sollecitazioni nel paramento'!$G$47*'Sollecitazioni nel paramento'!$G$41*IF(DATI!$G$211="dx",DATI!$E$61,DATI!$E$64*DATI!$E$63)*1000*C2084^2*sezione!$AD$5*(1-sezione!$AD$6)</f>
        <v>-49567770.998916551</v>
      </c>
      <c r="E2084" s="545">
        <f>-'Foglio deposito bis'!$F$78*(C2084-sezione!$AL$35)*IF(ABS(K2084)&lt;'Sollecitazioni nel paramento'!$G$58,ABS(K2084)*'Sollecitazioni nel paramento'!$G$54,'Sollecitazioni nel paramento'!$G$53)</f>
        <v>0</v>
      </c>
      <c r="F2084" s="545">
        <f>-'Foglio deposito bis'!$F$79*(C2084-sezione!$AM$35)*IF(ABS(L2084)&lt;'Sollecitazioni nel paramento'!$G$58,ABS(L2084)*'Sollecitazioni nel paramento'!$G$54,'Sollecitazioni nel paramento'!$G$53)</f>
        <v>982706.46651835402</v>
      </c>
      <c r="G2084" s="545">
        <f>-'Foglio deposito bis'!$F$80*(C2084-sezione!$AN$35)*IF(ABS(M2084)&lt;'Sollecitazioni nel paramento'!$G$58,ABS(M2084)*'Sollecitazioni nel paramento'!$G$54,'Sollecitazioni nel paramento'!$G$53)</f>
        <v>0</v>
      </c>
      <c r="H2084" s="545">
        <f>-'Foglio deposito bis'!$F$81*(C2084-sezione!$AO$35)*IF(ABS(N2084)&lt;'Sollecitazioni nel paramento'!$G$58,ABS(N2084)*'Sollecitazioni nel paramento'!$G$54,'Sollecitazioni nel paramento'!$G$53)</f>
        <v>44927907.708306171</v>
      </c>
      <c r="I2084" s="472">
        <f>-'Foglio deposito bis'!$F$82*(C2084-sezione!$AP$35)*IF(ABS(O2084)&lt;'Sollecitazioni nel paramento'!$G$58,ABS(O2084)*'Sollecitazioni nel paramento'!$G$54,'Sollecitazioni nel paramento'!$G$53)</f>
        <v>577564795.65905249</v>
      </c>
      <c r="J2084" s="472">
        <f t="shared" si="144"/>
        <v>573907638.83496046</v>
      </c>
      <c r="K2084" s="550">
        <f>'Sollecitazioni nel paramento'!$G$60*(sezione!$AL$35-C2084)/C2084</f>
        <v>-5.3393848861490523E-4</v>
      </c>
      <c r="L2084" s="550">
        <f>'Sollecitazioni nel paramento'!$G$60*(sezione!$AM$35-C2084)/C2084</f>
        <v>9.4909226707764202E-4</v>
      </c>
      <c r="M2084" s="551">
        <f>'Sollecitazioni nel paramento'!$G$60*(sezione!$AN$35-C2084)/C2084</f>
        <v>2.4321230227701894E-3</v>
      </c>
      <c r="N2084" s="551">
        <f>'Sollecitazioni nel paramento'!$G$60*(sezione!$AO$35-C2084)/C2084</f>
        <v>8.3642460455403793E-3</v>
      </c>
      <c r="O2084" s="551">
        <f>'Sollecitazioni nel paramento'!$G$60*(sezione!$AP$35-C2084)/C2084</f>
        <v>4.798657006756233E-2</v>
      </c>
      <c r="P2084" s="545">
        <f>-'Sollecitazioni nel paramento'!$G$47*'Sollecitazioni nel paramento'!$G$41*IF(DATI!$G$211="dx",DATI!$E$61,DATI!$E$64*DATI!$E$63)*1000*C2084*sezione!$AD$5</f>
        <v>-1798202.7613140491</v>
      </c>
      <c r="Q2084" s="545">
        <f>'Foglio deposito bis'!$F$78*IF(ABS(K2084)&lt;'Sollecitazioni nel paramento'!$G$58,ABS(K2084)*'Sollecitazioni nel paramento'!$G$54,'Sollecitazioni nel paramento'!$G$53)*IF(K2084&lt;0,-1,1)</f>
        <v>0</v>
      </c>
      <c r="R2084" s="545">
        <f>'Foglio deposito bis'!$F$79*IF(ABS(L2084)&lt;'Sollecitazioni nel paramento'!$G$58,ABS(L2084)*'Sollecitazioni nel paramento'!$G$54,'Sollecitazioni nel paramento'!$G$53)*IF(L2084&lt;0,-1,1)</f>
        <v>76777.778316122552</v>
      </c>
      <c r="S2084" s="545">
        <f>'Foglio deposito bis'!$F$80*IF(ABS(M2084)&lt;'Sollecitazioni nel paramento'!$G$58,ABS(M2084)*'Sollecitazioni nel paramento'!$G$54,'Sollecitazioni nel paramento'!$G$53)*IF(M2084&lt;0,-1,1)</f>
        <v>0</v>
      </c>
      <c r="T2084" s="545">
        <f>'Foglio deposito bis'!$F$81*IF(ABS(N2084)&lt;'Sollecitazioni nel paramento'!$G$58,ABS(N2084)*'Sollecitazioni nel paramento'!$G$54,'Sollecitazioni nel paramento'!$G$53)*IF(N2084&lt;0,-1,1)</f>
        <v>398299.31208121032</v>
      </c>
      <c r="U2084" s="545">
        <f>'Foglio deposito bis'!$F$82*IF(ABS(O2084)&lt;'Sollecitazioni nel paramento'!$G$58,ABS(O2084)*'Sollecitazioni nel paramento'!$G$54,'Sollecitazioni nel paramento'!$G$53)*IF(O2084&lt;0,-1,1)</f>
        <v>892485.49558937876</v>
      </c>
      <c r="V2084" s="472">
        <f t="shared" si="146"/>
        <v>-430640.17532733758</v>
      </c>
      <c r="W2084" s="551"/>
      <c r="X2084" s="551"/>
    </row>
    <row r="2085" spans="1:24" x14ac:dyDescent="0.25">
      <c r="A2085" s="545">
        <f t="shared" si="145"/>
        <v>453317.72769873356</v>
      </c>
      <c r="B2085" s="3">
        <f t="shared" si="147"/>
        <v>4.7999999999999909</v>
      </c>
      <c r="C2085" s="545">
        <f>'Foglio deposito bis'!$E$161/sezione!$B$247*B2085</f>
        <v>47.697488291286568</v>
      </c>
      <c r="D2085" s="603">
        <f>-'Sollecitazioni nel paramento'!$G$47*'Sollecitazioni nel paramento'!$G$41*IF(DATI!$G$211="dx",DATI!$E$61,DATI!$E$64*DATI!$E$63)*1000*C2085^2*sezione!$AD$5*(1-sezione!$AD$6)</f>
        <v>-50616795.293741241</v>
      </c>
      <c r="E2085" s="545">
        <f>-'Foglio deposito bis'!$F$78*(C2085-sezione!$AL$35)*IF(ABS(K2085)&lt;'Sollecitazioni nel paramento'!$G$58,ABS(K2085)*'Sollecitazioni nel paramento'!$G$54,'Sollecitazioni nel paramento'!$G$53)</f>
        <v>0</v>
      </c>
      <c r="F2085" s="545">
        <f>-'Foglio deposito bis'!$F$79*(C2085-sezione!$AM$35)*IF(ABS(L2085)&lt;'Sollecitazioni nel paramento'!$G$58,ABS(L2085)*'Sollecitazioni nel paramento'!$G$54,'Sollecitazioni nel paramento'!$G$53)</f>
        <v>898436.14234700473</v>
      </c>
      <c r="G2085" s="545">
        <f>-'Foglio deposito bis'!$F$80*(C2085-sezione!$AN$35)*IF(ABS(M2085)&lt;'Sollecitazioni nel paramento'!$G$58,ABS(M2085)*'Sollecitazioni nel paramento'!$G$54,'Sollecitazioni nel paramento'!$G$53)</f>
        <v>0</v>
      </c>
      <c r="H2085" s="545">
        <f>-'Foglio deposito bis'!$F$81*(C2085-sezione!$AO$35)*IF(ABS(N2085)&lt;'Sollecitazioni nel paramento'!$G$58,ABS(N2085)*'Sollecitazioni nel paramento'!$G$54,'Sollecitazioni nel paramento'!$G$53)</f>
        <v>44730013.158572629</v>
      </c>
      <c r="I2085" s="472">
        <f>-'Foglio deposito bis'!$F$82*(C2085-sezione!$AP$35)*IF(ABS(O2085)&lt;'Sollecitazioni nel paramento'!$G$58,ABS(O2085)*'Sollecitazioni nel paramento'!$G$54,'Sollecitazioni nel paramento'!$G$53)</f>
        <v>577121365.27909398</v>
      </c>
      <c r="J2085" s="472">
        <f t="shared" si="144"/>
        <v>572133019.28627241</v>
      </c>
      <c r="K2085" s="550">
        <f>'Sollecitazioni nel paramento'!$G$60*(sezione!$AL$35-C2085)/C2085</f>
        <v>-5.64834962691833E-4</v>
      </c>
      <c r="L2085" s="550">
        <f>'Sollecitazioni nel paramento'!$G$60*(sezione!$AM$35-C2085)/C2085</f>
        <v>9.0274755596225049E-4</v>
      </c>
      <c r="M2085" s="551">
        <f>'Sollecitazioni nel paramento'!$G$60*(sezione!$AN$35-C2085)/C2085</f>
        <v>2.3703300746163339E-3</v>
      </c>
      <c r="N2085" s="551">
        <f>'Sollecitazioni nel paramento'!$G$60*(sezione!$AO$35-C2085)/C2085</f>
        <v>8.24066014923267E-3</v>
      </c>
      <c r="O2085" s="551">
        <f>'Sollecitazioni nel paramento'!$G$60*(sezione!$AP$35-C2085)/C2085</f>
        <v>4.7450251629358564E-2</v>
      </c>
      <c r="P2085" s="545">
        <f>-'Sollecitazioni nel paramento'!$G$47*'Sollecitazioni nel paramento'!$G$41*IF(DATI!$G$211="dx",DATI!$E$61,DATI!$E$64*DATI!$E$63)*1000*C2085*sezione!$AD$5</f>
        <v>-1817131.2114331441</v>
      </c>
      <c r="Q2085" s="545">
        <f>'Foglio deposito bis'!$F$78*IF(ABS(K2085)&lt;'Sollecitazioni nel paramento'!$G$58,ABS(K2085)*'Sollecitazioni nel paramento'!$G$54,'Sollecitazioni nel paramento'!$G$53)*IF(K2085&lt;0,-1,1)</f>
        <v>0</v>
      </c>
      <c r="R2085" s="545">
        <f>'Foglio deposito bis'!$F$79*IF(ABS(L2085)&lt;'Sollecitazioni nel paramento'!$G$58,ABS(L2085)*'Sollecitazioni nel paramento'!$G$54,'Sollecitazioni nel paramento'!$G$53)*IF(L2085&lt;0,-1,1)</f>
        <v>73028.67606382152</v>
      </c>
      <c r="S2085" s="545">
        <f>'Foglio deposito bis'!$F$80*IF(ABS(M2085)&lt;'Sollecitazioni nel paramento'!$G$58,ABS(M2085)*'Sollecitazioni nel paramento'!$G$54,'Sollecitazioni nel paramento'!$G$53)*IF(M2085&lt;0,-1,1)</f>
        <v>0</v>
      </c>
      <c r="T2085" s="545">
        <f>'Foglio deposito bis'!$F$81*IF(ABS(N2085)&lt;'Sollecitazioni nel paramento'!$G$58,ABS(N2085)*'Sollecitazioni nel paramento'!$G$54,'Sollecitazioni nel paramento'!$G$53)*IF(N2085&lt;0,-1,1)</f>
        <v>398299.31208121032</v>
      </c>
      <c r="U2085" s="545">
        <f>'Foglio deposito bis'!$F$82*IF(ABS(O2085)&lt;'Sollecitazioni nel paramento'!$G$58,ABS(O2085)*'Sollecitazioni nel paramento'!$G$54,'Sollecitazioni nel paramento'!$G$53)*IF(O2085&lt;0,-1,1)</f>
        <v>892485.49558937876</v>
      </c>
      <c r="V2085" s="472">
        <f t="shared" si="146"/>
        <v>-453317.72769873356</v>
      </c>
      <c r="W2085" s="551"/>
      <c r="X2085" s="551"/>
    </row>
    <row r="2086" spans="1:24" x14ac:dyDescent="0.25">
      <c r="A2086" s="545">
        <f t="shared" si="145"/>
        <v>475917.97899276298</v>
      </c>
      <c r="B2086" s="3">
        <f t="shared" si="147"/>
        <v>4.8499999999999908</v>
      </c>
      <c r="C2086" s="545">
        <f>'Foglio deposito bis'!$E$161/sezione!$B$247*B2086</f>
        <v>48.194337127654137</v>
      </c>
      <c r="D2086" s="603">
        <f>-'Sollecitazioni nel paramento'!$G$47*'Sollecitazioni nel paramento'!$G$41*IF(DATI!$G$211="dx",DATI!$E$61,DATI!$E$64*DATI!$E$63)*1000*C2086^2*sezione!$AD$5*(1-sezione!$AD$6)</f>
        <v>-51676804.136155747</v>
      </c>
      <c r="E2086" s="545">
        <f>-'Foglio deposito bis'!$F$78*(C2086-sezione!$AL$35)*IF(ABS(K2086)&lt;'Sollecitazioni nel paramento'!$G$58,ABS(K2086)*'Sollecitazioni nel paramento'!$G$54,'Sollecitazioni nel paramento'!$G$53)</f>
        <v>0</v>
      </c>
      <c r="F2086" s="545">
        <f>-'Foglio deposito bis'!$F$79*(C2086-sezione!$AM$35)*IF(ABS(L2086)&lt;'Sollecitazioni nel paramento'!$G$58,ABS(L2086)*'Sollecitazioni nel paramento'!$G$54,'Sollecitazioni nel paramento'!$G$53)</f>
        <v>818803.88281767617</v>
      </c>
      <c r="G2086" s="545">
        <f>-'Foglio deposito bis'!$F$80*(C2086-sezione!$AN$35)*IF(ABS(M2086)&lt;'Sollecitazioni nel paramento'!$G$58,ABS(M2086)*'Sollecitazioni nel paramento'!$G$54,'Sollecitazioni nel paramento'!$G$53)</f>
        <v>0</v>
      </c>
      <c r="H2086" s="545">
        <f>-'Foglio deposito bis'!$F$81*(C2086-sezione!$AO$35)*IF(ABS(N2086)&lt;'Sollecitazioni nel paramento'!$G$58,ABS(N2086)*'Sollecitazioni nel paramento'!$G$54,'Sollecitazioni nel paramento'!$G$53)</f>
        <v>44532118.608839072</v>
      </c>
      <c r="I2086" s="472">
        <f>-'Foglio deposito bis'!$F$82*(C2086-sezione!$AP$35)*IF(ABS(O2086)&lt;'Sollecitazioni nel paramento'!$G$58,ABS(O2086)*'Sollecitazioni nel paramento'!$G$54,'Sollecitazioni nel paramento'!$G$53)</f>
        <v>576677934.89913547</v>
      </c>
      <c r="J2086" s="472">
        <f t="shared" si="144"/>
        <v>570352053.25463653</v>
      </c>
      <c r="K2086" s="550">
        <f>'Sollecitazioni nel paramento'!$G$60*(sezione!$AL$35-C2086)/C2086</f>
        <v>-5.9509439606614397E-4</v>
      </c>
      <c r="L2086" s="550">
        <f>'Sollecitazioni nel paramento'!$G$60*(sezione!$AM$35-C2086)/C2086</f>
        <v>8.5735840590078403E-4</v>
      </c>
      <c r="M2086" s="551">
        <f>'Sollecitazioni nel paramento'!$G$60*(sezione!$AN$35-C2086)/C2086</f>
        <v>2.3098112078677119E-3</v>
      </c>
      <c r="N2086" s="551">
        <f>'Sollecitazioni nel paramento'!$G$60*(sezione!$AO$35-C2086)/C2086</f>
        <v>8.1196224157354235E-3</v>
      </c>
      <c r="O2086" s="551">
        <f>'Sollecitazioni nel paramento'!$G$60*(sezione!$AP$35-C2086)/C2086</f>
        <v>4.6924991303282697E-2</v>
      </c>
      <c r="P2086" s="545">
        <f>-'Sollecitazioni nel paramento'!$G$47*'Sollecitazioni nel paramento'!$G$41*IF(DATI!$G$211="dx",DATI!$E$61,DATI!$E$64*DATI!$E$63)*1000*C2086*sezione!$AD$5</f>
        <v>-1836059.6615522394</v>
      </c>
      <c r="Q2086" s="545">
        <f>'Foglio deposito bis'!$F$78*IF(ABS(K2086)&lt;'Sollecitazioni nel paramento'!$G$58,ABS(K2086)*'Sollecitazioni nel paramento'!$G$54,'Sollecitazioni nel paramento'!$G$53)*IF(K2086&lt;0,-1,1)</f>
        <v>0</v>
      </c>
      <c r="R2086" s="545">
        <f>'Foglio deposito bis'!$F$79*IF(ABS(L2086)&lt;'Sollecitazioni nel paramento'!$G$58,ABS(L2086)*'Sollecitazioni nel paramento'!$G$54,'Sollecitazioni nel paramento'!$G$53)*IF(L2086&lt;0,-1,1)</f>
        <v>69356.874888887498</v>
      </c>
      <c r="S2086" s="545">
        <f>'Foglio deposito bis'!$F$80*IF(ABS(M2086)&lt;'Sollecitazioni nel paramento'!$G$58,ABS(M2086)*'Sollecitazioni nel paramento'!$G$54,'Sollecitazioni nel paramento'!$G$53)*IF(M2086&lt;0,-1,1)</f>
        <v>0</v>
      </c>
      <c r="T2086" s="545">
        <f>'Foglio deposito bis'!$F$81*IF(ABS(N2086)&lt;'Sollecitazioni nel paramento'!$G$58,ABS(N2086)*'Sollecitazioni nel paramento'!$G$54,'Sollecitazioni nel paramento'!$G$53)*IF(N2086&lt;0,-1,1)</f>
        <v>398299.31208121032</v>
      </c>
      <c r="U2086" s="545">
        <f>'Foglio deposito bis'!$F$82*IF(ABS(O2086)&lt;'Sollecitazioni nel paramento'!$G$58,ABS(O2086)*'Sollecitazioni nel paramento'!$G$54,'Sollecitazioni nel paramento'!$G$53)*IF(O2086&lt;0,-1,1)</f>
        <v>892485.49558937876</v>
      </c>
      <c r="V2086" s="472">
        <f t="shared" si="146"/>
        <v>-475917.97899276298</v>
      </c>
      <c r="W2086" s="551"/>
      <c r="X2086" s="551"/>
    </row>
    <row r="2087" spans="1:24" x14ac:dyDescent="0.25">
      <c r="A2087" s="545">
        <f t="shared" si="145"/>
        <v>498443.29556893604</v>
      </c>
      <c r="B2087" s="3">
        <f t="shared" si="147"/>
        <v>4.8999999999999906</v>
      </c>
      <c r="C2087" s="545">
        <f>'Foglio deposito bis'!$E$161/sezione!$B$247*B2087</f>
        <v>48.691185964021706</v>
      </c>
      <c r="D2087" s="603">
        <f>-'Sollecitazioni nel paramento'!$G$47*'Sollecitazioni nel paramento'!$G$41*IF(DATI!$G$211="dx",DATI!$E$61,DATI!$E$64*DATI!$E$63)*1000*C2087^2*sezione!$AD$5*(1-sezione!$AD$6)</f>
        <v>-52747797.526160039</v>
      </c>
      <c r="E2087" s="545">
        <f>-'Foglio deposito bis'!$F$78*(C2087-sezione!$AL$35)*IF(ABS(K2087)&lt;'Sollecitazioni nel paramento'!$G$58,ABS(K2087)*'Sollecitazioni nel paramento'!$G$54,'Sollecitazioni nel paramento'!$G$53)</f>
        <v>0</v>
      </c>
      <c r="F2087" s="545">
        <f>-'Foglio deposito bis'!$F$79*(C2087-sezione!$AM$35)*IF(ABS(L2087)&lt;'Sollecitazioni nel paramento'!$G$58,ABS(L2087)*'Sollecitazioni nel paramento'!$G$54,'Sollecitazioni nel paramento'!$G$53)</f>
        <v>743667.70635969541</v>
      </c>
      <c r="G2087" s="545">
        <f>-'Foglio deposito bis'!$F$80*(C2087-sezione!$AN$35)*IF(ABS(M2087)&lt;'Sollecitazioni nel paramento'!$G$58,ABS(M2087)*'Sollecitazioni nel paramento'!$G$54,'Sollecitazioni nel paramento'!$G$53)</f>
        <v>0</v>
      </c>
      <c r="H2087" s="545">
        <f>-'Foglio deposito bis'!$F$81*(C2087-sezione!$AO$35)*IF(ABS(N2087)&lt;'Sollecitazioni nel paramento'!$G$58,ABS(N2087)*'Sollecitazioni nel paramento'!$G$54,'Sollecitazioni nel paramento'!$G$53)</f>
        <v>44334224.059105523</v>
      </c>
      <c r="I2087" s="472">
        <f>-'Foglio deposito bis'!$F$82*(C2087-sezione!$AP$35)*IF(ABS(O2087)&lt;'Sollecitazioni nel paramento'!$G$58,ABS(O2087)*'Sollecitazioni nel paramento'!$G$54,'Sollecitazioni nel paramento'!$G$53)</f>
        <v>576234504.51917708</v>
      </c>
      <c r="J2087" s="472">
        <f t="shared" si="144"/>
        <v>568564598.75848222</v>
      </c>
      <c r="K2087" s="550">
        <f>'Sollecitazioni nel paramento'!$G$60*(sezione!$AL$35-C2087)/C2087</f>
        <v>-6.247362899838364E-4</v>
      </c>
      <c r="L2087" s="550">
        <f>'Sollecitazioni nel paramento'!$G$60*(sezione!$AM$35-C2087)/C2087</f>
        <v>8.1289556502424538E-4</v>
      </c>
      <c r="M2087" s="551">
        <f>'Sollecitazioni nel paramento'!$G$60*(sezione!$AN$35-C2087)/C2087</f>
        <v>2.2505274200323271E-3</v>
      </c>
      <c r="N2087" s="551">
        <f>'Sollecitazioni nel paramento'!$G$60*(sezione!$AO$35-C2087)/C2087</f>
        <v>8.0010548400646538E-3</v>
      </c>
      <c r="O2087" s="551">
        <f>'Sollecitazioni nel paramento'!$G$60*(sezione!$AP$35-C2087)/C2087</f>
        <v>4.6410450575698189E-2</v>
      </c>
      <c r="P2087" s="545">
        <f>-'Sollecitazioni nel paramento'!$G$47*'Sollecitazioni nel paramento'!$G$41*IF(DATI!$G$211="dx",DATI!$E$61,DATI!$E$64*DATI!$E$63)*1000*C2087*sezione!$AD$5</f>
        <v>-1854988.1116713344</v>
      </c>
      <c r="Q2087" s="545">
        <f>'Foglio deposito bis'!$F$78*IF(ABS(K2087)&lt;'Sollecitazioni nel paramento'!$G$58,ABS(K2087)*'Sollecitazioni nel paramento'!$G$54,'Sollecitazioni nel paramento'!$G$53)*IF(K2087&lt;0,-1,1)</f>
        <v>0</v>
      </c>
      <c r="R2087" s="545">
        <f>'Foglio deposito bis'!$F$79*IF(ABS(L2087)&lt;'Sollecitazioni nel paramento'!$G$58,ABS(L2087)*'Sollecitazioni nel paramento'!$G$54,'Sollecitazioni nel paramento'!$G$53)*IF(L2087&lt;0,-1,1)</f>
        <v>65760.008431809256</v>
      </c>
      <c r="S2087" s="545">
        <f>'Foglio deposito bis'!$F$80*IF(ABS(M2087)&lt;'Sollecitazioni nel paramento'!$G$58,ABS(M2087)*'Sollecitazioni nel paramento'!$G$54,'Sollecitazioni nel paramento'!$G$53)*IF(M2087&lt;0,-1,1)</f>
        <v>0</v>
      </c>
      <c r="T2087" s="545">
        <f>'Foglio deposito bis'!$F$81*IF(ABS(N2087)&lt;'Sollecitazioni nel paramento'!$G$58,ABS(N2087)*'Sollecitazioni nel paramento'!$G$54,'Sollecitazioni nel paramento'!$G$53)*IF(N2087&lt;0,-1,1)</f>
        <v>398299.31208121032</v>
      </c>
      <c r="U2087" s="545">
        <f>'Foglio deposito bis'!$F$82*IF(ABS(O2087)&lt;'Sollecitazioni nel paramento'!$G$58,ABS(O2087)*'Sollecitazioni nel paramento'!$G$54,'Sollecitazioni nel paramento'!$G$53)*IF(O2087&lt;0,-1,1)</f>
        <v>892485.49558937876</v>
      </c>
      <c r="V2087" s="472">
        <f t="shared" si="146"/>
        <v>-498443.29556893604</v>
      </c>
      <c r="W2087" s="551"/>
      <c r="X2087" s="551"/>
    </row>
    <row r="2088" spans="1:24" x14ac:dyDescent="0.25">
      <c r="A2088" s="545">
        <f t="shared" si="145"/>
        <v>520895.9481762799</v>
      </c>
      <c r="B2088" s="3">
        <f t="shared" si="147"/>
        <v>4.9499999999999904</v>
      </c>
      <c r="C2088" s="545">
        <f>'Foglio deposito bis'!$E$161/sezione!$B$247*B2088</f>
        <v>49.188034800389275</v>
      </c>
      <c r="D2088" s="603">
        <f>-'Sollecitazioni nel paramento'!$G$47*'Sollecitazioni nel paramento'!$G$41*IF(DATI!$G$211="dx",DATI!$E$61,DATI!$E$64*DATI!$E$63)*1000*C2088^2*sezione!$AD$5*(1-sezione!$AD$6)</f>
        <v>-53829775.463754125</v>
      </c>
      <c r="E2088" s="545">
        <f>-'Foglio deposito bis'!$F$78*(C2088-sezione!$AL$35)*IF(ABS(K2088)&lt;'Sollecitazioni nel paramento'!$G$58,ABS(K2088)*'Sollecitazioni nel paramento'!$G$54,'Sollecitazioni nel paramento'!$G$53)</f>
        <v>0</v>
      </c>
      <c r="F2088" s="545">
        <f>-'Foglio deposito bis'!$F$79*(C2088-sezione!$AM$35)*IF(ABS(L2088)&lt;'Sollecitazioni nel paramento'!$G$58,ABS(L2088)*'Sollecitazioni nel paramento'!$G$54,'Sollecitazioni nel paramento'!$G$53)</f>
        <v>672891.36803150631</v>
      </c>
      <c r="G2088" s="545">
        <f>-'Foglio deposito bis'!$F$80*(C2088-sezione!$AN$35)*IF(ABS(M2088)&lt;'Sollecitazioni nel paramento'!$G$58,ABS(M2088)*'Sollecitazioni nel paramento'!$G$54,'Sollecitazioni nel paramento'!$G$53)</f>
        <v>0</v>
      </c>
      <c r="H2088" s="545">
        <f>-'Foglio deposito bis'!$F$81*(C2088-sezione!$AO$35)*IF(ABS(N2088)&lt;'Sollecitazioni nel paramento'!$G$58,ABS(N2088)*'Sollecitazioni nel paramento'!$G$54,'Sollecitazioni nel paramento'!$G$53)</f>
        <v>44136329.509371974</v>
      </c>
      <c r="I2088" s="472">
        <f>-'Foglio deposito bis'!$F$82*(C2088-sezione!$AP$35)*IF(ABS(O2088)&lt;'Sollecitazioni nel paramento'!$G$58,ABS(O2088)*'Sollecitazioni nel paramento'!$G$54,'Sollecitazioni nel paramento'!$G$53)</f>
        <v>575791074.13921857</v>
      </c>
      <c r="J2088" s="472">
        <f t="shared" si="144"/>
        <v>566770519.55286789</v>
      </c>
      <c r="K2088" s="550">
        <f>'Sollecitazioni nel paramento'!$G$60*(sezione!$AL$35-C2088)/C2088</f>
        <v>-6.5377935776177751E-4</v>
      </c>
      <c r="L2088" s="550">
        <f>'Sollecitazioni nel paramento'!$G$60*(sezione!$AM$35-C2088)/C2088</f>
        <v>7.6933096335733372E-4</v>
      </c>
      <c r="M2088" s="551">
        <f>'Sollecitazioni nel paramento'!$G$60*(sezione!$AN$35-C2088)/C2088</f>
        <v>2.1924412844764448E-3</v>
      </c>
      <c r="N2088" s="551">
        <f>'Sollecitazioni nel paramento'!$G$60*(sezione!$AO$35-C2088)/C2088</f>
        <v>7.8848825689528893E-3</v>
      </c>
      <c r="O2088" s="551">
        <f>'Sollecitazioni nel paramento'!$G$60*(sezione!$AP$35-C2088)/C2088</f>
        <v>4.5906304610287094E-2</v>
      </c>
      <c r="P2088" s="545">
        <f>-'Sollecitazioni nel paramento'!$G$47*'Sollecitazioni nel paramento'!$G$41*IF(DATI!$G$211="dx",DATI!$E$61,DATI!$E$64*DATI!$E$63)*1000*C2088*sezione!$AD$5</f>
        <v>-1873916.5617904298</v>
      </c>
      <c r="Q2088" s="545">
        <f>'Foglio deposito bis'!$F$78*IF(ABS(K2088)&lt;'Sollecitazioni nel paramento'!$G$58,ABS(K2088)*'Sollecitazioni nel paramento'!$G$54,'Sollecitazioni nel paramento'!$G$53)*IF(K2088&lt;0,-1,1)</f>
        <v>0</v>
      </c>
      <c r="R2088" s="545">
        <f>'Foglio deposito bis'!$F$79*IF(ABS(L2088)&lt;'Sollecitazioni nel paramento'!$G$58,ABS(L2088)*'Sollecitazioni nel paramento'!$G$54,'Sollecitazioni nel paramento'!$G$53)*IF(L2088&lt;0,-1,1)</f>
        <v>62235.805943560859</v>
      </c>
      <c r="S2088" s="545">
        <f>'Foglio deposito bis'!$F$80*IF(ABS(M2088)&lt;'Sollecitazioni nel paramento'!$G$58,ABS(M2088)*'Sollecitazioni nel paramento'!$G$54,'Sollecitazioni nel paramento'!$G$53)*IF(M2088&lt;0,-1,1)</f>
        <v>0</v>
      </c>
      <c r="T2088" s="545">
        <f>'Foglio deposito bis'!$F$81*IF(ABS(N2088)&lt;'Sollecitazioni nel paramento'!$G$58,ABS(N2088)*'Sollecitazioni nel paramento'!$G$54,'Sollecitazioni nel paramento'!$G$53)*IF(N2088&lt;0,-1,1)</f>
        <v>398299.31208121032</v>
      </c>
      <c r="U2088" s="545">
        <f>'Foglio deposito bis'!$F$82*IF(ABS(O2088)&lt;'Sollecitazioni nel paramento'!$G$58,ABS(O2088)*'Sollecitazioni nel paramento'!$G$54,'Sollecitazioni nel paramento'!$G$53)*IF(O2088&lt;0,-1,1)</f>
        <v>892485.49558937876</v>
      </c>
      <c r="V2088" s="472">
        <f t="shared" si="146"/>
        <v>-520895.9481762799</v>
      </c>
      <c r="W2088" s="551"/>
      <c r="X2088" s="551"/>
    </row>
    <row r="2089" spans="1:24" x14ac:dyDescent="0.25">
      <c r="A2089" s="545">
        <f t="shared" si="145"/>
        <v>543278.11673385859</v>
      </c>
      <c r="B2089" s="3">
        <f t="shared" si="147"/>
        <v>4.9999999999999902</v>
      </c>
      <c r="C2089" s="545">
        <f>'Foglio deposito bis'!$E$161/sezione!$B$247*B2089</f>
        <v>49.684883636756844</v>
      </c>
      <c r="D2089" s="603">
        <f>-'Sollecitazioni nel paramento'!$G$47*'Sollecitazioni nel paramento'!$G$41*IF(DATI!$G$211="dx",DATI!$E$61,DATI!$E$64*DATI!$E$63)*1000*C2089^2*sezione!$AD$5*(1-sezione!$AD$6)</f>
        <v>-54922737.948937997</v>
      </c>
      <c r="E2089" s="545">
        <f>-'Foglio deposito bis'!$F$78*(C2089-sezione!$AL$35)*IF(ABS(K2089)&lt;'Sollecitazioni nel paramento'!$G$58,ABS(K2089)*'Sollecitazioni nel paramento'!$G$54,'Sollecitazioni nel paramento'!$G$53)</f>
        <v>0</v>
      </c>
      <c r="F2089" s="545">
        <f>-'Foglio deposito bis'!$F$79*(C2089-sezione!$AM$35)*IF(ABS(L2089)&lt;'Sollecitazioni nel paramento'!$G$58,ABS(L2089)*'Sollecitazioni nel paramento'!$G$54,'Sollecitazioni nel paramento'!$G$53)</f>
        <v>606344.07268921554</v>
      </c>
      <c r="G2089" s="545">
        <f>-'Foglio deposito bis'!$F$80*(C2089-sezione!$AN$35)*IF(ABS(M2089)&lt;'Sollecitazioni nel paramento'!$G$58,ABS(M2089)*'Sollecitazioni nel paramento'!$G$54,'Sollecitazioni nel paramento'!$G$53)</f>
        <v>0</v>
      </c>
      <c r="H2089" s="545">
        <f>-'Foglio deposito bis'!$F$81*(C2089-sezione!$AO$35)*IF(ABS(N2089)&lt;'Sollecitazioni nel paramento'!$G$58,ABS(N2089)*'Sollecitazioni nel paramento'!$G$54,'Sollecitazioni nel paramento'!$G$53)</f>
        <v>43938434.959638417</v>
      </c>
      <c r="I2089" s="472">
        <f>-'Foglio deposito bis'!$F$82*(C2089-sezione!$AP$35)*IF(ABS(O2089)&lt;'Sollecitazioni nel paramento'!$G$58,ABS(O2089)*'Sollecitazioni nel paramento'!$G$54,'Sollecitazioni nel paramento'!$G$53)</f>
        <v>575347643.75926006</v>
      </c>
      <c r="J2089" s="472">
        <f t="shared" si="144"/>
        <v>564969684.8426497</v>
      </c>
      <c r="K2089" s="550">
        <f>'Sollecitazioni nel paramento'!$G$60*(sezione!$AL$35-C2089)/C2089</f>
        <v>-6.8224156418415988E-4</v>
      </c>
      <c r="L2089" s="550">
        <f>'Sollecitazioni nel paramento'!$G$60*(sezione!$AM$35-C2089)/C2089</f>
        <v>7.2663765372376038E-4</v>
      </c>
      <c r="M2089" s="551">
        <f>'Sollecitazioni nel paramento'!$G$60*(sezione!$AN$35-C2089)/C2089</f>
        <v>2.1355168716316805E-3</v>
      </c>
      <c r="N2089" s="551">
        <f>'Sollecitazioni nel paramento'!$G$60*(sezione!$AO$35-C2089)/C2089</f>
        <v>7.7710337432633624E-3</v>
      </c>
      <c r="O2089" s="551">
        <f>'Sollecitazioni nel paramento'!$G$60*(sezione!$AP$35-C2089)/C2089</f>
        <v>4.5412241564184226E-2</v>
      </c>
      <c r="P2089" s="545">
        <f>-'Sollecitazioni nel paramento'!$G$47*'Sollecitazioni nel paramento'!$G$41*IF(DATI!$G$211="dx",DATI!$E$61,DATI!$E$64*DATI!$E$63)*1000*C2089*sezione!$AD$5</f>
        <v>-1892845.0119095251</v>
      </c>
      <c r="Q2089" s="545">
        <f>'Foglio deposito bis'!$F$78*IF(ABS(K2089)&lt;'Sollecitazioni nel paramento'!$G$58,ABS(K2089)*'Sollecitazioni nel paramento'!$G$54,'Sollecitazioni nel paramento'!$G$53)*IF(K2089&lt;0,-1,1)</f>
        <v>0</v>
      </c>
      <c r="R2089" s="545">
        <f>'Foglio deposito bis'!$F$79*IF(ABS(L2089)&lt;'Sollecitazioni nel paramento'!$G$58,ABS(L2089)*'Sollecitazioni nel paramento'!$G$54,'Sollecitazioni nel paramento'!$G$53)*IF(L2089&lt;0,-1,1)</f>
        <v>58782.087505077448</v>
      </c>
      <c r="S2089" s="545">
        <f>'Foglio deposito bis'!$F$80*IF(ABS(M2089)&lt;'Sollecitazioni nel paramento'!$G$58,ABS(M2089)*'Sollecitazioni nel paramento'!$G$54,'Sollecitazioni nel paramento'!$G$53)*IF(M2089&lt;0,-1,1)</f>
        <v>0</v>
      </c>
      <c r="T2089" s="545">
        <f>'Foglio deposito bis'!$F$81*IF(ABS(N2089)&lt;'Sollecitazioni nel paramento'!$G$58,ABS(N2089)*'Sollecitazioni nel paramento'!$G$54,'Sollecitazioni nel paramento'!$G$53)*IF(N2089&lt;0,-1,1)</f>
        <v>398299.31208121032</v>
      </c>
      <c r="U2089" s="545">
        <f>'Foglio deposito bis'!$F$82*IF(ABS(O2089)&lt;'Sollecitazioni nel paramento'!$G$58,ABS(O2089)*'Sollecitazioni nel paramento'!$G$54,'Sollecitazioni nel paramento'!$G$53)*IF(O2089&lt;0,-1,1)</f>
        <v>892485.49558937876</v>
      </c>
      <c r="V2089" s="472">
        <f t="shared" si="146"/>
        <v>-543278.11673385859</v>
      </c>
      <c r="W2089" s="551"/>
      <c r="X2089" s="551"/>
    </row>
    <row r="2090" spans="1:24" x14ac:dyDescent="0.25">
      <c r="A2090" s="545">
        <f t="shared" si="145"/>
        <v>565591.8948273086</v>
      </c>
      <c r="B2090" s="3">
        <f t="shared" si="147"/>
        <v>5.0499999999999901</v>
      </c>
      <c r="C2090" s="545">
        <f>'Foglio deposito bis'!$E$161/sezione!$B$247*B2090</f>
        <v>50.181732473124406</v>
      </c>
      <c r="D2090" s="603">
        <f>-'Sollecitazioni nel paramento'!$G$47*'Sollecitazioni nel paramento'!$G$41*IF(DATI!$G$211="dx",DATI!$E$61,DATI!$E$64*DATI!$E$63)*1000*C2090^2*sezione!$AD$5*(1-sezione!$AD$6)</f>
        <v>-56026684.981711626</v>
      </c>
      <c r="E2090" s="545">
        <f>-'Foglio deposito bis'!$F$78*(C2090-sezione!$AL$35)*IF(ABS(K2090)&lt;'Sollecitazioni nel paramento'!$G$58,ABS(K2090)*'Sollecitazioni nel paramento'!$G$54,'Sollecitazioni nel paramento'!$G$53)</f>
        <v>0</v>
      </c>
      <c r="F2090" s="545">
        <f>-'Foglio deposito bis'!$F$79*(C2090-sezione!$AM$35)*IF(ABS(L2090)&lt;'Sollecitazioni nel paramento'!$G$58,ABS(L2090)*'Sollecitazioni nel paramento'!$G$54,'Sollecitazioni nel paramento'!$G$53)</f>
        <v>543900.20519462845</v>
      </c>
      <c r="G2090" s="545">
        <f>-'Foglio deposito bis'!$F$80*(C2090-sezione!$AN$35)*IF(ABS(M2090)&lt;'Sollecitazioni nel paramento'!$G$58,ABS(M2090)*'Sollecitazioni nel paramento'!$G$54,'Sollecitazioni nel paramento'!$G$53)</f>
        <v>0</v>
      </c>
      <c r="H2090" s="545">
        <f>-'Foglio deposito bis'!$F$81*(C2090-sezione!$AO$35)*IF(ABS(N2090)&lt;'Sollecitazioni nel paramento'!$G$58,ABS(N2090)*'Sollecitazioni nel paramento'!$G$54,'Sollecitazioni nel paramento'!$G$53)</f>
        <v>43740540.40990486</v>
      </c>
      <c r="I2090" s="472">
        <f>-'Foglio deposito bis'!$F$82*(C2090-sezione!$AP$35)*IF(ABS(O2090)&lt;'Sollecitazioni nel paramento'!$G$58,ABS(O2090)*'Sollecitazioni nel paramento'!$G$54,'Sollecitazioni nel paramento'!$G$53)</f>
        <v>574904213.37930143</v>
      </c>
      <c r="J2090" s="472">
        <f t="shared" si="144"/>
        <v>563161969.01268935</v>
      </c>
      <c r="K2090" s="550">
        <f>'Sollecitazioni nel paramento'!$G$60*(sezione!$AL$35-C2090)/C2090</f>
        <v>-7.1014016255857364E-4</v>
      </c>
      <c r="L2090" s="550">
        <f>'Sollecitazioni nel paramento'!$G$60*(sezione!$AM$35-C2090)/C2090</f>
        <v>6.8478975616213951E-4</v>
      </c>
      <c r="M2090" s="551">
        <f>'Sollecitazioni nel paramento'!$G$60*(sezione!$AN$35-C2090)/C2090</f>
        <v>2.079719674882853E-3</v>
      </c>
      <c r="N2090" s="551">
        <f>'Sollecitazioni nel paramento'!$G$60*(sezione!$AO$35-C2090)/C2090</f>
        <v>7.6594393497657056E-3</v>
      </c>
      <c r="O2090" s="551">
        <f>'Sollecitazioni nel paramento'!$G$60*(sezione!$AP$35-C2090)/C2090</f>
        <v>4.4927961944736867E-2</v>
      </c>
      <c r="P2090" s="545">
        <f>-'Sollecitazioni nel paramento'!$G$47*'Sollecitazioni nel paramento'!$G$41*IF(DATI!$G$211="dx",DATI!$E$61,DATI!$E$64*DATI!$E$63)*1000*C2090*sezione!$AD$5</f>
        <v>-1911773.4620286201</v>
      </c>
      <c r="Q2090" s="545">
        <f>'Foglio deposito bis'!$F$78*IF(ABS(K2090)&lt;'Sollecitazioni nel paramento'!$G$58,ABS(K2090)*'Sollecitazioni nel paramento'!$G$54,'Sollecitazioni nel paramento'!$G$53)*IF(K2090&lt;0,-1,1)</f>
        <v>0</v>
      </c>
      <c r="R2090" s="545">
        <f>'Foglio deposito bis'!$F$79*IF(ABS(L2090)&lt;'Sollecitazioni nel paramento'!$G$58,ABS(L2090)*'Sollecitazioni nel paramento'!$G$54,'Sollecitazioni nel paramento'!$G$53)*IF(L2090&lt;0,-1,1)</f>
        <v>55396.759530722469</v>
      </c>
      <c r="S2090" s="545">
        <f>'Foglio deposito bis'!$F$80*IF(ABS(M2090)&lt;'Sollecitazioni nel paramento'!$G$58,ABS(M2090)*'Sollecitazioni nel paramento'!$G$54,'Sollecitazioni nel paramento'!$G$53)*IF(M2090&lt;0,-1,1)</f>
        <v>0</v>
      </c>
      <c r="T2090" s="545">
        <f>'Foglio deposito bis'!$F$81*IF(ABS(N2090)&lt;'Sollecitazioni nel paramento'!$G$58,ABS(N2090)*'Sollecitazioni nel paramento'!$G$54,'Sollecitazioni nel paramento'!$G$53)*IF(N2090&lt;0,-1,1)</f>
        <v>398299.31208121032</v>
      </c>
      <c r="U2090" s="545">
        <f>'Foglio deposito bis'!$F$82*IF(ABS(O2090)&lt;'Sollecitazioni nel paramento'!$G$58,ABS(O2090)*'Sollecitazioni nel paramento'!$G$54,'Sollecitazioni nel paramento'!$G$53)*IF(O2090&lt;0,-1,1)</f>
        <v>892485.49558937876</v>
      </c>
      <c r="V2090" s="472">
        <f t="shared" si="146"/>
        <v>-565591.8948273086</v>
      </c>
      <c r="W2090" s="551"/>
      <c r="X2090" s="551"/>
    </row>
    <row r="2091" spans="1:24" x14ac:dyDescent="0.25">
      <c r="A2091" s="545">
        <f t="shared" si="145"/>
        <v>587839.29394086963</v>
      </c>
      <c r="B2091" s="3">
        <f t="shared" si="147"/>
        <v>5.0999999999999899</v>
      </c>
      <c r="C2091" s="545">
        <f>'Foglio deposito bis'!$E$161/sezione!$B$247*B2091</f>
        <v>50.678581309491975</v>
      </c>
      <c r="D2091" s="603">
        <f>-'Sollecitazioni nel paramento'!$G$47*'Sollecitazioni nel paramento'!$G$41*IF(DATI!$G$211="dx",DATI!$E$61,DATI!$E$64*DATI!$E$63)*1000*C2091^2*sezione!$AD$5*(1-sezione!$AD$6)</f>
        <v>-57141616.562075064</v>
      </c>
      <c r="E2091" s="545">
        <f>-'Foglio deposito bis'!$F$78*(C2091-sezione!$AL$35)*IF(ABS(K2091)&lt;'Sollecitazioni nel paramento'!$G$58,ABS(K2091)*'Sollecitazioni nel paramento'!$G$54,'Sollecitazioni nel paramento'!$G$53)</f>
        <v>0</v>
      </c>
      <c r="F2091" s="545">
        <f>-'Foglio deposito bis'!$F$79*(C2091-sezione!$AM$35)*IF(ABS(L2091)&lt;'Sollecitazioni nel paramento'!$G$58,ABS(L2091)*'Sollecitazioni nel paramento'!$G$54,'Sollecitazioni nel paramento'!$G$53)</f>
        <v>485439.07649339945</v>
      </c>
      <c r="G2091" s="545">
        <f>-'Foglio deposito bis'!$F$80*(C2091-sezione!$AN$35)*IF(ABS(M2091)&lt;'Sollecitazioni nel paramento'!$G$58,ABS(M2091)*'Sollecitazioni nel paramento'!$G$54,'Sollecitazioni nel paramento'!$G$53)</f>
        <v>0</v>
      </c>
      <c r="H2091" s="545">
        <f>-'Foglio deposito bis'!$F$81*(C2091-sezione!$AO$35)*IF(ABS(N2091)&lt;'Sollecitazioni nel paramento'!$G$58,ABS(N2091)*'Sollecitazioni nel paramento'!$G$54,'Sollecitazioni nel paramento'!$G$53)</f>
        <v>43542645.860171318</v>
      </c>
      <c r="I2091" s="472">
        <f>-'Foglio deposito bis'!$F$82*(C2091-sezione!$AP$35)*IF(ABS(O2091)&lt;'Sollecitazioni nel paramento'!$G$58,ABS(O2091)*'Sollecitazioni nel paramento'!$G$54,'Sollecitazioni nel paramento'!$G$53)</f>
        <v>574460782.99934304</v>
      </c>
      <c r="J2091" s="472">
        <f t="shared" si="144"/>
        <v>561347251.37393272</v>
      </c>
      <c r="K2091" s="550">
        <f>'Sollecitazioni nel paramento'!$G$60*(sezione!$AL$35-C2091)/C2091</f>
        <v>-7.3749172959231316E-4</v>
      </c>
      <c r="L2091" s="550">
        <f>'Sollecitazioni nel paramento'!$G$60*(sezione!$AM$35-C2091)/C2091</f>
        <v>6.4376240561153024E-4</v>
      </c>
      <c r="M2091" s="551">
        <f>'Sollecitazioni nel paramento'!$G$60*(sezione!$AN$35-C2091)/C2091</f>
        <v>2.025016540815374E-3</v>
      </c>
      <c r="N2091" s="551">
        <f>'Sollecitazioni nel paramento'!$G$60*(sezione!$AO$35-C2091)/C2091</f>
        <v>7.5500330816307476E-3</v>
      </c>
      <c r="O2091" s="551">
        <f>'Sollecitazioni nel paramento'!$G$60*(sezione!$AP$35-C2091)/C2091</f>
        <v>4.4453178004102187E-2</v>
      </c>
      <c r="P2091" s="545">
        <f>-'Sollecitazioni nel paramento'!$G$47*'Sollecitazioni nel paramento'!$G$41*IF(DATI!$G$211="dx",DATI!$E$61,DATI!$E$64*DATI!$E$63)*1000*C2091*sezione!$AD$5</f>
        <v>-1930701.9121477155</v>
      </c>
      <c r="Q2091" s="545">
        <f>'Foglio deposito bis'!$F$78*IF(ABS(K2091)&lt;'Sollecitazioni nel paramento'!$G$58,ABS(K2091)*'Sollecitazioni nel paramento'!$G$54,'Sollecitazioni nel paramento'!$G$53)*IF(K2091&lt;0,-1,1)</f>
        <v>0</v>
      </c>
      <c r="R2091" s="545">
        <f>'Foglio deposito bis'!$F$79*IF(ABS(L2091)&lt;'Sollecitazioni nel paramento'!$G$58,ABS(L2091)*'Sollecitazioni nel paramento'!$G$54,'Sollecitazioni nel paramento'!$G$53)*IF(L2091&lt;0,-1,1)</f>
        <v>52077.810536256758</v>
      </c>
      <c r="S2091" s="545">
        <f>'Foglio deposito bis'!$F$80*IF(ABS(M2091)&lt;'Sollecitazioni nel paramento'!$G$58,ABS(M2091)*'Sollecitazioni nel paramento'!$G$54,'Sollecitazioni nel paramento'!$G$53)*IF(M2091&lt;0,-1,1)</f>
        <v>0</v>
      </c>
      <c r="T2091" s="545">
        <f>'Foglio deposito bis'!$F$81*IF(ABS(N2091)&lt;'Sollecitazioni nel paramento'!$G$58,ABS(N2091)*'Sollecitazioni nel paramento'!$G$54,'Sollecitazioni nel paramento'!$G$53)*IF(N2091&lt;0,-1,1)</f>
        <v>398299.31208121032</v>
      </c>
      <c r="U2091" s="545">
        <f>'Foglio deposito bis'!$F$82*IF(ABS(O2091)&lt;'Sollecitazioni nel paramento'!$G$58,ABS(O2091)*'Sollecitazioni nel paramento'!$G$54,'Sollecitazioni nel paramento'!$G$53)*IF(O2091&lt;0,-1,1)</f>
        <v>892485.49558937876</v>
      </c>
      <c r="V2091" s="472">
        <f t="shared" si="146"/>
        <v>-587839.29394086963</v>
      </c>
      <c r="W2091" s="551"/>
      <c r="X2091" s="551"/>
    </row>
    <row r="2092" spans="1:24" x14ac:dyDescent="0.25">
      <c r="A2092" s="545">
        <f t="shared" si="145"/>
        <v>676202.67360370513</v>
      </c>
      <c r="B2092" s="3">
        <f>B2091+0.2</f>
        <v>5.2999999999999901</v>
      </c>
      <c r="C2092" s="545">
        <f>'Foglio deposito bis'!$E$161/sezione!$B$247*B2092</f>
        <v>52.665976654962257</v>
      </c>
      <c r="D2092" s="603">
        <f>-'Sollecitazioni nel paramento'!$G$47*'Sollecitazioni nel paramento'!$G$41*IF(DATI!$G$211="dx",DATI!$E$61,DATI!$E$64*DATI!$E$63)*1000*C2092^2*sezione!$AD$5*(1-sezione!$AD$6)</f>
        <v>-61711188.359426729</v>
      </c>
      <c r="E2092" s="545">
        <f>-'Foglio deposito bis'!$F$78*(C2092-sezione!$AL$35)*IF(ABS(K2092)&lt;'Sollecitazioni nel paramento'!$G$58,ABS(K2092)*'Sollecitazioni nel paramento'!$G$54,'Sollecitazioni nel paramento'!$G$53)</f>
        <v>0</v>
      </c>
      <c r="F2092" s="545">
        <f>-'Foglio deposito bis'!$F$79*(C2092-sezione!$AM$35)*IF(ABS(L2092)&lt;'Sollecitazioni nel paramento'!$G$58,ABS(L2092)*'Sollecitazioni nel paramento'!$G$54,'Sollecitazioni nel paramento'!$G$53)</f>
        <v>289167.56917300035</v>
      </c>
      <c r="G2092" s="545">
        <f>-'Foglio deposito bis'!$F$80*(C2092-sezione!$AN$35)*IF(ABS(M2092)&lt;'Sollecitazioni nel paramento'!$G$58,ABS(M2092)*'Sollecitazioni nel paramento'!$G$54,'Sollecitazioni nel paramento'!$G$53)</f>
        <v>0</v>
      </c>
      <c r="H2092" s="545">
        <f>-'Foglio deposito bis'!$F$81*(C2092-sezione!$AO$35)*IF(ABS(N2092)&lt;'Sollecitazioni nel paramento'!$G$58,ABS(N2092)*'Sollecitazioni nel paramento'!$G$54,'Sollecitazioni nel paramento'!$G$53)</f>
        <v>42751067.661237098</v>
      </c>
      <c r="I2092" s="472">
        <f>-'Foglio deposito bis'!$F$82*(C2092-sezione!$AP$35)*IF(ABS(O2092)&lt;'Sollecitazioni nel paramento'!$G$58,ABS(O2092)*'Sollecitazioni nel paramento'!$G$54,'Sollecitazioni nel paramento'!$G$53)</f>
        <v>572687061.47950888</v>
      </c>
      <c r="J2092" s="472">
        <f t="shared" si="144"/>
        <v>554016108.35049224</v>
      </c>
      <c r="K2092" s="550">
        <f>'Sollecitazioni nel paramento'!$G$60*(sezione!$AL$35-C2092)/C2092</f>
        <v>-8.4173732470203778E-4</v>
      </c>
      <c r="L2092" s="550">
        <f>'Sollecitazioni nel paramento'!$G$60*(sezione!$AM$35-C2092)/C2092</f>
        <v>4.8739401294694347E-4</v>
      </c>
      <c r="M2092" s="551">
        <f>'Sollecitazioni nel paramento'!$G$60*(sezione!$AN$35-C2092)/C2092</f>
        <v>1.8165253505959245E-3</v>
      </c>
      <c r="N2092" s="551">
        <f>'Sollecitazioni nel paramento'!$G$60*(sezione!$AO$35-C2092)/C2092</f>
        <v>7.1330507011918487E-3</v>
      </c>
      <c r="O2092" s="551">
        <f>'Sollecitazioni nel paramento'!$G$60*(sezione!$AP$35-C2092)/C2092</f>
        <v>4.264362411715493E-2</v>
      </c>
      <c r="P2092" s="545">
        <f>-'Sollecitazioni nel paramento'!$G$47*'Sollecitazioni nel paramento'!$G$41*IF(DATI!$G$211="dx",DATI!$E$61,DATI!$E$64*DATI!$E$63)*1000*C2092*sezione!$AD$5</f>
        <v>-2006415.7126240968</v>
      </c>
      <c r="Q2092" s="545">
        <f>'Foglio deposito bis'!$F$78*IF(ABS(K2092)&lt;'Sollecitazioni nel paramento'!$G$58,ABS(K2092)*'Sollecitazioni nel paramento'!$G$54,'Sollecitazioni nel paramento'!$G$53)*IF(K2092&lt;0,-1,1)</f>
        <v>0</v>
      </c>
      <c r="R2092" s="545">
        <f>'Foglio deposito bis'!$F$79*IF(ABS(L2092)&lt;'Sollecitazioni nel paramento'!$G$58,ABS(L2092)*'Sollecitazioni nel paramento'!$G$54,'Sollecitazioni nel paramento'!$G$53)*IF(L2092&lt;0,-1,1)</f>
        <v>39428.231349802474</v>
      </c>
      <c r="S2092" s="545">
        <f>'Foglio deposito bis'!$F$80*IF(ABS(M2092)&lt;'Sollecitazioni nel paramento'!$G$58,ABS(M2092)*'Sollecitazioni nel paramento'!$G$54,'Sollecitazioni nel paramento'!$G$53)*IF(M2092&lt;0,-1,1)</f>
        <v>0</v>
      </c>
      <c r="T2092" s="545">
        <f>'Foglio deposito bis'!$F$81*IF(ABS(N2092)&lt;'Sollecitazioni nel paramento'!$G$58,ABS(N2092)*'Sollecitazioni nel paramento'!$G$54,'Sollecitazioni nel paramento'!$G$53)*IF(N2092&lt;0,-1,1)</f>
        <v>398299.31208121032</v>
      </c>
      <c r="U2092" s="545">
        <f>'Foglio deposito bis'!$F$82*IF(ABS(O2092)&lt;'Sollecitazioni nel paramento'!$G$58,ABS(O2092)*'Sollecitazioni nel paramento'!$G$54,'Sollecitazioni nel paramento'!$G$53)*IF(O2092&lt;0,-1,1)</f>
        <v>892485.49558937876</v>
      </c>
      <c r="V2092" s="472">
        <f t="shared" si="146"/>
        <v>-676202.67360370513</v>
      </c>
      <c r="W2092" s="551"/>
      <c r="X2092" s="551"/>
    </row>
    <row r="2093" spans="1:24" x14ac:dyDescent="0.25">
      <c r="A2093" s="545">
        <f t="shared" si="145"/>
        <v>763646.08387116203</v>
      </c>
      <c r="B2093" s="3">
        <f t="shared" ref="B2093:B2156" si="148">B2092+0.2</f>
        <v>5.4999999999999902</v>
      </c>
      <c r="C2093" s="545">
        <f>'Foglio deposito bis'!$E$161/sezione!$B$247*B2093</f>
        <v>54.653372000432533</v>
      </c>
      <c r="D2093" s="603">
        <f>-'Sollecitazioni nel paramento'!$G$47*'Sollecitazioni nel paramento'!$G$41*IF(DATI!$G$211="dx",DATI!$E$61,DATI!$E$64*DATI!$E$63)*1000*C2093^2*sezione!$AD$5*(1-sezione!$AD$6)</f>
        <v>-66456512.918214969</v>
      </c>
      <c r="E2093" s="545">
        <f>-'Foglio deposito bis'!$F$78*(C2093-sezione!$AL$35)*IF(ABS(K2093)&lt;'Sollecitazioni nel paramento'!$G$58,ABS(K2093)*'Sollecitazioni nel paramento'!$G$54,'Sollecitazioni nel paramento'!$G$53)</f>
        <v>0</v>
      </c>
      <c r="F2093" s="545">
        <f>-'Foglio deposito bis'!$F$79*(C2093-sezione!$AM$35)*IF(ABS(L2093)&lt;'Sollecitazioni nel paramento'!$G$58,ABS(L2093)*'Sollecitazioni nel paramento'!$G$54,'Sollecitazioni nel paramento'!$G$53)</f>
        <v>148094.22557531143</v>
      </c>
      <c r="G2093" s="545">
        <f>-'Foglio deposito bis'!$F$80*(C2093-sezione!$AN$35)*IF(ABS(M2093)&lt;'Sollecitazioni nel paramento'!$G$58,ABS(M2093)*'Sollecitazioni nel paramento'!$G$54,'Sollecitazioni nel paramento'!$G$53)</f>
        <v>0</v>
      </c>
      <c r="H2093" s="545">
        <f>-'Foglio deposito bis'!$F$81*(C2093-sezione!$AO$35)*IF(ABS(N2093)&lt;'Sollecitazioni nel paramento'!$G$58,ABS(N2093)*'Sollecitazioni nel paramento'!$G$54,'Sollecitazioni nel paramento'!$G$53)</f>
        <v>41959489.462302886</v>
      </c>
      <c r="I2093" s="472">
        <f>-'Foglio deposito bis'!$F$82*(C2093-sezione!$AP$35)*IF(ABS(O2093)&lt;'Sollecitazioni nel paramento'!$G$58,ABS(O2093)*'Sollecitazioni nel paramento'!$G$54,'Sollecitazioni nel paramento'!$G$53)</f>
        <v>570913339.95967484</v>
      </c>
      <c r="J2093" s="472">
        <f t="shared" si="144"/>
        <v>546564410.72933805</v>
      </c>
      <c r="K2093" s="550">
        <f>'Sollecitazioni nel paramento'!$G$60*(sezione!$AL$35-C2093)/C2093</f>
        <v>-9.3840142198559995E-4</v>
      </c>
      <c r="L2093" s="550">
        <f>'Sollecitazioni nel paramento'!$G$60*(sezione!$AM$35-C2093)/C2093</f>
        <v>3.423978670216E-4</v>
      </c>
      <c r="M2093" s="551">
        <f>'Sollecitazioni nel paramento'!$G$60*(sezione!$AN$35-C2093)/C2093</f>
        <v>1.6231971560288E-3</v>
      </c>
      <c r="N2093" s="551">
        <f>'Sollecitazioni nel paramento'!$G$60*(sezione!$AO$35-C2093)/C2093</f>
        <v>6.7463943120575996E-3</v>
      </c>
      <c r="O2093" s="551">
        <f>'Sollecitazioni nel paramento'!$G$60*(sezione!$AP$35-C2093)/C2093</f>
        <v>4.0965674149258377E-2</v>
      </c>
      <c r="P2093" s="545">
        <f>-'Sollecitazioni nel paramento'!$G$47*'Sollecitazioni nel paramento'!$G$41*IF(DATI!$G$211="dx",DATI!$E$61,DATI!$E$64*DATI!$E$63)*1000*C2093*sezione!$AD$5</f>
        <v>-2082129.5131004779</v>
      </c>
      <c r="Q2093" s="545">
        <f>'Foglio deposito bis'!$F$78*IF(ABS(K2093)&lt;'Sollecitazioni nel paramento'!$G$58,ABS(K2093)*'Sollecitazioni nel paramento'!$G$54,'Sollecitazioni nel paramento'!$G$53)*IF(K2093&lt;0,-1,1)</f>
        <v>0</v>
      </c>
      <c r="R2093" s="545">
        <f>'Foglio deposito bis'!$F$79*IF(ABS(L2093)&lt;'Sollecitazioni nel paramento'!$G$58,ABS(L2093)*'Sollecitazioni nel paramento'!$G$54,'Sollecitazioni nel paramento'!$G$53)*IF(L2093&lt;0,-1,1)</f>
        <v>27698.62155872674</v>
      </c>
      <c r="S2093" s="545">
        <f>'Foglio deposito bis'!$F$80*IF(ABS(M2093)&lt;'Sollecitazioni nel paramento'!$G$58,ABS(M2093)*'Sollecitazioni nel paramento'!$G$54,'Sollecitazioni nel paramento'!$G$53)*IF(M2093&lt;0,-1,1)</f>
        <v>0</v>
      </c>
      <c r="T2093" s="545">
        <f>'Foglio deposito bis'!$F$81*IF(ABS(N2093)&lt;'Sollecitazioni nel paramento'!$G$58,ABS(N2093)*'Sollecitazioni nel paramento'!$G$54,'Sollecitazioni nel paramento'!$G$53)*IF(N2093&lt;0,-1,1)</f>
        <v>398299.31208121032</v>
      </c>
      <c r="U2093" s="545">
        <f>'Foglio deposito bis'!$F$82*IF(ABS(O2093)&lt;'Sollecitazioni nel paramento'!$G$58,ABS(O2093)*'Sollecitazioni nel paramento'!$G$54,'Sollecitazioni nel paramento'!$G$53)*IF(O2093&lt;0,-1,1)</f>
        <v>892485.49558937876</v>
      </c>
      <c r="V2093" s="472">
        <f t="shared" si="146"/>
        <v>-763646.08387116203</v>
      </c>
      <c r="W2093" s="551"/>
      <c r="X2093" s="551"/>
    </row>
    <row r="2094" spans="1:24" x14ac:dyDescent="0.25">
      <c r="A2094" s="545">
        <f t="shared" si="145"/>
        <v>850266.36362696486</v>
      </c>
      <c r="B2094" s="3">
        <f t="shared" si="148"/>
        <v>5.6999999999999904</v>
      </c>
      <c r="C2094" s="545">
        <f>'Foglio deposito bis'!$E$161/sezione!$B$247*B2094</f>
        <v>56.640767345902816</v>
      </c>
      <c r="D2094" s="603">
        <f>-'Sollecitazioni nel paramento'!$G$47*'Sollecitazioni nel paramento'!$G$41*IF(DATI!$G$211="dx",DATI!$E$61,DATI!$E$64*DATI!$E$63)*1000*C2094^2*sezione!$AD$5*(1-sezione!$AD$6)</f>
        <v>-71377590.238439858</v>
      </c>
      <c r="E2094" s="545">
        <f>-'Foglio deposito bis'!$F$78*(C2094-sezione!$AL$35)*IF(ABS(K2094)&lt;'Sollecitazioni nel paramento'!$G$58,ABS(K2094)*'Sollecitazioni nel paramento'!$G$54,'Sollecitazioni nel paramento'!$G$53)</f>
        <v>0</v>
      </c>
      <c r="F2094" s="545">
        <f>-'Foglio deposito bis'!$F$79*(C2094-sezione!$AM$35)*IF(ABS(L2094)&lt;'Sollecitazioni nel paramento'!$G$58,ABS(L2094)*'Sollecitazioni nel paramento'!$G$54,'Sollecitazioni nel paramento'!$G$53)</f>
        <v>56408.712676888608</v>
      </c>
      <c r="G2094" s="545">
        <f>-'Foglio deposito bis'!$F$80*(C2094-sezione!$AN$35)*IF(ABS(M2094)&lt;'Sollecitazioni nel paramento'!$G$58,ABS(M2094)*'Sollecitazioni nel paramento'!$G$54,'Sollecitazioni nel paramento'!$G$53)</f>
        <v>0</v>
      </c>
      <c r="H2094" s="545">
        <f>-'Foglio deposito bis'!$F$81*(C2094-sezione!$AO$35)*IF(ABS(N2094)&lt;'Sollecitazioni nel paramento'!$G$58,ABS(N2094)*'Sollecitazioni nel paramento'!$G$54,'Sollecitazioni nel paramento'!$G$53)</f>
        <v>41167911.263368674</v>
      </c>
      <c r="I2094" s="472">
        <f>-'Foglio deposito bis'!$F$82*(C2094-sezione!$AP$35)*IF(ABS(O2094)&lt;'Sollecitazioni nel paramento'!$G$58,ABS(O2094)*'Sollecitazioni nel paramento'!$G$54,'Sollecitazioni nel paramento'!$G$53)</f>
        <v>569139618.43984079</v>
      </c>
      <c r="J2094" s="472">
        <f t="shared" si="144"/>
        <v>538986348.17744648</v>
      </c>
      <c r="K2094" s="550">
        <f>'Sollecitazioni nel paramento'!$G$60*(sezione!$AL$35-C2094)/C2094</f>
        <v>-1.0282820738457548E-3</v>
      </c>
      <c r="L2094" s="550">
        <f>'Sollecitazioni nel paramento'!$G$60*(sezione!$AM$35-C2094)/C2094</f>
        <v>2.075768892313678E-4</v>
      </c>
      <c r="M2094" s="551">
        <f>'Sollecitazioni nel paramento'!$G$60*(sezione!$AN$35-C2094)/C2094</f>
        <v>1.4434358523084906E-3</v>
      </c>
      <c r="N2094" s="551">
        <f>'Sollecitazioni nel paramento'!$G$60*(sezione!$AO$35-C2094)/C2094</f>
        <v>6.3868717046169808E-3</v>
      </c>
      <c r="O2094" s="551">
        <f>'Sollecitazioni nel paramento'!$G$60*(sezione!$AP$35-C2094)/C2094</f>
        <v>3.9405475056301938E-2</v>
      </c>
      <c r="P2094" s="545">
        <f>-'Sollecitazioni nel paramento'!$G$47*'Sollecitazioni nel paramento'!$G$41*IF(DATI!$G$211="dx",DATI!$E$61,DATI!$E$64*DATI!$E$63)*1000*C2094*sezione!$AD$5</f>
        <v>-2157843.3135768594</v>
      </c>
      <c r="Q2094" s="545">
        <f>'Foglio deposito bis'!$F$78*IF(ABS(K2094)&lt;'Sollecitazioni nel paramento'!$G$58,ABS(K2094)*'Sollecitazioni nel paramento'!$G$54,'Sollecitazioni nel paramento'!$G$53)*IF(K2094&lt;0,-1,1)</f>
        <v>0</v>
      </c>
      <c r="R2094" s="545">
        <f>'Foglio deposito bis'!$F$79*IF(ABS(L2094)&lt;'Sollecitazioni nel paramento'!$G$58,ABS(L2094)*'Sollecitazioni nel paramento'!$G$54,'Sollecitazioni nel paramento'!$G$53)*IF(L2094&lt;0,-1,1)</f>
        <v>16792.142279305397</v>
      </c>
      <c r="S2094" s="545">
        <f>'Foglio deposito bis'!$F$80*IF(ABS(M2094)&lt;'Sollecitazioni nel paramento'!$G$58,ABS(M2094)*'Sollecitazioni nel paramento'!$G$54,'Sollecitazioni nel paramento'!$G$53)*IF(M2094&lt;0,-1,1)</f>
        <v>0</v>
      </c>
      <c r="T2094" s="545">
        <f>'Foglio deposito bis'!$F$81*IF(ABS(N2094)&lt;'Sollecitazioni nel paramento'!$G$58,ABS(N2094)*'Sollecitazioni nel paramento'!$G$54,'Sollecitazioni nel paramento'!$G$53)*IF(N2094&lt;0,-1,1)</f>
        <v>398299.31208121032</v>
      </c>
      <c r="U2094" s="545">
        <f>'Foglio deposito bis'!$F$82*IF(ABS(O2094)&lt;'Sollecitazioni nel paramento'!$G$58,ABS(O2094)*'Sollecitazioni nel paramento'!$G$54,'Sollecitazioni nel paramento'!$G$53)*IF(O2094&lt;0,-1,1)</f>
        <v>892485.49558937876</v>
      </c>
      <c r="V2094" s="472">
        <f t="shared" si="146"/>
        <v>-850266.36362696486</v>
      </c>
      <c r="W2094" s="551"/>
      <c r="X2094" s="551"/>
    </row>
    <row r="2095" spans="1:24" x14ac:dyDescent="0.25">
      <c r="A2095" s="545">
        <f t="shared" si="145"/>
        <v>936147.22105873888</v>
      </c>
      <c r="B2095" s="3">
        <f t="shared" si="148"/>
        <v>5.8999999999999906</v>
      </c>
      <c r="C2095" s="545">
        <f>'Foglio deposito bis'!$E$161/sezione!$B$247*B2095</f>
        <v>58.628162691373092</v>
      </c>
      <c r="D2095" s="603">
        <f>-'Sollecitazioni nel paramento'!$G$47*'Sollecitazioni nel paramento'!$G$41*IF(DATI!$G$211="dx",DATI!$E$61,DATI!$E$64*DATI!$E$63)*1000*C2095^2*sezione!$AD$5*(1-sezione!$AD$6)</f>
        <v>-76474420.320101291</v>
      </c>
      <c r="E2095" s="545">
        <f>-'Foglio deposito bis'!$F$78*(C2095-sezione!$AL$35)*IF(ABS(K2095)&lt;'Sollecitazioni nel paramento'!$G$58,ABS(K2095)*'Sollecitazioni nel paramento'!$G$54,'Sollecitazioni nel paramento'!$G$53)</f>
        <v>0</v>
      </c>
      <c r="F2095" s="545">
        <f>-'Foglio deposito bis'!$F$79*(C2095-sezione!$AM$35)*IF(ABS(L2095)&lt;'Sollecitazioni nel paramento'!$G$58,ABS(L2095)*'Sollecitazioni nel paramento'!$G$54,'Sollecitazioni nel paramento'!$G$53)</f>
        <v>9088.539220179975</v>
      </c>
      <c r="G2095" s="545">
        <f>-'Foglio deposito bis'!$F$80*(C2095-sezione!$AN$35)*IF(ABS(M2095)&lt;'Sollecitazioni nel paramento'!$G$58,ABS(M2095)*'Sollecitazioni nel paramento'!$G$54,'Sollecitazioni nel paramento'!$G$53)</f>
        <v>0</v>
      </c>
      <c r="H2095" s="545">
        <f>-'Foglio deposito bis'!$F$81*(C2095-sezione!$AO$35)*IF(ABS(N2095)&lt;'Sollecitazioni nel paramento'!$G$58,ABS(N2095)*'Sollecitazioni nel paramento'!$G$54,'Sollecitazioni nel paramento'!$G$53)</f>
        <v>40376333.064434469</v>
      </c>
      <c r="I2095" s="472">
        <f>-'Foglio deposito bis'!$F$82*(C2095-sezione!$AP$35)*IF(ABS(O2095)&lt;'Sollecitazioni nel paramento'!$G$58,ABS(O2095)*'Sollecitazioni nel paramento'!$G$54,'Sollecitazioni nel paramento'!$G$53)</f>
        <v>567365896.92000675</v>
      </c>
      <c r="J2095" s="472">
        <f t="shared" si="144"/>
        <v>531276898.20356011</v>
      </c>
      <c r="K2095" s="550">
        <f>'Sollecitazioni nel paramento'!$G$60*(sezione!$AL$35-C2095)/C2095</f>
        <v>-1.1120691221899667E-3</v>
      </c>
      <c r="L2095" s="550">
        <f>'Sollecitazioni nel paramento'!$G$60*(sezione!$AM$35-C2095)/C2095</f>
        <v>8.1896316715050172E-5</v>
      </c>
      <c r="M2095" s="551">
        <f>'Sollecitazioni nel paramento'!$G$60*(sezione!$AN$35-C2095)/C2095</f>
        <v>1.275861755620067E-3</v>
      </c>
      <c r="N2095" s="551">
        <f>'Sollecitazioni nel paramento'!$G$60*(sezione!$AO$35-C2095)/C2095</f>
        <v>6.0517235112401337E-3</v>
      </c>
      <c r="O2095" s="551">
        <f>'Sollecitazioni nel paramento'!$G$60*(sezione!$AP$35-C2095)/C2095</f>
        <v>3.7951052173037465E-2</v>
      </c>
      <c r="P2095" s="545">
        <f>-'Sollecitazioni nel paramento'!$G$47*'Sollecitazioni nel paramento'!$G$41*IF(DATI!$G$211="dx",DATI!$E$61,DATI!$E$64*DATI!$E$63)*1000*C2095*sezione!$AD$5</f>
        <v>-2233557.1140532405</v>
      </c>
      <c r="Q2095" s="545">
        <f>'Foglio deposito bis'!$F$78*IF(ABS(K2095)&lt;'Sollecitazioni nel paramento'!$G$58,ABS(K2095)*'Sollecitazioni nel paramento'!$G$54,'Sollecitazioni nel paramento'!$G$53)*IF(K2095&lt;0,-1,1)</f>
        <v>0</v>
      </c>
      <c r="R2095" s="545">
        <f>'Foglio deposito bis'!$F$79*IF(ABS(L2095)&lt;'Sollecitazioni nel paramento'!$G$58,ABS(L2095)*'Sollecitazioni nel paramento'!$G$54,'Sollecitazioni nel paramento'!$G$53)*IF(L2095&lt;0,-1,1)</f>
        <v>6625.0853239126627</v>
      </c>
      <c r="S2095" s="545">
        <f>'Foglio deposito bis'!$F$80*IF(ABS(M2095)&lt;'Sollecitazioni nel paramento'!$G$58,ABS(M2095)*'Sollecitazioni nel paramento'!$G$54,'Sollecitazioni nel paramento'!$G$53)*IF(M2095&lt;0,-1,1)</f>
        <v>0</v>
      </c>
      <c r="T2095" s="545">
        <f>'Foglio deposito bis'!$F$81*IF(ABS(N2095)&lt;'Sollecitazioni nel paramento'!$G$58,ABS(N2095)*'Sollecitazioni nel paramento'!$G$54,'Sollecitazioni nel paramento'!$G$53)*IF(N2095&lt;0,-1,1)</f>
        <v>398299.31208121032</v>
      </c>
      <c r="U2095" s="545">
        <f>'Foglio deposito bis'!$F$82*IF(ABS(O2095)&lt;'Sollecitazioni nel paramento'!$G$58,ABS(O2095)*'Sollecitazioni nel paramento'!$G$54,'Sollecitazioni nel paramento'!$G$53)*IF(O2095&lt;0,-1,1)</f>
        <v>892485.49558937876</v>
      </c>
      <c r="V2095" s="472">
        <f t="shared" si="146"/>
        <v>-936147.22105873888</v>
      </c>
      <c r="W2095" s="551"/>
      <c r="X2095" s="551"/>
    </row>
    <row r="2096" spans="1:24" x14ac:dyDescent="0.25">
      <c r="A2096" s="545">
        <f t="shared" si="145"/>
        <v>1021361.3862311426</v>
      </c>
      <c r="B2096" s="3">
        <f t="shared" si="148"/>
        <v>6.0999999999999908</v>
      </c>
      <c r="C2096" s="545">
        <f>'Foglio deposito bis'!$E$161/sezione!$B$247*B2096</f>
        <v>60.615558036843375</v>
      </c>
      <c r="D2096" s="603">
        <f>-'Sollecitazioni nel paramento'!$G$47*'Sollecitazioni nel paramento'!$G$41*IF(DATI!$G$211="dx",DATI!$E$61,DATI!$E$64*DATI!$E$63)*1000*C2096^2*sezione!$AD$5*(1-sezione!$AD$6)</f>
        <v>-81747003.163199365</v>
      </c>
      <c r="E2096" s="545">
        <f>-'Foglio deposito bis'!$F$78*(C2096-sezione!$AL$35)*IF(ABS(K2096)&lt;'Sollecitazioni nel paramento'!$G$58,ABS(K2096)*'Sollecitazioni nel paramento'!$G$54,'Sollecitazioni nel paramento'!$G$53)</f>
        <v>0</v>
      </c>
      <c r="F2096" s="545">
        <f>-'Foglio deposito bis'!$F$79*(C2096-sezione!$AM$35)*IF(ABS(L2096)&lt;'Sollecitazioni nel paramento'!$G$58,ABS(L2096)*'Sollecitazioni nel paramento'!$G$54,'Sollecitazioni nel paramento'!$G$53)</f>
        <v>-1769.9013256723376</v>
      </c>
      <c r="G2096" s="545">
        <f>-'Foglio deposito bis'!$F$80*(C2096-sezione!$AN$35)*IF(ABS(M2096)&lt;'Sollecitazioni nel paramento'!$G$58,ABS(M2096)*'Sollecitazioni nel paramento'!$G$54,'Sollecitazioni nel paramento'!$G$53)</f>
        <v>0</v>
      </c>
      <c r="H2096" s="545">
        <f>-'Foglio deposito bis'!$F$81*(C2096-sezione!$AO$35)*IF(ABS(N2096)&lt;'Sollecitazioni nel paramento'!$G$58,ABS(N2096)*'Sollecitazioni nel paramento'!$G$54,'Sollecitazioni nel paramento'!$G$53)</f>
        <v>39584754.865500256</v>
      </c>
      <c r="I2096" s="472">
        <f>-'Foglio deposito bis'!$F$82*(C2096-sezione!$AP$35)*IF(ABS(O2096)&lt;'Sollecitazioni nel paramento'!$G$58,ABS(O2096)*'Sollecitazioni nel paramento'!$G$54,'Sollecitazioni nel paramento'!$G$53)</f>
        <v>565592175.40017259</v>
      </c>
      <c r="J2096" s="472">
        <f t="shared" si="144"/>
        <v>523428157.20114779</v>
      </c>
      <c r="K2096" s="550">
        <f>'Sollecitazioni nel paramento'!$G$60*(sezione!$AL$35-C2096)/C2096</f>
        <v>-1.1903619378558696E-3</v>
      </c>
      <c r="L2096" s="550">
        <f>'Sollecitazioni nel paramento'!$G$60*(sezione!$AM$35-C2096)/C2096</f>
        <v>-3.5542906783804422E-5</v>
      </c>
      <c r="M2096" s="551">
        <f>'Sollecitazioni nel paramento'!$G$60*(sezione!$AN$35-C2096)/C2096</f>
        <v>1.1192761242882607E-3</v>
      </c>
      <c r="N2096" s="551">
        <f>'Sollecitazioni nel paramento'!$G$60*(sezione!$AO$35-C2096)/C2096</f>
        <v>5.7385522485765223E-3</v>
      </c>
      <c r="O2096" s="551">
        <f>'Sollecitazioni nel paramento'!$G$60*(sezione!$AP$35-C2096)/C2096</f>
        <v>3.6592001282118203E-2</v>
      </c>
      <c r="P2096" s="545">
        <f>-'Sollecitazioni nel paramento'!$G$47*'Sollecitazioni nel paramento'!$G$41*IF(DATI!$G$211="dx",DATI!$E$61,DATI!$E$64*DATI!$E$63)*1000*C2096*sezione!$AD$5</f>
        <v>-2309270.9145296216</v>
      </c>
      <c r="Q2096" s="545">
        <f>'Foglio deposito bis'!$F$78*IF(ABS(K2096)&lt;'Sollecitazioni nel paramento'!$G$58,ABS(K2096)*'Sollecitazioni nel paramento'!$G$54,'Sollecitazioni nel paramento'!$G$53)*IF(K2096&lt;0,-1,1)</f>
        <v>0</v>
      </c>
      <c r="R2096" s="545">
        <f>'Foglio deposito bis'!$F$79*IF(ABS(L2096)&lt;'Sollecitazioni nel paramento'!$G$58,ABS(L2096)*'Sollecitazioni nel paramento'!$G$54,'Sollecitazioni nel paramento'!$G$53)*IF(L2096&lt;0,-1,1)</f>
        <v>-2875.2793721100898</v>
      </c>
      <c r="S2096" s="545">
        <f>'Foglio deposito bis'!$F$80*IF(ABS(M2096)&lt;'Sollecitazioni nel paramento'!$G$58,ABS(M2096)*'Sollecitazioni nel paramento'!$G$54,'Sollecitazioni nel paramento'!$G$53)*IF(M2096&lt;0,-1,1)</f>
        <v>0</v>
      </c>
      <c r="T2096" s="545">
        <f>'Foglio deposito bis'!$F$81*IF(ABS(N2096)&lt;'Sollecitazioni nel paramento'!$G$58,ABS(N2096)*'Sollecitazioni nel paramento'!$G$54,'Sollecitazioni nel paramento'!$G$53)*IF(N2096&lt;0,-1,1)</f>
        <v>398299.31208121032</v>
      </c>
      <c r="U2096" s="545">
        <f>'Foglio deposito bis'!$F$82*IF(ABS(O2096)&lt;'Sollecitazioni nel paramento'!$G$58,ABS(O2096)*'Sollecitazioni nel paramento'!$G$54,'Sollecitazioni nel paramento'!$G$53)*IF(O2096&lt;0,-1,1)</f>
        <v>892485.49558937876</v>
      </c>
      <c r="V2096" s="472">
        <f t="shared" si="146"/>
        <v>-1021361.3862311426</v>
      </c>
      <c r="W2096" s="551"/>
      <c r="X2096" s="551"/>
    </row>
    <row r="2097" spans="1:24" x14ac:dyDescent="0.25">
      <c r="A2097" s="545">
        <f t="shared" si="145"/>
        <v>1105972.3536450686</v>
      </c>
      <c r="B2097" s="3">
        <f t="shared" si="148"/>
        <v>6.2999999999999909</v>
      </c>
      <c r="C2097" s="545">
        <f>'Foglio deposito bis'!$E$161/sezione!$B$247*B2097</f>
        <v>62.60295338231365</v>
      </c>
      <c r="D2097" s="603">
        <f>-'Sollecitazioni nel paramento'!$G$47*'Sollecitazioni nel paramento'!$G$41*IF(DATI!$G$211="dx",DATI!$E$61,DATI!$E$64*DATI!$E$63)*1000*C2097^2*sezione!$AD$5*(1-sezione!$AD$6)</f>
        <v>-87195338.767734036</v>
      </c>
      <c r="E2097" s="545">
        <f>-'Foglio deposito bis'!$F$78*(C2097-sezione!$AL$35)*IF(ABS(K2097)&lt;'Sollecitazioni nel paramento'!$G$58,ABS(K2097)*'Sollecitazioni nel paramento'!$G$54,'Sollecitazioni nel paramento'!$G$53)</f>
        <v>0</v>
      </c>
      <c r="F2097" s="545">
        <f>-'Foglio deposito bis'!$F$79*(C2097-sezione!$AM$35)*IF(ABS(L2097)&lt;'Sollecitazioni nel paramento'!$G$58,ABS(L2097)*'Sollecitazioni nel paramento'!$G$54,'Sollecitazioni nel paramento'!$G$53)</f>
        <v>-30643.128939822793</v>
      </c>
      <c r="G2097" s="545">
        <f>-'Foglio deposito bis'!$F$80*(C2097-sezione!$AN$35)*IF(ABS(M2097)&lt;'Sollecitazioni nel paramento'!$G$58,ABS(M2097)*'Sollecitazioni nel paramento'!$G$54,'Sollecitazioni nel paramento'!$G$53)</f>
        <v>0</v>
      </c>
      <c r="H2097" s="545">
        <f>-'Foglio deposito bis'!$F$81*(C2097-sezione!$AO$35)*IF(ABS(N2097)&lt;'Sollecitazioni nel paramento'!$G$58,ABS(N2097)*'Sollecitazioni nel paramento'!$G$54,'Sollecitazioni nel paramento'!$G$53)</f>
        <v>38793176.666566044</v>
      </c>
      <c r="I2097" s="472">
        <f>-'Foglio deposito bis'!$F$82*(C2097-sezione!$AP$35)*IF(ABS(O2097)&lt;'Sollecitazioni nel paramento'!$G$58,ABS(O2097)*'Sollecitazioni nel paramento'!$G$54,'Sollecitazioni nel paramento'!$G$53)</f>
        <v>563818453.88033855</v>
      </c>
      <c r="J2097" s="472">
        <f t="shared" si="144"/>
        <v>515385648.65023077</v>
      </c>
      <c r="K2097" s="550">
        <f>'Sollecitazioni nel paramento'!$G$60*(sezione!$AL$35-C2097)/C2097</f>
        <v>-1.2636837810985405E-3</v>
      </c>
      <c r="L2097" s="550">
        <f>'Sollecitazioni nel paramento'!$G$60*(sezione!$AM$35-C2097)/C2097</f>
        <v>-1.4552567164781072E-4</v>
      </c>
      <c r="M2097" s="551">
        <f>'Sollecitazioni nel paramento'!$G$60*(sezione!$AN$35-C2097)/C2097</f>
        <v>9.726324378029191E-4</v>
      </c>
      <c r="N2097" s="551">
        <f>'Sollecitazioni nel paramento'!$G$60*(sezione!$AO$35-C2097)/C2097</f>
        <v>5.4452648756058387E-3</v>
      </c>
      <c r="O2097" s="551">
        <f>'Sollecitazioni nel paramento'!$G$60*(sezione!$AP$35-C2097)/C2097</f>
        <v>3.531923933665413E-2</v>
      </c>
      <c r="P2097" s="545">
        <f>-'Sollecitazioni nel paramento'!$G$47*'Sollecitazioni nel paramento'!$G$41*IF(DATI!$G$211="dx",DATI!$E$61,DATI!$E$64*DATI!$E$63)*1000*C2097*sezione!$AD$5</f>
        <v>-2384984.7150060027</v>
      </c>
      <c r="Q2097" s="545">
        <f>'Foglio deposito bis'!$F$78*IF(ABS(K2097)&lt;'Sollecitazioni nel paramento'!$G$58,ABS(K2097)*'Sollecitazioni nel paramento'!$G$54,'Sollecitazioni nel paramento'!$G$53)*IF(K2097&lt;0,-1,1)</f>
        <v>0</v>
      </c>
      <c r="R2097" s="545">
        <f>'Foglio deposito bis'!$F$79*IF(ABS(L2097)&lt;'Sollecitazioni nel paramento'!$G$58,ABS(L2097)*'Sollecitazioni nel paramento'!$G$54,'Sollecitazioni nel paramento'!$G$53)*IF(L2097&lt;0,-1,1)</f>
        <v>-11772.446309655175</v>
      </c>
      <c r="S2097" s="545">
        <f>'Foglio deposito bis'!$F$80*IF(ABS(M2097)&lt;'Sollecitazioni nel paramento'!$G$58,ABS(M2097)*'Sollecitazioni nel paramento'!$G$54,'Sollecitazioni nel paramento'!$G$53)*IF(M2097&lt;0,-1,1)</f>
        <v>0</v>
      </c>
      <c r="T2097" s="545">
        <f>'Foglio deposito bis'!$F$81*IF(ABS(N2097)&lt;'Sollecitazioni nel paramento'!$G$58,ABS(N2097)*'Sollecitazioni nel paramento'!$G$54,'Sollecitazioni nel paramento'!$G$53)*IF(N2097&lt;0,-1,1)</f>
        <v>398299.31208121032</v>
      </c>
      <c r="U2097" s="545">
        <f>'Foglio deposito bis'!$F$82*IF(ABS(O2097)&lt;'Sollecitazioni nel paramento'!$G$58,ABS(O2097)*'Sollecitazioni nel paramento'!$G$54,'Sollecitazioni nel paramento'!$G$53)*IF(O2097&lt;0,-1,1)</f>
        <v>892485.49558937876</v>
      </c>
      <c r="V2097" s="472">
        <f t="shared" si="146"/>
        <v>-1105972.3536450686</v>
      </c>
      <c r="W2097" s="551"/>
      <c r="X2097" s="551"/>
    </row>
    <row r="2098" spans="1:24" x14ac:dyDescent="0.25">
      <c r="A2098" s="545">
        <f t="shared" si="145"/>
        <v>1190035.803093608</v>
      </c>
      <c r="B2098" s="3">
        <f t="shared" si="148"/>
        <v>6.4999999999999911</v>
      </c>
      <c r="C2098" s="545">
        <f>'Foglio deposito bis'!$E$161/sezione!$B$247*B2098</f>
        <v>64.590348727783933</v>
      </c>
      <c r="D2098" s="603">
        <f>-'Sollecitazioni nel paramento'!$G$47*'Sollecitazioni nel paramento'!$G$41*IF(DATI!$G$211="dx",DATI!$E$61,DATI!$E$64*DATI!$E$63)*1000*C2098^2*sezione!$AD$5*(1-sezione!$AD$6)</f>
        <v>-92819427.133705318</v>
      </c>
      <c r="E2098" s="545">
        <f>-'Foglio deposito bis'!$F$78*(C2098-sezione!$AL$35)*IF(ABS(K2098)&lt;'Sollecitazioni nel paramento'!$G$58,ABS(K2098)*'Sollecitazioni nel paramento'!$G$54,'Sollecitazioni nel paramento'!$G$53)</f>
        <v>0</v>
      </c>
      <c r="F2098" s="545">
        <f>-'Foglio deposito bis'!$F$79*(C2098-sezione!$AM$35)*IF(ABS(L2098)&lt;'Sollecitazioni nel paramento'!$G$58,ABS(L2098)*'Sollecitazioni nel paramento'!$G$54,'Sollecitazioni nel paramento'!$G$53)</f>
        <v>-92367.434477216913</v>
      </c>
      <c r="G2098" s="545">
        <f>-'Foglio deposito bis'!$F$80*(C2098-sezione!$AN$35)*IF(ABS(M2098)&lt;'Sollecitazioni nel paramento'!$G$58,ABS(M2098)*'Sollecitazioni nel paramento'!$G$54,'Sollecitazioni nel paramento'!$G$53)</f>
        <v>0</v>
      </c>
      <c r="H2098" s="545">
        <f>-'Foglio deposito bis'!$F$81*(C2098-sezione!$AO$35)*IF(ABS(N2098)&lt;'Sollecitazioni nel paramento'!$G$58,ABS(N2098)*'Sollecitazioni nel paramento'!$G$54,'Sollecitazioni nel paramento'!$G$53)</f>
        <v>38001598.467631832</v>
      </c>
      <c r="I2098" s="472">
        <f>-'Foglio deposito bis'!$F$82*(C2098-sezione!$AP$35)*IF(ABS(O2098)&lt;'Sollecitazioni nel paramento'!$G$58,ABS(O2098)*'Sollecitazioni nel paramento'!$G$54,'Sollecitazioni nel paramento'!$G$53)</f>
        <v>562044732.36050451</v>
      </c>
      <c r="J2098" s="472">
        <f t="shared" si="144"/>
        <v>507134536.2599538</v>
      </c>
      <c r="K2098" s="550">
        <f>'Sollecitazioni nel paramento'!$G$60*(sezione!$AL$35-C2098)/C2098</f>
        <v>-1.3324935109108934E-3</v>
      </c>
      <c r="L2098" s="550">
        <f>'Sollecitazioni nel paramento'!$G$60*(sezione!$AM$35-C2098)/C2098</f>
        <v>-2.4874026636634002E-4</v>
      </c>
      <c r="M2098" s="551">
        <f>'Sollecitazioni nel paramento'!$G$60*(sezione!$AN$35-C2098)/C2098</f>
        <v>8.3501297817821334E-4</v>
      </c>
      <c r="N2098" s="551">
        <f>'Sollecitazioni nel paramento'!$G$60*(sezione!$AO$35-C2098)/C2098</f>
        <v>5.1700259563564272E-3</v>
      </c>
      <c r="O2098" s="551">
        <f>'Sollecitazioni nel paramento'!$G$60*(sezione!$AP$35-C2098)/C2098</f>
        <v>3.4124801203218605E-2</v>
      </c>
      <c r="P2098" s="545">
        <f>-'Sollecitazioni nel paramento'!$G$47*'Sollecitazioni nel paramento'!$G$41*IF(DATI!$G$211="dx",DATI!$E$61,DATI!$E$64*DATI!$E$63)*1000*C2098*sezione!$AD$5</f>
        <v>-2460698.5154823842</v>
      </c>
      <c r="Q2098" s="545">
        <f>'Foglio deposito bis'!$F$78*IF(ABS(K2098)&lt;'Sollecitazioni nel paramento'!$G$58,ABS(K2098)*'Sollecitazioni nel paramento'!$G$54,'Sollecitazioni nel paramento'!$G$53)*IF(K2098&lt;0,-1,1)</f>
        <v>0</v>
      </c>
      <c r="R2098" s="545">
        <f>'Foglio deposito bis'!$F$79*IF(ABS(L2098)&lt;'Sollecitazioni nel paramento'!$G$58,ABS(L2098)*'Sollecitazioni nel paramento'!$G$54,'Sollecitazioni nel paramento'!$G$53)*IF(L2098&lt;0,-1,1)</f>
        <v>-20122.095281812897</v>
      </c>
      <c r="S2098" s="545">
        <f>'Foglio deposito bis'!$F$80*IF(ABS(M2098)&lt;'Sollecitazioni nel paramento'!$G$58,ABS(M2098)*'Sollecitazioni nel paramento'!$G$54,'Sollecitazioni nel paramento'!$G$53)*IF(M2098&lt;0,-1,1)</f>
        <v>0</v>
      </c>
      <c r="T2098" s="545">
        <f>'Foglio deposito bis'!$F$81*IF(ABS(N2098)&lt;'Sollecitazioni nel paramento'!$G$58,ABS(N2098)*'Sollecitazioni nel paramento'!$G$54,'Sollecitazioni nel paramento'!$G$53)*IF(N2098&lt;0,-1,1)</f>
        <v>398299.31208121032</v>
      </c>
      <c r="U2098" s="545">
        <f>'Foglio deposito bis'!$F$82*IF(ABS(O2098)&lt;'Sollecitazioni nel paramento'!$G$58,ABS(O2098)*'Sollecitazioni nel paramento'!$G$54,'Sollecitazioni nel paramento'!$G$53)*IF(O2098&lt;0,-1,1)</f>
        <v>892485.49558937876</v>
      </c>
      <c r="V2098" s="472">
        <f t="shared" si="146"/>
        <v>-1190035.803093608</v>
      </c>
      <c r="W2098" s="551"/>
      <c r="X2098" s="551"/>
    </row>
    <row r="2099" spans="1:24" x14ac:dyDescent="0.25">
      <c r="A2099" s="545">
        <f t="shared" si="145"/>
        <v>1273600.7660363466</v>
      </c>
      <c r="B2099" s="3">
        <f t="shared" si="148"/>
        <v>6.6999999999999913</v>
      </c>
      <c r="C2099" s="545">
        <f>'Foglio deposito bis'!$E$161/sezione!$B$247*B2099</f>
        <v>66.577744073254209</v>
      </c>
      <c r="D2099" s="603">
        <f>-'Sollecitazioni nel paramento'!$G$47*'Sollecitazioni nel paramento'!$G$41*IF(DATI!$G$211="dx",DATI!$E$61,DATI!$E$64*DATI!$E$63)*1000*C2099^2*sezione!$AD$5*(1-sezione!$AD$6)</f>
        <v>-98619268.261113182</v>
      </c>
      <c r="E2099" s="545">
        <f>-'Foglio deposito bis'!$F$78*(C2099-sezione!$AL$35)*IF(ABS(K2099)&lt;'Sollecitazioni nel paramento'!$G$58,ABS(K2099)*'Sollecitazioni nel paramento'!$G$54,'Sollecitazioni nel paramento'!$G$53)</f>
        <v>0</v>
      </c>
      <c r="F2099" s="545">
        <f>-'Foglio deposito bis'!$F$79*(C2099-sezione!$AM$35)*IF(ABS(L2099)&lt;'Sollecitazioni nel paramento'!$G$58,ABS(L2099)*'Sollecitazioni nel paramento'!$G$54,'Sollecitazioni nel paramento'!$G$53)</f>
        <v>-184000.93036263846</v>
      </c>
      <c r="G2099" s="545">
        <f>-'Foglio deposito bis'!$F$80*(C2099-sezione!$AN$35)*IF(ABS(M2099)&lt;'Sollecitazioni nel paramento'!$G$58,ABS(M2099)*'Sollecitazioni nel paramento'!$G$54,'Sollecitazioni nel paramento'!$G$53)</f>
        <v>0</v>
      </c>
      <c r="H2099" s="545">
        <f>-'Foglio deposito bis'!$F$81*(C2099-sezione!$AO$35)*IF(ABS(N2099)&lt;'Sollecitazioni nel paramento'!$G$58,ABS(N2099)*'Sollecitazioni nel paramento'!$G$54,'Sollecitazioni nel paramento'!$G$53)</f>
        <v>37210020.268697619</v>
      </c>
      <c r="I2099" s="472">
        <f>-'Foglio deposito bis'!$F$82*(C2099-sezione!$AP$35)*IF(ABS(O2099)&lt;'Sollecitazioni nel paramento'!$G$58,ABS(O2099)*'Sollecitazioni nel paramento'!$G$54,'Sollecitazioni nel paramento'!$G$53)</f>
        <v>560271010.84067047</v>
      </c>
      <c r="J2099" s="472">
        <f t="shared" si="144"/>
        <v>498677761.91789228</v>
      </c>
      <c r="K2099" s="550">
        <f>'Sollecitazioni nel paramento'!$G$60*(sezione!$AL$35-C2099)/C2099</f>
        <v>-1.3971951971523593E-3</v>
      </c>
      <c r="L2099" s="550">
        <f>'Sollecitazioni nel paramento'!$G$60*(sezione!$AM$35-C2099)/C2099</f>
        <v>-3.4579279572853887E-4</v>
      </c>
      <c r="M2099" s="551">
        <f>'Sollecitazioni nel paramento'!$G$60*(sezione!$AN$35-C2099)/C2099</f>
        <v>7.0560960569528153E-4</v>
      </c>
      <c r="N2099" s="551">
        <f>'Sollecitazioni nel paramento'!$G$60*(sezione!$AO$35-C2099)/C2099</f>
        <v>4.9112192113905636E-3</v>
      </c>
      <c r="O2099" s="551">
        <f>'Sollecitazioni nel paramento'!$G$60*(sezione!$AP$35-C2099)/C2099</f>
        <v>3.3001672809092684E-2</v>
      </c>
      <c r="P2099" s="545">
        <f>-'Sollecitazioni nel paramento'!$G$47*'Sollecitazioni nel paramento'!$G$41*IF(DATI!$G$211="dx",DATI!$E$61,DATI!$E$64*DATI!$E$63)*1000*C2099*sezione!$AD$5</f>
        <v>-2536412.3159587653</v>
      </c>
      <c r="Q2099" s="545">
        <f>'Foglio deposito bis'!$F$78*IF(ABS(K2099)&lt;'Sollecitazioni nel paramento'!$G$58,ABS(K2099)*'Sollecitazioni nel paramento'!$G$54,'Sollecitazioni nel paramento'!$G$53)*IF(K2099&lt;0,-1,1)</f>
        <v>0</v>
      </c>
      <c r="R2099" s="545">
        <f>'Foglio deposito bis'!$F$79*IF(ABS(L2099)&lt;'Sollecitazioni nel paramento'!$G$58,ABS(L2099)*'Sollecitazioni nel paramento'!$G$54,'Sollecitazioni nel paramento'!$G$53)*IF(L2099&lt;0,-1,1)</f>
        <v>-27973.25774817013</v>
      </c>
      <c r="S2099" s="545">
        <f>'Foglio deposito bis'!$F$80*IF(ABS(M2099)&lt;'Sollecitazioni nel paramento'!$G$58,ABS(M2099)*'Sollecitazioni nel paramento'!$G$54,'Sollecitazioni nel paramento'!$G$53)*IF(M2099&lt;0,-1,1)</f>
        <v>0</v>
      </c>
      <c r="T2099" s="545">
        <f>'Foglio deposito bis'!$F$81*IF(ABS(N2099)&lt;'Sollecitazioni nel paramento'!$G$58,ABS(N2099)*'Sollecitazioni nel paramento'!$G$54,'Sollecitazioni nel paramento'!$G$53)*IF(N2099&lt;0,-1,1)</f>
        <v>398299.31208121032</v>
      </c>
      <c r="U2099" s="545">
        <f>'Foglio deposito bis'!$F$82*IF(ABS(O2099)&lt;'Sollecitazioni nel paramento'!$G$58,ABS(O2099)*'Sollecitazioni nel paramento'!$G$54,'Sollecitazioni nel paramento'!$G$53)*IF(O2099&lt;0,-1,1)</f>
        <v>892485.49558937876</v>
      </c>
      <c r="V2099" s="472">
        <f t="shared" si="146"/>
        <v>-1273600.7660363466</v>
      </c>
      <c r="W2099" s="551"/>
      <c r="X2099" s="551"/>
    </row>
    <row r="2100" spans="1:24" x14ac:dyDescent="0.25">
      <c r="A2100" s="545">
        <f t="shared" si="145"/>
        <v>1356710.5891259625</v>
      </c>
      <c r="B2100" s="3">
        <f t="shared" si="148"/>
        <v>6.8999999999999915</v>
      </c>
      <c r="C2100" s="545">
        <f>'Foglio deposito bis'!$E$161/sezione!$B$247*B2100</f>
        <v>68.565139418724485</v>
      </c>
      <c r="D2100" s="603">
        <f>-'Sollecitazioni nel paramento'!$G$47*'Sollecitazioni nel paramento'!$G$41*IF(DATI!$G$211="dx",DATI!$E$61,DATI!$E$64*DATI!$E$63)*1000*C2100^2*sezione!$AD$5*(1-sezione!$AD$6)</f>
        <v>-104594862.14995763</v>
      </c>
      <c r="E2100" s="545">
        <f>-'Foglio deposito bis'!$F$78*(C2100-sezione!$AL$35)*IF(ABS(K2100)&lt;'Sollecitazioni nel paramento'!$G$58,ABS(K2100)*'Sollecitazioni nel paramento'!$G$54,'Sollecitazioni nel paramento'!$G$53)</f>
        <v>0</v>
      </c>
      <c r="F2100" s="545">
        <f>-'Foglio deposito bis'!$F$79*(C2100-sezione!$AM$35)*IF(ABS(L2100)&lt;'Sollecitazioni nel paramento'!$G$58,ABS(L2100)*'Sollecitazioni nel paramento'!$G$54,'Sollecitazioni nel paramento'!$G$53)</f>
        <v>-302942.8174353895</v>
      </c>
      <c r="G2100" s="545">
        <f>-'Foglio deposito bis'!$F$80*(C2100-sezione!$AN$35)*IF(ABS(M2100)&lt;'Sollecitazioni nel paramento'!$G$58,ABS(M2100)*'Sollecitazioni nel paramento'!$G$54,'Sollecitazioni nel paramento'!$G$53)</f>
        <v>0</v>
      </c>
      <c r="H2100" s="545">
        <f>-'Foglio deposito bis'!$F$81*(C2100-sezione!$AO$35)*IF(ABS(N2100)&lt;'Sollecitazioni nel paramento'!$G$58,ABS(N2100)*'Sollecitazioni nel paramento'!$G$54,'Sollecitazioni nel paramento'!$G$53)</f>
        <v>36418442.069763415</v>
      </c>
      <c r="I2100" s="472">
        <f>-'Foglio deposito bis'!$F$82*(C2100-sezione!$AP$35)*IF(ABS(O2100)&lt;'Sollecitazioni nel paramento'!$G$58,ABS(O2100)*'Sollecitazioni nel paramento'!$G$54,'Sollecitazioni nel paramento'!$G$53)</f>
        <v>558497289.32083642</v>
      </c>
      <c r="J2100" s="472">
        <f t="shared" si="144"/>
        <v>490017926.42320681</v>
      </c>
      <c r="K2100" s="550">
        <f>'Sollecitazioni nel paramento'!$G$60*(sezione!$AL$35-C2100)/C2100</f>
        <v>-1.4581460610030156E-3</v>
      </c>
      <c r="L2100" s="550">
        <f>'Sollecitazioni nel paramento'!$G$60*(sezione!$AM$35-C2100)/C2100</f>
        <v>-4.3721909150452328E-4</v>
      </c>
      <c r="M2100" s="551">
        <f>'Sollecitazioni nel paramento'!$G$60*(sezione!$AN$35-C2100)/C2100</f>
        <v>5.8370787799396891E-4</v>
      </c>
      <c r="N2100" s="551">
        <f>'Sollecitazioni nel paramento'!$G$60*(sezione!$AO$35-C2100)/C2100</f>
        <v>4.6674157559879375E-3</v>
      </c>
      <c r="O2100" s="551">
        <f>'Sollecitazioni nel paramento'!$G$60*(sezione!$AP$35-C2100)/C2100</f>
        <v>3.1943653307379853E-2</v>
      </c>
      <c r="P2100" s="545">
        <f>-'Sollecitazioni nel paramento'!$G$47*'Sollecitazioni nel paramento'!$G$41*IF(DATI!$G$211="dx",DATI!$E$61,DATI!$E$64*DATI!$E$63)*1000*C2100*sezione!$AD$5</f>
        <v>-2612126.1164351464</v>
      </c>
      <c r="Q2100" s="545">
        <f>'Foglio deposito bis'!$F$78*IF(ABS(K2100)&lt;'Sollecitazioni nel paramento'!$G$58,ABS(K2100)*'Sollecitazioni nel paramento'!$G$54,'Sollecitazioni nel paramento'!$G$53)*IF(K2100&lt;0,-1,1)</f>
        <v>0</v>
      </c>
      <c r="R2100" s="545">
        <f>'Foglio deposito bis'!$F$79*IF(ABS(L2100)&lt;'Sollecitazioni nel paramento'!$G$58,ABS(L2100)*'Sollecitazioni nel paramento'!$G$54,'Sollecitazioni nel paramento'!$G$53)*IF(L2100&lt;0,-1,1)</f>
        <v>-35369.280361405203</v>
      </c>
      <c r="S2100" s="545">
        <f>'Foglio deposito bis'!$F$80*IF(ABS(M2100)&lt;'Sollecitazioni nel paramento'!$G$58,ABS(M2100)*'Sollecitazioni nel paramento'!$G$54,'Sollecitazioni nel paramento'!$G$53)*IF(M2100&lt;0,-1,1)</f>
        <v>0</v>
      </c>
      <c r="T2100" s="545">
        <f>'Foglio deposito bis'!$F$81*IF(ABS(N2100)&lt;'Sollecitazioni nel paramento'!$G$58,ABS(N2100)*'Sollecitazioni nel paramento'!$G$54,'Sollecitazioni nel paramento'!$G$53)*IF(N2100&lt;0,-1,1)</f>
        <v>398299.31208121032</v>
      </c>
      <c r="U2100" s="545">
        <f>'Foglio deposito bis'!$F$82*IF(ABS(O2100)&lt;'Sollecitazioni nel paramento'!$G$58,ABS(O2100)*'Sollecitazioni nel paramento'!$G$54,'Sollecitazioni nel paramento'!$G$53)*IF(O2100&lt;0,-1,1)</f>
        <v>892485.49558937876</v>
      </c>
      <c r="V2100" s="472">
        <f t="shared" si="146"/>
        <v>-1356710.5891259625</v>
      </c>
      <c r="W2100" s="551"/>
      <c r="X2100" s="551"/>
    </row>
    <row r="2101" spans="1:24" x14ac:dyDescent="0.25">
      <c r="A2101" s="545">
        <f t="shared" si="145"/>
        <v>1439403.7348852558</v>
      </c>
      <c r="B2101" s="3">
        <f t="shared" si="148"/>
        <v>7.0999999999999917</v>
      </c>
      <c r="C2101" s="545">
        <f>'Foglio deposito bis'!$E$161/sezione!$B$247*B2101</f>
        <v>70.552534764194775</v>
      </c>
      <c r="D2101" s="603">
        <f>-'Sollecitazioni nel paramento'!$G$47*'Sollecitazioni nel paramento'!$G$41*IF(DATI!$G$211="dx",DATI!$E$61,DATI!$E$64*DATI!$E$63)*1000*C2101^2*sezione!$AD$5*(1-sezione!$AD$6)</f>
        <v>-110746208.80023874</v>
      </c>
      <c r="E2101" s="545">
        <f>-'Foglio deposito bis'!$F$78*(C2101-sezione!$AL$35)*IF(ABS(K2101)&lt;'Sollecitazioni nel paramento'!$G$58,ABS(K2101)*'Sollecitazioni nel paramento'!$G$54,'Sollecitazioni nel paramento'!$G$53)</f>
        <v>0</v>
      </c>
      <c r="F2101" s="545">
        <f>-'Foglio deposito bis'!$F$79*(C2101-sezione!$AM$35)*IF(ABS(L2101)&lt;'Sollecitazioni nel paramento'!$G$58,ABS(L2101)*'Sollecitazioni nel paramento'!$G$54,'Sollecitazioni nel paramento'!$G$53)</f>
        <v>-446885.34432752786</v>
      </c>
      <c r="G2101" s="545">
        <f>-'Foglio deposito bis'!$F$80*(C2101-sezione!$AN$35)*IF(ABS(M2101)&lt;'Sollecitazioni nel paramento'!$G$58,ABS(M2101)*'Sollecitazioni nel paramento'!$G$54,'Sollecitazioni nel paramento'!$G$53)</f>
        <v>0</v>
      </c>
      <c r="H2101" s="545">
        <f>-'Foglio deposito bis'!$F$81*(C2101-sezione!$AO$35)*IF(ABS(N2101)&lt;'Sollecitazioni nel paramento'!$G$58,ABS(N2101)*'Sollecitazioni nel paramento'!$G$54,'Sollecitazioni nel paramento'!$G$53)</f>
        <v>35626863.870829195</v>
      </c>
      <c r="I2101" s="472">
        <f>-'Foglio deposito bis'!$F$82*(C2101-sezione!$AP$35)*IF(ABS(O2101)&lt;'Sollecitazioni nel paramento'!$G$58,ABS(O2101)*'Sollecitazioni nel paramento'!$G$54,'Sollecitazioni nel paramento'!$G$53)</f>
        <v>556723567.80100226</v>
      </c>
      <c r="J2101" s="472">
        <f t="shared" si="144"/>
        <v>481157337.52726519</v>
      </c>
      <c r="K2101" s="550">
        <f>'Sollecitazioni nel paramento'!$G$60*(sezione!$AL$35-C2101)/C2101</f>
        <v>-1.5156630733691283E-3</v>
      </c>
      <c r="L2101" s="550">
        <f>'Sollecitazioni nel paramento'!$G$60*(sezione!$AM$35-C2101)/C2101</f>
        <v>-5.2349461005369235E-4</v>
      </c>
      <c r="M2101" s="551">
        <f>'Sollecitazioni nel paramento'!$G$60*(sezione!$AN$35-C2101)/C2101</f>
        <v>4.6867385326174361E-4</v>
      </c>
      <c r="N2101" s="551">
        <f>'Sollecitazioni nel paramento'!$G$60*(sezione!$AO$35-C2101)/C2101</f>
        <v>4.4373477065234868E-3</v>
      </c>
      <c r="O2101" s="551">
        <f>'Sollecitazioni nel paramento'!$G$60*(sezione!$AP$35-C2101)/C2101</f>
        <v>3.0945240538157875E-2</v>
      </c>
      <c r="P2101" s="545">
        <f>-'Sollecitazioni nel paramento'!$G$47*'Sollecitazioni nel paramento'!$G$41*IF(DATI!$G$211="dx",DATI!$E$61,DATI!$E$64*DATI!$E$63)*1000*C2101*sezione!$AD$5</f>
        <v>-2687839.9169115275</v>
      </c>
      <c r="Q2101" s="545">
        <f>'Foglio deposito bis'!$F$78*IF(ABS(K2101)&lt;'Sollecitazioni nel paramento'!$G$58,ABS(K2101)*'Sollecitazioni nel paramento'!$G$54,'Sollecitazioni nel paramento'!$G$53)*IF(K2101&lt;0,-1,1)</f>
        <v>0</v>
      </c>
      <c r="R2101" s="545">
        <f>'Foglio deposito bis'!$F$79*IF(ABS(L2101)&lt;'Sollecitazioni nel paramento'!$G$58,ABS(L2101)*'Sollecitazioni nel paramento'!$G$54,'Sollecitazioni nel paramento'!$G$53)*IF(L2101&lt;0,-1,1)</f>
        <v>-42348.625644317231</v>
      </c>
      <c r="S2101" s="545">
        <f>'Foglio deposito bis'!$F$80*IF(ABS(M2101)&lt;'Sollecitazioni nel paramento'!$G$58,ABS(M2101)*'Sollecitazioni nel paramento'!$G$54,'Sollecitazioni nel paramento'!$G$53)*IF(M2101&lt;0,-1,1)</f>
        <v>0</v>
      </c>
      <c r="T2101" s="545">
        <f>'Foglio deposito bis'!$F$81*IF(ABS(N2101)&lt;'Sollecitazioni nel paramento'!$G$58,ABS(N2101)*'Sollecitazioni nel paramento'!$G$54,'Sollecitazioni nel paramento'!$G$53)*IF(N2101&lt;0,-1,1)</f>
        <v>398299.31208121032</v>
      </c>
      <c r="U2101" s="545">
        <f>'Foglio deposito bis'!$F$82*IF(ABS(O2101)&lt;'Sollecitazioni nel paramento'!$G$58,ABS(O2101)*'Sollecitazioni nel paramento'!$G$54,'Sollecitazioni nel paramento'!$G$53)*IF(O2101&lt;0,-1,1)</f>
        <v>892485.49558937876</v>
      </c>
      <c r="V2101" s="472">
        <f t="shared" si="146"/>
        <v>-1439403.7348852558</v>
      </c>
      <c r="W2101" s="551"/>
      <c r="X2101" s="551"/>
    </row>
    <row r="2102" spans="1:24" x14ac:dyDescent="0.25">
      <c r="A2102" s="545">
        <f t="shared" si="145"/>
        <v>1521714.4507660335</v>
      </c>
      <c r="B2102" s="3">
        <f t="shared" si="148"/>
        <v>7.2999999999999918</v>
      </c>
      <c r="C2102" s="545">
        <f>'Foglio deposito bis'!$E$161/sezione!$B$247*B2102</f>
        <v>72.53993010966505</v>
      </c>
      <c r="D2102" s="603">
        <f>-'Sollecitazioni nel paramento'!$G$47*'Sollecitazioni nel paramento'!$G$41*IF(DATI!$G$211="dx",DATI!$E$61,DATI!$E$64*DATI!$E$63)*1000*C2102^2*sezione!$AD$5*(1-sezione!$AD$6)</f>
        <v>-117073308.2119564</v>
      </c>
      <c r="E2102" s="545">
        <f>-'Foglio deposito bis'!$F$78*(C2102-sezione!$AL$35)*IF(ABS(K2102)&lt;'Sollecitazioni nel paramento'!$G$58,ABS(K2102)*'Sollecitazioni nel paramento'!$G$54,'Sollecitazioni nel paramento'!$G$53)</f>
        <v>0</v>
      </c>
      <c r="F2102" s="545">
        <f>-'Foglio deposito bis'!$F$79*(C2102-sezione!$AM$35)*IF(ABS(L2102)&lt;'Sollecitazioni nel paramento'!$G$58,ABS(L2102)*'Sollecitazioni nel paramento'!$G$54,'Sollecitazioni nel paramento'!$G$53)</f>
        <v>-613773.66393060877</v>
      </c>
      <c r="G2102" s="545">
        <f>-'Foglio deposito bis'!$F$80*(C2102-sezione!$AN$35)*IF(ABS(M2102)&lt;'Sollecitazioni nel paramento'!$G$58,ABS(M2102)*'Sollecitazioni nel paramento'!$G$54,'Sollecitazioni nel paramento'!$G$53)</f>
        <v>0</v>
      </c>
      <c r="H2102" s="545">
        <f>-'Foglio deposito bis'!$F$81*(C2102-sezione!$AO$35)*IF(ABS(N2102)&lt;'Sollecitazioni nel paramento'!$G$58,ABS(N2102)*'Sollecitazioni nel paramento'!$G$54,'Sollecitazioni nel paramento'!$G$53)</f>
        <v>34835285.671894982</v>
      </c>
      <c r="I2102" s="472">
        <f>-'Foglio deposito bis'!$F$82*(C2102-sezione!$AP$35)*IF(ABS(O2102)&lt;'Sollecitazioni nel paramento'!$G$58,ABS(O2102)*'Sollecitazioni nel paramento'!$G$54,'Sollecitazioni nel paramento'!$G$53)</f>
        <v>554949846.28116822</v>
      </c>
      <c r="J2102" s="472">
        <f t="shared" si="144"/>
        <v>472098050.07717621</v>
      </c>
      <c r="K2102" s="550">
        <f>'Sollecitazioni nel paramento'!$G$60*(sezione!$AL$35-C2102)/C2102</f>
        <v>-1.570028468619289E-3</v>
      </c>
      <c r="L2102" s="550">
        <f>'Sollecitazioni nel paramento'!$G$60*(sezione!$AM$35-C2102)/C2102</f>
        <v>-6.0504270292893367E-4</v>
      </c>
      <c r="M2102" s="551">
        <f>'Sollecitazioni nel paramento'!$G$60*(sezione!$AN$35-C2102)/C2102</f>
        <v>3.5994306276142187E-4</v>
      </c>
      <c r="N2102" s="551">
        <f>'Sollecitazioni nel paramento'!$G$60*(sezione!$AO$35-C2102)/C2102</f>
        <v>4.2198861255228438E-3</v>
      </c>
      <c r="O2102" s="551">
        <f>'Sollecitazioni nel paramento'!$G$60*(sezione!$AP$35-C2102)/C2102</f>
        <v>3.0001535317934373E-2</v>
      </c>
      <c r="P2102" s="545">
        <f>-'Sollecitazioni nel paramento'!$G$47*'Sollecitazioni nel paramento'!$G$41*IF(DATI!$G$211="dx",DATI!$E$61,DATI!$E$64*DATI!$E$63)*1000*C2102*sezione!$AD$5</f>
        <v>-2763553.7173879091</v>
      </c>
      <c r="Q2102" s="545">
        <f>'Foglio deposito bis'!$F$78*IF(ABS(K2102)&lt;'Sollecitazioni nel paramento'!$G$58,ABS(K2102)*'Sollecitazioni nel paramento'!$G$54,'Sollecitazioni nel paramento'!$G$53)*IF(K2102&lt;0,-1,1)</f>
        <v>0</v>
      </c>
      <c r="R2102" s="545">
        <f>'Foglio deposito bis'!$F$79*IF(ABS(L2102)&lt;'Sollecitazioni nel paramento'!$G$58,ABS(L2102)*'Sollecitazioni nel paramento'!$G$54,'Sollecitazioni nel paramento'!$G$53)*IF(L2102&lt;0,-1,1)</f>
        <v>-48945.541048713472</v>
      </c>
      <c r="S2102" s="545">
        <f>'Foglio deposito bis'!$F$80*IF(ABS(M2102)&lt;'Sollecitazioni nel paramento'!$G$58,ABS(M2102)*'Sollecitazioni nel paramento'!$G$54,'Sollecitazioni nel paramento'!$G$53)*IF(M2102&lt;0,-1,1)</f>
        <v>0</v>
      </c>
      <c r="T2102" s="545">
        <f>'Foglio deposito bis'!$F$81*IF(ABS(N2102)&lt;'Sollecitazioni nel paramento'!$G$58,ABS(N2102)*'Sollecitazioni nel paramento'!$G$54,'Sollecitazioni nel paramento'!$G$53)*IF(N2102&lt;0,-1,1)</f>
        <v>398299.31208121032</v>
      </c>
      <c r="U2102" s="545">
        <f>'Foglio deposito bis'!$F$82*IF(ABS(O2102)&lt;'Sollecitazioni nel paramento'!$G$58,ABS(O2102)*'Sollecitazioni nel paramento'!$G$54,'Sollecitazioni nel paramento'!$G$53)*IF(O2102&lt;0,-1,1)</f>
        <v>892485.49558937876</v>
      </c>
      <c r="V2102" s="472">
        <f t="shared" si="146"/>
        <v>-1521714.4507660335</v>
      </c>
      <c r="W2102" s="551"/>
      <c r="X2102" s="551"/>
    </row>
    <row r="2103" spans="1:24" x14ac:dyDescent="0.25">
      <c r="A2103" s="545">
        <f t="shared" si="145"/>
        <v>1603673.3311585765</v>
      </c>
      <c r="B2103" s="3">
        <f t="shared" si="148"/>
        <v>7.499999999999992</v>
      </c>
      <c r="C2103" s="545">
        <f>'Foglio deposito bis'!$E$161/sezione!$B$247*B2103</f>
        <v>74.527325455135326</v>
      </c>
      <c r="D2103" s="603">
        <f>-'Sollecitazioni nel paramento'!$G$47*'Sollecitazioni nel paramento'!$G$41*IF(DATI!$G$211="dx",DATI!$E$61,DATI!$E$64*DATI!$E$63)*1000*C2103^2*sezione!$AD$5*(1-sezione!$AD$6)</f>
        <v>-123576160.38511068</v>
      </c>
      <c r="E2103" s="545">
        <f>-'Foglio deposito bis'!$F$78*(C2103-sezione!$AL$35)*IF(ABS(K2103)&lt;'Sollecitazioni nel paramento'!$G$58,ABS(K2103)*'Sollecitazioni nel paramento'!$G$54,'Sollecitazioni nel paramento'!$G$53)</f>
        <v>0</v>
      </c>
      <c r="F2103" s="545">
        <f>-'Foglio deposito bis'!$F$79*(C2103-sezione!$AM$35)*IF(ABS(L2103)&lt;'Sollecitazioni nel paramento'!$G$58,ABS(L2103)*'Sollecitazioni nel paramento'!$G$54,'Sollecitazioni nel paramento'!$G$53)</f>
        <v>-801772.11282775749</v>
      </c>
      <c r="G2103" s="545">
        <f>-'Foglio deposito bis'!$F$80*(C2103-sezione!$AN$35)*IF(ABS(M2103)&lt;'Sollecitazioni nel paramento'!$G$58,ABS(M2103)*'Sollecitazioni nel paramento'!$G$54,'Sollecitazioni nel paramento'!$G$53)</f>
        <v>0</v>
      </c>
      <c r="H2103" s="545">
        <f>-'Foglio deposito bis'!$F$81*(C2103-sezione!$AO$35)*IF(ABS(N2103)&lt;'Sollecitazioni nel paramento'!$G$58,ABS(N2103)*'Sollecitazioni nel paramento'!$G$54,'Sollecitazioni nel paramento'!$G$53)</f>
        <v>34043707.472960778</v>
      </c>
      <c r="I2103" s="472">
        <f>-'Foglio deposito bis'!$F$82*(C2103-sezione!$AP$35)*IF(ABS(O2103)&lt;'Sollecitazioni nel paramento'!$G$58,ABS(O2103)*'Sollecitazioni nel paramento'!$G$54,'Sollecitazioni nel paramento'!$G$53)</f>
        <v>553176124.76133418</v>
      </c>
      <c r="J2103" s="472">
        <f t="shared" si="144"/>
        <v>462841899.7363565</v>
      </c>
      <c r="K2103" s="550">
        <f>'Sollecitazioni nel paramento'!$G$60*(sezione!$AL$35-C2103)/C2103</f>
        <v>-1.6214943761227749E-3</v>
      </c>
      <c r="L2103" s="550">
        <f>'Sollecitazioni nel paramento'!$G$60*(sezione!$AM$35-C2103)/C2103</f>
        <v>-6.8224156418416205E-4</v>
      </c>
      <c r="M2103" s="551">
        <f>'Sollecitazioni nel paramento'!$G$60*(sezione!$AN$35-C2103)/C2103</f>
        <v>2.570112477544506E-4</v>
      </c>
      <c r="N2103" s="551">
        <f>'Sollecitazioni nel paramento'!$G$60*(sezione!$AO$35-C2103)/C2103</f>
        <v>4.0140224955089012E-3</v>
      </c>
      <c r="O2103" s="551">
        <f>'Sollecitazioni nel paramento'!$G$60*(sezione!$AP$35-C2103)/C2103</f>
        <v>2.910816104278945E-2</v>
      </c>
      <c r="P2103" s="545">
        <f>-'Sollecitazioni nel paramento'!$G$47*'Sollecitazioni nel paramento'!$G$41*IF(DATI!$G$211="dx",DATI!$E$61,DATI!$E$64*DATI!$E$63)*1000*C2103*sezione!$AD$5</f>
        <v>-2839267.5178642902</v>
      </c>
      <c r="Q2103" s="545">
        <f>'Foglio deposito bis'!$F$78*IF(ABS(K2103)&lt;'Sollecitazioni nel paramento'!$G$58,ABS(K2103)*'Sollecitazioni nel paramento'!$G$54,'Sollecitazioni nel paramento'!$G$53)*IF(K2103&lt;0,-1,1)</f>
        <v>0</v>
      </c>
      <c r="R2103" s="545">
        <f>'Foglio deposito bis'!$F$79*IF(ABS(L2103)&lt;'Sollecitazioni nel paramento'!$G$58,ABS(L2103)*'Sollecitazioni nel paramento'!$G$54,'Sollecitazioni nel paramento'!$G$53)*IF(L2103&lt;0,-1,1)</f>
        <v>-55190.620964875241</v>
      </c>
      <c r="S2103" s="545">
        <f>'Foglio deposito bis'!$F$80*IF(ABS(M2103)&lt;'Sollecitazioni nel paramento'!$G$58,ABS(M2103)*'Sollecitazioni nel paramento'!$G$54,'Sollecitazioni nel paramento'!$G$53)*IF(M2103&lt;0,-1,1)</f>
        <v>0</v>
      </c>
      <c r="T2103" s="545">
        <f>'Foglio deposito bis'!$F$81*IF(ABS(N2103)&lt;'Sollecitazioni nel paramento'!$G$58,ABS(N2103)*'Sollecitazioni nel paramento'!$G$54,'Sollecitazioni nel paramento'!$G$53)*IF(N2103&lt;0,-1,1)</f>
        <v>398299.31208121032</v>
      </c>
      <c r="U2103" s="545">
        <f>'Foglio deposito bis'!$F$82*IF(ABS(O2103)&lt;'Sollecitazioni nel paramento'!$G$58,ABS(O2103)*'Sollecitazioni nel paramento'!$G$54,'Sollecitazioni nel paramento'!$G$53)*IF(O2103&lt;0,-1,1)</f>
        <v>892485.49558937876</v>
      </c>
      <c r="V2103" s="472">
        <f t="shared" si="146"/>
        <v>-1603673.3311585765</v>
      </c>
      <c r="W2103" s="551"/>
      <c r="X2103" s="551"/>
    </row>
    <row r="2104" spans="1:24" x14ac:dyDescent="0.25">
      <c r="A2104" s="545">
        <f t="shared" si="145"/>
        <v>1685307.7918152148</v>
      </c>
      <c r="B2104" s="3">
        <f t="shared" si="148"/>
        <v>7.6999999999999922</v>
      </c>
      <c r="C2104" s="545">
        <f>'Foglio deposito bis'!$E$161/sezione!$B$247*B2104</f>
        <v>76.514720800605602</v>
      </c>
      <c r="D2104" s="603">
        <f>-'Sollecitazioni nel paramento'!$G$47*'Sollecitazioni nel paramento'!$G$41*IF(DATI!$G$211="dx",DATI!$E$61,DATI!$E$64*DATI!$E$63)*1000*C2104^2*sezione!$AD$5*(1-sezione!$AD$6)</f>
        <v>-130254765.31970154</v>
      </c>
      <c r="E2104" s="545">
        <f>-'Foglio deposito bis'!$F$78*(C2104-sezione!$AL$35)*IF(ABS(K2104)&lt;'Sollecitazioni nel paramento'!$G$58,ABS(K2104)*'Sollecitazioni nel paramento'!$G$54,'Sollecitazioni nel paramento'!$G$53)</f>
        <v>0</v>
      </c>
      <c r="F2104" s="545">
        <f>-'Foglio deposito bis'!$F$79*(C2104-sezione!$AM$35)*IF(ABS(L2104)&lt;'Sollecitazioni nel paramento'!$G$58,ABS(L2104)*'Sollecitazioni nel paramento'!$G$54,'Sollecitazioni nel paramento'!$G$53)</f>
        <v>-1009235.7458791769</v>
      </c>
      <c r="G2104" s="545">
        <f>-'Foglio deposito bis'!$F$80*(C2104-sezione!$AN$35)*IF(ABS(M2104)&lt;'Sollecitazioni nel paramento'!$G$58,ABS(M2104)*'Sollecitazioni nel paramento'!$G$54,'Sollecitazioni nel paramento'!$G$53)</f>
        <v>0</v>
      </c>
      <c r="H2104" s="545">
        <f>-'Foglio deposito bis'!$F$81*(C2104-sezione!$AO$35)*IF(ABS(N2104)&lt;'Sollecitazioni nel paramento'!$G$58,ABS(N2104)*'Sollecitazioni nel paramento'!$G$54,'Sollecitazioni nel paramento'!$G$53)</f>
        <v>33252129.274026562</v>
      </c>
      <c r="I2104" s="472">
        <f>-'Foglio deposito bis'!$F$82*(C2104-sezione!$AP$35)*IF(ABS(O2104)&lt;'Sollecitazioni nel paramento'!$G$58,ABS(O2104)*'Sollecitazioni nel paramento'!$G$54,'Sollecitazioni nel paramento'!$G$53)</f>
        <v>551402403.24150014</v>
      </c>
      <c r="J2104" s="472">
        <f t="shared" si="144"/>
        <v>453390531.44994599</v>
      </c>
      <c r="K2104" s="550">
        <f>'Sollecitazioni nel paramento'!$G$60*(sezione!$AL$35-C2104)/C2104</f>
        <v>-1.6702867299897158E-3</v>
      </c>
      <c r="L2104" s="550">
        <f>'Sollecitazioni nel paramento'!$G$60*(sezione!$AM$35-C2104)/C2104</f>
        <v>-7.5543009498457345E-4</v>
      </c>
      <c r="M2104" s="551">
        <f>'Sollecitazioni nel paramento'!$G$60*(sezione!$AN$35-C2104)/C2104</f>
        <v>1.5942654002056876E-4</v>
      </c>
      <c r="N2104" s="551">
        <f>'Sollecitazioni nel paramento'!$G$60*(sezione!$AO$35-C2104)/C2104</f>
        <v>3.8188530800411374E-3</v>
      </c>
      <c r="O2104" s="551">
        <f>'Sollecitazioni nel paramento'!$G$60*(sezione!$AP$35-C2104)/C2104</f>
        <v>2.8261195820898821E-2</v>
      </c>
      <c r="P2104" s="545">
        <f>-'Sollecitazioni nel paramento'!$G$47*'Sollecitazioni nel paramento'!$G$41*IF(DATI!$G$211="dx",DATI!$E$61,DATI!$E$64*DATI!$E$63)*1000*C2104*sezione!$AD$5</f>
        <v>-2914981.3183406712</v>
      </c>
      <c r="Q2104" s="545">
        <f>'Foglio deposito bis'!$F$78*IF(ABS(K2104)&lt;'Sollecitazioni nel paramento'!$G$58,ABS(K2104)*'Sollecitazioni nel paramento'!$G$54,'Sollecitazioni nel paramento'!$G$53)*IF(K2104&lt;0,-1,1)</f>
        <v>0</v>
      </c>
      <c r="R2104" s="545">
        <f>'Foglio deposito bis'!$F$79*IF(ABS(L2104)&lt;'Sollecitazioni nel paramento'!$G$58,ABS(L2104)*'Sollecitazioni nel paramento'!$G$54,'Sollecitazioni nel paramento'!$G$53)*IF(L2104&lt;0,-1,1)</f>
        <v>-61111.281145132518</v>
      </c>
      <c r="S2104" s="545">
        <f>'Foglio deposito bis'!$F$80*IF(ABS(M2104)&lt;'Sollecitazioni nel paramento'!$G$58,ABS(M2104)*'Sollecitazioni nel paramento'!$G$54,'Sollecitazioni nel paramento'!$G$53)*IF(M2104&lt;0,-1,1)</f>
        <v>0</v>
      </c>
      <c r="T2104" s="545">
        <f>'Foglio deposito bis'!$F$81*IF(ABS(N2104)&lt;'Sollecitazioni nel paramento'!$G$58,ABS(N2104)*'Sollecitazioni nel paramento'!$G$54,'Sollecitazioni nel paramento'!$G$53)*IF(N2104&lt;0,-1,1)</f>
        <v>398299.31208121032</v>
      </c>
      <c r="U2104" s="545">
        <f>'Foglio deposito bis'!$F$82*IF(ABS(O2104)&lt;'Sollecitazioni nel paramento'!$G$58,ABS(O2104)*'Sollecitazioni nel paramento'!$G$54,'Sollecitazioni nel paramento'!$G$53)*IF(O2104&lt;0,-1,1)</f>
        <v>892485.49558937876</v>
      </c>
      <c r="V2104" s="472">
        <f t="shared" si="146"/>
        <v>-1685307.7918152148</v>
      </c>
      <c r="W2104" s="551"/>
      <c r="X2104" s="551"/>
    </row>
    <row r="2105" spans="1:24" x14ac:dyDescent="0.25">
      <c r="A2105" s="545">
        <f t="shared" si="145"/>
        <v>1766642.4722095616</v>
      </c>
      <c r="B2105" s="3">
        <f t="shared" si="148"/>
        <v>7.8999999999999924</v>
      </c>
      <c r="C2105" s="545">
        <f>'Foglio deposito bis'!$E$161/sezione!$B$247*B2105</f>
        <v>78.502116146075892</v>
      </c>
      <c r="D2105" s="603">
        <f>-'Sollecitazioni nel paramento'!$G$47*'Sollecitazioni nel paramento'!$G$41*IF(DATI!$G$211="dx",DATI!$E$61,DATI!$E$64*DATI!$E$63)*1000*C2105^2*sezione!$AD$5*(1-sezione!$AD$6)</f>
        <v>-137109123.01572907</v>
      </c>
      <c r="E2105" s="545">
        <f>-'Foglio deposito bis'!$F$78*(C2105-sezione!$AL$35)*IF(ABS(K2105)&lt;'Sollecitazioni nel paramento'!$G$58,ABS(K2105)*'Sollecitazioni nel paramento'!$G$54,'Sollecitazioni nel paramento'!$G$53)</f>
        <v>0</v>
      </c>
      <c r="F2105" s="545">
        <f>-'Foglio deposito bis'!$F$79*(C2105-sezione!$AM$35)*IF(ABS(L2105)&lt;'Sollecitazioni nel paramento'!$G$58,ABS(L2105)*'Sollecitazioni nel paramento'!$G$54,'Sollecitazioni nel paramento'!$G$53)</f>
        <v>-1234686.1946680883</v>
      </c>
      <c r="G2105" s="545">
        <f>-'Foglio deposito bis'!$F$80*(C2105-sezione!$AN$35)*IF(ABS(M2105)&lt;'Sollecitazioni nel paramento'!$G$58,ABS(M2105)*'Sollecitazioni nel paramento'!$G$54,'Sollecitazioni nel paramento'!$G$53)</f>
        <v>0</v>
      </c>
      <c r="H2105" s="545">
        <f>-'Foglio deposito bis'!$F$81*(C2105-sezione!$AO$35)*IF(ABS(N2105)&lt;'Sollecitazioni nel paramento'!$G$58,ABS(N2105)*'Sollecitazioni nel paramento'!$G$54,'Sollecitazioni nel paramento'!$G$53)</f>
        <v>32460551.075092353</v>
      </c>
      <c r="I2105" s="472">
        <f>-'Foglio deposito bis'!$F$82*(C2105-sezione!$AP$35)*IF(ABS(O2105)&lt;'Sollecitazioni nel paramento'!$G$58,ABS(O2105)*'Sollecitazioni nel paramento'!$G$54,'Sollecitazioni nel paramento'!$G$53)</f>
        <v>549628681.72166598</v>
      </c>
      <c r="J2105" s="472">
        <f t="shared" si="144"/>
        <v>443745423.58636117</v>
      </c>
      <c r="K2105" s="550">
        <f>'Sollecitazioni nel paramento'!$G$60*(sezione!$AL$35-C2105)/C2105</f>
        <v>-1.7166085849266853E-3</v>
      </c>
      <c r="L2105" s="550">
        <f>'Sollecitazioni nel paramento'!$G$60*(sezione!$AM$35-C2105)/C2105</f>
        <v>-8.2491287739002773E-4</v>
      </c>
      <c r="M2105" s="551">
        <f>'Sollecitazioni nel paramento'!$G$60*(sezione!$AN$35-C2105)/C2105</f>
        <v>6.6782830146629646E-5</v>
      </c>
      <c r="N2105" s="551">
        <f>'Sollecitazioni nel paramento'!$G$60*(sezione!$AO$35-C2105)/C2105</f>
        <v>3.6335656602932594E-3</v>
      </c>
      <c r="O2105" s="551">
        <f>'Sollecitazioni nel paramento'!$G$60*(sezione!$AP$35-C2105)/C2105</f>
        <v>2.7457114914040619E-2</v>
      </c>
      <c r="P2105" s="545">
        <f>-'Sollecitazioni nel paramento'!$G$47*'Sollecitazioni nel paramento'!$G$41*IF(DATI!$G$211="dx",DATI!$E$61,DATI!$E$64*DATI!$E$63)*1000*C2105*sezione!$AD$5</f>
        <v>-2990695.1188170523</v>
      </c>
      <c r="Q2105" s="545">
        <f>'Foglio deposito bis'!$F$78*IF(ABS(K2105)&lt;'Sollecitazioni nel paramento'!$G$58,ABS(K2105)*'Sollecitazioni nel paramento'!$G$54,'Sollecitazioni nel paramento'!$G$53)*IF(K2105&lt;0,-1,1)</f>
        <v>0</v>
      </c>
      <c r="R2105" s="545">
        <f>'Foglio deposito bis'!$F$79*IF(ABS(L2105)&lt;'Sollecitazioni nel paramento'!$G$58,ABS(L2105)*'Sollecitazioni nel paramento'!$G$54,'Sollecitazioni nel paramento'!$G$53)*IF(L2105&lt;0,-1,1)</f>
        <v>-66732.16106309832</v>
      </c>
      <c r="S2105" s="545">
        <f>'Foglio deposito bis'!$F$80*IF(ABS(M2105)&lt;'Sollecitazioni nel paramento'!$G$58,ABS(M2105)*'Sollecitazioni nel paramento'!$G$54,'Sollecitazioni nel paramento'!$G$53)*IF(M2105&lt;0,-1,1)</f>
        <v>0</v>
      </c>
      <c r="T2105" s="545">
        <f>'Foglio deposito bis'!$F$81*IF(ABS(N2105)&lt;'Sollecitazioni nel paramento'!$G$58,ABS(N2105)*'Sollecitazioni nel paramento'!$G$54,'Sollecitazioni nel paramento'!$G$53)*IF(N2105&lt;0,-1,1)</f>
        <v>398299.31208121032</v>
      </c>
      <c r="U2105" s="545">
        <f>'Foglio deposito bis'!$F$82*IF(ABS(O2105)&lt;'Sollecitazioni nel paramento'!$G$58,ABS(O2105)*'Sollecitazioni nel paramento'!$G$54,'Sollecitazioni nel paramento'!$G$53)*IF(O2105&lt;0,-1,1)</f>
        <v>892485.49558937876</v>
      </c>
      <c r="V2105" s="472">
        <f t="shared" si="146"/>
        <v>-1766642.4722095616</v>
      </c>
      <c r="W2105" s="551"/>
      <c r="X2105" s="551"/>
    </row>
    <row r="2106" spans="1:24" x14ac:dyDescent="0.25">
      <c r="A2106" s="545">
        <f t="shared" si="145"/>
        <v>1847699.5782869719</v>
      </c>
      <c r="B2106" s="3">
        <f t="shared" si="148"/>
        <v>8.0999999999999925</v>
      </c>
      <c r="C2106" s="545">
        <f>'Foglio deposito bis'!$E$161/sezione!$B$247*B2106</f>
        <v>80.489511491546168</v>
      </c>
      <c r="D2106" s="603">
        <f>-'Sollecitazioni nel paramento'!$G$47*'Sollecitazioni nel paramento'!$G$41*IF(DATI!$G$211="dx",DATI!$E$61,DATI!$E$64*DATI!$E$63)*1000*C2106^2*sezione!$AD$5*(1-sezione!$AD$6)</f>
        <v>-144139233.47319314</v>
      </c>
      <c r="E2106" s="545">
        <f>-'Foglio deposito bis'!$F$78*(C2106-sezione!$AL$35)*IF(ABS(K2106)&lt;'Sollecitazioni nel paramento'!$G$58,ABS(K2106)*'Sollecitazioni nel paramento'!$G$54,'Sollecitazioni nel paramento'!$G$53)</f>
        <v>0</v>
      </c>
      <c r="F2106" s="545">
        <f>-'Foglio deposito bis'!$F$79*(C2106-sezione!$AM$35)*IF(ABS(L2106)&lt;'Sollecitazioni nel paramento'!$G$58,ABS(L2106)*'Sollecitazioni nel paramento'!$G$54,'Sollecitazioni nel paramento'!$G$53)</f>
        <v>-1476791.1024731933</v>
      </c>
      <c r="G2106" s="545">
        <f>-'Foglio deposito bis'!$F$80*(C2106-sezione!$AN$35)*IF(ABS(M2106)&lt;'Sollecitazioni nel paramento'!$G$58,ABS(M2106)*'Sollecitazioni nel paramento'!$G$54,'Sollecitazioni nel paramento'!$G$53)</f>
        <v>0</v>
      </c>
      <c r="H2106" s="545">
        <f>-'Foglio deposito bis'!$F$81*(C2106-sezione!$AO$35)*IF(ABS(N2106)&lt;'Sollecitazioni nel paramento'!$G$58,ABS(N2106)*'Sollecitazioni nel paramento'!$G$54,'Sollecitazioni nel paramento'!$G$53)</f>
        <v>31668972.876158141</v>
      </c>
      <c r="I2106" s="472">
        <f>-'Foglio deposito bis'!$F$82*(C2106-sezione!$AP$35)*IF(ABS(O2106)&lt;'Sollecitazioni nel paramento'!$G$58,ABS(O2106)*'Sollecitazioni nel paramento'!$G$54,'Sollecitazioni nel paramento'!$G$53)</f>
        <v>547854960.20183194</v>
      </c>
      <c r="J2106" s="472">
        <f t="shared" si="144"/>
        <v>433907908.50232375</v>
      </c>
      <c r="K2106" s="550">
        <f>'Sollecitazioni nel paramento'!$G$60*(sezione!$AL$35-C2106)/C2106</f>
        <v>-1.7606429408544215E-3</v>
      </c>
      <c r="L2106" s="550">
        <f>'Sollecitazioni nel paramento'!$G$60*(sezione!$AM$35-C2106)/C2106</f>
        <v>-8.9096441128163207E-4</v>
      </c>
      <c r="M2106" s="551">
        <f>'Sollecitazioni nel paramento'!$G$60*(sezione!$AN$35-C2106)/C2106</f>
        <v>-2.1285881708842694E-5</v>
      </c>
      <c r="N2106" s="551">
        <f>'Sollecitazioni nel paramento'!$G$60*(sezione!$AO$35-C2106)/C2106</f>
        <v>3.4574282365823147E-3</v>
      </c>
      <c r="O2106" s="551">
        <f>'Sollecitazioni nel paramento'!$G$60*(sezione!$AP$35-C2106)/C2106</f>
        <v>2.6692741706286525E-2</v>
      </c>
      <c r="P2106" s="545">
        <f>-'Sollecitazioni nel paramento'!$G$47*'Sollecitazioni nel paramento'!$G$41*IF(DATI!$G$211="dx",DATI!$E$61,DATI!$E$64*DATI!$E$63)*1000*C2106*sezione!$AD$5</f>
        <v>-3066408.9192934334</v>
      </c>
      <c r="Q2106" s="545">
        <f>'Foglio deposito bis'!$F$78*IF(ABS(K2106)&lt;'Sollecitazioni nel paramento'!$G$58,ABS(K2106)*'Sollecitazioni nel paramento'!$G$54,'Sollecitazioni nel paramento'!$G$53)*IF(K2106&lt;0,-1,1)</f>
        <v>0</v>
      </c>
      <c r="R2106" s="545">
        <f>'Foglio deposito bis'!$F$79*IF(ABS(L2106)&lt;'Sollecitazioni nel paramento'!$G$58,ABS(L2106)*'Sollecitazioni nel paramento'!$G$54,'Sollecitazioni nel paramento'!$G$53)*IF(L2106&lt;0,-1,1)</f>
        <v>-72075.466664127511</v>
      </c>
      <c r="S2106" s="545">
        <f>'Foglio deposito bis'!$F$80*IF(ABS(M2106)&lt;'Sollecitazioni nel paramento'!$G$58,ABS(M2106)*'Sollecitazioni nel paramento'!$G$54,'Sollecitazioni nel paramento'!$G$53)*IF(M2106&lt;0,-1,1)</f>
        <v>0</v>
      </c>
      <c r="T2106" s="545">
        <f>'Foglio deposito bis'!$F$81*IF(ABS(N2106)&lt;'Sollecitazioni nel paramento'!$G$58,ABS(N2106)*'Sollecitazioni nel paramento'!$G$54,'Sollecitazioni nel paramento'!$G$53)*IF(N2106&lt;0,-1,1)</f>
        <v>398299.31208121032</v>
      </c>
      <c r="U2106" s="545">
        <f>'Foglio deposito bis'!$F$82*IF(ABS(O2106)&lt;'Sollecitazioni nel paramento'!$G$58,ABS(O2106)*'Sollecitazioni nel paramento'!$G$54,'Sollecitazioni nel paramento'!$G$53)*IF(O2106&lt;0,-1,1)</f>
        <v>892485.49558937876</v>
      </c>
      <c r="V2106" s="472">
        <f t="shared" si="146"/>
        <v>-1847699.5782869719</v>
      </c>
      <c r="W2106" s="551"/>
      <c r="X2106" s="551"/>
    </row>
    <row r="2107" spans="1:24" x14ac:dyDescent="0.25">
      <c r="A2107" s="545">
        <f t="shared" si="145"/>
        <v>1928499.1756607178</v>
      </c>
      <c r="B2107" s="3">
        <f t="shared" si="148"/>
        <v>8.2999999999999918</v>
      </c>
      <c r="C2107" s="545">
        <f>'Foglio deposito bis'!$E$161/sezione!$B$247*B2107</f>
        <v>82.476906837016429</v>
      </c>
      <c r="D2107" s="603">
        <f>-'Sollecitazioni nel paramento'!$G$47*'Sollecitazioni nel paramento'!$G$41*IF(DATI!$G$211="dx",DATI!$E$61,DATI!$E$64*DATI!$E$63)*1000*C2107^2*sezione!$AD$5*(1-sezione!$AD$6)</f>
        <v>-151345096.69209376</v>
      </c>
      <c r="E2107" s="545">
        <f>-'Foglio deposito bis'!$F$78*(C2107-sezione!$AL$35)*IF(ABS(K2107)&lt;'Sollecitazioni nel paramento'!$G$58,ABS(K2107)*'Sollecitazioni nel paramento'!$G$54,'Sollecitazioni nel paramento'!$G$53)</f>
        <v>0</v>
      </c>
      <c r="F2107" s="545">
        <f>-'Foglio deposito bis'!$F$79*(C2107-sezione!$AM$35)*IF(ABS(L2107)&lt;'Sollecitazioni nel paramento'!$G$58,ABS(L2107)*'Sollecitazioni nel paramento'!$G$54,'Sollecitazioni nel paramento'!$G$53)</f>
        <v>-1734346.5324981394</v>
      </c>
      <c r="G2107" s="545">
        <f>-'Foglio deposito bis'!$F$80*(C2107-sezione!$AN$35)*IF(ABS(M2107)&lt;'Sollecitazioni nel paramento'!$G$58,ABS(M2107)*'Sollecitazioni nel paramento'!$G$54,'Sollecitazioni nel paramento'!$G$53)</f>
        <v>0</v>
      </c>
      <c r="H2107" s="545">
        <f>-'Foglio deposito bis'!$F$81*(C2107-sezione!$AO$35)*IF(ABS(N2107)&lt;'Sollecitazioni nel paramento'!$G$58,ABS(N2107)*'Sollecitazioni nel paramento'!$G$54,'Sollecitazioni nel paramento'!$G$53)</f>
        <v>30877394.677223936</v>
      </c>
      <c r="I2107" s="472">
        <f>-'Foglio deposito bis'!$F$82*(C2107-sezione!$AP$35)*IF(ABS(O2107)&lt;'Sollecitazioni nel paramento'!$G$58,ABS(O2107)*'Sollecitazioni nel paramento'!$G$54,'Sollecitazioni nel paramento'!$G$53)</f>
        <v>546081238.6819979</v>
      </c>
      <c r="J2107" s="472">
        <f t="shared" si="144"/>
        <v>423879190.13462991</v>
      </c>
      <c r="K2107" s="550">
        <f>'Sollecitazioni nel paramento'!$G$60*(sezione!$AL$35-C2107)/C2107</f>
        <v>-1.8025551591470857E-3</v>
      </c>
      <c r="L2107" s="550">
        <f>'Sollecitazioni nel paramento'!$G$60*(sezione!$AM$35-C2107)/C2107</f>
        <v>-9.5383273872062845E-4</v>
      </c>
      <c r="M2107" s="551">
        <f>'Sollecitazioni nel paramento'!$G$60*(sezione!$AN$35-C2107)/C2107</f>
        <v>-1.0511031829417121E-4</v>
      </c>
      <c r="N2107" s="551">
        <f>'Sollecitazioni nel paramento'!$G$60*(sezione!$AO$35-C2107)/C2107</f>
        <v>3.2897793634116576E-3</v>
      </c>
      <c r="O2107" s="551">
        <f>'Sollecitazioni nel paramento'!$G$60*(sezione!$AP$35-C2107)/C2107</f>
        <v>2.5965205761556739E-2</v>
      </c>
      <c r="P2107" s="545">
        <f>-'Sollecitazioni nel paramento'!$G$47*'Sollecitazioni nel paramento'!$G$41*IF(DATI!$G$211="dx",DATI!$E$61,DATI!$E$64*DATI!$E$63)*1000*C2107*sezione!$AD$5</f>
        <v>-3142122.7197698141</v>
      </c>
      <c r="Q2107" s="545">
        <f>'Foglio deposito bis'!$F$78*IF(ABS(K2107)&lt;'Sollecitazioni nel paramento'!$G$58,ABS(K2107)*'Sollecitazioni nel paramento'!$G$54,'Sollecitazioni nel paramento'!$G$53)*IF(K2107&lt;0,-1,1)</f>
        <v>0</v>
      </c>
      <c r="R2107" s="545">
        <f>'Foglio deposito bis'!$F$79*IF(ABS(L2107)&lt;'Sollecitazioni nel paramento'!$G$58,ABS(L2107)*'Sollecitazioni nel paramento'!$G$54,'Sollecitazioni nel paramento'!$G$53)*IF(L2107&lt;0,-1,1)</f>
        <v>-77161.263561492597</v>
      </c>
      <c r="S2107" s="545">
        <f>'Foglio deposito bis'!$F$80*IF(ABS(M2107)&lt;'Sollecitazioni nel paramento'!$G$58,ABS(M2107)*'Sollecitazioni nel paramento'!$G$54,'Sollecitazioni nel paramento'!$G$53)*IF(M2107&lt;0,-1,1)</f>
        <v>0</v>
      </c>
      <c r="T2107" s="545">
        <f>'Foglio deposito bis'!$F$81*IF(ABS(N2107)&lt;'Sollecitazioni nel paramento'!$G$58,ABS(N2107)*'Sollecitazioni nel paramento'!$G$54,'Sollecitazioni nel paramento'!$G$53)*IF(N2107&lt;0,-1,1)</f>
        <v>398299.31208121032</v>
      </c>
      <c r="U2107" s="545">
        <f>'Foglio deposito bis'!$F$82*IF(ABS(O2107)&lt;'Sollecitazioni nel paramento'!$G$58,ABS(O2107)*'Sollecitazioni nel paramento'!$G$54,'Sollecitazioni nel paramento'!$G$53)*IF(O2107&lt;0,-1,1)</f>
        <v>892485.49558937876</v>
      </c>
      <c r="V2107" s="472">
        <f t="shared" si="146"/>
        <v>-1928499.1756607178</v>
      </c>
      <c r="W2107" s="551"/>
      <c r="X2107" s="551"/>
    </row>
    <row r="2108" spans="1:24" x14ac:dyDescent="0.25">
      <c r="A2108" s="545">
        <f t="shared" si="145"/>
        <v>2009059.4414157644</v>
      </c>
      <c r="B2108" s="3">
        <f t="shared" si="148"/>
        <v>8.4999999999999911</v>
      </c>
      <c r="C2108" s="545">
        <f>'Foglio deposito bis'!$E$161/sezione!$B$247*B2108</f>
        <v>84.464302182486705</v>
      </c>
      <c r="D2108" s="603">
        <f>-'Sollecitazioni nel paramento'!$G$47*'Sollecitazioni nel paramento'!$G$41*IF(DATI!$G$211="dx",DATI!$E$61,DATI!$E$64*DATI!$E$63)*1000*C2108^2*sezione!$AD$5*(1-sezione!$AD$6)</f>
        <v>-158726712.67243102</v>
      </c>
      <c r="E2108" s="545">
        <f>-'Foglio deposito bis'!$F$78*(C2108-sezione!$AL$35)*IF(ABS(K2108)&lt;'Sollecitazioni nel paramento'!$G$58,ABS(K2108)*'Sollecitazioni nel paramento'!$G$54,'Sollecitazioni nel paramento'!$G$53)</f>
        <v>0</v>
      </c>
      <c r="F2108" s="545">
        <f>-'Foglio deposito bis'!$F$79*(C2108-sezione!$AM$35)*IF(ABS(L2108)&lt;'Sollecitazioni nel paramento'!$G$58,ABS(L2108)*'Sollecitazioni nel paramento'!$G$54,'Sollecitazioni nel paramento'!$G$53)</f>
        <v>-2006261.8596450593</v>
      </c>
      <c r="G2108" s="545">
        <f>-'Foglio deposito bis'!$F$80*(C2108-sezione!$AN$35)*IF(ABS(M2108)&lt;'Sollecitazioni nel paramento'!$G$58,ABS(M2108)*'Sollecitazioni nel paramento'!$G$54,'Sollecitazioni nel paramento'!$G$53)</f>
        <v>0</v>
      </c>
      <c r="H2108" s="545">
        <f>-'Foglio deposito bis'!$F$81*(C2108-sezione!$AO$35)*IF(ABS(N2108)&lt;'Sollecitazioni nel paramento'!$G$58,ABS(N2108)*'Sollecitazioni nel paramento'!$G$54,'Sollecitazioni nel paramento'!$G$53)</f>
        <v>30085816.478289723</v>
      </c>
      <c r="I2108" s="472">
        <f>-'Foglio deposito bis'!$F$82*(C2108-sezione!$AP$35)*IF(ABS(O2108)&lt;'Sollecitazioni nel paramento'!$G$58,ABS(O2108)*'Sollecitazioni nel paramento'!$G$54,'Sollecitazioni nel paramento'!$G$53)</f>
        <v>544307517.16216385</v>
      </c>
      <c r="J2108" s="472">
        <f t="shared" si="144"/>
        <v>413660359.10837746</v>
      </c>
      <c r="K2108" s="550">
        <f>'Sollecitazioni nel paramento'!$G$60*(sezione!$AL$35-C2108)/C2108</f>
        <v>-1.8424950377553895E-3</v>
      </c>
      <c r="L2108" s="550">
        <f>'Sollecitazioni nel paramento'!$G$60*(sezione!$AM$35-C2108)/C2108</f>
        <v>-1.0137425566330842E-3</v>
      </c>
      <c r="M2108" s="551">
        <f>'Sollecitazioni nel paramento'!$G$60*(sezione!$AN$35-C2108)/C2108</f>
        <v>-1.8499007551077895E-4</v>
      </c>
      <c r="N2108" s="551">
        <f>'Sollecitazioni nel paramento'!$G$60*(sezione!$AO$35-C2108)/C2108</f>
        <v>3.1300198489784422E-3</v>
      </c>
      <c r="O2108" s="551">
        <f>'Sollecitazioni nel paramento'!$G$60*(sezione!$AP$35-C2108)/C2108</f>
        <v>2.5271906802461282E-2</v>
      </c>
      <c r="P2108" s="545">
        <f>-'Sollecitazioni nel paramento'!$G$47*'Sollecitazioni nel paramento'!$G$41*IF(DATI!$G$211="dx",DATI!$E$61,DATI!$E$64*DATI!$E$63)*1000*C2108*sezione!$AD$5</f>
        <v>-3217836.5202461951</v>
      </c>
      <c r="Q2108" s="545">
        <f>'Foglio deposito bis'!$F$78*IF(ABS(K2108)&lt;'Sollecitazioni nel paramento'!$G$58,ABS(K2108)*'Sollecitazioni nel paramento'!$G$54,'Sollecitazioni nel paramento'!$G$53)*IF(K2108&lt;0,-1,1)</f>
        <v>0</v>
      </c>
      <c r="R2108" s="545">
        <f>'Foglio deposito bis'!$F$79*IF(ABS(L2108)&lt;'Sollecitazioni nel paramento'!$G$58,ABS(L2108)*'Sollecitazioni nel paramento'!$G$54,'Sollecitazioni nel paramento'!$G$53)*IF(L2108&lt;0,-1,1)</f>
        <v>-82007.728840158175</v>
      </c>
      <c r="S2108" s="545">
        <f>'Foglio deposito bis'!$F$80*IF(ABS(M2108)&lt;'Sollecitazioni nel paramento'!$G$58,ABS(M2108)*'Sollecitazioni nel paramento'!$G$54,'Sollecitazioni nel paramento'!$G$53)*IF(M2108&lt;0,-1,1)</f>
        <v>0</v>
      </c>
      <c r="T2108" s="545">
        <f>'Foglio deposito bis'!$F$81*IF(ABS(N2108)&lt;'Sollecitazioni nel paramento'!$G$58,ABS(N2108)*'Sollecitazioni nel paramento'!$G$54,'Sollecitazioni nel paramento'!$G$53)*IF(N2108&lt;0,-1,1)</f>
        <v>398299.31208121032</v>
      </c>
      <c r="U2108" s="545">
        <f>'Foglio deposito bis'!$F$82*IF(ABS(O2108)&lt;'Sollecitazioni nel paramento'!$G$58,ABS(O2108)*'Sollecitazioni nel paramento'!$G$54,'Sollecitazioni nel paramento'!$G$53)*IF(O2108&lt;0,-1,1)</f>
        <v>892485.49558937876</v>
      </c>
      <c r="V2108" s="472">
        <f t="shared" si="146"/>
        <v>-2009059.4414157644</v>
      </c>
      <c r="W2108" s="551"/>
      <c r="X2108" s="551"/>
    </row>
    <row r="2109" spans="1:24" x14ac:dyDescent="0.25">
      <c r="A2109" s="545">
        <f t="shared" si="145"/>
        <v>2089396.8811809872</v>
      </c>
      <c r="B2109" s="3">
        <f t="shared" si="148"/>
        <v>8.6999999999999904</v>
      </c>
      <c r="C2109" s="545">
        <f>'Foglio deposito bis'!$E$161/sezione!$B$247*B2109</f>
        <v>86.451697527956981</v>
      </c>
      <c r="D2109" s="603">
        <f>-'Sollecitazioni nel paramento'!$G$47*'Sollecitazioni nel paramento'!$G$41*IF(DATI!$G$211="dx",DATI!$E$61,DATI!$E$64*DATI!$E$63)*1000*C2109^2*sezione!$AD$5*(1-sezione!$AD$6)</f>
        <v>-166284081.41420493</v>
      </c>
      <c r="E2109" s="545">
        <f>-'Foglio deposito bis'!$F$78*(C2109-sezione!$AL$35)*IF(ABS(K2109)&lt;'Sollecitazioni nel paramento'!$G$58,ABS(K2109)*'Sollecitazioni nel paramento'!$G$54,'Sollecitazioni nel paramento'!$G$53)</f>
        <v>0</v>
      </c>
      <c r="F2109" s="545">
        <f>-'Foglio deposito bis'!$F$79*(C2109-sezione!$AM$35)*IF(ABS(L2109)&lt;'Sollecitazioni nel paramento'!$G$58,ABS(L2109)*'Sollecitazioni nel paramento'!$G$54,'Sollecitazioni nel paramento'!$G$53)</f>
        <v>-2291546.7461814014</v>
      </c>
      <c r="G2109" s="545">
        <f>-'Foglio deposito bis'!$F$80*(C2109-sezione!$AN$35)*IF(ABS(M2109)&lt;'Sollecitazioni nel paramento'!$G$58,ABS(M2109)*'Sollecitazioni nel paramento'!$G$54,'Sollecitazioni nel paramento'!$G$53)</f>
        <v>0</v>
      </c>
      <c r="H2109" s="545">
        <f>-'Foglio deposito bis'!$F$81*(C2109-sezione!$AO$35)*IF(ABS(N2109)&lt;'Sollecitazioni nel paramento'!$G$58,ABS(N2109)*'Sollecitazioni nel paramento'!$G$54,'Sollecitazioni nel paramento'!$G$53)</f>
        <v>29294238.279355511</v>
      </c>
      <c r="I2109" s="472">
        <f>-'Foglio deposito bis'!$F$82*(C2109-sezione!$AP$35)*IF(ABS(O2109)&lt;'Sollecitazioni nel paramento'!$G$58,ABS(O2109)*'Sollecitazioni nel paramento'!$G$54,'Sollecitazioni nel paramento'!$G$53)</f>
        <v>542533795.64232969</v>
      </c>
      <c r="J2109" s="472">
        <f t="shared" si="144"/>
        <v>403252405.76129889</v>
      </c>
      <c r="K2109" s="550">
        <f>'Sollecitazioni nel paramento'!$G$60*(sezione!$AL$35-C2109)/C2109</f>
        <v>-1.8805986001058403E-3</v>
      </c>
      <c r="L2109" s="550">
        <f>'Sollecitazioni nel paramento'!$G$60*(sezione!$AM$35-C2109)/C2109</f>
        <v>-1.0708979001587604E-3</v>
      </c>
      <c r="M2109" s="551">
        <f>'Sollecitazioni nel paramento'!$G$60*(sezione!$AN$35-C2109)/C2109</f>
        <v>-2.6119720021168064E-4</v>
      </c>
      <c r="N2109" s="551">
        <f>'Sollecitazioni nel paramento'!$G$60*(sezione!$AO$35-C2109)/C2109</f>
        <v>2.9776055995766391E-3</v>
      </c>
      <c r="O2109" s="551">
        <f>'Sollecitazioni nel paramento'!$G$60*(sezione!$AP$35-C2109)/C2109</f>
        <v>2.4610483657577117E-2</v>
      </c>
      <c r="P2109" s="545">
        <f>-'Sollecitazioni nel paramento'!$G$47*'Sollecitazioni nel paramento'!$G$41*IF(DATI!$G$211="dx",DATI!$E$61,DATI!$E$64*DATI!$E$63)*1000*C2109*sezione!$AD$5</f>
        <v>-3293550.3207225762</v>
      </c>
      <c r="Q2109" s="545">
        <f>'Foglio deposito bis'!$F$78*IF(ABS(K2109)&lt;'Sollecitazioni nel paramento'!$G$58,ABS(K2109)*'Sollecitazioni nel paramento'!$G$54,'Sollecitazioni nel paramento'!$G$53)*IF(K2109&lt;0,-1,1)</f>
        <v>0</v>
      </c>
      <c r="R2109" s="545">
        <f>'Foglio deposito bis'!$F$79*IF(ABS(L2109)&lt;'Sollecitazioni nel paramento'!$G$58,ABS(L2109)*'Sollecitazioni nel paramento'!$G$54,'Sollecitazioni nel paramento'!$G$53)*IF(L2109&lt;0,-1,1)</f>
        <v>-86631.368129000053</v>
      </c>
      <c r="S2109" s="545">
        <f>'Foglio deposito bis'!$F$80*IF(ABS(M2109)&lt;'Sollecitazioni nel paramento'!$G$58,ABS(M2109)*'Sollecitazioni nel paramento'!$G$54,'Sollecitazioni nel paramento'!$G$53)*IF(M2109&lt;0,-1,1)</f>
        <v>0</v>
      </c>
      <c r="T2109" s="545">
        <f>'Foglio deposito bis'!$F$81*IF(ABS(N2109)&lt;'Sollecitazioni nel paramento'!$G$58,ABS(N2109)*'Sollecitazioni nel paramento'!$G$54,'Sollecitazioni nel paramento'!$G$53)*IF(N2109&lt;0,-1,1)</f>
        <v>398299.31208121032</v>
      </c>
      <c r="U2109" s="545">
        <f>'Foglio deposito bis'!$F$82*IF(ABS(O2109)&lt;'Sollecitazioni nel paramento'!$G$58,ABS(O2109)*'Sollecitazioni nel paramento'!$G$54,'Sollecitazioni nel paramento'!$G$53)*IF(O2109&lt;0,-1,1)</f>
        <v>892485.49558937876</v>
      </c>
      <c r="V2109" s="472">
        <f t="shared" si="146"/>
        <v>-2089396.8811809872</v>
      </c>
      <c r="W2109" s="551"/>
      <c r="X2109" s="551"/>
    </row>
    <row r="2110" spans="1:24" x14ac:dyDescent="0.25">
      <c r="A2110" s="545">
        <f t="shared" si="145"/>
        <v>2169526.5169332279</v>
      </c>
      <c r="B2110" s="3">
        <f t="shared" si="148"/>
        <v>8.8999999999999897</v>
      </c>
      <c r="C2110" s="545">
        <f>'Foglio deposito bis'!$E$161/sezione!$B$247*B2110</f>
        <v>88.439092873427242</v>
      </c>
      <c r="D2110" s="603">
        <f>-'Sollecitazioni nel paramento'!$G$47*'Sollecitazioni nel paramento'!$G$41*IF(DATI!$G$211="dx",DATI!$E$61,DATI!$E$64*DATI!$E$63)*1000*C2110^2*sezione!$AD$5*(1-sezione!$AD$6)</f>
        <v>-174017202.91741538</v>
      </c>
      <c r="E2110" s="545">
        <f>-'Foglio deposito bis'!$F$78*(C2110-sezione!$AL$35)*IF(ABS(K2110)&lt;'Sollecitazioni nel paramento'!$G$58,ABS(K2110)*'Sollecitazioni nel paramento'!$G$54,'Sollecitazioni nel paramento'!$G$53)</f>
        <v>0</v>
      </c>
      <c r="F2110" s="545">
        <f>-'Foglio deposito bis'!$F$79*(C2110-sezione!$AM$35)*IF(ABS(L2110)&lt;'Sollecitazioni nel paramento'!$G$58,ABS(L2110)*'Sollecitazioni nel paramento'!$G$54,'Sollecitazioni nel paramento'!$G$53)</f>
        <v>-2589299.8734966419</v>
      </c>
      <c r="G2110" s="545">
        <f>-'Foglio deposito bis'!$F$80*(C2110-sezione!$AN$35)*IF(ABS(M2110)&lt;'Sollecitazioni nel paramento'!$G$58,ABS(M2110)*'Sollecitazioni nel paramento'!$G$54,'Sollecitazioni nel paramento'!$G$53)</f>
        <v>0</v>
      </c>
      <c r="H2110" s="545">
        <f>-'Foglio deposito bis'!$F$81*(C2110-sezione!$AO$35)*IF(ABS(N2110)&lt;'Sollecitazioni nel paramento'!$G$58,ABS(N2110)*'Sollecitazioni nel paramento'!$G$54,'Sollecitazioni nel paramento'!$G$53)</f>
        <v>28502660.080421314</v>
      </c>
      <c r="I2110" s="472">
        <f>-'Foglio deposito bis'!$F$82*(C2110-sezione!$AP$35)*IF(ABS(O2110)&lt;'Sollecitazioni nel paramento'!$G$58,ABS(O2110)*'Sollecitazioni nel paramento'!$G$54,'Sollecitazioni nel paramento'!$G$53)</f>
        <v>540760074.12249565</v>
      </c>
      <c r="J2110" s="472">
        <f t="shared" si="144"/>
        <v>392656231.41200495</v>
      </c>
      <c r="K2110" s="550">
        <f>'Sollecitazioni nel paramento'!$G$60*(sezione!$AL$35-C2110)/C2110</f>
        <v>-1.916989642800091E-3</v>
      </c>
      <c r="L2110" s="550">
        <f>'Sollecitazioni nel paramento'!$G$60*(sezione!$AM$35-C2110)/C2110</f>
        <v>-1.1254844642001362E-3</v>
      </c>
      <c r="M2110" s="551">
        <f>'Sollecitazioni nel paramento'!$G$60*(sezione!$AN$35-C2110)/C2110</f>
        <v>-3.3397928560018167E-4</v>
      </c>
      <c r="N2110" s="551">
        <f>'Sollecitazioni nel paramento'!$G$60*(sezione!$AO$35-C2110)/C2110</f>
        <v>2.8320414287996368E-3</v>
      </c>
      <c r="O2110" s="551">
        <f>'Sollecitazioni nel paramento'!$G$60*(sezione!$AP$35-C2110)/C2110</f>
        <v>2.3978787395609096E-2</v>
      </c>
      <c r="P2110" s="545">
        <f>-'Sollecitazioni nel paramento'!$G$47*'Sollecitazioni nel paramento'!$G$41*IF(DATI!$G$211="dx",DATI!$E$61,DATI!$E$64*DATI!$E$63)*1000*C2110*sezione!$AD$5</f>
        <v>-3369264.1211989569</v>
      </c>
      <c r="Q2110" s="545">
        <f>'Foglio deposito bis'!$F$78*IF(ABS(K2110)&lt;'Sollecitazioni nel paramento'!$G$58,ABS(K2110)*'Sollecitazioni nel paramento'!$G$54,'Sollecitazioni nel paramento'!$G$53)*IF(K2110&lt;0,-1,1)</f>
        <v>0</v>
      </c>
      <c r="R2110" s="545">
        <f>'Foglio deposito bis'!$F$79*IF(ABS(L2110)&lt;'Sollecitazioni nel paramento'!$G$58,ABS(L2110)*'Sollecitazioni nel paramento'!$G$54,'Sollecitazioni nel paramento'!$G$53)*IF(L2110&lt;0,-1,1)</f>
        <v>-91047.203404860251</v>
      </c>
      <c r="S2110" s="545">
        <f>'Foglio deposito bis'!$F$80*IF(ABS(M2110)&lt;'Sollecitazioni nel paramento'!$G$58,ABS(M2110)*'Sollecitazioni nel paramento'!$G$54,'Sollecitazioni nel paramento'!$G$53)*IF(M2110&lt;0,-1,1)</f>
        <v>0</v>
      </c>
      <c r="T2110" s="545">
        <f>'Foglio deposito bis'!$F$81*IF(ABS(N2110)&lt;'Sollecitazioni nel paramento'!$G$58,ABS(N2110)*'Sollecitazioni nel paramento'!$G$54,'Sollecitazioni nel paramento'!$G$53)*IF(N2110&lt;0,-1,1)</f>
        <v>398299.31208121032</v>
      </c>
      <c r="U2110" s="545">
        <f>'Foglio deposito bis'!$F$82*IF(ABS(O2110)&lt;'Sollecitazioni nel paramento'!$G$58,ABS(O2110)*'Sollecitazioni nel paramento'!$G$54,'Sollecitazioni nel paramento'!$G$53)*IF(O2110&lt;0,-1,1)</f>
        <v>892485.49558937876</v>
      </c>
      <c r="V2110" s="472">
        <f t="shared" si="146"/>
        <v>-2169526.5169332279</v>
      </c>
      <c r="W2110" s="551"/>
      <c r="X2110" s="551"/>
    </row>
    <row r="2111" spans="1:24" x14ac:dyDescent="0.25">
      <c r="A2111" s="545">
        <f t="shared" si="145"/>
        <v>2249462.0500359815</v>
      </c>
      <c r="B2111" s="3">
        <f t="shared" si="148"/>
        <v>9.099999999999989</v>
      </c>
      <c r="C2111" s="545">
        <f>'Foglio deposito bis'!$E$161/sezione!$B$247*B2111</f>
        <v>90.426488218897518</v>
      </c>
      <c r="D2111" s="603">
        <f>-'Sollecitazioni nel paramento'!$G$47*'Sollecitazioni nel paramento'!$G$41*IF(DATI!$G$211="dx",DATI!$E$61,DATI!$E$64*DATI!$E$63)*1000*C2111^2*sezione!$AD$5*(1-sezione!$AD$6)</f>
        <v>-181926077.18206242</v>
      </c>
      <c r="E2111" s="545">
        <f>-'Foglio deposito bis'!$F$78*(C2111-sezione!$AL$35)*IF(ABS(K2111)&lt;'Sollecitazioni nel paramento'!$G$58,ABS(K2111)*'Sollecitazioni nel paramento'!$G$54,'Sollecitazioni nel paramento'!$G$53)</f>
        <v>0</v>
      </c>
      <c r="F2111" s="545">
        <f>-'Foglio deposito bis'!$F$79*(C2111-sezione!$AM$35)*IF(ABS(L2111)&lt;'Sollecitazioni nel paramento'!$G$58,ABS(L2111)*'Sollecitazioni nel paramento'!$G$54,'Sollecitazioni nel paramento'!$G$53)</f>
        <v>-2898699.1597811854</v>
      </c>
      <c r="G2111" s="545">
        <f>-'Foglio deposito bis'!$F$80*(C2111-sezione!$AN$35)*IF(ABS(M2111)&lt;'Sollecitazioni nel paramento'!$G$58,ABS(M2111)*'Sollecitazioni nel paramento'!$G$54,'Sollecitazioni nel paramento'!$G$53)</f>
        <v>0</v>
      </c>
      <c r="H2111" s="545">
        <f>-'Foglio deposito bis'!$F$81*(C2111-sezione!$AO$35)*IF(ABS(N2111)&lt;'Sollecitazioni nel paramento'!$G$58,ABS(N2111)*'Sollecitazioni nel paramento'!$G$54,'Sollecitazioni nel paramento'!$G$53)</f>
        <v>27711081.881487101</v>
      </c>
      <c r="I2111" s="472">
        <f>-'Foglio deposito bis'!$F$82*(C2111-sezione!$AP$35)*IF(ABS(O2111)&lt;'Sollecitazioni nel paramento'!$G$58,ABS(O2111)*'Sollecitazioni nel paramento'!$G$54,'Sollecitazioni nel paramento'!$G$53)</f>
        <v>538986352.60266173</v>
      </c>
      <c r="J2111" s="472">
        <f t="shared" si="144"/>
        <v>381872658.14230525</v>
      </c>
      <c r="K2111" s="550">
        <f>'Sollecitazioni nel paramento'!$G$60*(sezione!$AL$35-C2111)/C2111</f>
        <v>-1.9517810792220669E-3</v>
      </c>
      <c r="L2111" s="550">
        <f>'Sollecitazioni nel paramento'!$G$60*(sezione!$AM$35-C2111)/C2111</f>
        <v>-1.1776716188331004E-3</v>
      </c>
      <c r="M2111" s="551">
        <f>'Sollecitazioni nel paramento'!$G$60*(sezione!$AN$35-C2111)/C2111</f>
        <v>-4.0356215844413379E-4</v>
      </c>
      <c r="N2111" s="551">
        <f>'Sollecitazioni nel paramento'!$G$60*(sezione!$AO$35-C2111)/C2111</f>
        <v>2.6928756831117325E-3</v>
      </c>
      <c r="O2111" s="551">
        <f>'Sollecitazioni nel paramento'!$G$60*(sezione!$AP$35-C2111)/C2111</f>
        <v>2.3374858002299007E-2</v>
      </c>
      <c r="P2111" s="545">
        <f>-'Sollecitazioni nel paramento'!$G$47*'Sollecitazioni nel paramento'!$G$41*IF(DATI!$G$211="dx",DATI!$E$61,DATI!$E$64*DATI!$E$63)*1000*C2111*sezione!$AD$5</f>
        <v>-3444977.9216753384</v>
      </c>
      <c r="Q2111" s="545">
        <f>'Foglio deposito bis'!$F$78*IF(ABS(K2111)&lt;'Sollecitazioni nel paramento'!$G$58,ABS(K2111)*'Sollecitazioni nel paramento'!$G$54,'Sollecitazioni nel paramento'!$G$53)*IF(K2111&lt;0,-1,1)</f>
        <v>0</v>
      </c>
      <c r="R2111" s="545">
        <f>'Foglio deposito bis'!$F$79*IF(ABS(L2111)&lt;'Sollecitazioni nel paramento'!$G$58,ABS(L2111)*'Sollecitazioni nel paramento'!$G$54,'Sollecitazioni nel paramento'!$G$53)*IF(L2111&lt;0,-1,1)</f>
        <v>-95268.936031232122</v>
      </c>
      <c r="S2111" s="545">
        <f>'Foglio deposito bis'!$F$80*IF(ABS(M2111)&lt;'Sollecitazioni nel paramento'!$G$58,ABS(M2111)*'Sollecitazioni nel paramento'!$G$54,'Sollecitazioni nel paramento'!$G$53)*IF(M2111&lt;0,-1,1)</f>
        <v>0</v>
      </c>
      <c r="T2111" s="545">
        <f>'Foglio deposito bis'!$F$81*IF(ABS(N2111)&lt;'Sollecitazioni nel paramento'!$G$58,ABS(N2111)*'Sollecitazioni nel paramento'!$G$54,'Sollecitazioni nel paramento'!$G$53)*IF(N2111&lt;0,-1,1)</f>
        <v>398299.31208121032</v>
      </c>
      <c r="U2111" s="545">
        <f>'Foglio deposito bis'!$F$82*IF(ABS(O2111)&lt;'Sollecitazioni nel paramento'!$G$58,ABS(O2111)*'Sollecitazioni nel paramento'!$G$54,'Sollecitazioni nel paramento'!$G$53)*IF(O2111&lt;0,-1,1)</f>
        <v>892485.49558937876</v>
      </c>
      <c r="V2111" s="472">
        <f t="shared" si="146"/>
        <v>-2249462.0500359815</v>
      </c>
      <c r="W2111" s="551"/>
      <c r="X2111" s="551"/>
    </row>
    <row r="2112" spans="1:24" x14ac:dyDescent="0.25">
      <c r="A2112" s="545">
        <f t="shared" si="145"/>
        <v>2329216.0032408256</v>
      </c>
      <c r="B2112" s="3">
        <f t="shared" si="148"/>
        <v>9.2999999999999883</v>
      </c>
      <c r="C2112" s="545">
        <f>'Foglio deposito bis'!$E$161/sezione!$B$247*B2112</f>
        <v>92.413883564367794</v>
      </c>
      <c r="D2112" s="603">
        <f>-'Sollecitazioni nel paramento'!$G$47*'Sollecitazioni nel paramento'!$G$41*IF(DATI!$G$211="dx",DATI!$E$61,DATI!$E$64*DATI!$E$63)*1000*C2112^2*sezione!$AD$5*(1-sezione!$AD$6)</f>
        <v>-190010704.20814615</v>
      </c>
      <c r="E2112" s="545">
        <f>-'Foglio deposito bis'!$F$78*(C2112-sezione!$AL$35)*IF(ABS(K2112)&lt;'Sollecitazioni nel paramento'!$G$58,ABS(K2112)*'Sollecitazioni nel paramento'!$G$54,'Sollecitazioni nel paramento'!$G$53)</f>
        <v>0</v>
      </c>
      <c r="F2112" s="545">
        <f>-'Foglio deposito bis'!$F$79*(C2112-sezione!$AM$35)*IF(ABS(L2112)&lt;'Sollecitazioni nel paramento'!$G$58,ABS(L2112)*'Sollecitazioni nel paramento'!$G$54,'Sollecitazioni nel paramento'!$G$53)</f>
        <v>-3218993.2399402373</v>
      </c>
      <c r="G2112" s="545">
        <f>-'Foglio deposito bis'!$F$80*(C2112-sezione!$AN$35)*IF(ABS(M2112)&lt;'Sollecitazioni nel paramento'!$G$58,ABS(M2112)*'Sollecitazioni nel paramento'!$G$54,'Sollecitazioni nel paramento'!$G$53)</f>
        <v>0</v>
      </c>
      <c r="H2112" s="545">
        <f>-'Foglio deposito bis'!$F$81*(C2112-sezione!$AO$35)*IF(ABS(N2112)&lt;'Sollecitazioni nel paramento'!$G$58,ABS(N2112)*'Sollecitazioni nel paramento'!$G$54,'Sollecitazioni nel paramento'!$G$53)</f>
        <v>26919503.682552889</v>
      </c>
      <c r="I2112" s="472">
        <f>-'Foglio deposito bis'!$F$82*(C2112-sezione!$AP$35)*IF(ABS(O2112)&lt;'Sollecitazioni nel paramento'!$G$58,ABS(O2112)*'Sollecitazioni nel paramento'!$G$54,'Sollecitazioni nel paramento'!$G$53)</f>
        <v>537212631.08282757</v>
      </c>
      <c r="J2112" s="472">
        <f t="shared" si="144"/>
        <v>370902437.31729406</v>
      </c>
      <c r="K2112" s="550">
        <f>'Sollecitazioni nel paramento'!$G$60*(sezione!$AL$35-C2112)/C2112</f>
        <v>-1.9850761097764311E-3</v>
      </c>
      <c r="L2112" s="550">
        <f>'Sollecitazioni nel paramento'!$G$60*(sezione!$AM$35-C2112)/C2112</f>
        <v>-1.2276141646646466E-3</v>
      </c>
      <c r="M2112" s="551">
        <f>'Sollecitazioni nel paramento'!$G$60*(sezione!$AN$35-C2112)/C2112</f>
        <v>-4.7015221955286205E-4</v>
      </c>
      <c r="N2112" s="551">
        <f>'Sollecitazioni nel paramento'!$G$60*(sezione!$AO$35-C2112)/C2112</f>
        <v>2.5596955608942762E-3</v>
      </c>
      <c r="O2112" s="551">
        <f>'Sollecitazioni nel paramento'!$G$60*(sezione!$AP$35-C2112)/C2112</f>
        <v>2.2796904066765693E-2</v>
      </c>
      <c r="P2112" s="545">
        <f>-'Sollecitazioni nel paramento'!$G$47*'Sollecitazioni nel paramento'!$G$41*IF(DATI!$G$211="dx",DATI!$E$61,DATI!$E$64*DATI!$E$63)*1000*C2112*sezione!$AD$5</f>
        <v>-3520691.722151719</v>
      </c>
      <c r="Q2112" s="545">
        <f>'Foglio deposito bis'!$F$78*IF(ABS(K2112)&lt;'Sollecitazioni nel paramento'!$G$58,ABS(K2112)*'Sollecitazioni nel paramento'!$G$54,'Sollecitazioni nel paramento'!$G$53)*IF(K2112&lt;0,-1,1)</f>
        <v>0</v>
      </c>
      <c r="R2112" s="545">
        <f>'Foglio deposito bis'!$F$79*IF(ABS(L2112)&lt;'Sollecitazioni nel paramento'!$G$58,ABS(L2112)*'Sollecitazioni nel paramento'!$G$54,'Sollecitazioni nel paramento'!$G$53)*IF(L2112&lt;0,-1,1)</f>
        <v>-99309.088759695514</v>
      </c>
      <c r="S2112" s="545">
        <f>'Foglio deposito bis'!$F$80*IF(ABS(M2112)&lt;'Sollecitazioni nel paramento'!$G$58,ABS(M2112)*'Sollecitazioni nel paramento'!$G$54,'Sollecitazioni nel paramento'!$G$53)*IF(M2112&lt;0,-1,1)</f>
        <v>0</v>
      </c>
      <c r="T2112" s="545">
        <f>'Foglio deposito bis'!$F$81*IF(ABS(N2112)&lt;'Sollecitazioni nel paramento'!$G$58,ABS(N2112)*'Sollecitazioni nel paramento'!$G$54,'Sollecitazioni nel paramento'!$G$53)*IF(N2112&lt;0,-1,1)</f>
        <v>398299.31208121032</v>
      </c>
      <c r="U2112" s="545">
        <f>'Foglio deposito bis'!$F$82*IF(ABS(O2112)&lt;'Sollecitazioni nel paramento'!$G$58,ABS(O2112)*'Sollecitazioni nel paramento'!$G$54,'Sollecitazioni nel paramento'!$G$53)*IF(O2112&lt;0,-1,1)</f>
        <v>892485.49558937876</v>
      </c>
      <c r="V2112" s="472">
        <f t="shared" si="146"/>
        <v>-2329216.0032408256</v>
      </c>
      <c r="W2112" s="551"/>
      <c r="X2112" s="551"/>
    </row>
    <row r="2113" spans="1:24" x14ac:dyDescent="0.25">
      <c r="A2113" s="545">
        <f t="shared" si="145"/>
        <v>2408799.8447518395</v>
      </c>
      <c r="B2113" s="3">
        <f t="shared" si="148"/>
        <v>9.4999999999999876</v>
      </c>
      <c r="C2113" s="545">
        <f>'Foglio deposito bis'!$E$161/sezione!$B$247*B2113</f>
        <v>94.401278909838055</v>
      </c>
      <c r="D2113" s="603">
        <f>-'Sollecitazioni nel paramento'!$G$47*'Sollecitazioni nel paramento'!$G$41*IF(DATI!$G$211="dx",DATI!$E$61,DATI!$E$64*DATI!$E$63)*1000*C2113^2*sezione!$AD$5*(1-sezione!$AD$6)</f>
        <v>-198271083.99566638</v>
      </c>
      <c r="E2113" s="545">
        <f>-'Foglio deposito bis'!$F$78*(C2113-sezione!$AL$35)*IF(ABS(K2113)&lt;'Sollecitazioni nel paramento'!$G$58,ABS(K2113)*'Sollecitazioni nel paramento'!$G$54,'Sollecitazioni nel paramento'!$G$53)</f>
        <v>0</v>
      </c>
      <c r="F2113" s="545">
        <f>-'Foglio deposito bis'!$F$79*(C2113-sezione!$AM$35)*IF(ABS(L2113)&lt;'Sollecitazioni nel paramento'!$G$58,ABS(L2113)*'Sollecitazioni nel paramento'!$G$54,'Sollecitazioni nel paramento'!$G$53)</f>
        <v>-3549494.0217290884</v>
      </c>
      <c r="G2113" s="545">
        <f>-'Foglio deposito bis'!$F$80*(C2113-sezione!$AN$35)*IF(ABS(M2113)&lt;'Sollecitazioni nel paramento'!$G$58,ABS(M2113)*'Sollecitazioni nel paramento'!$G$54,'Sollecitazioni nel paramento'!$G$53)</f>
        <v>0</v>
      </c>
      <c r="H2113" s="545">
        <f>-'Foglio deposito bis'!$F$81*(C2113-sezione!$AO$35)*IF(ABS(N2113)&lt;'Sollecitazioni nel paramento'!$G$58,ABS(N2113)*'Sollecitazioni nel paramento'!$G$54,'Sollecitazioni nel paramento'!$G$53)</f>
        <v>26127925.483618684</v>
      </c>
      <c r="I2113" s="472">
        <f>-'Foglio deposito bis'!$F$82*(C2113-sezione!$AP$35)*IF(ABS(O2113)&lt;'Sollecitazioni nel paramento'!$G$58,ABS(O2113)*'Sollecitazioni nel paramento'!$G$54,'Sollecitazioni nel paramento'!$G$53)</f>
        <v>535438909.56299353</v>
      </c>
      <c r="J2113" s="472">
        <f t="shared" si="144"/>
        <v>359746257.02921677</v>
      </c>
      <c r="K2113" s="550">
        <f>'Sollecitazioni nel paramento'!$G$60*(sezione!$AL$35-C2113)/C2113</f>
        <v>-2.0169692443074536E-3</v>
      </c>
      <c r="L2113" s="550">
        <f>'Sollecitazioni nel paramento'!$G$60*(sezione!$AM$35-C2113)/C2113</f>
        <v>-1.2754538664611801E-3</v>
      </c>
      <c r="M2113" s="551">
        <f>'Sollecitazioni nel paramento'!$G$60*(sezione!$AN$35-C2113)/C2113</f>
        <v>-5.3393848861490664E-4</v>
      </c>
      <c r="N2113" s="551">
        <f>'Sollecitazioni nel paramento'!$G$60*(sezione!$AO$35-C2113)/C2113</f>
        <v>2.4321230227701868E-3</v>
      </c>
      <c r="O2113" s="551">
        <f>'Sollecitazioni nel paramento'!$G$60*(sezione!$AP$35-C2113)/C2113</f>
        <v>2.2243285033781156E-2</v>
      </c>
      <c r="P2113" s="545">
        <f>-'Sollecitazioni nel paramento'!$G$47*'Sollecitazioni nel paramento'!$G$41*IF(DATI!$G$211="dx",DATI!$E$61,DATI!$E$64*DATI!$E$63)*1000*C2113*sezione!$AD$5</f>
        <v>-3596405.5226280997</v>
      </c>
      <c r="Q2113" s="545">
        <f>'Foglio deposito bis'!$F$78*IF(ABS(K2113)&lt;'Sollecitazioni nel paramento'!$G$58,ABS(K2113)*'Sollecitazioni nel paramento'!$G$54,'Sollecitazioni nel paramento'!$G$53)*IF(K2113&lt;0,-1,1)</f>
        <v>0</v>
      </c>
      <c r="R2113" s="545">
        <f>'Foglio deposito bis'!$F$79*IF(ABS(L2113)&lt;'Sollecitazioni nel paramento'!$G$58,ABS(L2113)*'Sollecitazioni nel paramento'!$G$54,'Sollecitazioni nel paramento'!$G$53)*IF(L2113&lt;0,-1,1)</f>
        <v>-103179.12979432885</v>
      </c>
      <c r="S2113" s="545">
        <f>'Foglio deposito bis'!$F$80*IF(ABS(M2113)&lt;'Sollecitazioni nel paramento'!$G$58,ABS(M2113)*'Sollecitazioni nel paramento'!$G$54,'Sollecitazioni nel paramento'!$G$53)*IF(M2113&lt;0,-1,1)</f>
        <v>0</v>
      </c>
      <c r="T2113" s="545">
        <f>'Foglio deposito bis'!$F$81*IF(ABS(N2113)&lt;'Sollecitazioni nel paramento'!$G$58,ABS(N2113)*'Sollecitazioni nel paramento'!$G$54,'Sollecitazioni nel paramento'!$G$53)*IF(N2113&lt;0,-1,1)</f>
        <v>398299.31208121032</v>
      </c>
      <c r="U2113" s="545">
        <f>'Foglio deposito bis'!$F$82*IF(ABS(O2113)&lt;'Sollecitazioni nel paramento'!$G$58,ABS(O2113)*'Sollecitazioni nel paramento'!$G$54,'Sollecitazioni nel paramento'!$G$53)*IF(O2113&lt;0,-1,1)</f>
        <v>892485.49558937876</v>
      </c>
      <c r="V2113" s="472">
        <f t="shared" si="146"/>
        <v>-2408799.8447518395</v>
      </c>
      <c r="W2113" s="551"/>
      <c r="X2113" s="551"/>
    </row>
    <row r="2114" spans="1:24" x14ac:dyDescent="0.25">
      <c r="A2114" s="545">
        <f t="shared" si="145"/>
        <v>2488224.0969418385</v>
      </c>
      <c r="B2114" s="3">
        <f t="shared" si="148"/>
        <v>9.6999999999999869</v>
      </c>
      <c r="C2114" s="545">
        <f>'Foglio deposito bis'!$E$161/sezione!$B$247*B2114</f>
        <v>96.388674255308331</v>
      </c>
      <c r="D2114" s="603">
        <f>-'Sollecitazioni nel paramento'!$G$47*'Sollecitazioni nel paramento'!$G$41*IF(DATI!$G$211="dx",DATI!$E$61,DATI!$E$64*DATI!$E$63)*1000*C2114^2*sezione!$AD$5*(1-sezione!$AD$6)</f>
        <v>-206707216.54462326</v>
      </c>
      <c r="E2114" s="545">
        <f>-'Foglio deposito bis'!$F$78*(C2114-sezione!$AL$35)*IF(ABS(K2114)&lt;'Sollecitazioni nel paramento'!$G$58,ABS(K2114)*'Sollecitazioni nel paramento'!$G$54,'Sollecitazioni nel paramento'!$G$53)</f>
        <v>0</v>
      </c>
      <c r="F2114" s="545">
        <f>-'Foglio deposito bis'!$F$79*(C2114-sezione!$AM$35)*IF(ABS(L2114)&lt;'Sollecitazioni nel paramento'!$G$58,ABS(L2114)*'Sollecitazioni nel paramento'!$G$54,'Sollecitazioni nel paramento'!$G$53)</f>
        <v>-3889570.1627788907</v>
      </c>
      <c r="G2114" s="545">
        <f>-'Foglio deposito bis'!$F$80*(C2114-sezione!$AN$35)*IF(ABS(M2114)&lt;'Sollecitazioni nel paramento'!$G$58,ABS(M2114)*'Sollecitazioni nel paramento'!$G$54,'Sollecitazioni nel paramento'!$G$53)</f>
        <v>0</v>
      </c>
      <c r="H2114" s="545">
        <f>-'Foglio deposito bis'!$F$81*(C2114-sezione!$AO$35)*IF(ABS(N2114)&lt;'Sollecitazioni nel paramento'!$G$58,ABS(N2114)*'Sollecitazioni nel paramento'!$G$54,'Sollecitazioni nel paramento'!$G$53)</f>
        <v>25336347.284684476</v>
      </c>
      <c r="I2114" s="472">
        <f>-'Foglio deposito bis'!$F$82*(C2114-sezione!$AP$35)*IF(ABS(O2114)&lt;'Sollecitazioni nel paramento'!$G$58,ABS(O2114)*'Sollecitazioni nel paramento'!$G$54,'Sollecitazioni nel paramento'!$G$53)</f>
        <v>533665188.04315948</v>
      </c>
      <c r="J2114" s="472">
        <f t="shared" si="144"/>
        <v>348404748.62044179</v>
      </c>
      <c r="K2114" s="550">
        <f>'Sollecitazioni nel paramento'!$G$60*(sezione!$AL$35-C2114)/C2114</f>
        <v>-2.0475471980330728E-3</v>
      </c>
      <c r="L2114" s="550">
        <f>'Sollecitazioni nel paramento'!$G$60*(sezione!$AM$35-C2114)/C2114</f>
        <v>-1.3213207970496092E-3</v>
      </c>
      <c r="M2114" s="551">
        <f>'Sollecitazioni nel paramento'!$G$60*(sezione!$AN$35-C2114)/C2114</f>
        <v>-5.9509439606614571E-4</v>
      </c>
      <c r="N2114" s="551">
        <f>'Sollecitazioni nel paramento'!$G$60*(sezione!$AO$35-C2114)/C2114</f>
        <v>2.3098112078677084E-3</v>
      </c>
      <c r="O2114" s="551">
        <f>'Sollecitazioni nel paramento'!$G$60*(sezione!$AP$35-C2114)/C2114</f>
        <v>2.171249565164134E-2</v>
      </c>
      <c r="P2114" s="545">
        <f>-'Sollecitazioni nel paramento'!$G$47*'Sollecitazioni nel paramento'!$G$41*IF(DATI!$G$211="dx",DATI!$E$61,DATI!$E$64*DATI!$E$63)*1000*C2114*sezione!$AD$5</f>
        <v>-3672119.3231044812</v>
      </c>
      <c r="Q2114" s="545">
        <f>'Foglio deposito bis'!$F$78*IF(ABS(K2114)&lt;'Sollecitazioni nel paramento'!$G$58,ABS(K2114)*'Sollecitazioni nel paramento'!$G$54,'Sollecitazioni nel paramento'!$G$53)*IF(K2114&lt;0,-1,1)</f>
        <v>0</v>
      </c>
      <c r="R2114" s="545">
        <f>'Foglio deposito bis'!$F$79*IF(ABS(L2114)&lt;'Sollecitazioni nel paramento'!$G$58,ABS(L2114)*'Sollecitazioni nel paramento'!$G$54,'Sollecitazioni nel paramento'!$G$53)*IF(L2114&lt;0,-1,1)</f>
        <v>-106889.58150794641</v>
      </c>
      <c r="S2114" s="545">
        <f>'Foglio deposito bis'!$F$80*IF(ABS(M2114)&lt;'Sollecitazioni nel paramento'!$G$58,ABS(M2114)*'Sollecitazioni nel paramento'!$G$54,'Sollecitazioni nel paramento'!$G$53)*IF(M2114&lt;0,-1,1)</f>
        <v>0</v>
      </c>
      <c r="T2114" s="545">
        <f>'Foglio deposito bis'!$F$81*IF(ABS(N2114)&lt;'Sollecitazioni nel paramento'!$G$58,ABS(N2114)*'Sollecitazioni nel paramento'!$G$54,'Sollecitazioni nel paramento'!$G$53)*IF(N2114&lt;0,-1,1)</f>
        <v>398299.31208121032</v>
      </c>
      <c r="U2114" s="545">
        <f>'Foglio deposito bis'!$F$82*IF(ABS(O2114)&lt;'Sollecitazioni nel paramento'!$G$58,ABS(O2114)*'Sollecitazioni nel paramento'!$G$54,'Sollecitazioni nel paramento'!$G$53)*IF(O2114&lt;0,-1,1)</f>
        <v>892485.49558937876</v>
      </c>
      <c r="V2114" s="472">
        <f t="shared" si="146"/>
        <v>-2488224.0969418385</v>
      </c>
      <c r="W2114" s="551"/>
      <c r="X2114" s="551"/>
    </row>
    <row r="2115" spans="1:24" x14ac:dyDescent="0.25">
      <c r="A2115" s="545">
        <f t="shared" si="145"/>
        <v>2567498.4318908816</v>
      </c>
      <c r="B2115" s="3">
        <f t="shared" si="148"/>
        <v>9.8999999999999861</v>
      </c>
      <c r="C2115" s="545">
        <f>'Foglio deposito bis'!$E$161/sezione!$B$247*B2115</f>
        <v>98.376069600778592</v>
      </c>
      <c r="D2115" s="603">
        <f>-'Sollecitazioni nel paramento'!$G$47*'Sollecitazioni nel paramento'!$G$41*IF(DATI!$G$211="dx",DATI!$E$61,DATI!$E$64*DATI!$E$63)*1000*C2115^2*sezione!$AD$5*(1-sezione!$AD$6)</f>
        <v>-215319101.85501671</v>
      </c>
      <c r="E2115" s="545">
        <f>-'Foglio deposito bis'!$F$78*(C2115-sezione!$AL$35)*IF(ABS(K2115)&lt;'Sollecitazioni nel paramento'!$G$58,ABS(K2115)*'Sollecitazioni nel paramento'!$G$54,'Sollecitazioni nel paramento'!$G$53)</f>
        <v>0</v>
      </c>
      <c r="F2115" s="545">
        <f>-'Foglio deposito bis'!$F$79*(C2115-sezione!$AM$35)*IF(ABS(L2115)&lt;'Sollecitazioni nel paramento'!$G$58,ABS(L2115)*'Sollecitazioni nel paramento'!$G$54,'Sollecitazioni nel paramento'!$G$53)</f>
        <v>-4238641.3382859454</v>
      </c>
      <c r="G2115" s="545">
        <f>-'Foglio deposito bis'!$F$80*(C2115-sezione!$AN$35)*IF(ABS(M2115)&lt;'Sollecitazioni nel paramento'!$G$58,ABS(M2115)*'Sollecitazioni nel paramento'!$G$54,'Sollecitazioni nel paramento'!$G$53)</f>
        <v>0</v>
      </c>
      <c r="H2115" s="545">
        <f>-'Foglio deposito bis'!$F$81*(C2115-sezione!$AO$35)*IF(ABS(N2115)&lt;'Sollecitazioni nel paramento'!$G$58,ABS(N2115)*'Sollecitazioni nel paramento'!$G$54,'Sollecitazioni nel paramento'!$G$53)</f>
        <v>24544769.085750271</v>
      </c>
      <c r="I2115" s="472">
        <f>-'Foglio deposito bis'!$F$82*(C2115-sezione!$AP$35)*IF(ABS(O2115)&lt;'Sollecitazioni nel paramento'!$G$58,ABS(O2115)*'Sollecitazioni nel paramento'!$G$54,'Sollecitazioni nel paramento'!$G$53)</f>
        <v>531891466.52332544</v>
      </c>
      <c r="J2115" s="472">
        <f t="shared" si="144"/>
        <v>336878492.41577303</v>
      </c>
      <c r="K2115" s="550">
        <f>'Sollecitazioni nel paramento'!$G$60*(sezione!$AL$35-C2115)/C2115</f>
        <v>-2.0768896788808892E-3</v>
      </c>
      <c r="L2115" s="550">
        <f>'Sollecitazioni nel paramento'!$G$60*(sezione!$AM$35-C2115)/C2115</f>
        <v>-1.3653345183213339E-3</v>
      </c>
      <c r="M2115" s="551">
        <f>'Sollecitazioni nel paramento'!$G$60*(sezione!$AN$35-C2115)/C2115</f>
        <v>-6.537793577617787E-4</v>
      </c>
      <c r="N2115" s="551">
        <f>'Sollecitazioni nel paramento'!$G$60*(sezione!$AO$35-C2115)/C2115</f>
        <v>2.1924412844764427E-3</v>
      </c>
      <c r="O2115" s="551">
        <f>'Sollecitazioni nel paramento'!$G$60*(sezione!$AP$35-C2115)/C2115</f>
        <v>2.1203152305143538E-2</v>
      </c>
      <c r="P2115" s="545">
        <f>-'Sollecitazioni nel paramento'!$G$47*'Sollecitazioni nel paramento'!$G$41*IF(DATI!$G$211="dx",DATI!$E$61,DATI!$E$64*DATI!$E$63)*1000*C2115*sezione!$AD$5</f>
        <v>-3747833.1235808609</v>
      </c>
      <c r="Q2115" s="545">
        <f>'Foglio deposito bis'!$F$78*IF(ABS(K2115)&lt;'Sollecitazioni nel paramento'!$G$58,ABS(K2115)*'Sollecitazioni nel paramento'!$G$54,'Sollecitazioni nel paramento'!$G$53)*IF(K2115&lt;0,-1,1)</f>
        <v>0</v>
      </c>
      <c r="R2115" s="545">
        <f>'Foglio deposito bis'!$F$79*IF(ABS(L2115)&lt;'Sollecitazioni nel paramento'!$G$58,ABS(L2115)*'Sollecitazioni nel paramento'!$G$54,'Sollecitazioni nel paramento'!$G$53)*IF(L2115&lt;0,-1,1)</f>
        <v>-110450.11598060968</v>
      </c>
      <c r="S2115" s="545">
        <f>'Foglio deposito bis'!$F$80*IF(ABS(M2115)&lt;'Sollecitazioni nel paramento'!$G$58,ABS(M2115)*'Sollecitazioni nel paramento'!$G$54,'Sollecitazioni nel paramento'!$G$53)*IF(M2115&lt;0,-1,1)</f>
        <v>0</v>
      </c>
      <c r="T2115" s="545">
        <f>'Foglio deposito bis'!$F$81*IF(ABS(N2115)&lt;'Sollecitazioni nel paramento'!$G$58,ABS(N2115)*'Sollecitazioni nel paramento'!$G$54,'Sollecitazioni nel paramento'!$G$53)*IF(N2115&lt;0,-1,1)</f>
        <v>398299.31208121032</v>
      </c>
      <c r="U2115" s="545">
        <f>'Foglio deposito bis'!$F$82*IF(ABS(O2115)&lt;'Sollecitazioni nel paramento'!$G$58,ABS(O2115)*'Sollecitazioni nel paramento'!$G$54,'Sollecitazioni nel paramento'!$G$53)*IF(O2115&lt;0,-1,1)</f>
        <v>892485.49558937876</v>
      </c>
      <c r="V2115" s="472">
        <f t="shared" si="146"/>
        <v>-2567498.4318908816</v>
      </c>
      <c r="W2115" s="551"/>
      <c r="X2115" s="551"/>
    </row>
    <row r="2116" spans="1:24" x14ac:dyDescent="0.25">
      <c r="A2116" s="545">
        <f t="shared" si="145"/>
        <v>2646631.7555736825</v>
      </c>
      <c r="B2116" s="3">
        <f t="shared" si="148"/>
        <v>10.099999999999985</v>
      </c>
      <c r="C2116" s="545">
        <f>'Foglio deposito bis'!$E$161/sezione!$B$247*B2116</f>
        <v>100.36346494624887</v>
      </c>
      <c r="D2116" s="603">
        <f>-'Sollecitazioni nel paramento'!$G$47*'Sollecitazioni nel paramento'!$G$41*IF(DATI!$G$211="dx",DATI!$E$61,DATI!$E$64*DATI!$E$63)*1000*C2116^2*sezione!$AD$5*(1-sezione!$AD$6)</f>
        <v>-224106739.92684677</v>
      </c>
      <c r="E2116" s="545">
        <f>-'Foglio deposito bis'!$F$78*(C2116-sezione!$AL$35)*IF(ABS(K2116)&lt;'Sollecitazioni nel paramento'!$G$58,ABS(K2116)*'Sollecitazioni nel paramento'!$G$54,'Sollecitazioni nel paramento'!$G$53)</f>
        <v>0</v>
      </c>
      <c r="F2116" s="545">
        <f>-'Foglio deposito bis'!$F$79*(C2116-sezione!$AM$35)*IF(ABS(L2116)&lt;'Sollecitazioni nel paramento'!$G$58,ABS(L2116)*'Sollecitazioni nel paramento'!$G$54,'Sollecitazioni nel paramento'!$G$53)</f>
        <v>-4596173.1897676485</v>
      </c>
      <c r="G2116" s="545">
        <f>-'Foglio deposito bis'!$F$80*(C2116-sezione!$AN$35)*IF(ABS(M2116)&lt;'Sollecitazioni nel paramento'!$G$58,ABS(M2116)*'Sollecitazioni nel paramento'!$G$54,'Sollecitazioni nel paramento'!$G$53)</f>
        <v>0</v>
      </c>
      <c r="H2116" s="545">
        <f>-'Foglio deposito bis'!$F$81*(C2116-sezione!$AO$35)*IF(ABS(N2116)&lt;'Sollecitazioni nel paramento'!$G$58,ABS(N2116)*'Sollecitazioni nel paramento'!$G$54,'Sollecitazioni nel paramento'!$G$53)</f>
        <v>23753190.886816058</v>
      </c>
      <c r="I2116" s="472">
        <f>-'Foglio deposito bis'!$F$82*(C2116-sezione!$AP$35)*IF(ABS(O2116)&lt;'Sollecitazioni nel paramento'!$G$58,ABS(O2116)*'Sollecitazioni nel paramento'!$G$54,'Sollecitazioni nel paramento'!$G$53)</f>
        <v>530117745.00349134</v>
      </c>
      <c r="J2116" s="472">
        <f t="shared" si="144"/>
        <v>325168022.77369297</v>
      </c>
      <c r="K2116" s="550">
        <f>'Sollecitazioni nel paramento'!$G$60*(sezione!$AL$35-C2116)/C2116</f>
        <v>-2.1050700812792877E-3</v>
      </c>
      <c r="L2116" s="550">
        <f>'Sollecitazioni nel paramento'!$G$60*(sezione!$AM$35-C2116)/C2116</f>
        <v>-1.4076051219189317E-3</v>
      </c>
      <c r="M2116" s="551">
        <f>'Sollecitazioni nel paramento'!$G$60*(sezione!$AN$35-C2116)/C2116</f>
        <v>-7.1014016255857516E-4</v>
      </c>
      <c r="N2116" s="551">
        <f>'Sollecitazioni nel paramento'!$G$60*(sezione!$AO$35-C2116)/C2116</f>
        <v>2.0797196748828495E-3</v>
      </c>
      <c r="O2116" s="551">
        <f>'Sollecitazioni nel paramento'!$G$60*(sezione!$AP$35-C2116)/C2116</f>
        <v>2.0713980972368415E-2</v>
      </c>
      <c r="P2116" s="545">
        <f>-'Sollecitazioni nel paramento'!$G$47*'Sollecitazioni nel paramento'!$G$41*IF(DATI!$G$211="dx",DATI!$E$61,DATI!$E$64*DATI!$E$63)*1000*C2116*sezione!$AD$5</f>
        <v>-3823546.9240572425</v>
      </c>
      <c r="Q2116" s="545">
        <f>'Foglio deposito bis'!$F$78*IF(ABS(K2116)&lt;'Sollecitazioni nel paramento'!$G$58,ABS(K2116)*'Sollecitazioni nel paramento'!$G$54,'Sollecitazioni nel paramento'!$G$53)*IF(K2116&lt;0,-1,1)</f>
        <v>0</v>
      </c>
      <c r="R2116" s="545">
        <f>'Foglio deposito bis'!$F$79*IF(ABS(L2116)&lt;'Sollecitazioni nel paramento'!$G$58,ABS(L2116)*'Sollecitazioni nel paramento'!$G$54,'Sollecitazioni nel paramento'!$G$53)*IF(L2116&lt;0,-1,1)</f>
        <v>-113869.63918702894</v>
      </c>
      <c r="S2116" s="545">
        <f>'Foglio deposito bis'!$F$80*IF(ABS(M2116)&lt;'Sollecitazioni nel paramento'!$G$58,ABS(M2116)*'Sollecitazioni nel paramento'!$G$54,'Sollecitazioni nel paramento'!$G$53)*IF(M2116&lt;0,-1,1)</f>
        <v>0</v>
      </c>
      <c r="T2116" s="545">
        <f>'Foglio deposito bis'!$F$81*IF(ABS(N2116)&lt;'Sollecitazioni nel paramento'!$G$58,ABS(N2116)*'Sollecitazioni nel paramento'!$G$54,'Sollecitazioni nel paramento'!$G$53)*IF(N2116&lt;0,-1,1)</f>
        <v>398299.31208121032</v>
      </c>
      <c r="U2116" s="545">
        <f>'Foglio deposito bis'!$F$82*IF(ABS(O2116)&lt;'Sollecitazioni nel paramento'!$G$58,ABS(O2116)*'Sollecitazioni nel paramento'!$G$54,'Sollecitazioni nel paramento'!$G$53)*IF(O2116&lt;0,-1,1)</f>
        <v>892485.49558937876</v>
      </c>
      <c r="V2116" s="472">
        <f t="shared" si="146"/>
        <v>-2646631.7555736825</v>
      </c>
      <c r="W2116" s="551"/>
      <c r="X2116" s="551"/>
    </row>
    <row r="2117" spans="1:24" x14ac:dyDescent="0.25">
      <c r="A2117" s="545">
        <f t="shared" si="145"/>
        <v>2725632.2822387582</v>
      </c>
      <c r="B2117" s="3">
        <f t="shared" si="148"/>
        <v>10.299999999999985</v>
      </c>
      <c r="C2117" s="545">
        <f>'Foglio deposito bis'!$E$161/sezione!$B$247*B2117</f>
        <v>102.35086029171914</v>
      </c>
      <c r="D2117" s="603">
        <f>-'Sollecitazioni nel paramento'!$G$47*'Sollecitazioni nel paramento'!$G$41*IF(DATI!$G$211="dx",DATI!$E$61,DATI!$E$64*DATI!$E$63)*1000*C2117^2*sezione!$AD$5*(1-sezione!$AD$6)</f>
        <v>-233070130.76011348</v>
      </c>
      <c r="E2117" s="545">
        <f>-'Foglio deposito bis'!$F$78*(C2117-sezione!$AL$35)*IF(ABS(K2117)&lt;'Sollecitazioni nel paramento'!$G$58,ABS(K2117)*'Sollecitazioni nel paramento'!$G$54,'Sollecitazioni nel paramento'!$G$53)</f>
        <v>0</v>
      </c>
      <c r="F2117" s="545">
        <f>-'Foglio deposito bis'!$F$79*(C2117-sezione!$AM$35)*IF(ABS(L2117)&lt;'Sollecitazioni nel paramento'!$G$58,ABS(L2117)*'Sollecitazioni nel paramento'!$G$54,'Sollecitazioni nel paramento'!$G$53)</f>
        <v>-4961672.8623128515</v>
      </c>
      <c r="G2117" s="545">
        <f>-'Foglio deposito bis'!$F$80*(C2117-sezione!$AN$35)*IF(ABS(M2117)&lt;'Sollecitazioni nel paramento'!$G$58,ABS(M2117)*'Sollecitazioni nel paramento'!$G$54,'Sollecitazioni nel paramento'!$G$53)</f>
        <v>0</v>
      </c>
      <c r="H2117" s="545">
        <f>-'Foglio deposito bis'!$F$81*(C2117-sezione!$AO$35)*IF(ABS(N2117)&lt;'Sollecitazioni nel paramento'!$G$58,ABS(N2117)*'Sollecitazioni nel paramento'!$G$54,'Sollecitazioni nel paramento'!$G$53)</f>
        <v>22961612.68788185</v>
      </c>
      <c r="I2117" s="472">
        <f>-'Foglio deposito bis'!$F$82*(C2117-sezione!$AP$35)*IF(ABS(O2117)&lt;'Sollecitazioni nel paramento'!$G$58,ABS(O2117)*'Sollecitazioni nel paramento'!$G$54,'Sollecitazioni nel paramento'!$G$53)</f>
        <v>528344023.4836573</v>
      </c>
      <c r="J2117" s="472">
        <f t="shared" ref="J2117:J2180" si="149">D2117+E2117+F2117+G2117+H2117+I2117</f>
        <v>313273832.5491128</v>
      </c>
      <c r="K2117" s="550">
        <f>'Sollecitazioni nel paramento'!$G$60*(sezione!$AL$35-C2117)/C2117</f>
        <v>-2.1321560991185251E-3</v>
      </c>
      <c r="L2117" s="550">
        <f>'Sollecitazioni nel paramento'!$G$60*(sezione!$AM$35-C2117)/C2117</f>
        <v>-1.4482341486777872E-3</v>
      </c>
      <c r="M2117" s="551">
        <f>'Sollecitazioni nel paramento'!$G$60*(sezione!$AN$35-C2117)/C2117</f>
        <v>-7.6431219823704956E-4</v>
      </c>
      <c r="N2117" s="551">
        <f>'Sollecitazioni nel paramento'!$G$60*(sezione!$AO$35-C2117)/C2117</f>
        <v>1.9713756035259007E-3</v>
      </c>
      <c r="O2117" s="551">
        <f>'Sollecitazioni nel paramento'!$G$60*(sezione!$AP$35-C2117)/C2117</f>
        <v>2.0243806584555435E-2</v>
      </c>
      <c r="P2117" s="545">
        <f>-'Sollecitazioni nel paramento'!$G$47*'Sollecitazioni nel paramento'!$G$41*IF(DATI!$G$211="dx",DATI!$E$61,DATI!$E$64*DATI!$E$63)*1000*C2117*sezione!$AD$5</f>
        <v>-3899260.724533624</v>
      </c>
      <c r="Q2117" s="545">
        <f>'Foglio deposito bis'!$F$78*IF(ABS(K2117)&lt;'Sollecitazioni nel paramento'!$G$58,ABS(K2117)*'Sollecitazioni nel paramento'!$G$54,'Sollecitazioni nel paramento'!$G$53)*IF(K2117&lt;0,-1,1)</f>
        <v>0</v>
      </c>
      <c r="R2117" s="545">
        <f>'Foglio deposito bis'!$F$79*IF(ABS(L2117)&lt;'Sollecitazioni nel paramento'!$G$58,ABS(L2117)*'Sollecitazioni nel paramento'!$G$54,'Sollecitazioni nel paramento'!$G$53)*IF(L2117&lt;0,-1,1)</f>
        <v>-117156.36537572311</v>
      </c>
      <c r="S2117" s="545">
        <f>'Foglio deposito bis'!$F$80*IF(ABS(M2117)&lt;'Sollecitazioni nel paramento'!$G$58,ABS(M2117)*'Sollecitazioni nel paramento'!$G$54,'Sollecitazioni nel paramento'!$G$53)*IF(M2117&lt;0,-1,1)</f>
        <v>0</v>
      </c>
      <c r="T2117" s="545">
        <f>'Foglio deposito bis'!$F$81*IF(ABS(N2117)&lt;'Sollecitazioni nel paramento'!$G$58,ABS(N2117)*'Sollecitazioni nel paramento'!$G$54,'Sollecitazioni nel paramento'!$G$53)*IF(N2117&lt;0,-1,1)</f>
        <v>398299.31208121032</v>
      </c>
      <c r="U2117" s="545">
        <f>'Foglio deposito bis'!$F$82*IF(ABS(O2117)&lt;'Sollecitazioni nel paramento'!$G$58,ABS(O2117)*'Sollecitazioni nel paramento'!$G$54,'Sollecitazioni nel paramento'!$G$53)*IF(O2117&lt;0,-1,1)</f>
        <v>892485.49558937876</v>
      </c>
      <c r="V2117" s="472">
        <f t="shared" si="146"/>
        <v>-2725632.2822387582</v>
      </c>
      <c r="W2117" s="551"/>
      <c r="X2117" s="551"/>
    </row>
    <row r="2118" spans="1:24" x14ac:dyDescent="0.25">
      <c r="A2118" s="545">
        <f t="shared" ref="A2118:A2181" si="150">ABS(V2118)</f>
        <v>2811296.435554218</v>
      </c>
      <c r="B2118" s="3">
        <f t="shared" si="148"/>
        <v>10.499999999999984</v>
      </c>
      <c r="C2118" s="545">
        <f>'Foglio deposito bis'!$E$161/sezione!$B$247*B2118</f>
        <v>104.33825563718941</v>
      </c>
      <c r="D2118" s="603">
        <f>-'Sollecitazioni nel paramento'!$G$47*'Sollecitazioni nel paramento'!$G$41*IF(DATI!$G$211="dx",DATI!$E$61,DATI!$E$64*DATI!$E$63)*1000*C2118^2*sezione!$AD$5*(1-sezione!$AD$6)</f>
        <v>-242209274.35481668</v>
      </c>
      <c r="E2118" s="545">
        <f>-'Foglio deposito bis'!$F$78*(C2118-sezione!$AL$35)*IF(ABS(K2118)&lt;'Sollecitazioni nel paramento'!$G$58,ABS(K2118)*'Sollecitazioni nel paramento'!$G$54,'Sollecitazioni nel paramento'!$G$53)</f>
        <v>0</v>
      </c>
      <c r="F2118" s="545">
        <f>-'Foglio deposito bis'!$F$79*(C2118-sezione!$AM$35)*IF(ABS(L2118)&lt;'Sollecitazioni nel paramento'!$G$58,ABS(L2118)*'Sollecitazioni nel paramento'!$G$54,'Sollecitazioni nel paramento'!$G$53)</f>
        <v>-5334685.0518607814</v>
      </c>
      <c r="G2118" s="545">
        <f>-'Foglio deposito bis'!$F$80*(C2118-sezione!$AN$35)*IF(ABS(M2118)&lt;'Sollecitazioni nel paramento'!$G$58,ABS(M2118)*'Sollecitazioni nel paramento'!$G$54,'Sollecitazioni nel paramento'!$G$53)</f>
        <v>0</v>
      </c>
      <c r="H2118" s="545">
        <f>-'Foglio deposito bis'!$F$81*(C2118-sezione!$AO$35)*IF(ABS(N2118)&lt;'Sollecitazioni nel paramento'!$G$58,ABS(N2118)*'Sollecitazioni nel paramento'!$G$54,'Sollecitazioni nel paramento'!$G$53)</f>
        <v>21792156.075789198</v>
      </c>
      <c r="I2118" s="472">
        <f>-'Foglio deposito bis'!$F$82*(C2118-sezione!$AP$35)*IF(ABS(O2118)&lt;'Sollecitazioni nel paramento'!$G$58,ABS(O2118)*'Sollecitazioni nel paramento'!$G$54,'Sollecitazioni nel paramento'!$G$53)</f>
        <v>526570301.96382332</v>
      </c>
      <c r="J2118" s="472">
        <f t="shared" si="149"/>
        <v>300818498.63293505</v>
      </c>
      <c r="K2118" s="550">
        <f>'Sollecitazioni nel paramento'!$G$60*(sezione!$AL$35-C2118)/C2118</f>
        <v>-2.1582102686591243E-3</v>
      </c>
      <c r="L2118" s="550">
        <f>'Sollecitazioni nel paramento'!$G$60*(sezione!$AM$35-C2118)/C2118</f>
        <v>-1.4873154029886862E-3</v>
      </c>
      <c r="M2118" s="551">
        <f>'Sollecitazioni nel paramento'!$G$60*(sezione!$AN$35-C2118)/C2118</f>
        <v>-8.1642053731824837E-4</v>
      </c>
      <c r="N2118" s="551">
        <f>'Sollecitazioni nel paramento'!$G$60*(sezione!$AO$35-C2118)/C2118</f>
        <v>1.8671589253635035E-3</v>
      </c>
      <c r="O2118" s="551">
        <f>'Sollecitazioni nel paramento'!$G$60*(sezione!$AP$35-C2118)/C2118</f>
        <v>1.9791543601992482E-2</v>
      </c>
      <c r="P2118" s="545">
        <f>-'Sollecitazioni nel paramento'!$G$47*'Sollecitazioni nel paramento'!$G$41*IF(DATI!$G$211="dx",DATI!$E$61,DATI!$E$64*DATI!$E$63)*1000*C2118*sezione!$AD$5</f>
        <v>-3974974.5250100037</v>
      </c>
      <c r="Q2118" s="545">
        <f>'Foglio deposito bis'!$F$78*IF(ABS(K2118)&lt;'Sollecitazioni nel paramento'!$G$58,ABS(K2118)*'Sollecitazioni nel paramento'!$G$54,'Sollecitazioni nel paramento'!$G$53)*IF(K2118&lt;0,-1,1)</f>
        <v>0</v>
      </c>
      <c r="R2118" s="545">
        <f>'Foglio deposito bis'!$F$79*IF(ABS(L2118)&lt;'Sollecitazioni nel paramento'!$G$58,ABS(L2118)*'Sollecitazioni nel paramento'!$G$54,'Sollecitazioni nel paramento'!$G$53)*IF(L2118&lt;0,-1,1)</f>
        <v>-120317.88294770512</v>
      </c>
      <c r="S2118" s="545">
        <f>'Foglio deposito bis'!$F$80*IF(ABS(M2118)&lt;'Sollecitazioni nel paramento'!$G$58,ABS(M2118)*'Sollecitazioni nel paramento'!$G$54,'Sollecitazioni nel paramento'!$G$53)*IF(M2118&lt;0,-1,1)</f>
        <v>0</v>
      </c>
      <c r="T2118" s="545">
        <f>'Foglio deposito bis'!$F$81*IF(ABS(N2118)&lt;'Sollecitazioni nel paramento'!$G$58,ABS(N2118)*'Sollecitazioni nel paramento'!$G$54,'Sollecitazioni nel paramento'!$G$53)*IF(N2118&lt;0,-1,1)</f>
        <v>391510.47681411216</v>
      </c>
      <c r="U2118" s="545">
        <f>'Foglio deposito bis'!$F$82*IF(ABS(O2118)&lt;'Sollecitazioni nel paramento'!$G$58,ABS(O2118)*'Sollecitazioni nel paramento'!$G$54,'Sollecitazioni nel paramento'!$G$53)*IF(O2118&lt;0,-1,1)</f>
        <v>892485.49558937876</v>
      </c>
      <c r="V2118" s="472">
        <f t="shared" ref="V2118:V2181" si="151">P2118+Q2118+R2118+S2118+T2118+U2118</f>
        <v>-2811296.435554218</v>
      </c>
      <c r="W2118" s="551"/>
      <c r="X2118" s="551"/>
    </row>
    <row r="2119" spans="1:24" x14ac:dyDescent="0.25">
      <c r="A2119" s="545">
        <f t="shared" si="150"/>
        <v>2911089.0629842514</v>
      </c>
      <c r="B2119" s="3">
        <f t="shared" si="148"/>
        <v>10.699999999999983</v>
      </c>
      <c r="C2119" s="545">
        <f>'Foglio deposito bis'!$E$161/sezione!$B$247*B2119</f>
        <v>106.32565098265968</v>
      </c>
      <c r="D2119" s="603">
        <f>-'Sollecitazioni nel paramento'!$G$47*'Sollecitazioni nel paramento'!$G$41*IF(DATI!$G$211="dx",DATI!$E$61,DATI!$E$64*DATI!$E$63)*1000*C2119^2*sezione!$AD$5*(1-sezione!$AD$6)</f>
        <v>-251524170.71095657</v>
      </c>
      <c r="E2119" s="545">
        <f>-'Foglio deposito bis'!$F$78*(C2119-sezione!$AL$35)*IF(ABS(K2119)&lt;'Sollecitazioni nel paramento'!$G$58,ABS(K2119)*'Sollecitazioni nel paramento'!$G$54,'Sollecitazioni nel paramento'!$G$53)</f>
        <v>0</v>
      </c>
      <c r="F2119" s="545">
        <f>-'Foglio deposito bis'!$F$79*(C2119-sezione!$AM$35)*IF(ABS(L2119)&lt;'Sollecitazioni nel paramento'!$G$58,ABS(L2119)*'Sollecitazioni nel paramento'!$G$54,'Sollecitazioni nel paramento'!$G$53)</f>
        <v>-5714788.4957757769</v>
      </c>
      <c r="G2119" s="545">
        <f>-'Foglio deposito bis'!$F$80*(C2119-sezione!$AN$35)*IF(ABS(M2119)&lt;'Sollecitazioni nel paramento'!$G$58,ABS(M2119)*'Sollecitazioni nel paramento'!$G$54,'Sollecitazioni nel paramento'!$G$53)</f>
        <v>0</v>
      </c>
      <c r="H2119" s="545">
        <f>-'Foglio deposito bis'!$F$81*(C2119-sezione!$AO$35)*IF(ABS(N2119)&lt;'Sollecitazioni nel paramento'!$G$58,ABS(N2119)*'Sollecitazioni nel paramento'!$G$54,'Sollecitazioni nel paramento'!$G$53)</f>
        <v>19885003.371179406</v>
      </c>
      <c r="I2119" s="472">
        <f>-'Foglio deposito bis'!$F$82*(C2119-sezione!$AP$35)*IF(ABS(O2119)&lt;'Sollecitazioni nel paramento'!$G$58,ABS(O2119)*'Sollecitazioni nel paramento'!$G$54,'Sollecitazioni nel paramento'!$G$53)</f>
        <v>524796580.44398916</v>
      </c>
      <c r="J2119" s="472">
        <f t="shared" si="149"/>
        <v>287442624.60843623</v>
      </c>
      <c r="K2119" s="550">
        <f>'Sollecitazioni nel paramento'!$G$60*(sezione!$AL$35-C2119)/C2119</f>
        <v>-2.183290450553346E-3</v>
      </c>
      <c r="L2119" s="550">
        <f>'Sollecitazioni nel paramento'!$G$60*(sezione!$AM$35-C2119)/C2119</f>
        <v>-1.5249356758300192E-3</v>
      </c>
      <c r="M2119" s="551">
        <f>'Sollecitazioni nel paramento'!$G$60*(sezione!$AN$35-C2119)/C2119</f>
        <v>-8.6658090110669223E-4</v>
      </c>
      <c r="N2119" s="551">
        <f>'Sollecitazioni nel paramento'!$G$60*(sezione!$AO$35-C2119)/C2119</f>
        <v>1.7668381977866156E-3</v>
      </c>
      <c r="O2119" s="551">
        <f>'Sollecitazioni nel paramento'!$G$60*(sezione!$AP$35-C2119)/C2119</f>
        <v>1.935618764681505E-2</v>
      </c>
      <c r="P2119" s="545">
        <f>-'Sollecitazioni nel paramento'!$G$47*'Sollecitazioni nel paramento'!$G$41*IF(DATI!$G$211="dx",DATI!$E$61,DATI!$E$64*DATI!$E$63)*1000*C2119*sezione!$AD$5</f>
        <v>-4050688.3254863853</v>
      </c>
      <c r="Q2119" s="545">
        <f>'Foglio deposito bis'!$F$78*IF(ABS(K2119)&lt;'Sollecitazioni nel paramento'!$G$58,ABS(K2119)*'Sollecitazioni nel paramento'!$G$54,'Sollecitazioni nel paramento'!$G$53)*IF(K2119&lt;0,-1,1)</f>
        <v>0</v>
      </c>
      <c r="R2119" s="545">
        <f>'Foglio deposito bis'!$F$79*IF(ABS(L2119)&lt;'Sollecitazioni nel paramento'!$G$58,ABS(L2119)*'Sollecitazioni nel paramento'!$G$54,'Sollecitazioni nel paramento'!$G$53)*IF(L2119&lt;0,-1,1)</f>
        <v>-123361.2129469028</v>
      </c>
      <c r="S2119" s="545">
        <f>'Foglio deposito bis'!$F$80*IF(ABS(M2119)&lt;'Sollecitazioni nel paramento'!$G$58,ABS(M2119)*'Sollecitazioni nel paramento'!$G$54,'Sollecitazioni nel paramento'!$G$53)*IF(M2119&lt;0,-1,1)</f>
        <v>0</v>
      </c>
      <c r="T2119" s="545">
        <f>'Foglio deposito bis'!$F$81*IF(ABS(N2119)&lt;'Sollecitazioni nel paramento'!$G$58,ABS(N2119)*'Sollecitazioni nel paramento'!$G$54,'Sollecitazioni nel paramento'!$G$53)*IF(N2119&lt;0,-1,1)</f>
        <v>370474.97985965793</v>
      </c>
      <c r="U2119" s="545">
        <f>'Foglio deposito bis'!$F$82*IF(ABS(O2119)&lt;'Sollecitazioni nel paramento'!$G$58,ABS(O2119)*'Sollecitazioni nel paramento'!$G$54,'Sollecitazioni nel paramento'!$G$53)*IF(O2119&lt;0,-1,1)</f>
        <v>892485.49558937876</v>
      </c>
      <c r="V2119" s="472">
        <f t="shared" si="151"/>
        <v>-2911089.0629842514</v>
      </c>
      <c r="W2119" s="551"/>
      <c r="X2119" s="551"/>
    </row>
    <row r="2120" spans="1:24" x14ac:dyDescent="0.25">
      <c r="A2120" s="545">
        <f t="shared" si="150"/>
        <v>3009998.0637370865</v>
      </c>
      <c r="B2120" s="3">
        <f t="shared" si="148"/>
        <v>10.899999999999983</v>
      </c>
      <c r="C2120" s="545">
        <f>'Foglio deposito bis'!$E$161/sezione!$B$247*B2120</f>
        <v>108.31304632812996</v>
      </c>
      <c r="D2120" s="603">
        <f>-'Sollecitazioni nel paramento'!$G$47*'Sollecitazioni nel paramento'!$G$41*IF(DATI!$G$211="dx",DATI!$E$61,DATI!$E$64*DATI!$E$63)*1000*C2120^2*sezione!$AD$5*(1-sezione!$AD$6)</f>
        <v>-261014819.82853311</v>
      </c>
      <c r="E2120" s="545">
        <f>-'Foglio deposito bis'!$F$78*(C2120-sezione!$AL$35)*IF(ABS(K2120)&lt;'Sollecitazioni nel paramento'!$G$58,ABS(K2120)*'Sollecitazioni nel paramento'!$G$54,'Sollecitazioni nel paramento'!$G$53)</f>
        <v>0</v>
      </c>
      <c r="F2120" s="545">
        <f>-'Foglio deposito bis'!$F$79*(C2120-sezione!$AM$35)*IF(ABS(L2120)&lt;'Sollecitazioni nel paramento'!$G$58,ABS(L2120)*'Sollecitazioni nel paramento'!$G$54,'Sollecitazioni nel paramento'!$G$53)</f>
        <v>-6101592.8497807486</v>
      </c>
      <c r="G2120" s="545">
        <f>-'Foglio deposito bis'!$F$80*(C2120-sezione!$AN$35)*IF(ABS(M2120)&lt;'Sollecitazioni nel paramento'!$G$58,ABS(M2120)*'Sollecitazioni nel paramento'!$G$54,'Sollecitazioni nel paramento'!$G$53)</f>
        <v>0</v>
      </c>
      <c r="H2120" s="545">
        <f>-'Foglio deposito bis'!$F$81*(C2120-sezione!$AO$35)*IF(ABS(N2120)&lt;'Sollecitazioni nel paramento'!$G$58,ABS(N2120)*'Sollecitazioni nel paramento'!$G$54,'Sollecitazioni nel paramento'!$G$53)</f>
        <v>18101361.841348063</v>
      </c>
      <c r="I2120" s="472">
        <f>-'Foglio deposito bis'!$F$82*(C2120-sezione!$AP$35)*IF(ABS(O2120)&lt;'Sollecitazioni nel paramento'!$G$58,ABS(O2120)*'Sollecitazioni nel paramento'!$G$54,'Sollecitazioni nel paramento'!$G$53)</f>
        <v>523022858.92415512</v>
      </c>
      <c r="J2120" s="472">
        <f t="shared" si="149"/>
        <v>274007808.08718932</v>
      </c>
      <c r="K2120" s="550">
        <f>'Sollecitazioni nel paramento'!$G$60*(sezione!$AL$35-C2120)/C2120</f>
        <v>-2.2074502588000735E-3</v>
      </c>
      <c r="L2120" s="550">
        <f>'Sollecitazioni nel paramento'!$G$60*(sezione!$AM$35-C2120)/C2120</f>
        <v>-1.5611753882001104E-3</v>
      </c>
      <c r="M2120" s="551">
        <f>'Sollecitazioni nel paramento'!$G$60*(sezione!$AN$35-C2120)/C2120</f>
        <v>-9.1490051760014749E-4</v>
      </c>
      <c r="N2120" s="551">
        <f>'Sollecitazioni nel paramento'!$G$60*(sezione!$AO$35-C2120)/C2120</f>
        <v>1.6701989647997053E-3</v>
      </c>
      <c r="O2120" s="551">
        <f>'Sollecitazioni nel paramento'!$G$60*(sezione!$AP$35-C2120)/C2120</f>
        <v>1.8936808056965234E-2</v>
      </c>
      <c r="P2120" s="545">
        <f>-'Sollecitazioni nel paramento'!$G$47*'Sollecitazioni nel paramento'!$G$41*IF(DATI!$G$211="dx",DATI!$E$61,DATI!$E$64*DATI!$E$63)*1000*C2120*sezione!$AD$5</f>
        <v>-4126402.1259627664</v>
      </c>
      <c r="Q2120" s="545">
        <f>'Foglio deposito bis'!$F$78*IF(ABS(K2120)&lt;'Sollecitazioni nel paramento'!$G$58,ABS(K2120)*'Sollecitazioni nel paramento'!$G$54,'Sollecitazioni nel paramento'!$G$53)*IF(K2120&lt;0,-1,1)</f>
        <v>0</v>
      </c>
      <c r="R2120" s="545">
        <f>'Foglio deposito bis'!$F$79*IF(ABS(L2120)&lt;'Sollecitazioni nel paramento'!$G$58,ABS(L2120)*'Sollecitazioni nel paramento'!$G$54,'Sollecitazioni nel paramento'!$G$53)*IF(L2120&lt;0,-1,1)</f>
        <v>-126292.8611112675</v>
      </c>
      <c r="S2120" s="545">
        <f>'Foglio deposito bis'!$F$80*IF(ABS(M2120)&lt;'Sollecitazioni nel paramento'!$G$58,ABS(M2120)*'Sollecitazioni nel paramento'!$G$54,'Sollecitazioni nel paramento'!$G$53)*IF(M2120&lt;0,-1,1)</f>
        <v>0</v>
      </c>
      <c r="T2120" s="545">
        <f>'Foglio deposito bis'!$F$81*IF(ABS(N2120)&lt;'Sollecitazioni nel paramento'!$G$58,ABS(N2120)*'Sollecitazioni nel paramento'!$G$54,'Sollecitazioni nel paramento'!$G$53)*IF(N2120&lt;0,-1,1)</f>
        <v>350211.42774756905</v>
      </c>
      <c r="U2120" s="545">
        <f>'Foglio deposito bis'!$F$82*IF(ABS(O2120)&lt;'Sollecitazioni nel paramento'!$G$58,ABS(O2120)*'Sollecitazioni nel paramento'!$G$54,'Sollecitazioni nel paramento'!$G$53)*IF(O2120&lt;0,-1,1)</f>
        <v>892485.49558937876</v>
      </c>
      <c r="V2120" s="472">
        <f t="shared" si="151"/>
        <v>-3009998.0637370865</v>
      </c>
      <c r="W2120" s="551"/>
      <c r="X2120" s="551"/>
    </row>
    <row r="2121" spans="1:24" x14ac:dyDescent="0.25">
      <c r="A2121" s="545">
        <f t="shared" si="150"/>
        <v>3108071.2014168943</v>
      </c>
      <c r="B2121" s="3">
        <f t="shared" si="148"/>
        <v>11.099999999999982</v>
      </c>
      <c r="C2121" s="545">
        <f>'Foglio deposito bis'!$E$161/sezione!$B$247*B2121</f>
        <v>110.30044167360022</v>
      </c>
      <c r="D2121" s="603">
        <f>-'Sollecitazioni nel paramento'!$G$47*'Sollecitazioni nel paramento'!$G$41*IF(DATI!$G$211="dx",DATI!$E$61,DATI!$E$64*DATI!$E$63)*1000*C2121^2*sezione!$AD$5*(1-sezione!$AD$6)</f>
        <v>-270681221.70754611</v>
      </c>
      <c r="E2121" s="545">
        <f>-'Foglio deposito bis'!$F$78*(C2121-sezione!$AL$35)*IF(ABS(K2121)&lt;'Sollecitazioni nel paramento'!$G$58,ABS(K2121)*'Sollecitazioni nel paramento'!$G$54,'Sollecitazioni nel paramento'!$G$53)</f>
        <v>0</v>
      </c>
      <c r="F2121" s="545">
        <f>-'Foglio deposito bis'!$F$79*(C2121-sezione!$AM$35)*IF(ABS(L2121)&lt;'Sollecitazioni nel paramento'!$G$58,ABS(L2121)*'Sollecitazioni nel paramento'!$G$54,'Sollecitazioni nel paramento'!$G$53)</f>
        <v>-6494735.9025194813</v>
      </c>
      <c r="G2121" s="545">
        <f>-'Foglio deposito bis'!$F$80*(C2121-sezione!$AN$35)*IF(ABS(M2121)&lt;'Sollecitazioni nel paramento'!$G$58,ABS(M2121)*'Sollecitazioni nel paramento'!$G$54,'Sollecitazioni nel paramento'!$G$53)</f>
        <v>0</v>
      </c>
      <c r="H2121" s="545">
        <f>-'Foglio deposito bis'!$F$81*(C2121-sezione!$AO$35)*IF(ABS(N2121)&lt;'Sollecitazioni nel paramento'!$G$58,ABS(N2121)*'Sollecitazioni nel paramento'!$G$54,'Sollecitazioni nel paramento'!$G$53)</f>
        <v>16434555.206577418</v>
      </c>
      <c r="I2121" s="472">
        <f>-'Foglio deposito bis'!$F$82*(C2121-sezione!$AP$35)*IF(ABS(O2121)&lt;'Sollecitazioni nel paramento'!$G$58,ABS(O2121)*'Sollecitazioni nel paramento'!$G$54,'Sollecitazioni nel paramento'!$G$53)</f>
        <v>521249137.40432107</v>
      </c>
      <c r="J2121" s="472">
        <f t="shared" si="149"/>
        <v>260507735.00083292</v>
      </c>
      <c r="K2121" s="550">
        <f>'Sollecitazioni nel paramento'!$G$60*(sezione!$AL$35-C2121)/C2121</f>
        <v>-2.2307394433261985E-3</v>
      </c>
      <c r="L2121" s="550">
        <f>'Sollecitazioni nel paramento'!$G$60*(sezione!$AM$35-C2121)/C2121</f>
        <v>-1.5961091649892977E-3</v>
      </c>
      <c r="M2121" s="551">
        <f>'Sollecitazioni nel paramento'!$G$60*(sezione!$AN$35-C2121)/C2121</f>
        <v>-9.6147888665239678E-4</v>
      </c>
      <c r="N2121" s="551">
        <f>'Sollecitazioni nel paramento'!$G$60*(sezione!$AO$35-C2121)/C2121</f>
        <v>1.5770422266952065E-3</v>
      </c>
      <c r="O2121" s="551">
        <f>'Sollecitazioni nel paramento'!$G$60*(sezione!$AP$35-C2121)/C2121</f>
        <v>1.8532541245128025E-2</v>
      </c>
      <c r="P2121" s="545">
        <f>-'Sollecitazioni nel paramento'!$G$47*'Sollecitazioni nel paramento'!$G$41*IF(DATI!$G$211="dx",DATI!$E$61,DATI!$E$64*DATI!$E$63)*1000*C2121*sezione!$AD$5</f>
        <v>-4202115.9264391465</v>
      </c>
      <c r="Q2121" s="545">
        <f>'Foglio deposito bis'!$F$78*IF(ABS(K2121)&lt;'Sollecitazioni nel paramento'!$G$58,ABS(K2121)*'Sollecitazioni nel paramento'!$G$54,'Sollecitazioni nel paramento'!$G$53)*IF(K2121&lt;0,-1,1)</f>
        <v>0</v>
      </c>
      <c r="R2121" s="545">
        <f>'Foglio deposito bis'!$F$79*IF(ABS(L2121)&lt;'Sollecitazioni nel paramento'!$G$58,ABS(L2121)*'Sollecitazioni nel paramento'!$G$54,'Sollecitazioni nel paramento'!$G$53)*IF(L2121&lt;0,-1,1)</f>
        <v>-129118.8642967362</v>
      </c>
      <c r="S2121" s="545">
        <f>'Foglio deposito bis'!$F$80*IF(ABS(M2121)&lt;'Sollecitazioni nel paramento'!$G$58,ABS(M2121)*'Sollecitazioni nel paramento'!$G$54,'Sollecitazioni nel paramento'!$G$53)*IF(M2121&lt;0,-1,1)</f>
        <v>0</v>
      </c>
      <c r="T2121" s="545">
        <f>'Foglio deposito bis'!$F$81*IF(ABS(N2121)&lt;'Sollecitazioni nel paramento'!$G$58,ABS(N2121)*'Sollecitazioni nel paramento'!$G$54,'Sollecitazioni nel paramento'!$G$53)*IF(N2121&lt;0,-1,1)</f>
        <v>330678.09372960945</v>
      </c>
      <c r="U2121" s="545">
        <f>'Foglio deposito bis'!$F$82*IF(ABS(O2121)&lt;'Sollecitazioni nel paramento'!$G$58,ABS(O2121)*'Sollecitazioni nel paramento'!$G$54,'Sollecitazioni nel paramento'!$G$53)*IF(O2121&lt;0,-1,1)</f>
        <v>892485.49558937876</v>
      </c>
      <c r="V2121" s="472">
        <f t="shared" si="151"/>
        <v>-3108071.2014168943</v>
      </c>
      <c r="W2121" s="551"/>
      <c r="X2121" s="551"/>
    </row>
    <row r="2122" spans="1:24" x14ac:dyDescent="0.25">
      <c r="A2122" s="545">
        <f t="shared" si="150"/>
        <v>3205352.8581337514</v>
      </c>
      <c r="B2122" s="3">
        <f t="shared" si="148"/>
        <v>11.299999999999981</v>
      </c>
      <c r="C2122" s="545">
        <f>'Foglio deposito bis'!$E$161/sezione!$B$247*B2122</f>
        <v>112.28783701907049</v>
      </c>
      <c r="D2122" s="603">
        <f>-'Sollecitazioni nel paramento'!$G$47*'Sollecitazioni nel paramento'!$G$41*IF(DATI!$G$211="dx",DATI!$E$61,DATI!$E$64*DATI!$E$63)*1000*C2122^2*sezione!$AD$5*(1-sezione!$AD$6)</f>
        <v>-280523376.34799582</v>
      </c>
      <c r="E2122" s="545">
        <f>-'Foglio deposito bis'!$F$78*(C2122-sezione!$AL$35)*IF(ABS(K2122)&lt;'Sollecitazioni nel paramento'!$G$58,ABS(K2122)*'Sollecitazioni nel paramento'!$G$54,'Sollecitazioni nel paramento'!$G$53)</f>
        <v>0</v>
      </c>
      <c r="F2122" s="545">
        <f>-'Foglio deposito bis'!$F$79*(C2122-sezione!$AM$35)*IF(ABS(L2122)&lt;'Sollecitazioni nel paramento'!$G$58,ABS(L2122)*'Sollecitazioni nel paramento'!$G$54,'Sollecitazioni nel paramento'!$G$53)</f>
        <v>-6893881.0859176163</v>
      </c>
      <c r="G2122" s="545">
        <f>-'Foglio deposito bis'!$F$80*(C2122-sezione!$AN$35)*IF(ABS(M2122)&lt;'Sollecitazioni nel paramento'!$G$58,ABS(M2122)*'Sollecitazioni nel paramento'!$G$54,'Sollecitazioni nel paramento'!$G$53)</f>
        <v>0</v>
      </c>
      <c r="H2122" s="545">
        <f>-'Foglio deposito bis'!$F$81*(C2122-sezione!$AO$35)*IF(ABS(N2122)&lt;'Sollecitazioni nel paramento'!$G$58,ABS(N2122)*'Sollecitazioni nel paramento'!$G$54,'Sollecitazioni nel paramento'!$G$53)</f>
        <v>14878379.844120875</v>
      </c>
      <c r="I2122" s="472">
        <f>-'Foglio deposito bis'!$F$82*(C2122-sezione!$AP$35)*IF(ABS(O2122)&lt;'Sollecitazioni nel paramento'!$G$58,ABS(O2122)*'Sollecitazioni nel paramento'!$G$54,'Sollecitazioni nel paramento'!$G$53)</f>
        <v>519475415.88448703</v>
      </c>
      <c r="J2122" s="472">
        <f t="shared" si="149"/>
        <v>246936538.29469448</v>
      </c>
      <c r="K2122" s="550">
        <f>'Sollecitazioni nel paramento'!$G$60*(sezione!$AL$35-C2122)/C2122</f>
        <v>-2.2532042319398939E-3</v>
      </c>
      <c r="L2122" s="550">
        <f>'Sollecitazioni nel paramento'!$G$60*(sezione!$AM$35-C2122)/C2122</f>
        <v>-1.629806347909841E-3</v>
      </c>
      <c r="M2122" s="551">
        <f>'Sollecitazioni nel paramento'!$G$60*(sezione!$AN$35-C2122)/C2122</f>
        <v>-1.006408463879788E-3</v>
      </c>
      <c r="N2122" s="551">
        <f>'Sollecitazioni nel paramento'!$G$60*(sezione!$AO$35-C2122)/C2122</f>
        <v>1.4871830722404239E-3</v>
      </c>
      <c r="O2122" s="551">
        <f>'Sollecitazioni nel paramento'!$G$60*(sezione!$AP$35-C2122)/C2122</f>
        <v>1.8142584762913368E-2</v>
      </c>
      <c r="P2122" s="545">
        <f>-'Sollecitazioni nel paramento'!$G$47*'Sollecitazioni nel paramento'!$G$41*IF(DATI!$G$211="dx",DATI!$E$61,DATI!$E$64*DATI!$E$63)*1000*C2122*sezione!$AD$5</f>
        <v>-4277829.7269155281</v>
      </c>
      <c r="Q2122" s="545">
        <f>'Foglio deposito bis'!$F$78*IF(ABS(K2122)&lt;'Sollecitazioni nel paramento'!$G$58,ABS(K2122)*'Sollecitazioni nel paramento'!$G$54,'Sollecitazioni nel paramento'!$G$53)*IF(K2122&lt;0,-1,1)</f>
        <v>0</v>
      </c>
      <c r="R2122" s="545">
        <f>'Foglio deposito bis'!$F$79*IF(ABS(L2122)&lt;'Sollecitazioni nel paramento'!$G$58,ABS(L2122)*'Sollecitazioni nel paramento'!$G$54,'Sollecitazioni nel paramento'!$G$53)*IF(L2122&lt;0,-1,1)</f>
        <v>-131844.83197121482</v>
      </c>
      <c r="S2122" s="545">
        <f>'Foglio deposito bis'!$F$80*IF(ABS(M2122)&lt;'Sollecitazioni nel paramento'!$G$58,ABS(M2122)*'Sollecitazioni nel paramento'!$G$54,'Sollecitazioni nel paramento'!$G$53)*IF(M2122&lt;0,-1,1)</f>
        <v>0</v>
      </c>
      <c r="T2122" s="545">
        <f>'Foglio deposito bis'!$F$81*IF(ABS(N2122)&lt;'Sollecitazioni nel paramento'!$G$58,ABS(N2122)*'Sollecitazioni nel paramento'!$G$54,'Sollecitazioni nel paramento'!$G$53)*IF(N2122&lt;0,-1,1)</f>
        <v>311836.20516361302</v>
      </c>
      <c r="U2122" s="545">
        <f>'Foglio deposito bis'!$F$82*IF(ABS(O2122)&lt;'Sollecitazioni nel paramento'!$G$58,ABS(O2122)*'Sollecitazioni nel paramento'!$G$54,'Sollecitazioni nel paramento'!$G$53)*IF(O2122&lt;0,-1,1)</f>
        <v>892485.49558937876</v>
      </c>
      <c r="V2122" s="472">
        <f t="shared" si="151"/>
        <v>-3205352.8581337514</v>
      </c>
      <c r="W2122" s="551"/>
      <c r="X2122" s="551"/>
    </row>
    <row r="2123" spans="1:24" x14ac:dyDescent="0.25">
      <c r="A2123" s="545">
        <f t="shared" si="150"/>
        <v>3301884.3285465897</v>
      </c>
      <c r="B2123" s="3">
        <f t="shared" si="148"/>
        <v>11.49999999999998</v>
      </c>
      <c r="C2123" s="545">
        <f>'Foglio deposito bis'!$E$161/sezione!$B$247*B2123</f>
        <v>114.27523236454077</v>
      </c>
      <c r="D2123" s="603">
        <f>-'Sollecitazioni nel paramento'!$G$47*'Sollecitazioni nel paramento'!$G$41*IF(DATI!$G$211="dx",DATI!$E$61,DATI!$E$64*DATI!$E$63)*1000*C2123^2*sezione!$AD$5*(1-sezione!$AD$6)</f>
        <v>-290541283.7498821</v>
      </c>
      <c r="E2123" s="545">
        <f>-'Foglio deposito bis'!$F$78*(C2123-sezione!$AL$35)*IF(ABS(K2123)&lt;'Sollecitazioni nel paramento'!$G$58,ABS(K2123)*'Sollecitazioni nel paramento'!$G$54,'Sollecitazioni nel paramento'!$G$53)</f>
        <v>0</v>
      </c>
      <c r="F2123" s="545">
        <f>-'Foglio deposito bis'!$F$79*(C2123-sezione!$AM$35)*IF(ABS(L2123)&lt;'Sollecitazioni nel paramento'!$G$58,ABS(L2123)*'Sollecitazioni nel paramento'!$G$54,'Sollecitazioni nel paramento'!$G$53)</f>
        <v>-7298715.2453320548</v>
      </c>
      <c r="G2123" s="545">
        <f>-'Foglio deposito bis'!$F$80*(C2123-sezione!$AN$35)*IF(ABS(M2123)&lt;'Sollecitazioni nel paramento'!$G$58,ABS(M2123)*'Sollecitazioni nel paramento'!$G$54,'Sollecitazioni nel paramento'!$G$53)</f>
        <v>0</v>
      </c>
      <c r="H2123" s="545">
        <f>-'Foglio deposito bis'!$F$81*(C2123-sezione!$AO$35)*IF(ABS(N2123)&lt;'Sollecitazioni nel paramento'!$G$58,ABS(N2123)*'Sollecitazioni nel paramento'!$G$54,'Sollecitazioni nel paramento'!$G$53)</f>
        <v>13427063.687596833</v>
      </c>
      <c r="I2123" s="472">
        <f>-'Foglio deposito bis'!$F$82*(C2123-sezione!$AP$35)*IF(ABS(O2123)&lt;'Sollecitazioni nel paramento'!$G$58,ABS(O2123)*'Sollecitazioni nel paramento'!$G$54,'Sollecitazioni nel paramento'!$G$53)</f>
        <v>517701694.36465287</v>
      </c>
      <c r="J2123" s="472">
        <f t="shared" si="149"/>
        <v>233288759.05703557</v>
      </c>
      <c r="K2123" s="550">
        <f>'Sollecitazioni nel paramento'!$G$60*(sezione!$AL$35-C2123)/C2123</f>
        <v>-2.2748876366018092E-3</v>
      </c>
      <c r="L2123" s="550">
        <f>'Sollecitazioni nel paramento'!$G$60*(sezione!$AM$35-C2123)/C2123</f>
        <v>-1.6623314549027133E-3</v>
      </c>
      <c r="M2123" s="551">
        <f>'Sollecitazioni nel paramento'!$G$60*(sezione!$AN$35-C2123)/C2123</f>
        <v>-1.0497752732036179E-3</v>
      </c>
      <c r="N2123" s="551">
        <f>'Sollecitazioni nel paramento'!$G$60*(sezione!$AO$35-C2123)/C2123</f>
        <v>1.4004494535927645E-3</v>
      </c>
      <c r="O2123" s="551">
        <f>'Sollecitazioni nel paramento'!$G$60*(sezione!$AP$35-C2123)/C2123</f>
        <v>1.7766191984427918E-2</v>
      </c>
      <c r="P2123" s="545">
        <f>-'Sollecitazioni nel paramento'!$G$47*'Sollecitazioni nel paramento'!$G$41*IF(DATI!$G$211="dx",DATI!$E$61,DATI!$E$64*DATI!$E$63)*1000*C2123*sezione!$AD$5</f>
        <v>-4353543.5273919087</v>
      </c>
      <c r="Q2123" s="545">
        <f>'Foglio deposito bis'!$F$78*IF(ABS(K2123)&lt;'Sollecitazioni nel paramento'!$G$58,ABS(K2123)*'Sollecitazioni nel paramento'!$G$54,'Sollecitazioni nel paramento'!$G$53)*IF(K2123&lt;0,-1,1)</f>
        <v>0</v>
      </c>
      <c r="R2123" s="545">
        <f>'Foglio deposito bis'!$F$79*IF(ABS(L2123)&lt;'Sollecitazioni nel paramento'!$G$58,ABS(L2123)*'Sollecitazioni nel paramento'!$G$54,'Sollecitazioni nel paramento'!$G$53)*IF(L2123&lt;0,-1,1)</f>
        <v>-134475.9833787551</v>
      </c>
      <c r="S2123" s="545">
        <f>'Foglio deposito bis'!$F$80*IF(ABS(M2123)&lt;'Sollecitazioni nel paramento'!$G$58,ABS(M2123)*'Sollecitazioni nel paramento'!$G$54,'Sollecitazioni nel paramento'!$G$53)*IF(M2123&lt;0,-1,1)</f>
        <v>0</v>
      </c>
      <c r="T2123" s="545">
        <f>'Foglio deposito bis'!$F$81*IF(ABS(N2123)&lt;'Sollecitazioni nel paramento'!$G$58,ABS(N2123)*'Sollecitazioni nel paramento'!$G$54,'Sollecitazioni nel paramento'!$G$53)*IF(N2123&lt;0,-1,1)</f>
        <v>293649.68663469469</v>
      </c>
      <c r="U2123" s="545">
        <f>'Foglio deposito bis'!$F$82*IF(ABS(O2123)&lt;'Sollecitazioni nel paramento'!$G$58,ABS(O2123)*'Sollecitazioni nel paramento'!$G$54,'Sollecitazioni nel paramento'!$G$53)*IF(O2123&lt;0,-1,1)</f>
        <v>892485.49558937876</v>
      </c>
      <c r="V2123" s="472">
        <f t="shared" si="151"/>
        <v>-3301884.3285465897</v>
      </c>
      <c r="W2123" s="551"/>
      <c r="X2123" s="551"/>
    </row>
    <row r="2124" spans="1:24" x14ac:dyDescent="0.25">
      <c r="A2124" s="545">
        <f t="shared" si="150"/>
        <v>3397704.0837479266</v>
      </c>
      <c r="B2124" s="3">
        <f t="shared" si="148"/>
        <v>11.69999999999998</v>
      </c>
      <c r="C2124" s="545">
        <f>'Foglio deposito bis'!$E$161/sezione!$B$247*B2124</f>
        <v>116.26262771001103</v>
      </c>
      <c r="D2124" s="603">
        <f>-'Sollecitazioni nel paramento'!$G$47*'Sollecitazioni nel paramento'!$G$41*IF(DATI!$G$211="dx",DATI!$E$61,DATI!$E$64*DATI!$E$63)*1000*C2124^2*sezione!$AD$5*(1-sezione!$AD$6)</f>
        <v>-300734943.91320497</v>
      </c>
      <c r="E2124" s="545">
        <f>-'Foglio deposito bis'!$F$78*(C2124-sezione!$AL$35)*IF(ABS(K2124)&lt;'Sollecitazioni nel paramento'!$G$58,ABS(K2124)*'Sollecitazioni nel paramento'!$G$54,'Sollecitazioni nel paramento'!$G$53)</f>
        <v>0</v>
      </c>
      <c r="F2124" s="545">
        <f>-'Foglio deposito bis'!$F$79*(C2124-sezione!$AM$35)*IF(ABS(L2124)&lt;'Sollecitazioni nel paramento'!$G$58,ABS(L2124)*'Sollecitazioni nel paramento'!$G$54,'Sollecitazioni nel paramento'!$G$53)</f>
        <v>-7708946.6384029854</v>
      </c>
      <c r="G2124" s="545">
        <f>-'Foglio deposito bis'!$F$80*(C2124-sezione!$AN$35)*IF(ABS(M2124)&lt;'Sollecitazioni nel paramento'!$G$58,ABS(M2124)*'Sollecitazioni nel paramento'!$G$54,'Sollecitazioni nel paramento'!$G$53)</f>
        <v>0</v>
      </c>
      <c r="H2124" s="545">
        <f>-'Foglio deposito bis'!$F$81*(C2124-sezione!$AO$35)*IF(ABS(N2124)&lt;'Sollecitazioni nel paramento'!$G$58,ABS(N2124)*'Sollecitazioni nel paramento'!$G$54,'Sollecitazioni nel paramento'!$G$53)</f>
        <v>12075229.341829272</v>
      </c>
      <c r="I2124" s="472">
        <f>-'Foglio deposito bis'!$F$82*(C2124-sezione!$AP$35)*IF(ABS(O2124)&lt;'Sollecitazioni nel paramento'!$G$58,ABS(O2124)*'Sollecitazioni nel paramento'!$G$54,'Sollecitazioni nel paramento'!$G$53)</f>
        <v>515927972.84481883</v>
      </c>
      <c r="J2124" s="472">
        <f t="shared" si="149"/>
        <v>219559311.63504016</v>
      </c>
      <c r="K2124" s="550">
        <f>'Sollecitazioni nel paramento'!$G$60*(sezione!$AL$35-C2124)/C2124</f>
        <v>-2.2958297282838292E-3</v>
      </c>
      <c r="L2124" s="550">
        <f>'Sollecitazioni nel paramento'!$G$60*(sezione!$AM$35-C2124)/C2124</f>
        <v>-1.6937445924257437E-3</v>
      </c>
      <c r="M2124" s="551">
        <f>'Sollecitazioni nel paramento'!$G$60*(sezione!$AN$35-C2124)/C2124</f>
        <v>-1.0916594565676583E-3</v>
      </c>
      <c r="N2124" s="551">
        <f>'Sollecitazioni nel paramento'!$G$60*(sezione!$AO$35-C2124)/C2124</f>
        <v>1.3166810868646833E-3</v>
      </c>
      <c r="O2124" s="551">
        <f>'Sollecitazioni nel paramento'!$G$60*(sezione!$AP$35-C2124)/C2124</f>
        <v>1.7402667335121458E-2</v>
      </c>
      <c r="P2124" s="545">
        <f>-'Sollecitazioni nel paramento'!$G$47*'Sollecitazioni nel paramento'!$G$41*IF(DATI!$G$211="dx",DATI!$E$61,DATI!$E$64*DATI!$E$63)*1000*C2124*sezione!$AD$5</f>
        <v>-4429257.3278682893</v>
      </c>
      <c r="Q2124" s="545">
        <f>'Foglio deposito bis'!$F$78*IF(ABS(K2124)&lt;'Sollecitazioni nel paramento'!$G$58,ABS(K2124)*'Sollecitazioni nel paramento'!$G$54,'Sollecitazioni nel paramento'!$G$53)*IF(K2124&lt;0,-1,1)</f>
        <v>0</v>
      </c>
      <c r="R2124" s="545">
        <f>'Foglio deposito bis'!$F$79*IF(ABS(L2124)&lt;'Sollecitazioni nel paramento'!$G$58,ABS(L2124)*'Sollecitazioni nel paramento'!$G$54,'Sollecitazioni nel paramento'!$G$53)*IF(L2124&lt;0,-1,1)</f>
        <v>-137017.18089202046</v>
      </c>
      <c r="S2124" s="545">
        <f>'Foglio deposito bis'!$F$80*IF(ABS(M2124)&lt;'Sollecitazioni nel paramento'!$G$58,ABS(M2124)*'Sollecitazioni nel paramento'!$G$54,'Sollecitazioni nel paramento'!$G$53)*IF(M2124&lt;0,-1,1)</f>
        <v>0</v>
      </c>
      <c r="T2124" s="545">
        <f>'Foglio deposito bis'!$F$81*IF(ABS(N2124)&lt;'Sollecitazioni nel paramento'!$G$58,ABS(N2124)*'Sollecitazioni nel paramento'!$G$54,'Sollecitazioni nel paramento'!$G$53)*IF(N2124&lt;0,-1,1)</f>
        <v>276084.92942300445</v>
      </c>
      <c r="U2124" s="545">
        <f>'Foglio deposito bis'!$F$82*IF(ABS(O2124)&lt;'Sollecitazioni nel paramento'!$G$58,ABS(O2124)*'Sollecitazioni nel paramento'!$G$54,'Sollecitazioni nel paramento'!$G$53)*IF(O2124&lt;0,-1,1)</f>
        <v>892485.49558937876</v>
      </c>
      <c r="V2124" s="472">
        <f t="shared" si="151"/>
        <v>-3397704.0837479266</v>
      </c>
      <c r="W2124" s="551"/>
      <c r="X2124" s="551"/>
    </row>
    <row r="2125" spans="1:24" x14ac:dyDescent="0.25">
      <c r="A2125" s="545">
        <f t="shared" si="150"/>
        <v>3492848.0085383416</v>
      </c>
      <c r="B2125" s="3">
        <f t="shared" si="148"/>
        <v>11.899999999999979</v>
      </c>
      <c r="C2125" s="545">
        <f>'Foglio deposito bis'!$E$161/sezione!$B$247*B2125</f>
        <v>118.25002305548131</v>
      </c>
      <c r="D2125" s="603">
        <f>-'Sollecitazioni nel paramento'!$G$47*'Sollecitazioni nel paramento'!$G$41*IF(DATI!$G$211="dx",DATI!$E$61,DATI!$E$64*DATI!$E$63)*1000*C2125^2*sezione!$AD$5*(1-sezione!$AD$6)</f>
        <v>-311104356.83796442</v>
      </c>
      <c r="E2125" s="545">
        <f>-'Foglio deposito bis'!$F$78*(C2125-sezione!$AL$35)*IF(ABS(K2125)&lt;'Sollecitazioni nel paramento'!$G$58,ABS(K2125)*'Sollecitazioni nel paramento'!$G$54,'Sollecitazioni nel paramento'!$G$53)</f>
        <v>0</v>
      </c>
      <c r="F2125" s="545">
        <f>-'Foglio deposito bis'!$F$79*(C2125-sezione!$AM$35)*IF(ABS(L2125)&lt;'Sollecitazioni nel paramento'!$G$58,ABS(L2125)*'Sollecitazioni nel paramento'!$G$54,'Sollecitazioni nel paramento'!$G$53)</f>
        <v>-8124303.135702353</v>
      </c>
      <c r="G2125" s="545">
        <f>-'Foglio deposito bis'!$F$80*(C2125-sezione!$AN$35)*IF(ABS(M2125)&lt;'Sollecitazioni nel paramento'!$G$58,ABS(M2125)*'Sollecitazioni nel paramento'!$G$54,'Sollecitazioni nel paramento'!$G$53)</f>
        <v>0</v>
      </c>
      <c r="H2125" s="545">
        <f>-'Foglio deposito bis'!$F$81*(C2125-sezione!$AO$35)*IF(ABS(N2125)&lt;'Sollecitazioni nel paramento'!$G$58,ABS(N2125)*'Sollecitazioni nel paramento'!$G$54,'Sollecitazioni nel paramento'!$G$53)</f>
        <v>10817860.91720021</v>
      </c>
      <c r="I2125" s="472">
        <f>-'Foglio deposito bis'!$F$82*(C2125-sezione!$AP$35)*IF(ABS(O2125)&lt;'Sollecitazioni nel paramento'!$G$58,ABS(O2125)*'Sollecitazioni nel paramento'!$G$54,'Sollecitazioni nel paramento'!$G$53)</f>
        <v>514154251.32498491</v>
      </c>
      <c r="J2125" s="472">
        <f t="shared" si="149"/>
        <v>205743452.26851833</v>
      </c>
      <c r="K2125" s="550">
        <f>'Sollecitazioni nel paramento'!$G$60*(sezione!$AL$35-C2125)/C2125</f>
        <v>-2.3160678841109917E-3</v>
      </c>
      <c r="L2125" s="550">
        <f>'Sollecitazioni nel paramento'!$G$60*(sezione!$AM$35-C2125)/C2125</f>
        <v>-1.7241018261664877E-3</v>
      </c>
      <c r="M2125" s="551">
        <f>'Sollecitazioni nel paramento'!$G$60*(sezione!$AN$35-C2125)/C2125</f>
        <v>-1.1321357682219835E-3</v>
      </c>
      <c r="N2125" s="551">
        <f>'Sollecitazioni nel paramento'!$G$60*(sezione!$AO$35-C2125)/C2125</f>
        <v>1.2357284635560331E-3</v>
      </c>
      <c r="O2125" s="551">
        <f>'Sollecitazioni nel paramento'!$G$60*(sezione!$AP$35-C2125)/C2125</f>
        <v>1.7051362001758077E-2</v>
      </c>
      <c r="P2125" s="545">
        <f>-'Sollecitazioni nel paramento'!$G$47*'Sollecitazioni nel paramento'!$G$41*IF(DATI!$G$211="dx",DATI!$E$61,DATI!$E$64*DATI!$E$63)*1000*C2125*sezione!$AD$5</f>
        <v>-4504971.1283446709</v>
      </c>
      <c r="Q2125" s="545">
        <f>'Foglio deposito bis'!$F$78*IF(ABS(K2125)&lt;'Sollecitazioni nel paramento'!$G$58,ABS(K2125)*'Sollecitazioni nel paramento'!$G$54,'Sollecitazioni nel paramento'!$G$53)*IF(K2125&lt;0,-1,1)</f>
        <v>0</v>
      </c>
      <c r="R2125" s="545">
        <f>'Foglio deposito bis'!$F$79*IF(ABS(L2125)&lt;'Sollecitazioni nel paramento'!$G$58,ABS(L2125)*'Sollecitazioni nel paramento'!$G$54,'Sollecitazioni nel paramento'!$G$53)*IF(L2125&lt;0,-1,1)</f>
        <v>-139472.96000147864</v>
      </c>
      <c r="S2125" s="545">
        <f>'Foglio deposito bis'!$F$80*IF(ABS(M2125)&lt;'Sollecitazioni nel paramento'!$G$58,ABS(M2125)*'Sollecitazioni nel paramento'!$G$54,'Sollecitazioni nel paramento'!$G$53)*IF(M2125&lt;0,-1,1)</f>
        <v>0</v>
      </c>
      <c r="T2125" s="545">
        <f>'Foglio deposito bis'!$F$81*IF(ABS(N2125)&lt;'Sollecitazioni nel paramento'!$G$58,ABS(N2125)*'Sollecitazioni nel paramento'!$G$54,'Sollecitazioni nel paramento'!$G$53)*IF(N2125&lt;0,-1,1)</f>
        <v>259110.58421842972</v>
      </c>
      <c r="U2125" s="545">
        <f>'Foglio deposito bis'!$F$82*IF(ABS(O2125)&lt;'Sollecitazioni nel paramento'!$G$58,ABS(O2125)*'Sollecitazioni nel paramento'!$G$54,'Sollecitazioni nel paramento'!$G$53)*IF(O2125&lt;0,-1,1)</f>
        <v>892485.49558937876</v>
      </c>
      <c r="V2125" s="472">
        <f t="shared" si="151"/>
        <v>-3492848.0085383416</v>
      </c>
      <c r="W2125" s="551"/>
      <c r="X2125" s="551"/>
    </row>
    <row r="2126" spans="1:24" x14ac:dyDescent="0.25">
      <c r="A2126" s="545">
        <f t="shared" si="150"/>
        <v>3587349.6151696132</v>
      </c>
      <c r="B2126" s="3">
        <f t="shared" si="148"/>
        <v>12.099999999999978</v>
      </c>
      <c r="C2126" s="545">
        <f>'Foglio deposito bis'!$E$161/sezione!$B$247*B2126</f>
        <v>120.23741840095157</v>
      </c>
      <c r="D2126" s="603">
        <f>-'Sollecitazioni nel paramento'!$G$47*'Sollecitazioni nel paramento'!$G$41*IF(DATI!$G$211="dx",DATI!$E$61,DATI!$E$64*DATI!$E$63)*1000*C2126^2*sezione!$AD$5*(1-sezione!$AD$6)</f>
        <v>-321649522.5241605</v>
      </c>
      <c r="E2126" s="545">
        <f>-'Foglio deposito bis'!$F$78*(C2126-sezione!$AL$35)*IF(ABS(K2126)&lt;'Sollecitazioni nel paramento'!$G$58,ABS(K2126)*'Sollecitazioni nel paramento'!$G$54,'Sollecitazioni nel paramento'!$G$53)</f>
        <v>0</v>
      </c>
      <c r="F2126" s="545">
        <f>-'Foglio deposito bis'!$F$79*(C2126-sezione!$AM$35)*IF(ABS(L2126)&lt;'Sollecitazioni nel paramento'!$G$58,ABS(L2126)*'Sollecitazioni nel paramento'!$G$54,'Sollecitazioni nel paramento'!$G$53)</f>
        <v>-8544530.5998303927</v>
      </c>
      <c r="G2126" s="545">
        <f>-'Foglio deposito bis'!$F$80*(C2126-sezione!$AN$35)*IF(ABS(M2126)&lt;'Sollecitazioni nel paramento'!$G$58,ABS(M2126)*'Sollecitazioni nel paramento'!$G$54,'Sollecitazioni nel paramento'!$G$53)</f>
        <v>0</v>
      </c>
      <c r="H2126" s="545">
        <f>-'Foglio deposito bis'!$F$81*(C2126-sezione!$AO$35)*IF(ABS(N2126)&lt;'Sollecitazioni nel paramento'!$G$58,ABS(N2126)*'Sollecitazioni nel paramento'!$G$54,'Sollecitazioni nel paramento'!$G$53)</f>
        <v>9650274.1531573348</v>
      </c>
      <c r="I2126" s="472">
        <f>-'Foglio deposito bis'!$F$82*(C2126-sezione!$AP$35)*IF(ABS(O2126)&lt;'Sollecitazioni nel paramento'!$G$58,ABS(O2126)*'Sollecitazioni nel paramento'!$G$54,'Sollecitazioni nel paramento'!$G$53)</f>
        <v>512380529.80515075</v>
      </c>
      <c r="J2126" s="472">
        <f t="shared" si="149"/>
        <v>191836750.83431721</v>
      </c>
      <c r="K2126" s="550">
        <f>'Sollecitazioni nel paramento'!$G$60*(sezione!$AL$35-C2126)/C2126</f>
        <v>-2.3356370099934546E-3</v>
      </c>
      <c r="L2126" s="550">
        <f>'Sollecitazioni nel paramento'!$G$60*(sezione!$AM$35-C2126)/C2126</f>
        <v>-1.7534555149901817E-3</v>
      </c>
      <c r="M2126" s="551">
        <f>'Sollecitazioni nel paramento'!$G$60*(sezione!$AN$35-C2126)/C2126</f>
        <v>-1.171274019986909E-3</v>
      </c>
      <c r="N2126" s="551">
        <f>'Sollecitazioni nel paramento'!$G$60*(sezione!$AO$35-C2126)/C2126</f>
        <v>1.1574519600261819E-3</v>
      </c>
      <c r="O2126" s="551">
        <f>'Sollecitazioni nel paramento'!$G$60*(sezione!$AP$35-C2126)/C2126</f>
        <v>1.6711670067844717E-2</v>
      </c>
      <c r="P2126" s="545">
        <f>-'Sollecitazioni nel paramento'!$G$47*'Sollecitazioni nel paramento'!$G$41*IF(DATI!$G$211="dx",DATI!$E$61,DATI!$E$64*DATI!$E$63)*1000*C2126*sezione!$AD$5</f>
        <v>-4580684.9288210515</v>
      </c>
      <c r="Q2126" s="545">
        <f>'Foglio deposito bis'!$F$78*IF(ABS(K2126)&lt;'Sollecitazioni nel paramento'!$G$58,ABS(K2126)*'Sollecitazioni nel paramento'!$G$54,'Sollecitazioni nel paramento'!$G$53)*IF(K2126&lt;0,-1,1)</f>
        <v>0</v>
      </c>
      <c r="R2126" s="545">
        <f>'Foglio deposito bis'!$F$79*IF(ABS(L2126)&lt;'Sollecitazioni nel paramento'!$G$58,ABS(L2126)*'Sollecitazioni nel paramento'!$G$54,'Sollecitazioni nel paramento'!$G$53)*IF(L2126&lt;0,-1,1)</f>
        <v>-141847.55633045878</v>
      </c>
      <c r="S2126" s="545">
        <f>'Foglio deposito bis'!$F$80*IF(ABS(M2126)&lt;'Sollecitazioni nel paramento'!$G$58,ABS(M2126)*'Sollecitazioni nel paramento'!$G$54,'Sollecitazioni nel paramento'!$G$53)*IF(M2126&lt;0,-1,1)</f>
        <v>0</v>
      </c>
      <c r="T2126" s="545">
        <f>'Foglio deposito bis'!$F$81*IF(ABS(N2126)&lt;'Sollecitazioni nel paramento'!$G$58,ABS(N2126)*'Sollecitazioni nel paramento'!$G$54,'Sollecitazioni nel paramento'!$G$53)*IF(N2126&lt;0,-1,1)</f>
        <v>242697.37439251877</v>
      </c>
      <c r="U2126" s="545">
        <f>'Foglio deposito bis'!$F$82*IF(ABS(O2126)&lt;'Sollecitazioni nel paramento'!$G$58,ABS(O2126)*'Sollecitazioni nel paramento'!$G$54,'Sollecitazioni nel paramento'!$G$53)*IF(O2126&lt;0,-1,1)</f>
        <v>892485.49558937876</v>
      </c>
      <c r="V2126" s="472">
        <f t="shared" si="151"/>
        <v>-3587349.6151696132</v>
      </c>
      <c r="W2126" s="551"/>
      <c r="X2126" s="551"/>
    </row>
    <row r="2127" spans="1:24" x14ac:dyDescent="0.25">
      <c r="A2127" s="545">
        <f t="shared" si="150"/>
        <v>3681240.2362348721</v>
      </c>
      <c r="B2127" s="3">
        <f t="shared" si="148"/>
        <v>12.299999999999978</v>
      </c>
      <c r="C2127" s="545">
        <f>'Foglio deposito bis'!$E$161/sezione!$B$247*B2127</f>
        <v>122.22481374642184</v>
      </c>
      <c r="D2127" s="603">
        <f>-'Sollecitazioni nel paramento'!$G$47*'Sollecitazioni nel paramento'!$G$41*IF(DATI!$G$211="dx",DATI!$E$61,DATI!$E$64*DATI!$E$63)*1000*C2127^2*sezione!$AD$5*(1-sezione!$AD$6)</f>
        <v>-332370440.97179317</v>
      </c>
      <c r="E2127" s="545">
        <f>-'Foglio deposito bis'!$F$78*(C2127-sezione!$AL$35)*IF(ABS(K2127)&lt;'Sollecitazioni nel paramento'!$G$58,ABS(K2127)*'Sollecitazioni nel paramento'!$G$54,'Sollecitazioni nel paramento'!$G$53)</f>
        <v>0</v>
      </c>
      <c r="F2127" s="545">
        <f>-'Foglio deposito bis'!$F$79*(C2127-sezione!$AM$35)*IF(ABS(L2127)&lt;'Sollecitazioni nel paramento'!$G$58,ABS(L2127)*'Sollecitazioni nel paramento'!$G$54,'Sollecitazioni nel paramento'!$G$53)</f>
        <v>-8969391.4226491302</v>
      </c>
      <c r="G2127" s="545">
        <f>-'Foglio deposito bis'!$F$80*(C2127-sezione!$AN$35)*IF(ABS(M2127)&lt;'Sollecitazioni nel paramento'!$G$58,ABS(M2127)*'Sollecitazioni nel paramento'!$G$54,'Sollecitazioni nel paramento'!$G$53)</f>
        <v>0</v>
      </c>
      <c r="H2127" s="545">
        <f>-'Foglio deposito bis'!$F$81*(C2127-sezione!$AO$35)*IF(ABS(N2127)&lt;'Sollecitazioni nel paramento'!$G$58,ABS(N2127)*'Sollecitazioni nel paramento'!$G$54,'Sollecitazioni nel paramento'!$G$53)</f>
        <v>8568089.4565013051</v>
      </c>
      <c r="I2127" s="472">
        <f>-'Foglio deposito bis'!$F$82*(C2127-sezione!$AP$35)*IF(ABS(O2127)&lt;'Sollecitazioni nel paramento'!$G$58,ABS(O2127)*'Sollecitazioni nel paramento'!$G$54,'Sollecitazioni nel paramento'!$G$53)</f>
        <v>510606808.28531671</v>
      </c>
      <c r="J2127" s="472">
        <f t="shared" si="149"/>
        <v>177835065.34737569</v>
      </c>
      <c r="K2127" s="550">
        <f>'Sollecitazioni nel paramento'!$G$60*(sezione!$AL$35-C2127)/C2127</f>
        <v>-2.3545697415382765E-3</v>
      </c>
      <c r="L2127" s="550">
        <f>'Sollecitazioni nel paramento'!$G$60*(sezione!$AM$35-C2127)/C2127</f>
        <v>-1.7818546123074147E-3</v>
      </c>
      <c r="M2127" s="551">
        <f>'Sollecitazioni nel paramento'!$G$60*(sezione!$AN$35-C2127)/C2127</f>
        <v>-1.2091394830765529E-3</v>
      </c>
      <c r="N2127" s="551">
        <f>'Sollecitazioni nel paramento'!$G$60*(sezione!$AO$35-C2127)/C2127</f>
        <v>1.0817210338468944E-3</v>
      </c>
      <c r="O2127" s="551">
        <f>'Sollecitazioni nel paramento'!$G$60*(sezione!$AP$35-C2127)/C2127</f>
        <v>1.6383025026091146E-2</v>
      </c>
      <c r="P2127" s="545">
        <f>-'Sollecitazioni nel paramento'!$G$47*'Sollecitazioni nel paramento'!$G$41*IF(DATI!$G$211="dx",DATI!$E$61,DATI!$E$64*DATI!$E$63)*1000*C2127*sezione!$AD$5</f>
        <v>-4656398.7292974321</v>
      </c>
      <c r="Q2127" s="545">
        <f>'Foglio deposito bis'!$F$78*IF(ABS(K2127)&lt;'Sollecitazioni nel paramento'!$G$58,ABS(K2127)*'Sollecitazioni nel paramento'!$G$54,'Sollecitazioni nel paramento'!$G$53)*IF(K2127&lt;0,-1,1)</f>
        <v>0</v>
      </c>
      <c r="R2127" s="545">
        <f>'Foglio deposito bis'!$F$79*IF(ABS(L2127)&lt;'Sollecitazioni nel paramento'!$G$58,ABS(L2127)*'Sollecitazioni nel paramento'!$G$54,'Sollecitazioni nel paramento'!$G$53)*IF(L2127&lt;0,-1,1)</f>
        <v>-144144.93001459411</v>
      </c>
      <c r="S2127" s="545">
        <f>'Foglio deposito bis'!$F$80*IF(ABS(M2127)&lt;'Sollecitazioni nel paramento'!$G$58,ABS(M2127)*'Sollecitazioni nel paramento'!$G$54,'Sollecitazioni nel paramento'!$G$53)*IF(M2127&lt;0,-1,1)</f>
        <v>0</v>
      </c>
      <c r="T2127" s="545">
        <f>'Foglio deposito bis'!$F$81*IF(ABS(N2127)&lt;'Sollecitazioni nel paramento'!$G$58,ABS(N2127)*'Sollecitazioni nel paramento'!$G$54,'Sollecitazioni nel paramento'!$G$53)*IF(N2127&lt;0,-1,1)</f>
        <v>226817.92748777551</v>
      </c>
      <c r="U2127" s="545">
        <f>'Foglio deposito bis'!$F$82*IF(ABS(O2127)&lt;'Sollecitazioni nel paramento'!$G$58,ABS(O2127)*'Sollecitazioni nel paramento'!$G$54,'Sollecitazioni nel paramento'!$G$53)*IF(O2127&lt;0,-1,1)</f>
        <v>892485.49558937876</v>
      </c>
      <c r="V2127" s="472">
        <f t="shared" si="151"/>
        <v>-3681240.2362348721</v>
      </c>
      <c r="W2127" s="551"/>
      <c r="X2127" s="551"/>
    </row>
    <row r="2128" spans="1:24" x14ac:dyDescent="0.25">
      <c r="A2128" s="545">
        <f t="shared" si="150"/>
        <v>3774549.1990412879</v>
      </c>
      <c r="B2128" s="3">
        <f t="shared" si="148"/>
        <v>12.499999999999977</v>
      </c>
      <c r="C2128" s="545">
        <f>'Foglio deposito bis'!$E$161/sezione!$B$247*B2128</f>
        <v>124.21220909189212</v>
      </c>
      <c r="D2128" s="603">
        <f>-'Sollecitazioni nel paramento'!$G$47*'Sollecitazioni nel paramento'!$G$41*IF(DATI!$G$211="dx",DATI!$E$61,DATI!$E$64*DATI!$E$63)*1000*C2128^2*sezione!$AD$5*(1-sezione!$AD$6)</f>
        <v>-343267112.18086249</v>
      </c>
      <c r="E2128" s="545">
        <f>-'Foglio deposito bis'!$F$78*(C2128-sezione!$AL$35)*IF(ABS(K2128)&lt;'Sollecitazioni nel paramento'!$G$58,ABS(K2128)*'Sollecitazioni nel paramento'!$G$54,'Sollecitazioni nel paramento'!$G$53)</f>
        <v>0</v>
      </c>
      <c r="F2128" s="545">
        <f>-'Foglio deposito bis'!$F$79*(C2128-sezione!$AM$35)*IF(ABS(L2128)&lt;'Sollecitazioni nel paramento'!$G$58,ABS(L2128)*'Sollecitazioni nel paramento'!$G$54,'Sollecitazioni nel paramento'!$G$53)</f>
        <v>-9398663.2029414084</v>
      </c>
      <c r="G2128" s="545">
        <f>-'Foglio deposito bis'!$F$80*(C2128-sezione!$AN$35)*IF(ABS(M2128)&lt;'Sollecitazioni nel paramento'!$G$58,ABS(M2128)*'Sollecitazioni nel paramento'!$G$54,'Sollecitazioni nel paramento'!$G$53)</f>
        <v>0</v>
      </c>
      <c r="H2128" s="545">
        <f>-'Foglio deposito bis'!$F$81*(C2128-sezione!$AO$35)*IF(ABS(N2128)&lt;'Sollecitazioni nel paramento'!$G$58,ABS(N2128)*'Sollecitazioni nel paramento'!$G$54,'Sollecitazioni nel paramento'!$G$53)</f>
        <v>7567207.5279975608</v>
      </c>
      <c r="I2128" s="472">
        <f>-'Foglio deposito bis'!$F$82*(C2128-sezione!$AP$35)*IF(ABS(O2128)&lt;'Sollecitazioni nel paramento'!$G$58,ABS(O2128)*'Sollecitazioni nel paramento'!$G$54,'Sollecitazioni nel paramento'!$G$53)</f>
        <v>508833086.76548266</v>
      </c>
      <c r="J2128" s="472">
        <f t="shared" si="149"/>
        <v>163734518.90967631</v>
      </c>
      <c r="K2128" s="550">
        <f>'Sollecitazioni nel paramento'!$G$60*(sezione!$AL$35-C2128)/C2128</f>
        <v>-2.3728966256736641E-3</v>
      </c>
      <c r="L2128" s="550">
        <f>'Sollecitazioni nel paramento'!$G$60*(sezione!$AM$35-C2128)/C2128</f>
        <v>-1.8093449385104962E-3</v>
      </c>
      <c r="M2128" s="551">
        <f>'Sollecitazioni nel paramento'!$G$60*(sezione!$AN$35-C2128)/C2128</f>
        <v>-1.2457932513473282E-3</v>
      </c>
      <c r="N2128" s="551">
        <f>'Sollecitazioni nel paramento'!$G$60*(sezione!$AO$35-C2128)/C2128</f>
        <v>1.0084134973053441E-3</v>
      </c>
      <c r="O2128" s="551">
        <f>'Sollecitazioni nel paramento'!$G$60*(sezione!$AP$35-C2128)/C2128</f>
        <v>1.6064896625673689E-2</v>
      </c>
      <c r="P2128" s="545">
        <f>-'Sollecitazioni nel paramento'!$G$47*'Sollecitazioni nel paramento'!$G$41*IF(DATI!$G$211="dx",DATI!$E$61,DATI!$E$64*DATI!$E$63)*1000*C2128*sezione!$AD$5</f>
        <v>-4732112.5297738137</v>
      </c>
      <c r="Q2128" s="545">
        <f>'Foglio deposito bis'!$F$78*IF(ABS(K2128)&lt;'Sollecitazioni nel paramento'!$G$58,ABS(K2128)*'Sollecitazioni nel paramento'!$G$54,'Sollecitazioni nel paramento'!$G$53)*IF(K2128&lt;0,-1,1)</f>
        <v>0</v>
      </c>
      <c r="R2128" s="545">
        <f>'Foglio deposito bis'!$F$79*IF(ABS(L2128)&lt;'Sollecitazioni nel paramento'!$G$58,ABS(L2128)*'Sollecitazioni nel paramento'!$G$54,'Sollecitazioni nel paramento'!$G$53)*IF(L2128&lt;0,-1,1)</f>
        <v>-146368.78774083711</v>
      </c>
      <c r="S2128" s="545">
        <f>'Foglio deposito bis'!$F$80*IF(ABS(M2128)&lt;'Sollecitazioni nel paramento'!$G$58,ABS(M2128)*'Sollecitazioni nel paramento'!$G$54,'Sollecitazioni nel paramento'!$G$53)*IF(M2128&lt;0,-1,1)</f>
        <v>0</v>
      </c>
      <c r="T2128" s="545">
        <f>'Foglio deposito bis'!$F$81*IF(ABS(N2128)&lt;'Sollecitazioni nel paramento'!$G$58,ABS(N2128)*'Sollecitazioni nel paramento'!$G$54,'Sollecitazioni nel paramento'!$G$53)*IF(N2128&lt;0,-1,1)</f>
        <v>211446.62288398409</v>
      </c>
      <c r="U2128" s="545">
        <f>'Foglio deposito bis'!$F$82*IF(ABS(O2128)&lt;'Sollecitazioni nel paramento'!$G$58,ABS(O2128)*'Sollecitazioni nel paramento'!$G$54,'Sollecitazioni nel paramento'!$G$53)*IF(O2128&lt;0,-1,1)</f>
        <v>892485.49558937876</v>
      </c>
      <c r="V2128" s="472">
        <f t="shared" si="151"/>
        <v>-3774549.1990412879</v>
      </c>
      <c r="W2128" s="551"/>
      <c r="X2128" s="551"/>
    </row>
    <row r="2129" spans="1:24" x14ac:dyDescent="0.25">
      <c r="A2129" s="545">
        <f t="shared" si="150"/>
        <v>3867303.9835065999</v>
      </c>
      <c r="B2129" s="3">
        <f t="shared" si="148"/>
        <v>12.699999999999976</v>
      </c>
      <c r="C2129" s="545">
        <f>'Foglio deposito bis'!$E$161/sezione!$B$247*B2129</f>
        <v>126.19960443736238</v>
      </c>
      <c r="D2129" s="603">
        <f>-'Sollecitazioni nel paramento'!$G$47*'Sollecitazioni nel paramento'!$G$41*IF(DATI!$G$211="dx",DATI!$E$61,DATI!$E$64*DATI!$E$63)*1000*C2129^2*sezione!$AD$5*(1-sezione!$AD$6)</f>
        <v>-354339536.15136838</v>
      </c>
      <c r="E2129" s="545">
        <f>-'Foglio deposito bis'!$F$78*(C2129-sezione!$AL$35)*IF(ABS(K2129)&lt;'Sollecitazioni nel paramento'!$G$58,ABS(K2129)*'Sollecitazioni nel paramento'!$G$54,'Sollecitazioni nel paramento'!$G$53)</f>
        <v>0</v>
      </c>
      <c r="F2129" s="545">
        <f>-'Foglio deposito bis'!$F$79*(C2129-sezione!$AM$35)*IF(ABS(L2129)&lt;'Sollecitazioni nel paramento'!$G$58,ABS(L2129)*'Sollecitazioni nel paramento'!$G$54,'Sollecitazioni nel paramento'!$G$53)</f>
        <v>-9832137.5490155555</v>
      </c>
      <c r="G2129" s="545">
        <f>-'Foglio deposito bis'!$F$80*(C2129-sezione!$AN$35)*IF(ABS(M2129)&lt;'Sollecitazioni nel paramento'!$G$58,ABS(M2129)*'Sollecitazioni nel paramento'!$G$54,'Sollecitazioni nel paramento'!$G$53)</f>
        <v>0</v>
      </c>
      <c r="H2129" s="545">
        <f>-'Foglio deposito bis'!$F$81*(C2129-sezione!$AO$35)*IF(ABS(N2129)&lt;'Sollecitazioni nel paramento'!$G$58,ABS(N2129)*'Sollecitazioni nel paramento'!$G$54,'Sollecitazioni nel paramento'!$G$53)</f>
        <v>6643787.2919853693</v>
      </c>
      <c r="I2129" s="472">
        <f>-'Foglio deposito bis'!$F$82*(C2129-sezione!$AP$35)*IF(ABS(O2129)&lt;'Sollecitazioni nel paramento'!$G$58,ABS(O2129)*'Sollecitazioni nel paramento'!$G$54,'Sollecitazioni nel paramento'!$G$53)</f>
        <v>507059365.24564862</v>
      </c>
      <c r="J2129" s="472">
        <f t="shared" si="149"/>
        <v>149531478.83725005</v>
      </c>
      <c r="K2129" s="550">
        <f>'Sollecitazioni nel paramento'!$G$60*(sezione!$AL$35-C2129)/C2129</f>
        <v>-2.390646285111874E-3</v>
      </c>
      <c r="L2129" s="550">
        <f>'Sollecitazioni nel paramento'!$G$60*(sezione!$AM$35-C2129)/C2129</f>
        <v>-1.8359694276678109E-3</v>
      </c>
      <c r="M2129" s="551">
        <f>'Sollecitazioni nel paramento'!$G$60*(sezione!$AN$35-C2129)/C2129</f>
        <v>-1.2812925702237478E-3</v>
      </c>
      <c r="N2129" s="551">
        <f>'Sollecitazioni nel paramento'!$G$60*(sezione!$AO$35-C2129)/C2129</f>
        <v>9.3741485955250439E-4</v>
      </c>
      <c r="O2129" s="551">
        <f>'Sollecitazioni nel paramento'!$G$60*(sezione!$AP$35-C2129)/C2129</f>
        <v>1.5756788017395364E-2</v>
      </c>
      <c r="P2129" s="545">
        <f>-'Sollecitazioni nel paramento'!$G$47*'Sollecitazioni nel paramento'!$G$41*IF(DATI!$G$211="dx",DATI!$E$61,DATI!$E$64*DATI!$E$63)*1000*C2129*sezione!$AD$5</f>
        <v>-4807826.3302501943</v>
      </c>
      <c r="Q2129" s="545">
        <f>'Foglio deposito bis'!$F$78*IF(ABS(K2129)&lt;'Sollecitazioni nel paramento'!$G$58,ABS(K2129)*'Sollecitazioni nel paramento'!$G$54,'Sollecitazioni nel paramento'!$G$53)*IF(K2129&lt;0,-1,1)</f>
        <v>0</v>
      </c>
      <c r="R2129" s="545">
        <f>'Foglio deposito bis'!$F$79*IF(ABS(L2129)&lt;'Sollecitazioni nel paramento'!$G$58,ABS(L2129)*'Sollecitazioni nel paramento'!$G$54,'Sollecitazioni nel paramento'!$G$53)*IF(L2129&lt;0,-1,1)</f>
        <v>-148522.60270404877</v>
      </c>
      <c r="S2129" s="545">
        <f>'Foglio deposito bis'!$F$80*IF(ABS(M2129)&lt;'Sollecitazioni nel paramento'!$G$58,ABS(M2129)*'Sollecitazioni nel paramento'!$G$54,'Sollecitazioni nel paramento'!$G$53)*IF(M2129&lt;0,-1,1)</f>
        <v>0</v>
      </c>
      <c r="T2129" s="545">
        <f>'Foglio deposito bis'!$F$81*IF(ABS(N2129)&lt;'Sollecitazioni nel paramento'!$G$58,ABS(N2129)*'Sollecitazioni nel paramento'!$G$54,'Sollecitazioni nel paramento'!$G$53)*IF(N2129&lt;0,-1,1)</f>
        <v>196559.45385826487</v>
      </c>
      <c r="U2129" s="545">
        <f>'Foglio deposito bis'!$F$82*IF(ABS(O2129)&lt;'Sollecitazioni nel paramento'!$G$58,ABS(O2129)*'Sollecitazioni nel paramento'!$G$54,'Sollecitazioni nel paramento'!$G$53)*IF(O2129&lt;0,-1,1)</f>
        <v>892485.49558937876</v>
      </c>
      <c r="V2129" s="472">
        <f t="shared" si="151"/>
        <v>-3867303.9835065999</v>
      </c>
      <c r="W2129" s="551"/>
      <c r="X2129" s="551"/>
    </row>
    <row r="2130" spans="1:24" x14ac:dyDescent="0.25">
      <c r="A2130" s="545">
        <f t="shared" si="150"/>
        <v>3959530.365367603</v>
      </c>
      <c r="B2130" s="3">
        <f t="shared" si="148"/>
        <v>12.899999999999975</v>
      </c>
      <c r="C2130" s="545">
        <f>'Foglio deposito bis'!$E$161/sezione!$B$247*B2130</f>
        <v>128.18699978283266</v>
      </c>
      <c r="D2130" s="603">
        <f>-'Sollecitazioni nel paramento'!$G$47*'Sollecitazioni nel paramento'!$G$41*IF(DATI!$G$211="dx",DATI!$E$61,DATI!$E$64*DATI!$E$63)*1000*C2130^2*sezione!$AD$5*(1-sezione!$AD$6)</f>
        <v>-365587712.88331079</v>
      </c>
      <c r="E2130" s="545">
        <f>-'Foglio deposito bis'!$F$78*(C2130-sezione!$AL$35)*IF(ABS(K2130)&lt;'Sollecitazioni nel paramento'!$G$58,ABS(K2130)*'Sollecitazioni nel paramento'!$G$54,'Sollecitazioni nel paramento'!$G$53)</f>
        <v>0</v>
      </c>
      <c r="F2130" s="545">
        <f>-'Foglio deposito bis'!$F$79*(C2130-sezione!$AM$35)*IF(ABS(L2130)&lt;'Sollecitazioni nel paramento'!$G$58,ABS(L2130)*'Sollecitazioni nel paramento'!$G$54,'Sollecitazioni nel paramento'!$G$53)</f>
        <v>-10269618.992695685</v>
      </c>
      <c r="G2130" s="545">
        <f>-'Foglio deposito bis'!$F$80*(C2130-sezione!$AN$35)*IF(ABS(M2130)&lt;'Sollecitazioni nel paramento'!$G$58,ABS(M2130)*'Sollecitazioni nel paramento'!$G$54,'Sollecitazioni nel paramento'!$G$53)</f>
        <v>0</v>
      </c>
      <c r="H2130" s="545">
        <f>-'Foglio deposito bis'!$F$81*(C2130-sezione!$AO$35)*IF(ABS(N2130)&lt;'Sollecitazioni nel paramento'!$G$58,ABS(N2130)*'Sollecitazioni nel paramento'!$G$54,'Sollecitazioni nel paramento'!$G$53)</f>
        <v>5794225.8790465081</v>
      </c>
      <c r="I2130" s="472">
        <f>-'Foglio deposito bis'!$F$82*(C2130-sezione!$AP$35)*IF(ABS(O2130)&lt;'Sollecitazioni nel paramento'!$G$58,ABS(O2130)*'Sollecitazioni nel paramento'!$G$54,'Sollecitazioni nel paramento'!$G$53)</f>
        <v>505285643.72581458</v>
      </c>
      <c r="J2130" s="472">
        <f t="shared" si="149"/>
        <v>135222537.7288546</v>
      </c>
      <c r="K2130" s="550">
        <f>'Sollecitazioni nel paramento'!$G$60*(sezione!$AL$35-C2130)/C2130</f>
        <v>-2.40784556751324E-3</v>
      </c>
      <c r="L2130" s="550">
        <f>'Sollecitazioni nel paramento'!$G$60*(sezione!$AM$35-C2130)/C2130</f>
        <v>-1.8617683512698604E-3</v>
      </c>
      <c r="M2130" s="551">
        <f>'Sollecitazioni nel paramento'!$G$60*(sezione!$AN$35-C2130)/C2130</f>
        <v>-1.3156911350264804E-3</v>
      </c>
      <c r="N2130" s="551">
        <f>'Sollecitazioni nel paramento'!$G$60*(sezione!$AO$35-C2130)/C2130</f>
        <v>8.6861772994703914E-4</v>
      </c>
      <c r="O2130" s="551">
        <f>'Sollecitazioni nel paramento'!$G$60*(sezione!$AP$35-C2130)/C2130</f>
        <v>1.5458233164412489E-2</v>
      </c>
      <c r="P2130" s="545">
        <f>-'Sollecitazioni nel paramento'!$G$47*'Sollecitazioni nel paramento'!$G$41*IF(DATI!$G$211="dx",DATI!$E$61,DATI!$E$64*DATI!$E$63)*1000*C2130*sezione!$AD$5</f>
        <v>-4883540.1307265749</v>
      </c>
      <c r="Q2130" s="545">
        <f>'Foglio deposito bis'!$F$78*IF(ABS(K2130)&lt;'Sollecitazioni nel paramento'!$G$58,ABS(K2130)*'Sollecitazioni nel paramento'!$G$54,'Sollecitazioni nel paramento'!$G$53)*IF(K2130&lt;0,-1,1)</f>
        <v>0</v>
      </c>
      <c r="R2130" s="545">
        <f>'Foglio deposito bis'!$F$79*IF(ABS(L2130)&lt;'Sollecitazioni nel paramento'!$G$58,ABS(L2130)*'Sollecitazioni nel paramento'!$G$54,'Sollecitazioni nel paramento'!$G$53)*IF(L2130&lt;0,-1,1)</f>
        <v>-150609.6327071609</v>
      </c>
      <c r="S2130" s="545">
        <f>'Foglio deposito bis'!$F$80*IF(ABS(M2130)&lt;'Sollecitazioni nel paramento'!$G$58,ABS(M2130)*'Sollecitazioni nel paramento'!$G$54,'Sollecitazioni nel paramento'!$G$53)*IF(M2130&lt;0,-1,1)</f>
        <v>0</v>
      </c>
      <c r="T2130" s="545">
        <f>'Foglio deposito bis'!$F$81*IF(ABS(N2130)&lt;'Sollecitazioni nel paramento'!$G$58,ABS(N2130)*'Sollecitazioni nel paramento'!$G$54,'Sollecitazioni nel paramento'!$G$53)*IF(N2130&lt;0,-1,1)</f>
        <v>182133.90247675392</v>
      </c>
      <c r="U2130" s="545">
        <f>'Foglio deposito bis'!$F$82*IF(ABS(O2130)&lt;'Sollecitazioni nel paramento'!$G$58,ABS(O2130)*'Sollecitazioni nel paramento'!$G$54,'Sollecitazioni nel paramento'!$G$53)*IF(O2130&lt;0,-1,1)</f>
        <v>892485.49558937876</v>
      </c>
      <c r="V2130" s="472">
        <f t="shared" si="151"/>
        <v>-3959530.365367603</v>
      </c>
      <c r="W2130" s="551"/>
      <c r="X2130" s="551"/>
    </row>
    <row r="2131" spans="1:24" x14ac:dyDescent="0.25">
      <c r="A2131" s="545">
        <f t="shared" si="150"/>
        <v>4052284.4677230134</v>
      </c>
      <c r="B2131" s="3">
        <f t="shared" si="148"/>
        <v>13.099999999999975</v>
      </c>
      <c r="C2131" s="545">
        <f>'Foglio deposito bis'!$E$161/sezione!$B$247*B2131</f>
        <v>130.17439512830293</v>
      </c>
      <c r="D2131" s="603">
        <f>-'Sollecitazioni nel paramento'!$G$47*'Sollecitazioni nel paramento'!$G$41*IF(DATI!$G$211="dx",DATI!$E$61,DATI!$E$64*DATI!$E$63)*1000*C2131^2*sezione!$AD$5*(1-sezione!$AD$6)</f>
        <v>-377011642.37668997</v>
      </c>
      <c r="E2131" s="545">
        <f>-'Foglio deposito bis'!$F$78*(C2131-sezione!$AL$35)*IF(ABS(K2131)&lt;'Sollecitazioni nel paramento'!$G$58,ABS(K2131)*'Sollecitazioni nel paramento'!$G$54,'Sollecitazioni nel paramento'!$G$53)</f>
        <v>0</v>
      </c>
      <c r="F2131" s="545">
        <f>-'Foglio deposito bis'!$F$79*(C2131-sezione!$AM$35)*IF(ABS(L2131)&lt;'Sollecitazioni nel paramento'!$G$58,ABS(L2131)*'Sollecitazioni nel paramento'!$G$54,'Sollecitazioni nel paramento'!$G$53)</f>
        <v>-10783338.466557907</v>
      </c>
      <c r="G2131" s="545">
        <f>-'Foglio deposito bis'!$F$80*(C2131-sezione!$AN$35)*IF(ABS(M2131)&lt;'Sollecitazioni nel paramento'!$G$58,ABS(M2131)*'Sollecitazioni nel paramento'!$G$54,'Sollecitazioni nel paramento'!$G$53)</f>
        <v>0</v>
      </c>
      <c r="H2131" s="545">
        <f>-'Foglio deposito bis'!$F$81*(C2131-sezione!$AO$35)*IF(ABS(N2131)&lt;'Sollecitazioni nel paramento'!$G$58,ABS(N2131)*'Sollecitazioni nel paramento'!$G$54,'Sollecitazioni nel paramento'!$G$53)</f>
        <v>5015140.4423226621</v>
      </c>
      <c r="I2131" s="472">
        <f>-'Foglio deposito bis'!$F$82*(C2131-sezione!$AP$35)*IF(ABS(O2131)&lt;'Sollecitazioni nel paramento'!$G$58,ABS(O2131)*'Sollecitazioni nel paramento'!$G$54,'Sollecitazioni nel paramento'!$G$53)</f>
        <v>503511922.20598042</v>
      </c>
      <c r="J2131" s="472">
        <f t="shared" si="149"/>
        <v>120732081.8050552</v>
      </c>
      <c r="K2131" s="550">
        <f>'Sollecitazioni nel paramento'!$G$60*(sezione!$AL$35-C2131)/C2131</f>
        <v>-2.4245196809863207E-3</v>
      </c>
      <c r="L2131" s="550">
        <f>'Sollecitazioni nel paramento'!$G$60*(sezione!$AM$35-C2131)/C2131</f>
        <v>-1.8867795214794808E-3</v>
      </c>
      <c r="M2131" s="551">
        <f>'Sollecitazioni nel paramento'!$G$60*(sezione!$AN$35-C2131)/C2131</f>
        <v>-1.3490393619726411E-3</v>
      </c>
      <c r="N2131" s="551">
        <f>'Sollecitazioni nel paramento'!$G$60*(sezione!$AO$35-C2131)/C2131</f>
        <v>8.0192127605471786E-4</v>
      </c>
      <c r="O2131" s="551">
        <f>'Sollecitazioni nel paramento'!$G$60*(sezione!$AP$35-C2131)/C2131</f>
        <v>1.5168794490146648E-2</v>
      </c>
      <c r="P2131" s="545">
        <f>-'Sollecitazioni nel paramento'!$G$47*'Sollecitazioni nel paramento'!$G$41*IF(DATI!$G$211="dx",DATI!$E$61,DATI!$E$64*DATI!$E$63)*1000*C2131*sezione!$AD$5</f>
        <v>-4959253.9312029565</v>
      </c>
      <c r="Q2131" s="545">
        <f>'Foglio deposito bis'!$F$78*IF(ABS(K2131)&lt;'Sollecitazioni nel paramento'!$G$58,ABS(K2131)*'Sollecitazioni nel paramento'!$G$54,'Sollecitazioni nel paramento'!$G$53)*IF(K2131&lt;0,-1,1)</f>
        <v>0</v>
      </c>
      <c r="R2131" s="545">
        <f>'Foglio deposito bis'!$F$79*IF(ABS(L2131)&lt;'Sollecitazioni nel paramento'!$G$58,ABS(L2131)*'Sollecitazioni nel paramento'!$G$54,'Sollecitazioni nel paramento'!$G$53)*IF(L2131&lt;0,-1,1)</f>
        <v>-153664.85805602249</v>
      </c>
      <c r="S2131" s="545">
        <f>'Foglio deposito bis'!$F$80*IF(ABS(M2131)&lt;'Sollecitazioni nel paramento'!$G$58,ABS(M2131)*'Sollecitazioni nel paramento'!$G$54,'Sollecitazioni nel paramento'!$G$53)*IF(M2131&lt;0,-1,1)</f>
        <v>0</v>
      </c>
      <c r="T2131" s="545">
        <f>'Foglio deposito bis'!$F$81*IF(ABS(N2131)&lt;'Sollecitazioni nel paramento'!$G$58,ABS(N2131)*'Sollecitazioni nel paramento'!$G$54,'Sollecitazioni nel paramento'!$G$53)*IF(N2131&lt;0,-1,1)</f>
        <v>168148.82594658685</v>
      </c>
      <c r="U2131" s="545">
        <f>'Foglio deposito bis'!$F$82*IF(ABS(O2131)&lt;'Sollecitazioni nel paramento'!$G$58,ABS(O2131)*'Sollecitazioni nel paramento'!$G$54,'Sollecitazioni nel paramento'!$G$53)*IF(O2131&lt;0,-1,1)</f>
        <v>892485.49558937876</v>
      </c>
      <c r="V2131" s="472">
        <f t="shared" si="151"/>
        <v>-4052284.4677230134</v>
      </c>
      <c r="W2131" s="551"/>
      <c r="X2131" s="551"/>
    </row>
    <row r="2132" spans="1:24" x14ac:dyDescent="0.25">
      <c r="A2132" s="545">
        <f t="shared" si="150"/>
        <v>4141562.7409241428</v>
      </c>
      <c r="B2132" s="3">
        <f t="shared" si="148"/>
        <v>13.299999999999974</v>
      </c>
      <c r="C2132" s="545">
        <f>'Foglio deposito bis'!$E$161/sezione!$B$247*B2132</f>
        <v>132.16179047377321</v>
      </c>
      <c r="D2132" s="603">
        <f>-'Sollecitazioni nel paramento'!$G$47*'Sollecitazioni nel paramento'!$G$41*IF(DATI!$G$211="dx",DATI!$E$61,DATI!$E$64*DATI!$E$63)*1000*C2132^2*sezione!$AD$5*(1-sezione!$AD$6)</f>
        <v>-388611324.63150567</v>
      </c>
      <c r="E2132" s="545">
        <f>-'Foglio deposito bis'!$F$78*(C2132-sezione!$AL$35)*IF(ABS(K2132)&lt;'Sollecitazioni nel paramento'!$G$58,ABS(K2132)*'Sollecitazioni nel paramento'!$G$54,'Sollecitazioni nel paramento'!$G$53)</f>
        <v>0</v>
      </c>
      <c r="F2132" s="545">
        <f>-'Foglio deposito bis'!$F$79*(C2132-sezione!$AM$35)*IF(ABS(L2132)&lt;'Sollecitazioni nel paramento'!$G$58,ABS(L2132)*'Sollecitazioni nel paramento'!$G$54,'Sollecitazioni nel paramento'!$G$53)</f>
        <v>-11088731.290220795</v>
      </c>
      <c r="G2132" s="545">
        <f>-'Foglio deposito bis'!$F$80*(C2132-sezione!$AN$35)*IF(ABS(M2132)&lt;'Sollecitazioni nel paramento'!$G$58,ABS(M2132)*'Sollecitazioni nel paramento'!$G$54,'Sollecitazioni nel paramento'!$G$53)</f>
        <v>0</v>
      </c>
      <c r="H2132" s="545">
        <f>-'Foglio deposito bis'!$F$81*(C2132-sezione!$AO$35)*IF(ABS(N2132)&lt;'Sollecitazioni nel paramento'!$G$58,ABS(N2132)*'Sollecitazioni nel paramento'!$G$54,'Sollecitazioni nel paramento'!$G$53)</f>
        <v>4303351.6144657861</v>
      </c>
      <c r="I2132" s="472">
        <f>-'Foglio deposito bis'!$F$82*(C2132-sezione!$AP$35)*IF(ABS(O2132)&lt;'Sollecitazioni nel paramento'!$G$58,ABS(O2132)*'Sollecitazioni nel paramento'!$G$54,'Sollecitazioni nel paramento'!$G$53)</f>
        <v>501738200.68614644</v>
      </c>
      <c r="J2132" s="472">
        <f t="shared" si="149"/>
        <v>106341496.37888575</v>
      </c>
      <c r="K2132" s="550">
        <f>'Sollecitazioni nel paramento'!$G$60*(sezione!$AL$35-C2132)/C2132</f>
        <v>-2.4406923173624661E-3</v>
      </c>
      <c r="L2132" s="550">
        <f>'Sollecitazioni nel paramento'!$G$60*(sezione!$AM$35-C2132)/C2132</f>
        <v>-1.9110384760436994E-3</v>
      </c>
      <c r="M2132" s="551">
        <f>'Sollecitazioni nel paramento'!$G$60*(sezione!$AN$35-C2132)/C2132</f>
        <v>-1.3813846347249324E-3</v>
      </c>
      <c r="N2132" s="551">
        <f>'Sollecitazioni nel paramento'!$G$60*(sezione!$AO$35-C2132)/C2132</f>
        <v>7.3723073055013554E-4</v>
      </c>
      <c r="O2132" s="551">
        <f>'Sollecitazioni nel paramento'!$G$60*(sezione!$AP$35-C2132)/C2132</f>
        <v>1.4888060738415122E-2</v>
      </c>
      <c r="P2132" s="545">
        <f>-'Sollecitazioni nel paramento'!$G$47*'Sollecitazioni nel paramento'!$G$41*IF(DATI!$G$211="dx",DATI!$E$61,DATI!$E$64*DATI!$E$63)*1000*C2132*sezione!$AD$5</f>
        <v>-5034967.7316793371</v>
      </c>
      <c r="Q2132" s="545">
        <f>'Foglio deposito bis'!$F$78*IF(ABS(K2132)&lt;'Sollecitazioni nel paramento'!$G$58,ABS(K2132)*'Sollecitazioni nel paramento'!$G$54,'Sollecitazioni nel paramento'!$G$53)*IF(K2132&lt;0,-1,1)</f>
        <v>0</v>
      </c>
      <c r="R2132" s="545">
        <f>'Foglio deposito bis'!$F$79*IF(ABS(L2132)&lt;'Sollecitazioni nel paramento'!$G$58,ABS(L2132)*'Sollecitazioni nel paramento'!$G$54,'Sollecitazioni nel paramento'!$G$53)*IF(L2132&lt;0,-1,1)</f>
        <v>-153664.85805602249</v>
      </c>
      <c r="S2132" s="545">
        <f>'Foglio deposito bis'!$F$80*IF(ABS(M2132)&lt;'Sollecitazioni nel paramento'!$G$58,ABS(M2132)*'Sollecitazioni nel paramento'!$G$54,'Sollecitazioni nel paramento'!$G$53)*IF(M2132&lt;0,-1,1)</f>
        <v>0</v>
      </c>
      <c r="T2132" s="545">
        <f>'Foglio deposito bis'!$F$81*IF(ABS(N2132)&lt;'Sollecitazioni nel paramento'!$G$58,ABS(N2132)*'Sollecitazioni nel paramento'!$G$54,'Sollecitazioni nel paramento'!$G$53)*IF(N2132&lt;0,-1,1)</f>
        <v>154584.35322183828</v>
      </c>
      <c r="U2132" s="545">
        <f>'Foglio deposito bis'!$F$82*IF(ABS(O2132)&lt;'Sollecitazioni nel paramento'!$G$58,ABS(O2132)*'Sollecitazioni nel paramento'!$G$54,'Sollecitazioni nel paramento'!$G$53)*IF(O2132&lt;0,-1,1)</f>
        <v>892485.49558937876</v>
      </c>
      <c r="V2132" s="472">
        <f t="shared" si="151"/>
        <v>-4141562.7409241428</v>
      </c>
      <c r="W2132" s="551"/>
      <c r="X2132" s="551"/>
    </row>
    <row r="2133" spans="1:24" x14ac:dyDescent="0.25">
      <c r="A2133" s="545">
        <f t="shared" si="150"/>
        <v>4230439.103822317</v>
      </c>
      <c r="B2133" s="3">
        <f t="shared" si="148"/>
        <v>13.499999999999973</v>
      </c>
      <c r="C2133" s="545">
        <f>'Foglio deposito bis'!$E$161/sezione!$B$247*B2133</f>
        <v>134.14918581924346</v>
      </c>
      <c r="D2133" s="603">
        <f>-'Sollecitazioni nel paramento'!$G$47*'Sollecitazioni nel paramento'!$G$41*IF(DATI!$G$211="dx",DATI!$E$61,DATI!$E$64*DATI!$E$63)*1000*C2133^2*sezione!$AD$5*(1-sezione!$AD$6)</f>
        <v>-400386759.64775783</v>
      </c>
      <c r="E2133" s="545">
        <f>-'Foglio deposito bis'!$F$78*(C2133-sezione!$AL$35)*IF(ABS(K2133)&lt;'Sollecitazioni nel paramento'!$G$58,ABS(K2133)*'Sollecitazioni nel paramento'!$G$54,'Sollecitazioni nel paramento'!$G$53)</f>
        <v>0</v>
      </c>
      <c r="F2133" s="545">
        <f>-'Foglio deposito bis'!$F$79*(C2133-sezione!$AM$35)*IF(ABS(L2133)&lt;'Sollecitazioni nel paramento'!$G$58,ABS(L2133)*'Sollecitazioni nel paramento'!$G$54,'Sollecitazioni nel paramento'!$G$53)</f>
        <v>-11394124.113883682</v>
      </c>
      <c r="G2133" s="545">
        <f>-'Foglio deposito bis'!$F$80*(C2133-sezione!$AN$35)*IF(ABS(M2133)&lt;'Sollecitazioni nel paramento'!$G$58,ABS(M2133)*'Sollecitazioni nel paramento'!$G$54,'Sollecitazioni nel paramento'!$G$53)</f>
        <v>0</v>
      </c>
      <c r="H2133" s="545">
        <f>-'Foglio deposito bis'!$F$81*(C2133-sezione!$AO$35)*IF(ABS(N2133)&lt;'Sollecitazioni nel paramento'!$G$58,ABS(N2133)*'Sollecitazioni nel paramento'!$G$54,'Sollecitazioni nel paramento'!$G$53)</f>
        <v>3655868.4350818004</v>
      </c>
      <c r="I2133" s="472">
        <f>-'Foglio deposito bis'!$F$82*(C2133-sezione!$AP$35)*IF(ABS(O2133)&lt;'Sollecitazioni nel paramento'!$G$58,ABS(O2133)*'Sollecitazioni nel paramento'!$G$54,'Sollecitazioni nel paramento'!$G$53)</f>
        <v>499964479.16631234</v>
      </c>
      <c r="J2133" s="472">
        <f t="shared" si="149"/>
        <v>91839463.839752614</v>
      </c>
      <c r="K2133" s="550">
        <f>'Sollecitazioni nel paramento'!$G$60*(sezione!$AL$35-C2133)/C2133</f>
        <v>-2.4563857645126517E-3</v>
      </c>
      <c r="L2133" s="550">
        <f>'Sollecitazioni nel paramento'!$G$60*(sezione!$AM$35-C2133)/C2133</f>
        <v>-1.9345786467689775E-3</v>
      </c>
      <c r="M2133" s="551">
        <f>'Sollecitazioni nel paramento'!$G$60*(sezione!$AN$35-C2133)/C2133</f>
        <v>-1.4127715290253031E-3</v>
      </c>
      <c r="N2133" s="551">
        <f>'Sollecitazioni nel paramento'!$G$60*(sezione!$AO$35-C2133)/C2133</f>
        <v>6.7445694194939363E-4</v>
      </c>
      <c r="O2133" s="551">
        <f>'Sollecitazioni nel paramento'!$G$60*(sezione!$AP$35-C2133)/C2133</f>
        <v>1.4615645023771936E-2</v>
      </c>
      <c r="P2133" s="545">
        <f>-'Sollecitazioni nel paramento'!$G$47*'Sollecitazioni nel paramento'!$G$41*IF(DATI!$G$211="dx",DATI!$E$61,DATI!$E$64*DATI!$E$63)*1000*C2133*sezione!$AD$5</f>
        <v>-5110681.5321557177</v>
      </c>
      <c r="Q2133" s="545">
        <f>'Foglio deposito bis'!$F$78*IF(ABS(K2133)&lt;'Sollecitazioni nel paramento'!$G$58,ABS(K2133)*'Sollecitazioni nel paramento'!$G$54,'Sollecitazioni nel paramento'!$G$53)*IF(K2133&lt;0,-1,1)</f>
        <v>0</v>
      </c>
      <c r="R2133" s="545">
        <f>'Foglio deposito bis'!$F$79*IF(ABS(L2133)&lt;'Sollecitazioni nel paramento'!$G$58,ABS(L2133)*'Sollecitazioni nel paramento'!$G$54,'Sollecitazioni nel paramento'!$G$53)*IF(L2133&lt;0,-1,1)</f>
        <v>-153664.85805602249</v>
      </c>
      <c r="S2133" s="545">
        <f>'Foglio deposito bis'!$F$80*IF(ABS(M2133)&lt;'Sollecitazioni nel paramento'!$G$58,ABS(M2133)*'Sollecitazioni nel paramento'!$G$54,'Sollecitazioni nel paramento'!$G$53)*IF(M2133&lt;0,-1,1)</f>
        <v>0</v>
      </c>
      <c r="T2133" s="545">
        <f>'Foglio deposito bis'!$F$81*IF(ABS(N2133)&lt;'Sollecitazioni nel paramento'!$G$58,ABS(N2133)*'Sollecitazioni nel paramento'!$G$54,'Sollecitazioni nel paramento'!$G$53)*IF(N2133&lt;0,-1,1)</f>
        <v>141421.79080004545</v>
      </c>
      <c r="U2133" s="545">
        <f>'Foglio deposito bis'!$F$82*IF(ABS(O2133)&lt;'Sollecitazioni nel paramento'!$G$58,ABS(O2133)*'Sollecitazioni nel paramento'!$G$54,'Sollecitazioni nel paramento'!$G$53)*IF(O2133&lt;0,-1,1)</f>
        <v>892485.49558937876</v>
      </c>
      <c r="V2133" s="472">
        <f t="shared" si="151"/>
        <v>-4230439.103822317</v>
      </c>
      <c r="W2133" s="551"/>
      <c r="X2133" s="551"/>
    </row>
    <row r="2134" spans="1:24" x14ac:dyDescent="0.25">
      <c r="A2134" s="545">
        <f t="shared" si="150"/>
        <v>4318931.1583286133</v>
      </c>
      <c r="B2134" s="3">
        <f t="shared" si="148"/>
        <v>13.699999999999973</v>
      </c>
      <c r="C2134" s="545">
        <f>'Foglio deposito bis'!$E$161/sezione!$B$247*B2134</f>
        <v>136.13658116471373</v>
      </c>
      <c r="D2134" s="603">
        <f>-'Sollecitazioni nel paramento'!$G$47*'Sollecitazioni nel paramento'!$G$41*IF(DATI!$G$211="dx",DATI!$E$61,DATI!$E$64*DATI!$E$63)*1000*C2134^2*sezione!$AD$5*(1-sezione!$AD$6)</f>
        <v>-412337947.42544675</v>
      </c>
      <c r="E2134" s="545">
        <f>-'Foglio deposito bis'!$F$78*(C2134-sezione!$AL$35)*IF(ABS(K2134)&lt;'Sollecitazioni nel paramento'!$G$58,ABS(K2134)*'Sollecitazioni nel paramento'!$G$54,'Sollecitazioni nel paramento'!$G$53)</f>
        <v>0</v>
      </c>
      <c r="F2134" s="545">
        <f>-'Foglio deposito bis'!$F$79*(C2134-sezione!$AM$35)*IF(ABS(L2134)&lt;'Sollecitazioni nel paramento'!$G$58,ABS(L2134)*'Sollecitazioni nel paramento'!$G$54,'Sollecitazioni nel paramento'!$G$53)</f>
        <v>-11699516.937546572</v>
      </c>
      <c r="G2134" s="545">
        <f>-'Foglio deposito bis'!$F$80*(C2134-sezione!$AN$35)*IF(ABS(M2134)&lt;'Sollecitazioni nel paramento'!$G$58,ABS(M2134)*'Sollecitazioni nel paramento'!$G$54,'Sollecitazioni nel paramento'!$G$53)</f>
        <v>0</v>
      </c>
      <c r="H2134" s="545">
        <f>-'Foglio deposito bis'!$F$81*(C2134-sezione!$AO$35)*IF(ABS(N2134)&lt;'Sollecitazioni nel paramento'!$G$58,ABS(N2134)*'Sollecitazioni nel paramento'!$G$54,'Sollecitazioni nel paramento'!$G$53)</f>
        <v>3069874.5983981527</v>
      </c>
      <c r="I2134" s="472">
        <f>-'Foglio deposito bis'!$F$82*(C2134-sezione!$AP$35)*IF(ABS(O2134)&lt;'Sollecitazioni nel paramento'!$G$58,ABS(O2134)*'Sollecitazioni nel paramento'!$G$54,'Sollecitazioni nel paramento'!$G$53)</f>
        <v>498190757.64647835</v>
      </c>
      <c r="J2134" s="472">
        <f t="shared" si="149"/>
        <v>77223167.881883204</v>
      </c>
      <c r="K2134" s="550">
        <f>'Sollecitazioni nel paramento'!$G$60*(sezione!$AL$35-C2134)/C2134</f>
        <v>-2.4716210088263357E-3</v>
      </c>
      <c r="L2134" s="550">
        <f>'Sollecitazioni nel paramento'!$G$60*(sezione!$AM$35-C2134)/C2134</f>
        <v>-1.9574315132395033E-3</v>
      </c>
      <c r="M2134" s="551">
        <f>'Sollecitazioni nel paramento'!$G$60*(sezione!$AN$35-C2134)/C2134</f>
        <v>-1.443242017652671E-3</v>
      </c>
      <c r="N2134" s="551">
        <f>'Sollecitazioni nel paramento'!$G$60*(sezione!$AO$35-C2134)/C2134</f>
        <v>6.1351596469465795E-4</v>
      </c>
      <c r="O2134" s="551">
        <f>'Sollecitazioni nel paramento'!$G$60*(sezione!$AP$35-C2134)/C2134</f>
        <v>1.4351183052621983E-2</v>
      </c>
      <c r="P2134" s="545">
        <f>-'Sollecitazioni nel paramento'!$G$47*'Sollecitazioni nel paramento'!$G$41*IF(DATI!$G$211="dx",DATI!$E$61,DATI!$E$64*DATI!$E$63)*1000*C2134*sezione!$AD$5</f>
        <v>-5186395.3326320983</v>
      </c>
      <c r="Q2134" s="545">
        <f>'Foglio deposito bis'!$F$78*IF(ABS(K2134)&lt;'Sollecitazioni nel paramento'!$G$58,ABS(K2134)*'Sollecitazioni nel paramento'!$G$54,'Sollecitazioni nel paramento'!$G$53)*IF(K2134&lt;0,-1,1)</f>
        <v>0</v>
      </c>
      <c r="R2134" s="545">
        <f>'Foglio deposito bis'!$F$79*IF(ABS(L2134)&lt;'Sollecitazioni nel paramento'!$G$58,ABS(L2134)*'Sollecitazioni nel paramento'!$G$54,'Sollecitazioni nel paramento'!$G$53)*IF(L2134&lt;0,-1,1)</f>
        <v>-153664.85805602249</v>
      </c>
      <c r="S2134" s="545">
        <f>'Foglio deposito bis'!$F$80*IF(ABS(M2134)&lt;'Sollecitazioni nel paramento'!$G$58,ABS(M2134)*'Sollecitazioni nel paramento'!$G$54,'Sollecitazioni nel paramento'!$G$53)*IF(M2134&lt;0,-1,1)</f>
        <v>0</v>
      </c>
      <c r="T2134" s="545">
        <f>'Foglio deposito bis'!$F$81*IF(ABS(N2134)&lt;'Sollecitazioni nel paramento'!$G$58,ABS(N2134)*'Sollecitazioni nel paramento'!$G$54,'Sollecitazioni nel paramento'!$G$53)*IF(N2134&lt;0,-1,1)</f>
        <v>128643.53677012961</v>
      </c>
      <c r="U2134" s="545">
        <f>'Foglio deposito bis'!$F$82*IF(ABS(O2134)&lt;'Sollecitazioni nel paramento'!$G$58,ABS(O2134)*'Sollecitazioni nel paramento'!$G$54,'Sollecitazioni nel paramento'!$G$53)*IF(O2134&lt;0,-1,1)</f>
        <v>892485.49558937876</v>
      </c>
      <c r="V2134" s="472">
        <f t="shared" si="151"/>
        <v>-4318931.1583286133</v>
      </c>
      <c r="W2134" s="551"/>
      <c r="X2134" s="551"/>
    </row>
    <row r="2135" spans="1:24" x14ac:dyDescent="0.25">
      <c r="A2135" s="545">
        <f t="shared" si="150"/>
        <v>4407055.4932944793</v>
      </c>
      <c r="B2135" s="3">
        <f t="shared" si="148"/>
        <v>13.899999999999972</v>
      </c>
      <c r="C2135" s="545">
        <f>'Foglio deposito bis'!$E$161/sezione!$B$247*B2135</f>
        <v>138.12397651018401</v>
      </c>
      <c r="D2135" s="603">
        <f>-'Sollecitazioni nel paramento'!$G$47*'Sollecitazioni nel paramento'!$G$41*IF(DATI!$G$211="dx",DATI!$E$61,DATI!$E$64*DATI!$E$63)*1000*C2135^2*sezione!$AD$5*(1-sezione!$AD$6)</f>
        <v>-424464887.96457231</v>
      </c>
      <c r="E2135" s="545">
        <f>-'Foglio deposito bis'!$F$78*(C2135-sezione!$AL$35)*IF(ABS(K2135)&lt;'Sollecitazioni nel paramento'!$G$58,ABS(K2135)*'Sollecitazioni nel paramento'!$G$54,'Sollecitazioni nel paramento'!$G$53)</f>
        <v>0</v>
      </c>
      <c r="F2135" s="545">
        <f>-'Foglio deposito bis'!$F$79*(C2135-sezione!$AM$35)*IF(ABS(L2135)&lt;'Sollecitazioni nel paramento'!$G$58,ABS(L2135)*'Sollecitazioni nel paramento'!$G$54,'Sollecitazioni nel paramento'!$G$53)</f>
        <v>-12004909.761209462</v>
      </c>
      <c r="G2135" s="545">
        <f>-'Foglio deposito bis'!$F$80*(C2135-sezione!$AN$35)*IF(ABS(M2135)&lt;'Sollecitazioni nel paramento'!$G$58,ABS(M2135)*'Sollecitazioni nel paramento'!$G$54,'Sollecitazioni nel paramento'!$G$53)</f>
        <v>0</v>
      </c>
      <c r="H2135" s="545">
        <f>-'Foglio deposito bis'!$F$81*(C2135-sezione!$AO$35)*IF(ABS(N2135)&lt;'Sollecitazioni nel paramento'!$G$58,ABS(N2135)*'Sollecitazioni nel paramento'!$G$54,'Sollecitazioni nel paramento'!$G$53)</f>
        <v>2542715.8881831812</v>
      </c>
      <c r="I2135" s="472">
        <f>-'Foglio deposito bis'!$F$82*(C2135-sezione!$AP$35)*IF(ABS(O2135)&lt;'Sollecitazioni nel paramento'!$G$58,ABS(O2135)*'Sollecitazioni nel paramento'!$G$54,'Sollecitazioni nel paramento'!$G$53)</f>
        <v>496417036.12664431</v>
      </c>
      <c r="J2135" s="472">
        <f t="shared" si="149"/>
        <v>62489954.289045691</v>
      </c>
      <c r="K2135" s="550">
        <f>'Sollecitazioni nel paramento'!$G$60*(sezione!$AL$35-C2135)/C2135</f>
        <v>-2.4864178288432227E-3</v>
      </c>
      <c r="L2135" s="550">
        <f>'Sollecitazioni nel paramento'!$G$60*(sezione!$AM$35-C2135)/C2135</f>
        <v>-1.9796267432648342E-3</v>
      </c>
      <c r="M2135" s="551">
        <f>'Sollecitazioni nel paramento'!$G$60*(sezione!$AN$35-C2135)/C2135</f>
        <v>-1.4728356576864457E-3</v>
      </c>
      <c r="N2135" s="551">
        <f>'Sollecitazioni nel paramento'!$G$60*(sezione!$AO$35-C2135)/C2135</f>
        <v>5.5432868462710878E-4</v>
      </c>
      <c r="O2135" s="551">
        <f>'Sollecitazioni nel paramento'!$G$60*(sezione!$AP$35-C2135)/C2135</f>
        <v>1.4094331497907998E-2</v>
      </c>
      <c r="P2135" s="545">
        <f>-'Sollecitazioni nel paramento'!$G$47*'Sollecitazioni nel paramento'!$G$41*IF(DATI!$G$211="dx",DATI!$E$61,DATI!$E$64*DATI!$E$63)*1000*C2135*sezione!$AD$5</f>
        <v>-5262109.133108479</v>
      </c>
      <c r="Q2135" s="545">
        <f>'Foglio deposito bis'!$F$78*IF(ABS(K2135)&lt;'Sollecitazioni nel paramento'!$G$58,ABS(K2135)*'Sollecitazioni nel paramento'!$G$54,'Sollecitazioni nel paramento'!$G$53)*IF(K2135&lt;0,-1,1)</f>
        <v>0</v>
      </c>
      <c r="R2135" s="545">
        <f>'Foglio deposito bis'!$F$79*IF(ABS(L2135)&lt;'Sollecitazioni nel paramento'!$G$58,ABS(L2135)*'Sollecitazioni nel paramento'!$G$54,'Sollecitazioni nel paramento'!$G$53)*IF(L2135&lt;0,-1,1)</f>
        <v>-153664.85805602249</v>
      </c>
      <c r="S2135" s="545">
        <f>'Foglio deposito bis'!$F$80*IF(ABS(M2135)&lt;'Sollecitazioni nel paramento'!$G$58,ABS(M2135)*'Sollecitazioni nel paramento'!$G$54,'Sollecitazioni nel paramento'!$G$53)*IF(M2135&lt;0,-1,1)</f>
        <v>0</v>
      </c>
      <c r="T2135" s="545">
        <f>'Foglio deposito bis'!$F$81*IF(ABS(N2135)&lt;'Sollecitazioni nel paramento'!$G$58,ABS(N2135)*'Sollecitazioni nel paramento'!$G$54,'Sollecitazioni nel paramento'!$G$53)*IF(N2135&lt;0,-1,1)</f>
        <v>116233.00228064298</v>
      </c>
      <c r="U2135" s="545">
        <f>'Foglio deposito bis'!$F$82*IF(ABS(O2135)&lt;'Sollecitazioni nel paramento'!$G$58,ABS(O2135)*'Sollecitazioni nel paramento'!$G$54,'Sollecitazioni nel paramento'!$G$53)*IF(O2135&lt;0,-1,1)</f>
        <v>892485.49558937876</v>
      </c>
      <c r="V2135" s="472">
        <f t="shared" si="151"/>
        <v>-4407055.4932944793</v>
      </c>
      <c r="W2135" s="551"/>
      <c r="X2135" s="551"/>
    </row>
    <row r="2136" spans="1:24" x14ac:dyDescent="0.25">
      <c r="A2136" s="545">
        <f t="shared" si="150"/>
        <v>4494827.7563599367</v>
      </c>
      <c r="B2136" s="3">
        <f t="shared" si="148"/>
        <v>14.099999999999971</v>
      </c>
      <c r="C2136" s="545">
        <f>'Foglio deposito bis'!$E$161/sezione!$B$247*B2136</f>
        <v>140.11137185565428</v>
      </c>
      <c r="D2136" s="603">
        <f>-'Sollecitazioni nel paramento'!$G$47*'Sollecitazioni nel paramento'!$G$41*IF(DATI!$G$211="dx",DATI!$E$61,DATI!$E$64*DATI!$E$63)*1000*C2136^2*sezione!$AD$5*(1-sezione!$AD$6)</f>
        <v>-436767581.26513439</v>
      </c>
      <c r="E2136" s="545">
        <f>-'Foglio deposito bis'!$F$78*(C2136-sezione!$AL$35)*IF(ABS(K2136)&lt;'Sollecitazioni nel paramento'!$G$58,ABS(K2136)*'Sollecitazioni nel paramento'!$G$54,'Sollecitazioni nel paramento'!$G$53)</f>
        <v>0</v>
      </c>
      <c r="F2136" s="545">
        <f>-'Foglio deposito bis'!$F$79*(C2136-sezione!$AM$35)*IF(ABS(L2136)&lt;'Sollecitazioni nel paramento'!$G$58,ABS(L2136)*'Sollecitazioni nel paramento'!$G$54,'Sollecitazioni nel paramento'!$G$53)</f>
        <v>-12310302.584872352</v>
      </c>
      <c r="G2136" s="545">
        <f>-'Foglio deposito bis'!$F$80*(C2136-sezione!$AN$35)*IF(ABS(M2136)&lt;'Sollecitazioni nel paramento'!$G$58,ABS(M2136)*'Sollecitazioni nel paramento'!$G$54,'Sollecitazioni nel paramento'!$G$53)</f>
        <v>0</v>
      </c>
      <c r="H2136" s="545">
        <f>-'Foglio deposito bis'!$F$81*(C2136-sezione!$AO$35)*IF(ABS(N2136)&lt;'Sollecitazioni nel paramento'!$G$58,ABS(N2136)*'Sollecitazioni nel paramento'!$G$54,'Sollecitazioni nel paramento'!$G$53)</f>
        <v>2071888.6820339658</v>
      </c>
      <c r="I2136" s="472">
        <f>-'Foglio deposito bis'!$F$82*(C2136-sezione!$AP$35)*IF(ABS(O2136)&lt;'Sollecitazioni nel paramento'!$G$58,ABS(O2136)*'Sollecitazioni nel paramento'!$G$54,'Sollecitazioni nel paramento'!$G$53)</f>
        <v>494643314.60681015</v>
      </c>
      <c r="J2136" s="472">
        <f t="shared" si="149"/>
        <v>47637319.438837349</v>
      </c>
      <c r="K2136" s="550">
        <f>'Sollecitazioni nel paramento'!$G$60*(sezione!$AL$35-C2136)/C2136</f>
        <v>-2.5007948809163687E-3</v>
      </c>
      <c r="L2136" s="550">
        <f>'Sollecitazioni nel paramento'!$G$60*(sezione!$AM$35-C2136)/C2136</f>
        <v>-2.001192321374553E-3</v>
      </c>
      <c r="M2136" s="551">
        <f>'Sollecitazioni nel paramento'!$G$60*(sezione!$AN$35-C2136)/C2136</f>
        <v>-1.5015897618327373E-3</v>
      </c>
      <c r="N2136" s="551">
        <f>'Sollecitazioni nel paramento'!$G$60*(sezione!$AO$35-C2136)/C2136</f>
        <v>4.9682047633452567E-4</v>
      </c>
      <c r="O2136" s="551">
        <f>'Sollecitazioni nel paramento'!$G$60*(sezione!$AP$35-C2136)/C2136</f>
        <v>1.3844766512122067E-2</v>
      </c>
      <c r="P2136" s="545">
        <f>-'Sollecitazioni nel paramento'!$G$47*'Sollecitazioni nel paramento'!$G$41*IF(DATI!$G$211="dx",DATI!$E$61,DATI!$E$64*DATI!$E$63)*1000*C2136*sezione!$AD$5</f>
        <v>-5337822.9335848605</v>
      </c>
      <c r="Q2136" s="545">
        <f>'Foglio deposito bis'!$F$78*IF(ABS(K2136)&lt;'Sollecitazioni nel paramento'!$G$58,ABS(K2136)*'Sollecitazioni nel paramento'!$G$54,'Sollecitazioni nel paramento'!$G$53)*IF(K2136&lt;0,-1,1)</f>
        <v>0</v>
      </c>
      <c r="R2136" s="545">
        <f>'Foglio deposito bis'!$F$79*IF(ABS(L2136)&lt;'Sollecitazioni nel paramento'!$G$58,ABS(L2136)*'Sollecitazioni nel paramento'!$G$54,'Sollecitazioni nel paramento'!$G$53)*IF(L2136&lt;0,-1,1)</f>
        <v>-153664.85805602249</v>
      </c>
      <c r="S2136" s="545">
        <f>'Foglio deposito bis'!$F$80*IF(ABS(M2136)&lt;'Sollecitazioni nel paramento'!$G$58,ABS(M2136)*'Sollecitazioni nel paramento'!$G$54,'Sollecitazioni nel paramento'!$G$53)*IF(M2136&lt;0,-1,1)</f>
        <v>0</v>
      </c>
      <c r="T2136" s="545">
        <f>'Foglio deposito bis'!$F$81*IF(ABS(N2136)&lt;'Sollecitazioni nel paramento'!$G$58,ABS(N2136)*'Sollecitazioni nel paramento'!$G$54,'Sollecitazioni nel paramento'!$G$53)*IF(N2136&lt;0,-1,1)</f>
        <v>104174.53969156732</v>
      </c>
      <c r="U2136" s="545">
        <f>'Foglio deposito bis'!$F$82*IF(ABS(O2136)&lt;'Sollecitazioni nel paramento'!$G$58,ABS(O2136)*'Sollecitazioni nel paramento'!$G$54,'Sollecitazioni nel paramento'!$G$53)*IF(O2136&lt;0,-1,1)</f>
        <v>892485.49558937876</v>
      </c>
      <c r="V2136" s="472">
        <f t="shared" si="151"/>
        <v>-4494827.7563599367</v>
      </c>
      <c r="W2136" s="551"/>
      <c r="X2136" s="551"/>
    </row>
    <row r="2137" spans="1:24" x14ac:dyDescent="0.25">
      <c r="A2137" s="545">
        <f t="shared" si="150"/>
        <v>4582262.7197725531</v>
      </c>
      <c r="B2137" s="3">
        <f t="shared" si="148"/>
        <v>14.299999999999971</v>
      </c>
      <c r="C2137" s="545">
        <f>'Foglio deposito bis'!$E$161/sezione!$B$247*B2137</f>
        <v>142.09876720112456</v>
      </c>
      <c r="D2137" s="603">
        <f>-'Sollecitazioni nel paramento'!$G$47*'Sollecitazioni nel paramento'!$G$41*IF(DATI!$G$211="dx",DATI!$E$61,DATI!$E$64*DATI!$E$63)*1000*C2137^2*sezione!$AD$5*(1-sezione!$AD$6)</f>
        <v>-449246027.32713306</v>
      </c>
      <c r="E2137" s="545">
        <f>-'Foglio deposito bis'!$F$78*(C2137-sezione!$AL$35)*IF(ABS(K2137)&lt;'Sollecitazioni nel paramento'!$G$58,ABS(K2137)*'Sollecitazioni nel paramento'!$G$54,'Sollecitazioni nel paramento'!$G$53)</f>
        <v>0</v>
      </c>
      <c r="F2137" s="545">
        <f>-'Foglio deposito bis'!$F$79*(C2137-sezione!$AM$35)*IF(ABS(L2137)&lt;'Sollecitazioni nel paramento'!$G$58,ABS(L2137)*'Sollecitazioni nel paramento'!$G$54,'Sollecitazioni nel paramento'!$G$53)</f>
        <v>-12615695.40853524</v>
      </c>
      <c r="G2137" s="545">
        <f>-'Foglio deposito bis'!$F$80*(C2137-sezione!$AN$35)*IF(ABS(M2137)&lt;'Sollecitazioni nel paramento'!$G$58,ABS(M2137)*'Sollecitazioni nel paramento'!$G$54,'Sollecitazioni nel paramento'!$G$53)</f>
        <v>0</v>
      </c>
      <c r="H2137" s="545">
        <f>-'Foglio deposito bis'!$F$81*(C2137-sezione!$AO$35)*IF(ABS(N2137)&lt;'Sollecitazioni nel paramento'!$G$58,ABS(N2137)*'Sollecitazioni nel paramento'!$G$54,'Sollecitazioni nel paramento'!$G$53)</f>
        <v>1655029.4203393545</v>
      </c>
      <c r="I2137" s="472">
        <f>-'Foglio deposito bis'!$F$82*(C2137-sezione!$AP$35)*IF(ABS(O2137)&lt;'Sollecitazioni nel paramento'!$G$58,ABS(O2137)*'Sollecitazioni nel paramento'!$G$54,'Sollecitazioni nel paramento'!$G$53)</f>
        <v>492869593.08697611</v>
      </c>
      <c r="J2137" s="472">
        <f t="shared" si="149"/>
        <v>32662899.771647155</v>
      </c>
      <c r="K2137" s="550">
        <f>'Sollecitazioni nel paramento'!$G$60*(sezione!$AL$35-C2137)/C2137</f>
        <v>-2.5147697776867692E-3</v>
      </c>
      <c r="L2137" s="550">
        <f>'Sollecitazioni nel paramento'!$G$60*(sezione!$AM$35-C2137)/C2137</f>
        <v>-2.0221546665301535E-3</v>
      </c>
      <c r="M2137" s="551">
        <f>'Sollecitazioni nel paramento'!$G$60*(sezione!$AN$35-C2137)/C2137</f>
        <v>-1.5295395553735381E-3</v>
      </c>
      <c r="N2137" s="551">
        <f>'Sollecitazioni nel paramento'!$G$60*(sezione!$AO$35-C2137)/C2137</f>
        <v>4.4092088925292387E-4</v>
      </c>
      <c r="O2137" s="551">
        <f>'Sollecitazioni nel paramento'!$G$60*(sezione!$AP$35-C2137)/C2137</f>
        <v>1.3602182365099379E-2</v>
      </c>
      <c r="P2137" s="545">
        <f>-'Sollecitazioni nel paramento'!$G$47*'Sollecitazioni nel paramento'!$G$41*IF(DATI!$G$211="dx",DATI!$E$61,DATI!$E$64*DATI!$E$63)*1000*C2137*sezione!$AD$5</f>
        <v>-5413536.7340612411</v>
      </c>
      <c r="Q2137" s="545">
        <f>'Foglio deposito bis'!$F$78*IF(ABS(K2137)&lt;'Sollecitazioni nel paramento'!$G$58,ABS(K2137)*'Sollecitazioni nel paramento'!$G$54,'Sollecitazioni nel paramento'!$G$53)*IF(K2137&lt;0,-1,1)</f>
        <v>0</v>
      </c>
      <c r="R2137" s="545">
        <f>'Foglio deposito bis'!$F$79*IF(ABS(L2137)&lt;'Sollecitazioni nel paramento'!$G$58,ABS(L2137)*'Sollecitazioni nel paramento'!$G$54,'Sollecitazioni nel paramento'!$G$53)*IF(L2137&lt;0,-1,1)</f>
        <v>-153664.85805602249</v>
      </c>
      <c r="S2137" s="545">
        <f>'Foglio deposito bis'!$F$80*IF(ABS(M2137)&lt;'Sollecitazioni nel paramento'!$G$58,ABS(M2137)*'Sollecitazioni nel paramento'!$G$54,'Sollecitazioni nel paramento'!$G$53)*IF(M2137&lt;0,-1,1)</f>
        <v>0</v>
      </c>
      <c r="T2137" s="545">
        <f>'Foglio deposito bis'!$F$81*IF(ABS(N2137)&lt;'Sollecitazioni nel paramento'!$G$58,ABS(N2137)*'Sollecitazioni nel paramento'!$G$54,'Sollecitazioni nel paramento'!$G$53)*IF(N2137&lt;0,-1,1)</f>
        <v>92453.376755332953</v>
      </c>
      <c r="U2137" s="545">
        <f>'Foglio deposito bis'!$F$82*IF(ABS(O2137)&lt;'Sollecitazioni nel paramento'!$G$58,ABS(O2137)*'Sollecitazioni nel paramento'!$G$54,'Sollecitazioni nel paramento'!$G$53)*IF(O2137&lt;0,-1,1)</f>
        <v>892485.49558937876</v>
      </c>
      <c r="V2137" s="472">
        <f t="shared" si="151"/>
        <v>-4582262.7197725531</v>
      </c>
      <c r="W2137" s="551"/>
      <c r="X2137" s="551"/>
    </row>
    <row r="2138" spans="1:24" x14ac:dyDescent="0.25">
      <c r="A2138" s="545">
        <f t="shared" si="150"/>
        <v>4669374.3407593407</v>
      </c>
      <c r="B2138" s="3">
        <f t="shared" si="148"/>
        <v>14.49999999999997</v>
      </c>
      <c r="C2138" s="545">
        <f>'Foglio deposito bis'!$E$161/sezione!$B$247*B2138</f>
        <v>144.08616254659481</v>
      </c>
      <c r="D2138" s="603">
        <f>-'Sollecitazioni nel paramento'!$G$47*'Sollecitazioni nel paramento'!$G$41*IF(DATI!$G$211="dx",DATI!$E$61,DATI!$E$64*DATI!$E$63)*1000*C2138^2*sezione!$AD$5*(1-sezione!$AD$6)</f>
        <v>-461900226.15056825</v>
      </c>
      <c r="E2138" s="545">
        <f>-'Foglio deposito bis'!$F$78*(C2138-sezione!$AL$35)*IF(ABS(K2138)&lt;'Sollecitazioni nel paramento'!$G$58,ABS(K2138)*'Sollecitazioni nel paramento'!$G$54,'Sollecitazioni nel paramento'!$G$53)</f>
        <v>0</v>
      </c>
      <c r="F2138" s="545">
        <f>-'Foglio deposito bis'!$F$79*(C2138-sezione!$AM$35)*IF(ABS(L2138)&lt;'Sollecitazioni nel paramento'!$G$58,ABS(L2138)*'Sollecitazioni nel paramento'!$G$54,'Sollecitazioni nel paramento'!$G$53)</f>
        <v>-12921088.232198125</v>
      </c>
      <c r="G2138" s="545">
        <f>-'Foglio deposito bis'!$F$80*(C2138-sezione!$AN$35)*IF(ABS(M2138)&lt;'Sollecitazioni nel paramento'!$G$58,ABS(M2138)*'Sollecitazioni nel paramento'!$G$54,'Sollecitazioni nel paramento'!$G$53)</f>
        <v>0</v>
      </c>
      <c r="H2138" s="545">
        <f>-'Foglio deposito bis'!$F$81*(C2138-sezione!$AO$35)*IF(ABS(N2138)&lt;'Sollecitazioni nel paramento'!$G$58,ABS(N2138)*'Sollecitazioni nel paramento'!$G$54,'Sollecitazioni nel paramento'!$G$53)</f>
        <v>1289904.9467770925</v>
      </c>
      <c r="I2138" s="472">
        <f>-'Foglio deposito bis'!$F$82*(C2138-sezione!$AP$35)*IF(ABS(O2138)&lt;'Sollecitazioni nel paramento'!$G$58,ABS(O2138)*'Sollecitazioni nel paramento'!$G$54,'Sollecitazioni nel paramento'!$G$53)</f>
        <v>491095871.56714207</v>
      </c>
      <c r="J2138" s="472">
        <f t="shared" si="149"/>
        <v>17564462.131152809</v>
      </c>
      <c r="K2138" s="550">
        <f>'Sollecitazioni nel paramento'!$G$60*(sezione!$AL$35-C2138)/C2138</f>
        <v>-2.5283591600635032E-3</v>
      </c>
      <c r="L2138" s="550">
        <f>'Sollecitazioni nel paramento'!$G$60*(sezione!$AM$35-C2138)/C2138</f>
        <v>-2.0425387400952546E-3</v>
      </c>
      <c r="M2138" s="551">
        <f>'Sollecitazioni nel paramento'!$G$60*(sezione!$AN$35-C2138)/C2138</f>
        <v>-1.5567183201270064E-3</v>
      </c>
      <c r="N2138" s="551">
        <f>'Sollecitazioni nel paramento'!$G$60*(sezione!$AO$35-C2138)/C2138</f>
        <v>3.8656335974598764E-4</v>
      </c>
      <c r="O2138" s="551">
        <f>'Sollecitazioni nel paramento'!$G$60*(sezione!$AP$35-C2138)/C2138</f>
        <v>1.3366290194546288E-2</v>
      </c>
      <c r="P2138" s="545">
        <f>-'Sollecitazioni nel paramento'!$G$47*'Sollecitazioni nel paramento'!$G$41*IF(DATI!$G$211="dx",DATI!$E$61,DATI!$E$64*DATI!$E$63)*1000*C2138*sezione!$AD$5</f>
        <v>-5489250.5345376218</v>
      </c>
      <c r="Q2138" s="545">
        <f>'Foglio deposito bis'!$F$78*IF(ABS(K2138)&lt;'Sollecitazioni nel paramento'!$G$58,ABS(K2138)*'Sollecitazioni nel paramento'!$G$54,'Sollecitazioni nel paramento'!$G$53)*IF(K2138&lt;0,-1,1)</f>
        <v>0</v>
      </c>
      <c r="R2138" s="545">
        <f>'Foglio deposito bis'!$F$79*IF(ABS(L2138)&lt;'Sollecitazioni nel paramento'!$G$58,ABS(L2138)*'Sollecitazioni nel paramento'!$G$54,'Sollecitazioni nel paramento'!$G$53)*IF(L2138&lt;0,-1,1)</f>
        <v>-153664.85805602249</v>
      </c>
      <c r="S2138" s="545">
        <f>'Foglio deposito bis'!$F$80*IF(ABS(M2138)&lt;'Sollecitazioni nel paramento'!$G$58,ABS(M2138)*'Sollecitazioni nel paramento'!$G$54,'Sollecitazioni nel paramento'!$G$53)*IF(M2138&lt;0,-1,1)</f>
        <v>0</v>
      </c>
      <c r="T2138" s="545">
        <f>'Foglio deposito bis'!$F$81*IF(ABS(N2138)&lt;'Sollecitazioni nel paramento'!$G$58,ABS(N2138)*'Sollecitazioni nel paramento'!$G$54,'Sollecitazioni nel paramento'!$G$53)*IF(N2138&lt;0,-1,1)</f>
        <v>81055.556244925872</v>
      </c>
      <c r="U2138" s="545">
        <f>'Foglio deposito bis'!$F$82*IF(ABS(O2138)&lt;'Sollecitazioni nel paramento'!$G$58,ABS(O2138)*'Sollecitazioni nel paramento'!$G$54,'Sollecitazioni nel paramento'!$G$53)*IF(O2138&lt;0,-1,1)</f>
        <v>892485.49558937876</v>
      </c>
      <c r="V2138" s="472">
        <f t="shared" si="151"/>
        <v>-4669374.3407593407</v>
      </c>
      <c r="W2138" s="551"/>
      <c r="X2138" s="551"/>
    </row>
    <row r="2139" spans="1:24" x14ac:dyDescent="0.25">
      <c r="A2139" s="545">
        <f t="shared" si="150"/>
        <v>4756175.8169703353</v>
      </c>
      <c r="B2139" s="3">
        <f t="shared" si="148"/>
        <v>14.699999999999969</v>
      </c>
      <c r="C2139" s="545">
        <f>'Foglio deposito bis'!$E$161/sezione!$B$247*B2139</f>
        <v>146.07355789206508</v>
      </c>
      <c r="D2139" s="603">
        <f>-'Sollecitazioni nel paramento'!$G$47*'Sollecitazioni nel paramento'!$G$41*IF(DATI!$G$211="dx",DATI!$E$61,DATI!$E$64*DATI!$E$63)*1000*C2139^2*sezione!$AD$5*(1-sezione!$AD$6)</f>
        <v>-474730177.73544014</v>
      </c>
      <c r="E2139" s="545">
        <f>-'Foglio deposito bis'!$F$78*(C2139-sezione!$AL$35)*IF(ABS(K2139)&lt;'Sollecitazioni nel paramento'!$G$58,ABS(K2139)*'Sollecitazioni nel paramento'!$G$54,'Sollecitazioni nel paramento'!$G$53)</f>
        <v>0</v>
      </c>
      <c r="F2139" s="545">
        <f>-'Foglio deposito bis'!$F$79*(C2139-sezione!$AM$35)*IF(ABS(L2139)&lt;'Sollecitazioni nel paramento'!$G$58,ABS(L2139)*'Sollecitazioni nel paramento'!$G$54,'Sollecitazioni nel paramento'!$G$53)</f>
        <v>-13226481.055861015</v>
      </c>
      <c r="G2139" s="545">
        <f>-'Foglio deposito bis'!$F$80*(C2139-sezione!$AN$35)*IF(ABS(M2139)&lt;'Sollecitazioni nel paramento'!$G$58,ABS(M2139)*'Sollecitazioni nel paramento'!$G$54,'Sollecitazioni nel paramento'!$G$53)</f>
        <v>0</v>
      </c>
      <c r="H2139" s="545">
        <f>-'Foglio deposito bis'!$F$81*(C2139-sezione!$AO$35)*IF(ABS(N2139)&lt;'Sollecitazioni nel paramento'!$G$58,ABS(N2139)*'Sollecitazioni nel paramento'!$G$54,'Sollecitazioni nel paramento'!$G$53)</f>
        <v>974403.63734176825</v>
      </c>
      <c r="I2139" s="472">
        <f>-'Foglio deposito bis'!$F$82*(C2139-sezione!$AP$35)*IF(ABS(O2139)&lt;'Sollecitazioni nel paramento'!$G$58,ABS(O2139)*'Sollecitazioni nel paramento'!$G$54,'Sollecitazioni nel paramento'!$G$53)</f>
        <v>489322150.04730803</v>
      </c>
      <c r="J2139" s="472">
        <f t="shared" si="149"/>
        <v>2339894.8933486938</v>
      </c>
      <c r="K2139" s="550">
        <f>'Sollecitazioni nel paramento'!$G$60*(sezione!$AL$35-C2139)/C2139</f>
        <v>-2.5415787633279456E-3</v>
      </c>
      <c r="L2139" s="550">
        <f>'Sollecitazioni nel paramento'!$G$60*(sezione!$AM$35-C2139)/C2139</f>
        <v>-2.062368144991918E-3</v>
      </c>
      <c r="M2139" s="551">
        <f>'Sollecitazioni nel paramento'!$G$60*(sezione!$AN$35-C2139)/C2139</f>
        <v>-1.5831575266558905E-3</v>
      </c>
      <c r="N2139" s="551">
        <f>'Sollecitazioni nel paramento'!$G$60*(sezione!$AO$35-C2139)/C2139</f>
        <v>3.3368494668821903E-4</v>
      </c>
      <c r="O2139" s="551">
        <f>'Sollecitazioni nel paramento'!$G$60*(sezione!$AP$35-C2139)/C2139</f>
        <v>1.3136816858566068E-2</v>
      </c>
      <c r="P2139" s="545">
        <f>-'Sollecitazioni nel paramento'!$G$47*'Sollecitazioni nel paramento'!$G$41*IF(DATI!$G$211="dx",DATI!$E$61,DATI!$E$64*DATI!$E$63)*1000*C2139*sezione!$AD$5</f>
        <v>-5564964.3350140024</v>
      </c>
      <c r="Q2139" s="545">
        <f>'Foglio deposito bis'!$F$78*IF(ABS(K2139)&lt;'Sollecitazioni nel paramento'!$G$58,ABS(K2139)*'Sollecitazioni nel paramento'!$G$54,'Sollecitazioni nel paramento'!$G$53)*IF(K2139&lt;0,-1,1)</f>
        <v>0</v>
      </c>
      <c r="R2139" s="545">
        <f>'Foglio deposito bis'!$F$79*IF(ABS(L2139)&lt;'Sollecitazioni nel paramento'!$G$58,ABS(L2139)*'Sollecitazioni nel paramento'!$G$54,'Sollecitazioni nel paramento'!$G$53)*IF(L2139&lt;0,-1,1)</f>
        <v>-153664.85805602249</v>
      </c>
      <c r="S2139" s="545">
        <f>'Foglio deposito bis'!$F$80*IF(ABS(M2139)&lt;'Sollecitazioni nel paramento'!$G$58,ABS(M2139)*'Sollecitazioni nel paramento'!$G$54,'Sollecitazioni nel paramento'!$G$53)*IF(M2139&lt;0,-1,1)</f>
        <v>0</v>
      </c>
      <c r="T2139" s="545">
        <f>'Foglio deposito bis'!$F$81*IF(ABS(N2139)&lt;'Sollecitazioni nel paramento'!$G$58,ABS(N2139)*'Sollecitazioni nel paramento'!$G$54,'Sollecitazioni nel paramento'!$G$53)*IF(N2139&lt;0,-1,1)</f>
        <v>69967.880510312025</v>
      </c>
      <c r="U2139" s="545">
        <f>'Foglio deposito bis'!$F$82*IF(ABS(O2139)&lt;'Sollecitazioni nel paramento'!$G$58,ABS(O2139)*'Sollecitazioni nel paramento'!$G$54,'Sollecitazioni nel paramento'!$G$53)*IF(O2139&lt;0,-1,1)</f>
        <v>892485.49558937876</v>
      </c>
      <c r="V2139" s="472">
        <f t="shared" si="151"/>
        <v>-4756175.8169703353</v>
      </c>
      <c r="W2139" s="551"/>
      <c r="X2139" s="551"/>
    </row>
    <row r="2140" spans="1:24" x14ac:dyDescent="0.25">
      <c r="A2140" s="545">
        <f t="shared" si="150"/>
        <v>4842679.6374569088</v>
      </c>
      <c r="B2140" s="3">
        <f t="shared" si="148"/>
        <v>14.899999999999968</v>
      </c>
      <c r="C2140" s="545">
        <f>'Foglio deposito bis'!$E$161/sezione!$B$247*B2140</f>
        <v>148.06095323753536</v>
      </c>
      <c r="D2140" s="603">
        <f>-'Sollecitazioni nel paramento'!$G$47*'Sollecitazioni nel paramento'!$G$41*IF(DATI!$G$211="dx",DATI!$E$61,DATI!$E$64*DATI!$E$63)*1000*C2140^2*sezione!$AD$5*(1-sezione!$AD$6)</f>
        <v>-487735882.08174866</v>
      </c>
      <c r="E2140" s="545">
        <f>-'Foglio deposito bis'!$F$78*(C2140-sezione!$AL$35)*IF(ABS(K2140)&lt;'Sollecitazioni nel paramento'!$G$58,ABS(K2140)*'Sollecitazioni nel paramento'!$G$54,'Sollecitazioni nel paramento'!$G$53)</f>
        <v>0</v>
      </c>
      <c r="F2140" s="545">
        <f>-'Foglio deposito bis'!$F$79*(C2140-sezione!$AM$35)*IF(ABS(L2140)&lt;'Sollecitazioni nel paramento'!$G$58,ABS(L2140)*'Sollecitazioni nel paramento'!$G$54,'Sollecitazioni nel paramento'!$G$53)</f>
        <v>-13531873.879523905</v>
      </c>
      <c r="G2140" s="545">
        <f>-'Foglio deposito bis'!$F$80*(C2140-sezione!$AN$35)*IF(ABS(M2140)&lt;'Sollecitazioni nel paramento'!$G$58,ABS(M2140)*'Sollecitazioni nel paramento'!$G$54,'Sollecitazioni nel paramento'!$G$53)</f>
        <v>0</v>
      </c>
      <c r="H2140" s="545">
        <f>-'Foglio deposito bis'!$F$81*(C2140-sezione!$AO$35)*IF(ABS(N2140)&lt;'Sollecitazioni nel paramento'!$G$58,ABS(N2140)*'Sollecitazioni nel paramento'!$G$54,'Sollecitazioni nel paramento'!$G$53)</f>
        <v>706527.2438135104</v>
      </c>
      <c r="I2140" s="472">
        <f>-'Foglio deposito bis'!$F$82*(C2140-sezione!$AP$35)*IF(ABS(O2140)&lt;'Sollecitazioni nel paramento'!$G$58,ABS(O2140)*'Sollecitazioni nel paramento'!$G$54,'Sollecitazioni nel paramento'!$G$53)</f>
        <v>487548428.52747387</v>
      </c>
      <c r="J2140" s="472">
        <f t="shared" si="149"/>
        <v>-13012800.189985216</v>
      </c>
      <c r="K2140" s="550">
        <f>'Sollecitazioni nel paramento'!$G$60*(sezione!$AL$35-C2140)/C2140</f>
        <v>-2.5544434779141475E-3</v>
      </c>
      <c r="L2140" s="550">
        <f>'Sollecitazioni nel paramento'!$G$60*(sezione!$AM$35-C2140)/C2140</f>
        <v>-2.081665216871221E-3</v>
      </c>
      <c r="M2140" s="551">
        <f>'Sollecitazioni nel paramento'!$G$60*(sezione!$AN$35-C2140)/C2140</f>
        <v>-1.6088869558282947E-3</v>
      </c>
      <c r="N2140" s="551">
        <f>'Sollecitazioni nel paramento'!$G$60*(sezione!$AO$35-C2140)/C2140</f>
        <v>2.8222608834341066E-4</v>
      </c>
      <c r="O2140" s="551">
        <f>'Sollecitazioni nel paramento'!$G$60*(sezione!$AP$35-C2140)/C2140</f>
        <v>1.2913503880598736E-2</v>
      </c>
      <c r="P2140" s="545">
        <f>-'Sollecitazioni nel paramento'!$G$47*'Sollecitazioni nel paramento'!$G$41*IF(DATI!$G$211="dx",DATI!$E$61,DATI!$E$64*DATI!$E$63)*1000*C2140*sezione!$AD$5</f>
        <v>-5640678.135490383</v>
      </c>
      <c r="Q2140" s="545">
        <f>'Foglio deposito bis'!$F$78*IF(ABS(K2140)&lt;'Sollecitazioni nel paramento'!$G$58,ABS(K2140)*'Sollecitazioni nel paramento'!$G$54,'Sollecitazioni nel paramento'!$G$53)*IF(K2140&lt;0,-1,1)</f>
        <v>0</v>
      </c>
      <c r="R2140" s="545">
        <f>'Foglio deposito bis'!$F$79*IF(ABS(L2140)&lt;'Sollecitazioni nel paramento'!$G$58,ABS(L2140)*'Sollecitazioni nel paramento'!$G$54,'Sollecitazioni nel paramento'!$G$53)*IF(L2140&lt;0,-1,1)</f>
        <v>-153664.85805602249</v>
      </c>
      <c r="S2140" s="545">
        <f>'Foglio deposito bis'!$F$80*IF(ABS(M2140)&lt;'Sollecitazioni nel paramento'!$G$58,ABS(M2140)*'Sollecitazioni nel paramento'!$G$54,'Sollecitazioni nel paramento'!$G$53)*IF(M2140&lt;0,-1,1)</f>
        <v>0</v>
      </c>
      <c r="T2140" s="545">
        <f>'Foglio deposito bis'!$F$81*IF(ABS(N2140)&lt;'Sollecitazioni nel paramento'!$G$58,ABS(N2140)*'Sollecitazioni nel paramento'!$G$54,'Sollecitazioni nel paramento'!$G$53)*IF(N2140&lt;0,-1,1)</f>
        <v>59177.860500117364</v>
      </c>
      <c r="U2140" s="545">
        <f>'Foglio deposito bis'!$F$82*IF(ABS(O2140)&lt;'Sollecitazioni nel paramento'!$G$58,ABS(O2140)*'Sollecitazioni nel paramento'!$G$54,'Sollecitazioni nel paramento'!$G$53)*IF(O2140&lt;0,-1,1)</f>
        <v>892485.49558937876</v>
      </c>
      <c r="V2140" s="472">
        <f t="shared" si="151"/>
        <v>-4842679.6374569088</v>
      </c>
      <c r="W2140" s="551"/>
      <c r="X2140" s="551"/>
    </row>
    <row r="2141" spans="1:24" x14ac:dyDescent="0.25">
      <c r="A2141" s="545">
        <f t="shared" si="150"/>
        <v>4928897.6295988448</v>
      </c>
      <c r="B2141" s="3">
        <f t="shared" si="148"/>
        <v>15.099999999999968</v>
      </c>
      <c r="C2141" s="545">
        <f>'Foglio deposito bis'!$E$161/sezione!$B$247*B2141</f>
        <v>150.04834858300563</v>
      </c>
      <c r="D2141" s="603">
        <f>-'Sollecitazioni nel paramento'!$G$47*'Sollecitazioni nel paramento'!$G$41*IF(DATI!$G$211="dx",DATI!$E$61,DATI!$E$64*DATI!$E$63)*1000*C2141^2*sezione!$AD$5*(1-sezione!$AD$6)</f>
        <v>-500917339.18949378</v>
      </c>
      <c r="E2141" s="545">
        <f>-'Foglio deposito bis'!$F$78*(C2141-sezione!$AL$35)*IF(ABS(K2141)&lt;'Sollecitazioni nel paramento'!$G$58,ABS(K2141)*'Sollecitazioni nel paramento'!$G$54,'Sollecitazioni nel paramento'!$G$53)</f>
        <v>0</v>
      </c>
      <c r="F2141" s="545">
        <f>-'Foglio deposito bis'!$F$79*(C2141-sezione!$AM$35)*IF(ABS(L2141)&lt;'Sollecitazioni nel paramento'!$G$58,ABS(L2141)*'Sollecitazioni nel paramento'!$G$54,'Sollecitazioni nel paramento'!$G$53)</f>
        <v>-13837266.703186795</v>
      </c>
      <c r="G2141" s="545">
        <f>-'Foglio deposito bis'!$F$80*(C2141-sezione!$AN$35)*IF(ABS(M2141)&lt;'Sollecitazioni nel paramento'!$G$58,ABS(M2141)*'Sollecitazioni nel paramento'!$G$54,'Sollecitazioni nel paramento'!$G$53)</f>
        <v>0</v>
      </c>
      <c r="H2141" s="545">
        <f>-'Foglio deposito bis'!$F$81*(C2141-sezione!$AO$35)*IF(ABS(N2141)&lt;'Sollecitazioni nel paramento'!$G$58,ABS(N2141)*'Sollecitazioni nel paramento'!$G$54,'Sollecitazioni nel paramento'!$G$53)</f>
        <v>484383.38542779937</v>
      </c>
      <c r="I2141" s="472">
        <f>-'Foglio deposito bis'!$F$82*(C2141-sezione!$AP$35)*IF(ABS(O2141)&lt;'Sollecitazioni nel paramento'!$G$58,ABS(O2141)*'Sollecitazioni nel paramento'!$G$54,'Sollecitazioni nel paramento'!$G$53)</f>
        <v>485774707.00763994</v>
      </c>
      <c r="J2141" s="472">
        <f t="shared" si="149"/>
        <v>-28495515.499612868</v>
      </c>
      <c r="K2141" s="550">
        <f>'Sollecitazioni nel paramento'!$G$60*(sezione!$AL$35-C2141)/C2141</f>
        <v>-2.5669674053589932E-3</v>
      </c>
      <c r="L2141" s="550">
        <f>'Sollecitazioni nel paramento'!$G$60*(sezione!$AM$35-C2141)/C2141</f>
        <v>-2.1004511080384898E-3</v>
      </c>
      <c r="M2141" s="551">
        <f>'Sollecitazioni nel paramento'!$G$60*(sezione!$AN$35-C2141)/C2141</f>
        <v>-1.6339348107179861E-3</v>
      </c>
      <c r="N2141" s="551">
        <f>'Sollecitazioni nel paramento'!$G$60*(sezione!$AO$35-C2141)/C2141</f>
        <v>2.3213037856402763E-4</v>
      </c>
      <c r="O2141" s="551">
        <f>'Sollecitazioni nel paramento'!$G$60*(sezione!$AP$35-C2141)/C2141</f>
        <v>1.2696106478206702E-2</v>
      </c>
      <c r="P2141" s="545">
        <f>-'Sollecitazioni nel paramento'!$G$47*'Sollecitazioni nel paramento'!$G$41*IF(DATI!$G$211="dx",DATI!$E$61,DATI!$E$64*DATI!$E$63)*1000*C2141*sezione!$AD$5</f>
        <v>-5716391.9359667646</v>
      </c>
      <c r="Q2141" s="545">
        <f>'Foglio deposito bis'!$F$78*IF(ABS(K2141)&lt;'Sollecitazioni nel paramento'!$G$58,ABS(K2141)*'Sollecitazioni nel paramento'!$G$54,'Sollecitazioni nel paramento'!$G$53)*IF(K2141&lt;0,-1,1)</f>
        <v>0</v>
      </c>
      <c r="R2141" s="545">
        <f>'Foglio deposito bis'!$F$79*IF(ABS(L2141)&lt;'Sollecitazioni nel paramento'!$G$58,ABS(L2141)*'Sollecitazioni nel paramento'!$G$54,'Sollecitazioni nel paramento'!$G$53)*IF(L2141&lt;0,-1,1)</f>
        <v>-153664.85805602249</v>
      </c>
      <c r="S2141" s="545">
        <f>'Foglio deposito bis'!$F$80*IF(ABS(M2141)&lt;'Sollecitazioni nel paramento'!$G$58,ABS(M2141)*'Sollecitazioni nel paramento'!$G$54,'Sollecitazioni nel paramento'!$G$53)*IF(M2141&lt;0,-1,1)</f>
        <v>0</v>
      </c>
      <c r="T2141" s="545">
        <f>'Foglio deposito bis'!$F$81*IF(ABS(N2141)&lt;'Sollecitazioni nel paramento'!$G$58,ABS(N2141)*'Sollecitazioni nel paramento'!$G$54,'Sollecitazioni nel paramento'!$G$53)*IF(N2141&lt;0,-1,1)</f>
        <v>48673.668834563599</v>
      </c>
      <c r="U2141" s="545">
        <f>'Foglio deposito bis'!$F$82*IF(ABS(O2141)&lt;'Sollecitazioni nel paramento'!$G$58,ABS(O2141)*'Sollecitazioni nel paramento'!$G$54,'Sollecitazioni nel paramento'!$G$53)*IF(O2141&lt;0,-1,1)</f>
        <v>892485.49558937876</v>
      </c>
      <c r="V2141" s="472">
        <f t="shared" si="151"/>
        <v>-4928897.6295988448</v>
      </c>
      <c r="W2141" s="551"/>
      <c r="X2141" s="551"/>
    </row>
    <row r="2142" spans="1:24" x14ac:dyDescent="0.25">
      <c r="A2142" s="545">
        <f t="shared" si="150"/>
        <v>5014841.0023508295</v>
      </c>
      <c r="B2142" s="3">
        <f t="shared" si="148"/>
        <v>15.299999999999967</v>
      </c>
      <c r="C2142" s="545">
        <f>'Foglio deposito bis'!$E$161/sezione!$B$247*B2142</f>
        <v>152.03574392847591</v>
      </c>
      <c r="D2142" s="603">
        <f>-'Sollecitazioni nel paramento'!$G$47*'Sollecitazioni nel paramento'!$G$41*IF(DATI!$G$211="dx",DATI!$E$61,DATI!$E$64*DATI!$E$63)*1000*C2142^2*sezione!$AD$5*(1-sezione!$AD$6)</f>
        <v>-514274549.05867553</v>
      </c>
      <c r="E2142" s="545">
        <f>-'Foglio deposito bis'!$F$78*(C2142-sezione!$AL$35)*IF(ABS(K2142)&lt;'Sollecitazioni nel paramento'!$G$58,ABS(K2142)*'Sollecitazioni nel paramento'!$G$54,'Sollecitazioni nel paramento'!$G$53)</f>
        <v>0</v>
      </c>
      <c r="F2142" s="545">
        <f>-'Foglio deposito bis'!$F$79*(C2142-sezione!$AM$35)*IF(ABS(L2142)&lt;'Sollecitazioni nel paramento'!$G$58,ABS(L2142)*'Sollecitazioni nel paramento'!$G$54,'Sollecitazioni nel paramento'!$G$53)</f>
        <v>-14142659.526849683</v>
      </c>
      <c r="G2142" s="545">
        <f>-'Foglio deposito bis'!$F$80*(C2142-sezione!$AN$35)*IF(ABS(M2142)&lt;'Sollecitazioni nel paramento'!$G$58,ABS(M2142)*'Sollecitazioni nel paramento'!$G$54,'Sollecitazioni nel paramento'!$G$53)</f>
        <v>0</v>
      </c>
      <c r="H2142" s="545">
        <f>-'Foglio deposito bis'!$F$81*(C2142-sezione!$AO$35)*IF(ABS(N2142)&lt;'Sollecitazioni nel paramento'!$G$58,ABS(N2142)*'Sollecitazioni nel paramento'!$G$54,'Sollecitazioni nel paramento'!$G$53)</f>
        <v>306178.62943394732</v>
      </c>
      <c r="I2142" s="472">
        <f>-'Foglio deposito bis'!$F$82*(C2142-sezione!$AP$35)*IF(ABS(O2142)&lt;'Sollecitazioni nel paramento'!$G$58,ABS(O2142)*'Sollecitazioni nel paramento'!$G$54,'Sollecitazioni nel paramento'!$G$53)</f>
        <v>484000985.4878059</v>
      </c>
      <c r="J2142" s="472">
        <f t="shared" si="149"/>
        <v>-44110044.468285382</v>
      </c>
      <c r="K2142" s="550">
        <f>'Sollecitazioni nel paramento'!$G$60*(sezione!$AL$35-C2142)/C2142</f>
        <v>-2.5791639098641044E-3</v>
      </c>
      <c r="L2142" s="550">
        <f>'Sollecitazioni nel paramento'!$G$60*(sezione!$AM$35-C2142)/C2142</f>
        <v>-2.1187458647961566E-3</v>
      </c>
      <c r="M2142" s="551">
        <f>'Sollecitazioni nel paramento'!$G$60*(sezione!$AN$35-C2142)/C2142</f>
        <v>-1.6583278197282085E-3</v>
      </c>
      <c r="N2142" s="551">
        <f>'Sollecitazioni nel paramento'!$G$60*(sezione!$AO$35-C2142)/C2142</f>
        <v>1.8334436054358278E-4</v>
      </c>
      <c r="O2142" s="551">
        <f>'Sollecitazioni nel paramento'!$G$60*(sezione!$AP$35-C2142)/C2142</f>
        <v>1.2484392668034064E-2</v>
      </c>
      <c r="P2142" s="545">
        <f>-'Sollecitazioni nel paramento'!$G$47*'Sollecitazioni nel paramento'!$G$41*IF(DATI!$G$211="dx",DATI!$E$61,DATI!$E$64*DATI!$E$63)*1000*C2142*sezione!$AD$5</f>
        <v>-5792105.7364431452</v>
      </c>
      <c r="Q2142" s="545">
        <f>'Foglio deposito bis'!$F$78*IF(ABS(K2142)&lt;'Sollecitazioni nel paramento'!$G$58,ABS(K2142)*'Sollecitazioni nel paramento'!$G$54,'Sollecitazioni nel paramento'!$G$53)*IF(K2142&lt;0,-1,1)</f>
        <v>0</v>
      </c>
      <c r="R2142" s="545">
        <f>'Foglio deposito bis'!$F$79*IF(ABS(L2142)&lt;'Sollecitazioni nel paramento'!$G$58,ABS(L2142)*'Sollecitazioni nel paramento'!$G$54,'Sollecitazioni nel paramento'!$G$53)*IF(L2142&lt;0,-1,1)</f>
        <v>-153664.85805602249</v>
      </c>
      <c r="S2142" s="545">
        <f>'Foglio deposito bis'!$F$80*IF(ABS(M2142)&lt;'Sollecitazioni nel paramento'!$G$58,ABS(M2142)*'Sollecitazioni nel paramento'!$G$54,'Sollecitazioni nel paramento'!$G$53)*IF(M2142&lt;0,-1,1)</f>
        <v>0</v>
      </c>
      <c r="T2142" s="545">
        <f>'Foglio deposito bis'!$F$81*IF(ABS(N2142)&lt;'Sollecitazioni nel paramento'!$G$58,ABS(N2142)*'Sollecitazioni nel paramento'!$G$54,'Sollecitazioni nel paramento'!$G$53)*IF(N2142&lt;0,-1,1)</f>
        <v>38444.096558958969</v>
      </c>
      <c r="U2142" s="545">
        <f>'Foglio deposito bis'!$F$82*IF(ABS(O2142)&lt;'Sollecitazioni nel paramento'!$G$58,ABS(O2142)*'Sollecitazioni nel paramento'!$G$54,'Sollecitazioni nel paramento'!$G$53)*IF(O2142&lt;0,-1,1)</f>
        <v>892485.49558937876</v>
      </c>
      <c r="V2142" s="472">
        <f t="shared" si="151"/>
        <v>-5014841.0023508295</v>
      </c>
      <c r="W2142" s="551"/>
      <c r="X2142" s="551"/>
    </row>
    <row r="2143" spans="1:24" x14ac:dyDescent="0.25">
      <c r="A2143" s="545">
        <f t="shared" si="150"/>
        <v>5100520.3861408662</v>
      </c>
      <c r="B2143" s="3">
        <f t="shared" si="148"/>
        <v>15.499999999999966</v>
      </c>
      <c r="C2143" s="545">
        <f>'Foglio deposito bis'!$E$161/sezione!$B$247*B2143</f>
        <v>154.02313927394619</v>
      </c>
      <c r="D2143" s="603">
        <f>-'Sollecitazioni nel paramento'!$G$47*'Sollecitazioni nel paramento'!$G$41*IF(DATI!$G$211="dx",DATI!$E$61,DATI!$E$64*DATI!$E$63)*1000*C2143^2*sezione!$AD$5*(1-sezione!$AD$6)</f>
        <v>-527807511.6892938</v>
      </c>
      <c r="E2143" s="545">
        <f>-'Foglio deposito bis'!$F$78*(C2143-sezione!$AL$35)*IF(ABS(K2143)&lt;'Sollecitazioni nel paramento'!$G$58,ABS(K2143)*'Sollecitazioni nel paramento'!$G$54,'Sollecitazioni nel paramento'!$G$53)</f>
        <v>0</v>
      </c>
      <c r="F2143" s="545">
        <f>-'Foglio deposito bis'!$F$79*(C2143-sezione!$AM$35)*IF(ABS(L2143)&lt;'Sollecitazioni nel paramento'!$G$58,ABS(L2143)*'Sollecitazioni nel paramento'!$G$54,'Sollecitazioni nel paramento'!$G$53)</f>
        <v>-14448052.350512573</v>
      </c>
      <c r="G2143" s="545">
        <f>-'Foglio deposito bis'!$F$80*(C2143-sezione!$AN$35)*IF(ABS(M2143)&lt;'Sollecitazioni nel paramento'!$G$58,ABS(M2143)*'Sollecitazioni nel paramento'!$G$54,'Sollecitazioni nel paramento'!$G$53)</f>
        <v>0</v>
      </c>
      <c r="H2143" s="545">
        <f>-'Foglio deposito bis'!$F$81*(C2143-sezione!$AO$35)*IF(ABS(N2143)&lt;'Sollecitazioni nel paramento'!$G$58,ABS(N2143)*'Sollecitazioni nel paramento'!$G$54,'Sollecitazioni nel paramento'!$G$53)</f>
        <v>170212.10735226941</v>
      </c>
      <c r="I2143" s="472">
        <f>-'Foglio deposito bis'!$F$82*(C2143-sezione!$AP$35)*IF(ABS(O2143)&lt;'Sollecitazioni nel paramento'!$G$58,ABS(O2143)*'Sollecitazioni nel paramento'!$G$54,'Sollecitazioni nel paramento'!$G$53)</f>
        <v>482227263.96797174</v>
      </c>
      <c r="J2143" s="472">
        <f t="shared" si="149"/>
        <v>-59858087.964482367</v>
      </c>
      <c r="K2143" s="550">
        <f>'Sollecitazioni nel paramento'!$G$60*(sezione!$AL$35-C2143)/C2143</f>
        <v>-2.5910456658658578E-3</v>
      </c>
      <c r="L2143" s="550">
        <f>'Sollecitazioni nel paramento'!$G$60*(sezione!$AM$35-C2143)/C2143</f>
        <v>-2.1365684987987867E-3</v>
      </c>
      <c r="M2143" s="551">
        <f>'Sollecitazioni nel paramento'!$G$60*(sezione!$AN$35-C2143)/C2143</f>
        <v>-1.6820913317317156E-3</v>
      </c>
      <c r="N2143" s="551">
        <f>'Sollecitazioni nel paramento'!$G$60*(sezione!$AO$35-C2143)/C2143</f>
        <v>1.3581733653656879E-4</v>
      </c>
      <c r="O2143" s="551">
        <f>'Sollecitazioni nel paramento'!$G$60*(sezione!$AP$35-C2143)/C2143</f>
        <v>1.227814244005943E-2</v>
      </c>
      <c r="P2143" s="545">
        <f>-'Sollecitazioni nel paramento'!$G$47*'Sollecitazioni nel paramento'!$G$41*IF(DATI!$G$211="dx",DATI!$E$61,DATI!$E$64*DATI!$E$63)*1000*C2143*sezione!$AD$5</f>
        <v>-5867819.5369195268</v>
      </c>
      <c r="Q2143" s="545">
        <f>'Foglio deposito bis'!$F$78*IF(ABS(K2143)&lt;'Sollecitazioni nel paramento'!$G$58,ABS(K2143)*'Sollecitazioni nel paramento'!$G$54,'Sollecitazioni nel paramento'!$G$53)*IF(K2143&lt;0,-1,1)</f>
        <v>0</v>
      </c>
      <c r="R2143" s="545">
        <f>'Foglio deposito bis'!$F$79*IF(ABS(L2143)&lt;'Sollecitazioni nel paramento'!$G$58,ABS(L2143)*'Sollecitazioni nel paramento'!$G$54,'Sollecitazioni nel paramento'!$G$53)*IF(L2143&lt;0,-1,1)</f>
        <v>-153664.85805602249</v>
      </c>
      <c r="S2143" s="545">
        <f>'Foglio deposito bis'!$F$80*IF(ABS(M2143)&lt;'Sollecitazioni nel paramento'!$G$58,ABS(M2143)*'Sollecitazioni nel paramento'!$G$54,'Sollecitazioni nel paramento'!$G$53)*IF(M2143&lt;0,-1,1)</f>
        <v>0</v>
      </c>
      <c r="T2143" s="545">
        <f>'Foglio deposito bis'!$F$81*IF(ABS(N2143)&lt;'Sollecitazioni nel paramento'!$G$58,ABS(N2143)*'Sollecitazioni nel paramento'!$G$54,'Sollecitazioni nel paramento'!$G$53)*IF(N2143&lt;0,-1,1)</f>
        <v>28478.513245305432</v>
      </c>
      <c r="U2143" s="545">
        <f>'Foglio deposito bis'!$F$82*IF(ABS(O2143)&lt;'Sollecitazioni nel paramento'!$G$58,ABS(O2143)*'Sollecitazioni nel paramento'!$G$54,'Sollecitazioni nel paramento'!$G$53)*IF(O2143&lt;0,-1,1)</f>
        <v>892485.49558937876</v>
      </c>
      <c r="V2143" s="472">
        <f t="shared" si="151"/>
        <v>-5100520.3861408662</v>
      </c>
      <c r="W2143" s="551"/>
      <c r="X2143" s="551"/>
    </row>
    <row r="2144" spans="1:24" x14ac:dyDescent="0.25">
      <c r="A2144" s="545">
        <f t="shared" si="150"/>
        <v>5185945.8697190862</v>
      </c>
      <c r="B2144" s="3">
        <f t="shared" si="148"/>
        <v>15.699999999999966</v>
      </c>
      <c r="C2144" s="545">
        <f>'Foglio deposito bis'!$E$161/sezione!$B$247*B2144</f>
        <v>156.01053461941643</v>
      </c>
      <c r="D2144" s="603">
        <f>-'Sollecitazioni nel paramento'!$G$47*'Sollecitazioni nel paramento'!$G$41*IF(DATI!$G$211="dx",DATI!$E$61,DATI!$E$64*DATI!$E$63)*1000*C2144^2*sezione!$AD$5*(1-sezione!$AD$6)</f>
        <v>-541516227.08134854</v>
      </c>
      <c r="E2144" s="545">
        <f>-'Foglio deposito bis'!$F$78*(C2144-sezione!$AL$35)*IF(ABS(K2144)&lt;'Sollecitazioni nel paramento'!$G$58,ABS(K2144)*'Sollecitazioni nel paramento'!$G$54,'Sollecitazioni nel paramento'!$G$53)</f>
        <v>0</v>
      </c>
      <c r="F2144" s="545">
        <f>-'Foglio deposito bis'!$F$79*(C2144-sezione!$AM$35)*IF(ABS(L2144)&lt;'Sollecitazioni nel paramento'!$G$58,ABS(L2144)*'Sollecitazioni nel paramento'!$G$54,'Sollecitazioni nel paramento'!$G$53)</f>
        <v>-14753445.174175462</v>
      </c>
      <c r="G2144" s="545">
        <f>-'Foglio deposito bis'!$F$80*(C2144-sezione!$AN$35)*IF(ABS(M2144)&lt;'Sollecitazioni nel paramento'!$G$58,ABS(M2144)*'Sollecitazioni nel paramento'!$G$54,'Sollecitazioni nel paramento'!$G$53)</f>
        <v>0</v>
      </c>
      <c r="H2144" s="545">
        <f>-'Foglio deposito bis'!$F$81*(C2144-sezione!$AO$35)*IF(ABS(N2144)&lt;'Sollecitazioni nel paramento'!$G$58,ABS(N2144)*'Sollecitazioni nel paramento'!$G$54,'Sollecitazioni nel paramento'!$G$53)</f>
        <v>74869.619160645147</v>
      </c>
      <c r="I2144" s="472">
        <f>-'Foglio deposito bis'!$F$82*(C2144-sezione!$AP$35)*IF(ABS(O2144)&lt;'Sollecitazioni nel paramento'!$G$58,ABS(O2144)*'Sollecitazioni nel paramento'!$G$54,'Sollecitazioni nel paramento'!$G$53)</f>
        <v>480453542.4481377</v>
      </c>
      <c r="J2144" s="472">
        <f t="shared" si="149"/>
        <v>-75741260.188225687</v>
      </c>
      <c r="K2144" s="550">
        <f>'Sollecitazioni nel paramento'!$G$60*(sezione!$AL$35-C2144)/C2144</f>
        <v>-2.6026247019694773E-3</v>
      </c>
      <c r="L2144" s="550">
        <f>'Sollecitazioni nel paramento'!$G$60*(sezione!$AM$35-C2144)/C2144</f>
        <v>-2.153937052954216E-3</v>
      </c>
      <c r="M2144" s="551">
        <f>'Sollecitazioni nel paramento'!$G$60*(sezione!$AN$35-C2144)/C2144</f>
        <v>-1.7052494039389548E-3</v>
      </c>
      <c r="N2144" s="551">
        <f>'Sollecitazioni nel paramento'!$G$60*(sezione!$AO$35-C2144)/C2144</f>
        <v>8.9501192122090788E-5</v>
      </c>
      <c r="O2144" s="551">
        <f>'Sollecitazioni nel paramento'!$G$60*(sezione!$AP$35-C2144)/C2144</f>
        <v>1.2077146994963133E-2</v>
      </c>
      <c r="P2144" s="545">
        <f>-'Sollecitazioni nel paramento'!$G$47*'Sollecitazioni nel paramento'!$G$41*IF(DATI!$G$211="dx",DATI!$E$61,DATI!$E$64*DATI!$E$63)*1000*C2144*sezione!$AD$5</f>
        <v>-5943533.3373959064</v>
      </c>
      <c r="Q2144" s="545">
        <f>'Foglio deposito bis'!$F$78*IF(ABS(K2144)&lt;'Sollecitazioni nel paramento'!$G$58,ABS(K2144)*'Sollecitazioni nel paramento'!$G$54,'Sollecitazioni nel paramento'!$G$53)*IF(K2144&lt;0,-1,1)</f>
        <v>0</v>
      </c>
      <c r="R2144" s="545">
        <f>'Foglio deposito bis'!$F$79*IF(ABS(L2144)&lt;'Sollecitazioni nel paramento'!$G$58,ABS(L2144)*'Sollecitazioni nel paramento'!$G$54,'Sollecitazioni nel paramento'!$G$53)*IF(L2144&lt;0,-1,1)</f>
        <v>-153664.85805602249</v>
      </c>
      <c r="S2144" s="545">
        <f>'Foglio deposito bis'!$F$80*IF(ABS(M2144)&lt;'Sollecitazioni nel paramento'!$G$58,ABS(M2144)*'Sollecitazioni nel paramento'!$G$54,'Sollecitazioni nel paramento'!$G$53)*IF(M2144&lt;0,-1,1)</f>
        <v>0</v>
      </c>
      <c r="T2144" s="545">
        <f>'Foglio deposito bis'!$F$81*IF(ABS(N2144)&lt;'Sollecitazioni nel paramento'!$G$58,ABS(N2144)*'Sollecitazioni nel paramento'!$G$54,'Sollecitazioni nel paramento'!$G$53)*IF(N2144&lt;0,-1,1)</f>
        <v>18766.830143464846</v>
      </c>
      <c r="U2144" s="545">
        <f>'Foglio deposito bis'!$F$82*IF(ABS(O2144)&lt;'Sollecitazioni nel paramento'!$G$58,ABS(O2144)*'Sollecitazioni nel paramento'!$G$54,'Sollecitazioni nel paramento'!$G$53)*IF(O2144&lt;0,-1,1)</f>
        <v>892485.49558937876</v>
      </c>
      <c r="V2144" s="472">
        <f t="shared" si="151"/>
        <v>-5185945.8697190862</v>
      </c>
      <c r="W2144" s="551"/>
      <c r="X2144" s="551"/>
    </row>
    <row r="2145" spans="1:24" x14ac:dyDescent="0.25">
      <c r="A2145" s="545">
        <f t="shared" si="150"/>
        <v>5271127.0342255626</v>
      </c>
      <c r="B2145" s="3">
        <f t="shared" si="148"/>
        <v>15.899999999999965</v>
      </c>
      <c r="C2145" s="545">
        <f>'Foglio deposito bis'!$E$161/sezione!$B$247*B2145</f>
        <v>157.99792996488671</v>
      </c>
      <c r="D2145" s="603">
        <f>-'Sollecitazioni nel paramento'!$G$47*'Sollecitazioni nel paramento'!$G$41*IF(DATI!$G$211="dx",DATI!$E$61,DATI!$E$64*DATI!$E$63)*1000*C2145^2*sezione!$AD$5*(1-sezione!$AD$6)</f>
        <v>-555400695.23484015</v>
      </c>
      <c r="E2145" s="545">
        <f>-'Foglio deposito bis'!$F$78*(C2145-sezione!$AL$35)*IF(ABS(K2145)&lt;'Sollecitazioni nel paramento'!$G$58,ABS(K2145)*'Sollecitazioni nel paramento'!$G$54,'Sollecitazioni nel paramento'!$G$53)</f>
        <v>0</v>
      </c>
      <c r="F2145" s="545">
        <f>-'Foglio deposito bis'!$F$79*(C2145-sezione!$AM$35)*IF(ABS(L2145)&lt;'Sollecitazioni nel paramento'!$G$58,ABS(L2145)*'Sollecitazioni nel paramento'!$G$54,'Sollecitazioni nel paramento'!$G$53)</f>
        <v>-15058837.99783835</v>
      </c>
      <c r="G2145" s="545">
        <f>-'Foglio deposito bis'!$F$80*(C2145-sezione!$AN$35)*IF(ABS(M2145)&lt;'Sollecitazioni nel paramento'!$G$58,ABS(M2145)*'Sollecitazioni nel paramento'!$G$54,'Sollecitazioni nel paramento'!$G$53)</f>
        <v>0</v>
      </c>
      <c r="H2145" s="545">
        <f>-'Foglio deposito bis'!$F$81*(C2145-sezione!$AO$35)*IF(ABS(N2145)&lt;'Sollecitazioni nel paramento'!$G$58,ABS(N2145)*'Sollecitazioni nel paramento'!$G$54,'Sollecitazioni nel paramento'!$G$53)</f>
        <v>18618.182448126627</v>
      </c>
      <c r="I2145" s="472">
        <f>-'Foglio deposito bis'!$F$82*(C2145-sezione!$AP$35)*IF(ABS(O2145)&lt;'Sollecitazioni nel paramento'!$G$58,ABS(O2145)*'Sollecitazioni nel paramento'!$G$54,'Sollecitazioni nel paramento'!$G$53)</f>
        <v>478679820.92830366</v>
      </c>
      <c r="J2145" s="472">
        <f t="shared" si="149"/>
        <v>-91761094.121926725</v>
      </c>
      <c r="K2145" s="550">
        <f>'Sollecitazioni nel paramento'!$G$60*(sezione!$AL$35-C2145)/C2145</f>
        <v>-2.6139124415673455E-3</v>
      </c>
      <c r="L2145" s="550">
        <f>'Sollecitazioni nel paramento'!$G$60*(sezione!$AM$35-C2145)/C2145</f>
        <v>-2.1708686623510185E-3</v>
      </c>
      <c r="M2145" s="551">
        <f>'Sollecitazioni nel paramento'!$G$60*(sezione!$AN$35-C2145)/C2145</f>
        <v>-1.7278248831346912E-3</v>
      </c>
      <c r="N2145" s="551">
        <f>'Sollecitazioni nel paramento'!$G$60*(sezione!$AO$35-C2145)/C2145</f>
        <v>4.4350233730617882E-5</v>
      </c>
      <c r="O2145" s="551">
        <f>'Sollecitazioni nel paramento'!$G$60*(sezione!$AP$35-C2145)/C2145</f>
        <v>1.1881208039051648E-2</v>
      </c>
      <c r="P2145" s="545">
        <f>-'Sollecitazioni nel paramento'!$G$47*'Sollecitazioni nel paramento'!$G$41*IF(DATI!$G$211="dx",DATI!$E$61,DATI!$E$64*DATI!$E$63)*1000*C2145*sezione!$AD$5</f>
        <v>-6019247.1378722871</v>
      </c>
      <c r="Q2145" s="545">
        <f>'Foglio deposito bis'!$F$78*IF(ABS(K2145)&lt;'Sollecitazioni nel paramento'!$G$58,ABS(K2145)*'Sollecitazioni nel paramento'!$G$54,'Sollecitazioni nel paramento'!$G$53)*IF(K2145&lt;0,-1,1)</f>
        <v>0</v>
      </c>
      <c r="R2145" s="545">
        <f>'Foglio deposito bis'!$F$79*IF(ABS(L2145)&lt;'Sollecitazioni nel paramento'!$G$58,ABS(L2145)*'Sollecitazioni nel paramento'!$G$54,'Sollecitazioni nel paramento'!$G$53)*IF(L2145&lt;0,-1,1)</f>
        <v>-153664.85805602249</v>
      </c>
      <c r="S2145" s="545">
        <f>'Foglio deposito bis'!$F$80*IF(ABS(M2145)&lt;'Sollecitazioni nel paramento'!$G$58,ABS(M2145)*'Sollecitazioni nel paramento'!$G$54,'Sollecitazioni nel paramento'!$G$53)*IF(M2145&lt;0,-1,1)</f>
        <v>0</v>
      </c>
      <c r="T2145" s="545">
        <f>'Foglio deposito bis'!$F$81*IF(ABS(N2145)&lt;'Sollecitazioni nel paramento'!$G$58,ABS(N2145)*'Sollecitazioni nel paramento'!$G$54,'Sollecitazioni nel paramento'!$G$53)*IF(N2145&lt;0,-1,1)</f>
        <v>9299.466113368544</v>
      </c>
      <c r="U2145" s="545">
        <f>'Foglio deposito bis'!$F$82*IF(ABS(O2145)&lt;'Sollecitazioni nel paramento'!$G$58,ABS(O2145)*'Sollecitazioni nel paramento'!$G$54,'Sollecitazioni nel paramento'!$G$53)*IF(O2145&lt;0,-1,1)</f>
        <v>892485.49558937876</v>
      </c>
      <c r="V2145" s="472">
        <f t="shared" si="151"/>
        <v>-5271127.0342255626</v>
      </c>
      <c r="W2145" s="551"/>
      <c r="X2145" s="551"/>
    </row>
    <row r="2146" spans="1:24" x14ac:dyDescent="0.25">
      <c r="A2146" s="545">
        <f t="shared" si="150"/>
        <v>5356072.9847188722</v>
      </c>
      <c r="B2146" s="3">
        <f t="shared" si="148"/>
        <v>16.099999999999966</v>
      </c>
      <c r="C2146" s="545">
        <f>'Foglio deposito bis'!$E$161/sezione!$B$247*B2146</f>
        <v>159.98532531035701</v>
      </c>
      <c r="D2146" s="603">
        <f>-'Sollecitazioni nel paramento'!$G$47*'Sollecitazioni nel paramento'!$G$41*IF(DATI!$G$211="dx",DATI!$E$61,DATI!$E$64*DATI!$E$63)*1000*C2146^2*sezione!$AD$5*(1-sezione!$AD$6)</f>
        <v>-569460916.14976847</v>
      </c>
      <c r="E2146" s="545">
        <f>-'Foglio deposito bis'!$F$78*(C2146-sezione!$AL$35)*IF(ABS(K2146)&lt;'Sollecitazioni nel paramento'!$G$58,ABS(K2146)*'Sollecitazioni nel paramento'!$G$54,'Sollecitazioni nel paramento'!$G$53)</f>
        <v>0</v>
      </c>
      <c r="F2146" s="545">
        <f>-'Foglio deposito bis'!$F$79*(C2146-sezione!$AM$35)*IF(ABS(L2146)&lt;'Sollecitazioni nel paramento'!$G$58,ABS(L2146)*'Sollecitazioni nel paramento'!$G$54,'Sollecitazioni nel paramento'!$G$53)</f>
        <v>-15364230.821501244</v>
      </c>
      <c r="G2146" s="545">
        <f>-'Foglio deposito bis'!$F$80*(C2146-sezione!$AN$35)*IF(ABS(M2146)&lt;'Sollecitazioni nel paramento'!$G$58,ABS(M2146)*'Sollecitazioni nel paramento'!$G$54,'Sollecitazioni nel paramento'!$G$53)</f>
        <v>0</v>
      </c>
      <c r="H2146" s="545">
        <f>-'Foglio deposito bis'!$F$81*(C2146-sezione!$AO$35)*IF(ABS(N2146)&lt;'Sollecitazioni nel paramento'!$G$58,ABS(N2146)*'Sollecitazioni nel paramento'!$G$54,'Sollecitazioni nel paramento'!$G$53)</f>
        <v>0.98784282326683637</v>
      </c>
      <c r="I2146" s="472">
        <f>-'Foglio deposito bis'!$F$82*(C2146-sezione!$AP$35)*IF(ABS(O2146)&lt;'Sollecitazioni nel paramento'!$G$58,ABS(O2146)*'Sollecitazioni nel paramento'!$G$54,'Sollecitazioni nel paramento'!$G$53)</f>
        <v>476906099.40846962</v>
      </c>
      <c r="J2146" s="472">
        <f t="shared" si="149"/>
        <v>-107919046.57495731</v>
      </c>
      <c r="K2146" s="550">
        <f>'Sollecitazioni nel paramento'!$G$60*(sezione!$AL$35-C2146)/C2146</f>
        <v>-2.6249197404298631E-3</v>
      </c>
      <c r="L2146" s="550">
        <f>'Sollecitazioni nel paramento'!$G$60*(sezione!$AM$35-C2146)/C2146</f>
        <v>-2.1873796106447944E-3</v>
      </c>
      <c r="M2146" s="551">
        <f>'Sollecitazioni nel paramento'!$G$60*(sezione!$AN$35-C2146)/C2146</f>
        <v>-1.7498394808597266E-3</v>
      </c>
      <c r="N2146" s="551">
        <f>'Sollecitazioni nel paramento'!$G$60*(sezione!$AO$35-C2146)/C2146</f>
        <v>3.2103828054741662E-7</v>
      </c>
      <c r="O2146" s="551">
        <f>'Sollecitazioni nel paramento'!$G$60*(sezione!$AP$35-C2146)/C2146</f>
        <v>1.1690137131734234E-2</v>
      </c>
      <c r="P2146" s="545">
        <f>-'Sollecitazioni nel paramento'!$G$47*'Sollecitazioni nel paramento'!$G$41*IF(DATI!$G$211="dx",DATI!$E$61,DATI!$E$64*DATI!$E$63)*1000*C2146*sezione!$AD$5</f>
        <v>-6094960.9383486696</v>
      </c>
      <c r="Q2146" s="545">
        <f>'Foglio deposito bis'!$F$78*IF(ABS(K2146)&lt;'Sollecitazioni nel paramento'!$G$58,ABS(K2146)*'Sollecitazioni nel paramento'!$G$54,'Sollecitazioni nel paramento'!$G$53)*IF(K2146&lt;0,-1,1)</f>
        <v>0</v>
      </c>
      <c r="R2146" s="545">
        <f>'Foglio deposito bis'!$F$79*IF(ABS(L2146)&lt;'Sollecitazioni nel paramento'!$G$58,ABS(L2146)*'Sollecitazioni nel paramento'!$G$54,'Sollecitazioni nel paramento'!$G$53)*IF(L2146&lt;0,-1,1)</f>
        <v>-153664.85805602249</v>
      </c>
      <c r="S2146" s="545">
        <f>'Foglio deposito bis'!$F$80*IF(ABS(M2146)&lt;'Sollecitazioni nel paramento'!$G$58,ABS(M2146)*'Sollecitazioni nel paramento'!$G$54,'Sollecitazioni nel paramento'!$G$53)*IF(M2146&lt;0,-1,1)</f>
        <v>0</v>
      </c>
      <c r="T2146" s="545">
        <f>'Foglio deposito bis'!$F$81*IF(ABS(N2146)&lt;'Sollecitazioni nel paramento'!$G$58,ABS(N2146)*'Sollecitazioni nel paramento'!$G$54,'Sollecitazioni nel paramento'!$G$53)*IF(N2146&lt;0,-1,1)</f>
        <v>67.316096442209471</v>
      </c>
      <c r="U2146" s="545">
        <f>'Foglio deposito bis'!$F$82*IF(ABS(O2146)&lt;'Sollecitazioni nel paramento'!$G$58,ABS(O2146)*'Sollecitazioni nel paramento'!$G$54,'Sollecitazioni nel paramento'!$G$53)*IF(O2146&lt;0,-1,1)</f>
        <v>892485.49558937876</v>
      </c>
      <c r="V2146" s="472">
        <f t="shared" si="151"/>
        <v>-5356072.9847188722</v>
      </c>
      <c r="W2146" s="551"/>
      <c r="X2146" s="551"/>
    </row>
    <row r="2147" spans="1:24" x14ac:dyDescent="0.25">
      <c r="A2147" s="545">
        <f t="shared" si="150"/>
        <v>5440792.3793835416</v>
      </c>
      <c r="B2147" s="3">
        <f t="shared" si="148"/>
        <v>16.299999999999965</v>
      </c>
      <c r="C2147" s="545">
        <f>'Foglio deposito bis'!$E$161/sezione!$B$247*B2147</f>
        <v>161.97272065582726</v>
      </c>
      <c r="D2147" s="603">
        <f>-'Sollecitazioni nel paramento'!$G$47*'Sollecitazioni nel paramento'!$G$41*IF(DATI!$G$211="dx",DATI!$E$61,DATI!$E$64*DATI!$E$63)*1000*C2147^2*sezione!$AD$5*(1-sezione!$AD$6)</f>
        <v>-583696889.82613289</v>
      </c>
      <c r="E2147" s="545">
        <f>-'Foglio deposito bis'!$F$78*(C2147-sezione!$AL$35)*IF(ABS(K2147)&lt;'Sollecitazioni nel paramento'!$G$58,ABS(K2147)*'Sollecitazioni nel paramento'!$G$54,'Sollecitazioni nel paramento'!$G$53)</f>
        <v>0</v>
      </c>
      <c r="F2147" s="545">
        <f>-'Foglio deposito bis'!$F$79*(C2147-sezione!$AM$35)*IF(ABS(L2147)&lt;'Sollecitazioni nel paramento'!$G$58,ABS(L2147)*'Sollecitazioni nel paramento'!$G$54,'Sollecitazioni nel paramento'!$G$53)</f>
        <v>-15669623.64516413</v>
      </c>
      <c r="G2147" s="545">
        <f>-'Foglio deposito bis'!$F$80*(C2147-sezione!$AN$35)*IF(ABS(M2147)&lt;'Sollecitazioni nel paramento'!$G$58,ABS(M2147)*'Sollecitazioni nel paramento'!$G$54,'Sollecitazioni nel paramento'!$G$53)</f>
        <v>0</v>
      </c>
      <c r="H2147" s="545">
        <f>-'Foglio deposito bis'!$F$81*(C2147-sezione!$AO$35)*IF(ABS(N2147)&lt;'Sollecitazioni nel paramento'!$G$58,ABS(N2147)*'Sollecitazioni nel paramento'!$G$54,'Sollecitazioni nel paramento'!$G$53)</f>
        <v>-17632.725819316103</v>
      </c>
      <c r="I2147" s="472">
        <f>-'Foglio deposito bis'!$F$82*(C2147-sezione!$AP$35)*IF(ABS(O2147)&lt;'Sollecitazioni nel paramento'!$G$58,ABS(O2147)*'Sollecitazioni nel paramento'!$G$54,'Sollecitazioni nel paramento'!$G$53)</f>
        <v>475132377.88863558</v>
      </c>
      <c r="J2147" s="472">
        <f t="shared" si="149"/>
        <v>-124251768.3084808</v>
      </c>
      <c r="K2147" s="550">
        <f>'Sollecitazioni nel paramento'!$G$60*(sezione!$AL$35-C2147)/C2147</f>
        <v>-2.6356569215288833E-3</v>
      </c>
      <c r="L2147" s="550">
        <f>'Sollecitazioni nel paramento'!$G$60*(sezione!$AM$35-C2147)/C2147</f>
        <v>-2.2034853822933249E-3</v>
      </c>
      <c r="M2147" s="551">
        <f>'Sollecitazioni nel paramento'!$G$60*(sezione!$AN$35-C2147)/C2147</f>
        <v>-1.7713138430577662E-3</v>
      </c>
      <c r="N2147" s="551">
        <f>'Sollecitazioni nel paramento'!$G$60*(sezione!$AO$35-C2147)/C2147</f>
        <v>-4.262768611553236E-5</v>
      </c>
      <c r="O2147" s="551">
        <f>'Sollecitazioni nel paramento'!$G$60*(sezione!$AP$35-C2147)/C2147</f>
        <v>1.1503755081038109E-2</v>
      </c>
      <c r="P2147" s="545">
        <f>-'Sollecitazioni nel paramento'!$G$47*'Sollecitazioni nel paramento'!$G$41*IF(DATI!$G$211="dx",DATI!$E$61,DATI!$E$64*DATI!$E$63)*1000*C2147*sezione!$AD$5</f>
        <v>-6170674.7388250502</v>
      </c>
      <c r="Q2147" s="545">
        <f>'Foglio deposito bis'!$F$78*IF(ABS(K2147)&lt;'Sollecitazioni nel paramento'!$G$58,ABS(K2147)*'Sollecitazioni nel paramento'!$G$54,'Sollecitazioni nel paramento'!$G$53)*IF(K2147&lt;0,-1,1)</f>
        <v>0</v>
      </c>
      <c r="R2147" s="545">
        <f>'Foglio deposito bis'!$F$79*IF(ABS(L2147)&lt;'Sollecitazioni nel paramento'!$G$58,ABS(L2147)*'Sollecitazioni nel paramento'!$G$54,'Sollecitazioni nel paramento'!$G$53)*IF(L2147&lt;0,-1,1)</f>
        <v>-153664.85805602249</v>
      </c>
      <c r="S2147" s="545">
        <f>'Foglio deposito bis'!$F$80*IF(ABS(M2147)&lt;'Sollecitazioni nel paramento'!$G$58,ABS(M2147)*'Sollecitazioni nel paramento'!$G$54,'Sollecitazioni nel paramento'!$G$53)*IF(M2147&lt;0,-1,1)</f>
        <v>0</v>
      </c>
      <c r="T2147" s="545">
        <f>'Foglio deposito bis'!$F$81*IF(ABS(N2147)&lt;'Sollecitazioni nel paramento'!$G$58,ABS(N2147)*'Sollecitazioni nel paramento'!$G$54,'Sollecitazioni nel paramento'!$G$53)*IF(N2147&lt;0,-1,1)</f>
        <v>-8938.2780918476401</v>
      </c>
      <c r="U2147" s="545">
        <f>'Foglio deposito bis'!$F$82*IF(ABS(O2147)&lt;'Sollecitazioni nel paramento'!$G$58,ABS(O2147)*'Sollecitazioni nel paramento'!$G$54,'Sollecitazioni nel paramento'!$G$53)*IF(O2147&lt;0,-1,1)</f>
        <v>892485.49558937876</v>
      </c>
      <c r="V2147" s="472">
        <f t="shared" si="151"/>
        <v>-5440792.3793835416</v>
      </c>
      <c r="W2147" s="551"/>
      <c r="X2147" s="551"/>
    </row>
    <row r="2148" spans="1:24" x14ac:dyDescent="0.25">
      <c r="A2148" s="545">
        <f t="shared" si="150"/>
        <v>5525293.4566133451</v>
      </c>
      <c r="B2148" s="3">
        <f t="shared" si="148"/>
        <v>16.499999999999964</v>
      </c>
      <c r="C2148" s="545">
        <f>'Foglio deposito bis'!$E$161/sezione!$B$247*B2148</f>
        <v>163.96011600129754</v>
      </c>
      <c r="D2148" s="603">
        <f>-'Sollecitazioni nel paramento'!$G$47*'Sollecitazioni nel paramento'!$G$41*IF(DATI!$G$211="dx",DATI!$E$61,DATI!$E$64*DATI!$E$63)*1000*C2148^2*sezione!$AD$5*(1-sezione!$AD$6)</f>
        <v>-598108616.26393437</v>
      </c>
      <c r="E2148" s="545">
        <f>-'Foglio deposito bis'!$F$78*(C2148-sezione!$AL$35)*IF(ABS(K2148)&lt;'Sollecitazioni nel paramento'!$G$58,ABS(K2148)*'Sollecitazioni nel paramento'!$G$54,'Sollecitazioni nel paramento'!$G$53)</f>
        <v>0</v>
      </c>
      <c r="F2148" s="545">
        <f>-'Foglio deposito bis'!$F$79*(C2148-sezione!$AM$35)*IF(ABS(L2148)&lt;'Sollecitazioni nel paramento'!$G$58,ABS(L2148)*'Sollecitazioni nel paramento'!$G$54,'Sollecitazioni nel paramento'!$G$53)</f>
        <v>-15975016.468827017</v>
      </c>
      <c r="G2148" s="545">
        <f>-'Foglio deposito bis'!$F$80*(C2148-sezione!$AN$35)*IF(ABS(M2148)&lt;'Sollecitazioni nel paramento'!$G$58,ABS(M2148)*'Sollecitazioni nel paramento'!$G$54,'Sollecitazioni nel paramento'!$G$53)</f>
        <v>0</v>
      </c>
      <c r="H2148" s="545">
        <f>-'Foglio deposito bis'!$F$81*(C2148-sezione!$AO$35)*IF(ABS(N2148)&lt;'Sollecitazioni nel paramento'!$G$58,ABS(N2148)*'Sollecitazioni nel paramento'!$G$54,'Sollecitazioni nel paramento'!$G$53)</f>
        <v>-70195.253374630716</v>
      </c>
      <c r="I2148" s="472">
        <f>-'Foglio deposito bis'!$F$82*(C2148-sezione!$AP$35)*IF(ABS(O2148)&lt;'Sollecitazioni nel paramento'!$G$58,ABS(O2148)*'Sollecitazioni nel paramento'!$G$54,'Sollecitazioni nel paramento'!$G$53)</f>
        <v>473358656.36880147</v>
      </c>
      <c r="J2148" s="472">
        <f t="shared" si="149"/>
        <v>-140795171.61733449</v>
      </c>
      <c r="K2148" s="550">
        <f>'Sollecitazioni nel paramento'!$G$60*(sezione!$AL$35-C2148)/C2148</f>
        <v>-2.6461338073285332E-3</v>
      </c>
      <c r="L2148" s="550">
        <f>'Sollecitazioni nel paramento'!$G$60*(sezione!$AM$35-C2148)/C2148</f>
        <v>-2.2192007109927995E-3</v>
      </c>
      <c r="M2148" s="551">
        <f>'Sollecitazioni nel paramento'!$G$60*(sezione!$AN$35-C2148)/C2148</f>
        <v>-1.7922676146570661E-3</v>
      </c>
      <c r="N2148" s="551">
        <f>'Sollecitazioni nel paramento'!$G$60*(sezione!$AO$35-C2148)/C2148</f>
        <v>-8.4535229314132031E-5</v>
      </c>
      <c r="O2148" s="551">
        <f>'Sollecitazioni nel paramento'!$G$60*(sezione!$AP$35-C2148)/C2148</f>
        <v>1.1321891383086135E-2</v>
      </c>
      <c r="P2148" s="545">
        <f>-'Sollecitazioni nel paramento'!$G$47*'Sollecitazioni nel paramento'!$G$41*IF(DATI!$G$211="dx",DATI!$E$61,DATI!$E$64*DATI!$E$63)*1000*C2148*sezione!$AD$5</f>
        <v>-6246388.5393014308</v>
      </c>
      <c r="Q2148" s="545">
        <f>'Foglio deposito bis'!$F$78*IF(ABS(K2148)&lt;'Sollecitazioni nel paramento'!$G$58,ABS(K2148)*'Sollecitazioni nel paramento'!$G$54,'Sollecitazioni nel paramento'!$G$53)*IF(K2148&lt;0,-1,1)</f>
        <v>0</v>
      </c>
      <c r="R2148" s="545">
        <f>'Foglio deposito bis'!$F$79*IF(ABS(L2148)&lt;'Sollecitazioni nel paramento'!$G$58,ABS(L2148)*'Sollecitazioni nel paramento'!$G$54,'Sollecitazioni nel paramento'!$G$53)*IF(L2148&lt;0,-1,1)</f>
        <v>-153664.85805602249</v>
      </c>
      <c r="S2148" s="545">
        <f>'Foglio deposito bis'!$F$80*IF(ABS(M2148)&lt;'Sollecitazioni nel paramento'!$G$58,ABS(M2148)*'Sollecitazioni nel paramento'!$G$54,'Sollecitazioni nel paramento'!$G$53)*IF(M2148&lt;0,-1,1)</f>
        <v>0</v>
      </c>
      <c r="T2148" s="545">
        <f>'Foglio deposito bis'!$F$81*IF(ABS(N2148)&lt;'Sollecitazioni nel paramento'!$G$58,ABS(N2148)*'Sollecitazioni nel paramento'!$G$54,'Sollecitazioni nel paramento'!$G$53)*IF(N2148&lt;0,-1,1)</f>
        <v>-17725.554845269984</v>
      </c>
      <c r="U2148" s="545">
        <f>'Foglio deposito bis'!$F$82*IF(ABS(O2148)&lt;'Sollecitazioni nel paramento'!$G$58,ABS(O2148)*'Sollecitazioni nel paramento'!$G$54,'Sollecitazioni nel paramento'!$G$53)*IF(O2148&lt;0,-1,1)</f>
        <v>892485.49558937876</v>
      </c>
      <c r="V2148" s="472">
        <f t="shared" si="151"/>
        <v>-5525293.4566133451</v>
      </c>
      <c r="W2148" s="551"/>
      <c r="X2148" s="551"/>
    </row>
    <row r="2149" spans="1:24" x14ac:dyDescent="0.25">
      <c r="A2149" s="545">
        <f t="shared" si="150"/>
        <v>5609584.0601484552</v>
      </c>
      <c r="B2149" s="3">
        <f t="shared" si="148"/>
        <v>16.699999999999964</v>
      </c>
      <c r="C2149" s="545">
        <f>'Foglio deposito bis'!$E$161/sezione!$B$247*B2149</f>
        <v>165.94751134676781</v>
      </c>
      <c r="D2149" s="603">
        <f>-'Sollecitazioni nel paramento'!$G$47*'Sollecitazioni nel paramento'!$G$41*IF(DATI!$G$211="dx",DATI!$E$61,DATI!$E$64*DATI!$E$63)*1000*C2149^2*sezione!$AD$5*(1-sezione!$AD$6)</f>
        <v>-612696095.46317232</v>
      </c>
      <c r="E2149" s="545">
        <f>-'Foglio deposito bis'!$F$78*(C2149-sezione!$AL$35)*IF(ABS(K2149)&lt;'Sollecitazioni nel paramento'!$G$58,ABS(K2149)*'Sollecitazioni nel paramento'!$G$54,'Sollecitazioni nel paramento'!$G$53)</f>
        <v>0</v>
      </c>
      <c r="F2149" s="545">
        <f>-'Foglio deposito bis'!$F$79*(C2149-sezione!$AM$35)*IF(ABS(L2149)&lt;'Sollecitazioni nel paramento'!$G$58,ABS(L2149)*'Sollecitazioni nel paramento'!$G$54,'Sollecitazioni nel paramento'!$G$53)</f>
        <v>-16280409.292489907</v>
      </c>
      <c r="G2149" s="545">
        <f>-'Foglio deposito bis'!$F$80*(C2149-sezione!$AN$35)*IF(ABS(M2149)&lt;'Sollecitazioni nel paramento'!$G$58,ABS(M2149)*'Sollecitazioni nel paramento'!$G$54,'Sollecitazioni nel paramento'!$G$53)</f>
        <v>0</v>
      </c>
      <c r="H2149" s="545">
        <f>-'Foglio deposito bis'!$F$81*(C2149-sezione!$AO$35)*IF(ABS(N2149)&lt;'Sollecitazioni nel paramento'!$G$58,ABS(N2149)*'Sollecitazioni nel paramento'!$G$54,'Sollecitazioni nel paramento'!$G$53)</f>
        <v>-156433.5720807855</v>
      </c>
      <c r="I2149" s="472">
        <f>-'Foglio deposito bis'!$F$82*(C2149-sezione!$AP$35)*IF(ABS(O2149)&lt;'Sollecitazioni nel paramento'!$G$58,ABS(O2149)*'Sollecitazioni nel paramento'!$G$54,'Sollecitazioni nel paramento'!$G$53)</f>
        <v>471584934.84896743</v>
      </c>
      <c r="J2149" s="472">
        <f t="shared" si="149"/>
        <v>-157548003.4787755</v>
      </c>
      <c r="K2149" s="550">
        <f>'Sollecitazioni nel paramento'!$G$60*(sezione!$AL$35-C2149)/C2149</f>
        <v>-2.6563597497557363E-3</v>
      </c>
      <c r="L2149" s="550">
        <f>'Sollecitazioni nel paramento'!$G$60*(sezione!$AM$35-C2149)/C2149</f>
        <v>-2.2345396246336046E-3</v>
      </c>
      <c r="M2149" s="551">
        <f>'Sollecitazioni nel paramento'!$G$60*(sezione!$AN$35-C2149)/C2149</f>
        <v>-1.8127194995114725E-3</v>
      </c>
      <c r="N2149" s="551">
        <f>'Sollecitazioni nel paramento'!$G$60*(sezione!$AO$35-C2149)/C2149</f>
        <v>-1.2543899902294487E-4</v>
      </c>
      <c r="O2149" s="551">
        <f>'Sollecitazioni nel paramento'!$G$60*(sezione!$AP$35-C2149)/C2149</f>
        <v>1.1144383701851569E-2</v>
      </c>
      <c r="P2149" s="545">
        <f>-'Sollecitazioni nel paramento'!$G$47*'Sollecitazioni nel paramento'!$G$41*IF(DATI!$G$211="dx",DATI!$E$61,DATI!$E$64*DATI!$E$63)*1000*C2149*sezione!$AD$5</f>
        <v>-6322102.3397778124</v>
      </c>
      <c r="Q2149" s="545">
        <f>'Foglio deposito bis'!$F$78*IF(ABS(K2149)&lt;'Sollecitazioni nel paramento'!$G$58,ABS(K2149)*'Sollecitazioni nel paramento'!$G$54,'Sollecitazioni nel paramento'!$G$53)*IF(K2149&lt;0,-1,1)</f>
        <v>0</v>
      </c>
      <c r="R2149" s="545">
        <f>'Foglio deposito bis'!$F$79*IF(ABS(L2149)&lt;'Sollecitazioni nel paramento'!$G$58,ABS(L2149)*'Sollecitazioni nel paramento'!$G$54,'Sollecitazioni nel paramento'!$G$53)*IF(L2149&lt;0,-1,1)</f>
        <v>-153664.85805602249</v>
      </c>
      <c r="S2149" s="545">
        <f>'Foglio deposito bis'!$F$80*IF(ABS(M2149)&lt;'Sollecitazioni nel paramento'!$G$58,ABS(M2149)*'Sollecitazioni nel paramento'!$G$54,'Sollecitazioni nel paramento'!$G$53)*IF(M2149&lt;0,-1,1)</f>
        <v>0</v>
      </c>
      <c r="T2149" s="545">
        <f>'Foglio deposito bis'!$F$81*IF(ABS(N2149)&lt;'Sollecitazioni nel paramento'!$G$58,ABS(N2149)*'Sollecitazioni nel paramento'!$G$54,'Sollecitazioni nel paramento'!$G$53)*IF(N2149&lt;0,-1,1)</f>
        <v>-26302.357903999575</v>
      </c>
      <c r="U2149" s="545">
        <f>'Foglio deposito bis'!$F$82*IF(ABS(O2149)&lt;'Sollecitazioni nel paramento'!$G$58,ABS(O2149)*'Sollecitazioni nel paramento'!$G$54,'Sollecitazioni nel paramento'!$G$53)*IF(O2149&lt;0,-1,1)</f>
        <v>892485.49558937876</v>
      </c>
      <c r="V2149" s="472">
        <f t="shared" si="151"/>
        <v>-5609584.0601484552</v>
      </c>
      <c r="W2149" s="551"/>
      <c r="X2149" s="551"/>
    </row>
    <row r="2150" spans="1:24" x14ac:dyDescent="0.25">
      <c r="A2150" s="545">
        <f t="shared" si="150"/>
        <v>5693671.6624277383</v>
      </c>
      <c r="B2150" s="3">
        <f t="shared" si="148"/>
        <v>16.899999999999963</v>
      </c>
      <c r="C2150" s="545">
        <f>'Foglio deposito bis'!$E$161/sezione!$B$247*B2150</f>
        <v>167.93490669223809</v>
      </c>
      <c r="D2150" s="603">
        <f>-'Sollecitazioni nel paramento'!$G$47*'Sollecitazioni nel paramento'!$G$41*IF(DATI!$G$211="dx",DATI!$E$61,DATI!$E$64*DATI!$E$63)*1000*C2150^2*sezione!$AD$5*(1-sezione!$AD$6)</f>
        <v>-627459327.42384684</v>
      </c>
      <c r="E2150" s="545">
        <f>-'Foglio deposito bis'!$F$78*(C2150-sezione!$AL$35)*IF(ABS(K2150)&lt;'Sollecitazioni nel paramento'!$G$58,ABS(K2150)*'Sollecitazioni nel paramento'!$G$54,'Sollecitazioni nel paramento'!$G$53)</f>
        <v>0</v>
      </c>
      <c r="F2150" s="545">
        <f>-'Foglio deposito bis'!$F$79*(C2150-sezione!$AM$35)*IF(ABS(L2150)&lt;'Sollecitazioni nel paramento'!$G$58,ABS(L2150)*'Sollecitazioni nel paramento'!$G$54,'Sollecitazioni nel paramento'!$G$53)</f>
        <v>-16585802.116152797</v>
      </c>
      <c r="G2150" s="545">
        <f>-'Foglio deposito bis'!$F$80*(C2150-sezione!$AN$35)*IF(ABS(M2150)&lt;'Sollecitazioni nel paramento'!$G$58,ABS(M2150)*'Sollecitazioni nel paramento'!$G$54,'Sollecitazioni nel paramento'!$G$53)</f>
        <v>0</v>
      </c>
      <c r="H2150" s="545">
        <f>-'Foglio deposito bis'!$F$81*(C2150-sezione!$AO$35)*IF(ABS(N2150)&lt;'Sollecitazioni nel paramento'!$G$58,ABS(N2150)*'Sollecitazioni nel paramento'!$G$54,'Sollecitazioni nel paramento'!$G$53)</f>
        <v>-275152.09171940736</v>
      </c>
      <c r="I2150" s="472">
        <f>-'Foglio deposito bis'!$F$82*(C2150-sezione!$AP$35)*IF(ABS(O2150)&lt;'Sollecitazioni nel paramento'!$G$58,ABS(O2150)*'Sollecitazioni nel paramento'!$G$54,'Sollecitazioni nel paramento'!$G$53)</f>
        <v>469811213.32913333</v>
      </c>
      <c r="J2150" s="472">
        <f t="shared" si="149"/>
        <v>-174509068.30258566</v>
      </c>
      <c r="K2150" s="550">
        <f>'Sollecitazioni nel paramento'!$G$60*(sezione!$AL$35-C2150)/C2150</f>
        <v>-2.6663436580426506E-3</v>
      </c>
      <c r="L2150" s="550">
        <f>'Sollecitazioni nel paramento'!$G$60*(sezione!$AM$35-C2150)/C2150</f>
        <v>-2.2495154870639761E-3</v>
      </c>
      <c r="M2150" s="551">
        <f>'Sollecitazioni nel paramento'!$G$60*(sezione!$AN$35-C2150)/C2150</f>
        <v>-1.8326873160853011E-3</v>
      </c>
      <c r="N2150" s="551">
        <f>'Sollecitazioni nel paramento'!$G$60*(sezione!$AO$35-C2150)/C2150</f>
        <v>-1.6537463217060236E-4</v>
      </c>
      <c r="O2150" s="551">
        <f>'Sollecitazioni nel paramento'!$G$60*(sezione!$AP$35-C2150)/C2150</f>
        <v>1.0971077385853324E-2</v>
      </c>
      <c r="P2150" s="545">
        <f>-'Sollecitazioni nel paramento'!$G$47*'Sollecitazioni nel paramento'!$G$41*IF(DATI!$G$211="dx",DATI!$E$61,DATI!$E$64*DATI!$E$63)*1000*C2150*sezione!$AD$5</f>
        <v>-6397816.140254193</v>
      </c>
      <c r="Q2150" s="545">
        <f>'Foglio deposito bis'!$F$78*IF(ABS(K2150)&lt;'Sollecitazioni nel paramento'!$G$58,ABS(K2150)*'Sollecitazioni nel paramento'!$G$54,'Sollecitazioni nel paramento'!$G$53)*IF(K2150&lt;0,-1,1)</f>
        <v>0</v>
      </c>
      <c r="R2150" s="545">
        <f>'Foglio deposito bis'!$F$79*IF(ABS(L2150)&lt;'Sollecitazioni nel paramento'!$G$58,ABS(L2150)*'Sollecitazioni nel paramento'!$G$54,'Sollecitazioni nel paramento'!$G$53)*IF(L2150&lt;0,-1,1)</f>
        <v>-153664.85805602249</v>
      </c>
      <c r="S2150" s="545">
        <f>'Foglio deposito bis'!$F$80*IF(ABS(M2150)&lt;'Sollecitazioni nel paramento'!$G$58,ABS(M2150)*'Sollecitazioni nel paramento'!$G$54,'Sollecitazioni nel paramento'!$G$53)*IF(M2150&lt;0,-1,1)</f>
        <v>0</v>
      </c>
      <c r="T2150" s="545">
        <f>'Foglio deposito bis'!$F$81*IF(ABS(N2150)&lt;'Sollecitazioni nel paramento'!$G$58,ABS(N2150)*'Sollecitazioni nel paramento'!$G$54,'Sollecitazioni nel paramento'!$G$53)*IF(N2150&lt;0,-1,1)</f>
        <v>-34676.159706901242</v>
      </c>
      <c r="U2150" s="545">
        <f>'Foglio deposito bis'!$F$82*IF(ABS(O2150)&lt;'Sollecitazioni nel paramento'!$G$58,ABS(O2150)*'Sollecitazioni nel paramento'!$G$54,'Sollecitazioni nel paramento'!$G$53)*IF(O2150&lt;0,-1,1)</f>
        <v>892485.49558937876</v>
      </c>
      <c r="V2150" s="472">
        <f t="shared" si="151"/>
        <v>-5693671.6624277383</v>
      </c>
      <c r="W2150" s="551"/>
      <c r="X2150" s="551"/>
    </row>
    <row r="2151" spans="1:24" x14ac:dyDescent="0.25">
      <c r="A2151" s="545">
        <f t="shared" si="150"/>
        <v>5777563.3863022756</v>
      </c>
      <c r="B2151" s="3">
        <f t="shared" si="148"/>
        <v>17.099999999999962</v>
      </c>
      <c r="C2151" s="545">
        <f>'Foglio deposito bis'!$E$161/sezione!$B$247*B2151</f>
        <v>169.92230203770836</v>
      </c>
      <c r="D2151" s="603">
        <f>-'Sollecitazioni nel paramento'!$G$47*'Sollecitazioni nel paramento'!$G$41*IF(DATI!$G$211="dx",DATI!$E$61,DATI!$E$64*DATI!$E$63)*1000*C2151^2*sezione!$AD$5*(1-sezione!$AD$6)</f>
        <v>-642398312.14595795</v>
      </c>
      <c r="E2151" s="545">
        <f>-'Foglio deposito bis'!$F$78*(C2151-sezione!$AL$35)*IF(ABS(K2151)&lt;'Sollecitazioni nel paramento'!$G$58,ABS(K2151)*'Sollecitazioni nel paramento'!$G$54,'Sollecitazioni nel paramento'!$G$53)</f>
        <v>0</v>
      </c>
      <c r="F2151" s="545">
        <f>-'Foglio deposito bis'!$F$79*(C2151-sezione!$AM$35)*IF(ABS(L2151)&lt;'Sollecitazioni nel paramento'!$G$58,ABS(L2151)*'Sollecitazioni nel paramento'!$G$54,'Sollecitazioni nel paramento'!$G$53)</f>
        <v>-16891194.939815685</v>
      </c>
      <c r="G2151" s="545">
        <f>-'Foglio deposito bis'!$F$80*(C2151-sezione!$AN$35)*IF(ABS(M2151)&lt;'Sollecitazioni nel paramento'!$G$58,ABS(M2151)*'Sollecitazioni nel paramento'!$G$54,'Sollecitazioni nel paramento'!$G$53)</f>
        <v>0</v>
      </c>
      <c r="H2151" s="545">
        <f>-'Foglio deposito bis'!$F$81*(C2151-sezione!$AO$35)*IF(ABS(N2151)&lt;'Sollecitazioni nel paramento'!$G$58,ABS(N2151)*'Sollecitazioni nel paramento'!$G$54,'Sollecitazioni nel paramento'!$G$53)</f>
        <v>-425211.1561174274</v>
      </c>
      <c r="I2151" s="472">
        <f>-'Foglio deposito bis'!$F$82*(C2151-sezione!$AP$35)*IF(ABS(O2151)&lt;'Sollecitazioni nel paramento'!$G$58,ABS(O2151)*'Sollecitazioni nel paramento'!$G$54,'Sollecitazioni nel paramento'!$G$53)</f>
        <v>468037491.80929929</v>
      </c>
      <c r="J2151" s="472">
        <f t="shared" si="149"/>
        <v>-191677226.43259174</v>
      </c>
      <c r="K2151" s="550">
        <f>'Sollecitazioni nel paramento'!$G$60*(sezione!$AL$35-C2151)/C2151</f>
        <v>-2.6760940246152512E-3</v>
      </c>
      <c r="L2151" s="550">
        <f>'Sollecitazioni nel paramento'!$G$60*(sezione!$AM$35-C2151)/C2151</f>
        <v>-2.264141036922877E-3</v>
      </c>
      <c r="M2151" s="551">
        <f>'Sollecitazioni nel paramento'!$G$60*(sezione!$AN$35-C2151)/C2151</f>
        <v>-1.8521880492305023E-3</v>
      </c>
      <c r="N2151" s="551">
        <f>'Sollecitazioni nel paramento'!$G$60*(sezione!$AO$35-C2151)/C2151</f>
        <v>-2.0437609846100471E-4</v>
      </c>
      <c r="O2151" s="551">
        <f>'Sollecitazioni nel paramento'!$G$60*(sezione!$AP$35-C2151)/C2151</f>
        <v>1.0801825018767319E-2</v>
      </c>
      <c r="P2151" s="545">
        <f>-'Sollecitazioni nel paramento'!$G$47*'Sollecitazioni nel paramento'!$G$41*IF(DATI!$G$211="dx",DATI!$E$61,DATI!$E$64*DATI!$E$63)*1000*C2151*sezione!$AD$5</f>
        <v>-6473529.9407305745</v>
      </c>
      <c r="Q2151" s="545">
        <f>'Foglio deposito bis'!$F$78*IF(ABS(K2151)&lt;'Sollecitazioni nel paramento'!$G$58,ABS(K2151)*'Sollecitazioni nel paramento'!$G$54,'Sollecitazioni nel paramento'!$G$53)*IF(K2151&lt;0,-1,1)</f>
        <v>0</v>
      </c>
      <c r="R2151" s="545">
        <f>'Foglio deposito bis'!$F$79*IF(ABS(L2151)&lt;'Sollecitazioni nel paramento'!$G$58,ABS(L2151)*'Sollecitazioni nel paramento'!$G$54,'Sollecitazioni nel paramento'!$G$53)*IF(L2151&lt;0,-1,1)</f>
        <v>-153664.85805602249</v>
      </c>
      <c r="S2151" s="545">
        <f>'Foglio deposito bis'!$F$80*IF(ABS(M2151)&lt;'Sollecitazioni nel paramento'!$G$58,ABS(M2151)*'Sollecitazioni nel paramento'!$G$54,'Sollecitazioni nel paramento'!$G$53)*IF(M2151&lt;0,-1,1)</f>
        <v>0</v>
      </c>
      <c r="T2151" s="545">
        <f>'Foglio deposito bis'!$F$81*IF(ABS(N2151)&lt;'Sollecitazioni nel paramento'!$G$58,ABS(N2151)*'Sollecitazioni nel paramento'!$G$54,'Sollecitazioni nel paramento'!$G$53)*IF(N2151&lt;0,-1,1)</f>
        <v>-42854.083105056678</v>
      </c>
      <c r="U2151" s="545">
        <f>'Foglio deposito bis'!$F$82*IF(ABS(O2151)&lt;'Sollecitazioni nel paramento'!$G$58,ABS(O2151)*'Sollecitazioni nel paramento'!$G$54,'Sollecitazioni nel paramento'!$G$53)*IF(O2151&lt;0,-1,1)</f>
        <v>892485.49558937876</v>
      </c>
      <c r="V2151" s="472">
        <f t="shared" si="151"/>
        <v>-5777563.3863022756</v>
      </c>
      <c r="W2151" s="551"/>
      <c r="X2151" s="551"/>
    </row>
    <row r="2152" spans="1:24" x14ac:dyDescent="0.25">
      <c r="A2152" s="545">
        <f t="shared" si="150"/>
        <v>5861266.0252427496</v>
      </c>
      <c r="B2152" s="3">
        <f t="shared" si="148"/>
        <v>17.299999999999962</v>
      </c>
      <c r="C2152" s="545">
        <f>'Foglio deposito bis'!$E$161/sezione!$B$247*B2152</f>
        <v>171.90969738317861</v>
      </c>
      <c r="D2152" s="603">
        <f>-'Sollecitazioni nel paramento'!$G$47*'Sollecitazioni nel paramento'!$G$41*IF(DATI!$G$211="dx",DATI!$E$61,DATI!$E$64*DATI!$E$63)*1000*C2152^2*sezione!$AD$5*(1-sezione!$AD$6)</f>
        <v>-657513049.62950552</v>
      </c>
      <c r="E2152" s="545">
        <f>-'Foglio deposito bis'!$F$78*(C2152-sezione!$AL$35)*IF(ABS(K2152)&lt;'Sollecitazioni nel paramento'!$G$58,ABS(K2152)*'Sollecitazioni nel paramento'!$G$54,'Sollecitazioni nel paramento'!$G$53)</f>
        <v>0</v>
      </c>
      <c r="F2152" s="545">
        <f>-'Foglio deposito bis'!$F$79*(C2152-sezione!$AM$35)*IF(ABS(L2152)&lt;'Sollecitazioni nel paramento'!$G$58,ABS(L2152)*'Sollecitazioni nel paramento'!$G$54,'Sollecitazioni nel paramento'!$G$53)</f>
        <v>-17196587.763478573</v>
      </c>
      <c r="G2152" s="545">
        <f>-'Foglio deposito bis'!$F$80*(C2152-sezione!$AN$35)*IF(ABS(M2152)&lt;'Sollecitazioni nel paramento'!$G$58,ABS(M2152)*'Sollecitazioni nel paramento'!$G$54,'Sollecitazioni nel paramento'!$G$53)</f>
        <v>0</v>
      </c>
      <c r="H2152" s="545">
        <f>-'Foglio deposito bis'!$F$81*(C2152-sezione!$AO$35)*IF(ABS(N2152)&lt;'Sollecitazioni nel paramento'!$G$58,ABS(N2152)*'Sollecitazioni nel paramento'!$G$54,'Sollecitazioni nel paramento'!$G$53)</f>
        <v>-605523.80996526824</v>
      </c>
      <c r="I2152" s="472">
        <f>-'Foglio deposito bis'!$F$82*(C2152-sezione!$AP$35)*IF(ABS(O2152)&lt;'Sollecitazioni nel paramento'!$G$58,ABS(O2152)*'Sollecitazioni nel paramento'!$G$54,'Sollecitazioni nel paramento'!$G$53)</f>
        <v>466263770.28946531</v>
      </c>
      <c r="J2152" s="472">
        <f t="shared" si="149"/>
        <v>-209051390.91348398</v>
      </c>
      <c r="K2152" s="550">
        <f>'Sollecitazioni nel paramento'!$G$60*(sezione!$AL$35-C2152)/C2152</f>
        <v>-2.6856189491861731E-3</v>
      </c>
      <c r="L2152" s="550">
        <f>'Sollecitazioni nel paramento'!$G$60*(sezione!$AM$35-C2152)/C2152</f>
        <v>-2.2784284237792594E-3</v>
      </c>
      <c r="M2152" s="551">
        <f>'Sollecitazioni nel paramento'!$G$60*(sezione!$AN$35-C2152)/C2152</f>
        <v>-1.8712378983723459E-3</v>
      </c>
      <c r="N2152" s="551">
        <f>'Sollecitazioni nel paramento'!$G$60*(sezione!$AO$35-C2152)/C2152</f>
        <v>-2.4247579674469206E-4</v>
      </c>
      <c r="O2152" s="551">
        <f>'Sollecitazioni nel paramento'!$G$60*(sezione!$AP$35-C2152)/C2152</f>
        <v>1.063648600120932E-2</v>
      </c>
      <c r="P2152" s="545">
        <f>-'Sollecitazioni nel paramento'!$G$47*'Sollecitazioni nel paramento'!$G$41*IF(DATI!$G$211="dx",DATI!$E$61,DATI!$E$64*DATI!$E$63)*1000*C2152*sezione!$AD$5</f>
        <v>-6549243.7412069542</v>
      </c>
      <c r="Q2152" s="545">
        <f>'Foglio deposito bis'!$F$78*IF(ABS(K2152)&lt;'Sollecitazioni nel paramento'!$G$58,ABS(K2152)*'Sollecitazioni nel paramento'!$G$54,'Sollecitazioni nel paramento'!$G$53)*IF(K2152&lt;0,-1,1)</f>
        <v>0</v>
      </c>
      <c r="R2152" s="545">
        <f>'Foglio deposito bis'!$F$79*IF(ABS(L2152)&lt;'Sollecitazioni nel paramento'!$G$58,ABS(L2152)*'Sollecitazioni nel paramento'!$G$54,'Sollecitazioni nel paramento'!$G$53)*IF(L2152&lt;0,-1,1)</f>
        <v>-153664.85805602249</v>
      </c>
      <c r="S2152" s="545">
        <f>'Foglio deposito bis'!$F$80*IF(ABS(M2152)&lt;'Sollecitazioni nel paramento'!$G$58,ABS(M2152)*'Sollecitazioni nel paramento'!$G$54,'Sollecitazioni nel paramento'!$G$53)*IF(M2152&lt;0,-1,1)</f>
        <v>0</v>
      </c>
      <c r="T2152" s="545">
        <f>'Foglio deposito bis'!$F$81*IF(ABS(N2152)&lt;'Sollecitazioni nel paramento'!$G$58,ABS(N2152)*'Sollecitazioni nel paramento'!$G$54,'Sollecitazioni nel paramento'!$G$53)*IF(N2152&lt;0,-1,1)</f>
        <v>-50842.921569150603</v>
      </c>
      <c r="U2152" s="545">
        <f>'Foglio deposito bis'!$F$82*IF(ABS(O2152)&lt;'Sollecitazioni nel paramento'!$G$58,ABS(O2152)*'Sollecitazioni nel paramento'!$G$54,'Sollecitazioni nel paramento'!$G$53)*IF(O2152&lt;0,-1,1)</f>
        <v>892485.49558937876</v>
      </c>
      <c r="V2152" s="472">
        <f t="shared" si="151"/>
        <v>-5861266.0252427496</v>
      </c>
      <c r="W2152" s="551"/>
      <c r="X2152" s="551"/>
    </row>
    <row r="2153" spans="1:24" x14ac:dyDescent="0.25">
      <c r="A2153" s="545">
        <f t="shared" si="150"/>
        <v>5944786.0621611867</v>
      </c>
      <c r="B2153" s="3">
        <f t="shared" si="148"/>
        <v>17.499999999999961</v>
      </c>
      <c r="C2153" s="545">
        <f>'Foglio deposito bis'!$E$161/sezione!$B$247*B2153</f>
        <v>173.89709272864889</v>
      </c>
      <c r="D2153" s="603">
        <f>-'Sollecitazioni nel paramento'!$G$47*'Sollecitazioni nel paramento'!$G$41*IF(DATI!$G$211="dx",DATI!$E$61,DATI!$E$64*DATI!$E$63)*1000*C2153^2*sezione!$AD$5*(1-sezione!$AD$6)</f>
        <v>-672803539.8744899</v>
      </c>
      <c r="E2153" s="545">
        <f>-'Foglio deposito bis'!$F$78*(C2153-sezione!$AL$35)*IF(ABS(K2153)&lt;'Sollecitazioni nel paramento'!$G$58,ABS(K2153)*'Sollecitazioni nel paramento'!$G$54,'Sollecitazioni nel paramento'!$G$53)</f>
        <v>0</v>
      </c>
      <c r="F2153" s="545">
        <f>-'Foglio deposito bis'!$F$79*(C2153-sezione!$AM$35)*IF(ABS(L2153)&lt;'Sollecitazioni nel paramento'!$G$58,ABS(L2153)*'Sollecitazioni nel paramento'!$G$54,'Sollecitazioni nel paramento'!$G$53)</f>
        <v>-17501980.587141465</v>
      </c>
      <c r="G2153" s="545">
        <f>-'Foglio deposito bis'!$F$80*(C2153-sezione!$AN$35)*IF(ABS(M2153)&lt;'Sollecitazioni nel paramento'!$G$58,ABS(M2153)*'Sollecitazioni nel paramento'!$G$54,'Sollecitazioni nel paramento'!$G$53)</f>
        <v>0</v>
      </c>
      <c r="H2153" s="545">
        <f>-'Foglio deposito bis'!$F$81*(C2153-sezione!$AO$35)*IF(ABS(N2153)&lt;'Sollecitazioni nel paramento'!$G$58,ABS(N2153)*'Sollecitazioni nel paramento'!$G$54,'Sollecitazioni nel paramento'!$G$53)</f>
        <v>-815052.78733894124</v>
      </c>
      <c r="I2153" s="472">
        <f>-'Foglio deposito bis'!$F$82*(C2153-sezione!$AP$35)*IF(ABS(O2153)&lt;'Sollecitazioni nel paramento'!$G$58,ABS(O2153)*'Sollecitazioni nel paramento'!$G$54,'Sollecitazioni nel paramento'!$G$53)</f>
        <v>464490048.76963115</v>
      </c>
      <c r="J2153" s="472">
        <f t="shared" si="149"/>
        <v>-226630524.47933924</v>
      </c>
      <c r="K2153" s="550">
        <f>'Sollecitazioni nel paramento'!$G$60*(sezione!$AL$35-C2153)/C2153</f>
        <v>-2.6949261611954739E-3</v>
      </c>
      <c r="L2153" s="550">
        <f>'Sollecitazioni nel paramento'!$G$60*(sezione!$AM$35-C2153)/C2153</f>
        <v>-2.2923892417932106E-3</v>
      </c>
      <c r="M2153" s="551">
        <f>'Sollecitazioni nel paramento'!$G$60*(sezione!$AN$35-C2153)/C2153</f>
        <v>-1.8898523223909479E-3</v>
      </c>
      <c r="N2153" s="551">
        <f>'Sollecitazioni nel paramento'!$G$60*(sezione!$AO$35-C2153)/C2153</f>
        <v>-2.7970464478189566E-4</v>
      </c>
      <c r="O2153" s="551">
        <f>'Sollecitazioni nel paramento'!$G$60*(sezione!$AP$35-C2153)/C2153</f>
        <v>1.0474926161195499E-2</v>
      </c>
      <c r="P2153" s="545">
        <f>-'Sollecitazioni nel paramento'!$G$47*'Sollecitazioni nel paramento'!$G$41*IF(DATI!$G$211="dx",DATI!$E$61,DATI!$E$64*DATI!$E$63)*1000*C2153*sezione!$AD$5</f>
        <v>-6624957.5416833349</v>
      </c>
      <c r="Q2153" s="545">
        <f>'Foglio deposito bis'!$F$78*IF(ABS(K2153)&lt;'Sollecitazioni nel paramento'!$G$58,ABS(K2153)*'Sollecitazioni nel paramento'!$G$54,'Sollecitazioni nel paramento'!$G$53)*IF(K2153&lt;0,-1,1)</f>
        <v>0</v>
      </c>
      <c r="R2153" s="545">
        <f>'Foglio deposito bis'!$F$79*IF(ABS(L2153)&lt;'Sollecitazioni nel paramento'!$G$58,ABS(L2153)*'Sollecitazioni nel paramento'!$G$54,'Sollecitazioni nel paramento'!$G$53)*IF(L2153&lt;0,-1,1)</f>
        <v>-153664.85805602249</v>
      </c>
      <c r="S2153" s="545">
        <f>'Foglio deposito bis'!$F$80*IF(ABS(M2153)&lt;'Sollecitazioni nel paramento'!$G$58,ABS(M2153)*'Sollecitazioni nel paramento'!$G$54,'Sollecitazioni nel paramento'!$G$53)*IF(M2153&lt;0,-1,1)</f>
        <v>0</v>
      </c>
      <c r="T2153" s="545">
        <f>'Foglio deposito bis'!$F$81*IF(ABS(N2153)&lt;'Sollecitazioni nel paramento'!$G$58,ABS(N2153)*'Sollecitazioni nel paramento'!$G$54,'Sollecitazioni nel paramento'!$G$53)*IF(N2153&lt;0,-1,1)</f>
        <v>-58649.158011208216</v>
      </c>
      <c r="U2153" s="545">
        <f>'Foglio deposito bis'!$F$82*IF(ABS(O2153)&lt;'Sollecitazioni nel paramento'!$G$58,ABS(O2153)*'Sollecitazioni nel paramento'!$G$54,'Sollecitazioni nel paramento'!$G$53)*IF(O2153&lt;0,-1,1)</f>
        <v>892485.49558937876</v>
      </c>
      <c r="V2153" s="472">
        <f t="shared" si="151"/>
        <v>-5944786.0621611867</v>
      </c>
      <c r="W2153" s="551"/>
      <c r="X2153" s="551"/>
    </row>
    <row r="2154" spans="1:24" x14ac:dyDescent="0.25">
      <c r="A2154" s="545">
        <f t="shared" si="150"/>
        <v>6028129.6869566422</v>
      </c>
      <c r="B2154" s="3">
        <f t="shared" si="148"/>
        <v>17.69999999999996</v>
      </c>
      <c r="C2154" s="545">
        <f>'Foglio deposito bis'!$E$161/sezione!$B$247*B2154</f>
        <v>175.88448807411916</v>
      </c>
      <c r="D2154" s="603">
        <f>-'Sollecitazioni nel paramento'!$G$47*'Sollecitazioni nel paramento'!$G$41*IF(DATI!$G$211="dx",DATI!$E$61,DATI!$E$64*DATI!$E$63)*1000*C2154^2*sezione!$AD$5*(1-sezione!$AD$6)</f>
        <v>-688269782.88091075</v>
      </c>
      <c r="E2154" s="545">
        <f>-'Foglio deposito bis'!$F$78*(C2154-sezione!$AL$35)*IF(ABS(K2154)&lt;'Sollecitazioni nel paramento'!$G$58,ABS(K2154)*'Sollecitazioni nel paramento'!$G$54,'Sollecitazioni nel paramento'!$G$53)</f>
        <v>0</v>
      </c>
      <c r="F2154" s="545">
        <f>-'Foglio deposito bis'!$F$79*(C2154-sezione!$AM$35)*IF(ABS(L2154)&lt;'Sollecitazioni nel paramento'!$G$58,ABS(L2154)*'Sollecitazioni nel paramento'!$G$54,'Sollecitazioni nel paramento'!$G$53)</f>
        <v>-17807373.410804354</v>
      </c>
      <c r="G2154" s="545">
        <f>-'Foglio deposito bis'!$F$80*(C2154-sezione!$AN$35)*IF(ABS(M2154)&lt;'Sollecitazioni nel paramento'!$G$58,ABS(M2154)*'Sollecitazioni nel paramento'!$G$54,'Sollecitazioni nel paramento'!$G$53)</f>
        <v>0</v>
      </c>
      <c r="H2154" s="545">
        <f>-'Foglio deposito bis'!$F$81*(C2154-sezione!$AO$35)*IF(ABS(N2154)&lt;'Sollecitazioni nel paramento'!$G$58,ABS(N2154)*'Sollecitazioni nel paramento'!$G$54,'Sollecitazioni nel paramento'!$G$53)</f>
        <v>-1052807.7043901102</v>
      </c>
      <c r="I2154" s="472">
        <f>-'Foglio deposito bis'!$F$82*(C2154-sezione!$AP$35)*IF(ABS(O2154)&lt;'Sollecitazioni nel paramento'!$G$58,ABS(O2154)*'Sollecitazioni nel paramento'!$G$54,'Sollecitazioni nel paramento'!$G$53)</f>
        <v>462716327.24979711</v>
      </c>
      <c r="J2154" s="472">
        <f t="shared" si="149"/>
        <v>-244413636.74630821</v>
      </c>
      <c r="K2154" s="550">
        <f>'Sollecitazioni nel paramento'!$G$60*(sezione!$AL$35-C2154)/C2154</f>
        <v>-2.7040230407299882E-3</v>
      </c>
      <c r="L2154" s="550">
        <f>'Sollecitazioni nel paramento'!$G$60*(sezione!$AM$35-C2154)/C2154</f>
        <v>-2.3060345610949828E-3</v>
      </c>
      <c r="M2154" s="551">
        <f>'Sollecitazioni nel paramento'!$G$60*(sezione!$AN$35-C2154)/C2154</f>
        <v>-1.9080460814599768E-3</v>
      </c>
      <c r="N2154" s="551">
        <f>'Sollecitazioni nel paramento'!$G$60*(sezione!$AO$35-C2154)/C2154</f>
        <v>-3.1609216291995332E-4</v>
      </c>
      <c r="O2154" s="551">
        <f>'Sollecitazioni nel paramento'!$G$60*(sezione!$AP$35-C2154)/C2154</f>
        <v>1.0317017391012498E-2</v>
      </c>
      <c r="P2154" s="545">
        <f>-'Sollecitazioni nel paramento'!$G$47*'Sollecitazioni nel paramento'!$G$41*IF(DATI!$G$211="dx",DATI!$E$61,DATI!$E$64*DATI!$E$63)*1000*C2154*sezione!$AD$5</f>
        <v>-6700671.3421597164</v>
      </c>
      <c r="Q2154" s="545">
        <f>'Foglio deposito bis'!$F$78*IF(ABS(K2154)&lt;'Sollecitazioni nel paramento'!$G$58,ABS(K2154)*'Sollecitazioni nel paramento'!$G$54,'Sollecitazioni nel paramento'!$G$53)*IF(K2154&lt;0,-1,1)</f>
        <v>0</v>
      </c>
      <c r="R2154" s="545">
        <f>'Foglio deposito bis'!$F$79*IF(ABS(L2154)&lt;'Sollecitazioni nel paramento'!$G$58,ABS(L2154)*'Sollecitazioni nel paramento'!$G$54,'Sollecitazioni nel paramento'!$G$53)*IF(L2154&lt;0,-1,1)</f>
        <v>-153664.85805602249</v>
      </c>
      <c r="S2154" s="545">
        <f>'Foglio deposito bis'!$F$80*IF(ABS(M2154)&lt;'Sollecitazioni nel paramento'!$G$58,ABS(M2154)*'Sollecitazioni nel paramento'!$G$54,'Sollecitazioni nel paramento'!$G$53)*IF(M2154&lt;0,-1,1)</f>
        <v>0</v>
      </c>
      <c r="T2154" s="545">
        <f>'Foglio deposito bis'!$F$81*IF(ABS(N2154)&lt;'Sollecitazioni nel paramento'!$G$58,ABS(N2154)*'Sollecitazioni nel paramento'!$G$54,'Sollecitazioni nel paramento'!$G$53)*IF(N2154&lt;0,-1,1)</f>
        <v>-66278.982330281448</v>
      </c>
      <c r="U2154" s="545">
        <f>'Foglio deposito bis'!$F$82*IF(ABS(O2154)&lt;'Sollecitazioni nel paramento'!$G$58,ABS(O2154)*'Sollecitazioni nel paramento'!$G$54,'Sollecitazioni nel paramento'!$G$53)*IF(O2154&lt;0,-1,1)</f>
        <v>892485.49558937876</v>
      </c>
      <c r="V2154" s="472">
        <f t="shared" si="151"/>
        <v>-6028129.6869566422</v>
      </c>
      <c r="W2154" s="551"/>
      <c r="X2154" s="551"/>
    </row>
    <row r="2155" spans="1:24" x14ac:dyDescent="0.25">
      <c r="A2155" s="545">
        <f t="shared" si="150"/>
        <v>6111302.8128846306</v>
      </c>
      <c r="B2155" s="3">
        <f t="shared" si="148"/>
        <v>17.899999999999959</v>
      </c>
      <c r="C2155" s="545">
        <f>'Foglio deposito bis'!$E$161/sezione!$B$247*B2155</f>
        <v>177.87188341958944</v>
      </c>
      <c r="D2155" s="603">
        <f>-'Sollecitazioni nel paramento'!$G$47*'Sollecitazioni nel paramento'!$G$41*IF(DATI!$G$211="dx",DATI!$E$61,DATI!$E$64*DATI!$E$63)*1000*C2155^2*sezione!$AD$5*(1-sezione!$AD$6)</f>
        <v>-703911778.64876842</v>
      </c>
      <c r="E2155" s="545">
        <f>-'Foglio deposito bis'!$F$78*(C2155-sezione!$AL$35)*IF(ABS(K2155)&lt;'Sollecitazioni nel paramento'!$G$58,ABS(K2155)*'Sollecitazioni nel paramento'!$G$54,'Sollecitazioni nel paramento'!$G$53)</f>
        <v>0</v>
      </c>
      <c r="F2155" s="545">
        <f>-'Foglio deposito bis'!$F$79*(C2155-sezione!$AM$35)*IF(ABS(L2155)&lt;'Sollecitazioni nel paramento'!$G$58,ABS(L2155)*'Sollecitazioni nel paramento'!$G$54,'Sollecitazioni nel paramento'!$G$53)</f>
        <v>-18112766.234467242</v>
      </c>
      <c r="G2155" s="545">
        <f>-'Foglio deposito bis'!$F$80*(C2155-sezione!$AN$35)*IF(ABS(M2155)&lt;'Sollecitazioni nel paramento'!$G$58,ABS(M2155)*'Sollecitazioni nel paramento'!$G$54,'Sollecitazioni nel paramento'!$G$53)</f>
        <v>0</v>
      </c>
      <c r="H2155" s="545">
        <f>-'Foglio deposito bis'!$F$81*(C2155-sezione!$AO$35)*IF(ABS(N2155)&lt;'Sollecitazioni nel paramento'!$G$58,ABS(N2155)*'Sollecitazioni nel paramento'!$G$54,'Sollecitazioni nel paramento'!$G$53)</f>
        <v>-1317842.4402357319</v>
      </c>
      <c r="I2155" s="472">
        <f>-'Foglio deposito bis'!$F$82*(C2155-sezione!$AP$35)*IF(ABS(O2155)&lt;'Sollecitazioni nel paramento'!$G$58,ABS(O2155)*'Sollecitazioni nel paramento'!$G$54,'Sollecitazioni nel paramento'!$G$53)</f>
        <v>460942605.72996306</v>
      </c>
      <c r="J2155" s="472">
        <f t="shared" si="149"/>
        <v>-262399781.59350836</v>
      </c>
      <c r="K2155" s="550">
        <f>'Sollecitazioni nel paramento'!$G$60*(sezione!$AL$35-C2155)/C2155</f>
        <v>-2.7129166380402679E-3</v>
      </c>
      <c r="L2155" s="550">
        <f>'Sollecitazioni nel paramento'!$G$60*(sezione!$AM$35-C2155)/C2155</f>
        <v>-2.3193749570604018E-3</v>
      </c>
      <c r="M2155" s="551">
        <f>'Sollecitazioni nel paramento'!$G$60*(sezione!$AN$35-C2155)/C2155</f>
        <v>-1.9258332760805357E-3</v>
      </c>
      <c r="N2155" s="551">
        <f>'Sollecitazioni nel paramento'!$G$60*(sezione!$AO$35-C2155)/C2155</f>
        <v>-3.516665521610713E-4</v>
      </c>
      <c r="O2155" s="551">
        <f>'Sollecitazioni nel paramento'!$G$60*(sezione!$AP$35-C2155)/C2155</f>
        <v>1.0162637308431354E-2</v>
      </c>
      <c r="P2155" s="545">
        <f>-'Sollecitazioni nel paramento'!$G$47*'Sollecitazioni nel paramento'!$G$41*IF(DATI!$G$211="dx",DATI!$E$61,DATI!$E$64*DATI!$E$63)*1000*C2155*sezione!$AD$5</f>
        <v>-6776385.142636098</v>
      </c>
      <c r="Q2155" s="545">
        <f>'Foglio deposito bis'!$F$78*IF(ABS(K2155)&lt;'Sollecitazioni nel paramento'!$G$58,ABS(K2155)*'Sollecitazioni nel paramento'!$G$54,'Sollecitazioni nel paramento'!$G$53)*IF(K2155&lt;0,-1,1)</f>
        <v>0</v>
      </c>
      <c r="R2155" s="545">
        <f>'Foglio deposito bis'!$F$79*IF(ABS(L2155)&lt;'Sollecitazioni nel paramento'!$G$58,ABS(L2155)*'Sollecitazioni nel paramento'!$G$54,'Sollecitazioni nel paramento'!$G$53)*IF(L2155&lt;0,-1,1)</f>
        <v>-153664.85805602249</v>
      </c>
      <c r="S2155" s="545">
        <f>'Foglio deposito bis'!$F$80*IF(ABS(M2155)&lt;'Sollecitazioni nel paramento'!$G$58,ABS(M2155)*'Sollecitazioni nel paramento'!$G$54,'Sollecitazioni nel paramento'!$G$53)*IF(M2155&lt;0,-1,1)</f>
        <v>0</v>
      </c>
      <c r="T2155" s="545">
        <f>'Foglio deposito bis'!$F$81*IF(ABS(N2155)&lt;'Sollecitazioni nel paramento'!$G$58,ABS(N2155)*'Sollecitazioni nel paramento'!$G$54,'Sollecitazioni nel paramento'!$G$53)*IF(N2155&lt;0,-1,1)</f>
        <v>-73738.307781889394</v>
      </c>
      <c r="U2155" s="545">
        <f>'Foglio deposito bis'!$F$82*IF(ABS(O2155)&lt;'Sollecitazioni nel paramento'!$G$58,ABS(O2155)*'Sollecitazioni nel paramento'!$G$54,'Sollecitazioni nel paramento'!$G$53)*IF(O2155&lt;0,-1,1)</f>
        <v>892485.49558937876</v>
      </c>
      <c r="V2155" s="472">
        <f t="shared" si="151"/>
        <v>-6111302.8128846306</v>
      </c>
      <c r="W2155" s="551"/>
      <c r="X2155" s="551"/>
    </row>
    <row r="2156" spans="1:24" x14ac:dyDescent="0.25">
      <c r="A2156" s="545">
        <f t="shared" si="150"/>
        <v>6194311.091841314</v>
      </c>
      <c r="B2156" s="3">
        <f t="shared" si="148"/>
        <v>18.099999999999959</v>
      </c>
      <c r="C2156" s="545">
        <f>'Foglio deposito bis'!$E$161/sezione!$B$247*B2156</f>
        <v>179.85927876505971</v>
      </c>
      <c r="D2156" s="603">
        <f>-'Sollecitazioni nel paramento'!$G$47*'Sollecitazioni nel paramento'!$G$41*IF(DATI!$G$211="dx",DATI!$E$61,DATI!$E$64*DATI!$E$63)*1000*C2156^2*sezione!$AD$5*(1-sezione!$AD$6)</f>
        <v>-719729527.17806244</v>
      </c>
      <c r="E2156" s="545">
        <f>-'Foglio deposito bis'!$F$78*(C2156-sezione!$AL$35)*IF(ABS(K2156)&lt;'Sollecitazioni nel paramento'!$G$58,ABS(K2156)*'Sollecitazioni nel paramento'!$G$54,'Sollecitazioni nel paramento'!$G$53)</f>
        <v>0</v>
      </c>
      <c r="F2156" s="545">
        <f>-'Foglio deposito bis'!$F$79*(C2156-sezione!$AM$35)*IF(ABS(L2156)&lt;'Sollecitazioni nel paramento'!$G$58,ABS(L2156)*'Sollecitazioni nel paramento'!$G$54,'Sollecitazioni nel paramento'!$G$53)</f>
        <v>-18418159.058130134</v>
      </c>
      <c r="G2156" s="545">
        <f>-'Foglio deposito bis'!$F$80*(C2156-sezione!$AN$35)*IF(ABS(M2156)&lt;'Sollecitazioni nel paramento'!$G$58,ABS(M2156)*'Sollecitazioni nel paramento'!$G$54,'Sollecitazioni nel paramento'!$G$53)</f>
        <v>0</v>
      </c>
      <c r="H2156" s="545">
        <f>-'Foglio deposito bis'!$F$81*(C2156-sezione!$AO$35)*IF(ABS(N2156)&lt;'Sollecitazioni nel paramento'!$G$58,ABS(N2156)*'Sollecitazioni nel paramento'!$G$54,'Sollecitazioni nel paramento'!$G$53)</f>
        <v>-1609252.6914903536</v>
      </c>
      <c r="I2156" s="472">
        <f>-'Foglio deposito bis'!$F$82*(C2156-sezione!$AP$35)*IF(ABS(O2156)&lt;'Sollecitazioni nel paramento'!$G$58,ABS(O2156)*'Sollecitazioni nel paramento'!$G$54,'Sollecitazioni nel paramento'!$G$53)</f>
        <v>459168884.21012902</v>
      </c>
      <c r="J2156" s="472">
        <f t="shared" si="149"/>
        <v>-280588054.71755397</v>
      </c>
      <c r="K2156" s="550">
        <f>'Sollecitazioni nel paramento'!$G$60*(sezione!$AL$35-C2156)/C2156</f>
        <v>-2.7216136917635799E-3</v>
      </c>
      <c r="L2156" s="550">
        <f>'Sollecitazioni nel paramento'!$G$60*(sezione!$AM$35-C2156)/C2156</f>
        <v>-2.3324205376453696E-3</v>
      </c>
      <c r="M2156" s="551">
        <f>'Sollecitazioni nel paramento'!$G$60*(sezione!$AN$35-C2156)/C2156</f>
        <v>-1.9432273835271597E-3</v>
      </c>
      <c r="N2156" s="551">
        <f>'Sollecitazioni nel paramento'!$G$60*(sezione!$AO$35-C2156)/C2156</f>
        <v>-3.8645476705431915E-4</v>
      </c>
      <c r="O2156" s="551">
        <f>'Sollecitazioni nel paramento'!$G$60*(sezione!$AP$35-C2156)/C2156</f>
        <v>1.0011668940382386E-2</v>
      </c>
      <c r="P2156" s="545">
        <f>-'Sollecitazioni nel paramento'!$G$47*'Sollecitazioni nel paramento'!$G$41*IF(DATI!$G$211="dx",DATI!$E$61,DATI!$E$64*DATI!$E$63)*1000*C2156*sezione!$AD$5</f>
        <v>-6852098.9431124786</v>
      </c>
      <c r="Q2156" s="545">
        <f>'Foglio deposito bis'!$F$78*IF(ABS(K2156)&lt;'Sollecitazioni nel paramento'!$G$58,ABS(K2156)*'Sollecitazioni nel paramento'!$G$54,'Sollecitazioni nel paramento'!$G$53)*IF(K2156&lt;0,-1,1)</f>
        <v>0</v>
      </c>
      <c r="R2156" s="545">
        <f>'Foglio deposito bis'!$F$79*IF(ABS(L2156)&lt;'Sollecitazioni nel paramento'!$G$58,ABS(L2156)*'Sollecitazioni nel paramento'!$G$54,'Sollecitazioni nel paramento'!$G$53)*IF(L2156&lt;0,-1,1)</f>
        <v>-153664.85805602249</v>
      </c>
      <c r="S2156" s="545">
        <f>'Foglio deposito bis'!$F$80*IF(ABS(M2156)&lt;'Sollecitazioni nel paramento'!$G$58,ABS(M2156)*'Sollecitazioni nel paramento'!$G$54,'Sollecitazioni nel paramento'!$G$53)*IF(M2156&lt;0,-1,1)</f>
        <v>0</v>
      </c>
      <c r="T2156" s="545">
        <f>'Foglio deposito bis'!$F$81*IF(ABS(N2156)&lt;'Sollecitazioni nel paramento'!$G$58,ABS(N2156)*'Sollecitazioni nel paramento'!$G$54,'Sollecitazioni nel paramento'!$G$53)*IF(N2156&lt;0,-1,1)</f>
        <v>-81032.786262191061</v>
      </c>
      <c r="U2156" s="545">
        <f>'Foglio deposito bis'!$F$82*IF(ABS(O2156)&lt;'Sollecitazioni nel paramento'!$G$58,ABS(O2156)*'Sollecitazioni nel paramento'!$G$54,'Sollecitazioni nel paramento'!$G$53)*IF(O2156&lt;0,-1,1)</f>
        <v>892485.49558937876</v>
      </c>
      <c r="V2156" s="472">
        <f t="shared" si="151"/>
        <v>-6194311.091841314</v>
      </c>
      <c r="W2156" s="551"/>
      <c r="X2156" s="551"/>
    </row>
    <row r="2157" spans="1:24" x14ac:dyDescent="0.25">
      <c r="A2157" s="545">
        <f t="shared" si="150"/>
        <v>6277159.9286454227</v>
      </c>
      <c r="B2157" s="3">
        <f t="shared" ref="B2157:B2180" si="152">B2156+0.2</f>
        <v>18.299999999999958</v>
      </c>
      <c r="C2157" s="545">
        <f>'Foglio deposito bis'!$E$161/sezione!$B$247*B2157</f>
        <v>181.84667411052999</v>
      </c>
      <c r="D2157" s="603">
        <f>-'Sollecitazioni nel paramento'!$G$47*'Sollecitazioni nel paramento'!$G$41*IF(DATI!$G$211="dx",DATI!$E$61,DATI!$E$64*DATI!$E$63)*1000*C2157^2*sezione!$AD$5*(1-sezione!$AD$6)</f>
        <v>-735723028.46879327</v>
      </c>
      <c r="E2157" s="545">
        <f>-'Foglio deposito bis'!$F$78*(C2157-sezione!$AL$35)*IF(ABS(K2157)&lt;'Sollecitazioni nel paramento'!$G$58,ABS(K2157)*'Sollecitazioni nel paramento'!$G$54,'Sollecitazioni nel paramento'!$G$53)</f>
        <v>0</v>
      </c>
      <c r="F2157" s="545">
        <f>-'Foglio deposito bis'!$F$79*(C2157-sezione!$AM$35)*IF(ABS(L2157)&lt;'Sollecitazioni nel paramento'!$G$58,ABS(L2157)*'Sollecitazioni nel paramento'!$G$54,'Sollecitazioni nel paramento'!$G$53)</f>
        <v>-18723551.881793022</v>
      </c>
      <c r="G2157" s="545">
        <f>-'Foglio deposito bis'!$F$80*(C2157-sezione!$AN$35)*IF(ABS(M2157)&lt;'Sollecitazioni nel paramento'!$G$58,ABS(M2157)*'Sollecitazioni nel paramento'!$G$54,'Sollecitazioni nel paramento'!$G$53)</f>
        <v>0</v>
      </c>
      <c r="H2157" s="545">
        <f>-'Foglio deposito bis'!$F$81*(C2157-sezione!$AO$35)*IF(ABS(N2157)&lt;'Sollecitazioni nel paramento'!$G$58,ABS(N2157)*'Sollecitazioni nel paramento'!$G$54,'Sollecitazioni nel paramento'!$G$53)</f>
        <v>-1926173.6871569592</v>
      </c>
      <c r="I2157" s="472">
        <f>-'Foglio deposito bis'!$F$82*(C2157-sezione!$AP$35)*IF(ABS(O2157)&lt;'Sollecitazioni nel paramento'!$G$58,ABS(O2157)*'Sollecitazioni nel paramento'!$G$54,'Sollecitazioni nel paramento'!$G$53)</f>
        <v>457395162.69029486</v>
      </c>
      <c r="J2157" s="472">
        <f t="shared" si="149"/>
        <v>-298977591.34744835</v>
      </c>
      <c r="K2157" s="550">
        <f>'Sollecitazioni nel paramento'!$G$60*(sezione!$AL$35-C2157)/C2157</f>
        <v>-2.7301206459519559E-3</v>
      </c>
      <c r="L2157" s="550">
        <f>'Sollecitazioni nel paramento'!$G$60*(sezione!$AM$35-C2157)/C2157</f>
        <v>-2.3451809689279341E-3</v>
      </c>
      <c r="M2157" s="551">
        <f>'Sollecitazioni nel paramento'!$G$60*(sezione!$AN$35-C2157)/C2157</f>
        <v>-1.9602412919039118E-3</v>
      </c>
      <c r="N2157" s="551">
        <f>'Sollecitazioni nel paramento'!$G$60*(sezione!$AO$35-C2157)/C2157</f>
        <v>-4.2048258380782388E-4</v>
      </c>
      <c r="O2157" s="551">
        <f>'Sollecitazioni nel paramento'!$G$60*(sezione!$AP$35-C2157)/C2157</f>
        <v>9.8640004273727426E-3</v>
      </c>
      <c r="P2157" s="545">
        <f>-'Sollecitazioni nel paramento'!$G$47*'Sollecitazioni nel paramento'!$G$41*IF(DATI!$G$211="dx",DATI!$E$61,DATI!$E$64*DATI!$E$63)*1000*C2157*sezione!$AD$5</f>
        <v>-6927812.7435888601</v>
      </c>
      <c r="Q2157" s="545">
        <f>'Foglio deposito bis'!$F$78*IF(ABS(K2157)&lt;'Sollecitazioni nel paramento'!$G$58,ABS(K2157)*'Sollecitazioni nel paramento'!$G$54,'Sollecitazioni nel paramento'!$G$53)*IF(K2157&lt;0,-1,1)</f>
        <v>0</v>
      </c>
      <c r="R2157" s="545">
        <f>'Foglio deposito bis'!$F$79*IF(ABS(L2157)&lt;'Sollecitazioni nel paramento'!$G$58,ABS(L2157)*'Sollecitazioni nel paramento'!$G$54,'Sollecitazioni nel paramento'!$G$53)*IF(L2157&lt;0,-1,1)</f>
        <v>-153664.85805602249</v>
      </c>
      <c r="S2157" s="545">
        <f>'Foglio deposito bis'!$F$80*IF(ABS(M2157)&lt;'Sollecitazioni nel paramento'!$G$58,ABS(M2157)*'Sollecitazioni nel paramento'!$G$54,'Sollecitazioni nel paramento'!$G$53)*IF(M2157&lt;0,-1,1)</f>
        <v>0</v>
      </c>
      <c r="T2157" s="545">
        <f>'Foglio deposito bis'!$F$81*IF(ABS(N2157)&lt;'Sollecitazioni nel paramento'!$G$58,ABS(N2157)*'Sollecitazioni nel paramento'!$G$54,'Sollecitazioni nel paramento'!$G$53)*IF(N2157&lt;0,-1,1)</f>
        <v>-88167.822589917836</v>
      </c>
      <c r="U2157" s="545">
        <f>'Foglio deposito bis'!$F$82*IF(ABS(O2157)&lt;'Sollecitazioni nel paramento'!$G$58,ABS(O2157)*'Sollecitazioni nel paramento'!$G$54,'Sollecitazioni nel paramento'!$G$53)*IF(O2157&lt;0,-1,1)</f>
        <v>892485.49558937876</v>
      </c>
      <c r="V2157" s="472">
        <f t="shared" si="151"/>
        <v>-6277159.9286454227</v>
      </c>
      <c r="W2157" s="551"/>
      <c r="X2157" s="551"/>
    </row>
    <row r="2158" spans="1:24" x14ac:dyDescent="0.25">
      <c r="A2158" s="545">
        <f t="shared" si="150"/>
        <v>6359854.4943937939</v>
      </c>
      <c r="B2158" s="3">
        <f t="shared" si="152"/>
        <v>18.499999999999957</v>
      </c>
      <c r="C2158" s="545">
        <f>'Foglio deposito bis'!$E$161/sezione!$B$247*B2158</f>
        <v>183.83406945600024</v>
      </c>
      <c r="D2158" s="603">
        <f>-'Sollecitazioni nel paramento'!$G$47*'Sollecitazioni nel paramento'!$G$41*IF(DATI!$G$211="dx",DATI!$E$61,DATI!$E$64*DATI!$E$63)*1000*C2158^2*sezione!$AD$5*(1-sezione!$AD$6)</f>
        <v>-751892282.52096033</v>
      </c>
      <c r="E2158" s="545">
        <f>-'Foglio deposito bis'!$F$78*(C2158-sezione!$AL$35)*IF(ABS(K2158)&lt;'Sollecitazioni nel paramento'!$G$58,ABS(K2158)*'Sollecitazioni nel paramento'!$G$54,'Sollecitazioni nel paramento'!$G$53)</f>
        <v>0</v>
      </c>
      <c r="F2158" s="545">
        <f>-'Foglio deposito bis'!$F$79*(C2158-sezione!$AM$35)*IF(ABS(L2158)&lt;'Sollecitazioni nel paramento'!$G$58,ABS(L2158)*'Sollecitazioni nel paramento'!$G$54,'Sollecitazioni nel paramento'!$G$53)</f>
        <v>-19028944.705455907</v>
      </c>
      <c r="G2158" s="545">
        <f>-'Foglio deposito bis'!$F$80*(C2158-sezione!$AN$35)*IF(ABS(M2158)&lt;'Sollecitazioni nel paramento'!$G$58,ABS(M2158)*'Sollecitazioni nel paramento'!$G$54,'Sollecitazioni nel paramento'!$G$53)</f>
        <v>0</v>
      </c>
      <c r="H2158" s="545">
        <f>-'Foglio deposito bis'!$F$81*(C2158-sezione!$AO$35)*IF(ABS(N2158)&lt;'Sollecitazioni nel paramento'!$G$58,ABS(N2158)*'Sollecitazioni nel paramento'!$G$54,'Sollecitazioni nel paramento'!$G$53)</f>
        <v>-2267778.0517411008</v>
      </c>
      <c r="I2158" s="472">
        <f>-'Foglio deposito bis'!$F$82*(C2158-sezione!$AP$35)*IF(ABS(O2158)&lt;'Sollecitazioni nel paramento'!$G$58,ABS(O2158)*'Sollecitazioni nel paramento'!$G$54,'Sollecitazioni nel paramento'!$G$53)</f>
        <v>455621441.17046094</v>
      </c>
      <c r="J2158" s="472">
        <f t="shared" si="149"/>
        <v>-317567564.10769641</v>
      </c>
      <c r="K2158" s="550">
        <f>'Sollecitazioni nel paramento'!$G$60*(sezione!$AL$35-C2158)/C2158</f>
        <v>-2.7384436659957183E-3</v>
      </c>
      <c r="L2158" s="550">
        <f>'Sollecitazioni nel paramento'!$G$60*(sezione!$AM$35-C2158)/C2158</f>
        <v>-2.3576654989935779E-3</v>
      </c>
      <c r="M2158" s="551">
        <f>'Sollecitazioni nel paramento'!$G$60*(sezione!$AN$35-C2158)/C2158</f>
        <v>-1.976887331991437E-3</v>
      </c>
      <c r="N2158" s="551">
        <f>'Sollecitazioni nel paramento'!$G$60*(sezione!$AO$35-C2158)/C2158</f>
        <v>-4.53774663982874E-4</v>
      </c>
      <c r="O2158" s="551">
        <f>'Sollecitazioni nel paramento'!$G$60*(sezione!$AP$35-C2158)/C2158</f>
        <v>9.7195247470768242E-3</v>
      </c>
      <c r="P2158" s="545">
        <f>-'Sollecitazioni nel paramento'!$G$47*'Sollecitazioni nel paramento'!$G$41*IF(DATI!$G$211="dx",DATI!$E$61,DATI!$E$64*DATI!$E$63)*1000*C2158*sezione!$AD$5</f>
        <v>-7003526.5440652398</v>
      </c>
      <c r="Q2158" s="545">
        <f>'Foglio deposito bis'!$F$78*IF(ABS(K2158)&lt;'Sollecitazioni nel paramento'!$G$58,ABS(K2158)*'Sollecitazioni nel paramento'!$G$54,'Sollecitazioni nel paramento'!$G$53)*IF(K2158&lt;0,-1,1)</f>
        <v>0</v>
      </c>
      <c r="R2158" s="545">
        <f>'Foglio deposito bis'!$F$79*IF(ABS(L2158)&lt;'Sollecitazioni nel paramento'!$G$58,ABS(L2158)*'Sollecitazioni nel paramento'!$G$54,'Sollecitazioni nel paramento'!$G$53)*IF(L2158&lt;0,-1,1)</f>
        <v>-153664.85805602249</v>
      </c>
      <c r="S2158" s="545">
        <f>'Foglio deposito bis'!$F$80*IF(ABS(M2158)&lt;'Sollecitazioni nel paramento'!$G$58,ABS(M2158)*'Sollecitazioni nel paramento'!$G$54,'Sollecitazioni nel paramento'!$G$53)*IF(M2158&lt;0,-1,1)</f>
        <v>0</v>
      </c>
      <c r="T2158" s="545">
        <f>'Foglio deposito bis'!$F$81*IF(ABS(N2158)&lt;'Sollecitazioni nel paramento'!$G$58,ABS(N2158)*'Sollecitazioni nel paramento'!$G$54,'Sollecitazioni nel paramento'!$G$53)*IF(N2158&lt;0,-1,1)</f>
        <v>-95148.587861909866</v>
      </c>
      <c r="U2158" s="545">
        <f>'Foglio deposito bis'!$F$82*IF(ABS(O2158)&lt;'Sollecitazioni nel paramento'!$G$58,ABS(O2158)*'Sollecitazioni nel paramento'!$G$54,'Sollecitazioni nel paramento'!$G$53)*IF(O2158&lt;0,-1,1)</f>
        <v>892485.49558937876</v>
      </c>
      <c r="V2158" s="472">
        <f t="shared" si="151"/>
        <v>-6359854.4943937939</v>
      </c>
      <c r="W2158" s="551"/>
      <c r="X2158" s="551"/>
    </row>
    <row r="2159" spans="1:24" x14ac:dyDescent="0.25">
      <c r="A2159" s="545">
        <f t="shared" si="150"/>
        <v>6442399.7389598787</v>
      </c>
      <c r="B2159" s="3">
        <f t="shared" si="152"/>
        <v>18.699999999999957</v>
      </c>
      <c r="C2159" s="545">
        <f>'Foglio deposito bis'!$E$161/sezione!$B$247*B2159</f>
        <v>185.82146480147051</v>
      </c>
      <c r="D2159" s="603">
        <f>-'Sollecitazioni nel paramento'!$G$47*'Sollecitazioni nel paramento'!$G$41*IF(DATI!$G$211="dx",DATI!$E$61,DATI!$E$64*DATI!$E$63)*1000*C2159^2*sezione!$AD$5*(1-sezione!$AD$6)</f>
        <v>-768237289.33456433</v>
      </c>
      <c r="E2159" s="545">
        <f>-'Foglio deposito bis'!$F$78*(C2159-sezione!$AL$35)*IF(ABS(K2159)&lt;'Sollecitazioni nel paramento'!$G$58,ABS(K2159)*'Sollecitazioni nel paramento'!$G$54,'Sollecitazioni nel paramento'!$G$53)</f>
        <v>0</v>
      </c>
      <c r="F2159" s="545">
        <f>-'Foglio deposito bis'!$F$79*(C2159-sezione!$AM$35)*IF(ABS(L2159)&lt;'Sollecitazioni nel paramento'!$G$58,ABS(L2159)*'Sollecitazioni nel paramento'!$G$54,'Sollecitazioni nel paramento'!$G$53)</f>
        <v>-19334337.529118795</v>
      </c>
      <c r="G2159" s="545">
        <f>-'Foglio deposito bis'!$F$80*(C2159-sezione!$AN$35)*IF(ABS(M2159)&lt;'Sollecitazioni nel paramento'!$G$58,ABS(M2159)*'Sollecitazioni nel paramento'!$G$54,'Sollecitazioni nel paramento'!$G$53)</f>
        <v>0</v>
      </c>
      <c r="H2159" s="545">
        <f>-'Foglio deposito bis'!$F$81*(C2159-sezione!$AO$35)*IF(ABS(N2159)&lt;'Sollecitazioni nel paramento'!$G$58,ABS(N2159)*'Sollecitazioni nel paramento'!$G$54,'Sollecitazioni nel paramento'!$G$53)</f>
        <v>-2633273.8054914242</v>
      </c>
      <c r="I2159" s="472">
        <f>-'Foglio deposito bis'!$F$82*(C2159-sezione!$AP$35)*IF(ABS(O2159)&lt;'Sollecitazioni nel paramento'!$G$58,ABS(O2159)*'Sollecitazioni nel paramento'!$G$54,'Sollecitazioni nel paramento'!$G$53)</f>
        <v>453847719.6506269</v>
      </c>
      <c r="J2159" s="472">
        <f t="shared" si="149"/>
        <v>-336357181.01854765</v>
      </c>
      <c r="K2159" s="550">
        <f>'Sollecitazioni nel paramento'!$G$60*(sezione!$AL$35-C2159)/C2159</f>
        <v>-2.7465886535251766E-3</v>
      </c>
      <c r="L2159" s="550">
        <f>'Sollecitazioni nel paramento'!$G$60*(sezione!$AM$35-C2159)/C2159</f>
        <v>-2.369882980287764E-3</v>
      </c>
      <c r="M2159" s="551">
        <f>'Sollecitazioni nel paramento'!$G$60*(sezione!$AN$35-C2159)/C2159</f>
        <v>-1.9931773070503522E-3</v>
      </c>
      <c r="N2159" s="551">
        <f>'Sollecitazioni nel paramento'!$G$60*(sezione!$AO$35-C2159)/C2159</f>
        <v>-4.863546141007043E-4</v>
      </c>
      <c r="O2159" s="551">
        <f>'Sollecitazioni nel paramento'!$G$60*(sezione!$AP$35-C2159)/C2159</f>
        <v>9.5781394556642366E-3</v>
      </c>
      <c r="P2159" s="545">
        <f>-'Sollecitazioni nel paramento'!$G$47*'Sollecitazioni nel paramento'!$G$41*IF(DATI!$G$211="dx",DATI!$E$61,DATI!$E$64*DATI!$E$63)*1000*C2159*sezione!$AD$5</f>
        <v>-7079240.3445416214</v>
      </c>
      <c r="Q2159" s="545">
        <f>'Foglio deposito bis'!$F$78*IF(ABS(K2159)&lt;'Sollecitazioni nel paramento'!$G$58,ABS(K2159)*'Sollecitazioni nel paramento'!$G$54,'Sollecitazioni nel paramento'!$G$53)*IF(K2159&lt;0,-1,1)</f>
        <v>0</v>
      </c>
      <c r="R2159" s="545">
        <f>'Foglio deposito bis'!$F$79*IF(ABS(L2159)&lt;'Sollecitazioni nel paramento'!$G$58,ABS(L2159)*'Sollecitazioni nel paramento'!$G$54,'Sollecitazioni nel paramento'!$G$53)*IF(L2159&lt;0,-1,1)</f>
        <v>-153664.85805602249</v>
      </c>
      <c r="S2159" s="545">
        <f>'Foglio deposito bis'!$F$80*IF(ABS(M2159)&lt;'Sollecitazioni nel paramento'!$G$58,ABS(M2159)*'Sollecitazioni nel paramento'!$G$54,'Sollecitazioni nel paramento'!$G$53)*IF(M2159&lt;0,-1,1)</f>
        <v>0</v>
      </c>
      <c r="T2159" s="545">
        <f>'Foglio deposito bis'!$F$81*IF(ABS(N2159)&lt;'Sollecitazioni nel paramento'!$G$58,ABS(N2159)*'Sollecitazioni nel paramento'!$G$54,'Sollecitazioni nel paramento'!$G$53)*IF(N2159&lt;0,-1,1)</f>
        <v>-101980.03195161342</v>
      </c>
      <c r="U2159" s="545">
        <f>'Foglio deposito bis'!$F$82*IF(ABS(O2159)&lt;'Sollecitazioni nel paramento'!$G$58,ABS(O2159)*'Sollecitazioni nel paramento'!$G$54,'Sollecitazioni nel paramento'!$G$53)*IF(O2159&lt;0,-1,1)</f>
        <v>892485.49558937876</v>
      </c>
      <c r="V2159" s="472">
        <f t="shared" si="151"/>
        <v>-6442399.7389598787</v>
      </c>
      <c r="W2159" s="551"/>
      <c r="X2159" s="551"/>
    </row>
    <row r="2160" spans="1:24" x14ac:dyDescent="0.25">
      <c r="A2160" s="545">
        <f t="shared" si="150"/>
        <v>6524800.4026986659</v>
      </c>
      <c r="B2160" s="3">
        <f t="shared" si="152"/>
        <v>18.899999999999956</v>
      </c>
      <c r="C2160" s="545">
        <f>'Foglio deposito bis'!$E$161/sezione!$B$247*B2160</f>
        <v>187.80886014694079</v>
      </c>
      <c r="D2160" s="603">
        <f>-'Sollecitazioni nel paramento'!$G$47*'Sollecitazioni nel paramento'!$G$41*IF(DATI!$G$211="dx",DATI!$E$61,DATI!$E$64*DATI!$E$63)*1000*C2160^2*sezione!$AD$5*(1-sezione!$AD$6)</f>
        <v>-784758048.90960479</v>
      </c>
      <c r="E2160" s="545">
        <f>-'Foglio deposito bis'!$F$78*(C2160-sezione!$AL$35)*IF(ABS(K2160)&lt;'Sollecitazioni nel paramento'!$G$58,ABS(K2160)*'Sollecitazioni nel paramento'!$G$54,'Sollecitazioni nel paramento'!$G$53)</f>
        <v>0</v>
      </c>
      <c r="F2160" s="545">
        <f>-'Foglio deposito bis'!$F$79*(C2160-sezione!$AM$35)*IF(ABS(L2160)&lt;'Sollecitazioni nel paramento'!$G$58,ABS(L2160)*'Sollecitazioni nel paramento'!$G$54,'Sollecitazioni nel paramento'!$G$53)</f>
        <v>-19639730.352781687</v>
      </c>
      <c r="G2160" s="545">
        <f>-'Foglio deposito bis'!$F$80*(C2160-sezione!$AN$35)*IF(ABS(M2160)&lt;'Sollecitazioni nel paramento'!$G$58,ABS(M2160)*'Sollecitazioni nel paramento'!$G$54,'Sollecitazioni nel paramento'!$G$53)</f>
        <v>0</v>
      </c>
      <c r="H2160" s="545">
        <f>-'Foglio deposito bis'!$F$81*(C2160-sezione!$AO$35)*IF(ABS(N2160)&lt;'Sollecitazioni nel paramento'!$G$58,ABS(N2160)*'Sollecitazioni nel paramento'!$G$54,'Sollecitazioni nel paramento'!$G$53)</f>
        <v>-3021902.4916089969</v>
      </c>
      <c r="I2160" s="472">
        <f>-'Foglio deposito bis'!$F$82*(C2160-sezione!$AP$35)*IF(ABS(O2160)&lt;'Sollecitazioni nel paramento'!$G$58,ABS(O2160)*'Sollecitazioni nel paramento'!$G$54,'Sollecitazioni nel paramento'!$G$53)</f>
        <v>452073998.13079274</v>
      </c>
      <c r="J2160" s="472">
        <f t="shared" si="149"/>
        <v>-355345683.62320268</v>
      </c>
      <c r="K2160" s="550">
        <f>'Sollecitazioni nel paramento'!$G$60*(sezione!$AL$35-C2160)/C2160</f>
        <v>-2.7545612603661796E-3</v>
      </c>
      <c r="L2160" s="550">
        <f>'Sollecitazioni nel paramento'!$G$60*(sezione!$AM$35-C2160)/C2160</f>
        <v>-2.3818418905492693E-3</v>
      </c>
      <c r="M2160" s="551">
        <f>'Sollecitazioni nel paramento'!$G$60*(sezione!$AN$35-C2160)/C2160</f>
        <v>-2.009122520732359E-3</v>
      </c>
      <c r="N2160" s="551">
        <f>'Sollecitazioni nel paramento'!$G$60*(sezione!$AO$35-C2160)/C2160</f>
        <v>-5.1824504146471802E-4</v>
      </c>
      <c r="O2160" s="551">
        <f>'Sollecitazioni nel paramento'!$G$60*(sezione!$AP$35-C2160)/C2160</f>
        <v>9.439746445551388E-3</v>
      </c>
      <c r="P2160" s="545">
        <f>-'Sollecitazioni nel paramento'!$G$47*'Sollecitazioni nel paramento'!$G$41*IF(DATI!$G$211="dx",DATI!$E$61,DATI!$E$64*DATI!$E$63)*1000*C2160*sezione!$AD$5</f>
        <v>-7154954.1450180011</v>
      </c>
      <c r="Q2160" s="545">
        <f>'Foglio deposito bis'!$F$78*IF(ABS(K2160)&lt;'Sollecitazioni nel paramento'!$G$58,ABS(K2160)*'Sollecitazioni nel paramento'!$G$54,'Sollecitazioni nel paramento'!$G$53)*IF(K2160&lt;0,-1,1)</f>
        <v>0</v>
      </c>
      <c r="R2160" s="545">
        <f>'Foglio deposito bis'!$F$79*IF(ABS(L2160)&lt;'Sollecitazioni nel paramento'!$G$58,ABS(L2160)*'Sollecitazioni nel paramento'!$G$54,'Sollecitazioni nel paramento'!$G$53)*IF(L2160&lt;0,-1,1)</f>
        <v>-153664.85805602249</v>
      </c>
      <c r="S2160" s="545">
        <f>'Foglio deposito bis'!$F$80*IF(ABS(M2160)&lt;'Sollecitazioni nel paramento'!$G$58,ABS(M2160)*'Sollecitazioni nel paramento'!$G$54,'Sollecitazioni nel paramento'!$G$53)*IF(M2160&lt;0,-1,1)</f>
        <v>0</v>
      </c>
      <c r="T2160" s="545">
        <f>'Foglio deposito bis'!$F$81*IF(ABS(N2160)&lt;'Sollecitazioni nel paramento'!$G$58,ABS(N2160)*'Sollecitazioni nel paramento'!$G$54,'Sollecitazioni nel paramento'!$G$53)*IF(N2160&lt;0,-1,1)</f>
        <v>-108666.89521402166</v>
      </c>
      <c r="U2160" s="545">
        <f>'Foglio deposito bis'!$F$82*IF(ABS(O2160)&lt;'Sollecitazioni nel paramento'!$G$58,ABS(O2160)*'Sollecitazioni nel paramento'!$G$54,'Sollecitazioni nel paramento'!$G$53)*IF(O2160&lt;0,-1,1)</f>
        <v>892485.49558937876</v>
      </c>
      <c r="V2160" s="472">
        <f t="shared" si="151"/>
        <v>-6524800.4026986659</v>
      </c>
      <c r="W2160" s="551"/>
      <c r="X2160" s="551"/>
    </row>
    <row r="2161" spans="1:24" x14ac:dyDescent="0.25">
      <c r="A2161" s="545">
        <f t="shared" si="150"/>
        <v>6607061.0274162535</v>
      </c>
      <c r="B2161" s="3">
        <f t="shared" si="152"/>
        <v>19.099999999999955</v>
      </c>
      <c r="C2161" s="545">
        <f>'Foglio deposito bis'!$E$161/sezione!$B$247*B2161</f>
        <v>189.79625549241106</v>
      </c>
      <c r="D2161" s="603">
        <f>-'Sollecitazioni nel paramento'!$G$47*'Sollecitazioni nel paramento'!$G$41*IF(DATI!$G$211="dx",DATI!$E$61,DATI!$E$64*DATI!$E$63)*1000*C2161^2*sezione!$AD$5*(1-sezione!$AD$6)</f>
        <v>-801454561.24608195</v>
      </c>
      <c r="E2161" s="545">
        <f>-'Foglio deposito bis'!$F$78*(C2161-sezione!$AL$35)*IF(ABS(K2161)&lt;'Sollecitazioni nel paramento'!$G$58,ABS(K2161)*'Sollecitazioni nel paramento'!$G$54,'Sollecitazioni nel paramento'!$G$53)</f>
        <v>0</v>
      </c>
      <c r="F2161" s="545">
        <f>-'Foglio deposito bis'!$F$79*(C2161-sezione!$AM$35)*IF(ABS(L2161)&lt;'Sollecitazioni nel paramento'!$G$58,ABS(L2161)*'Sollecitazioni nel paramento'!$G$54,'Sollecitazioni nel paramento'!$G$53)</f>
        <v>-19945123.176444575</v>
      </c>
      <c r="G2161" s="545">
        <f>-'Foglio deposito bis'!$F$80*(C2161-sezione!$AN$35)*IF(ABS(M2161)&lt;'Sollecitazioni nel paramento'!$G$58,ABS(M2161)*'Sollecitazioni nel paramento'!$G$54,'Sollecitazioni nel paramento'!$G$53)</f>
        <v>0</v>
      </c>
      <c r="H2161" s="545">
        <f>-'Foglio deposito bis'!$F$81*(C2161-sezione!$AO$35)*IF(ABS(N2161)&lt;'Sollecitazioni nel paramento'!$G$58,ABS(N2161)*'Sollecitazioni nel paramento'!$G$54,'Sollecitazioni nel paramento'!$G$53)</f>
        <v>-3432937.4211189337</v>
      </c>
      <c r="I2161" s="472">
        <f>-'Foglio deposito bis'!$F$82*(C2161-sezione!$AP$35)*IF(ABS(O2161)&lt;'Sollecitazioni nel paramento'!$G$58,ABS(O2161)*'Sollecitazioni nel paramento'!$G$54,'Sollecitazioni nel paramento'!$G$53)</f>
        <v>450300276.6109587</v>
      </c>
      <c r="J2161" s="472">
        <f t="shared" si="149"/>
        <v>-374532345.23268676</v>
      </c>
      <c r="K2161" s="550">
        <f>'Sollecitazioni nel paramento'!$G$60*(sezione!$AL$35-C2161)/C2161</f>
        <v>-2.7623669016188898E-3</v>
      </c>
      <c r="L2161" s="550">
        <f>'Sollecitazioni nel paramento'!$G$60*(sezione!$AM$35-C2161)/C2161</f>
        <v>-2.3935503524283343E-3</v>
      </c>
      <c r="M2161" s="551">
        <f>'Sollecitazioni nel paramento'!$G$60*(sezione!$AN$35-C2161)/C2161</f>
        <v>-2.0247338032377796E-3</v>
      </c>
      <c r="N2161" s="551">
        <f>'Sollecitazioni nel paramento'!$G$60*(sezione!$AO$35-C2161)/C2161</f>
        <v>-5.4946760647555878E-4</v>
      </c>
      <c r="O2161" s="551">
        <f>'Sollecitazioni nel paramento'!$G$60*(sezione!$AP$35-C2161)/C2161</f>
        <v>9.3042517183728381E-3</v>
      </c>
      <c r="P2161" s="545">
        <f>-'Sollecitazioni nel paramento'!$G$47*'Sollecitazioni nel paramento'!$G$41*IF(DATI!$G$211="dx",DATI!$E$61,DATI!$E$64*DATI!$E$63)*1000*C2161*sezione!$AD$5</f>
        <v>-7230667.9454943826</v>
      </c>
      <c r="Q2161" s="545">
        <f>'Foglio deposito bis'!$F$78*IF(ABS(K2161)&lt;'Sollecitazioni nel paramento'!$G$58,ABS(K2161)*'Sollecitazioni nel paramento'!$G$54,'Sollecitazioni nel paramento'!$G$53)*IF(K2161&lt;0,-1,1)</f>
        <v>0</v>
      </c>
      <c r="R2161" s="545">
        <f>'Foglio deposito bis'!$F$79*IF(ABS(L2161)&lt;'Sollecitazioni nel paramento'!$G$58,ABS(L2161)*'Sollecitazioni nel paramento'!$G$54,'Sollecitazioni nel paramento'!$G$53)*IF(L2161&lt;0,-1,1)</f>
        <v>-153664.85805602249</v>
      </c>
      <c r="S2161" s="545">
        <f>'Foglio deposito bis'!$F$80*IF(ABS(M2161)&lt;'Sollecitazioni nel paramento'!$G$58,ABS(M2161)*'Sollecitazioni nel paramento'!$G$54,'Sollecitazioni nel paramento'!$G$53)*IF(M2161&lt;0,-1,1)</f>
        <v>0</v>
      </c>
      <c r="T2161" s="545">
        <f>'Foglio deposito bis'!$F$81*IF(ABS(N2161)&lt;'Sollecitazioni nel paramento'!$G$58,ABS(N2161)*'Sollecitazioni nel paramento'!$G$54,'Sollecitazioni nel paramento'!$G$53)*IF(N2161&lt;0,-1,1)</f>
        <v>-115213.71945522762</v>
      </c>
      <c r="U2161" s="545">
        <f>'Foglio deposito bis'!$F$82*IF(ABS(O2161)&lt;'Sollecitazioni nel paramento'!$G$58,ABS(O2161)*'Sollecitazioni nel paramento'!$G$54,'Sollecitazioni nel paramento'!$G$53)*IF(O2161&lt;0,-1,1)</f>
        <v>892485.49558937876</v>
      </c>
      <c r="V2161" s="472">
        <f t="shared" si="151"/>
        <v>-6607061.0274162535</v>
      </c>
      <c r="W2161" s="551"/>
      <c r="X2161" s="551"/>
    </row>
    <row r="2162" spans="1:24" x14ac:dyDescent="0.25">
      <c r="A2162" s="545">
        <f t="shared" si="150"/>
        <v>6689185.9666573405</v>
      </c>
      <c r="B2162" s="3">
        <f t="shared" si="152"/>
        <v>19.299999999999955</v>
      </c>
      <c r="C2162" s="545">
        <f>'Foglio deposito bis'!$E$161/sezione!$B$247*B2162</f>
        <v>191.78365083788134</v>
      </c>
      <c r="D2162" s="603">
        <f>-'Sollecitazioni nel paramento'!$G$47*'Sollecitazioni nel paramento'!$G$41*IF(DATI!$G$211="dx",DATI!$E$61,DATI!$E$64*DATI!$E$63)*1000*C2162^2*sezione!$AD$5*(1-sezione!$AD$6)</f>
        <v>-818326826.34399581</v>
      </c>
      <c r="E2162" s="545">
        <f>-'Foglio deposito bis'!$F$78*(C2162-sezione!$AL$35)*IF(ABS(K2162)&lt;'Sollecitazioni nel paramento'!$G$58,ABS(K2162)*'Sollecitazioni nel paramento'!$G$54,'Sollecitazioni nel paramento'!$G$53)</f>
        <v>0</v>
      </c>
      <c r="F2162" s="545">
        <f>-'Foglio deposito bis'!$F$79*(C2162-sezione!$AM$35)*IF(ABS(L2162)&lt;'Sollecitazioni nel paramento'!$G$58,ABS(L2162)*'Sollecitazioni nel paramento'!$G$54,'Sollecitazioni nel paramento'!$G$53)</f>
        <v>-20250516.000107467</v>
      </c>
      <c r="G2162" s="545">
        <f>-'Foglio deposito bis'!$F$80*(C2162-sezione!$AN$35)*IF(ABS(M2162)&lt;'Sollecitazioni nel paramento'!$G$58,ABS(M2162)*'Sollecitazioni nel paramento'!$G$54,'Sollecitazioni nel paramento'!$G$53)</f>
        <v>0</v>
      </c>
      <c r="H2162" s="545">
        <f>-'Foglio deposito bis'!$F$81*(C2162-sezione!$AO$35)*IF(ABS(N2162)&lt;'Sollecitazioni nel paramento'!$G$58,ABS(N2162)*'Sollecitazioni nel paramento'!$G$54,'Sollecitazioni nel paramento'!$G$53)</f>
        <v>-3865682.0268691378</v>
      </c>
      <c r="I2162" s="472">
        <f>-'Foglio deposito bis'!$F$82*(C2162-sezione!$AP$35)*IF(ABS(O2162)&lt;'Sollecitazioni nel paramento'!$G$58,ABS(O2162)*'Sollecitazioni nel paramento'!$G$54,'Sollecitazioni nel paramento'!$G$53)</f>
        <v>448526555.09112465</v>
      </c>
      <c r="J2162" s="472">
        <f t="shared" si="149"/>
        <v>-393916469.27984786</v>
      </c>
      <c r="K2162" s="550">
        <f>'Sollecitazioni nel paramento'!$G$60*(sezione!$AL$35-C2162)/C2162</f>
        <v>-2.7700107679233571E-3</v>
      </c>
      <c r="L2162" s="550">
        <f>'Sollecitazioni nel paramento'!$G$60*(sezione!$AM$35-C2162)/C2162</f>
        <v>-2.4050161518850361E-3</v>
      </c>
      <c r="M2162" s="551">
        <f>'Sollecitazioni nel paramento'!$G$60*(sezione!$AN$35-C2162)/C2162</f>
        <v>-2.0400215358467146E-3</v>
      </c>
      <c r="N2162" s="551">
        <f>'Sollecitazioni nel paramento'!$G$60*(sezione!$AO$35-C2162)/C2162</f>
        <v>-5.8004307169342868E-4</v>
      </c>
      <c r="O2162" s="551">
        <f>'Sollecitazioni nel paramento'!$G$60*(sezione!$AP$35-C2162)/C2162</f>
        <v>9.1715651720684563E-3</v>
      </c>
      <c r="P2162" s="545">
        <f>-'Sollecitazioni nel paramento'!$G$47*'Sollecitazioni nel paramento'!$G$41*IF(DATI!$G$211="dx",DATI!$E$61,DATI!$E$64*DATI!$E$63)*1000*C2162*sezione!$AD$5</f>
        <v>-7306381.7459707642</v>
      </c>
      <c r="Q2162" s="545">
        <f>'Foglio deposito bis'!$F$78*IF(ABS(K2162)&lt;'Sollecitazioni nel paramento'!$G$58,ABS(K2162)*'Sollecitazioni nel paramento'!$G$54,'Sollecitazioni nel paramento'!$G$53)*IF(K2162&lt;0,-1,1)</f>
        <v>0</v>
      </c>
      <c r="R2162" s="545">
        <f>'Foglio deposito bis'!$F$79*IF(ABS(L2162)&lt;'Sollecitazioni nel paramento'!$G$58,ABS(L2162)*'Sollecitazioni nel paramento'!$G$54,'Sollecitazioni nel paramento'!$G$53)*IF(L2162&lt;0,-1,1)</f>
        <v>-153664.85805602249</v>
      </c>
      <c r="S2162" s="545">
        <f>'Foglio deposito bis'!$F$80*IF(ABS(M2162)&lt;'Sollecitazioni nel paramento'!$G$58,ABS(M2162)*'Sollecitazioni nel paramento'!$G$54,'Sollecitazioni nel paramento'!$G$53)*IF(M2162&lt;0,-1,1)</f>
        <v>0</v>
      </c>
      <c r="T2162" s="545">
        <f>'Foglio deposito bis'!$F$81*IF(ABS(N2162)&lt;'Sollecitazioni nel paramento'!$G$58,ABS(N2162)*'Sollecitazioni nel paramento'!$G$54,'Sollecitazioni nel paramento'!$G$53)*IF(N2162&lt;0,-1,1)</f>
        <v>-121624.85821993191</v>
      </c>
      <c r="U2162" s="545">
        <f>'Foglio deposito bis'!$F$82*IF(ABS(O2162)&lt;'Sollecitazioni nel paramento'!$G$58,ABS(O2162)*'Sollecitazioni nel paramento'!$G$54,'Sollecitazioni nel paramento'!$G$53)*IF(O2162&lt;0,-1,1)</f>
        <v>892485.49558937876</v>
      </c>
      <c r="V2162" s="472">
        <f t="shared" si="151"/>
        <v>-6689185.9666573405</v>
      </c>
      <c r="W2162" s="551"/>
      <c r="X2162" s="551"/>
    </row>
    <row r="2163" spans="1:24" x14ac:dyDescent="0.25">
      <c r="A2163" s="545">
        <f t="shared" si="150"/>
        <v>6771179.3953596614</v>
      </c>
      <c r="B2163" s="3">
        <f t="shared" si="152"/>
        <v>19.499999999999954</v>
      </c>
      <c r="C2163" s="545">
        <f>'Foglio deposito bis'!$E$161/sezione!$B$247*B2163</f>
        <v>193.77104618335159</v>
      </c>
      <c r="D2163" s="603">
        <f>-'Sollecitazioni nel paramento'!$G$47*'Sollecitazioni nel paramento'!$G$41*IF(DATI!$G$211="dx",DATI!$E$61,DATI!$E$64*DATI!$E$63)*1000*C2163^2*sezione!$AD$5*(1-sezione!$AD$6)</f>
        <v>-835374844.20334601</v>
      </c>
      <c r="E2163" s="545">
        <f>-'Foglio deposito bis'!$F$78*(C2163-sezione!$AL$35)*IF(ABS(K2163)&lt;'Sollecitazioni nel paramento'!$G$58,ABS(K2163)*'Sollecitazioni nel paramento'!$G$54,'Sollecitazioni nel paramento'!$G$53)</f>
        <v>0</v>
      </c>
      <c r="F2163" s="545">
        <f>-'Foglio deposito bis'!$F$79*(C2163-sezione!$AM$35)*IF(ABS(L2163)&lt;'Sollecitazioni nel paramento'!$G$58,ABS(L2163)*'Sollecitazioni nel paramento'!$G$54,'Sollecitazioni nel paramento'!$G$53)</f>
        <v>-20555908.823770352</v>
      </c>
      <c r="G2163" s="545">
        <f>-'Foglio deposito bis'!$F$80*(C2163-sezione!$AN$35)*IF(ABS(M2163)&lt;'Sollecitazioni nel paramento'!$G$58,ABS(M2163)*'Sollecitazioni nel paramento'!$G$54,'Sollecitazioni nel paramento'!$G$53)</f>
        <v>0</v>
      </c>
      <c r="H2163" s="545">
        <f>-'Foglio deposito bis'!$F$81*(C2163-sezione!$AO$35)*IF(ABS(N2163)&lt;'Sollecitazioni nel paramento'!$G$58,ABS(N2163)*'Sollecitazioni nel paramento'!$G$54,'Sollecitazioni nel paramento'!$G$53)</f>
        <v>-4319468.3188214423</v>
      </c>
      <c r="I2163" s="472">
        <f>-'Foglio deposito bis'!$F$82*(C2163-sezione!$AP$35)*IF(ABS(O2163)&lt;'Sollecitazioni nel paramento'!$G$58,ABS(O2163)*'Sollecitazioni nel paramento'!$G$54,'Sollecitazioni nel paramento'!$G$53)</f>
        <v>446752833.57129061</v>
      </c>
      <c r="J2163" s="472">
        <f t="shared" si="149"/>
        <v>-413497387.77464724</v>
      </c>
      <c r="K2163" s="550">
        <f>'Sollecitazioni nel paramento'!$G$60*(sezione!$AL$35-C2163)/C2163</f>
        <v>-2.7774978369702972E-3</v>
      </c>
      <c r="L2163" s="550">
        <f>'Sollecitazioni nel paramento'!$G$60*(sezione!$AM$35-C2163)/C2163</f>
        <v>-2.4162467554554455E-3</v>
      </c>
      <c r="M2163" s="551">
        <f>'Sollecitazioni nel paramento'!$G$60*(sezione!$AN$35-C2163)/C2163</f>
        <v>-2.0549956739405939E-3</v>
      </c>
      <c r="N2163" s="551">
        <f>'Sollecitazioni nel paramento'!$G$60*(sezione!$AO$35-C2163)/C2163</f>
        <v>-6.0999134788118799E-4</v>
      </c>
      <c r="O2163" s="551">
        <f>'Sollecitazioni nel paramento'!$G$60*(sezione!$AP$35-C2163)/C2163</f>
        <v>9.0416004010728853E-3</v>
      </c>
      <c r="P2163" s="545">
        <f>-'Sollecitazioni nel paramento'!$G$47*'Sollecitazioni nel paramento'!$G$41*IF(DATI!$G$211="dx",DATI!$E$61,DATI!$E$64*DATI!$E$63)*1000*C2163*sezione!$AD$5</f>
        <v>-7382095.5464471439</v>
      </c>
      <c r="Q2163" s="545">
        <f>'Foglio deposito bis'!$F$78*IF(ABS(K2163)&lt;'Sollecitazioni nel paramento'!$G$58,ABS(K2163)*'Sollecitazioni nel paramento'!$G$54,'Sollecitazioni nel paramento'!$G$53)*IF(K2163&lt;0,-1,1)</f>
        <v>0</v>
      </c>
      <c r="R2163" s="545">
        <f>'Foglio deposito bis'!$F$79*IF(ABS(L2163)&lt;'Sollecitazioni nel paramento'!$G$58,ABS(L2163)*'Sollecitazioni nel paramento'!$G$54,'Sollecitazioni nel paramento'!$G$53)*IF(L2163&lt;0,-1,1)</f>
        <v>-153664.85805602249</v>
      </c>
      <c r="S2163" s="545">
        <f>'Foglio deposito bis'!$F$80*IF(ABS(M2163)&lt;'Sollecitazioni nel paramento'!$G$58,ABS(M2163)*'Sollecitazioni nel paramento'!$G$54,'Sollecitazioni nel paramento'!$G$53)*IF(M2163&lt;0,-1,1)</f>
        <v>0</v>
      </c>
      <c r="T2163" s="545">
        <f>'Foglio deposito bis'!$F$81*IF(ABS(N2163)&lt;'Sollecitazioni nel paramento'!$G$58,ABS(N2163)*'Sollecitazioni nel paramento'!$G$54,'Sollecitazioni nel paramento'!$G$53)*IF(N2163&lt;0,-1,1)</f>
        <v>-127904.48644587293</v>
      </c>
      <c r="U2163" s="545">
        <f>'Foglio deposito bis'!$F$82*IF(ABS(O2163)&lt;'Sollecitazioni nel paramento'!$G$58,ABS(O2163)*'Sollecitazioni nel paramento'!$G$54,'Sollecitazioni nel paramento'!$G$53)*IF(O2163&lt;0,-1,1)</f>
        <v>892485.49558937876</v>
      </c>
      <c r="V2163" s="472">
        <f t="shared" si="151"/>
        <v>-6771179.3953596614</v>
      </c>
      <c r="W2163" s="551"/>
      <c r="X2163" s="551"/>
    </row>
    <row r="2164" spans="1:24" x14ac:dyDescent="0.25">
      <c r="A2164" s="545">
        <f t="shared" si="150"/>
        <v>6853045.3189203404</v>
      </c>
      <c r="B2164" s="3">
        <f t="shared" si="152"/>
        <v>19.699999999999953</v>
      </c>
      <c r="C2164" s="545">
        <f>'Foglio deposito bis'!$E$161/sezione!$B$247*B2164</f>
        <v>195.75844152882186</v>
      </c>
      <c r="D2164" s="603">
        <f>-'Sollecitazioni nel paramento'!$G$47*'Sollecitazioni nel paramento'!$G$41*IF(DATI!$G$211="dx",DATI!$E$61,DATI!$E$64*DATI!$E$63)*1000*C2164^2*sezione!$AD$5*(1-sezione!$AD$6)</f>
        <v>-852598614.82413268</v>
      </c>
      <c r="E2164" s="545">
        <f>-'Foglio deposito bis'!$F$78*(C2164-sezione!$AL$35)*IF(ABS(K2164)&lt;'Sollecitazioni nel paramento'!$G$58,ABS(K2164)*'Sollecitazioni nel paramento'!$G$54,'Sollecitazioni nel paramento'!$G$53)</f>
        <v>0</v>
      </c>
      <c r="F2164" s="545">
        <f>-'Foglio deposito bis'!$F$79*(C2164-sezione!$AM$35)*IF(ABS(L2164)&lt;'Sollecitazioni nel paramento'!$G$58,ABS(L2164)*'Sollecitazioni nel paramento'!$G$54,'Sollecitazioni nel paramento'!$G$53)</f>
        <v>-20861301.64743324</v>
      </c>
      <c r="G2164" s="545">
        <f>-'Foglio deposito bis'!$F$80*(C2164-sezione!$AN$35)*IF(ABS(M2164)&lt;'Sollecitazioni nel paramento'!$G$58,ABS(M2164)*'Sollecitazioni nel paramento'!$G$54,'Sollecitazioni nel paramento'!$G$53)</f>
        <v>0</v>
      </c>
      <c r="H2164" s="545">
        <f>-'Foglio deposito bis'!$F$81*(C2164-sezione!$AO$35)*IF(ABS(N2164)&lt;'Sollecitazioni nel paramento'!$G$58,ABS(N2164)*'Sollecitazioni nel paramento'!$G$54,'Sollecitazioni nel paramento'!$G$53)</f>
        <v>-4793655.4334367076</v>
      </c>
      <c r="I2164" s="472">
        <f>-'Foglio deposito bis'!$F$82*(C2164-sezione!$AP$35)*IF(ABS(O2164)&lt;'Sollecitazioni nel paramento'!$G$58,ABS(O2164)*'Sollecitazioni nel paramento'!$G$54,'Sollecitazioni nel paramento'!$G$53)</f>
        <v>444979112.05145657</v>
      </c>
      <c r="J2164" s="472">
        <f t="shared" si="149"/>
        <v>-433274459.85354614</v>
      </c>
      <c r="K2164" s="550">
        <f>'Sollecitazioni nel paramento'!$G$60*(sezione!$AL$35-C2164)/C2164</f>
        <v>-2.7848328843106999E-3</v>
      </c>
      <c r="L2164" s="550">
        <f>'Sollecitazioni nel paramento'!$G$60*(sezione!$AM$35-C2164)/C2164</f>
        <v>-2.4272493264660502E-3</v>
      </c>
      <c r="M2164" s="551">
        <f>'Sollecitazioni nel paramento'!$G$60*(sezione!$AN$35-C2164)/C2164</f>
        <v>-2.0696657686214001E-3</v>
      </c>
      <c r="N2164" s="551">
        <f>'Sollecitazioni nel paramento'!$G$60*(sezione!$AO$35-C2164)/C2164</f>
        <v>-6.393315372428003E-4</v>
      </c>
      <c r="O2164" s="551">
        <f>'Sollecitazioni nel paramento'!$G$60*(sezione!$AP$35-C2164)/C2164</f>
        <v>8.9142745086762051E-3</v>
      </c>
      <c r="P2164" s="545">
        <f>-'Sollecitazioni nel paramento'!$G$47*'Sollecitazioni nel paramento'!$G$41*IF(DATI!$G$211="dx",DATI!$E$61,DATI!$E$64*DATI!$E$63)*1000*C2164*sezione!$AD$5</f>
        <v>-7457809.3469235254</v>
      </c>
      <c r="Q2164" s="545">
        <f>'Foglio deposito bis'!$F$78*IF(ABS(K2164)&lt;'Sollecitazioni nel paramento'!$G$58,ABS(K2164)*'Sollecitazioni nel paramento'!$G$54,'Sollecitazioni nel paramento'!$G$53)*IF(K2164&lt;0,-1,1)</f>
        <v>0</v>
      </c>
      <c r="R2164" s="545">
        <f>'Foglio deposito bis'!$F$79*IF(ABS(L2164)&lt;'Sollecitazioni nel paramento'!$G$58,ABS(L2164)*'Sollecitazioni nel paramento'!$G$54,'Sollecitazioni nel paramento'!$G$53)*IF(L2164&lt;0,-1,1)</f>
        <v>-153664.85805602249</v>
      </c>
      <c r="S2164" s="545">
        <f>'Foglio deposito bis'!$F$80*IF(ABS(M2164)&lt;'Sollecitazioni nel paramento'!$G$58,ABS(M2164)*'Sollecitazioni nel paramento'!$G$54,'Sollecitazioni nel paramento'!$G$53)*IF(M2164&lt;0,-1,1)</f>
        <v>0</v>
      </c>
      <c r="T2164" s="545">
        <f>'Foglio deposito bis'!$F$81*IF(ABS(N2164)&lt;'Sollecitazioni nel paramento'!$G$58,ABS(N2164)*'Sollecitazioni nel paramento'!$G$54,'Sollecitazioni nel paramento'!$G$53)*IF(N2164&lt;0,-1,1)</f>
        <v>-134056.60953017056</v>
      </c>
      <c r="U2164" s="545">
        <f>'Foglio deposito bis'!$F$82*IF(ABS(O2164)&lt;'Sollecitazioni nel paramento'!$G$58,ABS(O2164)*'Sollecitazioni nel paramento'!$G$54,'Sollecitazioni nel paramento'!$G$53)*IF(O2164&lt;0,-1,1)</f>
        <v>892485.49558937876</v>
      </c>
      <c r="V2164" s="472">
        <f t="shared" si="151"/>
        <v>-6853045.3189203404</v>
      </c>
      <c r="W2164" s="551"/>
      <c r="X2164" s="551"/>
    </row>
    <row r="2165" spans="1:24" x14ac:dyDescent="0.25">
      <c r="A2165" s="545">
        <f t="shared" si="150"/>
        <v>6934787.5817155056</v>
      </c>
      <c r="B2165" s="3">
        <f t="shared" si="152"/>
        <v>19.899999999999952</v>
      </c>
      <c r="C2165" s="545">
        <f>'Foglio deposito bis'!$E$161/sezione!$B$247*B2165</f>
        <v>197.74583687429214</v>
      </c>
      <c r="D2165" s="603">
        <f>-'Sollecitazioni nel paramento'!$G$47*'Sollecitazioni nel paramento'!$G$41*IF(DATI!$G$211="dx",DATI!$E$61,DATI!$E$64*DATI!$E$63)*1000*C2165^2*sezione!$AD$5*(1-sezione!$AD$6)</f>
        <v>-869998138.20635641</v>
      </c>
      <c r="E2165" s="545">
        <f>-'Foglio deposito bis'!$F$78*(C2165-sezione!$AL$35)*IF(ABS(K2165)&lt;'Sollecitazioni nel paramento'!$G$58,ABS(K2165)*'Sollecitazioni nel paramento'!$G$54,'Sollecitazioni nel paramento'!$G$53)</f>
        <v>0</v>
      </c>
      <c r="F2165" s="545">
        <f>-'Foglio deposito bis'!$F$79*(C2165-sezione!$AM$35)*IF(ABS(L2165)&lt;'Sollecitazioni nel paramento'!$G$58,ABS(L2165)*'Sollecitazioni nel paramento'!$G$54,'Sollecitazioni nel paramento'!$G$53)</f>
        <v>-21166694.471096128</v>
      </c>
      <c r="G2165" s="545">
        <f>-'Foglio deposito bis'!$F$80*(C2165-sezione!$AN$35)*IF(ABS(M2165)&lt;'Sollecitazioni nel paramento'!$G$58,ABS(M2165)*'Sollecitazioni nel paramento'!$G$54,'Sollecitazioni nel paramento'!$G$53)</f>
        <v>0</v>
      </c>
      <c r="H2165" s="545">
        <f>-'Foglio deposito bis'!$F$81*(C2165-sezione!$AO$35)*IF(ABS(N2165)&lt;'Sollecitazioni nel paramento'!$G$58,ABS(N2165)*'Sollecitazioni nel paramento'!$G$54,'Sollecitazioni nel paramento'!$G$53)</f>
        <v>-5287628.2705341382</v>
      </c>
      <c r="I2165" s="472">
        <f>-'Foglio deposito bis'!$F$82*(C2165-sezione!$AP$35)*IF(ABS(O2165)&lt;'Sollecitazioni nel paramento'!$G$58,ABS(O2165)*'Sollecitazioni nel paramento'!$G$54,'Sollecitazioni nel paramento'!$G$53)</f>
        <v>443205390.53162247</v>
      </c>
      <c r="J2165" s="472">
        <f t="shared" si="149"/>
        <v>-453247070.41636425</v>
      </c>
      <c r="K2165" s="550">
        <f>'Sollecitazioni nel paramento'!$G$60*(sezione!$AL$35-C2165)/C2165</f>
        <v>-2.7920204935136077E-3</v>
      </c>
      <c r="L2165" s="550">
        <f>'Sollecitazioni nel paramento'!$G$60*(sezione!$AM$35-C2165)/C2165</f>
        <v>-2.4380307402704117E-3</v>
      </c>
      <c r="M2165" s="551">
        <f>'Sollecitazioni nel paramento'!$G$60*(sezione!$AN$35-C2165)/C2165</f>
        <v>-2.0840409870272153E-3</v>
      </c>
      <c r="N2165" s="551">
        <f>'Sollecitazioni nel paramento'!$G$60*(sezione!$AO$35-C2165)/C2165</f>
        <v>-6.6808197405443049E-4</v>
      </c>
      <c r="O2165" s="551">
        <f>'Sollecitazioni nel paramento'!$G$60*(sezione!$AP$35-C2165)/C2165</f>
        <v>8.7895079306995593E-3</v>
      </c>
      <c r="P2165" s="545">
        <f>-'Sollecitazioni nel paramento'!$G$47*'Sollecitazioni nel paramento'!$G$41*IF(DATI!$G$211="dx",DATI!$E$61,DATI!$E$64*DATI!$E$63)*1000*C2165*sezione!$AD$5</f>
        <v>-7533523.147399907</v>
      </c>
      <c r="Q2165" s="545">
        <f>'Foglio deposito bis'!$F$78*IF(ABS(K2165)&lt;'Sollecitazioni nel paramento'!$G$58,ABS(K2165)*'Sollecitazioni nel paramento'!$G$54,'Sollecitazioni nel paramento'!$G$53)*IF(K2165&lt;0,-1,1)</f>
        <v>0</v>
      </c>
      <c r="R2165" s="545">
        <f>'Foglio deposito bis'!$F$79*IF(ABS(L2165)&lt;'Sollecitazioni nel paramento'!$G$58,ABS(L2165)*'Sollecitazioni nel paramento'!$G$54,'Sollecitazioni nel paramento'!$G$53)*IF(L2165&lt;0,-1,1)</f>
        <v>-153664.85805602249</v>
      </c>
      <c r="S2165" s="545">
        <f>'Foglio deposito bis'!$F$80*IF(ABS(M2165)&lt;'Sollecitazioni nel paramento'!$G$58,ABS(M2165)*'Sollecitazioni nel paramento'!$G$54,'Sollecitazioni nel paramento'!$G$53)*IF(M2165&lt;0,-1,1)</f>
        <v>0</v>
      </c>
      <c r="T2165" s="545">
        <f>'Foglio deposito bis'!$F$81*IF(ABS(N2165)&lt;'Sollecitazioni nel paramento'!$G$58,ABS(N2165)*'Sollecitazioni nel paramento'!$G$54,'Sollecitazioni nel paramento'!$G$53)*IF(N2165&lt;0,-1,1)</f>
        <v>-140085.07184895469</v>
      </c>
      <c r="U2165" s="545">
        <f>'Foglio deposito bis'!$F$82*IF(ABS(O2165)&lt;'Sollecitazioni nel paramento'!$G$58,ABS(O2165)*'Sollecitazioni nel paramento'!$G$54,'Sollecitazioni nel paramento'!$G$53)*IF(O2165&lt;0,-1,1)</f>
        <v>892485.49558937876</v>
      </c>
      <c r="V2165" s="472">
        <f t="shared" si="151"/>
        <v>-6934787.5817155056</v>
      </c>
      <c r="W2165" s="551"/>
      <c r="X2165" s="551"/>
    </row>
    <row r="2166" spans="1:24" x14ac:dyDescent="0.25">
      <c r="A2166" s="545">
        <f t="shared" si="150"/>
        <v>7016409.8751112912</v>
      </c>
      <c r="B2166" s="3">
        <f t="shared" si="152"/>
        <v>20.099999999999952</v>
      </c>
      <c r="C2166" s="545">
        <f>'Foglio deposito bis'!$E$161/sezione!$B$247*B2166</f>
        <v>199.73323221976241</v>
      </c>
      <c r="D2166" s="603">
        <f>-'Sollecitazioni nel paramento'!$G$47*'Sollecitazioni nel paramento'!$G$41*IF(DATI!$G$211="dx",DATI!$E$61,DATI!$E$64*DATI!$E$63)*1000*C2166^2*sezione!$AD$5*(1-sezione!$AD$6)</f>
        <v>-887573414.35001671</v>
      </c>
      <c r="E2166" s="545">
        <f>-'Foglio deposito bis'!$F$78*(C2166-sezione!$AL$35)*IF(ABS(K2166)&lt;'Sollecitazioni nel paramento'!$G$58,ABS(K2166)*'Sollecitazioni nel paramento'!$G$54,'Sollecitazioni nel paramento'!$G$53)</f>
        <v>0</v>
      </c>
      <c r="F2166" s="545">
        <f>-'Foglio deposito bis'!$F$79*(C2166-sezione!$AM$35)*IF(ABS(L2166)&lt;'Sollecitazioni nel paramento'!$G$58,ABS(L2166)*'Sollecitazioni nel paramento'!$G$54,'Sollecitazioni nel paramento'!$G$53)</f>
        <v>-21472087.29475902</v>
      </c>
      <c r="G2166" s="545">
        <f>-'Foglio deposito bis'!$F$80*(C2166-sezione!$AN$35)*IF(ABS(M2166)&lt;'Sollecitazioni nel paramento'!$G$58,ABS(M2166)*'Sollecitazioni nel paramento'!$G$54,'Sollecitazioni nel paramento'!$G$53)</f>
        <v>0</v>
      </c>
      <c r="H2166" s="545">
        <f>-'Foglio deposito bis'!$F$81*(C2166-sezione!$AO$35)*IF(ABS(N2166)&lt;'Sollecitazioni nel paramento'!$G$58,ABS(N2166)*'Sollecitazioni nel paramento'!$G$54,'Sollecitazioni nel paramento'!$G$53)</f>
        <v>-5800796.2115321727</v>
      </c>
      <c r="I2166" s="472">
        <f>-'Foglio deposito bis'!$F$82*(C2166-sezione!$AP$35)*IF(ABS(O2166)&lt;'Sollecitazioni nel paramento'!$G$58,ABS(O2166)*'Sollecitazioni nel paramento'!$G$54,'Sollecitazioni nel paramento'!$G$53)</f>
        <v>441431669.01178843</v>
      </c>
      <c r="J2166" s="472">
        <f t="shared" si="149"/>
        <v>-473414628.84451944</v>
      </c>
      <c r="K2166" s="550">
        <f>'Sollecitazioni nel paramento'!$G$60*(sezione!$AL$35-C2166)/C2166</f>
        <v>-2.7990650657174522E-3</v>
      </c>
      <c r="L2166" s="550">
        <f>'Sollecitazioni nel paramento'!$G$60*(sezione!$AM$35-C2166)/C2166</f>
        <v>-2.4485975985761785E-3</v>
      </c>
      <c r="M2166" s="551">
        <f>'Sollecitazioni nel paramento'!$G$60*(sezione!$AN$35-C2166)/C2166</f>
        <v>-2.0981301314349048E-3</v>
      </c>
      <c r="N2166" s="551">
        <f>'Sollecitazioni nel paramento'!$G$60*(sezione!$AO$35-C2166)/C2166</f>
        <v>-6.9626026286980934E-4</v>
      </c>
      <c r="O2166" s="551">
        <f>'Sollecitazioni nel paramento'!$G$60*(sezione!$AP$35-C2166)/C2166</f>
        <v>8.6672242696975745E-3</v>
      </c>
      <c r="P2166" s="545">
        <f>-'Sollecitazioni nel paramento'!$G$47*'Sollecitazioni nel paramento'!$G$41*IF(DATI!$G$211="dx",DATI!$E$61,DATI!$E$64*DATI!$E$63)*1000*C2166*sezione!$AD$5</f>
        <v>-7609236.9478762867</v>
      </c>
      <c r="Q2166" s="545">
        <f>'Foglio deposito bis'!$F$78*IF(ABS(K2166)&lt;'Sollecitazioni nel paramento'!$G$58,ABS(K2166)*'Sollecitazioni nel paramento'!$G$54,'Sollecitazioni nel paramento'!$G$53)*IF(K2166&lt;0,-1,1)</f>
        <v>0</v>
      </c>
      <c r="R2166" s="545">
        <f>'Foglio deposito bis'!$F$79*IF(ABS(L2166)&lt;'Sollecitazioni nel paramento'!$G$58,ABS(L2166)*'Sollecitazioni nel paramento'!$G$54,'Sollecitazioni nel paramento'!$G$53)*IF(L2166&lt;0,-1,1)</f>
        <v>-153664.85805602249</v>
      </c>
      <c r="S2166" s="545">
        <f>'Foglio deposito bis'!$F$80*IF(ABS(M2166)&lt;'Sollecitazioni nel paramento'!$G$58,ABS(M2166)*'Sollecitazioni nel paramento'!$G$54,'Sollecitazioni nel paramento'!$G$53)*IF(M2166&lt;0,-1,1)</f>
        <v>0</v>
      </c>
      <c r="T2166" s="545">
        <f>'Foglio deposito bis'!$F$81*IF(ABS(N2166)&lt;'Sollecitazioni nel paramento'!$G$58,ABS(N2166)*'Sollecitazioni nel paramento'!$G$54,'Sollecitazioni nel paramento'!$G$53)*IF(N2166&lt;0,-1,1)</f>
        <v>-145993.56476836003</v>
      </c>
      <c r="U2166" s="545">
        <f>'Foglio deposito bis'!$F$82*IF(ABS(O2166)&lt;'Sollecitazioni nel paramento'!$G$58,ABS(O2166)*'Sollecitazioni nel paramento'!$G$54,'Sollecitazioni nel paramento'!$G$53)*IF(O2166&lt;0,-1,1)</f>
        <v>892485.49558937876</v>
      </c>
      <c r="V2166" s="472">
        <f t="shared" si="151"/>
        <v>-7016409.8751112912</v>
      </c>
      <c r="W2166" s="551"/>
      <c r="X2166" s="551"/>
    </row>
    <row r="2167" spans="1:24" x14ac:dyDescent="0.25">
      <c r="A2167" s="545">
        <f t="shared" si="150"/>
        <v>7097915.745001277</v>
      </c>
      <c r="B2167" s="3">
        <f t="shared" si="152"/>
        <v>20.299999999999951</v>
      </c>
      <c r="C2167" s="545">
        <f>'Foglio deposito bis'!$E$161/sezione!$B$247*B2167</f>
        <v>201.72062756523269</v>
      </c>
      <c r="D2167" s="603">
        <f>-'Sollecitazioni nel paramento'!$G$47*'Sollecitazioni nel paramento'!$G$41*IF(DATI!$G$211="dx",DATI!$E$61,DATI!$E$64*DATI!$E$63)*1000*C2167^2*sezione!$AD$5*(1-sezione!$AD$6)</f>
        <v>-905324443.25511336</v>
      </c>
      <c r="E2167" s="545">
        <f>-'Foglio deposito bis'!$F$78*(C2167-sezione!$AL$35)*IF(ABS(K2167)&lt;'Sollecitazioni nel paramento'!$G$58,ABS(K2167)*'Sollecitazioni nel paramento'!$G$54,'Sollecitazioni nel paramento'!$G$53)</f>
        <v>0</v>
      </c>
      <c r="F2167" s="545">
        <f>-'Foglio deposito bis'!$F$79*(C2167-sezione!$AM$35)*IF(ABS(L2167)&lt;'Sollecitazioni nel paramento'!$G$58,ABS(L2167)*'Sollecitazioni nel paramento'!$G$54,'Sollecitazioni nel paramento'!$G$53)</f>
        <v>-21777480.118421908</v>
      </c>
      <c r="G2167" s="545">
        <f>-'Foglio deposito bis'!$F$80*(C2167-sezione!$AN$35)*IF(ABS(M2167)&lt;'Sollecitazioni nel paramento'!$G$58,ABS(M2167)*'Sollecitazioni nel paramento'!$G$54,'Sollecitazioni nel paramento'!$G$53)</f>
        <v>0</v>
      </c>
      <c r="H2167" s="545">
        <f>-'Foglio deposito bis'!$F$81*(C2167-sezione!$AO$35)*IF(ABS(N2167)&lt;'Sollecitazioni nel paramento'!$G$58,ABS(N2167)*'Sollecitazioni nel paramento'!$G$54,'Sollecitazioni nel paramento'!$G$53)</f>
        <v>-6332591.9134583827</v>
      </c>
      <c r="I2167" s="472">
        <f>-'Foglio deposito bis'!$F$82*(C2167-sezione!$AP$35)*IF(ABS(O2167)&lt;'Sollecitazioni nel paramento'!$G$58,ABS(O2167)*'Sollecitazioni nel paramento'!$G$54,'Sollecitazioni nel paramento'!$G$53)</f>
        <v>439657947.49195433</v>
      </c>
      <c r="J2167" s="472">
        <f t="shared" si="149"/>
        <v>-493776567.7950393</v>
      </c>
      <c r="K2167" s="550">
        <f>'Sollecitazioni nel paramento'!$G$60*(sezione!$AL$35-C2167)/C2167</f>
        <v>-2.8059708286167877E-3</v>
      </c>
      <c r="L2167" s="550">
        <f>'Sollecitazioni nel paramento'!$G$60*(sezione!$AM$35-C2167)/C2167</f>
        <v>-2.4589562429251817E-3</v>
      </c>
      <c r="M2167" s="551">
        <f>'Sollecitazioni nel paramento'!$G$60*(sezione!$AN$35-C2167)/C2167</f>
        <v>-2.1119416572335757E-3</v>
      </c>
      <c r="N2167" s="551">
        <f>'Sollecitazioni nel paramento'!$G$60*(sezione!$AO$35-C2167)/C2167</f>
        <v>-7.2388331446715114E-4</v>
      </c>
      <c r="O2167" s="551">
        <f>'Sollecitazioni nel paramento'!$G$60*(sezione!$AP$35-C2167)/C2167</f>
        <v>8.5473501389616378E-3</v>
      </c>
      <c r="P2167" s="545">
        <f>-'Sollecitazioni nel paramento'!$G$47*'Sollecitazioni nel paramento'!$G$41*IF(DATI!$G$211="dx",DATI!$E$61,DATI!$E$64*DATI!$E$63)*1000*C2167*sezione!$AD$5</f>
        <v>-7684950.7483526682</v>
      </c>
      <c r="Q2167" s="545">
        <f>'Foglio deposito bis'!$F$78*IF(ABS(K2167)&lt;'Sollecitazioni nel paramento'!$G$58,ABS(K2167)*'Sollecitazioni nel paramento'!$G$54,'Sollecitazioni nel paramento'!$G$53)*IF(K2167&lt;0,-1,1)</f>
        <v>0</v>
      </c>
      <c r="R2167" s="545">
        <f>'Foglio deposito bis'!$F$79*IF(ABS(L2167)&lt;'Sollecitazioni nel paramento'!$G$58,ABS(L2167)*'Sollecitazioni nel paramento'!$G$54,'Sollecitazioni nel paramento'!$G$53)*IF(L2167&lt;0,-1,1)</f>
        <v>-153664.85805602249</v>
      </c>
      <c r="S2167" s="545">
        <f>'Foglio deposito bis'!$F$80*IF(ABS(M2167)&lt;'Sollecitazioni nel paramento'!$G$58,ABS(M2167)*'Sollecitazioni nel paramento'!$G$54,'Sollecitazioni nel paramento'!$G$53)*IF(M2167&lt;0,-1,1)</f>
        <v>0</v>
      </c>
      <c r="T2167" s="545">
        <f>'Foglio deposito bis'!$F$81*IF(ABS(N2167)&lt;'Sollecitazioni nel paramento'!$G$58,ABS(N2167)*'Sollecitazioni nel paramento'!$G$54,'Sollecitazioni nel paramento'!$G$53)*IF(N2167&lt;0,-1,1)</f>
        <v>-151785.63418196424</v>
      </c>
      <c r="U2167" s="545">
        <f>'Foglio deposito bis'!$F$82*IF(ABS(O2167)&lt;'Sollecitazioni nel paramento'!$G$58,ABS(O2167)*'Sollecitazioni nel paramento'!$G$54,'Sollecitazioni nel paramento'!$G$53)*IF(O2167&lt;0,-1,1)</f>
        <v>892485.49558937876</v>
      </c>
      <c r="V2167" s="472">
        <f t="shared" si="151"/>
        <v>-7097915.745001277</v>
      </c>
      <c r="W2167" s="551"/>
      <c r="X2167" s="551"/>
    </row>
    <row r="2168" spans="1:24" x14ac:dyDescent="0.25">
      <c r="A2168" s="545">
        <f t="shared" si="150"/>
        <v>7179308.5989027042</v>
      </c>
      <c r="B2168" s="3">
        <f t="shared" si="152"/>
        <v>20.49999999999995</v>
      </c>
      <c r="C2168" s="545">
        <f>'Foglio deposito bis'!$E$161/sezione!$B$247*B2168</f>
        <v>203.70802291070297</v>
      </c>
      <c r="D2168" s="603">
        <f>-'Sollecitazioni nel paramento'!$G$47*'Sollecitazioni nel paramento'!$G$41*IF(DATI!$G$211="dx",DATI!$E$61,DATI!$E$64*DATI!$E$63)*1000*C2168^2*sezione!$AD$5*(1-sezione!$AD$6)</f>
        <v>-923251224.92164683</v>
      </c>
      <c r="E2168" s="545">
        <f>-'Foglio deposito bis'!$F$78*(C2168-sezione!$AL$35)*IF(ABS(K2168)&lt;'Sollecitazioni nel paramento'!$G$58,ABS(K2168)*'Sollecitazioni nel paramento'!$G$54,'Sollecitazioni nel paramento'!$G$53)</f>
        <v>0</v>
      </c>
      <c r="F2168" s="545">
        <f>-'Foglio deposito bis'!$F$79*(C2168-sezione!$AM$35)*IF(ABS(L2168)&lt;'Sollecitazioni nel paramento'!$G$58,ABS(L2168)*'Sollecitazioni nel paramento'!$G$54,'Sollecitazioni nel paramento'!$G$53)</f>
        <v>-22082872.9420848</v>
      </c>
      <c r="G2168" s="545">
        <f>-'Foglio deposito bis'!$F$80*(C2168-sezione!$AN$35)*IF(ABS(M2168)&lt;'Sollecitazioni nel paramento'!$G$58,ABS(M2168)*'Sollecitazioni nel paramento'!$G$54,'Sollecitazioni nel paramento'!$G$53)</f>
        <v>0</v>
      </c>
      <c r="H2168" s="545">
        <f>-'Foglio deposito bis'!$F$81*(C2168-sezione!$AO$35)*IF(ABS(N2168)&lt;'Sollecitazioni nel paramento'!$G$58,ABS(N2168)*'Sollecitazioni nel paramento'!$G$54,'Sollecitazioni nel paramento'!$G$53)</f>
        <v>-6882470.1735538952</v>
      </c>
      <c r="I2168" s="472">
        <f>-'Foglio deposito bis'!$F$82*(C2168-sezione!$AP$35)*IF(ABS(O2168)&lt;'Sollecitazioni nel paramento'!$G$58,ABS(O2168)*'Sollecitazioni nel paramento'!$G$54,'Sollecitazioni nel paramento'!$G$53)</f>
        <v>437884225.97212029</v>
      </c>
      <c r="J2168" s="472">
        <f t="shared" si="149"/>
        <v>-514332342.06516528</v>
      </c>
      <c r="K2168" s="550">
        <f>'Sollecitazioni nel paramento'!$G$60*(sezione!$AL$35-C2168)/C2168</f>
        <v>-2.8127418449229659E-3</v>
      </c>
      <c r="L2168" s="550">
        <f>'Sollecitazioni nel paramento'!$G$60*(sezione!$AM$35-C2168)/C2168</f>
        <v>-2.4691127673844484E-3</v>
      </c>
      <c r="M2168" s="551">
        <f>'Sollecitazioni nel paramento'!$G$60*(sezione!$AN$35-C2168)/C2168</f>
        <v>-2.1254836898459309E-3</v>
      </c>
      <c r="N2168" s="551">
        <f>'Sollecitazioni nel paramento'!$G$60*(sezione!$AO$35-C2168)/C2168</f>
        <v>-7.5096737969186189E-4</v>
      </c>
      <c r="O2168" s="551">
        <f>'Sollecitazioni nel paramento'!$G$60*(sezione!$AP$35-C2168)/C2168</f>
        <v>8.429815015654693E-3</v>
      </c>
      <c r="P2168" s="545">
        <f>-'Sollecitazioni nel paramento'!$G$47*'Sollecitazioni nel paramento'!$G$41*IF(DATI!$G$211="dx",DATI!$E$61,DATI!$E$64*DATI!$E$63)*1000*C2168*sezione!$AD$5</f>
        <v>-7760664.5488290498</v>
      </c>
      <c r="Q2168" s="545">
        <f>'Foglio deposito bis'!$F$78*IF(ABS(K2168)&lt;'Sollecitazioni nel paramento'!$G$58,ABS(K2168)*'Sollecitazioni nel paramento'!$G$54,'Sollecitazioni nel paramento'!$G$53)*IF(K2168&lt;0,-1,1)</f>
        <v>0</v>
      </c>
      <c r="R2168" s="545">
        <f>'Foglio deposito bis'!$F$79*IF(ABS(L2168)&lt;'Sollecitazioni nel paramento'!$G$58,ABS(L2168)*'Sollecitazioni nel paramento'!$G$54,'Sollecitazioni nel paramento'!$G$53)*IF(L2168&lt;0,-1,1)</f>
        <v>-153664.85805602249</v>
      </c>
      <c r="S2168" s="545">
        <f>'Foglio deposito bis'!$F$80*IF(ABS(M2168)&lt;'Sollecitazioni nel paramento'!$G$58,ABS(M2168)*'Sollecitazioni nel paramento'!$G$54,'Sollecitazioni nel paramento'!$G$53)*IF(M2168&lt;0,-1,1)</f>
        <v>0</v>
      </c>
      <c r="T2168" s="545">
        <f>'Foglio deposito bis'!$F$81*IF(ABS(N2168)&lt;'Sollecitazioni nel paramento'!$G$58,ABS(N2168)*'Sollecitazioni nel paramento'!$G$54,'Sollecitazioni nel paramento'!$G$53)*IF(N2168&lt;0,-1,1)</f>
        <v>-157464.68760701039</v>
      </c>
      <c r="U2168" s="545">
        <f>'Foglio deposito bis'!$F$82*IF(ABS(O2168)&lt;'Sollecitazioni nel paramento'!$G$58,ABS(O2168)*'Sollecitazioni nel paramento'!$G$54,'Sollecitazioni nel paramento'!$G$53)*IF(O2168&lt;0,-1,1)</f>
        <v>892485.49558937876</v>
      </c>
      <c r="V2168" s="472">
        <f t="shared" si="151"/>
        <v>-7179308.5989027042</v>
      </c>
      <c r="W2168" s="551"/>
      <c r="X2168" s="551"/>
    </row>
    <row r="2169" spans="1:24" x14ac:dyDescent="0.25">
      <c r="A2169" s="545">
        <f t="shared" si="150"/>
        <v>7260591.7126413267</v>
      </c>
      <c r="B2169" s="3">
        <f t="shared" si="152"/>
        <v>20.69999999999995</v>
      </c>
      <c r="C2169" s="545">
        <f>'Foglio deposito bis'!$E$161/sezione!$B$247*B2169</f>
        <v>205.69541825617321</v>
      </c>
      <c r="D2169" s="603">
        <f>-'Sollecitazioni nel paramento'!$G$47*'Sollecitazioni nel paramento'!$G$41*IF(DATI!$G$211="dx",DATI!$E$61,DATI!$E$64*DATI!$E$63)*1000*C2169^2*sezione!$AD$5*(1-sezione!$AD$6)</f>
        <v>-941353759.34961653</v>
      </c>
      <c r="E2169" s="545">
        <f>-'Foglio deposito bis'!$F$78*(C2169-sezione!$AL$35)*IF(ABS(K2169)&lt;'Sollecitazioni nel paramento'!$G$58,ABS(K2169)*'Sollecitazioni nel paramento'!$G$54,'Sollecitazioni nel paramento'!$G$53)</f>
        <v>0</v>
      </c>
      <c r="F2169" s="545">
        <f>-'Foglio deposito bis'!$F$79*(C2169-sezione!$AM$35)*IF(ABS(L2169)&lt;'Sollecitazioni nel paramento'!$G$58,ABS(L2169)*'Sollecitazioni nel paramento'!$G$54,'Sollecitazioni nel paramento'!$G$53)</f>
        <v>-22388265.765747685</v>
      </c>
      <c r="G2169" s="545">
        <f>-'Foglio deposito bis'!$F$80*(C2169-sezione!$AN$35)*IF(ABS(M2169)&lt;'Sollecitazioni nel paramento'!$G$58,ABS(M2169)*'Sollecitazioni nel paramento'!$G$54,'Sollecitazioni nel paramento'!$G$53)</f>
        <v>0</v>
      </c>
      <c r="H2169" s="545">
        <f>-'Foglio deposito bis'!$F$81*(C2169-sezione!$AO$35)*IF(ABS(N2169)&lt;'Sollecitazioni nel paramento'!$G$58,ABS(N2169)*'Sollecitazioni nel paramento'!$G$54,'Sollecitazioni nel paramento'!$G$53)</f>
        <v>-7449906.8596978486</v>
      </c>
      <c r="I2169" s="472">
        <f>-'Foglio deposito bis'!$F$82*(C2169-sezione!$AP$35)*IF(ABS(O2169)&lt;'Sollecitazioni nel paramento'!$G$58,ABS(O2169)*'Sollecitazioni nel paramento'!$G$54,'Sollecitazioni nel paramento'!$G$53)</f>
        <v>436110504.45228618</v>
      </c>
      <c r="J2169" s="472">
        <f t="shared" si="149"/>
        <v>-535081427.52277583</v>
      </c>
      <c r="K2169" s="550">
        <f>'Sollecitazioni nel paramento'!$G$60*(sezione!$AL$35-C2169)/C2169</f>
        <v>-2.8193820203343376E-3</v>
      </c>
      <c r="L2169" s="550">
        <f>'Sollecitazioni nel paramento'!$G$60*(sezione!$AM$35-C2169)/C2169</f>
        <v>-2.4790730305015067E-3</v>
      </c>
      <c r="M2169" s="551">
        <f>'Sollecitazioni nel paramento'!$G$60*(sezione!$AN$35-C2169)/C2169</f>
        <v>-2.1387640406686755E-3</v>
      </c>
      <c r="N2169" s="551">
        <f>'Sollecitazioni nel paramento'!$G$60*(sezione!$AO$35-C2169)/C2169</f>
        <v>-7.775280813373508E-4</v>
      </c>
      <c r="O2169" s="551">
        <f>'Sollecitazioni nel paramento'!$G$60*(sezione!$AP$35-C2169)/C2169</f>
        <v>8.314551102459964E-3</v>
      </c>
      <c r="P2169" s="545">
        <f>-'Sollecitazioni nel paramento'!$G$47*'Sollecitazioni nel paramento'!$G$41*IF(DATI!$G$211="dx",DATI!$E$61,DATI!$E$64*DATI!$E$63)*1000*C2169*sezione!$AD$5</f>
        <v>-7836378.3493054295</v>
      </c>
      <c r="Q2169" s="545">
        <f>'Foglio deposito bis'!$F$78*IF(ABS(K2169)&lt;'Sollecitazioni nel paramento'!$G$58,ABS(K2169)*'Sollecitazioni nel paramento'!$G$54,'Sollecitazioni nel paramento'!$G$53)*IF(K2169&lt;0,-1,1)</f>
        <v>0</v>
      </c>
      <c r="R2169" s="545">
        <f>'Foglio deposito bis'!$F$79*IF(ABS(L2169)&lt;'Sollecitazioni nel paramento'!$G$58,ABS(L2169)*'Sollecitazioni nel paramento'!$G$54,'Sollecitazioni nel paramento'!$G$53)*IF(L2169&lt;0,-1,1)</f>
        <v>-153664.85805602249</v>
      </c>
      <c r="S2169" s="545">
        <f>'Foglio deposito bis'!$F$80*IF(ABS(M2169)&lt;'Sollecitazioni nel paramento'!$G$58,ABS(M2169)*'Sollecitazioni nel paramento'!$G$54,'Sollecitazioni nel paramento'!$G$53)*IF(M2169&lt;0,-1,1)</f>
        <v>0</v>
      </c>
      <c r="T2169" s="545">
        <f>'Foglio deposito bis'!$F$81*IF(ABS(N2169)&lt;'Sollecitazioni nel paramento'!$G$58,ABS(N2169)*'Sollecitazioni nel paramento'!$G$54,'Sollecitazioni nel paramento'!$G$53)*IF(N2169&lt;0,-1,1)</f>
        <v>-163034.00086925356</v>
      </c>
      <c r="U2169" s="545">
        <f>'Foglio deposito bis'!$F$82*IF(ABS(O2169)&lt;'Sollecitazioni nel paramento'!$G$58,ABS(O2169)*'Sollecitazioni nel paramento'!$G$54,'Sollecitazioni nel paramento'!$G$53)*IF(O2169&lt;0,-1,1)</f>
        <v>892485.49558937876</v>
      </c>
      <c r="V2169" s="472">
        <f t="shared" si="151"/>
        <v>-7260591.7126413267</v>
      </c>
      <c r="W2169" s="551"/>
      <c r="X2169" s="551"/>
    </row>
    <row r="2170" spans="1:24" x14ac:dyDescent="0.25">
      <c r="A2170" s="545">
        <f t="shared" si="150"/>
        <v>7341768.236652445</v>
      </c>
      <c r="B2170" s="3">
        <f t="shared" si="152"/>
        <v>20.899999999999949</v>
      </c>
      <c r="C2170" s="545">
        <f>'Foglio deposito bis'!$E$161/sezione!$B$247*B2170</f>
        <v>207.68281360164349</v>
      </c>
      <c r="D2170" s="603">
        <f>-'Sollecitazioni nel paramento'!$G$47*'Sollecitazioni nel paramento'!$G$41*IF(DATI!$G$211="dx",DATI!$E$61,DATI!$E$64*DATI!$E$63)*1000*C2170^2*sezione!$AD$5*(1-sezione!$AD$6)</f>
        <v>-959632046.53902304</v>
      </c>
      <c r="E2170" s="545">
        <f>-'Foglio deposito bis'!$F$78*(C2170-sezione!$AL$35)*IF(ABS(K2170)&lt;'Sollecitazioni nel paramento'!$G$58,ABS(K2170)*'Sollecitazioni nel paramento'!$G$54,'Sollecitazioni nel paramento'!$G$53)</f>
        <v>0</v>
      </c>
      <c r="F2170" s="545">
        <f>-'Foglio deposito bis'!$F$79*(C2170-sezione!$AM$35)*IF(ABS(L2170)&lt;'Sollecitazioni nel paramento'!$G$58,ABS(L2170)*'Sollecitazioni nel paramento'!$G$54,'Sollecitazioni nel paramento'!$G$53)</f>
        <v>-22693658.589410577</v>
      </c>
      <c r="G2170" s="545">
        <f>-'Foglio deposito bis'!$F$80*(C2170-sezione!$AN$35)*IF(ABS(M2170)&lt;'Sollecitazioni nel paramento'!$G$58,ABS(M2170)*'Sollecitazioni nel paramento'!$G$54,'Sollecitazioni nel paramento'!$G$53)</f>
        <v>0</v>
      </c>
      <c r="H2170" s="545">
        <f>-'Foglio deposito bis'!$F$81*(C2170-sezione!$AO$35)*IF(ABS(N2170)&lt;'Sollecitazioni nel paramento'!$G$58,ABS(N2170)*'Sollecitazioni nel paramento'!$G$54,'Sollecitazioni nel paramento'!$G$53)</f>
        <v>-8034397.9022429409</v>
      </c>
      <c r="I2170" s="472">
        <f>-'Foglio deposito bis'!$F$82*(C2170-sezione!$AP$35)*IF(ABS(O2170)&lt;'Sollecitazioni nel paramento'!$G$58,ABS(O2170)*'Sollecitazioni nel paramento'!$G$54,'Sollecitazioni nel paramento'!$G$53)</f>
        <v>434336782.93245214</v>
      </c>
      <c r="J2170" s="472">
        <f t="shared" si="149"/>
        <v>-556023320.0982244</v>
      </c>
      <c r="K2170" s="550">
        <f>'Sollecitazioni nel paramento'!$G$60*(sezione!$AL$35-C2170)/C2170</f>
        <v>-2.8258951110488417E-3</v>
      </c>
      <c r="L2170" s="550">
        <f>'Sollecitazioni nel paramento'!$G$60*(sezione!$AM$35-C2170)/C2170</f>
        <v>-2.4888426665732625E-3</v>
      </c>
      <c r="M2170" s="551">
        <f>'Sollecitazioni nel paramento'!$G$60*(sezione!$AN$35-C2170)/C2170</f>
        <v>-2.1517902220976833E-3</v>
      </c>
      <c r="N2170" s="551">
        <f>'Sollecitazioni nel paramento'!$G$60*(sezione!$AO$35-C2170)/C2170</f>
        <v>-8.0358044419536661E-4</v>
      </c>
      <c r="O2170" s="551">
        <f>'Sollecitazioni nel paramento'!$G$60*(sezione!$AP$35-C2170)/C2170</f>
        <v>8.2014931971732662E-3</v>
      </c>
      <c r="P2170" s="545">
        <f>-'Sollecitazioni nel paramento'!$G$47*'Sollecitazioni nel paramento'!$G$41*IF(DATI!$G$211="dx",DATI!$E$61,DATI!$E$64*DATI!$E$63)*1000*C2170*sezione!$AD$5</f>
        <v>-7912092.1497818111</v>
      </c>
      <c r="Q2170" s="545">
        <f>'Foglio deposito bis'!$F$78*IF(ABS(K2170)&lt;'Sollecitazioni nel paramento'!$G$58,ABS(K2170)*'Sollecitazioni nel paramento'!$G$54,'Sollecitazioni nel paramento'!$G$53)*IF(K2170&lt;0,-1,1)</f>
        <v>0</v>
      </c>
      <c r="R2170" s="545">
        <f>'Foglio deposito bis'!$F$79*IF(ABS(L2170)&lt;'Sollecitazioni nel paramento'!$G$58,ABS(L2170)*'Sollecitazioni nel paramento'!$G$54,'Sollecitazioni nel paramento'!$G$53)*IF(L2170&lt;0,-1,1)</f>
        <v>-153664.85805602249</v>
      </c>
      <c r="S2170" s="545">
        <f>'Foglio deposito bis'!$F$80*IF(ABS(M2170)&lt;'Sollecitazioni nel paramento'!$G$58,ABS(M2170)*'Sollecitazioni nel paramento'!$G$54,'Sollecitazioni nel paramento'!$G$53)*IF(M2170&lt;0,-1,1)</f>
        <v>0</v>
      </c>
      <c r="T2170" s="545">
        <f>'Foglio deposito bis'!$F$81*IF(ABS(N2170)&lt;'Sollecitazioni nel paramento'!$G$58,ABS(N2170)*'Sollecitazioni nel paramento'!$G$54,'Sollecitazioni nel paramento'!$G$53)*IF(N2170&lt;0,-1,1)</f>
        <v>-168496.72440398982</v>
      </c>
      <c r="U2170" s="545">
        <f>'Foglio deposito bis'!$F$82*IF(ABS(O2170)&lt;'Sollecitazioni nel paramento'!$G$58,ABS(O2170)*'Sollecitazioni nel paramento'!$G$54,'Sollecitazioni nel paramento'!$G$53)*IF(O2170&lt;0,-1,1)</f>
        <v>892485.49558937876</v>
      </c>
      <c r="V2170" s="472">
        <f t="shared" si="151"/>
        <v>-7341768.236652445</v>
      </c>
      <c r="W2170" s="551"/>
      <c r="X2170" s="551"/>
    </row>
    <row r="2171" spans="1:24" x14ac:dyDescent="0.25">
      <c r="A2171" s="545">
        <f t="shared" si="150"/>
        <v>7422841.2019235659</v>
      </c>
      <c r="B2171" s="3">
        <f t="shared" si="152"/>
        <v>21.099999999999948</v>
      </c>
      <c r="C2171" s="545">
        <f>'Foglio deposito bis'!$E$161/sezione!$B$247*B2171</f>
        <v>209.67020894711376</v>
      </c>
      <c r="D2171" s="603">
        <f>-'Sollecitazioni nel paramento'!$G$47*'Sollecitazioni nel paramento'!$G$41*IF(DATI!$G$211="dx",DATI!$E$61,DATI!$E$64*DATI!$E$63)*1000*C2171^2*sezione!$AD$5*(1-sezione!$AD$6)</f>
        <v>-978086086.48986614</v>
      </c>
      <c r="E2171" s="545">
        <f>-'Foglio deposito bis'!$F$78*(C2171-sezione!$AL$35)*IF(ABS(K2171)&lt;'Sollecitazioni nel paramento'!$G$58,ABS(K2171)*'Sollecitazioni nel paramento'!$G$54,'Sollecitazioni nel paramento'!$G$53)</f>
        <v>0</v>
      </c>
      <c r="F2171" s="545">
        <f>-'Foglio deposito bis'!$F$79*(C2171-sezione!$AM$35)*IF(ABS(L2171)&lt;'Sollecitazioni nel paramento'!$G$58,ABS(L2171)*'Sollecitazioni nel paramento'!$G$54,'Sollecitazioni nel paramento'!$G$53)</f>
        <v>-22999051.413073465</v>
      </c>
      <c r="G2171" s="545">
        <f>-'Foglio deposito bis'!$F$80*(C2171-sezione!$AN$35)*IF(ABS(M2171)&lt;'Sollecitazioni nel paramento'!$G$58,ABS(M2171)*'Sollecitazioni nel paramento'!$G$54,'Sollecitazioni nel paramento'!$G$53)</f>
        <v>0</v>
      </c>
      <c r="H2171" s="545">
        <f>-'Foglio deposito bis'!$F$81*(C2171-sezione!$AO$35)*IF(ABS(N2171)&lt;'Sollecitazioni nel paramento'!$G$58,ABS(N2171)*'Sollecitazioni nel paramento'!$G$54,'Sollecitazioni nel paramento'!$G$53)</f>
        <v>-8635458.3431872316</v>
      </c>
      <c r="I2171" s="472">
        <f>-'Foglio deposito bis'!$F$82*(C2171-sezione!$AP$35)*IF(ABS(O2171)&lt;'Sollecitazioni nel paramento'!$G$58,ABS(O2171)*'Sollecitazioni nel paramento'!$G$54,'Sollecitazioni nel paramento'!$G$53)</f>
        <v>432563061.4126181</v>
      </c>
      <c r="J2171" s="472">
        <f t="shared" si="149"/>
        <v>-577157534.83350873</v>
      </c>
      <c r="K2171" s="550">
        <f>'Sollecitazioni nel paramento'!$G$60*(sezione!$AL$35-C2171)/C2171</f>
        <v>-2.8322847308493264E-3</v>
      </c>
      <c r="L2171" s="550">
        <f>'Sollecitazioni nel paramento'!$G$60*(sezione!$AM$35-C2171)/C2171</f>
        <v>-2.4984270962739902E-3</v>
      </c>
      <c r="M2171" s="551">
        <f>'Sollecitazioni nel paramento'!$G$60*(sezione!$AN$35-C2171)/C2171</f>
        <v>-2.1645694616986531E-3</v>
      </c>
      <c r="N2171" s="551">
        <f>'Sollecitazioni nel paramento'!$G$60*(sezione!$AO$35-C2171)/C2171</f>
        <v>-8.2913892339730631E-4</v>
      </c>
      <c r="O2171" s="551">
        <f>'Sollecitazioni nel paramento'!$G$60*(sezione!$AP$35-C2171)/C2171</f>
        <v>8.0905785697119072E-3</v>
      </c>
      <c r="P2171" s="545">
        <f>-'Sollecitazioni nel paramento'!$G$47*'Sollecitazioni nel paramento'!$G$41*IF(DATI!$G$211="dx",DATI!$E$61,DATI!$E$64*DATI!$E$63)*1000*C2171*sezione!$AD$5</f>
        <v>-7987805.9502581917</v>
      </c>
      <c r="Q2171" s="545">
        <f>'Foglio deposito bis'!$F$78*IF(ABS(K2171)&lt;'Sollecitazioni nel paramento'!$G$58,ABS(K2171)*'Sollecitazioni nel paramento'!$G$54,'Sollecitazioni nel paramento'!$G$53)*IF(K2171&lt;0,-1,1)</f>
        <v>0</v>
      </c>
      <c r="R2171" s="545">
        <f>'Foglio deposito bis'!$F$79*IF(ABS(L2171)&lt;'Sollecitazioni nel paramento'!$G$58,ABS(L2171)*'Sollecitazioni nel paramento'!$G$54,'Sollecitazioni nel paramento'!$G$53)*IF(L2171&lt;0,-1,1)</f>
        <v>-153664.85805602249</v>
      </c>
      <c r="S2171" s="545">
        <f>'Foglio deposito bis'!$F$80*IF(ABS(M2171)&lt;'Sollecitazioni nel paramento'!$G$58,ABS(M2171)*'Sollecitazioni nel paramento'!$G$54,'Sollecitazioni nel paramento'!$G$53)*IF(M2171&lt;0,-1,1)</f>
        <v>0</v>
      </c>
      <c r="T2171" s="545">
        <f>'Foglio deposito bis'!$F$81*IF(ABS(N2171)&lt;'Sollecitazioni nel paramento'!$G$58,ABS(N2171)*'Sollecitazioni nel paramento'!$G$54,'Sollecitazioni nel paramento'!$G$53)*IF(N2171&lt;0,-1,1)</f>
        <v>-173855.88919873108</v>
      </c>
      <c r="U2171" s="545">
        <f>'Foglio deposito bis'!$F$82*IF(ABS(O2171)&lt;'Sollecitazioni nel paramento'!$G$58,ABS(O2171)*'Sollecitazioni nel paramento'!$G$54,'Sollecitazioni nel paramento'!$G$53)*IF(O2171&lt;0,-1,1)</f>
        <v>892485.49558937876</v>
      </c>
      <c r="V2171" s="472">
        <f t="shared" si="151"/>
        <v>-7422841.2019235659</v>
      </c>
      <c r="W2171" s="551"/>
      <c r="X2171" s="551"/>
    </row>
    <row r="2172" spans="1:24" x14ac:dyDescent="0.25">
      <c r="A2172" s="545">
        <f t="shared" si="150"/>
        <v>7503813.5256022979</v>
      </c>
      <c r="B2172" s="3">
        <f t="shared" si="152"/>
        <v>21.299999999999947</v>
      </c>
      <c r="C2172" s="545">
        <f>'Foglio deposito bis'!$E$161/sezione!$B$247*B2172</f>
        <v>211.65760429258404</v>
      </c>
      <c r="D2172" s="603">
        <f>-'Sollecitazioni nel paramento'!$G$47*'Sollecitazioni nel paramento'!$G$41*IF(DATI!$G$211="dx",DATI!$E$61,DATI!$E$64*DATI!$E$63)*1000*C2172^2*sezione!$AD$5*(1-sezione!$AD$6)</f>
        <v>-996715879.20214593</v>
      </c>
      <c r="E2172" s="545">
        <f>-'Foglio deposito bis'!$F$78*(C2172-sezione!$AL$35)*IF(ABS(K2172)&lt;'Sollecitazioni nel paramento'!$G$58,ABS(K2172)*'Sollecitazioni nel paramento'!$G$54,'Sollecitazioni nel paramento'!$G$53)</f>
        <v>0</v>
      </c>
      <c r="F2172" s="545">
        <f>-'Foglio deposito bis'!$F$79*(C2172-sezione!$AM$35)*IF(ABS(L2172)&lt;'Sollecitazioni nel paramento'!$G$58,ABS(L2172)*'Sollecitazioni nel paramento'!$G$54,'Sollecitazioni nel paramento'!$G$53)</f>
        <v>-23304444.236736357</v>
      </c>
      <c r="G2172" s="545">
        <f>-'Foglio deposito bis'!$F$80*(C2172-sezione!$AN$35)*IF(ABS(M2172)&lt;'Sollecitazioni nel paramento'!$G$58,ABS(M2172)*'Sollecitazioni nel paramento'!$G$54,'Sollecitazioni nel paramento'!$G$53)</f>
        <v>0</v>
      </c>
      <c r="H2172" s="545">
        <f>-'Foglio deposito bis'!$F$81*(C2172-sezione!$AO$35)*IF(ABS(N2172)&lt;'Sollecitazioni nel paramento'!$G$58,ABS(N2172)*'Sollecitazioni nel paramento'!$G$54,'Sollecitazioni nel paramento'!$G$53)</f>
        <v>-9252621.4389138445</v>
      </c>
      <c r="I2172" s="472">
        <f>-'Foglio deposito bis'!$F$82*(C2172-sezione!$AP$35)*IF(ABS(O2172)&lt;'Sollecitazioni nel paramento'!$G$58,ABS(O2172)*'Sollecitazioni nel paramento'!$G$54,'Sollecitazioni nel paramento'!$G$53)</f>
        <v>430789339.89278406</v>
      </c>
      <c r="J2172" s="472">
        <f t="shared" si="149"/>
        <v>-598483604.98501205</v>
      </c>
      <c r="K2172" s="550">
        <f>'Sollecitazioni nel paramento'!$G$60*(sezione!$AL$35-C2172)/C2172</f>
        <v>-2.8385543577897085E-3</v>
      </c>
      <c r="L2172" s="550">
        <f>'Sollecitazioni nel paramento'!$G$60*(sezione!$AM$35-C2172)/C2172</f>
        <v>-2.5078315366845625E-3</v>
      </c>
      <c r="M2172" s="551">
        <f>'Sollecitazioni nel paramento'!$G$60*(sezione!$AN$35-C2172)/C2172</f>
        <v>-2.177108715579417E-3</v>
      </c>
      <c r="N2172" s="551">
        <f>'Sollecitazioni nel paramento'!$G$60*(sezione!$AO$35-C2172)/C2172</f>
        <v>-8.5421743115883411E-4</v>
      </c>
      <c r="O2172" s="551">
        <f>'Sollecitazioni nel paramento'!$G$60*(sezione!$AP$35-C2172)/C2172</f>
        <v>7.9817468460526408E-3</v>
      </c>
      <c r="P2172" s="545">
        <f>-'Sollecitazioni nel paramento'!$G$47*'Sollecitazioni nel paramento'!$G$41*IF(DATI!$G$211="dx",DATI!$E$61,DATI!$E$64*DATI!$E$63)*1000*C2172*sezione!$AD$5</f>
        <v>-8063519.7507345723</v>
      </c>
      <c r="Q2172" s="545">
        <f>'Foglio deposito bis'!$F$78*IF(ABS(K2172)&lt;'Sollecitazioni nel paramento'!$G$58,ABS(K2172)*'Sollecitazioni nel paramento'!$G$54,'Sollecitazioni nel paramento'!$G$53)*IF(K2172&lt;0,-1,1)</f>
        <v>0</v>
      </c>
      <c r="R2172" s="545">
        <f>'Foglio deposito bis'!$F$79*IF(ABS(L2172)&lt;'Sollecitazioni nel paramento'!$G$58,ABS(L2172)*'Sollecitazioni nel paramento'!$G$54,'Sollecitazioni nel paramento'!$G$53)*IF(L2172&lt;0,-1,1)</f>
        <v>-153664.85805602249</v>
      </c>
      <c r="S2172" s="545">
        <f>'Foglio deposito bis'!$F$80*IF(ABS(M2172)&lt;'Sollecitazioni nel paramento'!$G$58,ABS(M2172)*'Sollecitazioni nel paramento'!$G$54,'Sollecitazioni nel paramento'!$G$53)*IF(M2172&lt;0,-1,1)</f>
        <v>0</v>
      </c>
      <c r="T2172" s="545">
        <f>'Foglio deposito bis'!$F$81*IF(ABS(N2172)&lt;'Sollecitazioni nel paramento'!$G$58,ABS(N2172)*'Sollecitazioni nel paramento'!$G$54,'Sollecitazioni nel paramento'!$G$53)*IF(N2172&lt;0,-1,1)</f>
        <v>-179114.41240108284</v>
      </c>
      <c r="U2172" s="545">
        <f>'Foglio deposito bis'!$F$82*IF(ABS(O2172)&lt;'Sollecitazioni nel paramento'!$G$58,ABS(O2172)*'Sollecitazioni nel paramento'!$G$54,'Sollecitazioni nel paramento'!$G$53)*IF(O2172&lt;0,-1,1)</f>
        <v>892485.49558937876</v>
      </c>
      <c r="V2172" s="472">
        <f t="shared" si="151"/>
        <v>-7503813.5256022979</v>
      </c>
      <c r="W2172" s="551"/>
      <c r="X2172" s="551"/>
    </row>
    <row r="2173" spans="1:24" x14ac:dyDescent="0.25">
      <c r="A2173" s="545">
        <f t="shared" si="150"/>
        <v>7584688.0162912216</v>
      </c>
      <c r="B2173" s="3">
        <f t="shared" si="152"/>
        <v>21.499999999999947</v>
      </c>
      <c r="C2173" s="545">
        <f>'Foglio deposito bis'!$E$161/sezione!$B$247*B2173</f>
        <v>213.64499963805432</v>
      </c>
      <c r="D2173" s="603">
        <f>-'Sollecitazioni nel paramento'!$G$47*'Sollecitazioni nel paramento'!$G$41*IF(DATI!$G$211="dx",DATI!$E$61,DATI!$E$64*DATI!$E$63)*1000*C2173^2*sezione!$AD$5*(1-sezione!$AD$6)</f>
        <v>-1015521424.6758623</v>
      </c>
      <c r="E2173" s="545">
        <f>-'Foglio deposito bis'!$F$78*(C2173-sezione!$AL$35)*IF(ABS(K2173)&lt;'Sollecitazioni nel paramento'!$G$58,ABS(K2173)*'Sollecitazioni nel paramento'!$G$54,'Sollecitazioni nel paramento'!$G$53)</f>
        <v>0</v>
      </c>
      <c r="F2173" s="545">
        <f>-'Foglio deposito bis'!$F$79*(C2173-sezione!$AM$35)*IF(ABS(L2173)&lt;'Sollecitazioni nel paramento'!$G$58,ABS(L2173)*'Sollecitazioni nel paramento'!$G$54,'Sollecitazioni nel paramento'!$G$53)</f>
        <v>-23609837.060399242</v>
      </c>
      <c r="G2173" s="545">
        <f>-'Foglio deposito bis'!$F$80*(C2173-sezione!$AN$35)*IF(ABS(M2173)&lt;'Sollecitazioni nel paramento'!$G$58,ABS(M2173)*'Sollecitazioni nel paramento'!$G$54,'Sollecitazioni nel paramento'!$G$53)</f>
        <v>0</v>
      </c>
      <c r="H2173" s="545">
        <f>-'Foglio deposito bis'!$F$81*(C2173-sezione!$AO$35)*IF(ABS(N2173)&lt;'Sollecitazioni nel paramento'!$G$58,ABS(N2173)*'Sollecitazioni nel paramento'!$G$54,'Sollecitazioni nel paramento'!$G$53)</f>
        <v>-9885437.8130102456</v>
      </c>
      <c r="I2173" s="472">
        <f>-'Foglio deposito bis'!$F$82*(C2173-sezione!$AP$35)*IF(ABS(O2173)&lt;'Sollecitazioni nel paramento'!$G$58,ABS(O2173)*'Sollecitazioni nel paramento'!$G$54,'Sollecitazioni nel paramento'!$G$53)</f>
        <v>429015618.37295002</v>
      </c>
      <c r="J2173" s="472">
        <f t="shared" si="149"/>
        <v>-620001081.17632174</v>
      </c>
      <c r="K2173" s="550">
        <f>'Sollecitazioni nel paramento'!$G$60*(sezione!$AL$35-C2173)/C2173</f>
        <v>-2.8447073405079436E-3</v>
      </c>
      <c r="L2173" s="550">
        <f>'Sollecitazioni nel paramento'!$G$60*(sezione!$AM$35-C2173)/C2173</f>
        <v>-2.5170610107619158E-3</v>
      </c>
      <c r="M2173" s="551">
        <f>'Sollecitazioni nel paramento'!$G$60*(sezione!$AN$35-C2173)/C2173</f>
        <v>-2.1894146810158875E-3</v>
      </c>
      <c r="N2173" s="551">
        <f>'Sollecitazioni nel paramento'!$G$60*(sezione!$AO$35-C2173)/C2173</f>
        <v>-8.7882936203177513E-4</v>
      </c>
      <c r="O2173" s="551">
        <f>'Sollecitazioni nel paramento'!$G$60*(sezione!$AP$35-C2173)/C2173</f>
        <v>7.8749398986474994E-3</v>
      </c>
      <c r="P2173" s="545">
        <f>-'Sollecitazioni nel paramento'!$G$47*'Sollecitazioni nel paramento'!$G$41*IF(DATI!$G$211="dx",DATI!$E$61,DATI!$E$64*DATI!$E$63)*1000*C2173*sezione!$AD$5</f>
        <v>-8139233.5512109539</v>
      </c>
      <c r="Q2173" s="545">
        <f>'Foglio deposito bis'!$F$78*IF(ABS(K2173)&lt;'Sollecitazioni nel paramento'!$G$58,ABS(K2173)*'Sollecitazioni nel paramento'!$G$54,'Sollecitazioni nel paramento'!$G$53)*IF(K2173&lt;0,-1,1)</f>
        <v>0</v>
      </c>
      <c r="R2173" s="545">
        <f>'Foglio deposito bis'!$F$79*IF(ABS(L2173)&lt;'Sollecitazioni nel paramento'!$G$58,ABS(L2173)*'Sollecitazioni nel paramento'!$G$54,'Sollecitazioni nel paramento'!$G$53)*IF(L2173&lt;0,-1,1)</f>
        <v>-153664.85805602249</v>
      </c>
      <c r="S2173" s="545">
        <f>'Foglio deposito bis'!$F$80*IF(ABS(M2173)&lt;'Sollecitazioni nel paramento'!$G$58,ABS(M2173)*'Sollecitazioni nel paramento'!$G$54,'Sollecitazioni nel paramento'!$G$53)*IF(M2173&lt;0,-1,1)</f>
        <v>0</v>
      </c>
      <c r="T2173" s="545">
        <f>'Foglio deposito bis'!$F$81*IF(ABS(N2173)&lt;'Sollecitazioni nel paramento'!$G$58,ABS(N2173)*'Sollecitazioni nel paramento'!$G$54,'Sollecitazioni nel paramento'!$G$53)*IF(N2173&lt;0,-1,1)</f>
        <v>-184275.10261362334</v>
      </c>
      <c r="U2173" s="545">
        <f>'Foglio deposito bis'!$F$82*IF(ABS(O2173)&lt;'Sollecitazioni nel paramento'!$G$58,ABS(O2173)*'Sollecitazioni nel paramento'!$G$54,'Sollecitazioni nel paramento'!$G$53)*IF(O2173&lt;0,-1,1)</f>
        <v>892485.49558937876</v>
      </c>
      <c r="V2173" s="472">
        <f t="shared" si="151"/>
        <v>-7584688.0162912216</v>
      </c>
      <c r="W2173" s="551"/>
      <c r="X2173" s="551"/>
    </row>
    <row r="2174" spans="1:24" x14ac:dyDescent="0.25">
      <c r="A2174" s="545">
        <f t="shared" si="150"/>
        <v>7665467.3790499549</v>
      </c>
      <c r="B2174" s="3">
        <f t="shared" si="152"/>
        <v>21.699999999999946</v>
      </c>
      <c r="C2174" s="545">
        <f>'Foglio deposito bis'!$E$161/sezione!$B$247*B2174</f>
        <v>215.63239498352456</v>
      </c>
      <c r="D2174" s="603">
        <f>-'Sollecitazioni nel paramento'!$G$47*'Sollecitazioni nel paramento'!$G$41*IF(DATI!$G$211="dx",DATI!$E$61,DATI!$E$64*DATI!$E$63)*1000*C2174^2*sezione!$AD$5*(1-sezione!$AD$6)</f>
        <v>-1034502722.9110149</v>
      </c>
      <c r="E2174" s="545">
        <f>-'Foglio deposito bis'!$F$78*(C2174-sezione!$AL$35)*IF(ABS(K2174)&lt;'Sollecitazioni nel paramento'!$G$58,ABS(K2174)*'Sollecitazioni nel paramento'!$G$54,'Sollecitazioni nel paramento'!$G$53)</f>
        <v>0</v>
      </c>
      <c r="F2174" s="545">
        <f>-'Foglio deposito bis'!$F$79*(C2174-sezione!$AM$35)*IF(ABS(L2174)&lt;'Sollecitazioni nel paramento'!$G$58,ABS(L2174)*'Sollecitazioni nel paramento'!$G$54,'Sollecitazioni nel paramento'!$G$53)</f>
        <v>-23915229.88406213</v>
      </c>
      <c r="G2174" s="545">
        <f>-'Foglio deposito bis'!$F$80*(C2174-sezione!$AN$35)*IF(ABS(M2174)&lt;'Sollecitazioni nel paramento'!$G$58,ABS(M2174)*'Sollecitazioni nel paramento'!$G$54,'Sollecitazioni nel paramento'!$G$53)</f>
        <v>0</v>
      </c>
      <c r="H2174" s="545">
        <f>-'Foglio deposito bis'!$F$81*(C2174-sezione!$AO$35)*IF(ABS(N2174)&lt;'Sollecitazioni nel paramento'!$G$58,ABS(N2174)*'Sollecitazioni nel paramento'!$G$54,'Sollecitazioni nel paramento'!$G$53)</f>
        <v>-10533474.655936252</v>
      </c>
      <c r="I2174" s="472">
        <f>-'Foglio deposito bis'!$F$82*(C2174-sezione!$AP$35)*IF(ABS(O2174)&lt;'Sollecitazioni nel paramento'!$G$58,ABS(O2174)*'Sollecitazioni nel paramento'!$G$54,'Sollecitazioni nel paramento'!$G$53)</f>
        <v>427241896.85311586</v>
      </c>
      <c r="J2174" s="472">
        <f t="shared" si="149"/>
        <v>-641709530.59789753</v>
      </c>
      <c r="K2174" s="550">
        <f>'Sollecitazioni nel paramento'!$G$60*(sezione!$AL$35-C2174)/C2174</f>
        <v>-2.8507469041898982E-3</v>
      </c>
      <c r="L2174" s="550">
        <f>'Sollecitazioni nel paramento'!$G$60*(sezione!$AM$35-C2174)/C2174</f>
        <v>-2.5261203562848473E-3</v>
      </c>
      <c r="M2174" s="551">
        <f>'Sollecitazioni nel paramento'!$G$60*(sezione!$AN$35-C2174)/C2174</f>
        <v>-2.2014938083797964E-3</v>
      </c>
      <c r="N2174" s="551">
        <f>'Sollecitazioni nel paramento'!$G$60*(sezione!$AO$35-C2174)/C2174</f>
        <v>-9.0298761675959257E-4</v>
      </c>
      <c r="O2174" s="551">
        <f>'Sollecitazioni nel paramento'!$G$60*(sezione!$AP$35-C2174)/C2174</f>
        <v>7.7701017428995975E-3</v>
      </c>
      <c r="P2174" s="545">
        <f>-'Sollecitazioni nel paramento'!$G$47*'Sollecitazioni nel paramento'!$G$41*IF(DATI!$G$211="dx",DATI!$E$61,DATI!$E$64*DATI!$E$63)*1000*C2174*sezione!$AD$5</f>
        <v>-8214947.3516873335</v>
      </c>
      <c r="Q2174" s="545">
        <f>'Foglio deposito bis'!$F$78*IF(ABS(K2174)&lt;'Sollecitazioni nel paramento'!$G$58,ABS(K2174)*'Sollecitazioni nel paramento'!$G$54,'Sollecitazioni nel paramento'!$G$53)*IF(K2174&lt;0,-1,1)</f>
        <v>0</v>
      </c>
      <c r="R2174" s="545">
        <f>'Foglio deposito bis'!$F$79*IF(ABS(L2174)&lt;'Sollecitazioni nel paramento'!$G$58,ABS(L2174)*'Sollecitazioni nel paramento'!$G$54,'Sollecitazioni nel paramento'!$G$53)*IF(L2174&lt;0,-1,1)</f>
        <v>-153664.85805602249</v>
      </c>
      <c r="S2174" s="545">
        <f>'Foglio deposito bis'!$F$80*IF(ABS(M2174)&lt;'Sollecitazioni nel paramento'!$G$58,ABS(M2174)*'Sollecitazioni nel paramento'!$G$54,'Sollecitazioni nel paramento'!$G$53)*IF(M2174&lt;0,-1,1)</f>
        <v>0</v>
      </c>
      <c r="T2174" s="545">
        <f>'Foglio deposito bis'!$F$81*IF(ABS(N2174)&lt;'Sollecitazioni nel paramento'!$G$58,ABS(N2174)*'Sollecitazioni nel paramento'!$G$54,'Sollecitazioni nel paramento'!$G$53)*IF(N2174&lt;0,-1,1)</f>
        <v>-189340.66489597873</v>
      </c>
      <c r="U2174" s="545">
        <f>'Foglio deposito bis'!$F$82*IF(ABS(O2174)&lt;'Sollecitazioni nel paramento'!$G$58,ABS(O2174)*'Sollecitazioni nel paramento'!$G$54,'Sollecitazioni nel paramento'!$G$53)*IF(O2174&lt;0,-1,1)</f>
        <v>892485.49558937876</v>
      </c>
      <c r="V2174" s="472">
        <f t="shared" si="151"/>
        <v>-7665467.3790499549</v>
      </c>
      <c r="W2174" s="551"/>
      <c r="X2174" s="551"/>
    </row>
    <row r="2175" spans="1:24" x14ac:dyDescent="0.25">
      <c r="A2175" s="545">
        <f t="shared" si="150"/>
        <v>7746154.2201231699</v>
      </c>
      <c r="B2175" s="3">
        <f t="shared" si="152"/>
        <v>21.899999999999945</v>
      </c>
      <c r="C2175" s="545">
        <f>'Foglio deposito bis'!$E$161/sezione!$B$247*B2175</f>
        <v>217.61979032899484</v>
      </c>
      <c r="D2175" s="603">
        <f>-'Sollecitazioni nel paramento'!$G$47*'Sollecitazioni nel paramento'!$G$41*IF(DATI!$G$211="dx",DATI!$E$61,DATI!$E$64*DATI!$E$63)*1000*C2175^2*sezione!$AD$5*(1-sezione!$AD$6)</f>
        <v>-1053659773.9076046</v>
      </c>
      <c r="E2175" s="545">
        <f>-'Foglio deposito bis'!$F$78*(C2175-sezione!$AL$35)*IF(ABS(K2175)&lt;'Sollecitazioni nel paramento'!$G$58,ABS(K2175)*'Sollecitazioni nel paramento'!$G$54,'Sollecitazioni nel paramento'!$G$53)</f>
        <v>0</v>
      </c>
      <c r="F2175" s="545">
        <f>-'Foglio deposito bis'!$F$79*(C2175-sezione!$AM$35)*IF(ABS(L2175)&lt;'Sollecitazioni nel paramento'!$G$58,ABS(L2175)*'Sollecitazioni nel paramento'!$G$54,'Sollecitazioni nel paramento'!$G$53)</f>
        <v>-24220622.707725018</v>
      </c>
      <c r="G2175" s="545">
        <f>-'Foglio deposito bis'!$F$80*(C2175-sezione!$AN$35)*IF(ABS(M2175)&lt;'Sollecitazioni nel paramento'!$G$58,ABS(M2175)*'Sollecitazioni nel paramento'!$G$54,'Sollecitazioni nel paramento'!$G$53)</f>
        <v>0</v>
      </c>
      <c r="H2175" s="545">
        <f>-'Foglio deposito bis'!$F$81*(C2175-sezione!$AO$35)*IF(ABS(N2175)&lt;'Sollecitazioni nel paramento'!$G$58,ABS(N2175)*'Sollecitazioni nel paramento'!$G$54,'Sollecitazioni nel paramento'!$G$53)</f>
        <v>-11196314.968545865</v>
      </c>
      <c r="I2175" s="472">
        <f>-'Foglio deposito bis'!$F$82*(C2175-sezione!$AP$35)*IF(ABS(O2175)&lt;'Sollecitazioni nel paramento'!$G$58,ABS(O2175)*'Sollecitazioni nel paramento'!$G$54,'Sollecitazioni nel paramento'!$G$53)</f>
        <v>425468175.33328182</v>
      </c>
      <c r="J2175" s="472">
        <f t="shared" si="149"/>
        <v>-663608536.25059366</v>
      </c>
      <c r="K2175" s="550">
        <f>'Sollecitazioni nel paramento'!$G$60*(sezione!$AL$35-C2175)/C2175</f>
        <v>-2.8566761562064291E-3</v>
      </c>
      <c r="L2175" s="550">
        <f>'Sollecitazioni nel paramento'!$G$60*(sezione!$AM$35-C2175)/C2175</f>
        <v>-2.5350142343096432E-3</v>
      </c>
      <c r="M2175" s="551">
        <f>'Sollecitazioni nel paramento'!$G$60*(sezione!$AN$35-C2175)/C2175</f>
        <v>-2.2133523124128573E-3</v>
      </c>
      <c r="N2175" s="551">
        <f>'Sollecitazioni nel paramento'!$G$60*(sezione!$AO$35-C2175)/C2175</f>
        <v>-9.2670462482571513E-4</v>
      </c>
      <c r="O2175" s="551">
        <f>'Sollecitazioni nel paramento'!$G$60*(sezione!$AP$35-C2175)/C2175</f>
        <v>7.6671784393114737E-3</v>
      </c>
      <c r="P2175" s="545">
        <f>-'Sollecitazioni nel paramento'!$G$47*'Sollecitazioni nel paramento'!$G$41*IF(DATI!$G$211="dx",DATI!$E$61,DATI!$E$64*DATI!$E$63)*1000*C2175*sezione!$AD$5</f>
        <v>-8290661.1521637151</v>
      </c>
      <c r="Q2175" s="545">
        <f>'Foglio deposito bis'!$F$78*IF(ABS(K2175)&lt;'Sollecitazioni nel paramento'!$G$58,ABS(K2175)*'Sollecitazioni nel paramento'!$G$54,'Sollecitazioni nel paramento'!$G$53)*IF(K2175&lt;0,-1,1)</f>
        <v>0</v>
      </c>
      <c r="R2175" s="545">
        <f>'Foglio deposito bis'!$F$79*IF(ABS(L2175)&lt;'Sollecitazioni nel paramento'!$G$58,ABS(L2175)*'Sollecitazioni nel paramento'!$G$54,'Sollecitazioni nel paramento'!$G$53)*IF(L2175&lt;0,-1,1)</f>
        <v>-153664.85805602249</v>
      </c>
      <c r="S2175" s="545">
        <f>'Foglio deposito bis'!$F$80*IF(ABS(M2175)&lt;'Sollecitazioni nel paramento'!$G$58,ABS(M2175)*'Sollecitazioni nel paramento'!$G$54,'Sollecitazioni nel paramento'!$G$53)*IF(M2175&lt;0,-1,1)</f>
        <v>0</v>
      </c>
      <c r="T2175" s="545">
        <f>'Foglio deposito bis'!$F$81*IF(ABS(N2175)&lt;'Sollecitazioni nel paramento'!$G$58,ABS(N2175)*'Sollecitazioni nel paramento'!$G$54,'Sollecitazioni nel paramento'!$G$53)*IF(N2175&lt;0,-1,1)</f>
        <v>-194313.70549281174</v>
      </c>
      <c r="U2175" s="545">
        <f>'Foglio deposito bis'!$F$82*IF(ABS(O2175)&lt;'Sollecitazioni nel paramento'!$G$58,ABS(O2175)*'Sollecitazioni nel paramento'!$G$54,'Sollecitazioni nel paramento'!$G$53)*IF(O2175&lt;0,-1,1)</f>
        <v>892485.49558937876</v>
      </c>
      <c r="V2175" s="472">
        <f t="shared" si="151"/>
        <v>-7746154.2201231699</v>
      </c>
      <c r="W2175" s="551"/>
      <c r="X2175" s="551"/>
    </row>
    <row r="2176" spans="1:24" x14ac:dyDescent="0.25">
      <c r="A2176" s="545">
        <f t="shared" si="150"/>
        <v>7826751.0514118243</v>
      </c>
      <c r="B2176" s="3">
        <f t="shared" si="152"/>
        <v>22.099999999999945</v>
      </c>
      <c r="C2176" s="545">
        <f>'Foglio deposito bis'!$E$161/sezione!$B$247*B2176</f>
        <v>219.60718567446511</v>
      </c>
      <c r="D2176" s="603">
        <f>-'Sollecitazioni nel paramento'!$G$47*'Sollecitazioni nel paramento'!$G$41*IF(DATI!$G$211="dx",DATI!$E$61,DATI!$E$64*DATI!$E$63)*1000*C2176^2*sezione!$AD$5*(1-sezione!$AD$6)</f>
        <v>-1072992577.6656307</v>
      </c>
      <c r="E2176" s="545">
        <f>-'Foglio deposito bis'!$F$78*(C2176-sezione!$AL$35)*IF(ABS(K2176)&lt;'Sollecitazioni nel paramento'!$G$58,ABS(K2176)*'Sollecitazioni nel paramento'!$G$54,'Sollecitazioni nel paramento'!$G$53)</f>
        <v>0</v>
      </c>
      <c r="F2176" s="545">
        <f>-'Foglio deposito bis'!$F$79*(C2176-sezione!$AM$35)*IF(ABS(L2176)&lt;'Sollecitazioni nel paramento'!$G$58,ABS(L2176)*'Sollecitazioni nel paramento'!$G$54,'Sollecitazioni nel paramento'!$G$53)</f>
        <v>-24526015.53138791</v>
      </c>
      <c r="G2176" s="545">
        <f>-'Foglio deposito bis'!$F$80*(C2176-sezione!$AN$35)*IF(ABS(M2176)&lt;'Sollecitazioni nel paramento'!$G$58,ABS(M2176)*'Sollecitazioni nel paramento'!$G$54,'Sollecitazioni nel paramento'!$G$53)</f>
        <v>0</v>
      </c>
      <c r="H2176" s="545">
        <f>-'Foglio deposito bis'!$F$81*(C2176-sezione!$AO$35)*IF(ABS(N2176)&lt;'Sollecitazioni nel paramento'!$G$58,ABS(N2176)*'Sollecitazioni nel paramento'!$G$54,'Sollecitazioni nel paramento'!$G$53)</f>
        <v>-11873556.846684767</v>
      </c>
      <c r="I2176" s="472">
        <f>-'Foglio deposito bis'!$F$82*(C2176-sezione!$AP$35)*IF(ABS(O2176)&lt;'Sollecitazioni nel paramento'!$G$58,ABS(O2176)*'Sollecitazioni nel paramento'!$G$54,'Sollecitazioni nel paramento'!$G$53)</f>
        <v>423694453.81344789</v>
      </c>
      <c r="J2176" s="472">
        <f t="shared" si="149"/>
        <v>-685697696.23025537</v>
      </c>
      <c r="K2176" s="550">
        <f>'Sollecitazioni nel paramento'!$G$60*(sezione!$AL$35-C2176)/C2176</f>
        <v>-2.8624980914443796E-3</v>
      </c>
      <c r="L2176" s="550">
        <f>'Sollecitazioni nel paramento'!$G$60*(sezione!$AM$35-C2176)/C2176</f>
        <v>-2.5437471371665696E-3</v>
      </c>
      <c r="M2176" s="551">
        <f>'Sollecitazioni nel paramento'!$G$60*(sezione!$AN$35-C2176)/C2176</f>
        <v>-2.2249961828887592E-3</v>
      </c>
      <c r="N2176" s="551">
        <f>'Sollecitazioni nel paramento'!$G$60*(sezione!$AO$35-C2176)/C2176</f>
        <v>-9.4999236577751861E-4</v>
      </c>
      <c r="O2176" s="551">
        <f>'Sollecitazioni nel paramento'!$G$60*(sezione!$AP$35-C2176)/C2176</f>
        <v>7.5661180009466648E-3</v>
      </c>
      <c r="P2176" s="545">
        <f>-'Sollecitazioni nel paramento'!$G$47*'Sollecitazioni nel paramento'!$G$41*IF(DATI!$G$211="dx",DATI!$E$61,DATI!$E$64*DATI!$E$63)*1000*C2176*sezione!$AD$5</f>
        <v>-8366374.9526400957</v>
      </c>
      <c r="Q2176" s="545">
        <f>'Foglio deposito bis'!$F$78*IF(ABS(K2176)&lt;'Sollecitazioni nel paramento'!$G$58,ABS(K2176)*'Sollecitazioni nel paramento'!$G$54,'Sollecitazioni nel paramento'!$G$53)*IF(K2176&lt;0,-1,1)</f>
        <v>0</v>
      </c>
      <c r="R2176" s="545">
        <f>'Foglio deposito bis'!$F$79*IF(ABS(L2176)&lt;'Sollecitazioni nel paramento'!$G$58,ABS(L2176)*'Sollecitazioni nel paramento'!$G$54,'Sollecitazioni nel paramento'!$G$53)*IF(L2176&lt;0,-1,1)</f>
        <v>-153664.85805602249</v>
      </c>
      <c r="S2176" s="545">
        <f>'Foglio deposito bis'!$F$80*IF(ABS(M2176)&lt;'Sollecitazioni nel paramento'!$G$58,ABS(M2176)*'Sollecitazioni nel paramento'!$G$54,'Sollecitazioni nel paramento'!$G$53)*IF(M2176&lt;0,-1,1)</f>
        <v>0</v>
      </c>
      <c r="T2176" s="545">
        <f>'Foglio deposito bis'!$F$81*IF(ABS(N2176)&lt;'Sollecitazioni nel paramento'!$G$58,ABS(N2176)*'Sollecitazioni nel paramento'!$G$54,'Sollecitazioni nel paramento'!$G$53)*IF(N2176&lt;0,-1,1)</f>
        <v>-199196.73630508664</v>
      </c>
      <c r="U2176" s="545">
        <f>'Foglio deposito bis'!$F$82*IF(ABS(O2176)&lt;'Sollecitazioni nel paramento'!$G$58,ABS(O2176)*'Sollecitazioni nel paramento'!$G$54,'Sollecitazioni nel paramento'!$G$53)*IF(O2176&lt;0,-1,1)</f>
        <v>892485.49558937876</v>
      </c>
      <c r="V2176" s="472">
        <f t="shared" si="151"/>
        <v>-7826751.0514118243</v>
      </c>
      <c r="W2176" s="551"/>
      <c r="X2176" s="551"/>
    </row>
    <row r="2177" spans="1:24" x14ac:dyDescent="0.25">
      <c r="A2177" s="545">
        <f t="shared" si="150"/>
        <v>7907260.2947038487</v>
      </c>
      <c r="B2177" s="3">
        <f t="shared" si="152"/>
        <v>22.299999999999944</v>
      </c>
      <c r="C2177" s="545">
        <f>'Foglio deposito bis'!$E$161/sezione!$B$247*B2177</f>
        <v>221.59458101993539</v>
      </c>
      <c r="D2177" s="603">
        <f>-'Sollecitazioni nel paramento'!$G$47*'Sollecitazioni nel paramento'!$G$41*IF(DATI!$G$211="dx",DATI!$E$61,DATI!$E$64*DATI!$E$63)*1000*C2177^2*sezione!$AD$5*(1-sezione!$AD$6)</f>
        <v>-1092501134.1850934</v>
      </c>
      <c r="E2177" s="545">
        <f>-'Foglio deposito bis'!$F$78*(C2177-sezione!$AL$35)*IF(ABS(K2177)&lt;'Sollecitazioni nel paramento'!$G$58,ABS(K2177)*'Sollecitazioni nel paramento'!$G$54,'Sollecitazioni nel paramento'!$G$53)</f>
        <v>0</v>
      </c>
      <c r="F2177" s="545">
        <f>-'Foglio deposito bis'!$F$79*(C2177-sezione!$AM$35)*IF(ABS(L2177)&lt;'Sollecitazioni nel paramento'!$G$58,ABS(L2177)*'Sollecitazioni nel paramento'!$G$54,'Sollecitazioni nel paramento'!$G$53)</f>
        <v>-24831408.355050799</v>
      </c>
      <c r="G2177" s="545">
        <f>-'Foglio deposito bis'!$F$80*(C2177-sezione!$AN$35)*IF(ABS(M2177)&lt;'Sollecitazioni nel paramento'!$G$58,ABS(M2177)*'Sollecitazioni nel paramento'!$G$54,'Sollecitazioni nel paramento'!$G$53)</f>
        <v>0</v>
      </c>
      <c r="H2177" s="545">
        <f>-'Foglio deposito bis'!$F$81*(C2177-sezione!$AO$35)*IF(ABS(N2177)&lt;'Sollecitazioni nel paramento'!$G$58,ABS(N2177)*'Sollecitazioni nel paramento'!$G$54,'Sollecitazioni nel paramento'!$G$53)</f>
        <v>-12564812.804284904</v>
      </c>
      <c r="I2177" s="472">
        <f>-'Foglio deposito bis'!$F$82*(C2177-sezione!$AP$35)*IF(ABS(O2177)&lt;'Sollecitazioni nel paramento'!$G$58,ABS(O2177)*'Sollecitazioni nel paramento'!$G$54,'Sollecitazioni nel paramento'!$G$53)</f>
        <v>421920732.29361373</v>
      </c>
      <c r="J2177" s="472">
        <f t="shared" si="149"/>
        <v>-707976623.05081534</v>
      </c>
      <c r="K2177" s="550">
        <f>'Sollecitazioni nel paramento'!$G$60*(sezione!$AL$35-C2177)/C2177</f>
        <v>-2.8682155973507083E-3</v>
      </c>
      <c r="L2177" s="550">
        <f>'Sollecitazioni nel paramento'!$G$60*(sezione!$AM$35-C2177)/C2177</f>
        <v>-2.5523233960260622E-3</v>
      </c>
      <c r="M2177" s="551">
        <f>'Sollecitazioni nel paramento'!$G$60*(sezione!$AN$35-C2177)/C2177</f>
        <v>-2.2364311947014161E-3</v>
      </c>
      <c r="N2177" s="551">
        <f>'Sollecitazioni nel paramento'!$G$60*(sezione!$AO$35-C2177)/C2177</f>
        <v>-9.7286238940283236E-4</v>
      </c>
      <c r="O2177" s="551">
        <f>'Sollecitazioni nel paramento'!$G$60*(sezione!$AP$35-C2177)/C2177</f>
        <v>7.4668703058709089E-3</v>
      </c>
      <c r="P2177" s="545">
        <f>-'Sollecitazioni nel paramento'!$G$47*'Sollecitazioni nel paramento'!$G$41*IF(DATI!$G$211="dx",DATI!$E$61,DATI!$E$64*DATI!$E$63)*1000*C2177*sezione!$AD$5</f>
        <v>-8442088.7531164773</v>
      </c>
      <c r="Q2177" s="545">
        <f>'Foglio deposito bis'!$F$78*IF(ABS(K2177)&lt;'Sollecitazioni nel paramento'!$G$58,ABS(K2177)*'Sollecitazioni nel paramento'!$G$54,'Sollecitazioni nel paramento'!$G$53)*IF(K2177&lt;0,-1,1)</f>
        <v>0</v>
      </c>
      <c r="R2177" s="545">
        <f>'Foglio deposito bis'!$F$79*IF(ABS(L2177)&lt;'Sollecitazioni nel paramento'!$G$58,ABS(L2177)*'Sollecitazioni nel paramento'!$G$54,'Sollecitazioni nel paramento'!$G$53)*IF(L2177&lt;0,-1,1)</f>
        <v>-153664.85805602249</v>
      </c>
      <c r="S2177" s="545">
        <f>'Foglio deposito bis'!$F$80*IF(ABS(M2177)&lt;'Sollecitazioni nel paramento'!$G$58,ABS(M2177)*'Sollecitazioni nel paramento'!$G$54,'Sollecitazioni nel paramento'!$G$53)*IF(M2177&lt;0,-1,1)</f>
        <v>0</v>
      </c>
      <c r="T2177" s="545">
        <f>'Foglio deposito bis'!$F$81*IF(ABS(N2177)&lt;'Sollecitazioni nel paramento'!$G$58,ABS(N2177)*'Sollecitazioni nel paramento'!$G$54,'Sollecitazioni nel paramento'!$G$53)*IF(N2177&lt;0,-1,1)</f>
        <v>-203992.17912072883</v>
      </c>
      <c r="U2177" s="545">
        <f>'Foglio deposito bis'!$F$82*IF(ABS(O2177)&lt;'Sollecitazioni nel paramento'!$G$58,ABS(O2177)*'Sollecitazioni nel paramento'!$G$54,'Sollecitazioni nel paramento'!$G$53)*IF(O2177&lt;0,-1,1)</f>
        <v>892485.49558937876</v>
      </c>
      <c r="V2177" s="472">
        <f t="shared" si="151"/>
        <v>-7907260.2947038487</v>
      </c>
      <c r="W2177" s="551"/>
      <c r="X2177" s="551"/>
    </row>
    <row r="2178" spans="1:24" x14ac:dyDescent="0.25">
      <c r="A2178" s="545">
        <f t="shared" si="150"/>
        <v>7987684.2856791485</v>
      </c>
      <c r="B2178" s="3">
        <f t="shared" si="152"/>
        <v>22.499999999999943</v>
      </c>
      <c r="C2178" s="545">
        <f>'Foglio deposito bis'!$E$161/sezione!$B$247*B2178</f>
        <v>223.58197636540567</v>
      </c>
      <c r="D2178" s="603">
        <f>-'Sollecitazioni nel paramento'!$G$47*'Sollecitazioni nel paramento'!$G$41*IF(DATI!$G$211="dx",DATI!$E$61,DATI!$E$64*DATI!$E$63)*1000*C2178^2*sezione!$AD$5*(1-sezione!$AD$6)</f>
        <v>-1112185443.4659929</v>
      </c>
      <c r="E2178" s="545">
        <f>-'Foglio deposito bis'!$F$78*(C2178-sezione!$AL$35)*IF(ABS(K2178)&lt;'Sollecitazioni nel paramento'!$G$58,ABS(K2178)*'Sollecitazioni nel paramento'!$G$54,'Sollecitazioni nel paramento'!$G$53)</f>
        <v>0</v>
      </c>
      <c r="F2178" s="545">
        <f>-'Foglio deposito bis'!$F$79*(C2178-sezione!$AM$35)*IF(ABS(L2178)&lt;'Sollecitazioni nel paramento'!$G$58,ABS(L2178)*'Sollecitazioni nel paramento'!$G$54,'Sollecitazioni nel paramento'!$G$53)</f>
        <v>-25136801.17871369</v>
      </c>
      <c r="G2178" s="545">
        <f>-'Foglio deposito bis'!$F$80*(C2178-sezione!$AN$35)*IF(ABS(M2178)&lt;'Sollecitazioni nel paramento'!$G$58,ABS(M2178)*'Sollecitazioni nel paramento'!$G$54,'Sollecitazioni nel paramento'!$G$53)</f>
        <v>0</v>
      </c>
      <c r="H2178" s="545">
        <f>-'Foglio deposito bis'!$F$81*(C2178-sezione!$AO$35)*IF(ABS(N2178)&lt;'Sollecitazioni nel paramento'!$G$58,ABS(N2178)*'Sollecitazioni nel paramento'!$G$54,'Sollecitazioni nel paramento'!$G$53)</f>
        <v>-13269709.13256065</v>
      </c>
      <c r="I2178" s="472">
        <f>-'Foglio deposito bis'!$F$82*(C2178-sezione!$AP$35)*IF(ABS(O2178)&lt;'Sollecitazioni nel paramento'!$G$58,ABS(O2178)*'Sollecitazioni nel paramento'!$G$54,'Sollecitazioni nel paramento'!$G$53)</f>
        <v>420147010.77377969</v>
      </c>
      <c r="J2178" s="472">
        <f t="shared" si="149"/>
        <v>-730444943.00348783</v>
      </c>
      <c r="K2178" s="550">
        <f>'Sollecitazioni nel paramento'!$G$60*(sezione!$AL$35-C2178)/C2178</f>
        <v>-2.8738314587075904E-3</v>
      </c>
      <c r="L2178" s="550">
        <f>'Sollecitazioni nel paramento'!$G$60*(sezione!$AM$35-C2178)/C2178</f>
        <v>-2.5607471880613863E-3</v>
      </c>
      <c r="M2178" s="551">
        <f>'Sollecitazioni nel paramento'!$G$60*(sezione!$AN$35-C2178)/C2178</f>
        <v>-2.2476629174151812E-3</v>
      </c>
      <c r="N2178" s="551">
        <f>'Sollecitazioni nel paramento'!$G$60*(sezione!$AO$35-C2178)/C2178</f>
        <v>-9.9532583483036285E-4</v>
      </c>
      <c r="O2178" s="551">
        <f>'Sollecitazioni nel paramento'!$G$60*(sezione!$AP$35-C2178)/C2178</f>
        <v>7.3693870142631668E-3</v>
      </c>
      <c r="P2178" s="545">
        <f>-'Sollecitazioni nel paramento'!$G$47*'Sollecitazioni nel paramento'!$G$41*IF(DATI!$G$211="dx",DATI!$E$61,DATI!$E$64*DATI!$E$63)*1000*C2178*sezione!$AD$5</f>
        <v>-8517802.553592857</v>
      </c>
      <c r="Q2178" s="545">
        <f>'Foglio deposito bis'!$F$78*IF(ABS(K2178)&lt;'Sollecitazioni nel paramento'!$G$58,ABS(K2178)*'Sollecitazioni nel paramento'!$G$54,'Sollecitazioni nel paramento'!$G$53)*IF(K2178&lt;0,-1,1)</f>
        <v>0</v>
      </c>
      <c r="R2178" s="545">
        <f>'Foglio deposito bis'!$F$79*IF(ABS(L2178)&lt;'Sollecitazioni nel paramento'!$G$58,ABS(L2178)*'Sollecitazioni nel paramento'!$G$54,'Sollecitazioni nel paramento'!$G$53)*IF(L2178&lt;0,-1,1)</f>
        <v>-153664.85805602249</v>
      </c>
      <c r="S2178" s="545">
        <f>'Foglio deposito bis'!$F$80*IF(ABS(M2178)&lt;'Sollecitazioni nel paramento'!$G$58,ABS(M2178)*'Sollecitazioni nel paramento'!$G$54,'Sollecitazioni nel paramento'!$G$53)*IF(M2178&lt;0,-1,1)</f>
        <v>0</v>
      </c>
      <c r="T2178" s="545">
        <f>'Foglio deposito bis'!$F$81*IF(ABS(N2178)&lt;'Sollecitazioni nel paramento'!$G$58,ABS(N2178)*'Sollecitazioni nel paramento'!$G$54,'Sollecitazioni nel paramento'!$G$53)*IF(N2178&lt;0,-1,1)</f>
        <v>-208702.36961964853</v>
      </c>
      <c r="U2178" s="545">
        <f>'Foglio deposito bis'!$F$82*IF(ABS(O2178)&lt;'Sollecitazioni nel paramento'!$G$58,ABS(O2178)*'Sollecitazioni nel paramento'!$G$54,'Sollecitazioni nel paramento'!$G$53)*IF(O2178&lt;0,-1,1)</f>
        <v>892485.49558937876</v>
      </c>
      <c r="V2178" s="472">
        <f t="shared" si="151"/>
        <v>-7987684.2856791485</v>
      </c>
      <c r="W2178" s="551"/>
      <c r="X2178" s="551"/>
    </row>
    <row r="2179" spans="1:24" x14ac:dyDescent="0.25">
      <c r="A2179" s="545">
        <f t="shared" si="150"/>
        <v>8068025.2777029239</v>
      </c>
      <c r="B2179" s="3">
        <f t="shared" si="152"/>
        <v>22.699999999999942</v>
      </c>
      <c r="C2179" s="545">
        <f>'Foglio deposito bis'!$E$161/sezione!$B$247*B2179</f>
        <v>225.56937171087591</v>
      </c>
      <c r="D2179" s="603">
        <f>-'Sollecitazioni nel paramento'!$G$47*'Sollecitazioni nel paramento'!$G$41*IF(DATI!$G$211="dx",DATI!$E$61,DATI!$E$64*DATI!$E$63)*1000*C2179^2*sezione!$AD$5*(1-sezione!$AD$6)</f>
        <v>-1132045505.5083284</v>
      </c>
      <c r="E2179" s="545">
        <f>-'Foglio deposito bis'!$F$78*(C2179-sezione!$AL$35)*IF(ABS(K2179)&lt;'Sollecitazioni nel paramento'!$G$58,ABS(K2179)*'Sollecitazioni nel paramento'!$G$54,'Sollecitazioni nel paramento'!$G$53)</f>
        <v>0</v>
      </c>
      <c r="F2179" s="545">
        <f>-'Foglio deposito bis'!$F$79*(C2179-sezione!$AM$35)*IF(ABS(L2179)&lt;'Sollecitazioni nel paramento'!$G$58,ABS(L2179)*'Sollecitazioni nel paramento'!$G$54,'Sollecitazioni nel paramento'!$G$53)</f>
        <v>-25442194.002376571</v>
      </c>
      <c r="G2179" s="545">
        <f>-'Foglio deposito bis'!$F$80*(C2179-sezione!$AN$35)*IF(ABS(M2179)&lt;'Sollecitazioni nel paramento'!$G$58,ABS(M2179)*'Sollecitazioni nel paramento'!$G$54,'Sollecitazioni nel paramento'!$G$53)</f>
        <v>0</v>
      </c>
      <c r="H2179" s="545">
        <f>-'Foglio deposito bis'!$F$81*(C2179-sezione!$AO$35)*IF(ABS(N2179)&lt;'Sollecitazioni nel paramento'!$G$58,ABS(N2179)*'Sollecitazioni nel paramento'!$G$54,'Sollecitazioni nel paramento'!$G$53)</f>
        <v>-13987885.293080032</v>
      </c>
      <c r="I2179" s="472">
        <f>-'Foglio deposito bis'!$F$82*(C2179-sezione!$AP$35)*IF(ABS(O2179)&lt;'Sollecitazioni nel paramento'!$G$58,ABS(O2179)*'Sollecitazioni nel paramento'!$G$54,'Sollecitazioni nel paramento'!$G$53)</f>
        <v>418373289.25394565</v>
      </c>
      <c r="J2179" s="472">
        <f t="shared" si="149"/>
        <v>-753102295.5498395</v>
      </c>
      <c r="K2179" s="550">
        <f>'Sollecitazioni nel paramento'!$G$60*(sezione!$AL$35-C2179)/C2179</f>
        <v>-2.8793483621551009E-3</v>
      </c>
      <c r="L2179" s="550">
        <f>'Sollecitazioni nel paramento'!$G$60*(sezione!$AM$35-C2179)/C2179</f>
        <v>-2.5690225432326509E-3</v>
      </c>
      <c r="M2179" s="551">
        <f>'Sollecitazioni nel paramento'!$G$60*(sezione!$AN$35-C2179)/C2179</f>
        <v>-2.2586967243102018E-3</v>
      </c>
      <c r="N2179" s="551">
        <f>'Sollecitazioni nel paramento'!$G$60*(sezione!$AO$35-C2179)/C2179</f>
        <v>-1.0173934486204033E-3</v>
      </c>
      <c r="O2179" s="551">
        <f>'Sollecitazioni nel paramento'!$G$60*(sezione!$AP$35-C2179)/C2179</f>
        <v>7.2736214899084273E-3</v>
      </c>
      <c r="P2179" s="545">
        <f>-'Sollecitazioni nel paramento'!$G$47*'Sollecitazioni nel paramento'!$G$41*IF(DATI!$G$211="dx",DATI!$E$61,DATI!$E$64*DATI!$E$63)*1000*C2179*sezione!$AD$5</f>
        <v>-8593516.3540692367</v>
      </c>
      <c r="Q2179" s="545">
        <f>'Foglio deposito bis'!$F$78*IF(ABS(K2179)&lt;'Sollecitazioni nel paramento'!$G$58,ABS(K2179)*'Sollecitazioni nel paramento'!$G$54,'Sollecitazioni nel paramento'!$G$53)*IF(K2179&lt;0,-1,1)</f>
        <v>0</v>
      </c>
      <c r="R2179" s="545">
        <f>'Foglio deposito bis'!$F$79*IF(ABS(L2179)&lt;'Sollecitazioni nel paramento'!$G$58,ABS(L2179)*'Sollecitazioni nel paramento'!$G$54,'Sollecitazioni nel paramento'!$G$53)*IF(L2179&lt;0,-1,1)</f>
        <v>-153664.85805602249</v>
      </c>
      <c r="S2179" s="545">
        <f>'Foglio deposito bis'!$F$80*IF(ABS(M2179)&lt;'Sollecitazioni nel paramento'!$G$58,ABS(M2179)*'Sollecitazioni nel paramento'!$G$54,'Sollecitazioni nel paramento'!$G$53)*IF(M2179&lt;0,-1,1)</f>
        <v>0</v>
      </c>
      <c r="T2179" s="545">
        <f>'Foglio deposito bis'!$F$81*IF(ABS(N2179)&lt;'Sollecitazioni nel paramento'!$G$58,ABS(N2179)*'Sollecitazioni nel paramento'!$G$54,'Sollecitazioni nel paramento'!$G$53)*IF(N2179&lt;0,-1,1)</f>
        <v>-213329.56116704529</v>
      </c>
      <c r="U2179" s="545">
        <f>'Foglio deposito bis'!$F$82*IF(ABS(O2179)&lt;'Sollecitazioni nel paramento'!$G$58,ABS(O2179)*'Sollecitazioni nel paramento'!$G$54,'Sollecitazioni nel paramento'!$G$53)*IF(O2179&lt;0,-1,1)</f>
        <v>892485.49558937876</v>
      </c>
      <c r="V2179" s="472">
        <f t="shared" si="151"/>
        <v>-8068025.2777029239</v>
      </c>
      <c r="W2179" s="551"/>
      <c r="X2179" s="551"/>
    </row>
    <row r="2180" spans="1:24" x14ac:dyDescent="0.25">
      <c r="A2180" s="545">
        <f t="shared" si="150"/>
        <v>8148285.4454201981</v>
      </c>
      <c r="B2180" s="3">
        <f t="shared" si="152"/>
        <v>22.899999999999942</v>
      </c>
      <c r="C2180" s="545">
        <f>'Foglio deposito bis'!$E$161/sezione!$B$247*B2180</f>
        <v>227.55676705634619</v>
      </c>
      <c r="D2180" s="603">
        <f>-'Sollecitazioni nel paramento'!$G$47*'Sollecitazioni nel paramento'!$G$41*IF(DATI!$G$211="dx",DATI!$E$61,DATI!$E$64*DATI!$E$63)*1000*C2180^2*sezione!$AD$5*(1-sezione!$AD$6)</f>
        <v>-1152081320.3121011</v>
      </c>
      <c r="E2180" s="545">
        <f>-'Foglio deposito bis'!$F$78*(C2180-sezione!$AL$35)*IF(ABS(K2180)&lt;'Sollecitazioni nel paramento'!$G$58,ABS(K2180)*'Sollecitazioni nel paramento'!$G$54,'Sollecitazioni nel paramento'!$G$53)</f>
        <v>0</v>
      </c>
      <c r="F2180" s="545">
        <f>-'Foglio deposito bis'!$F$79*(C2180-sezione!$AM$35)*IF(ABS(L2180)&lt;'Sollecitazioni nel paramento'!$G$58,ABS(L2180)*'Sollecitazioni nel paramento'!$G$54,'Sollecitazioni nel paramento'!$G$53)</f>
        <v>-25747586.826039467</v>
      </c>
      <c r="G2180" s="545">
        <f>-'Foglio deposito bis'!$F$80*(C2180-sezione!$AN$35)*IF(ABS(M2180)&lt;'Sollecitazioni nel paramento'!$G$58,ABS(M2180)*'Sollecitazioni nel paramento'!$G$54,'Sollecitazioni nel paramento'!$G$53)</f>
        <v>0</v>
      </c>
      <c r="H2180" s="545">
        <f>-'Foglio deposito bis'!$F$81*(C2180-sezione!$AO$35)*IF(ABS(N2180)&lt;'Sollecitazioni nel paramento'!$G$58,ABS(N2180)*'Sollecitazioni nel paramento'!$G$54,'Sollecitazioni nel paramento'!$G$53)</f>
        <v>-14718993.342640186</v>
      </c>
      <c r="I2180" s="472">
        <f>-'Foglio deposito bis'!$F$82*(C2180-sezione!$AP$35)*IF(ABS(O2180)&lt;'Sollecitazioni nel paramento'!$G$58,ABS(O2180)*'Sollecitazioni nel paramento'!$G$54,'Sollecitazioni nel paramento'!$G$53)</f>
        <v>416599567.73411161</v>
      </c>
      <c r="J2180" s="472">
        <f t="shared" si="149"/>
        <v>-775948332.74666929</v>
      </c>
      <c r="K2180" s="550">
        <f>'Sollecitazioni nel paramento'!$G$60*(sezione!$AL$35-C2180)/C2180</f>
        <v>-2.8847689004768903E-3</v>
      </c>
      <c r="L2180" s="550">
        <f>'Sollecitazioni nel paramento'!$G$60*(sezione!$AM$35-C2180)/C2180</f>
        <v>-2.5771533507153357E-3</v>
      </c>
      <c r="M2180" s="551">
        <f>'Sollecitazioni nel paramento'!$G$60*(sezione!$AN$35-C2180)/C2180</f>
        <v>-2.269537800953781E-3</v>
      </c>
      <c r="N2180" s="551">
        <f>'Sollecitazioni nel paramento'!$G$60*(sezione!$AO$35-C2180)/C2180</f>
        <v>-1.0390756019075615E-3</v>
      </c>
      <c r="O2180" s="551">
        <f>'Sollecitazioni nel paramento'!$G$60*(sezione!$AP$35-C2180)/C2180</f>
        <v>7.1795287258044236E-3</v>
      </c>
      <c r="P2180" s="545">
        <f>-'Sollecitazioni nel paramento'!$G$47*'Sollecitazioni nel paramento'!$G$41*IF(DATI!$G$211="dx",DATI!$E$61,DATI!$E$64*DATI!$E$63)*1000*C2180*sezione!$AD$5</f>
        <v>-8669230.1545456182</v>
      </c>
      <c r="Q2180" s="545">
        <f>'Foglio deposito bis'!$F$78*IF(ABS(K2180)&lt;'Sollecitazioni nel paramento'!$G$58,ABS(K2180)*'Sollecitazioni nel paramento'!$G$54,'Sollecitazioni nel paramento'!$G$53)*IF(K2180&lt;0,-1,1)</f>
        <v>0</v>
      </c>
      <c r="R2180" s="545">
        <f>'Foglio deposito bis'!$F$79*IF(ABS(L2180)&lt;'Sollecitazioni nel paramento'!$G$58,ABS(L2180)*'Sollecitazioni nel paramento'!$G$54,'Sollecitazioni nel paramento'!$G$53)*IF(L2180&lt;0,-1,1)</f>
        <v>-153664.85805602249</v>
      </c>
      <c r="S2180" s="545">
        <f>'Foglio deposito bis'!$F$80*IF(ABS(M2180)&lt;'Sollecitazioni nel paramento'!$G$58,ABS(M2180)*'Sollecitazioni nel paramento'!$G$54,'Sollecitazioni nel paramento'!$G$53)*IF(M2180&lt;0,-1,1)</f>
        <v>0</v>
      </c>
      <c r="T2180" s="545">
        <f>'Foglio deposito bis'!$F$81*IF(ABS(N2180)&lt;'Sollecitazioni nel paramento'!$G$58,ABS(N2180)*'Sollecitazioni nel paramento'!$G$54,'Sollecitazioni nel paramento'!$G$53)*IF(N2180&lt;0,-1,1)</f>
        <v>-217875.9284079374</v>
      </c>
      <c r="U2180" s="545">
        <f>'Foglio deposito bis'!$F$82*IF(ABS(O2180)&lt;'Sollecitazioni nel paramento'!$G$58,ABS(O2180)*'Sollecitazioni nel paramento'!$G$54,'Sollecitazioni nel paramento'!$G$53)*IF(O2180&lt;0,-1,1)</f>
        <v>892485.49558937876</v>
      </c>
      <c r="V2180" s="472">
        <f t="shared" si="151"/>
        <v>-8148285.4454201981</v>
      </c>
      <c r="W2180" s="551"/>
      <c r="X2180" s="551"/>
    </row>
    <row r="2181" spans="1:24" x14ac:dyDescent="0.25">
      <c r="A2181" s="545">
        <f t="shared" si="150"/>
        <v>8548444.9365820754</v>
      </c>
      <c r="B2181" s="3">
        <f t="shared" ref="B2181:B2231" si="153">B2180+1</f>
        <v>23.899999999999942</v>
      </c>
      <c r="C2181" s="545">
        <f>'Foglio deposito bis'!$E$161/sezione!$B$247*B2181</f>
        <v>237.4937437836976</v>
      </c>
      <c r="D2181" s="603">
        <f>-'Sollecitazioni nel paramento'!$G$47*'Sollecitazioni nel paramento'!$G$41*IF(DATI!$G$211="dx",DATI!$E$61,DATI!$E$64*DATI!$E$63)*1000*C2181^2*sezione!$AD$5*(1-sezione!$AD$6)</f>
        <v>-1254896685.7525136</v>
      </c>
      <c r="E2181" s="545">
        <f>-'Foglio deposito bis'!$F$78*(C2181-sezione!$AL$35)*IF(ABS(K2181)&lt;'Sollecitazioni nel paramento'!$G$58,ABS(K2181)*'Sollecitazioni nel paramento'!$G$54,'Sollecitazioni nel paramento'!$G$53)</f>
        <v>0</v>
      </c>
      <c r="F2181" s="545">
        <f>-'Foglio deposito bis'!$F$79*(C2181-sezione!$AM$35)*IF(ABS(L2181)&lt;'Sollecitazioni nel paramento'!$G$58,ABS(L2181)*'Sollecitazioni nel paramento'!$G$54,'Sollecitazioni nel paramento'!$G$53)</f>
        <v>-27274550.944353916</v>
      </c>
      <c r="G2181" s="545">
        <f>-'Foglio deposito bis'!$F$80*(C2181-sezione!$AN$35)*IF(ABS(M2181)&lt;'Sollecitazioni nel paramento'!$G$58,ABS(M2181)*'Sollecitazioni nel paramento'!$G$54,'Sollecitazioni nel paramento'!$G$53)</f>
        <v>0</v>
      </c>
      <c r="H2181" s="545">
        <f>-'Foglio deposito bis'!$F$81*(C2181-sezione!$AO$35)*IF(ABS(N2181)&lt;'Sollecitazioni nel paramento'!$G$58,ABS(N2181)*'Sollecitazioni nel paramento'!$G$54,'Sollecitazioni nel paramento'!$G$53)</f>
        <v>-18557149.178359643</v>
      </c>
      <c r="I2181" s="472">
        <f>-'Foglio deposito bis'!$F$82*(C2181-sezione!$AP$35)*IF(ABS(O2181)&lt;'Sollecitazioni nel paramento'!$G$58,ABS(O2181)*'Sollecitazioni nel paramento'!$G$54,'Sollecitazioni nel paramento'!$G$53)</f>
        <v>407730960.13494128</v>
      </c>
      <c r="J2181" s="472">
        <f t="shared" ref="J2181:J2231" si="154">D2181+E2181+F2181+G2181+H2181+I2181</f>
        <v>-892997425.74028587</v>
      </c>
      <c r="K2181" s="550">
        <f>'Sollecitazioni nel paramento'!$G$60*(sezione!$AL$35-C2181)/C2181</f>
        <v>-2.9105107874862258E-3</v>
      </c>
      <c r="L2181" s="550">
        <f>'Sollecitazioni nel paramento'!$G$60*(sezione!$AM$35-C2181)/C2181</f>
        <v>-2.6157661812293387E-3</v>
      </c>
      <c r="M2181" s="551">
        <f>'Sollecitazioni nel paramento'!$G$60*(sezione!$AN$35-C2181)/C2181</f>
        <v>-2.3210215749724511E-3</v>
      </c>
      <c r="N2181" s="551">
        <f>'Sollecitazioni nel paramento'!$G$60*(sezione!$AO$35-C2181)/C2181</f>
        <v>-1.1420431499449026E-3</v>
      </c>
      <c r="O2181" s="551">
        <f>'Sollecitazioni nel paramento'!$G$60*(sezione!$AP$35-C2181)/C2181</f>
        <v>6.7326865197038181E-3</v>
      </c>
      <c r="P2181" s="545">
        <f>-'Sollecitazioni nel paramento'!$G$47*'Sollecitazioni nel paramento'!$G$41*IF(DATI!$G$211="dx",DATI!$E$61,DATI!$E$64*DATI!$E$63)*1000*C2181*sezione!$AD$5</f>
        <v>-9047799.156927526</v>
      </c>
      <c r="Q2181" s="545">
        <f>'Foglio deposito bis'!$F$78*IF(ABS(K2181)&lt;'Sollecitazioni nel paramento'!$G$58,ABS(K2181)*'Sollecitazioni nel paramento'!$G$54,'Sollecitazioni nel paramento'!$G$53)*IF(K2181&lt;0,-1,1)</f>
        <v>0</v>
      </c>
      <c r="R2181" s="545">
        <f>'Foglio deposito bis'!$F$79*IF(ABS(L2181)&lt;'Sollecitazioni nel paramento'!$G$58,ABS(L2181)*'Sollecitazioni nel paramento'!$G$54,'Sollecitazioni nel paramento'!$G$53)*IF(L2181&lt;0,-1,1)</f>
        <v>-153664.85805602249</v>
      </c>
      <c r="S2181" s="545">
        <f>'Foglio deposito bis'!$F$80*IF(ABS(M2181)&lt;'Sollecitazioni nel paramento'!$G$58,ABS(M2181)*'Sollecitazioni nel paramento'!$G$54,'Sollecitazioni nel paramento'!$G$53)*IF(M2181&lt;0,-1,1)</f>
        <v>0</v>
      </c>
      <c r="T2181" s="545">
        <f>'Foglio deposito bis'!$F$81*IF(ABS(N2181)&lt;'Sollecitazioni nel paramento'!$G$58,ABS(N2181)*'Sollecitazioni nel paramento'!$G$54,'Sollecitazioni nel paramento'!$G$53)*IF(N2181&lt;0,-1,1)</f>
        <v>-239466.41718790625</v>
      </c>
      <c r="U2181" s="545">
        <f>'Foglio deposito bis'!$F$82*IF(ABS(O2181)&lt;'Sollecitazioni nel paramento'!$G$58,ABS(O2181)*'Sollecitazioni nel paramento'!$G$54,'Sollecitazioni nel paramento'!$G$53)*IF(O2181&lt;0,-1,1)</f>
        <v>892485.49558937876</v>
      </c>
      <c r="V2181" s="472">
        <f t="shared" si="151"/>
        <v>-8548444.9365820754</v>
      </c>
      <c r="W2181" s="551"/>
      <c r="X2181" s="551"/>
    </row>
    <row r="2182" spans="1:24" x14ac:dyDescent="0.25">
      <c r="A2182" s="545">
        <f t="shared" ref="A2182:A2231" si="155">ABS(V2182)</f>
        <v>8946870.25193833</v>
      </c>
      <c r="B2182" s="3">
        <f t="shared" si="153"/>
        <v>24.899999999999942</v>
      </c>
      <c r="C2182" s="545">
        <f>'Foglio deposito bis'!$E$161/sezione!$B$247*B2182</f>
        <v>247.43072051104897</v>
      </c>
      <c r="D2182" s="603">
        <f>-'Sollecitazioni nel paramento'!$G$47*'Sollecitazioni nel paramento'!$G$41*IF(DATI!$G$211="dx",DATI!$E$61,DATI!$E$64*DATI!$E$63)*1000*C2182^2*sezione!$AD$5*(1-sezione!$AD$6)</f>
        <v>-1362105870.2288404</v>
      </c>
      <c r="E2182" s="545">
        <f>-'Foglio deposito bis'!$F$78*(C2182-sezione!$AL$35)*IF(ABS(K2182)&lt;'Sollecitazioni nel paramento'!$G$58,ABS(K2182)*'Sollecitazioni nel paramento'!$G$54,'Sollecitazioni nel paramento'!$G$53)</f>
        <v>0</v>
      </c>
      <c r="F2182" s="545">
        <f>-'Foglio deposito bis'!$F$79*(C2182-sezione!$AM$35)*IF(ABS(L2182)&lt;'Sollecitazioni nel paramento'!$G$58,ABS(L2182)*'Sollecitazioni nel paramento'!$G$54,'Sollecitazioni nel paramento'!$G$53)</f>
        <v>-28801515.062668364</v>
      </c>
      <c r="G2182" s="545">
        <f>-'Foglio deposito bis'!$F$80*(C2182-sezione!$AN$35)*IF(ABS(M2182)&lt;'Sollecitazioni nel paramento'!$G$58,ABS(M2182)*'Sollecitazioni nel paramento'!$G$54,'Sollecitazioni nel paramento'!$G$53)</f>
        <v>0</v>
      </c>
      <c r="H2182" s="545">
        <f>-'Foglio deposito bis'!$F$81*(C2182-sezione!$AO$35)*IF(ABS(N2182)&lt;'Sollecitazioni nel paramento'!$G$58,ABS(N2182)*'Sollecitazioni nel paramento'!$G$54,'Sollecitazioni nel paramento'!$G$53)</f>
        <v>-22672773.142978285</v>
      </c>
      <c r="I2182" s="472">
        <f>-'Foglio deposito bis'!$F$82*(C2182-sezione!$AP$35)*IF(ABS(O2182)&lt;'Sollecitazioni nel paramento'!$G$58,ABS(O2182)*'Sollecitazioni nel paramento'!$G$54,'Sollecitazioni nel paramento'!$G$53)</f>
        <v>398862352.53577089</v>
      </c>
      <c r="J2182" s="472">
        <f t="shared" si="154"/>
        <v>-1014717805.898716</v>
      </c>
      <c r="K2182" s="550">
        <f>'Sollecitazioni nel paramento'!$G$60*(sezione!$AL$35-C2182)/C2182</f>
        <v>-2.934185053049028E-3</v>
      </c>
      <c r="L2182" s="550">
        <f>'Sollecitazioni nel paramento'!$G$60*(sezione!$AM$35-C2182)/C2182</f>
        <v>-2.6512775795735416E-3</v>
      </c>
      <c r="M2182" s="551">
        <f>'Sollecitazioni nel paramento'!$G$60*(sezione!$AN$35-C2182)/C2182</f>
        <v>-2.3683701060980555E-3</v>
      </c>
      <c r="N2182" s="551">
        <f>'Sollecitazioni nel paramento'!$G$60*(sezione!$AO$35-C2182)/C2182</f>
        <v>-1.2367402121961112E-3</v>
      </c>
      <c r="O2182" s="551">
        <f>'Sollecitazioni nel paramento'!$G$60*(sezione!$AP$35-C2182)/C2182</f>
        <v>6.321735253852258E-3</v>
      </c>
      <c r="P2182" s="545">
        <f>-'Sollecitazioni nel paramento'!$G$47*'Sollecitazioni nel paramento'!$G$41*IF(DATI!$G$211="dx",DATI!$E$61,DATI!$E$64*DATI!$E$63)*1000*C2182*sezione!$AD$5</f>
        <v>-9426368.1593094319</v>
      </c>
      <c r="Q2182" s="545">
        <f>'Foglio deposito bis'!$F$78*IF(ABS(K2182)&lt;'Sollecitazioni nel paramento'!$G$58,ABS(K2182)*'Sollecitazioni nel paramento'!$G$54,'Sollecitazioni nel paramento'!$G$53)*IF(K2182&lt;0,-1,1)</f>
        <v>0</v>
      </c>
      <c r="R2182" s="545">
        <f>'Foglio deposito bis'!$F$79*IF(ABS(L2182)&lt;'Sollecitazioni nel paramento'!$G$58,ABS(L2182)*'Sollecitazioni nel paramento'!$G$54,'Sollecitazioni nel paramento'!$G$53)*IF(L2182&lt;0,-1,1)</f>
        <v>-153664.85805602249</v>
      </c>
      <c r="S2182" s="545">
        <f>'Foglio deposito bis'!$F$80*IF(ABS(M2182)&lt;'Sollecitazioni nel paramento'!$G$58,ABS(M2182)*'Sollecitazioni nel paramento'!$G$54,'Sollecitazioni nel paramento'!$G$53)*IF(M2182&lt;0,-1,1)</f>
        <v>0</v>
      </c>
      <c r="T2182" s="545">
        <f>'Foglio deposito bis'!$F$81*IF(ABS(N2182)&lt;'Sollecitazioni nel paramento'!$G$58,ABS(N2182)*'Sollecitazioni nel paramento'!$G$54,'Sollecitazioni nel paramento'!$G$53)*IF(N2182&lt;0,-1,1)</f>
        <v>-259322.73016225497</v>
      </c>
      <c r="U2182" s="545">
        <f>'Foglio deposito bis'!$F$82*IF(ABS(O2182)&lt;'Sollecitazioni nel paramento'!$G$58,ABS(O2182)*'Sollecitazioni nel paramento'!$G$54,'Sollecitazioni nel paramento'!$G$53)*IF(O2182&lt;0,-1,1)</f>
        <v>892485.49558937876</v>
      </c>
      <c r="V2182" s="472">
        <f t="shared" ref="V2182:V2231" si="156">P2182+Q2182+R2182+S2182+T2182+U2182</f>
        <v>-8946870.25193833</v>
      </c>
      <c r="W2182" s="551"/>
      <c r="X2182" s="551"/>
    </row>
    <row r="2183" spans="1:24" x14ac:dyDescent="0.25">
      <c r="A2183" s="545">
        <f t="shared" si="155"/>
        <v>9343762.261273399</v>
      </c>
      <c r="B2183" s="3">
        <f t="shared" si="153"/>
        <v>25.899999999999942</v>
      </c>
      <c r="C2183" s="545">
        <f>'Foglio deposito bis'!$E$161/sezione!$B$247*B2183</f>
        <v>257.36769723840035</v>
      </c>
      <c r="D2183" s="603">
        <f>-'Sollecitazioni nel paramento'!$G$47*'Sollecitazioni nel paramento'!$G$41*IF(DATI!$G$211="dx",DATI!$E$61,DATI!$E$64*DATI!$E$63)*1000*C2183^2*sezione!$AD$5*(1-sezione!$AD$6)</f>
        <v>-1473708873.7410827</v>
      </c>
      <c r="E2183" s="545">
        <f>-'Foglio deposito bis'!$F$78*(C2183-sezione!$AL$35)*IF(ABS(K2183)&lt;'Sollecitazioni nel paramento'!$G$58,ABS(K2183)*'Sollecitazioni nel paramento'!$G$54,'Sollecitazioni nel paramento'!$G$53)</f>
        <v>0</v>
      </c>
      <c r="F2183" s="545">
        <f>-'Foglio deposito bis'!$F$79*(C2183-sezione!$AM$35)*IF(ABS(L2183)&lt;'Sollecitazioni nel paramento'!$G$58,ABS(L2183)*'Sollecitazioni nel paramento'!$G$54,'Sollecitazioni nel paramento'!$G$53)</f>
        <v>-30328479.180982813</v>
      </c>
      <c r="G2183" s="545">
        <f>-'Foglio deposito bis'!$F$80*(C2183-sezione!$AN$35)*IF(ABS(M2183)&lt;'Sollecitazioni nel paramento'!$G$58,ABS(M2183)*'Sollecitazioni nel paramento'!$G$54,'Sollecitazioni nel paramento'!$G$53)</f>
        <v>0</v>
      </c>
      <c r="H2183" s="545">
        <f>-'Foglio deposito bis'!$F$81*(C2183-sezione!$AO$35)*IF(ABS(N2183)&lt;'Sollecitazioni nel paramento'!$G$58,ABS(N2183)*'Sollecitazioni nel paramento'!$G$54,'Sollecitazioni nel paramento'!$G$53)</f>
        <v>-27033726.070986573</v>
      </c>
      <c r="I2183" s="472">
        <f>-'Foglio deposito bis'!$F$82*(C2183-sezione!$AP$35)*IF(ABS(O2183)&lt;'Sollecitazioni nel paramento'!$G$58,ABS(O2183)*'Sollecitazioni nel paramento'!$G$54,'Sollecitazioni nel paramento'!$G$53)</f>
        <v>389993744.93660057</v>
      </c>
      <c r="J2183" s="472">
        <f t="shared" si="154"/>
        <v>-1141077334.0564513</v>
      </c>
      <c r="K2183" s="550">
        <f>'Sollecitazioni nel paramento'!$G$60*(sezione!$AL$35-C2183)/C2183</f>
        <v>-2.9560311899969422E-3</v>
      </c>
      <c r="L2183" s="550">
        <f>'Sollecitazioni nel paramento'!$G$60*(sezione!$AM$35-C2183)/C2183</f>
        <v>-2.6840467849954127E-3</v>
      </c>
      <c r="M2183" s="551">
        <f>'Sollecitazioni nel paramento'!$G$60*(sezione!$AN$35-C2183)/C2183</f>
        <v>-2.412062379993884E-3</v>
      </c>
      <c r="N2183" s="551">
        <f>'Sollecitazioni nel paramento'!$G$60*(sezione!$AO$35-C2183)/C2183</f>
        <v>-1.3241247599877675E-3</v>
      </c>
      <c r="O2183" s="551">
        <f>'Sollecitazioni nel paramento'!$G$60*(sezione!$AP$35-C2183)/C2183</f>
        <v>5.9425176764834444E-3</v>
      </c>
      <c r="P2183" s="545">
        <f>-'Sollecitazioni nel paramento'!$G$47*'Sollecitazioni nel paramento'!$G$41*IF(DATI!$G$211="dx",DATI!$E$61,DATI!$E$64*DATI!$E$63)*1000*C2183*sezione!$AD$5</f>
        <v>-9804937.1616913378</v>
      </c>
      <c r="Q2183" s="545">
        <f>'Foglio deposito bis'!$F$78*IF(ABS(K2183)&lt;'Sollecitazioni nel paramento'!$G$58,ABS(K2183)*'Sollecitazioni nel paramento'!$G$54,'Sollecitazioni nel paramento'!$G$53)*IF(K2183&lt;0,-1,1)</f>
        <v>0</v>
      </c>
      <c r="R2183" s="545">
        <f>'Foglio deposito bis'!$F$79*IF(ABS(L2183)&lt;'Sollecitazioni nel paramento'!$G$58,ABS(L2183)*'Sollecitazioni nel paramento'!$G$54,'Sollecitazioni nel paramento'!$G$53)*IF(L2183&lt;0,-1,1)</f>
        <v>-153664.85805602249</v>
      </c>
      <c r="S2183" s="545">
        <f>'Foglio deposito bis'!$F$80*IF(ABS(M2183)&lt;'Sollecitazioni nel paramento'!$G$58,ABS(M2183)*'Sollecitazioni nel paramento'!$G$54,'Sollecitazioni nel paramento'!$G$53)*IF(M2183&lt;0,-1,1)</f>
        <v>0</v>
      </c>
      <c r="T2183" s="545">
        <f>'Foglio deposito bis'!$F$81*IF(ABS(N2183)&lt;'Sollecitazioni nel paramento'!$G$58,ABS(N2183)*'Sollecitazioni nel paramento'!$G$54,'Sollecitazioni nel paramento'!$G$53)*IF(N2183&lt;0,-1,1)</f>
        <v>-277645.7371154186</v>
      </c>
      <c r="U2183" s="545">
        <f>'Foglio deposito bis'!$F$82*IF(ABS(O2183)&lt;'Sollecitazioni nel paramento'!$G$58,ABS(O2183)*'Sollecitazioni nel paramento'!$G$54,'Sollecitazioni nel paramento'!$G$53)*IF(O2183&lt;0,-1,1)</f>
        <v>892485.49558937876</v>
      </c>
      <c r="V2183" s="472">
        <f t="shared" si="156"/>
        <v>-9343762.261273399</v>
      </c>
      <c r="W2183" s="551"/>
      <c r="X2183" s="551"/>
    </row>
    <row r="2184" spans="1:24" x14ac:dyDescent="0.25">
      <c r="A2184" s="545">
        <f t="shared" si="155"/>
        <v>9739291.9652587883</v>
      </c>
      <c r="B2184" s="3">
        <f t="shared" si="153"/>
        <v>26.899999999999942</v>
      </c>
      <c r="C2184" s="545">
        <f>'Foglio deposito bis'!$E$161/sezione!$B$247*B2184</f>
        <v>267.30467396575176</v>
      </c>
      <c r="D2184" s="603">
        <f>-'Sollecitazioni nel paramento'!$G$47*'Sollecitazioni nel paramento'!$G$41*IF(DATI!$G$211="dx",DATI!$E$61,DATI!$E$64*DATI!$E$63)*1000*C2184^2*sezione!$AD$5*(1-sezione!$AD$6)</f>
        <v>-1589705696.2892399</v>
      </c>
      <c r="E2184" s="545">
        <f>-'Foglio deposito bis'!$F$78*(C2184-sezione!$AL$35)*IF(ABS(K2184)&lt;'Sollecitazioni nel paramento'!$G$58,ABS(K2184)*'Sollecitazioni nel paramento'!$G$54,'Sollecitazioni nel paramento'!$G$53)</f>
        <v>0</v>
      </c>
      <c r="F2184" s="545">
        <f>-'Foglio deposito bis'!$F$79*(C2184-sezione!$AM$35)*IF(ABS(L2184)&lt;'Sollecitazioni nel paramento'!$G$58,ABS(L2184)*'Sollecitazioni nel paramento'!$G$54,'Sollecitazioni nel paramento'!$G$53)</f>
        <v>-31855443.299297266</v>
      </c>
      <c r="G2184" s="545">
        <f>-'Foglio deposito bis'!$F$80*(C2184-sezione!$AN$35)*IF(ABS(M2184)&lt;'Sollecitazioni nel paramento'!$G$58,ABS(M2184)*'Sollecitazioni nel paramento'!$G$54,'Sollecitazioni nel paramento'!$G$53)</f>
        <v>0</v>
      </c>
      <c r="H2184" s="545">
        <f>-'Foglio deposito bis'!$F$81*(C2184-sezione!$AO$35)*IF(ABS(N2184)&lt;'Sollecitazioni nel paramento'!$G$58,ABS(N2184)*'Sollecitazioni nel paramento'!$G$54,'Sollecitazioni nel paramento'!$G$53)</f>
        <v>-31612647.854943275</v>
      </c>
      <c r="I2184" s="472">
        <f>-'Foglio deposito bis'!$F$82*(C2184-sezione!$AP$35)*IF(ABS(O2184)&lt;'Sollecitazioni nel paramento'!$G$58,ABS(O2184)*'Sollecitazioni nel paramento'!$G$54,'Sollecitazioni nel paramento'!$G$53)</f>
        <v>381125137.33743024</v>
      </c>
      <c r="J2184" s="472">
        <f t="shared" si="154"/>
        <v>-1272048650.1060503</v>
      </c>
      <c r="K2184" s="550">
        <f>'Sollecitazioni nel paramento'!$G$60*(sezione!$AL$35-C2184)/C2184</f>
        <v>-2.976253078844639E-3</v>
      </c>
      <c r="L2184" s="550">
        <f>'Sollecitazioni nel paramento'!$G$60*(sezione!$AM$35-C2184)/C2184</f>
        <v>-2.7143796182669592E-3</v>
      </c>
      <c r="M2184" s="551">
        <f>'Sollecitazioni nel paramento'!$G$60*(sezione!$AN$35-C2184)/C2184</f>
        <v>-2.4525061576892784E-3</v>
      </c>
      <c r="N2184" s="551">
        <f>'Sollecitazioni nel paramento'!$G$60*(sezione!$AO$35-C2184)/C2184</f>
        <v>-1.405012315378557E-3</v>
      </c>
      <c r="O2184" s="551">
        <f>'Sollecitazioni nel paramento'!$G$60*(sezione!$AP$35-C2184)/C2184</f>
        <v>5.5914947145323853E-3</v>
      </c>
      <c r="P2184" s="545">
        <f>-'Sollecitazioni nel paramento'!$G$47*'Sollecitazioni nel paramento'!$G$41*IF(DATI!$G$211="dx",DATI!$E$61,DATI!$E$64*DATI!$E$63)*1000*C2184*sezione!$AD$5</f>
        <v>-10183506.164073242</v>
      </c>
      <c r="Q2184" s="545">
        <f>'Foglio deposito bis'!$F$78*IF(ABS(K2184)&lt;'Sollecitazioni nel paramento'!$G$58,ABS(K2184)*'Sollecitazioni nel paramento'!$G$54,'Sollecitazioni nel paramento'!$G$53)*IF(K2184&lt;0,-1,1)</f>
        <v>0</v>
      </c>
      <c r="R2184" s="545">
        <f>'Foglio deposito bis'!$F$79*IF(ABS(L2184)&lt;'Sollecitazioni nel paramento'!$G$58,ABS(L2184)*'Sollecitazioni nel paramento'!$G$54,'Sollecitazioni nel paramento'!$G$53)*IF(L2184&lt;0,-1,1)</f>
        <v>-153664.85805602249</v>
      </c>
      <c r="S2184" s="545">
        <f>'Foglio deposito bis'!$F$80*IF(ABS(M2184)&lt;'Sollecitazioni nel paramento'!$G$58,ABS(M2184)*'Sollecitazioni nel paramento'!$G$54,'Sollecitazioni nel paramento'!$G$53)*IF(M2184&lt;0,-1,1)</f>
        <v>0</v>
      </c>
      <c r="T2184" s="545">
        <f>'Foglio deposito bis'!$F$81*IF(ABS(N2184)&lt;'Sollecitazioni nel paramento'!$G$58,ABS(N2184)*'Sollecitazioni nel paramento'!$G$54,'Sollecitazioni nel paramento'!$G$53)*IF(N2184&lt;0,-1,1)</f>
        <v>-294606.43871890451</v>
      </c>
      <c r="U2184" s="545">
        <f>'Foglio deposito bis'!$F$82*IF(ABS(O2184)&lt;'Sollecitazioni nel paramento'!$G$58,ABS(O2184)*'Sollecitazioni nel paramento'!$G$54,'Sollecitazioni nel paramento'!$G$53)*IF(O2184&lt;0,-1,1)</f>
        <v>892485.49558937876</v>
      </c>
      <c r="V2184" s="472">
        <f t="shared" si="156"/>
        <v>-9739291.9652587883</v>
      </c>
      <c r="W2184" s="551"/>
      <c r="X2184" s="551"/>
    </row>
    <row r="2185" spans="1:24" x14ac:dyDescent="0.25">
      <c r="A2185" s="545">
        <f t="shared" si="155"/>
        <v>10133605.848340703</v>
      </c>
      <c r="B2185" s="3">
        <f t="shared" si="153"/>
        <v>27.899999999999942</v>
      </c>
      <c r="C2185" s="545">
        <f>'Foglio deposito bis'!$E$161/sezione!$B$247*B2185</f>
        <v>277.24165069310311</v>
      </c>
      <c r="D2185" s="603">
        <f>-'Sollecitazioni nel paramento'!$G$47*'Sollecitazioni nel paramento'!$G$41*IF(DATI!$G$211="dx",DATI!$E$61,DATI!$E$64*DATI!$E$63)*1000*C2185^2*sezione!$AD$5*(1-sezione!$AD$6)</f>
        <v>-1710096337.8733118</v>
      </c>
      <c r="E2185" s="545">
        <f>-'Foglio deposito bis'!$F$78*(C2185-sezione!$AL$35)*IF(ABS(K2185)&lt;'Sollecitazioni nel paramento'!$G$58,ABS(K2185)*'Sollecitazioni nel paramento'!$G$54,'Sollecitazioni nel paramento'!$G$53)</f>
        <v>0</v>
      </c>
      <c r="F2185" s="545">
        <f>-'Foglio deposito bis'!$F$79*(C2185-sezione!$AM$35)*IF(ABS(L2185)&lt;'Sollecitazioni nel paramento'!$G$58,ABS(L2185)*'Sollecitazioni nel paramento'!$G$54,'Sollecitazioni nel paramento'!$G$53)</f>
        <v>-33382407.417611711</v>
      </c>
      <c r="G2185" s="545">
        <f>-'Foglio deposito bis'!$F$80*(C2185-sezione!$AN$35)*IF(ABS(M2185)&lt;'Sollecitazioni nel paramento'!$G$58,ABS(M2185)*'Sollecitazioni nel paramento'!$G$54,'Sollecitazioni nel paramento'!$G$53)</f>
        <v>0</v>
      </c>
      <c r="H2185" s="545">
        <f>-'Foglio deposito bis'!$F$81*(C2185-sezione!$AO$35)*IF(ABS(N2185)&lt;'Sollecitazioni nel paramento'!$G$58,ABS(N2185)*'Sollecitazioni nel paramento'!$G$54,'Sollecitazioni nel paramento'!$G$53)</f>
        <v>-36386100.98345606</v>
      </c>
      <c r="I2185" s="472">
        <f>-'Foglio deposito bis'!$F$82*(C2185-sezione!$AP$35)*IF(ABS(O2185)&lt;'Sollecitazioni nel paramento'!$G$58,ABS(O2185)*'Sollecitazioni nel paramento'!$G$54,'Sollecitazioni nel paramento'!$G$53)</f>
        <v>372256529.73825997</v>
      </c>
      <c r="J2185" s="472">
        <f t="shared" si="154"/>
        <v>-1407608316.5361195</v>
      </c>
      <c r="K2185" s="550">
        <f>'Sollecitazioni nel paramento'!$G$60*(sezione!$AL$35-C2185)/C2185</f>
        <v>-2.9950253699254767E-3</v>
      </c>
      <c r="L2185" s="550">
        <f>'Sollecitazioni nel paramento'!$G$60*(sezione!$AM$35-C2185)/C2185</f>
        <v>-2.7425380548882152E-3</v>
      </c>
      <c r="M2185" s="551">
        <f>'Sollecitazioni nel paramento'!$G$60*(sezione!$AN$35-C2185)/C2185</f>
        <v>-2.4900507398509532E-3</v>
      </c>
      <c r="N2185" s="551">
        <f>'Sollecitazioni nel paramento'!$G$60*(sezione!$AO$35-C2185)/C2185</f>
        <v>-1.480101479701906E-3</v>
      </c>
      <c r="O2185" s="551">
        <f>'Sollecitazioni nel paramento'!$G$60*(sezione!$AP$35-C2185)/C2185</f>
        <v>5.2656346889219056E-3</v>
      </c>
      <c r="P2185" s="545">
        <f>-'Sollecitazioni nel paramento'!$G$47*'Sollecitazioni nel paramento'!$G$41*IF(DATI!$G$211="dx",DATI!$E$61,DATI!$E$64*DATI!$E$63)*1000*C2185*sezione!$AD$5</f>
        <v>-10562075.166455146</v>
      </c>
      <c r="Q2185" s="545">
        <f>'Foglio deposito bis'!$F$78*IF(ABS(K2185)&lt;'Sollecitazioni nel paramento'!$G$58,ABS(K2185)*'Sollecitazioni nel paramento'!$G$54,'Sollecitazioni nel paramento'!$G$53)*IF(K2185&lt;0,-1,1)</f>
        <v>0</v>
      </c>
      <c r="R2185" s="545">
        <f>'Foglio deposito bis'!$F$79*IF(ABS(L2185)&lt;'Sollecitazioni nel paramento'!$G$58,ABS(L2185)*'Sollecitazioni nel paramento'!$G$54,'Sollecitazioni nel paramento'!$G$53)*IF(L2185&lt;0,-1,1)</f>
        <v>-153664.85805602249</v>
      </c>
      <c r="S2185" s="545">
        <f>'Foglio deposito bis'!$F$80*IF(ABS(M2185)&lt;'Sollecitazioni nel paramento'!$G$58,ABS(M2185)*'Sollecitazioni nel paramento'!$G$54,'Sollecitazioni nel paramento'!$G$53)*IF(M2185&lt;0,-1,1)</f>
        <v>0</v>
      </c>
      <c r="T2185" s="545">
        <f>'Foglio deposito bis'!$F$81*IF(ABS(N2185)&lt;'Sollecitazioni nel paramento'!$G$58,ABS(N2185)*'Sollecitazioni nel paramento'!$G$54,'Sollecitazioni nel paramento'!$G$53)*IF(N2185&lt;0,-1,1)</f>
        <v>-310351.31941891467</v>
      </c>
      <c r="U2185" s="545">
        <f>'Foglio deposito bis'!$F$82*IF(ABS(O2185)&lt;'Sollecitazioni nel paramento'!$G$58,ABS(O2185)*'Sollecitazioni nel paramento'!$G$54,'Sollecitazioni nel paramento'!$G$53)*IF(O2185&lt;0,-1,1)</f>
        <v>892485.49558937876</v>
      </c>
      <c r="V2185" s="472">
        <f t="shared" si="156"/>
        <v>-10133605.848340703</v>
      </c>
      <c r="W2185" s="551"/>
      <c r="X2185" s="551"/>
    </row>
    <row r="2186" spans="1:24" x14ac:dyDescent="0.25">
      <c r="A2186" s="545">
        <f t="shared" si="155"/>
        <v>10526830.120301513</v>
      </c>
      <c r="B2186" s="3">
        <f t="shared" si="153"/>
        <v>28.899999999999942</v>
      </c>
      <c r="C2186" s="545">
        <f>'Foglio deposito bis'!$E$161/sezione!$B$247*B2186</f>
        <v>287.17862742045452</v>
      </c>
      <c r="D2186" s="603">
        <f>-'Sollecitazioni nel paramento'!$G$47*'Sollecitazioni nel paramento'!$G$41*IF(DATI!$G$211="dx",DATI!$E$61,DATI!$E$64*DATI!$E$63)*1000*C2186^2*sezione!$AD$5*(1-sezione!$AD$6)</f>
        <v>-1834880798.4932992</v>
      </c>
      <c r="E2186" s="545">
        <f>-'Foglio deposito bis'!$F$78*(C2186-sezione!$AL$35)*IF(ABS(K2186)&lt;'Sollecitazioni nel paramento'!$G$58,ABS(K2186)*'Sollecitazioni nel paramento'!$G$54,'Sollecitazioni nel paramento'!$G$53)</f>
        <v>0</v>
      </c>
      <c r="F2186" s="545">
        <f>-'Foglio deposito bis'!$F$79*(C2186-sezione!$AM$35)*IF(ABS(L2186)&lt;'Sollecitazioni nel paramento'!$G$58,ABS(L2186)*'Sollecitazioni nel paramento'!$G$54,'Sollecitazioni nel paramento'!$G$53)</f>
        <v>-34909371.535926163</v>
      </c>
      <c r="G2186" s="545">
        <f>-'Foglio deposito bis'!$F$80*(C2186-sezione!$AN$35)*IF(ABS(M2186)&lt;'Sollecitazioni nel paramento'!$G$58,ABS(M2186)*'Sollecitazioni nel paramento'!$G$54,'Sollecitazioni nel paramento'!$G$53)</f>
        <v>0</v>
      </c>
      <c r="H2186" s="545">
        <f>-'Foglio deposito bis'!$F$81*(C2186-sezione!$AO$35)*IF(ABS(N2186)&lt;'Sollecitazioni nel paramento'!$G$58,ABS(N2186)*'Sollecitazioni nel paramento'!$G$54,'Sollecitazioni nel paramento'!$G$53)</f>
        <v>-41333891.891346164</v>
      </c>
      <c r="I2186" s="472">
        <f>-'Foglio deposito bis'!$F$82*(C2186-sezione!$AP$35)*IF(ABS(O2186)&lt;'Sollecitazioni nel paramento'!$G$58,ABS(O2186)*'Sollecitazioni nel paramento'!$G$54,'Sollecitazioni nel paramento'!$G$53)</f>
        <v>363387922.13908964</v>
      </c>
      <c r="J2186" s="472">
        <f t="shared" si="154"/>
        <v>-1547736139.781482</v>
      </c>
      <c r="K2186" s="550">
        <f>'Sollecitazioni nel paramento'!$G$60*(sezione!$AL$35-C2186)/C2186</f>
        <v>-3.0124985405162908E-3</v>
      </c>
      <c r="L2186" s="550">
        <f>'Sollecitazioni nel paramento'!$G$60*(sezione!$AM$35-C2186)/C2186</f>
        <v>-2.7687478107744357E-3</v>
      </c>
      <c r="M2186" s="551">
        <f>'Sollecitazioni nel paramento'!$G$60*(sezione!$AN$35-C2186)/C2186</f>
        <v>-2.5249970810325814E-3</v>
      </c>
      <c r="N2186" s="551">
        <f>'Sollecitazioni nel paramento'!$G$60*(sezione!$AO$35-C2186)/C2186</f>
        <v>-1.5499941620651624E-3</v>
      </c>
      <c r="O2186" s="551">
        <f>'Sollecitazioni nel paramento'!$G$60*(sezione!$AP$35-C2186)/C2186</f>
        <v>4.9623255301356802E-3</v>
      </c>
      <c r="P2186" s="545">
        <f>-'Sollecitazioni nel paramento'!$G$47*'Sollecitazioni nel paramento'!$G$41*IF(DATI!$G$211="dx",DATI!$E$61,DATI!$E$64*DATI!$E$63)*1000*C2186*sezione!$AD$5</f>
        <v>-10940644.168837054</v>
      </c>
      <c r="Q2186" s="545">
        <f>'Foglio deposito bis'!$F$78*IF(ABS(K2186)&lt;'Sollecitazioni nel paramento'!$G$58,ABS(K2186)*'Sollecitazioni nel paramento'!$G$54,'Sollecitazioni nel paramento'!$G$53)*IF(K2186&lt;0,-1,1)</f>
        <v>0</v>
      </c>
      <c r="R2186" s="545">
        <f>'Foglio deposito bis'!$F$79*IF(ABS(L2186)&lt;'Sollecitazioni nel paramento'!$G$58,ABS(L2186)*'Sollecitazioni nel paramento'!$G$54,'Sollecitazioni nel paramento'!$G$53)*IF(L2186&lt;0,-1,1)</f>
        <v>-153664.85805602249</v>
      </c>
      <c r="S2186" s="545">
        <f>'Foglio deposito bis'!$F$80*IF(ABS(M2186)&lt;'Sollecitazioni nel paramento'!$G$58,ABS(M2186)*'Sollecitazioni nel paramento'!$G$54,'Sollecitazioni nel paramento'!$G$53)*IF(M2186&lt;0,-1,1)</f>
        <v>0</v>
      </c>
      <c r="T2186" s="545">
        <f>'Foglio deposito bis'!$F$81*IF(ABS(N2186)&lt;'Sollecitazioni nel paramento'!$G$58,ABS(N2186)*'Sollecitazioni nel paramento'!$G$54,'Sollecitazioni nel paramento'!$G$53)*IF(N2186&lt;0,-1,1)</f>
        <v>-325006.58899781707</v>
      </c>
      <c r="U2186" s="545">
        <f>'Foglio deposito bis'!$F$82*IF(ABS(O2186)&lt;'Sollecitazioni nel paramento'!$G$58,ABS(O2186)*'Sollecitazioni nel paramento'!$G$54,'Sollecitazioni nel paramento'!$G$53)*IF(O2186&lt;0,-1,1)</f>
        <v>892485.49558937876</v>
      </c>
      <c r="V2186" s="472">
        <f t="shared" si="156"/>
        <v>-10526830.120301513</v>
      </c>
      <c r="W2186" s="551"/>
      <c r="X2186" s="551"/>
    </row>
    <row r="2187" spans="1:24" x14ac:dyDescent="0.25">
      <c r="A2187" s="545">
        <f t="shared" si="155"/>
        <v>10919074.106671762</v>
      </c>
      <c r="B2187" s="3">
        <f t="shared" si="153"/>
        <v>29.899999999999942</v>
      </c>
      <c r="C2187" s="545">
        <f>'Foglio deposito bis'!$E$161/sezione!$B$247*B2187</f>
        <v>297.11560414780593</v>
      </c>
      <c r="D2187" s="603">
        <f>-'Sollecitazioni nel paramento'!$G$47*'Sollecitazioni nel paramento'!$G$41*IF(DATI!$G$211="dx",DATI!$E$61,DATI!$E$64*DATI!$E$63)*1000*C2187^2*sezione!$AD$5*(1-sezione!$AD$6)</f>
        <v>-1964059078.1492019</v>
      </c>
      <c r="E2187" s="545">
        <f>-'Foglio deposito bis'!$F$78*(C2187-sezione!$AL$35)*IF(ABS(K2187)&lt;'Sollecitazioni nel paramento'!$G$58,ABS(K2187)*'Sollecitazioni nel paramento'!$G$54,'Sollecitazioni nel paramento'!$G$53)</f>
        <v>0</v>
      </c>
      <c r="F2187" s="545">
        <f>-'Foglio deposito bis'!$F$79*(C2187-sezione!$AM$35)*IF(ABS(L2187)&lt;'Sollecitazioni nel paramento'!$G$58,ABS(L2187)*'Sollecitazioni nel paramento'!$G$54,'Sollecitazioni nel paramento'!$G$53)</f>
        <v>-36436335.654240616</v>
      </c>
      <c r="G2187" s="545">
        <f>-'Foglio deposito bis'!$F$80*(C2187-sezione!$AN$35)*IF(ABS(M2187)&lt;'Sollecitazioni nel paramento'!$G$58,ABS(M2187)*'Sollecitazioni nel paramento'!$G$54,'Sollecitazioni nel paramento'!$G$53)</f>
        <v>0</v>
      </c>
      <c r="H2187" s="545">
        <f>-'Foglio deposito bis'!$F$81*(C2187-sezione!$AO$35)*IF(ABS(N2187)&lt;'Sollecitazioni nel paramento'!$G$58,ABS(N2187)*'Sollecitazioni nel paramento'!$G$54,'Sollecitazioni nel paramento'!$G$53)</f>
        <v>-46438528.493726186</v>
      </c>
      <c r="I2187" s="472">
        <f>-'Foglio deposito bis'!$F$82*(C2187-sezione!$AP$35)*IF(ABS(O2187)&lt;'Sollecitazioni nel paramento'!$G$58,ABS(O2187)*'Sollecitazioni nel paramento'!$G$54,'Sollecitazioni nel paramento'!$G$53)</f>
        <v>354519314.53991926</v>
      </c>
      <c r="J2187" s="472">
        <f t="shared" si="154"/>
        <v>-1692414627.7572494</v>
      </c>
      <c r="K2187" s="550">
        <f>'Sollecitazioni nel paramento'!$G$60*(sezione!$AL$35-C2187)/C2187</f>
        <v>-3.0288029371545416E-3</v>
      </c>
      <c r="L2187" s="550">
        <f>'Sollecitazioni nel paramento'!$G$60*(sezione!$AM$35-C2187)/C2187</f>
        <v>-2.7932044057318128E-3</v>
      </c>
      <c r="M2187" s="551">
        <f>'Sollecitazioni nel paramento'!$G$60*(sezione!$AN$35-C2187)/C2187</f>
        <v>-2.5576058743090836E-3</v>
      </c>
      <c r="N2187" s="551">
        <f>'Sollecitazioni nel paramento'!$G$60*(sezione!$AO$35-C2187)/C2187</f>
        <v>-1.6152117486181671E-3</v>
      </c>
      <c r="O2187" s="551">
        <f>'Sollecitazioni nel paramento'!$G$60*(sezione!$AP$35-C2187)/C2187</f>
        <v>4.6793046093953549E-3</v>
      </c>
      <c r="P2187" s="545">
        <f>-'Sollecitazioni nel paramento'!$G$47*'Sollecitazioni nel paramento'!$G$41*IF(DATI!$G$211="dx",DATI!$E$61,DATI!$E$64*DATI!$E$63)*1000*C2187*sezione!$AD$5</f>
        <v>-11319213.171218961</v>
      </c>
      <c r="Q2187" s="545">
        <f>'Foglio deposito bis'!$F$78*IF(ABS(K2187)&lt;'Sollecitazioni nel paramento'!$G$58,ABS(K2187)*'Sollecitazioni nel paramento'!$G$54,'Sollecitazioni nel paramento'!$G$53)*IF(K2187&lt;0,-1,1)</f>
        <v>0</v>
      </c>
      <c r="R2187" s="545">
        <f>'Foglio deposito bis'!$F$79*IF(ABS(L2187)&lt;'Sollecitazioni nel paramento'!$G$58,ABS(L2187)*'Sollecitazioni nel paramento'!$G$54,'Sollecitazioni nel paramento'!$G$53)*IF(L2187&lt;0,-1,1)</f>
        <v>-153664.85805602249</v>
      </c>
      <c r="S2187" s="545">
        <f>'Foglio deposito bis'!$F$80*IF(ABS(M2187)&lt;'Sollecitazioni nel paramento'!$G$58,ABS(M2187)*'Sollecitazioni nel paramento'!$G$54,'Sollecitazioni nel paramento'!$G$53)*IF(M2187&lt;0,-1,1)</f>
        <v>0</v>
      </c>
      <c r="T2187" s="545">
        <f>'Foglio deposito bis'!$F$81*IF(ABS(N2187)&lt;'Sollecitazioni nel paramento'!$G$58,ABS(N2187)*'Sollecitazioni nel paramento'!$G$54,'Sollecitazioni nel paramento'!$G$53)*IF(N2187&lt;0,-1,1)</f>
        <v>-338681.57298615732</v>
      </c>
      <c r="U2187" s="545">
        <f>'Foglio deposito bis'!$F$82*IF(ABS(O2187)&lt;'Sollecitazioni nel paramento'!$G$58,ABS(O2187)*'Sollecitazioni nel paramento'!$G$54,'Sollecitazioni nel paramento'!$G$53)*IF(O2187&lt;0,-1,1)</f>
        <v>892485.49558937876</v>
      </c>
      <c r="V2187" s="472">
        <f t="shared" si="156"/>
        <v>-10919074.106671762</v>
      </c>
      <c r="W2187" s="551"/>
      <c r="X2187" s="551"/>
    </row>
    <row r="2188" spans="1:24" x14ac:dyDescent="0.25">
      <c r="A2188" s="545">
        <f t="shared" si="155"/>
        <v>11310432.98080975</v>
      </c>
      <c r="B2188" s="3">
        <f t="shared" si="153"/>
        <v>30.899999999999942</v>
      </c>
      <c r="C2188" s="545">
        <f>'Foglio deposito bis'!$E$161/sezione!$B$247*B2188</f>
        <v>307.05258087515728</v>
      </c>
      <c r="D2188" s="603">
        <f>-'Sollecitazioni nel paramento'!$G$47*'Sollecitazioni nel paramento'!$G$41*IF(DATI!$G$211="dx",DATI!$E$61,DATI!$E$64*DATI!$E$63)*1000*C2188^2*sezione!$AD$5*(1-sezione!$AD$6)</f>
        <v>-2097631176.8410192</v>
      </c>
      <c r="E2188" s="545">
        <f>-'Foglio deposito bis'!$F$78*(C2188-sezione!$AL$35)*IF(ABS(K2188)&lt;'Sollecitazioni nel paramento'!$G$58,ABS(K2188)*'Sollecitazioni nel paramento'!$G$54,'Sollecitazioni nel paramento'!$G$53)</f>
        <v>0</v>
      </c>
      <c r="F2188" s="545">
        <f>-'Foglio deposito bis'!$F$79*(C2188-sezione!$AM$35)*IF(ABS(L2188)&lt;'Sollecitazioni nel paramento'!$G$58,ABS(L2188)*'Sollecitazioni nel paramento'!$G$54,'Sollecitazioni nel paramento'!$G$53)</f>
        <v>-37963299.772555061</v>
      </c>
      <c r="G2188" s="545">
        <f>-'Foglio deposito bis'!$F$80*(C2188-sezione!$AN$35)*IF(ABS(M2188)&lt;'Sollecitazioni nel paramento'!$G$58,ABS(M2188)*'Sollecitazioni nel paramento'!$G$54,'Sollecitazioni nel paramento'!$G$53)</f>
        <v>0</v>
      </c>
      <c r="H2188" s="545">
        <f>-'Foglio deposito bis'!$F$81*(C2188-sezione!$AO$35)*IF(ABS(N2188)&lt;'Sollecitazioni nel paramento'!$G$58,ABS(N2188)*'Sollecitazioni nel paramento'!$G$54,'Sollecitazioni nel paramento'!$G$53)</f>
        <v>-51684783.05326698</v>
      </c>
      <c r="I2188" s="472">
        <f>-'Foglio deposito bis'!$F$82*(C2188-sezione!$AP$35)*IF(ABS(O2188)&lt;'Sollecitazioni nel paramento'!$G$58,ABS(O2188)*'Sollecitazioni nel paramento'!$G$54,'Sollecitazioni nel paramento'!$G$53)</f>
        <v>345650706.94074899</v>
      </c>
      <c r="J2188" s="472">
        <f t="shared" si="154"/>
        <v>-1841628552.7260921</v>
      </c>
      <c r="K2188" s="550">
        <f>'Sollecitazioni nel paramento'!$G$60*(sezione!$AL$35-C2188)/C2188</f>
        <v>-3.044052033039508E-3</v>
      </c>
      <c r="L2188" s="550">
        <f>'Sollecitazioni nel paramento'!$G$60*(sezione!$AM$35-C2188)/C2188</f>
        <v>-2.8160780495592621E-3</v>
      </c>
      <c r="M2188" s="551">
        <f>'Sollecitazioni nel paramento'!$G$60*(sezione!$AN$35-C2188)/C2188</f>
        <v>-2.5881040660790159E-3</v>
      </c>
      <c r="N2188" s="551">
        <f>'Sollecitazioni nel paramento'!$G$60*(sezione!$AO$35-C2188)/C2188</f>
        <v>-1.6762081321580319E-3</v>
      </c>
      <c r="O2188" s="551">
        <f>'Sollecitazioni nel paramento'!$G$60*(sezione!$AP$35-C2188)/C2188</f>
        <v>4.4146021948518171E-3</v>
      </c>
      <c r="P2188" s="545">
        <f>-'Sollecitazioni nel paramento'!$G$47*'Sollecitazioni nel paramento'!$G$41*IF(DATI!$G$211="dx",DATI!$E$61,DATI!$E$64*DATI!$E$63)*1000*C2188*sezione!$AD$5</f>
        <v>-11697782.173600866</v>
      </c>
      <c r="Q2188" s="545">
        <f>'Foglio deposito bis'!$F$78*IF(ABS(K2188)&lt;'Sollecitazioni nel paramento'!$G$58,ABS(K2188)*'Sollecitazioni nel paramento'!$G$54,'Sollecitazioni nel paramento'!$G$53)*IF(K2188&lt;0,-1,1)</f>
        <v>0</v>
      </c>
      <c r="R2188" s="545">
        <f>'Foglio deposito bis'!$F$79*IF(ABS(L2188)&lt;'Sollecitazioni nel paramento'!$G$58,ABS(L2188)*'Sollecitazioni nel paramento'!$G$54,'Sollecitazioni nel paramento'!$G$53)*IF(L2188&lt;0,-1,1)</f>
        <v>-153664.85805602249</v>
      </c>
      <c r="S2188" s="545">
        <f>'Foglio deposito bis'!$F$80*IF(ABS(M2188)&lt;'Sollecitazioni nel paramento'!$G$58,ABS(M2188)*'Sollecitazioni nel paramento'!$G$54,'Sollecitazioni nel paramento'!$G$53)*IF(M2188&lt;0,-1,1)</f>
        <v>0</v>
      </c>
      <c r="T2188" s="545">
        <f>'Foglio deposito bis'!$F$81*IF(ABS(N2188)&lt;'Sollecitazioni nel paramento'!$G$58,ABS(N2188)*'Sollecitazioni nel paramento'!$G$54,'Sollecitazioni nel paramento'!$G$53)*IF(N2188&lt;0,-1,1)</f>
        <v>-351471.44474224251</v>
      </c>
      <c r="U2188" s="545">
        <f>'Foglio deposito bis'!$F$82*IF(ABS(O2188)&lt;'Sollecitazioni nel paramento'!$G$58,ABS(O2188)*'Sollecitazioni nel paramento'!$G$54,'Sollecitazioni nel paramento'!$G$53)*IF(O2188&lt;0,-1,1)</f>
        <v>892485.49558937876</v>
      </c>
      <c r="V2188" s="472">
        <f t="shared" si="156"/>
        <v>-11310432.98080975</v>
      </c>
      <c r="W2188" s="551"/>
      <c r="X2188" s="551"/>
    </row>
    <row r="2189" spans="1:24" x14ac:dyDescent="0.25">
      <c r="A2189" s="545">
        <f t="shared" si="155"/>
        <v>11700989.982110368</v>
      </c>
      <c r="B2189" s="3">
        <f t="shared" si="153"/>
        <v>31.899999999999942</v>
      </c>
      <c r="C2189" s="545">
        <f>'Foglio deposito bis'!$E$161/sezione!$B$247*B2189</f>
        <v>316.98955760250868</v>
      </c>
      <c r="D2189" s="603">
        <f>-'Sollecitazioni nel paramento'!$G$47*'Sollecitazioni nel paramento'!$G$41*IF(DATI!$G$211="dx",DATI!$E$61,DATI!$E$64*DATI!$E$63)*1000*C2189^2*sezione!$AD$5*(1-sezione!$AD$6)</f>
        <v>-2235597094.5687518</v>
      </c>
      <c r="E2189" s="545">
        <f>-'Foglio deposito bis'!$F$78*(C2189-sezione!$AL$35)*IF(ABS(K2189)&lt;'Sollecitazioni nel paramento'!$G$58,ABS(K2189)*'Sollecitazioni nel paramento'!$G$54,'Sollecitazioni nel paramento'!$G$53)</f>
        <v>0</v>
      </c>
      <c r="F2189" s="545">
        <f>-'Foglio deposito bis'!$F$79*(C2189-sezione!$AM$35)*IF(ABS(L2189)&lt;'Sollecitazioni nel paramento'!$G$58,ABS(L2189)*'Sollecitazioni nel paramento'!$G$54,'Sollecitazioni nel paramento'!$G$53)</f>
        <v>-39490263.890869513</v>
      </c>
      <c r="G2189" s="545">
        <f>-'Foglio deposito bis'!$F$80*(C2189-sezione!$AN$35)*IF(ABS(M2189)&lt;'Sollecitazioni nel paramento'!$G$58,ABS(M2189)*'Sollecitazioni nel paramento'!$G$54,'Sollecitazioni nel paramento'!$G$53)</f>
        <v>0</v>
      </c>
      <c r="H2189" s="545">
        <f>-'Foglio deposito bis'!$F$81*(C2189-sezione!$AO$35)*IF(ABS(N2189)&lt;'Sollecitazioni nel paramento'!$G$58,ABS(N2189)*'Sollecitazioni nel paramento'!$G$54,'Sollecitazioni nel paramento'!$G$53)</f>
        <v>-57059337.266787358</v>
      </c>
      <c r="I2189" s="472">
        <f>-'Foglio deposito bis'!$F$82*(C2189-sezione!$AP$35)*IF(ABS(O2189)&lt;'Sollecitazioni nel paramento'!$G$58,ABS(O2189)*'Sollecitazioni nel paramento'!$G$54,'Sollecitazioni nel paramento'!$G$53)</f>
        <v>336782099.34157866</v>
      </c>
      <c r="J2189" s="472">
        <f t="shared" si="154"/>
        <v>-1995364596.3848302</v>
      </c>
      <c r="K2189" s="550">
        <f>'Sollecitazioni nel paramento'!$G$60*(sezione!$AL$35-C2189)/C2189</f>
        <v>-3.058345072756138E-3</v>
      </c>
      <c r="L2189" s="550">
        <f>'Sollecitazioni nel paramento'!$G$60*(sezione!$AM$35-C2189)/C2189</f>
        <v>-2.837517609134207E-3</v>
      </c>
      <c r="M2189" s="551">
        <f>'Sollecitazioni nel paramento'!$G$60*(sezione!$AN$35-C2189)/C2189</f>
        <v>-2.6166901455122759E-3</v>
      </c>
      <c r="N2189" s="551">
        <f>'Sollecitazioni nel paramento'!$G$60*(sezione!$AO$35-C2189)/C2189</f>
        <v>-1.7333802910245518E-3</v>
      </c>
      <c r="O2189" s="551">
        <f>'Sollecitazioni nel paramento'!$G$60*(sezione!$AP$35-C2189)/C2189</f>
        <v>4.166495542975583E-3</v>
      </c>
      <c r="P2189" s="545">
        <f>-'Sollecitazioni nel paramento'!$G$47*'Sollecitazioni nel paramento'!$G$41*IF(DATI!$G$211="dx",DATI!$E$61,DATI!$E$64*DATI!$E$63)*1000*C2189*sezione!$AD$5</f>
        <v>-12076351.17598277</v>
      </c>
      <c r="Q2189" s="545">
        <f>'Foglio deposito bis'!$F$78*IF(ABS(K2189)&lt;'Sollecitazioni nel paramento'!$G$58,ABS(K2189)*'Sollecitazioni nel paramento'!$G$54,'Sollecitazioni nel paramento'!$G$53)*IF(K2189&lt;0,-1,1)</f>
        <v>0</v>
      </c>
      <c r="R2189" s="545">
        <f>'Foglio deposito bis'!$F$79*IF(ABS(L2189)&lt;'Sollecitazioni nel paramento'!$G$58,ABS(L2189)*'Sollecitazioni nel paramento'!$G$54,'Sollecitazioni nel paramento'!$G$53)*IF(L2189&lt;0,-1,1)</f>
        <v>-153664.85805602249</v>
      </c>
      <c r="S2189" s="545">
        <f>'Foglio deposito bis'!$F$80*IF(ABS(M2189)&lt;'Sollecitazioni nel paramento'!$G$58,ABS(M2189)*'Sollecitazioni nel paramento'!$G$54,'Sollecitazioni nel paramento'!$G$53)*IF(M2189&lt;0,-1,1)</f>
        <v>0</v>
      </c>
      <c r="T2189" s="545">
        <f>'Foglio deposito bis'!$F$81*IF(ABS(N2189)&lt;'Sollecitazioni nel paramento'!$G$58,ABS(N2189)*'Sollecitazioni nel paramento'!$G$54,'Sollecitazioni nel paramento'!$G$53)*IF(N2189&lt;0,-1,1)</f>
        <v>-363459.44366095564</v>
      </c>
      <c r="U2189" s="545">
        <f>'Foglio deposito bis'!$F$82*IF(ABS(O2189)&lt;'Sollecitazioni nel paramento'!$G$58,ABS(O2189)*'Sollecitazioni nel paramento'!$G$54,'Sollecitazioni nel paramento'!$G$53)*IF(O2189&lt;0,-1,1)</f>
        <v>892485.49558937876</v>
      </c>
      <c r="V2189" s="472">
        <f t="shared" si="156"/>
        <v>-11700989.982110368</v>
      </c>
      <c r="W2189" s="551"/>
      <c r="X2189" s="551"/>
    </row>
    <row r="2190" spans="1:24" x14ac:dyDescent="0.25">
      <c r="A2190" s="545">
        <f t="shared" si="155"/>
        <v>12090818.229677329</v>
      </c>
      <c r="B2190" s="3">
        <f t="shared" si="153"/>
        <v>32.899999999999942</v>
      </c>
      <c r="C2190" s="545">
        <f>'Foglio deposito bis'!$E$161/sezione!$B$247*B2190</f>
        <v>326.92653432986009</v>
      </c>
      <c r="D2190" s="603">
        <f>-'Sollecitazioni nel paramento'!$G$47*'Sollecitazioni nel paramento'!$G$41*IF(DATI!$G$211="dx",DATI!$E$61,DATI!$E$64*DATI!$E$63)*1000*C2190^2*sezione!$AD$5*(1-sezione!$AD$6)</f>
        <v>-2377956831.3323994</v>
      </c>
      <c r="E2190" s="545">
        <f>-'Foglio deposito bis'!$F$78*(C2190-sezione!$AL$35)*IF(ABS(K2190)&lt;'Sollecitazioni nel paramento'!$G$58,ABS(K2190)*'Sollecitazioni nel paramento'!$G$54,'Sollecitazioni nel paramento'!$G$53)</f>
        <v>0</v>
      </c>
      <c r="F2190" s="545">
        <f>-'Foglio deposito bis'!$F$79*(C2190-sezione!$AM$35)*IF(ABS(L2190)&lt;'Sollecitazioni nel paramento'!$G$58,ABS(L2190)*'Sollecitazioni nel paramento'!$G$54,'Sollecitazioni nel paramento'!$G$53)</f>
        <v>-41017228.009183966</v>
      </c>
      <c r="G2190" s="545">
        <f>-'Foglio deposito bis'!$F$80*(C2190-sezione!$AN$35)*IF(ABS(M2190)&lt;'Sollecitazioni nel paramento'!$G$58,ABS(M2190)*'Sollecitazioni nel paramento'!$G$54,'Sollecitazioni nel paramento'!$G$53)</f>
        <v>0</v>
      </c>
      <c r="H2190" s="545">
        <f>-'Foglio deposito bis'!$F$81*(C2190-sezione!$AO$35)*IF(ABS(N2190)&lt;'Sollecitazioni nel paramento'!$G$58,ABS(N2190)*'Sollecitazioni nel paramento'!$G$54,'Sollecitazioni nel paramento'!$G$53)</f>
        <v>-62550492.07769338</v>
      </c>
      <c r="I2190" s="472">
        <f>-'Foglio deposito bis'!$F$82*(C2190-sezione!$AP$35)*IF(ABS(O2190)&lt;'Sollecitazioni nel paramento'!$G$58,ABS(O2190)*'Sollecitazioni nel paramento'!$G$54,'Sollecitazioni nel paramento'!$G$53)</f>
        <v>327913491.74240834</v>
      </c>
      <c r="J2190" s="472">
        <f t="shared" si="154"/>
        <v>-2153611059.6768684</v>
      </c>
      <c r="K2190" s="550">
        <f>'Sollecitazioni nel paramento'!$G$60*(sezione!$AL$35-C2190)/C2190</f>
        <v>-3.0717692346784436E-3</v>
      </c>
      <c r="L2190" s="550">
        <f>'Sollecitazioni nel paramento'!$G$60*(sezione!$AM$35-C2190)/C2190</f>
        <v>-2.857653852017666E-3</v>
      </c>
      <c r="M2190" s="551">
        <f>'Sollecitazioni nel paramento'!$G$60*(sezione!$AN$35-C2190)/C2190</f>
        <v>-2.6435384693568875E-3</v>
      </c>
      <c r="N2190" s="551">
        <f>'Sollecitazioni nel paramento'!$G$60*(sezione!$AO$35-C2190)/C2190</f>
        <v>-1.7870769387137754E-3</v>
      </c>
      <c r="O2190" s="551">
        <f>'Sollecitazioni nel paramento'!$G$60*(sezione!$AP$35-C2190)/C2190</f>
        <v>3.9334713623380268E-3</v>
      </c>
      <c r="P2190" s="545">
        <f>-'Sollecitazioni nel paramento'!$G$47*'Sollecitazioni nel paramento'!$G$41*IF(DATI!$G$211="dx",DATI!$E$61,DATI!$E$64*DATI!$E$63)*1000*C2190*sezione!$AD$5</f>
        <v>-12454920.178364677</v>
      </c>
      <c r="Q2190" s="545">
        <f>'Foglio deposito bis'!$F$78*IF(ABS(K2190)&lt;'Sollecitazioni nel paramento'!$G$58,ABS(K2190)*'Sollecitazioni nel paramento'!$G$54,'Sollecitazioni nel paramento'!$G$53)*IF(K2190&lt;0,-1,1)</f>
        <v>0</v>
      </c>
      <c r="R2190" s="545">
        <f>'Foglio deposito bis'!$F$79*IF(ABS(L2190)&lt;'Sollecitazioni nel paramento'!$G$58,ABS(L2190)*'Sollecitazioni nel paramento'!$G$54,'Sollecitazioni nel paramento'!$G$53)*IF(L2190&lt;0,-1,1)</f>
        <v>-153664.85805602249</v>
      </c>
      <c r="S2190" s="545">
        <f>'Foglio deposito bis'!$F$80*IF(ABS(M2190)&lt;'Sollecitazioni nel paramento'!$G$58,ABS(M2190)*'Sollecitazioni nel paramento'!$G$54,'Sollecitazioni nel paramento'!$G$53)*IF(M2190&lt;0,-1,1)</f>
        <v>0</v>
      </c>
      <c r="T2190" s="545">
        <f>'Foglio deposito bis'!$F$81*IF(ABS(N2190)&lt;'Sollecitazioni nel paramento'!$G$58,ABS(N2190)*'Sollecitazioni nel paramento'!$G$54,'Sollecitazioni nel paramento'!$G$53)*IF(N2190&lt;0,-1,1)</f>
        <v>-374718.68884600844</v>
      </c>
      <c r="U2190" s="545">
        <f>'Foglio deposito bis'!$F$82*IF(ABS(O2190)&lt;'Sollecitazioni nel paramento'!$G$58,ABS(O2190)*'Sollecitazioni nel paramento'!$G$54,'Sollecitazioni nel paramento'!$G$53)*IF(O2190&lt;0,-1,1)</f>
        <v>892485.49558937876</v>
      </c>
      <c r="V2190" s="472">
        <f t="shared" si="156"/>
        <v>-12090818.229677329</v>
      </c>
      <c r="W2190" s="551"/>
      <c r="X2190" s="551"/>
    </row>
    <row r="2191" spans="1:24" x14ac:dyDescent="0.25">
      <c r="A2191" s="545">
        <f t="shared" si="155"/>
        <v>12479982.21499148</v>
      </c>
      <c r="B2191" s="3">
        <f t="shared" si="153"/>
        <v>33.899999999999942</v>
      </c>
      <c r="C2191" s="545">
        <f>'Foglio deposito bis'!$E$161/sezione!$B$247*B2191</f>
        <v>336.86351105721144</v>
      </c>
      <c r="D2191" s="603">
        <f>-'Sollecitazioni nel paramento'!$G$47*'Sollecitazioni nel paramento'!$G$41*IF(DATI!$G$211="dx",DATI!$E$61,DATI!$E$64*DATI!$E$63)*1000*C2191^2*sezione!$AD$5*(1-sezione!$AD$6)</f>
        <v>-2524710387.1319613</v>
      </c>
      <c r="E2191" s="545">
        <f>-'Foglio deposito bis'!$F$78*(C2191-sezione!$AL$35)*IF(ABS(K2191)&lt;'Sollecitazioni nel paramento'!$G$58,ABS(K2191)*'Sollecitazioni nel paramento'!$G$54,'Sollecitazioni nel paramento'!$G$53)</f>
        <v>0</v>
      </c>
      <c r="F2191" s="545">
        <f>-'Foglio deposito bis'!$F$79*(C2191-sezione!$AM$35)*IF(ABS(L2191)&lt;'Sollecitazioni nel paramento'!$G$58,ABS(L2191)*'Sollecitazioni nel paramento'!$G$54,'Sollecitazioni nel paramento'!$G$53)</f>
        <v>-42544192.127498411</v>
      </c>
      <c r="G2191" s="545">
        <f>-'Foglio deposito bis'!$F$80*(C2191-sezione!$AN$35)*IF(ABS(M2191)&lt;'Sollecitazioni nel paramento'!$G$58,ABS(M2191)*'Sollecitazioni nel paramento'!$G$54,'Sollecitazioni nel paramento'!$G$53)</f>
        <v>0</v>
      </c>
      <c r="H2191" s="545">
        <f>-'Foglio deposito bis'!$F$81*(C2191-sezione!$AO$35)*IF(ABS(N2191)&lt;'Sollecitazioni nel paramento'!$G$58,ABS(N2191)*'Sollecitazioni nel paramento'!$G$54,'Sollecitazioni nel paramento'!$G$53)</f>
        <v>-68147928.849048242</v>
      </c>
      <c r="I2191" s="472">
        <f>-'Foglio deposito bis'!$F$82*(C2191-sezione!$AP$35)*IF(ABS(O2191)&lt;'Sollecitazioni nel paramento'!$G$58,ABS(O2191)*'Sollecitazioni nel paramento'!$G$54,'Sollecitazioni nel paramento'!$G$53)</f>
        <v>319044884.14323801</v>
      </c>
      <c r="J2191" s="472">
        <f t="shared" si="154"/>
        <v>-2316357623.96527</v>
      </c>
      <c r="K2191" s="550">
        <f>'Sollecitazioni nel paramento'!$G$60*(sezione!$AL$35-C2191)/C2191</f>
        <v>-3.0844014106466314E-3</v>
      </c>
      <c r="L2191" s="550">
        <f>'Sollecitazioni nel paramento'!$G$60*(sezione!$AM$35-C2191)/C2191</f>
        <v>-2.876602115969947E-3</v>
      </c>
      <c r="M2191" s="551">
        <f>'Sollecitazioni nel paramento'!$G$60*(sezione!$AN$35-C2191)/C2191</f>
        <v>-2.6688028212932626E-3</v>
      </c>
      <c r="N2191" s="551">
        <f>'Sollecitazioni nel paramento'!$G$60*(sezione!$AO$35-C2191)/C2191</f>
        <v>-1.837605642586525E-3</v>
      </c>
      <c r="O2191" s="551">
        <f>'Sollecitazioni nel paramento'!$G$60*(sezione!$AP$35-C2191)/C2191</f>
        <v>3.7141949209711232E-3</v>
      </c>
      <c r="P2191" s="545">
        <f>-'Sollecitazioni nel paramento'!$G$47*'Sollecitazioni nel paramento'!$G$41*IF(DATI!$G$211="dx",DATI!$E$61,DATI!$E$64*DATI!$E$63)*1000*C2191*sezione!$AD$5</f>
        <v>-12833489.180746581</v>
      </c>
      <c r="Q2191" s="545">
        <f>'Foglio deposito bis'!$F$78*IF(ABS(K2191)&lt;'Sollecitazioni nel paramento'!$G$58,ABS(K2191)*'Sollecitazioni nel paramento'!$G$54,'Sollecitazioni nel paramento'!$G$53)*IF(K2191&lt;0,-1,1)</f>
        <v>0</v>
      </c>
      <c r="R2191" s="545">
        <f>'Foglio deposito bis'!$F$79*IF(ABS(L2191)&lt;'Sollecitazioni nel paramento'!$G$58,ABS(L2191)*'Sollecitazioni nel paramento'!$G$54,'Sollecitazioni nel paramento'!$G$53)*IF(L2191&lt;0,-1,1)</f>
        <v>-153664.85805602249</v>
      </c>
      <c r="S2191" s="545">
        <f>'Foglio deposito bis'!$F$80*IF(ABS(M2191)&lt;'Sollecitazioni nel paramento'!$G$58,ABS(M2191)*'Sollecitazioni nel paramento'!$G$54,'Sollecitazioni nel paramento'!$G$53)*IF(M2191&lt;0,-1,1)</f>
        <v>0</v>
      </c>
      <c r="T2191" s="545">
        <f>'Foglio deposito bis'!$F$81*IF(ABS(N2191)&lt;'Sollecitazioni nel paramento'!$G$58,ABS(N2191)*'Sollecitazioni nel paramento'!$G$54,'Sollecitazioni nel paramento'!$G$53)*IF(N2191&lt;0,-1,1)</f>
        <v>-385313.67177825561</v>
      </c>
      <c r="U2191" s="545">
        <f>'Foglio deposito bis'!$F$82*IF(ABS(O2191)&lt;'Sollecitazioni nel paramento'!$G$58,ABS(O2191)*'Sollecitazioni nel paramento'!$G$54,'Sollecitazioni nel paramento'!$G$53)*IF(O2191&lt;0,-1,1)</f>
        <v>892485.49558937876</v>
      </c>
      <c r="V2191" s="472">
        <f t="shared" si="156"/>
        <v>-12479982.21499148</v>
      </c>
      <c r="W2191" s="551"/>
      <c r="X2191" s="551"/>
    </row>
    <row r="2192" spans="1:24" x14ac:dyDescent="0.25">
      <c r="A2192" s="545">
        <f t="shared" si="155"/>
        <v>12871536.857676342</v>
      </c>
      <c r="B2192" s="3">
        <f t="shared" si="153"/>
        <v>34.899999999999942</v>
      </c>
      <c r="C2192" s="545">
        <f>'Foglio deposito bis'!$E$161/sezione!$B$247*B2192</f>
        <v>346.80048778456285</v>
      </c>
      <c r="D2192" s="603">
        <f>-'Sollecitazioni nel paramento'!$G$47*'Sollecitazioni nel paramento'!$G$41*IF(DATI!$G$211="dx",DATI!$E$61,DATI!$E$64*DATI!$E$63)*1000*C2192^2*sezione!$AD$5*(1-sezione!$AD$6)</f>
        <v>-2675857761.9674401</v>
      </c>
      <c r="E2192" s="545">
        <f>-'Foglio deposito bis'!$F$78*(C2192-sezione!$AL$35)*IF(ABS(K2192)&lt;'Sollecitazioni nel paramento'!$G$58,ABS(K2192)*'Sollecitazioni nel paramento'!$G$54,'Sollecitazioni nel paramento'!$G$53)</f>
        <v>0</v>
      </c>
      <c r="F2192" s="545">
        <f>-'Foglio deposito bis'!$F$79*(C2192-sezione!$AM$35)*IF(ABS(L2192)&lt;'Sollecitazioni nel paramento'!$G$58,ABS(L2192)*'Sollecitazioni nel paramento'!$G$54,'Sollecitazioni nel paramento'!$G$53)</f>
        <v>-44071156.245812863</v>
      </c>
      <c r="G2192" s="545">
        <f>-'Foglio deposito bis'!$F$80*(C2192-sezione!$AN$35)*IF(ABS(M2192)&lt;'Sollecitazioni nel paramento'!$G$58,ABS(M2192)*'Sollecitazioni nel paramento'!$G$54,'Sollecitazioni nel paramento'!$G$53)</f>
        <v>0</v>
      </c>
      <c r="H2192" s="545">
        <f>-'Foglio deposito bis'!$F$81*(C2192-sezione!$AO$35)*IF(ABS(N2192)&lt;'Sollecitazioni nel paramento'!$G$58,ABS(N2192)*'Sollecitazioni nel paramento'!$G$54,'Sollecitazioni nel paramento'!$G$53)</f>
        <v>-74402505.781025916</v>
      </c>
      <c r="I2192" s="472">
        <f>-'Foglio deposito bis'!$F$82*(C2192-sezione!$AP$35)*IF(ABS(O2192)&lt;'Sollecitazioni nel paramento'!$G$58,ABS(O2192)*'Sollecitazioni nel paramento'!$G$54,'Sollecitazioni nel paramento'!$G$53)</f>
        <v>310176276.54406762</v>
      </c>
      <c r="J2192" s="472">
        <f t="shared" si="154"/>
        <v>-2484155147.4502115</v>
      </c>
      <c r="K2192" s="550">
        <f>'Sollecitazioni nel paramento'!$G$60*(sezione!$AL$35-C2192)/C2192</f>
        <v>-3.0963096796825444E-3</v>
      </c>
      <c r="L2192" s="550">
        <f>'Sollecitazioni nel paramento'!$G$60*(sezione!$AM$35-C2192)/C2192</f>
        <v>-2.8944645195238166E-3</v>
      </c>
      <c r="M2192" s="551">
        <f>'Sollecitazioni nel paramento'!$G$60*(sezione!$AN$35-C2192)/C2192</f>
        <v>-2.6926193593650892E-3</v>
      </c>
      <c r="N2192" s="551">
        <f>'Sollecitazioni nel paramento'!$G$60*(sezione!$AO$35-C2192)/C2192</f>
        <v>-1.8852387187301778E-3</v>
      </c>
      <c r="O2192" s="551">
        <f>'Sollecitazioni nel paramento'!$G$60*(sezione!$AP$35-C2192)/C2192</f>
        <v>3.507484464782838E-3</v>
      </c>
      <c r="P2192" s="545">
        <f>-'Sollecitazioni nel paramento'!$G$47*'Sollecitazioni nel paramento'!$G$41*IF(DATI!$G$211="dx",DATI!$E$61,DATI!$E$64*DATI!$E$63)*1000*C2192*sezione!$AD$5</f>
        <v>-13212058.183128489</v>
      </c>
      <c r="Q2192" s="545">
        <f>'Foglio deposito bis'!$F$78*IF(ABS(K2192)&lt;'Sollecitazioni nel paramento'!$G$58,ABS(K2192)*'Sollecitazioni nel paramento'!$G$54,'Sollecitazioni nel paramento'!$G$53)*IF(K2192&lt;0,-1,1)</f>
        <v>0</v>
      </c>
      <c r="R2192" s="545">
        <f>'Foglio deposito bis'!$F$79*IF(ABS(L2192)&lt;'Sollecitazioni nel paramento'!$G$58,ABS(L2192)*'Sollecitazioni nel paramento'!$G$54,'Sollecitazioni nel paramento'!$G$53)*IF(L2192&lt;0,-1,1)</f>
        <v>-153664.85805602249</v>
      </c>
      <c r="S2192" s="545">
        <f>'Foglio deposito bis'!$F$80*IF(ABS(M2192)&lt;'Sollecitazioni nel paramento'!$G$58,ABS(M2192)*'Sollecitazioni nel paramento'!$G$54,'Sollecitazioni nel paramento'!$G$53)*IF(M2192&lt;0,-1,1)</f>
        <v>0</v>
      </c>
      <c r="T2192" s="545">
        <f>'Foglio deposito bis'!$F$81*IF(ABS(N2192)&lt;'Sollecitazioni nel paramento'!$G$58,ABS(N2192)*'Sollecitazioni nel paramento'!$G$54,'Sollecitazioni nel paramento'!$G$53)*IF(N2192&lt;0,-1,1)</f>
        <v>-398299.31208121032</v>
      </c>
      <c r="U2192" s="545">
        <f>'Foglio deposito bis'!$F$82*IF(ABS(O2192)&lt;'Sollecitazioni nel paramento'!$G$58,ABS(O2192)*'Sollecitazioni nel paramento'!$G$54,'Sollecitazioni nel paramento'!$G$53)*IF(O2192&lt;0,-1,1)</f>
        <v>892485.49558937876</v>
      </c>
      <c r="V2192" s="472">
        <f t="shared" si="156"/>
        <v>-12871536.857676342</v>
      </c>
      <c r="W2192" s="551"/>
      <c r="X2192" s="551"/>
    </row>
    <row r="2193" spans="1:24" x14ac:dyDescent="0.25">
      <c r="A2193" s="545">
        <f t="shared" si="155"/>
        <v>13250105.860058246</v>
      </c>
      <c r="B2193" s="3">
        <f t="shared" si="153"/>
        <v>35.899999999999942</v>
      </c>
      <c r="C2193" s="545">
        <f>'Foglio deposito bis'!$E$161/sezione!$B$247*B2193</f>
        <v>356.73746451191425</v>
      </c>
      <c r="D2193" s="603">
        <f>-'Sollecitazioni nel paramento'!$G$47*'Sollecitazioni nel paramento'!$G$41*IF(DATI!$G$211="dx",DATI!$E$61,DATI!$E$64*DATI!$E$63)*1000*C2193^2*sezione!$AD$5*(1-sezione!$AD$6)</f>
        <v>-2831398955.8388324</v>
      </c>
      <c r="E2193" s="545">
        <f>-'Foglio deposito bis'!$F$78*(C2193-sezione!$AL$35)*IF(ABS(K2193)&lt;'Sollecitazioni nel paramento'!$G$58,ABS(K2193)*'Sollecitazioni nel paramento'!$G$54,'Sollecitazioni nel paramento'!$G$53)</f>
        <v>0</v>
      </c>
      <c r="F2193" s="545">
        <f>-'Foglio deposito bis'!$F$79*(C2193-sezione!$AM$35)*IF(ABS(L2193)&lt;'Sollecitazioni nel paramento'!$G$58,ABS(L2193)*'Sollecitazioni nel paramento'!$G$54,'Sollecitazioni nel paramento'!$G$53)</f>
        <v>-45598120.364127316</v>
      </c>
      <c r="G2193" s="545">
        <f>-'Foglio deposito bis'!$F$80*(C2193-sezione!$AN$35)*IF(ABS(M2193)&lt;'Sollecitazioni nel paramento'!$G$58,ABS(M2193)*'Sollecitazioni nel paramento'!$G$54,'Sollecitazioni nel paramento'!$G$53)</f>
        <v>0</v>
      </c>
      <c r="H2193" s="545">
        <f>-'Foglio deposito bis'!$F$81*(C2193-sezione!$AO$35)*IF(ABS(N2193)&lt;'Sollecitazioni nel paramento'!$G$58,ABS(N2193)*'Sollecitazioni nel paramento'!$G$54,'Sollecitazioni nel paramento'!$G$53)</f>
        <v>-78360396.775696978</v>
      </c>
      <c r="I2193" s="472">
        <f>-'Foglio deposito bis'!$F$82*(C2193-sezione!$AP$35)*IF(ABS(O2193)&lt;'Sollecitazioni nel paramento'!$G$58,ABS(O2193)*'Sollecitazioni nel paramento'!$G$54,'Sollecitazioni nel paramento'!$G$53)</f>
        <v>301307668.94489729</v>
      </c>
      <c r="J2193" s="472">
        <f t="shared" si="154"/>
        <v>-2654049804.0337591</v>
      </c>
      <c r="K2193" s="550">
        <f>'Sollecitazioni nel paramento'!$G$60*(sezione!$AL$35-C2193)/C2193</f>
        <v>-3.1075545354016941E-3</v>
      </c>
      <c r="L2193" s="550">
        <f>'Sollecitazioni nel paramento'!$G$60*(sezione!$AM$35-C2193)/C2193</f>
        <v>-2.9113318031025407E-3</v>
      </c>
      <c r="M2193" s="551">
        <f>'Sollecitazioni nel paramento'!$G$60*(sezione!$AN$35-C2193)/C2193</f>
        <v>-2.7151090708033873E-3</v>
      </c>
      <c r="N2193" s="551">
        <f>'Sollecitazioni nel paramento'!$G$60*(sezione!$AO$35-C2193)/C2193</f>
        <v>-1.930218141606775E-3</v>
      </c>
      <c r="O2193" s="551">
        <f>'Sollecitazioni nel paramento'!$G$60*(sezione!$AP$35-C2193)/C2193</f>
        <v>3.3122899114462687E-3</v>
      </c>
      <c r="P2193" s="545">
        <f>-'Sollecitazioni nel paramento'!$G$47*'Sollecitazioni nel paramento'!$G$41*IF(DATI!$G$211="dx",DATI!$E$61,DATI!$E$64*DATI!$E$63)*1000*C2193*sezione!$AD$5</f>
        <v>-13590627.185510393</v>
      </c>
      <c r="Q2193" s="545">
        <f>'Foglio deposito bis'!$F$78*IF(ABS(K2193)&lt;'Sollecitazioni nel paramento'!$G$58,ABS(K2193)*'Sollecitazioni nel paramento'!$G$54,'Sollecitazioni nel paramento'!$G$53)*IF(K2193&lt;0,-1,1)</f>
        <v>0</v>
      </c>
      <c r="R2193" s="545">
        <f>'Foglio deposito bis'!$F$79*IF(ABS(L2193)&lt;'Sollecitazioni nel paramento'!$G$58,ABS(L2193)*'Sollecitazioni nel paramento'!$G$54,'Sollecitazioni nel paramento'!$G$53)*IF(L2193&lt;0,-1,1)</f>
        <v>-153664.85805602249</v>
      </c>
      <c r="S2193" s="545">
        <f>'Foglio deposito bis'!$F$80*IF(ABS(M2193)&lt;'Sollecitazioni nel paramento'!$G$58,ABS(M2193)*'Sollecitazioni nel paramento'!$G$54,'Sollecitazioni nel paramento'!$G$53)*IF(M2193&lt;0,-1,1)</f>
        <v>0</v>
      </c>
      <c r="T2193" s="545">
        <f>'Foglio deposito bis'!$F$81*IF(ABS(N2193)&lt;'Sollecitazioni nel paramento'!$G$58,ABS(N2193)*'Sollecitazioni nel paramento'!$G$54,'Sollecitazioni nel paramento'!$G$53)*IF(N2193&lt;0,-1,1)</f>
        <v>-398299.31208121032</v>
      </c>
      <c r="U2193" s="545">
        <f>'Foglio deposito bis'!$F$82*IF(ABS(O2193)&lt;'Sollecitazioni nel paramento'!$G$58,ABS(O2193)*'Sollecitazioni nel paramento'!$G$54,'Sollecitazioni nel paramento'!$G$53)*IF(O2193&lt;0,-1,1)</f>
        <v>892485.49558937876</v>
      </c>
      <c r="V2193" s="472">
        <f t="shared" si="156"/>
        <v>-13250105.860058246</v>
      </c>
      <c r="W2193" s="551"/>
      <c r="X2193" s="551"/>
    </row>
    <row r="2194" spans="1:24" x14ac:dyDescent="0.25">
      <c r="A2194" s="545">
        <f t="shared" si="155"/>
        <v>13628674.86244015</v>
      </c>
      <c r="B2194" s="3">
        <f t="shared" si="153"/>
        <v>36.899999999999942</v>
      </c>
      <c r="C2194" s="545">
        <f>'Foglio deposito bis'!$E$161/sezione!$B$247*B2194</f>
        <v>366.6744412392656</v>
      </c>
      <c r="D2194" s="603">
        <f>-'Sollecitazioni nel paramento'!$G$47*'Sollecitazioni nel paramento'!$G$41*IF(DATI!$G$211="dx",DATI!$E$61,DATI!$E$64*DATI!$E$63)*1000*C2194^2*sezione!$AD$5*(1-sezione!$AD$6)</f>
        <v>-2991333968.74614</v>
      </c>
      <c r="E2194" s="545">
        <f>-'Foglio deposito bis'!$F$78*(C2194-sezione!$AL$35)*IF(ABS(K2194)&lt;'Sollecitazioni nel paramento'!$G$58,ABS(K2194)*'Sollecitazioni nel paramento'!$G$54,'Sollecitazioni nel paramento'!$G$53)</f>
        <v>0</v>
      </c>
      <c r="F2194" s="545">
        <f>-'Foglio deposito bis'!$F$79*(C2194-sezione!$AM$35)*IF(ABS(L2194)&lt;'Sollecitazioni nel paramento'!$G$58,ABS(L2194)*'Sollecitazioni nel paramento'!$G$54,'Sollecitazioni nel paramento'!$G$53)</f>
        <v>-47125084.482441761</v>
      </c>
      <c r="G2194" s="545">
        <f>-'Foglio deposito bis'!$F$80*(C2194-sezione!$AN$35)*IF(ABS(M2194)&lt;'Sollecitazioni nel paramento'!$G$58,ABS(M2194)*'Sollecitazioni nel paramento'!$G$54,'Sollecitazioni nel paramento'!$G$53)</f>
        <v>0</v>
      </c>
      <c r="H2194" s="545">
        <f>-'Foglio deposito bis'!$F$81*(C2194-sezione!$AO$35)*IF(ABS(N2194)&lt;'Sollecitazioni nel paramento'!$G$58,ABS(N2194)*'Sollecitazioni nel paramento'!$G$54,'Sollecitazioni nel paramento'!$G$53)</f>
        <v>-82318287.77036801</v>
      </c>
      <c r="I2194" s="472">
        <f>-'Foglio deposito bis'!$F$82*(C2194-sezione!$AP$35)*IF(ABS(O2194)&lt;'Sollecitazioni nel paramento'!$G$58,ABS(O2194)*'Sollecitazioni nel paramento'!$G$54,'Sollecitazioni nel paramento'!$G$53)</f>
        <v>292439061.34572703</v>
      </c>
      <c r="J2194" s="472">
        <f t="shared" si="154"/>
        <v>-2828338279.653223</v>
      </c>
      <c r="K2194" s="550">
        <f>'Sollecitazioni nel paramento'!$G$60*(sezione!$AL$35-C2194)/C2194</f>
        <v>-3.1181899138460925E-3</v>
      </c>
      <c r="L2194" s="550">
        <f>'Sollecitazioni nel paramento'!$G$60*(sezione!$AM$35-C2194)/C2194</f>
        <v>-2.9272848707691383E-3</v>
      </c>
      <c r="M2194" s="551">
        <f>'Sollecitazioni nel paramento'!$G$60*(sezione!$AN$35-C2194)/C2194</f>
        <v>-2.7363798276921845E-3</v>
      </c>
      <c r="N2194" s="551">
        <f>'Sollecitazioni nel paramento'!$G$60*(sezione!$AO$35-C2194)/C2194</f>
        <v>-1.9727596553843689E-3</v>
      </c>
      <c r="O2194" s="551">
        <f>'Sollecitazioni nel paramento'!$G$60*(sezione!$AP$35-C2194)/C2194</f>
        <v>3.1276750086970478E-3</v>
      </c>
      <c r="P2194" s="545">
        <f>-'Sollecitazioni nel paramento'!$G$47*'Sollecitazioni nel paramento'!$G$41*IF(DATI!$G$211="dx",DATI!$E$61,DATI!$E$64*DATI!$E$63)*1000*C2194*sezione!$AD$5</f>
        <v>-13969196.187892297</v>
      </c>
      <c r="Q2194" s="545">
        <f>'Foglio deposito bis'!$F$78*IF(ABS(K2194)&lt;'Sollecitazioni nel paramento'!$G$58,ABS(K2194)*'Sollecitazioni nel paramento'!$G$54,'Sollecitazioni nel paramento'!$G$53)*IF(K2194&lt;0,-1,1)</f>
        <v>0</v>
      </c>
      <c r="R2194" s="545">
        <f>'Foglio deposito bis'!$F$79*IF(ABS(L2194)&lt;'Sollecitazioni nel paramento'!$G$58,ABS(L2194)*'Sollecitazioni nel paramento'!$G$54,'Sollecitazioni nel paramento'!$G$53)*IF(L2194&lt;0,-1,1)</f>
        <v>-153664.85805602249</v>
      </c>
      <c r="S2194" s="545">
        <f>'Foglio deposito bis'!$F$80*IF(ABS(M2194)&lt;'Sollecitazioni nel paramento'!$G$58,ABS(M2194)*'Sollecitazioni nel paramento'!$G$54,'Sollecitazioni nel paramento'!$G$53)*IF(M2194&lt;0,-1,1)</f>
        <v>0</v>
      </c>
      <c r="T2194" s="545">
        <f>'Foglio deposito bis'!$F$81*IF(ABS(N2194)&lt;'Sollecitazioni nel paramento'!$G$58,ABS(N2194)*'Sollecitazioni nel paramento'!$G$54,'Sollecitazioni nel paramento'!$G$53)*IF(N2194&lt;0,-1,1)</f>
        <v>-398299.31208121032</v>
      </c>
      <c r="U2194" s="545">
        <f>'Foglio deposito bis'!$F$82*IF(ABS(O2194)&lt;'Sollecitazioni nel paramento'!$G$58,ABS(O2194)*'Sollecitazioni nel paramento'!$G$54,'Sollecitazioni nel paramento'!$G$53)*IF(O2194&lt;0,-1,1)</f>
        <v>892485.49558937876</v>
      </c>
      <c r="V2194" s="472">
        <f t="shared" si="156"/>
        <v>-13628674.86244015</v>
      </c>
      <c r="W2194" s="551"/>
      <c r="X2194" s="551"/>
    </row>
    <row r="2195" spans="1:24" x14ac:dyDescent="0.25">
      <c r="A2195" s="545">
        <f t="shared" si="155"/>
        <v>14007243.864822058</v>
      </c>
      <c r="B2195" s="3">
        <f t="shared" si="153"/>
        <v>37.899999999999942</v>
      </c>
      <c r="C2195" s="545">
        <f>'Foglio deposito bis'!$E$161/sezione!$B$247*B2195</f>
        <v>376.61141796661701</v>
      </c>
      <c r="D2195" s="603">
        <f>-'Sollecitazioni nel paramento'!$G$47*'Sollecitazioni nel paramento'!$G$41*IF(DATI!$G$211="dx",DATI!$E$61,DATI!$E$64*DATI!$E$63)*1000*C2195^2*sezione!$AD$5*(1-sezione!$AD$6)</f>
        <v>-3155662800.689363</v>
      </c>
      <c r="E2195" s="545">
        <f>-'Foglio deposito bis'!$F$78*(C2195-sezione!$AL$35)*IF(ABS(K2195)&lt;'Sollecitazioni nel paramento'!$G$58,ABS(K2195)*'Sollecitazioni nel paramento'!$G$54,'Sollecitazioni nel paramento'!$G$53)</f>
        <v>0</v>
      </c>
      <c r="F2195" s="545">
        <f>-'Foglio deposito bis'!$F$79*(C2195-sezione!$AM$35)*IF(ABS(L2195)&lt;'Sollecitazioni nel paramento'!$G$58,ABS(L2195)*'Sollecitazioni nel paramento'!$G$54,'Sollecitazioni nel paramento'!$G$53)</f>
        <v>-48652048.600756213</v>
      </c>
      <c r="G2195" s="545">
        <f>-'Foglio deposito bis'!$F$80*(C2195-sezione!$AN$35)*IF(ABS(M2195)&lt;'Sollecitazioni nel paramento'!$G$58,ABS(M2195)*'Sollecitazioni nel paramento'!$G$54,'Sollecitazioni nel paramento'!$G$53)</f>
        <v>0</v>
      </c>
      <c r="H2195" s="545">
        <f>-'Foglio deposito bis'!$F$81*(C2195-sezione!$AO$35)*IF(ABS(N2195)&lt;'Sollecitazioni nel paramento'!$G$58,ABS(N2195)*'Sollecitazioni nel paramento'!$G$54,'Sollecitazioni nel paramento'!$G$53)</f>
        <v>-86276178.765039071</v>
      </c>
      <c r="I2195" s="472">
        <f>-'Foglio deposito bis'!$F$82*(C2195-sezione!$AP$35)*IF(ABS(O2195)&lt;'Sollecitazioni nel paramento'!$G$58,ABS(O2195)*'Sollecitazioni nel paramento'!$G$54,'Sollecitazioni nel paramento'!$G$53)</f>
        <v>283570453.7465567</v>
      </c>
      <c r="J2195" s="472">
        <f t="shared" si="154"/>
        <v>-3007020574.3086014</v>
      </c>
      <c r="K2195" s="550">
        <f>'Sollecitazioni nel paramento'!$G$60*(sezione!$AL$35-C2195)/C2195</f>
        <v>-3.1282640585994933E-3</v>
      </c>
      <c r="L2195" s="550">
        <f>'Sollecitazioni nel paramento'!$G$60*(sezione!$AM$35-C2195)/C2195</f>
        <v>-2.9423960878992403E-3</v>
      </c>
      <c r="M2195" s="551">
        <f>'Sollecitazioni nel paramento'!$G$60*(sezione!$AN$35-C2195)/C2195</f>
        <v>-2.7565281171989869E-3</v>
      </c>
      <c r="N2195" s="551">
        <f>'Sollecitazioni nel paramento'!$G$60*(sezione!$AO$35-C2195)/C2195</f>
        <v>-2.0130562343979742E-3</v>
      </c>
      <c r="O2195" s="551">
        <f>'Sollecitazioni nel paramento'!$G$60*(sezione!$AP$35-C2195)/C2195</f>
        <v>2.9528023171746976E-3</v>
      </c>
      <c r="P2195" s="545">
        <f>-'Sollecitazioni nel paramento'!$G$47*'Sollecitazioni nel paramento'!$G$41*IF(DATI!$G$211="dx",DATI!$E$61,DATI!$E$64*DATI!$E$63)*1000*C2195*sezione!$AD$5</f>
        <v>-14347765.190274205</v>
      </c>
      <c r="Q2195" s="545">
        <f>'Foglio deposito bis'!$F$78*IF(ABS(K2195)&lt;'Sollecitazioni nel paramento'!$G$58,ABS(K2195)*'Sollecitazioni nel paramento'!$G$54,'Sollecitazioni nel paramento'!$G$53)*IF(K2195&lt;0,-1,1)</f>
        <v>0</v>
      </c>
      <c r="R2195" s="545">
        <f>'Foglio deposito bis'!$F$79*IF(ABS(L2195)&lt;'Sollecitazioni nel paramento'!$G$58,ABS(L2195)*'Sollecitazioni nel paramento'!$G$54,'Sollecitazioni nel paramento'!$G$53)*IF(L2195&lt;0,-1,1)</f>
        <v>-153664.85805602249</v>
      </c>
      <c r="S2195" s="545">
        <f>'Foglio deposito bis'!$F$80*IF(ABS(M2195)&lt;'Sollecitazioni nel paramento'!$G$58,ABS(M2195)*'Sollecitazioni nel paramento'!$G$54,'Sollecitazioni nel paramento'!$G$53)*IF(M2195&lt;0,-1,1)</f>
        <v>0</v>
      </c>
      <c r="T2195" s="545">
        <f>'Foglio deposito bis'!$F$81*IF(ABS(N2195)&lt;'Sollecitazioni nel paramento'!$G$58,ABS(N2195)*'Sollecitazioni nel paramento'!$G$54,'Sollecitazioni nel paramento'!$G$53)*IF(N2195&lt;0,-1,1)</f>
        <v>-398299.31208121032</v>
      </c>
      <c r="U2195" s="545">
        <f>'Foglio deposito bis'!$F$82*IF(ABS(O2195)&lt;'Sollecitazioni nel paramento'!$G$58,ABS(O2195)*'Sollecitazioni nel paramento'!$G$54,'Sollecitazioni nel paramento'!$G$53)*IF(O2195&lt;0,-1,1)</f>
        <v>892485.49558937876</v>
      </c>
      <c r="V2195" s="472">
        <f t="shared" si="156"/>
        <v>-14007243.864822058</v>
      </c>
      <c r="W2195" s="551"/>
      <c r="X2195" s="551"/>
    </row>
    <row r="2196" spans="1:24" x14ac:dyDescent="0.25">
      <c r="A2196" s="545">
        <f t="shared" si="155"/>
        <v>14385812.867203966</v>
      </c>
      <c r="B2196" s="3">
        <f t="shared" si="153"/>
        <v>38.899999999999942</v>
      </c>
      <c r="C2196" s="545">
        <f>'Foglio deposito bis'!$E$161/sezione!$B$247*B2196</f>
        <v>386.54839469396842</v>
      </c>
      <c r="D2196" s="603">
        <f>-'Sollecitazioni nel paramento'!$G$47*'Sollecitazioni nel paramento'!$G$41*IF(DATI!$G$211="dx",DATI!$E$61,DATI!$E$64*DATI!$E$63)*1000*C2196^2*sezione!$AD$5*(1-sezione!$AD$6)</f>
        <v>-3324385451.6685009</v>
      </c>
      <c r="E2196" s="545">
        <f>-'Foglio deposito bis'!$F$78*(C2196-sezione!$AL$35)*IF(ABS(K2196)&lt;'Sollecitazioni nel paramento'!$G$58,ABS(K2196)*'Sollecitazioni nel paramento'!$G$54,'Sollecitazioni nel paramento'!$G$53)</f>
        <v>0</v>
      </c>
      <c r="F2196" s="545">
        <f>-'Foglio deposito bis'!$F$79*(C2196-sezione!$AM$35)*IF(ABS(L2196)&lt;'Sollecitazioni nel paramento'!$G$58,ABS(L2196)*'Sollecitazioni nel paramento'!$G$54,'Sollecitazioni nel paramento'!$G$53)</f>
        <v>-50179012.719070666</v>
      </c>
      <c r="G2196" s="545">
        <f>-'Foglio deposito bis'!$F$80*(C2196-sezione!$AN$35)*IF(ABS(M2196)&lt;'Sollecitazioni nel paramento'!$G$58,ABS(M2196)*'Sollecitazioni nel paramento'!$G$54,'Sollecitazioni nel paramento'!$G$53)</f>
        <v>0</v>
      </c>
      <c r="H2196" s="545">
        <f>-'Foglio deposito bis'!$F$81*(C2196-sezione!$AO$35)*IF(ABS(N2196)&lt;'Sollecitazioni nel paramento'!$G$58,ABS(N2196)*'Sollecitazioni nel paramento'!$G$54,'Sollecitazioni nel paramento'!$G$53)</f>
        <v>-90234069.759710133</v>
      </c>
      <c r="I2196" s="472">
        <f>-'Foglio deposito bis'!$F$82*(C2196-sezione!$AP$35)*IF(ABS(O2196)&lt;'Sollecitazioni nel paramento'!$G$58,ABS(O2196)*'Sollecitazioni nel paramento'!$G$54,'Sollecitazioni nel paramento'!$G$53)</f>
        <v>274701846.14738631</v>
      </c>
      <c r="J2196" s="472">
        <f t="shared" si="154"/>
        <v>-3190096687.9998951</v>
      </c>
      <c r="K2196" s="550">
        <f>'Sollecitazioni nel paramento'!$G$60*(sezione!$AL$35-C2196)/C2196</f>
        <v>-3.1378202524658303E-3</v>
      </c>
      <c r="L2196" s="550">
        <f>'Sollecitazioni nel paramento'!$G$60*(sezione!$AM$35-C2196)/C2196</f>
        <v>-2.9567303786987454E-3</v>
      </c>
      <c r="M2196" s="551">
        <f>'Sollecitazioni nel paramento'!$G$60*(sezione!$AN$35-C2196)/C2196</f>
        <v>-2.7756405049316609E-3</v>
      </c>
      <c r="N2196" s="551">
        <f>'Sollecitazioni nel paramento'!$G$60*(sezione!$AO$35-C2196)/C2196</f>
        <v>-2.0512810098633218E-3</v>
      </c>
      <c r="O2196" s="551">
        <f>'Sollecitazioni nel paramento'!$G$60*(sezione!$AP$35-C2196)/C2196</f>
        <v>2.7869205095352443E-3</v>
      </c>
      <c r="P2196" s="545">
        <f>-'Sollecitazioni nel paramento'!$G$47*'Sollecitazioni nel paramento'!$G$41*IF(DATI!$G$211="dx",DATI!$E$61,DATI!$E$64*DATI!$E$63)*1000*C2196*sezione!$AD$5</f>
        <v>-14726334.192656113</v>
      </c>
      <c r="Q2196" s="545">
        <f>'Foglio deposito bis'!$F$78*IF(ABS(K2196)&lt;'Sollecitazioni nel paramento'!$G$58,ABS(K2196)*'Sollecitazioni nel paramento'!$G$54,'Sollecitazioni nel paramento'!$G$53)*IF(K2196&lt;0,-1,1)</f>
        <v>0</v>
      </c>
      <c r="R2196" s="545">
        <f>'Foglio deposito bis'!$F$79*IF(ABS(L2196)&lt;'Sollecitazioni nel paramento'!$G$58,ABS(L2196)*'Sollecitazioni nel paramento'!$G$54,'Sollecitazioni nel paramento'!$G$53)*IF(L2196&lt;0,-1,1)</f>
        <v>-153664.85805602249</v>
      </c>
      <c r="S2196" s="545">
        <f>'Foglio deposito bis'!$F$80*IF(ABS(M2196)&lt;'Sollecitazioni nel paramento'!$G$58,ABS(M2196)*'Sollecitazioni nel paramento'!$G$54,'Sollecitazioni nel paramento'!$G$53)*IF(M2196&lt;0,-1,1)</f>
        <v>0</v>
      </c>
      <c r="T2196" s="545">
        <f>'Foglio deposito bis'!$F$81*IF(ABS(N2196)&lt;'Sollecitazioni nel paramento'!$G$58,ABS(N2196)*'Sollecitazioni nel paramento'!$G$54,'Sollecitazioni nel paramento'!$G$53)*IF(N2196&lt;0,-1,1)</f>
        <v>-398299.31208121032</v>
      </c>
      <c r="U2196" s="545">
        <f>'Foglio deposito bis'!$F$82*IF(ABS(O2196)&lt;'Sollecitazioni nel paramento'!$G$58,ABS(O2196)*'Sollecitazioni nel paramento'!$G$54,'Sollecitazioni nel paramento'!$G$53)*IF(O2196&lt;0,-1,1)</f>
        <v>892485.49558937876</v>
      </c>
      <c r="V2196" s="472">
        <f t="shared" si="156"/>
        <v>-14385812.867203966</v>
      </c>
      <c r="W2196" s="551"/>
      <c r="X2196" s="551"/>
    </row>
    <row r="2197" spans="1:24" x14ac:dyDescent="0.25">
      <c r="A2197" s="545">
        <f t="shared" si="155"/>
        <v>14764381.86958587</v>
      </c>
      <c r="B2197" s="3">
        <f t="shared" si="153"/>
        <v>39.899999999999942</v>
      </c>
      <c r="C2197" s="545">
        <f>'Foglio deposito bis'!$E$161/sezione!$B$247*B2197</f>
        <v>396.48537142131977</v>
      </c>
      <c r="D2197" s="603">
        <f>-'Sollecitazioni nel paramento'!$G$47*'Sollecitazioni nel paramento'!$G$41*IF(DATI!$G$211="dx",DATI!$E$61,DATI!$E$64*DATI!$E$63)*1000*C2197^2*sezione!$AD$5*(1-sezione!$AD$6)</f>
        <v>-3497501921.6835532</v>
      </c>
      <c r="E2197" s="545">
        <f>-'Foglio deposito bis'!$F$78*(C2197-sezione!$AL$35)*IF(ABS(K2197)&lt;'Sollecitazioni nel paramento'!$G$58,ABS(K2197)*'Sollecitazioni nel paramento'!$G$54,'Sollecitazioni nel paramento'!$G$53)</f>
        <v>0</v>
      </c>
      <c r="F2197" s="545">
        <f>-'Foglio deposito bis'!$F$79*(C2197-sezione!$AM$35)*IF(ABS(L2197)&lt;'Sollecitazioni nel paramento'!$G$58,ABS(L2197)*'Sollecitazioni nel paramento'!$G$54,'Sollecitazioni nel paramento'!$G$53)</f>
        <v>-51705976.837385111</v>
      </c>
      <c r="G2197" s="545">
        <f>-'Foglio deposito bis'!$F$80*(C2197-sezione!$AN$35)*IF(ABS(M2197)&lt;'Sollecitazioni nel paramento'!$G$58,ABS(M2197)*'Sollecitazioni nel paramento'!$G$54,'Sollecitazioni nel paramento'!$G$53)</f>
        <v>0</v>
      </c>
      <c r="H2197" s="545">
        <f>-'Foglio deposito bis'!$F$81*(C2197-sezione!$AO$35)*IF(ABS(N2197)&lt;'Sollecitazioni nel paramento'!$G$58,ABS(N2197)*'Sollecitazioni nel paramento'!$G$54,'Sollecitazioni nel paramento'!$G$53)</f>
        <v>-94191960.75438118</v>
      </c>
      <c r="I2197" s="472">
        <f>-'Foglio deposito bis'!$F$82*(C2197-sezione!$AP$35)*IF(ABS(O2197)&lt;'Sollecitazioni nel paramento'!$G$58,ABS(O2197)*'Sollecitazioni nel paramento'!$G$54,'Sollecitazioni nel paramento'!$G$53)</f>
        <v>265833238.54821602</v>
      </c>
      <c r="J2197" s="472">
        <f t="shared" si="154"/>
        <v>-3377566620.7271037</v>
      </c>
      <c r="K2197" s="550">
        <f>'Sollecitazioni nel paramento'!$G$60*(sezione!$AL$35-C2197)/C2197</f>
        <v>-3.1468974391208222E-3</v>
      </c>
      <c r="L2197" s="550">
        <f>'Sollecitazioni nel paramento'!$G$60*(sezione!$AM$35-C2197)/C2197</f>
        <v>-2.9703461586812331E-3</v>
      </c>
      <c r="M2197" s="551">
        <f>'Sollecitazioni nel paramento'!$G$60*(sezione!$AN$35-C2197)/C2197</f>
        <v>-2.7937948782416444E-3</v>
      </c>
      <c r="N2197" s="551">
        <f>'Sollecitazioni nel paramento'!$G$60*(sezione!$AO$35-C2197)/C2197</f>
        <v>-2.0875897564832887E-3</v>
      </c>
      <c r="O2197" s="551">
        <f>'Sollecitazioni nel paramento'!$G$60*(sezione!$AP$35-C2197)/C2197</f>
        <v>2.6293535794717046E-3</v>
      </c>
      <c r="P2197" s="545">
        <f>-'Sollecitazioni nel paramento'!$G$47*'Sollecitazioni nel paramento'!$G$41*IF(DATI!$G$211="dx",DATI!$E$61,DATI!$E$64*DATI!$E$63)*1000*C2197*sezione!$AD$5</f>
        <v>-15104903.195038017</v>
      </c>
      <c r="Q2197" s="545">
        <f>'Foglio deposito bis'!$F$78*IF(ABS(K2197)&lt;'Sollecitazioni nel paramento'!$G$58,ABS(K2197)*'Sollecitazioni nel paramento'!$G$54,'Sollecitazioni nel paramento'!$G$53)*IF(K2197&lt;0,-1,1)</f>
        <v>0</v>
      </c>
      <c r="R2197" s="545">
        <f>'Foglio deposito bis'!$F$79*IF(ABS(L2197)&lt;'Sollecitazioni nel paramento'!$G$58,ABS(L2197)*'Sollecitazioni nel paramento'!$G$54,'Sollecitazioni nel paramento'!$G$53)*IF(L2197&lt;0,-1,1)</f>
        <v>-153664.85805602249</v>
      </c>
      <c r="S2197" s="545">
        <f>'Foglio deposito bis'!$F$80*IF(ABS(M2197)&lt;'Sollecitazioni nel paramento'!$G$58,ABS(M2197)*'Sollecitazioni nel paramento'!$G$54,'Sollecitazioni nel paramento'!$G$53)*IF(M2197&lt;0,-1,1)</f>
        <v>0</v>
      </c>
      <c r="T2197" s="545">
        <f>'Foglio deposito bis'!$F$81*IF(ABS(N2197)&lt;'Sollecitazioni nel paramento'!$G$58,ABS(N2197)*'Sollecitazioni nel paramento'!$G$54,'Sollecitazioni nel paramento'!$G$53)*IF(N2197&lt;0,-1,1)</f>
        <v>-398299.31208121032</v>
      </c>
      <c r="U2197" s="545">
        <f>'Foglio deposito bis'!$F$82*IF(ABS(O2197)&lt;'Sollecitazioni nel paramento'!$G$58,ABS(O2197)*'Sollecitazioni nel paramento'!$G$54,'Sollecitazioni nel paramento'!$G$53)*IF(O2197&lt;0,-1,1)</f>
        <v>892485.49558937876</v>
      </c>
      <c r="V2197" s="472">
        <f t="shared" si="156"/>
        <v>-14764381.86958587</v>
      </c>
      <c r="W2197" s="551"/>
      <c r="X2197" s="551"/>
    </row>
    <row r="2198" spans="1:24" x14ac:dyDescent="0.25">
      <c r="A2198" s="545">
        <f t="shared" si="155"/>
        <v>15142950.871967776</v>
      </c>
      <c r="B2198" s="3">
        <f t="shared" si="153"/>
        <v>40.899999999999942</v>
      </c>
      <c r="C2198" s="545">
        <f>'Foglio deposito bis'!$E$161/sezione!$B$247*B2198</f>
        <v>406.42234814867118</v>
      </c>
      <c r="D2198" s="603">
        <f>-'Sollecitazioni nel paramento'!$G$47*'Sollecitazioni nel paramento'!$G$41*IF(DATI!$G$211="dx",DATI!$E$61,DATI!$E$64*DATI!$E$63)*1000*C2198^2*sezione!$AD$5*(1-sezione!$AD$6)</f>
        <v>-3675012210.7345214</v>
      </c>
      <c r="E2198" s="545">
        <f>-'Foglio deposito bis'!$F$78*(C2198-sezione!$AL$35)*IF(ABS(K2198)&lt;'Sollecitazioni nel paramento'!$G$58,ABS(K2198)*'Sollecitazioni nel paramento'!$G$54,'Sollecitazioni nel paramento'!$G$53)</f>
        <v>0</v>
      </c>
      <c r="F2198" s="545">
        <f>-'Foglio deposito bis'!$F$79*(C2198-sezione!$AM$35)*IF(ABS(L2198)&lt;'Sollecitazioni nel paramento'!$G$58,ABS(L2198)*'Sollecitazioni nel paramento'!$G$54,'Sollecitazioni nel paramento'!$G$53)</f>
        <v>-53232940.955699563</v>
      </c>
      <c r="G2198" s="545">
        <f>-'Foglio deposito bis'!$F$80*(C2198-sezione!$AN$35)*IF(ABS(M2198)&lt;'Sollecitazioni nel paramento'!$G$58,ABS(M2198)*'Sollecitazioni nel paramento'!$G$54,'Sollecitazioni nel paramento'!$G$53)</f>
        <v>0</v>
      </c>
      <c r="H2198" s="545">
        <f>-'Foglio deposito bis'!$F$81*(C2198-sezione!$AO$35)*IF(ABS(N2198)&lt;'Sollecitazioni nel paramento'!$G$58,ABS(N2198)*'Sollecitazioni nel paramento'!$G$54,'Sollecitazioni nel paramento'!$G$53)</f>
        <v>-98149851.749052241</v>
      </c>
      <c r="I2198" s="472">
        <f>-'Foglio deposito bis'!$F$82*(C2198-sezione!$AP$35)*IF(ABS(O2198)&lt;'Sollecitazioni nel paramento'!$G$58,ABS(O2198)*'Sollecitazioni nel paramento'!$G$54,'Sollecitazioni nel paramento'!$G$53)</f>
        <v>256964630.94904569</v>
      </c>
      <c r="J2198" s="472">
        <f t="shared" si="154"/>
        <v>-3569430372.4902272</v>
      </c>
      <c r="K2198" s="550">
        <f>'Sollecitazioni nel paramento'!$G$60*(sezione!$AL$35-C2198)/C2198</f>
        <v>-3.1555307535677461E-3</v>
      </c>
      <c r="L2198" s="550">
        <f>'Sollecitazioni nel paramento'!$G$60*(sezione!$AM$35-C2198)/C2198</f>
        <v>-2.9832961303516187E-3</v>
      </c>
      <c r="M2198" s="551">
        <f>'Sollecitazioni nel paramento'!$G$60*(sezione!$AN$35-C2198)/C2198</f>
        <v>-2.8110615071354917E-3</v>
      </c>
      <c r="N2198" s="551">
        <f>'Sollecitazioni nel paramento'!$G$60*(sezione!$AO$35-C2198)/C2198</f>
        <v>-2.1221230142709833E-3</v>
      </c>
      <c r="O2198" s="551">
        <f>'Sollecitazioni nel paramento'!$G$60*(sezione!$AP$35-C2198)/C2198</f>
        <v>2.4794916337633494E-3</v>
      </c>
      <c r="P2198" s="545">
        <f>-'Sollecitazioni nel paramento'!$G$47*'Sollecitazioni nel paramento'!$G$41*IF(DATI!$G$211="dx",DATI!$E$61,DATI!$E$64*DATI!$E$63)*1000*C2198*sezione!$AD$5</f>
        <v>-15483472.197419923</v>
      </c>
      <c r="Q2198" s="545">
        <f>'Foglio deposito bis'!$F$78*IF(ABS(K2198)&lt;'Sollecitazioni nel paramento'!$G$58,ABS(K2198)*'Sollecitazioni nel paramento'!$G$54,'Sollecitazioni nel paramento'!$G$53)*IF(K2198&lt;0,-1,1)</f>
        <v>0</v>
      </c>
      <c r="R2198" s="545">
        <f>'Foglio deposito bis'!$F$79*IF(ABS(L2198)&lt;'Sollecitazioni nel paramento'!$G$58,ABS(L2198)*'Sollecitazioni nel paramento'!$G$54,'Sollecitazioni nel paramento'!$G$53)*IF(L2198&lt;0,-1,1)</f>
        <v>-153664.85805602249</v>
      </c>
      <c r="S2198" s="545">
        <f>'Foglio deposito bis'!$F$80*IF(ABS(M2198)&lt;'Sollecitazioni nel paramento'!$G$58,ABS(M2198)*'Sollecitazioni nel paramento'!$G$54,'Sollecitazioni nel paramento'!$G$53)*IF(M2198&lt;0,-1,1)</f>
        <v>0</v>
      </c>
      <c r="T2198" s="545">
        <f>'Foglio deposito bis'!$F$81*IF(ABS(N2198)&lt;'Sollecitazioni nel paramento'!$G$58,ABS(N2198)*'Sollecitazioni nel paramento'!$G$54,'Sollecitazioni nel paramento'!$G$53)*IF(N2198&lt;0,-1,1)</f>
        <v>-398299.31208121032</v>
      </c>
      <c r="U2198" s="545">
        <f>'Foglio deposito bis'!$F$82*IF(ABS(O2198)&lt;'Sollecitazioni nel paramento'!$G$58,ABS(O2198)*'Sollecitazioni nel paramento'!$G$54,'Sollecitazioni nel paramento'!$G$53)*IF(O2198&lt;0,-1,1)</f>
        <v>892485.49558937876</v>
      </c>
      <c r="V2198" s="472">
        <f t="shared" si="156"/>
        <v>-15142950.871967776</v>
      </c>
      <c r="W2198" s="551"/>
      <c r="X2198" s="551"/>
    </row>
    <row r="2199" spans="1:24" x14ac:dyDescent="0.25">
      <c r="A2199" s="545">
        <f t="shared" si="155"/>
        <v>15521519.874349684</v>
      </c>
      <c r="B2199" s="3">
        <f t="shared" si="153"/>
        <v>41.899999999999942</v>
      </c>
      <c r="C2199" s="545">
        <f>'Foglio deposito bis'!$E$161/sezione!$B$247*B2199</f>
        <v>416.35932487602258</v>
      </c>
      <c r="D2199" s="603">
        <f>-'Sollecitazioni nel paramento'!$G$47*'Sollecitazioni nel paramento'!$G$41*IF(DATI!$G$211="dx",DATI!$E$61,DATI!$E$64*DATI!$E$63)*1000*C2199^2*sezione!$AD$5*(1-sezione!$AD$6)</f>
        <v>-3856916318.8214049</v>
      </c>
      <c r="E2199" s="545">
        <f>-'Foglio deposito bis'!$F$78*(C2199-sezione!$AL$35)*IF(ABS(K2199)&lt;'Sollecitazioni nel paramento'!$G$58,ABS(K2199)*'Sollecitazioni nel paramento'!$G$54,'Sollecitazioni nel paramento'!$G$53)</f>
        <v>0</v>
      </c>
      <c r="F2199" s="545">
        <f>-'Foglio deposito bis'!$F$79*(C2199-sezione!$AM$35)*IF(ABS(L2199)&lt;'Sollecitazioni nel paramento'!$G$58,ABS(L2199)*'Sollecitazioni nel paramento'!$G$54,'Sollecitazioni nel paramento'!$G$53)</f>
        <v>-54759905.074014023</v>
      </c>
      <c r="G2199" s="545">
        <f>-'Foglio deposito bis'!$F$80*(C2199-sezione!$AN$35)*IF(ABS(M2199)&lt;'Sollecitazioni nel paramento'!$G$58,ABS(M2199)*'Sollecitazioni nel paramento'!$G$54,'Sollecitazioni nel paramento'!$G$53)</f>
        <v>0</v>
      </c>
      <c r="H2199" s="545">
        <f>-'Foglio deposito bis'!$F$81*(C2199-sezione!$AO$35)*IF(ABS(N2199)&lt;'Sollecitazioni nel paramento'!$G$58,ABS(N2199)*'Sollecitazioni nel paramento'!$G$54,'Sollecitazioni nel paramento'!$G$53)</f>
        <v>-102107742.7437233</v>
      </c>
      <c r="I2199" s="472">
        <f>-'Foglio deposito bis'!$F$82*(C2199-sezione!$AP$35)*IF(ABS(O2199)&lt;'Sollecitazioni nel paramento'!$G$58,ABS(O2199)*'Sollecitazioni nel paramento'!$G$54,'Sollecitazioni nel paramento'!$G$53)</f>
        <v>248096023.34987536</v>
      </c>
      <c r="J2199" s="472">
        <f t="shared" si="154"/>
        <v>-3765687943.2892671</v>
      </c>
      <c r="K2199" s="550">
        <f>'Sollecitazioni nel paramento'!$G$60*(sezione!$AL$35-C2199)/C2199</f>
        <v>-3.1637519766329549E-3</v>
      </c>
      <c r="L2199" s="550">
        <f>'Sollecitazioni nel paramento'!$G$60*(sezione!$AM$35-C2199)/C2199</f>
        <v>-2.9956279649494323E-3</v>
      </c>
      <c r="M2199" s="551">
        <f>'Sollecitazioni nel paramento'!$G$60*(sezione!$AN$35-C2199)/C2199</f>
        <v>-2.8275039532659097E-3</v>
      </c>
      <c r="N2199" s="551">
        <f>'Sollecitazioni nel paramento'!$G$60*(sezione!$AO$35-C2199)/C2199</f>
        <v>-2.1550079065318192E-3</v>
      </c>
      <c r="O2199" s="551">
        <f>'Sollecitazioni nel paramento'!$G$60*(sezione!$AP$35-C2199)/C2199</f>
        <v>2.3367830028859422E-3</v>
      </c>
      <c r="P2199" s="545">
        <f>-'Sollecitazioni nel paramento'!$G$47*'Sollecitazioni nel paramento'!$G$41*IF(DATI!$G$211="dx",DATI!$E$61,DATI!$E$64*DATI!$E$63)*1000*C2199*sezione!$AD$5</f>
        <v>-15862041.199801831</v>
      </c>
      <c r="Q2199" s="545">
        <f>'Foglio deposito bis'!$F$78*IF(ABS(K2199)&lt;'Sollecitazioni nel paramento'!$G$58,ABS(K2199)*'Sollecitazioni nel paramento'!$G$54,'Sollecitazioni nel paramento'!$G$53)*IF(K2199&lt;0,-1,1)</f>
        <v>0</v>
      </c>
      <c r="R2199" s="545">
        <f>'Foglio deposito bis'!$F$79*IF(ABS(L2199)&lt;'Sollecitazioni nel paramento'!$G$58,ABS(L2199)*'Sollecitazioni nel paramento'!$G$54,'Sollecitazioni nel paramento'!$G$53)*IF(L2199&lt;0,-1,1)</f>
        <v>-153664.85805602249</v>
      </c>
      <c r="S2199" s="545">
        <f>'Foglio deposito bis'!$F$80*IF(ABS(M2199)&lt;'Sollecitazioni nel paramento'!$G$58,ABS(M2199)*'Sollecitazioni nel paramento'!$G$54,'Sollecitazioni nel paramento'!$G$53)*IF(M2199&lt;0,-1,1)</f>
        <v>0</v>
      </c>
      <c r="T2199" s="545">
        <f>'Foglio deposito bis'!$F$81*IF(ABS(N2199)&lt;'Sollecitazioni nel paramento'!$G$58,ABS(N2199)*'Sollecitazioni nel paramento'!$G$54,'Sollecitazioni nel paramento'!$G$53)*IF(N2199&lt;0,-1,1)</f>
        <v>-398299.31208121032</v>
      </c>
      <c r="U2199" s="545">
        <f>'Foglio deposito bis'!$F$82*IF(ABS(O2199)&lt;'Sollecitazioni nel paramento'!$G$58,ABS(O2199)*'Sollecitazioni nel paramento'!$G$54,'Sollecitazioni nel paramento'!$G$53)*IF(O2199&lt;0,-1,1)</f>
        <v>892485.49558937876</v>
      </c>
      <c r="V2199" s="472">
        <f t="shared" si="156"/>
        <v>-15521519.874349684</v>
      </c>
      <c r="W2199" s="551"/>
      <c r="X2199" s="551"/>
    </row>
    <row r="2200" spans="1:24" x14ac:dyDescent="0.25">
      <c r="A2200" s="545">
        <f t="shared" si="155"/>
        <v>15900088.876731586</v>
      </c>
      <c r="B2200" s="3">
        <f t="shared" si="153"/>
        <v>42.899999999999942</v>
      </c>
      <c r="C2200" s="545">
        <f>'Foglio deposito bis'!$E$161/sezione!$B$247*B2200</f>
        <v>426.29630160337393</v>
      </c>
      <c r="D2200" s="603">
        <f>-'Sollecitazioni nel paramento'!$G$47*'Sollecitazioni nel paramento'!$G$41*IF(DATI!$G$211="dx",DATI!$E$61,DATI!$E$64*DATI!$E$63)*1000*C2200^2*sezione!$AD$5*(1-sezione!$AD$6)</f>
        <v>-4043214245.9442024</v>
      </c>
      <c r="E2200" s="545">
        <f>-'Foglio deposito bis'!$F$78*(C2200-sezione!$AL$35)*IF(ABS(K2200)&lt;'Sollecitazioni nel paramento'!$G$58,ABS(K2200)*'Sollecitazioni nel paramento'!$G$54,'Sollecitazioni nel paramento'!$G$53)</f>
        <v>0</v>
      </c>
      <c r="F2200" s="545">
        <f>-'Foglio deposito bis'!$F$79*(C2200-sezione!$AM$35)*IF(ABS(L2200)&lt;'Sollecitazioni nel paramento'!$G$58,ABS(L2200)*'Sollecitazioni nel paramento'!$G$54,'Sollecitazioni nel paramento'!$G$53)</f>
        <v>-56286869.192328461</v>
      </c>
      <c r="G2200" s="545">
        <f>-'Foglio deposito bis'!$F$80*(C2200-sezione!$AN$35)*IF(ABS(M2200)&lt;'Sollecitazioni nel paramento'!$G$58,ABS(M2200)*'Sollecitazioni nel paramento'!$G$54,'Sollecitazioni nel paramento'!$G$53)</f>
        <v>0</v>
      </c>
      <c r="H2200" s="545">
        <f>-'Foglio deposito bis'!$F$81*(C2200-sezione!$AO$35)*IF(ABS(N2200)&lt;'Sollecitazioni nel paramento'!$G$58,ABS(N2200)*'Sollecitazioni nel paramento'!$G$54,'Sollecitazioni nel paramento'!$G$53)</f>
        <v>-106065633.73839435</v>
      </c>
      <c r="I2200" s="472">
        <f>-'Foglio deposito bis'!$F$82*(C2200-sezione!$AP$35)*IF(ABS(O2200)&lt;'Sollecitazioni nel paramento'!$G$58,ABS(O2200)*'Sollecitazioni nel paramento'!$G$54,'Sollecitazioni nel paramento'!$G$53)</f>
        <v>239227415.75070506</v>
      </c>
      <c r="J2200" s="472">
        <f t="shared" si="154"/>
        <v>-3966339333.1242199</v>
      </c>
      <c r="K2200" s="550">
        <f>'Sollecitazioni nel paramento'!$G$60*(sezione!$AL$35-C2200)/C2200</f>
        <v>-3.1715899258955901E-3</v>
      </c>
      <c r="L2200" s="550">
        <f>'Sollecitazioni nel paramento'!$G$60*(sezione!$AM$35-C2200)/C2200</f>
        <v>-3.0073848888433848E-3</v>
      </c>
      <c r="M2200" s="551">
        <f>'Sollecitazioni nel paramento'!$G$60*(sezione!$AN$35-C2200)/C2200</f>
        <v>-2.8431798517911796E-3</v>
      </c>
      <c r="N2200" s="551">
        <f>'Sollecitazioni nel paramento'!$G$60*(sezione!$AO$35-C2200)/C2200</f>
        <v>-2.1863597035823596E-3</v>
      </c>
      <c r="O2200" s="551">
        <f>'Sollecitazioni nel paramento'!$G$60*(sezione!$AP$35-C2200)/C2200</f>
        <v>2.2007274550331231E-3</v>
      </c>
      <c r="P2200" s="545">
        <f>-'Sollecitazioni nel paramento'!$G$47*'Sollecitazioni nel paramento'!$G$41*IF(DATI!$G$211="dx",DATI!$E$61,DATI!$E$64*DATI!$E$63)*1000*C2200*sezione!$AD$5</f>
        <v>-16240610.202183735</v>
      </c>
      <c r="Q2200" s="545">
        <f>'Foglio deposito bis'!$F$78*IF(ABS(K2200)&lt;'Sollecitazioni nel paramento'!$G$58,ABS(K2200)*'Sollecitazioni nel paramento'!$G$54,'Sollecitazioni nel paramento'!$G$53)*IF(K2200&lt;0,-1,1)</f>
        <v>0</v>
      </c>
      <c r="R2200" s="545">
        <f>'Foglio deposito bis'!$F$79*IF(ABS(L2200)&lt;'Sollecitazioni nel paramento'!$G$58,ABS(L2200)*'Sollecitazioni nel paramento'!$G$54,'Sollecitazioni nel paramento'!$G$53)*IF(L2200&lt;0,-1,1)</f>
        <v>-153664.85805602249</v>
      </c>
      <c r="S2200" s="545">
        <f>'Foglio deposito bis'!$F$80*IF(ABS(M2200)&lt;'Sollecitazioni nel paramento'!$G$58,ABS(M2200)*'Sollecitazioni nel paramento'!$G$54,'Sollecitazioni nel paramento'!$G$53)*IF(M2200&lt;0,-1,1)</f>
        <v>0</v>
      </c>
      <c r="T2200" s="545">
        <f>'Foglio deposito bis'!$F$81*IF(ABS(N2200)&lt;'Sollecitazioni nel paramento'!$G$58,ABS(N2200)*'Sollecitazioni nel paramento'!$G$54,'Sollecitazioni nel paramento'!$G$53)*IF(N2200&lt;0,-1,1)</f>
        <v>-398299.31208121032</v>
      </c>
      <c r="U2200" s="545">
        <f>'Foglio deposito bis'!$F$82*IF(ABS(O2200)&lt;'Sollecitazioni nel paramento'!$G$58,ABS(O2200)*'Sollecitazioni nel paramento'!$G$54,'Sollecitazioni nel paramento'!$G$53)*IF(O2200&lt;0,-1,1)</f>
        <v>892485.49558937876</v>
      </c>
      <c r="V2200" s="472">
        <f t="shared" si="156"/>
        <v>-15900088.876731586</v>
      </c>
      <c r="W2200" s="551"/>
      <c r="X2200" s="551"/>
    </row>
    <row r="2201" spans="1:24" x14ac:dyDescent="0.25">
      <c r="A2201" s="545">
        <f t="shared" si="155"/>
        <v>16278657.879113492</v>
      </c>
      <c r="B2201" s="3">
        <f t="shared" si="153"/>
        <v>43.899999999999942</v>
      </c>
      <c r="C2201" s="545">
        <f>'Foglio deposito bis'!$E$161/sezione!$B$247*B2201</f>
        <v>436.23327833072534</v>
      </c>
      <c r="D2201" s="603">
        <f>-'Sollecitazioni nel paramento'!$G$47*'Sollecitazioni nel paramento'!$G$41*IF(DATI!$G$211="dx",DATI!$E$61,DATI!$E$64*DATI!$E$63)*1000*C2201^2*sezione!$AD$5*(1-sezione!$AD$6)</f>
        <v>-4233905992.1029158</v>
      </c>
      <c r="E2201" s="545">
        <f>-'Foglio deposito bis'!$F$78*(C2201-sezione!$AL$35)*IF(ABS(K2201)&lt;'Sollecitazioni nel paramento'!$G$58,ABS(K2201)*'Sollecitazioni nel paramento'!$G$54,'Sollecitazioni nel paramento'!$G$53)</f>
        <v>0</v>
      </c>
      <c r="F2201" s="545">
        <f>-'Foglio deposito bis'!$F$79*(C2201-sezione!$AM$35)*IF(ABS(L2201)&lt;'Sollecitazioni nel paramento'!$G$58,ABS(L2201)*'Sollecitazioni nel paramento'!$G$54,'Sollecitazioni nel paramento'!$G$53)</f>
        <v>-57813833.31064292</v>
      </c>
      <c r="G2201" s="545">
        <f>-'Foglio deposito bis'!$F$80*(C2201-sezione!$AN$35)*IF(ABS(M2201)&lt;'Sollecitazioni nel paramento'!$G$58,ABS(M2201)*'Sollecitazioni nel paramento'!$G$54,'Sollecitazioni nel paramento'!$G$53)</f>
        <v>0</v>
      </c>
      <c r="H2201" s="545">
        <f>-'Foglio deposito bis'!$F$81*(C2201-sezione!$AO$35)*IF(ABS(N2201)&lt;'Sollecitazioni nel paramento'!$G$58,ABS(N2201)*'Sollecitazioni nel paramento'!$G$54,'Sollecitazioni nel paramento'!$G$53)</f>
        <v>-110023524.73306541</v>
      </c>
      <c r="I2201" s="472">
        <f>-'Foglio deposito bis'!$F$82*(C2201-sezione!$AP$35)*IF(ABS(O2201)&lt;'Sollecitazioni nel paramento'!$G$58,ABS(O2201)*'Sollecitazioni nel paramento'!$G$54,'Sollecitazioni nel paramento'!$G$53)</f>
        <v>230358808.15153468</v>
      </c>
      <c r="J2201" s="472">
        <f t="shared" si="154"/>
        <v>-4171384541.9950891</v>
      </c>
      <c r="K2201" s="550">
        <f>'Sollecitazioni nel paramento'!$G$60*(sezione!$AL$35-C2201)/C2201</f>
        <v>-3.179070793187262E-3</v>
      </c>
      <c r="L2201" s="550">
        <f>'Sollecitazioni nel paramento'!$G$60*(sezione!$AM$35-C2201)/C2201</f>
        <v>-3.0186061897808933E-3</v>
      </c>
      <c r="M2201" s="551">
        <f>'Sollecitazioni nel paramento'!$G$60*(sezione!$AN$35-C2201)/C2201</f>
        <v>-2.8581415863745243E-3</v>
      </c>
      <c r="N2201" s="551">
        <f>'Sollecitazioni nel paramento'!$G$60*(sezione!$AO$35-C2201)/C2201</f>
        <v>-2.2162831727490485E-3</v>
      </c>
      <c r="O2201" s="551">
        <f>'Sollecitazioni nel paramento'!$G$60*(sezione!$AP$35-C2201)/C2201</f>
        <v>2.0708703376064006E-3</v>
      </c>
      <c r="P2201" s="545">
        <f>-'Sollecitazioni nel paramento'!$G$47*'Sollecitazioni nel paramento'!$G$41*IF(DATI!$G$211="dx",DATI!$E$61,DATI!$E$64*DATI!$E$63)*1000*C2201*sezione!$AD$5</f>
        <v>-16619179.204565641</v>
      </c>
      <c r="Q2201" s="545">
        <f>'Foglio deposito bis'!$F$78*IF(ABS(K2201)&lt;'Sollecitazioni nel paramento'!$G$58,ABS(K2201)*'Sollecitazioni nel paramento'!$G$54,'Sollecitazioni nel paramento'!$G$53)*IF(K2201&lt;0,-1,1)</f>
        <v>0</v>
      </c>
      <c r="R2201" s="545">
        <f>'Foglio deposito bis'!$F$79*IF(ABS(L2201)&lt;'Sollecitazioni nel paramento'!$G$58,ABS(L2201)*'Sollecitazioni nel paramento'!$G$54,'Sollecitazioni nel paramento'!$G$53)*IF(L2201&lt;0,-1,1)</f>
        <v>-153664.85805602249</v>
      </c>
      <c r="S2201" s="545">
        <f>'Foglio deposito bis'!$F$80*IF(ABS(M2201)&lt;'Sollecitazioni nel paramento'!$G$58,ABS(M2201)*'Sollecitazioni nel paramento'!$G$54,'Sollecitazioni nel paramento'!$G$53)*IF(M2201&lt;0,-1,1)</f>
        <v>0</v>
      </c>
      <c r="T2201" s="545">
        <f>'Foglio deposito bis'!$F$81*IF(ABS(N2201)&lt;'Sollecitazioni nel paramento'!$G$58,ABS(N2201)*'Sollecitazioni nel paramento'!$G$54,'Sollecitazioni nel paramento'!$G$53)*IF(N2201&lt;0,-1,1)</f>
        <v>-398299.31208121032</v>
      </c>
      <c r="U2201" s="545">
        <f>'Foglio deposito bis'!$F$82*IF(ABS(O2201)&lt;'Sollecitazioni nel paramento'!$G$58,ABS(O2201)*'Sollecitazioni nel paramento'!$G$54,'Sollecitazioni nel paramento'!$G$53)*IF(O2201&lt;0,-1,1)</f>
        <v>892485.49558937876</v>
      </c>
      <c r="V2201" s="472">
        <f t="shared" si="156"/>
        <v>-16278657.879113492</v>
      </c>
      <c r="W2201" s="551"/>
      <c r="X2201" s="551"/>
    </row>
    <row r="2202" spans="1:24" x14ac:dyDescent="0.25">
      <c r="A2202" s="545">
        <f t="shared" si="155"/>
        <v>16657226.881495401</v>
      </c>
      <c r="B2202" s="3">
        <f t="shared" si="153"/>
        <v>44.899999999999942</v>
      </c>
      <c r="C2202" s="545">
        <f>'Foglio deposito bis'!$E$161/sezione!$B$247*B2202</f>
        <v>446.17025505807675</v>
      </c>
      <c r="D2202" s="603">
        <f>-'Sollecitazioni nel paramento'!$G$47*'Sollecitazioni nel paramento'!$G$41*IF(DATI!$G$211="dx",DATI!$E$61,DATI!$E$64*DATI!$E$63)*1000*C2202^2*sezione!$AD$5*(1-sezione!$AD$6)</f>
        <v>-4428991557.2975445</v>
      </c>
      <c r="E2202" s="545">
        <f>-'Foglio deposito bis'!$F$78*(C2202-sezione!$AL$35)*IF(ABS(K2202)&lt;'Sollecitazioni nel paramento'!$G$58,ABS(K2202)*'Sollecitazioni nel paramento'!$G$54,'Sollecitazioni nel paramento'!$G$53)</f>
        <v>0</v>
      </c>
      <c r="F2202" s="545">
        <f>-'Foglio deposito bis'!$F$79*(C2202-sezione!$AM$35)*IF(ABS(L2202)&lt;'Sollecitazioni nel paramento'!$G$58,ABS(L2202)*'Sollecitazioni nel paramento'!$G$54,'Sollecitazioni nel paramento'!$G$53)</f>
        <v>-59340797.428957365</v>
      </c>
      <c r="G2202" s="545">
        <f>-'Foglio deposito bis'!$F$80*(C2202-sezione!$AN$35)*IF(ABS(M2202)&lt;'Sollecitazioni nel paramento'!$G$58,ABS(M2202)*'Sollecitazioni nel paramento'!$G$54,'Sollecitazioni nel paramento'!$G$53)</f>
        <v>0</v>
      </c>
      <c r="H2202" s="545">
        <f>-'Foglio deposito bis'!$F$81*(C2202-sezione!$AO$35)*IF(ABS(N2202)&lt;'Sollecitazioni nel paramento'!$G$58,ABS(N2202)*'Sollecitazioni nel paramento'!$G$54,'Sollecitazioni nel paramento'!$G$53)</f>
        <v>-113981415.72773647</v>
      </c>
      <c r="I2202" s="472">
        <f>-'Foglio deposito bis'!$F$82*(C2202-sezione!$AP$35)*IF(ABS(O2202)&lt;'Sollecitazioni nel paramento'!$G$58,ABS(O2202)*'Sollecitazioni nel paramento'!$G$54,'Sollecitazioni nel paramento'!$G$53)</f>
        <v>221490200.55236435</v>
      </c>
      <c r="J2202" s="472">
        <f t="shared" si="154"/>
        <v>-4380823569.9018736</v>
      </c>
      <c r="K2202" s="550">
        <f>'Sollecitazioni nel paramento'!$G$60*(sezione!$AL$35-C2202)/C2202</f>
        <v>-3.1862184369915547E-3</v>
      </c>
      <c r="L2202" s="550">
        <f>'Sollecitazioni nel paramento'!$G$60*(sezione!$AM$35-C2202)/C2202</f>
        <v>-3.0293276554873324E-3</v>
      </c>
      <c r="M2202" s="551">
        <f>'Sollecitazioni nel paramento'!$G$60*(sezione!$AN$35-C2202)/C2202</f>
        <v>-2.8724368739831098E-3</v>
      </c>
      <c r="N2202" s="551">
        <f>'Sollecitazioni nel paramento'!$G$60*(sezione!$AO$35-C2202)/C2202</f>
        <v>-2.244873747966219E-3</v>
      </c>
      <c r="O2202" s="551">
        <f>'Sollecitazioni nel paramento'!$G$60*(sezione!$AP$35-C2202)/C2202</f>
        <v>1.9467975015795313E-3</v>
      </c>
      <c r="P2202" s="545">
        <f>-'Sollecitazioni nel paramento'!$G$47*'Sollecitazioni nel paramento'!$G$41*IF(DATI!$G$211="dx",DATI!$E$61,DATI!$E$64*DATI!$E$63)*1000*C2202*sezione!$AD$5</f>
        <v>-16997748.206947546</v>
      </c>
      <c r="Q2202" s="545">
        <f>'Foglio deposito bis'!$F$78*IF(ABS(K2202)&lt;'Sollecitazioni nel paramento'!$G$58,ABS(K2202)*'Sollecitazioni nel paramento'!$G$54,'Sollecitazioni nel paramento'!$G$53)*IF(K2202&lt;0,-1,1)</f>
        <v>0</v>
      </c>
      <c r="R2202" s="545">
        <f>'Foglio deposito bis'!$F$79*IF(ABS(L2202)&lt;'Sollecitazioni nel paramento'!$G$58,ABS(L2202)*'Sollecitazioni nel paramento'!$G$54,'Sollecitazioni nel paramento'!$G$53)*IF(L2202&lt;0,-1,1)</f>
        <v>-153664.85805602249</v>
      </c>
      <c r="S2202" s="545">
        <f>'Foglio deposito bis'!$F$80*IF(ABS(M2202)&lt;'Sollecitazioni nel paramento'!$G$58,ABS(M2202)*'Sollecitazioni nel paramento'!$G$54,'Sollecitazioni nel paramento'!$G$53)*IF(M2202&lt;0,-1,1)</f>
        <v>0</v>
      </c>
      <c r="T2202" s="545">
        <f>'Foglio deposito bis'!$F$81*IF(ABS(N2202)&lt;'Sollecitazioni nel paramento'!$G$58,ABS(N2202)*'Sollecitazioni nel paramento'!$G$54,'Sollecitazioni nel paramento'!$G$53)*IF(N2202&lt;0,-1,1)</f>
        <v>-398299.31208121032</v>
      </c>
      <c r="U2202" s="545">
        <f>'Foglio deposito bis'!$F$82*IF(ABS(O2202)&lt;'Sollecitazioni nel paramento'!$G$58,ABS(O2202)*'Sollecitazioni nel paramento'!$G$54,'Sollecitazioni nel paramento'!$G$53)*IF(O2202&lt;0,-1,1)</f>
        <v>892485.49558937876</v>
      </c>
      <c r="V2202" s="472">
        <f t="shared" si="156"/>
        <v>-16657226.881495401</v>
      </c>
      <c r="W2202" s="551"/>
      <c r="X2202" s="551"/>
    </row>
    <row r="2203" spans="1:24" x14ac:dyDescent="0.25">
      <c r="A2203" s="545">
        <f t="shared" si="155"/>
        <v>17069344.993403677</v>
      </c>
      <c r="B2203" s="3">
        <f t="shared" si="153"/>
        <v>45.899999999999942</v>
      </c>
      <c r="C2203" s="545">
        <f>'Foglio deposito bis'!$E$161/sezione!$B$247*B2203</f>
        <v>456.1072317854281</v>
      </c>
      <c r="D2203" s="603">
        <f>-'Sollecitazioni nel paramento'!$G$47*'Sollecitazioni nel paramento'!$G$41*IF(DATI!$G$211="dx",DATI!$E$61,DATI!$E$64*DATI!$E$63)*1000*C2203^2*sezione!$AD$5*(1-sezione!$AD$6)</f>
        <v>-4628470941.5280867</v>
      </c>
      <c r="E2203" s="545">
        <f>-'Foglio deposito bis'!$F$78*(C2203-sezione!$AL$35)*IF(ABS(K2203)&lt;'Sollecitazioni nel paramento'!$G$58,ABS(K2203)*'Sollecitazioni nel paramento'!$G$54,'Sollecitazioni nel paramento'!$G$53)</f>
        <v>0</v>
      </c>
      <c r="F2203" s="545">
        <f>-'Foglio deposito bis'!$F$79*(C2203-sezione!$AM$35)*IF(ABS(L2203)&lt;'Sollecitazioni nel paramento'!$G$58,ABS(L2203)*'Sollecitazioni nel paramento'!$G$54,'Sollecitazioni nel paramento'!$G$53)</f>
        <v>-60867761.547271818</v>
      </c>
      <c r="G2203" s="545">
        <f>-'Foglio deposito bis'!$F$80*(C2203-sezione!$AN$35)*IF(ABS(M2203)&lt;'Sollecitazioni nel paramento'!$G$58,ABS(M2203)*'Sollecitazioni nel paramento'!$G$54,'Sollecitazioni nel paramento'!$G$53)</f>
        <v>0</v>
      </c>
      <c r="H2203" s="545">
        <f>-'Foglio deposito bis'!$F$81*(C2203-sezione!$AO$35)*IF(ABS(N2203)&lt;'Sollecitazioni nel paramento'!$G$58,ABS(N2203)*'Sollecitazioni nel paramento'!$G$54,'Sollecitazioni nel paramento'!$G$53)</f>
        <v>-117939306.7224075</v>
      </c>
      <c r="I2203" s="472">
        <f>-'Foglio deposito bis'!$F$82*(C2203-sezione!$AP$35)*IF(ABS(O2203)&lt;'Sollecitazioni nel paramento'!$G$58,ABS(O2203)*'Sollecitazioni nel paramento'!$G$54,'Sollecitazioni nel paramento'!$G$53)</f>
        <v>204629009.15781614</v>
      </c>
      <c r="J2203" s="472">
        <f t="shared" si="154"/>
        <v>-4602649000.6399498</v>
      </c>
      <c r="K2203" s="550">
        <f>'Sollecitazioni nel paramento'!$G$60*(sezione!$AL$35-C2203)/C2203</f>
        <v>-3.1930546366213683E-3</v>
      </c>
      <c r="L2203" s="550">
        <f>'Sollecitazioni nel paramento'!$G$60*(sezione!$AM$35-C2203)/C2203</f>
        <v>-3.0395819549320522E-3</v>
      </c>
      <c r="M2203" s="551">
        <f>'Sollecitazioni nel paramento'!$G$60*(sezione!$AN$35-C2203)/C2203</f>
        <v>-2.886109273242737E-3</v>
      </c>
      <c r="N2203" s="551">
        <f>'Sollecitazioni nel paramento'!$G$60*(sezione!$AO$35-C2203)/C2203</f>
        <v>-2.2722185464854735E-3</v>
      </c>
      <c r="O2203" s="551">
        <f>'Sollecitazioni nel paramento'!$G$60*(sezione!$AP$35-C2203)/C2203</f>
        <v>1.8281308893446835E-3</v>
      </c>
      <c r="P2203" s="545">
        <f>-'Sollecitazioni nel paramento'!$G$47*'Sollecitazioni nel paramento'!$G$41*IF(DATI!$G$211="dx",DATI!$E$61,DATI!$E$64*DATI!$E$63)*1000*C2203*sezione!$AD$5</f>
        <v>-17376317.209329452</v>
      </c>
      <c r="Q2203" s="545">
        <f>'Foglio deposito bis'!$F$78*IF(ABS(K2203)&lt;'Sollecitazioni nel paramento'!$G$58,ABS(K2203)*'Sollecitazioni nel paramento'!$G$54,'Sollecitazioni nel paramento'!$G$53)*IF(K2203&lt;0,-1,1)</f>
        <v>0</v>
      </c>
      <c r="R2203" s="545">
        <f>'Foglio deposito bis'!$F$79*IF(ABS(L2203)&lt;'Sollecitazioni nel paramento'!$G$58,ABS(L2203)*'Sollecitazioni nel paramento'!$G$54,'Sollecitazioni nel paramento'!$G$53)*IF(L2203&lt;0,-1,1)</f>
        <v>-153664.85805602249</v>
      </c>
      <c r="S2203" s="545">
        <f>'Foglio deposito bis'!$F$80*IF(ABS(M2203)&lt;'Sollecitazioni nel paramento'!$G$58,ABS(M2203)*'Sollecitazioni nel paramento'!$G$54,'Sollecitazioni nel paramento'!$G$53)*IF(M2203&lt;0,-1,1)</f>
        <v>0</v>
      </c>
      <c r="T2203" s="545">
        <f>'Foglio deposito bis'!$F$81*IF(ABS(N2203)&lt;'Sollecitazioni nel paramento'!$G$58,ABS(N2203)*'Sollecitazioni nel paramento'!$G$54,'Sollecitazioni nel paramento'!$G$53)*IF(N2203&lt;0,-1,1)</f>
        <v>-398299.31208121032</v>
      </c>
      <c r="U2203" s="545">
        <f>'Foglio deposito bis'!$F$82*IF(ABS(O2203)&lt;'Sollecitazioni nel paramento'!$G$58,ABS(O2203)*'Sollecitazioni nel paramento'!$G$54,'Sollecitazioni nel paramento'!$G$53)*IF(O2203&lt;0,-1,1)</f>
        <v>858936.3860630109</v>
      </c>
      <c r="V2203" s="472">
        <f t="shared" si="156"/>
        <v>-17069344.993403677</v>
      </c>
      <c r="W2203" s="551"/>
      <c r="X2203" s="551"/>
    </row>
    <row r="2204" spans="1:24" x14ac:dyDescent="0.25">
      <c r="A2204" s="545">
        <f t="shared" si="155"/>
        <v>17501291.191824257</v>
      </c>
      <c r="B2204" s="3">
        <f t="shared" si="153"/>
        <v>46.899999999999942</v>
      </c>
      <c r="C2204" s="545">
        <f>'Foglio deposito bis'!$E$161/sezione!$B$247*B2204</f>
        <v>466.04420851277951</v>
      </c>
      <c r="D2204" s="603">
        <f>-'Sollecitazioni nel paramento'!$G$47*'Sollecitazioni nel paramento'!$G$41*IF(DATI!$G$211="dx",DATI!$E$61,DATI!$E$64*DATI!$E$63)*1000*C2204^2*sezione!$AD$5*(1-sezione!$AD$6)</f>
        <v>-4832344144.7945461</v>
      </c>
      <c r="E2204" s="545">
        <f>-'Foglio deposito bis'!$F$78*(C2204-sezione!$AL$35)*IF(ABS(K2204)&lt;'Sollecitazioni nel paramento'!$G$58,ABS(K2204)*'Sollecitazioni nel paramento'!$G$54,'Sollecitazioni nel paramento'!$G$53)</f>
        <v>0</v>
      </c>
      <c r="F2204" s="545">
        <f>-'Foglio deposito bis'!$F$79*(C2204-sezione!$AM$35)*IF(ABS(L2204)&lt;'Sollecitazioni nel paramento'!$G$58,ABS(L2204)*'Sollecitazioni nel paramento'!$G$54,'Sollecitazioni nel paramento'!$G$53)</f>
        <v>-62394725.665586263</v>
      </c>
      <c r="G2204" s="545">
        <f>-'Foglio deposito bis'!$F$80*(C2204-sezione!$AN$35)*IF(ABS(M2204)&lt;'Sollecitazioni nel paramento'!$G$58,ABS(M2204)*'Sollecitazioni nel paramento'!$G$54,'Sollecitazioni nel paramento'!$G$53)</f>
        <v>0</v>
      </c>
      <c r="H2204" s="545">
        <f>-'Foglio deposito bis'!$F$81*(C2204-sezione!$AO$35)*IF(ABS(N2204)&lt;'Sollecitazioni nel paramento'!$G$58,ABS(N2204)*'Sollecitazioni nel paramento'!$G$54,'Sollecitazioni nel paramento'!$G$53)</f>
        <v>-121897197.71707857</v>
      </c>
      <c r="I2204" s="472">
        <f>-'Foglio deposito bis'!$F$82*(C2204-sezione!$AP$35)*IF(ABS(O2204)&lt;'Sollecitazioni nel paramento'!$G$58,ABS(O2204)*'Sollecitazioni nel paramento'!$G$54,'Sollecitazioni nel paramento'!$G$53)</f>
        <v>183907851.34097424</v>
      </c>
      <c r="J2204" s="472">
        <f t="shared" si="154"/>
        <v>-4832728216.836237</v>
      </c>
      <c r="K2204" s="550">
        <f>'Sollecitazioni nel paramento'!$G$60*(sezione!$AL$35-C2204)/C2204</f>
        <v>-3.1995993138789086E-3</v>
      </c>
      <c r="L2204" s="550">
        <f>'Sollecitazioni nel paramento'!$G$60*(sezione!$AM$35-C2204)/C2204</f>
        <v>-3.0493989708183628E-3</v>
      </c>
      <c r="M2204" s="551">
        <f>'Sollecitazioni nel paramento'!$G$60*(sezione!$AN$35-C2204)/C2204</f>
        <v>-2.899198627757817E-3</v>
      </c>
      <c r="N2204" s="551">
        <f>'Sollecitazioni nel paramento'!$G$60*(sezione!$AO$35-C2204)/C2204</f>
        <v>-2.298397255515634E-3</v>
      </c>
      <c r="O2204" s="551">
        <f>'Sollecitazioni nel paramento'!$G$60*(sezione!$AP$35-C2204)/C2204</f>
        <v>1.71452468701324E-3</v>
      </c>
      <c r="P2204" s="545">
        <f>-'Sollecitazioni nel paramento'!$G$47*'Sollecitazioni nel paramento'!$G$41*IF(DATI!$G$211="dx",DATI!$E$61,DATI!$E$64*DATI!$E$63)*1000*C2204*sezione!$AD$5</f>
        <v>-17754886.211711358</v>
      </c>
      <c r="Q2204" s="545">
        <f>'Foglio deposito bis'!$F$78*IF(ABS(K2204)&lt;'Sollecitazioni nel paramento'!$G$58,ABS(K2204)*'Sollecitazioni nel paramento'!$G$54,'Sollecitazioni nel paramento'!$G$53)*IF(K2204&lt;0,-1,1)</f>
        <v>0</v>
      </c>
      <c r="R2204" s="545">
        <f>'Foglio deposito bis'!$F$79*IF(ABS(L2204)&lt;'Sollecitazioni nel paramento'!$G$58,ABS(L2204)*'Sollecitazioni nel paramento'!$G$54,'Sollecitazioni nel paramento'!$G$53)*IF(L2204&lt;0,-1,1)</f>
        <v>-153664.85805602249</v>
      </c>
      <c r="S2204" s="545">
        <f>'Foglio deposito bis'!$F$80*IF(ABS(M2204)&lt;'Sollecitazioni nel paramento'!$G$58,ABS(M2204)*'Sollecitazioni nel paramento'!$G$54,'Sollecitazioni nel paramento'!$G$53)*IF(M2204&lt;0,-1,1)</f>
        <v>0</v>
      </c>
      <c r="T2204" s="545">
        <f>'Foglio deposito bis'!$F$81*IF(ABS(N2204)&lt;'Sollecitazioni nel paramento'!$G$58,ABS(N2204)*'Sollecitazioni nel paramento'!$G$54,'Sollecitazioni nel paramento'!$G$53)*IF(N2204&lt;0,-1,1)</f>
        <v>-398299.31208121032</v>
      </c>
      <c r="U2204" s="545">
        <f>'Foglio deposito bis'!$F$82*IF(ABS(O2204)&lt;'Sollecitazioni nel paramento'!$G$58,ABS(O2204)*'Sollecitazioni nel paramento'!$G$54,'Sollecitazioni nel paramento'!$G$53)*IF(O2204&lt;0,-1,1)</f>
        <v>805559.19002433331</v>
      </c>
      <c r="V2204" s="472">
        <f t="shared" si="156"/>
        <v>-17501291.191824257</v>
      </c>
      <c r="W2204" s="551"/>
      <c r="X2204" s="551"/>
    </row>
    <row r="2205" spans="1:24" x14ac:dyDescent="0.25">
      <c r="A2205" s="545">
        <f t="shared" si="155"/>
        <v>17931008.697299596</v>
      </c>
      <c r="B2205" s="3">
        <f t="shared" si="153"/>
        <v>47.899999999999942</v>
      </c>
      <c r="C2205" s="545">
        <f>'Foglio deposito bis'!$E$161/sezione!$B$247*B2205</f>
        <v>475.98118524013091</v>
      </c>
      <c r="D2205" s="603">
        <f>-'Sollecitazioni nel paramento'!$G$47*'Sollecitazioni nel paramento'!$G$41*IF(DATI!$G$211="dx",DATI!$E$61,DATI!$E$64*DATI!$E$63)*1000*C2205^2*sezione!$AD$5*(1-sezione!$AD$6)</f>
        <v>-5040611167.09692</v>
      </c>
      <c r="E2205" s="545">
        <f>-'Foglio deposito bis'!$F$78*(C2205-sezione!$AL$35)*IF(ABS(K2205)&lt;'Sollecitazioni nel paramento'!$G$58,ABS(K2205)*'Sollecitazioni nel paramento'!$G$54,'Sollecitazioni nel paramento'!$G$53)</f>
        <v>0</v>
      </c>
      <c r="F2205" s="545">
        <f>-'Foglio deposito bis'!$F$79*(C2205-sezione!$AM$35)*IF(ABS(L2205)&lt;'Sollecitazioni nel paramento'!$G$58,ABS(L2205)*'Sollecitazioni nel paramento'!$G$54,'Sollecitazioni nel paramento'!$G$53)</f>
        <v>-63921689.783900715</v>
      </c>
      <c r="G2205" s="545">
        <f>-'Foglio deposito bis'!$F$80*(C2205-sezione!$AN$35)*IF(ABS(M2205)&lt;'Sollecitazioni nel paramento'!$G$58,ABS(M2205)*'Sollecitazioni nel paramento'!$G$54,'Sollecitazioni nel paramento'!$G$53)</f>
        <v>0</v>
      </c>
      <c r="H2205" s="545">
        <f>-'Foglio deposito bis'!$F$81*(C2205-sezione!$AO$35)*IF(ABS(N2205)&lt;'Sollecitazioni nel paramento'!$G$58,ABS(N2205)*'Sollecitazioni nel paramento'!$G$54,'Sollecitazioni nel paramento'!$G$53)</f>
        <v>-125855088.71174964</v>
      </c>
      <c r="I2205" s="472">
        <f>-'Foglio deposito bis'!$F$82*(C2205-sezione!$AP$35)*IF(ABS(O2205)&lt;'Sollecitazioni nel paramento'!$G$58,ABS(O2205)*'Sollecitazioni nel paramento'!$G$54,'Sollecitazioni nel paramento'!$G$53)</f>
        <v>164734169.93410042</v>
      </c>
      <c r="J2205" s="472">
        <f t="shared" si="154"/>
        <v>-5065653775.6584702</v>
      </c>
      <c r="K2205" s="550">
        <f>'Sollecitazioni nel paramento'!$G$60*(sezione!$AL$35-C2205)/C2205</f>
        <v>-3.2058707269503302E-3</v>
      </c>
      <c r="L2205" s="550">
        <f>'Sollecitazioni nel paramento'!$G$60*(sezione!$AM$35-C2205)/C2205</f>
        <v>-3.0588060904254951E-3</v>
      </c>
      <c r="M2205" s="551">
        <f>'Sollecitazioni nel paramento'!$G$60*(sezione!$AN$35-C2205)/C2205</f>
        <v>-2.9117414539006599E-3</v>
      </c>
      <c r="N2205" s="551">
        <f>'Sollecitazioni nel paramento'!$G$60*(sezione!$AO$35-C2205)/C2205</f>
        <v>-2.3234829078013202E-3</v>
      </c>
      <c r="O2205" s="551">
        <f>'Sollecitazioni nel paramento'!$G$60*(sezione!$AP$35-C2205)/C2205</f>
        <v>1.6056619586831092E-3</v>
      </c>
      <c r="P2205" s="545">
        <f>-'Sollecitazioni nel paramento'!$G$47*'Sollecitazioni nel paramento'!$G$41*IF(DATI!$G$211="dx",DATI!$E$61,DATI!$E$64*DATI!$E$63)*1000*C2205*sezione!$AD$5</f>
        <v>-18133455.214093264</v>
      </c>
      <c r="Q2205" s="545">
        <f>'Foglio deposito bis'!$F$78*IF(ABS(K2205)&lt;'Sollecitazioni nel paramento'!$G$58,ABS(K2205)*'Sollecitazioni nel paramento'!$G$54,'Sollecitazioni nel paramento'!$G$53)*IF(K2205&lt;0,-1,1)</f>
        <v>0</v>
      </c>
      <c r="R2205" s="545">
        <f>'Foglio deposito bis'!$F$79*IF(ABS(L2205)&lt;'Sollecitazioni nel paramento'!$G$58,ABS(L2205)*'Sollecitazioni nel paramento'!$G$54,'Sollecitazioni nel paramento'!$G$53)*IF(L2205&lt;0,-1,1)</f>
        <v>-153664.85805602249</v>
      </c>
      <c r="S2205" s="545">
        <f>'Foglio deposito bis'!$F$80*IF(ABS(M2205)&lt;'Sollecitazioni nel paramento'!$G$58,ABS(M2205)*'Sollecitazioni nel paramento'!$G$54,'Sollecitazioni nel paramento'!$G$53)*IF(M2205&lt;0,-1,1)</f>
        <v>0</v>
      </c>
      <c r="T2205" s="545">
        <f>'Foglio deposito bis'!$F$81*IF(ABS(N2205)&lt;'Sollecitazioni nel paramento'!$G$58,ABS(N2205)*'Sollecitazioni nel paramento'!$G$54,'Sollecitazioni nel paramento'!$G$53)*IF(N2205&lt;0,-1,1)</f>
        <v>-398299.31208121032</v>
      </c>
      <c r="U2205" s="545">
        <f>'Foglio deposito bis'!$F$82*IF(ABS(O2205)&lt;'Sollecitazioni nel paramento'!$G$58,ABS(O2205)*'Sollecitazioni nel paramento'!$G$54,'Sollecitazioni nel paramento'!$G$53)*IF(O2205&lt;0,-1,1)</f>
        <v>754410.68693090312</v>
      </c>
      <c r="V2205" s="472">
        <f t="shared" si="156"/>
        <v>-17931008.697299596</v>
      </c>
      <c r="W2205" s="551"/>
      <c r="X2205" s="551"/>
    </row>
    <row r="2206" spans="1:24" x14ac:dyDescent="0.25">
      <c r="A2206" s="545">
        <f t="shared" si="155"/>
        <v>18358634.239458222</v>
      </c>
      <c r="B2206" s="3">
        <f t="shared" si="153"/>
        <v>48.899999999999942</v>
      </c>
      <c r="C2206" s="545">
        <f>'Foglio deposito bis'!$E$161/sezione!$B$247*B2206</f>
        <v>485.91816196748226</v>
      </c>
      <c r="D2206" s="603">
        <f>-'Sollecitazioni nel paramento'!$G$47*'Sollecitazioni nel paramento'!$G$41*IF(DATI!$G$211="dx",DATI!$E$61,DATI!$E$64*DATI!$E$63)*1000*C2206^2*sezione!$AD$5*(1-sezione!$AD$6)</f>
        <v>-5253272008.4352074</v>
      </c>
      <c r="E2206" s="545">
        <f>-'Foglio deposito bis'!$F$78*(C2206-sezione!$AL$35)*IF(ABS(K2206)&lt;'Sollecitazioni nel paramento'!$G$58,ABS(K2206)*'Sollecitazioni nel paramento'!$G$54,'Sollecitazioni nel paramento'!$G$53)</f>
        <v>0</v>
      </c>
      <c r="F2206" s="545">
        <f>-'Foglio deposito bis'!$F$79*(C2206-sezione!$AM$35)*IF(ABS(L2206)&lt;'Sollecitazioni nel paramento'!$G$58,ABS(L2206)*'Sollecitazioni nel paramento'!$G$54,'Sollecitazioni nel paramento'!$G$53)</f>
        <v>-65448653.90221516</v>
      </c>
      <c r="G2206" s="545">
        <f>-'Foglio deposito bis'!$F$80*(C2206-sezione!$AN$35)*IF(ABS(M2206)&lt;'Sollecitazioni nel paramento'!$G$58,ABS(M2206)*'Sollecitazioni nel paramento'!$G$54,'Sollecitazioni nel paramento'!$G$53)</f>
        <v>0</v>
      </c>
      <c r="H2206" s="545">
        <f>-'Foglio deposito bis'!$F$81*(C2206-sezione!$AO$35)*IF(ABS(N2206)&lt;'Sollecitazioni nel paramento'!$G$58,ABS(N2206)*'Sollecitazioni nel paramento'!$G$54,'Sollecitazioni nel paramento'!$G$53)</f>
        <v>-129812979.70642067</v>
      </c>
      <c r="I2206" s="472">
        <f>-'Foglio deposito bis'!$F$82*(C2206-sezione!$AP$35)*IF(ABS(O2206)&lt;'Sollecitazioni nel paramento'!$G$58,ABS(O2206)*'Sollecitazioni nel paramento'!$G$54,'Sollecitazioni nel paramento'!$G$53)</f>
        <v>147013027.73412925</v>
      </c>
      <c r="J2206" s="472">
        <f t="shared" si="154"/>
        <v>-5301520614.3097143</v>
      </c>
      <c r="K2206" s="550">
        <f>'Sollecitazioni nel paramento'!$G$60*(sezione!$AL$35-C2206)/C2206</f>
        <v>-3.2118856405096282E-3</v>
      </c>
      <c r="L2206" s="550">
        <f>'Sollecitazioni nel paramento'!$G$60*(sezione!$AM$35-C2206)/C2206</f>
        <v>-3.0678284607644421E-3</v>
      </c>
      <c r="M2206" s="551">
        <f>'Sollecitazioni nel paramento'!$G$60*(sezione!$AN$35-C2206)/C2206</f>
        <v>-2.923771281019256E-3</v>
      </c>
      <c r="N2206" s="551">
        <f>'Sollecitazioni nel paramento'!$G$60*(sezione!$AO$35-C2206)/C2206</f>
        <v>-2.3475425620385119E-3</v>
      </c>
      <c r="O2206" s="551">
        <f>'Sollecitazioni nel paramento'!$G$60*(sezione!$AP$35-C2206)/C2206</f>
        <v>1.5012516936793649E-3</v>
      </c>
      <c r="P2206" s="545">
        <f>-'Sollecitazioni nel paramento'!$G$47*'Sollecitazioni nel paramento'!$G$41*IF(DATI!$G$211="dx",DATI!$E$61,DATI!$E$64*DATI!$E$63)*1000*C2206*sezione!$AD$5</f>
        <v>-18512024.216475166</v>
      </c>
      <c r="Q2206" s="545">
        <f>'Foglio deposito bis'!$F$78*IF(ABS(K2206)&lt;'Sollecitazioni nel paramento'!$G$58,ABS(K2206)*'Sollecitazioni nel paramento'!$G$54,'Sollecitazioni nel paramento'!$G$53)*IF(K2206&lt;0,-1,1)</f>
        <v>0</v>
      </c>
      <c r="R2206" s="545">
        <f>'Foglio deposito bis'!$F$79*IF(ABS(L2206)&lt;'Sollecitazioni nel paramento'!$G$58,ABS(L2206)*'Sollecitazioni nel paramento'!$G$54,'Sollecitazioni nel paramento'!$G$53)*IF(L2206&lt;0,-1,1)</f>
        <v>-153664.85805602249</v>
      </c>
      <c r="S2206" s="545">
        <f>'Foglio deposito bis'!$F$80*IF(ABS(M2206)&lt;'Sollecitazioni nel paramento'!$G$58,ABS(M2206)*'Sollecitazioni nel paramento'!$G$54,'Sollecitazioni nel paramento'!$G$53)*IF(M2206&lt;0,-1,1)</f>
        <v>0</v>
      </c>
      <c r="T2206" s="545">
        <f>'Foglio deposito bis'!$F$81*IF(ABS(N2206)&lt;'Sollecitazioni nel paramento'!$G$58,ABS(N2206)*'Sollecitazioni nel paramento'!$G$54,'Sollecitazioni nel paramento'!$G$53)*IF(N2206&lt;0,-1,1)</f>
        <v>-398299.31208121032</v>
      </c>
      <c r="U2206" s="545">
        <f>'Foglio deposito bis'!$F$82*IF(ABS(O2206)&lt;'Sollecitazioni nel paramento'!$G$58,ABS(O2206)*'Sollecitazioni nel paramento'!$G$54,'Sollecitazioni nel paramento'!$G$53)*IF(O2206&lt;0,-1,1)</f>
        <v>705354.147154178</v>
      </c>
      <c r="V2206" s="472">
        <f t="shared" si="156"/>
        <v>-18358634.239458222</v>
      </c>
      <c r="W2206" s="551"/>
      <c r="X2206" s="551"/>
    </row>
    <row r="2207" spans="1:24" x14ac:dyDescent="0.25">
      <c r="A2207" s="545">
        <f t="shared" si="155"/>
        <v>18784293.587637831</v>
      </c>
      <c r="B2207" s="3">
        <f t="shared" si="153"/>
        <v>49.899999999999942</v>
      </c>
      <c r="C2207" s="545">
        <f>'Foglio deposito bis'!$E$161/sezione!$B$247*B2207</f>
        <v>495.85513869483367</v>
      </c>
      <c r="D2207" s="603">
        <f>-'Sollecitazioni nel paramento'!$G$47*'Sollecitazioni nel paramento'!$G$41*IF(DATI!$G$211="dx",DATI!$E$61,DATI!$E$64*DATI!$E$63)*1000*C2207^2*sezione!$AD$5*(1-sezione!$AD$6)</f>
        <v>-5470326668.809411</v>
      </c>
      <c r="E2207" s="545">
        <f>-'Foglio deposito bis'!$F$78*(C2207-sezione!$AL$35)*IF(ABS(K2207)&lt;'Sollecitazioni nel paramento'!$G$58,ABS(K2207)*'Sollecitazioni nel paramento'!$G$54,'Sollecitazioni nel paramento'!$G$53)</f>
        <v>0</v>
      </c>
      <c r="F2207" s="545">
        <f>-'Foglio deposito bis'!$F$79*(C2207-sezione!$AM$35)*IF(ABS(L2207)&lt;'Sollecitazioni nel paramento'!$G$58,ABS(L2207)*'Sollecitazioni nel paramento'!$G$54,'Sollecitazioni nel paramento'!$G$53)</f>
        <v>-66975618.020529613</v>
      </c>
      <c r="G2207" s="545">
        <f>-'Foglio deposito bis'!$F$80*(C2207-sezione!$AN$35)*IF(ABS(M2207)&lt;'Sollecitazioni nel paramento'!$G$58,ABS(M2207)*'Sollecitazioni nel paramento'!$G$54,'Sollecitazioni nel paramento'!$G$53)</f>
        <v>0</v>
      </c>
      <c r="H2207" s="545">
        <f>-'Foglio deposito bis'!$F$81*(C2207-sezione!$AO$35)*IF(ABS(N2207)&lt;'Sollecitazioni nel paramento'!$G$58,ABS(N2207)*'Sollecitazioni nel paramento'!$G$54,'Sollecitazioni nel paramento'!$G$53)</f>
        <v>-133770870.70109174</v>
      </c>
      <c r="I2207" s="472">
        <f>-'Foglio deposito bis'!$F$82*(C2207-sezione!$AP$35)*IF(ABS(O2207)&lt;'Sollecitazioni nel paramento'!$G$58,ABS(O2207)*'Sollecitazioni nel paramento'!$G$54,'Sollecitazioni nel paramento'!$G$53)</f>
        <v>130657097.73463351</v>
      </c>
      <c r="J2207" s="472">
        <f t="shared" si="154"/>
        <v>-5540416059.7963991</v>
      </c>
      <c r="K2207" s="550">
        <f>'Sollecitazioni nel paramento'!$G$60*(sezione!$AL$35-C2207)/C2207</f>
        <v>-3.2176594753691549E-3</v>
      </c>
      <c r="L2207" s="550">
        <f>'Sollecitazioni nel paramento'!$G$60*(sezione!$AM$35-C2207)/C2207</f>
        <v>-3.0764892130537317E-3</v>
      </c>
      <c r="M2207" s="551">
        <f>'Sollecitazioni nel paramento'!$G$60*(sezione!$AN$35-C2207)/C2207</f>
        <v>-2.935318950738309E-3</v>
      </c>
      <c r="N2207" s="551">
        <f>'Sollecitazioni nel paramento'!$G$60*(sezione!$AO$35-C2207)/C2207</f>
        <v>-2.3706379014766178E-3</v>
      </c>
      <c r="O2207" s="551">
        <f>'Sollecitazioni nel paramento'!$G$60*(sezione!$AP$35-C2207)/C2207</f>
        <v>1.4010262088360907E-3</v>
      </c>
      <c r="P2207" s="545">
        <f>-'Sollecitazioni nel paramento'!$G$47*'Sollecitazioni nel paramento'!$G$41*IF(DATI!$G$211="dx",DATI!$E$61,DATI!$E$64*DATI!$E$63)*1000*C2207*sezione!$AD$5</f>
        <v>-18890593.218857076</v>
      </c>
      <c r="Q2207" s="545">
        <f>'Foglio deposito bis'!$F$78*IF(ABS(K2207)&lt;'Sollecitazioni nel paramento'!$G$58,ABS(K2207)*'Sollecitazioni nel paramento'!$G$54,'Sollecitazioni nel paramento'!$G$53)*IF(K2207&lt;0,-1,1)</f>
        <v>0</v>
      </c>
      <c r="R2207" s="545">
        <f>'Foglio deposito bis'!$F$79*IF(ABS(L2207)&lt;'Sollecitazioni nel paramento'!$G$58,ABS(L2207)*'Sollecitazioni nel paramento'!$G$54,'Sollecitazioni nel paramento'!$G$53)*IF(L2207&lt;0,-1,1)</f>
        <v>-153664.85805602249</v>
      </c>
      <c r="S2207" s="545">
        <f>'Foglio deposito bis'!$F$80*IF(ABS(M2207)&lt;'Sollecitazioni nel paramento'!$G$58,ABS(M2207)*'Sollecitazioni nel paramento'!$G$54,'Sollecitazioni nel paramento'!$G$53)*IF(M2207&lt;0,-1,1)</f>
        <v>0</v>
      </c>
      <c r="T2207" s="545">
        <f>'Foglio deposito bis'!$F$81*IF(ABS(N2207)&lt;'Sollecitazioni nel paramento'!$G$58,ABS(N2207)*'Sollecitazioni nel paramento'!$G$54,'Sollecitazioni nel paramento'!$G$53)*IF(N2207&lt;0,-1,1)</f>
        <v>-398299.31208121032</v>
      </c>
      <c r="U2207" s="545">
        <f>'Foglio deposito bis'!$F$82*IF(ABS(O2207)&lt;'Sollecitazioni nel paramento'!$G$58,ABS(O2207)*'Sollecitazioni nel paramento'!$G$54,'Sollecitazioni nel paramento'!$G$53)*IF(O2207&lt;0,-1,1)</f>
        <v>658263.80135647953</v>
      </c>
      <c r="V2207" s="472">
        <f t="shared" si="156"/>
        <v>-18784293.587637831</v>
      </c>
      <c r="W2207" s="551"/>
      <c r="X2207" s="551"/>
    </row>
    <row r="2208" spans="1:24" x14ac:dyDescent="0.25">
      <c r="A2208" s="545">
        <f t="shared" si="155"/>
        <v>19208102.627534617</v>
      </c>
      <c r="B2208" s="3">
        <f t="shared" si="153"/>
        <v>50.899999999999942</v>
      </c>
      <c r="C2208" s="545">
        <f>'Foglio deposito bis'!$E$161/sezione!$B$247*B2208</f>
        <v>505.79211542218508</v>
      </c>
      <c r="D2208" s="603">
        <f>-'Sollecitazioni nel paramento'!$G$47*'Sollecitazioni nel paramento'!$G$41*IF(DATI!$G$211="dx",DATI!$E$61,DATI!$E$64*DATI!$E$63)*1000*C2208^2*sezione!$AD$5*(1-sezione!$AD$6)</f>
        <v>-5691775148.2195311</v>
      </c>
      <c r="E2208" s="545">
        <f>-'Foglio deposito bis'!$F$78*(C2208-sezione!$AL$35)*IF(ABS(K2208)&lt;'Sollecitazioni nel paramento'!$G$58,ABS(K2208)*'Sollecitazioni nel paramento'!$G$54,'Sollecitazioni nel paramento'!$G$53)</f>
        <v>0</v>
      </c>
      <c r="F2208" s="545">
        <f>-'Foglio deposito bis'!$F$79*(C2208-sezione!$AM$35)*IF(ABS(L2208)&lt;'Sollecitazioni nel paramento'!$G$58,ABS(L2208)*'Sollecitazioni nel paramento'!$G$54,'Sollecitazioni nel paramento'!$G$53)</f>
        <v>-68502582.138844058</v>
      </c>
      <c r="G2208" s="545">
        <f>-'Foglio deposito bis'!$F$80*(C2208-sezione!$AN$35)*IF(ABS(M2208)&lt;'Sollecitazioni nel paramento'!$G$58,ABS(M2208)*'Sollecitazioni nel paramento'!$G$54,'Sollecitazioni nel paramento'!$G$53)</f>
        <v>0</v>
      </c>
      <c r="H2208" s="545">
        <f>-'Foglio deposito bis'!$F$81*(C2208-sezione!$AO$35)*IF(ABS(N2208)&lt;'Sollecitazioni nel paramento'!$G$58,ABS(N2208)*'Sollecitazioni nel paramento'!$G$54,'Sollecitazioni nel paramento'!$G$53)</f>
        <v>-137728761.69576281</v>
      </c>
      <c r="I2208" s="472">
        <f>-'Foglio deposito bis'!$F$82*(C2208-sezione!$AP$35)*IF(ABS(O2208)&lt;'Sollecitazioni nel paramento'!$G$58,ABS(O2208)*'Sollecitazioni nel paramento'!$G$54,'Sollecitazioni nel paramento'!$G$53)</f>
        <v>115585915.56230439</v>
      </c>
      <c r="J2208" s="472">
        <f t="shared" si="154"/>
        <v>-5782420576.4918337</v>
      </c>
      <c r="K2208" s="550">
        <f>'Sollecitazioni nel paramento'!$G$60*(sezione!$AL$35-C2208)/C2208</f>
        <v>-3.2232064404896033E-3</v>
      </c>
      <c r="L2208" s="550">
        <f>'Sollecitazioni nel paramento'!$G$60*(sezione!$AM$35-C2208)/C2208</f>
        <v>-3.0848096607344051E-3</v>
      </c>
      <c r="M2208" s="551">
        <f>'Sollecitazioni nel paramento'!$G$60*(sezione!$AN$35-C2208)/C2208</f>
        <v>-2.9464128809792069E-3</v>
      </c>
      <c r="N2208" s="551">
        <f>'Sollecitazioni nel paramento'!$G$60*(sezione!$AO$35-C2208)/C2208</f>
        <v>-2.3928257619584134E-3</v>
      </c>
      <c r="O2208" s="551">
        <f>'Sollecitazioni nel paramento'!$G$60*(sezione!$AP$35-C2208)/C2208</f>
        <v>1.3047388569925524E-3</v>
      </c>
      <c r="P2208" s="545">
        <f>-'Sollecitazioni nel paramento'!$G$47*'Sollecitazioni nel paramento'!$G$41*IF(DATI!$G$211="dx",DATI!$E$61,DATI!$E$64*DATI!$E$63)*1000*C2208*sezione!$AD$5</f>
        <v>-19269162.221238982</v>
      </c>
      <c r="Q2208" s="545">
        <f>'Foglio deposito bis'!$F$78*IF(ABS(K2208)&lt;'Sollecitazioni nel paramento'!$G$58,ABS(K2208)*'Sollecitazioni nel paramento'!$G$54,'Sollecitazioni nel paramento'!$G$53)*IF(K2208&lt;0,-1,1)</f>
        <v>0</v>
      </c>
      <c r="R2208" s="545">
        <f>'Foglio deposito bis'!$F$79*IF(ABS(L2208)&lt;'Sollecitazioni nel paramento'!$G$58,ABS(L2208)*'Sollecitazioni nel paramento'!$G$54,'Sollecitazioni nel paramento'!$G$53)*IF(L2208&lt;0,-1,1)</f>
        <v>-153664.85805602249</v>
      </c>
      <c r="S2208" s="545">
        <f>'Foglio deposito bis'!$F$80*IF(ABS(M2208)&lt;'Sollecitazioni nel paramento'!$G$58,ABS(M2208)*'Sollecitazioni nel paramento'!$G$54,'Sollecitazioni nel paramento'!$G$53)*IF(M2208&lt;0,-1,1)</f>
        <v>0</v>
      </c>
      <c r="T2208" s="545">
        <f>'Foglio deposito bis'!$F$81*IF(ABS(N2208)&lt;'Sollecitazioni nel paramento'!$G$58,ABS(N2208)*'Sollecitazioni nel paramento'!$G$54,'Sollecitazioni nel paramento'!$G$53)*IF(N2208&lt;0,-1,1)</f>
        <v>-398299.31208121032</v>
      </c>
      <c r="U2208" s="545">
        <f>'Foglio deposito bis'!$F$82*IF(ABS(O2208)&lt;'Sollecitazioni nel paramento'!$G$58,ABS(O2208)*'Sollecitazioni nel paramento'!$G$54,'Sollecitazioni nel paramento'!$G$53)*IF(O2208&lt;0,-1,1)</f>
        <v>613023.76384159853</v>
      </c>
      <c r="V2208" s="472">
        <f t="shared" si="156"/>
        <v>-19208102.627534617</v>
      </c>
      <c r="W2208" s="551"/>
      <c r="X2208" s="551"/>
    </row>
    <row r="2209" spans="1:24" x14ac:dyDescent="0.25">
      <c r="A2209" s="545">
        <f t="shared" si="155"/>
        <v>19630168.313384585</v>
      </c>
      <c r="B2209" s="3">
        <f t="shared" si="153"/>
        <v>51.899999999999942</v>
      </c>
      <c r="C2209" s="545">
        <f>'Foglio deposito bis'!$E$161/sezione!$B$247*B2209</f>
        <v>515.72909214953643</v>
      </c>
      <c r="D2209" s="603">
        <f>-'Sollecitazioni nel paramento'!$G$47*'Sollecitazioni nel paramento'!$G$41*IF(DATI!$G$211="dx",DATI!$E$61,DATI!$E$64*DATI!$E$63)*1000*C2209^2*sezione!$AD$5*(1-sezione!$AD$6)</f>
        <v>-5917617446.6655626</v>
      </c>
      <c r="E2209" s="545">
        <f>-'Foglio deposito bis'!$F$78*(C2209-sezione!$AL$35)*IF(ABS(K2209)&lt;'Sollecitazioni nel paramento'!$G$58,ABS(K2209)*'Sollecitazioni nel paramento'!$G$54,'Sollecitazioni nel paramento'!$G$53)</f>
        <v>0</v>
      </c>
      <c r="F2209" s="545">
        <f>-'Foglio deposito bis'!$F$79*(C2209-sezione!$AM$35)*IF(ABS(L2209)&lt;'Sollecitazioni nel paramento'!$G$58,ABS(L2209)*'Sollecitazioni nel paramento'!$G$54,'Sollecitazioni nel paramento'!$G$53)</f>
        <v>-70029546.257158518</v>
      </c>
      <c r="G2209" s="545">
        <f>-'Foglio deposito bis'!$F$80*(C2209-sezione!$AN$35)*IF(ABS(M2209)&lt;'Sollecitazioni nel paramento'!$G$58,ABS(M2209)*'Sollecitazioni nel paramento'!$G$54,'Sollecitazioni nel paramento'!$G$53)</f>
        <v>0</v>
      </c>
      <c r="H2209" s="545">
        <f>-'Foglio deposito bis'!$F$81*(C2209-sezione!$AO$35)*IF(ABS(N2209)&lt;'Sollecitazioni nel paramento'!$G$58,ABS(N2209)*'Sollecitazioni nel paramento'!$G$54,'Sollecitazioni nel paramento'!$G$53)</f>
        <v>-141686652.69043383</v>
      </c>
      <c r="I2209" s="472">
        <f>-'Foglio deposito bis'!$F$82*(C2209-sezione!$AP$35)*IF(ABS(O2209)&lt;'Sollecitazioni nel paramento'!$G$58,ABS(O2209)*'Sollecitazioni nel paramento'!$G$54,'Sollecitazioni nel paramento'!$G$53)</f>
        <v>101725218.33695887</v>
      </c>
      <c r="J2209" s="472">
        <f t="shared" si="154"/>
        <v>-6027608427.2761955</v>
      </c>
      <c r="K2209" s="550">
        <f>'Sollecitazioni nel paramento'!$G$60*(sezione!$AL$35-C2209)/C2209</f>
        <v>-3.2285396497287247E-3</v>
      </c>
      <c r="L2209" s="550">
        <f>'Sollecitazioni nel paramento'!$G$60*(sezione!$AM$35-C2209)/C2209</f>
        <v>-3.0928094745930872E-3</v>
      </c>
      <c r="M2209" s="551">
        <f>'Sollecitazioni nel paramento'!$G$60*(sezione!$AN$35-C2209)/C2209</f>
        <v>-2.9570792994574493E-3</v>
      </c>
      <c r="N2209" s="551">
        <f>'Sollecitazioni nel paramento'!$G$60*(sezione!$AO$35-C2209)/C2209</f>
        <v>-2.4141585989148986E-3</v>
      </c>
      <c r="O2209" s="551">
        <f>'Sollecitazioni nel paramento'!$G$60*(sezione!$AP$35-C2209)/C2209</f>
        <v>1.2121620004031009E-3</v>
      </c>
      <c r="P2209" s="545">
        <f>-'Sollecitazioni nel paramento'!$G$47*'Sollecitazioni nel paramento'!$G$41*IF(DATI!$G$211="dx",DATI!$E$61,DATI!$E$64*DATI!$E$63)*1000*C2209*sezione!$AD$5</f>
        <v>-19647731.223620884</v>
      </c>
      <c r="Q2209" s="545">
        <f>'Foglio deposito bis'!$F$78*IF(ABS(K2209)&lt;'Sollecitazioni nel paramento'!$G$58,ABS(K2209)*'Sollecitazioni nel paramento'!$G$54,'Sollecitazioni nel paramento'!$G$53)*IF(K2209&lt;0,-1,1)</f>
        <v>0</v>
      </c>
      <c r="R2209" s="545">
        <f>'Foglio deposito bis'!$F$79*IF(ABS(L2209)&lt;'Sollecitazioni nel paramento'!$G$58,ABS(L2209)*'Sollecitazioni nel paramento'!$G$54,'Sollecitazioni nel paramento'!$G$53)*IF(L2209&lt;0,-1,1)</f>
        <v>-153664.85805602249</v>
      </c>
      <c r="S2209" s="545">
        <f>'Foglio deposito bis'!$F$80*IF(ABS(M2209)&lt;'Sollecitazioni nel paramento'!$G$58,ABS(M2209)*'Sollecitazioni nel paramento'!$G$54,'Sollecitazioni nel paramento'!$G$53)*IF(M2209&lt;0,-1,1)</f>
        <v>0</v>
      </c>
      <c r="T2209" s="545">
        <f>'Foglio deposito bis'!$F$81*IF(ABS(N2209)&lt;'Sollecitazioni nel paramento'!$G$58,ABS(N2209)*'Sollecitazioni nel paramento'!$G$54,'Sollecitazioni nel paramento'!$G$53)*IF(N2209&lt;0,-1,1)</f>
        <v>-398299.31208121032</v>
      </c>
      <c r="U2209" s="545">
        <f>'Foglio deposito bis'!$F$82*IF(ABS(O2209)&lt;'Sollecitazioni nel paramento'!$G$58,ABS(O2209)*'Sollecitazioni nel paramento'!$G$54,'Sollecitazioni nel paramento'!$G$53)*IF(O2209&lt;0,-1,1)</f>
        <v>569527.08037353388</v>
      </c>
      <c r="V2209" s="472">
        <f t="shared" si="156"/>
        <v>-19630168.313384585</v>
      </c>
      <c r="W2209" s="551"/>
      <c r="X2209" s="551"/>
    </row>
    <row r="2210" spans="1:24" x14ac:dyDescent="0.25">
      <c r="A2210" s="545">
        <f t="shared" si="155"/>
        <v>20050589.51214692</v>
      </c>
      <c r="B2210" s="3">
        <f t="shared" si="153"/>
        <v>52.899999999999942</v>
      </c>
      <c r="C2210" s="545">
        <f>'Foglio deposito bis'!$E$161/sezione!$B$247*B2210</f>
        <v>525.66606887688783</v>
      </c>
      <c r="D2210" s="603">
        <f>-'Sollecitazioni nel paramento'!$G$47*'Sollecitazioni nel paramento'!$G$41*IF(DATI!$G$211="dx",DATI!$E$61,DATI!$E$64*DATI!$E$63)*1000*C2210^2*sezione!$AD$5*(1-sezione!$AD$6)</f>
        <v>-6147853564.1475134</v>
      </c>
      <c r="E2210" s="545">
        <f>-'Foglio deposito bis'!$F$78*(C2210-sezione!$AL$35)*IF(ABS(K2210)&lt;'Sollecitazioni nel paramento'!$G$58,ABS(K2210)*'Sollecitazioni nel paramento'!$G$54,'Sollecitazioni nel paramento'!$G$53)</f>
        <v>0</v>
      </c>
      <c r="F2210" s="545">
        <f>-'Foglio deposito bis'!$F$79*(C2210-sezione!$AM$35)*IF(ABS(L2210)&lt;'Sollecitazioni nel paramento'!$G$58,ABS(L2210)*'Sollecitazioni nel paramento'!$G$54,'Sollecitazioni nel paramento'!$G$53)</f>
        <v>-71556510.375472963</v>
      </c>
      <c r="G2210" s="545">
        <f>-'Foglio deposito bis'!$F$80*(C2210-sezione!$AN$35)*IF(ABS(M2210)&lt;'Sollecitazioni nel paramento'!$G$58,ABS(M2210)*'Sollecitazioni nel paramento'!$G$54,'Sollecitazioni nel paramento'!$G$53)</f>
        <v>0</v>
      </c>
      <c r="H2210" s="545">
        <f>-'Foglio deposito bis'!$F$81*(C2210-sezione!$AO$35)*IF(ABS(N2210)&lt;'Sollecitazioni nel paramento'!$G$58,ABS(N2210)*'Sollecitazioni nel paramento'!$G$54,'Sollecitazioni nel paramento'!$G$53)</f>
        <v>-145644543.68510491</v>
      </c>
      <c r="I2210" s="472">
        <f>-'Foglio deposito bis'!$F$82*(C2210-sezione!$AP$35)*IF(ABS(O2210)&lt;'Sollecitazioni nel paramento'!$G$58,ABS(O2210)*'Sollecitazioni nel paramento'!$G$54,'Sollecitazioni nel paramento'!$G$53)</f>
        <v>89006358.519070283</v>
      </c>
      <c r="J2210" s="472">
        <f t="shared" si="154"/>
        <v>-6276048259.6890211</v>
      </c>
      <c r="K2210" s="550">
        <f>'Sollecitazioni nel paramento'!$G$60*(sezione!$AL$35-C2210)/C2210</f>
        <v>-3.2336712253482197E-3</v>
      </c>
      <c r="L2210" s="550">
        <f>'Sollecitazioni nel paramento'!$G$60*(sezione!$AM$35-C2210)/C2210</f>
        <v>-3.1005068380223293E-3</v>
      </c>
      <c r="M2210" s="551">
        <f>'Sollecitazioni nel paramento'!$G$60*(sezione!$AN$35-C2210)/C2210</f>
        <v>-2.9673424506964394E-3</v>
      </c>
      <c r="N2210" s="551">
        <f>'Sollecitazioni nel paramento'!$G$60*(sezione!$AO$35-C2210)/C2210</f>
        <v>-2.4346849013928782E-3</v>
      </c>
      <c r="O2210" s="551">
        <f>'Sollecitazioni nel paramento'!$G$60*(sezione!$AP$35-C2210)/C2210</f>
        <v>1.1230852140060664E-3</v>
      </c>
      <c r="P2210" s="545">
        <f>-'Sollecitazioni nel paramento'!$G$47*'Sollecitazioni nel paramento'!$G$41*IF(DATI!$G$211="dx",DATI!$E$61,DATI!$E$64*DATI!$E$63)*1000*C2210*sezione!$AD$5</f>
        <v>-20026300.226002794</v>
      </c>
      <c r="Q2210" s="545">
        <f>'Foglio deposito bis'!$F$78*IF(ABS(K2210)&lt;'Sollecitazioni nel paramento'!$G$58,ABS(K2210)*'Sollecitazioni nel paramento'!$G$54,'Sollecitazioni nel paramento'!$G$53)*IF(K2210&lt;0,-1,1)</f>
        <v>0</v>
      </c>
      <c r="R2210" s="545">
        <f>'Foglio deposito bis'!$F$79*IF(ABS(L2210)&lt;'Sollecitazioni nel paramento'!$G$58,ABS(L2210)*'Sollecitazioni nel paramento'!$G$54,'Sollecitazioni nel paramento'!$G$53)*IF(L2210&lt;0,-1,1)</f>
        <v>-153664.85805602249</v>
      </c>
      <c r="S2210" s="545">
        <f>'Foglio deposito bis'!$F$80*IF(ABS(M2210)&lt;'Sollecitazioni nel paramento'!$G$58,ABS(M2210)*'Sollecitazioni nel paramento'!$G$54,'Sollecitazioni nel paramento'!$G$53)*IF(M2210&lt;0,-1,1)</f>
        <v>0</v>
      </c>
      <c r="T2210" s="545">
        <f>'Foglio deposito bis'!$F$81*IF(ABS(N2210)&lt;'Sollecitazioni nel paramento'!$G$58,ABS(N2210)*'Sollecitazioni nel paramento'!$G$54,'Sollecitazioni nel paramento'!$G$53)*IF(N2210&lt;0,-1,1)</f>
        <v>-398299.31208121032</v>
      </c>
      <c r="U2210" s="545">
        <f>'Foglio deposito bis'!$F$82*IF(ABS(O2210)&lt;'Sollecitazioni nel paramento'!$G$58,ABS(O2210)*'Sollecitazioni nel paramento'!$G$54,'Sollecitazioni nel paramento'!$G$53)*IF(O2210&lt;0,-1,1)</f>
        <v>527674.88399310841</v>
      </c>
      <c r="V2210" s="472">
        <f t="shared" si="156"/>
        <v>-20050589.51214692</v>
      </c>
      <c r="W2210" s="551"/>
      <c r="X2210" s="551"/>
    </row>
    <row r="2211" spans="1:24" x14ac:dyDescent="0.25">
      <c r="A2211" s="545">
        <f t="shared" si="155"/>
        <v>20469457.753715172</v>
      </c>
      <c r="B2211" s="3">
        <f t="shared" si="153"/>
        <v>53.899999999999942</v>
      </c>
      <c r="C2211" s="545">
        <f>'Foglio deposito bis'!$E$161/sezione!$B$247*B2211</f>
        <v>535.60304560423924</v>
      </c>
      <c r="D2211" s="603">
        <f>-'Sollecitazioni nel paramento'!$G$47*'Sollecitazioni nel paramento'!$G$41*IF(DATI!$G$211="dx",DATI!$E$61,DATI!$E$64*DATI!$E$63)*1000*C2211^2*sezione!$AD$5*(1-sezione!$AD$6)</f>
        <v>-6382483500.6653767</v>
      </c>
      <c r="E2211" s="545">
        <f>-'Foglio deposito bis'!$F$78*(C2211-sezione!$AL$35)*IF(ABS(K2211)&lt;'Sollecitazioni nel paramento'!$G$58,ABS(K2211)*'Sollecitazioni nel paramento'!$G$54,'Sollecitazioni nel paramento'!$G$53)</f>
        <v>0</v>
      </c>
      <c r="F2211" s="545">
        <f>-'Foglio deposito bis'!$F$79*(C2211-sezione!$AM$35)*IF(ABS(L2211)&lt;'Sollecitazioni nel paramento'!$G$58,ABS(L2211)*'Sollecitazioni nel paramento'!$G$54,'Sollecitazioni nel paramento'!$G$53)</f>
        <v>-73083474.493787423</v>
      </c>
      <c r="G2211" s="545">
        <f>-'Foglio deposito bis'!$F$80*(C2211-sezione!$AN$35)*IF(ABS(M2211)&lt;'Sollecitazioni nel paramento'!$G$58,ABS(M2211)*'Sollecitazioni nel paramento'!$G$54,'Sollecitazioni nel paramento'!$G$53)</f>
        <v>0</v>
      </c>
      <c r="H2211" s="545">
        <f>-'Foglio deposito bis'!$F$81*(C2211-sezione!$AO$35)*IF(ABS(N2211)&lt;'Sollecitazioni nel paramento'!$G$58,ABS(N2211)*'Sollecitazioni nel paramento'!$G$54,'Sollecitazioni nel paramento'!$G$53)</f>
        <v>-149602434.67977595</v>
      </c>
      <c r="I2211" s="472">
        <f>-'Foglio deposito bis'!$F$82*(C2211-sezione!$AP$35)*IF(ABS(O2211)&lt;'Sollecitazioni nel paramento'!$G$58,ABS(O2211)*'Sollecitazioni nel paramento'!$G$54,'Sollecitazioni nel paramento'!$G$53)</f>
        <v>77365783.006182939</v>
      </c>
      <c r="J2211" s="472">
        <f t="shared" si="154"/>
        <v>-6527803626.8327579</v>
      </c>
      <c r="K2211" s="550">
        <f>'Sollecitazioni nel paramento'!$G$60*(sezione!$AL$35-C2211)/C2211</f>
        <v>-3.238612389998531E-3</v>
      </c>
      <c r="L2211" s="550">
        <f>'Sollecitazioni nel paramento'!$G$60*(sezione!$AM$35-C2211)/C2211</f>
        <v>-3.1079185849977962E-3</v>
      </c>
      <c r="M2211" s="551">
        <f>'Sollecitazioni nel paramento'!$G$60*(sezione!$AN$35-C2211)/C2211</f>
        <v>-2.9772247799970614E-3</v>
      </c>
      <c r="N2211" s="551">
        <f>'Sollecitazioni nel paramento'!$G$60*(sezione!$AO$35-C2211)/C2211</f>
        <v>-2.4544495599941236E-3</v>
      </c>
      <c r="O2211" s="551">
        <f>'Sollecitazioni nel paramento'!$G$60*(sezione!$AP$35-C2211)/C2211</f>
        <v>1.0373136886998313E-3</v>
      </c>
      <c r="P2211" s="545">
        <f>-'Sollecitazioni nel paramento'!$G$47*'Sollecitazioni nel paramento'!$G$41*IF(DATI!$G$211="dx",DATI!$E$61,DATI!$E$64*DATI!$E$63)*1000*C2211*sezione!$AD$5</f>
        <v>-20404869.2283847</v>
      </c>
      <c r="Q2211" s="545">
        <f>'Foglio deposito bis'!$F$78*IF(ABS(K2211)&lt;'Sollecitazioni nel paramento'!$G$58,ABS(K2211)*'Sollecitazioni nel paramento'!$G$54,'Sollecitazioni nel paramento'!$G$53)*IF(K2211&lt;0,-1,1)</f>
        <v>0</v>
      </c>
      <c r="R2211" s="545">
        <f>'Foglio deposito bis'!$F$79*IF(ABS(L2211)&lt;'Sollecitazioni nel paramento'!$G$58,ABS(L2211)*'Sollecitazioni nel paramento'!$G$54,'Sollecitazioni nel paramento'!$G$53)*IF(L2211&lt;0,-1,1)</f>
        <v>-153664.85805602249</v>
      </c>
      <c r="S2211" s="545">
        <f>'Foglio deposito bis'!$F$80*IF(ABS(M2211)&lt;'Sollecitazioni nel paramento'!$G$58,ABS(M2211)*'Sollecitazioni nel paramento'!$G$54,'Sollecitazioni nel paramento'!$G$53)*IF(M2211&lt;0,-1,1)</f>
        <v>0</v>
      </c>
      <c r="T2211" s="545">
        <f>'Foglio deposito bis'!$F$81*IF(ABS(N2211)&lt;'Sollecitazioni nel paramento'!$G$58,ABS(N2211)*'Sollecitazioni nel paramento'!$G$54,'Sollecitazioni nel paramento'!$G$53)*IF(N2211&lt;0,-1,1)</f>
        <v>-398299.31208121032</v>
      </c>
      <c r="U2211" s="545">
        <f>'Foglio deposito bis'!$F$82*IF(ABS(O2211)&lt;'Sollecitazioni nel paramento'!$G$58,ABS(O2211)*'Sollecitazioni nel paramento'!$G$54,'Sollecitazioni nel paramento'!$G$53)*IF(O2211&lt;0,-1,1)</f>
        <v>487375.64480676193</v>
      </c>
      <c r="V2211" s="472">
        <f t="shared" si="156"/>
        <v>-20469457.753715172</v>
      </c>
      <c r="W2211" s="551"/>
      <c r="X2211" s="551"/>
    </row>
    <row r="2212" spans="1:24" x14ac:dyDescent="0.25">
      <c r="A2212" s="545">
        <f t="shared" si="155"/>
        <v>20886857.899138201</v>
      </c>
      <c r="B2212" s="3">
        <f t="shared" si="153"/>
        <v>54.899999999999942</v>
      </c>
      <c r="C2212" s="545">
        <f>'Foglio deposito bis'!$E$161/sezione!$B$247*B2212</f>
        <v>545.54002233159065</v>
      </c>
      <c r="D2212" s="603">
        <f>-'Sollecitazioni nel paramento'!$G$47*'Sollecitazioni nel paramento'!$G$41*IF(DATI!$G$211="dx",DATI!$E$61,DATI!$E$64*DATI!$E$63)*1000*C2212^2*sezione!$AD$5*(1-sezione!$AD$6)</f>
        <v>-6621507256.2191553</v>
      </c>
      <c r="E2212" s="545">
        <f>-'Foglio deposito bis'!$F$78*(C2212-sezione!$AL$35)*IF(ABS(K2212)&lt;'Sollecitazioni nel paramento'!$G$58,ABS(K2212)*'Sollecitazioni nel paramento'!$G$54,'Sollecitazioni nel paramento'!$G$53)</f>
        <v>0</v>
      </c>
      <c r="F2212" s="545">
        <f>-'Foglio deposito bis'!$F$79*(C2212-sezione!$AM$35)*IF(ABS(L2212)&lt;'Sollecitazioni nel paramento'!$G$58,ABS(L2212)*'Sollecitazioni nel paramento'!$G$54,'Sollecitazioni nel paramento'!$G$53)</f>
        <v>-74610438.612101868</v>
      </c>
      <c r="G2212" s="545">
        <f>-'Foglio deposito bis'!$F$80*(C2212-sezione!$AN$35)*IF(ABS(M2212)&lt;'Sollecitazioni nel paramento'!$G$58,ABS(M2212)*'Sollecitazioni nel paramento'!$G$54,'Sollecitazioni nel paramento'!$G$53)</f>
        <v>0</v>
      </c>
      <c r="H2212" s="545">
        <f>-'Foglio deposito bis'!$F$81*(C2212-sezione!$AO$35)*IF(ABS(N2212)&lt;'Sollecitazioni nel paramento'!$G$58,ABS(N2212)*'Sollecitazioni nel paramento'!$G$54,'Sollecitazioni nel paramento'!$G$53)</f>
        <v>-153560325.67444703</v>
      </c>
      <c r="I2212" s="472">
        <f>-'Foglio deposito bis'!$F$82*(C2212-sezione!$AP$35)*IF(ABS(O2212)&lt;'Sollecitazioni nel paramento'!$G$58,ABS(O2212)*'Sollecitazioni nel paramento'!$G$54,'Sollecitazioni nel paramento'!$G$53)</f>
        <v>66744569.158679202</v>
      </c>
      <c r="J2212" s="472">
        <f t="shared" si="154"/>
        <v>-6782933451.3470249</v>
      </c>
      <c r="K2212" s="550">
        <f>'Sollecitazioni nel paramento'!$G$60*(sezione!$AL$35-C2212)/C2212</f>
        <v>-3.2433735486506526E-3</v>
      </c>
      <c r="L2212" s="550">
        <f>'Sollecitazioni nel paramento'!$G$60*(sezione!$AM$35-C2212)/C2212</f>
        <v>-3.1150603229759787E-3</v>
      </c>
      <c r="M2212" s="551">
        <f>'Sollecitazioni nel paramento'!$G$60*(sezione!$AN$35-C2212)/C2212</f>
        <v>-2.9867470973013047E-3</v>
      </c>
      <c r="N2212" s="551">
        <f>'Sollecitazioni nel paramento'!$G$60*(sezione!$AO$35-C2212)/C2212</f>
        <v>-2.4734941946026093E-3</v>
      </c>
      <c r="O2212" s="551">
        <f>'Sollecitazioni nel paramento'!$G$60*(sezione!$AP$35-C2212)/C2212</f>
        <v>9.5466680912424196E-4</v>
      </c>
      <c r="P2212" s="545">
        <f>-'Sollecitazioni nel paramento'!$G$47*'Sollecitazioni nel paramento'!$G$41*IF(DATI!$G$211="dx",DATI!$E$61,DATI!$E$64*DATI!$E$63)*1000*C2212*sezione!$AD$5</f>
        <v>-20783438.230766606</v>
      </c>
      <c r="Q2212" s="545">
        <f>'Foglio deposito bis'!$F$78*IF(ABS(K2212)&lt;'Sollecitazioni nel paramento'!$G$58,ABS(K2212)*'Sollecitazioni nel paramento'!$G$54,'Sollecitazioni nel paramento'!$G$53)*IF(K2212&lt;0,-1,1)</f>
        <v>0</v>
      </c>
      <c r="R2212" s="545">
        <f>'Foglio deposito bis'!$F$79*IF(ABS(L2212)&lt;'Sollecitazioni nel paramento'!$G$58,ABS(L2212)*'Sollecitazioni nel paramento'!$G$54,'Sollecitazioni nel paramento'!$G$53)*IF(L2212&lt;0,-1,1)</f>
        <v>-153664.85805602249</v>
      </c>
      <c r="S2212" s="545">
        <f>'Foglio deposito bis'!$F$80*IF(ABS(M2212)&lt;'Sollecitazioni nel paramento'!$G$58,ABS(M2212)*'Sollecitazioni nel paramento'!$G$54,'Sollecitazioni nel paramento'!$G$53)*IF(M2212&lt;0,-1,1)</f>
        <v>0</v>
      </c>
      <c r="T2212" s="545">
        <f>'Foglio deposito bis'!$F$81*IF(ABS(N2212)&lt;'Sollecitazioni nel paramento'!$G$58,ABS(N2212)*'Sollecitazioni nel paramento'!$G$54,'Sollecitazioni nel paramento'!$G$53)*IF(N2212&lt;0,-1,1)</f>
        <v>-398299.31208121032</v>
      </c>
      <c r="U2212" s="545">
        <f>'Foglio deposito bis'!$F$82*IF(ABS(O2212)&lt;'Sollecitazioni nel paramento'!$G$58,ABS(O2212)*'Sollecitazioni nel paramento'!$G$54,'Sollecitazioni nel paramento'!$G$53)*IF(O2212&lt;0,-1,1)</f>
        <v>448544.50176563743</v>
      </c>
      <c r="V2212" s="472">
        <f t="shared" si="156"/>
        <v>-20886857.899138201</v>
      </c>
      <c r="W2212" s="551"/>
      <c r="X2212" s="551"/>
    </row>
    <row r="2213" spans="1:24" x14ac:dyDescent="0.25">
      <c r="A2213" s="545">
        <f t="shared" si="155"/>
        <v>21302868.737117898</v>
      </c>
      <c r="B2213" s="3">
        <f t="shared" si="153"/>
        <v>55.899999999999942</v>
      </c>
      <c r="C2213" s="545">
        <f>'Foglio deposito bis'!$E$161/sezione!$B$247*B2213</f>
        <v>555.47699905894194</v>
      </c>
      <c r="D2213" s="603">
        <f>-'Sollecitazioni nel paramento'!$G$47*'Sollecitazioni nel paramento'!$G$41*IF(DATI!$G$211="dx",DATI!$E$61,DATI!$E$64*DATI!$E$63)*1000*C2213^2*sezione!$AD$5*(1-sezione!$AD$6)</f>
        <v>-6864924830.8088474</v>
      </c>
      <c r="E2213" s="545">
        <f>-'Foglio deposito bis'!$F$78*(C2213-sezione!$AL$35)*IF(ABS(K2213)&lt;'Sollecitazioni nel paramento'!$G$58,ABS(K2213)*'Sollecitazioni nel paramento'!$G$54,'Sollecitazioni nel paramento'!$G$53)</f>
        <v>0</v>
      </c>
      <c r="F2213" s="545">
        <f>-'Foglio deposito bis'!$F$79*(C2213-sezione!$AM$35)*IF(ABS(L2213)&lt;'Sollecitazioni nel paramento'!$G$58,ABS(L2213)*'Sollecitazioni nel paramento'!$G$54,'Sollecitazioni nel paramento'!$G$53)</f>
        <v>-76137402.730416313</v>
      </c>
      <c r="G2213" s="545">
        <f>-'Foglio deposito bis'!$F$80*(C2213-sezione!$AN$35)*IF(ABS(M2213)&lt;'Sollecitazioni nel paramento'!$G$58,ABS(M2213)*'Sollecitazioni nel paramento'!$G$54,'Sollecitazioni nel paramento'!$G$53)</f>
        <v>0</v>
      </c>
      <c r="H2213" s="545">
        <f>-'Foglio deposito bis'!$F$81*(C2213-sezione!$AO$35)*IF(ABS(N2213)&lt;'Sollecitazioni nel paramento'!$G$58,ABS(N2213)*'Sollecitazioni nel paramento'!$G$54,'Sollecitazioni nel paramento'!$G$53)</f>
        <v>-157518216.66911805</v>
      </c>
      <c r="I2213" s="472">
        <f>-'Foglio deposito bis'!$F$82*(C2213-sezione!$AP$35)*IF(ABS(O2213)&lt;'Sollecitazioni nel paramento'!$G$58,ABS(O2213)*'Sollecitazioni nel paramento'!$G$54,'Sollecitazioni nel paramento'!$G$53)</f>
        <v>57088010.626001962</v>
      </c>
      <c r="J2213" s="472">
        <f t="shared" si="154"/>
        <v>-7041492439.5823793</v>
      </c>
      <c r="K2213" s="550">
        <f>'Sollecitazioni nel paramento'!$G$60*(sezione!$AL$35-C2213)/C2213</f>
        <v>-3.2479643617338251E-3</v>
      </c>
      <c r="L2213" s="550">
        <f>'Sollecitazioni nel paramento'!$G$60*(sezione!$AM$35-C2213)/C2213</f>
        <v>-3.1219465426007374E-3</v>
      </c>
      <c r="M2213" s="551">
        <f>'Sollecitazioni nel paramento'!$G$60*(sezione!$AN$35-C2213)/C2213</f>
        <v>-2.9959287234676496E-3</v>
      </c>
      <c r="N2213" s="551">
        <f>'Sollecitazioni nel paramento'!$G$60*(sezione!$AO$35-C2213)/C2213</f>
        <v>-2.4918574469352992E-3</v>
      </c>
      <c r="O2213" s="551">
        <f>'Sollecitazioni nel paramento'!$G$60*(sezione!$AP$35-C2213)/C2213</f>
        <v>8.7497688409518646E-4</v>
      </c>
      <c r="P2213" s="545">
        <f>-'Sollecitazioni nel paramento'!$G$47*'Sollecitazioni nel paramento'!$G$41*IF(DATI!$G$211="dx",DATI!$E$61,DATI!$E$64*DATI!$E$63)*1000*C2213*sezione!$AD$5</f>
        <v>-21162007.233148508</v>
      </c>
      <c r="Q2213" s="545">
        <f>'Foglio deposito bis'!$F$78*IF(ABS(K2213)&lt;'Sollecitazioni nel paramento'!$G$58,ABS(K2213)*'Sollecitazioni nel paramento'!$G$54,'Sollecitazioni nel paramento'!$G$53)*IF(K2213&lt;0,-1,1)</f>
        <v>0</v>
      </c>
      <c r="R2213" s="545">
        <f>'Foglio deposito bis'!$F$79*IF(ABS(L2213)&lt;'Sollecitazioni nel paramento'!$G$58,ABS(L2213)*'Sollecitazioni nel paramento'!$G$54,'Sollecitazioni nel paramento'!$G$53)*IF(L2213&lt;0,-1,1)</f>
        <v>-153664.85805602249</v>
      </c>
      <c r="S2213" s="545">
        <f>'Foglio deposito bis'!$F$80*IF(ABS(M2213)&lt;'Sollecitazioni nel paramento'!$G$58,ABS(M2213)*'Sollecitazioni nel paramento'!$G$54,'Sollecitazioni nel paramento'!$G$53)*IF(M2213&lt;0,-1,1)</f>
        <v>0</v>
      </c>
      <c r="T2213" s="545">
        <f>'Foglio deposito bis'!$F$81*IF(ABS(N2213)&lt;'Sollecitazioni nel paramento'!$G$58,ABS(N2213)*'Sollecitazioni nel paramento'!$G$54,'Sollecitazioni nel paramento'!$G$53)*IF(N2213&lt;0,-1,1)</f>
        <v>-398299.31208121032</v>
      </c>
      <c r="U2213" s="545">
        <f>'Foglio deposito bis'!$F$82*IF(ABS(O2213)&lt;'Sollecitazioni nel paramento'!$G$58,ABS(O2213)*'Sollecitazioni nel paramento'!$G$54,'Sollecitazioni nel paramento'!$G$53)*IF(O2213&lt;0,-1,1)</f>
        <v>411102.66616784525</v>
      </c>
      <c r="V2213" s="472">
        <f t="shared" si="156"/>
        <v>-21302868.737117898</v>
      </c>
      <c r="W2213" s="551"/>
      <c r="X2213" s="551"/>
    </row>
    <row r="2214" spans="1:24" x14ac:dyDescent="0.25">
      <c r="A2214" s="545">
        <f t="shared" si="155"/>
        <v>21717563.517607339</v>
      </c>
      <c r="B2214" s="3">
        <f t="shared" si="153"/>
        <v>56.899999999999942</v>
      </c>
      <c r="C2214" s="545">
        <f>'Foglio deposito bis'!$E$161/sezione!$B$247*B2214</f>
        <v>565.41397578629335</v>
      </c>
      <c r="D2214" s="603">
        <f>-'Sollecitazioni nel paramento'!$G$47*'Sollecitazioni nel paramento'!$G$41*IF(DATI!$G$211="dx",DATI!$E$61,DATI!$E$64*DATI!$E$63)*1000*C2214^2*sezione!$AD$5*(1-sezione!$AD$6)</f>
        <v>-7112736224.4344559</v>
      </c>
      <c r="E2214" s="545">
        <f>-'Foglio deposito bis'!$F$78*(C2214-sezione!$AL$35)*IF(ABS(K2214)&lt;'Sollecitazioni nel paramento'!$G$58,ABS(K2214)*'Sollecitazioni nel paramento'!$G$54,'Sollecitazioni nel paramento'!$G$53)</f>
        <v>0</v>
      </c>
      <c r="F2214" s="545">
        <f>-'Foglio deposito bis'!$F$79*(C2214-sezione!$AM$35)*IF(ABS(L2214)&lt;'Sollecitazioni nel paramento'!$G$58,ABS(L2214)*'Sollecitazioni nel paramento'!$G$54,'Sollecitazioni nel paramento'!$G$53)</f>
        <v>-77664366.848730758</v>
      </c>
      <c r="G2214" s="545">
        <f>-'Foglio deposito bis'!$F$80*(C2214-sezione!$AN$35)*IF(ABS(M2214)&lt;'Sollecitazioni nel paramento'!$G$58,ABS(M2214)*'Sollecitazioni nel paramento'!$G$54,'Sollecitazioni nel paramento'!$G$53)</f>
        <v>0</v>
      </c>
      <c r="H2214" s="545">
        <f>-'Foglio deposito bis'!$F$81*(C2214-sezione!$AO$35)*IF(ABS(N2214)&lt;'Sollecitazioni nel paramento'!$G$58,ABS(N2214)*'Sollecitazioni nel paramento'!$G$54,'Sollecitazioni nel paramento'!$G$53)</f>
        <v>-161476107.66378909</v>
      </c>
      <c r="I2214" s="472">
        <f>-'Foglio deposito bis'!$F$82*(C2214-sezione!$AP$35)*IF(ABS(O2214)&lt;'Sollecitazioni nel paramento'!$G$58,ABS(O2214)*'Sollecitazioni nel paramento'!$G$54,'Sollecitazioni nel paramento'!$G$53)</f>
        <v>48345246.84673661</v>
      </c>
      <c r="J2214" s="472">
        <f t="shared" si="154"/>
        <v>-7303531452.1002388</v>
      </c>
      <c r="K2214" s="550">
        <f>'Sollecitazioni nel paramento'!$G$60*(sezione!$AL$35-C2214)/C2214</f>
        <v>-3.2523938105609987E-3</v>
      </c>
      <c r="L2214" s="550">
        <f>'Sollecitazioni nel paramento'!$G$60*(sezione!$AM$35-C2214)/C2214</f>
        <v>-3.1285907158414977E-3</v>
      </c>
      <c r="M2214" s="551">
        <f>'Sollecitazioni nel paramento'!$G$60*(sezione!$AN$35-C2214)/C2214</f>
        <v>-3.0047876211219968E-3</v>
      </c>
      <c r="N2214" s="551">
        <f>'Sollecitazioni nel paramento'!$G$60*(sezione!$AO$35-C2214)/C2214</f>
        <v>-2.5095752422439935E-3</v>
      </c>
      <c r="O2214" s="551">
        <f>'Sollecitazioni nel paramento'!$G$60*(sezione!$AP$35-C2214)/C2214</f>
        <v>7.9808801091249407E-4</v>
      </c>
      <c r="P2214" s="545">
        <f>-'Sollecitazioni nel paramento'!$G$47*'Sollecitazioni nel paramento'!$G$41*IF(DATI!$G$211="dx",DATI!$E$61,DATI!$E$64*DATI!$E$63)*1000*C2214*sezione!$AD$5</f>
        <v>-21540576.235530414</v>
      </c>
      <c r="Q2214" s="545">
        <f>'Foglio deposito bis'!$F$78*IF(ABS(K2214)&lt;'Sollecitazioni nel paramento'!$G$58,ABS(K2214)*'Sollecitazioni nel paramento'!$G$54,'Sollecitazioni nel paramento'!$G$53)*IF(K2214&lt;0,-1,1)</f>
        <v>0</v>
      </c>
      <c r="R2214" s="545">
        <f>'Foglio deposito bis'!$F$79*IF(ABS(L2214)&lt;'Sollecitazioni nel paramento'!$G$58,ABS(L2214)*'Sollecitazioni nel paramento'!$G$54,'Sollecitazioni nel paramento'!$G$53)*IF(L2214&lt;0,-1,1)</f>
        <v>-153664.85805602249</v>
      </c>
      <c r="S2214" s="545">
        <f>'Foglio deposito bis'!$F$80*IF(ABS(M2214)&lt;'Sollecitazioni nel paramento'!$G$58,ABS(M2214)*'Sollecitazioni nel paramento'!$G$54,'Sollecitazioni nel paramento'!$G$53)*IF(M2214&lt;0,-1,1)</f>
        <v>0</v>
      </c>
      <c r="T2214" s="545">
        <f>'Foglio deposito bis'!$F$81*IF(ABS(N2214)&lt;'Sollecitazioni nel paramento'!$G$58,ABS(N2214)*'Sollecitazioni nel paramento'!$G$54,'Sollecitazioni nel paramento'!$G$53)*IF(N2214&lt;0,-1,1)</f>
        <v>-398299.31208121032</v>
      </c>
      <c r="U2214" s="545">
        <f>'Foglio deposito bis'!$F$82*IF(ABS(O2214)&lt;'Sollecitazioni nel paramento'!$G$58,ABS(O2214)*'Sollecitazioni nel paramento'!$G$54,'Sollecitazioni nel paramento'!$G$53)*IF(O2214&lt;0,-1,1)</f>
        <v>374976.88806030899</v>
      </c>
      <c r="V2214" s="472">
        <f t="shared" si="156"/>
        <v>-21717563.517607339</v>
      </c>
      <c r="W2214" s="551"/>
      <c r="X2214" s="551"/>
    </row>
    <row r="2215" spans="1:24" x14ac:dyDescent="0.25">
      <c r="A2215" s="545">
        <f t="shared" si="155"/>
        <v>22131010.430113792</v>
      </c>
      <c r="B2215" s="3">
        <f t="shared" si="153"/>
        <v>57.899999999999942</v>
      </c>
      <c r="C2215" s="545">
        <f>'Foglio deposito bis'!$E$161/sezione!$B$247*B2215</f>
        <v>575.35095251364476</v>
      </c>
      <c r="D2215" s="603">
        <f>-'Sollecitazioni nel paramento'!$G$47*'Sollecitazioni nel paramento'!$G$41*IF(DATI!$G$211="dx",DATI!$E$61,DATI!$E$64*DATI!$E$63)*1000*C2215^2*sezione!$AD$5*(1-sezione!$AD$6)</f>
        <v>-7364941437.0959806</v>
      </c>
      <c r="E2215" s="545">
        <f>-'Foglio deposito bis'!$F$78*(C2215-sezione!$AL$35)*IF(ABS(K2215)&lt;'Sollecitazioni nel paramento'!$G$58,ABS(K2215)*'Sollecitazioni nel paramento'!$G$54,'Sollecitazioni nel paramento'!$G$53)</f>
        <v>0</v>
      </c>
      <c r="F2215" s="545">
        <f>-'Foglio deposito bis'!$F$79*(C2215-sezione!$AM$35)*IF(ABS(L2215)&lt;'Sollecitazioni nel paramento'!$G$58,ABS(L2215)*'Sollecitazioni nel paramento'!$G$54,'Sollecitazioni nel paramento'!$G$53)</f>
        <v>-79191330.967045218</v>
      </c>
      <c r="G2215" s="545">
        <f>-'Foglio deposito bis'!$F$80*(C2215-sezione!$AN$35)*IF(ABS(M2215)&lt;'Sollecitazioni nel paramento'!$G$58,ABS(M2215)*'Sollecitazioni nel paramento'!$G$54,'Sollecitazioni nel paramento'!$G$53)</f>
        <v>0</v>
      </c>
      <c r="H2215" s="545">
        <f>-'Foglio deposito bis'!$F$81*(C2215-sezione!$AO$35)*IF(ABS(N2215)&lt;'Sollecitazioni nel paramento'!$G$58,ABS(N2215)*'Sollecitazioni nel paramento'!$G$54,'Sollecitazioni nel paramento'!$G$53)</f>
        <v>-165433998.65846017</v>
      </c>
      <c r="I2215" s="472">
        <f>-'Foglio deposito bis'!$F$82*(C2215-sezione!$AP$35)*IF(ABS(O2215)&lt;'Sollecitazioni nel paramento'!$G$58,ABS(O2215)*'Sollecitazioni nel paramento'!$G$54,'Sollecitazioni nel paramento'!$G$53)</f>
        <v>40468930.942468092</v>
      </c>
      <c r="J2215" s="472">
        <f t="shared" si="154"/>
        <v>-7569097835.7790184</v>
      </c>
      <c r="K2215" s="550">
        <f>'Sollecitazioni nel paramento'!$G$60*(sezione!$AL$35-C2215)/C2215</f>
        <v>-3.2566702559744527E-3</v>
      </c>
      <c r="L2215" s="550">
        <f>'Sollecitazioni nel paramento'!$G$60*(sezione!$AM$35-C2215)/C2215</f>
        <v>-3.1350053839616795E-3</v>
      </c>
      <c r="M2215" s="551">
        <f>'Sollecitazioni nel paramento'!$G$60*(sezione!$AN$35-C2215)/C2215</f>
        <v>-3.0133405119489053E-3</v>
      </c>
      <c r="N2215" s="551">
        <f>'Sollecitazioni nel paramento'!$G$60*(sezione!$AO$35-C2215)/C2215</f>
        <v>-2.5266810238978111E-3</v>
      </c>
      <c r="O2215" s="551">
        <f>'Sollecitazioni nel paramento'!$G$60*(sezione!$AP$35-C2215)/C2215</f>
        <v>7.2385505735614677E-4</v>
      </c>
      <c r="P2215" s="545">
        <f>-'Sollecitazioni nel paramento'!$G$47*'Sollecitazioni nel paramento'!$G$41*IF(DATI!$G$211="dx",DATI!$E$61,DATI!$E$64*DATI!$E$63)*1000*C2215*sezione!$AD$5</f>
        <v>-21919145.23791232</v>
      </c>
      <c r="Q2215" s="545">
        <f>'Foglio deposito bis'!$F$78*IF(ABS(K2215)&lt;'Sollecitazioni nel paramento'!$G$58,ABS(K2215)*'Sollecitazioni nel paramento'!$G$54,'Sollecitazioni nel paramento'!$G$53)*IF(K2215&lt;0,-1,1)</f>
        <v>0</v>
      </c>
      <c r="R2215" s="545">
        <f>'Foglio deposito bis'!$F$79*IF(ABS(L2215)&lt;'Sollecitazioni nel paramento'!$G$58,ABS(L2215)*'Sollecitazioni nel paramento'!$G$54,'Sollecitazioni nel paramento'!$G$53)*IF(L2215&lt;0,-1,1)</f>
        <v>-153664.85805602249</v>
      </c>
      <c r="S2215" s="545">
        <f>'Foglio deposito bis'!$F$80*IF(ABS(M2215)&lt;'Sollecitazioni nel paramento'!$G$58,ABS(M2215)*'Sollecitazioni nel paramento'!$G$54,'Sollecitazioni nel paramento'!$G$53)*IF(M2215&lt;0,-1,1)</f>
        <v>0</v>
      </c>
      <c r="T2215" s="545">
        <f>'Foglio deposito bis'!$F$81*IF(ABS(N2215)&lt;'Sollecitazioni nel paramento'!$G$58,ABS(N2215)*'Sollecitazioni nel paramento'!$G$54,'Sollecitazioni nel paramento'!$G$53)*IF(N2215&lt;0,-1,1)</f>
        <v>-398299.31208121032</v>
      </c>
      <c r="U2215" s="545">
        <f>'Foglio deposito bis'!$F$82*IF(ABS(O2215)&lt;'Sollecitazioni nel paramento'!$G$58,ABS(O2215)*'Sollecitazioni nel paramento'!$G$54,'Sollecitazioni nel paramento'!$G$53)*IF(O2215&lt;0,-1,1)</f>
        <v>340098.97793576185</v>
      </c>
      <c r="V2215" s="472">
        <f t="shared" si="156"/>
        <v>-22131010.430113792</v>
      </c>
      <c r="W2215" s="551"/>
      <c r="X2215" s="551"/>
    </row>
    <row r="2216" spans="1:24" x14ac:dyDescent="0.25">
      <c r="A2216" s="545">
        <f t="shared" si="155"/>
        <v>22543273.033278156</v>
      </c>
      <c r="B2216" s="3">
        <f t="shared" si="153"/>
        <v>58.899999999999942</v>
      </c>
      <c r="C2216" s="545">
        <f>'Foglio deposito bis'!$E$161/sezione!$B$247*B2216</f>
        <v>585.28792924099616</v>
      </c>
      <c r="D2216" s="603">
        <f>-'Sollecitazioni nel paramento'!$G$47*'Sollecitazioni nel paramento'!$G$41*IF(DATI!$G$211="dx",DATI!$E$61,DATI!$E$64*DATI!$E$63)*1000*C2216^2*sezione!$AD$5*(1-sezione!$AD$6)</f>
        <v>-7621540468.7934198</v>
      </c>
      <c r="E2216" s="545">
        <f>-'Foglio deposito bis'!$F$78*(C2216-sezione!$AL$35)*IF(ABS(K2216)&lt;'Sollecitazioni nel paramento'!$G$58,ABS(K2216)*'Sollecitazioni nel paramento'!$G$54,'Sollecitazioni nel paramento'!$G$53)</f>
        <v>0</v>
      </c>
      <c r="F2216" s="545">
        <f>-'Foglio deposito bis'!$F$79*(C2216-sezione!$AM$35)*IF(ABS(L2216)&lt;'Sollecitazioni nel paramento'!$G$58,ABS(L2216)*'Sollecitazioni nel paramento'!$G$54,'Sollecitazioni nel paramento'!$G$53)</f>
        <v>-80718295.085359663</v>
      </c>
      <c r="G2216" s="545">
        <f>-'Foglio deposito bis'!$F$80*(C2216-sezione!$AN$35)*IF(ABS(M2216)&lt;'Sollecitazioni nel paramento'!$G$58,ABS(M2216)*'Sollecitazioni nel paramento'!$G$54,'Sollecitazioni nel paramento'!$G$53)</f>
        <v>0</v>
      </c>
      <c r="H2216" s="545">
        <f>-'Foglio deposito bis'!$F$81*(C2216-sezione!$AO$35)*IF(ABS(N2216)&lt;'Sollecitazioni nel paramento'!$G$58,ABS(N2216)*'Sollecitazioni nel paramento'!$G$54,'Sollecitazioni nel paramento'!$G$53)</f>
        <v>-169391889.65313122</v>
      </c>
      <c r="I2216" s="472">
        <f>-'Foglio deposito bis'!$F$82*(C2216-sezione!$AP$35)*IF(ABS(O2216)&lt;'Sollecitazioni nel paramento'!$G$58,ABS(O2216)*'Sollecitazioni nel paramento'!$G$54,'Sollecitazioni nel paramento'!$G$53)</f>
        <v>33414931.442483526</v>
      </c>
      <c r="J2216" s="472">
        <f t="shared" si="154"/>
        <v>-7838235722.089427</v>
      </c>
      <c r="K2216" s="550">
        <f>'Sollecitazioni nel paramento'!$G$60*(sezione!$AL$35-C2216)/C2216</f>
        <v>-3.2608014910173312E-3</v>
      </c>
      <c r="L2216" s="550">
        <f>'Sollecitazioni nel paramento'!$G$60*(sezione!$AM$35-C2216)/C2216</f>
        <v>-3.1412022365259968E-3</v>
      </c>
      <c r="M2216" s="551">
        <f>'Sollecitazioni nel paramento'!$G$60*(sezione!$AN$35-C2216)/C2216</f>
        <v>-3.0216029820346628E-3</v>
      </c>
      <c r="N2216" s="551">
        <f>'Sollecitazioni nel paramento'!$G$60*(sezione!$AO$35-C2216)/C2216</f>
        <v>-2.543205964069325E-3</v>
      </c>
      <c r="O2216" s="551">
        <f>'Sollecitazioni nel paramento'!$G$60*(sezione!$AP$35-C2216)/C2216</f>
        <v>6.5214274738405588E-4</v>
      </c>
      <c r="P2216" s="545">
        <f>-'Sollecitazioni nel paramento'!$G$47*'Sollecitazioni nel paramento'!$G$41*IF(DATI!$G$211="dx",DATI!$E$61,DATI!$E$64*DATI!$E$63)*1000*C2216*sezione!$AD$5</f>
        <v>-22297714.240294226</v>
      </c>
      <c r="Q2216" s="545">
        <f>'Foglio deposito bis'!$F$78*IF(ABS(K2216)&lt;'Sollecitazioni nel paramento'!$G$58,ABS(K2216)*'Sollecitazioni nel paramento'!$G$54,'Sollecitazioni nel paramento'!$G$53)*IF(K2216&lt;0,-1,1)</f>
        <v>0</v>
      </c>
      <c r="R2216" s="545">
        <f>'Foglio deposito bis'!$F$79*IF(ABS(L2216)&lt;'Sollecitazioni nel paramento'!$G$58,ABS(L2216)*'Sollecitazioni nel paramento'!$G$54,'Sollecitazioni nel paramento'!$G$53)*IF(L2216&lt;0,-1,1)</f>
        <v>-153664.85805602249</v>
      </c>
      <c r="S2216" s="545">
        <f>'Foglio deposito bis'!$F$80*IF(ABS(M2216)&lt;'Sollecitazioni nel paramento'!$G$58,ABS(M2216)*'Sollecitazioni nel paramento'!$G$54,'Sollecitazioni nel paramento'!$G$53)*IF(M2216&lt;0,-1,1)</f>
        <v>0</v>
      </c>
      <c r="T2216" s="545">
        <f>'Foglio deposito bis'!$F$81*IF(ABS(N2216)&lt;'Sollecitazioni nel paramento'!$G$58,ABS(N2216)*'Sollecitazioni nel paramento'!$G$54,'Sollecitazioni nel paramento'!$G$53)*IF(N2216&lt;0,-1,1)</f>
        <v>-398299.31208121032</v>
      </c>
      <c r="U2216" s="545">
        <f>'Foglio deposito bis'!$F$82*IF(ABS(O2216)&lt;'Sollecitazioni nel paramento'!$G$58,ABS(O2216)*'Sollecitazioni nel paramento'!$G$54,'Sollecitazioni nel paramento'!$G$53)*IF(O2216&lt;0,-1,1)</f>
        <v>306405.37715330464</v>
      </c>
      <c r="V2216" s="472">
        <f t="shared" si="156"/>
        <v>-22543273.033278156</v>
      </c>
      <c r="W2216" s="551"/>
      <c r="X2216" s="551"/>
    </row>
    <row r="2217" spans="1:24" x14ac:dyDescent="0.25">
      <c r="A2217" s="545">
        <f t="shared" si="155"/>
        <v>22954410.641424742</v>
      </c>
      <c r="B2217" s="3">
        <f t="shared" si="153"/>
        <v>59.899999999999942</v>
      </c>
      <c r="C2217" s="545">
        <f>'Foglio deposito bis'!$E$161/sezione!$B$247*B2217</f>
        <v>595.22490596834757</v>
      </c>
      <c r="D2217" s="603">
        <f>-'Sollecitazioni nel paramento'!$G$47*'Sollecitazioni nel paramento'!$G$41*IF(DATI!$G$211="dx",DATI!$E$61,DATI!$E$64*DATI!$E$63)*1000*C2217^2*sezione!$AD$5*(1-sezione!$AD$6)</f>
        <v>-7882533319.5267754</v>
      </c>
      <c r="E2217" s="545">
        <f>-'Foglio deposito bis'!$F$78*(C2217-sezione!$AL$35)*IF(ABS(K2217)&lt;'Sollecitazioni nel paramento'!$G$58,ABS(K2217)*'Sollecitazioni nel paramento'!$G$54,'Sollecitazioni nel paramento'!$G$53)</f>
        <v>0</v>
      </c>
      <c r="F2217" s="545">
        <f>-'Foglio deposito bis'!$F$79*(C2217-sezione!$AM$35)*IF(ABS(L2217)&lt;'Sollecitazioni nel paramento'!$G$58,ABS(L2217)*'Sollecitazioni nel paramento'!$G$54,'Sollecitazioni nel paramento'!$G$53)</f>
        <v>-82245259.203674108</v>
      </c>
      <c r="G2217" s="545">
        <f>-'Foglio deposito bis'!$F$80*(C2217-sezione!$AN$35)*IF(ABS(M2217)&lt;'Sollecitazioni nel paramento'!$G$58,ABS(M2217)*'Sollecitazioni nel paramento'!$G$54,'Sollecitazioni nel paramento'!$G$53)</f>
        <v>0</v>
      </c>
      <c r="H2217" s="545">
        <f>-'Foglio deposito bis'!$F$81*(C2217-sezione!$AO$35)*IF(ABS(N2217)&lt;'Sollecitazioni nel paramento'!$G$58,ABS(N2217)*'Sollecitazioni nel paramento'!$G$54,'Sollecitazioni nel paramento'!$G$53)</f>
        <v>-173349780.64780229</v>
      </c>
      <c r="I2217" s="472">
        <f>-'Foglio deposito bis'!$F$82*(C2217-sezione!$AP$35)*IF(ABS(O2217)&lt;'Sollecitazioni nel paramento'!$G$58,ABS(O2217)*'Sollecitazioni nel paramento'!$G$54,'Sollecitazioni nel paramento'!$G$53)</f>
        <v>27142063.885800395</v>
      </c>
      <c r="J2217" s="472">
        <f t="shared" si="154"/>
        <v>-8110986295.4924517</v>
      </c>
      <c r="K2217" s="550">
        <f>'Sollecitazioni nel paramento'!$G$60*(sezione!$AL$35-C2217)/C2217</f>
        <v>-3.2647947883292288E-3</v>
      </c>
      <c r="L2217" s="550">
        <f>'Sollecitazioni nel paramento'!$G$60*(sezione!$AM$35-C2217)/C2217</f>
        <v>-3.1471921824938434E-3</v>
      </c>
      <c r="M2217" s="551">
        <f>'Sollecitazioni nel paramento'!$G$60*(sezione!$AN$35-C2217)/C2217</f>
        <v>-3.029589576658458E-3</v>
      </c>
      <c r="N2217" s="551">
        <f>'Sollecitazioni nel paramento'!$G$60*(sezione!$AO$35-C2217)/C2217</f>
        <v>-2.559179153316916E-3</v>
      </c>
      <c r="O2217" s="551">
        <f>'Sollecitazioni nel paramento'!$G$60*(sezione!$AP$35-C2217)/C2217</f>
        <v>5.8282483841270234E-4</v>
      </c>
      <c r="P2217" s="545">
        <f>-'Sollecitazioni nel paramento'!$G$47*'Sollecitazioni nel paramento'!$G$41*IF(DATI!$G$211="dx",DATI!$E$61,DATI!$E$64*DATI!$E$63)*1000*C2217*sezione!$AD$5</f>
        <v>-22676283.242676131</v>
      </c>
      <c r="Q2217" s="545">
        <f>'Foglio deposito bis'!$F$78*IF(ABS(K2217)&lt;'Sollecitazioni nel paramento'!$G$58,ABS(K2217)*'Sollecitazioni nel paramento'!$G$54,'Sollecitazioni nel paramento'!$G$53)*IF(K2217&lt;0,-1,1)</f>
        <v>0</v>
      </c>
      <c r="R2217" s="545">
        <f>'Foglio deposito bis'!$F$79*IF(ABS(L2217)&lt;'Sollecitazioni nel paramento'!$G$58,ABS(L2217)*'Sollecitazioni nel paramento'!$G$54,'Sollecitazioni nel paramento'!$G$53)*IF(L2217&lt;0,-1,1)</f>
        <v>-153664.85805602249</v>
      </c>
      <c r="S2217" s="545">
        <f>'Foglio deposito bis'!$F$80*IF(ABS(M2217)&lt;'Sollecitazioni nel paramento'!$G$58,ABS(M2217)*'Sollecitazioni nel paramento'!$G$54,'Sollecitazioni nel paramento'!$G$53)*IF(M2217&lt;0,-1,1)</f>
        <v>0</v>
      </c>
      <c r="T2217" s="545">
        <f>'Foglio deposito bis'!$F$81*IF(ABS(N2217)&lt;'Sollecitazioni nel paramento'!$G$58,ABS(N2217)*'Sollecitazioni nel paramento'!$G$54,'Sollecitazioni nel paramento'!$G$53)*IF(N2217&lt;0,-1,1)</f>
        <v>-398299.31208121032</v>
      </c>
      <c r="U2217" s="545">
        <f>'Foglio deposito bis'!$F$82*IF(ABS(O2217)&lt;'Sollecitazioni nel paramento'!$G$58,ABS(O2217)*'Sollecitazioni nel paramento'!$G$54,'Sollecitazioni nel paramento'!$G$53)*IF(O2217&lt;0,-1,1)</f>
        <v>273836.77138862561</v>
      </c>
      <c r="V2217" s="472">
        <f t="shared" si="156"/>
        <v>-22954410.641424742</v>
      </c>
      <c r="W2217" s="551"/>
      <c r="X2217" s="551"/>
    </row>
    <row r="2218" spans="1:24" x14ac:dyDescent="0.25">
      <c r="A2218" s="545">
        <f t="shared" si="155"/>
        <v>23364478.673027333</v>
      </c>
      <c r="B2218" s="3">
        <f t="shared" si="153"/>
        <v>60.899999999999942</v>
      </c>
      <c r="C2218" s="545">
        <f>'Foglio deposito bis'!$E$161/sezione!$B$247*B2218</f>
        <v>605.16188269569898</v>
      </c>
      <c r="D2218" s="603">
        <f>-'Sollecitazioni nel paramento'!$G$47*'Sollecitazioni nel paramento'!$G$41*IF(DATI!$G$211="dx",DATI!$E$61,DATI!$E$64*DATI!$E$63)*1000*C2218^2*sezione!$AD$5*(1-sezione!$AD$6)</f>
        <v>-8147919989.2960463</v>
      </c>
      <c r="E2218" s="545">
        <f>-'Foglio deposito bis'!$F$78*(C2218-sezione!$AL$35)*IF(ABS(K2218)&lt;'Sollecitazioni nel paramento'!$G$58,ABS(K2218)*'Sollecitazioni nel paramento'!$G$54,'Sollecitazioni nel paramento'!$G$53)</f>
        <v>0</v>
      </c>
      <c r="F2218" s="545">
        <f>-'Foglio deposito bis'!$F$79*(C2218-sezione!$AM$35)*IF(ABS(L2218)&lt;'Sollecitazioni nel paramento'!$G$58,ABS(L2218)*'Sollecitazioni nel paramento'!$G$54,'Sollecitazioni nel paramento'!$G$53)</f>
        <v>-83772223.321988568</v>
      </c>
      <c r="G2218" s="545">
        <f>-'Foglio deposito bis'!$F$80*(C2218-sezione!$AN$35)*IF(ABS(M2218)&lt;'Sollecitazioni nel paramento'!$G$58,ABS(M2218)*'Sollecitazioni nel paramento'!$G$54,'Sollecitazioni nel paramento'!$G$53)</f>
        <v>0</v>
      </c>
      <c r="H2218" s="545">
        <f>-'Foglio deposito bis'!$F$81*(C2218-sezione!$AO$35)*IF(ABS(N2218)&lt;'Sollecitazioni nel paramento'!$G$58,ABS(N2218)*'Sollecitazioni nel paramento'!$G$54,'Sollecitazioni nel paramento'!$G$53)</f>
        <v>-177307671.64247334</v>
      </c>
      <c r="I2218" s="472">
        <f>-'Foglio deposito bis'!$F$82*(C2218-sezione!$AP$35)*IF(ABS(O2218)&lt;'Sollecitazioni nel paramento'!$G$58,ABS(O2218)*'Sollecitazioni nel paramento'!$G$54,'Sollecitazioni nel paramento'!$G$53)</f>
        <v>21611848.86634475</v>
      </c>
      <c r="J2218" s="472">
        <f t="shared" si="154"/>
        <v>-8387388035.3941631</v>
      </c>
      <c r="K2218" s="550">
        <f>'Sollecitazioni nel paramento'!$G$60*(sezione!$AL$35-C2218)/C2218</f>
        <v>-3.2686569428722629E-3</v>
      </c>
      <c r="L2218" s="550">
        <f>'Sollecitazioni nel paramento'!$G$60*(sezione!$AM$35-C2218)/C2218</f>
        <v>-3.1529854143083945E-3</v>
      </c>
      <c r="M2218" s="551">
        <f>'Sollecitazioni nel paramento'!$G$60*(sezione!$AN$35-C2218)/C2218</f>
        <v>-3.0373138857445257E-3</v>
      </c>
      <c r="N2218" s="551">
        <f>'Sollecitazioni nel paramento'!$G$60*(sezione!$AO$35-C2218)/C2218</f>
        <v>-2.5746277714890518E-3</v>
      </c>
      <c r="O2218" s="551">
        <f>'Sollecitazioni nel paramento'!$G$60*(sezione!$AP$35-C2218)/C2218</f>
        <v>5.1578337965387292E-4</v>
      </c>
      <c r="P2218" s="545">
        <f>-'Sollecitazioni nel paramento'!$G$47*'Sollecitazioni nel paramento'!$G$41*IF(DATI!$G$211="dx",DATI!$E$61,DATI!$E$64*DATI!$E$63)*1000*C2218*sezione!$AD$5</f>
        <v>-23054852.245058041</v>
      </c>
      <c r="Q2218" s="545">
        <f>'Foglio deposito bis'!$F$78*IF(ABS(K2218)&lt;'Sollecitazioni nel paramento'!$G$58,ABS(K2218)*'Sollecitazioni nel paramento'!$G$54,'Sollecitazioni nel paramento'!$G$53)*IF(K2218&lt;0,-1,1)</f>
        <v>0</v>
      </c>
      <c r="R2218" s="545">
        <f>'Foglio deposito bis'!$F$79*IF(ABS(L2218)&lt;'Sollecitazioni nel paramento'!$G$58,ABS(L2218)*'Sollecitazioni nel paramento'!$G$54,'Sollecitazioni nel paramento'!$G$53)*IF(L2218&lt;0,-1,1)</f>
        <v>-153664.85805602249</v>
      </c>
      <c r="S2218" s="545">
        <f>'Foglio deposito bis'!$F$80*IF(ABS(M2218)&lt;'Sollecitazioni nel paramento'!$G$58,ABS(M2218)*'Sollecitazioni nel paramento'!$G$54,'Sollecitazioni nel paramento'!$G$53)*IF(M2218&lt;0,-1,1)</f>
        <v>0</v>
      </c>
      <c r="T2218" s="545">
        <f>'Foglio deposito bis'!$F$81*IF(ABS(N2218)&lt;'Sollecitazioni nel paramento'!$G$58,ABS(N2218)*'Sollecitazioni nel paramento'!$G$54,'Sollecitazioni nel paramento'!$G$53)*IF(N2218&lt;0,-1,1)</f>
        <v>-398299.31208121032</v>
      </c>
      <c r="U2218" s="545">
        <f>'Foglio deposito bis'!$F$82*IF(ABS(O2218)&lt;'Sollecitazioni nel paramento'!$G$58,ABS(O2218)*'Sollecitazioni nel paramento'!$G$54,'Sollecitazioni nel paramento'!$G$53)*IF(O2218&lt;0,-1,1)</f>
        <v>242337.7421679426</v>
      </c>
      <c r="V2218" s="472">
        <f t="shared" si="156"/>
        <v>-23364478.673027333</v>
      </c>
      <c r="W2218" s="551"/>
      <c r="X2218" s="551"/>
    </row>
    <row r="2219" spans="1:24" x14ac:dyDescent="0.25">
      <c r="A2219" s="545">
        <f t="shared" si="155"/>
        <v>23773528.965398226</v>
      </c>
      <c r="B2219" s="3">
        <f t="shared" si="153"/>
        <v>61.899999999999942</v>
      </c>
      <c r="C2219" s="545">
        <f>'Foglio deposito bis'!$E$161/sezione!$B$247*B2219</f>
        <v>615.09885942305027</v>
      </c>
      <c r="D2219" s="603">
        <f>-'Sollecitazioni nel paramento'!$G$47*'Sollecitazioni nel paramento'!$G$41*IF(DATI!$G$211="dx",DATI!$E$61,DATI!$E$64*DATI!$E$63)*1000*C2219^2*sezione!$AD$5*(1-sezione!$AD$6)</f>
        <v>-8417700478.1012259</v>
      </c>
      <c r="E2219" s="545">
        <f>-'Foglio deposito bis'!$F$78*(C2219-sezione!$AL$35)*IF(ABS(K2219)&lt;'Sollecitazioni nel paramento'!$G$58,ABS(K2219)*'Sollecitazioni nel paramento'!$G$54,'Sollecitazioni nel paramento'!$G$53)</f>
        <v>0</v>
      </c>
      <c r="F2219" s="545">
        <f>-'Foglio deposito bis'!$F$79*(C2219-sezione!$AM$35)*IF(ABS(L2219)&lt;'Sollecitazioni nel paramento'!$G$58,ABS(L2219)*'Sollecitazioni nel paramento'!$G$54,'Sollecitazioni nel paramento'!$G$53)</f>
        <v>-85299187.440302998</v>
      </c>
      <c r="G2219" s="545">
        <f>-'Foglio deposito bis'!$F$80*(C2219-sezione!$AN$35)*IF(ABS(M2219)&lt;'Sollecitazioni nel paramento'!$G$58,ABS(M2219)*'Sollecitazioni nel paramento'!$G$54,'Sollecitazioni nel paramento'!$G$53)</f>
        <v>0</v>
      </c>
      <c r="H2219" s="545">
        <f>-'Foglio deposito bis'!$F$81*(C2219-sezione!$AO$35)*IF(ABS(N2219)&lt;'Sollecitazioni nel paramento'!$G$58,ABS(N2219)*'Sollecitazioni nel paramento'!$G$54,'Sollecitazioni nel paramento'!$G$53)</f>
        <v>-181265562.63714436</v>
      </c>
      <c r="I2219" s="472">
        <f>-'Foglio deposito bis'!$F$82*(C2219-sezione!$AP$35)*IF(ABS(O2219)&lt;'Sollecitazioni nel paramento'!$G$58,ABS(O2219)*'Sollecitazioni nel paramento'!$G$54,'Sollecitazioni nel paramento'!$G$53)</f>
        <v>16788293.53093921</v>
      </c>
      <c r="J2219" s="472">
        <f t="shared" si="154"/>
        <v>-8667476934.6477337</v>
      </c>
      <c r="K2219" s="550">
        <f>'Sollecitazioni nel paramento'!$G$60*(sezione!$AL$35-C2219)/C2219</f>
        <v>-3.2723943105156831E-3</v>
      </c>
      <c r="L2219" s="550">
        <f>'Sollecitazioni nel paramento'!$G$60*(sezione!$AM$35-C2219)/C2219</f>
        <v>-3.1585914657735253E-3</v>
      </c>
      <c r="M2219" s="551">
        <f>'Sollecitazioni nel paramento'!$G$60*(sezione!$AN$35-C2219)/C2219</f>
        <v>-3.0447886210313671E-3</v>
      </c>
      <c r="N2219" s="551">
        <f>'Sollecitazioni nel paramento'!$G$60*(sezione!$AO$35-C2219)/C2219</f>
        <v>-2.589577242062734E-3</v>
      </c>
      <c r="O2219" s="551">
        <f>'Sollecitazioni nel paramento'!$G$60*(sezione!$AP$35-C2219)/C2219</f>
        <v>4.5090804234120999E-4</v>
      </c>
      <c r="P2219" s="545">
        <f>-'Sollecitazioni nel paramento'!$G$47*'Sollecitazioni nel paramento'!$G$41*IF(DATI!$G$211="dx",DATI!$E$61,DATI!$E$64*DATI!$E$63)*1000*C2219*sezione!$AD$5</f>
        <v>-23433421.24743994</v>
      </c>
      <c r="Q2219" s="545">
        <f>'Foglio deposito bis'!$F$78*IF(ABS(K2219)&lt;'Sollecitazioni nel paramento'!$G$58,ABS(K2219)*'Sollecitazioni nel paramento'!$G$54,'Sollecitazioni nel paramento'!$G$53)*IF(K2219&lt;0,-1,1)</f>
        <v>0</v>
      </c>
      <c r="R2219" s="545">
        <f>'Foglio deposito bis'!$F$79*IF(ABS(L2219)&lt;'Sollecitazioni nel paramento'!$G$58,ABS(L2219)*'Sollecitazioni nel paramento'!$G$54,'Sollecitazioni nel paramento'!$G$53)*IF(L2219&lt;0,-1,1)</f>
        <v>-153664.85805602249</v>
      </c>
      <c r="S2219" s="545">
        <f>'Foglio deposito bis'!$F$80*IF(ABS(M2219)&lt;'Sollecitazioni nel paramento'!$G$58,ABS(M2219)*'Sollecitazioni nel paramento'!$G$54,'Sollecitazioni nel paramento'!$G$53)*IF(M2219&lt;0,-1,1)</f>
        <v>0</v>
      </c>
      <c r="T2219" s="545">
        <f>'Foglio deposito bis'!$F$81*IF(ABS(N2219)&lt;'Sollecitazioni nel paramento'!$G$58,ABS(N2219)*'Sollecitazioni nel paramento'!$G$54,'Sollecitazioni nel paramento'!$G$53)*IF(N2219&lt;0,-1,1)</f>
        <v>-398299.31208121032</v>
      </c>
      <c r="U2219" s="545">
        <f>'Foglio deposito bis'!$F$82*IF(ABS(O2219)&lt;'Sollecitazioni nel paramento'!$G$58,ABS(O2219)*'Sollecitazioni nel paramento'!$G$54,'Sollecitazioni nel paramento'!$G$53)*IF(O2219&lt;0,-1,1)</f>
        <v>211856.45217894606</v>
      </c>
      <c r="V2219" s="472">
        <f t="shared" si="156"/>
        <v>-23773528.965398226</v>
      </c>
      <c r="W2219" s="551"/>
      <c r="X2219" s="551"/>
    </row>
    <row r="2220" spans="1:24" x14ac:dyDescent="0.25">
      <c r="A2220" s="545">
        <f t="shared" si="155"/>
        <v>24181610.059359308</v>
      </c>
      <c r="B2220" s="3">
        <f t="shared" si="153"/>
        <v>62.899999999999942</v>
      </c>
      <c r="C2220" s="545">
        <f>'Foglio deposito bis'!$E$161/sezione!$B$247*B2220</f>
        <v>625.03583615040168</v>
      </c>
      <c r="D2220" s="603">
        <f>-'Sollecitazioni nel paramento'!$G$47*'Sollecitazioni nel paramento'!$G$41*IF(DATI!$G$211="dx",DATI!$E$61,DATI!$E$64*DATI!$E$63)*1000*C2220^2*sezione!$AD$5*(1-sezione!$AD$6)</f>
        <v>-8691874785.9423256</v>
      </c>
      <c r="E2220" s="545">
        <f>-'Foglio deposito bis'!$F$78*(C2220-sezione!$AL$35)*IF(ABS(K2220)&lt;'Sollecitazioni nel paramento'!$G$58,ABS(K2220)*'Sollecitazioni nel paramento'!$G$54,'Sollecitazioni nel paramento'!$G$53)</f>
        <v>0</v>
      </c>
      <c r="F2220" s="545">
        <f>-'Foglio deposito bis'!$F$79*(C2220-sezione!$AM$35)*IF(ABS(L2220)&lt;'Sollecitazioni nel paramento'!$G$58,ABS(L2220)*'Sollecitazioni nel paramento'!$G$54,'Sollecitazioni nel paramento'!$G$53)</f>
        <v>-86826151.558617458</v>
      </c>
      <c r="G2220" s="545">
        <f>-'Foglio deposito bis'!$F$80*(C2220-sezione!$AN$35)*IF(ABS(M2220)&lt;'Sollecitazioni nel paramento'!$G$58,ABS(M2220)*'Sollecitazioni nel paramento'!$G$54,'Sollecitazioni nel paramento'!$G$53)</f>
        <v>0</v>
      </c>
      <c r="H2220" s="545">
        <f>-'Foglio deposito bis'!$F$81*(C2220-sezione!$AO$35)*IF(ABS(N2220)&lt;'Sollecitazioni nel paramento'!$G$58,ABS(N2220)*'Sollecitazioni nel paramento'!$G$54,'Sollecitazioni nel paramento'!$G$53)</f>
        <v>-185223453.63181543</v>
      </c>
      <c r="I2220" s="472">
        <f>-'Foglio deposito bis'!$F$82*(C2220-sezione!$AP$35)*IF(ABS(O2220)&lt;'Sollecitazioni nel paramento'!$G$58,ABS(O2220)*'Sollecitazioni nel paramento'!$G$54,'Sollecitazioni nel paramento'!$G$53)</f>
        <v>12637693.920090025</v>
      </c>
      <c r="J2220" s="472">
        <f t="shared" si="154"/>
        <v>-8951286697.2126675</v>
      </c>
      <c r="K2220" s="550">
        <f>'Sollecitazioni nel paramento'!$G$60*(sezione!$AL$35-C2220)/C2220</f>
        <v>-3.2760128429399175E-3</v>
      </c>
      <c r="L2220" s="550">
        <f>'Sollecitazioni nel paramento'!$G$60*(sezione!$AM$35-C2220)/C2220</f>
        <v>-3.1640192644098765E-3</v>
      </c>
      <c r="M2220" s="551">
        <f>'Sollecitazioni nel paramento'!$G$60*(sezione!$AN$35-C2220)/C2220</f>
        <v>-3.052025685879835E-3</v>
      </c>
      <c r="N2220" s="551">
        <f>'Sollecitazioni nel paramento'!$G$60*(sezione!$AO$35-C2220)/C2220</f>
        <v>-2.6040513717596699E-3</v>
      </c>
      <c r="O2220" s="551">
        <f>'Sollecitazioni nel paramento'!$G$60*(sezione!$AP$35-C2220)/C2220</f>
        <v>3.8809551384611901E-4</v>
      </c>
      <c r="P2220" s="545">
        <f>-'Sollecitazioni nel paramento'!$G$47*'Sollecitazioni nel paramento'!$G$41*IF(DATI!$G$211="dx",DATI!$E$61,DATI!$E$64*DATI!$E$63)*1000*C2220*sezione!$AD$5</f>
        <v>-23811990.249821849</v>
      </c>
      <c r="Q2220" s="545">
        <f>'Foglio deposito bis'!$F$78*IF(ABS(K2220)&lt;'Sollecitazioni nel paramento'!$G$58,ABS(K2220)*'Sollecitazioni nel paramento'!$G$54,'Sollecitazioni nel paramento'!$G$53)*IF(K2220&lt;0,-1,1)</f>
        <v>0</v>
      </c>
      <c r="R2220" s="545">
        <f>'Foglio deposito bis'!$F$79*IF(ABS(L2220)&lt;'Sollecitazioni nel paramento'!$G$58,ABS(L2220)*'Sollecitazioni nel paramento'!$G$54,'Sollecitazioni nel paramento'!$G$53)*IF(L2220&lt;0,-1,1)</f>
        <v>-153664.85805602249</v>
      </c>
      <c r="S2220" s="545">
        <f>'Foglio deposito bis'!$F$80*IF(ABS(M2220)&lt;'Sollecitazioni nel paramento'!$G$58,ABS(M2220)*'Sollecitazioni nel paramento'!$G$54,'Sollecitazioni nel paramento'!$G$53)*IF(M2220&lt;0,-1,1)</f>
        <v>0</v>
      </c>
      <c r="T2220" s="545">
        <f>'Foglio deposito bis'!$F$81*IF(ABS(N2220)&lt;'Sollecitazioni nel paramento'!$G$58,ABS(N2220)*'Sollecitazioni nel paramento'!$G$54,'Sollecitazioni nel paramento'!$G$53)*IF(N2220&lt;0,-1,1)</f>
        <v>-398299.31208121032</v>
      </c>
      <c r="U2220" s="545">
        <f>'Foglio deposito bis'!$F$82*IF(ABS(O2220)&lt;'Sollecitazioni nel paramento'!$G$58,ABS(O2220)*'Sollecitazioni nel paramento'!$G$54,'Sollecitazioni nel paramento'!$G$53)*IF(O2220&lt;0,-1,1)</f>
        <v>182344.36059977411</v>
      </c>
      <c r="V2220" s="472">
        <f t="shared" si="156"/>
        <v>-24181610.059359308</v>
      </c>
      <c r="W2220" s="551"/>
      <c r="X2220" s="551"/>
    </row>
    <row r="2221" spans="1:24" x14ac:dyDescent="0.25">
      <c r="A2221" s="545">
        <f t="shared" si="155"/>
        <v>24588767.457183324</v>
      </c>
      <c r="B2221" s="3">
        <f t="shared" si="153"/>
        <v>63.899999999999942</v>
      </c>
      <c r="C2221" s="545">
        <f>'Foglio deposito bis'!$E$161/sezione!$B$247*B2221</f>
        <v>634.97281287775309</v>
      </c>
      <c r="D2221" s="603">
        <f>-'Sollecitazioni nel paramento'!$G$47*'Sollecitazioni nel paramento'!$G$41*IF(DATI!$G$211="dx",DATI!$E$61,DATI!$E$64*DATI!$E$63)*1000*C2221^2*sezione!$AD$5*(1-sezione!$AD$6)</f>
        <v>-8970442912.8193398</v>
      </c>
      <c r="E2221" s="545">
        <f>-'Foglio deposito bis'!$F$78*(C2221-sezione!$AL$35)*IF(ABS(K2221)&lt;'Sollecitazioni nel paramento'!$G$58,ABS(K2221)*'Sollecitazioni nel paramento'!$G$54,'Sollecitazioni nel paramento'!$G$53)</f>
        <v>0</v>
      </c>
      <c r="F2221" s="545">
        <f>-'Foglio deposito bis'!$F$79*(C2221-sezione!$AM$35)*IF(ABS(L2221)&lt;'Sollecitazioni nel paramento'!$G$58,ABS(L2221)*'Sollecitazioni nel paramento'!$G$54,'Sollecitazioni nel paramento'!$G$53)</f>
        <v>-88353115.676931918</v>
      </c>
      <c r="G2221" s="545">
        <f>-'Foglio deposito bis'!$F$80*(C2221-sezione!$AN$35)*IF(ABS(M2221)&lt;'Sollecitazioni nel paramento'!$G$58,ABS(M2221)*'Sollecitazioni nel paramento'!$G$54,'Sollecitazioni nel paramento'!$G$53)</f>
        <v>0</v>
      </c>
      <c r="H2221" s="545">
        <f>-'Foglio deposito bis'!$F$81*(C2221-sezione!$AO$35)*IF(ABS(N2221)&lt;'Sollecitazioni nel paramento'!$G$58,ABS(N2221)*'Sollecitazioni nel paramento'!$G$54,'Sollecitazioni nel paramento'!$G$53)</f>
        <v>-189181344.62648648</v>
      </c>
      <c r="I2221" s="472">
        <f>-'Foglio deposito bis'!$F$82*(C2221-sezione!$AP$35)*IF(ABS(O2221)&lt;'Sollecitazioni nel paramento'!$G$58,ABS(O2221)*'Sollecitazioni nel paramento'!$G$54,'Sollecitazioni nel paramento'!$G$53)</f>
        <v>9128455.868325118</v>
      </c>
      <c r="J2221" s="472">
        <f t="shared" si="154"/>
        <v>-9238848917.2544327</v>
      </c>
      <c r="K2221" s="550">
        <f>'Sollecitazioni nel paramento'!$G$60*(sezione!$AL$35-C2221)/C2221</f>
        <v>-3.2795181192632364E-3</v>
      </c>
      <c r="L2221" s="550">
        <f>'Sollecitazioni nel paramento'!$G$60*(sezione!$AM$35-C2221)/C2221</f>
        <v>-3.169277178894855E-3</v>
      </c>
      <c r="M2221" s="551">
        <f>'Sollecitazioni nel paramento'!$G$60*(sezione!$AN$35-C2221)/C2221</f>
        <v>-3.0590362385264731E-3</v>
      </c>
      <c r="N2221" s="551">
        <f>'Sollecitazioni nel paramento'!$G$60*(sezione!$AO$35-C2221)/C2221</f>
        <v>-2.6180724770529461E-3</v>
      </c>
      <c r="O2221" s="551">
        <f>'Sollecitazioni nel paramento'!$G$60*(sezione!$AP$35-C2221)/C2221</f>
        <v>3.2724894868420772E-4</v>
      </c>
      <c r="P2221" s="545">
        <f>-'Sollecitazioni nel paramento'!$G$47*'Sollecitazioni nel paramento'!$G$41*IF(DATI!$G$211="dx",DATI!$E$61,DATI!$E$64*DATI!$E$63)*1000*C2221*sezione!$AD$5</f>
        <v>-24190559.252203755</v>
      </c>
      <c r="Q2221" s="545">
        <f>'Foglio deposito bis'!$F$78*IF(ABS(K2221)&lt;'Sollecitazioni nel paramento'!$G$58,ABS(K2221)*'Sollecitazioni nel paramento'!$G$54,'Sollecitazioni nel paramento'!$G$53)*IF(K2221&lt;0,-1,1)</f>
        <v>0</v>
      </c>
      <c r="R2221" s="545">
        <f>'Foglio deposito bis'!$F$79*IF(ABS(L2221)&lt;'Sollecitazioni nel paramento'!$G$58,ABS(L2221)*'Sollecitazioni nel paramento'!$G$54,'Sollecitazioni nel paramento'!$G$53)*IF(L2221&lt;0,-1,1)</f>
        <v>-153664.85805602249</v>
      </c>
      <c r="S2221" s="545">
        <f>'Foglio deposito bis'!$F$80*IF(ABS(M2221)&lt;'Sollecitazioni nel paramento'!$G$58,ABS(M2221)*'Sollecitazioni nel paramento'!$G$54,'Sollecitazioni nel paramento'!$G$53)*IF(M2221&lt;0,-1,1)</f>
        <v>0</v>
      </c>
      <c r="T2221" s="545">
        <f>'Foglio deposito bis'!$F$81*IF(ABS(N2221)&lt;'Sollecitazioni nel paramento'!$G$58,ABS(N2221)*'Sollecitazioni nel paramento'!$G$54,'Sollecitazioni nel paramento'!$G$53)*IF(N2221&lt;0,-1,1)</f>
        <v>-398299.31208121032</v>
      </c>
      <c r="U2221" s="545">
        <f>'Foglio deposito bis'!$F$82*IF(ABS(O2221)&lt;'Sollecitazioni nel paramento'!$G$58,ABS(O2221)*'Sollecitazioni nel paramento'!$G$54,'Sollecitazioni nel paramento'!$G$53)*IF(O2221&lt;0,-1,1)</f>
        <v>153755.96515766546</v>
      </c>
      <c r="V2221" s="472">
        <f t="shared" si="156"/>
        <v>-24588767.457183324</v>
      </c>
      <c r="W2221" s="551"/>
      <c r="X2221" s="551"/>
    </row>
    <row r="2222" spans="1:24" x14ac:dyDescent="0.25">
      <c r="A2222" s="545">
        <f t="shared" si="155"/>
        <v>24995043.85668863</v>
      </c>
      <c r="B2222" s="3">
        <f t="shared" si="153"/>
        <v>64.899999999999949</v>
      </c>
      <c r="C2222" s="545">
        <f>'Foglio deposito bis'!$E$161/sezione!$B$247*B2222</f>
        <v>644.90978960510449</v>
      </c>
      <c r="D2222" s="603">
        <f>-'Sollecitazioni nel paramento'!$G$47*'Sollecitazioni nel paramento'!$G$41*IF(DATI!$G$211="dx",DATI!$E$61,DATI!$E$64*DATI!$E$63)*1000*C2222^2*sezione!$AD$5*(1-sezione!$AD$6)</f>
        <v>-9253404858.7322693</v>
      </c>
      <c r="E2222" s="545">
        <f>-'Foglio deposito bis'!$F$78*(C2222-sezione!$AL$35)*IF(ABS(K2222)&lt;'Sollecitazioni nel paramento'!$G$58,ABS(K2222)*'Sollecitazioni nel paramento'!$G$54,'Sollecitazioni nel paramento'!$G$53)</f>
        <v>0</v>
      </c>
      <c r="F2222" s="545">
        <f>-'Foglio deposito bis'!$F$79*(C2222-sezione!$AM$35)*IF(ABS(L2222)&lt;'Sollecitazioni nel paramento'!$G$58,ABS(L2222)*'Sollecitazioni nel paramento'!$G$54,'Sollecitazioni nel paramento'!$G$53)</f>
        <v>-89880079.795246363</v>
      </c>
      <c r="G2222" s="545">
        <f>-'Foglio deposito bis'!$F$80*(C2222-sezione!$AN$35)*IF(ABS(M2222)&lt;'Sollecitazioni nel paramento'!$G$58,ABS(M2222)*'Sollecitazioni nel paramento'!$G$54,'Sollecitazioni nel paramento'!$G$53)</f>
        <v>0</v>
      </c>
      <c r="H2222" s="545">
        <f>-'Foglio deposito bis'!$F$81*(C2222-sezione!$AO$35)*IF(ABS(N2222)&lt;'Sollecitazioni nel paramento'!$G$58,ABS(N2222)*'Sollecitazioni nel paramento'!$G$54,'Sollecitazioni nel paramento'!$G$53)</f>
        <v>-193139235.62115756</v>
      </c>
      <c r="I2222" s="472">
        <f>-'Foglio deposito bis'!$F$82*(C2222-sezione!$AP$35)*IF(ABS(O2222)&lt;'Sollecitazioni nel paramento'!$G$58,ABS(O2222)*'Sollecitazioni nel paramento'!$G$54,'Sollecitazioni nel paramento'!$G$53)</f>
        <v>6230932.4622815829</v>
      </c>
      <c r="J2222" s="472">
        <f t="shared" si="154"/>
        <v>-9530193241.6863899</v>
      </c>
      <c r="K2222" s="550">
        <f>'Sollecitazioni nel paramento'!$G$60*(sezione!$AL$35-C2222)/C2222</f>
        <v>-3.2829153747445427E-3</v>
      </c>
      <c r="L2222" s="550">
        <f>'Sollecitazioni nel paramento'!$G$60*(sezione!$AM$35-C2222)/C2222</f>
        <v>-3.1743730621168142E-3</v>
      </c>
      <c r="M2222" s="551">
        <f>'Sollecitazioni nel paramento'!$G$60*(sezione!$AN$35-C2222)/C2222</f>
        <v>-3.0658307494890852E-3</v>
      </c>
      <c r="N2222" s="551">
        <f>'Sollecitazioni nel paramento'!$G$60*(sezione!$AO$35-C2222)/C2222</f>
        <v>-2.6316614989781704E-3</v>
      </c>
      <c r="O2222" s="551">
        <f>'Sollecitazioni nel paramento'!$G$60*(sezione!$AP$35-C2222)/C2222</f>
        <v>2.6827747027613035E-4</v>
      </c>
      <c r="P2222" s="545">
        <f>-'Sollecitazioni nel paramento'!$G$47*'Sollecitazioni nel paramento'!$G$41*IF(DATI!$G$211="dx",DATI!$E$61,DATI!$E$64*DATI!$E$63)*1000*C2222*sezione!$AD$5</f>
        <v>-24569128.254585661</v>
      </c>
      <c r="Q2222" s="545">
        <f>'Foglio deposito bis'!$F$78*IF(ABS(K2222)&lt;'Sollecitazioni nel paramento'!$G$58,ABS(K2222)*'Sollecitazioni nel paramento'!$G$54,'Sollecitazioni nel paramento'!$G$53)*IF(K2222&lt;0,-1,1)</f>
        <v>0</v>
      </c>
      <c r="R2222" s="545">
        <f>'Foglio deposito bis'!$F$79*IF(ABS(L2222)&lt;'Sollecitazioni nel paramento'!$G$58,ABS(L2222)*'Sollecitazioni nel paramento'!$G$54,'Sollecitazioni nel paramento'!$G$53)*IF(L2222&lt;0,-1,1)</f>
        <v>-153664.85805602249</v>
      </c>
      <c r="S2222" s="545">
        <f>'Foglio deposito bis'!$F$80*IF(ABS(M2222)&lt;'Sollecitazioni nel paramento'!$G$58,ABS(M2222)*'Sollecitazioni nel paramento'!$G$54,'Sollecitazioni nel paramento'!$G$53)*IF(M2222&lt;0,-1,1)</f>
        <v>0</v>
      </c>
      <c r="T2222" s="545">
        <f>'Foglio deposito bis'!$F$81*IF(ABS(N2222)&lt;'Sollecitazioni nel paramento'!$G$58,ABS(N2222)*'Sollecitazioni nel paramento'!$G$54,'Sollecitazioni nel paramento'!$G$53)*IF(N2222&lt;0,-1,1)</f>
        <v>-398299.31208121032</v>
      </c>
      <c r="U2222" s="545">
        <f>'Foglio deposito bis'!$F$82*IF(ABS(O2222)&lt;'Sollecitazioni nel paramento'!$G$58,ABS(O2222)*'Sollecitazioni nel paramento'!$G$54,'Sollecitazioni nel paramento'!$G$53)*IF(O2222&lt;0,-1,1)</f>
        <v>126048.56803426583</v>
      </c>
      <c r="V2222" s="472">
        <f t="shared" si="156"/>
        <v>-24995043.85668863</v>
      </c>
      <c r="W2222" s="551"/>
      <c r="X2222" s="551"/>
    </row>
    <row r="2223" spans="1:24" x14ac:dyDescent="0.25">
      <c r="A2223" s="545">
        <f t="shared" si="155"/>
        <v>25400479.364020236</v>
      </c>
      <c r="B2223" s="3">
        <f t="shared" si="153"/>
        <v>65.899999999999949</v>
      </c>
      <c r="C2223" s="545">
        <f>'Foglio deposito bis'!$E$161/sezione!$B$247*B2223</f>
        <v>654.8467663324559</v>
      </c>
      <c r="D2223" s="603">
        <f>-'Sollecitazioni nel paramento'!$G$47*'Sollecitazioni nel paramento'!$G$41*IF(DATI!$G$211="dx",DATI!$E$61,DATI!$E$64*DATI!$E$63)*1000*C2223^2*sezione!$AD$5*(1-sezione!$AD$6)</f>
        <v>-9540760623.6811161</v>
      </c>
      <c r="E2223" s="545">
        <f>-'Foglio deposito bis'!$F$78*(C2223-sezione!$AL$35)*IF(ABS(K2223)&lt;'Sollecitazioni nel paramento'!$G$58,ABS(K2223)*'Sollecitazioni nel paramento'!$G$54,'Sollecitazioni nel paramento'!$G$53)</f>
        <v>0</v>
      </c>
      <c r="F2223" s="545">
        <f>-'Foglio deposito bis'!$F$79*(C2223-sezione!$AM$35)*IF(ABS(L2223)&lt;'Sollecitazioni nel paramento'!$G$58,ABS(L2223)*'Sollecitazioni nel paramento'!$G$54,'Sollecitazioni nel paramento'!$G$53)</f>
        <v>-91407043.913560823</v>
      </c>
      <c r="G2223" s="545">
        <f>-'Foglio deposito bis'!$F$80*(C2223-sezione!$AN$35)*IF(ABS(M2223)&lt;'Sollecitazioni nel paramento'!$G$58,ABS(M2223)*'Sollecitazioni nel paramento'!$G$54,'Sollecitazioni nel paramento'!$G$53)</f>
        <v>0</v>
      </c>
      <c r="H2223" s="545">
        <f>-'Foglio deposito bis'!$F$81*(C2223-sezione!$AO$35)*IF(ABS(N2223)&lt;'Sollecitazioni nel paramento'!$G$58,ABS(N2223)*'Sollecitazioni nel paramento'!$G$54,'Sollecitazioni nel paramento'!$G$53)</f>
        <v>-197097126.6158286</v>
      </c>
      <c r="I2223" s="472">
        <f>-'Foglio deposito bis'!$F$82*(C2223-sezione!$AP$35)*IF(ABS(O2223)&lt;'Sollecitazioni nel paramento'!$G$58,ABS(O2223)*'Sollecitazioni nel paramento'!$G$54,'Sollecitazioni nel paramento'!$G$53)</f>
        <v>3917276.2977535925</v>
      </c>
      <c r="J2223" s="472">
        <f t="shared" si="154"/>
        <v>-9825347517.9127522</v>
      </c>
      <c r="K2223" s="550">
        <f>'Sollecitazioni nel paramento'!$G$60*(sezione!$AL$35-C2223)/C2223</f>
        <v>-3.28620952687285E-3</v>
      </c>
      <c r="L2223" s="550">
        <f>'Sollecitazioni nel paramento'!$G$60*(sezione!$AM$35-C2223)/C2223</f>
        <v>-3.1793142903092752E-3</v>
      </c>
      <c r="M2223" s="551">
        <f>'Sollecitazioni nel paramento'!$G$60*(sezione!$AN$35-C2223)/C2223</f>
        <v>-3.0724190537457E-3</v>
      </c>
      <c r="N2223" s="551">
        <f>'Sollecitazioni nel paramento'!$G$60*(sezione!$AO$35-C2223)/C2223</f>
        <v>-2.6448381074913999E-3</v>
      </c>
      <c r="O2223" s="551">
        <f>'Sollecitazioni nel paramento'!$G$60*(sezione!$AP$35-C2223)/C2223</f>
        <v>2.1109571807163661E-4</v>
      </c>
      <c r="P2223" s="545">
        <f>-'Sollecitazioni nel paramento'!$G$47*'Sollecitazioni nel paramento'!$G$41*IF(DATI!$G$211="dx",DATI!$E$61,DATI!$E$64*DATI!$E$63)*1000*C2223*sezione!$AD$5</f>
        <v>-24947697.256967567</v>
      </c>
      <c r="Q2223" s="545">
        <f>'Foglio deposito bis'!$F$78*IF(ABS(K2223)&lt;'Sollecitazioni nel paramento'!$G$58,ABS(K2223)*'Sollecitazioni nel paramento'!$G$54,'Sollecitazioni nel paramento'!$G$53)*IF(K2223&lt;0,-1,1)</f>
        <v>0</v>
      </c>
      <c r="R2223" s="545">
        <f>'Foglio deposito bis'!$F$79*IF(ABS(L2223)&lt;'Sollecitazioni nel paramento'!$G$58,ABS(L2223)*'Sollecitazioni nel paramento'!$G$54,'Sollecitazioni nel paramento'!$G$53)*IF(L2223&lt;0,-1,1)</f>
        <v>-153664.85805602249</v>
      </c>
      <c r="S2223" s="545">
        <f>'Foglio deposito bis'!$F$80*IF(ABS(M2223)&lt;'Sollecitazioni nel paramento'!$G$58,ABS(M2223)*'Sollecitazioni nel paramento'!$G$54,'Sollecitazioni nel paramento'!$G$53)*IF(M2223&lt;0,-1,1)</f>
        <v>0</v>
      </c>
      <c r="T2223" s="545">
        <f>'Foglio deposito bis'!$F$81*IF(ABS(N2223)&lt;'Sollecitazioni nel paramento'!$G$58,ABS(N2223)*'Sollecitazioni nel paramento'!$G$54,'Sollecitazioni nel paramento'!$G$53)*IF(N2223&lt;0,-1,1)</f>
        <v>-398299.31208121032</v>
      </c>
      <c r="U2223" s="545">
        <f>'Foglio deposito bis'!$F$82*IF(ABS(O2223)&lt;'Sollecitazioni nel paramento'!$G$58,ABS(O2223)*'Sollecitazioni nel paramento'!$G$54,'Sollecitazioni nel paramento'!$G$53)*IF(O2223&lt;0,-1,1)</f>
        <v>99182.063084565802</v>
      </c>
      <c r="V2223" s="472">
        <f t="shared" si="156"/>
        <v>-25400479.364020236</v>
      </c>
      <c r="W2223" s="551"/>
      <c r="X2223" s="551"/>
    </row>
    <row r="2224" spans="1:24" x14ac:dyDescent="0.25">
      <c r="A2224" s="545">
        <f t="shared" si="155"/>
        <v>25805111.687347367</v>
      </c>
      <c r="B2224" s="3">
        <f t="shared" si="153"/>
        <v>66.899999999999949</v>
      </c>
      <c r="C2224" s="545">
        <f>'Foglio deposito bis'!$E$161/sezione!$B$247*B2224</f>
        <v>664.78374305980731</v>
      </c>
      <c r="D2224" s="603">
        <f>-'Sollecitazioni nel paramento'!$G$47*'Sollecitazioni nel paramento'!$G$41*IF(DATI!$G$211="dx",DATI!$E$61,DATI!$E$64*DATI!$E$63)*1000*C2224^2*sezione!$AD$5*(1-sezione!$AD$6)</f>
        <v>-9832510207.6658764</v>
      </c>
      <c r="E2224" s="545">
        <f>-'Foglio deposito bis'!$F$78*(C2224-sezione!$AL$35)*IF(ABS(K2224)&lt;'Sollecitazioni nel paramento'!$G$58,ABS(K2224)*'Sollecitazioni nel paramento'!$G$54,'Sollecitazioni nel paramento'!$G$53)</f>
        <v>0</v>
      </c>
      <c r="F2224" s="545">
        <f>-'Foglio deposito bis'!$F$79*(C2224-sezione!$AM$35)*IF(ABS(L2224)&lt;'Sollecitazioni nel paramento'!$G$58,ABS(L2224)*'Sollecitazioni nel paramento'!$G$54,'Sollecitazioni nel paramento'!$G$53)</f>
        <v>-92934008.031875268</v>
      </c>
      <c r="G2224" s="545">
        <f>-'Foglio deposito bis'!$F$80*(C2224-sezione!$AN$35)*IF(ABS(M2224)&lt;'Sollecitazioni nel paramento'!$G$58,ABS(M2224)*'Sollecitazioni nel paramento'!$G$54,'Sollecitazioni nel paramento'!$G$53)</f>
        <v>0</v>
      </c>
      <c r="H2224" s="545">
        <f>-'Foglio deposito bis'!$F$81*(C2224-sezione!$AO$35)*IF(ABS(N2224)&lt;'Sollecitazioni nel paramento'!$G$58,ABS(N2224)*'Sollecitazioni nel paramento'!$G$54,'Sollecitazioni nel paramento'!$G$53)</f>
        <v>-201055017.61049968</v>
      </c>
      <c r="I2224" s="472">
        <f>-'Foglio deposito bis'!$F$82*(C2224-sezione!$AP$35)*IF(ABS(O2224)&lt;'Sollecitazioni nel paramento'!$G$58,ABS(O2224)*'Sollecitazioni nel paramento'!$G$54,'Sollecitazioni nel paramento'!$G$53)</f>
        <v>2161304.9872292355</v>
      </c>
      <c r="J2224" s="472">
        <f t="shared" si="154"/>
        <v>-10124337928.321024</v>
      </c>
      <c r="K2224" s="550">
        <f>'Sollecitazioni nel paramento'!$G$60*(sezione!$AL$35-C2224)/C2224</f>
        <v>-3.2894051991169031E-3</v>
      </c>
      <c r="L2224" s="550">
        <f>'Sollecitazioni nel paramento'!$G$60*(sezione!$AM$35-C2224)/C2224</f>
        <v>-3.1841077986753548E-3</v>
      </c>
      <c r="M2224" s="551">
        <f>'Sollecitazioni nel paramento'!$G$60*(sezione!$AN$35-C2224)/C2224</f>
        <v>-3.0788103982338061E-3</v>
      </c>
      <c r="N2224" s="551">
        <f>'Sollecitazioni nel paramento'!$G$60*(sezione!$AO$35-C2224)/C2224</f>
        <v>-2.6576207964676126E-3</v>
      </c>
      <c r="O2224" s="551">
        <f>'Sollecitazioni nel paramento'!$G$60*(sezione!$AP$35-C2224)/C2224</f>
        <v>1.5562343529029659E-4</v>
      </c>
      <c r="P2224" s="545">
        <f>-'Sollecitazioni nel paramento'!$G$47*'Sollecitazioni nel paramento'!$G$41*IF(DATI!$G$211="dx",DATI!$E$61,DATI!$E$64*DATI!$E$63)*1000*C2224*sezione!$AD$5</f>
        <v>-25326266.259349473</v>
      </c>
      <c r="Q2224" s="545">
        <f>'Foglio deposito bis'!$F$78*IF(ABS(K2224)&lt;'Sollecitazioni nel paramento'!$G$58,ABS(K2224)*'Sollecitazioni nel paramento'!$G$54,'Sollecitazioni nel paramento'!$G$53)*IF(K2224&lt;0,-1,1)</f>
        <v>0</v>
      </c>
      <c r="R2224" s="545">
        <f>'Foglio deposito bis'!$F$79*IF(ABS(L2224)&lt;'Sollecitazioni nel paramento'!$G$58,ABS(L2224)*'Sollecitazioni nel paramento'!$G$54,'Sollecitazioni nel paramento'!$G$53)*IF(L2224&lt;0,-1,1)</f>
        <v>-153664.85805602249</v>
      </c>
      <c r="S2224" s="545">
        <f>'Foglio deposito bis'!$F$80*IF(ABS(M2224)&lt;'Sollecitazioni nel paramento'!$G$58,ABS(M2224)*'Sollecitazioni nel paramento'!$G$54,'Sollecitazioni nel paramento'!$G$53)*IF(M2224&lt;0,-1,1)</f>
        <v>0</v>
      </c>
      <c r="T2224" s="545">
        <f>'Foglio deposito bis'!$F$81*IF(ABS(N2224)&lt;'Sollecitazioni nel paramento'!$G$58,ABS(N2224)*'Sollecitazioni nel paramento'!$G$54,'Sollecitazioni nel paramento'!$G$53)*IF(N2224&lt;0,-1,1)</f>
        <v>-398299.31208121032</v>
      </c>
      <c r="U2224" s="545">
        <f>'Foglio deposito bis'!$F$82*IF(ABS(O2224)&lt;'Sollecitazioni nel paramento'!$G$58,ABS(O2224)*'Sollecitazioni nel paramento'!$G$54,'Sollecitazioni nel paramento'!$G$53)*IF(O2224&lt;0,-1,1)</f>
        <v>73118.742139341077</v>
      </c>
      <c r="V2224" s="472">
        <f t="shared" si="156"/>
        <v>-25805111.687347367</v>
      </c>
      <c r="W2224" s="551"/>
      <c r="X2224" s="551"/>
    </row>
    <row r="2225" spans="1:24" x14ac:dyDescent="0.25">
      <c r="A2225" s="545">
        <f t="shared" si="155"/>
        <v>26208976.313444886</v>
      </c>
      <c r="B2225" s="3">
        <f t="shared" si="153"/>
        <v>67.899999999999949</v>
      </c>
      <c r="C2225" s="545">
        <f>'Foglio deposito bis'!$E$161/sezione!$B$247*B2225</f>
        <v>674.72071978715871</v>
      </c>
      <c r="D2225" s="603">
        <f>-'Sollecitazioni nel paramento'!$G$47*'Sollecitazioni nel paramento'!$G$41*IF(DATI!$G$211="dx",DATI!$E$61,DATI!$E$64*DATI!$E$63)*1000*C2225^2*sezione!$AD$5*(1-sezione!$AD$6)</f>
        <v>-10128653610.686552</v>
      </c>
      <c r="E2225" s="545">
        <f>-'Foglio deposito bis'!$F$78*(C2225-sezione!$AL$35)*IF(ABS(K2225)&lt;'Sollecitazioni nel paramento'!$G$58,ABS(K2225)*'Sollecitazioni nel paramento'!$G$54,'Sollecitazioni nel paramento'!$G$53)</f>
        <v>0</v>
      </c>
      <c r="F2225" s="545">
        <f>-'Foglio deposito bis'!$F$79*(C2225-sezione!$AM$35)*IF(ABS(L2225)&lt;'Sollecitazioni nel paramento'!$G$58,ABS(L2225)*'Sollecitazioni nel paramento'!$G$54,'Sollecitazioni nel paramento'!$G$53)</f>
        <v>-94460972.150189713</v>
      </c>
      <c r="G2225" s="545">
        <f>-'Foglio deposito bis'!$F$80*(C2225-sezione!$AN$35)*IF(ABS(M2225)&lt;'Sollecitazioni nel paramento'!$G$58,ABS(M2225)*'Sollecitazioni nel paramento'!$G$54,'Sollecitazioni nel paramento'!$G$53)</f>
        <v>0</v>
      </c>
      <c r="H2225" s="545">
        <f>-'Foglio deposito bis'!$F$81*(C2225-sezione!$AO$35)*IF(ABS(N2225)&lt;'Sollecitazioni nel paramento'!$G$58,ABS(N2225)*'Sollecitazioni nel paramento'!$G$54,'Sollecitazioni nel paramento'!$G$53)</f>
        <v>-205012908.60517073</v>
      </c>
      <c r="I2225" s="472">
        <f>-'Foglio deposito bis'!$F$82*(C2225-sezione!$AP$35)*IF(ABS(O2225)&lt;'Sollecitazioni nel paramento'!$G$58,ABS(O2225)*'Sollecitazioni nel paramento'!$G$54,'Sollecitazioni nel paramento'!$G$53)</f>
        <v>938378.55188655516</v>
      </c>
      <c r="J2225" s="472">
        <f t="shared" si="154"/>
        <v>-10427189112.890028</v>
      </c>
      <c r="K2225" s="550">
        <f>'Sollecitazioni nel paramento'!$G$60*(sezione!$AL$35-C2225)/C2225</f>
        <v>-3.2925067425761535E-3</v>
      </c>
      <c r="L2225" s="550">
        <f>'Sollecitazioni nel paramento'!$G$60*(sezione!$AM$35-C2225)/C2225</f>
        <v>-3.1887601138642298E-3</v>
      </c>
      <c r="M2225" s="551">
        <f>'Sollecitazioni nel paramento'!$G$60*(sezione!$AN$35-C2225)/C2225</f>
        <v>-3.0850134851523069E-3</v>
      </c>
      <c r="N2225" s="551">
        <f>'Sollecitazioni nel paramento'!$G$60*(sezione!$AO$35-C2225)/C2225</f>
        <v>-2.6700269703046134E-3</v>
      </c>
      <c r="O2225" s="551">
        <f>'Sollecitazioni nel paramento'!$G$60*(sezione!$AP$35-C2225)/C2225</f>
        <v>1.0178509309161756E-4</v>
      </c>
      <c r="P2225" s="545">
        <f>-'Sollecitazioni nel paramento'!$G$47*'Sollecitazioni nel paramento'!$G$41*IF(DATI!$G$211="dx",DATI!$E$61,DATI!$E$64*DATI!$E$63)*1000*C2225*sezione!$AD$5</f>
        <v>-25704835.261731379</v>
      </c>
      <c r="Q2225" s="545">
        <f>'Foglio deposito bis'!$F$78*IF(ABS(K2225)&lt;'Sollecitazioni nel paramento'!$G$58,ABS(K2225)*'Sollecitazioni nel paramento'!$G$54,'Sollecitazioni nel paramento'!$G$53)*IF(K2225&lt;0,-1,1)</f>
        <v>0</v>
      </c>
      <c r="R2225" s="545">
        <f>'Foglio deposito bis'!$F$79*IF(ABS(L2225)&lt;'Sollecitazioni nel paramento'!$G$58,ABS(L2225)*'Sollecitazioni nel paramento'!$G$54,'Sollecitazioni nel paramento'!$G$53)*IF(L2225&lt;0,-1,1)</f>
        <v>-153664.85805602249</v>
      </c>
      <c r="S2225" s="545">
        <f>'Foglio deposito bis'!$F$80*IF(ABS(M2225)&lt;'Sollecitazioni nel paramento'!$G$58,ABS(M2225)*'Sollecitazioni nel paramento'!$G$54,'Sollecitazioni nel paramento'!$G$53)*IF(M2225&lt;0,-1,1)</f>
        <v>0</v>
      </c>
      <c r="T2225" s="545">
        <f>'Foglio deposito bis'!$F$81*IF(ABS(N2225)&lt;'Sollecitazioni nel paramento'!$G$58,ABS(N2225)*'Sollecitazioni nel paramento'!$G$54,'Sollecitazioni nel paramento'!$G$53)*IF(N2225&lt;0,-1,1)</f>
        <v>-398299.31208121032</v>
      </c>
      <c r="U2225" s="545">
        <f>'Foglio deposito bis'!$F$82*IF(ABS(O2225)&lt;'Sollecitazioni nel paramento'!$G$58,ABS(O2225)*'Sollecitazioni nel paramento'!$G$54,'Sollecitazioni nel paramento'!$G$53)*IF(O2225&lt;0,-1,1)</f>
        <v>47823.11842372534</v>
      </c>
      <c r="V2225" s="472">
        <f t="shared" si="156"/>
        <v>-26208976.313444886</v>
      </c>
      <c r="W2225" s="551"/>
      <c r="X2225" s="551"/>
    </row>
    <row r="2226" spans="1:24" x14ac:dyDescent="0.25">
      <c r="A2226" s="545">
        <f t="shared" si="155"/>
        <v>26612106.668897547</v>
      </c>
      <c r="B2226" s="3">
        <f t="shared" si="153"/>
        <v>68.899999999999949</v>
      </c>
      <c r="C2226" s="545">
        <f>'Foglio deposito bis'!$E$161/sezione!$B$247*B2226</f>
        <v>684.65769651451012</v>
      </c>
      <c r="D2226" s="603">
        <f>-'Sollecitazioni nel paramento'!$G$47*'Sollecitazioni nel paramento'!$G$41*IF(DATI!$G$211="dx",DATI!$E$61,DATI!$E$64*DATI!$E$63)*1000*C2226^2*sezione!$AD$5*(1-sezione!$AD$6)</f>
        <v>-10429190832.743141</v>
      </c>
      <c r="E2226" s="545">
        <f>-'Foglio deposito bis'!$F$78*(C2226-sezione!$AL$35)*IF(ABS(K2226)&lt;'Sollecitazioni nel paramento'!$G$58,ABS(K2226)*'Sollecitazioni nel paramento'!$G$54,'Sollecitazioni nel paramento'!$G$53)</f>
        <v>0</v>
      </c>
      <c r="F2226" s="545">
        <f>-'Foglio deposito bis'!$F$79*(C2226-sezione!$AM$35)*IF(ABS(L2226)&lt;'Sollecitazioni nel paramento'!$G$58,ABS(L2226)*'Sollecitazioni nel paramento'!$G$54,'Sollecitazioni nel paramento'!$G$53)</f>
        <v>-95987936.268504173</v>
      </c>
      <c r="G2226" s="545">
        <f>-'Foglio deposito bis'!$F$80*(C2226-sezione!$AN$35)*IF(ABS(M2226)&lt;'Sollecitazioni nel paramento'!$G$58,ABS(M2226)*'Sollecitazioni nel paramento'!$G$54,'Sollecitazioni nel paramento'!$G$53)</f>
        <v>0</v>
      </c>
      <c r="H2226" s="545">
        <f>-'Foglio deposito bis'!$F$81*(C2226-sezione!$AO$35)*IF(ABS(N2226)&lt;'Sollecitazioni nel paramento'!$G$58,ABS(N2226)*'Sollecitazioni nel paramento'!$G$54,'Sollecitazioni nel paramento'!$G$53)</f>
        <v>-208970799.5998418</v>
      </c>
      <c r="I2226" s="472">
        <f>-'Foglio deposito bis'!$F$82*(C2226-sezione!$AP$35)*IF(ABS(O2226)&lt;'Sollecitazioni nel paramento'!$G$58,ABS(O2226)*'Sollecitazioni nel paramento'!$G$54,'Sollecitazioni nel paramento'!$G$53)</f>
        <v>225287.49062910743</v>
      </c>
      <c r="J2226" s="472">
        <f t="shared" si="154"/>
        <v>-10733924281.120859</v>
      </c>
      <c r="K2226" s="550">
        <f>'Sollecitazioni nel paramento'!$G$60*(sezione!$AL$35-C2226)/C2226</f>
        <v>-3.2955182557463112E-3</v>
      </c>
      <c r="L2226" s="550">
        <f>'Sollecitazioni nel paramento'!$G$60*(sezione!$AM$35-C2226)/C2226</f>
        <v>-3.1932773836194661E-3</v>
      </c>
      <c r="M2226" s="551">
        <f>'Sollecitazioni nel paramento'!$G$60*(sezione!$AN$35-C2226)/C2226</f>
        <v>-3.0910365114926218E-3</v>
      </c>
      <c r="N2226" s="551">
        <f>'Sollecitazioni nel paramento'!$G$60*(sezione!$AO$35-C2226)/C2226</f>
        <v>-2.6820730229852431E-3</v>
      </c>
      <c r="O2226" s="551">
        <f>'Sollecitazioni nel paramento'!$G$60*(sezione!$AP$35-C2226)/C2226</f>
        <v>4.9509547473451701E-5</v>
      </c>
      <c r="P2226" s="545">
        <f>-'Sollecitazioni nel paramento'!$G$47*'Sollecitazioni nel paramento'!$G$41*IF(DATI!$G$211="dx",DATI!$E$61,DATI!$E$64*DATI!$E$63)*1000*C2226*sezione!$AD$5</f>
        <v>-26083404.264113288</v>
      </c>
      <c r="Q2226" s="545">
        <f>'Foglio deposito bis'!$F$78*IF(ABS(K2226)&lt;'Sollecitazioni nel paramento'!$G$58,ABS(K2226)*'Sollecitazioni nel paramento'!$G$54,'Sollecitazioni nel paramento'!$G$53)*IF(K2226&lt;0,-1,1)</f>
        <v>0</v>
      </c>
      <c r="R2226" s="545">
        <f>'Foglio deposito bis'!$F$79*IF(ABS(L2226)&lt;'Sollecitazioni nel paramento'!$G$58,ABS(L2226)*'Sollecitazioni nel paramento'!$G$54,'Sollecitazioni nel paramento'!$G$53)*IF(L2226&lt;0,-1,1)</f>
        <v>-153664.85805602249</v>
      </c>
      <c r="S2226" s="545">
        <f>'Foglio deposito bis'!$F$80*IF(ABS(M2226)&lt;'Sollecitazioni nel paramento'!$G$58,ABS(M2226)*'Sollecitazioni nel paramento'!$G$54,'Sollecitazioni nel paramento'!$G$53)*IF(M2226&lt;0,-1,1)</f>
        <v>0</v>
      </c>
      <c r="T2226" s="545">
        <f>'Foglio deposito bis'!$F$81*IF(ABS(N2226)&lt;'Sollecitazioni nel paramento'!$G$58,ABS(N2226)*'Sollecitazioni nel paramento'!$G$54,'Sollecitazioni nel paramento'!$G$53)*IF(N2226&lt;0,-1,1)</f>
        <v>-398299.31208121032</v>
      </c>
      <c r="U2226" s="545">
        <f>'Foglio deposito bis'!$F$82*IF(ABS(O2226)&lt;'Sollecitazioni nel paramento'!$G$58,ABS(O2226)*'Sollecitazioni nel paramento'!$G$54,'Sollecitazioni nel paramento'!$G$53)*IF(O2226&lt;0,-1,1)</f>
        <v>23261.765352975079</v>
      </c>
      <c r="V2226" s="472">
        <f t="shared" si="156"/>
        <v>-26612106.668897547</v>
      </c>
      <c r="W2226" s="551"/>
      <c r="X2226" s="551"/>
    </row>
    <row r="2227" spans="1:24" x14ac:dyDescent="0.25">
      <c r="A2227" s="545">
        <f t="shared" si="155"/>
        <v>27014534.267466921</v>
      </c>
      <c r="B2227" s="3">
        <f t="shared" si="153"/>
        <v>69.899999999999949</v>
      </c>
      <c r="C2227" s="545">
        <f>'Foglio deposito bis'!$E$161/sezione!$B$247*B2227</f>
        <v>694.59467324186153</v>
      </c>
      <c r="D2227" s="603">
        <f>-'Sollecitazioni nel paramento'!$G$47*'Sollecitazioni nel paramento'!$G$41*IF(DATI!$G$211="dx",DATI!$E$61,DATI!$E$64*DATI!$E$63)*1000*C2227^2*sezione!$AD$5*(1-sezione!$AD$6)</f>
        <v>-10734121873.835646</v>
      </c>
      <c r="E2227" s="545">
        <f>-'Foglio deposito bis'!$F$78*(C2227-sezione!$AL$35)*IF(ABS(K2227)&lt;'Sollecitazioni nel paramento'!$G$58,ABS(K2227)*'Sollecitazioni nel paramento'!$G$54,'Sollecitazioni nel paramento'!$G$53)</f>
        <v>0</v>
      </c>
      <c r="F2227" s="545">
        <f>-'Foglio deposito bis'!$F$79*(C2227-sezione!$AM$35)*IF(ABS(L2227)&lt;'Sollecitazioni nel paramento'!$G$58,ABS(L2227)*'Sollecitazioni nel paramento'!$G$54,'Sollecitazioni nel paramento'!$G$53)</f>
        <v>-97514900.386818632</v>
      </c>
      <c r="G2227" s="545">
        <f>-'Foglio deposito bis'!$F$80*(C2227-sezione!$AN$35)*IF(ABS(M2227)&lt;'Sollecitazioni nel paramento'!$G$58,ABS(M2227)*'Sollecitazioni nel paramento'!$G$54,'Sollecitazioni nel paramento'!$G$53)</f>
        <v>0</v>
      </c>
      <c r="H2227" s="545">
        <f>-'Foglio deposito bis'!$F$81*(C2227-sezione!$AO$35)*IF(ABS(N2227)&lt;'Sollecitazioni nel paramento'!$G$58,ABS(N2227)*'Sollecitazioni nel paramento'!$G$54,'Sollecitazioni nel paramento'!$G$53)</f>
        <v>-212928690.59451285</v>
      </c>
      <c r="I2227" s="472">
        <f>-'Foglio deposito bis'!$F$82*(C2227-sezione!$AP$35)*IF(ABS(O2227)&lt;'Sollecitazioni nel paramento'!$G$58,ABS(O2227)*'Sollecitazioni nel paramento'!$G$54,'Sollecitazioni nel paramento'!$G$53)</f>
        <v>-150.45692962915061</v>
      </c>
      <c r="J2227" s="472">
        <f t="shared" si="154"/>
        <v>-11044565615.273907</v>
      </c>
      <c r="K2227" s="550">
        <f>'Sollecitazioni nel paramento'!$G$60*(sezione!$AL$35-C2227)/C2227</f>
        <v>-3.2984436025882808E-3</v>
      </c>
      <c r="L2227" s="550">
        <f>'Sollecitazioni nel paramento'!$G$60*(sezione!$AM$35-C2227)/C2227</f>
        <v>-3.1976654038824207E-3</v>
      </c>
      <c r="M2227" s="551">
        <f>'Sollecitazioni nel paramento'!$G$60*(sezione!$AN$35-C2227)/C2227</f>
        <v>-3.0968872051765615E-3</v>
      </c>
      <c r="N2227" s="551">
        <f>'Sollecitazioni nel paramento'!$G$60*(sezione!$AO$35-C2227)/C2227</f>
        <v>-2.6937744103531225E-3</v>
      </c>
      <c r="O2227" s="551">
        <f>'Sollecitazioni nel paramento'!$G$60*(sezione!$AP$35-C2227)/C2227</f>
        <v>-1.2702743788152656E-6</v>
      </c>
      <c r="P2227" s="545">
        <f>-'Sollecitazioni nel paramento'!$G$47*'Sollecitazioni nel paramento'!$G$41*IF(DATI!$G$211="dx",DATI!$E$61,DATI!$E$64*DATI!$E$63)*1000*C2227*sezione!$AD$5</f>
        <v>-26461973.266495194</v>
      </c>
      <c r="Q2227" s="545">
        <f>'Foglio deposito bis'!$F$78*IF(ABS(K2227)&lt;'Sollecitazioni nel paramento'!$G$58,ABS(K2227)*'Sollecitazioni nel paramento'!$G$54,'Sollecitazioni nel paramento'!$G$53)*IF(K2227&lt;0,-1,1)</f>
        <v>0</v>
      </c>
      <c r="R2227" s="545">
        <f>'Foglio deposito bis'!$F$79*IF(ABS(L2227)&lt;'Sollecitazioni nel paramento'!$G$58,ABS(L2227)*'Sollecitazioni nel paramento'!$G$54,'Sollecitazioni nel paramento'!$G$53)*IF(L2227&lt;0,-1,1)</f>
        <v>-153664.85805602249</v>
      </c>
      <c r="S2227" s="545">
        <f>'Foglio deposito bis'!$F$80*IF(ABS(M2227)&lt;'Sollecitazioni nel paramento'!$G$58,ABS(M2227)*'Sollecitazioni nel paramento'!$G$54,'Sollecitazioni nel paramento'!$G$53)*IF(M2227&lt;0,-1,1)</f>
        <v>0</v>
      </c>
      <c r="T2227" s="545">
        <f>'Foglio deposito bis'!$F$81*IF(ABS(N2227)&lt;'Sollecitazioni nel paramento'!$G$58,ABS(N2227)*'Sollecitazioni nel paramento'!$G$54,'Sollecitazioni nel paramento'!$G$53)*IF(N2227&lt;0,-1,1)</f>
        <v>-398299.31208121032</v>
      </c>
      <c r="U2227" s="545">
        <f>'Foglio deposito bis'!$F$82*IF(ABS(O2227)&lt;'Sollecitazioni nel paramento'!$G$58,ABS(O2227)*'Sollecitazioni nel paramento'!$G$54,'Sollecitazioni nel paramento'!$G$53)*IF(O2227&lt;0,-1,1)</f>
        <v>-596.83083449190747</v>
      </c>
      <c r="V2227" s="472">
        <f t="shared" si="156"/>
        <v>-27014534.267466921</v>
      </c>
      <c r="W2227" s="551"/>
      <c r="X2227" s="551"/>
    </row>
    <row r="2228" spans="1:24" x14ac:dyDescent="0.25">
      <c r="A2228" s="545">
        <f t="shared" si="155"/>
        <v>27416288.844987277</v>
      </c>
      <c r="B2228" s="3">
        <f t="shared" si="153"/>
        <v>70.899999999999949</v>
      </c>
      <c r="C2228" s="545">
        <f>'Foglio deposito bis'!$E$161/sezione!$B$247*B2228</f>
        <v>704.53164996921282</v>
      </c>
      <c r="D2228" s="603">
        <f>-'Sollecitazioni nel paramento'!$G$47*'Sollecitazioni nel paramento'!$G$41*IF(DATI!$G$211="dx",DATI!$E$61,DATI!$E$64*DATI!$E$63)*1000*C2228^2*sezione!$AD$5*(1-sezione!$AD$6)</f>
        <v>-11043446733.964064</v>
      </c>
      <c r="E2228" s="545">
        <f>-'Foglio deposito bis'!$F$78*(C2228-sezione!$AL$35)*IF(ABS(K2228)&lt;'Sollecitazioni nel paramento'!$G$58,ABS(K2228)*'Sollecitazioni nel paramento'!$G$54,'Sollecitazioni nel paramento'!$G$53)</f>
        <v>0</v>
      </c>
      <c r="F2228" s="545">
        <f>-'Foglio deposito bis'!$F$79*(C2228-sezione!$AM$35)*IF(ABS(L2228)&lt;'Sollecitazioni nel paramento'!$G$58,ABS(L2228)*'Sollecitazioni nel paramento'!$G$54,'Sollecitazioni nel paramento'!$G$53)</f>
        <v>-99041864.505133063</v>
      </c>
      <c r="G2228" s="545">
        <f>-'Foglio deposito bis'!$F$80*(C2228-sezione!$AN$35)*IF(ABS(M2228)&lt;'Sollecitazioni nel paramento'!$G$58,ABS(M2228)*'Sollecitazioni nel paramento'!$G$54,'Sollecitazioni nel paramento'!$G$53)</f>
        <v>0</v>
      </c>
      <c r="H2228" s="545">
        <f>-'Foglio deposito bis'!$F$81*(C2228-sezione!$AO$35)*IF(ABS(N2228)&lt;'Sollecitazioni nel paramento'!$G$58,ABS(N2228)*'Sollecitazioni nel paramento'!$G$54,'Sollecitazioni nel paramento'!$G$53)</f>
        <v>-216886581.58918387</v>
      </c>
      <c r="I2228" s="472">
        <f>-'Foglio deposito bis'!$F$82*(C2228-sezione!$AP$35)*IF(ABS(O2228)&lt;'Sollecitazioni nel paramento'!$G$58,ABS(O2228)*'Sollecitazioni nel paramento'!$G$54,'Sollecitazioni nel paramento'!$G$53)</f>
        <v>-242320.59489708635</v>
      </c>
      <c r="J2228" s="472">
        <f t="shared" si="154"/>
        <v>-11359617500.653276</v>
      </c>
      <c r="K2228" s="550">
        <f>'Sollecitazioni nel paramento'!$G$60*(sezione!$AL$35-C2228)/C2228</f>
        <v>-3.3012864290679947E-3</v>
      </c>
      <c r="L2228" s="550">
        <f>'Sollecitazioni nel paramento'!$G$60*(sezione!$AM$35-C2228)/C2228</f>
        <v>-3.2019296436019916E-3</v>
      </c>
      <c r="M2228" s="551">
        <f>'Sollecitazioni nel paramento'!$G$60*(sezione!$AN$35-C2228)/C2228</f>
        <v>-3.1025728581359894E-3</v>
      </c>
      <c r="N2228" s="551">
        <f>'Sollecitazioni nel paramento'!$G$60*(sezione!$AO$35-C2228)/C2228</f>
        <v>-2.7051457162719783E-3</v>
      </c>
      <c r="O2228" s="551">
        <f>'Sollecitazioni nel paramento'!$G$60*(sezione!$AP$35-C2228)/C2228</f>
        <v>-5.0617661199988112E-5</v>
      </c>
      <c r="P2228" s="545">
        <f>-'Sollecitazioni nel paramento'!$G$47*'Sollecitazioni nel paramento'!$G$41*IF(DATI!$G$211="dx",DATI!$E$61,DATI!$E$64*DATI!$E$63)*1000*C2228*sezione!$AD$5</f>
        <v>-26840542.268877096</v>
      </c>
      <c r="Q2228" s="545">
        <f>'Foglio deposito bis'!$F$78*IF(ABS(K2228)&lt;'Sollecitazioni nel paramento'!$G$58,ABS(K2228)*'Sollecitazioni nel paramento'!$G$54,'Sollecitazioni nel paramento'!$G$53)*IF(K2228&lt;0,-1,1)</f>
        <v>0</v>
      </c>
      <c r="R2228" s="545">
        <f>'Foglio deposito bis'!$F$79*IF(ABS(L2228)&lt;'Sollecitazioni nel paramento'!$G$58,ABS(L2228)*'Sollecitazioni nel paramento'!$G$54,'Sollecitazioni nel paramento'!$G$53)*IF(L2228&lt;0,-1,1)</f>
        <v>-153664.85805602249</v>
      </c>
      <c r="S2228" s="545">
        <f>'Foglio deposito bis'!$F$80*IF(ABS(M2228)&lt;'Sollecitazioni nel paramento'!$G$58,ABS(M2228)*'Sollecitazioni nel paramento'!$G$54,'Sollecitazioni nel paramento'!$G$53)*IF(M2228&lt;0,-1,1)</f>
        <v>0</v>
      </c>
      <c r="T2228" s="545">
        <f>'Foglio deposito bis'!$F$81*IF(ABS(N2228)&lt;'Sollecitazioni nel paramento'!$G$58,ABS(N2228)*'Sollecitazioni nel paramento'!$G$54,'Sollecitazioni nel paramento'!$G$53)*IF(N2228&lt;0,-1,1)</f>
        <v>-398299.31208121032</v>
      </c>
      <c r="U2228" s="545">
        <f>'Foglio deposito bis'!$F$82*IF(ABS(O2228)&lt;'Sollecitazioni nel paramento'!$G$58,ABS(O2228)*'Sollecitazioni nel paramento'!$G$54,'Sollecitazioni nel paramento'!$G$53)*IF(O2228&lt;0,-1,1)</f>
        <v>-23782.405972946872</v>
      </c>
      <c r="V2228" s="472">
        <f t="shared" si="156"/>
        <v>-27416288.844987277</v>
      </c>
      <c r="W2228" s="551"/>
      <c r="X2228" s="551"/>
    </row>
    <row r="2229" spans="1:24" x14ac:dyDescent="0.25">
      <c r="A2229" s="545">
        <f t="shared" si="155"/>
        <v>27817398.483004481</v>
      </c>
      <c r="B2229" s="3">
        <f t="shared" si="153"/>
        <v>71.899999999999949</v>
      </c>
      <c r="C2229" s="545">
        <f>'Foglio deposito bis'!$E$161/sezione!$B$247*B2229</f>
        <v>714.46862669656423</v>
      </c>
      <c r="D2229" s="603">
        <f>-'Sollecitazioni nel paramento'!$G$47*'Sollecitazioni nel paramento'!$G$41*IF(DATI!$G$211="dx",DATI!$E$61,DATI!$E$64*DATI!$E$63)*1000*C2229^2*sezione!$AD$5*(1-sezione!$AD$6)</f>
        <v>-11357165413.128399</v>
      </c>
      <c r="E2229" s="545">
        <f>-'Foglio deposito bis'!$F$78*(C2229-sezione!$AL$35)*IF(ABS(K2229)&lt;'Sollecitazioni nel paramento'!$G$58,ABS(K2229)*'Sollecitazioni nel paramento'!$G$54,'Sollecitazioni nel paramento'!$G$53)</f>
        <v>0</v>
      </c>
      <c r="F2229" s="545">
        <f>-'Foglio deposito bis'!$F$79*(C2229-sezione!$AM$35)*IF(ABS(L2229)&lt;'Sollecitazioni nel paramento'!$G$58,ABS(L2229)*'Sollecitazioni nel paramento'!$G$54,'Sollecitazioni nel paramento'!$G$53)</f>
        <v>-100568828.62344751</v>
      </c>
      <c r="G2229" s="545">
        <f>-'Foglio deposito bis'!$F$80*(C2229-sezione!$AN$35)*IF(ABS(M2229)&lt;'Sollecitazioni nel paramento'!$G$58,ABS(M2229)*'Sollecitazioni nel paramento'!$G$54,'Sollecitazioni nel paramento'!$G$53)</f>
        <v>0</v>
      </c>
      <c r="H2229" s="545">
        <f>-'Foglio deposito bis'!$F$81*(C2229-sezione!$AO$35)*IF(ABS(N2229)&lt;'Sollecitazioni nel paramento'!$G$58,ABS(N2229)*'Sollecitazioni nel paramento'!$G$54,'Sollecitazioni nel paramento'!$G$53)</f>
        <v>-220844472.58385491</v>
      </c>
      <c r="I2229" s="472">
        <f>-'Foglio deposito bis'!$F$82*(C2229-sezione!$AP$35)*IF(ABS(O2229)&lt;'Sollecitazioni nel paramento'!$G$58,ABS(O2229)*'Sollecitazioni nel paramento'!$G$54,'Sollecitazioni nel paramento'!$G$53)</f>
        <v>-932299.69152730086</v>
      </c>
      <c r="J2229" s="472">
        <f t="shared" si="154"/>
        <v>-11679511014.027227</v>
      </c>
      <c r="K2229" s="550">
        <f>'Sollecitazioni nel paramento'!$G$60*(sezione!$AL$35-C2229)/C2229</f>
        <v>-3.3040501783160063E-3</v>
      </c>
      <c r="L2229" s="550">
        <f>'Sollecitazioni nel paramento'!$G$60*(sezione!$AM$35-C2229)/C2229</f>
        <v>-3.2060752674740087E-3</v>
      </c>
      <c r="M2229" s="551">
        <f>'Sollecitazioni nel paramento'!$G$60*(sezione!$AN$35-C2229)/C2229</f>
        <v>-3.1081003566320116E-3</v>
      </c>
      <c r="N2229" s="551">
        <f>'Sollecitazioni nel paramento'!$G$60*(sezione!$AO$35-C2229)/C2229</f>
        <v>-2.7162007132640231E-3</v>
      </c>
      <c r="O2229" s="551">
        <f>'Sollecitazioni nel paramento'!$G$60*(sezione!$AP$35-C2229)/C2229</f>
        <v>-9.8592380793868789E-5</v>
      </c>
      <c r="P2229" s="545">
        <f>-'Sollecitazioni nel paramento'!$G$47*'Sollecitazioni nel paramento'!$G$41*IF(DATI!$G$211="dx",DATI!$E$61,DATI!$E$64*DATI!$E$63)*1000*C2229*sezione!$AD$5</f>
        <v>-27219111.271258999</v>
      </c>
      <c r="Q2229" s="545">
        <f>'Foglio deposito bis'!$F$78*IF(ABS(K2229)&lt;'Sollecitazioni nel paramento'!$G$58,ABS(K2229)*'Sollecitazioni nel paramento'!$G$54,'Sollecitazioni nel paramento'!$G$53)*IF(K2229&lt;0,-1,1)</f>
        <v>0</v>
      </c>
      <c r="R2229" s="545">
        <f>'Foglio deposito bis'!$F$79*IF(ABS(L2229)&lt;'Sollecitazioni nel paramento'!$G$58,ABS(L2229)*'Sollecitazioni nel paramento'!$G$54,'Sollecitazioni nel paramento'!$G$53)*IF(L2229&lt;0,-1,1)</f>
        <v>-153664.85805602249</v>
      </c>
      <c r="S2229" s="545">
        <f>'Foglio deposito bis'!$F$80*IF(ABS(M2229)&lt;'Sollecitazioni nel paramento'!$G$58,ABS(M2229)*'Sollecitazioni nel paramento'!$G$54,'Sollecitazioni nel paramento'!$G$53)*IF(M2229&lt;0,-1,1)</f>
        <v>0</v>
      </c>
      <c r="T2229" s="545">
        <f>'Foglio deposito bis'!$F$81*IF(ABS(N2229)&lt;'Sollecitazioni nel paramento'!$G$58,ABS(N2229)*'Sollecitazioni nel paramento'!$G$54,'Sollecitazioni nel paramento'!$G$53)*IF(N2229&lt;0,-1,1)</f>
        <v>-398299.31208121032</v>
      </c>
      <c r="U2229" s="545">
        <f>'Foglio deposito bis'!$F$82*IF(ABS(O2229)&lt;'Sollecitazioni nel paramento'!$G$58,ABS(O2229)*'Sollecitazioni nel paramento'!$G$54,'Sollecitazioni nel paramento'!$G$53)*IF(O2229&lt;0,-1,1)</f>
        <v>-46323.041608246182</v>
      </c>
      <c r="V2229" s="472">
        <f t="shared" si="156"/>
        <v>-27817398.483004481</v>
      </c>
      <c r="W2229" s="551"/>
      <c r="X2229" s="551"/>
    </row>
    <row r="2230" spans="1:24" x14ac:dyDescent="0.25">
      <c r="A2230" s="545">
        <f t="shared" si="155"/>
        <v>28217889.722238827</v>
      </c>
      <c r="B2230" s="3">
        <f t="shared" si="153"/>
        <v>72.899999999999949</v>
      </c>
      <c r="C2230" s="545">
        <f>'Foglio deposito bis'!$E$161/sezione!$B$247*B2230</f>
        <v>724.40560342391564</v>
      </c>
      <c r="D2230" s="603">
        <f>-'Sollecitazioni nel paramento'!$G$47*'Sollecitazioni nel paramento'!$G$41*IF(DATI!$G$211="dx",DATI!$E$61,DATI!$E$64*DATI!$E$63)*1000*C2230^2*sezione!$AD$5*(1-sezione!$AD$6)</f>
        <v>-11675277911.32865</v>
      </c>
      <c r="E2230" s="545">
        <f>-'Foglio deposito bis'!$F$78*(C2230-sezione!$AL$35)*IF(ABS(K2230)&lt;'Sollecitazioni nel paramento'!$G$58,ABS(K2230)*'Sollecitazioni nel paramento'!$G$54,'Sollecitazioni nel paramento'!$G$53)</f>
        <v>0</v>
      </c>
      <c r="F2230" s="545">
        <f>-'Foglio deposito bis'!$F$79*(C2230-sezione!$AM$35)*IF(ABS(L2230)&lt;'Sollecitazioni nel paramento'!$G$58,ABS(L2230)*'Sollecitazioni nel paramento'!$G$54,'Sollecitazioni nel paramento'!$G$53)</f>
        <v>-102095792.74176197</v>
      </c>
      <c r="G2230" s="545">
        <f>-'Foglio deposito bis'!$F$80*(C2230-sezione!$AN$35)*IF(ABS(M2230)&lt;'Sollecitazioni nel paramento'!$G$58,ABS(M2230)*'Sollecitazioni nel paramento'!$G$54,'Sollecitazioni nel paramento'!$G$53)</f>
        <v>0</v>
      </c>
      <c r="H2230" s="545">
        <f>-'Foglio deposito bis'!$F$81*(C2230-sezione!$AO$35)*IF(ABS(N2230)&lt;'Sollecitazioni nel paramento'!$G$58,ABS(N2230)*'Sollecitazioni nel paramento'!$G$54,'Sollecitazioni nel paramento'!$G$53)</f>
        <v>-224802363.57852599</v>
      </c>
      <c r="I2230" s="472">
        <f>-'Foglio deposito bis'!$F$82*(C2230-sezione!$AP$35)*IF(ABS(O2230)&lt;'Sollecitazioni nel paramento'!$G$58,ABS(O2230)*'Sollecitazioni nel paramento'!$G$54,'Sollecitazioni nel paramento'!$G$53)</f>
        <v>-2051659.3946119286</v>
      </c>
      <c r="J2230" s="472">
        <f t="shared" si="154"/>
        <v>-12004227727.043549</v>
      </c>
      <c r="K2230" s="550">
        <f>'Sollecitazioni nel paramento'!$G$60*(sezione!$AL$35-C2230)/C2230</f>
        <v>-3.3067381045393798E-3</v>
      </c>
      <c r="L2230" s="550">
        <f>'Sollecitazioni nel paramento'!$G$60*(sezione!$AM$35-C2230)/C2230</f>
        <v>-3.2101071568090703E-3</v>
      </c>
      <c r="M2230" s="551">
        <f>'Sollecitazioni nel paramento'!$G$60*(sezione!$AN$35-C2230)/C2230</f>
        <v>-3.1134762090787604E-3</v>
      </c>
      <c r="N2230" s="551">
        <f>'Sollecitazioni nel paramento'!$G$60*(sezione!$AO$35-C2230)/C2230</f>
        <v>-2.7269524181575211E-3</v>
      </c>
      <c r="O2230" s="551">
        <f>'Sollecitazioni nel paramento'!$G$60*(sezione!$AP$35-C2230)/C2230</f>
        <v>-1.4525092152371983E-4</v>
      </c>
      <c r="P2230" s="545">
        <f>-'Sollecitazioni nel paramento'!$G$47*'Sollecitazioni nel paramento'!$G$41*IF(DATI!$G$211="dx",DATI!$E$61,DATI!$E$64*DATI!$E$63)*1000*C2230*sezione!$AD$5</f>
        <v>-27597680.273640908</v>
      </c>
      <c r="Q2230" s="545">
        <f>'Foglio deposito bis'!$F$78*IF(ABS(K2230)&lt;'Sollecitazioni nel paramento'!$G$58,ABS(K2230)*'Sollecitazioni nel paramento'!$G$54,'Sollecitazioni nel paramento'!$G$53)*IF(K2230&lt;0,-1,1)</f>
        <v>0</v>
      </c>
      <c r="R2230" s="545">
        <f>'Foglio deposito bis'!$F$79*IF(ABS(L2230)&lt;'Sollecitazioni nel paramento'!$G$58,ABS(L2230)*'Sollecitazioni nel paramento'!$G$54,'Sollecitazioni nel paramento'!$G$53)*IF(L2230&lt;0,-1,1)</f>
        <v>-153664.85805602249</v>
      </c>
      <c r="S2230" s="545">
        <f>'Foglio deposito bis'!$F$80*IF(ABS(M2230)&lt;'Sollecitazioni nel paramento'!$G$58,ABS(M2230)*'Sollecitazioni nel paramento'!$G$54,'Sollecitazioni nel paramento'!$G$53)*IF(M2230&lt;0,-1,1)</f>
        <v>0</v>
      </c>
      <c r="T2230" s="545">
        <f>'Foglio deposito bis'!$F$81*IF(ABS(N2230)&lt;'Sollecitazioni nel paramento'!$G$58,ABS(N2230)*'Sollecitazioni nel paramento'!$G$54,'Sollecitazioni nel paramento'!$G$53)*IF(N2230&lt;0,-1,1)</f>
        <v>-398299.31208121032</v>
      </c>
      <c r="U2230" s="545">
        <f>'Foglio deposito bis'!$F$82*IF(ABS(O2230)&lt;'Sollecitazioni nel paramento'!$G$58,ABS(O2230)*'Sollecitazioni nel paramento'!$G$54,'Sollecitazioni nel paramento'!$G$53)*IF(O2230&lt;0,-1,1)</f>
        <v>-68245.278460684058</v>
      </c>
      <c r="V2230" s="472">
        <f t="shared" si="156"/>
        <v>-28217889.722238827</v>
      </c>
      <c r="W2230" s="551"/>
      <c r="X2230" s="551"/>
    </row>
    <row r="2231" spans="1:24" x14ac:dyDescent="0.25">
      <c r="A2231" s="545">
        <f t="shared" si="155"/>
        <v>28617787.666835755</v>
      </c>
      <c r="B2231" s="3">
        <f t="shared" si="153"/>
        <v>73.899999999999949</v>
      </c>
      <c r="C2231" s="545">
        <f>'Foglio deposito bis'!$E$161/sezione!$B$247*B2231</f>
        <v>734.34258015126704</v>
      </c>
      <c r="D2231" s="31">
        <f>-'Sollecitazioni nel paramento'!$G$47*'Sollecitazioni nel paramento'!$G$41*IF(DATI!$G$211="dx",DATI!$E$61,DATI!$E$64*DATI!$E$63)*1000*C2231^2*sezione!$AD$5*(1-sezione!$AD$6)</f>
        <v>-11997784228.564816</v>
      </c>
      <c r="E2231" s="545">
        <f>-'Foglio deposito bis'!$F$78*(C2231-sezione!$AL$35)*IF(ABS(K2231)&lt;'Sollecitazioni nel paramento'!$G$58,ABS(K2231)*'Sollecitazioni nel paramento'!$G$54,'Sollecitazioni nel paramento'!$G$53)</f>
        <v>0</v>
      </c>
      <c r="F2231" s="545">
        <f>-'Foglio deposito bis'!$F$79*(C2231-sezione!$AM$35)*IF(ABS(L2231)&lt;'Sollecitazioni nel paramento'!$G$58,ABS(L2231)*'Sollecitazioni nel paramento'!$G$54,'Sollecitazioni nel paramento'!$G$53)</f>
        <v>-103622756.86007641</v>
      </c>
      <c r="G2231" s="545">
        <f>-'Foglio deposito bis'!$F$80*(C2231-sezione!$AN$35)*IF(ABS(M2231)&lt;'Sollecitazioni nel paramento'!$G$58,ABS(M2231)*'Sollecitazioni nel paramento'!$G$54,'Sollecitazioni nel paramento'!$G$53)</f>
        <v>0</v>
      </c>
      <c r="H2231" s="545">
        <f>-'Foglio deposito bis'!$F$81*(C2231-sezione!$AO$35)*IF(ABS(N2231)&lt;'Sollecitazioni nel paramento'!$G$58,ABS(N2231)*'Sollecitazioni nel paramento'!$G$54,'Sollecitazioni nel paramento'!$G$53)</f>
        <v>-228760254.57319704</v>
      </c>
      <c r="I2231" s="472">
        <f>-'Foglio deposito bis'!$F$82*(C2231-sezione!$AP$35)*IF(ABS(O2231)&lt;'Sollecitazioni nel paramento'!$G$58,ABS(O2231)*'Sollecitazioni nel paramento'!$G$54,'Sollecitazioni nel paramento'!$G$53)</f>
        <v>-3582968.8270283276</v>
      </c>
      <c r="J2231" s="472">
        <f t="shared" si="154"/>
        <v>-12333750208.825117</v>
      </c>
      <c r="K2231" s="550">
        <f>'Sollecitazioni nel paramento'!$G$60*(sezione!$AL$35-C2231)/C2231</f>
        <v>-3.3093532858040706E-3</v>
      </c>
      <c r="L2231" s="550">
        <f>'Sollecitazioni nel paramento'!$G$60*(sezione!$AM$35-C2231)/C2231</f>
        <v>-3.2140299287061061E-3</v>
      </c>
      <c r="M2231" s="551">
        <f>'Sollecitazioni nel paramento'!$G$60*(sezione!$AN$35-C2231)/C2231</f>
        <v>-3.1187065716081416E-3</v>
      </c>
      <c r="N2231" s="551">
        <f>'Sollecitazioni nel paramento'!$G$60*(sezione!$AO$35-C2231)/C2231</f>
        <v>-2.7374131432162823E-3</v>
      </c>
      <c r="O2231" s="551">
        <f>'Sollecitazioni nel paramento'!$G$60*(sezione!$AP$35-C2231)/C2231</f>
        <v>-1.9064671419592944E-4</v>
      </c>
      <c r="P2231" s="545">
        <f>-'Sollecitazioni nel paramento'!$G$47*'Sollecitazioni nel paramento'!$G$41*IF(DATI!$G$211="dx",DATI!$E$61,DATI!$E$64*DATI!$E$63)*1000*C2231*sezione!$AD$5</f>
        <v>-27976249.276022814</v>
      </c>
      <c r="Q2231" s="545">
        <f>'Foglio deposito bis'!$F$78*IF(ABS(K2231)&lt;'Sollecitazioni nel paramento'!$G$58,ABS(K2231)*'Sollecitazioni nel paramento'!$G$54,'Sollecitazioni nel paramento'!$G$53)*IF(K2231&lt;0,-1,1)</f>
        <v>0</v>
      </c>
      <c r="R2231" s="545">
        <f>'Foglio deposito bis'!$F$79*IF(ABS(L2231)&lt;'Sollecitazioni nel paramento'!$G$58,ABS(L2231)*'Sollecitazioni nel paramento'!$G$54,'Sollecitazioni nel paramento'!$G$53)*IF(L2231&lt;0,-1,1)</f>
        <v>-153664.85805602249</v>
      </c>
      <c r="S2231" s="545">
        <f>'Foglio deposito bis'!$F$80*IF(ABS(M2231)&lt;'Sollecitazioni nel paramento'!$G$58,ABS(M2231)*'Sollecitazioni nel paramento'!$G$54,'Sollecitazioni nel paramento'!$G$53)*IF(M2231&lt;0,-1,1)</f>
        <v>0</v>
      </c>
      <c r="T2231" s="545">
        <f>'Foglio deposito bis'!$F$81*IF(ABS(N2231)&lt;'Sollecitazioni nel paramento'!$G$58,ABS(N2231)*'Sollecitazioni nel paramento'!$G$54,'Sollecitazioni nel paramento'!$G$53)*IF(N2231&lt;0,-1,1)</f>
        <v>-398299.31208121032</v>
      </c>
      <c r="U2231" s="545">
        <f>'Foglio deposito bis'!$F$82*IF(ABS(O2231)&lt;'Sollecitazioni nel paramento'!$G$58,ABS(O2231)*'Sollecitazioni nel paramento'!$G$54,'Sollecitazioni nel paramento'!$G$53)*IF(O2231&lt;0,-1,1)</f>
        <v>-89574.220675708202</v>
      </c>
      <c r="V2231" s="472">
        <f t="shared" si="156"/>
        <v>-28617787.666835755</v>
      </c>
      <c r="W2231" s="551"/>
      <c r="X2231" s="551"/>
    </row>
    <row r="2232" spans="1:24" x14ac:dyDescent="0.25">
      <c r="P2232" s="545"/>
      <c r="Q2232" s="545"/>
      <c r="R2232" s="545"/>
      <c r="S2232" s="545"/>
      <c r="T2232" s="545"/>
      <c r="U2232" s="545"/>
      <c r="V2232" s="472"/>
    </row>
    <row r="2233" spans="1:24" x14ac:dyDescent="0.25">
      <c r="P2233" s="545"/>
      <c r="Q2233" s="545"/>
      <c r="R2233" s="545"/>
      <c r="S2233" s="545"/>
      <c r="T2233" s="545"/>
      <c r="U2233" s="545"/>
      <c r="V2233" s="472"/>
    </row>
    <row r="2234" spans="1:24" ht="15.75" x14ac:dyDescent="0.25">
      <c r="A2234" s="1035" t="s">
        <v>959</v>
      </c>
      <c r="B2234" s="1036"/>
      <c r="C2234" s="1036"/>
      <c r="D2234" s="1036"/>
      <c r="E2234" s="1036"/>
      <c r="F2234" s="1036"/>
      <c r="G2234" s="1036"/>
      <c r="H2234" s="1036"/>
      <c r="I2234" s="1036"/>
      <c r="J2234" s="1036"/>
      <c r="K2234" s="1036"/>
      <c r="L2234" s="1036"/>
      <c r="M2234" s="1036"/>
      <c r="N2234" s="1036"/>
      <c r="O2234" s="1037"/>
      <c r="P2234" s="545"/>
      <c r="Q2234" s="545"/>
      <c r="R2234" s="545"/>
      <c r="S2234" s="545"/>
      <c r="T2234" s="545"/>
      <c r="U2234" s="545"/>
      <c r="V2234" s="472"/>
      <c r="W2234" s="605"/>
      <c r="X2234" s="605"/>
    </row>
    <row r="2235" spans="1:24" x14ac:dyDescent="0.25">
      <c r="A2235" s="563">
        <v>1</v>
      </c>
      <c r="B2235" s="563">
        <v>2</v>
      </c>
      <c r="C2235" s="563">
        <v>3</v>
      </c>
      <c r="D2235" s="563">
        <v>4</v>
      </c>
      <c r="E2235" s="563">
        <v>5</v>
      </c>
      <c r="F2235" s="563">
        <v>6</v>
      </c>
      <c r="G2235" s="563">
        <v>7</v>
      </c>
      <c r="H2235" s="563">
        <v>8</v>
      </c>
      <c r="I2235" s="563">
        <v>9</v>
      </c>
      <c r="J2235" s="563">
        <v>10</v>
      </c>
      <c r="K2235" s="563">
        <v>11</v>
      </c>
      <c r="L2235" s="563">
        <v>12</v>
      </c>
      <c r="M2235" s="563">
        <v>13</v>
      </c>
      <c r="N2235" s="563">
        <v>14</v>
      </c>
      <c r="O2235" s="563">
        <v>15</v>
      </c>
      <c r="P2235" s="598">
        <v>4</v>
      </c>
      <c r="Q2235" s="598">
        <v>5</v>
      </c>
      <c r="R2235" s="598">
        <v>6</v>
      </c>
      <c r="S2235" s="598">
        <v>7</v>
      </c>
      <c r="T2235" s="598">
        <v>8</v>
      </c>
      <c r="U2235" s="598">
        <v>9</v>
      </c>
      <c r="V2235" s="598">
        <v>10</v>
      </c>
      <c r="W2235" s="46"/>
      <c r="X2235" s="46"/>
    </row>
    <row r="2236" spans="1:24" x14ac:dyDescent="0.25">
      <c r="A2236" s="565" t="s">
        <v>930</v>
      </c>
      <c r="B2236" s="80" t="s">
        <v>918</v>
      </c>
      <c r="C2236" s="563" t="s">
        <v>137</v>
      </c>
      <c r="D2236" s="563" t="s">
        <v>912</v>
      </c>
      <c r="E2236" s="563" t="s">
        <v>913</v>
      </c>
      <c r="F2236" s="563" t="s">
        <v>914</v>
      </c>
      <c r="G2236" s="563" t="s">
        <v>915</v>
      </c>
      <c r="H2236" s="563" t="s">
        <v>916</v>
      </c>
      <c r="I2236" s="563" t="s">
        <v>917</v>
      </c>
      <c r="J2236" s="564" t="s">
        <v>911</v>
      </c>
      <c r="K2236" s="565" t="s">
        <v>924</v>
      </c>
      <c r="L2236" s="565" t="s">
        <v>925</v>
      </c>
      <c r="M2236" s="565" t="s">
        <v>926</v>
      </c>
      <c r="N2236" s="565" t="s">
        <v>927</v>
      </c>
      <c r="O2236" s="565" t="s">
        <v>928</v>
      </c>
      <c r="P2236" s="598" t="s">
        <v>296</v>
      </c>
      <c r="Q2236" s="598" t="s">
        <v>969</v>
      </c>
      <c r="R2236" s="598" t="s">
        <v>970</v>
      </c>
      <c r="S2236" s="598" t="s">
        <v>971</v>
      </c>
      <c r="T2236" s="598" t="s">
        <v>972</v>
      </c>
      <c r="U2236" s="598" t="s">
        <v>973</v>
      </c>
      <c r="V2236" s="599" t="s">
        <v>1022</v>
      </c>
      <c r="W2236" s="57"/>
      <c r="X2236" s="57"/>
    </row>
    <row r="2237" spans="1:24" x14ac:dyDescent="0.25">
      <c r="A2237" s="545">
        <f>ABS(V2237)</f>
        <v>2707808.4883793406</v>
      </c>
      <c r="B2237" s="3">
        <v>0</v>
      </c>
      <c r="C2237" s="41">
        <v>0.01</v>
      </c>
      <c r="D2237" s="31">
        <f>-'Sollecitazioni nel paramento'!$G$47*'Sollecitazioni nel paramento'!$G$41*IF(DATI!$G$211="dx",DATI!$E$61,DATI!$E$64*DATI!$E$63)*1000*C2237^2*sezione!$AD$5*(1-sezione!$AD$6)</f>
        <v>-2.2248647999999998</v>
      </c>
      <c r="E2237" s="545">
        <f>-'Foglio deposito bis'!$F$88*(C2237-sezione!$AL$36)*IF(ABS(K2237)&lt;'Sollecitazioni nel paramento'!$G$58,ABS(K2237)*'Sollecitazioni nel paramento'!$G$54,'Sollecitazioni nel paramento'!$G$53)</f>
        <v>0</v>
      </c>
      <c r="F2237" s="545">
        <f>-'Foglio deposito bis'!$F$89*(C2237-sezione!$AM$36)*IF(ABS(L2237)&lt;'Sollecitazioni nel paramento'!$G$58,ABS(L2237)*'Sollecitazioni nel paramento'!$G$54,'Sollecitazioni nel paramento'!$G$53)</f>
        <v>9218354.8347807899</v>
      </c>
      <c r="G2237" s="545">
        <f>-'Foglio deposito bis'!$F$90*(C2237-sezione!$AN$36)*IF(ABS(M2237)&lt;'Sollecitazioni nel paramento'!$G$58,ABS(M2237)*'Sollecitazioni nel paramento'!$G$54,'Sollecitazioni nel paramento'!$G$53)</f>
        <v>0</v>
      </c>
      <c r="H2237" s="545">
        <f>-'Foglio deposito bis'!$F$91*(C2237-sezione!$AO$36)*IF(ABS(N2237)&lt;'Sollecitazioni nel paramento'!$G$58,ABS(N2237)*'Sollecitazioni nel paramento'!$G$54,'Sollecitazioni nel paramento'!$G$53)</f>
        <v>142788754.4393447</v>
      </c>
      <c r="I2237" s="472">
        <f>-'Foglio deposito bis'!$F$92*(C2237-sezione!$AP$36)*IF(ABS(O2237)&lt;'Sollecitazioni nel paramento'!$G$58,ABS(O2237)*'Sollecitazioni nel paramento'!$G$54,'Sollecitazioni nel paramento'!$G$53)</f>
        <v>1258439982.892024</v>
      </c>
      <c r="J2237" s="472">
        <f t="shared" ref="J2237:J2300" si="157">D2237+E2237+F2237+G2237+H2237+I2237</f>
        <v>1410447089.9412847</v>
      </c>
      <c r="K2237" s="550">
        <f>'Sollecitazioni nel paramento'!$G$60*(sezione!$AL$36-C2237)/C2237</f>
        <v>13.996500000000001</v>
      </c>
      <c r="L2237" s="550">
        <f>'Sollecitazioni nel paramento'!$G$60*(sezione!$AM$36-C2237)/C2237</f>
        <v>20.996500000000001</v>
      </c>
      <c r="M2237" s="551">
        <f>'Sollecitazioni nel paramento'!$G$60*(sezione!$AN$36-C2237)/C2237</f>
        <v>27.996499999999997</v>
      </c>
      <c r="N2237" s="551">
        <f>'Sollecitazioni nel paramento'!$G$60*(sezione!$AO$36-C2237)/C2237</f>
        <v>55.996500000000005</v>
      </c>
      <c r="O2237" s="551">
        <f>'Sollecitazioni nel paramento'!$G$60*(sezione!$AP$36-C2237)/C2237</f>
        <v>265.00820152647174</v>
      </c>
      <c r="P2237" s="545">
        <f>-'Sollecitazioni nel paramento'!$G$47*'Sollecitazioni nel paramento'!$G$41*IF(DATI!$G$211="dx",DATI!$E$61,DATI!$E$64*DATI!$E$63)*1000*C2237*sezione!$AD$5</f>
        <v>-380.96999999999991</v>
      </c>
      <c r="Q2237" s="545">
        <f>'Foglio deposito bis'!$F$88*IF(ABS(K2237)&lt;'Sollecitazioni nel paramento'!$G$58,ABS(K2237)*'Sollecitazioni nel paramento'!$G$54,'Sollecitazioni nel paramento'!$G$53)*IF(K2237&lt;0,-1,1)</f>
        <v>0</v>
      </c>
      <c r="R2237" s="545">
        <f>'Foglio deposito bis'!$F$89*IF(ABS(L2237)&lt;'Sollecitazioni nel paramento'!$G$58,ABS(L2237)*'Sollecitazioni nel paramento'!$G$54,'Sollecitazioni nel paramento'!$G$53)*IF(L2237&lt;0,-1,1)</f>
        <v>153664.85805602249</v>
      </c>
      <c r="S2237" s="545">
        <f>'Foglio deposito bis'!$F$90*IF(ABS(M2237)&lt;'Sollecitazioni nel paramento'!$G$58,ABS(M2237)*'Sollecitazioni nel paramento'!$G$54,'Sollecitazioni nel paramento'!$G$53)*IF(M2237&lt;0,-1,1)</f>
        <v>0</v>
      </c>
      <c r="T2237" s="545">
        <f>'Foglio deposito bis'!$F$91*IF(ABS(N2237)&lt;'Sollecitazioni nel paramento'!$G$58,ABS(N2237)*'Sollecitazioni nel paramento'!$G$54,'Sollecitazioni nel paramento'!$G$53)*IF(N2237&lt;0,-1,1)</f>
        <v>892485.49558937876</v>
      </c>
      <c r="U2237" s="545">
        <f>'Foglio deposito bis'!$F$92*IF(ABS(O2237)&lt;'Sollecitazioni nel paramento'!$G$58,ABS(O2237)*'Sollecitazioni nel paramento'!$G$54,'Sollecitazioni nel paramento'!$G$53)*IF(O2237&lt;0,-1,1)</f>
        <v>1662039.1047339395</v>
      </c>
      <c r="V2237" s="472">
        <f>P2237+Q2237+R2237+S2237+T2237+U2237</f>
        <v>2707808.4883793406</v>
      </c>
      <c r="W2237" s="551"/>
      <c r="X2237" s="551"/>
    </row>
    <row r="2238" spans="1:24" x14ac:dyDescent="0.25">
      <c r="A2238" s="545">
        <f t="shared" ref="A2238:A2301" si="158">ABS(V2238)</f>
        <v>2687641.4034923236</v>
      </c>
      <c r="B2238" s="3">
        <f>B2237+0.05</f>
        <v>0.05</v>
      </c>
      <c r="C2238" s="545">
        <f>'Foglio deposito bis'!$E$162/sezione!$B$247*B2238</f>
        <v>0.53936149531504329</v>
      </c>
      <c r="D2238" s="603">
        <f>-'Sollecitazioni nel paramento'!$G$47*'Sollecitazioni nel paramento'!$G$41*IF(DATI!$G$211="dx",DATI!$E$61,DATI!$E$64*DATI!$E$63)*1000*C2238^2*sezione!$AD$5*(1-sezione!$AD$6)</f>
        <v>-6472.3724920514733</v>
      </c>
      <c r="E2238" s="545">
        <f>-'Foglio deposito bis'!$F$88*(C2238-sezione!$AL$36)*IF(ABS(K2238)&lt;'Sollecitazioni nel paramento'!$G$58,ABS(K2238)*'Sollecitazioni nel paramento'!$G$54,'Sollecitazioni nel paramento'!$G$53)</f>
        <v>0</v>
      </c>
      <c r="F2238" s="545">
        <f>-'Foglio deposito bis'!$F$89*(C2238-sezione!$AM$36)*IF(ABS(L2238)&lt;'Sollecitazioni nel paramento'!$G$58,ABS(L2238)*'Sollecitazioni nel paramento'!$G$54,'Sollecitazioni nel paramento'!$G$53)</f>
        <v>9137010.5757428799</v>
      </c>
      <c r="G2238" s="545">
        <f>-'Foglio deposito bis'!$F$90*(C2238-sezione!$AN$36)*IF(ABS(M2238)&lt;'Sollecitazioni nel paramento'!$G$58,ABS(M2238)*'Sollecitazioni nel paramento'!$G$54,'Sollecitazioni nel paramento'!$G$53)</f>
        <v>0</v>
      </c>
      <c r="H2238" s="545">
        <f>-'Foglio deposito bis'!$F$91*(C2238-sezione!$AO$36)*IF(ABS(N2238)&lt;'Sollecitazioni nel paramento'!$G$58,ABS(N2238)*'Sollecitazioni nel paramento'!$G$54,'Sollecitazioni nel paramento'!$G$53)</f>
        <v>142316306.98285255</v>
      </c>
      <c r="I2238" s="472">
        <f>-'Foglio deposito bis'!$F$92*(C2238-sezione!$AP$36)*IF(ABS(O2238)&lt;'Sollecitazioni nel paramento'!$G$58,ABS(O2238)*'Sollecitazioni nel paramento'!$G$54,'Sollecitazioni nel paramento'!$G$53)</f>
        <v>1257560163.38627</v>
      </c>
      <c r="J2238" s="472">
        <f t="shared" si="157"/>
        <v>1409007008.5723734</v>
      </c>
      <c r="K2238" s="550">
        <f>'Sollecitazioni nel paramento'!$G$60*(sezione!$AL$36-C2238)/C2238</f>
        <v>0.25606617447863134</v>
      </c>
      <c r="L2238" s="550">
        <f>'Sollecitazioni nel paramento'!$G$60*(sezione!$AM$36-C2238)/C2238</f>
        <v>0.38584926171794698</v>
      </c>
      <c r="M2238" s="551">
        <f>'Sollecitazioni nel paramento'!$G$60*(sezione!$AN$36-C2238)/C2238</f>
        <v>0.51563234895726262</v>
      </c>
      <c r="N2238" s="551">
        <f>'Sollecitazioni nel paramento'!$G$60*(sezione!$AO$36-C2238)/C2238</f>
        <v>1.0347646979145253</v>
      </c>
      <c r="O2238" s="551">
        <f>'Sollecitazioni nel paramento'!$G$60*(sezione!$AP$36-C2238)/C2238</f>
        <v>4.9099338255213656</v>
      </c>
      <c r="P2238" s="545">
        <f>-'Sollecitazioni nel paramento'!$G$47*'Sollecitazioni nel paramento'!$G$41*IF(DATI!$G$211="dx",DATI!$E$61,DATI!$E$64*DATI!$E$63)*1000*C2238*sezione!$AD$5</f>
        <v>-20548.054887017199</v>
      </c>
      <c r="Q2238" s="545">
        <f>'Foglio deposito bis'!$F$88*IF(ABS(K2238)&lt;'Sollecitazioni nel paramento'!$G$58,ABS(K2238)*'Sollecitazioni nel paramento'!$G$54,'Sollecitazioni nel paramento'!$G$53)*IF(K2238&lt;0,-1,1)</f>
        <v>0</v>
      </c>
      <c r="R2238" s="545">
        <f>'Foglio deposito bis'!$F$89*IF(ABS(L2238)&lt;'Sollecitazioni nel paramento'!$G$58,ABS(L2238)*'Sollecitazioni nel paramento'!$G$54,'Sollecitazioni nel paramento'!$G$53)*IF(L2238&lt;0,-1,1)</f>
        <v>153664.85805602249</v>
      </c>
      <c r="S2238" s="545">
        <f>'Foglio deposito bis'!$F$90*IF(ABS(M2238)&lt;'Sollecitazioni nel paramento'!$G$58,ABS(M2238)*'Sollecitazioni nel paramento'!$G$54,'Sollecitazioni nel paramento'!$G$53)*IF(M2238&lt;0,-1,1)</f>
        <v>0</v>
      </c>
      <c r="T2238" s="545">
        <f>'Foglio deposito bis'!$F$91*IF(ABS(N2238)&lt;'Sollecitazioni nel paramento'!$G$58,ABS(N2238)*'Sollecitazioni nel paramento'!$G$54,'Sollecitazioni nel paramento'!$G$53)*IF(N2238&lt;0,-1,1)</f>
        <v>892485.49558937876</v>
      </c>
      <c r="U2238" s="545">
        <f>'Foglio deposito bis'!$F$92*IF(ABS(O2238)&lt;'Sollecitazioni nel paramento'!$G$58,ABS(O2238)*'Sollecitazioni nel paramento'!$G$54,'Sollecitazioni nel paramento'!$G$53)*IF(O2238&lt;0,-1,1)</f>
        <v>1662039.1047339395</v>
      </c>
      <c r="V2238" s="472">
        <f t="shared" ref="V2238:V2301" si="159">P2238+Q2238+R2238+S2238+T2238+U2238</f>
        <v>2687641.4034923236</v>
      </c>
      <c r="W2238" s="551"/>
      <c r="X2238" s="551"/>
    </row>
    <row r="2239" spans="1:24" x14ac:dyDescent="0.25">
      <c r="A2239" s="545">
        <f t="shared" si="158"/>
        <v>2667093.3486053064</v>
      </c>
      <c r="B2239" s="3">
        <f t="shared" ref="B2239:B2302" si="160">B2238+0.05</f>
        <v>0.1</v>
      </c>
      <c r="C2239" s="545">
        <f>'Foglio deposito bis'!$E$162/sezione!$B$247*B2239</f>
        <v>1.0787229906300866</v>
      </c>
      <c r="D2239" s="603">
        <f>-'Sollecitazioni nel paramento'!$G$47*'Sollecitazioni nel paramento'!$G$41*IF(DATI!$G$211="dx",DATI!$E$61,DATI!$E$64*DATI!$E$63)*1000*C2239^2*sezione!$AD$5*(1-sezione!$AD$6)</f>
        <v>-25889.489968205893</v>
      </c>
      <c r="E2239" s="545">
        <f>-'Foglio deposito bis'!$F$88*(C2239-sezione!$AL$36)*IF(ABS(K2239)&lt;'Sollecitazioni nel paramento'!$G$58,ABS(K2239)*'Sollecitazioni nel paramento'!$G$54,'Sollecitazioni nel paramento'!$G$53)</f>
        <v>0</v>
      </c>
      <c r="F2239" s="545">
        <f>-'Foglio deposito bis'!$F$89*(C2239-sezione!$AM$36)*IF(ABS(L2239)&lt;'Sollecitazioni nel paramento'!$G$58,ABS(L2239)*'Sollecitazioni nel paramento'!$G$54,'Sollecitazioni nel paramento'!$G$53)</f>
        <v>9054129.6681244094</v>
      </c>
      <c r="G2239" s="545">
        <f>-'Foglio deposito bis'!$F$90*(C2239-sezione!$AN$36)*IF(ABS(M2239)&lt;'Sollecitazioni nel paramento'!$G$58,ABS(M2239)*'Sollecitazioni nel paramento'!$G$54,'Sollecitazioni nel paramento'!$G$53)</f>
        <v>0</v>
      </c>
      <c r="H2239" s="545">
        <f>-'Foglio deposito bis'!$F$91*(C2239-sezione!$AO$36)*IF(ABS(N2239)&lt;'Sollecitazioni nel paramento'!$G$58,ABS(N2239)*'Sollecitazioni nel paramento'!$G$54,'Sollecitazioni nel paramento'!$G$53)</f>
        <v>141834934.67140445</v>
      </c>
      <c r="I2239" s="472">
        <f>-'Foglio deposito bis'!$F$92*(C2239-sezione!$AP$36)*IF(ABS(O2239)&lt;'Sollecitazioni nel paramento'!$G$58,ABS(O2239)*'Sollecitazioni nel paramento'!$G$54,'Sollecitazioni nel paramento'!$G$53)</f>
        <v>1256663723.4894686</v>
      </c>
      <c r="J2239" s="472">
        <f t="shared" si="157"/>
        <v>1407526898.3390293</v>
      </c>
      <c r="K2239" s="550">
        <f>'Sollecitazioni nel paramento'!$G$60*(sezione!$AL$36-C2239)/C2239</f>
        <v>0.12628308723931567</v>
      </c>
      <c r="L2239" s="550">
        <f>'Sollecitazioni nel paramento'!$G$60*(sezione!$AM$36-C2239)/C2239</f>
        <v>0.19117463085897349</v>
      </c>
      <c r="M2239" s="551">
        <f>'Sollecitazioni nel paramento'!$G$60*(sezione!$AN$36-C2239)/C2239</f>
        <v>0.25606617447863134</v>
      </c>
      <c r="N2239" s="551">
        <f>'Sollecitazioni nel paramento'!$G$60*(sezione!$AO$36-C2239)/C2239</f>
        <v>0.51563234895726262</v>
      </c>
      <c r="O2239" s="551">
        <f>'Sollecitazioni nel paramento'!$G$60*(sezione!$AP$36-C2239)/C2239</f>
        <v>2.4532169127606824</v>
      </c>
      <c r="P2239" s="545">
        <f>-'Sollecitazioni nel paramento'!$G$47*'Sollecitazioni nel paramento'!$G$41*IF(DATI!$G$211="dx",DATI!$E$61,DATI!$E$64*DATI!$E$63)*1000*C2239*sezione!$AD$5</f>
        <v>-41096.109774034398</v>
      </c>
      <c r="Q2239" s="545">
        <f>'Foglio deposito bis'!$F$88*IF(ABS(K2239)&lt;'Sollecitazioni nel paramento'!$G$58,ABS(K2239)*'Sollecitazioni nel paramento'!$G$54,'Sollecitazioni nel paramento'!$G$53)*IF(K2239&lt;0,-1,1)</f>
        <v>0</v>
      </c>
      <c r="R2239" s="545">
        <f>'Foglio deposito bis'!$F$89*IF(ABS(L2239)&lt;'Sollecitazioni nel paramento'!$G$58,ABS(L2239)*'Sollecitazioni nel paramento'!$G$54,'Sollecitazioni nel paramento'!$G$53)*IF(L2239&lt;0,-1,1)</f>
        <v>153664.85805602249</v>
      </c>
      <c r="S2239" s="545">
        <f>'Foglio deposito bis'!$F$90*IF(ABS(M2239)&lt;'Sollecitazioni nel paramento'!$G$58,ABS(M2239)*'Sollecitazioni nel paramento'!$G$54,'Sollecitazioni nel paramento'!$G$53)*IF(M2239&lt;0,-1,1)</f>
        <v>0</v>
      </c>
      <c r="T2239" s="545">
        <f>'Foglio deposito bis'!$F$91*IF(ABS(N2239)&lt;'Sollecitazioni nel paramento'!$G$58,ABS(N2239)*'Sollecitazioni nel paramento'!$G$54,'Sollecitazioni nel paramento'!$G$53)*IF(N2239&lt;0,-1,1)</f>
        <v>892485.49558937876</v>
      </c>
      <c r="U2239" s="545">
        <f>'Foglio deposito bis'!$F$92*IF(ABS(O2239)&lt;'Sollecitazioni nel paramento'!$G$58,ABS(O2239)*'Sollecitazioni nel paramento'!$G$54,'Sollecitazioni nel paramento'!$G$53)*IF(O2239&lt;0,-1,1)</f>
        <v>1662039.1047339395</v>
      </c>
      <c r="V2239" s="472">
        <f t="shared" si="159"/>
        <v>2667093.3486053064</v>
      </c>
      <c r="W2239" s="551"/>
      <c r="X2239" s="551"/>
    </row>
    <row r="2240" spans="1:24" x14ac:dyDescent="0.25">
      <c r="A2240" s="545">
        <f t="shared" si="158"/>
        <v>2646545.2937182891</v>
      </c>
      <c r="B2240" s="3">
        <f t="shared" si="160"/>
        <v>0.15000000000000002</v>
      </c>
      <c r="C2240" s="545">
        <f>'Foglio deposito bis'!$E$162/sezione!$B$247*B2240</f>
        <v>1.61808448594513</v>
      </c>
      <c r="D2240" s="603">
        <f>-'Sollecitazioni nel paramento'!$G$47*'Sollecitazioni nel paramento'!$G$41*IF(DATI!$G$211="dx",DATI!$E$61,DATI!$E$64*DATI!$E$63)*1000*C2240^2*sezione!$AD$5*(1-sezione!$AD$6)</f>
        <v>-58251.352428463273</v>
      </c>
      <c r="E2240" s="545">
        <f>-'Foglio deposito bis'!$F$88*(C2240-sezione!$AL$36)*IF(ABS(K2240)&lt;'Sollecitazioni nel paramento'!$G$58,ABS(K2240)*'Sollecitazioni nel paramento'!$G$54,'Sollecitazioni nel paramento'!$G$53)</f>
        <v>0</v>
      </c>
      <c r="F2240" s="545">
        <f>-'Foglio deposito bis'!$F$89*(C2240-sezione!$AM$36)*IF(ABS(L2240)&lt;'Sollecitazioni nel paramento'!$G$58,ABS(L2240)*'Sollecitazioni nel paramento'!$G$54,'Sollecitazioni nel paramento'!$G$53)</f>
        <v>8971248.7605059389</v>
      </c>
      <c r="G2240" s="545">
        <f>-'Foglio deposito bis'!$F$90*(C2240-sezione!$AN$36)*IF(ABS(M2240)&lt;'Sollecitazioni nel paramento'!$G$58,ABS(M2240)*'Sollecitazioni nel paramento'!$G$54,'Sollecitazioni nel paramento'!$G$53)</f>
        <v>0</v>
      </c>
      <c r="H2240" s="545">
        <f>-'Foglio deposito bis'!$F$91*(C2240-sezione!$AO$36)*IF(ABS(N2240)&lt;'Sollecitazioni nel paramento'!$G$58,ABS(N2240)*'Sollecitazioni nel paramento'!$G$54,'Sollecitazioni nel paramento'!$G$53)</f>
        <v>141353562.35995638</v>
      </c>
      <c r="I2240" s="472">
        <f>-'Foglio deposito bis'!$F$92*(C2240-sezione!$AP$36)*IF(ABS(O2240)&lt;'Sollecitazioni nel paramento'!$G$58,ABS(O2240)*'Sollecitazioni nel paramento'!$G$54,'Sollecitazioni nel paramento'!$G$53)</f>
        <v>1255767283.5926673</v>
      </c>
      <c r="J2240" s="472">
        <f t="shared" si="157"/>
        <v>1406033843.3607011</v>
      </c>
      <c r="K2240" s="550">
        <f>'Sollecitazioni nel paramento'!$G$60*(sezione!$AL$36-C2240)/C2240</f>
        <v>8.3022058159543749E-2</v>
      </c>
      <c r="L2240" s="550">
        <f>'Sollecitazioni nel paramento'!$G$60*(sezione!$AM$36-C2240)/C2240</f>
        <v>0.12628308723931564</v>
      </c>
      <c r="M2240" s="551">
        <f>'Sollecitazioni nel paramento'!$G$60*(sezione!$AN$36-C2240)/C2240</f>
        <v>0.16954411631908753</v>
      </c>
      <c r="N2240" s="551">
        <f>'Sollecitazioni nel paramento'!$G$60*(sezione!$AO$36-C2240)/C2240</f>
        <v>0.34258823263817501</v>
      </c>
      <c r="O2240" s="551">
        <f>'Sollecitazioni nel paramento'!$G$60*(sezione!$AP$36-C2240)/C2240</f>
        <v>1.6343112751737885</v>
      </c>
      <c r="P2240" s="545">
        <f>-'Sollecitazioni nel paramento'!$G$47*'Sollecitazioni nel paramento'!$G$41*IF(DATI!$G$211="dx",DATI!$E$61,DATI!$E$64*DATI!$E$63)*1000*C2240*sezione!$AD$5</f>
        <v>-61644.164661051611</v>
      </c>
      <c r="Q2240" s="545">
        <f>'Foglio deposito bis'!$F$88*IF(ABS(K2240)&lt;'Sollecitazioni nel paramento'!$G$58,ABS(K2240)*'Sollecitazioni nel paramento'!$G$54,'Sollecitazioni nel paramento'!$G$53)*IF(K2240&lt;0,-1,1)</f>
        <v>0</v>
      </c>
      <c r="R2240" s="545">
        <f>'Foglio deposito bis'!$F$89*IF(ABS(L2240)&lt;'Sollecitazioni nel paramento'!$G$58,ABS(L2240)*'Sollecitazioni nel paramento'!$G$54,'Sollecitazioni nel paramento'!$G$53)*IF(L2240&lt;0,-1,1)</f>
        <v>153664.85805602249</v>
      </c>
      <c r="S2240" s="545">
        <f>'Foglio deposito bis'!$F$90*IF(ABS(M2240)&lt;'Sollecitazioni nel paramento'!$G$58,ABS(M2240)*'Sollecitazioni nel paramento'!$G$54,'Sollecitazioni nel paramento'!$G$53)*IF(M2240&lt;0,-1,1)</f>
        <v>0</v>
      </c>
      <c r="T2240" s="545">
        <f>'Foglio deposito bis'!$F$91*IF(ABS(N2240)&lt;'Sollecitazioni nel paramento'!$G$58,ABS(N2240)*'Sollecitazioni nel paramento'!$G$54,'Sollecitazioni nel paramento'!$G$53)*IF(N2240&lt;0,-1,1)</f>
        <v>892485.49558937876</v>
      </c>
      <c r="U2240" s="545">
        <f>'Foglio deposito bis'!$F$92*IF(ABS(O2240)&lt;'Sollecitazioni nel paramento'!$G$58,ABS(O2240)*'Sollecitazioni nel paramento'!$G$54,'Sollecitazioni nel paramento'!$G$53)*IF(O2240&lt;0,-1,1)</f>
        <v>1662039.1047339395</v>
      </c>
      <c r="V2240" s="472">
        <f t="shared" si="159"/>
        <v>2646545.2937182891</v>
      </c>
      <c r="W2240" s="551"/>
      <c r="X2240" s="551"/>
    </row>
    <row r="2241" spans="1:24" x14ac:dyDescent="0.25">
      <c r="A2241" s="545">
        <f t="shared" si="158"/>
        <v>2625997.2388312719</v>
      </c>
      <c r="B2241" s="3">
        <f t="shared" si="160"/>
        <v>0.2</v>
      </c>
      <c r="C2241" s="545">
        <f>'Foglio deposito bis'!$E$162/sezione!$B$247*B2241</f>
        <v>2.1574459812601732</v>
      </c>
      <c r="D2241" s="603">
        <f>-'Sollecitazioni nel paramento'!$G$47*'Sollecitazioni nel paramento'!$G$41*IF(DATI!$G$211="dx",DATI!$E$61,DATI!$E$64*DATI!$E$63)*1000*C2241^2*sezione!$AD$5*(1-sezione!$AD$6)</f>
        <v>-103557.95987282357</v>
      </c>
      <c r="E2241" s="545">
        <f>-'Foglio deposito bis'!$F$88*(C2241-sezione!$AL$36)*IF(ABS(K2241)&lt;'Sollecitazioni nel paramento'!$G$58,ABS(K2241)*'Sollecitazioni nel paramento'!$G$54,'Sollecitazioni nel paramento'!$G$53)</f>
        <v>0</v>
      </c>
      <c r="F2241" s="545">
        <f>-'Foglio deposito bis'!$F$89*(C2241-sezione!$AM$36)*IF(ABS(L2241)&lt;'Sollecitazioni nel paramento'!$G$58,ABS(L2241)*'Sollecitazioni nel paramento'!$G$54,'Sollecitazioni nel paramento'!$G$53)</f>
        <v>8888367.8528874684</v>
      </c>
      <c r="G2241" s="545">
        <f>-'Foglio deposito bis'!$F$90*(C2241-sezione!$AN$36)*IF(ABS(M2241)&lt;'Sollecitazioni nel paramento'!$G$58,ABS(M2241)*'Sollecitazioni nel paramento'!$G$54,'Sollecitazioni nel paramento'!$G$53)</f>
        <v>0</v>
      </c>
      <c r="H2241" s="545">
        <f>-'Foglio deposito bis'!$F$91*(C2241-sezione!$AO$36)*IF(ABS(N2241)&lt;'Sollecitazioni nel paramento'!$G$58,ABS(N2241)*'Sollecitazioni nel paramento'!$G$54,'Sollecitazioni nel paramento'!$G$53)</f>
        <v>140872190.04850832</v>
      </c>
      <c r="I2241" s="472">
        <f>-'Foglio deposito bis'!$F$92*(C2241-sezione!$AP$36)*IF(ABS(O2241)&lt;'Sollecitazioni nel paramento'!$G$58,ABS(O2241)*'Sollecitazioni nel paramento'!$G$54,'Sollecitazioni nel paramento'!$G$53)</f>
        <v>1254870843.6958659</v>
      </c>
      <c r="J2241" s="472">
        <f t="shared" si="157"/>
        <v>1404527843.6373887</v>
      </c>
      <c r="K2241" s="550">
        <f>'Sollecitazioni nel paramento'!$G$60*(sezione!$AL$36-C2241)/C2241</f>
        <v>6.1391543619657818E-2</v>
      </c>
      <c r="L2241" s="550">
        <f>'Sollecitazioni nel paramento'!$G$60*(sezione!$AM$36-C2241)/C2241</f>
        <v>9.3837315429486728E-2</v>
      </c>
      <c r="M2241" s="551">
        <f>'Sollecitazioni nel paramento'!$G$60*(sezione!$AN$36-C2241)/C2241</f>
        <v>0.12628308723931567</v>
      </c>
      <c r="N2241" s="551">
        <f>'Sollecitazioni nel paramento'!$G$60*(sezione!$AO$36-C2241)/C2241</f>
        <v>0.25606617447863134</v>
      </c>
      <c r="O2241" s="551">
        <f>'Sollecitazioni nel paramento'!$G$60*(sezione!$AP$36-C2241)/C2241</f>
        <v>1.2248584563803413</v>
      </c>
      <c r="P2241" s="545">
        <f>-'Sollecitazioni nel paramento'!$G$47*'Sollecitazioni nel paramento'!$G$41*IF(DATI!$G$211="dx",DATI!$E$61,DATI!$E$64*DATI!$E$63)*1000*C2241*sezione!$AD$5</f>
        <v>-82192.219548068795</v>
      </c>
      <c r="Q2241" s="545">
        <f>'Foglio deposito bis'!$F$88*IF(ABS(K2241)&lt;'Sollecitazioni nel paramento'!$G$58,ABS(K2241)*'Sollecitazioni nel paramento'!$G$54,'Sollecitazioni nel paramento'!$G$53)*IF(K2241&lt;0,-1,1)</f>
        <v>0</v>
      </c>
      <c r="R2241" s="545">
        <f>'Foglio deposito bis'!$F$89*IF(ABS(L2241)&lt;'Sollecitazioni nel paramento'!$G$58,ABS(L2241)*'Sollecitazioni nel paramento'!$G$54,'Sollecitazioni nel paramento'!$G$53)*IF(L2241&lt;0,-1,1)</f>
        <v>153664.85805602249</v>
      </c>
      <c r="S2241" s="545">
        <f>'Foglio deposito bis'!$F$90*IF(ABS(M2241)&lt;'Sollecitazioni nel paramento'!$G$58,ABS(M2241)*'Sollecitazioni nel paramento'!$G$54,'Sollecitazioni nel paramento'!$G$53)*IF(M2241&lt;0,-1,1)</f>
        <v>0</v>
      </c>
      <c r="T2241" s="545">
        <f>'Foglio deposito bis'!$F$91*IF(ABS(N2241)&lt;'Sollecitazioni nel paramento'!$G$58,ABS(N2241)*'Sollecitazioni nel paramento'!$G$54,'Sollecitazioni nel paramento'!$G$53)*IF(N2241&lt;0,-1,1)</f>
        <v>892485.49558937876</v>
      </c>
      <c r="U2241" s="545">
        <f>'Foglio deposito bis'!$F$92*IF(ABS(O2241)&lt;'Sollecitazioni nel paramento'!$G$58,ABS(O2241)*'Sollecitazioni nel paramento'!$G$54,'Sollecitazioni nel paramento'!$G$53)*IF(O2241&lt;0,-1,1)</f>
        <v>1662039.1047339395</v>
      </c>
      <c r="V2241" s="472">
        <f t="shared" si="159"/>
        <v>2625997.2388312719</v>
      </c>
      <c r="W2241" s="551"/>
      <c r="X2241" s="551"/>
    </row>
    <row r="2242" spans="1:24" x14ac:dyDescent="0.25">
      <c r="A2242" s="545">
        <f t="shared" si="158"/>
        <v>2605449.1839442546</v>
      </c>
      <c r="B2242" s="3">
        <f t="shared" si="160"/>
        <v>0.25</v>
      </c>
      <c r="C2242" s="545">
        <f>'Foglio deposito bis'!$E$162/sezione!$B$247*B2242</f>
        <v>2.6968074765752164</v>
      </c>
      <c r="D2242" s="603">
        <f>-'Sollecitazioni nel paramento'!$G$47*'Sollecitazioni nel paramento'!$G$41*IF(DATI!$G$211="dx",DATI!$E$61,DATI!$E$64*DATI!$E$63)*1000*C2242^2*sezione!$AD$5*(1-sezione!$AD$6)</f>
        <v>-161809.31230128685</v>
      </c>
      <c r="E2242" s="545">
        <f>-'Foglio deposito bis'!$F$88*(C2242-sezione!$AL$36)*IF(ABS(K2242)&lt;'Sollecitazioni nel paramento'!$G$58,ABS(K2242)*'Sollecitazioni nel paramento'!$G$54,'Sollecitazioni nel paramento'!$G$53)</f>
        <v>0</v>
      </c>
      <c r="F2242" s="545">
        <f>-'Foglio deposito bis'!$F$89*(C2242-sezione!$AM$36)*IF(ABS(L2242)&lt;'Sollecitazioni nel paramento'!$G$58,ABS(L2242)*'Sollecitazioni nel paramento'!$G$54,'Sollecitazioni nel paramento'!$G$53)</f>
        <v>8805486.9452689979</v>
      </c>
      <c r="G2242" s="545">
        <f>-'Foglio deposito bis'!$F$90*(C2242-sezione!$AN$36)*IF(ABS(M2242)&lt;'Sollecitazioni nel paramento'!$G$58,ABS(M2242)*'Sollecitazioni nel paramento'!$G$54,'Sollecitazioni nel paramento'!$G$53)</f>
        <v>0</v>
      </c>
      <c r="H2242" s="545">
        <f>-'Foglio deposito bis'!$F$91*(C2242-sezione!$AO$36)*IF(ABS(N2242)&lt;'Sollecitazioni nel paramento'!$G$58,ABS(N2242)*'Sollecitazioni nel paramento'!$G$54,'Sollecitazioni nel paramento'!$G$53)</f>
        <v>140390817.73706025</v>
      </c>
      <c r="I2242" s="472">
        <f>-'Foglio deposito bis'!$F$92*(C2242-sezione!$AP$36)*IF(ABS(O2242)&lt;'Sollecitazioni nel paramento'!$G$58,ABS(O2242)*'Sollecitazioni nel paramento'!$G$54,'Sollecitazioni nel paramento'!$G$53)</f>
        <v>1253974403.7990646</v>
      </c>
      <c r="J2242" s="472">
        <f t="shared" si="157"/>
        <v>1403008899.1690927</v>
      </c>
      <c r="K2242" s="550">
        <f>'Sollecitazioni nel paramento'!$G$60*(sezione!$AL$36-C2242)/C2242</f>
        <v>4.8413234895726256E-2</v>
      </c>
      <c r="L2242" s="550">
        <f>'Sollecitazioni nel paramento'!$G$60*(sezione!$AM$36-C2242)/C2242</f>
        <v>7.4369852343589393E-2</v>
      </c>
      <c r="M2242" s="551">
        <f>'Sollecitazioni nel paramento'!$G$60*(sezione!$AN$36-C2242)/C2242</f>
        <v>0.10032646979145252</v>
      </c>
      <c r="N2242" s="551">
        <f>'Sollecitazioni nel paramento'!$G$60*(sezione!$AO$36-C2242)/C2242</f>
        <v>0.20415293958290506</v>
      </c>
      <c r="O2242" s="551">
        <f>'Sollecitazioni nel paramento'!$G$60*(sezione!$AP$36-C2242)/C2242</f>
        <v>0.97918676510427316</v>
      </c>
      <c r="P2242" s="545">
        <f>-'Sollecitazioni nel paramento'!$G$47*'Sollecitazioni nel paramento'!$G$41*IF(DATI!$G$211="dx",DATI!$E$61,DATI!$E$64*DATI!$E$63)*1000*C2242*sezione!$AD$5</f>
        <v>-102740.27443508599</v>
      </c>
      <c r="Q2242" s="545">
        <f>'Foglio deposito bis'!$F$88*IF(ABS(K2242)&lt;'Sollecitazioni nel paramento'!$G$58,ABS(K2242)*'Sollecitazioni nel paramento'!$G$54,'Sollecitazioni nel paramento'!$G$53)*IF(K2242&lt;0,-1,1)</f>
        <v>0</v>
      </c>
      <c r="R2242" s="545">
        <f>'Foglio deposito bis'!$F$89*IF(ABS(L2242)&lt;'Sollecitazioni nel paramento'!$G$58,ABS(L2242)*'Sollecitazioni nel paramento'!$G$54,'Sollecitazioni nel paramento'!$G$53)*IF(L2242&lt;0,-1,1)</f>
        <v>153664.85805602249</v>
      </c>
      <c r="S2242" s="545">
        <f>'Foglio deposito bis'!$F$90*IF(ABS(M2242)&lt;'Sollecitazioni nel paramento'!$G$58,ABS(M2242)*'Sollecitazioni nel paramento'!$G$54,'Sollecitazioni nel paramento'!$G$53)*IF(M2242&lt;0,-1,1)</f>
        <v>0</v>
      </c>
      <c r="T2242" s="545">
        <f>'Foglio deposito bis'!$F$91*IF(ABS(N2242)&lt;'Sollecitazioni nel paramento'!$G$58,ABS(N2242)*'Sollecitazioni nel paramento'!$G$54,'Sollecitazioni nel paramento'!$G$53)*IF(N2242&lt;0,-1,1)</f>
        <v>892485.49558937876</v>
      </c>
      <c r="U2242" s="545">
        <f>'Foglio deposito bis'!$F$92*IF(ABS(O2242)&lt;'Sollecitazioni nel paramento'!$G$58,ABS(O2242)*'Sollecitazioni nel paramento'!$G$54,'Sollecitazioni nel paramento'!$G$53)*IF(O2242&lt;0,-1,1)</f>
        <v>1662039.1047339395</v>
      </c>
      <c r="V2242" s="472">
        <f t="shared" si="159"/>
        <v>2605449.1839442546</v>
      </c>
      <c r="W2242" s="551"/>
      <c r="X2242" s="551"/>
    </row>
    <row r="2243" spans="1:24" x14ac:dyDescent="0.25">
      <c r="A2243" s="545">
        <f t="shared" si="158"/>
        <v>2584901.1290572374</v>
      </c>
      <c r="B2243" s="3">
        <f t="shared" si="160"/>
        <v>0.3</v>
      </c>
      <c r="C2243" s="545">
        <f>'Foglio deposito bis'!$E$162/sezione!$B$247*B2243</f>
        <v>3.2361689718902595</v>
      </c>
      <c r="D2243" s="603">
        <f>-'Sollecitazioni nel paramento'!$G$47*'Sollecitazioni nel paramento'!$G$41*IF(DATI!$G$211="dx",DATI!$E$61,DATI!$E$64*DATI!$E$63)*1000*C2243^2*sezione!$AD$5*(1-sezione!$AD$6)</f>
        <v>-233005.40971385306</v>
      </c>
      <c r="E2243" s="545">
        <f>-'Foglio deposito bis'!$F$88*(C2243-sezione!$AL$36)*IF(ABS(K2243)&lt;'Sollecitazioni nel paramento'!$G$58,ABS(K2243)*'Sollecitazioni nel paramento'!$G$54,'Sollecitazioni nel paramento'!$G$53)</f>
        <v>0</v>
      </c>
      <c r="F2243" s="545">
        <f>-'Foglio deposito bis'!$F$89*(C2243-sezione!$AM$36)*IF(ABS(L2243)&lt;'Sollecitazioni nel paramento'!$G$58,ABS(L2243)*'Sollecitazioni nel paramento'!$G$54,'Sollecitazioni nel paramento'!$G$53)</f>
        <v>8722606.0376505293</v>
      </c>
      <c r="G2243" s="545">
        <f>-'Foglio deposito bis'!$F$90*(C2243-sezione!$AN$36)*IF(ABS(M2243)&lt;'Sollecitazioni nel paramento'!$G$58,ABS(M2243)*'Sollecitazioni nel paramento'!$G$54,'Sollecitazioni nel paramento'!$G$53)</f>
        <v>0</v>
      </c>
      <c r="H2243" s="545">
        <f>-'Foglio deposito bis'!$F$91*(C2243-sezione!$AO$36)*IF(ABS(N2243)&lt;'Sollecitazioni nel paramento'!$G$58,ABS(N2243)*'Sollecitazioni nel paramento'!$G$54,'Sollecitazioni nel paramento'!$G$53)</f>
        <v>139909445.42561215</v>
      </c>
      <c r="I2243" s="472">
        <f>-'Foglio deposito bis'!$F$92*(C2243-sezione!$AP$36)*IF(ABS(O2243)&lt;'Sollecitazioni nel paramento'!$G$58,ABS(O2243)*'Sollecitazioni nel paramento'!$G$54,'Sollecitazioni nel paramento'!$G$53)</f>
        <v>1253077963.9022632</v>
      </c>
      <c r="J2243" s="472">
        <f t="shared" si="157"/>
        <v>1401477009.955812</v>
      </c>
      <c r="K2243" s="550">
        <f>'Sollecitazioni nel paramento'!$G$60*(sezione!$AL$36-C2243)/C2243</f>
        <v>3.9761029079771887E-2</v>
      </c>
      <c r="L2243" s="550">
        <f>'Sollecitazioni nel paramento'!$G$60*(sezione!$AM$36-C2243)/C2243</f>
        <v>6.1391543619657825E-2</v>
      </c>
      <c r="M2243" s="551">
        <f>'Sollecitazioni nel paramento'!$G$60*(sezione!$AN$36-C2243)/C2243</f>
        <v>8.3022058159543763E-2</v>
      </c>
      <c r="N2243" s="551">
        <f>'Sollecitazioni nel paramento'!$G$60*(sezione!$AO$36-C2243)/C2243</f>
        <v>0.16954411631908753</v>
      </c>
      <c r="O2243" s="551">
        <f>'Sollecitazioni nel paramento'!$G$60*(sezione!$AP$36-C2243)/C2243</f>
        <v>0.81540563758689433</v>
      </c>
      <c r="P2243" s="545">
        <f>-'Sollecitazioni nel paramento'!$G$47*'Sollecitazioni nel paramento'!$G$41*IF(DATI!$G$211="dx",DATI!$E$61,DATI!$E$64*DATI!$E$63)*1000*C2243*sezione!$AD$5</f>
        <v>-123288.32932210319</v>
      </c>
      <c r="Q2243" s="545">
        <f>'Foglio deposito bis'!$F$88*IF(ABS(K2243)&lt;'Sollecitazioni nel paramento'!$G$58,ABS(K2243)*'Sollecitazioni nel paramento'!$G$54,'Sollecitazioni nel paramento'!$G$53)*IF(K2243&lt;0,-1,1)</f>
        <v>0</v>
      </c>
      <c r="R2243" s="545">
        <f>'Foglio deposito bis'!$F$89*IF(ABS(L2243)&lt;'Sollecitazioni nel paramento'!$G$58,ABS(L2243)*'Sollecitazioni nel paramento'!$G$54,'Sollecitazioni nel paramento'!$G$53)*IF(L2243&lt;0,-1,1)</f>
        <v>153664.85805602249</v>
      </c>
      <c r="S2243" s="545">
        <f>'Foglio deposito bis'!$F$90*IF(ABS(M2243)&lt;'Sollecitazioni nel paramento'!$G$58,ABS(M2243)*'Sollecitazioni nel paramento'!$G$54,'Sollecitazioni nel paramento'!$G$53)*IF(M2243&lt;0,-1,1)</f>
        <v>0</v>
      </c>
      <c r="T2243" s="545">
        <f>'Foglio deposito bis'!$F$91*IF(ABS(N2243)&lt;'Sollecitazioni nel paramento'!$G$58,ABS(N2243)*'Sollecitazioni nel paramento'!$G$54,'Sollecitazioni nel paramento'!$G$53)*IF(N2243&lt;0,-1,1)</f>
        <v>892485.49558937876</v>
      </c>
      <c r="U2243" s="545">
        <f>'Foglio deposito bis'!$F$92*IF(ABS(O2243)&lt;'Sollecitazioni nel paramento'!$G$58,ABS(O2243)*'Sollecitazioni nel paramento'!$G$54,'Sollecitazioni nel paramento'!$G$53)*IF(O2243&lt;0,-1,1)</f>
        <v>1662039.1047339395</v>
      </c>
      <c r="V2243" s="472">
        <f t="shared" si="159"/>
        <v>2584901.1290572374</v>
      </c>
      <c r="W2243" s="551"/>
      <c r="X2243" s="551"/>
    </row>
    <row r="2244" spans="1:24" x14ac:dyDescent="0.25">
      <c r="A2244" s="545">
        <f t="shared" si="158"/>
        <v>2564353.0741702206</v>
      </c>
      <c r="B2244" s="3">
        <f t="shared" si="160"/>
        <v>0.35</v>
      </c>
      <c r="C2244" s="545">
        <f>'Foglio deposito bis'!$E$162/sezione!$B$247*B2244</f>
        <v>3.7755304672053027</v>
      </c>
      <c r="D2244" s="603">
        <f>-'Sollecitazioni nel paramento'!$G$47*'Sollecitazioni nel paramento'!$G$41*IF(DATI!$G$211="dx",DATI!$E$61,DATI!$E$64*DATI!$E$63)*1000*C2244^2*sezione!$AD$5*(1-sezione!$AD$6)</f>
        <v>-317146.25211052212</v>
      </c>
      <c r="E2244" s="545">
        <f>-'Foglio deposito bis'!$F$88*(C2244-sezione!$AL$36)*IF(ABS(K2244)&lt;'Sollecitazioni nel paramento'!$G$58,ABS(K2244)*'Sollecitazioni nel paramento'!$G$54,'Sollecitazioni nel paramento'!$G$53)</f>
        <v>0</v>
      </c>
      <c r="F2244" s="545">
        <f>-'Foglio deposito bis'!$F$89*(C2244-sezione!$AM$36)*IF(ABS(L2244)&lt;'Sollecitazioni nel paramento'!$G$58,ABS(L2244)*'Sollecitazioni nel paramento'!$G$54,'Sollecitazioni nel paramento'!$G$53)</f>
        <v>8639725.1300320588</v>
      </c>
      <c r="G2244" s="545">
        <f>-'Foglio deposito bis'!$F$90*(C2244-sezione!$AN$36)*IF(ABS(M2244)&lt;'Sollecitazioni nel paramento'!$G$58,ABS(M2244)*'Sollecitazioni nel paramento'!$G$54,'Sollecitazioni nel paramento'!$G$53)</f>
        <v>0</v>
      </c>
      <c r="H2244" s="545">
        <f>-'Foglio deposito bis'!$F$91*(C2244-sezione!$AO$36)*IF(ABS(N2244)&lt;'Sollecitazioni nel paramento'!$G$58,ABS(N2244)*'Sollecitazioni nel paramento'!$G$54,'Sollecitazioni nel paramento'!$G$53)</f>
        <v>139428073.11416408</v>
      </c>
      <c r="I2244" s="472">
        <f>-'Foglio deposito bis'!$F$92*(C2244-sezione!$AP$36)*IF(ABS(O2244)&lt;'Sollecitazioni nel paramento'!$G$58,ABS(O2244)*'Sollecitazioni nel paramento'!$G$54,'Sollecitazioni nel paramento'!$G$53)</f>
        <v>1252181524.0054619</v>
      </c>
      <c r="J2244" s="472">
        <f t="shared" si="157"/>
        <v>1399932175.9975476</v>
      </c>
      <c r="K2244" s="550">
        <f>'Sollecitazioni nel paramento'!$G$60*(sezione!$AL$36-C2244)/C2244</f>
        <v>3.3580882068375909E-2</v>
      </c>
      <c r="L2244" s="550">
        <f>'Sollecitazioni nel paramento'!$G$60*(sezione!$AM$36-C2244)/C2244</f>
        <v>5.2121323102563857E-2</v>
      </c>
      <c r="M2244" s="551">
        <f>'Sollecitazioni nel paramento'!$G$60*(sezione!$AN$36-C2244)/C2244</f>
        <v>7.0661764136751806E-2</v>
      </c>
      <c r="N2244" s="551">
        <f>'Sollecitazioni nel paramento'!$G$60*(sezione!$AO$36-C2244)/C2244</f>
        <v>0.14482352827350359</v>
      </c>
      <c r="O2244" s="551">
        <f>'Sollecitazioni nel paramento'!$G$60*(sezione!$AP$36-C2244)/C2244</f>
        <v>0.6984191179316237</v>
      </c>
      <c r="P2244" s="545">
        <f>-'Sollecitazioni nel paramento'!$G$47*'Sollecitazioni nel paramento'!$G$41*IF(DATI!$G$211="dx",DATI!$E$61,DATI!$E$64*DATI!$E$63)*1000*C2244*sezione!$AD$5</f>
        <v>-143836.38420912041</v>
      </c>
      <c r="Q2244" s="545">
        <f>'Foglio deposito bis'!$F$88*IF(ABS(K2244)&lt;'Sollecitazioni nel paramento'!$G$58,ABS(K2244)*'Sollecitazioni nel paramento'!$G$54,'Sollecitazioni nel paramento'!$G$53)*IF(K2244&lt;0,-1,1)</f>
        <v>0</v>
      </c>
      <c r="R2244" s="545">
        <f>'Foglio deposito bis'!$F$89*IF(ABS(L2244)&lt;'Sollecitazioni nel paramento'!$G$58,ABS(L2244)*'Sollecitazioni nel paramento'!$G$54,'Sollecitazioni nel paramento'!$G$53)*IF(L2244&lt;0,-1,1)</f>
        <v>153664.85805602249</v>
      </c>
      <c r="S2244" s="545">
        <f>'Foglio deposito bis'!$F$90*IF(ABS(M2244)&lt;'Sollecitazioni nel paramento'!$G$58,ABS(M2244)*'Sollecitazioni nel paramento'!$G$54,'Sollecitazioni nel paramento'!$G$53)*IF(M2244&lt;0,-1,1)</f>
        <v>0</v>
      </c>
      <c r="T2244" s="545">
        <f>'Foglio deposito bis'!$F$91*IF(ABS(N2244)&lt;'Sollecitazioni nel paramento'!$G$58,ABS(N2244)*'Sollecitazioni nel paramento'!$G$54,'Sollecitazioni nel paramento'!$G$53)*IF(N2244&lt;0,-1,1)</f>
        <v>892485.49558937876</v>
      </c>
      <c r="U2244" s="545">
        <f>'Foglio deposito bis'!$F$92*IF(ABS(O2244)&lt;'Sollecitazioni nel paramento'!$G$58,ABS(O2244)*'Sollecitazioni nel paramento'!$G$54,'Sollecitazioni nel paramento'!$G$53)*IF(O2244&lt;0,-1,1)</f>
        <v>1662039.1047339395</v>
      </c>
      <c r="V2244" s="472">
        <f t="shared" si="159"/>
        <v>2564353.0741702206</v>
      </c>
      <c r="W2244" s="551"/>
      <c r="X2244" s="551"/>
    </row>
    <row r="2245" spans="1:24" x14ac:dyDescent="0.25">
      <c r="A2245" s="545">
        <f t="shared" si="158"/>
        <v>2543805.0192832034</v>
      </c>
      <c r="B2245" s="3">
        <f t="shared" si="160"/>
        <v>0.39999999999999997</v>
      </c>
      <c r="C2245" s="545">
        <f>'Foglio deposito bis'!$E$162/sezione!$B$247*B2245</f>
        <v>4.3148919625203455</v>
      </c>
      <c r="D2245" s="603">
        <f>-'Sollecitazioni nel paramento'!$G$47*'Sollecitazioni nel paramento'!$G$41*IF(DATI!$G$211="dx",DATI!$E$61,DATI!$E$64*DATI!$E$63)*1000*C2245^2*sezione!$AD$5*(1-sezione!$AD$6)</f>
        <v>-414231.83949129417</v>
      </c>
      <c r="E2245" s="545">
        <f>-'Foglio deposito bis'!$F$88*(C2245-sezione!$AL$36)*IF(ABS(K2245)&lt;'Sollecitazioni nel paramento'!$G$58,ABS(K2245)*'Sollecitazioni nel paramento'!$G$54,'Sollecitazioni nel paramento'!$G$53)</f>
        <v>0</v>
      </c>
      <c r="F2245" s="545">
        <f>-'Foglio deposito bis'!$F$89*(C2245-sezione!$AM$36)*IF(ABS(L2245)&lt;'Sollecitazioni nel paramento'!$G$58,ABS(L2245)*'Sollecitazioni nel paramento'!$G$54,'Sollecitazioni nel paramento'!$G$53)</f>
        <v>8556844.2224135883</v>
      </c>
      <c r="G2245" s="545">
        <f>-'Foglio deposito bis'!$F$90*(C2245-sezione!$AN$36)*IF(ABS(M2245)&lt;'Sollecitazioni nel paramento'!$G$58,ABS(M2245)*'Sollecitazioni nel paramento'!$G$54,'Sollecitazioni nel paramento'!$G$53)</f>
        <v>0</v>
      </c>
      <c r="H2245" s="545">
        <f>-'Foglio deposito bis'!$F$91*(C2245-sezione!$AO$36)*IF(ABS(N2245)&lt;'Sollecitazioni nel paramento'!$G$58,ABS(N2245)*'Sollecitazioni nel paramento'!$G$54,'Sollecitazioni nel paramento'!$G$53)</f>
        <v>138946700.80271602</v>
      </c>
      <c r="I2245" s="472">
        <f>-'Foglio deposito bis'!$F$92*(C2245-sezione!$AP$36)*IF(ABS(O2245)&lt;'Sollecitazioni nel paramento'!$G$58,ABS(O2245)*'Sollecitazioni nel paramento'!$G$54,'Sollecitazioni nel paramento'!$G$53)</f>
        <v>1251285084.1086605</v>
      </c>
      <c r="J2245" s="472">
        <f t="shared" si="157"/>
        <v>1398374397.2942986</v>
      </c>
      <c r="K2245" s="550">
        <f>'Sollecitazioni nel paramento'!$G$60*(sezione!$AL$36-C2245)/C2245</f>
        <v>2.8945771809828914E-2</v>
      </c>
      <c r="L2245" s="550">
        <f>'Sollecitazioni nel paramento'!$G$60*(sezione!$AM$36-C2245)/C2245</f>
        <v>4.5168657714743377E-2</v>
      </c>
      <c r="M2245" s="551">
        <f>'Sollecitazioni nel paramento'!$G$60*(sezione!$AN$36-C2245)/C2245</f>
        <v>6.1391543619657832E-2</v>
      </c>
      <c r="N2245" s="551">
        <f>'Sollecitazioni nel paramento'!$G$60*(sezione!$AO$36-C2245)/C2245</f>
        <v>0.12628308723931569</v>
      </c>
      <c r="O2245" s="551">
        <f>'Sollecitazioni nel paramento'!$G$60*(sezione!$AP$36-C2245)/C2245</f>
        <v>0.61067922819017073</v>
      </c>
      <c r="P2245" s="545">
        <f>-'Sollecitazioni nel paramento'!$G$47*'Sollecitazioni nel paramento'!$G$41*IF(DATI!$G$211="dx",DATI!$E$61,DATI!$E$64*DATI!$E$63)*1000*C2245*sezione!$AD$5</f>
        <v>-164384.43909613759</v>
      </c>
      <c r="Q2245" s="545">
        <f>'Foglio deposito bis'!$F$88*IF(ABS(K2245)&lt;'Sollecitazioni nel paramento'!$G$58,ABS(K2245)*'Sollecitazioni nel paramento'!$G$54,'Sollecitazioni nel paramento'!$G$53)*IF(K2245&lt;0,-1,1)</f>
        <v>0</v>
      </c>
      <c r="R2245" s="545">
        <f>'Foglio deposito bis'!$F$89*IF(ABS(L2245)&lt;'Sollecitazioni nel paramento'!$G$58,ABS(L2245)*'Sollecitazioni nel paramento'!$G$54,'Sollecitazioni nel paramento'!$G$53)*IF(L2245&lt;0,-1,1)</f>
        <v>153664.85805602249</v>
      </c>
      <c r="S2245" s="545">
        <f>'Foglio deposito bis'!$F$90*IF(ABS(M2245)&lt;'Sollecitazioni nel paramento'!$G$58,ABS(M2245)*'Sollecitazioni nel paramento'!$G$54,'Sollecitazioni nel paramento'!$G$53)*IF(M2245&lt;0,-1,1)</f>
        <v>0</v>
      </c>
      <c r="T2245" s="545">
        <f>'Foglio deposito bis'!$F$91*IF(ABS(N2245)&lt;'Sollecitazioni nel paramento'!$G$58,ABS(N2245)*'Sollecitazioni nel paramento'!$G$54,'Sollecitazioni nel paramento'!$G$53)*IF(N2245&lt;0,-1,1)</f>
        <v>892485.49558937876</v>
      </c>
      <c r="U2245" s="545">
        <f>'Foglio deposito bis'!$F$92*IF(ABS(O2245)&lt;'Sollecitazioni nel paramento'!$G$58,ABS(O2245)*'Sollecitazioni nel paramento'!$G$54,'Sollecitazioni nel paramento'!$G$53)*IF(O2245&lt;0,-1,1)</f>
        <v>1662039.1047339395</v>
      </c>
      <c r="V2245" s="472">
        <f t="shared" si="159"/>
        <v>2543805.0192832034</v>
      </c>
      <c r="W2245" s="551"/>
      <c r="X2245" s="551"/>
    </row>
    <row r="2246" spans="1:24" x14ac:dyDescent="0.25">
      <c r="A2246" s="545">
        <f t="shared" si="158"/>
        <v>2523256.9643961862</v>
      </c>
      <c r="B2246" s="3">
        <f t="shared" si="160"/>
        <v>0.44999999999999996</v>
      </c>
      <c r="C2246" s="545">
        <f>'Foglio deposito bis'!$E$162/sezione!$B$247*B2246</f>
        <v>4.8542534578353891</v>
      </c>
      <c r="D2246" s="603">
        <f>-'Sollecitazioni nel paramento'!$G$47*'Sollecitazioni nel paramento'!$G$41*IF(DATI!$G$211="dx",DATI!$E$61,DATI!$E$64*DATI!$E$63)*1000*C2246^2*sezione!$AD$5*(1-sezione!$AD$6)</f>
        <v>-524262.1718561693</v>
      </c>
      <c r="E2246" s="545">
        <f>-'Foglio deposito bis'!$F$88*(C2246-sezione!$AL$36)*IF(ABS(K2246)&lt;'Sollecitazioni nel paramento'!$G$58,ABS(K2246)*'Sollecitazioni nel paramento'!$G$54,'Sollecitazioni nel paramento'!$G$53)</f>
        <v>0</v>
      </c>
      <c r="F2246" s="545">
        <f>-'Foglio deposito bis'!$F$89*(C2246-sezione!$AM$36)*IF(ABS(L2246)&lt;'Sollecitazioni nel paramento'!$G$58,ABS(L2246)*'Sollecitazioni nel paramento'!$G$54,'Sollecitazioni nel paramento'!$G$53)</f>
        <v>8473963.3147951178</v>
      </c>
      <c r="G2246" s="545">
        <f>-'Foglio deposito bis'!$F$90*(C2246-sezione!$AN$36)*IF(ABS(M2246)&lt;'Sollecitazioni nel paramento'!$G$58,ABS(M2246)*'Sollecitazioni nel paramento'!$G$54,'Sollecitazioni nel paramento'!$G$53)</f>
        <v>0</v>
      </c>
      <c r="H2246" s="545">
        <f>-'Foglio deposito bis'!$F$91*(C2246-sezione!$AO$36)*IF(ABS(N2246)&lt;'Sollecitazioni nel paramento'!$G$58,ABS(N2246)*'Sollecitazioni nel paramento'!$G$54,'Sollecitazioni nel paramento'!$G$53)</f>
        <v>138465328.49126792</v>
      </c>
      <c r="I2246" s="472">
        <f>-'Foglio deposito bis'!$F$92*(C2246-sezione!$AP$36)*IF(ABS(O2246)&lt;'Sollecitazioni nel paramento'!$G$58,ABS(O2246)*'Sollecitazioni nel paramento'!$G$54,'Sollecitazioni nel paramento'!$G$53)</f>
        <v>1250388644.211859</v>
      </c>
      <c r="J2246" s="472">
        <f t="shared" si="157"/>
        <v>1396803673.8460658</v>
      </c>
      <c r="K2246" s="550">
        <f>'Sollecitazioni nel paramento'!$G$60*(sezione!$AL$36-C2246)/C2246</f>
        <v>2.5340686053181256E-2</v>
      </c>
      <c r="L2246" s="550">
        <f>'Sollecitazioni nel paramento'!$G$60*(sezione!$AM$36-C2246)/C2246</f>
        <v>3.9761029079771887E-2</v>
      </c>
      <c r="M2246" s="551">
        <f>'Sollecitazioni nel paramento'!$G$60*(sezione!$AN$36-C2246)/C2246</f>
        <v>5.4181372106362514E-2</v>
      </c>
      <c r="N2246" s="551">
        <f>'Sollecitazioni nel paramento'!$G$60*(sezione!$AO$36-C2246)/C2246</f>
        <v>0.11186274421272503</v>
      </c>
      <c r="O2246" s="551">
        <f>'Sollecitazioni nel paramento'!$G$60*(sezione!$AP$36-C2246)/C2246</f>
        <v>0.5424370917245962</v>
      </c>
      <c r="P2246" s="545">
        <f>-'Sollecitazioni nel paramento'!$G$47*'Sollecitazioni nel paramento'!$G$41*IF(DATI!$G$211="dx",DATI!$E$61,DATI!$E$64*DATI!$E$63)*1000*C2246*sezione!$AD$5</f>
        <v>-184932.4939831548</v>
      </c>
      <c r="Q2246" s="545">
        <f>'Foglio deposito bis'!$F$88*IF(ABS(K2246)&lt;'Sollecitazioni nel paramento'!$G$58,ABS(K2246)*'Sollecitazioni nel paramento'!$G$54,'Sollecitazioni nel paramento'!$G$53)*IF(K2246&lt;0,-1,1)</f>
        <v>0</v>
      </c>
      <c r="R2246" s="545">
        <f>'Foglio deposito bis'!$F$89*IF(ABS(L2246)&lt;'Sollecitazioni nel paramento'!$G$58,ABS(L2246)*'Sollecitazioni nel paramento'!$G$54,'Sollecitazioni nel paramento'!$G$53)*IF(L2246&lt;0,-1,1)</f>
        <v>153664.85805602249</v>
      </c>
      <c r="S2246" s="545">
        <f>'Foglio deposito bis'!$F$90*IF(ABS(M2246)&lt;'Sollecitazioni nel paramento'!$G$58,ABS(M2246)*'Sollecitazioni nel paramento'!$G$54,'Sollecitazioni nel paramento'!$G$53)*IF(M2246&lt;0,-1,1)</f>
        <v>0</v>
      </c>
      <c r="T2246" s="545">
        <f>'Foglio deposito bis'!$F$91*IF(ABS(N2246)&lt;'Sollecitazioni nel paramento'!$G$58,ABS(N2246)*'Sollecitazioni nel paramento'!$G$54,'Sollecitazioni nel paramento'!$G$53)*IF(N2246&lt;0,-1,1)</f>
        <v>892485.49558937876</v>
      </c>
      <c r="U2246" s="545">
        <f>'Foglio deposito bis'!$F$92*IF(ABS(O2246)&lt;'Sollecitazioni nel paramento'!$G$58,ABS(O2246)*'Sollecitazioni nel paramento'!$G$54,'Sollecitazioni nel paramento'!$G$53)*IF(O2246&lt;0,-1,1)</f>
        <v>1662039.1047339395</v>
      </c>
      <c r="V2246" s="472">
        <f t="shared" si="159"/>
        <v>2523256.9643961862</v>
      </c>
      <c r="W2246" s="551"/>
      <c r="X2246" s="551"/>
    </row>
    <row r="2247" spans="1:24" x14ac:dyDescent="0.25">
      <c r="A2247" s="545">
        <f t="shared" si="158"/>
        <v>2502708.9095091689</v>
      </c>
      <c r="B2247" s="3">
        <f t="shared" si="160"/>
        <v>0.49999999999999994</v>
      </c>
      <c r="C2247" s="545">
        <f>'Foglio deposito bis'!$E$162/sezione!$B$247*B2247</f>
        <v>5.3936149531504318</v>
      </c>
      <c r="D2247" s="603">
        <f>-'Sollecitazioni nel paramento'!$G$47*'Sollecitazioni nel paramento'!$G$41*IF(DATI!$G$211="dx",DATI!$E$61,DATI!$E$64*DATI!$E$63)*1000*C2247^2*sezione!$AD$5*(1-sezione!$AD$6)</f>
        <v>-647237.24920514727</v>
      </c>
      <c r="E2247" s="545">
        <f>-'Foglio deposito bis'!$F$88*(C2247-sezione!$AL$36)*IF(ABS(K2247)&lt;'Sollecitazioni nel paramento'!$G$58,ABS(K2247)*'Sollecitazioni nel paramento'!$G$54,'Sollecitazioni nel paramento'!$G$53)</f>
        <v>0</v>
      </c>
      <c r="F2247" s="545">
        <f>-'Foglio deposito bis'!$F$89*(C2247-sezione!$AM$36)*IF(ABS(L2247)&lt;'Sollecitazioni nel paramento'!$G$58,ABS(L2247)*'Sollecitazioni nel paramento'!$G$54,'Sollecitazioni nel paramento'!$G$53)</f>
        <v>8391082.4071766473</v>
      </c>
      <c r="G2247" s="545">
        <f>-'Foglio deposito bis'!$F$90*(C2247-sezione!$AN$36)*IF(ABS(M2247)&lt;'Sollecitazioni nel paramento'!$G$58,ABS(M2247)*'Sollecitazioni nel paramento'!$G$54,'Sollecitazioni nel paramento'!$G$53)</f>
        <v>0</v>
      </c>
      <c r="H2247" s="545">
        <f>-'Foglio deposito bis'!$F$91*(C2247-sezione!$AO$36)*IF(ABS(N2247)&lt;'Sollecitazioni nel paramento'!$G$58,ABS(N2247)*'Sollecitazioni nel paramento'!$G$54,'Sollecitazioni nel paramento'!$G$53)</f>
        <v>137983956.17981985</v>
      </c>
      <c r="I2247" s="472">
        <f>-'Foglio deposito bis'!$F$92*(C2247-sezione!$AP$36)*IF(ABS(O2247)&lt;'Sollecitazioni nel paramento'!$G$58,ABS(O2247)*'Sollecitazioni nel paramento'!$G$54,'Sollecitazioni nel paramento'!$G$53)</f>
        <v>1249492204.3150578</v>
      </c>
      <c r="J2247" s="472">
        <f t="shared" si="157"/>
        <v>1395220005.6528492</v>
      </c>
      <c r="K2247" s="550">
        <f>'Sollecitazioni nel paramento'!$G$60*(sezione!$AL$36-C2247)/C2247</f>
        <v>2.2456617447863134E-2</v>
      </c>
      <c r="L2247" s="550">
        <f>'Sollecitazioni nel paramento'!$G$60*(sezione!$AM$36-C2247)/C2247</f>
        <v>3.5434926171794702E-2</v>
      </c>
      <c r="M2247" s="551">
        <f>'Sollecitazioni nel paramento'!$G$60*(sezione!$AN$36-C2247)/C2247</f>
        <v>4.8413234895726263E-2</v>
      </c>
      <c r="N2247" s="551">
        <f>'Sollecitazioni nel paramento'!$G$60*(sezione!$AO$36-C2247)/C2247</f>
        <v>0.10032646979145254</v>
      </c>
      <c r="O2247" s="551">
        <f>'Sollecitazioni nel paramento'!$G$60*(sezione!$AP$36-C2247)/C2247</f>
        <v>0.48784338255213661</v>
      </c>
      <c r="P2247" s="545">
        <f>-'Sollecitazioni nel paramento'!$G$47*'Sollecitazioni nel paramento'!$G$41*IF(DATI!$G$211="dx",DATI!$E$61,DATI!$E$64*DATI!$E$63)*1000*C2247*sezione!$AD$5</f>
        <v>-205480.54887017197</v>
      </c>
      <c r="Q2247" s="545">
        <f>'Foglio deposito bis'!$F$88*IF(ABS(K2247)&lt;'Sollecitazioni nel paramento'!$G$58,ABS(K2247)*'Sollecitazioni nel paramento'!$G$54,'Sollecitazioni nel paramento'!$G$53)*IF(K2247&lt;0,-1,1)</f>
        <v>0</v>
      </c>
      <c r="R2247" s="545">
        <f>'Foglio deposito bis'!$F$89*IF(ABS(L2247)&lt;'Sollecitazioni nel paramento'!$G$58,ABS(L2247)*'Sollecitazioni nel paramento'!$G$54,'Sollecitazioni nel paramento'!$G$53)*IF(L2247&lt;0,-1,1)</f>
        <v>153664.85805602249</v>
      </c>
      <c r="S2247" s="545">
        <f>'Foglio deposito bis'!$F$90*IF(ABS(M2247)&lt;'Sollecitazioni nel paramento'!$G$58,ABS(M2247)*'Sollecitazioni nel paramento'!$G$54,'Sollecitazioni nel paramento'!$G$53)*IF(M2247&lt;0,-1,1)</f>
        <v>0</v>
      </c>
      <c r="T2247" s="545">
        <f>'Foglio deposito bis'!$F$91*IF(ABS(N2247)&lt;'Sollecitazioni nel paramento'!$G$58,ABS(N2247)*'Sollecitazioni nel paramento'!$G$54,'Sollecitazioni nel paramento'!$G$53)*IF(N2247&lt;0,-1,1)</f>
        <v>892485.49558937876</v>
      </c>
      <c r="U2247" s="545">
        <f>'Foglio deposito bis'!$F$92*IF(ABS(O2247)&lt;'Sollecitazioni nel paramento'!$G$58,ABS(O2247)*'Sollecitazioni nel paramento'!$G$54,'Sollecitazioni nel paramento'!$G$53)*IF(O2247&lt;0,-1,1)</f>
        <v>1662039.1047339395</v>
      </c>
      <c r="V2247" s="472">
        <f t="shared" si="159"/>
        <v>2502708.9095091689</v>
      </c>
      <c r="W2247" s="551"/>
      <c r="X2247" s="551"/>
    </row>
    <row r="2248" spans="1:24" x14ac:dyDescent="0.25">
      <c r="A2248" s="545">
        <f t="shared" si="158"/>
        <v>2482160.8546221517</v>
      </c>
      <c r="B2248" s="3">
        <f t="shared" si="160"/>
        <v>0.54999999999999993</v>
      </c>
      <c r="C2248" s="545">
        <f>'Foglio deposito bis'!$E$162/sezione!$B$247*B2248</f>
        <v>5.9329764484654754</v>
      </c>
      <c r="D2248" s="603">
        <f>-'Sollecitazioni nel paramento'!$G$47*'Sollecitazioni nel paramento'!$G$41*IF(DATI!$G$211="dx",DATI!$E$61,DATI!$E$64*DATI!$E$63)*1000*C2248^2*sezione!$AD$5*(1-sezione!$AD$6)</f>
        <v>-783157.07153822808</v>
      </c>
      <c r="E2248" s="545">
        <f>-'Foglio deposito bis'!$F$88*(C2248-sezione!$AL$36)*IF(ABS(K2248)&lt;'Sollecitazioni nel paramento'!$G$58,ABS(K2248)*'Sollecitazioni nel paramento'!$G$54,'Sollecitazioni nel paramento'!$G$53)</f>
        <v>0</v>
      </c>
      <c r="F2248" s="545">
        <f>-'Foglio deposito bis'!$F$89*(C2248-sezione!$AM$36)*IF(ABS(L2248)&lt;'Sollecitazioni nel paramento'!$G$58,ABS(L2248)*'Sollecitazioni nel paramento'!$G$54,'Sollecitazioni nel paramento'!$G$53)</f>
        <v>8308201.4995581778</v>
      </c>
      <c r="G2248" s="545">
        <f>-'Foglio deposito bis'!$F$90*(C2248-sezione!$AN$36)*IF(ABS(M2248)&lt;'Sollecitazioni nel paramento'!$G$58,ABS(M2248)*'Sollecitazioni nel paramento'!$G$54,'Sollecitazioni nel paramento'!$G$53)</f>
        <v>0</v>
      </c>
      <c r="H2248" s="545">
        <f>-'Foglio deposito bis'!$F$91*(C2248-sezione!$AO$36)*IF(ABS(N2248)&lt;'Sollecitazioni nel paramento'!$G$58,ABS(N2248)*'Sollecitazioni nel paramento'!$G$54,'Sollecitazioni nel paramento'!$G$53)</f>
        <v>137502583.86837178</v>
      </c>
      <c r="I2248" s="472">
        <f>-'Foglio deposito bis'!$F$92*(C2248-sezione!$AP$36)*IF(ABS(O2248)&lt;'Sollecitazioni nel paramento'!$G$58,ABS(O2248)*'Sollecitazioni nel paramento'!$G$54,'Sollecitazioni nel paramento'!$G$53)</f>
        <v>1248595764.4182563</v>
      </c>
      <c r="J2248" s="472">
        <f t="shared" si="157"/>
        <v>1393623392.714648</v>
      </c>
      <c r="K2248" s="550">
        <f>'Sollecitazioni nel paramento'!$G$60*(sezione!$AL$36-C2248)/C2248</f>
        <v>2.0096924952602849E-2</v>
      </c>
      <c r="L2248" s="550">
        <f>'Sollecitazioni nel paramento'!$G$60*(sezione!$AM$36-C2248)/C2248</f>
        <v>3.189538742890427E-2</v>
      </c>
      <c r="M2248" s="551">
        <f>'Sollecitazioni nel paramento'!$G$60*(sezione!$AN$36-C2248)/C2248</f>
        <v>4.3693849905205695E-2</v>
      </c>
      <c r="N2248" s="551">
        <f>'Sollecitazioni nel paramento'!$G$60*(sezione!$AO$36-C2248)/C2248</f>
        <v>9.0887699810411407E-2</v>
      </c>
      <c r="O2248" s="551">
        <f>'Sollecitazioni nel paramento'!$G$60*(sezione!$AP$36-C2248)/C2248</f>
        <v>0.44317580232012416</v>
      </c>
      <c r="P2248" s="545">
        <f>-'Sollecitazioni nel paramento'!$G$47*'Sollecitazioni nel paramento'!$G$41*IF(DATI!$G$211="dx",DATI!$E$61,DATI!$E$64*DATI!$E$63)*1000*C2248*sezione!$AD$5</f>
        <v>-226028.60375718918</v>
      </c>
      <c r="Q2248" s="545">
        <f>'Foglio deposito bis'!$F$88*IF(ABS(K2248)&lt;'Sollecitazioni nel paramento'!$G$58,ABS(K2248)*'Sollecitazioni nel paramento'!$G$54,'Sollecitazioni nel paramento'!$G$53)*IF(K2248&lt;0,-1,1)</f>
        <v>0</v>
      </c>
      <c r="R2248" s="545">
        <f>'Foglio deposito bis'!$F$89*IF(ABS(L2248)&lt;'Sollecitazioni nel paramento'!$G$58,ABS(L2248)*'Sollecitazioni nel paramento'!$G$54,'Sollecitazioni nel paramento'!$G$53)*IF(L2248&lt;0,-1,1)</f>
        <v>153664.85805602249</v>
      </c>
      <c r="S2248" s="545">
        <f>'Foglio deposito bis'!$F$90*IF(ABS(M2248)&lt;'Sollecitazioni nel paramento'!$G$58,ABS(M2248)*'Sollecitazioni nel paramento'!$G$54,'Sollecitazioni nel paramento'!$G$53)*IF(M2248&lt;0,-1,1)</f>
        <v>0</v>
      </c>
      <c r="T2248" s="545">
        <f>'Foglio deposito bis'!$F$91*IF(ABS(N2248)&lt;'Sollecitazioni nel paramento'!$G$58,ABS(N2248)*'Sollecitazioni nel paramento'!$G$54,'Sollecitazioni nel paramento'!$G$53)*IF(N2248&lt;0,-1,1)</f>
        <v>892485.49558937876</v>
      </c>
      <c r="U2248" s="545">
        <f>'Foglio deposito bis'!$F$92*IF(ABS(O2248)&lt;'Sollecitazioni nel paramento'!$G$58,ABS(O2248)*'Sollecitazioni nel paramento'!$G$54,'Sollecitazioni nel paramento'!$G$53)*IF(O2248&lt;0,-1,1)</f>
        <v>1662039.1047339395</v>
      </c>
      <c r="V2248" s="472">
        <f t="shared" si="159"/>
        <v>2482160.8546221517</v>
      </c>
      <c r="W2248" s="551"/>
      <c r="X2248" s="551"/>
    </row>
    <row r="2249" spans="1:24" x14ac:dyDescent="0.25">
      <c r="A2249" s="545">
        <f t="shared" si="158"/>
        <v>2461612.7997351345</v>
      </c>
      <c r="B2249" s="3">
        <f t="shared" si="160"/>
        <v>0.6</v>
      </c>
      <c r="C2249" s="545">
        <f>'Foglio deposito bis'!$E$162/sezione!$B$247*B2249</f>
        <v>6.4723379437805191</v>
      </c>
      <c r="D2249" s="603">
        <f>-'Sollecitazioni nel paramento'!$G$47*'Sollecitazioni nel paramento'!$G$41*IF(DATI!$G$211="dx",DATI!$E$61,DATI!$E$64*DATI!$E$63)*1000*C2249^2*sezione!$AD$5*(1-sezione!$AD$6)</f>
        <v>-932021.63885541225</v>
      </c>
      <c r="E2249" s="545">
        <f>-'Foglio deposito bis'!$F$88*(C2249-sezione!$AL$36)*IF(ABS(K2249)&lt;'Sollecitazioni nel paramento'!$G$58,ABS(K2249)*'Sollecitazioni nel paramento'!$G$54,'Sollecitazioni nel paramento'!$G$53)</f>
        <v>0</v>
      </c>
      <c r="F2249" s="545">
        <f>-'Foglio deposito bis'!$F$89*(C2249-sezione!$AM$36)*IF(ABS(L2249)&lt;'Sollecitazioni nel paramento'!$G$58,ABS(L2249)*'Sollecitazioni nel paramento'!$G$54,'Sollecitazioni nel paramento'!$G$53)</f>
        <v>8225320.5919397073</v>
      </c>
      <c r="G2249" s="545">
        <f>-'Foglio deposito bis'!$F$90*(C2249-sezione!$AN$36)*IF(ABS(M2249)&lt;'Sollecitazioni nel paramento'!$G$58,ABS(M2249)*'Sollecitazioni nel paramento'!$G$54,'Sollecitazioni nel paramento'!$G$53)</f>
        <v>0</v>
      </c>
      <c r="H2249" s="545">
        <f>-'Foglio deposito bis'!$F$91*(C2249-sezione!$AO$36)*IF(ABS(N2249)&lt;'Sollecitazioni nel paramento'!$G$58,ABS(N2249)*'Sollecitazioni nel paramento'!$G$54,'Sollecitazioni nel paramento'!$G$53)</f>
        <v>137021211.55692369</v>
      </c>
      <c r="I2249" s="472">
        <f>-'Foglio deposito bis'!$F$92*(C2249-sezione!$AP$36)*IF(ABS(O2249)&lt;'Sollecitazioni nel paramento'!$G$58,ABS(O2249)*'Sollecitazioni nel paramento'!$G$54,'Sollecitazioni nel paramento'!$G$53)</f>
        <v>1247699324.521455</v>
      </c>
      <c r="J2249" s="472">
        <f t="shared" si="157"/>
        <v>1392013835.0314631</v>
      </c>
      <c r="K2249" s="550">
        <f>'Sollecitazioni nel paramento'!$G$60*(sezione!$AL$36-C2249)/C2249</f>
        <v>1.8130514539885942E-2</v>
      </c>
      <c r="L2249" s="550">
        <f>'Sollecitazioni nel paramento'!$G$60*(sezione!$AM$36-C2249)/C2249</f>
        <v>2.8945771809828914E-2</v>
      </c>
      <c r="M2249" s="551">
        <f>'Sollecitazioni nel paramento'!$G$60*(sezione!$AN$36-C2249)/C2249</f>
        <v>3.9761029079771887E-2</v>
      </c>
      <c r="N2249" s="551">
        <f>'Sollecitazioni nel paramento'!$G$60*(sezione!$AO$36-C2249)/C2249</f>
        <v>8.3022058159543763E-2</v>
      </c>
      <c r="O2249" s="551">
        <f>'Sollecitazioni nel paramento'!$G$60*(sezione!$AP$36-C2249)/C2249</f>
        <v>0.40595281879344713</v>
      </c>
      <c r="P2249" s="545">
        <f>-'Sollecitazioni nel paramento'!$G$47*'Sollecitazioni nel paramento'!$G$41*IF(DATI!$G$211="dx",DATI!$E$61,DATI!$E$64*DATI!$E$63)*1000*C2249*sezione!$AD$5</f>
        <v>-246576.65864420639</v>
      </c>
      <c r="Q2249" s="545">
        <f>'Foglio deposito bis'!$F$88*IF(ABS(K2249)&lt;'Sollecitazioni nel paramento'!$G$58,ABS(K2249)*'Sollecitazioni nel paramento'!$G$54,'Sollecitazioni nel paramento'!$G$53)*IF(K2249&lt;0,-1,1)</f>
        <v>0</v>
      </c>
      <c r="R2249" s="545">
        <f>'Foglio deposito bis'!$F$89*IF(ABS(L2249)&lt;'Sollecitazioni nel paramento'!$G$58,ABS(L2249)*'Sollecitazioni nel paramento'!$G$54,'Sollecitazioni nel paramento'!$G$53)*IF(L2249&lt;0,-1,1)</f>
        <v>153664.85805602249</v>
      </c>
      <c r="S2249" s="545">
        <f>'Foglio deposito bis'!$F$90*IF(ABS(M2249)&lt;'Sollecitazioni nel paramento'!$G$58,ABS(M2249)*'Sollecitazioni nel paramento'!$G$54,'Sollecitazioni nel paramento'!$G$53)*IF(M2249&lt;0,-1,1)</f>
        <v>0</v>
      </c>
      <c r="T2249" s="545">
        <f>'Foglio deposito bis'!$F$91*IF(ABS(N2249)&lt;'Sollecitazioni nel paramento'!$G$58,ABS(N2249)*'Sollecitazioni nel paramento'!$G$54,'Sollecitazioni nel paramento'!$G$53)*IF(N2249&lt;0,-1,1)</f>
        <v>892485.49558937876</v>
      </c>
      <c r="U2249" s="545">
        <f>'Foglio deposito bis'!$F$92*IF(ABS(O2249)&lt;'Sollecitazioni nel paramento'!$G$58,ABS(O2249)*'Sollecitazioni nel paramento'!$G$54,'Sollecitazioni nel paramento'!$G$53)*IF(O2249&lt;0,-1,1)</f>
        <v>1662039.1047339395</v>
      </c>
      <c r="V2249" s="472">
        <f t="shared" si="159"/>
        <v>2461612.7997351345</v>
      </c>
      <c r="W2249" s="551"/>
      <c r="X2249" s="551"/>
    </row>
    <row r="2250" spans="1:24" x14ac:dyDescent="0.25">
      <c r="A2250" s="545">
        <f t="shared" si="158"/>
        <v>2441064.7448481172</v>
      </c>
      <c r="B2250" s="3">
        <f t="shared" si="160"/>
        <v>0.65</v>
      </c>
      <c r="C2250" s="545">
        <f>'Foglio deposito bis'!$E$162/sezione!$B$247*B2250</f>
        <v>7.0116994390955627</v>
      </c>
      <c r="D2250" s="603">
        <f>-'Sollecitazioni nel paramento'!$G$47*'Sollecitazioni nel paramento'!$G$41*IF(DATI!$G$211="dx",DATI!$E$61,DATI!$E$64*DATI!$E$63)*1000*C2250^2*sezione!$AD$5*(1-sezione!$AD$6)</f>
        <v>-1093830.9511566991</v>
      </c>
      <c r="E2250" s="545">
        <f>-'Foglio deposito bis'!$F$88*(C2250-sezione!$AL$36)*IF(ABS(K2250)&lt;'Sollecitazioni nel paramento'!$G$58,ABS(K2250)*'Sollecitazioni nel paramento'!$G$54,'Sollecitazioni nel paramento'!$G$53)</f>
        <v>0</v>
      </c>
      <c r="F2250" s="545">
        <f>-'Foglio deposito bis'!$F$89*(C2250-sezione!$AM$36)*IF(ABS(L2250)&lt;'Sollecitazioni nel paramento'!$G$58,ABS(L2250)*'Sollecitazioni nel paramento'!$G$54,'Sollecitazioni nel paramento'!$G$53)</f>
        <v>8142439.6843212377</v>
      </c>
      <c r="G2250" s="545">
        <f>-'Foglio deposito bis'!$F$90*(C2250-sezione!$AN$36)*IF(ABS(M2250)&lt;'Sollecitazioni nel paramento'!$G$58,ABS(M2250)*'Sollecitazioni nel paramento'!$G$54,'Sollecitazioni nel paramento'!$G$53)</f>
        <v>0</v>
      </c>
      <c r="H2250" s="545">
        <f>-'Foglio deposito bis'!$F$91*(C2250-sezione!$AO$36)*IF(ABS(N2250)&lt;'Sollecitazioni nel paramento'!$G$58,ABS(N2250)*'Sollecitazioni nel paramento'!$G$54,'Sollecitazioni nel paramento'!$G$53)</f>
        <v>136539839.24547562</v>
      </c>
      <c r="I2250" s="472">
        <f>-'Foglio deposito bis'!$F$92*(C2250-sezione!$AP$36)*IF(ABS(O2250)&lt;'Sollecitazioni nel paramento'!$G$58,ABS(O2250)*'Sollecitazioni nel paramento'!$G$54,'Sollecitazioni nel paramento'!$G$53)</f>
        <v>1246802884.6246536</v>
      </c>
      <c r="J2250" s="472">
        <f t="shared" si="157"/>
        <v>1390391332.6032937</v>
      </c>
      <c r="K2250" s="550">
        <f>'Sollecitazioni nel paramento'!$G$60*(sezione!$AL$36-C2250)/C2250</f>
        <v>1.6466628806048562E-2</v>
      </c>
      <c r="L2250" s="550">
        <f>'Sollecitazioni nel paramento'!$G$60*(sezione!$AM$36-C2250)/C2250</f>
        <v>2.6449943209072842E-2</v>
      </c>
      <c r="M2250" s="551">
        <f>'Sollecitazioni nel paramento'!$G$60*(sezione!$AN$36-C2250)/C2250</f>
        <v>3.6433257612097127E-2</v>
      </c>
      <c r="N2250" s="551">
        <f>'Sollecitazioni nel paramento'!$G$60*(sezione!$AO$36-C2250)/C2250</f>
        <v>7.6366515224194242E-2</v>
      </c>
      <c r="O2250" s="551">
        <f>'Sollecitazioni nel paramento'!$G$60*(sezione!$AP$36-C2250)/C2250</f>
        <v>0.37445644811702816</v>
      </c>
      <c r="P2250" s="545">
        <f>-'Sollecitazioni nel paramento'!$G$47*'Sollecitazioni nel paramento'!$G$41*IF(DATI!$G$211="dx",DATI!$E$61,DATI!$E$64*DATI!$E$63)*1000*C2250*sezione!$AD$5</f>
        <v>-267124.71353122359</v>
      </c>
      <c r="Q2250" s="545">
        <f>'Foglio deposito bis'!$F$88*IF(ABS(K2250)&lt;'Sollecitazioni nel paramento'!$G$58,ABS(K2250)*'Sollecitazioni nel paramento'!$G$54,'Sollecitazioni nel paramento'!$G$53)*IF(K2250&lt;0,-1,1)</f>
        <v>0</v>
      </c>
      <c r="R2250" s="545">
        <f>'Foglio deposito bis'!$F$89*IF(ABS(L2250)&lt;'Sollecitazioni nel paramento'!$G$58,ABS(L2250)*'Sollecitazioni nel paramento'!$G$54,'Sollecitazioni nel paramento'!$G$53)*IF(L2250&lt;0,-1,1)</f>
        <v>153664.85805602249</v>
      </c>
      <c r="S2250" s="545">
        <f>'Foglio deposito bis'!$F$90*IF(ABS(M2250)&lt;'Sollecitazioni nel paramento'!$G$58,ABS(M2250)*'Sollecitazioni nel paramento'!$G$54,'Sollecitazioni nel paramento'!$G$53)*IF(M2250&lt;0,-1,1)</f>
        <v>0</v>
      </c>
      <c r="T2250" s="545">
        <f>'Foglio deposito bis'!$F$91*IF(ABS(N2250)&lt;'Sollecitazioni nel paramento'!$G$58,ABS(N2250)*'Sollecitazioni nel paramento'!$G$54,'Sollecitazioni nel paramento'!$G$53)*IF(N2250&lt;0,-1,1)</f>
        <v>892485.49558937876</v>
      </c>
      <c r="U2250" s="545">
        <f>'Foglio deposito bis'!$F$92*IF(ABS(O2250)&lt;'Sollecitazioni nel paramento'!$G$58,ABS(O2250)*'Sollecitazioni nel paramento'!$G$54,'Sollecitazioni nel paramento'!$G$53)*IF(O2250&lt;0,-1,1)</f>
        <v>1662039.1047339395</v>
      </c>
      <c r="V2250" s="472">
        <f t="shared" si="159"/>
        <v>2441064.7448481172</v>
      </c>
      <c r="W2250" s="551"/>
      <c r="X2250" s="551"/>
    </row>
    <row r="2251" spans="1:24" x14ac:dyDescent="0.25">
      <c r="A2251" s="545">
        <f t="shared" si="158"/>
        <v>2420516.6899611</v>
      </c>
      <c r="B2251" s="3">
        <f t="shared" si="160"/>
        <v>0.70000000000000007</v>
      </c>
      <c r="C2251" s="545">
        <f>'Foglio deposito bis'!$E$162/sezione!$B$247*B2251</f>
        <v>7.5510609344106063</v>
      </c>
      <c r="D2251" s="603">
        <f>-'Sollecitazioni nel paramento'!$G$47*'Sollecitazioni nel paramento'!$G$41*IF(DATI!$G$211="dx",DATI!$E$61,DATI!$E$64*DATI!$E$63)*1000*C2251^2*sezione!$AD$5*(1-sezione!$AD$6)</f>
        <v>-1268585.008442089</v>
      </c>
      <c r="E2251" s="545">
        <f>-'Foglio deposito bis'!$F$88*(C2251-sezione!$AL$36)*IF(ABS(K2251)&lt;'Sollecitazioni nel paramento'!$G$58,ABS(K2251)*'Sollecitazioni nel paramento'!$G$54,'Sollecitazioni nel paramento'!$G$53)</f>
        <v>0</v>
      </c>
      <c r="F2251" s="545">
        <f>-'Foglio deposito bis'!$F$89*(C2251-sezione!$AM$36)*IF(ABS(L2251)&lt;'Sollecitazioni nel paramento'!$G$58,ABS(L2251)*'Sollecitazioni nel paramento'!$G$54,'Sollecitazioni nel paramento'!$G$53)</f>
        <v>8059558.7767027672</v>
      </c>
      <c r="G2251" s="545">
        <f>-'Foglio deposito bis'!$F$90*(C2251-sezione!$AN$36)*IF(ABS(M2251)&lt;'Sollecitazioni nel paramento'!$G$58,ABS(M2251)*'Sollecitazioni nel paramento'!$G$54,'Sollecitazioni nel paramento'!$G$53)</f>
        <v>0</v>
      </c>
      <c r="H2251" s="545">
        <f>-'Foglio deposito bis'!$F$91*(C2251-sezione!$AO$36)*IF(ABS(N2251)&lt;'Sollecitazioni nel paramento'!$G$58,ABS(N2251)*'Sollecitazioni nel paramento'!$G$54,'Sollecitazioni nel paramento'!$G$53)</f>
        <v>136058466.93402758</v>
      </c>
      <c r="I2251" s="472">
        <f>-'Foglio deposito bis'!$F$92*(C2251-sezione!$AP$36)*IF(ABS(O2251)&lt;'Sollecitazioni nel paramento'!$G$58,ABS(O2251)*'Sollecitazioni nel paramento'!$G$54,'Sollecitazioni nel paramento'!$G$53)</f>
        <v>1245906444.7278523</v>
      </c>
      <c r="J2251" s="472">
        <f t="shared" si="157"/>
        <v>1388755885.4301405</v>
      </c>
      <c r="K2251" s="550">
        <f>'Sollecitazioni nel paramento'!$G$60*(sezione!$AL$36-C2251)/C2251</f>
        <v>1.5040441034187949E-2</v>
      </c>
      <c r="L2251" s="550">
        <f>'Sollecitazioni nel paramento'!$G$60*(sezione!$AM$36-C2251)/C2251</f>
        <v>2.4310661551281924E-2</v>
      </c>
      <c r="M2251" s="551">
        <f>'Sollecitazioni nel paramento'!$G$60*(sezione!$AN$36-C2251)/C2251</f>
        <v>3.3580882068375902E-2</v>
      </c>
      <c r="N2251" s="551">
        <f>'Sollecitazioni nel paramento'!$G$60*(sezione!$AO$36-C2251)/C2251</f>
        <v>7.0661764136751792E-2</v>
      </c>
      <c r="O2251" s="551">
        <f>'Sollecitazioni nel paramento'!$G$60*(sezione!$AP$36-C2251)/C2251</f>
        <v>0.34745955896581177</v>
      </c>
      <c r="P2251" s="545">
        <f>-'Sollecitazioni nel paramento'!$G$47*'Sollecitazioni nel paramento'!$G$41*IF(DATI!$G$211="dx",DATI!$E$61,DATI!$E$64*DATI!$E$63)*1000*C2251*sezione!$AD$5</f>
        <v>-287672.76841824083</v>
      </c>
      <c r="Q2251" s="545">
        <f>'Foglio deposito bis'!$F$88*IF(ABS(K2251)&lt;'Sollecitazioni nel paramento'!$G$58,ABS(K2251)*'Sollecitazioni nel paramento'!$G$54,'Sollecitazioni nel paramento'!$G$53)*IF(K2251&lt;0,-1,1)</f>
        <v>0</v>
      </c>
      <c r="R2251" s="545">
        <f>'Foglio deposito bis'!$F$89*IF(ABS(L2251)&lt;'Sollecitazioni nel paramento'!$G$58,ABS(L2251)*'Sollecitazioni nel paramento'!$G$54,'Sollecitazioni nel paramento'!$G$53)*IF(L2251&lt;0,-1,1)</f>
        <v>153664.85805602249</v>
      </c>
      <c r="S2251" s="545">
        <f>'Foglio deposito bis'!$F$90*IF(ABS(M2251)&lt;'Sollecitazioni nel paramento'!$G$58,ABS(M2251)*'Sollecitazioni nel paramento'!$G$54,'Sollecitazioni nel paramento'!$G$53)*IF(M2251&lt;0,-1,1)</f>
        <v>0</v>
      </c>
      <c r="T2251" s="545">
        <f>'Foglio deposito bis'!$F$91*IF(ABS(N2251)&lt;'Sollecitazioni nel paramento'!$G$58,ABS(N2251)*'Sollecitazioni nel paramento'!$G$54,'Sollecitazioni nel paramento'!$G$53)*IF(N2251&lt;0,-1,1)</f>
        <v>892485.49558937876</v>
      </c>
      <c r="U2251" s="545">
        <f>'Foglio deposito bis'!$F$92*IF(ABS(O2251)&lt;'Sollecitazioni nel paramento'!$G$58,ABS(O2251)*'Sollecitazioni nel paramento'!$G$54,'Sollecitazioni nel paramento'!$G$53)*IF(O2251&lt;0,-1,1)</f>
        <v>1662039.1047339395</v>
      </c>
      <c r="V2251" s="472">
        <f t="shared" si="159"/>
        <v>2420516.6899611</v>
      </c>
      <c r="W2251" s="551"/>
      <c r="X2251" s="551"/>
    </row>
    <row r="2252" spans="1:24" x14ac:dyDescent="0.25">
      <c r="A2252" s="545">
        <f t="shared" si="158"/>
        <v>2399968.6350740828</v>
      </c>
      <c r="B2252" s="3">
        <f t="shared" si="160"/>
        <v>0.75000000000000011</v>
      </c>
      <c r="C2252" s="545">
        <f>'Foglio deposito bis'!$E$162/sezione!$B$247*B2252</f>
        <v>8.0904224297256508</v>
      </c>
      <c r="D2252" s="603">
        <f>-'Sollecitazioni nel paramento'!$G$47*'Sollecitazioni nel paramento'!$G$41*IF(DATI!$G$211="dx",DATI!$E$61,DATI!$E$64*DATI!$E$63)*1000*C2252^2*sezione!$AD$5*(1-sezione!$AD$6)</f>
        <v>-1456283.810711582</v>
      </c>
      <c r="E2252" s="545">
        <f>-'Foglio deposito bis'!$F$88*(C2252-sezione!$AL$36)*IF(ABS(K2252)&lt;'Sollecitazioni nel paramento'!$G$58,ABS(K2252)*'Sollecitazioni nel paramento'!$G$54,'Sollecitazioni nel paramento'!$G$53)</f>
        <v>0</v>
      </c>
      <c r="F2252" s="545">
        <f>-'Foglio deposito bis'!$F$89*(C2252-sezione!$AM$36)*IF(ABS(L2252)&lt;'Sollecitazioni nel paramento'!$G$58,ABS(L2252)*'Sollecitazioni nel paramento'!$G$54,'Sollecitazioni nel paramento'!$G$53)</f>
        <v>7976677.8690842977</v>
      </c>
      <c r="G2252" s="545">
        <f>-'Foglio deposito bis'!$F$90*(C2252-sezione!$AN$36)*IF(ABS(M2252)&lt;'Sollecitazioni nel paramento'!$G$58,ABS(M2252)*'Sollecitazioni nel paramento'!$G$54,'Sollecitazioni nel paramento'!$G$53)</f>
        <v>0</v>
      </c>
      <c r="H2252" s="545">
        <f>-'Foglio deposito bis'!$F$91*(C2252-sezione!$AO$36)*IF(ABS(N2252)&lt;'Sollecitazioni nel paramento'!$G$58,ABS(N2252)*'Sollecitazioni nel paramento'!$G$54,'Sollecitazioni nel paramento'!$G$53)</f>
        <v>135577094.62257949</v>
      </c>
      <c r="I2252" s="472">
        <f>-'Foglio deposito bis'!$F$92*(C2252-sezione!$AP$36)*IF(ABS(O2252)&lt;'Sollecitazioni nel paramento'!$G$58,ABS(O2252)*'Sollecitazioni nel paramento'!$G$54,'Sollecitazioni nel paramento'!$G$53)</f>
        <v>1245010004.8310509</v>
      </c>
      <c r="J2252" s="472">
        <f t="shared" si="157"/>
        <v>1387107493.5120029</v>
      </c>
      <c r="K2252" s="550">
        <f>'Sollecitazioni nel paramento'!$G$60*(sezione!$AL$36-C2252)/C2252</f>
        <v>1.380441163190875E-2</v>
      </c>
      <c r="L2252" s="550">
        <f>'Sollecitazioni nel paramento'!$G$60*(sezione!$AM$36-C2252)/C2252</f>
        <v>2.2456617447863127E-2</v>
      </c>
      <c r="M2252" s="551">
        <f>'Sollecitazioni nel paramento'!$G$60*(sezione!$AN$36-C2252)/C2252</f>
        <v>3.11088232638175E-2</v>
      </c>
      <c r="N2252" s="551">
        <f>'Sollecitazioni nel paramento'!$G$60*(sezione!$AO$36-C2252)/C2252</f>
        <v>6.5717646527634996E-2</v>
      </c>
      <c r="O2252" s="551">
        <f>'Sollecitazioni nel paramento'!$G$60*(sezione!$AP$36-C2252)/C2252</f>
        <v>0.32406225503475761</v>
      </c>
      <c r="P2252" s="545">
        <f>-'Sollecitazioni nel paramento'!$G$47*'Sollecitazioni nel paramento'!$G$41*IF(DATI!$G$211="dx",DATI!$E$61,DATI!$E$64*DATI!$E$63)*1000*C2252*sezione!$AD$5</f>
        <v>-308220.82330525806</v>
      </c>
      <c r="Q2252" s="545">
        <f>'Foglio deposito bis'!$F$88*IF(ABS(K2252)&lt;'Sollecitazioni nel paramento'!$G$58,ABS(K2252)*'Sollecitazioni nel paramento'!$G$54,'Sollecitazioni nel paramento'!$G$53)*IF(K2252&lt;0,-1,1)</f>
        <v>0</v>
      </c>
      <c r="R2252" s="545">
        <f>'Foglio deposito bis'!$F$89*IF(ABS(L2252)&lt;'Sollecitazioni nel paramento'!$G$58,ABS(L2252)*'Sollecitazioni nel paramento'!$G$54,'Sollecitazioni nel paramento'!$G$53)*IF(L2252&lt;0,-1,1)</f>
        <v>153664.85805602249</v>
      </c>
      <c r="S2252" s="545">
        <f>'Foglio deposito bis'!$F$90*IF(ABS(M2252)&lt;'Sollecitazioni nel paramento'!$G$58,ABS(M2252)*'Sollecitazioni nel paramento'!$G$54,'Sollecitazioni nel paramento'!$G$53)*IF(M2252&lt;0,-1,1)</f>
        <v>0</v>
      </c>
      <c r="T2252" s="545">
        <f>'Foglio deposito bis'!$F$91*IF(ABS(N2252)&lt;'Sollecitazioni nel paramento'!$G$58,ABS(N2252)*'Sollecitazioni nel paramento'!$G$54,'Sollecitazioni nel paramento'!$G$53)*IF(N2252&lt;0,-1,1)</f>
        <v>892485.49558937876</v>
      </c>
      <c r="U2252" s="545">
        <f>'Foglio deposito bis'!$F$92*IF(ABS(O2252)&lt;'Sollecitazioni nel paramento'!$G$58,ABS(O2252)*'Sollecitazioni nel paramento'!$G$54,'Sollecitazioni nel paramento'!$G$53)*IF(O2252&lt;0,-1,1)</f>
        <v>1662039.1047339395</v>
      </c>
      <c r="V2252" s="472">
        <f t="shared" si="159"/>
        <v>2399968.6350740828</v>
      </c>
      <c r="W2252" s="551"/>
      <c r="X2252" s="551"/>
    </row>
    <row r="2253" spans="1:24" x14ac:dyDescent="0.25">
      <c r="A2253" s="545">
        <f t="shared" si="158"/>
        <v>2379420.5801870655</v>
      </c>
      <c r="B2253" s="3">
        <f t="shared" si="160"/>
        <v>0.80000000000000016</v>
      </c>
      <c r="C2253" s="545">
        <f>'Foglio deposito bis'!$E$162/sezione!$B$247*B2253</f>
        <v>8.6297839250406945</v>
      </c>
      <c r="D2253" s="603">
        <f>-'Sollecitazioni nel paramento'!$G$47*'Sollecitazioni nel paramento'!$G$41*IF(DATI!$G$211="dx",DATI!$E$61,DATI!$E$64*DATI!$E$63)*1000*C2253^2*sezione!$AD$5*(1-sezione!$AD$6)</f>
        <v>-1656927.3579651783</v>
      </c>
      <c r="E2253" s="545">
        <f>-'Foglio deposito bis'!$F$88*(C2253-sezione!$AL$36)*IF(ABS(K2253)&lt;'Sollecitazioni nel paramento'!$G$58,ABS(K2253)*'Sollecitazioni nel paramento'!$G$54,'Sollecitazioni nel paramento'!$G$53)</f>
        <v>0</v>
      </c>
      <c r="F2253" s="545">
        <f>-'Foglio deposito bis'!$F$89*(C2253-sezione!$AM$36)*IF(ABS(L2253)&lt;'Sollecitazioni nel paramento'!$G$58,ABS(L2253)*'Sollecitazioni nel paramento'!$G$54,'Sollecitazioni nel paramento'!$G$53)</f>
        <v>7893796.9614658263</v>
      </c>
      <c r="G2253" s="545">
        <f>-'Foglio deposito bis'!$F$90*(C2253-sezione!$AN$36)*IF(ABS(M2253)&lt;'Sollecitazioni nel paramento'!$G$58,ABS(M2253)*'Sollecitazioni nel paramento'!$G$54,'Sollecitazioni nel paramento'!$G$53)</f>
        <v>0</v>
      </c>
      <c r="H2253" s="545">
        <f>-'Foglio deposito bis'!$F$91*(C2253-sezione!$AO$36)*IF(ABS(N2253)&lt;'Sollecitazioni nel paramento'!$G$58,ABS(N2253)*'Sollecitazioni nel paramento'!$G$54,'Sollecitazioni nel paramento'!$G$53)</f>
        <v>135095722.31113139</v>
      </c>
      <c r="I2253" s="472">
        <f>-'Foglio deposito bis'!$F$92*(C2253-sezione!$AP$36)*IF(ABS(O2253)&lt;'Sollecitazioni nel paramento'!$G$58,ABS(O2253)*'Sollecitazioni nel paramento'!$G$54,'Sollecitazioni nel paramento'!$G$53)</f>
        <v>1244113564.9342496</v>
      </c>
      <c r="J2253" s="472">
        <f t="shared" si="157"/>
        <v>1385446156.8488817</v>
      </c>
      <c r="K2253" s="550">
        <f>'Sollecitazioni nel paramento'!$G$60*(sezione!$AL$36-C2253)/C2253</f>
        <v>1.2722885904914452E-2</v>
      </c>
      <c r="L2253" s="550">
        <f>'Sollecitazioni nel paramento'!$G$60*(sezione!$AM$36-C2253)/C2253</f>
        <v>2.0834328857371676E-2</v>
      </c>
      <c r="M2253" s="551">
        <f>'Sollecitazioni nel paramento'!$G$60*(sezione!$AN$36-C2253)/C2253</f>
        <v>2.8945771809828904E-2</v>
      </c>
      <c r="N2253" s="551">
        <f>'Sollecitazioni nel paramento'!$G$60*(sezione!$AO$36-C2253)/C2253</f>
        <v>6.1391543619657804E-2</v>
      </c>
      <c r="O2253" s="551">
        <f>'Sollecitazioni nel paramento'!$G$60*(sezione!$AP$36-C2253)/C2253</f>
        <v>0.30358961409508528</v>
      </c>
      <c r="P2253" s="545">
        <f>-'Sollecitazioni nel paramento'!$G$47*'Sollecitazioni nel paramento'!$G$41*IF(DATI!$G$211="dx",DATI!$E$61,DATI!$E$64*DATI!$E$63)*1000*C2253*sezione!$AD$5</f>
        <v>-328768.87819227524</v>
      </c>
      <c r="Q2253" s="545">
        <f>'Foglio deposito bis'!$F$88*IF(ABS(K2253)&lt;'Sollecitazioni nel paramento'!$G$58,ABS(K2253)*'Sollecitazioni nel paramento'!$G$54,'Sollecitazioni nel paramento'!$G$53)*IF(K2253&lt;0,-1,1)</f>
        <v>0</v>
      </c>
      <c r="R2253" s="545">
        <f>'Foglio deposito bis'!$F$89*IF(ABS(L2253)&lt;'Sollecitazioni nel paramento'!$G$58,ABS(L2253)*'Sollecitazioni nel paramento'!$G$54,'Sollecitazioni nel paramento'!$G$53)*IF(L2253&lt;0,-1,1)</f>
        <v>153664.85805602249</v>
      </c>
      <c r="S2253" s="545">
        <f>'Foglio deposito bis'!$F$90*IF(ABS(M2253)&lt;'Sollecitazioni nel paramento'!$G$58,ABS(M2253)*'Sollecitazioni nel paramento'!$G$54,'Sollecitazioni nel paramento'!$G$53)*IF(M2253&lt;0,-1,1)</f>
        <v>0</v>
      </c>
      <c r="T2253" s="545">
        <f>'Foglio deposito bis'!$F$91*IF(ABS(N2253)&lt;'Sollecitazioni nel paramento'!$G$58,ABS(N2253)*'Sollecitazioni nel paramento'!$G$54,'Sollecitazioni nel paramento'!$G$53)*IF(N2253&lt;0,-1,1)</f>
        <v>892485.49558937876</v>
      </c>
      <c r="U2253" s="545">
        <f>'Foglio deposito bis'!$F$92*IF(ABS(O2253)&lt;'Sollecitazioni nel paramento'!$G$58,ABS(O2253)*'Sollecitazioni nel paramento'!$G$54,'Sollecitazioni nel paramento'!$G$53)*IF(O2253&lt;0,-1,1)</f>
        <v>1662039.1047339395</v>
      </c>
      <c r="V2253" s="472">
        <f t="shared" si="159"/>
        <v>2379420.5801870655</v>
      </c>
      <c r="W2253" s="551"/>
      <c r="X2253" s="551"/>
    </row>
    <row r="2254" spans="1:24" x14ac:dyDescent="0.25">
      <c r="A2254" s="545">
        <f t="shared" si="158"/>
        <v>2358872.5253000483</v>
      </c>
      <c r="B2254" s="3">
        <f t="shared" si="160"/>
        <v>0.8500000000000002</v>
      </c>
      <c r="C2254" s="545">
        <f>'Foglio deposito bis'!$E$162/sezione!$B$247*B2254</f>
        <v>9.1691454203557381</v>
      </c>
      <c r="D2254" s="603">
        <f>-'Sollecitazioni nel paramento'!$G$47*'Sollecitazioni nel paramento'!$G$41*IF(DATI!$G$211="dx",DATI!$E$61,DATI!$E$64*DATI!$E$63)*1000*C2254^2*sezione!$AD$5*(1-sezione!$AD$6)</f>
        <v>-1870515.6502028769</v>
      </c>
      <c r="E2254" s="545">
        <f>-'Foglio deposito bis'!$F$88*(C2254-sezione!$AL$36)*IF(ABS(K2254)&lt;'Sollecitazioni nel paramento'!$G$58,ABS(K2254)*'Sollecitazioni nel paramento'!$G$54,'Sollecitazioni nel paramento'!$G$53)</f>
        <v>0</v>
      </c>
      <c r="F2254" s="545">
        <f>-'Foglio deposito bis'!$F$89*(C2254-sezione!$AM$36)*IF(ABS(L2254)&lt;'Sollecitazioni nel paramento'!$G$58,ABS(L2254)*'Sollecitazioni nel paramento'!$G$54,'Sollecitazioni nel paramento'!$G$53)</f>
        <v>7810916.0538473558</v>
      </c>
      <c r="G2254" s="545">
        <f>-'Foglio deposito bis'!$F$90*(C2254-sezione!$AN$36)*IF(ABS(M2254)&lt;'Sollecitazioni nel paramento'!$G$58,ABS(M2254)*'Sollecitazioni nel paramento'!$G$54,'Sollecitazioni nel paramento'!$G$53)</f>
        <v>0</v>
      </c>
      <c r="H2254" s="545">
        <f>-'Foglio deposito bis'!$F$91*(C2254-sezione!$AO$36)*IF(ABS(N2254)&lt;'Sollecitazioni nel paramento'!$G$58,ABS(N2254)*'Sollecitazioni nel paramento'!$G$54,'Sollecitazioni nel paramento'!$G$53)</f>
        <v>134614349.99968332</v>
      </c>
      <c r="I2254" s="472">
        <f>-'Foglio deposito bis'!$F$92*(C2254-sezione!$AP$36)*IF(ABS(O2254)&lt;'Sollecitazioni nel paramento'!$G$58,ABS(O2254)*'Sollecitazioni nel paramento'!$G$54,'Sollecitazioni nel paramento'!$G$53)</f>
        <v>1243217125.0374482</v>
      </c>
      <c r="J2254" s="472">
        <f t="shared" si="157"/>
        <v>1383771875.4407759</v>
      </c>
      <c r="K2254" s="550">
        <f>'Sollecitazioni nel paramento'!$G$60*(sezione!$AL$36-C2254)/C2254</f>
        <v>1.1768598498743012E-2</v>
      </c>
      <c r="L2254" s="550">
        <f>'Sollecitazioni nel paramento'!$G$60*(sezione!$AM$36-C2254)/C2254</f>
        <v>1.9402897748114517E-2</v>
      </c>
      <c r="M2254" s="551">
        <f>'Sollecitazioni nel paramento'!$G$60*(sezione!$AN$36-C2254)/C2254</f>
        <v>2.7037196997486031E-2</v>
      </c>
      <c r="N2254" s="551">
        <f>'Sollecitazioni nel paramento'!$G$60*(sezione!$AO$36-C2254)/C2254</f>
        <v>5.7574393994972058E-2</v>
      </c>
      <c r="O2254" s="551">
        <f>'Sollecitazioni nel paramento'!$G$60*(sezione!$AP$36-C2254)/C2254</f>
        <v>0.28552551914831553</v>
      </c>
      <c r="P2254" s="545">
        <f>-'Sollecitazioni nel paramento'!$G$47*'Sollecitazioni nel paramento'!$G$41*IF(DATI!$G$211="dx",DATI!$E$61,DATI!$E$64*DATI!$E$63)*1000*C2254*sezione!$AD$5</f>
        <v>-349316.93307929253</v>
      </c>
      <c r="Q2254" s="545">
        <f>'Foglio deposito bis'!$F$88*IF(ABS(K2254)&lt;'Sollecitazioni nel paramento'!$G$58,ABS(K2254)*'Sollecitazioni nel paramento'!$G$54,'Sollecitazioni nel paramento'!$G$53)*IF(K2254&lt;0,-1,1)</f>
        <v>0</v>
      </c>
      <c r="R2254" s="545">
        <f>'Foglio deposito bis'!$F$89*IF(ABS(L2254)&lt;'Sollecitazioni nel paramento'!$G$58,ABS(L2254)*'Sollecitazioni nel paramento'!$G$54,'Sollecitazioni nel paramento'!$G$53)*IF(L2254&lt;0,-1,1)</f>
        <v>153664.85805602249</v>
      </c>
      <c r="S2254" s="545">
        <f>'Foglio deposito bis'!$F$90*IF(ABS(M2254)&lt;'Sollecitazioni nel paramento'!$G$58,ABS(M2254)*'Sollecitazioni nel paramento'!$G$54,'Sollecitazioni nel paramento'!$G$53)*IF(M2254&lt;0,-1,1)</f>
        <v>0</v>
      </c>
      <c r="T2254" s="545">
        <f>'Foglio deposito bis'!$F$91*IF(ABS(N2254)&lt;'Sollecitazioni nel paramento'!$G$58,ABS(N2254)*'Sollecitazioni nel paramento'!$G$54,'Sollecitazioni nel paramento'!$G$53)*IF(N2254&lt;0,-1,1)</f>
        <v>892485.49558937876</v>
      </c>
      <c r="U2254" s="545">
        <f>'Foglio deposito bis'!$F$92*IF(ABS(O2254)&lt;'Sollecitazioni nel paramento'!$G$58,ABS(O2254)*'Sollecitazioni nel paramento'!$G$54,'Sollecitazioni nel paramento'!$G$53)*IF(O2254&lt;0,-1,1)</f>
        <v>1662039.1047339395</v>
      </c>
      <c r="V2254" s="472">
        <f t="shared" si="159"/>
        <v>2358872.5253000483</v>
      </c>
      <c r="W2254" s="551"/>
      <c r="X2254" s="551"/>
    </row>
    <row r="2255" spans="1:24" x14ac:dyDescent="0.25">
      <c r="A2255" s="545">
        <f t="shared" si="158"/>
        <v>2338324.4704130311</v>
      </c>
      <c r="B2255" s="3">
        <f t="shared" si="160"/>
        <v>0.90000000000000024</v>
      </c>
      <c r="C2255" s="545">
        <f>'Foglio deposito bis'!$E$162/sezione!$B$247*B2255</f>
        <v>9.7085069156707817</v>
      </c>
      <c r="D2255" s="603">
        <f>-'Sollecitazioni nel paramento'!$G$47*'Sollecitazioni nel paramento'!$G$41*IF(DATI!$G$211="dx",DATI!$E$61,DATI!$E$64*DATI!$E$63)*1000*C2255^2*sezione!$AD$5*(1-sezione!$AD$6)</f>
        <v>-2097048.6874246784</v>
      </c>
      <c r="E2255" s="545">
        <f>-'Foglio deposito bis'!$F$88*(C2255-sezione!$AL$36)*IF(ABS(K2255)&lt;'Sollecitazioni nel paramento'!$G$58,ABS(K2255)*'Sollecitazioni nel paramento'!$G$54,'Sollecitazioni nel paramento'!$G$53)</f>
        <v>0</v>
      </c>
      <c r="F2255" s="545">
        <f>-'Foglio deposito bis'!$F$89*(C2255-sezione!$AM$36)*IF(ABS(L2255)&lt;'Sollecitazioni nel paramento'!$G$58,ABS(L2255)*'Sollecitazioni nel paramento'!$G$54,'Sollecitazioni nel paramento'!$G$53)</f>
        <v>7728035.1462288853</v>
      </c>
      <c r="G2255" s="545">
        <f>-'Foglio deposito bis'!$F$90*(C2255-sezione!$AN$36)*IF(ABS(M2255)&lt;'Sollecitazioni nel paramento'!$G$58,ABS(M2255)*'Sollecitazioni nel paramento'!$G$54,'Sollecitazioni nel paramento'!$G$53)</f>
        <v>0</v>
      </c>
      <c r="H2255" s="545">
        <f>-'Foglio deposito bis'!$F$91*(C2255-sezione!$AO$36)*IF(ABS(N2255)&lt;'Sollecitazioni nel paramento'!$G$58,ABS(N2255)*'Sollecitazioni nel paramento'!$G$54,'Sollecitazioni nel paramento'!$G$53)</f>
        <v>134132977.68823525</v>
      </c>
      <c r="I2255" s="472">
        <f>-'Foglio deposito bis'!$F$92*(C2255-sezione!$AP$36)*IF(ABS(O2255)&lt;'Sollecitazioni nel paramento'!$G$58,ABS(O2255)*'Sollecitazioni nel paramento'!$G$54,'Sollecitazioni nel paramento'!$G$53)</f>
        <v>1242320685.1406469</v>
      </c>
      <c r="J2255" s="472">
        <f t="shared" si="157"/>
        <v>1382084649.2876863</v>
      </c>
      <c r="K2255" s="550">
        <f>'Sollecitazioni nel paramento'!$G$60*(sezione!$AL$36-C2255)/C2255</f>
        <v>1.0920343026590625E-2</v>
      </c>
      <c r="L2255" s="550">
        <f>'Sollecitazioni nel paramento'!$G$60*(sezione!$AM$36-C2255)/C2255</f>
        <v>1.8130514539885938E-2</v>
      </c>
      <c r="M2255" s="551">
        <f>'Sollecitazioni nel paramento'!$G$60*(sezione!$AN$36-C2255)/C2255</f>
        <v>2.5340686053181245E-2</v>
      </c>
      <c r="N2255" s="551">
        <f>'Sollecitazioni nel paramento'!$G$60*(sezione!$AO$36-C2255)/C2255</f>
        <v>5.4181372106362487E-2</v>
      </c>
      <c r="O2255" s="551">
        <f>'Sollecitazioni nel paramento'!$G$60*(sezione!$AP$36-C2255)/C2255</f>
        <v>0.26946854586229801</v>
      </c>
      <c r="P2255" s="545">
        <f>-'Sollecitazioni nel paramento'!$G$47*'Sollecitazioni nel paramento'!$G$41*IF(DATI!$G$211="dx",DATI!$E$61,DATI!$E$64*DATI!$E$63)*1000*C2255*sezione!$AD$5</f>
        <v>-369864.98796630971</v>
      </c>
      <c r="Q2255" s="545">
        <f>'Foglio deposito bis'!$F$88*IF(ABS(K2255)&lt;'Sollecitazioni nel paramento'!$G$58,ABS(K2255)*'Sollecitazioni nel paramento'!$G$54,'Sollecitazioni nel paramento'!$G$53)*IF(K2255&lt;0,-1,1)</f>
        <v>0</v>
      </c>
      <c r="R2255" s="545">
        <f>'Foglio deposito bis'!$F$89*IF(ABS(L2255)&lt;'Sollecitazioni nel paramento'!$G$58,ABS(L2255)*'Sollecitazioni nel paramento'!$G$54,'Sollecitazioni nel paramento'!$G$53)*IF(L2255&lt;0,-1,1)</f>
        <v>153664.85805602249</v>
      </c>
      <c r="S2255" s="545">
        <f>'Foglio deposito bis'!$F$90*IF(ABS(M2255)&lt;'Sollecitazioni nel paramento'!$G$58,ABS(M2255)*'Sollecitazioni nel paramento'!$G$54,'Sollecitazioni nel paramento'!$G$53)*IF(M2255&lt;0,-1,1)</f>
        <v>0</v>
      </c>
      <c r="T2255" s="545">
        <f>'Foglio deposito bis'!$F$91*IF(ABS(N2255)&lt;'Sollecitazioni nel paramento'!$G$58,ABS(N2255)*'Sollecitazioni nel paramento'!$G$54,'Sollecitazioni nel paramento'!$G$53)*IF(N2255&lt;0,-1,1)</f>
        <v>892485.49558937876</v>
      </c>
      <c r="U2255" s="545">
        <f>'Foglio deposito bis'!$F$92*IF(ABS(O2255)&lt;'Sollecitazioni nel paramento'!$G$58,ABS(O2255)*'Sollecitazioni nel paramento'!$G$54,'Sollecitazioni nel paramento'!$G$53)*IF(O2255&lt;0,-1,1)</f>
        <v>1662039.1047339395</v>
      </c>
      <c r="V2255" s="472">
        <f t="shared" si="159"/>
        <v>2338324.4704130311</v>
      </c>
      <c r="W2255" s="551"/>
      <c r="X2255" s="551"/>
    </row>
    <row r="2256" spans="1:24" x14ac:dyDescent="0.25">
      <c r="A2256" s="545">
        <f t="shared" si="158"/>
        <v>2317776.4155260138</v>
      </c>
      <c r="B2256" s="3">
        <f t="shared" si="160"/>
        <v>0.95000000000000029</v>
      </c>
      <c r="C2256" s="545">
        <f>'Foglio deposito bis'!$E$162/sezione!$B$247*B2256</f>
        <v>10.247868410985825</v>
      </c>
      <c r="D2256" s="603">
        <f>-'Sollecitazioni nel paramento'!$G$47*'Sollecitazioni nel paramento'!$G$41*IF(DATI!$G$211="dx",DATI!$E$61,DATI!$E$64*DATI!$E$63)*1000*C2256^2*sezione!$AD$5*(1-sezione!$AD$6)</f>
        <v>-2336526.4696305837</v>
      </c>
      <c r="E2256" s="545">
        <f>-'Foglio deposito bis'!$F$88*(C2256-sezione!$AL$36)*IF(ABS(K2256)&lt;'Sollecitazioni nel paramento'!$G$58,ABS(K2256)*'Sollecitazioni nel paramento'!$G$54,'Sollecitazioni nel paramento'!$G$53)</f>
        <v>0</v>
      </c>
      <c r="F2256" s="545">
        <f>-'Foglio deposito bis'!$F$89*(C2256-sezione!$AM$36)*IF(ABS(L2256)&lt;'Sollecitazioni nel paramento'!$G$58,ABS(L2256)*'Sollecitazioni nel paramento'!$G$54,'Sollecitazioni nel paramento'!$G$53)</f>
        <v>7645154.2386104167</v>
      </c>
      <c r="G2256" s="545">
        <f>-'Foglio deposito bis'!$F$90*(C2256-sezione!$AN$36)*IF(ABS(M2256)&lt;'Sollecitazioni nel paramento'!$G$58,ABS(M2256)*'Sollecitazioni nel paramento'!$G$54,'Sollecitazioni nel paramento'!$G$53)</f>
        <v>0</v>
      </c>
      <c r="H2256" s="545">
        <f>-'Foglio deposito bis'!$F$91*(C2256-sezione!$AO$36)*IF(ABS(N2256)&lt;'Sollecitazioni nel paramento'!$G$58,ABS(N2256)*'Sollecitazioni nel paramento'!$G$54,'Sollecitazioni nel paramento'!$G$53)</f>
        <v>133651605.37678719</v>
      </c>
      <c r="I2256" s="472">
        <f>-'Foglio deposito bis'!$F$92*(C2256-sezione!$AP$36)*IF(ABS(O2256)&lt;'Sollecitazioni nel paramento'!$G$58,ABS(O2256)*'Sollecitazioni nel paramento'!$G$54,'Sollecitazioni nel paramento'!$G$53)</f>
        <v>1241424245.2438455</v>
      </c>
      <c r="J2256" s="472">
        <f t="shared" si="157"/>
        <v>1380384478.3896124</v>
      </c>
      <c r="K2256" s="550">
        <f>'Sollecitazioni nel paramento'!$G$60*(sezione!$AL$36-C2256)/C2256</f>
        <v>1.0161377604138487E-2</v>
      </c>
      <c r="L2256" s="550">
        <f>'Sollecitazioni nel paramento'!$G$60*(sezione!$AM$36-C2256)/C2256</f>
        <v>1.6992066406207731E-2</v>
      </c>
      <c r="M2256" s="551">
        <f>'Sollecitazioni nel paramento'!$G$60*(sezione!$AN$36-C2256)/C2256</f>
        <v>2.382275520827697E-2</v>
      </c>
      <c r="N2256" s="551">
        <f>'Sollecitazioni nel paramento'!$G$60*(sezione!$AO$36-C2256)/C2256</f>
        <v>5.1145510416553942E-2</v>
      </c>
      <c r="O2256" s="551">
        <f>'Sollecitazioni nel paramento'!$G$60*(sezione!$AP$36-C2256)/C2256</f>
        <v>0.2551017802905981</v>
      </c>
      <c r="P2256" s="545">
        <f>-'Sollecitazioni nel paramento'!$G$47*'Sollecitazioni nel paramento'!$G$41*IF(DATI!$G$211="dx",DATI!$E$61,DATI!$E$64*DATI!$E$63)*1000*C2256*sezione!$AD$5</f>
        <v>-390413.04285332689</v>
      </c>
      <c r="Q2256" s="545">
        <f>'Foglio deposito bis'!$F$88*IF(ABS(K2256)&lt;'Sollecitazioni nel paramento'!$G$58,ABS(K2256)*'Sollecitazioni nel paramento'!$G$54,'Sollecitazioni nel paramento'!$G$53)*IF(K2256&lt;0,-1,1)</f>
        <v>0</v>
      </c>
      <c r="R2256" s="545">
        <f>'Foglio deposito bis'!$F$89*IF(ABS(L2256)&lt;'Sollecitazioni nel paramento'!$G$58,ABS(L2256)*'Sollecitazioni nel paramento'!$G$54,'Sollecitazioni nel paramento'!$G$53)*IF(L2256&lt;0,-1,1)</f>
        <v>153664.85805602249</v>
      </c>
      <c r="S2256" s="545">
        <f>'Foglio deposito bis'!$F$90*IF(ABS(M2256)&lt;'Sollecitazioni nel paramento'!$G$58,ABS(M2256)*'Sollecitazioni nel paramento'!$G$54,'Sollecitazioni nel paramento'!$G$53)*IF(M2256&lt;0,-1,1)</f>
        <v>0</v>
      </c>
      <c r="T2256" s="545">
        <f>'Foglio deposito bis'!$F$91*IF(ABS(N2256)&lt;'Sollecitazioni nel paramento'!$G$58,ABS(N2256)*'Sollecitazioni nel paramento'!$G$54,'Sollecitazioni nel paramento'!$G$53)*IF(N2256&lt;0,-1,1)</f>
        <v>892485.49558937876</v>
      </c>
      <c r="U2256" s="545">
        <f>'Foglio deposito bis'!$F$92*IF(ABS(O2256)&lt;'Sollecitazioni nel paramento'!$G$58,ABS(O2256)*'Sollecitazioni nel paramento'!$G$54,'Sollecitazioni nel paramento'!$G$53)*IF(O2256&lt;0,-1,1)</f>
        <v>1662039.1047339395</v>
      </c>
      <c r="V2256" s="472">
        <f t="shared" si="159"/>
        <v>2317776.4155260138</v>
      </c>
      <c r="W2256" s="551"/>
      <c r="X2256" s="551"/>
    </row>
    <row r="2257" spans="1:24" x14ac:dyDescent="0.25">
      <c r="A2257" s="545">
        <f t="shared" si="158"/>
        <v>2297228.3606389966</v>
      </c>
      <c r="B2257" s="3">
        <f t="shared" si="160"/>
        <v>1.0000000000000002</v>
      </c>
      <c r="C2257" s="545">
        <f>'Foglio deposito bis'!$E$162/sezione!$B$247*B2257</f>
        <v>10.787229906300867</v>
      </c>
      <c r="D2257" s="603">
        <f>-'Sollecitazioni nel paramento'!$G$47*'Sollecitazioni nel paramento'!$G$41*IF(DATI!$G$211="dx",DATI!$E$61,DATI!$E$64*DATI!$E$63)*1000*C2257^2*sezione!$AD$5*(1-sezione!$AD$6)</f>
        <v>-2588948.9968205905</v>
      </c>
      <c r="E2257" s="545">
        <f>-'Foglio deposito bis'!$F$88*(C2257-sezione!$AL$36)*IF(ABS(K2257)&lt;'Sollecitazioni nel paramento'!$G$58,ABS(K2257)*'Sollecitazioni nel paramento'!$G$54,'Sollecitazioni nel paramento'!$G$53)</f>
        <v>0</v>
      </c>
      <c r="F2257" s="545">
        <f>-'Foglio deposito bis'!$F$89*(C2257-sezione!$AM$36)*IF(ABS(L2257)&lt;'Sollecitazioni nel paramento'!$G$58,ABS(L2257)*'Sollecitazioni nel paramento'!$G$54,'Sollecitazioni nel paramento'!$G$53)</f>
        <v>7562273.3309919471</v>
      </c>
      <c r="G2257" s="545">
        <f>-'Foglio deposito bis'!$F$90*(C2257-sezione!$AN$36)*IF(ABS(M2257)&lt;'Sollecitazioni nel paramento'!$G$58,ABS(M2257)*'Sollecitazioni nel paramento'!$G$54,'Sollecitazioni nel paramento'!$G$53)</f>
        <v>0</v>
      </c>
      <c r="H2257" s="545">
        <f>-'Foglio deposito bis'!$F$91*(C2257-sezione!$AO$36)*IF(ABS(N2257)&lt;'Sollecitazioni nel paramento'!$G$58,ABS(N2257)*'Sollecitazioni nel paramento'!$G$54,'Sollecitazioni nel paramento'!$G$53)</f>
        <v>133170233.0653391</v>
      </c>
      <c r="I2257" s="472">
        <f>-'Foglio deposito bis'!$F$92*(C2257-sezione!$AP$36)*IF(ABS(O2257)&lt;'Sollecitazioni nel paramento'!$G$58,ABS(O2257)*'Sollecitazioni nel paramento'!$G$54,'Sollecitazioni nel paramento'!$G$53)</f>
        <v>1240527805.347044</v>
      </c>
      <c r="J2257" s="472">
        <f t="shared" si="157"/>
        <v>1378671362.7465544</v>
      </c>
      <c r="K2257" s="550">
        <f>'Sollecitazioni nel paramento'!$G$60*(sezione!$AL$36-C2257)/C2257</f>
        <v>9.4783087239315635E-3</v>
      </c>
      <c r="L2257" s="550">
        <f>'Sollecitazioni nel paramento'!$G$60*(sezione!$AM$36-C2257)/C2257</f>
        <v>1.5967463085897346E-2</v>
      </c>
      <c r="M2257" s="551">
        <f>'Sollecitazioni nel paramento'!$G$60*(sezione!$AN$36-C2257)/C2257</f>
        <v>2.2456617447863127E-2</v>
      </c>
      <c r="N2257" s="551">
        <f>'Sollecitazioni nel paramento'!$G$60*(sezione!$AO$36-C2257)/C2257</f>
        <v>4.841323489572625E-2</v>
      </c>
      <c r="O2257" s="551">
        <f>'Sollecitazioni nel paramento'!$G$60*(sezione!$AP$36-C2257)/C2257</f>
        <v>0.24217169127606819</v>
      </c>
      <c r="P2257" s="545">
        <f>-'Sollecitazioni nel paramento'!$G$47*'Sollecitazioni nel paramento'!$G$41*IF(DATI!$G$211="dx",DATI!$E$61,DATI!$E$64*DATI!$E$63)*1000*C2257*sezione!$AD$5</f>
        <v>-410961.09774034406</v>
      </c>
      <c r="Q2257" s="545">
        <f>'Foglio deposito bis'!$F$88*IF(ABS(K2257)&lt;'Sollecitazioni nel paramento'!$G$58,ABS(K2257)*'Sollecitazioni nel paramento'!$G$54,'Sollecitazioni nel paramento'!$G$53)*IF(K2257&lt;0,-1,1)</f>
        <v>0</v>
      </c>
      <c r="R2257" s="545">
        <f>'Foglio deposito bis'!$F$89*IF(ABS(L2257)&lt;'Sollecitazioni nel paramento'!$G$58,ABS(L2257)*'Sollecitazioni nel paramento'!$G$54,'Sollecitazioni nel paramento'!$G$53)*IF(L2257&lt;0,-1,1)</f>
        <v>153664.85805602249</v>
      </c>
      <c r="S2257" s="545">
        <f>'Foglio deposito bis'!$F$90*IF(ABS(M2257)&lt;'Sollecitazioni nel paramento'!$G$58,ABS(M2257)*'Sollecitazioni nel paramento'!$G$54,'Sollecitazioni nel paramento'!$G$53)*IF(M2257&lt;0,-1,1)</f>
        <v>0</v>
      </c>
      <c r="T2257" s="545">
        <f>'Foglio deposito bis'!$F$91*IF(ABS(N2257)&lt;'Sollecitazioni nel paramento'!$G$58,ABS(N2257)*'Sollecitazioni nel paramento'!$G$54,'Sollecitazioni nel paramento'!$G$53)*IF(N2257&lt;0,-1,1)</f>
        <v>892485.49558937876</v>
      </c>
      <c r="U2257" s="545">
        <f>'Foglio deposito bis'!$F$92*IF(ABS(O2257)&lt;'Sollecitazioni nel paramento'!$G$58,ABS(O2257)*'Sollecitazioni nel paramento'!$G$54,'Sollecitazioni nel paramento'!$G$53)*IF(O2257&lt;0,-1,1)</f>
        <v>1662039.1047339395</v>
      </c>
      <c r="V2257" s="472">
        <f t="shared" si="159"/>
        <v>2297228.3606389966</v>
      </c>
      <c r="W2257" s="551"/>
      <c r="X2257" s="551"/>
    </row>
    <row r="2258" spans="1:24" x14ac:dyDescent="0.25">
      <c r="A2258" s="545">
        <f t="shared" si="158"/>
        <v>2276680.3057519794</v>
      </c>
      <c r="B2258" s="3">
        <f t="shared" si="160"/>
        <v>1.0500000000000003</v>
      </c>
      <c r="C2258" s="545">
        <f>'Foglio deposito bis'!$E$162/sezione!$B$247*B2258</f>
        <v>11.326591401615911</v>
      </c>
      <c r="D2258" s="603">
        <f>-'Sollecitazioni nel paramento'!$G$47*'Sollecitazioni nel paramento'!$G$41*IF(DATI!$G$211="dx",DATI!$E$61,DATI!$E$64*DATI!$E$63)*1000*C2258^2*sezione!$AD$5*(1-sezione!$AD$6)</f>
        <v>-2854316.2689947006</v>
      </c>
      <c r="E2258" s="545">
        <f>-'Foglio deposito bis'!$F$88*(C2258-sezione!$AL$36)*IF(ABS(K2258)&lt;'Sollecitazioni nel paramento'!$G$58,ABS(K2258)*'Sollecitazioni nel paramento'!$G$54,'Sollecitazioni nel paramento'!$G$53)</f>
        <v>0</v>
      </c>
      <c r="F2258" s="545">
        <f>-'Foglio deposito bis'!$F$89*(C2258-sezione!$AM$36)*IF(ABS(L2258)&lt;'Sollecitazioni nel paramento'!$G$58,ABS(L2258)*'Sollecitazioni nel paramento'!$G$54,'Sollecitazioni nel paramento'!$G$53)</f>
        <v>7479392.4233734757</v>
      </c>
      <c r="G2258" s="545">
        <f>-'Foglio deposito bis'!$F$90*(C2258-sezione!$AN$36)*IF(ABS(M2258)&lt;'Sollecitazioni nel paramento'!$G$58,ABS(M2258)*'Sollecitazioni nel paramento'!$G$54,'Sollecitazioni nel paramento'!$G$53)</f>
        <v>0</v>
      </c>
      <c r="H2258" s="545">
        <f>-'Foglio deposito bis'!$F$91*(C2258-sezione!$AO$36)*IF(ABS(N2258)&lt;'Sollecitazioni nel paramento'!$G$58,ABS(N2258)*'Sollecitazioni nel paramento'!$G$54,'Sollecitazioni nel paramento'!$G$53)</f>
        <v>132688860.75389104</v>
      </c>
      <c r="I2258" s="472">
        <f>-'Foglio deposito bis'!$F$92*(C2258-sezione!$AP$36)*IF(ABS(O2258)&lt;'Sollecitazioni nel paramento'!$G$58,ABS(O2258)*'Sollecitazioni nel paramento'!$G$54,'Sollecitazioni nel paramento'!$G$53)</f>
        <v>1239631365.4502428</v>
      </c>
      <c r="J2258" s="472">
        <f t="shared" si="157"/>
        <v>1376945302.3585126</v>
      </c>
      <c r="K2258" s="550">
        <f>'Sollecitazioni nel paramento'!$G$60*(sezione!$AL$36-C2258)/C2258</f>
        <v>8.8602940227919657E-3</v>
      </c>
      <c r="L2258" s="550">
        <f>'Sollecitazioni nel paramento'!$G$60*(sezione!$AM$36-C2258)/C2258</f>
        <v>1.5040441034187946E-2</v>
      </c>
      <c r="M2258" s="551">
        <f>'Sollecitazioni nel paramento'!$G$60*(sezione!$AN$36-C2258)/C2258</f>
        <v>2.1220588045583928E-2</v>
      </c>
      <c r="N2258" s="551">
        <f>'Sollecitazioni nel paramento'!$G$60*(sezione!$AO$36-C2258)/C2258</f>
        <v>4.5941176091167858E-2</v>
      </c>
      <c r="O2258" s="551">
        <f>'Sollecitazioni nel paramento'!$G$60*(sezione!$AP$36-C2258)/C2258</f>
        <v>0.23047303931054117</v>
      </c>
      <c r="P2258" s="545">
        <f>-'Sollecitazioni nel paramento'!$G$47*'Sollecitazioni nel paramento'!$G$41*IF(DATI!$G$211="dx",DATI!$E$61,DATI!$E$64*DATI!$E$63)*1000*C2258*sezione!$AD$5</f>
        <v>-431509.1526273613</v>
      </c>
      <c r="Q2258" s="545">
        <f>'Foglio deposito bis'!$F$88*IF(ABS(K2258)&lt;'Sollecitazioni nel paramento'!$G$58,ABS(K2258)*'Sollecitazioni nel paramento'!$G$54,'Sollecitazioni nel paramento'!$G$53)*IF(K2258&lt;0,-1,1)</f>
        <v>0</v>
      </c>
      <c r="R2258" s="545">
        <f>'Foglio deposito bis'!$F$89*IF(ABS(L2258)&lt;'Sollecitazioni nel paramento'!$G$58,ABS(L2258)*'Sollecitazioni nel paramento'!$G$54,'Sollecitazioni nel paramento'!$G$53)*IF(L2258&lt;0,-1,1)</f>
        <v>153664.85805602249</v>
      </c>
      <c r="S2258" s="545">
        <f>'Foglio deposito bis'!$F$90*IF(ABS(M2258)&lt;'Sollecitazioni nel paramento'!$G$58,ABS(M2258)*'Sollecitazioni nel paramento'!$G$54,'Sollecitazioni nel paramento'!$G$53)*IF(M2258&lt;0,-1,1)</f>
        <v>0</v>
      </c>
      <c r="T2258" s="545">
        <f>'Foglio deposito bis'!$F$91*IF(ABS(N2258)&lt;'Sollecitazioni nel paramento'!$G$58,ABS(N2258)*'Sollecitazioni nel paramento'!$G$54,'Sollecitazioni nel paramento'!$G$53)*IF(N2258&lt;0,-1,1)</f>
        <v>892485.49558937876</v>
      </c>
      <c r="U2258" s="545">
        <f>'Foglio deposito bis'!$F$92*IF(ABS(O2258)&lt;'Sollecitazioni nel paramento'!$G$58,ABS(O2258)*'Sollecitazioni nel paramento'!$G$54,'Sollecitazioni nel paramento'!$G$53)*IF(O2258&lt;0,-1,1)</f>
        <v>1662039.1047339395</v>
      </c>
      <c r="V2258" s="472">
        <f t="shared" si="159"/>
        <v>2276680.3057519794</v>
      </c>
      <c r="W2258" s="551"/>
      <c r="X2258" s="551"/>
    </row>
    <row r="2259" spans="1:24" x14ac:dyDescent="0.25">
      <c r="A2259" s="545">
        <f t="shared" si="158"/>
        <v>2256132.2508649621</v>
      </c>
      <c r="B2259" s="3">
        <f t="shared" si="160"/>
        <v>1.1000000000000003</v>
      </c>
      <c r="C2259" s="545">
        <f>'Foglio deposito bis'!$E$162/sezione!$B$247*B2259</f>
        <v>11.865952896930954</v>
      </c>
      <c r="D2259" s="603">
        <f>-'Sollecitazioni nel paramento'!$G$47*'Sollecitazioni nel paramento'!$G$41*IF(DATI!$G$211="dx",DATI!$E$61,DATI!$E$64*DATI!$E$63)*1000*C2259^2*sezione!$AD$5*(1-sezione!$AD$6)</f>
        <v>-3132628.2861529142</v>
      </c>
      <c r="E2259" s="545">
        <f>-'Foglio deposito bis'!$F$88*(C2259-sezione!$AL$36)*IF(ABS(K2259)&lt;'Sollecitazioni nel paramento'!$G$58,ABS(K2259)*'Sollecitazioni nel paramento'!$G$54,'Sollecitazioni nel paramento'!$G$53)</f>
        <v>0</v>
      </c>
      <c r="F2259" s="545">
        <f>-'Foglio deposito bis'!$F$89*(C2259-sezione!$AM$36)*IF(ABS(L2259)&lt;'Sollecitazioni nel paramento'!$G$58,ABS(L2259)*'Sollecitazioni nel paramento'!$G$54,'Sollecitazioni nel paramento'!$G$53)</f>
        <v>7396511.5157550052</v>
      </c>
      <c r="G2259" s="545">
        <f>-'Foglio deposito bis'!$F$90*(C2259-sezione!$AN$36)*IF(ABS(M2259)&lt;'Sollecitazioni nel paramento'!$G$58,ABS(M2259)*'Sollecitazioni nel paramento'!$G$54,'Sollecitazioni nel paramento'!$G$53)</f>
        <v>0</v>
      </c>
      <c r="H2259" s="545">
        <f>-'Foglio deposito bis'!$F$91*(C2259-sezione!$AO$36)*IF(ABS(N2259)&lt;'Sollecitazioni nel paramento'!$G$58,ABS(N2259)*'Sollecitazioni nel paramento'!$G$54,'Sollecitazioni nel paramento'!$G$53)</f>
        <v>132207488.44244295</v>
      </c>
      <c r="I2259" s="472">
        <f>-'Foglio deposito bis'!$F$92*(C2259-sezione!$AP$36)*IF(ABS(O2259)&lt;'Sollecitazioni nel paramento'!$G$58,ABS(O2259)*'Sollecitazioni nel paramento'!$G$54,'Sollecitazioni nel paramento'!$G$53)</f>
        <v>1238734925.5534413</v>
      </c>
      <c r="J2259" s="472">
        <f t="shared" si="157"/>
        <v>1375206297.2254863</v>
      </c>
      <c r="K2259" s="550">
        <f>'Sollecitazioni nel paramento'!$G$60*(sezione!$AL$36-C2259)/C2259</f>
        <v>8.2984624763014197E-3</v>
      </c>
      <c r="L2259" s="550">
        <f>'Sollecitazioni nel paramento'!$G$60*(sezione!$AM$36-C2259)/C2259</f>
        <v>1.419769371445213E-2</v>
      </c>
      <c r="M2259" s="551">
        <f>'Sollecitazioni nel paramento'!$G$60*(sezione!$AN$36-C2259)/C2259</f>
        <v>2.0096924952602842E-2</v>
      </c>
      <c r="N2259" s="551">
        <f>'Sollecitazioni nel paramento'!$G$60*(sezione!$AO$36-C2259)/C2259</f>
        <v>4.3693849905205681E-2</v>
      </c>
      <c r="O2259" s="551">
        <f>'Sollecitazioni nel paramento'!$G$60*(sezione!$AP$36-C2259)/C2259</f>
        <v>0.21983790116006202</v>
      </c>
      <c r="P2259" s="545">
        <f>-'Sollecitazioni nel paramento'!$G$47*'Sollecitazioni nel paramento'!$G$41*IF(DATI!$G$211="dx",DATI!$E$61,DATI!$E$64*DATI!$E$63)*1000*C2259*sezione!$AD$5</f>
        <v>-452057.20751437848</v>
      </c>
      <c r="Q2259" s="545">
        <f>'Foglio deposito bis'!$F$88*IF(ABS(K2259)&lt;'Sollecitazioni nel paramento'!$G$58,ABS(K2259)*'Sollecitazioni nel paramento'!$G$54,'Sollecitazioni nel paramento'!$G$53)*IF(K2259&lt;0,-1,1)</f>
        <v>0</v>
      </c>
      <c r="R2259" s="545">
        <f>'Foglio deposito bis'!$F$89*IF(ABS(L2259)&lt;'Sollecitazioni nel paramento'!$G$58,ABS(L2259)*'Sollecitazioni nel paramento'!$G$54,'Sollecitazioni nel paramento'!$G$53)*IF(L2259&lt;0,-1,1)</f>
        <v>153664.85805602249</v>
      </c>
      <c r="S2259" s="545">
        <f>'Foglio deposito bis'!$F$90*IF(ABS(M2259)&lt;'Sollecitazioni nel paramento'!$G$58,ABS(M2259)*'Sollecitazioni nel paramento'!$G$54,'Sollecitazioni nel paramento'!$G$53)*IF(M2259&lt;0,-1,1)</f>
        <v>0</v>
      </c>
      <c r="T2259" s="545">
        <f>'Foglio deposito bis'!$F$91*IF(ABS(N2259)&lt;'Sollecitazioni nel paramento'!$G$58,ABS(N2259)*'Sollecitazioni nel paramento'!$G$54,'Sollecitazioni nel paramento'!$G$53)*IF(N2259&lt;0,-1,1)</f>
        <v>892485.49558937876</v>
      </c>
      <c r="U2259" s="545">
        <f>'Foglio deposito bis'!$F$92*IF(ABS(O2259)&lt;'Sollecitazioni nel paramento'!$G$58,ABS(O2259)*'Sollecitazioni nel paramento'!$G$54,'Sollecitazioni nel paramento'!$G$53)*IF(O2259&lt;0,-1,1)</f>
        <v>1662039.1047339395</v>
      </c>
      <c r="V2259" s="472">
        <f t="shared" si="159"/>
        <v>2256132.2508649621</v>
      </c>
      <c r="W2259" s="551"/>
      <c r="X2259" s="551"/>
    </row>
    <row r="2260" spans="1:24" x14ac:dyDescent="0.25">
      <c r="A2260" s="545">
        <f t="shared" si="158"/>
        <v>2235584.1959779449</v>
      </c>
      <c r="B2260" s="3">
        <f t="shared" si="160"/>
        <v>1.1500000000000004</v>
      </c>
      <c r="C2260" s="545">
        <f>'Foglio deposito bis'!$E$162/sezione!$B$247*B2260</f>
        <v>12.405314392246</v>
      </c>
      <c r="D2260" s="603">
        <f>-'Sollecitazioni nel paramento'!$G$47*'Sollecitazioni nel paramento'!$G$41*IF(DATI!$G$211="dx",DATI!$E$61,DATI!$E$64*DATI!$E$63)*1000*C2260^2*sezione!$AD$5*(1-sezione!$AD$6)</f>
        <v>-3423885.048295232</v>
      </c>
      <c r="E2260" s="545">
        <f>-'Foglio deposito bis'!$F$88*(C2260-sezione!$AL$36)*IF(ABS(K2260)&lt;'Sollecitazioni nel paramento'!$G$58,ABS(K2260)*'Sollecitazioni nel paramento'!$G$54,'Sollecitazioni nel paramento'!$G$53)</f>
        <v>0</v>
      </c>
      <c r="F2260" s="545">
        <f>-'Foglio deposito bis'!$F$89*(C2260-sezione!$AM$36)*IF(ABS(L2260)&lt;'Sollecitazioni nel paramento'!$G$58,ABS(L2260)*'Sollecitazioni nel paramento'!$G$54,'Sollecitazioni nel paramento'!$G$53)</f>
        <v>7313630.6081365347</v>
      </c>
      <c r="G2260" s="545">
        <f>-'Foglio deposito bis'!$F$90*(C2260-sezione!$AN$36)*IF(ABS(M2260)&lt;'Sollecitazioni nel paramento'!$G$58,ABS(M2260)*'Sollecitazioni nel paramento'!$G$54,'Sollecitazioni nel paramento'!$G$53)</f>
        <v>0</v>
      </c>
      <c r="H2260" s="545">
        <f>-'Foglio deposito bis'!$F$91*(C2260-sezione!$AO$36)*IF(ABS(N2260)&lt;'Sollecitazioni nel paramento'!$G$58,ABS(N2260)*'Sollecitazioni nel paramento'!$G$54,'Sollecitazioni nel paramento'!$G$53)</f>
        <v>131726116.13099489</v>
      </c>
      <c r="I2260" s="472">
        <f>-'Foglio deposito bis'!$F$92*(C2260-sezione!$AP$36)*IF(ABS(O2260)&lt;'Sollecitazioni nel paramento'!$G$58,ABS(O2260)*'Sollecitazioni nel paramento'!$G$54,'Sollecitazioni nel paramento'!$G$53)</f>
        <v>1237838485.6566398</v>
      </c>
      <c r="J2260" s="472">
        <f t="shared" si="157"/>
        <v>1373454347.347476</v>
      </c>
      <c r="K2260" s="550">
        <f>'Sollecitazioni nel paramento'!$G$60*(sezione!$AL$36-C2260)/C2260</f>
        <v>7.7854858468970091E-3</v>
      </c>
      <c r="L2260" s="550">
        <f>'Sollecitazioni nel paramento'!$G$60*(sezione!$AM$36-C2260)/C2260</f>
        <v>1.3428228770345513E-2</v>
      </c>
      <c r="M2260" s="551">
        <f>'Sollecitazioni nel paramento'!$G$60*(sezione!$AN$36-C2260)/C2260</f>
        <v>1.9070971693794018E-2</v>
      </c>
      <c r="N2260" s="551">
        <f>'Sollecitazioni nel paramento'!$G$60*(sezione!$AO$36-C2260)/C2260</f>
        <v>4.1641943387588039E-2</v>
      </c>
      <c r="O2260" s="551">
        <f>'Sollecitazioni nel paramento'!$G$60*(sezione!$AP$36-C2260)/C2260</f>
        <v>0.21012755763136365</v>
      </c>
      <c r="P2260" s="545">
        <f>-'Sollecitazioni nel paramento'!$G$47*'Sollecitazioni nel paramento'!$G$41*IF(DATI!$G$211="dx",DATI!$E$61,DATI!$E$64*DATI!$E$63)*1000*C2260*sezione!$AD$5</f>
        <v>-472605.26240139571</v>
      </c>
      <c r="Q2260" s="545">
        <f>'Foglio deposito bis'!$F$88*IF(ABS(K2260)&lt;'Sollecitazioni nel paramento'!$G$58,ABS(K2260)*'Sollecitazioni nel paramento'!$G$54,'Sollecitazioni nel paramento'!$G$53)*IF(K2260&lt;0,-1,1)</f>
        <v>0</v>
      </c>
      <c r="R2260" s="545">
        <f>'Foglio deposito bis'!$F$89*IF(ABS(L2260)&lt;'Sollecitazioni nel paramento'!$G$58,ABS(L2260)*'Sollecitazioni nel paramento'!$G$54,'Sollecitazioni nel paramento'!$G$53)*IF(L2260&lt;0,-1,1)</f>
        <v>153664.85805602249</v>
      </c>
      <c r="S2260" s="545">
        <f>'Foglio deposito bis'!$F$90*IF(ABS(M2260)&lt;'Sollecitazioni nel paramento'!$G$58,ABS(M2260)*'Sollecitazioni nel paramento'!$G$54,'Sollecitazioni nel paramento'!$G$53)*IF(M2260&lt;0,-1,1)</f>
        <v>0</v>
      </c>
      <c r="T2260" s="545">
        <f>'Foglio deposito bis'!$F$91*IF(ABS(N2260)&lt;'Sollecitazioni nel paramento'!$G$58,ABS(N2260)*'Sollecitazioni nel paramento'!$G$54,'Sollecitazioni nel paramento'!$G$53)*IF(N2260&lt;0,-1,1)</f>
        <v>892485.49558937876</v>
      </c>
      <c r="U2260" s="545">
        <f>'Foglio deposito bis'!$F$92*IF(ABS(O2260)&lt;'Sollecitazioni nel paramento'!$G$58,ABS(O2260)*'Sollecitazioni nel paramento'!$G$54,'Sollecitazioni nel paramento'!$G$53)*IF(O2260&lt;0,-1,1)</f>
        <v>1662039.1047339395</v>
      </c>
      <c r="V2260" s="472">
        <f t="shared" si="159"/>
        <v>2235584.1959779449</v>
      </c>
      <c r="W2260" s="551"/>
      <c r="X2260" s="551"/>
    </row>
    <row r="2261" spans="1:24" x14ac:dyDescent="0.25">
      <c r="A2261" s="545">
        <f t="shared" si="158"/>
        <v>2215036.1410909276</v>
      </c>
      <c r="B2261" s="3">
        <f t="shared" si="160"/>
        <v>1.2000000000000004</v>
      </c>
      <c r="C2261" s="545">
        <f>'Foglio deposito bis'!$E$162/sezione!$B$247*B2261</f>
        <v>12.944675887561043</v>
      </c>
      <c r="D2261" s="603">
        <f>-'Sollecitazioni nel paramento'!$G$47*'Sollecitazioni nel paramento'!$G$41*IF(DATI!$G$211="dx",DATI!$E$61,DATI!$E$64*DATI!$E$63)*1000*C2261^2*sezione!$AD$5*(1-sezione!$AD$6)</f>
        <v>-3728086.5554216523</v>
      </c>
      <c r="E2261" s="545">
        <f>-'Foglio deposito bis'!$F$88*(C2261-sezione!$AL$36)*IF(ABS(K2261)&lt;'Sollecitazioni nel paramento'!$G$58,ABS(K2261)*'Sollecitazioni nel paramento'!$G$54,'Sollecitazioni nel paramento'!$G$53)</f>
        <v>0</v>
      </c>
      <c r="F2261" s="545">
        <f>-'Foglio deposito bis'!$F$89*(C2261-sezione!$AM$36)*IF(ABS(L2261)&lt;'Sollecitazioni nel paramento'!$G$58,ABS(L2261)*'Sollecitazioni nel paramento'!$G$54,'Sollecitazioni nel paramento'!$G$53)</f>
        <v>7230749.7005180651</v>
      </c>
      <c r="G2261" s="545">
        <f>-'Foglio deposito bis'!$F$90*(C2261-sezione!$AN$36)*IF(ABS(M2261)&lt;'Sollecitazioni nel paramento'!$G$58,ABS(M2261)*'Sollecitazioni nel paramento'!$G$54,'Sollecitazioni nel paramento'!$G$53)</f>
        <v>0</v>
      </c>
      <c r="H2261" s="545">
        <f>-'Foglio deposito bis'!$F$91*(C2261-sezione!$AO$36)*IF(ABS(N2261)&lt;'Sollecitazioni nel paramento'!$G$58,ABS(N2261)*'Sollecitazioni nel paramento'!$G$54,'Sollecitazioni nel paramento'!$G$53)</f>
        <v>131244743.81954682</v>
      </c>
      <c r="I2261" s="472">
        <f>-'Foglio deposito bis'!$F$92*(C2261-sezione!$AP$36)*IF(ABS(O2261)&lt;'Sollecitazioni nel paramento'!$G$58,ABS(O2261)*'Sollecitazioni nel paramento'!$G$54,'Sollecitazioni nel paramento'!$G$53)</f>
        <v>1236942045.7598386</v>
      </c>
      <c r="J2261" s="472">
        <f t="shared" si="157"/>
        <v>1371689452.7244818</v>
      </c>
      <c r="K2261" s="550">
        <f>'Sollecitazioni nel paramento'!$G$60*(sezione!$AL$36-C2261)/C2261</f>
        <v>7.3152572699429676E-3</v>
      </c>
      <c r="L2261" s="550">
        <f>'Sollecitazioni nel paramento'!$G$60*(sezione!$AM$36-C2261)/C2261</f>
        <v>1.272288590491445E-2</v>
      </c>
      <c r="M2261" s="551">
        <f>'Sollecitazioni nel paramento'!$G$60*(sezione!$AN$36-C2261)/C2261</f>
        <v>1.8130514539885931E-2</v>
      </c>
      <c r="N2261" s="551">
        <f>'Sollecitazioni nel paramento'!$G$60*(sezione!$AO$36-C2261)/C2261</f>
        <v>3.9761029079771873E-2</v>
      </c>
      <c r="O2261" s="551">
        <f>'Sollecitazioni nel paramento'!$G$60*(sezione!$AP$36-C2261)/C2261</f>
        <v>0.20122640939672348</v>
      </c>
      <c r="P2261" s="545">
        <f>-'Sollecitazioni nel paramento'!$G$47*'Sollecitazioni nel paramento'!$G$41*IF(DATI!$G$211="dx",DATI!$E$61,DATI!$E$64*DATI!$E$63)*1000*C2261*sezione!$AD$5</f>
        <v>-493153.31728841295</v>
      </c>
      <c r="Q2261" s="545">
        <f>'Foglio deposito bis'!$F$88*IF(ABS(K2261)&lt;'Sollecitazioni nel paramento'!$G$58,ABS(K2261)*'Sollecitazioni nel paramento'!$G$54,'Sollecitazioni nel paramento'!$G$53)*IF(K2261&lt;0,-1,1)</f>
        <v>0</v>
      </c>
      <c r="R2261" s="545">
        <f>'Foglio deposito bis'!$F$89*IF(ABS(L2261)&lt;'Sollecitazioni nel paramento'!$G$58,ABS(L2261)*'Sollecitazioni nel paramento'!$G$54,'Sollecitazioni nel paramento'!$G$53)*IF(L2261&lt;0,-1,1)</f>
        <v>153664.85805602249</v>
      </c>
      <c r="S2261" s="545">
        <f>'Foglio deposito bis'!$F$90*IF(ABS(M2261)&lt;'Sollecitazioni nel paramento'!$G$58,ABS(M2261)*'Sollecitazioni nel paramento'!$G$54,'Sollecitazioni nel paramento'!$G$53)*IF(M2261&lt;0,-1,1)</f>
        <v>0</v>
      </c>
      <c r="T2261" s="545">
        <f>'Foglio deposito bis'!$F$91*IF(ABS(N2261)&lt;'Sollecitazioni nel paramento'!$G$58,ABS(N2261)*'Sollecitazioni nel paramento'!$G$54,'Sollecitazioni nel paramento'!$G$53)*IF(N2261&lt;0,-1,1)</f>
        <v>892485.49558937876</v>
      </c>
      <c r="U2261" s="545">
        <f>'Foglio deposito bis'!$F$92*IF(ABS(O2261)&lt;'Sollecitazioni nel paramento'!$G$58,ABS(O2261)*'Sollecitazioni nel paramento'!$G$54,'Sollecitazioni nel paramento'!$G$53)*IF(O2261&lt;0,-1,1)</f>
        <v>1662039.1047339395</v>
      </c>
      <c r="V2261" s="472">
        <f t="shared" si="159"/>
        <v>2215036.1410909276</v>
      </c>
      <c r="W2261" s="551"/>
      <c r="X2261" s="551"/>
    </row>
    <row r="2262" spans="1:24" x14ac:dyDescent="0.25">
      <c r="A2262" s="545">
        <f t="shared" si="158"/>
        <v>2194488.0862039104</v>
      </c>
      <c r="B2262" s="3">
        <f t="shared" si="160"/>
        <v>1.2500000000000004</v>
      </c>
      <c r="C2262" s="545">
        <f>'Foglio deposito bis'!$E$162/sezione!$B$247*B2262</f>
        <v>13.484037382876087</v>
      </c>
      <c r="D2262" s="603">
        <f>-'Sollecitazioni nel paramento'!$G$47*'Sollecitazioni nel paramento'!$G$41*IF(DATI!$G$211="dx",DATI!$E$61,DATI!$E$64*DATI!$E$63)*1000*C2262^2*sezione!$AD$5*(1-sezione!$AD$6)</f>
        <v>-4045232.8075321736</v>
      </c>
      <c r="E2262" s="545">
        <f>-'Foglio deposito bis'!$F$88*(C2262-sezione!$AL$36)*IF(ABS(K2262)&lt;'Sollecitazioni nel paramento'!$G$58,ABS(K2262)*'Sollecitazioni nel paramento'!$G$54,'Sollecitazioni nel paramento'!$G$53)</f>
        <v>0</v>
      </c>
      <c r="F2262" s="545">
        <f>-'Foglio deposito bis'!$F$89*(C2262-sezione!$AM$36)*IF(ABS(L2262)&lt;'Sollecitazioni nel paramento'!$G$58,ABS(L2262)*'Sollecitazioni nel paramento'!$G$54,'Sollecitazioni nel paramento'!$G$53)</f>
        <v>7147868.7928995946</v>
      </c>
      <c r="G2262" s="545">
        <f>-'Foglio deposito bis'!$F$90*(C2262-sezione!$AN$36)*IF(ABS(M2262)&lt;'Sollecitazioni nel paramento'!$G$58,ABS(M2262)*'Sollecitazioni nel paramento'!$G$54,'Sollecitazioni nel paramento'!$G$53)</f>
        <v>0</v>
      </c>
      <c r="H2262" s="545">
        <f>-'Foglio deposito bis'!$F$91*(C2262-sezione!$AO$36)*IF(ABS(N2262)&lt;'Sollecitazioni nel paramento'!$G$58,ABS(N2262)*'Sollecitazioni nel paramento'!$G$54,'Sollecitazioni nel paramento'!$G$53)</f>
        <v>130763371.50809872</v>
      </c>
      <c r="I2262" s="472">
        <f>-'Foglio deposito bis'!$F$92*(C2262-sezione!$AP$36)*IF(ABS(O2262)&lt;'Sollecitazioni nel paramento'!$G$58,ABS(O2262)*'Sollecitazioni nel paramento'!$G$54,'Sollecitazioni nel paramento'!$G$53)</f>
        <v>1236045605.8630373</v>
      </c>
      <c r="J2262" s="472">
        <f t="shared" si="157"/>
        <v>1369911613.3565035</v>
      </c>
      <c r="K2262" s="550">
        <f>'Sollecitazioni nel paramento'!$G$60*(sezione!$AL$36-C2262)/C2262</f>
        <v>6.8826469791452476E-3</v>
      </c>
      <c r="L2262" s="550">
        <f>'Sollecitazioni nel paramento'!$G$60*(sezione!$AM$36-C2262)/C2262</f>
        <v>1.2073970468717872E-2</v>
      </c>
      <c r="M2262" s="551">
        <f>'Sollecitazioni nel paramento'!$G$60*(sezione!$AN$36-C2262)/C2262</f>
        <v>1.72652939582905E-2</v>
      </c>
      <c r="N2262" s="551">
        <f>'Sollecitazioni nel paramento'!$G$60*(sezione!$AO$36-C2262)/C2262</f>
        <v>3.8030587916580989E-2</v>
      </c>
      <c r="O2262" s="551">
        <f>'Sollecitazioni nel paramento'!$G$60*(sezione!$AP$36-C2262)/C2262</f>
        <v>0.19303735302085454</v>
      </c>
      <c r="P2262" s="545">
        <f>-'Sollecitazioni nel paramento'!$G$47*'Sollecitazioni nel paramento'!$G$41*IF(DATI!$G$211="dx",DATI!$E$61,DATI!$E$64*DATI!$E$63)*1000*C2262*sezione!$AD$5</f>
        <v>-513701.37217543024</v>
      </c>
      <c r="Q2262" s="545">
        <f>'Foglio deposito bis'!$F$88*IF(ABS(K2262)&lt;'Sollecitazioni nel paramento'!$G$58,ABS(K2262)*'Sollecitazioni nel paramento'!$G$54,'Sollecitazioni nel paramento'!$G$53)*IF(K2262&lt;0,-1,1)</f>
        <v>0</v>
      </c>
      <c r="R2262" s="545">
        <f>'Foglio deposito bis'!$F$89*IF(ABS(L2262)&lt;'Sollecitazioni nel paramento'!$G$58,ABS(L2262)*'Sollecitazioni nel paramento'!$G$54,'Sollecitazioni nel paramento'!$G$53)*IF(L2262&lt;0,-1,1)</f>
        <v>153664.85805602249</v>
      </c>
      <c r="S2262" s="545">
        <f>'Foglio deposito bis'!$F$90*IF(ABS(M2262)&lt;'Sollecitazioni nel paramento'!$G$58,ABS(M2262)*'Sollecitazioni nel paramento'!$G$54,'Sollecitazioni nel paramento'!$G$53)*IF(M2262&lt;0,-1,1)</f>
        <v>0</v>
      </c>
      <c r="T2262" s="545">
        <f>'Foglio deposito bis'!$F$91*IF(ABS(N2262)&lt;'Sollecitazioni nel paramento'!$G$58,ABS(N2262)*'Sollecitazioni nel paramento'!$G$54,'Sollecitazioni nel paramento'!$G$53)*IF(N2262&lt;0,-1,1)</f>
        <v>892485.49558937876</v>
      </c>
      <c r="U2262" s="545">
        <f>'Foglio deposito bis'!$F$92*IF(ABS(O2262)&lt;'Sollecitazioni nel paramento'!$G$58,ABS(O2262)*'Sollecitazioni nel paramento'!$G$54,'Sollecitazioni nel paramento'!$G$53)*IF(O2262&lt;0,-1,1)</f>
        <v>1662039.1047339395</v>
      </c>
      <c r="V2262" s="472">
        <f t="shared" si="159"/>
        <v>2194488.0862039104</v>
      </c>
      <c r="W2262" s="551"/>
      <c r="X2262" s="551"/>
    </row>
    <row r="2263" spans="1:24" x14ac:dyDescent="0.25">
      <c r="A2263" s="545">
        <f t="shared" si="158"/>
        <v>2173940.0313168932</v>
      </c>
      <c r="B2263" s="3">
        <f t="shared" si="160"/>
        <v>1.3000000000000005</v>
      </c>
      <c r="C2263" s="545">
        <f>'Foglio deposito bis'!$E$162/sezione!$B$247*B2263</f>
        <v>14.023398878191131</v>
      </c>
      <c r="D2263" s="603">
        <f>-'Sollecitazioni nel paramento'!$G$47*'Sollecitazioni nel paramento'!$G$41*IF(DATI!$G$211="dx",DATI!$E$61,DATI!$E$64*DATI!$E$63)*1000*C2263^2*sezione!$AD$5*(1-sezione!$AD$6)</f>
        <v>-4375323.8046268001</v>
      </c>
      <c r="E2263" s="545">
        <f>-'Foglio deposito bis'!$F$88*(C2263-sezione!$AL$36)*IF(ABS(K2263)&lt;'Sollecitazioni nel paramento'!$G$58,ABS(K2263)*'Sollecitazioni nel paramento'!$G$54,'Sollecitazioni nel paramento'!$G$53)</f>
        <v>0</v>
      </c>
      <c r="F2263" s="545">
        <f>-'Foglio deposito bis'!$F$89*(C2263-sezione!$AM$36)*IF(ABS(L2263)&lt;'Sollecitazioni nel paramento'!$G$58,ABS(L2263)*'Sollecitazioni nel paramento'!$G$54,'Sollecitazioni nel paramento'!$G$53)</f>
        <v>7064987.8852811251</v>
      </c>
      <c r="G2263" s="545">
        <f>-'Foglio deposito bis'!$F$90*(C2263-sezione!$AN$36)*IF(ABS(M2263)&lt;'Sollecitazioni nel paramento'!$G$58,ABS(M2263)*'Sollecitazioni nel paramento'!$G$54,'Sollecitazioni nel paramento'!$G$53)</f>
        <v>0</v>
      </c>
      <c r="H2263" s="545">
        <f>-'Foglio deposito bis'!$F$91*(C2263-sezione!$AO$36)*IF(ABS(N2263)&lt;'Sollecitazioni nel paramento'!$G$58,ABS(N2263)*'Sollecitazioni nel paramento'!$G$54,'Sollecitazioni nel paramento'!$G$53)</f>
        <v>130281999.19665067</v>
      </c>
      <c r="I2263" s="472">
        <f>-'Foglio deposito bis'!$F$92*(C2263-sezione!$AP$36)*IF(ABS(O2263)&lt;'Sollecitazioni nel paramento'!$G$58,ABS(O2263)*'Sollecitazioni nel paramento'!$G$54,'Sollecitazioni nel paramento'!$G$53)</f>
        <v>1235149165.9662359</v>
      </c>
      <c r="J2263" s="472">
        <f t="shared" si="157"/>
        <v>1368120829.2435408</v>
      </c>
      <c r="K2263" s="550">
        <f>'Sollecitazioni nel paramento'!$G$60*(sezione!$AL$36-C2263)/C2263</f>
        <v>6.4833144030242767E-3</v>
      </c>
      <c r="L2263" s="550">
        <f>'Sollecitazioni nel paramento'!$G$60*(sezione!$AM$36-C2263)/C2263</f>
        <v>1.1474971604536416E-2</v>
      </c>
      <c r="M2263" s="551">
        <f>'Sollecitazioni nel paramento'!$G$60*(sezione!$AN$36-C2263)/C2263</f>
        <v>1.6466628806048555E-2</v>
      </c>
      <c r="N2263" s="551">
        <f>'Sollecitazioni nel paramento'!$G$60*(sezione!$AO$36-C2263)/C2263</f>
        <v>3.6433257612097113E-2</v>
      </c>
      <c r="O2263" s="551">
        <f>'Sollecitazioni nel paramento'!$G$60*(sezione!$AP$36-C2263)/C2263</f>
        <v>0.18547822405851402</v>
      </c>
      <c r="P2263" s="545">
        <f>-'Sollecitazioni nel paramento'!$G$47*'Sollecitazioni nel paramento'!$G$41*IF(DATI!$G$211="dx",DATI!$E$61,DATI!$E$64*DATI!$E$63)*1000*C2263*sezione!$AD$5</f>
        <v>-534249.42706244742</v>
      </c>
      <c r="Q2263" s="545">
        <f>'Foglio deposito bis'!$F$88*IF(ABS(K2263)&lt;'Sollecitazioni nel paramento'!$G$58,ABS(K2263)*'Sollecitazioni nel paramento'!$G$54,'Sollecitazioni nel paramento'!$G$53)*IF(K2263&lt;0,-1,1)</f>
        <v>0</v>
      </c>
      <c r="R2263" s="545">
        <f>'Foglio deposito bis'!$F$89*IF(ABS(L2263)&lt;'Sollecitazioni nel paramento'!$G$58,ABS(L2263)*'Sollecitazioni nel paramento'!$G$54,'Sollecitazioni nel paramento'!$G$53)*IF(L2263&lt;0,-1,1)</f>
        <v>153664.85805602249</v>
      </c>
      <c r="S2263" s="545">
        <f>'Foglio deposito bis'!$F$90*IF(ABS(M2263)&lt;'Sollecitazioni nel paramento'!$G$58,ABS(M2263)*'Sollecitazioni nel paramento'!$G$54,'Sollecitazioni nel paramento'!$G$53)*IF(M2263&lt;0,-1,1)</f>
        <v>0</v>
      </c>
      <c r="T2263" s="545">
        <f>'Foglio deposito bis'!$F$91*IF(ABS(N2263)&lt;'Sollecitazioni nel paramento'!$G$58,ABS(N2263)*'Sollecitazioni nel paramento'!$G$54,'Sollecitazioni nel paramento'!$G$53)*IF(N2263&lt;0,-1,1)</f>
        <v>892485.49558937876</v>
      </c>
      <c r="U2263" s="545">
        <f>'Foglio deposito bis'!$F$92*IF(ABS(O2263)&lt;'Sollecitazioni nel paramento'!$G$58,ABS(O2263)*'Sollecitazioni nel paramento'!$G$54,'Sollecitazioni nel paramento'!$G$53)*IF(O2263&lt;0,-1,1)</f>
        <v>1662039.1047339395</v>
      </c>
      <c r="V2263" s="472">
        <f t="shared" si="159"/>
        <v>2173940.0313168932</v>
      </c>
      <c r="W2263" s="551"/>
      <c r="X2263" s="551"/>
    </row>
    <row r="2264" spans="1:24" x14ac:dyDescent="0.25">
      <c r="A2264" s="545">
        <f t="shared" si="158"/>
        <v>2153391.9764298759</v>
      </c>
      <c r="B2264" s="3">
        <f t="shared" si="160"/>
        <v>1.3500000000000005</v>
      </c>
      <c r="C2264" s="545">
        <f>'Foglio deposito bis'!$E$162/sezione!$B$247*B2264</f>
        <v>14.562760373506174</v>
      </c>
      <c r="D2264" s="603">
        <f>-'Sollecitazioni nel paramento'!$G$47*'Sollecitazioni nel paramento'!$G$41*IF(DATI!$G$211="dx",DATI!$E$61,DATI!$E$64*DATI!$E$63)*1000*C2264^2*sezione!$AD$5*(1-sezione!$AD$6)</f>
        <v>-4718359.5467055291</v>
      </c>
      <c r="E2264" s="545">
        <f>-'Foglio deposito bis'!$F$88*(C2264-sezione!$AL$36)*IF(ABS(K2264)&lt;'Sollecitazioni nel paramento'!$G$58,ABS(K2264)*'Sollecitazioni nel paramento'!$G$54,'Sollecitazioni nel paramento'!$G$53)</f>
        <v>0</v>
      </c>
      <c r="F2264" s="545">
        <f>-'Foglio deposito bis'!$F$89*(C2264-sezione!$AM$36)*IF(ABS(L2264)&lt;'Sollecitazioni nel paramento'!$G$58,ABS(L2264)*'Sollecitazioni nel paramento'!$G$54,'Sollecitazioni nel paramento'!$G$53)</f>
        <v>6982106.9776626546</v>
      </c>
      <c r="G2264" s="545">
        <f>-'Foglio deposito bis'!$F$90*(C2264-sezione!$AN$36)*IF(ABS(M2264)&lt;'Sollecitazioni nel paramento'!$G$58,ABS(M2264)*'Sollecitazioni nel paramento'!$G$54,'Sollecitazioni nel paramento'!$G$53)</f>
        <v>0</v>
      </c>
      <c r="H2264" s="545">
        <f>-'Foglio deposito bis'!$F$91*(C2264-sezione!$AO$36)*IF(ABS(N2264)&lt;'Sollecitazioni nel paramento'!$G$58,ABS(N2264)*'Sollecitazioni nel paramento'!$G$54,'Sollecitazioni nel paramento'!$G$53)</f>
        <v>129800626.88520259</v>
      </c>
      <c r="I2264" s="472">
        <f>-'Foglio deposito bis'!$F$92*(C2264-sezione!$AP$36)*IF(ABS(O2264)&lt;'Sollecitazioni nel paramento'!$G$58,ABS(O2264)*'Sollecitazioni nel paramento'!$G$54,'Sollecitazioni nel paramento'!$G$53)</f>
        <v>1234252726.0694344</v>
      </c>
      <c r="J2264" s="472">
        <f t="shared" si="157"/>
        <v>1366317100.3855941</v>
      </c>
      <c r="K2264" s="550">
        <f>'Sollecitazioni nel paramento'!$G$60*(sezione!$AL$36-C2264)/C2264</f>
        <v>6.1135620177270823E-3</v>
      </c>
      <c r="L2264" s="550">
        <f>'Sollecitazioni nel paramento'!$G$60*(sezione!$AM$36-C2264)/C2264</f>
        <v>1.0920343026590623E-2</v>
      </c>
      <c r="M2264" s="551">
        <f>'Sollecitazioni nel paramento'!$G$60*(sezione!$AN$36-C2264)/C2264</f>
        <v>1.5727124035454162E-2</v>
      </c>
      <c r="N2264" s="551">
        <f>'Sollecitazioni nel paramento'!$G$60*(sezione!$AO$36-C2264)/C2264</f>
        <v>3.4954248070908328E-2</v>
      </c>
      <c r="O2264" s="551">
        <f>'Sollecitazioni nel paramento'!$G$60*(sezione!$AP$36-C2264)/C2264</f>
        <v>0.1784790305748653</v>
      </c>
      <c r="P2264" s="545">
        <f>-'Sollecitazioni nel paramento'!$G$47*'Sollecitazioni nel paramento'!$G$41*IF(DATI!$G$211="dx",DATI!$E$61,DATI!$E$64*DATI!$E$63)*1000*C2264*sezione!$AD$5</f>
        <v>-554797.48194946465</v>
      </c>
      <c r="Q2264" s="545">
        <f>'Foglio deposito bis'!$F$88*IF(ABS(K2264)&lt;'Sollecitazioni nel paramento'!$G$58,ABS(K2264)*'Sollecitazioni nel paramento'!$G$54,'Sollecitazioni nel paramento'!$G$53)*IF(K2264&lt;0,-1,1)</f>
        <v>0</v>
      </c>
      <c r="R2264" s="545">
        <f>'Foglio deposito bis'!$F$89*IF(ABS(L2264)&lt;'Sollecitazioni nel paramento'!$G$58,ABS(L2264)*'Sollecitazioni nel paramento'!$G$54,'Sollecitazioni nel paramento'!$G$53)*IF(L2264&lt;0,-1,1)</f>
        <v>153664.85805602249</v>
      </c>
      <c r="S2264" s="545">
        <f>'Foglio deposito bis'!$F$90*IF(ABS(M2264)&lt;'Sollecitazioni nel paramento'!$G$58,ABS(M2264)*'Sollecitazioni nel paramento'!$G$54,'Sollecitazioni nel paramento'!$G$53)*IF(M2264&lt;0,-1,1)</f>
        <v>0</v>
      </c>
      <c r="T2264" s="545">
        <f>'Foglio deposito bis'!$F$91*IF(ABS(N2264)&lt;'Sollecitazioni nel paramento'!$G$58,ABS(N2264)*'Sollecitazioni nel paramento'!$G$54,'Sollecitazioni nel paramento'!$G$53)*IF(N2264&lt;0,-1,1)</f>
        <v>892485.49558937876</v>
      </c>
      <c r="U2264" s="545">
        <f>'Foglio deposito bis'!$F$92*IF(ABS(O2264)&lt;'Sollecitazioni nel paramento'!$G$58,ABS(O2264)*'Sollecitazioni nel paramento'!$G$54,'Sollecitazioni nel paramento'!$G$53)*IF(O2264&lt;0,-1,1)</f>
        <v>1662039.1047339395</v>
      </c>
      <c r="V2264" s="472">
        <f t="shared" si="159"/>
        <v>2153391.9764298759</v>
      </c>
      <c r="W2264" s="551"/>
      <c r="X2264" s="551"/>
    </row>
    <row r="2265" spans="1:24" x14ac:dyDescent="0.25">
      <c r="A2265" s="545">
        <f t="shared" si="158"/>
        <v>2132843.9215428592</v>
      </c>
      <c r="B2265" s="3">
        <f t="shared" si="160"/>
        <v>1.4000000000000006</v>
      </c>
      <c r="C2265" s="545">
        <f>'Foglio deposito bis'!$E$162/sezione!$B$247*B2265</f>
        <v>15.102121868821218</v>
      </c>
      <c r="D2265" s="603">
        <f>-'Sollecitazioni nel paramento'!$G$47*'Sollecitazioni nel paramento'!$G$41*IF(DATI!$G$211="dx",DATI!$E$61,DATI!$E$64*DATI!$E$63)*1000*C2265^2*sezione!$AD$5*(1-sezione!$AD$6)</f>
        <v>-5074340.0337683596</v>
      </c>
      <c r="E2265" s="545">
        <f>-'Foglio deposito bis'!$F$88*(C2265-sezione!$AL$36)*IF(ABS(K2265)&lt;'Sollecitazioni nel paramento'!$G$58,ABS(K2265)*'Sollecitazioni nel paramento'!$G$54,'Sollecitazioni nel paramento'!$G$53)</f>
        <v>0</v>
      </c>
      <c r="F2265" s="545">
        <f>-'Foglio deposito bis'!$F$89*(C2265-sezione!$AM$36)*IF(ABS(L2265)&lt;'Sollecitazioni nel paramento'!$G$58,ABS(L2265)*'Sollecitazioni nel paramento'!$G$54,'Sollecitazioni nel paramento'!$G$53)</f>
        <v>6899226.0700441841</v>
      </c>
      <c r="G2265" s="545">
        <f>-'Foglio deposito bis'!$F$90*(C2265-sezione!$AN$36)*IF(ABS(M2265)&lt;'Sollecitazioni nel paramento'!$G$58,ABS(M2265)*'Sollecitazioni nel paramento'!$G$54,'Sollecitazioni nel paramento'!$G$53)</f>
        <v>0</v>
      </c>
      <c r="H2265" s="545">
        <f>-'Foglio deposito bis'!$F$91*(C2265-sezione!$AO$36)*IF(ABS(N2265)&lt;'Sollecitazioni nel paramento'!$G$58,ABS(N2265)*'Sollecitazioni nel paramento'!$G$54,'Sollecitazioni nel paramento'!$G$53)</f>
        <v>129319254.57375449</v>
      </c>
      <c r="I2265" s="472">
        <f>-'Foglio deposito bis'!$F$92*(C2265-sezione!$AP$36)*IF(ABS(O2265)&lt;'Sollecitazioni nel paramento'!$G$58,ABS(O2265)*'Sollecitazioni nel paramento'!$G$54,'Sollecitazioni nel paramento'!$G$53)</f>
        <v>1233356286.1726332</v>
      </c>
      <c r="J2265" s="472">
        <f t="shared" si="157"/>
        <v>1364500426.7826636</v>
      </c>
      <c r="K2265" s="550">
        <f>'Sollecitazioni nel paramento'!$G$60*(sezione!$AL$36-C2265)/C2265</f>
        <v>5.7702205170939713E-3</v>
      </c>
      <c r="L2265" s="550">
        <f>'Sollecitazioni nel paramento'!$G$60*(sezione!$AM$36-C2265)/C2265</f>
        <v>1.0405330775640957E-2</v>
      </c>
      <c r="M2265" s="551">
        <f>'Sollecitazioni nel paramento'!$G$60*(sezione!$AN$36-C2265)/C2265</f>
        <v>1.5040441034187942E-2</v>
      </c>
      <c r="N2265" s="551">
        <f>'Sollecitazioni nel paramento'!$G$60*(sezione!$AO$36-C2265)/C2265</f>
        <v>3.3580882068375881E-2</v>
      </c>
      <c r="O2265" s="551">
        <f>'Sollecitazioni nel paramento'!$G$60*(sezione!$AP$36-C2265)/C2265</f>
        <v>0.17197977948290583</v>
      </c>
      <c r="P2265" s="545">
        <f>-'Sollecitazioni nel paramento'!$G$47*'Sollecitazioni nel paramento'!$G$41*IF(DATI!$G$211="dx",DATI!$E$61,DATI!$E$64*DATI!$E$63)*1000*C2265*sezione!$AD$5</f>
        <v>-575345.53683648177</v>
      </c>
      <c r="Q2265" s="545">
        <f>'Foglio deposito bis'!$F$88*IF(ABS(K2265)&lt;'Sollecitazioni nel paramento'!$G$58,ABS(K2265)*'Sollecitazioni nel paramento'!$G$54,'Sollecitazioni nel paramento'!$G$53)*IF(K2265&lt;0,-1,1)</f>
        <v>0</v>
      </c>
      <c r="R2265" s="545">
        <f>'Foglio deposito bis'!$F$89*IF(ABS(L2265)&lt;'Sollecitazioni nel paramento'!$G$58,ABS(L2265)*'Sollecitazioni nel paramento'!$G$54,'Sollecitazioni nel paramento'!$G$53)*IF(L2265&lt;0,-1,1)</f>
        <v>153664.85805602249</v>
      </c>
      <c r="S2265" s="545">
        <f>'Foglio deposito bis'!$F$90*IF(ABS(M2265)&lt;'Sollecitazioni nel paramento'!$G$58,ABS(M2265)*'Sollecitazioni nel paramento'!$G$54,'Sollecitazioni nel paramento'!$G$53)*IF(M2265&lt;0,-1,1)</f>
        <v>0</v>
      </c>
      <c r="T2265" s="545">
        <f>'Foglio deposito bis'!$F$91*IF(ABS(N2265)&lt;'Sollecitazioni nel paramento'!$G$58,ABS(N2265)*'Sollecitazioni nel paramento'!$G$54,'Sollecitazioni nel paramento'!$G$53)*IF(N2265&lt;0,-1,1)</f>
        <v>892485.49558937876</v>
      </c>
      <c r="U2265" s="545">
        <f>'Foglio deposito bis'!$F$92*IF(ABS(O2265)&lt;'Sollecitazioni nel paramento'!$G$58,ABS(O2265)*'Sollecitazioni nel paramento'!$G$54,'Sollecitazioni nel paramento'!$G$53)*IF(O2265&lt;0,-1,1)</f>
        <v>1662039.1047339395</v>
      </c>
      <c r="V2265" s="472">
        <f t="shared" si="159"/>
        <v>2132843.9215428592</v>
      </c>
      <c r="W2265" s="551"/>
      <c r="X2265" s="551"/>
    </row>
    <row r="2266" spans="1:24" x14ac:dyDescent="0.25">
      <c r="A2266" s="545">
        <f t="shared" si="158"/>
        <v>2112295.8666558419</v>
      </c>
      <c r="B2266" s="3">
        <f t="shared" si="160"/>
        <v>1.4500000000000006</v>
      </c>
      <c r="C2266" s="545">
        <f>'Foglio deposito bis'!$E$162/sezione!$B$247*B2266</f>
        <v>15.641483364136262</v>
      </c>
      <c r="D2266" s="603">
        <f>-'Sollecitazioni nel paramento'!$G$47*'Sollecitazioni nel paramento'!$G$41*IF(DATI!$G$211="dx",DATI!$E$61,DATI!$E$64*DATI!$E$63)*1000*C2266^2*sezione!$AD$5*(1-sezione!$AD$6)</f>
        <v>-5443265.2658152943</v>
      </c>
      <c r="E2266" s="545">
        <f>-'Foglio deposito bis'!$F$88*(C2266-sezione!$AL$36)*IF(ABS(K2266)&lt;'Sollecitazioni nel paramento'!$G$58,ABS(K2266)*'Sollecitazioni nel paramento'!$G$54,'Sollecitazioni nel paramento'!$G$53)</f>
        <v>0</v>
      </c>
      <c r="F2266" s="545">
        <f>-'Foglio deposito bis'!$F$89*(C2266-sezione!$AM$36)*IF(ABS(L2266)&lt;'Sollecitazioni nel paramento'!$G$58,ABS(L2266)*'Sollecitazioni nel paramento'!$G$54,'Sollecitazioni nel paramento'!$G$53)</f>
        <v>6816345.1624257127</v>
      </c>
      <c r="G2266" s="545">
        <f>-'Foglio deposito bis'!$F$90*(C2266-sezione!$AN$36)*IF(ABS(M2266)&lt;'Sollecitazioni nel paramento'!$G$58,ABS(M2266)*'Sollecitazioni nel paramento'!$G$54,'Sollecitazioni nel paramento'!$G$53)</f>
        <v>0</v>
      </c>
      <c r="H2266" s="545">
        <f>-'Foglio deposito bis'!$F$91*(C2266-sezione!$AO$36)*IF(ABS(N2266)&lt;'Sollecitazioni nel paramento'!$G$58,ABS(N2266)*'Sollecitazioni nel paramento'!$G$54,'Sollecitazioni nel paramento'!$G$53)</f>
        <v>128837882.26230642</v>
      </c>
      <c r="I2266" s="472">
        <f>-'Foglio deposito bis'!$F$92*(C2266-sezione!$AP$36)*IF(ABS(O2266)&lt;'Sollecitazioni nel paramento'!$G$58,ABS(O2266)*'Sollecitazioni nel paramento'!$G$54,'Sollecitazioni nel paramento'!$G$53)</f>
        <v>1232459846.2758319</v>
      </c>
      <c r="J2266" s="472">
        <f t="shared" si="157"/>
        <v>1362670808.4347489</v>
      </c>
      <c r="K2266" s="550">
        <f>'Sollecitazioni nel paramento'!$G$60*(sezione!$AL$36-C2266)/C2266</f>
        <v>5.4505577406424545E-3</v>
      </c>
      <c r="L2266" s="550">
        <f>'Sollecitazioni nel paramento'!$G$60*(sezione!$AM$36-C2266)/C2266</f>
        <v>9.9258366109636828E-3</v>
      </c>
      <c r="M2266" s="551">
        <f>'Sollecitazioni nel paramento'!$G$60*(sezione!$AN$36-C2266)/C2266</f>
        <v>1.4401115481284909E-2</v>
      </c>
      <c r="N2266" s="551">
        <f>'Sollecitazioni nel paramento'!$G$60*(sezione!$AO$36-C2266)/C2266</f>
        <v>3.2302230962569817E-2</v>
      </c>
      <c r="O2266" s="551">
        <f>'Sollecitazioni nel paramento'!$G$60*(sezione!$AP$36-C2266)/C2266</f>
        <v>0.16592875260418496</v>
      </c>
      <c r="P2266" s="545">
        <f>-'Sollecitazioni nel paramento'!$G$47*'Sollecitazioni nel paramento'!$G$41*IF(DATI!$G$211="dx",DATI!$E$61,DATI!$E$64*DATI!$E$63)*1000*C2266*sezione!$AD$5</f>
        <v>-595893.591723499</v>
      </c>
      <c r="Q2266" s="545">
        <f>'Foglio deposito bis'!$F$88*IF(ABS(K2266)&lt;'Sollecitazioni nel paramento'!$G$58,ABS(K2266)*'Sollecitazioni nel paramento'!$G$54,'Sollecitazioni nel paramento'!$G$53)*IF(K2266&lt;0,-1,1)</f>
        <v>0</v>
      </c>
      <c r="R2266" s="545">
        <f>'Foglio deposito bis'!$F$89*IF(ABS(L2266)&lt;'Sollecitazioni nel paramento'!$G$58,ABS(L2266)*'Sollecitazioni nel paramento'!$G$54,'Sollecitazioni nel paramento'!$G$53)*IF(L2266&lt;0,-1,1)</f>
        <v>153664.85805602249</v>
      </c>
      <c r="S2266" s="545">
        <f>'Foglio deposito bis'!$F$90*IF(ABS(M2266)&lt;'Sollecitazioni nel paramento'!$G$58,ABS(M2266)*'Sollecitazioni nel paramento'!$G$54,'Sollecitazioni nel paramento'!$G$53)*IF(M2266&lt;0,-1,1)</f>
        <v>0</v>
      </c>
      <c r="T2266" s="545">
        <f>'Foglio deposito bis'!$F$91*IF(ABS(N2266)&lt;'Sollecitazioni nel paramento'!$G$58,ABS(N2266)*'Sollecitazioni nel paramento'!$G$54,'Sollecitazioni nel paramento'!$G$53)*IF(N2266&lt;0,-1,1)</f>
        <v>892485.49558937876</v>
      </c>
      <c r="U2266" s="545">
        <f>'Foglio deposito bis'!$F$92*IF(ABS(O2266)&lt;'Sollecitazioni nel paramento'!$G$58,ABS(O2266)*'Sollecitazioni nel paramento'!$G$54,'Sollecitazioni nel paramento'!$G$53)*IF(O2266&lt;0,-1,1)</f>
        <v>1662039.1047339395</v>
      </c>
      <c r="V2266" s="472">
        <f t="shared" si="159"/>
        <v>2112295.8666558419</v>
      </c>
      <c r="W2266" s="551"/>
      <c r="X2266" s="551"/>
    </row>
    <row r="2267" spans="1:24" x14ac:dyDescent="0.25">
      <c r="A2267" s="545">
        <f t="shared" si="158"/>
        <v>2091747.8117688245</v>
      </c>
      <c r="B2267" s="3">
        <f t="shared" si="160"/>
        <v>1.5000000000000007</v>
      </c>
      <c r="C2267" s="545">
        <f>'Foglio deposito bis'!$E$162/sezione!$B$247*B2267</f>
        <v>16.180844859451305</v>
      </c>
      <c r="D2267" s="603">
        <f>-'Sollecitazioni nel paramento'!$G$47*'Sollecitazioni nel paramento'!$G$41*IF(DATI!$G$211="dx",DATI!$E$61,DATI!$E$64*DATI!$E$63)*1000*C2267^2*sezione!$AD$5*(1-sezione!$AD$6)</f>
        <v>-5825135.2428463316</v>
      </c>
      <c r="E2267" s="545">
        <f>-'Foglio deposito bis'!$F$88*(C2267-sezione!$AL$36)*IF(ABS(K2267)&lt;'Sollecitazioni nel paramento'!$G$58,ABS(K2267)*'Sollecitazioni nel paramento'!$G$54,'Sollecitazioni nel paramento'!$G$53)</f>
        <v>0</v>
      </c>
      <c r="F2267" s="545">
        <f>-'Foglio deposito bis'!$F$89*(C2267-sezione!$AM$36)*IF(ABS(L2267)&lt;'Sollecitazioni nel paramento'!$G$58,ABS(L2267)*'Sollecitazioni nel paramento'!$G$54,'Sollecitazioni nel paramento'!$G$53)</f>
        <v>6733464.2548072441</v>
      </c>
      <c r="G2267" s="545">
        <f>-'Foglio deposito bis'!$F$90*(C2267-sezione!$AN$36)*IF(ABS(M2267)&lt;'Sollecitazioni nel paramento'!$G$58,ABS(M2267)*'Sollecitazioni nel paramento'!$G$54,'Sollecitazioni nel paramento'!$G$53)</f>
        <v>0</v>
      </c>
      <c r="H2267" s="545">
        <f>-'Foglio deposito bis'!$F$91*(C2267-sezione!$AO$36)*IF(ABS(N2267)&lt;'Sollecitazioni nel paramento'!$G$58,ABS(N2267)*'Sollecitazioni nel paramento'!$G$54,'Sollecitazioni nel paramento'!$G$53)</f>
        <v>128356509.95085837</v>
      </c>
      <c r="I2267" s="472">
        <f>-'Foglio deposito bis'!$F$92*(C2267-sezione!$AP$36)*IF(ABS(O2267)&lt;'Sollecitazioni nel paramento'!$G$58,ABS(O2267)*'Sollecitazioni nel paramento'!$G$54,'Sollecitazioni nel paramento'!$G$53)</f>
        <v>1231563406.3790302</v>
      </c>
      <c r="J2267" s="472">
        <f t="shared" si="157"/>
        <v>1360828245.3418496</v>
      </c>
      <c r="K2267" s="550">
        <f>'Sollecitazioni nel paramento'!$G$60*(sezione!$AL$36-C2267)/C2267</f>
        <v>5.1522058159543735E-3</v>
      </c>
      <c r="L2267" s="550">
        <f>'Sollecitazioni nel paramento'!$G$60*(sezione!$AM$36-C2267)/C2267</f>
        <v>9.4783087239315601E-3</v>
      </c>
      <c r="M2267" s="551">
        <f>'Sollecitazioni nel paramento'!$G$60*(sezione!$AN$36-C2267)/C2267</f>
        <v>1.3804411631908745E-2</v>
      </c>
      <c r="N2267" s="551">
        <f>'Sollecitazioni nel paramento'!$G$60*(sezione!$AO$36-C2267)/C2267</f>
        <v>3.1108823263817493E-2</v>
      </c>
      <c r="O2267" s="551">
        <f>'Sollecitazioni nel paramento'!$G$60*(sezione!$AP$36-C2267)/C2267</f>
        <v>0.16028112751737877</v>
      </c>
      <c r="P2267" s="545">
        <f>-'Sollecitazioni nel paramento'!$G$47*'Sollecitazioni nel paramento'!$G$41*IF(DATI!$G$211="dx",DATI!$E$61,DATI!$E$64*DATI!$E$63)*1000*C2267*sezione!$AD$5</f>
        <v>-616441.64661051624</v>
      </c>
      <c r="Q2267" s="545">
        <f>'Foglio deposito bis'!$F$88*IF(ABS(K2267)&lt;'Sollecitazioni nel paramento'!$G$58,ABS(K2267)*'Sollecitazioni nel paramento'!$G$54,'Sollecitazioni nel paramento'!$G$53)*IF(K2267&lt;0,-1,1)</f>
        <v>0</v>
      </c>
      <c r="R2267" s="545">
        <f>'Foglio deposito bis'!$F$89*IF(ABS(L2267)&lt;'Sollecitazioni nel paramento'!$G$58,ABS(L2267)*'Sollecitazioni nel paramento'!$G$54,'Sollecitazioni nel paramento'!$G$53)*IF(L2267&lt;0,-1,1)</f>
        <v>153664.85805602249</v>
      </c>
      <c r="S2267" s="545">
        <f>'Foglio deposito bis'!$F$90*IF(ABS(M2267)&lt;'Sollecitazioni nel paramento'!$G$58,ABS(M2267)*'Sollecitazioni nel paramento'!$G$54,'Sollecitazioni nel paramento'!$G$53)*IF(M2267&lt;0,-1,1)</f>
        <v>0</v>
      </c>
      <c r="T2267" s="545">
        <f>'Foglio deposito bis'!$F$91*IF(ABS(N2267)&lt;'Sollecitazioni nel paramento'!$G$58,ABS(N2267)*'Sollecitazioni nel paramento'!$G$54,'Sollecitazioni nel paramento'!$G$53)*IF(N2267&lt;0,-1,1)</f>
        <v>892485.49558937876</v>
      </c>
      <c r="U2267" s="545">
        <f>'Foglio deposito bis'!$F$92*IF(ABS(O2267)&lt;'Sollecitazioni nel paramento'!$G$58,ABS(O2267)*'Sollecitazioni nel paramento'!$G$54,'Sollecitazioni nel paramento'!$G$53)*IF(O2267&lt;0,-1,1)</f>
        <v>1662039.1047339395</v>
      </c>
      <c r="V2267" s="472">
        <f t="shared" si="159"/>
        <v>2091747.8117688245</v>
      </c>
      <c r="W2267" s="551"/>
      <c r="X2267" s="551"/>
    </row>
    <row r="2268" spans="1:24" x14ac:dyDescent="0.25">
      <c r="A2268" s="545">
        <f t="shared" si="158"/>
        <v>2071199.7568818072</v>
      </c>
      <c r="B2268" s="3">
        <f t="shared" si="160"/>
        <v>1.5500000000000007</v>
      </c>
      <c r="C2268" s="545">
        <f>'Foglio deposito bis'!$E$162/sezione!$B$247*B2268</f>
        <v>16.720206354766351</v>
      </c>
      <c r="D2268" s="603">
        <f>-'Sollecitazioni nel paramento'!$G$47*'Sollecitazioni nel paramento'!$G$41*IF(DATI!$G$211="dx",DATI!$E$61,DATI!$E$64*DATI!$E$63)*1000*C2268^2*sezione!$AD$5*(1-sezione!$AD$6)</f>
        <v>-6219949.964861474</v>
      </c>
      <c r="E2268" s="545">
        <f>-'Foglio deposito bis'!$F$88*(C2268-sezione!$AL$36)*IF(ABS(K2268)&lt;'Sollecitazioni nel paramento'!$G$58,ABS(K2268)*'Sollecitazioni nel paramento'!$G$54,'Sollecitazioni nel paramento'!$G$53)</f>
        <v>0</v>
      </c>
      <c r="F2268" s="545">
        <f>-'Foglio deposito bis'!$F$89*(C2268-sezione!$AM$36)*IF(ABS(L2268)&lt;'Sollecitazioni nel paramento'!$G$58,ABS(L2268)*'Sollecitazioni nel paramento'!$G$54,'Sollecitazioni nel paramento'!$G$53)</f>
        <v>6650583.3471887745</v>
      </c>
      <c r="G2268" s="545">
        <f>-'Foglio deposito bis'!$F$90*(C2268-sezione!$AN$36)*IF(ABS(M2268)&lt;'Sollecitazioni nel paramento'!$G$58,ABS(M2268)*'Sollecitazioni nel paramento'!$G$54,'Sollecitazioni nel paramento'!$G$53)</f>
        <v>0</v>
      </c>
      <c r="H2268" s="545">
        <f>-'Foglio deposito bis'!$F$91*(C2268-sezione!$AO$36)*IF(ABS(N2268)&lt;'Sollecitazioni nel paramento'!$G$58,ABS(N2268)*'Sollecitazioni nel paramento'!$G$54,'Sollecitazioni nel paramento'!$G$53)</f>
        <v>127875137.63941027</v>
      </c>
      <c r="I2268" s="472">
        <f>-'Foglio deposito bis'!$F$92*(C2268-sezione!$AP$36)*IF(ABS(O2268)&lt;'Sollecitazioni nel paramento'!$G$58,ABS(O2268)*'Sollecitazioni nel paramento'!$G$54,'Sollecitazioni nel paramento'!$G$53)</f>
        <v>1230666966.482229</v>
      </c>
      <c r="J2268" s="472">
        <f t="shared" si="157"/>
        <v>1358972737.5039666</v>
      </c>
      <c r="K2268" s="550">
        <f>'Sollecitazioni nel paramento'!$G$60*(sezione!$AL$36-C2268)/C2268</f>
        <v>4.8731024025364892E-3</v>
      </c>
      <c r="L2268" s="550">
        <f>'Sollecitazioni nel paramento'!$G$60*(sezione!$AM$36-C2268)/C2268</f>
        <v>9.0596536038047345E-3</v>
      </c>
      <c r="M2268" s="551">
        <f>'Sollecitazioni nel paramento'!$G$60*(sezione!$AN$36-C2268)/C2268</f>
        <v>1.324620480507298E-2</v>
      </c>
      <c r="N2268" s="551">
        <f>'Sollecitazioni nel paramento'!$G$60*(sezione!$AO$36-C2268)/C2268</f>
        <v>2.9992409610145956E-2</v>
      </c>
      <c r="O2268" s="551">
        <f>'Sollecitazioni nel paramento'!$G$60*(sezione!$AP$36-C2268)/C2268</f>
        <v>0.15499786533939883</v>
      </c>
      <c r="P2268" s="545">
        <f>-'Sollecitazioni nel paramento'!$G$47*'Sollecitazioni nel paramento'!$G$41*IF(DATI!$G$211="dx",DATI!$E$61,DATI!$E$64*DATI!$E$63)*1000*C2268*sezione!$AD$5</f>
        <v>-636989.70149753359</v>
      </c>
      <c r="Q2268" s="545">
        <f>'Foglio deposito bis'!$F$88*IF(ABS(K2268)&lt;'Sollecitazioni nel paramento'!$G$58,ABS(K2268)*'Sollecitazioni nel paramento'!$G$54,'Sollecitazioni nel paramento'!$G$53)*IF(K2268&lt;0,-1,1)</f>
        <v>0</v>
      </c>
      <c r="R2268" s="545">
        <f>'Foglio deposito bis'!$F$89*IF(ABS(L2268)&lt;'Sollecitazioni nel paramento'!$G$58,ABS(L2268)*'Sollecitazioni nel paramento'!$G$54,'Sollecitazioni nel paramento'!$G$53)*IF(L2268&lt;0,-1,1)</f>
        <v>153664.85805602249</v>
      </c>
      <c r="S2268" s="545">
        <f>'Foglio deposito bis'!$F$90*IF(ABS(M2268)&lt;'Sollecitazioni nel paramento'!$G$58,ABS(M2268)*'Sollecitazioni nel paramento'!$G$54,'Sollecitazioni nel paramento'!$G$53)*IF(M2268&lt;0,-1,1)</f>
        <v>0</v>
      </c>
      <c r="T2268" s="545">
        <f>'Foglio deposito bis'!$F$91*IF(ABS(N2268)&lt;'Sollecitazioni nel paramento'!$G$58,ABS(N2268)*'Sollecitazioni nel paramento'!$G$54,'Sollecitazioni nel paramento'!$G$53)*IF(N2268&lt;0,-1,1)</f>
        <v>892485.49558937876</v>
      </c>
      <c r="U2268" s="545">
        <f>'Foglio deposito bis'!$F$92*IF(ABS(O2268)&lt;'Sollecitazioni nel paramento'!$G$58,ABS(O2268)*'Sollecitazioni nel paramento'!$G$54,'Sollecitazioni nel paramento'!$G$53)*IF(O2268&lt;0,-1,1)</f>
        <v>1662039.1047339395</v>
      </c>
      <c r="V2268" s="472">
        <f t="shared" si="159"/>
        <v>2071199.7568818072</v>
      </c>
      <c r="W2268" s="551"/>
      <c r="X2268" s="551"/>
    </row>
    <row r="2269" spans="1:24" x14ac:dyDescent="0.25">
      <c r="A2269" s="545">
        <f t="shared" si="158"/>
        <v>2050651.70199479</v>
      </c>
      <c r="B2269" s="3">
        <f t="shared" si="160"/>
        <v>1.6000000000000008</v>
      </c>
      <c r="C2269" s="545">
        <f>'Foglio deposito bis'!$E$162/sezione!$B$247*B2269</f>
        <v>17.259567850081392</v>
      </c>
      <c r="D2269" s="603">
        <f>-'Sollecitazioni nel paramento'!$G$47*'Sollecitazioni nel paramento'!$G$41*IF(DATI!$G$211="dx",DATI!$E$61,DATI!$E$64*DATI!$E$63)*1000*C2269^2*sezione!$AD$5*(1-sezione!$AD$6)</f>
        <v>-6627709.4318607152</v>
      </c>
      <c r="E2269" s="545">
        <f>-'Foglio deposito bis'!$F$88*(C2269-sezione!$AL$36)*IF(ABS(K2269)&lt;'Sollecitazioni nel paramento'!$G$58,ABS(K2269)*'Sollecitazioni nel paramento'!$G$54,'Sollecitazioni nel paramento'!$G$53)</f>
        <v>0</v>
      </c>
      <c r="F2269" s="545">
        <f>-'Foglio deposito bis'!$F$89*(C2269-sezione!$AM$36)*IF(ABS(L2269)&lt;'Sollecitazioni nel paramento'!$G$58,ABS(L2269)*'Sollecitazioni nel paramento'!$G$54,'Sollecitazioni nel paramento'!$G$53)</f>
        <v>6567702.4395703021</v>
      </c>
      <c r="G2269" s="545">
        <f>-'Foglio deposito bis'!$F$90*(C2269-sezione!$AN$36)*IF(ABS(M2269)&lt;'Sollecitazioni nel paramento'!$G$58,ABS(M2269)*'Sollecitazioni nel paramento'!$G$54,'Sollecitazioni nel paramento'!$G$53)</f>
        <v>0</v>
      </c>
      <c r="H2269" s="545">
        <f>-'Foglio deposito bis'!$F$91*(C2269-sezione!$AO$36)*IF(ABS(N2269)&lt;'Sollecitazioni nel paramento'!$G$58,ABS(N2269)*'Sollecitazioni nel paramento'!$G$54,'Sollecitazioni nel paramento'!$G$53)</f>
        <v>127393765.3279622</v>
      </c>
      <c r="I2269" s="472">
        <f>-'Foglio deposito bis'!$F$92*(C2269-sezione!$AP$36)*IF(ABS(O2269)&lt;'Sollecitazioni nel paramento'!$G$58,ABS(O2269)*'Sollecitazioni nel paramento'!$G$54,'Sollecitazioni nel paramento'!$G$53)</f>
        <v>1229770526.5854278</v>
      </c>
      <c r="J2269" s="472">
        <f t="shared" si="157"/>
        <v>1357104284.9210997</v>
      </c>
      <c r="K2269" s="550">
        <f>'Sollecitazioni nel paramento'!$G$60*(sezione!$AL$36-C2269)/C2269</f>
        <v>4.6114429524572245E-3</v>
      </c>
      <c r="L2269" s="550">
        <f>'Sollecitazioni nel paramento'!$G$60*(sezione!$AM$36-C2269)/C2269</f>
        <v>8.6671644286858366E-3</v>
      </c>
      <c r="M2269" s="551">
        <f>'Sollecitazioni nel paramento'!$G$60*(sezione!$AN$36-C2269)/C2269</f>
        <v>1.2722885904914449E-2</v>
      </c>
      <c r="N2269" s="551">
        <f>'Sollecitazioni nel paramento'!$G$60*(sezione!$AO$36-C2269)/C2269</f>
        <v>2.8945771809828897E-2</v>
      </c>
      <c r="O2269" s="551">
        <f>'Sollecitazioni nel paramento'!$G$60*(sezione!$AP$36-C2269)/C2269</f>
        <v>0.15004480704754261</v>
      </c>
      <c r="P2269" s="545">
        <f>-'Sollecitazioni nel paramento'!$G$47*'Sollecitazioni nel paramento'!$G$41*IF(DATI!$G$211="dx",DATI!$E$61,DATI!$E$64*DATI!$E$63)*1000*C2269*sezione!$AD$5</f>
        <v>-657537.75638455071</v>
      </c>
      <c r="Q2269" s="545">
        <f>'Foglio deposito bis'!$F$88*IF(ABS(K2269)&lt;'Sollecitazioni nel paramento'!$G$58,ABS(K2269)*'Sollecitazioni nel paramento'!$G$54,'Sollecitazioni nel paramento'!$G$53)*IF(K2269&lt;0,-1,1)</f>
        <v>0</v>
      </c>
      <c r="R2269" s="545">
        <f>'Foglio deposito bis'!$F$89*IF(ABS(L2269)&lt;'Sollecitazioni nel paramento'!$G$58,ABS(L2269)*'Sollecitazioni nel paramento'!$G$54,'Sollecitazioni nel paramento'!$G$53)*IF(L2269&lt;0,-1,1)</f>
        <v>153664.85805602249</v>
      </c>
      <c r="S2269" s="545">
        <f>'Foglio deposito bis'!$F$90*IF(ABS(M2269)&lt;'Sollecitazioni nel paramento'!$G$58,ABS(M2269)*'Sollecitazioni nel paramento'!$G$54,'Sollecitazioni nel paramento'!$G$53)*IF(M2269&lt;0,-1,1)</f>
        <v>0</v>
      </c>
      <c r="T2269" s="545">
        <f>'Foglio deposito bis'!$F$91*IF(ABS(N2269)&lt;'Sollecitazioni nel paramento'!$G$58,ABS(N2269)*'Sollecitazioni nel paramento'!$G$54,'Sollecitazioni nel paramento'!$G$53)*IF(N2269&lt;0,-1,1)</f>
        <v>892485.49558937876</v>
      </c>
      <c r="U2269" s="545">
        <f>'Foglio deposito bis'!$F$92*IF(ABS(O2269)&lt;'Sollecitazioni nel paramento'!$G$58,ABS(O2269)*'Sollecitazioni nel paramento'!$G$54,'Sollecitazioni nel paramento'!$G$53)*IF(O2269&lt;0,-1,1)</f>
        <v>1662039.1047339395</v>
      </c>
      <c r="V2269" s="472">
        <f t="shared" si="159"/>
        <v>2050651.70199479</v>
      </c>
      <c r="W2269" s="551"/>
      <c r="X2269" s="551"/>
    </row>
    <row r="2270" spans="1:24" x14ac:dyDescent="0.25">
      <c r="A2270" s="545">
        <f t="shared" si="158"/>
        <v>2030103.6471077728</v>
      </c>
      <c r="B2270" s="3">
        <f t="shared" si="160"/>
        <v>1.6500000000000008</v>
      </c>
      <c r="C2270" s="545">
        <f>'Foglio deposito bis'!$E$162/sezione!$B$247*B2270</f>
        <v>17.798929345396438</v>
      </c>
      <c r="D2270" s="603">
        <f>-'Sollecitazioni nel paramento'!$G$47*'Sollecitazioni nel paramento'!$G$41*IF(DATI!$G$211="dx",DATI!$E$61,DATI!$E$64*DATI!$E$63)*1000*C2270^2*sezione!$AD$5*(1-sezione!$AD$6)</f>
        <v>-7048413.6438440625</v>
      </c>
      <c r="E2270" s="545">
        <f>-'Foglio deposito bis'!$F$88*(C2270-sezione!$AL$36)*IF(ABS(K2270)&lt;'Sollecitazioni nel paramento'!$G$58,ABS(K2270)*'Sollecitazioni nel paramento'!$G$54,'Sollecitazioni nel paramento'!$G$53)</f>
        <v>0</v>
      </c>
      <c r="F2270" s="545">
        <f>-'Foglio deposito bis'!$F$89*(C2270-sezione!$AM$36)*IF(ABS(L2270)&lt;'Sollecitazioni nel paramento'!$G$58,ABS(L2270)*'Sollecitazioni nel paramento'!$G$54,'Sollecitazioni nel paramento'!$G$53)</f>
        <v>6484821.5319518326</v>
      </c>
      <c r="G2270" s="545">
        <f>-'Foglio deposito bis'!$F$90*(C2270-sezione!$AN$36)*IF(ABS(M2270)&lt;'Sollecitazioni nel paramento'!$G$58,ABS(M2270)*'Sollecitazioni nel paramento'!$G$54,'Sollecitazioni nel paramento'!$G$53)</f>
        <v>0</v>
      </c>
      <c r="H2270" s="545">
        <f>-'Foglio deposito bis'!$F$91*(C2270-sezione!$AO$36)*IF(ABS(N2270)&lt;'Sollecitazioni nel paramento'!$G$58,ABS(N2270)*'Sollecitazioni nel paramento'!$G$54,'Sollecitazioni nel paramento'!$G$53)</f>
        <v>126912393.01651412</v>
      </c>
      <c r="I2270" s="472">
        <f>-'Foglio deposito bis'!$F$92*(C2270-sezione!$AP$36)*IF(ABS(O2270)&lt;'Sollecitazioni nel paramento'!$G$58,ABS(O2270)*'Sollecitazioni nel paramento'!$G$54,'Sollecitazioni nel paramento'!$G$53)</f>
        <v>1228874086.6886261</v>
      </c>
      <c r="J2270" s="472">
        <f t="shared" si="157"/>
        <v>1355222887.5932479</v>
      </c>
      <c r="K2270" s="550">
        <f>'Sollecitazioni nel paramento'!$G$60*(sezione!$AL$36-C2270)/C2270</f>
        <v>4.3656416508676106E-3</v>
      </c>
      <c r="L2270" s="550">
        <f>'Sollecitazioni nel paramento'!$G$60*(sezione!$AM$36-C2270)/C2270</f>
        <v>8.2984624763014162E-3</v>
      </c>
      <c r="M2270" s="551">
        <f>'Sollecitazioni nel paramento'!$G$60*(sezione!$AN$36-C2270)/C2270</f>
        <v>1.2231283301735221E-2</v>
      </c>
      <c r="N2270" s="551">
        <f>'Sollecitazioni nel paramento'!$G$60*(sezione!$AO$36-C2270)/C2270</f>
        <v>2.7962566603470445E-2</v>
      </c>
      <c r="O2270" s="551">
        <f>'Sollecitazioni nel paramento'!$G$60*(sezione!$AP$36-C2270)/C2270</f>
        <v>0.14539193410670795</v>
      </c>
      <c r="P2270" s="545">
        <f>-'Sollecitazioni nel paramento'!$G$47*'Sollecitazioni nel paramento'!$G$41*IF(DATI!$G$211="dx",DATI!$E$61,DATI!$E$64*DATI!$E$63)*1000*C2270*sezione!$AD$5</f>
        <v>-678085.81127156795</v>
      </c>
      <c r="Q2270" s="545">
        <f>'Foglio deposito bis'!$F$88*IF(ABS(K2270)&lt;'Sollecitazioni nel paramento'!$G$58,ABS(K2270)*'Sollecitazioni nel paramento'!$G$54,'Sollecitazioni nel paramento'!$G$53)*IF(K2270&lt;0,-1,1)</f>
        <v>0</v>
      </c>
      <c r="R2270" s="545">
        <f>'Foglio deposito bis'!$F$89*IF(ABS(L2270)&lt;'Sollecitazioni nel paramento'!$G$58,ABS(L2270)*'Sollecitazioni nel paramento'!$G$54,'Sollecitazioni nel paramento'!$G$53)*IF(L2270&lt;0,-1,1)</f>
        <v>153664.85805602249</v>
      </c>
      <c r="S2270" s="545">
        <f>'Foglio deposito bis'!$F$90*IF(ABS(M2270)&lt;'Sollecitazioni nel paramento'!$G$58,ABS(M2270)*'Sollecitazioni nel paramento'!$G$54,'Sollecitazioni nel paramento'!$G$53)*IF(M2270&lt;0,-1,1)</f>
        <v>0</v>
      </c>
      <c r="T2270" s="545">
        <f>'Foglio deposito bis'!$F$91*IF(ABS(N2270)&lt;'Sollecitazioni nel paramento'!$G$58,ABS(N2270)*'Sollecitazioni nel paramento'!$G$54,'Sollecitazioni nel paramento'!$G$53)*IF(N2270&lt;0,-1,1)</f>
        <v>892485.49558937876</v>
      </c>
      <c r="U2270" s="545">
        <f>'Foglio deposito bis'!$F$92*IF(ABS(O2270)&lt;'Sollecitazioni nel paramento'!$G$58,ABS(O2270)*'Sollecitazioni nel paramento'!$G$54,'Sollecitazioni nel paramento'!$G$53)*IF(O2270&lt;0,-1,1)</f>
        <v>1662039.1047339395</v>
      </c>
      <c r="V2270" s="472">
        <f t="shared" si="159"/>
        <v>2030103.6471077728</v>
      </c>
      <c r="W2270" s="551"/>
      <c r="X2270" s="551"/>
    </row>
    <row r="2271" spans="1:24" x14ac:dyDescent="0.25">
      <c r="A2271" s="545">
        <f t="shared" si="158"/>
        <v>2009555.5922207558</v>
      </c>
      <c r="B2271" s="3">
        <f t="shared" si="160"/>
        <v>1.7000000000000008</v>
      </c>
      <c r="C2271" s="545">
        <f>'Foglio deposito bis'!$E$162/sezione!$B$247*B2271</f>
        <v>18.33829084071148</v>
      </c>
      <c r="D2271" s="603">
        <f>-'Sollecitazioni nel paramento'!$G$47*'Sollecitazioni nel paramento'!$G$41*IF(DATI!$G$211="dx",DATI!$E$61,DATI!$E$64*DATI!$E$63)*1000*C2271^2*sezione!$AD$5*(1-sezione!$AD$6)</f>
        <v>-7482062.6008115113</v>
      </c>
      <c r="E2271" s="545">
        <f>-'Foglio deposito bis'!$F$88*(C2271-sezione!$AL$36)*IF(ABS(K2271)&lt;'Sollecitazioni nel paramento'!$G$58,ABS(K2271)*'Sollecitazioni nel paramento'!$G$54,'Sollecitazioni nel paramento'!$G$53)</f>
        <v>0</v>
      </c>
      <c r="F2271" s="545">
        <f>-'Foglio deposito bis'!$F$89*(C2271-sezione!$AM$36)*IF(ABS(L2271)&lt;'Sollecitazioni nel paramento'!$G$58,ABS(L2271)*'Sollecitazioni nel paramento'!$G$54,'Sollecitazioni nel paramento'!$G$53)</f>
        <v>6401940.624333363</v>
      </c>
      <c r="G2271" s="545">
        <f>-'Foglio deposito bis'!$F$90*(C2271-sezione!$AN$36)*IF(ABS(M2271)&lt;'Sollecitazioni nel paramento'!$G$58,ABS(M2271)*'Sollecitazioni nel paramento'!$G$54,'Sollecitazioni nel paramento'!$G$53)</f>
        <v>0</v>
      </c>
      <c r="H2271" s="545">
        <f>-'Foglio deposito bis'!$F$91*(C2271-sezione!$AO$36)*IF(ABS(N2271)&lt;'Sollecitazioni nel paramento'!$G$58,ABS(N2271)*'Sollecitazioni nel paramento'!$G$54,'Sollecitazioni nel paramento'!$G$53)</f>
        <v>126431020.70506607</v>
      </c>
      <c r="I2271" s="472">
        <f>-'Foglio deposito bis'!$F$92*(C2271-sezione!$AP$36)*IF(ABS(O2271)&lt;'Sollecitazioni nel paramento'!$G$58,ABS(O2271)*'Sollecitazioni nel paramento'!$G$54,'Sollecitazioni nel paramento'!$G$53)</f>
        <v>1227977646.7918248</v>
      </c>
      <c r="J2271" s="472">
        <f t="shared" si="157"/>
        <v>1353328545.5204127</v>
      </c>
      <c r="K2271" s="550">
        <f>'Sollecitazioni nel paramento'!$G$60*(sezione!$AL$36-C2271)/C2271</f>
        <v>4.1342992493715053E-3</v>
      </c>
      <c r="L2271" s="550">
        <f>'Sollecitazioni nel paramento'!$G$60*(sezione!$AM$36-C2271)/C2271</f>
        <v>7.951448874057257E-3</v>
      </c>
      <c r="M2271" s="551">
        <f>'Sollecitazioni nel paramento'!$G$60*(sezione!$AN$36-C2271)/C2271</f>
        <v>1.176859849874301E-2</v>
      </c>
      <c r="N2271" s="551">
        <f>'Sollecitazioni nel paramento'!$G$60*(sezione!$AO$36-C2271)/C2271</f>
        <v>2.7037196997486024E-2</v>
      </c>
      <c r="O2271" s="551">
        <f>'Sollecitazioni nel paramento'!$G$60*(sezione!$AP$36-C2271)/C2271</f>
        <v>0.14101275957415776</v>
      </c>
      <c r="P2271" s="545">
        <f>-'Sollecitazioni nel paramento'!$G$47*'Sollecitazioni nel paramento'!$G$41*IF(DATI!$G$211="dx",DATI!$E$61,DATI!$E$64*DATI!$E$63)*1000*C2271*sezione!$AD$5</f>
        <v>-698633.86615858506</v>
      </c>
      <c r="Q2271" s="545">
        <f>'Foglio deposito bis'!$F$88*IF(ABS(K2271)&lt;'Sollecitazioni nel paramento'!$G$58,ABS(K2271)*'Sollecitazioni nel paramento'!$G$54,'Sollecitazioni nel paramento'!$G$53)*IF(K2271&lt;0,-1,1)</f>
        <v>0</v>
      </c>
      <c r="R2271" s="545">
        <f>'Foglio deposito bis'!$F$89*IF(ABS(L2271)&lt;'Sollecitazioni nel paramento'!$G$58,ABS(L2271)*'Sollecitazioni nel paramento'!$G$54,'Sollecitazioni nel paramento'!$G$53)*IF(L2271&lt;0,-1,1)</f>
        <v>153664.85805602249</v>
      </c>
      <c r="S2271" s="545">
        <f>'Foglio deposito bis'!$F$90*IF(ABS(M2271)&lt;'Sollecitazioni nel paramento'!$G$58,ABS(M2271)*'Sollecitazioni nel paramento'!$G$54,'Sollecitazioni nel paramento'!$G$53)*IF(M2271&lt;0,-1,1)</f>
        <v>0</v>
      </c>
      <c r="T2271" s="545">
        <f>'Foglio deposito bis'!$F$91*IF(ABS(N2271)&lt;'Sollecitazioni nel paramento'!$G$58,ABS(N2271)*'Sollecitazioni nel paramento'!$G$54,'Sollecitazioni nel paramento'!$G$53)*IF(N2271&lt;0,-1,1)</f>
        <v>892485.49558937876</v>
      </c>
      <c r="U2271" s="545">
        <f>'Foglio deposito bis'!$F$92*IF(ABS(O2271)&lt;'Sollecitazioni nel paramento'!$G$58,ABS(O2271)*'Sollecitazioni nel paramento'!$G$54,'Sollecitazioni nel paramento'!$G$53)*IF(O2271&lt;0,-1,1)</f>
        <v>1662039.1047339395</v>
      </c>
      <c r="V2271" s="472">
        <f t="shared" si="159"/>
        <v>2009555.5922207558</v>
      </c>
      <c r="W2271" s="551"/>
      <c r="X2271" s="551"/>
    </row>
    <row r="2272" spans="1:24" x14ac:dyDescent="0.25">
      <c r="A2272" s="545">
        <f t="shared" si="158"/>
        <v>1989007.5373337385</v>
      </c>
      <c r="B2272" s="3">
        <f t="shared" si="160"/>
        <v>1.7500000000000009</v>
      </c>
      <c r="C2272" s="545">
        <f>'Foglio deposito bis'!$E$162/sezione!$B$247*B2272</f>
        <v>18.877652336026525</v>
      </c>
      <c r="D2272" s="603">
        <f>-'Sollecitazioni nel paramento'!$G$47*'Sollecitazioni nel paramento'!$G$41*IF(DATI!$G$211="dx",DATI!$E$61,DATI!$E$64*DATI!$E$63)*1000*C2272^2*sezione!$AD$5*(1-sezione!$AD$6)</f>
        <v>-7928656.3027630635</v>
      </c>
      <c r="E2272" s="545">
        <f>-'Foglio deposito bis'!$F$88*(C2272-sezione!$AL$36)*IF(ABS(K2272)&lt;'Sollecitazioni nel paramento'!$G$58,ABS(K2272)*'Sollecitazioni nel paramento'!$G$54,'Sollecitazioni nel paramento'!$G$53)</f>
        <v>0</v>
      </c>
      <c r="F2272" s="545">
        <f>-'Foglio deposito bis'!$F$89*(C2272-sezione!$AM$36)*IF(ABS(L2272)&lt;'Sollecitazioni nel paramento'!$G$58,ABS(L2272)*'Sollecitazioni nel paramento'!$G$54,'Sollecitazioni nel paramento'!$G$53)</f>
        <v>6319059.7167148916</v>
      </c>
      <c r="G2272" s="545">
        <f>-'Foglio deposito bis'!$F$90*(C2272-sezione!$AN$36)*IF(ABS(M2272)&lt;'Sollecitazioni nel paramento'!$G$58,ABS(M2272)*'Sollecitazioni nel paramento'!$G$54,'Sollecitazioni nel paramento'!$G$53)</f>
        <v>0</v>
      </c>
      <c r="H2272" s="545">
        <f>-'Foglio deposito bis'!$F$91*(C2272-sezione!$AO$36)*IF(ABS(N2272)&lt;'Sollecitazioni nel paramento'!$G$58,ABS(N2272)*'Sollecitazioni nel paramento'!$G$54,'Sollecitazioni nel paramento'!$G$53)</f>
        <v>125949648.39361799</v>
      </c>
      <c r="I2272" s="472">
        <f>-'Foglio deposito bis'!$F$92*(C2272-sezione!$AP$36)*IF(ABS(O2272)&lt;'Sollecitazioni nel paramento'!$G$58,ABS(O2272)*'Sollecitazioni nel paramento'!$G$54,'Sollecitazioni nel paramento'!$G$53)</f>
        <v>1227081206.8950236</v>
      </c>
      <c r="J2272" s="472">
        <f t="shared" si="157"/>
        <v>1351421258.7025933</v>
      </c>
      <c r="K2272" s="550">
        <f>'Sollecitazioni nel paramento'!$G$60*(sezione!$AL$36-C2272)/C2272</f>
        <v>3.9161764136751761E-3</v>
      </c>
      <c r="L2272" s="550">
        <f>'Sollecitazioni nel paramento'!$G$60*(sezione!$AM$36-C2272)/C2272</f>
        <v>7.624264620512764E-3</v>
      </c>
      <c r="M2272" s="551">
        <f>'Sollecitazioni nel paramento'!$G$60*(sezione!$AN$36-C2272)/C2272</f>
        <v>1.133235282735035E-2</v>
      </c>
      <c r="N2272" s="551">
        <f>'Sollecitazioni nel paramento'!$G$60*(sezione!$AO$36-C2272)/C2272</f>
        <v>2.6164705654700703E-2</v>
      </c>
      <c r="O2272" s="551">
        <f>'Sollecitazioni nel paramento'!$G$60*(sezione!$AP$36-C2272)/C2272</f>
        <v>0.13688382358632467</v>
      </c>
      <c r="P2272" s="545">
        <f>-'Sollecitazioni nel paramento'!$G$47*'Sollecitazioni nel paramento'!$G$41*IF(DATI!$G$211="dx",DATI!$E$61,DATI!$E$64*DATI!$E$63)*1000*C2272*sezione!$AD$5</f>
        <v>-719181.9210456023</v>
      </c>
      <c r="Q2272" s="545">
        <f>'Foglio deposito bis'!$F$88*IF(ABS(K2272)&lt;'Sollecitazioni nel paramento'!$G$58,ABS(K2272)*'Sollecitazioni nel paramento'!$G$54,'Sollecitazioni nel paramento'!$G$53)*IF(K2272&lt;0,-1,1)</f>
        <v>0</v>
      </c>
      <c r="R2272" s="545">
        <f>'Foglio deposito bis'!$F$89*IF(ABS(L2272)&lt;'Sollecitazioni nel paramento'!$G$58,ABS(L2272)*'Sollecitazioni nel paramento'!$G$54,'Sollecitazioni nel paramento'!$G$53)*IF(L2272&lt;0,-1,1)</f>
        <v>153664.85805602249</v>
      </c>
      <c r="S2272" s="545">
        <f>'Foglio deposito bis'!$F$90*IF(ABS(M2272)&lt;'Sollecitazioni nel paramento'!$G$58,ABS(M2272)*'Sollecitazioni nel paramento'!$G$54,'Sollecitazioni nel paramento'!$G$53)*IF(M2272&lt;0,-1,1)</f>
        <v>0</v>
      </c>
      <c r="T2272" s="545">
        <f>'Foglio deposito bis'!$F$91*IF(ABS(N2272)&lt;'Sollecitazioni nel paramento'!$G$58,ABS(N2272)*'Sollecitazioni nel paramento'!$G$54,'Sollecitazioni nel paramento'!$G$53)*IF(N2272&lt;0,-1,1)</f>
        <v>892485.49558937876</v>
      </c>
      <c r="U2272" s="545">
        <f>'Foglio deposito bis'!$F$92*IF(ABS(O2272)&lt;'Sollecitazioni nel paramento'!$G$58,ABS(O2272)*'Sollecitazioni nel paramento'!$G$54,'Sollecitazioni nel paramento'!$G$53)*IF(O2272&lt;0,-1,1)</f>
        <v>1662039.1047339395</v>
      </c>
      <c r="V2272" s="472">
        <f t="shared" si="159"/>
        <v>1989007.5373337385</v>
      </c>
      <c r="W2272" s="551"/>
      <c r="X2272" s="551"/>
    </row>
    <row r="2273" spans="1:24" x14ac:dyDescent="0.25">
      <c r="A2273" s="545">
        <f t="shared" si="158"/>
        <v>1968459.4824467213</v>
      </c>
      <c r="B2273" s="3">
        <f t="shared" si="160"/>
        <v>1.8000000000000009</v>
      </c>
      <c r="C2273" s="545">
        <f>'Foglio deposito bis'!$E$162/sezione!$B$247*B2273</f>
        <v>19.417013831341567</v>
      </c>
      <c r="D2273" s="603">
        <f>-'Sollecitazioni nel paramento'!$G$47*'Sollecitazioni nel paramento'!$G$41*IF(DATI!$G$211="dx",DATI!$E$61,DATI!$E$64*DATI!$E$63)*1000*C2273^2*sezione!$AD$5*(1-sezione!$AD$6)</f>
        <v>-8388194.7496987181</v>
      </c>
      <c r="E2273" s="545">
        <f>-'Foglio deposito bis'!$F$88*(C2273-sezione!$AL$36)*IF(ABS(K2273)&lt;'Sollecitazioni nel paramento'!$G$58,ABS(K2273)*'Sollecitazioni nel paramento'!$G$54,'Sollecitazioni nel paramento'!$G$53)</f>
        <v>0</v>
      </c>
      <c r="F2273" s="545">
        <f>-'Foglio deposito bis'!$F$89*(C2273-sezione!$AM$36)*IF(ABS(L2273)&lt;'Sollecitazioni nel paramento'!$G$58,ABS(L2273)*'Sollecitazioni nel paramento'!$G$54,'Sollecitazioni nel paramento'!$G$53)</f>
        <v>6236178.809096423</v>
      </c>
      <c r="G2273" s="545">
        <f>-'Foglio deposito bis'!$F$90*(C2273-sezione!$AN$36)*IF(ABS(M2273)&lt;'Sollecitazioni nel paramento'!$G$58,ABS(M2273)*'Sollecitazioni nel paramento'!$G$54,'Sollecitazioni nel paramento'!$G$53)</f>
        <v>0</v>
      </c>
      <c r="H2273" s="545">
        <f>-'Foglio deposito bis'!$F$91*(C2273-sezione!$AO$36)*IF(ABS(N2273)&lt;'Sollecitazioni nel paramento'!$G$58,ABS(N2273)*'Sollecitazioni nel paramento'!$G$54,'Sollecitazioni nel paramento'!$G$53)</f>
        <v>125468276.08216991</v>
      </c>
      <c r="I2273" s="472">
        <f>-'Foglio deposito bis'!$F$92*(C2273-sezione!$AP$36)*IF(ABS(O2273)&lt;'Sollecitazioni nel paramento'!$G$58,ABS(O2273)*'Sollecitazioni nel paramento'!$G$54,'Sollecitazioni nel paramento'!$G$53)</f>
        <v>1226184766.9982221</v>
      </c>
      <c r="J2273" s="472">
        <f t="shared" si="157"/>
        <v>1349501027.1397898</v>
      </c>
      <c r="K2273" s="550">
        <f>'Sollecitazioni nel paramento'!$G$60*(sezione!$AL$36-C2273)/C2273</f>
        <v>3.7101715132953107E-3</v>
      </c>
      <c r="L2273" s="550">
        <f>'Sollecitazioni nel paramento'!$G$60*(sezione!$AM$36-C2273)/C2273</f>
        <v>7.3152572699429668E-3</v>
      </c>
      <c r="M2273" s="551">
        <f>'Sollecitazioni nel paramento'!$G$60*(sezione!$AN$36-C2273)/C2273</f>
        <v>1.0920343026590623E-2</v>
      </c>
      <c r="N2273" s="551">
        <f>'Sollecitazioni nel paramento'!$G$60*(sezione!$AO$36-C2273)/C2273</f>
        <v>2.5340686053181242E-2</v>
      </c>
      <c r="O2273" s="551">
        <f>'Sollecitazioni nel paramento'!$G$60*(sezione!$AP$36-C2273)/C2273</f>
        <v>0.13298427293114898</v>
      </c>
      <c r="P2273" s="545">
        <f>-'Sollecitazioni nel paramento'!$G$47*'Sollecitazioni nel paramento'!$G$41*IF(DATI!$G$211="dx",DATI!$E$61,DATI!$E$64*DATI!$E$63)*1000*C2273*sezione!$AD$5</f>
        <v>-739729.97593261953</v>
      </c>
      <c r="Q2273" s="545">
        <f>'Foglio deposito bis'!$F$88*IF(ABS(K2273)&lt;'Sollecitazioni nel paramento'!$G$58,ABS(K2273)*'Sollecitazioni nel paramento'!$G$54,'Sollecitazioni nel paramento'!$G$53)*IF(K2273&lt;0,-1,1)</f>
        <v>0</v>
      </c>
      <c r="R2273" s="545">
        <f>'Foglio deposito bis'!$F$89*IF(ABS(L2273)&lt;'Sollecitazioni nel paramento'!$G$58,ABS(L2273)*'Sollecitazioni nel paramento'!$G$54,'Sollecitazioni nel paramento'!$G$53)*IF(L2273&lt;0,-1,1)</f>
        <v>153664.85805602249</v>
      </c>
      <c r="S2273" s="545">
        <f>'Foglio deposito bis'!$F$90*IF(ABS(M2273)&lt;'Sollecitazioni nel paramento'!$G$58,ABS(M2273)*'Sollecitazioni nel paramento'!$G$54,'Sollecitazioni nel paramento'!$G$53)*IF(M2273&lt;0,-1,1)</f>
        <v>0</v>
      </c>
      <c r="T2273" s="545">
        <f>'Foglio deposito bis'!$F$91*IF(ABS(N2273)&lt;'Sollecitazioni nel paramento'!$G$58,ABS(N2273)*'Sollecitazioni nel paramento'!$G$54,'Sollecitazioni nel paramento'!$G$53)*IF(N2273&lt;0,-1,1)</f>
        <v>892485.49558937876</v>
      </c>
      <c r="U2273" s="545">
        <f>'Foglio deposito bis'!$F$92*IF(ABS(O2273)&lt;'Sollecitazioni nel paramento'!$G$58,ABS(O2273)*'Sollecitazioni nel paramento'!$G$54,'Sollecitazioni nel paramento'!$G$53)*IF(O2273&lt;0,-1,1)</f>
        <v>1662039.1047339395</v>
      </c>
      <c r="V2273" s="472">
        <f t="shared" si="159"/>
        <v>1968459.4824467213</v>
      </c>
      <c r="W2273" s="551"/>
      <c r="X2273" s="551"/>
    </row>
    <row r="2274" spans="1:24" x14ac:dyDescent="0.25">
      <c r="A2274" s="545">
        <f t="shared" si="158"/>
        <v>1947911.4275597038</v>
      </c>
      <c r="B2274" s="3">
        <f t="shared" si="160"/>
        <v>1.850000000000001</v>
      </c>
      <c r="C2274" s="545">
        <f>'Foglio deposito bis'!$E$162/sezione!$B$247*B2274</f>
        <v>19.956375326656612</v>
      </c>
      <c r="D2274" s="603">
        <f>-'Sollecitazioni nel paramento'!$G$47*'Sollecitazioni nel paramento'!$G$41*IF(DATI!$G$211="dx",DATI!$E$61,DATI!$E$64*DATI!$E$63)*1000*C2274^2*sezione!$AD$5*(1-sezione!$AD$6)</f>
        <v>-8860677.9416184761</v>
      </c>
      <c r="E2274" s="545">
        <f>-'Foglio deposito bis'!$F$88*(C2274-sezione!$AL$36)*IF(ABS(K2274)&lt;'Sollecitazioni nel paramento'!$G$58,ABS(K2274)*'Sollecitazioni nel paramento'!$G$54,'Sollecitazioni nel paramento'!$G$53)</f>
        <v>0</v>
      </c>
      <c r="F2274" s="545">
        <f>-'Foglio deposito bis'!$F$89*(C2274-sezione!$AM$36)*IF(ABS(L2274)&lt;'Sollecitazioni nel paramento'!$G$58,ABS(L2274)*'Sollecitazioni nel paramento'!$G$54,'Sollecitazioni nel paramento'!$G$53)</f>
        <v>6153297.9014779516</v>
      </c>
      <c r="G2274" s="545">
        <f>-'Foglio deposito bis'!$F$90*(C2274-sezione!$AN$36)*IF(ABS(M2274)&lt;'Sollecitazioni nel paramento'!$G$58,ABS(M2274)*'Sollecitazioni nel paramento'!$G$54,'Sollecitazioni nel paramento'!$G$53)</f>
        <v>0</v>
      </c>
      <c r="H2274" s="545">
        <f>-'Foglio deposito bis'!$F$91*(C2274-sezione!$AO$36)*IF(ABS(N2274)&lt;'Sollecitazioni nel paramento'!$G$58,ABS(N2274)*'Sollecitazioni nel paramento'!$G$54,'Sollecitazioni nel paramento'!$G$53)</f>
        <v>124986903.77072184</v>
      </c>
      <c r="I2274" s="472">
        <f>-'Foglio deposito bis'!$F$92*(C2274-sezione!$AP$36)*IF(ABS(O2274)&lt;'Sollecitazioni nel paramento'!$G$58,ABS(O2274)*'Sollecitazioni nel paramento'!$G$54,'Sollecitazioni nel paramento'!$G$53)</f>
        <v>1225288327.1014206</v>
      </c>
      <c r="J2274" s="472">
        <f t="shared" si="157"/>
        <v>1347567850.8320019</v>
      </c>
      <c r="K2274" s="550">
        <f>'Sollecitazioni nel paramento'!$G$60*(sezione!$AL$36-C2274)/C2274</f>
        <v>3.515302012935977E-3</v>
      </c>
      <c r="L2274" s="550">
        <f>'Sollecitazioni nel paramento'!$G$60*(sezione!$AM$36-C2274)/C2274</f>
        <v>7.0229530194039656E-3</v>
      </c>
      <c r="M2274" s="551">
        <f>'Sollecitazioni nel paramento'!$G$60*(sezione!$AN$36-C2274)/C2274</f>
        <v>1.0530604025871955E-2</v>
      </c>
      <c r="N2274" s="551">
        <f>'Sollecitazioni nel paramento'!$G$60*(sezione!$AO$36-C2274)/C2274</f>
        <v>2.4561208051743909E-2</v>
      </c>
      <c r="O2274" s="551">
        <f>'Sollecitazioni nel paramento'!$G$60*(sezione!$AP$36-C2274)/C2274</f>
        <v>0.12929550879787469</v>
      </c>
      <c r="P2274" s="545">
        <f>-'Sollecitazioni nel paramento'!$G$47*'Sollecitazioni nel paramento'!$G$41*IF(DATI!$G$211="dx",DATI!$E$61,DATI!$E$64*DATI!$E$63)*1000*C2274*sezione!$AD$5</f>
        <v>-760278.03081963689</v>
      </c>
      <c r="Q2274" s="545">
        <f>'Foglio deposito bis'!$F$88*IF(ABS(K2274)&lt;'Sollecitazioni nel paramento'!$G$58,ABS(K2274)*'Sollecitazioni nel paramento'!$G$54,'Sollecitazioni nel paramento'!$G$53)*IF(K2274&lt;0,-1,1)</f>
        <v>0</v>
      </c>
      <c r="R2274" s="545">
        <f>'Foglio deposito bis'!$F$89*IF(ABS(L2274)&lt;'Sollecitazioni nel paramento'!$G$58,ABS(L2274)*'Sollecitazioni nel paramento'!$G$54,'Sollecitazioni nel paramento'!$G$53)*IF(L2274&lt;0,-1,1)</f>
        <v>153664.85805602249</v>
      </c>
      <c r="S2274" s="545">
        <f>'Foglio deposito bis'!$F$90*IF(ABS(M2274)&lt;'Sollecitazioni nel paramento'!$G$58,ABS(M2274)*'Sollecitazioni nel paramento'!$G$54,'Sollecitazioni nel paramento'!$G$53)*IF(M2274&lt;0,-1,1)</f>
        <v>0</v>
      </c>
      <c r="T2274" s="545">
        <f>'Foglio deposito bis'!$F$91*IF(ABS(N2274)&lt;'Sollecitazioni nel paramento'!$G$58,ABS(N2274)*'Sollecitazioni nel paramento'!$G$54,'Sollecitazioni nel paramento'!$G$53)*IF(N2274&lt;0,-1,1)</f>
        <v>892485.49558937876</v>
      </c>
      <c r="U2274" s="545">
        <f>'Foglio deposito bis'!$F$92*IF(ABS(O2274)&lt;'Sollecitazioni nel paramento'!$G$58,ABS(O2274)*'Sollecitazioni nel paramento'!$G$54,'Sollecitazioni nel paramento'!$G$53)*IF(O2274&lt;0,-1,1)</f>
        <v>1662039.1047339395</v>
      </c>
      <c r="V2274" s="472">
        <f t="shared" si="159"/>
        <v>1947911.4275597038</v>
      </c>
      <c r="W2274" s="551"/>
      <c r="X2274" s="551"/>
    </row>
    <row r="2275" spans="1:24" x14ac:dyDescent="0.25">
      <c r="A2275" s="545">
        <f t="shared" si="158"/>
        <v>1927363.3726726868</v>
      </c>
      <c r="B2275" s="3">
        <f t="shared" si="160"/>
        <v>1.900000000000001</v>
      </c>
      <c r="C2275" s="545">
        <f>'Foglio deposito bis'!$E$162/sezione!$B$247*B2275</f>
        <v>20.495736821971654</v>
      </c>
      <c r="D2275" s="603">
        <f>-'Sollecitazioni nel paramento'!$G$47*'Sollecitazioni nel paramento'!$G$41*IF(DATI!$G$211="dx",DATI!$E$61,DATI!$E$64*DATI!$E$63)*1000*C2275^2*sezione!$AD$5*(1-sezione!$AD$6)</f>
        <v>-9346105.8785223365</v>
      </c>
      <c r="E2275" s="545">
        <f>-'Foglio deposito bis'!$F$88*(C2275-sezione!$AL$36)*IF(ABS(K2275)&lt;'Sollecitazioni nel paramento'!$G$58,ABS(K2275)*'Sollecitazioni nel paramento'!$G$54,'Sollecitazioni nel paramento'!$G$53)</f>
        <v>0</v>
      </c>
      <c r="F2275" s="545">
        <f>-'Foglio deposito bis'!$F$89*(C2275-sezione!$AM$36)*IF(ABS(L2275)&lt;'Sollecitazioni nel paramento'!$G$58,ABS(L2275)*'Sollecitazioni nel paramento'!$G$54,'Sollecitazioni nel paramento'!$G$53)</f>
        <v>6070416.993859482</v>
      </c>
      <c r="G2275" s="545">
        <f>-'Foglio deposito bis'!$F$90*(C2275-sezione!$AN$36)*IF(ABS(M2275)&lt;'Sollecitazioni nel paramento'!$G$58,ABS(M2275)*'Sollecitazioni nel paramento'!$G$54,'Sollecitazioni nel paramento'!$G$53)</f>
        <v>0</v>
      </c>
      <c r="H2275" s="545">
        <f>-'Foglio deposito bis'!$F$91*(C2275-sezione!$AO$36)*IF(ABS(N2275)&lt;'Sollecitazioni nel paramento'!$G$58,ABS(N2275)*'Sollecitazioni nel paramento'!$G$54,'Sollecitazioni nel paramento'!$G$53)</f>
        <v>124505531.45927376</v>
      </c>
      <c r="I2275" s="472">
        <f>-'Foglio deposito bis'!$F$92*(C2275-sezione!$AP$36)*IF(ABS(O2275)&lt;'Sollecitazioni nel paramento'!$G$58,ABS(O2275)*'Sollecitazioni nel paramento'!$G$54,'Sollecitazioni nel paramento'!$G$53)</f>
        <v>1224391887.2046194</v>
      </c>
      <c r="J2275" s="472">
        <f t="shared" si="157"/>
        <v>1345621729.7792304</v>
      </c>
      <c r="K2275" s="550">
        <f>'Sollecitazioni nel paramento'!$G$60*(sezione!$AL$36-C2275)/C2275</f>
        <v>3.3306888020692418E-3</v>
      </c>
      <c r="L2275" s="550">
        <f>'Sollecitazioni nel paramento'!$G$60*(sezione!$AM$36-C2275)/C2275</f>
        <v>6.7460332031038621E-3</v>
      </c>
      <c r="M2275" s="551">
        <f>'Sollecitazioni nel paramento'!$G$60*(sezione!$AN$36-C2275)/C2275</f>
        <v>1.0161377604138483E-2</v>
      </c>
      <c r="N2275" s="551">
        <f>'Sollecitazioni nel paramento'!$G$60*(sezione!$AO$36-C2275)/C2275</f>
        <v>2.3822755208276966E-2</v>
      </c>
      <c r="O2275" s="551">
        <f>'Sollecitazioni nel paramento'!$G$60*(sezione!$AP$36-C2275)/C2275</f>
        <v>0.12580089014529902</v>
      </c>
      <c r="P2275" s="545">
        <f>-'Sollecitazioni nel paramento'!$G$47*'Sollecitazioni nel paramento'!$G$41*IF(DATI!$G$211="dx",DATI!$E$61,DATI!$E$64*DATI!$E$63)*1000*C2275*sezione!$AD$5</f>
        <v>-780826.08570665389</v>
      </c>
      <c r="Q2275" s="545">
        <f>'Foglio deposito bis'!$F$88*IF(ABS(K2275)&lt;'Sollecitazioni nel paramento'!$G$58,ABS(K2275)*'Sollecitazioni nel paramento'!$G$54,'Sollecitazioni nel paramento'!$G$53)*IF(K2275&lt;0,-1,1)</f>
        <v>0</v>
      </c>
      <c r="R2275" s="545">
        <f>'Foglio deposito bis'!$F$89*IF(ABS(L2275)&lt;'Sollecitazioni nel paramento'!$G$58,ABS(L2275)*'Sollecitazioni nel paramento'!$G$54,'Sollecitazioni nel paramento'!$G$53)*IF(L2275&lt;0,-1,1)</f>
        <v>153664.85805602249</v>
      </c>
      <c r="S2275" s="545">
        <f>'Foglio deposito bis'!$F$90*IF(ABS(M2275)&lt;'Sollecitazioni nel paramento'!$G$58,ABS(M2275)*'Sollecitazioni nel paramento'!$G$54,'Sollecitazioni nel paramento'!$G$53)*IF(M2275&lt;0,-1,1)</f>
        <v>0</v>
      </c>
      <c r="T2275" s="545">
        <f>'Foglio deposito bis'!$F$91*IF(ABS(N2275)&lt;'Sollecitazioni nel paramento'!$G$58,ABS(N2275)*'Sollecitazioni nel paramento'!$G$54,'Sollecitazioni nel paramento'!$G$53)*IF(N2275&lt;0,-1,1)</f>
        <v>892485.49558937876</v>
      </c>
      <c r="U2275" s="545">
        <f>'Foglio deposito bis'!$F$92*IF(ABS(O2275)&lt;'Sollecitazioni nel paramento'!$G$58,ABS(O2275)*'Sollecitazioni nel paramento'!$G$54,'Sollecitazioni nel paramento'!$G$53)*IF(O2275&lt;0,-1,1)</f>
        <v>1662039.1047339395</v>
      </c>
      <c r="V2275" s="472">
        <f t="shared" si="159"/>
        <v>1927363.3726726868</v>
      </c>
      <c r="W2275" s="551"/>
      <c r="X2275" s="551"/>
    </row>
    <row r="2276" spans="1:24" x14ac:dyDescent="0.25">
      <c r="A2276" s="545">
        <f t="shared" si="158"/>
        <v>1906815.3177856696</v>
      </c>
      <c r="B2276" s="3">
        <f t="shared" si="160"/>
        <v>1.9500000000000011</v>
      </c>
      <c r="C2276" s="545">
        <f>'Foglio deposito bis'!$E$162/sezione!$B$247*B2276</f>
        <v>21.0350983172867</v>
      </c>
      <c r="D2276" s="603">
        <f>-'Sollecitazioni nel paramento'!$G$47*'Sollecitazioni nel paramento'!$G$41*IF(DATI!$G$211="dx",DATI!$E$61,DATI!$E$64*DATI!$E$63)*1000*C2276^2*sezione!$AD$5*(1-sezione!$AD$6)</f>
        <v>-9844478.5604103021</v>
      </c>
      <c r="E2276" s="545">
        <f>-'Foglio deposito bis'!$F$88*(C2276-sezione!$AL$36)*IF(ABS(K2276)&lt;'Sollecitazioni nel paramento'!$G$58,ABS(K2276)*'Sollecitazioni nel paramento'!$G$54,'Sollecitazioni nel paramento'!$G$53)</f>
        <v>0</v>
      </c>
      <c r="F2276" s="545">
        <f>-'Foglio deposito bis'!$F$89*(C2276-sezione!$AM$36)*IF(ABS(L2276)&lt;'Sollecitazioni nel paramento'!$G$58,ABS(L2276)*'Sollecitazioni nel paramento'!$G$54,'Sollecitazioni nel paramento'!$G$53)</f>
        <v>5987536.0862410115</v>
      </c>
      <c r="G2276" s="545">
        <f>-'Foglio deposito bis'!$F$90*(C2276-sezione!$AN$36)*IF(ABS(M2276)&lt;'Sollecitazioni nel paramento'!$G$58,ABS(M2276)*'Sollecitazioni nel paramento'!$G$54,'Sollecitazioni nel paramento'!$G$53)</f>
        <v>0</v>
      </c>
      <c r="H2276" s="545">
        <f>-'Foglio deposito bis'!$F$91*(C2276-sezione!$AO$36)*IF(ABS(N2276)&lt;'Sollecitazioni nel paramento'!$G$58,ABS(N2276)*'Sollecitazioni nel paramento'!$G$54,'Sollecitazioni nel paramento'!$G$53)</f>
        <v>124024159.14782569</v>
      </c>
      <c r="I2276" s="472">
        <f>-'Foglio deposito bis'!$F$92*(C2276-sezione!$AP$36)*IF(ABS(O2276)&lt;'Sollecitazioni nel paramento'!$G$58,ABS(O2276)*'Sollecitazioni nel paramento'!$G$54,'Sollecitazioni nel paramento'!$G$53)</f>
        <v>1223495447.3078179</v>
      </c>
      <c r="J2276" s="472">
        <f t="shared" si="157"/>
        <v>1343662663.9814744</v>
      </c>
      <c r="K2276" s="550">
        <f>'Sollecitazioni nel paramento'!$G$60*(sezione!$AL$36-C2276)/C2276</f>
        <v>3.1555429353495169E-3</v>
      </c>
      <c r="L2276" s="550">
        <f>'Sollecitazioni nel paramento'!$G$60*(sezione!$AM$36-C2276)/C2276</f>
        <v>6.4833144030242758E-3</v>
      </c>
      <c r="M2276" s="551">
        <f>'Sollecitazioni nel paramento'!$G$60*(sezione!$AN$36-C2276)/C2276</f>
        <v>9.8110858706990343E-3</v>
      </c>
      <c r="N2276" s="551">
        <f>'Sollecitazioni nel paramento'!$G$60*(sezione!$AO$36-C2276)/C2276</f>
        <v>2.3122171741398068E-2</v>
      </c>
      <c r="O2276" s="551">
        <f>'Sollecitazioni nel paramento'!$G$60*(sezione!$AP$36-C2276)/C2276</f>
        <v>0.12248548270567597</v>
      </c>
      <c r="P2276" s="545">
        <f>-'Sollecitazioni nel paramento'!$G$47*'Sollecitazioni nel paramento'!$G$41*IF(DATI!$G$211="dx",DATI!$E$61,DATI!$E$64*DATI!$E$63)*1000*C2276*sezione!$AD$5</f>
        <v>-801374.14059367124</v>
      </c>
      <c r="Q2276" s="545">
        <f>'Foglio deposito bis'!$F$88*IF(ABS(K2276)&lt;'Sollecitazioni nel paramento'!$G$58,ABS(K2276)*'Sollecitazioni nel paramento'!$G$54,'Sollecitazioni nel paramento'!$G$53)*IF(K2276&lt;0,-1,1)</f>
        <v>0</v>
      </c>
      <c r="R2276" s="545">
        <f>'Foglio deposito bis'!$F$89*IF(ABS(L2276)&lt;'Sollecitazioni nel paramento'!$G$58,ABS(L2276)*'Sollecitazioni nel paramento'!$G$54,'Sollecitazioni nel paramento'!$G$53)*IF(L2276&lt;0,-1,1)</f>
        <v>153664.85805602249</v>
      </c>
      <c r="S2276" s="545">
        <f>'Foglio deposito bis'!$F$90*IF(ABS(M2276)&lt;'Sollecitazioni nel paramento'!$G$58,ABS(M2276)*'Sollecitazioni nel paramento'!$G$54,'Sollecitazioni nel paramento'!$G$53)*IF(M2276&lt;0,-1,1)</f>
        <v>0</v>
      </c>
      <c r="T2276" s="545">
        <f>'Foglio deposito bis'!$F$91*IF(ABS(N2276)&lt;'Sollecitazioni nel paramento'!$G$58,ABS(N2276)*'Sollecitazioni nel paramento'!$G$54,'Sollecitazioni nel paramento'!$G$53)*IF(N2276&lt;0,-1,1)</f>
        <v>892485.49558937876</v>
      </c>
      <c r="U2276" s="545">
        <f>'Foglio deposito bis'!$F$92*IF(ABS(O2276)&lt;'Sollecitazioni nel paramento'!$G$58,ABS(O2276)*'Sollecitazioni nel paramento'!$G$54,'Sollecitazioni nel paramento'!$G$53)*IF(O2276&lt;0,-1,1)</f>
        <v>1662039.1047339395</v>
      </c>
      <c r="V2276" s="472">
        <f t="shared" si="159"/>
        <v>1906815.3177856696</v>
      </c>
      <c r="W2276" s="551"/>
      <c r="X2276" s="551"/>
    </row>
    <row r="2277" spans="1:24" x14ac:dyDescent="0.25">
      <c r="A2277" s="545">
        <f t="shared" si="158"/>
        <v>1886267.2628986523</v>
      </c>
      <c r="B2277" s="3">
        <f t="shared" si="160"/>
        <v>2.0000000000000009</v>
      </c>
      <c r="C2277" s="545">
        <f>'Foglio deposito bis'!$E$162/sezione!$B$247*B2277</f>
        <v>21.574459812601742</v>
      </c>
      <c r="D2277" s="603">
        <f>-'Sollecitazioni nel paramento'!$G$47*'Sollecitazioni nel paramento'!$G$41*IF(DATI!$G$211="dx",DATI!$E$61,DATI!$E$64*DATI!$E$63)*1000*C2277^2*sezione!$AD$5*(1-sezione!$AD$6)</f>
        <v>-10355795.987282369</v>
      </c>
      <c r="E2277" s="545">
        <f>-'Foglio deposito bis'!$F$88*(C2277-sezione!$AL$36)*IF(ABS(K2277)&lt;'Sollecitazioni nel paramento'!$G$58,ABS(K2277)*'Sollecitazioni nel paramento'!$G$54,'Sollecitazioni nel paramento'!$G$53)</f>
        <v>0</v>
      </c>
      <c r="F2277" s="545">
        <f>-'Foglio deposito bis'!$F$89*(C2277-sezione!$AM$36)*IF(ABS(L2277)&lt;'Sollecitazioni nel paramento'!$G$58,ABS(L2277)*'Sollecitazioni nel paramento'!$G$54,'Sollecitazioni nel paramento'!$G$53)</f>
        <v>5904655.178622541</v>
      </c>
      <c r="G2277" s="545">
        <f>-'Foglio deposito bis'!$F$90*(C2277-sezione!$AN$36)*IF(ABS(M2277)&lt;'Sollecitazioni nel paramento'!$G$58,ABS(M2277)*'Sollecitazioni nel paramento'!$G$54,'Sollecitazioni nel paramento'!$G$53)</f>
        <v>0</v>
      </c>
      <c r="H2277" s="545">
        <f>-'Foglio deposito bis'!$F$91*(C2277-sezione!$AO$36)*IF(ABS(N2277)&lt;'Sollecitazioni nel paramento'!$G$58,ABS(N2277)*'Sollecitazioni nel paramento'!$G$54,'Sollecitazioni nel paramento'!$G$53)</f>
        <v>123542786.83637761</v>
      </c>
      <c r="I2277" s="472">
        <f>-'Foglio deposito bis'!$F$92*(C2277-sezione!$AP$36)*IF(ABS(O2277)&lt;'Sollecitazioni nel paramento'!$G$58,ABS(O2277)*'Sollecitazioni nel paramento'!$G$54,'Sollecitazioni nel paramento'!$G$53)</f>
        <v>1222599007.4110167</v>
      </c>
      <c r="J2277" s="472">
        <f t="shared" si="157"/>
        <v>1341690653.4387345</v>
      </c>
      <c r="K2277" s="550">
        <f>'Sollecitazioni nel paramento'!$G$60*(sezione!$AL$36-C2277)/C2277</f>
        <v>2.9891543619657793E-3</v>
      </c>
      <c r="L2277" s="550">
        <f>'Sollecitazioni nel paramento'!$G$60*(sezione!$AM$36-C2277)/C2277</f>
        <v>6.2337315429486688E-3</v>
      </c>
      <c r="M2277" s="551">
        <f>'Sollecitazioni nel paramento'!$G$60*(sezione!$AN$36-C2277)/C2277</f>
        <v>9.4783087239315583E-3</v>
      </c>
      <c r="N2277" s="551">
        <f>'Sollecitazioni nel paramento'!$G$60*(sezione!$AO$36-C2277)/C2277</f>
        <v>2.245661744786312E-2</v>
      </c>
      <c r="O2277" s="551">
        <f>'Sollecitazioni nel paramento'!$G$60*(sezione!$AP$36-C2277)/C2277</f>
        <v>0.11933584563803408</v>
      </c>
      <c r="P2277" s="545">
        <f>-'Sollecitazioni nel paramento'!$G$47*'Sollecitazioni nel paramento'!$G$41*IF(DATI!$G$211="dx",DATI!$E$61,DATI!$E$64*DATI!$E$63)*1000*C2277*sezione!$AD$5</f>
        <v>-821922.19548068836</v>
      </c>
      <c r="Q2277" s="545">
        <f>'Foglio deposito bis'!$F$88*IF(ABS(K2277)&lt;'Sollecitazioni nel paramento'!$G$58,ABS(K2277)*'Sollecitazioni nel paramento'!$G$54,'Sollecitazioni nel paramento'!$G$53)*IF(K2277&lt;0,-1,1)</f>
        <v>0</v>
      </c>
      <c r="R2277" s="545">
        <f>'Foglio deposito bis'!$F$89*IF(ABS(L2277)&lt;'Sollecitazioni nel paramento'!$G$58,ABS(L2277)*'Sollecitazioni nel paramento'!$G$54,'Sollecitazioni nel paramento'!$G$53)*IF(L2277&lt;0,-1,1)</f>
        <v>153664.85805602249</v>
      </c>
      <c r="S2277" s="545">
        <f>'Foglio deposito bis'!$F$90*IF(ABS(M2277)&lt;'Sollecitazioni nel paramento'!$G$58,ABS(M2277)*'Sollecitazioni nel paramento'!$G$54,'Sollecitazioni nel paramento'!$G$53)*IF(M2277&lt;0,-1,1)</f>
        <v>0</v>
      </c>
      <c r="T2277" s="545">
        <f>'Foglio deposito bis'!$F$91*IF(ABS(N2277)&lt;'Sollecitazioni nel paramento'!$G$58,ABS(N2277)*'Sollecitazioni nel paramento'!$G$54,'Sollecitazioni nel paramento'!$G$53)*IF(N2277&lt;0,-1,1)</f>
        <v>892485.49558937876</v>
      </c>
      <c r="U2277" s="545">
        <f>'Foglio deposito bis'!$F$92*IF(ABS(O2277)&lt;'Sollecitazioni nel paramento'!$G$58,ABS(O2277)*'Sollecitazioni nel paramento'!$G$54,'Sollecitazioni nel paramento'!$G$53)*IF(O2277&lt;0,-1,1)</f>
        <v>1662039.1047339395</v>
      </c>
      <c r="V2277" s="472">
        <f t="shared" si="159"/>
        <v>1886267.2628986523</v>
      </c>
      <c r="W2277" s="551"/>
      <c r="X2277" s="551"/>
    </row>
    <row r="2278" spans="1:24" x14ac:dyDescent="0.25">
      <c r="A2278" s="545">
        <f t="shared" si="158"/>
        <v>1865719.2080116351</v>
      </c>
      <c r="B2278" s="3">
        <f t="shared" si="160"/>
        <v>2.0500000000000007</v>
      </c>
      <c r="C2278" s="545">
        <f>'Foglio deposito bis'!$E$162/sezione!$B$247*B2278</f>
        <v>22.113821307916783</v>
      </c>
      <c r="D2278" s="603">
        <f>-'Sollecitazioni nel paramento'!$G$47*'Sollecitazioni nel paramento'!$G$41*IF(DATI!$G$211="dx",DATI!$E$61,DATI!$E$64*DATI!$E$63)*1000*C2278^2*sezione!$AD$5*(1-sezione!$AD$6)</f>
        <v>-10880058.159138536</v>
      </c>
      <c r="E2278" s="545">
        <f>-'Foglio deposito bis'!$F$88*(C2278-sezione!$AL$36)*IF(ABS(K2278)&lt;'Sollecitazioni nel paramento'!$G$58,ABS(K2278)*'Sollecitazioni nel paramento'!$G$54,'Sollecitazioni nel paramento'!$G$53)</f>
        <v>0</v>
      </c>
      <c r="F2278" s="545">
        <f>-'Foglio deposito bis'!$F$89*(C2278-sezione!$AM$36)*IF(ABS(L2278)&lt;'Sollecitazioni nel paramento'!$G$58,ABS(L2278)*'Sollecitazioni nel paramento'!$G$54,'Sollecitazioni nel paramento'!$G$53)</f>
        <v>5821774.2710040724</v>
      </c>
      <c r="G2278" s="545">
        <f>-'Foglio deposito bis'!$F$90*(C2278-sezione!$AN$36)*IF(ABS(M2278)&lt;'Sollecitazioni nel paramento'!$G$58,ABS(M2278)*'Sollecitazioni nel paramento'!$G$54,'Sollecitazioni nel paramento'!$G$53)</f>
        <v>0</v>
      </c>
      <c r="H2278" s="545">
        <f>-'Foglio deposito bis'!$F$91*(C2278-sezione!$AO$36)*IF(ABS(N2278)&lt;'Sollecitazioni nel paramento'!$G$58,ABS(N2278)*'Sollecitazioni nel paramento'!$G$54,'Sollecitazioni nel paramento'!$G$53)</f>
        <v>123061414.52492952</v>
      </c>
      <c r="I2278" s="472">
        <f>-'Foglio deposito bis'!$F$92*(C2278-sezione!$AP$36)*IF(ABS(O2278)&lt;'Sollecitazioni nel paramento'!$G$58,ABS(O2278)*'Sollecitazioni nel paramento'!$G$54,'Sollecitazioni nel paramento'!$G$53)</f>
        <v>1221702567.5142152</v>
      </c>
      <c r="J2278" s="472">
        <f t="shared" si="157"/>
        <v>1339705698.1510103</v>
      </c>
      <c r="K2278" s="550">
        <f>'Sollecitazioni nel paramento'!$G$60*(sezione!$AL$36-C2278)/C2278</f>
        <v>2.8308823043568586E-3</v>
      </c>
      <c r="L2278" s="550">
        <f>'Sollecitazioni nel paramento'!$G$60*(sezione!$AM$36-C2278)/C2278</f>
        <v>5.9963234565352883E-3</v>
      </c>
      <c r="M2278" s="551">
        <f>'Sollecitazioni nel paramento'!$G$60*(sezione!$AN$36-C2278)/C2278</f>
        <v>9.1617646087137176E-3</v>
      </c>
      <c r="N2278" s="551">
        <f>'Sollecitazioni nel paramento'!$G$60*(sezione!$AO$36-C2278)/C2278</f>
        <v>2.1823529217427431E-2</v>
      </c>
      <c r="O2278" s="551">
        <f>'Sollecitazioni nel paramento'!$G$60*(sezione!$AP$36-C2278)/C2278</f>
        <v>0.11633984940296009</v>
      </c>
      <c r="P2278" s="545">
        <f>-'Sollecitazioni nel paramento'!$G$47*'Sollecitazioni nel paramento'!$G$41*IF(DATI!$G$211="dx",DATI!$E$61,DATI!$E$64*DATI!$E$63)*1000*C2278*sezione!$AD$5</f>
        <v>-842470.25036770559</v>
      </c>
      <c r="Q2278" s="545">
        <f>'Foglio deposito bis'!$F$88*IF(ABS(K2278)&lt;'Sollecitazioni nel paramento'!$G$58,ABS(K2278)*'Sollecitazioni nel paramento'!$G$54,'Sollecitazioni nel paramento'!$G$53)*IF(K2278&lt;0,-1,1)</f>
        <v>0</v>
      </c>
      <c r="R2278" s="545">
        <f>'Foglio deposito bis'!$F$89*IF(ABS(L2278)&lt;'Sollecitazioni nel paramento'!$G$58,ABS(L2278)*'Sollecitazioni nel paramento'!$G$54,'Sollecitazioni nel paramento'!$G$53)*IF(L2278&lt;0,-1,1)</f>
        <v>153664.85805602249</v>
      </c>
      <c r="S2278" s="545">
        <f>'Foglio deposito bis'!$F$90*IF(ABS(M2278)&lt;'Sollecitazioni nel paramento'!$G$58,ABS(M2278)*'Sollecitazioni nel paramento'!$G$54,'Sollecitazioni nel paramento'!$G$53)*IF(M2278&lt;0,-1,1)</f>
        <v>0</v>
      </c>
      <c r="T2278" s="545">
        <f>'Foglio deposito bis'!$F$91*IF(ABS(N2278)&lt;'Sollecitazioni nel paramento'!$G$58,ABS(N2278)*'Sollecitazioni nel paramento'!$G$54,'Sollecitazioni nel paramento'!$G$53)*IF(N2278&lt;0,-1,1)</f>
        <v>892485.49558937876</v>
      </c>
      <c r="U2278" s="545">
        <f>'Foglio deposito bis'!$F$92*IF(ABS(O2278)&lt;'Sollecitazioni nel paramento'!$G$58,ABS(O2278)*'Sollecitazioni nel paramento'!$G$54,'Sollecitazioni nel paramento'!$G$53)*IF(O2278&lt;0,-1,1)</f>
        <v>1662039.1047339395</v>
      </c>
      <c r="V2278" s="472">
        <f t="shared" si="159"/>
        <v>1865719.2080116351</v>
      </c>
      <c r="W2278" s="551"/>
      <c r="X2278" s="551"/>
    </row>
    <row r="2279" spans="1:24" x14ac:dyDescent="0.25">
      <c r="A2279" s="545">
        <f t="shared" si="158"/>
        <v>1845171.1531246181</v>
      </c>
      <c r="B2279" s="3">
        <f t="shared" si="160"/>
        <v>2.1000000000000005</v>
      </c>
      <c r="C2279" s="545">
        <f>'Foglio deposito bis'!$E$162/sezione!$B$247*B2279</f>
        <v>22.653182803231822</v>
      </c>
      <c r="D2279" s="603">
        <f>-'Sollecitazioni nel paramento'!$G$47*'Sollecitazioni nel paramento'!$G$41*IF(DATI!$G$211="dx",DATI!$E$61,DATI!$E$64*DATI!$E$63)*1000*C2279^2*sezione!$AD$5*(1-sezione!$AD$6)</f>
        <v>-11417265.075978803</v>
      </c>
      <c r="E2279" s="545">
        <f>-'Foglio deposito bis'!$F$88*(C2279-sezione!$AL$36)*IF(ABS(K2279)&lt;'Sollecitazioni nel paramento'!$G$58,ABS(K2279)*'Sollecitazioni nel paramento'!$G$54,'Sollecitazioni nel paramento'!$G$53)</f>
        <v>0</v>
      </c>
      <c r="F2279" s="545">
        <f>-'Foglio deposito bis'!$F$89*(C2279-sezione!$AM$36)*IF(ABS(L2279)&lt;'Sollecitazioni nel paramento'!$G$58,ABS(L2279)*'Sollecitazioni nel paramento'!$G$54,'Sollecitazioni nel paramento'!$G$53)</f>
        <v>5738893.3633856019</v>
      </c>
      <c r="G2279" s="545">
        <f>-'Foglio deposito bis'!$F$90*(C2279-sezione!$AN$36)*IF(ABS(M2279)&lt;'Sollecitazioni nel paramento'!$G$58,ABS(M2279)*'Sollecitazioni nel paramento'!$G$54,'Sollecitazioni nel paramento'!$G$53)</f>
        <v>0</v>
      </c>
      <c r="H2279" s="545">
        <f>-'Foglio deposito bis'!$F$91*(C2279-sezione!$AO$36)*IF(ABS(N2279)&lt;'Sollecitazioni nel paramento'!$G$58,ABS(N2279)*'Sollecitazioni nel paramento'!$G$54,'Sollecitazioni nel paramento'!$G$53)</f>
        <v>122580042.21348147</v>
      </c>
      <c r="I2279" s="472">
        <f>-'Foglio deposito bis'!$F$92*(C2279-sezione!$AP$36)*IF(ABS(O2279)&lt;'Sollecitazioni nel paramento'!$G$58,ABS(O2279)*'Sollecitazioni nel paramento'!$G$54,'Sollecitazioni nel paramento'!$G$53)</f>
        <v>1220806127.6174138</v>
      </c>
      <c r="J2279" s="472">
        <f t="shared" si="157"/>
        <v>1337707798.1183021</v>
      </c>
      <c r="K2279" s="550">
        <f>'Sollecitazioni nel paramento'!$G$60*(sezione!$AL$36-C2279)/C2279</f>
        <v>2.6801470113959822E-3</v>
      </c>
      <c r="L2279" s="550">
        <f>'Sollecitazioni nel paramento'!$G$60*(sezione!$AM$36-C2279)/C2279</f>
        <v>5.7702205170939739E-3</v>
      </c>
      <c r="M2279" s="551">
        <f>'Sollecitazioni nel paramento'!$G$60*(sezione!$AN$36-C2279)/C2279</f>
        <v>8.8602940227919657E-3</v>
      </c>
      <c r="N2279" s="551">
        <f>'Sollecitazioni nel paramento'!$G$60*(sezione!$AO$36-C2279)/C2279</f>
        <v>2.1220588045583928E-2</v>
      </c>
      <c r="O2279" s="551">
        <f>'Sollecitazioni nel paramento'!$G$60*(sezione!$AP$36-C2279)/C2279</f>
        <v>0.11348651965527058</v>
      </c>
      <c r="P2279" s="545">
        <f>-'Sollecitazioni nel paramento'!$G$47*'Sollecitazioni nel paramento'!$G$41*IF(DATI!$G$211="dx",DATI!$E$61,DATI!$E$64*DATI!$E$63)*1000*C2279*sezione!$AD$5</f>
        <v>-863018.3052547226</v>
      </c>
      <c r="Q2279" s="545">
        <f>'Foglio deposito bis'!$F$88*IF(ABS(K2279)&lt;'Sollecitazioni nel paramento'!$G$58,ABS(K2279)*'Sollecitazioni nel paramento'!$G$54,'Sollecitazioni nel paramento'!$G$53)*IF(K2279&lt;0,-1,1)</f>
        <v>0</v>
      </c>
      <c r="R2279" s="545">
        <f>'Foglio deposito bis'!$F$89*IF(ABS(L2279)&lt;'Sollecitazioni nel paramento'!$G$58,ABS(L2279)*'Sollecitazioni nel paramento'!$G$54,'Sollecitazioni nel paramento'!$G$53)*IF(L2279&lt;0,-1,1)</f>
        <v>153664.85805602249</v>
      </c>
      <c r="S2279" s="545">
        <f>'Foglio deposito bis'!$F$90*IF(ABS(M2279)&lt;'Sollecitazioni nel paramento'!$G$58,ABS(M2279)*'Sollecitazioni nel paramento'!$G$54,'Sollecitazioni nel paramento'!$G$53)*IF(M2279&lt;0,-1,1)</f>
        <v>0</v>
      </c>
      <c r="T2279" s="545">
        <f>'Foglio deposito bis'!$F$91*IF(ABS(N2279)&lt;'Sollecitazioni nel paramento'!$G$58,ABS(N2279)*'Sollecitazioni nel paramento'!$G$54,'Sollecitazioni nel paramento'!$G$53)*IF(N2279&lt;0,-1,1)</f>
        <v>892485.49558937876</v>
      </c>
      <c r="U2279" s="545">
        <f>'Foglio deposito bis'!$F$92*IF(ABS(O2279)&lt;'Sollecitazioni nel paramento'!$G$58,ABS(O2279)*'Sollecitazioni nel paramento'!$G$54,'Sollecitazioni nel paramento'!$G$53)*IF(O2279&lt;0,-1,1)</f>
        <v>1662039.1047339395</v>
      </c>
      <c r="V2279" s="472">
        <f t="shared" si="159"/>
        <v>1845171.1531246181</v>
      </c>
      <c r="W2279" s="551"/>
      <c r="X2279" s="551"/>
    </row>
    <row r="2280" spans="1:24" x14ac:dyDescent="0.25">
      <c r="A2280" s="545">
        <f t="shared" si="158"/>
        <v>1824623.0982376011</v>
      </c>
      <c r="B2280" s="3">
        <f t="shared" si="160"/>
        <v>2.1500000000000004</v>
      </c>
      <c r="C2280" s="545">
        <f>'Foglio deposito bis'!$E$162/sezione!$B$247*B2280</f>
        <v>23.192544298546864</v>
      </c>
      <c r="D2280" s="603">
        <f>-'Sollecitazioni nel paramento'!$G$47*'Sollecitazioni nel paramento'!$G$41*IF(DATI!$G$211="dx",DATI!$E$61,DATI!$E$64*DATI!$E$63)*1000*C2280^2*sezione!$AD$5*(1-sezione!$AD$6)</f>
        <v>-11967416.737803176</v>
      </c>
      <c r="E2280" s="545">
        <f>-'Foglio deposito bis'!$F$88*(C2280-sezione!$AL$36)*IF(ABS(K2280)&lt;'Sollecitazioni nel paramento'!$G$58,ABS(K2280)*'Sollecitazioni nel paramento'!$G$54,'Sollecitazioni nel paramento'!$G$53)</f>
        <v>0</v>
      </c>
      <c r="F2280" s="545">
        <f>-'Foglio deposito bis'!$F$89*(C2280-sezione!$AM$36)*IF(ABS(L2280)&lt;'Sollecitazioni nel paramento'!$G$58,ABS(L2280)*'Sollecitazioni nel paramento'!$G$54,'Sollecitazioni nel paramento'!$G$53)</f>
        <v>5656012.4557671323</v>
      </c>
      <c r="G2280" s="545">
        <f>-'Foglio deposito bis'!$F$90*(C2280-sezione!$AN$36)*IF(ABS(M2280)&lt;'Sollecitazioni nel paramento'!$G$58,ABS(M2280)*'Sollecitazioni nel paramento'!$G$54,'Sollecitazioni nel paramento'!$G$53)</f>
        <v>0</v>
      </c>
      <c r="H2280" s="545">
        <f>-'Foglio deposito bis'!$F$91*(C2280-sezione!$AO$36)*IF(ABS(N2280)&lt;'Sollecitazioni nel paramento'!$G$58,ABS(N2280)*'Sollecitazioni nel paramento'!$G$54,'Sollecitazioni nel paramento'!$G$53)</f>
        <v>122098669.90203339</v>
      </c>
      <c r="I2280" s="472">
        <f>-'Foglio deposito bis'!$F$92*(C2280-sezione!$AP$36)*IF(ABS(O2280)&lt;'Sollecitazioni nel paramento'!$G$58,ABS(O2280)*'Sollecitazioni nel paramento'!$G$54,'Sollecitazioni nel paramento'!$G$53)</f>
        <v>1219909687.7206125</v>
      </c>
      <c r="J2280" s="472">
        <f t="shared" si="157"/>
        <v>1335696953.3406098</v>
      </c>
      <c r="K2280" s="550">
        <f>'Sollecitazioni nel paramento'!$G$60*(sezione!$AL$36-C2280)/C2280</f>
        <v>2.5364226622937506E-3</v>
      </c>
      <c r="L2280" s="550">
        <f>'Sollecitazioni nel paramento'!$G$60*(sezione!$AM$36-C2280)/C2280</f>
        <v>5.5546339934406256E-3</v>
      </c>
      <c r="M2280" s="551">
        <f>'Sollecitazioni nel paramento'!$G$60*(sezione!$AN$36-C2280)/C2280</f>
        <v>8.5728453245875018E-3</v>
      </c>
      <c r="N2280" s="551">
        <f>'Sollecitazioni nel paramento'!$G$60*(sezione!$AO$36-C2280)/C2280</f>
        <v>2.0645690649175003E-2</v>
      </c>
      <c r="O2280" s="551">
        <f>'Sollecitazioni nel paramento'!$G$60*(sezione!$AP$36-C2280)/C2280</f>
        <v>0.1107659029191015</v>
      </c>
      <c r="P2280" s="545">
        <f>-'Sollecitazioni nel paramento'!$G$47*'Sollecitazioni nel paramento'!$G$41*IF(DATI!$G$211="dx",DATI!$E$61,DATI!$E$64*DATI!$E$63)*1000*C2280*sezione!$AD$5</f>
        <v>-883566.36014173971</v>
      </c>
      <c r="Q2280" s="545">
        <f>'Foglio deposito bis'!$F$88*IF(ABS(K2280)&lt;'Sollecitazioni nel paramento'!$G$58,ABS(K2280)*'Sollecitazioni nel paramento'!$G$54,'Sollecitazioni nel paramento'!$G$53)*IF(K2280&lt;0,-1,1)</f>
        <v>0</v>
      </c>
      <c r="R2280" s="545">
        <f>'Foglio deposito bis'!$F$89*IF(ABS(L2280)&lt;'Sollecitazioni nel paramento'!$G$58,ABS(L2280)*'Sollecitazioni nel paramento'!$G$54,'Sollecitazioni nel paramento'!$G$53)*IF(L2280&lt;0,-1,1)</f>
        <v>153664.85805602249</v>
      </c>
      <c r="S2280" s="545">
        <f>'Foglio deposito bis'!$F$90*IF(ABS(M2280)&lt;'Sollecitazioni nel paramento'!$G$58,ABS(M2280)*'Sollecitazioni nel paramento'!$G$54,'Sollecitazioni nel paramento'!$G$53)*IF(M2280&lt;0,-1,1)</f>
        <v>0</v>
      </c>
      <c r="T2280" s="545">
        <f>'Foglio deposito bis'!$F$91*IF(ABS(N2280)&lt;'Sollecitazioni nel paramento'!$G$58,ABS(N2280)*'Sollecitazioni nel paramento'!$G$54,'Sollecitazioni nel paramento'!$G$53)*IF(N2280&lt;0,-1,1)</f>
        <v>892485.49558937876</v>
      </c>
      <c r="U2280" s="545">
        <f>'Foglio deposito bis'!$F$92*IF(ABS(O2280)&lt;'Sollecitazioni nel paramento'!$G$58,ABS(O2280)*'Sollecitazioni nel paramento'!$G$54,'Sollecitazioni nel paramento'!$G$53)*IF(O2280&lt;0,-1,1)</f>
        <v>1662039.1047339395</v>
      </c>
      <c r="V2280" s="472">
        <f t="shared" si="159"/>
        <v>1824623.0982376011</v>
      </c>
      <c r="W2280" s="551"/>
      <c r="X2280" s="551"/>
    </row>
    <row r="2281" spans="1:24" x14ac:dyDescent="0.25">
      <c r="A2281" s="545">
        <f t="shared" si="158"/>
        <v>1804075.0433505841</v>
      </c>
      <c r="B2281" s="3">
        <f t="shared" si="160"/>
        <v>2.2000000000000002</v>
      </c>
      <c r="C2281" s="545">
        <f>'Foglio deposito bis'!$E$162/sezione!$B$247*B2281</f>
        <v>23.731905793861905</v>
      </c>
      <c r="D2281" s="603">
        <f>-'Sollecitazioni nel paramento'!$G$47*'Sollecitazioni nel paramento'!$G$41*IF(DATI!$G$211="dx",DATI!$E$61,DATI!$E$64*DATI!$E$63)*1000*C2281^2*sezione!$AD$5*(1-sezione!$AD$6)</f>
        <v>-12530513.144611657</v>
      </c>
      <c r="E2281" s="545">
        <f>-'Foglio deposito bis'!$F$88*(C2281-sezione!$AL$36)*IF(ABS(K2281)&lt;'Sollecitazioni nel paramento'!$G$58,ABS(K2281)*'Sollecitazioni nel paramento'!$G$54,'Sollecitazioni nel paramento'!$G$53)</f>
        <v>0</v>
      </c>
      <c r="F2281" s="545">
        <f>-'Foglio deposito bis'!$F$89*(C2281-sezione!$AM$36)*IF(ABS(L2281)&lt;'Sollecitazioni nel paramento'!$G$58,ABS(L2281)*'Sollecitazioni nel paramento'!$G$54,'Sollecitazioni nel paramento'!$G$53)</f>
        <v>5573131.5481486619</v>
      </c>
      <c r="G2281" s="545">
        <f>-'Foglio deposito bis'!$F$90*(C2281-sezione!$AN$36)*IF(ABS(M2281)&lt;'Sollecitazioni nel paramento'!$G$58,ABS(M2281)*'Sollecitazioni nel paramento'!$G$54,'Sollecitazioni nel paramento'!$G$53)</f>
        <v>0</v>
      </c>
      <c r="H2281" s="545">
        <f>-'Foglio deposito bis'!$F$91*(C2281-sezione!$AO$36)*IF(ABS(N2281)&lt;'Sollecitazioni nel paramento'!$G$58,ABS(N2281)*'Sollecitazioni nel paramento'!$G$54,'Sollecitazioni nel paramento'!$G$53)</f>
        <v>121617297.59058532</v>
      </c>
      <c r="I2281" s="472">
        <f>-'Foglio deposito bis'!$F$92*(C2281-sezione!$AP$36)*IF(ABS(O2281)&lt;'Sollecitazioni nel paramento'!$G$58,ABS(O2281)*'Sollecitazioni nel paramento'!$G$54,'Sollecitazioni nel paramento'!$G$53)</f>
        <v>1219013247.8238111</v>
      </c>
      <c r="J2281" s="472">
        <f t="shared" si="157"/>
        <v>1333673163.8179333</v>
      </c>
      <c r="K2281" s="550">
        <f>'Sollecitazioni nel paramento'!$G$60*(sezione!$AL$36-C2281)/C2281</f>
        <v>2.3992312381507113E-3</v>
      </c>
      <c r="L2281" s="550">
        <f>'Sollecitazioni nel paramento'!$G$60*(sezione!$AM$36-C2281)/C2281</f>
        <v>5.348846857226067E-3</v>
      </c>
      <c r="M2281" s="551">
        <f>'Sollecitazioni nel paramento'!$G$60*(sezione!$AN$36-C2281)/C2281</f>
        <v>8.2984624763014232E-3</v>
      </c>
      <c r="N2281" s="551">
        <f>'Sollecitazioni nel paramento'!$G$60*(sezione!$AO$36-C2281)/C2281</f>
        <v>2.0096924952602846E-2</v>
      </c>
      <c r="O2281" s="551">
        <f>'Sollecitazioni nel paramento'!$G$60*(sezione!$AP$36-C2281)/C2281</f>
        <v>0.10816895058003104</v>
      </c>
      <c r="P2281" s="545">
        <f>-'Sollecitazioni nel paramento'!$G$47*'Sollecitazioni nel paramento'!$G$41*IF(DATI!$G$211="dx",DATI!$E$61,DATI!$E$64*DATI!$E$63)*1000*C2281*sezione!$AD$5</f>
        <v>-904114.41502875672</v>
      </c>
      <c r="Q2281" s="545">
        <f>'Foglio deposito bis'!$F$88*IF(ABS(K2281)&lt;'Sollecitazioni nel paramento'!$G$58,ABS(K2281)*'Sollecitazioni nel paramento'!$G$54,'Sollecitazioni nel paramento'!$G$53)*IF(K2281&lt;0,-1,1)</f>
        <v>0</v>
      </c>
      <c r="R2281" s="545">
        <f>'Foglio deposito bis'!$F$89*IF(ABS(L2281)&lt;'Sollecitazioni nel paramento'!$G$58,ABS(L2281)*'Sollecitazioni nel paramento'!$G$54,'Sollecitazioni nel paramento'!$G$53)*IF(L2281&lt;0,-1,1)</f>
        <v>153664.85805602249</v>
      </c>
      <c r="S2281" s="545">
        <f>'Foglio deposito bis'!$F$90*IF(ABS(M2281)&lt;'Sollecitazioni nel paramento'!$G$58,ABS(M2281)*'Sollecitazioni nel paramento'!$G$54,'Sollecitazioni nel paramento'!$G$53)*IF(M2281&lt;0,-1,1)</f>
        <v>0</v>
      </c>
      <c r="T2281" s="545">
        <f>'Foglio deposito bis'!$F$91*IF(ABS(N2281)&lt;'Sollecitazioni nel paramento'!$G$58,ABS(N2281)*'Sollecitazioni nel paramento'!$G$54,'Sollecitazioni nel paramento'!$G$53)*IF(N2281&lt;0,-1,1)</f>
        <v>892485.49558937876</v>
      </c>
      <c r="U2281" s="545">
        <f>'Foglio deposito bis'!$F$92*IF(ABS(O2281)&lt;'Sollecitazioni nel paramento'!$G$58,ABS(O2281)*'Sollecitazioni nel paramento'!$G$54,'Sollecitazioni nel paramento'!$G$53)*IF(O2281&lt;0,-1,1)</f>
        <v>1662039.1047339395</v>
      </c>
      <c r="V2281" s="472">
        <f t="shared" si="159"/>
        <v>1804075.0433505841</v>
      </c>
      <c r="W2281" s="551"/>
      <c r="X2281" s="551"/>
    </row>
    <row r="2282" spans="1:24" x14ac:dyDescent="0.25">
      <c r="A2282" s="545">
        <f t="shared" si="158"/>
        <v>1783526.9884635669</v>
      </c>
      <c r="B2282" s="3">
        <f t="shared" si="160"/>
        <v>2.25</v>
      </c>
      <c r="C2282" s="545">
        <f>'Foglio deposito bis'!$E$162/sezione!$B$247*B2282</f>
        <v>24.271267289176947</v>
      </c>
      <c r="D2282" s="603">
        <f>-'Sollecitazioni nel paramento'!$G$47*'Sollecitazioni nel paramento'!$G$41*IF(DATI!$G$211="dx",DATI!$E$61,DATI!$E$64*DATI!$E$63)*1000*C2282^2*sezione!$AD$5*(1-sezione!$AD$6)</f>
        <v>-13106554.296404233</v>
      </c>
      <c r="E2282" s="545">
        <f>-'Foglio deposito bis'!$F$88*(C2282-sezione!$AL$36)*IF(ABS(K2282)&lt;'Sollecitazioni nel paramento'!$G$58,ABS(K2282)*'Sollecitazioni nel paramento'!$G$54,'Sollecitazioni nel paramento'!$G$53)</f>
        <v>0</v>
      </c>
      <c r="F2282" s="545">
        <f>-'Foglio deposito bis'!$F$89*(C2282-sezione!$AM$36)*IF(ABS(L2282)&lt;'Sollecitazioni nel paramento'!$G$58,ABS(L2282)*'Sollecitazioni nel paramento'!$G$54,'Sollecitazioni nel paramento'!$G$53)</f>
        <v>5490250.6405301923</v>
      </c>
      <c r="G2282" s="545">
        <f>-'Foglio deposito bis'!$F$90*(C2282-sezione!$AN$36)*IF(ABS(M2282)&lt;'Sollecitazioni nel paramento'!$G$58,ABS(M2282)*'Sollecitazioni nel paramento'!$G$54,'Sollecitazioni nel paramento'!$G$53)</f>
        <v>0</v>
      </c>
      <c r="H2282" s="545">
        <f>-'Foglio deposito bis'!$F$91*(C2282-sezione!$AO$36)*IF(ABS(N2282)&lt;'Sollecitazioni nel paramento'!$G$58,ABS(N2282)*'Sollecitazioni nel paramento'!$G$54,'Sollecitazioni nel paramento'!$G$53)</f>
        <v>121135925.27913724</v>
      </c>
      <c r="I2282" s="472">
        <f>-'Foglio deposito bis'!$F$92*(C2282-sezione!$AP$36)*IF(ABS(O2282)&lt;'Sollecitazioni nel paramento'!$G$58,ABS(O2282)*'Sollecitazioni nel paramento'!$G$54,'Sollecitazioni nel paramento'!$G$53)</f>
        <v>1218116807.9270096</v>
      </c>
      <c r="J2282" s="472">
        <f t="shared" si="157"/>
        <v>1331636429.5502727</v>
      </c>
      <c r="K2282" s="550">
        <f>'Sollecitazioni nel paramento'!$G$60*(sezione!$AL$36-C2282)/C2282</f>
        <v>2.268137210636251E-3</v>
      </c>
      <c r="L2282" s="550">
        <f>'Sollecitazioni nel paramento'!$G$60*(sezione!$AM$36-C2282)/C2282</f>
        <v>5.152205815954377E-3</v>
      </c>
      <c r="M2282" s="551">
        <f>'Sollecitazioni nel paramento'!$G$60*(sezione!$AN$36-C2282)/C2282</f>
        <v>8.0362744212725025E-3</v>
      </c>
      <c r="N2282" s="551">
        <f>'Sollecitazioni nel paramento'!$G$60*(sezione!$AO$36-C2282)/C2282</f>
        <v>1.9572548842545008E-2</v>
      </c>
      <c r="O2282" s="551">
        <f>'Sollecitazioni nel paramento'!$G$60*(sezione!$AP$36-C2282)/C2282</f>
        <v>0.10568741834491922</v>
      </c>
      <c r="P2282" s="545">
        <f>-'Sollecitazioni nel paramento'!$G$47*'Sollecitazioni nel paramento'!$G$41*IF(DATI!$G$211="dx",DATI!$E$61,DATI!$E$64*DATI!$E$63)*1000*C2282*sezione!$AD$5</f>
        <v>-924662.46991577395</v>
      </c>
      <c r="Q2282" s="545">
        <f>'Foglio deposito bis'!$F$88*IF(ABS(K2282)&lt;'Sollecitazioni nel paramento'!$G$58,ABS(K2282)*'Sollecitazioni nel paramento'!$G$54,'Sollecitazioni nel paramento'!$G$53)*IF(K2282&lt;0,-1,1)</f>
        <v>0</v>
      </c>
      <c r="R2282" s="545">
        <f>'Foglio deposito bis'!$F$89*IF(ABS(L2282)&lt;'Sollecitazioni nel paramento'!$G$58,ABS(L2282)*'Sollecitazioni nel paramento'!$G$54,'Sollecitazioni nel paramento'!$G$53)*IF(L2282&lt;0,-1,1)</f>
        <v>153664.85805602249</v>
      </c>
      <c r="S2282" s="545">
        <f>'Foglio deposito bis'!$F$90*IF(ABS(M2282)&lt;'Sollecitazioni nel paramento'!$G$58,ABS(M2282)*'Sollecitazioni nel paramento'!$G$54,'Sollecitazioni nel paramento'!$G$53)*IF(M2282&lt;0,-1,1)</f>
        <v>0</v>
      </c>
      <c r="T2282" s="545">
        <f>'Foglio deposito bis'!$F$91*IF(ABS(N2282)&lt;'Sollecitazioni nel paramento'!$G$58,ABS(N2282)*'Sollecitazioni nel paramento'!$G$54,'Sollecitazioni nel paramento'!$G$53)*IF(N2282&lt;0,-1,1)</f>
        <v>892485.49558937876</v>
      </c>
      <c r="U2282" s="545">
        <f>'Foglio deposito bis'!$F$92*IF(ABS(O2282)&lt;'Sollecitazioni nel paramento'!$G$58,ABS(O2282)*'Sollecitazioni nel paramento'!$G$54,'Sollecitazioni nel paramento'!$G$53)*IF(O2282&lt;0,-1,1)</f>
        <v>1662039.1047339395</v>
      </c>
      <c r="V2282" s="472">
        <f t="shared" si="159"/>
        <v>1783526.9884635669</v>
      </c>
      <c r="W2282" s="551"/>
      <c r="X2282" s="551"/>
    </row>
    <row r="2283" spans="1:24" x14ac:dyDescent="0.25">
      <c r="A2283" s="545">
        <f t="shared" si="158"/>
        <v>1762978.9335765496</v>
      </c>
      <c r="B2283" s="3">
        <f t="shared" si="160"/>
        <v>2.2999999999999998</v>
      </c>
      <c r="C2283" s="545">
        <f>'Foglio deposito bis'!$E$162/sezione!$B$247*B2283</f>
        <v>24.810628784491989</v>
      </c>
      <c r="D2283" s="603">
        <f>-'Sollecitazioni nel paramento'!$G$47*'Sollecitazioni nel paramento'!$G$41*IF(DATI!$G$211="dx",DATI!$E$61,DATI!$E$64*DATI!$E$63)*1000*C2283^2*sezione!$AD$5*(1-sezione!$AD$6)</f>
        <v>-13695540.193180917</v>
      </c>
      <c r="E2283" s="545">
        <f>-'Foglio deposito bis'!$F$88*(C2283-sezione!$AL$36)*IF(ABS(K2283)&lt;'Sollecitazioni nel paramento'!$G$58,ABS(K2283)*'Sollecitazioni nel paramento'!$G$54,'Sollecitazioni nel paramento'!$G$53)</f>
        <v>0</v>
      </c>
      <c r="F2283" s="545">
        <f>-'Foglio deposito bis'!$F$89*(C2283-sezione!$AM$36)*IF(ABS(L2283)&lt;'Sollecitazioni nel paramento'!$G$58,ABS(L2283)*'Sollecitazioni nel paramento'!$G$54,'Sollecitazioni nel paramento'!$G$53)</f>
        <v>5407369.7329117227</v>
      </c>
      <c r="G2283" s="545">
        <f>-'Foglio deposito bis'!$F$90*(C2283-sezione!$AN$36)*IF(ABS(M2283)&lt;'Sollecitazioni nel paramento'!$G$58,ABS(M2283)*'Sollecitazioni nel paramento'!$G$54,'Sollecitazioni nel paramento'!$G$53)</f>
        <v>0</v>
      </c>
      <c r="H2283" s="545">
        <f>-'Foglio deposito bis'!$F$91*(C2283-sezione!$AO$36)*IF(ABS(N2283)&lt;'Sollecitazioni nel paramento'!$G$58,ABS(N2283)*'Sollecitazioni nel paramento'!$G$54,'Sollecitazioni nel paramento'!$G$53)</f>
        <v>120654552.96768917</v>
      </c>
      <c r="I2283" s="472">
        <f>-'Foglio deposito bis'!$F$92*(C2283-sezione!$AP$36)*IF(ABS(O2283)&lt;'Sollecitazioni nel paramento'!$G$58,ABS(O2283)*'Sollecitazioni nel paramento'!$G$54,'Sollecitazioni nel paramento'!$G$53)</f>
        <v>1217220368.0302083</v>
      </c>
      <c r="J2283" s="472">
        <f t="shared" si="157"/>
        <v>1329586750.5376284</v>
      </c>
      <c r="K2283" s="550">
        <f>'Sollecitazioni nel paramento'!$G$60*(sezione!$AL$36-C2283)/C2283</f>
        <v>2.1427429234485069E-3</v>
      </c>
      <c r="L2283" s="550">
        <f>'Sollecitazioni nel paramento'!$G$60*(sezione!$AM$36-C2283)/C2283</f>
        <v>4.9641143851727604E-3</v>
      </c>
      <c r="M2283" s="551">
        <f>'Sollecitazioni nel paramento'!$G$60*(sezione!$AN$36-C2283)/C2283</f>
        <v>7.7854858468970134E-3</v>
      </c>
      <c r="N2283" s="551">
        <f>'Sollecitazioni nel paramento'!$G$60*(sezione!$AO$36-C2283)/C2283</f>
        <v>1.9070971693794025E-2</v>
      </c>
      <c r="O2283" s="551">
        <f>'Sollecitazioni nel paramento'!$G$60*(sezione!$AP$36-C2283)/C2283</f>
        <v>0.10331377881568186</v>
      </c>
      <c r="P2283" s="545">
        <f>-'Sollecitazioni nel paramento'!$G$47*'Sollecitazioni nel paramento'!$G$41*IF(DATI!$G$211="dx",DATI!$E$61,DATI!$E$64*DATI!$E$63)*1000*C2283*sezione!$AD$5</f>
        <v>-945210.52480279107</v>
      </c>
      <c r="Q2283" s="545">
        <f>'Foglio deposito bis'!$F$88*IF(ABS(K2283)&lt;'Sollecitazioni nel paramento'!$G$58,ABS(K2283)*'Sollecitazioni nel paramento'!$G$54,'Sollecitazioni nel paramento'!$G$53)*IF(K2283&lt;0,-1,1)</f>
        <v>0</v>
      </c>
      <c r="R2283" s="545">
        <f>'Foglio deposito bis'!$F$89*IF(ABS(L2283)&lt;'Sollecitazioni nel paramento'!$G$58,ABS(L2283)*'Sollecitazioni nel paramento'!$G$54,'Sollecitazioni nel paramento'!$G$53)*IF(L2283&lt;0,-1,1)</f>
        <v>153664.85805602249</v>
      </c>
      <c r="S2283" s="545">
        <f>'Foglio deposito bis'!$F$90*IF(ABS(M2283)&lt;'Sollecitazioni nel paramento'!$G$58,ABS(M2283)*'Sollecitazioni nel paramento'!$G$54,'Sollecitazioni nel paramento'!$G$53)*IF(M2283&lt;0,-1,1)</f>
        <v>0</v>
      </c>
      <c r="T2283" s="545">
        <f>'Foglio deposito bis'!$F$91*IF(ABS(N2283)&lt;'Sollecitazioni nel paramento'!$G$58,ABS(N2283)*'Sollecitazioni nel paramento'!$G$54,'Sollecitazioni nel paramento'!$G$53)*IF(N2283&lt;0,-1,1)</f>
        <v>892485.49558937876</v>
      </c>
      <c r="U2283" s="545">
        <f>'Foglio deposito bis'!$F$92*IF(ABS(O2283)&lt;'Sollecitazioni nel paramento'!$G$58,ABS(O2283)*'Sollecitazioni nel paramento'!$G$54,'Sollecitazioni nel paramento'!$G$53)*IF(O2283&lt;0,-1,1)</f>
        <v>1662039.1047339395</v>
      </c>
      <c r="V2283" s="472">
        <f t="shared" si="159"/>
        <v>1762978.9335765496</v>
      </c>
      <c r="W2283" s="551"/>
      <c r="X2283" s="551"/>
    </row>
    <row r="2284" spans="1:24" x14ac:dyDescent="0.25">
      <c r="A2284" s="545">
        <f t="shared" si="158"/>
        <v>1742430.8786895324</v>
      </c>
      <c r="B2284" s="3">
        <f t="shared" si="160"/>
        <v>2.3499999999999996</v>
      </c>
      <c r="C2284" s="545">
        <f>'Foglio deposito bis'!$E$162/sezione!$B$247*B2284</f>
        <v>25.349990279807031</v>
      </c>
      <c r="D2284" s="603">
        <f>-'Sollecitazioni nel paramento'!$G$47*'Sollecitazioni nel paramento'!$G$41*IF(DATI!$G$211="dx",DATI!$E$61,DATI!$E$64*DATI!$E$63)*1000*C2284^2*sezione!$AD$5*(1-sezione!$AD$6)</f>
        <v>-14297470.834941702</v>
      </c>
      <c r="E2284" s="545">
        <f>-'Foglio deposito bis'!$F$88*(C2284-sezione!$AL$36)*IF(ABS(K2284)&lt;'Sollecitazioni nel paramento'!$G$58,ABS(K2284)*'Sollecitazioni nel paramento'!$G$54,'Sollecitazioni nel paramento'!$G$53)</f>
        <v>0</v>
      </c>
      <c r="F2284" s="545">
        <f>-'Foglio deposito bis'!$F$89*(C2284-sezione!$AM$36)*IF(ABS(L2284)&lt;'Sollecitazioni nel paramento'!$G$58,ABS(L2284)*'Sollecitazioni nel paramento'!$G$54,'Sollecitazioni nel paramento'!$G$53)</f>
        <v>5324488.8252932522</v>
      </c>
      <c r="G2284" s="545">
        <f>-'Foglio deposito bis'!$F$90*(C2284-sezione!$AN$36)*IF(ABS(M2284)&lt;'Sollecitazioni nel paramento'!$G$58,ABS(M2284)*'Sollecitazioni nel paramento'!$G$54,'Sollecitazioni nel paramento'!$G$53)</f>
        <v>0</v>
      </c>
      <c r="H2284" s="545">
        <f>-'Foglio deposito bis'!$F$91*(C2284-sezione!$AO$36)*IF(ABS(N2284)&lt;'Sollecitazioni nel paramento'!$G$58,ABS(N2284)*'Sollecitazioni nel paramento'!$G$54,'Sollecitazioni nel paramento'!$G$53)</f>
        <v>120173180.6562411</v>
      </c>
      <c r="I2284" s="472">
        <f>-'Foglio deposito bis'!$F$92*(C2284-sezione!$AP$36)*IF(ABS(O2284)&lt;'Sollecitazioni nel paramento'!$G$58,ABS(O2284)*'Sollecitazioni nel paramento'!$G$54,'Sollecitazioni nel paramento'!$G$53)</f>
        <v>1216323928.1334071</v>
      </c>
      <c r="J2284" s="472">
        <f t="shared" si="157"/>
        <v>1327524126.7799997</v>
      </c>
      <c r="K2284" s="550">
        <f>'Sollecitazioni nel paramento'!$G$60*(sezione!$AL$36-C2284)/C2284</f>
        <v>2.022684563375135E-3</v>
      </c>
      <c r="L2284" s="550">
        <f>'Sollecitazioni nel paramento'!$G$60*(sezione!$AM$36-C2284)/C2284</f>
        <v>4.7840268450627024E-3</v>
      </c>
      <c r="M2284" s="551">
        <f>'Sollecitazioni nel paramento'!$G$60*(sezione!$AN$36-C2284)/C2284</f>
        <v>7.5453691267502688E-3</v>
      </c>
      <c r="N2284" s="551">
        <f>'Sollecitazioni nel paramento'!$G$60*(sezione!$AO$36-C2284)/C2284</f>
        <v>1.8590738253500539E-2</v>
      </c>
      <c r="O2284" s="551">
        <f>'Sollecitazioni nel paramento'!$G$60*(sezione!$AP$36-C2284)/C2284</f>
        <v>0.10104114522385886</v>
      </c>
      <c r="P2284" s="545">
        <f>-'Sollecitazioni nel paramento'!$G$47*'Sollecitazioni nel paramento'!$G$41*IF(DATI!$G$211="dx",DATI!$E$61,DATI!$E$64*DATI!$E$63)*1000*C2284*sezione!$AD$5</f>
        <v>-965758.57968980831</v>
      </c>
      <c r="Q2284" s="545">
        <f>'Foglio deposito bis'!$F$88*IF(ABS(K2284)&lt;'Sollecitazioni nel paramento'!$G$58,ABS(K2284)*'Sollecitazioni nel paramento'!$G$54,'Sollecitazioni nel paramento'!$G$53)*IF(K2284&lt;0,-1,1)</f>
        <v>0</v>
      </c>
      <c r="R2284" s="545">
        <f>'Foglio deposito bis'!$F$89*IF(ABS(L2284)&lt;'Sollecitazioni nel paramento'!$G$58,ABS(L2284)*'Sollecitazioni nel paramento'!$G$54,'Sollecitazioni nel paramento'!$G$53)*IF(L2284&lt;0,-1,1)</f>
        <v>153664.85805602249</v>
      </c>
      <c r="S2284" s="545">
        <f>'Foglio deposito bis'!$F$90*IF(ABS(M2284)&lt;'Sollecitazioni nel paramento'!$G$58,ABS(M2284)*'Sollecitazioni nel paramento'!$G$54,'Sollecitazioni nel paramento'!$G$53)*IF(M2284&lt;0,-1,1)</f>
        <v>0</v>
      </c>
      <c r="T2284" s="545">
        <f>'Foglio deposito bis'!$F$91*IF(ABS(N2284)&lt;'Sollecitazioni nel paramento'!$G$58,ABS(N2284)*'Sollecitazioni nel paramento'!$G$54,'Sollecitazioni nel paramento'!$G$53)*IF(N2284&lt;0,-1,1)</f>
        <v>892485.49558937876</v>
      </c>
      <c r="U2284" s="545">
        <f>'Foglio deposito bis'!$F$92*IF(ABS(O2284)&lt;'Sollecitazioni nel paramento'!$G$58,ABS(O2284)*'Sollecitazioni nel paramento'!$G$54,'Sollecitazioni nel paramento'!$G$53)*IF(O2284&lt;0,-1,1)</f>
        <v>1662039.1047339395</v>
      </c>
      <c r="V2284" s="472">
        <f t="shared" si="159"/>
        <v>1742430.8786895324</v>
      </c>
      <c r="W2284" s="551"/>
      <c r="X2284" s="551"/>
    </row>
    <row r="2285" spans="1:24" x14ac:dyDescent="0.25">
      <c r="A2285" s="545">
        <f t="shared" si="158"/>
        <v>1721882.8238025154</v>
      </c>
      <c r="B2285" s="3">
        <f t="shared" si="160"/>
        <v>2.3999999999999995</v>
      </c>
      <c r="C2285" s="545">
        <f>'Foglio deposito bis'!$E$162/sezione!$B$247*B2285</f>
        <v>25.889351775122073</v>
      </c>
      <c r="D2285" s="603">
        <f>-'Sollecitazioni nel paramento'!$G$47*'Sollecitazioni nel paramento'!$G$41*IF(DATI!$G$211="dx",DATI!$E$61,DATI!$E$64*DATI!$E$63)*1000*C2285^2*sezione!$AD$5*(1-sezione!$AD$6)</f>
        <v>-14912346.221686589</v>
      </c>
      <c r="E2285" s="545">
        <f>-'Foglio deposito bis'!$F$88*(C2285-sezione!$AL$36)*IF(ABS(K2285)&lt;'Sollecitazioni nel paramento'!$G$58,ABS(K2285)*'Sollecitazioni nel paramento'!$G$54,'Sollecitazioni nel paramento'!$G$53)</f>
        <v>0</v>
      </c>
      <c r="F2285" s="545">
        <f>-'Foglio deposito bis'!$F$89*(C2285-sezione!$AM$36)*IF(ABS(L2285)&lt;'Sollecitazioni nel paramento'!$G$58,ABS(L2285)*'Sollecitazioni nel paramento'!$G$54,'Sollecitazioni nel paramento'!$G$53)</f>
        <v>5241607.9176747818</v>
      </c>
      <c r="G2285" s="545">
        <f>-'Foglio deposito bis'!$F$90*(C2285-sezione!$AN$36)*IF(ABS(M2285)&lt;'Sollecitazioni nel paramento'!$G$58,ABS(M2285)*'Sollecitazioni nel paramento'!$G$54,'Sollecitazioni nel paramento'!$G$53)</f>
        <v>0</v>
      </c>
      <c r="H2285" s="545">
        <f>-'Foglio deposito bis'!$F$91*(C2285-sezione!$AO$36)*IF(ABS(N2285)&lt;'Sollecitazioni nel paramento'!$G$58,ABS(N2285)*'Sollecitazioni nel paramento'!$G$54,'Sollecitazioni nel paramento'!$G$53)</f>
        <v>119691808.34479302</v>
      </c>
      <c r="I2285" s="472">
        <f>-'Foglio deposito bis'!$F$92*(C2285-sezione!$AP$36)*IF(ABS(O2285)&lt;'Sollecitazioni nel paramento'!$G$58,ABS(O2285)*'Sollecitazioni nel paramento'!$G$54,'Sollecitazioni nel paramento'!$G$53)</f>
        <v>1215427488.2366054</v>
      </c>
      <c r="J2285" s="472">
        <f t="shared" si="157"/>
        <v>1325448558.2773867</v>
      </c>
      <c r="K2285" s="550">
        <f>'Sollecitazioni nel paramento'!$G$60*(sezione!$AL$36-C2285)/C2285</f>
        <v>1.9076286349714864E-3</v>
      </c>
      <c r="L2285" s="550">
        <f>'Sollecitazioni nel paramento'!$G$60*(sezione!$AM$36-C2285)/C2285</f>
        <v>4.6114429524572297E-3</v>
      </c>
      <c r="M2285" s="551">
        <f>'Sollecitazioni nel paramento'!$G$60*(sezione!$AN$36-C2285)/C2285</f>
        <v>7.315257269942972E-3</v>
      </c>
      <c r="N2285" s="551">
        <f>'Sollecitazioni nel paramento'!$G$60*(sezione!$AO$36-C2285)/C2285</f>
        <v>1.8130514539885945E-2</v>
      </c>
      <c r="O2285" s="551">
        <f>'Sollecitazioni nel paramento'!$G$60*(sezione!$AP$36-C2285)/C2285</f>
        <v>9.8863204698361795E-2</v>
      </c>
      <c r="P2285" s="545">
        <f>-'Sollecitazioni nel paramento'!$G$47*'Sollecitazioni nel paramento'!$G$41*IF(DATI!$G$211="dx",DATI!$E$61,DATI!$E$64*DATI!$E$63)*1000*C2285*sezione!$AD$5</f>
        <v>-986306.63457682543</v>
      </c>
      <c r="Q2285" s="545">
        <f>'Foglio deposito bis'!$F$88*IF(ABS(K2285)&lt;'Sollecitazioni nel paramento'!$G$58,ABS(K2285)*'Sollecitazioni nel paramento'!$G$54,'Sollecitazioni nel paramento'!$G$53)*IF(K2285&lt;0,-1,1)</f>
        <v>0</v>
      </c>
      <c r="R2285" s="545">
        <f>'Foglio deposito bis'!$F$89*IF(ABS(L2285)&lt;'Sollecitazioni nel paramento'!$G$58,ABS(L2285)*'Sollecitazioni nel paramento'!$G$54,'Sollecitazioni nel paramento'!$G$53)*IF(L2285&lt;0,-1,1)</f>
        <v>153664.85805602249</v>
      </c>
      <c r="S2285" s="545">
        <f>'Foglio deposito bis'!$F$90*IF(ABS(M2285)&lt;'Sollecitazioni nel paramento'!$G$58,ABS(M2285)*'Sollecitazioni nel paramento'!$G$54,'Sollecitazioni nel paramento'!$G$53)*IF(M2285&lt;0,-1,1)</f>
        <v>0</v>
      </c>
      <c r="T2285" s="545">
        <f>'Foglio deposito bis'!$F$91*IF(ABS(N2285)&lt;'Sollecitazioni nel paramento'!$G$58,ABS(N2285)*'Sollecitazioni nel paramento'!$G$54,'Sollecitazioni nel paramento'!$G$53)*IF(N2285&lt;0,-1,1)</f>
        <v>892485.49558937876</v>
      </c>
      <c r="U2285" s="545">
        <f>'Foglio deposito bis'!$F$92*IF(ABS(O2285)&lt;'Sollecitazioni nel paramento'!$G$58,ABS(O2285)*'Sollecitazioni nel paramento'!$G$54,'Sollecitazioni nel paramento'!$G$53)*IF(O2285&lt;0,-1,1)</f>
        <v>1662039.1047339395</v>
      </c>
      <c r="V2285" s="472">
        <f t="shared" si="159"/>
        <v>1721882.8238025154</v>
      </c>
      <c r="W2285" s="551"/>
      <c r="X2285" s="551"/>
    </row>
    <row r="2286" spans="1:24" x14ac:dyDescent="0.25">
      <c r="A2286" s="545">
        <f t="shared" si="158"/>
        <v>1701334.7689154984</v>
      </c>
      <c r="B2286" s="3">
        <f t="shared" si="160"/>
        <v>2.4499999999999993</v>
      </c>
      <c r="C2286" s="545">
        <f>'Foglio deposito bis'!$E$162/sezione!$B$247*B2286</f>
        <v>26.428713270437111</v>
      </c>
      <c r="D2286" s="603">
        <f>-'Sollecitazioni nel paramento'!$G$47*'Sollecitazioni nel paramento'!$G$41*IF(DATI!$G$211="dx",DATI!$E$61,DATI!$E$64*DATI!$E$63)*1000*C2286^2*sezione!$AD$5*(1-sezione!$AD$6)</f>
        <v>-15540166.353415577</v>
      </c>
      <c r="E2286" s="545">
        <f>-'Foglio deposito bis'!$F$88*(C2286-sezione!$AL$36)*IF(ABS(K2286)&lt;'Sollecitazioni nel paramento'!$G$58,ABS(K2286)*'Sollecitazioni nel paramento'!$G$54,'Sollecitazioni nel paramento'!$G$53)</f>
        <v>0</v>
      </c>
      <c r="F2286" s="545">
        <f>-'Foglio deposito bis'!$F$89*(C2286-sezione!$AM$36)*IF(ABS(L2286)&lt;'Sollecitazioni nel paramento'!$G$58,ABS(L2286)*'Sollecitazioni nel paramento'!$G$54,'Sollecitazioni nel paramento'!$G$53)</f>
        <v>5158727.0100563131</v>
      </c>
      <c r="G2286" s="545">
        <f>-'Foglio deposito bis'!$F$90*(C2286-sezione!$AN$36)*IF(ABS(M2286)&lt;'Sollecitazioni nel paramento'!$G$58,ABS(M2286)*'Sollecitazioni nel paramento'!$G$54,'Sollecitazioni nel paramento'!$G$53)</f>
        <v>0</v>
      </c>
      <c r="H2286" s="545">
        <f>-'Foglio deposito bis'!$F$91*(C2286-sezione!$AO$36)*IF(ABS(N2286)&lt;'Sollecitazioni nel paramento'!$G$58,ABS(N2286)*'Sollecitazioni nel paramento'!$G$54,'Sollecitazioni nel paramento'!$G$53)</f>
        <v>119210436.03334495</v>
      </c>
      <c r="I2286" s="472">
        <f>-'Foglio deposito bis'!$F$92*(C2286-sezione!$AP$36)*IF(ABS(O2286)&lt;'Sollecitazioni nel paramento'!$G$58,ABS(O2286)*'Sollecitazioni nel paramento'!$G$54,'Sollecitazioni nel paramento'!$G$53)</f>
        <v>1214531048.3398042</v>
      </c>
      <c r="J2286" s="472">
        <f t="shared" si="157"/>
        <v>1323360045.0297899</v>
      </c>
      <c r="K2286" s="550">
        <f>'Sollecitazioni nel paramento'!$G$60*(sezione!$AL$36-C2286)/C2286</f>
        <v>1.7972688669108448E-3</v>
      </c>
      <c r="L2286" s="550">
        <f>'Sollecitazioni nel paramento'!$G$60*(sezione!$AM$36-C2286)/C2286</f>
        <v>4.4459033003662668E-3</v>
      </c>
      <c r="M2286" s="551">
        <f>'Sollecitazioni nel paramento'!$G$60*(sezione!$AN$36-C2286)/C2286</f>
        <v>7.0945377338216898E-3</v>
      </c>
      <c r="N2286" s="551">
        <f>'Sollecitazioni nel paramento'!$G$60*(sezione!$AO$36-C2286)/C2286</f>
        <v>1.7689075467643381E-2</v>
      </c>
      <c r="O2286" s="551">
        <f>'Sollecitazioni nel paramento'!$G$60*(sezione!$AP$36-C2286)/C2286</f>
        <v>9.6774159704517707E-2</v>
      </c>
      <c r="P2286" s="545">
        <f>-'Sollecitazioni nel paramento'!$G$47*'Sollecitazioni nel paramento'!$G$41*IF(DATI!$G$211="dx",DATI!$E$61,DATI!$E$64*DATI!$E$63)*1000*C2286*sezione!$AD$5</f>
        <v>-1006854.6894638424</v>
      </c>
      <c r="Q2286" s="545">
        <f>'Foglio deposito bis'!$F$88*IF(ABS(K2286)&lt;'Sollecitazioni nel paramento'!$G$58,ABS(K2286)*'Sollecitazioni nel paramento'!$G$54,'Sollecitazioni nel paramento'!$G$53)*IF(K2286&lt;0,-1,1)</f>
        <v>0</v>
      </c>
      <c r="R2286" s="545">
        <f>'Foglio deposito bis'!$F$89*IF(ABS(L2286)&lt;'Sollecitazioni nel paramento'!$G$58,ABS(L2286)*'Sollecitazioni nel paramento'!$G$54,'Sollecitazioni nel paramento'!$G$53)*IF(L2286&lt;0,-1,1)</f>
        <v>153664.85805602249</v>
      </c>
      <c r="S2286" s="545">
        <f>'Foglio deposito bis'!$F$90*IF(ABS(M2286)&lt;'Sollecitazioni nel paramento'!$G$58,ABS(M2286)*'Sollecitazioni nel paramento'!$G$54,'Sollecitazioni nel paramento'!$G$53)*IF(M2286&lt;0,-1,1)</f>
        <v>0</v>
      </c>
      <c r="T2286" s="545">
        <f>'Foglio deposito bis'!$F$91*IF(ABS(N2286)&lt;'Sollecitazioni nel paramento'!$G$58,ABS(N2286)*'Sollecitazioni nel paramento'!$G$54,'Sollecitazioni nel paramento'!$G$53)*IF(N2286&lt;0,-1,1)</f>
        <v>892485.49558937876</v>
      </c>
      <c r="U2286" s="545">
        <f>'Foglio deposito bis'!$F$92*IF(ABS(O2286)&lt;'Sollecitazioni nel paramento'!$G$58,ABS(O2286)*'Sollecitazioni nel paramento'!$G$54,'Sollecitazioni nel paramento'!$G$53)*IF(O2286&lt;0,-1,1)</f>
        <v>1662039.1047339395</v>
      </c>
      <c r="V2286" s="472">
        <f t="shared" si="159"/>
        <v>1701334.7689154984</v>
      </c>
      <c r="W2286" s="551"/>
      <c r="X2286" s="551"/>
    </row>
    <row r="2287" spans="1:24" x14ac:dyDescent="0.25">
      <c r="A2287" s="545">
        <f t="shared" si="158"/>
        <v>1680786.7140284812</v>
      </c>
      <c r="B2287" s="3">
        <f t="shared" si="160"/>
        <v>2.4999999999999991</v>
      </c>
      <c r="C2287" s="545">
        <f>'Foglio deposito bis'!$E$162/sezione!$B$247*B2287</f>
        <v>26.968074765752153</v>
      </c>
      <c r="D2287" s="603">
        <f>-'Sollecitazioni nel paramento'!$G$47*'Sollecitazioni nel paramento'!$G$41*IF(DATI!$G$211="dx",DATI!$E$61,DATI!$E$64*DATI!$E$63)*1000*C2287^2*sezione!$AD$5*(1-sezione!$AD$6)</f>
        <v>-16180931.23012867</v>
      </c>
      <c r="E2287" s="545">
        <f>-'Foglio deposito bis'!$F$88*(C2287-sezione!$AL$36)*IF(ABS(K2287)&lt;'Sollecitazioni nel paramento'!$G$58,ABS(K2287)*'Sollecitazioni nel paramento'!$G$54,'Sollecitazioni nel paramento'!$G$53)</f>
        <v>0</v>
      </c>
      <c r="F2287" s="545">
        <f>-'Foglio deposito bis'!$F$89*(C2287-sezione!$AM$36)*IF(ABS(L2287)&lt;'Sollecitazioni nel paramento'!$G$58,ABS(L2287)*'Sollecitazioni nel paramento'!$G$54,'Sollecitazioni nel paramento'!$G$53)</f>
        <v>5075846.1024378436</v>
      </c>
      <c r="G2287" s="545">
        <f>-'Foglio deposito bis'!$F$90*(C2287-sezione!$AN$36)*IF(ABS(M2287)&lt;'Sollecitazioni nel paramento'!$G$58,ABS(M2287)*'Sollecitazioni nel paramento'!$G$54,'Sollecitazioni nel paramento'!$G$53)</f>
        <v>0</v>
      </c>
      <c r="H2287" s="545">
        <f>-'Foglio deposito bis'!$F$91*(C2287-sezione!$AO$36)*IF(ABS(N2287)&lt;'Sollecitazioni nel paramento'!$G$58,ABS(N2287)*'Sollecitazioni nel paramento'!$G$54,'Sollecitazioni nel paramento'!$G$53)</f>
        <v>118729063.72189687</v>
      </c>
      <c r="I2287" s="472">
        <f>-'Foglio deposito bis'!$F$92*(C2287-sezione!$AP$36)*IF(ABS(O2287)&lt;'Sollecitazioni nel paramento'!$G$58,ABS(O2287)*'Sollecitazioni nel paramento'!$G$54,'Sollecitazioni nel paramento'!$G$53)</f>
        <v>1213634608.4430029</v>
      </c>
      <c r="J2287" s="472">
        <f t="shared" si="157"/>
        <v>1321258587.037209</v>
      </c>
      <c r="K2287" s="550">
        <f>'Sollecitazioni nel paramento'!$G$60*(sezione!$AL$36-C2287)/C2287</f>
        <v>1.6913234895726281E-3</v>
      </c>
      <c r="L2287" s="550">
        <f>'Sollecitazioni nel paramento'!$G$60*(sezione!$AM$36-C2287)/C2287</f>
        <v>4.2869852343589429E-3</v>
      </c>
      <c r="M2287" s="551">
        <f>'Sollecitazioni nel paramento'!$G$60*(sezione!$AN$36-C2287)/C2287</f>
        <v>6.8826469791452571E-3</v>
      </c>
      <c r="N2287" s="551">
        <f>'Sollecitazioni nel paramento'!$G$60*(sezione!$AO$36-C2287)/C2287</f>
        <v>1.726529395829051E-2</v>
      </c>
      <c r="O2287" s="551">
        <f>'Sollecitazioni nel paramento'!$G$60*(sezione!$AP$36-C2287)/C2287</f>
        <v>9.4768676510427349E-2</v>
      </c>
      <c r="P2287" s="545">
        <f>-'Sollecitazioni nel paramento'!$G$47*'Sollecitazioni nel paramento'!$G$41*IF(DATI!$G$211="dx",DATI!$E$61,DATI!$E$64*DATI!$E$63)*1000*C2287*sezione!$AD$5</f>
        <v>-1027402.7443508595</v>
      </c>
      <c r="Q2287" s="545">
        <f>'Foglio deposito bis'!$F$88*IF(ABS(K2287)&lt;'Sollecitazioni nel paramento'!$G$58,ABS(K2287)*'Sollecitazioni nel paramento'!$G$54,'Sollecitazioni nel paramento'!$G$53)*IF(K2287&lt;0,-1,1)</f>
        <v>0</v>
      </c>
      <c r="R2287" s="545">
        <f>'Foglio deposito bis'!$F$89*IF(ABS(L2287)&lt;'Sollecitazioni nel paramento'!$G$58,ABS(L2287)*'Sollecitazioni nel paramento'!$G$54,'Sollecitazioni nel paramento'!$G$53)*IF(L2287&lt;0,-1,1)</f>
        <v>153664.85805602249</v>
      </c>
      <c r="S2287" s="545">
        <f>'Foglio deposito bis'!$F$90*IF(ABS(M2287)&lt;'Sollecitazioni nel paramento'!$G$58,ABS(M2287)*'Sollecitazioni nel paramento'!$G$54,'Sollecitazioni nel paramento'!$G$53)*IF(M2287&lt;0,-1,1)</f>
        <v>0</v>
      </c>
      <c r="T2287" s="545">
        <f>'Foglio deposito bis'!$F$91*IF(ABS(N2287)&lt;'Sollecitazioni nel paramento'!$G$58,ABS(N2287)*'Sollecitazioni nel paramento'!$G$54,'Sollecitazioni nel paramento'!$G$53)*IF(N2287&lt;0,-1,1)</f>
        <v>892485.49558937876</v>
      </c>
      <c r="U2287" s="545">
        <f>'Foglio deposito bis'!$F$92*IF(ABS(O2287)&lt;'Sollecitazioni nel paramento'!$G$58,ABS(O2287)*'Sollecitazioni nel paramento'!$G$54,'Sollecitazioni nel paramento'!$G$53)*IF(O2287&lt;0,-1,1)</f>
        <v>1662039.1047339395</v>
      </c>
      <c r="V2287" s="472">
        <f t="shared" si="159"/>
        <v>1680786.7140284812</v>
      </c>
      <c r="W2287" s="551"/>
      <c r="X2287" s="551"/>
    </row>
    <row r="2288" spans="1:24" x14ac:dyDescent="0.25">
      <c r="A2288" s="545">
        <f t="shared" si="158"/>
        <v>1660238.6591414639</v>
      </c>
      <c r="B2288" s="3">
        <f t="shared" si="160"/>
        <v>2.5499999999999989</v>
      </c>
      <c r="C2288" s="545">
        <f>'Foglio deposito bis'!$E$162/sezione!$B$247*B2288</f>
        <v>27.507436261067195</v>
      </c>
      <c r="D2288" s="603">
        <f>-'Sollecitazioni nel paramento'!$G$47*'Sollecitazioni nel paramento'!$G$41*IF(DATI!$G$211="dx",DATI!$E$61,DATI!$E$64*DATI!$E$63)*1000*C2288^2*sezione!$AD$5*(1-sezione!$AD$6)</f>
        <v>-16834640.851825867</v>
      </c>
      <c r="E2288" s="545">
        <f>-'Foglio deposito bis'!$F$88*(C2288-sezione!$AL$36)*IF(ABS(K2288)&lt;'Sollecitazioni nel paramento'!$G$58,ABS(K2288)*'Sollecitazioni nel paramento'!$G$54,'Sollecitazioni nel paramento'!$G$53)</f>
        <v>0</v>
      </c>
      <c r="F2288" s="545">
        <f>-'Foglio deposito bis'!$F$89*(C2288-sezione!$AM$36)*IF(ABS(L2288)&lt;'Sollecitazioni nel paramento'!$G$58,ABS(L2288)*'Sollecitazioni nel paramento'!$G$54,'Sollecitazioni nel paramento'!$G$53)</f>
        <v>4992965.1948193721</v>
      </c>
      <c r="G2288" s="545">
        <f>-'Foglio deposito bis'!$F$90*(C2288-sezione!$AN$36)*IF(ABS(M2288)&lt;'Sollecitazioni nel paramento'!$G$58,ABS(M2288)*'Sollecitazioni nel paramento'!$G$54,'Sollecitazioni nel paramento'!$G$53)</f>
        <v>0</v>
      </c>
      <c r="H2288" s="545">
        <f>-'Foglio deposito bis'!$F$91*(C2288-sezione!$AO$36)*IF(ABS(N2288)&lt;'Sollecitazioni nel paramento'!$G$58,ABS(N2288)*'Sollecitazioni nel paramento'!$G$54,'Sollecitazioni nel paramento'!$G$53)</f>
        <v>118247691.4104488</v>
      </c>
      <c r="I2288" s="472">
        <f>-'Foglio deposito bis'!$F$92*(C2288-sezione!$AP$36)*IF(ABS(O2288)&lt;'Sollecitazioni nel paramento'!$G$58,ABS(O2288)*'Sollecitazioni nel paramento'!$G$54,'Sollecitazioni nel paramento'!$G$53)</f>
        <v>1212738168.5462017</v>
      </c>
      <c r="J2288" s="472">
        <f t="shared" si="157"/>
        <v>1319144184.299644</v>
      </c>
      <c r="K2288" s="550">
        <f>'Sollecitazioni nel paramento'!$G$60*(sezione!$AL$36-C2288)/C2288</f>
        <v>1.5895328329143415E-3</v>
      </c>
      <c r="L2288" s="550">
        <f>'Sollecitazioni nel paramento'!$G$60*(sezione!$AM$36-C2288)/C2288</f>
        <v>4.1342992493715114E-3</v>
      </c>
      <c r="M2288" s="551">
        <f>'Sollecitazioni nel paramento'!$G$60*(sezione!$AN$36-C2288)/C2288</f>
        <v>6.6790656658286826E-3</v>
      </c>
      <c r="N2288" s="551">
        <f>'Sollecitazioni nel paramento'!$G$60*(sezione!$AO$36-C2288)/C2288</f>
        <v>1.6858131331657367E-2</v>
      </c>
      <c r="O2288" s="551">
        <f>'Sollecitazioni nel paramento'!$G$60*(sezione!$AP$36-C2288)/C2288</f>
        <v>9.2841839716105254E-2</v>
      </c>
      <c r="P2288" s="545">
        <f>-'Sollecitazioni nel paramento'!$G$47*'Sollecitazioni nel paramento'!$G$41*IF(DATI!$G$211="dx",DATI!$E$61,DATI!$E$64*DATI!$E$63)*1000*C2288*sezione!$AD$5</f>
        <v>-1047950.7992378768</v>
      </c>
      <c r="Q2288" s="545">
        <f>'Foglio deposito bis'!$F$88*IF(ABS(K2288)&lt;'Sollecitazioni nel paramento'!$G$58,ABS(K2288)*'Sollecitazioni nel paramento'!$G$54,'Sollecitazioni nel paramento'!$G$53)*IF(K2288&lt;0,-1,1)</f>
        <v>0</v>
      </c>
      <c r="R2288" s="545">
        <f>'Foglio deposito bis'!$F$89*IF(ABS(L2288)&lt;'Sollecitazioni nel paramento'!$G$58,ABS(L2288)*'Sollecitazioni nel paramento'!$G$54,'Sollecitazioni nel paramento'!$G$53)*IF(L2288&lt;0,-1,1)</f>
        <v>153664.85805602249</v>
      </c>
      <c r="S2288" s="545">
        <f>'Foglio deposito bis'!$F$90*IF(ABS(M2288)&lt;'Sollecitazioni nel paramento'!$G$58,ABS(M2288)*'Sollecitazioni nel paramento'!$G$54,'Sollecitazioni nel paramento'!$G$53)*IF(M2288&lt;0,-1,1)</f>
        <v>0</v>
      </c>
      <c r="T2288" s="545">
        <f>'Foglio deposito bis'!$F$91*IF(ABS(N2288)&lt;'Sollecitazioni nel paramento'!$G$58,ABS(N2288)*'Sollecitazioni nel paramento'!$G$54,'Sollecitazioni nel paramento'!$G$53)*IF(N2288&lt;0,-1,1)</f>
        <v>892485.49558937876</v>
      </c>
      <c r="U2288" s="545">
        <f>'Foglio deposito bis'!$F$92*IF(ABS(O2288)&lt;'Sollecitazioni nel paramento'!$G$58,ABS(O2288)*'Sollecitazioni nel paramento'!$G$54,'Sollecitazioni nel paramento'!$G$53)*IF(O2288&lt;0,-1,1)</f>
        <v>1662039.1047339395</v>
      </c>
      <c r="V2288" s="472">
        <f t="shared" si="159"/>
        <v>1660238.6591414639</v>
      </c>
      <c r="W2288" s="551"/>
      <c r="X2288" s="551"/>
    </row>
    <row r="2289" spans="1:24" x14ac:dyDescent="0.25">
      <c r="A2289" s="545">
        <f t="shared" si="158"/>
        <v>1639690.6042544469</v>
      </c>
      <c r="B2289" s="3">
        <f t="shared" si="160"/>
        <v>2.5999999999999988</v>
      </c>
      <c r="C2289" s="545">
        <f>'Foglio deposito bis'!$E$162/sezione!$B$247*B2289</f>
        <v>28.046797756382237</v>
      </c>
      <c r="D2289" s="603">
        <f>-'Sollecitazioni nel paramento'!$G$47*'Sollecitazioni nel paramento'!$G$41*IF(DATI!$G$211="dx",DATI!$E$61,DATI!$E$64*DATI!$E$63)*1000*C2289^2*sezione!$AD$5*(1-sezione!$AD$6)</f>
        <v>-17501295.218507167</v>
      </c>
      <c r="E2289" s="545">
        <f>-'Foglio deposito bis'!$F$88*(C2289-sezione!$AL$36)*IF(ABS(K2289)&lt;'Sollecitazioni nel paramento'!$G$58,ABS(K2289)*'Sollecitazioni nel paramento'!$G$54,'Sollecitazioni nel paramento'!$G$53)</f>
        <v>0</v>
      </c>
      <c r="F2289" s="545">
        <f>-'Foglio deposito bis'!$F$89*(C2289-sezione!$AM$36)*IF(ABS(L2289)&lt;'Sollecitazioni nel paramento'!$G$58,ABS(L2289)*'Sollecitazioni nel paramento'!$G$54,'Sollecitazioni nel paramento'!$G$53)</f>
        <v>4910084.2872009026</v>
      </c>
      <c r="G2289" s="545">
        <f>-'Foglio deposito bis'!$F$90*(C2289-sezione!$AN$36)*IF(ABS(M2289)&lt;'Sollecitazioni nel paramento'!$G$58,ABS(M2289)*'Sollecitazioni nel paramento'!$G$54,'Sollecitazioni nel paramento'!$G$53)</f>
        <v>0</v>
      </c>
      <c r="H2289" s="545">
        <f>-'Foglio deposito bis'!$F$91*(C2289-sezione!$AO$36)*IF(ABS(N2289)&lt;'Sollecitazioni nel paramento'!$G$58,ABS(N2289)*'Sollecitazioni nel paramento'!$G$54,'Sollecitazioni nel paramento'!$G$53)</f>
        <v>117766319.09900074</v>
      </c>
      <c r="I2289" s="472">
        <f>-'Foglio deposito bis'!$F$92*(C2289-sezione!$AP$36)*IF(ABS(O2289)&lt;'Sollecitazioni nel paramento'!$G$58,ABS(O2289)*'Sollecitazioni nel paramento'!$G$54,'Sollecitazioni nel paramento'!$G$53)</f>
        <v>1211841728.6494</v>
      </c>
      <c r="J2289" s="472">
        <f t="shared" si="157"/>
        <v>1317016836.8170946</v>
      </c>
      <c r="K2289" s="550">
        <f>'Sollecitazioni nel paramento'!$G$60*(sezione!$AL$36-C2289)/C2289</f>
        <v>1.4916572015121427E-3</v>
      </c>
      <c r="L2289" s="550">
        <f>'Sollecitazioni nel paramento'!$G$60*(sezione!$AM$36-C2289)/C2289</f>
        <v>3.9874858022682143E-3</v>
      </c>
      <c r="M2289" s="551">
        <f>'Sollecitazioni nel paramento'!$G$60*(sezione!$AN$36-C2289)/C2289</f>
        <v>6.4833144030242863E-3</v>
      </c>
      <c r="N2289" s="551">
        <f>'Sollecitazioni nel paramento'!$G$60*(sezione!$AO$36-C2289)/C2289</f>
        <v>1.6466628806048572E-2</v>
      </c>
      <c r="O2289" s="551">
        <f>'Sollecitazioni nel paramento'!$G$60*(sezione!$AP$36-C2289)/C2289</f>
        <v>9.098911202925708E-2</v>
      </c>
      <c r="P2289" s="545">
        <f>-'Sollecitazioni nel paramento'!$G$47*'Sollecitazioni nel paramento'!$G$41*IF(DATI!$G$211="dx",DATI!$E$61,DATI!$E$64*DATI!$E$63)*1000*C2289*sezione!$AD$5</f>
        <v>-1068498.8541248939</v>
      </c>
      <c r="Q2289" s="545">
        <f>'Foglio deposito bis'!$F$88*IF(ABS(K2289)&lt;'Sollecitazioni nel paramento'!$G$58,ABS(K2289)*'Sollecitazioni nel paramento'!$G$54,'Sollecitazioni nel paramento'!$G$53)*IF(K2289&lt;0,-1,1)</f>
        <v>0</v>
      </c>
      <c r="R2289" s="545">
        <f>'Foglio deposito bis'!$F$89*IF(ABS(L2289)&lt;'Sollecitazioni nel paramento'!$G$58,ABS(L2289)*'Sollecitazioni nel paramento'!$G$54,'Sollecitazioni nel paramento'!$G$53)*IF(L2289&lt;0,-1,1)</f>
        <v>153664.85805602249</v>
      </c>
      <c r="S2289" s="545">
        <f>'Foglio deposito bis'!$F$90*IF(ABS(M2289)&lt;'Sollecitazioni nel paramento'!$G$58,ABS(M2289)*'Sollecitazioni nel paramento'!$G$54,'Sollecitazioni nel paramento'!$G$53)*IF(M2289&lt;0,-1,1)</f>
        <v>0</v>
      </c>
      <c r="T2289" s="545">
        <f>'Foglio deposito bis'!$F$91*IF(ABS(N2289)&lt;'Sollecitazioni nel paramento'!$G$58,ABS(N2289)*'Sollecitazioni nel paramento'!$G$54,'Sollecitazioni nel paramento'!$G$53)*IF(N2289&lt;0,-1,1)</f>
        <v>892485.49558937876</v>
      </c>
      <c r="U2289" s="545">
        <f>'Foglio deposito bis'!$F$92*IF(ABS(O2289)&lt;'Sollecitazioni nel paramento'!$G$58,ABS(O2289)*'Sollecitazioni nel paramento'!$G$54,'Sollecitazioni nel paramento'!$G$53)*IF(O2289&lt;0,-1,1)</f>
        <v>1662039.1047339395</v>
      </c>
      <c r="V2289" s="472">
        <f t="shared" si="159"/>
        <v>1639690.6042544469</v>
      </c>
      <c r="W2289" s="551"/>
      <c r="X2289" s="551"/>
    </row>
    <row r="2290" spans="1:24" x14ac:dyDescent="0.25">
      <c r="A2290" s="545">
        <f t="shared" si="158"/>
        <v>1619142.5493674297</v>
      </c>
      <c r="B2290" s="3">
        <f t="shared" si="160"/>
        <v>2.6499999999999986</v>
      </c>
      <c r="C2290" s="545">
        <f>'Foglio deposito bis'!$E$162/sezione!$B$247*B2290</f>
        <v>28.586159251697278</v>
      </c>
      <c r="D2290" s="603">
        <f>-'Sollecitazioni nel paramento'!$G$47*'Sollecitazioni nel paramento'!$G$41*IF(DATI!$G$211="dx",DATI!$E$61,DATI!$E$64*DATI!$E$63)*1000*C2290^2*sezione!$AD$5*(1-sezione!$AD$6)</f>
        <v>-18180894.330172572</v>
      </c>
      <c r="E2290" s="545">
        <f>-'Foglio deposito bis'!$F$88*(C2290-sezione!$AL$36)*IF(ABS(K2290)&lt;'Sollecitazioni nel paramento'!$G$58,ABS(K2290)*'Sollecitazioni nel paramento'!$G$54,'Sollecitazioni nel paramento'!$G$53)</f>
        <v>0</v>
      </c>
      <c r="F2290" s="545">
        <f>-'Foglio deposito bis'!$F$89*(C2290-sezione!$AM$36)*IF(ABS(L2290)&lt;'Sollecitazioni nel paramento'!$G$58,ABS(L2290)*'Sollecitazioni nel paramento'!$G$54,'Sollecitazioni nel paramento'!$G$53)</f>
        <v>4827203.379582433</v>
      </c>
      <c r="G2290" s="545">
        <f>-'Foglio deposito bis'!$F$90*(C2290-sezione!$AN$36)*IF(ABS(M2290)&lt;'Sollecitazioni nel paramento'!$G$58,ABS(M2290)*'Sollecitazioni nel paramento'!$G$54,'Sollecitazioni nel paramento'!$G$53)</f>
        <v>0</v>
      </c>
      <c r="H2290" s="545">
        <f>-'Foglio deposito bis'!$F$91*(C2290-sezione!$AO$36)*IF(ABS(N2290)&lt;'Sollecitazioni nel paramento'!$G$58,ABS(N2290)*'Sollecitazioni nel paramento'!$G$54,'Sollecitazioni nel paramento'!$G$53)</f>
        <v>117284946.78755265</v>
      </c>
      <c r="I2290" s="472">
        <f>-'Foglio deposito bis'!$F$92*(C2290-sezione!$AP$36)*IF(ABS(O2290)&lt;'Sollecitazioni nel paramento'!$G$58,ABS(O2290)*'Sollecitazioni nel paramento'!$G$54,'Sollecitazioni nel paramento'!$G$53)</f>
        <v>1210945288.7525988</v>
      </c>
      <c r="J2290" s="472">
        <f t="shared" si="157"/>
        <v>1314876544.5895612</v>
      </c>
      <c r="K2290" s="550">
        <f>'Sollecitazioni nel paramento'!$G$60*(sezione!$AL$36-C2290)/C2290</f>
        <v>1.3974749901628572E-3</v>
      </c>
      <c r="L2290" s="550">
        <f>'Sollecitazioni nel paramento'!$G$60*(sezione!$AM$36-C2290)/C2290</f>
        <v>3.8462124852442861E-3</v>
      </c>
      <c r="M2290" s="551">
        <f>'Sollecitazioni nel paramento'!$G$60*(sezione!$AN$36-C2290)/C2290</f>
        <v>6.294949980325714E-3</v>
      </c>
      <c r="N2290" s="551">
        <f>'Sollecitazioni nel paramento'!$G$60*(sezione!$AO$36-C2290)/C2290</f>
        <v>1.6089899960651431E-2</v>
      </c>
      <c r="O2290" s="551">
        <f>'Sollecitazioni nel paramento'!$G$60*(sezione!$AP$36-C2290)/C2290</f>
        <v>8.92062985947428E-2</v>
      </c>
      <c r="P2290" s="545">
        <f>-'Sollecitazioni nel paramento'!$G$47*'Sollecitazioni nel paramento'!$G$41*IF(DATI!$G$211="dx",DATI!$E$61,DATI!$E$64*DATI!$E$63)*1000*C2290*sezione!$AD$5</f>
        <v>-1089046.9090119111</v>
      </c>
      <c r="Q2290" s="545">
        <f>'Foglio deposito bis'!$F$88*IF(ABS(K2290)&lt;'Sollecitazioni nel paramento'!$G$58,ABS(K2290)*'Sollecitazioni nel paramento'!$G$54,'Sollecitazioni nel paramento'!$G$53)*IF(K2290&lt;0,-1,1)</f>
        <v>0</v>
      </c>
      <c r="R2290" s="545">
        <f>'Foglio deposito bis'!$F$89*IF(ABS(L2290)&lt;'Sollecitazioni nel paramento'!$G$58,ABS(L2290)*'Sollecitazioni nel paramento'!$G$54,'Sollecitazioni nel paramento'!$G$53)*IF(L2290&lt;0,-1,1)</f>
        <v>153664.85805602249</v>
      </c>
      <c r="S2290" s="545">
        <f>'Foglio deposito bis'!$F$90*IF(ABS(M2290)&lt;'Sollecitazioni nel paramento'!$G$58,ABS(M2290)*'Sollecitazioni nel paramento'!$G$54,'Sollecitazioni nel paramento'!$G$53)*IF(M2290&lt;0,-1,1)</f>
        <v>0</v>
      </c>
      <c r="T2290" s="545">
        <f>'Foglio deposito bis'!$F$91*IF(ABS(N2290)&lt;'Sollecitazioni nel paramento'!$G$58,ABS(N2290)*'Sollecitazioni nel paramento'!$G$54,'Sollecitazioni nel paramento'!$G$53)*IF(N2290&lt;0,-1,1)</f>
        <v>892485.49558937876</v>
      </c>
      <c r="U2290" s="545">
        <f>'Foglio deposito bis'!$F$92*IF(ABS(O2290)&lt;'Sollecitazioni nel paramento'!$G$58,ABS(O2290)*'Sollecitazioni nel paramento'!$G$54,'Sollecitazioni nel paramento'!$G$53)*IF(O2290&lt;0,-1,1)</f>
        <v>1662039.1047339395</v>
      </c>
      <c r="V2290" s="472">
        <f t="shared" si="159"/>
        <v>1619142.5493674297</v>
      </c>
      <c r="W2290" s="551"/>
      <c r="X2290" s="551"/>
    </row>
    <row r="2291" spans="1:24" x14ac:dyDescent="0.25">
      <c r="A2291" s="545">
        <f t="shared" si="158"/>
        <v>1598594.4944804127</v>
      </c>
      <c r="B2291" s="3">
        <f t="shared" si="160"/>
        <v>2.6999999999999984</v>
      </c>
      <c r="C2291" s="545">
        <f>'Foglio deposito bis'!$E$162/sezione!$B$247*B2291</f>
        <v>29.12552074701232</v>
      </c>
      <c r="D2291" s="603">
        <f>-'Sollecitazioni nel paramento'!$G$47*'Sollecitazioni nel paramento'!$G$41*IF(DATI!$G$211="dx",DATI!$E$61,DATI!$E$64*DATI!$E$63)*1000*C2291^2*sezione!$AD$5*(1-sezione!$AD$6)</f>
        <v>-18873438.186822075</v>
      </c>
      <c r="E2291" s="545">
        <f>-'Foglio deposito bis'!$F$88*(C2291-sezione!$AL$36)*IF(ABS(K2291)&lt;'Sollecitazioni nel paramento'!$G$58,ABS(K2291)*'Sollecitazioni nel paramento'!$G$54,'Sollecitazioni nel paramento'!$G$53)</f>
        <v>0</v>
      </c>
      <c r="F2291" s="545">
        <f>-'Foglio deposito bis'!$F$89*(C2291-sezione!$AM$36)*IF(ABS(L2291)&lt;'Sollecitazioni nel paramento'!$G$58,ABS(L2291)*'Sollecitazioni nel paramento'!$G$54,'Sollecitazioni nel paramento'!$G$53)</f>
        <v>4744322.4719639635</v>
      </c>
      <c r="G2291" s="545">
        <f>-'Foglio deposito bis'!$F$90*(C2291-sezione!$AN$36)*IF(ABS(M2291)&lt;'Sollecitazioni nel paramento'!$G$58,ABS(M2291)*'Sollecitazioni nel paramento'!$G$54,'Sollecitazioni nel paramento'!$G$53)</f>
        <v>0</v>
      </c>
      <c r="H2291" s="545">
        <f>-'Foglio deposito bis'!$F$91*(C2291-sezione!$AO$36)*IF(ABS(N2291)&lt;'Sollecitazioni nel paramento'!$G$58,ABS(N2291)*'Sollecitazioni nel paramento'!$G$54,'Sollecitazioni nel paramento'!$G$53)</f>
        <v>116803574.47610459</v>
      </c>
      <c r="I2291" s="472">
        <f>-'Foglio deposito bis'!$F$92*(C2291-sezione!$AP$36)*IF(ABS(O2291)&lt;'Sollecitazioni nel paramento'!$G$58,ABS(O2291)*'Sollecitazioni nel paramento'!$G$54,'Sollecitazioni nel paramento'!$G$53)</f>
        <v>1210048848.8557975</v>
      </c>
      <c r="J2291" s="472">
        <f t="shared" si="157"/>
        <v>1312723307.617044</v>
      </c>
      <c r="K2291" s="550">
        <f>'Sollecitazioni nel paramento'!$G$60*(sezione!$AL$36-C2291)/C2291</f>
        <v>1.3067810088635454E-3</v>
      </c>
      <c r="L2291" s="550">
        <f>'Sollecitazioni nel paramento'!$G$60*(sezione!$AM$36-C2291)/C2291</f>
        <v>3.7101715132953181E-3</v>
      </c>
      <c r="M2291" s="551">
        <f>'Sollecitazioni nel paramento'!$G$60*(sezione!$AN$36-C2291)/C2291</f>
        <v>6.113562017727091E-3</v>
      </c>
      <c r="N2291" s="551">
        <f>'Sollecitazioni nel paramento'!$G$60*(sezione!$AO$36-C2291)/C2291</f>
        <v>1.572712403545418E-2</v>
      </c>
      <c r="O2291" s="551">
        <f>'Sollecitazioni nel paramento'!$G$60*(sezione!$AP$36-C2291)/C2291</f>
        <v>8.7489515287432748E-2</v>
      </c>
      <c r="P2291" s="545">
        <f>-'Sollecitazioni nel paramento'!$G$47*'Sollecitazioni nel paramento'!$G$41*IF(DATI!$G$211="dx",DATI!$E$61,DATI!$E$64*DATI!$E$63)*1000*C2291*sezione!$AD$5</f>
        <v>-1109594.9638989281</v>
      </c>
      <c r="Q2291" s="545">
        <f>'Foglio deposito bis'!$F$88*IF(ABS(K2291)&lt;'Sollecitazioni nel paramento'!$G$58,ABS(K2291)*'Sollecitazioni nel paramento'!$G$54,'Sollecitazioni nel paramento'!$G$53)*IF(K2291&lt;0,-1,1)</f>
        <v>0</v>
      </c>
      <c r="R2291" s="545">
        <f>'Foglio deposito bis'!$F$89*IF(ABS(L2291)&lt;'Sollecitazioni nel paramento'!$G$58,ABS(L2291)*'Sollecitazioni nel paramento'!$G$54,'Sollecitazioni nel paramento'!$G$53)*IF(L2291&lt;0,-1,1)</f>
        <v>153664.85805602249</v>
      </c>
      <c r="S2291" s="545">
        <f>'Foglio deposito bis'!$F$90*IF(ABS(M2291)&lt;'Sollecitazioni nel paramento'!$G$58,ABS(M2291)*'Sollecitazioni nel paramento'!$G$54,'Sollecitazioni nel paramento'!$G$53)*IF(M2291&lt;0,-1,1)</f>
        <v>0</v>
      </c>
      <c r="T2291" s="545">
        <f>'Foglio deposito bis'!$F$91*IF(ABS(N2291)&lt;'Sollecitazioni nel paramento'!$G$58,ABS(N2291)*'Sollecitazioni nel paramento'!$G$54,'Sollecitazioni nel paramento'!$G$53)*IF(N2291&lt;0,-1,1)</f>
        <v>892485.49558937876</v>
      </c>
      <c r="U2291" s="545">
        <f>'Foglio deposito bis'!$F$92*IF(ABS(O2291)&lt;'Sollecitazioni nel paramento'!$G$58,ABS(O2291)*'Sollecitazioni nel paramento'!$G$54,'Sollecitazioni nel paramento'!$G$53)*IF(O2291&lt;0,-1,1)</f>
        <v>1662039.1047339395</v>
      </c>
      <c r="V2291" s="472">
        <f t="shared" si="159"/>
        <v>1598594.4944804127</v>
      </c>
      <c r="W2291" s="551"/>
      <c r="X2291" s="551"/>
    </row>
    <row r="2292" spans="1:24" x14ac:dyDescent="0.25">
      <c r="A2292" s="545">
        <f t="shared" si="158"/>
        <v>1578046.4395933955</v>
      </c>
      <c r="B2292" s="3">
        <f t="shared" si="160"/>
        <v>2.7499999999999982</v>
      </c>
      <c r="C2292" s="545">
        <f>'Foglio deposito bis'!$E$162/sezione!$B$247*B2292</f>
        <v>29.664882242327362</v>
      </c>
      <c r="D2292" s="603">
        <f>-'Sollecitazioni nel paramento'!$G$47*'Sollecitazioni nel paramento'!$G$41*IF(DATI!$G$211="dx",DATI!$E$61,DATI!$E$64*DATI!$E$63)*1000*C2292^2*sezione!$AD$5*(1-sezione!$AD$6)</f>
        <v>-19578926.788455684</v>
      </c>
      <c r="E2292" s="545">
        <f>-'Foglio deposito bis'!$F$88*(C2292-sezione!$AL$36)*IF(ABS(K2292)&lt;'Sollecitazioni nel paramento'!$G$58,ABS(K2292)*'Sollecitazioni nel paramento'!$G$54,'Sollecitazioni nel paramento'!$G$53)</f>
        <v>0</v>
      </c>
      <c r="F2292" s="545">
        <f>-'Foglio deposito bis'!$F$89*(C2292-sezione!$AM$36)*IF(ABS(L2292)&lt;'Sollecitazioni nel paramento'!$G$58,ABS(L2292)*'Sollecitazioni nel paramento'!$G$54,'Sollecitazioni nel paramento'!$G$53)</f>
        <v>4661441.564345493</v>
      </c>
      <c r="G2292" s="545">
        <f>-'Foglio deposito bis'!$F$90*(C2292-sezione!$AN$36)*IF(ABS(M2292)&lt;'Sollecitazioni nel paramento'!$G$58,ABS(M2292)*'Sollecitazioni nel paramento'!$G$54,'Sollecitazioni nel paramento'!$G$53)</f>
        <v>0</v>
      </c>
      <c r="H2292" s="545">
        <f>-'Foglio deposito bis'!$F$91*(C2292-sezione!$AO$36)*IF(ABS(N2292)&lt;'Sollecitazioni nel paramento'!$G$58,ABS(N2292)*'Sollecitazioni nel paramento'!$G$54,'Sollecitazioni nel paramento'!$G$53)</f>
        <v>116322202.1646565</v>
      </c>
      <c r="I2292" s="472">
        <f>-'Foglio deposito bis'!$F$92*(C2292-sezione!$AP$36)*IF(ABS(O2292)&lt;'Sollecitazioni nel paramento'!$G$58,ABS(O2292)*'Sollecitazioni nel paramento'!$G$54,'Sollecitazioni nel paramento'!$G$53)</f>
        <v>1209152408.9589958</v>
      </c>
      <c r="J2292" s="472">
        <f t="shared" si="157"/>
        <v>1310557125.8995421</v>
      </c>
      <c r="K2292" s="550">
        <f>'Sollecitazioni nel paramento'!$G$60*(sezione!$AL$36-C2292)/C2292</f>
        <v>1.2193849905205718E-3</v>
      </c>
      <c r="L2292" s="550">
        <f>'Sollecitazioni nel paramento'!$G$60*(sezione!$AM$36-C2292)/C2292</f>
        <v>3.5790774857808578E-3</v>
      </c>
      <c r="M2292" s="551">
        <f>'Sollecitazioni nel paramento'!$G$60*(sezione!$AN$36-C2292)/C2292</f>
        <v>5.9387699810411433E-3</v>
      </c>
      <c r="N2292" s="551">
        <f>'Sollecitazioni nel paramento'!$G$60*(sezione!$AO$36-C2292)/C2292</f>
        <v>1.5377539962082288E-2</v>
      </c>
      <c r="O2292" s="551">
        <f>'Sollecitazioni nel paramento'!$G$60*(sezione!$AP$36-C2292)/C2292</f>
        <v>8.5835160464024882E-2</v>
      </c>
      <c r="P2292" s="545">
        <f>-'Sollecitazioni nel paramento'!$G$47*'Sollecitazioni nel paramento'!$G$41*IF(DATI!$G$211="dx",DATI!$E$61,DATI!$E$64*DATI!$E$63)*1000*C2292*sezione!$AD$5</f>
        <v>-1130143.0187859454</v>
      </c>
      <c r="Q2292" s="545">
        <f>'Foglio deposito bis'!$F$88*IF(ABS(K2292)&lt;'Sollecitazioni nel paramento'!$G$58,ABS(K2292)*'Sollecitazioni nel paramento'!$G$54,'Sollecitazioni nel paramento'!$G$53)*IF(K2292&lt;0,-1,1)</f>
        <v>0</v>
      </c>
      <c r="R2292" s="545">
        <f>'Foglio deposito bis'!$F$89*IF(ABS(L2292)&lt;'Sollecitazioni nel paramento'!$G$58,ABS(L2292)*'Sollecitazioni nel paramento'!$G$54,'Sollecitazioni nel paramento'!$G$53)*IF(L2292&lt;0,-1,1)</f>
        <v>153664.85805602249</v>
      </c>
      <c r="S2292" s="545">
        <f>'Foglio deposito bis'!$F$90*IF(ABS(M2292)&lt;'Sollecitazioni nel paramento'!$G$58,ABS(M2292)*'Sollecitazioni nel paramento'!$G$54,'Sollecitazioni nel paramento'!$G$53)*IF(M2292&lt;0,-1,1)</f>
        <v>0</v>
      </c>
      <c r="T2292" s="545">
        <f>'Foglio deposito bis'!$F$91*IF(ABS(N2292)&lt;'Sollecitazioni nel paramento'!$G$58,ABS(N2292)*'Sollecitazioni nel paramento'!$G$54,'Sollecitazioni nel paramento'!$G$53)*IF(N2292&lt;0,-1,1)</f>
        <v>892485.49558937876</v>
      </c>
      <c r="U2292" s="545">
        <f>'Foglio deposito bis'!$F$92*IF(ABS(O2292)&lt;'Sollecitazioni nel paramento'!$G$58,ABS(O2292)*'Sollecitazioni nel paramento'!$G$54,'Sollecitazioni nel paramento'!$G$53)*IF(O2292&lt;0,-1,1)</f>
        <v>1662039.1047339395</v>
      </c>
      <c r="V2292" s="472">
        <f t="shared" si="159"/>
        <v>1578046.4395933955</v>
      </c>
      <c r="W2292" s="551"/>
      <c r="X2292" s="551"/>
    </row>
    <row r="2293" spans="1:24" x14ac:dyDescent="0.25">
      <c r="A2293" s="545">
        <f t="shared" si="158"/>
        <v>1557498.3847063787</v>
      </c>
      <c r="B2293" s="3">
        <f t="shared" si="160"/>
        <v>2.799999999999998</v>
      </c>
      <c r="C2293" s="545">
        <f>'Foglio deposito bis'!$E$162/sezione!$B$247*B2293</f>
        <v>30.2042437376424</v>
      </c>
      <c r="D2293" s="603">
        <f>-'Sollecitazioni nel paramento'!$G$47*'Sollecitazioni nel paramento'!$G$41*IF(DATI!$G$211="dx",DATI!$E$61,DATI!$E$64*DATI!$E$63)*1000*C2293^2*sezione!$AD$5*(1-sezione!$AD$6)</f>
        <v>-20297360.135073394</v>
      </c>
      <c r="E2293" s="545">
        <f>-'Foglio deposito bis'!$F$88*(C2293-sezione!$AL$36)*IF(ABS(K2293)&lt;'Sollecitazioni nel paramento'!$G$58,ABS(K2293)*'Sollecitazioni nel paramento'!$G$54,'Sollecitazioni nel paramento'!$G$53)</f>
        <v>0</v>
      </c>
      <c r="F2293" s="545">
        <f>-'Foglio deposito bis'!$F$89*(C2293-sezione!$AM$36)*IF(ABS(L2293)&lt;'Sollecitazioni nel paramento'!$G$58,ABS(L2293)*'Sollecitazioni nel paramento'!$G$54,'Sollecitazioni nel paramento'!$G$53)</f>
        <v>4578560.6567270244</v>
      </c>
      <c r="G2293" s="545">
        <f>-'Foglio deposito bis'!$F$90*(C2293-sezione!$AN$36)*IF(ABS(M2293)&lt;'Sollecitazioni nel paramento'!$G$58,ABS(M2293)*'Sollecitazioni nel paramento'!$G$54,'Sollecitazioni nel paramento'!$G$53)</f>
        <v>0</v>
      </c>
      <c r="H2293" s="545">
        <f>-'Foglio deposito bis'!$F$91*(C2293-sezione!$AO$36)*IF(ABS(N2293)&lt;'Sollecitazioni nel paramento'!$G$58,ABS(N2293)*'Sollecitazioni nel paramento'!$G$54,'Sollecitazioni nel paramento'!$G$53)</f>
        <v>115840829.85320844</v>
      </c>
      <c r="I2293" s="472">
        <f>-'Foglio deposito bis'!$F$92*(C2293-sezione!$AP$36)*IF(ABS(O2293)&lt;'Sollecitazioni nel paramento'!$G$58,ABS(O2293)*'Sollecitazioni nel paramento'!$G$54,'Sollecitazioni nel paramento'!$G$53)</f>
        <v>1208255969.0621946</v>
      </c>
      <c r="J2293" s="472">
        <f t="shared" si="157"/>
        <v>1308377999.4370565</v>
      </c>
      <c r="K2293" s="550">
        <f>'Sollecitazioni nel paramento'!$G$60*(sezione!$AL$36-C2293)/C2293</f>
        <v>1.135110258546991E-3</v>
      </c>
      <c r="L2293" s="550">
        <f>'Sollecitazioni nel paramento'!$G$60*(sezione!$AM$36-C2293)/C2293</f>
        <v>3.4526653878204864E-3</v>
      </c>
      <c r="M2293" s="551">
        <f>'Sollecitazioni nel paramento'!$G$60*(sezione!$AN$36-C2293)/C2293</f>
        <v>5.7702205170939826E-3</v>
      </c>
      <c r="N2293" s="551">
        <f>'Sollecitazioni nel paramento'!$G$60*(sezione!$AO$36-C2293)/C2293</f>
        <v>1.5040441034187965E-2</v>
      </c>
      <c r="O2293" s="551">
        <f>'Sollecitazioni nel paramento'!$G$60*(sezione!$AP$36-C2293)/C2293</f>
        <v>8.4239889741453022E-2</v>
      </c>
      <c r="P2293" s="545">
        <f>-'Sollecitazioni nel paramento'!$G$47*'Sollecitazioni nel paramento'!$G$41*IF(DATI!$G$211="dx",DATI!$E$61,DATI!$E$64*DATI!$E$63)*1000*C2293*sezione!$AD$5</f>
        <v>-1150691.0736729621</v>
      </c>
      <c r="Q2293" s="545">
        <f>'Foglio deposito bis'!$F$88*IF(ABS(K2293)&lt;'Sollecitazioni nel paramento'!$G$58,ABS(K2293)*'Sollecitazioni nel paramento'!$G$54,'Sollecitazioni nel paramento'!$G$53)*IF(K2293&lt;0,-1,1)</f>
        <v>0</v>
      </c>
      <c r="R2293" s="545">
        <f>'Foglio deposito bis'!$F$89*IF(ABS(L2293)&lt;'Sollecitazioni nel paramento'!$G$58,ABS(L2293)*'Sollecitazioni nel paramento'!$G$54,'Sollecitazioni nel paramento'!$G$53)*IF(L2293&lt;0,-1,1)</f>
        <v>153664.85805602249</v>
      </c>
      <c r="S2293" s="545">
        <f>'Foglio deposito bis'!$F$90*IF(ABS(M2293)&lt;'Sollecitazioni nel paramento'!$G$58,ABS(M2293)*'Sollecitazioni nel paramento'!$G$54,'Sollecitazioni nel paramento'!$G$53)*IF(M2293&lt;0,-1,1)</f>
        <v>0</v>
      </c>
      <c r="T2293" s="545">
        <f>'Foglio deposito bis'!$F$91*IF(ABS(N2293)&lt;'Sollecitazioni nel paramento'!$G$58,ABS(N2293)*'Sollecitazioni nel paramento'!$G$54,'Sollecitazioni nel paramento'!$G$53)*IF(N2293&lt;0,-1,1)</f>
        <v>892485.49558937876</v>
      </c>
      <c r="U2293" s="545">
        <f>'Foglio deposito bis'!$F$92*IF(ABS(O2293)&lt;'Sollecitazioni nel paramento'!$G$58,ABS(O2293)*'Sollecitazioni nel paramento'!$G$54,'Sollecitazioni nel paramento'!$G$53)*IF(O2293&lt;0,-1,1)</f>
        <v>1662039.1047339395</v>
      </c>
      <c r="V2293" s="472">
        <f t="shared" si="159"/>
        <v>1557498.3847063787</v>
      </c>
      <c r="W2293" s="551"/>
      <c r="X2293" s="551"/>
    </row>
    <row r="2294" spans="1:24" x14ac:dyDescent="0.25">
      <c r="A2294" s="545">
        <f t="shared" si="158"/>
        <v>1536950.3298193612</v>
      </c>
      <c r="B2294" s="3">
        <f t="shared" si="160"/>
        <v>2.8499999999999979</v>
      </c>
      <c r="C2294" s="545">
        <f>'Foglio deposito bis'!$E$162/sezione!$B$247*B2294</f>
        <v>30.743605232957442</v>
      </c>
      <c r="D2294" s="603">
        <f>-'Sollecitazioni nel paramento'!$G$47*'Sollecitazioni nel paramento'!$G$41*IF(DATI!$G$211="dx",DATI!$E$61,DATI!$E$64*DATI!$E$63)*1000*C2294^2*sezione!$AD$5*(1-sezione!$AD$6)</f>
        <v>-21028738.226675209</v>
      </c>
      <c r="E2294" s="545">
        <f>-'Foglio deposito bis'!$F$88*(C2294-sezione!$AL$36)*IF(ABS(K2294)&lt;'Sollecitazioni nel paramento'!$G$58,ABS(K2294)*'Sollecitazioni nel paramento'!$G$54,'Sollecitazioni nel paramento'!$G$53)</f>
        <v>0</v>
      </c>
      <c r="F2294" s="545">
        <f>-'Foglio deposito bis'!$F$89*(C2294-sezione!$AM$36)*IF(ABS(L2294)&lt;'Sollecitazioni nel paramento'!$G$58,ABS(L2294)*'Sollecitazioni nel paramento'!$G$54,'Sollecitazioni nel paramento'!$G$53)</f>
        <v>4495679.7491085539</v>
      </c>
      <c r="G2294" s="545">
        <f>-'Foglio deposito bis'!$F$90*(C2294-sezione!$AN$36)*IF(ABS(M2294)&lt;'Sollecitazioni nel paramento'!$G$58,ABS(M2294)*'Sollecitazioni nel paramento'!$G$54,'Sollecitazioni nel paramento'!$G$53)</f>
        <v>0</v>
      </c>
      <c r="H2294" s="545">
        <f>-'Foglio deposito bis'!$F$91*(C2294-sezione!$AO$36)*IF(ABS(N2294)&lt;'Sollecitazioni nel paramento'!$G$58,ABS(N2294)*'Sollecitazioni nel paramento'!$G$54,'Sollecitazioni nel paramento'!$G$53)</f>
        <v>115359457.54176036</v>
      </c>
      <c r="I2294" s="472">
        <f>-'Foglio deposito bis'!$F$92*(C2294-sezione!$AP$36)*IF(ABS(O2294)&lt;'Sollecitazioni nel paramento'!$G$58,ABS(O2294)*'Sollecitazioni nel paramento'!$G$54,'Sollecitazioni nel paramento'!$G$53)</f>
        <v>1207359529.1653934</v>
      </c>
      <c r="J2294" s="472">
        <f t="shared" si="157"/>
        <v>1306185928.2295871</v>
      </c>
      <c r="K2294" s="550">
        <f>'Sollecitazioni nel paramento'!$G$60*(sezione!$AL$36-C2294)/C2294</f>
        <v>1.0537925347128335E-3</v>
      </c>
      <c r="L2294" s="550">
        <f>'Sollecitazioni nel paramento'!$G$60*(sezione!$AM$36-C2294)/C2294</f>
        <v>3.3306888020692505E-3</v>
      </c>
      <c r="M2294" s="551">
        <f>'Sollecitazioni nel paramento'!$G$60*(sezione!$AN$36-C2294)/C2294</f>
        <v>5.6075850694256675E-3</v>
      </c>
      <c r="N2294" s="551">
        <f>'Sollecitazioni nel paramento'!$G$60*(sezione!$AO$36-C2294)/C2294</f>
        <v>1.4715170138851335E-2</v>
      </c>
      <c r="O2294" s="551">
        <f>'Sollecitazioni nel paramento'!$G$60*(sezione!$AP$36-C2294)/C2294</f>
        <v>8.2700593430199476E-2</v>
      </c>
      <c r="P2294" s="545">
        <f>-'Sollecitazioni nel paramento'!$G$47*'Sollecitazioni nel paramento'!$G$41*IF(DATI!$G$211="dx",DATI!$E$61,DATI!$E$64*DATI!$E$63)*1000*C2294*sezione!$AD$5</f>
        <v>-1171239.1285599796</v>
      </c>
      <c r="Q2294" s="545">
        <f>'Foglio deposito bis'!$F$88*IF(ABS(K2294)&lt;'Sollecitazioni nel paramento'!$G$58,ABS(K2294)*'Sollecitazioni nel paramento'!$G$54,'Sollecitazioni nel paramento'!$G$53)*IF(K2294&lt;0,-1,1)</f>
        <v>0</v>
      </c>
      <c r="R2294" s="545">
        <f>'Foglio deposito bis'!$F$89*IF(ABS(L2294)&lt;'Sollecitazioni nel paramento'!$G$58,ABS(L2294)*'Sollecitazioni nel paramento'!$G$54,'Sollecitazioni nel paramento'!$G$53)*IF(L2294&lt;0,-1,1)</f>
        <v>153664.85805602249</v>
      </c>
      <c r="S2294" s="545">
        <f>'Foglio deposito bis'!$F$90*IF(ABS(M2294)&lt;'Sollecitazioni nel paramento'!$G$58,ABS(M2294)*'Sollecitazioni nel paramento'!$G$54,'Sollecitazioni nel paramento'!$G$53)*IF(M2294&lt;0,-1,1)</f>
        <v>0</v>
      </c>
      <c r="T2294" s="545">
        <f>'Foglio deposito bis'!$F$91*IF(ABS(N2294)&lt;'Sollecitazioni nel paramento'!$G$58,ABS(N2294)*'Sollecitazioni nel paramento'!$G$54,'Sollecitazioni nel paramento'!$G$53)*IF(N2294&lt;0,-1,1)</f>
        <v>892485.49558937876</v>
      </c>
      <c r="U2294" s="545">
        <f>'Foglio deposito bis'!$F$92*IF(ABS(O2294)&lt;'Sollecitazioni nel paramento'!$G$58,ABS(O2294)*'Sollecitazioni nel paramento'!$G$54,'Sollecitazioni nel paramento'!$G$53)*IF(O2294&lt;0,-1,1)</f>
        <v>1662039.1047339395</v>
      </c>
      <c r="V2294" s="472">
        <f t="shared" si="159"/>
        <v>1536950.3298193612</v>
      </c>
      <c r="W2294" s="551"/>
      <c r="X2294" s="551"/>
    </row>
    <row r="2295" spans="1:24" x14ac:dyDescent="0.25">
      <c r="A2295" s="545">
        <f t="shared" si="158"/>
        <v>1516402.2749323442</v>
      </c>
      <c r="B2295" s="3">
        <f t="shared" si="160"/>
        <v>2.8999999999999977</v>
      </c>
      <c r="C2295" s="545">
        <f>'Foglio deposito bis'!$E$162/sezione!$B$247*B2295</f>
        <v>31.282966728272484</v>
      </c>
      <c r="D2295" s="603">
        <f>-'Sollecitazioni nel paramento'!$G$47*'Sollecitazioni nel paramento'!$G$41*IF(DATI!$G$211="dx",DATI!$E$61,DATI!$E$64*DATI!$E$63)*1000*C2295^2*sezione!$AD$5*(1-sezione!$AD$6)</f>
        <v>-21773061.063261125</v>
      </c>
      <c r="E2295" s="545">
        <f>-'Foglio deposito bis'!$F$88*(C2295-sezione!$AL$36)*IF(ABS(K2295)&lt;'Sollecitazioni nel paramento'!$G$58,ABS(K2295)*'Sollecitazioni nel paramento'!$G$54,'Sollecitazioni nel paramento'!$G$53)</f>
        <v>0</v>
      </c>
      <c r="F2295" s="545">
        <f>-'Foglio deposito bis'!$F$89*(C2295-sezione!$AM$36)*IF(ABS(L2295)&lt;'Sollecitazioni nel paramento'!$G$58,ABS(L2295)*'Sollecitazioni nel paramento'!$G$54,'Sollecitazioni nel paramento'!$G$53)</f>
        <v>4412798.8414900834</v>
      </c>
      <c r="G2295" s="545">
        <f>-'Foglio deposito bis'!$F$90*(C2295-sezione!$AN$36)*IF(ABS(M2295)&lt;'Sollecitazioni nel paramento'!$G$58,ABS(M2295)*'Sollecitazioni nel paramento'!$G$54,'Sollecitazioni nel paramento'!$G$53)</f>
        <v>0</v>
      </c>
      <c r="H2295" s="545">
        <f>-'Foglio deposito bis'!$F$91*(C2295-sezione!$AO$36)*IF(ABS(N2295)&lt;'Sollecitazioni nel paramento'!$G$58,ABS(N2295)*'Sollecitazioni nel paramento'!$G$54,'Sollecitazioni nel paramento'!$G$53)</f>
        <v>114878085.23031232</v>
      </c>
      <c r="I2295" s="472">
        <f>-'Foglio deposito bis'!$F$92*(C2295-sezione!$AP$36)*IF(ABS(O2295)&lt;'Sollecitazioni nel paramento'!$G$58,ABS(O2295)*'Sollecitazioni nel paramento'!$G$54,'Sollecitazioni nel paramento'!$G$53)</f>
        <v>1206463089.2685919</v>
      </c>
      <c r="J2295" s="472">
        <f t="shared" si="157"/>
        <v>1303980912.2771332</v>
      </c>
      <c r="K2295" s="550">
        <f>'Sollecitazioni nel paramento'!$G$60*(sezione!$AL$36-C2295)/C2295</f>
        <v>9.7527887032123305E-4</v>
      </c>
      <c r="L2295" s="550">
        <f>'Sollecitazioni nel paramento'!$G$60*(sezione!$AM$36-C2295)/C2295</f>
        <v>3.2129183054818494E-3</v>
      </c>
      <c r="M2295" s="551">
        <f>'Sollecitazioni nel paramento'!$G$60*(sezione!$AN$36-C2295)/C2295</f>
        <v>5.4505577406424666E-3</v>
      </c>
      <c r="N2295" s="551">
        <f>'Sollecitazioni nel paramento'!$G$60*(sezione!$AO$36-C2295)/C2295</f>
        <v>1.4401115481284935E-2</v>
      </c>
      <c r="O2295" s="551">
        <f>'Sollecitazioni nel paramento'!$G$60*(sezione!$AP$36-C2295)/C2295</f>
        <v>8.1214376302092578E-2</v>
      </c>
      <c r="P2295" s="545">
        <f>-'Sollecitazioni nel paramento'!$G$47*'Sollecitazioni nel paramento'!$G$41*IF(DATI!$G$211="dx",DATI!$E$61,DATI!$E$64*DATI!$E$63)*1000*C2295*sezione!$AD$5</f>
        <v>-1191787.1834469966</v>
      </c>
      <c r="Q2295" s="545">
        <f>'Foglio deposito bis'!$F$88*IF(ABS(K2295)&lt;'Sollecitazioni nel paramento'!$G$58,ABS(K2295)*'Sollecitazioni nel paramento'!$G$54,'Sollecitazioni nel paramento'!$G$53)*IF(K2295&lt;0,-1,1)</f>
        <v>0</v>
      </c>
      <c r="R2295" s="545">
        <f>'Foglio deposito bis'!$F$89*IF(ABS(L2295)&lt;'Sollecitazioni nel paramento'!$G$58,ABS(L2295)*'Sollecitazioni nel paramento'!$G$54,'Sollecitazioni nel paramento'!$G$53)*IF(L2295&lt;0,-1,1)</f>
        <v>153664.85805602249</v>
      </c>
      <c r="S2295" s="545">
        <f>'Foglio deposito bis'!$F$90*IF(ABS(M2295)&lt;'Sollecitazioni nel paramento'!$G$58,ABS(M2295)*'Sollecitazioni nel paramento'!$G$54,'Sollecitazioni nel paramento'!$G$53)*IF(M2295&lt;0,-1,1)</f>
        <v>0</v>
      </c>
      <c r="T2295" s="545">
        <f>'Foglio deposito bis'!$F$91*IF(ABS(N2295)&lt;'Sollecitazioni nel paramento'!$G$58,ABS(N2295)*'Sollecitazioni nel paramento'!$G$54,'Sollecitazioni nel paramento'!$G$53)*IF(N2295&lt;0,-1,1)</f>
        <v>892485.49558937876</v>
      </c>
      <c r="U2295" s="545">
        <f>'Foglio deposito bis'!$F$92*IF(ABS(O2295)&lt;'Sollecitazioni nel paramento'!$G$58,ABS(O2295)*'Sollecitazioni nel paramento'!$G$54,'Sollecitazioni nel paramento'!$G$53)*IF(O2295&lt;0,-1,1)</f>
        <v>1662039.1047339395</v>
      </c>
      <c r="V2295" s="472">
        <f t="shared" si="159"/>
        <v>1516402.2749323442</v>
      </c>
      <c r="W2295" s="551"/>
      <c r="X2295" s="551"/>
    </row>
    <row r="2296" spans="1:24" x14ac:dyDescent="0.25">
      <c r="A2296" s="545">
        <f t="shared" si="158"/>
        <v>1495854.220045327</v>
      </c>
      <c r="B2296" s="3">
        <f t="shared" si="160"/>
        <v>2.9499999999999975</v>
      </c>
      <c r="C2296" s="545">
        <f>'Foglio deposito bis'!$E$162/sezione!$B$247*B2296</f>
        <v>31.822328223587526</v>
      </c>
      <c r="D2296" s="603">
        <f>-'Sollecitazioni nel paramento'!$G$47*'Sollecitazioni nel paramento'!$G$41*IF(DATI!$G$211="dx",DATI!$E$61,DATI!$E$64*DATI!$E$63)*1000*C2296^2*sezione!$AD$5*(1-sezione!$AD$6)</f>
        <v>-22530328.644831143</v>
      </c>
      <c r="E2296" s="545">
        <f>-'Foglio deposito bis'!$F$88*(C2296-sezione!$AL$36)*IF(ABS(K2296)&lt;'Sollecitazioni nel paramento'!$G$58,ABS(K2296)*'Sollecitazioni nel paramento'!$G$54,'Sollecitazioni nel paramento'!$G$53)</f>
        <v>0</v>
      </c>
      <c r="F2296" s="545">
        <f>-'Foglio deposito bis'!$F$89*(C2296-sezione!$AM$36)*IF(ABS(L2296)&lt;'Sollecitazioni nel paramento'!$G$58,ABS(L2296)*'Sollecitazioni nel paramento'!$G$54,'Sollecitazioni nel paramento'!$G$53)</f>
        <v>4329917.9338716147</v>
      </c>
      <c r="G2296" s="545">
        <f>-'Foglio deposito bis'!$F$90*(C2296-sezione!$AN$36)*IF(ABS(M2296)&lt;'Sollecitazioni nel paramento'!$G$58,ABS(M2296)*'Sollecitazioni nel paramento'!$G$54,'Sollecitazioni nel paramento'!$G$53)</f>
        <v>0</v>
      </c>
      <c r="H2296" s="545">
        <f>-'Foglio deposito bis'!$F$91*(C2296-sezione!$AO$36)*IF(ABS(N2296)&lt;'Sollecitazioni nel paramento'!$G$58,ABS(N2296)*'Sollecitazioni nel paramento'!$G$54,'Sollecitazioni nel paramento'!$G$53)</f>
        <v>114396712.91886422</v>
      </c>
      <c r="I2296" s="472">
        <f>-'Foglio deposito bis'!$F$92*(C2296-sezione!$AP$36)*IF(ABS(O2296)&lt;'Sollecitazioni nel paramento'!$G$58,ABS(O2296)*'Sollecitazioni nel paramento'!$G$54,'Sollecitazioni nel paramento'!$G$53)</f>
        <v>1205566649.3717904</v>
      </c>
      <c r="J2296" s="472">
        <f t="shared" si="157"/>
        <v>1301762951.5796952</v>
      </c>
      <c r="K2296" s="550">
        <f>'Sollecitazioni nel paramento'!$G$60*(sezione!$AL$36-C2296)/C2296</f>
        <v>8.9942668607850037E-4</v>
      </c>
      <c r="L2296" s="550">
        <f>'Sollecitazioni nel paramento'!$G$60*(sezione!$AM$36-C2296)/C2296</f>
        <v>3.0991400291177505E-3</v>
      </c>
      <c r="M2296" s="551">
        <f>'Sollecitazioni nel paramento'!$G$60*(sezione!$AN$36-C2296)/C2296</f>
        <v>5.2988533721570006E-3</v>
      </c>
      <c r="N2296" s="551">
        <f>'Sollecitazioni nel paramento'!$G$60*(sezione!$AO$36-C2296)/C2296</f>
        <v>1.4097706744314001E-2</v>
      </c>
      <c r="O2296" s="551">
        <f>'Sollecitazioni nel paramento'!$G$60*(sezione!$AP$36-C2296)/C2296</f>
        <v>7.9778539415616426E-2</v>
      </c>
      <c r="P2296" s="545">
        <f>-'Sollecitazioni nel paramento'!$G$47*'Sollecitazioni nel paramento'!$G$41*IF(DATI!$G$211="dx",DATI!$E$61,DATI!$E$64*DATI!$E$63)*1000*C2296*sezione!$AD$5</f>
        <v>-1212335.2383340138</v>
      </c>
      <c r="Q2296" s="545">
        <f>'Foglio deposito bis'!$F$88*IF(ABS(K2296)&lt;'Sollecitazioni nel paramento'!$G$58,ABS(K2296)*'Sollecitazioni nel paramento'!$G$54,'Sollecitazioni nel paramento'!$G$53)*IF(K2296&lt;0,-1,1)</f>
        <v>0</v>
      </c>
      <c r="R2296" s="545">
        <f>'Foglio deposito bis'!$F$89*IF(ABS(L2296)&lt;'Sollecitazioni nel paramento'!$G$58,ABS(L2296)*'Sollecitazioni nel paramento'!$G$54,'Sollecitazioni nel paramento'!$G$53)*IF(L2296&lt;0,-1,1)</f>
        <v>153664.85805602249</v>
      </c>
      <c r="S2296" s="545">
        <f>'Foglio deposito bis'!$F$90*IF(ABS(M2296)&lt;'Sollecitazioni nel paramento'!$G$58,ABS(M2296)*'Sollecitazioni nel paramento'!$G$54,'Sollecitazioni nel paramento'!$G$53)*IF(M2296&lt;0,-1,1)</f>
        <v>0</v>
      </c>
      <c r="T2296" s="545">
        <f>'Foglio deposito bis'!$F$91*IF(ABS(N2296)&lt;'Sollecitazioni nel paramento'!$G$58,ABS(N2296)*'Sollecitazioni nel paramento'!$G$54,'Sollecitazioni nel paramento'!$G$53)*IF(N2296&lt;0,-1,1)</f>
        <v>892485.49558937876</v>
      </c>
      <c r="U2296" s="545">
        <f>'Foglio deposito bis'!$F$92*IF(ABS(O2296)&lt;'Sollecitazioni nel paramento'!$G$58,ABS(O2296)*'Sollecitazioni nel paramento'!$G$54,'Sollecitazioni nel paramento'!$G$53)*IF(O2296&lt;0,-1,1)</f>
        <v>1662039.1047339395</v>
      </c>
      <c r="V2296" s="472">
        <f t="shared" si="159"/>
        <v>1495854.220045327</v>
      </c>
      <c r="W2296" s="551"/>
      <c r="X2296" s="551"/>
    </row>
    <row r="2297" spans="1:24" x14ac:dyDescent="0.25">
      <c r="A2297" s="545">
        <f t="shared" si="158"/>
        <v>1475306.16515831</v>
      </c>
      <c r="B2297" s="3">
        <f t="shared" si="160"/>
        <v>2.9999999999999973</v>
      </c>
      <c r="C2297" s="545">
        <f>'Foglio deposito bis'!$E$162/sezione!$B$247*B2297</f>
        <v>32.361689718902568</v>
      </c>
      <c r="D2297" s="603">
        <f>-'Sollecitazioni nel paramento'!$G$47*'Sollecitazioni nel paramento'!$G$41*IF(DATI!$G$211="dx",DATI!$E$61,DATI!$E$64*DATI!$E$63)*1000*C2297^2*sezione!$AD$5*(1-sezione!$AD$6)</f>
        <v>-23300540.971385267</v>
      </c>
      <c r="E2297" s="545">
        <f>-'Foglio deposito bis'!$F$88*(C2297-sezione!$AL$36)*IF(ABS(K2297)&lt;'Sollecitazioni nel paramento'!$G$58,ABS(K2297)*'Sollecitazioni nel paramento'!$G$54,'Sollecitazioni nel paramento'!$G$53)</f>
        <v>0</v>
      </c>
      <c r="F2297" s="545">
        <f>-'Foglio deposito bis'!$F$89*(C2297-sezione!$AM$36)*IF(ABS(L2297)&lt;'Sollecitazioni nel paramento'!$G$58,ABS(L2297)*'Sollecitazioni nel paramento'!$G$54,'Sollecitazioni nel paramento'!$G$53)</f>
        <v>4247037.0262531443</v>
      </c>
      <c r="G2297" s="545">
        <f>-'Foglio deposito bis'!$F$90*(C2297-sezione!$AN$36)*IF(ABS(M2297)&lt;'Sollecitazioni nel paramento'!$G$58,ABS(M2297)*'Sollecitazioni nel paramento'!$G$54,'Sollecitazioni nel paramento'!$G$53)</f>
        <v>0</v>
      </c>
      <c r="H2297" s="545">
        <f>-'Foglio deposito bis'!$F$91*(C2297-sezione!$AO$36)*IF(ABS(N2297)&lt;'Sollecitazioni nel paramento'!$G$58,ABS(N2297)*'Sollecitazioni nel paramento'!$G$54,'Sollecitazioni nel paramento'!$G$53)</f>
        <v>113915340.60741614</v>
      </c>
      <c r="I2297" s="472">
        <f>-'Foglio deposito bis'!$F$92*(C2297-sezione!$AP$36)*IF(ABS(O2297)&lt;'Sollecitazioni nel paramento'!$G$58,ABS(O2297)*'Sollecitazioni nel paramento'!$G$54,'Sollecitazioni nel paramento'!$G$53)</f>
        <v>1204670209.4749892</v>
      </c>
      <c r="J2297" s="472">
        <f t="shared" si="157"/>
        <v>1299532046.1372733</v>
      </c>
      <c r="K2297" s="550">
        <f>'Sollecitazioni nel paramento'!$G$60*(sezione!$AL$36-C2297)/C2297</f>
        <v>8.2610290797719213E-4</v>
      </c>
      <c r="L2297" s="550">
        <f>'Sollecitazioni nel paramento'!$G$60*(sezione!$AM$36-C2297)/C2297</f>
        <v>2.9891543619657884E-3</v>
      </c>
      <c r="M2297" s="551">
        <f>'Sollecitazioni nel paramento'!$G$60*(sezione!$AN$36-C2297)/C2297</f>
        <v>5.1522058159543839E-3</v>
      </c>
      <c r="N2297" s="551">
        <f>'Sollecitazioni nel paramento'!$G$60*(sezione!$AO$36-C2297)/C2297</f>
        <v>1.3804411631908769E-2</v>
      </c>
      <c r="O2297" s="551">
        <f>'Sollecitazioni nel paramento'!$G$60*(sezione!$AP$36-C2297)/C2297</f>
        <v>7.839056375868951E-2</v>
      </c>
      <c r="P2297" s="545">
        <f>-'Sollecitazioni nel paramento'!$G$47*'Sollecitazioni nel paramento'!$G$41*IF(DATI!$G$211="dx",DATI!$E$61,DATI!$E$64*DATI!$E$63)*1000*C2297*sezione!$AD$5</f>
        <v>-1232883.2932210308</v>
      </c>
      <c r="Q2297" s="545">
        <f>'Foglio deposito bis'!$F$88*IF(ABS(K2297)&lt;'Sollecitazioni nel paramento'!$G$58,ABS(K2297)*'Sollecitazioni nel paramento'!$G$54,'Sollecitazioni nel paramento'!$G$53)*IF(K2297&lt;0,-1,1)</f>
        <v>0</v>
      </c>
      <c r="R2297" s="545">
        <f>'Foglio deposito bis'!$F$89*IF(ABS(L2297)&lt;'Sollecitazioni nel paramento'!$G$58,ABS(L2297)*'Sollecitazioni nel paramento'!$G$54,'Sollecitazioni nel paramento'!$G$53)*IF(L2297&lt;0,-1,1)</f>
        <v>153664.85805602249</v>
      </c>
      <c r="S2297" s="545">
        <f>'Foglio deposito bis'!$F$90*IF(ABS(M2297)&lt;'Sollecitazioni nel paramento'!$G$58,ABS(M2297)*'Sollecitazioni nel paramento'!$G$54,'Sollecitazioni nel paramento'!$G$53)*IF(M2297&lt;0,-1,1)</f>
        <v>0</v>
      </c>
      <c r="T2297" s="545">
        <f>'Foglio deposito bis'!$F$91*IF(ABS(N2297)&lt;'Sollecitazioni nel paramento'!$G$58,ABS(N2297)*'Sollecitazioni nel paramento'!$G$54,'Sollecitazioni nel paramento'!$G$53)*IF(N2297&lt;0,-1,1)</f>
        <v>892485.49558937876</v>
      </c>
      <c r="U2297" s="545">
        <f>'Foglio deposito bis'!$F$92*IF(ABS(O2297)&lt;'Sollecitazioni nel paramento'!$G$58,ABS(O2297)*'Sollecitazioni nel paramento'!$G$54,'Sollecitazioni nel paramento'!$G$53)*IF(O2297&lt;0,-1,1)</f>
        <v>1662039.1047339395</v>
      </c>
      <c r="V2297" s="472">
        <f t="shared" si="159"/>
        <v>1475306.16515831</v>
      </c>
      <c r="W2297" s="551"/>
      <c r="X2297" s="551"/>
    </row>
    <row r="2298" spans="1:24" x14ac:dyDescent="0.25">
      <c r="A2298" s="545">
        <f t="shared" si="158"/>
        <v>1454758.110271293</v>
      </c>
      <c r="B2298" s="3">
        <f t="shared" si="160"/>
        <v>3.0499999999999972</v>
      </c>
      <c r="C2298" s="545">
        <f>'Foglio deposito bis'!$E$162/sezione!$B$247*B2298</f>
        <v>32.90105121421761</v>
      </c>
      <c r="D2298" s="603">
        <f>-'Sollecitazioni nel paramento'!$G$47*'Sollecitazioni nel paramento'!$G$41*IF(DATI!$G$211="dx",DATI!$E$61,DATI!$E$64*DATI!$E$63)*1000*C2298^2*sezione!$AD$5*(1-sezione!$AD$6)</f>
        <v>-24083698.042923484</v>
      </c>
      <c r="E2298" s="545">
        <f>-'Foglio deposito bis'!$F$88*(C2298-sezione!$AL$36)*IF(ABS(K2298)&lt;'Sollecitazioni nel paramento'!$G$58,ABS(K2298)*'Sollecitazioni nel paramento'!$G$54,'Sollecitazioni nel paramento'!$G$53)</f>
        <v>0</v>
      </c>
      <c r="F2298" s="545">
        <f>-'Foglio deposito bis'!$F$89*(C2298-sezione!$AM$36)*IF(ABS(L2298)&lt;'Sollecitazioni nel paramento'!$G$58,ABS(L2298)*'Sollecitazioni nel paramento'!$G$54,'Sollecitazioni nel paramento'!$G$53)</f>
        <v>4164156.1186346742</v>
      </c>
      <c r="G2298" s="545">
        <f>-'Foglio deposito bis'!$F$90*(C2298-sezione!$AN$36)*IF(ABS(M2298)&lt;'Sollecitazioni nel paramento'!$G$58,ABS(M2298)*'Sollecitazioni nel paramento'!$G$54,'Sollecitazioni nel paramento'!$G$53)</f>
        <v>0</v>
      </c>
      <c r="H2298" s="545">
        <f>-'Foglio deposito bis'!$F$91*(C2298-sezione!$AO$36)*IF(ABS(N2298)&lt;'Sollecitazioni nel paramento'!$G$58,ABS(N2298)*'Sollecitazioni nel paramento'!$G$54,'Sollecitazioni nel paramento'!$G$53)</f>
        <v>113433968.29596807</v>
      </c>
      <c r="I2298" s="472">
        <f>-'Foglio deposito bis'!$F$92*(C2298-sezione!$AP$36)*IF(ABS(O2298)&lt;'Sollecitazioni nel paramento'!$G$58,ABS(O2298)*'Sollecitazioni nel paramento'!$G$54,'Sollecitazioni nel paramento'!$G$53)</f>
        <v>1203773769.5781877</v>
      </c>
      <c r="J2298" s="472">
        <f t="shared" si="157"/>
        <v>1297288195.949867</v>
      </c>
      <c r="K2298" s="550">
        <f>'Sollecitazioni nel paramento'!$G$60*(sezione!$AL$36-C2298)/C2298</f>
        <v>7.5518318817428744E-4</v>
      </c>
      <c r="L2298" s="550">
        <f>'Sollecitazioni nel paramento'!$G$60*(sezione!$AM$36-C2298)/C2298</f>
        <v>2.8827747822614313E-3</v>
      </c>
      <c r="M2298" s="551">
        <f>'Sollecitazioni nel paramento'!$G$60*(sezione!$AN$36-C2298)/C2298</f>
        <v>5.0103663763485752E-3</v>
      </c>
      <c r="N2298" s="551">
        <f>'Sollecitazioni nel paramento'!$G$60*(sezione!$AO$36-C2298)/C2298</f>
        <v>1.352073275269715E-2</v>
      </c>
      <c r="O2298" s="551">
        <f>'Sollecitazioni nel paramento'!$G$60*(sezione!$AP$36-C2298)/C2298</f>
        <v>7.7048095500350328E-2</v>
      </c>
      <c r="P2298" s="545">
        <f>-'Sollecitazioni nel paramento'!$G$47*'Sollecitazioni nel paramento'!$G$41*IF(DATI!$G$211="dx",DATI!$E$61,DATI!$E$64*DATI!$E$63)*1000*C2298*sezione!$AD$5</f>
        <v>-1253431.3481080479</v>
      </c>
      <c r="Q2298" s="545">
        <f>'Foglio deposito bis'!$F$88*IF(ABS(K2298)&lt;'Sollecitazioni nel paramento'!$G$58,ABS(K2298)*'Sollecitazioni nel paramento'!$G$54,'Sollecitazioni nel paramento'!$G$53)*IF(K2298&lt;0,-1,1)</f>
        <v>0</v>
      </c>
      <c r="R2298" s="545">
        <f>'Foglio deposito bis'!$F$89*IF(ABS(L2298)&lt;'Sollecitazioni nel paramento'!$G$58,ABS(L2298)*'Sollecitazioni nel paramento'!$G$54,'Sollecitazioni nel paramento'!$G$53)*IF(L2298&lt;0,-1,1)</f>
        <v>153664.85805602249</v>
      </c>
      <c r="S2298" s="545">
        <f>'Foglio deposito bis'!$F$90*IF(ABS(M2298)&lt;'Sollecitazioni nel paramento'!$G$58,ABS(M2298)*'Sollecitazioni nel paramento'!$G$54,'Sollecitazioni nel paramento'!$G$53)*IF(M2298&lt;0,-1,1)</f>
        <v>0</v>
      </c>
      <c r="T2298" s="545">
        <f>'Foglio deposito bis'!$F$91*IF(ABS(N2298)&lt;'Sollecitazioni nel paramento'!$G$58,ABS(N2298)*'Sollecitazioni nel paramento'!$G$54,'Sollecitazioni nel paramento'!$G$53)*IF(N2298&lt;0,-1,1)</f>
        <v>892485.49558937876</v>
      </c>
      <c r="U2298" s="545">
        <f>'Foglio deposito bis'!$F$92*IF(ABS(O2298)&lt;'Sollecitazioni nel paramento'!$G$58,ABS(O2298)*'Sollecitazioni nel paramento'!$G$54,'Sollecitazioni nel paramento'!$G$53)*IF(O2298&lt;0,-1,1)</f>
        <v>1662039.1047339395</v>
      </c>
      <c r="V2298" s="472">
        <f t="shared" si="159"/>
        <v>1454758.110271293</v>
      </c>
      <c r="W2298" s="551"/>
      <c r="X2298" s="551"/>
    </row>
    <row r="2299" spans="1:24" x14ac:dyDescent="0.25">
      <c r="A2299" s="545">
        <f t="shared" si="158"/>
        <v>1434210.0553842757</v>
      </c>
      <c r="B2299" s="3">
        <f t="shared" si="160"/>
        <v>3.099999999999997</v>
      </c>
      <c r="C2299" s="545">
        <f>'Foglio deposito bis'!$E$162/sezione!$B$247*B2299</f>
        <v>33.440412709532652</v>
      </c>
      <c r="D2299" s="603">
        <f>-'Sollecitazioni nel paramento'!$G$47*'Sollecitazioni nel paramento'!$G$41*IF(DATI!$G$211="dx",DATI!$E$61,DATI!$E$64*DATI!$E$63)*1000*C2299^2*sezione!$AD$5*(1-sezione!$AD$6)</f>
        <v>-24879799.859445818</v>
      </c>
      <c r="E2299" s="545">
        <f>-'Foglio deposito bis'!$F$88*(C2299-sezione!$AL$36)*IF(ABS(K2299)&lt;'Sollecitazioni nel paramento'!$G$58,ABS(K2299)*'Sollecitazioni nel paramento'!$G$54,'Sollecitazioni nel paramento'!$G$53)</f>
        <v>0</v>
      </c>
      <c r="F2299" s="545">
        <f>-'Foglio deposito bis'!$F$89*(C2299-sezione!$AM$36)*IF(ABS(L2299)&lt;'Sollecitazioni nel paramento'!$G$58,ABS(L2299)*'Sollecitazioni nel paramento'!$G$54,'Sollecitazioni nel paramento'!$G$53)</f>
        <v>4081275.2110162042</v>
      </c>
      <c r="G2299" s="545">
        <f>-'Foglio deposito bis'!$F$90*(C2299-sezione!$AN$36)*IF(ABS(M2299)&lt;'Sollecitazioni nel paramento'!$G$58,ABS(M2299)*'Sollecitazioni nel paramento'!$G$54,'Sollecitazioni nel paramento'!$G$53)</f>
        <v>0</v>
      </c>
      <c r="H2299" s="545">
        <f>-'Foglio deposito bis'!$F$91*(C2299-sezione!$AO$36)*IF(ABS(N2299)&lt;'Sollecitazioni nel paramento'!$G$58,ABS(N2299)*'Sollecitazioni nel paramento'!$G$54,'Sollecitazioni nel paramento'!$G$53)</f>
        <v>112952595.98451999</v>
      </c>
      <c r="I2299" s="472">
        <f>-'Foglio deposito bis'!$F$92*(C2299-sezione!$AP$36)*IF(ABS(O2299)&lt;'Sollecitazioni nel paramento'!$G$58,ABS(O2299)*'Sollecitazioni nel paramento'!$G$54,'Sollecitazioni nel paramento'!$G$53)</f>
        <v>1202877329.6813862</v>
      </c>
      <c r="J2299" s="472">
        <f t="shared" si="157"/>
        <v>1295031401.0174766</v>
      </c>
      <c r="K2299" s="550">
        <f>'Sollecitazioni nel paramento'!$G$60*(sezione!$AL$36-C2299)/C2299</f>
        <v>6.8655120126825064E-4</v>
      </c>
      <c r="L2299" s="550">
        <f>'Sollecitazioni nel paramento'!$G$60*(sezione!$AM$36-C2299)/C2299</f>
        <v>2.7798268019023761E-3</v>
      </c>
      <c r="M2299" s="551">
        <f>'Sollecitazioni nel paramento'!$G$60*(sezione!$AN$36-C2299)/C2299</f>
        <v>4.8731024025365013E-3</v>
      </c>
      <c r="N2299" s="551">
        <f>'Sollecitazioni nel paramento'!$G$60*(sezione!$AO$36-C2299)/C2299</f>
        <v>1.3246204805073002E-2</v>
      </c>
      <c r="O2299" s="551">
        <f>'Sollecitazioni nel paramento'!$G$60*(sezione!$AP$36-C2299)/C2299</f>
        <v>7.5748932669699523E-2</v>
      </c>
      <c r="P2299" s="545">
        <f>-'Sollecitazioni nel paramento'!$G$47*'Sollecitazioni nel paramento'!$G$41*IF(DATI!$G$211="dx",DATI!$E$61,DATI!$E$64*DATI!$E$63)*1000*C2299*sezione!$AD$5</f>
        <v>-1273979.4029950651</v>
      </c>
      <c r="Q2299" s="545">
        <f>'Foglio deposito bis'!$F$88*IF(ABS(K2299)&lt;'Sollecitazioni nel paramento'!$G$58,ABS(K2299)*'Sollecitazioni nel paramento'!$G$54,'Sollecitazioni nel paramento'!$G$53)*IF(K2299&lt;0,-1,1)</f>
        <v>0</v>
      </c>
      <c r="R2299" s="545">
        <f>'Foglio deposito bis'!$F$89*IF(ABS(L2299)&lt;'Sollecitazioni nel paramento'!$G$58,ABS(L2299)*'Sollecitazioni nel paramento'!$G$54,'Sollecitazioni nel paramento'!$G$53)*IF(L2299&lt;0,-1,1)</f>
        <v>153664.85805602249</v>
      </c>
      <c r="S2299" s="545">
        <f>'Foglio deposito bis'!$F$90*IF(ABS(M2299)&lt;'Sollecitazioni nel paramento'!$G$58,ABS(M2299)*'Sollecitazioni nel paramento'!$G$54,'Sollecitazioni nel paramento'!$G$53)*IF(M2299&lt;0,-1,1)</f>
        <v>0</v>
      </c>
      <c r="T2299" s="545">
        <f>'Foglio deposito bis'!$F$91*IF(ABS(N2299)&lt;'Sollecitazioni nel paramento'!$G$58,ABS(N2299)*'Sollecitazioni nel paramento'!$G$54,'Sollecitazioni nel paramento'!$G$53)*IF(N2299&lt;0,-1,1)</f>
        <v>892485.49558937876</v>
      </c>
      <c r="U2299" s="545">
        <f>'Foglio deposito bis'!$F$92*IF(ABS(O2299)&lt;'Sollecitazioni nel paramento'!$G$58,ABS(O2299)*'Sollecitazioni nel paramento'!$G$54,'Sollecitazioni nel paramento'!$G$53)*IF(O2299&lt;0,-1,1)</f>
        <v>1662039.1047339395</v>
      </c>
      <c r="V2299" s="472">
        <f t="shared" si="159"/>
        <v>1434210.0553842757</v>
      </c>
      <c r="W2299" s="551"/>
      <c r="X2299" s="551"/>
    </row>
    <row r="2300" spans="1:24" x14ac:dyDescent="0.25">
      <c r="A2300" s="545">
        <f t="shared" si="158"/>
        <v>1413662.0004972585</v>
      </c>
      <c r="B2300" s="3">
        <f t="shared" si="160"/>
        <v>3.1499999999999968</v>
      </c>
      <c r="C2300" s="545">
        <f>'Foglio deposito bis'!$E$162/sezione!$B$247*B2300</f>
        <v>33.979774204847693</v>
      </c>
      <c r="D2300" s="603">
        <f>-'Sollecitazioni nel paramento'!$G$47*'Sollecitazioni nel paramento'!$G$41*IF(DATI!$G$211="dx",DATI!$E$61,DATI!$E$64*DATI!$E$63)*1000*C2300^2*sezione!$AD$5*(1-sezione!$AD$6)</f>
        <v>-25688846.420952249</v>
      </c>
      <c r="E2300" s="545">
        <f>-'Foglio deposito bis'!$F$88*(C2300-sezione!$AL$36)*IF(ABS(K2300)&lt;'Sollecitazioni nel paramento'!$G$58,ABS(K2300)*'Sollecitazioni nel paramento'!$G$54,'Sollecitazioni nel paramento'!$G$53)</f>
        <v>0</v>
      </c>
      <c r="F2300" s="545">
        <f>-'Foglio deposito bis'!$F$89*(C2300-sezione!$AM$36)*IF(ABS(L2300)&lt;'Sollecitazioni nel paramento'!$G$58,ABS(L2300)*'Sollecitazioni nel paramento'!$G$54,'Sollecitazioni nel paramento'!$G$53)</f>
        <v>3998394.3033977337</v>
      </c>
      <c r="G2300" s="545">
        <f>-'Foglio deposito bis'!$F$90*(C2300-sezione!$AN$36)*IF(ABS(M2300)&lt;'Sollecitazioni nel paramento'!$G$58,ABS(M2300)*'Sollecitazioni nel paramento'!$G$54,'Sollecitazioni nel paramento'!$G$53)</f>
        <v>0</v>
      </c>
      <c r="H2300" s="545">
        <f>-'Foglio deposito bis'!$F$91*(C2300-sezione!$AO$36)*IF(ABS(N2300)&lt;'Sollecitazioni nel paramento'!$G$58,ABS(N2300)*'Sollecitazioni nel paramento'!$G$54,'Sollecitazioni nel paramento'!$G$53)</f>
        <v>112471223.67307192</v>
      </c>
      <c r="I2300" s="472">
        <f>-'Foglio deposito bis'!$F$92*(C2300-sezione!$AP$36)*IF(ABS(O2300)&lt;'Sollecitazioni nel paramento'!$G$58,ABS(O2300)*'Sollecitazioni nel paramento'!$G$54,'Sollecitazioni nel paramento'!$G$53)</f>
        <v>1201980889.784585</v>
      </c>
      <c r="J2300" s="472">
        <f t="shared" si="157"/>
        <v>1292761661.3401024</v>
      </c>
      <c r="K2300" s="550">
        <f>'Sollecitazioni nel paramento'!$G$60*(sezione!$AL$36-C2300)/C2300</f>
        <v>6.2009800759732622E-4</v>
      </c>
      <c r="L2300" s="550">
        <f>'Sollecitazioni nel paramento'!$G$60*(sezione!$AM$36-C2300)/C2300</f>
        <v>2.6801470113959895E-3</v>
      </c>
      <c r="M2300" s="551">
        <f>'Sollecitazioni nel paramento'!$G$60*(sezione!$AN$36-C2300)/C2300</f>
        <v>4.7401960151946532E-3</v>
      </c>
      <c r="N2300" s="551">
        <f>'Sollecitazioni nel paramento'!$G$60*(sezione!$AO$36-C2300)/C2300</f>
        <v>1.2980392030389304E-2</v>
      </c>
      <c r="O2300" s="551">
        <f>'Sollecitazioni nel paramento'!$G$60*(sezione!$AP$36-C2300)/C2300</f>
        <v>7.4491013103513817E-2</v>
      </c>
      <c r="P2300" s="545">
        <f>-'Sollecitazioni nel paramento'!$G$47*'Sollecitazioni nel paramento'!$G$41*IF(DATI!$G$211="dx",DATI!$E$61,DATI!$E$64*DATI!$E$63)*1000*C2300*sezione!$AD$5</f>
        <v>-1294527.4578820823</v>
      </c>
      <c r="Q2300" s="545">
        <f>'Foglio deposito bis'!$F$88*IF(ABS(K2300)&lt;'Sollecitazioni nel paramento'!$G$58,ABS(K2300)*'Sollecitazioni nel paramento'!$G$54,'Sollecitazioni nel paramento'!$G$53)*IF(K2300&lt;0,-1,1)</f>
        <v>0</v>
      </c>
      <c r="R2300" s="545">
        <f>'Foglio deposito bis'!$F$89*IF(ABS(L2300)&lt;'Sollecitazioni nel paramento'!$G$58,ABS(L2300)*'Sollecitazioni nel paramento'!$G$54,'Sollecitazioni nel paramento'!$G$53)*IF(L2300&lt;0,-1,1)</f>
        <v>153664.85805602249</v>
      </c>
      <c r="S2300" s="545">
        <f>'Foglio deposito bis'!$F$90*IF(ABS(M2300)&lt;'Sollecitazioni nel paramento'!$G$58,ABS(M2300)*'Sollecitazioni nel paramento'!$G$54,'Sollecitazioni nel paramento'!$G$53)*IF(M2300&lt;0,-1,1)</f>
        <v>0</v>
      </c>
      <c r="T2300" s="545">
        <f>'Foglio deposito bis'!$F$91*IF(ABS(N2300)&lt;'Sollecitazioni nel paramento'!$G$58,ABS(N2300)*'Sollecitazioni nel paramento'!$G$54,'Sollecitazioni nel paramento'!$G$53)*IF(N2300&lt;0,-1,1)</f>
        <v>892485.49558937876</v>
      </c>
      <c r="U2300" s="545">
        <f>'Foglio deposito bis'!$F$92*IF(ABS(O2300)&lt;'Sollecitazioni nel paramento'!$G$58,ABS(O2300)*'Sollecitazioni nel paramento'!$G$54,'Sollecitazioni nel paramento'!$G$53)*IF(O2300&lt;0,-1,1)</f>
        <v>1662039.1047339395</v>
      </c>
      <c r="V2300" s="472">
        <f t="shared" si="159"/>
        <v>1413662.0004972585</v>
      </c>
      <c r="W2300" s="551"/>
      <c r="X2300" s="551"/>
    </row>
    <row r="2301" spans="1:24" x14ac:dyDescent="0.25">
      <c r="A2301" s="545">
        <f t="shared" si="158"/>
        <v>1393113.9456102413</v>
      </c>
      <c r="B2301" s="3">
        <f t="shared" si="160"/>
        <v>3.1999999999999966</v>
      </c>
      <c r="C2301" s="545">
        <f>'Foglio deposito bis'!$E$162/sezione!$B$247*B2301</f>
        <v>34.519135700162735</v>
      </c>
      <c r="D2301" s="603">
        <f>-'Sollecitazioni nel paramento'!$G$47*'Sollecitazioni nel paramento'!$G$41*IF(DATI!$G$211="dx",DATI!$E$61,DATI!$E$64*DATI!$E$63)*1000*C2301^2*sezione!$AD$5*(1-sezione!$AD$6)</f>
        <v>-26510837.727442782</v>
      </c>
      <c r="E2301" s="545">
        <f>-'Foglio deposito bis'!$F$88*(C2301-sezione!$AL$36)*IF(ABS(K2301)&lt;'Sollecitazioni nel paramento'!$G$58,ABS(K2301)*'Sollecitazioni nel paramento'!$G$54,'Sollecitazioni nel paramento'!$G$53)</f>
        <v>0</v>
      </c>
      <c r="F2301" s="545">
        <f>-'Foglio deposito bis'!$F$89*(C2301-sezione!$AM$36)*IF(ABS(L2301)&lt;'Sollecitazioni nel paramento'!$G$58,ABS(L2301)*'Sollecitazioni nel paramento'!$G$54,'Sollecitazioni nel paramento'!$G$53)</f>
        <v>3915513.3957792646</v>
      </c>
      <c r="G2301" s="545">
        <f>-'Foglio deposito bis'!$F$90*(C2301-sezione!$AN$36)*IF(ABS(M2301)&lt;'Sollecitazioni nel paramento'!$G$58,ABS(M2301)*'Sollecitazioni nel paramento'!$G$54,'Sollecitazioni nel paramento'!$G$53)</f>
        <v>0</v>
      </c>
      <c r="H2301" s="545">
        <f>-'Foglio deposito bis'!$F$91*(C2301-sezione!$AO$36)*IF(ABS(N2301)&lt;'Sollecitazioni nel paramento'!$G$58,ABS(N2301)*'Sollecitazioni nel paramento'!$G$54,'Sollecitazioni nel paramento'!$G$53)</f>
        <v>111989851.36162385</v>
      </c>
      <c r="I2301" s="472">
        <f>-'Foglio deposito bis'!$F$92*(C2301-sezione!$AP$36)*IF(ABS(O2301)&lt;'Sollecitazioni nel paramento'!$G$58,ABS(O2301)*'Sollecitazioni nel paramento'!$G$54,'Sollecitazioni nel paramento'!$G$53)</f>
        <v>1201084449.8877838</v>
      </c>
      <c r="J2301" s="472">
        <f t="shared" ref="J2301:J2364" si="161">D2301+E2301+F2301+G2301+H2301+I2301</f>
        <v>1290478976.9177442</v>
      </c>
      <c r="K2301" s="550">
        <f>'Sollecitazioni nel paramento'!$G$60*(sezione!$AL$36-C2301)/C2301</f>
        <v>5.5572147622861808E-4</v>
      </c>
      <c r="L2301" s="550">
        <f>'Sollecitazioni nel paramento'!$G$60*(sezione!$AM$36-C2301)/C2301</f>
        <v>2.5835822143429272E-3</v>
      </c>
      <c r="M2301" s="551">
        <f>'Sollecitazioni nel paramento'!$G$60*(sezione!$AN$36-C2301)/C2301</f>
        <v>4.6114429524572367E-3</v>
      </c>
      <c r="N2301" s="551">
        <f>'Sollecitazioni nel paramento'!$G$60*(sezione!$AO$36-C2301)/C2301</f>
        <v>1.2722885904914471E-2</v>
      </c>
      <c r="O2301" s="551">
        <f>'Sollecitazioni nel paramento'!$G$60*(sezione!$AP$36-C2301)/C2301</f>
        <v>7.3272403523771415E-2</v>
      </c>
      <c r="P2301" s="545">
        <f>-'Sollecitazioni nel paramento'!$G$47*'Sollecitazioni nel paramento'!$G$41*IF(DATI!$G$211="dx",DATI!$E$61,DATI!$E$64*DATI!$E$63)*1000*C2301*sezione!$AD$5</f>
        <v>-1315075.5127690996</v>
      </c>
      <c r="Q2301" s="545">
        <f>'Foglio deposito bis'!$F$88*IF(ABS(K2301)&lt;'Sollecitazioni nel paramento'!$G$58,ABS(K2301)*'Sollecitazioni nel paramento'!$G$54,'Sollecitazioni nel paramento'!$G$53)*IF(K2301&lt;0,-1,1)</f>
        <v>0</v>
      </c>
      <c r="R2301" s="545">
        <f>'Foglio deposito bis'!$F$89*IF(ABS(L2301)&lt;'Sollecitazioni nel paramento'!$G$58,ABS(L2301)*'Sollecitazioni nel paramento'!$G$54,'Sollecitazioni nel paramento'!$G$53)*IF(L2301&lt;0,-1,1)</f>
        <v>153664.85805602249</v>
      </c>
      <c r="S2301" s="545">
        <f>'Foglio deposito bis'!$F$90*IF(ABS(M2301)&lt;'Sollecitazioni nel paramento'!$G$58,ABS(M2301)*'Sollecitazioni nel paramento'!$G$54,'Sollecitazioni nel paramento'!$G$53)*IF(M2301&lt;0,-1,1)</f>
        <v>0</v>
      </c>
      <c r="T2301" s="545">
        <f>'Foglio deposito bis'!$F$91*IF(ABS(N2301)&lt;'Sollecitazioni nel paramento'!$G$58,ABS(N2301)*'Sollecitazioni nel paramento'!$G$54,'Sollecitazioni nel paramento'!$G$53)*IF(N2301&lt;0,-1,1)</f>
        <v>892485.49558937876</v>
      </c>
      <c r="U2301" s="545">
        <f>'Foglio deposito bis'!$F$92*IF(ABS(O2301)&lt;'Sollecitazioni nel paramento'!$G$58,ABS(O2301)*'Sollecitazioni nel paramento'!$G$54,'Sollecitazioni nel paramento'!$G$53)*IF(O2301&lt;0,-1,1)</f>
        <v>1662039.1047339395</v>
      </c>
      <c r="V2301" s="472">
        <f t="shared" si="159"/>
        <v>1393113.9456102413</v>
      </c>
      <c r="W2301" s="551"/>
      <c r="X2301" s="551"/>
    </row>
    <row r="2302" spans="1:24" x14ac:dyDescent="0.25">
      <c r="A2302" s="545">
        <f t="shared" ref="A2302:A2365" si="162">ABS(V2302)</f>
        <v>1372565.8907232243</v>
      </c>
      <c r="B2302" s="3">
        <f t="shared" si="160"/>
        <v>3.2499999999999964</v>
      </c>
      <c r="C2302" s="545">
        <f>'Foglio deposito bis'!$E$162/sezione!$B$247*B2302</f>
        <v>35.058497195477777</v>
      </c>
      <c r="D2302" s="603">
        <f>-'Sollecitazioni nel paramento'!$G$47*'Sollecitazioni nel paramento'!$G$41*IF(DATI!$G$211="dx",DATI!$E$61,DATI!$E$64*DATI!$E$63)*1000*C2302^2*sezione!$AD$5*(1-sezione!$AD$6)</f>
        <v>-27345773.778917421</v>
      </c>
      <c r="E2302" s="545">
        <f>-'Foglio deposito bis'!$F$88*(C2302-sezione!$AL$36)*IF(ABS(K2302)&lt;'Sollecitazioni nel paramento'!$G$58,ABS(K2302)*'Sollecitazioni nel paramento'!$G$54,'Sollecitazioni nel paramento'!$G$53)</f>
        <v>0</v>
      </c>
      <c r="F2302" s="545">
        <f>-'Foglio deposito bis'!$F$89*(C2302-sezione!$AM$36)*IF(ABS(L2302)&lt;'Sollecitazioni nel paramento'!$G$58,ABS(L2302)*'Sollecitazioni nel paramento'!$G$54,'Sollecitazioni nel paramento'!$G$53)</f>
        <v>3832632.4881607946</v>
      </c>
      <c r="G2302" s="545">
        <f>-'Foglio deposito bis'!$F$90*(C2302-sezione!$AN$36)*IF(ABS(M2302)&lt;'Sollecitazioni nel paramento'!$G$58,ABS(M2302)*'Sollecitazioni nel paramento'!$G$54,'Sollecitazioni nel paramento'!$G$53)</f>
        <v>0</v>
      </c>
      <c r="H2302" s="545">
        <f>-'Foglio deposito bis'!$F$91*(C2302-sezione!$AO$36)*IF(ABS(N2302)&lt;'Sollecitazioni nel paramento'!$G$58,ABS(N2302)*'Sollecitazioni nel paramento'!$G$54,'Sollecitazioni nel paramento'!$G$53)</f>
        <v>111508479.05017577</v>
      </c>
      <c r="I2302" s="472">
        <f>-'Foglio deposito bis'!$F$92*(C2302-sezione!$AP$36)*IF(ABS(O2302)&lt;'Sollecitazioni nel paramento'!$G$58,ABS(O2302)*'Sollecitazioni nel paramento'!$G$54,'Sollecitazioni nel paramento'!$G$53)</f>
        <v>1200188009.9909823</v>
      </c>
      <c r="J2302" s="472">
        <f t="shared" si="161"/>
        <v>1288183347.7504015</v>
      </c>
      <c r="K2302" s="550">
        <f>'Sollecitazioni nel paramento'!$G$60*(sezione!$AL$36-C2302)/C2302</f>
        <v>4.9332576120971632E-4</v>
      </c>
      <c r="L2302" s="550">
        <f>'Sollecitazioni nel paramento'!$G$60*(sezione!$AM$36-C2302)/C2302</f>
        <v>2.4899886418145744E-3</v>
      </c>
      <c r="M2302" s="551">
        <f>'Sollecitazioni nel paramento'!$G$60*(sezione!$AN$36-C2302)/C2302</f>
        <v>4.4866515224194327E-3</v>
      </c>
      <c r="N2302" s="551">
        <f>'Sollecitazioni nel paramento'!$G$60*(sezione!$AO$36-C2302)/C2302</f>
        <v>1.2473303044838867E-2</v>
      </c>
      <c r="O2302" s="551">
        <f>'Sollecitazioni nel paramento'!$G$60*(sezione!$AP$36-C2302)/C2302</f>
        <v>7.2091289623405705E-2</v>
      </c>
      <c r="P2302" s="545">
        <f>-'Sollecitazioni nel paramento'!$G$47*'Sollecitazioni nel paramento'!$G$41*IF(DATI!$G$211="dx",DATI!$E$61,DATI!$E$64*DATI!$E$63)*1000*C2302*sezione!$AD$5</f>
        <v>-1335623.5676561166</v>
      </c>
      <c r="Q2302" s="545">
        <f>'Foglio deposito bis'!$F$88*IF(ABS(K2302)&lt;'Sollecitazioni nel paramento'!$G$58,ABS(K2302)*'Sollecitazioni nel paramento'!$G$54,'Sollecitazioni nel paramento'!$G$53)*IF(K2302&lt;0,-1,1)</f>
        <v>0</v>
      </c>
      <c r="R2302" s="545">
        <f>'Foglio deposito bis'!$F$89*IF(ABS(L2302)&lt;'Sollecitazioni nel paramento'!$G$58,ABS(L2302)*'Sollecitazioni nel paramento'!$G$54,'Sollecitazioni nel paramento'!$G$53)*IF(L2302&lt;0,-1,1)</f>
        <v>153664.85805602249</v>
      </c>
      <c r="S2302" s="545">
        <f>'Foglio deposito bis'!$F$90*IF(ABS(M2302)&lt;'Sollecitazioni nel paramento'!$G$58,ABS(M2302)*'Sollecitazioni nel paramento'!$G$54,'Sollecitazioni nel paramento'!$G$53)*IF(M2302&lt;0,-1,1)</f>
        <v>0</v>
      </c>
      <c r="T2302" s="545">
        <f>'Foglio deposito bis'!$F$91*IF(ABS(N2302)&lt;'Sollecitazioni nel paramento'!$G$58,ABS(N2302)*'Sollecitazioni nel paramento'!$G$54,'Sollecitazioni nel paramento'!$G$53)*IF(N2302&lt;0,-1,1)</f>
        <v>892485.49558937876</v>
      </c>
      <c r="U2302" s="545">
        <f>'Foglio deposito bis'!$F$92*IF(ABS(O2302)&lt;'Sollecitazioni nel paramento'!$G$58,ABS(O2302)*'Sollecitazioni nel paramento'!$G$54,'Sollecitazioni nel paramento'!$G$53)*IF(O2302&lt;0,-1,1)</f>
        <v>1662039.1047339395</v>
      </c>
      <c r="V2302" s="472">
        <f t="shared" ref="V2302:V2365" si="163">P2302+Q2302+R2302+S2302+T2302+U2302</f>
        <v>1372565.8907232243</v>
      </c>
      <c r="W2302" s="551"/>
      <c r="X2302" s="551"/>
    </row>
    <row r="2303" spans="1:24" x14ac:dyDescent="0.25">
      <c r="A2303" s="545">
        <f t="shared" si="162"/>
        <v>1352017.835836207</v>
      </c>
      <c r="B2303" s="3">
        <f t="shared" ref="B2303:B2339" si="164">B2302+0.05</f>
        <v>3.2999999999999963</v>
      </c>
      <c r="C2303" s="545">
        <f>'Foglio deposito bis'!$E$162/sezione!$B$247*B2303</f>
        <v>35.597858690792819</v>
      </c>
      <c r="D2303" s="603">
        <f>-'Sollecitazioni nel paramento'!$G$47*'Sollecitazioni nel paramento'!$G$41*IF(DATI!$G$211="dx",DATI!$E$61,DATI!$E$64*DATI!$E$63)*1000*C2303^2*sezione!$AD$5*(1-sezione!$AD$6)</f>
        <v>-28193654.575376164</v>
      </c>
      <c r="E2303" s="545">
        <f>-'Foglio deposito bis'!$F$88*(C2303-sezione!$AL$36)*IF(ABS(K2303)&lt;'Sollecitazioni nel paramento'!$G$58,ABS(K2303)*'Sollecitazioni nel paramento'!$G$54,'Sollecitazioni nel paramento'!$G$53)</f>
        <v>0</v>
      </c>
      <c r="F2303" s="545">
        <f>-'Foglio deposito bis'!$F$89*(C2303-sezione!$AM$36)*IF(ABS(L2303)&lt;'Sollecitazioni nel paramento'!$G$58,ABS(L2303)*'Sollecitazioni nel paramento'!$G$54,'Sollecitazioni nel paramento'!$G$53)</f>
        <v>3749751.5805423241</v>
      </c>
      <c r="G2303" s="545">
        <f>-'Foglio deposito bis'!$F$90*(C2303-sezione!$AN$36)*IF(ABS(M2303)&lt;'Sollecitazioni nel paramento'!$G$58,ABS(M2303)*'Sollecitazioni nel paramento'!$G$54,'Sollecitazioni nel paramento'!$G$53)</f>
        <v>0</v>
      </c>
      <c r="H2303" s="545">
        <f>-'Foglio deposito bis'!$F$91*(C2303-sezione!$AO$36)*IF(ABS(N2303)&lt;'Sollecitazioni nel paramento'!$G$58,ABS(N2303)*'Sollecitazioni nel paramento'!$G$54,'Sollecitazioni nel paramento'!$G$53)</f>
        <v>111027106.7387277</v>
      </c>
      <c r="I2303" s="472">
        <f>-'Foglio deposito bis'!$F$92*(C2303-sezione!$AP$36)*IF(ABS(O2303)&lt;'Sollecitazioni nel paramento'!$G$58,ABS(O2303)*'Sollecitazioni nel paramento'!$G$54,'Sollecitazioni nel paramento'!$G$53)</f>
        <v>1199291570.0941808</v>
      </c>
      <c r="J2303" s="472">
        <f t="shared" si="161"/>
        <v>1285874773.8380747</v>
      </c>
      <c r="K2303" s="550">
        <f>'Sollecitazioni nel paramento'!$G$60*(sezione!$AL$36-C2303)/C2303</f>
        <v>4.3282082543381163E-4</v>
      </c>
      <c r="L2303" s="550">
        <f>'Sollecitazioni nel paramento'!$G$60*(sezione!$AM$36-C2303)/C2303</f>
        <v>2.3992312381507174E-3</v>
      </c>
      <c r="M2303" s="551">
        <f>'Sollecitazioni nel paramento'!$G$60*(sezione!$AN$36-C2303)/C2303</f>
        <v>4.3656416508676237E-3</v>
      </c>
      <c r="N2303" s="551">
        <f>'Sollecitazioni nel paramento'!$G$60*(sezione!$AO$36-C2303)/C2303</f>
        <v>1.2231283301735247E-2</v>
      </c>
      <c r="O2303" s="551">
        <f>'Sollecitazioni nel paramento'!$G$60*(sezione!$AP$36-C2303)/C2303</f>
        <v>7.0945967053354098E-2</v>
      </c>
      <c r="P2303" s="545">
        <f>-'Sollecitazioni nel paramento'!$G$47*'Sollecitazioni nel paramento'!$G$41*IF(DATI!$G$211="dx",DATI!$E$61,DATI!$E$64*DATI!$E$63)*1000*C2303*sezione!$AD$5</f>
        <v>-1356171.6225431338</v>
      </c>
      <c r="Q2303" s="545">
        <f>'Foglio deposito bis'!$F$88*IF(ABS(K2303)&lt;'Sollecitazioni nel paramento'!$G$58,ABS(K2303)*'Sollecitazioni nel paramento'!$G$54,'Sollecitazioni nel paramento'!$G$53)*IF(K2303&lt;0,-1,1)</f>
        <v>0</v>
      </c>
      <c r="R2303" s="545">
        <f>'Foglio deposito bis'!$F$89*IF(ABS(L2303)&lt;'Sollecitazioni nel paramento'!$G$58,ABS(L2303)*'Sollecitazioni nel paramento'!$G$54,'Sollecitazioni nel paramento'!$G$53)*IF(L2303&lt;0,-1,1)</f>
        <v>153664.85805602249</v>
      </c>
      <c r="S2303" s="545">
        <f>'Foglio deposito bis'!$F$90*IF(ABS(M2303)&lt;'Sollecitazioni nel paramento'!$G$58,ABS(M2303)*'Sollecitazioni nel paramento'!$G$54,'Sollecitazioni nel paramento'!$G$53)*IF(M2303&lt;0,-1,1)</f>
        <v>0</v>
      </c>
      <c r="T2303" s="545">
        <f>'Foglio deposito bis'!$F$91*IF(ABS(N2303)&lt;'Sollecitazioni nel paramento'!$G$58,ABS(N2303)*'Sollecitazioni nel paramento'!$G$54,'Sollecitazioni nel paramento'!$G$53)*IF(N2303&lt;0,-1,1)</f>
        <v>892485.49558937876</v>
      </c>
      <c r="U2303" s="545">
        <f>'Foglio deposito bis'!$F$92*IF(ABS(O2303)&lt;'Sollecitazioni nel paramento'!$G$58,ABS(O2303)*'Sollecitazioni nel paramento'!$G$54,'Sollecitazioni nel paramento'!$G$53)*IF(O2303&lt;0,-1,1)</f>
        <v>1662039.1047339395</v>
      </c>
      <c r="V2303" s="472">
        <f t="shared" si="163"/>
        <v>1352017.835836207</v>
      </c>
      <c r="W2303" s="551"/>
      <c r="X2303" s="551"/>
    </row>
    <row r="2304" spans="1:24" x14ac:dyDescent="0.25">
      <c r="A2304" s="545">
        <f t="shared" si="162"/>
        <v>1331469.78094919</v>
      </c>
      <c r="B2304" s="3">
        <f t="shared" si="164"/>
        <v>3.3499999999999961</v>
      </c>
      <c r="C2304" s="545">
        <f>'Foglio deposito bis'!$E$162/sezione!$B$247*B2304</f>
        <v>36.137220186107854</v>
      </c>
      <c r="D2304" s="603">
        <f>-'Sollecitazioni nel paramento'!$G$47*'Sollecitazioni nel paramento'!$G$41*IF(DATI!$G$211="dx",DATI!$E$61,DATI!$E$64*DATI!$E$63)*1000*C2304^2*sezione!$AD$5*(1-sezione!$AD$6)</f>
        <v>-29054480.116818994</v>
      </c>
      <c r="E2304" s="545">
        <f>-'Foglio deposito bis'!$F$88*(C2304-sezione!$AL$36)*IF(ABS(K2304)&lt;'Sollecitazioni nel paramento'!$G$58,ABS(K2304)*'Sollecitazioni nel paramento'!$G$54,'Sollecitazioni nel paramento'!$G$53)</f>
        <v>0</v>
      </c>
      <c r="F2304" s="545">
        <f>-'Foglio deposito bis'!$F$89*(C2304-sezione!$AM$36)*IF(ABS(L2304)&lt;'Sollecitazioni nel paramento'!$G$58,ABS(L2304)*'Sollecitazioni nel paramento'!$G$54,'Sollecitazioni nel paramento'!$G$53)</f>
        <v>3666870.6729238555</v>
      </c>
      <c r="G2304" s="545">
        <f>-'Foglio deposito bis'!$F$90*(C2304-sezione!$AN$36)*IF(ABS(M2304)&lt;'Sollecitazioni nel paramento'!$G$58,ABS(M2304)*'Sollecitazioni nel paramento'!$G$54,'Sollecitazioni nel paramento'!$G$53)</f>
        <v>0</v>
      </c>
      <c r="H2304" s="545">
        <f>-'Foglio deposito bis'!$F$91*(C2304-sezione!$AO$36)*IF(ABS(N2304)&lt;'Sollecitazioni nel paramento'!$G$58,ABS(N2304)*'Sollecitazioni nel paramento'!$G$54,'Sollecitazioni nel paramento'!$G$53)</f>
        <v>110545734.42727962</v>
      </c>
      <c r="I2304" s="472">
        <f>-'Foglio deposito bis'!$F$92*(C2304-sezione!$AP$36)*IF(ABS(O2304)&lt;'Sollecitazioni nel paramento'!$G$58,ABS(O2304)*'Sollecitazioni nel paramento'!$G$54,'Sollecitazioni nel paramento'!$G$53)</f>
        <v>1198395130.1973796</v>
      </c>
      <c r="J2304" s="472">
        <f t="shared" si="161"/>
        <v>1283553255.1807642</v>
      </c>
      <c r="K2304" s="550">
        <f>'Sollecitazioni nel paramento'!$G$60*(sezione!$AL$36-C2304)/C2304</f>
        <v>3.7412200714375565E-4</v>
      </c>
      <c r="L2304" s="550">
        <f>'Sollecitazioni nel paramento'!$G$60*(sezione!$AM$36-C2304)/C2304</f>
        <v>2.3111830107156337E-3</v>
      </c>
      <c r="M2304" s="551">
        <f>'Sollecitazioni nel paramento'!$G$60*(sezione!$AN$36-C2304)/C2304</f>
        <v>4.2482440142875113E-3</v>
      </c>
      <c r="N2304" s="551">
        <f>'Sollecitazioni nel paramento'!$G$60*(sezione!$AO$36-C2304)/C2304</f>
        <v>1.1996488028575024E-2</v>
      </c>
      <c r="O2304" s="551">
        <f>'Sollecitazioni nel paramento'!$G$60*(sezione!$AP$36-C2304)/C2304</f>
        <v>6.9834833216736891E-2</v>
      </c>
      <c r="P2304" s="545">
        <f>-'Sollecitazioni nel paramento'!$G$47*'Sollecitazioni nel paramento'!$G$41*IF(DATI!$G$211="dx",DATI!$E$61,DATI!$E$64*DATI!$E$63)*1000*C2304*sezione!$AD$5</f>
        <v>-1376719.6774301508</v>
      </c>
      <c r="Q2304" s="545">
        <f>'Foglio deposito bis'!$F$88*IF(ABS(K2304)&lt;'Sollecitazioni nel paramento'!$G$58,ABS(K2304)*'Sollecitazioni nel paramento'!$G$54,'Sollecitazioni nel paramento'!$G$53)*IF(K2304&lt;0,-1,1)</f>
        <v>0</v>
      </c>
      <c r="R2304" s="545">
        <f>'Foglio deposito bis'!$F$89*IF(ABS(L2304)&lt;'Sollecitazioni nel paramento'!$G$58,ABS(L2304)*'Sollecitazioni nel paramento'!$G$54,'Sollecitazioni nel paramento'!$G$53)*IF(L2304&lt;0,-1,1)</f>
        <v>153664.85805602249</v>
      </c>
      <c r="S2304" s="545">
        <f>'Foglio deposito bis'!$F$90*IF(ABS(M2304)&lt;'Sollecitazioni nel paramento'!$G$58,ABS(M2304)*'Sollecitazioni nel paramento'!$G$54,'Sollecitazioni nel paramento'!$G$53)*IF(M2304&lt;0,-1,1)</f>
        <v>0</v>
      </c>
      <c r="T2304" s="545">
        <f>'Foglio deposito bis'!$F$91*IF(ABS(N2304)&lt;'Sollecitazioni nel paramento'!$G$58,ABS(N2304)*'Sollecitazioni nel paramento'!$G$54,'Sollecitazioni nel paramento'!$G$53)*IF(N2304&lt;0,-1,1)</f>
        <v>892485.49558937876</v>
      </c>
      <c r="U2304" s="545">
        <f>'Foglio deposito bis'!$F$92*IF(ABS(O2304)&lt;'Sollecitazioni nel paramento'!$G$58,ABS(O2304)*'Sollecitazioni nel paramento'!$G$54,'Sollecitazioni nel paramento'!$G$53)*IF(O2304&lt;0,-1,1)</f>
        <v>1662039.1047339395</v>
      </c>
      <c r="V2304" s="472">
        <f t="shared" si="163"/>
        <v>1331469.78094919</v>
      </c>
      <c r="W2304" s="551"/>
      <c r="X2304" s="551"/>
    </row>
    <row r="2305" spans="1:24" x14ac:dyDescent="0.25">
      <c r="A2305" s="545">
        <f t="shared" si="162"/>
        <v>1310921.726062173</v>
      </c>
      <c r="B2305" s="3">
        <f t="shared" si="164"/>
        <v>3.3999999999999959</v>
      </c>
      <c r="C2305" s="545">
        <f>'Foglio deposito bis'!$E$162/sezione!$B$247*B2305</f>
        <v>36.676581681422896</v>
      </c>
      <c r="D2305" s="603">
        <f>-'Sollecitazioni nel paramento'!$G$47*'Sollecitazioni nel paramento'!$G$41*IF(DATI!$G$211="dx",DATI!$E$61,DATI!$E$64*DATI!$E$63)*1000*C2305^2*sezione!$AD$5*(1-sezione!$AD$6)</f>
        <v>-29928250.403245937</v>
      </c>
      <c r="E2305" s="545">
        <f>-'Foglio deposito bis'!$F$88*(C2305-sezione!$AL$36)*IF(ABS(K2305)&lt;'Sollecitazioni nel paramento'!$G$58,ABS(K2305)*'Sollecitazioni nel paramento'!$G$54,'Sollecitazioni nel paramento'!$G$53)</f>
        <v>0</v>
      </c>
      <c r="F2305" s="545">
        <f>-'Foglio deposito bis'!$F$89*(C2305-sezione!$AM$36)*IF(ABS(L2305)&lt;'Sollecitazioni nel paramento'!$G$58,ABS(L2305)*'Sollecitazioni nel paramento'!$G$54,'Sollecitazioni nel paramento'!$G$53)</f>
        <v>3583989.7653053855</v>
      </c>
      <c r="G2305" s="545">
        <f>-'Foglio deposito bis'!$F$90*(C2305-sezione!$AN$36)*IF(ABS(M2305)&lt;'Sollecitazioni nel paramento'!$G$58,ABS(M2305)*'Sollecitazioni nel paramento'!$G$54,'Sollecitazioni nel paramento'!$G$53)</f>
        <v>0</v>
      </c>
      <c r="H2305" s="545">
        <f>-'Foglio deposito bis'!$F$91*(C2305-sezione!$AO$36)*IF(ABS(N2305)&lt;'Sollecitazioni nel paramento'!$G$58,ABS(N2305)*'Sollecitazioni nel paramento'!$G$54,'Sollecitazioni nel paramento'!$G$53)</f>
        <v>110064362.11583155</v>
      </c>
      <c r="I2305" s="472">
        <f>-'Foglio deposito bis'!$F$92*(C2305-sezione!$AP$36)*IF(ABS(O2305)&lt;'Sollecitazioni nel paramento'!$G$58,ABS(O2305)*'Sollecitazioni nel paramento'!$G$54,'Sollecitazioni nel paramento'!$G$53)</f>
        <v>1197498690.3005781</v>
      </c>
      <c r="J2305" s="472">
        <f t="shared" si="161"/>
        <v>1281218791.7784691</v>
      </c>
      <c r="K2305" s="550">
        <f>'Sollecitazioni nel paramento'!$G$60*(sezione!$AL$36-C2305)/C2305</f>
        <v>3.1714962468575925E-4</v>
      </c>
      <c r="L2305" s="550">
        <f>'Sollecitazioni nel paramento'!$G$60*(sezione!$AM$36-C2305)/C2305</f>
        <v>2.2257244370286391E-3</v>
      </c>
      <c r="M2305" s="551">
        <f>'Sollecitazioni nel paramento'!$G$60*(sezione!$AN$36-C2305)/C2305</f>
        <v>4.1342992493715184E-3</v>
      </c>
      <c r="N2305" s="551">
        <f>'Sollecitazioni nel paramento'!$G$60*(sezione!$AO$36-C2305)/C2305</f>
        <v>1.1768598498743036E-2</v>
      </c>
      <c r="O2305" s="551">
        <f>'Sollecitazioni nel paramento'!$G$60*(sezione!$AP$36-C2305)/C2305</f>
        <v>6.8756379787078992E-2</v>
      </c>
      <c r="P2305" s="545">
        <f>-'Sollecitazioni nel paramento'!$G$47*'Sollecitazioni nel paramento'!$G$41*IF(DATI!$G$211="dx",DATI!$E$61,DATI!$E$64*DATI!$E$63)*1000*C2305*sezione!$AD$5</f>
        <v>-1397267.7323171678</v>
      </c>
      <c r="Q2305" s="545">
        <f>'Foglio deposito bis'!$F$88*IF(ABS(K2305)&lt;'Sollecitazioni nel paramento'!$G$58,ABS(K2305)*'Sollecitazioni nel paramento'!$G$54,'Sollecitazioni nel paramento'!$G$53)*IF(K2305&lt;0,-1,1)</f>
        <v>0</v>
      </c>
      <c r="R2305" s="545">
        <f>'Foglio deposito bis'!$F$89*IF(ABS(L2305)&lt;'Sollecitazioni nel paramento'!$G$58,ABS(L2305)*'Sollecitazioni nel paramento'!$G$54,'Sollecitazioni nel paramento'!$G$53)*IF(L2305&lt;0,-1,1)</f>
        <v>153664.85805602249</v>
      </c>
      <c r="S2305" s="545">
        <f>'Foglio deposito bis'!$F$90*IF(ABS(M2305)&lt;'Sollecitazioni nel paramento'!$G$58,ABS(M2305)*'Sollecitazioni nel paramento'!$G$54,'Sollecitazioni nel paramento'!$G$53)*IF(M2305&lt;0,-1,1)</f>
        <v>0</v>
      </c>
      <c r="T2305" s="545">
        <f>'Foglio deposito bis'!$F$91*IF(ABS(N2305)&lt;'Sollecitazioni nel paramento'!$G$58,ABS(N2305)*'Sollecitazioni nel paramento'!$G$54,'Sollecitazioni nel paramento'!$G$53)*IF(N2305&lt;0,-1,1)</f>
        <v>892485.49558937876</v>
      </c>
      <c r="U2305" s="545">
        <f>'Foglio deposito bis'!$F$92*IF(ABS(O2305)&lt;'Sollecitazioni nel paramento'!$G$58,ABS(O2305)*'Sollecitazioni nel paramento'!$G$54,'Sollecitazioni nel paramento'!$G$53)*IF(O2305&lt;0,-1,1)</f>
        <v>1662039.1047339395</v>
      </c>
      <c r="V2305" s="472">
        <f t="shared" si="163"/>
        <v>1310921.726062173</v>
      </c>
      <c r="W2305" s="551"/>
      <c r="X2305" s="551"/>
    </row>
    <row r="2306" spans="1:24" x14ac:dyDescent="0.25">
      <c r="A2306" s="545">
        <f t="shared" si="162"/>
        <v>1290373.6711751558</v>
      </c>
      <c r="B2306" s="3">
        <f t="shared" si="164"/>
        <v>3.4499999999999957</v>
      </c>
      <c r="C2306" s="545">
        <f>'Foglio deposito bis'!$E$162/sezione!$B$247*B2306</f>
        <v>37.215943176737937</v>
      </c>
      <c r="D2306" s="603">
        <f>-'Sollecitazioni nel paramento'!$G$47*'Sollecitazioni nel paramento'!$G$41*IF(DATI!$G$211="dx",DATI!$E$61,DATI!$E$64*DATI!$E$63)*1000*C2306^2*sezione!$AD$5*(1-sezione!$AD$6)</f>
        <v>-30814965.434656985</v>
      </c>
      <c r="E2306" s="545">
        <f>-'Foglio deposito bis'!$F$88*(C2306-sezione!$AL$36)*IF(ABS(K2306)&lt;'Sollecitazioni nel paramento'!$G$58,ABS(K2306)*'Sollecitazioni nel paramento'!$G$54,'Sollecitazioni nel paramento'!$G$53)</f>
        <v>0</v>
      </c>
      <c r="F2306" s="545">
        <f>-'Foglio deposito bis'!$F$89*(C2306-sezione!$AM$36)*IF(ABS(L2306)&lt;'Sollecitazioni nel paramento'!$G$58,ABS(L2306)*'Sollecitazioni nel paramento'!$G$54,'Sollecitazioni nel paramento'!$G$53)</f>
        <v>3501108.8576869154</v>
      </c>
      <c r="G2306" s="545">
        <f>-'Foglio deposito bis'!$F$90*(C2306-sezione!$AN$36)*IF(ABS(M2306)&lt;'Sollecitazioni nel paramento'!$G$58,ABS(M2306)*'Sollecitazioni nel paramento'!$G$54,'Sollecitazioni nel paramento'!$G$53)</f>
        <v>0</v>
      </c>
      <c r="H2306" s="545">
        <f>-'Foglio deposito bis'!$F$91*(C2306-sezione!$AO$36)*IF(ABS(N2306)&lt;'Sollecitazioni nel paramento'!$G$58,ABS(N2306)*'Sollecitazioni nel paramento'!$G$54,'Sollecitazioni nel paramento'!$G$53)</f>
        <v>109582989.80438349</v>
      </c>
      <c r="I2306" s="472">
        <f>-'Foglio deposito bis'!$F$92*(C2306-sezione!$AP$36)*IF(ABS(O2306)&lt;'Sollecitazioni nel paramento'!$G$58,ABS(O2306)*'Sollecitazioni nel paramento'!$G$54,'Sollecitazioni nel paramento'!$G$53)</f>
        <v>1196602250.4037769</v>
      </c>
      <c r="J2306" s="472">
        <f t="shared" si="161"/>
        <v>1278871383.6311903</v>
      </c>
      <c r="K2306" s="550">
        <f>'Sollecitazioni nel paramento'!$G$60*(sezione!$AL$36-C2306)/C2306</f>
        <v>2.6182861563234255E-4</v>
      </c>
      <c r="L2306" s="550">
        <f>'Sollecitazioni nel paramento'!$G$60*(sezione!$AM$36-C2306)/C2306</f>
        <v>2.1427429234485138E-3</v>
      </c>
      <c r="M2306" s="551">
        <f>'Sollecitazioni nel paramento'!$G$60*(sezione!$AN$36-C2306)/C2306</f>
        <v>4.0236572312646853E-3</v>
      </c>
      <c r="N2306" s="551">
        <f>'Sollecitazioni nel paramento'!$G$60*(sezione!$AO$36-C2306)/C2306</f>
        <v>1.154731446252937E-2</v>
      </c>
      <c r="O2306" s="551">
        <f>'Sollecitazioni nel paramento'!$G$60*(sezione!$AP$36-C2306)/C2306</f>
        <v>6.7709185877121325E-2</v>
      </c>
      <c r="P2306" s="545">
        <f>-'Sollecitazioni nel paramento'!$G$47*'Sollecitazioni nel paramento'!$G$41*IF(DATI!$G$211="dx",DATI!$E$61,DATI!$E$64*DATI!$E$63)*1000*C2306*sezione!$AD$5</f>
        <v>-1417815.787204185</v>
      </c>
      <c r="Q2306" s="545">
        <f>'Foglio deposito bis'!$F$88*IF(ABS(K2306)&lt;'Sollecitazioni nel paramento'!$G$58,ABS(K2306)*'Sollecitazioni nel paramento'!$G$54,'Sollecitazioni nel paramento'!$G$53)*IF(K2306&lt;0,-1,1)</f>
        <v>0</v>
      </c>
      <c r="R2306" s="545">
        <f>'Foglio deposito bis'!$F$89*IF(ABS(L2306)&lt;'Sollecitazioni nel paramento'!$G$58,ABS(L2306)*'Sollecitazioni nel paramento'!$G$54,'Sollecitazioni nel paramento'!$G$53)*IF(L2306&lt;0,-1,1)</f>
        <v>153664.85805602249</v>
      </c>
      <c r="S2306" s="545">
        <f>'Foglio deposito bis'!$F$90*IF(ABS(M2306)&lt;'Sollecitazioni nel paramento'!$G$58,ABS(M2306)*'Sollecitazioni nel paramento'!$G$54,'Sollecitazioni nel paramento'!$G$53)*IF(M2306&lt;0,-1,1)</f>
        <v>0</v>
      </c>
      <c r="T2306" s="545">
        <f>'Foglio deposito bis'!$F$91*IF(ABS(N2306)&lt;'Sollecitazioni nel paramento'!$G$58,ABS(N2306)*'Sollecitazioni nel paramento'!$G$54,'Sollecitazioni nel paramento'!$G$53)*IF(N2306&lt;0,-1,1)</f>
        <v>892485.49558937876</v>
      </c>
      <c r="U2306" s="545">
        <f>'Foglio deposito bis'!$F$92*IF(ABS(O2306)&lt;'Sollecitazioni nel paramento'!$G$58,ABS(O2306)*'Sollecitazioni nel paramento'!$G$54,'Sollecitazioni nel paramento'!$G$53)*IF(O2306&lt;0,-1,1)</f>
        <v>1662039.1047339395</v>
      </c>
      <c r="V2306" s="472">
        <f t="shared" si="163"/>
        <v>1290373.6711751558</v>
      </c>
      <c r="W2306" s="551"/>
      <c r="X2306" s="551"/>
    </row>
    <row r="2307" spans="1:24" x14ac:dyDescent="0.25">
      <c r="A2307" s="545">
        <f t="shared" si="162"/>
        <v>1269825.6162881388</v>
      </c>
      <c r="B2307" s="3">
        <f t="shared" si="164"/>
        <v>3.4999999999999956</v>
      </c>
      <c r="C2307" s="545">
        <f>'Foglio deposito bis'!$E$162/sezione!$B$247*B2307</f>
        <v>37.755304672052979</v>
      </c>
      <c r="D2307" s="603">
        <f>-'Sollecitazioni nel paramento'!$G$47*'Sollecitazioni nel paramento'!$G$41*IF(DATI!$G$211="dx",DATI!$E$61,DATI!$E$64*DATI!$E$63)*1000*C2307^2*sezione!$AD$5*(1-sezione!$AD$6)</f>
        <v>-31714625.211052135</v>
      </c>
      <c r="E2307" s="545">
        <f>-'Foglio deposito bis'!$F$88*(C2307-sezione!$AL$36)*IF(ABS(K2307)&lt;'Sollecitazioni nel paramento'!$G$58,ABS(K2307)*'Sollecitazioni nel paramento'!$G$54,'Sollecitazioni nel paramento'!$G$53)</f>
        <v>0</v>
      </c>
      <c r="F2307" s="545">
        <f>-'Foglio deposito bis'!$F$89*(C2307-sezione!$AM$36)*IF(ABS(L2307)&lt;'Sollecitazioni nel paramento'!$G$58,ABS(L2307)*'Sollecitazioni nel paramento'!$G$54,'Sollecitazioni nel paramento'!$G$53)</f>
        <v>3418227.9500684459</v>
      </c>
      <c r="G2307" s="545">
        <f>-'Foglio deposito bis'!$F$90*(C2307-sezione!$AN$36)*IF(ABS(M2307)&lt;'Sollecitazioni nel paramento'!$G$58,ABS(M2307)*'Sollecitazioni nel paramento'!$G$54,'Sollecitazioni nel paramento'!$G$53)</f>
        <v>0</v>
      </c>
      <c r="H2307" s="545">
        <f>-'Foglio deposito bis'!$F$91*(C2307-sezione!$AO$36)*IF(ABS(N2307)&lt;'Sollecitazioni nel paramento'!$G$58,ABS(N2307)*'Sollecitazioni nel paramento'!$G$54,'Sollecitazioni nel paramento'!$G$53)</f>
        <v>109101617.49293543</v>
      </c>
      <c r="I2307" s="472">
        <f>-'Foglio deposito bis'!$F$92*(C2307-sezione!$AP$36)*IF(ABS(O2307)&lt;'Sollecitazioni nel paramento'!$G$58,ABS(O2307)*'Sollecitazioni nel paramento'!$G$54,'Sollecitazioni nel paramento'!$G$53)</f>
        <v>1195705810.5069754</v>
      </c>
      <c r="J2307" s="472">
        <f t="shared" si="161"/>
        <v>1276511030.7389271</v>
      </c>
      <c r="K2307" s="550">
        <f>'Sollecitazioni nel paramento'!$G$60*(sezione!$AL$36-C2307)/C2307</f>
        <v>2.0808820683759487E-4</v>
      </c>
      <c r="L2307" s="550">
        <f>'Sollecitazioni nel paramento'!$G$60*(sezione!$AM$36-C2307)/C2307</f>
        <v>2.0621323102563921E-3</v>
      </c>
      <c r="M2307" s="551">
        <f>'Sollecitazioni nel paramento'!$G$60*(sezione!$AN$36-C2307)/C2307</f>
        <v>3.91617641367519E-3</v>
      </c>
      <c r="N2307" s="551">
        <f>'Sollecitazioni nel paramento'!$G$60*(sezione!$AO$36-C2307)/C2307</f>
        <v>1.1332352827350381E-2</v>
      </c>
      <c r="O2307" s="551">
        <f>'Sollecitazioni nel paramento'!$G$60*(sezione!$AP$36-C2307)/C2307</f>
        <v>6.6691911793162473E-2</v>
      </c>
      <c r="P2307" s="545">
        <f>-'Sollecitazioni nel paramento'!$G$47*'Sollecitazioni nel paramento'!$G$41*IF(DATI!$G$211="dx",DATI!$E$61,DATI!$E$64*DATI!$E$63)*1000*C2307*sezione!$AD$5</f>
        <v>-1438363.842091202</v>
      </c>
      <c r="Q2307" s="545">
        <f>'Foglio deposito bis'!$F$88*IF(ABS(K2307)&lt;'Sollecitazioni nel paramento'!$G$58,ABS(K2307)*'Sollecitazioni nel paramento'!$G$54,'Sollecitazioni nel paramento'!$G$53)*IF(K2307&lt;0,-1,1)</f>
        <v>0</v>
      </c>
      <c r="R2307" s="545">
        <f>'Foglio deposito bis'!$F$89*IF(ABS(L2307)&lt;'Sollecitazioni nel paramento'!$G$58,ABS(L2307)*'Sollecitazioni nel paramento'!$G$54,'Sollecitazioni nel paramento'!$G$53)*IF(L2307&lt;0,-1,1)</f>
        <v>153664.85805602249</v>
      </c>
      <c r="S2307" s="545">
        <f>'Foglio deposito bis'!$F$90*IF(ABS(M2307)&lt;'Sollecitazioni nel paramento'!$G$58,ABS(M2307)*'Sollecitazioni nel paramento'!$G$54,'Sollecitazioni nel paramento'!$G$53)*IF(M2307&lt;0,-1,1)</f>
        <v>0</v>
      </c>
      <c r="T2307" s="545">
        <f>'Foglio deposito bis'!$F$91*IF(ABS(N2307)&lt;'Sollecitazioni nel paramento'!$G$58,ABS(N2307)*'Sollecitazioni nel paramento'!$G$54,'Sollecitazioni nel paramento'!$G$53)*IF(N2307&lt;0,-1,1)</f>
        <v>892485.49558937876</v>
      </c>
      <c r="U2307" s="545">
        <f>'Foglio deposito bis'!$F$92*IF(ABS(O2307)&lt;'Sollecitazioni nel paramento'!$G$58,ABS(O2307)*'Sollecitazioni nel paramento'!$G$54,'Sollecitazioni nel paramento'!$G$53)*IF(O2307&lt;0,-1,1)</f>
        <v>1662039.1047339395</v>
      </c>
      <c r="V2307" s="472">
        <f t="shared" si="163"/>
        <v>1269825.6162881388</v>
      </c>
      <c r="W2307" s="551"/>
      <c r="X2307" s="551"/>
    </row>
    <row r="2308" spans="1:24" x14ac:dyDescent="0.25">
      <c r="A2308" s="545">
        <f t="shared" si="162"/>
        <v>1249277.5614011218</v>
      </c>
      <c r="B2308" s="3">
        <f t="shared" si="164"/>
        <v>3.5499999999999954</v>
      </c>
      <c r="C2308" s="545">
        <f>'Foglio deposito bis'!$E$162/sezione!$B$247*B2308</f>
        <v>38.294666167368021</v>
      </c>
      <c r="D2308" s="603">
        <f>-'Sollecitazioni nel paramento'!$G$47*'Sollecitazioni nel paramento'!$G$41*IF(DATI!$G$211="dx",DATI!$E$61,DATI!$E$64*DATI!$E$63)*1000*C2308^2*sezione!$AD$5*(1-sezione!$AD$6)</f>
        <v>-32627229.732431389</v>
      </c>
      <c r="E2308" s="545">
        <f>-'Foglio deposito bis'!$F$88*(C2308-sezione!$AL$36)*IF(ABS(K2308)&lt;'Sollecitazioni nel paramento'!$G$58,ABS(K2308)*'Sollecitazioni nel paramento'!$G$54,'Sollecitazioni nel paramento'!$G$53)</f>
        <v>0</v>
      </c>
      <c r="F2308" s="545">
        <f>-'Foglio deposito bis'!$F$89*(C2308-sezione!$AM$36)*IF(ABS(L2308)&lt;'Sollecitazioni nel paramento'!$G$58,ABS(L2308)*'Sollecitazioni nel paramento'!$G$54,'Sollecitazioni nel paramento'!$G$53)</f>
        <v>3335347.0424499759</v>
      </c>
      <c r="G2308" s="545">
        <f>-'Foglio deposito bis'!$F$90*(C2308-sezione!$AN$36)*IF(ABS(M2308)&lt;'Sollecitazioni nel paramento'!$G$58,ABS(M2308)*'Sollecitazioni nel paramento'!$G$54,'Sollecitazioni nel paramento'!$G$53)</f>
        <v>0</v>
      </c>
      <c r="H2308" s="545">
        <f>-'Foglio deposito bis'!$F$91*(C2308-sezione!$AO$36)*IF(ABS(N2308)&lt;'Sollecitazioni nel paramento'!$G$58,ABS(N2308)*'Sollecitazioni nel paramento'!$G$54,'Sollecitazioni nel paramento'!$G$53)</f>
        <v>108620245.18148734</v>
      </c>
      <c r="I2308" s="472">
        <f>-'Foglio deposito bis'!$F$92*(C2308-sezione!$AP$36)*IF(ABS(O2308)&lt;'Sollecitazioni nel paramento'!$G$58,ABS(O2308)*'Sollecitazioni nel paramento'!$G$54,'Sollecitazioni nel paramento'!$G$53)</f>
        <v>1194809370.6101739</v>
      </c>
      <c r="J2308" s="472">
        <f t="shared" si="161"/>
        <v>1274137733.1016798</v>
      </c>
      <c r="K2308" s="550">
        <f>'Sollecitazioni nel paramento'!$G$60*(sezione!$AL$36-C2308)/C2308</f>
        <v>1.5586161237509362E-4</v>
      </c>
      <c r="L2308" s="550">
        <f>'Sollecitazioni nel paramento'!$G$60*(sezione!$AM$36-C2308)/C2308</f>
        <v>1.9837924185626406E-3</v>
      </c>
      <c r="M2308" s="551">
        <f>'Sollecitazioni nel paramento'!$G$60*(sezione!$AN$36-C2308)/C2308</f>
        <v>3.8117232247501876E-3</v>
      </c>
      <c r="N2308" s="551">
        <f>'Sollecitazioni nel paramento'!$G$60*(sezione!$AO$36-C2308)/C2308</f>
        <v>1.1123446449500375E-2</v>
      </c>
      <c r="O2308" s="551">
        <f>'Sollecitazioni nel paramento'!$G$60*(sezione!$AP$36-C2308)/C2308</f>
        <v>6.5703293317202427E-2</v>
      </c>
      <c r="P2308" s="545">
        <f>-'Sollecitazioni nel paramento'!$G$47*'Sollecitazioni nel paramento'!$G$41*IF(DATI!$G$211="dx",DATI!$E$61,DATI!$E$64*DATI!$E$63)*1000*C2308*sezione!$AD$5</f>
        <v>-1458911.896978219</v>
      </c>
      <c r="Q2308" s="545">
        <f>'Foglio deposito bis'!$F$88*IF(ABS(K2308)&lt;'Sollecitazioni nel paramento'!$G$58,ABS(K2308)*'Sollecitazioni nel paramento'!$G$54,'Sollecitazioni nel paramento'!$G$53)*IF(K2308&lt;0,-1,1)</f>
        <v>0</v>
      </c>
      <c r="R2308" s="545">
        <f>'Foglio deposito bis'!$F$89*IF(ABS(L2308)&lt;'Sollecitazioni nel paramento'!$G$58,ABS(L2308)*'Sollecitazioni nel paramento'!$G$54,'Sollecitazioni nel paramento'!$G$53)*IF(L2308&lt;0,-1,1)</f>
        <v>153664.85805602249</v>
      </c>
      <c r="S2308" s="545">
        <f>'Foglio deposito bis'!$F$90*IF(ABS(M2308)&lt;'Sollecitazioni nel paramento'!$G$58,ABS(M2308)*'Sollecitazioni nel paramento'!$G$54,'Sollecitazioni nel paramento'!$G$53)*IF(M2308&lt;0,-1,1)</f>
        <v>0</v>
      </c>
      <c r="T2308" s="545">
        <f>'Foglio deposito bis'!$F$91*IF(ABS(N2308)&lt;'Sollecitazioni nel paramento'!$G$58,ABS(N2308)*'Sollecitazioni nel paramento'!$G$54,'Sollecitazioni nel paramento'!$G$53)*IF(N2308&lt;0,-1,1)</f>
        <v>892485.49558937876</v>
      </c>
      <c r="U2308" s="545">
        <f>'Foglio deposito bis'!$F$92*IF(ABS(O2308)&lt;'Sollecitazioni nel paramento'!$G$58,ABS(O2308)*'Sollecitazioni nel paramento'!$G$54,'Sollecitazioni nel paramento'!$G$53)*IF(O2308&lt;0,-1,1)</f>
        <v>1662039.1047339395</v>
      </c>
      <c r="V2308" s="472">
        <f t="shared" si="163"/>
        <v>1249277.5614011218</v>
      </c>
      <c r="W2308" s="551"/>
      <c r="X2308" s="551"/>
    </row>
    <row r="2309" spans="1:24" x14ac:dyDescent="0.25">
      <c r="A2309" s="545">
        <f t="shared" si="162"/>
        <v>1228729.5065141045</v>
      </c>
      <c r="B2309" s="3">
        <f t="shared" si="164"/>
        <v>3.5999999999999952</v>
      </c>
      <c r="C2309" s="545">
        <f>'Foglio deposito bis'!$E$162/sezione!$B$247*B2309</f>
        <v>38.834027662683063</v>
      </c>
      <c r="D2309" s="603">
        <f>-'Sollecitazioni nel paramento'!$G$47*'Sollecitazioni nel paramento'!$G$41*IF(DATI!$G$211="dx",DATI!$E$61,DATI!$E$64*DATI!$E$63)*1000*C2309^2*sezione!$AD$5*(1-sezione!$AD$6)</f>
        <v>-33552778.998794742</v>
      </c>
      <c r="E2309" s="545">
        <f>-'Foglio deposito bis'!$F$88*(C2309-sezione!$AL$36)*IF(ABS(K2309)&lt;'Sollecitazioni nel paramento'!$G$58,ABS(K2309)*'Sollecitazioni nel paramento'!$G$54,'Sollecitazioni nel paramento'!$G$53)</f>
        <v>0</v>
      </c>
      <c r="F2309" s="545">
        <f>-'Foglio deposito bis'!$F$89*(C2309-sezione!$AM$36)*IF(ABS(L2309)&lt;'Sollecitazioni nel paramento'!$G$58,ABS(L2309)*'Sollecitazioni nel paramento'!$G$54,'Sollecitazioni nel paramento'!$G$53)</f>
        <v>3252466.1348315058</v>
      </c>
      <c r="G2309" s="545">
        <f>-'Foglio deposito bis'!$F$90*(C2309-sezione!$AN$36)*IF(ABS(M2309)&lt;'Sollecitazioni nel paramento'!$G$58,ABS(M2309)*'Sollecitazioni nel paramento'!$G$54,'Sollecitazioni nel paramento'!$G$53)</f>
        <v>0</v>
      </c>
      <c r="H2309" s="545">
        <f>-'Foglio deposito bis'!$F$91*(C2309-sezione!$AO$36)*IF(ABS(N2309)&lt;'Sollecitazioni nel paramento'!$G$58,ABS(N2309)*'Sollecitazioni nel paramento'!$G$54,'Sollecitazioni nel paramento'!$G$53)</f>
        <v>108138872.87003925</v>
      </c>
      <c r="I2309" s="472">
        <f>-'Foglio deposito bis'!$F$92*(C2309-sezione!$AP$36)*IF(ABS(O2309)&lt;'Sollecitazioni nel paramento'!$G$58,ABS(O2309)*'Sollecitazioni nel paramento'!$G$54,'Sollecitazioni nel paramento'!$G$53)</f>
        <v>1193912930.7133727</v>
      </c>
      <c r="J2309" s="472">
        <f t="shared" si="161"/>
        <v>1271751490.7194488</v>
      </c>
      <c r="K2309" s="550">
        <f>'Sollecitazioni nel paramento'!$G$60*(sezione!$AL$36-C2309)/C2309</f>
        <v>1.0508575664766182E-4</v>
      </c>
      <c r="L2309" s="550">
        <f>'Sollecitazioni nel paramento'!$G$60*(sezione!$AM$36-C2309)/C2309</f>
        <v>1.9076286349714927E-3</v>
      </c>
      <c r="M2309" s="551">
        <f>'Sollecitazioni nel paramento'!$G$60*(sezione!$AN$36-C2309)/C2309</f>
        <v>3.7101715132953237E-3</v>
      </c>
      <c r="N2309" s="551">
        <f>'Sollecitazioni nel paramento'!$G$60*(sezione!$AO$36-C2309)/C2309</f>
        <v>1.0920343026590647E-2</v>
      </c>
      <c r="O2309" s="551">
        <f>'Sollecitazioni nel paramento'!$G$60*(sezione!$AP$36-C2309)/C2309</f>
        <v>6.4742136465574612E-2</v>
      </c>
      <c r="P2309" s="545">
        <f>-'Sollecitazioni nel paramento'!$G$47*'Sollecitazioni nel paramento'!$G$41*IF(DATI!$G$211="dx",DATI!$E$61,DATI!$E$64*DATI!$E$63)*1000*C2309*sezione!$AD$5</f>
        <v>-1479459.9518652363</v>
      </c>
      <c r="Q2309" s="545">
        <f>'Foglio deposito bis'!$F$88*IF(ABS(K2309)&lt;'Sollecitazioni nel paramento'!$G$58,ABS(K2309)*'Sollecitazioni nel paramento'!$G$54,'Sollecitazioni nel paramento'!$G$53)*IF(K2309&lt;0,-1,1)</f>
        <v>0</v>
      </c>
      <c r="R2309" s="545">
        <f>'Foglio deposito bis'!$F$89*IF(ABS(L2309)&lt;'Sollecitazioni nel paramento'!$G$58,ABS(L2309)*'Sollecitazioni nel paramento'!$G$54,'Sollecitazioni nel paramento'!$G$53)*IF(L2309&lt;0,-1,1)</f>
        <v>153664.85805602249</v>
      </c>
      <c r="S2309" s="545">
        <f>'Foglio deposito bis'!$F$90*IF(ABS(M2309)&lt;'Sollecitazioni nel paramento'!$G$58,ABS(M2309)*'Sollecitazioni nel paramento'!$G$54,'Sollecitazioni nel paramento'!$G$53)*IF(M2309&lt;0,-1,1)</f>
        <v>0</v>
      </c>
      <c r="T2309" s="545">
        <f>'Foglio deposito bis'!$F$91*IF(ABS(N2309)&lt;'Sollecitazioni nel paramento'!$G$58,ABS(N2309)*'Sollecitazioni nel paramento'!$G$54,'Sollecitazioni nel paramento'!$G$53)*IF(N2309&lt;0,-1,1)</f>
        <v>892485.49558937876</v>
      </c>
      <c r="U2309" s="545">
        <f>'Foglio deposito bis'!$F$92*IF(ABS(O2309)&lt;'Sollecitazioni nel paramento'!$G$58,ABS(O2309)*'Sollecitazioni nel paramento'!$G$54,'Sollecitazioni nel paramento'!$G$53)*IF(O2309&lt;0,-1,1)</f>
        <v>1662039.1047339395</v>
      </c>
      <c r="V2309" s="472">
        <f t="shared" si="163"/>
        <v>1228729.5065141045</v>
      </c>
      <c r="W2309" s="551"/>
      <c r="X2309" s="551"/>
    </row>
    <row r="2310" spans="1:24" x14ac:dyDescent="0.25">
      <c r="A2310" s="545">
        <f t="shared" si="162"/>
        <v>1202843.598030163</v>
      </c>
      <c r="B2310" s="3">
        <f t="shared" si="164"/>
        <v>3.649999999999995</v>
      </c>
      <c r="C2310" s="545">
        <f>'Foglio deposito bis'!$E$162/sezione!$B$247*B2310</f>
        <v>39.373389157998105</v>
      </c>
      <c r="D2310" s="603">
        <f>-'Sollecitazioni nel paramento'!$G$47*'Sollecitazioni nel paramento'!$G$41*IF(DATI!$G$211="dx",DATI!$E$61,DATI!$E$64*DATI!$E$63)*1000*C2310^2*sezione!$AD$5*(1-sezione!$AD$6)</f>
        <v>-34491273.010142207</v>
      </c>
      <c r="E2310" s="545">
        <f>-'Foglio deposito bis'!$F$88*(C2310-sezione!$AL$36)*IF(ABS(K2310)&lt;'Sollecitazioni nel paramento'!$G$58,ABS(K2310)*'Sollecitazioni nel paramento'!$G$54,'Sollecitazioni nel paramento'!$G$53)</f>
        <v>0</v>
      </c>
      <c r="F2310" s="545">
        <f>-'Foglio deposito bis'!$F$89*(C2310-sezione!$AM$36)*IF(ABS(L2310)&lt;'Sollecitazioni nel paramento'!$G$58,ABS(L2310)*'Sollecitazioni nel paramento'!$G$54,'Sollecitazioni nel paramento'!$G$53)</f>
        <v>3059483.3983376999</v>
      </c>
      <c r="G2310" s="545">
        <f>-'Foglio deposito bis'!$F$90*(C2310-sezione!$AN$36)*IF(ABS(M2310)&lt;'Sollecitazioni nel paramento'!$G$58,ABS(M2310)*'Sollecitazioni nel paramento'!$G$54,'Sollecitazioni nel paramento'!$G$53)</f>
        <v>0</v>
      </c>
      <c r="H2310" s="545">
        <f>-'Foglio deposito bis'!$F$91*(C2310-sezione!$AO$36)*IF(ABS(N2310)&lt;'Sollecitazioni nel paramento'!$G$58,ABS(N2310)*'Sollecitazioni nel paramento'!$G$54,'Sollecitazioni nel paramento'!$G$53)</f>
        <v>107657500.55859119</v>
      </c>
      <c r="I2310" s="472">
        <f>-'Foglio deposito bis'!$F$92*(C2310-sezione!$AP$36)*IF(ABS(O2310)&lt;'Sollecitazioni nel paramento'!$G$58,ABS(O2310)*'Sollecitazioni nel paramento'!$G$54,'Sollecitazioni nel paramento'!$G$53)</f>
        <v>1193016490.8165712</v>
      </c>
      <c r="J2310" s="472">
        <f t="shared" si="161"/>
        <v>1269242201.7633579</v>
      </c>
      <c r="K2310" s="550">
        <f>'Sollecitazioni nel paramento'!$G$60*(sezione!$AL$36-C2310)/C2310</f>
        <v>5.570102025522816E-5</v>
      </c>
      <c r="L2310" s="550">
        <f>'Sollecitazioni nel paramento'!$G$60*(sezione!$AM$36-C2310)/C2310</f>
        <v>1.8335515303828421E-3</v>
      </c>
      <c r="M2310" s="551">
        <f>'Sollecitazioni nel paramento'!$G$60*(sezione!$AN$36-C2310)/C2310</f>
        <v>3.6114020405104562E-3</v>
      </c>
      <c r="N2310" s="551">
        <f>'Sollecitazioni nel paramento'!$G$60*(sezione!$AO$36-C2310)/C2310</f>
        <v>1.0722804081020913E-2</v>
      </c>
      <c r="O2310" s="551">
        <f>'Sollecitazioni nel paramento'!$G$60*(sezione!$AP$36-C2310)/C2310</f>
        <v>6.3807312678374972E-2</v>
      </c>
      <c r="P2310" s="545">
        <f>-'Sollecitazioni nel paramento'!$G$47*'Sollecitazioni nel paramento'!$G$41*IF(DATI!$G$211="dx",DATI!$E$61,DATI!$E$64*DATI!$E$63)*1000*C2310*sezione!$AD$5</f>
        <v>-1500008.0067522535</v>
      </c>
      <c r="Q2310" s="545">
        <f>'Foglio deposito bis'!$F$88*IF(ABS(K2310)&lt;'Sollecitazioni nel paramento'!$G$58,ABS(K2310)*'Sollecitazioni nel paramento'!$G$54,'Sollecitazioni nel paramento'!$G$53)*IF(K2310&lt;0,-1,1)</f>
        <v>0</v>
      </c>
      <c r="R2310" s="545">
        <f>'Foglio deposito bis'!$F$89*IF(ABS(L2310)&lt;'Sollecitazioni nel paramento'!$G$58,ABS(L2310)*'Sollecitazioni nel paramento'!$G$54,'Sollecitazioni nel paramento'!$G$53)*IF(L2310&lt;0,-1,1)</f>
        <v>148327.00445909827</v>
      </c>
      <c r="S2310" s="545">
        <f>'Foglio deposito bis'!$F$90*IF(ABS(M2310)&lt;'Sollecitazioni nel paramento'!$G$58,ABS(M2310)*'Sollecitazioni nel paramento'!$G$54,'Sollecitazioni nel paramento'!$G$53)*IF(M2310&lt;0,-1,1)</f>
        <v>0</v>
      </c>
      <c r="T2310" s="545">
        <f>'Foglio deposito bis'!$F$91*IF(ABS(N2310)&lt;'Sollecitazioni nel paramento'!$G$58,ABS(N2310)*'Sollecitazioni nel paramento'!$G$54,'Sollecitazioni nel paramento'!$G$53)*IF(N2310&lt;0,-1,1)</f>
        <v>892485.49558937876</v>
      </c>
      <c r="U2310" s="545">
        <f>'Foglio deposito bis'!$F$92*IF(ABS(O2310)&lt;'Sollecitazioni nel paramento'!$G$58,ABS(O2310)*'Sollecitazioni nel paramento'!$G$54,'Sollecitazioni nel paramento'!$G$53)*IF(O2310&lt;0,-1,1)</f>
        <v>1662039.1047339395</v>
      </c>
      <c r="V2310" s="472">
        <f t="shared" si="163"/>
        <v>1202843.598030163</v>
      </c>
      <c r="W2310" s="551"/>
      <c r="X2310" s="551"/>
    </row>
    <row r="2311" spans="1:24" x14ac:dyDescent="0.25">
      <c r="A2311" s="545">
        <f t="shared" si="162"/>
        <v>1176464.9614895799</v>
      </c>
      <c r="B2311" s="3">
        <f t="shared" si="164"/>
        <v>3.6999999999999948</v>
      </c>
      <c r="C2311" s="545">
        <f>'Foglio deposito bis'!$E$162/sezione!$B$247*B2311</f>
        <v>39.912750653313147</v>
      </c>
      <c r="D2311" s="603">
        <f>-'Sollecitazioni nel paramento'!$G$47*'Sollecitazioni nel paramento'!$G$41*IF(DATI!$G$211="dx",DATI!$E$61,DATI!$E$64*DATI!$E$63)*1000*C2311^2*sezione!$AD$5*(1-sezione!$AD$6)</f>
        <v>-35442711.76647377</v>
      </c>
      <c r="E2311" s="545">
        <f>-'Foglio deposito bis'!$F$88*(C2311-sezione!$AL$36)*IF(ABS(K2311)&lt;'Sollecitazioni nel paramento'!$G$58,ABS(K2311)*'Sollecitazioni nel paramento'!$G$54,'Sollecitazioni nel paramento'!$G$53)</f>
        <v>0</v>
      </c>
      <c r="F2311" s="545">
        <f>-'Foglio deposito bis'!$F$89*(C2311-sezione!$AM$36)*IF(ABS(L2311)&lt;'Sollecitazioni nel paramento'!$G$58,ABS(L2311)*'Sollecitazioni nel paramento'!$G$54,'Sollecitazioni nel paramento'!$G$53)</f>
        <v>2862361.175905644</v>
      </c>
      <c r="G2311" s="545">
        <f>-'Foglio deposito bis'!$F$90*(C2311-sezione!$AN$36)*IF(ABS(M2311)&lt;'Sollecitazioni nel paramento'!$G$58,ABS(M2311)*'Sollecitazioni nel paramento'!$G$54,'Sollecitazioni nel paramento'!$G$53)</f>
        <v>0</v>
      </c>
      <c r="H2311" s="545">
        <f>-'Foglio deposito bis'!$F$91*(C2311-sezione!$AO$36)*IF(ABS(N2311)&lt;'Sollecitazioni nel paramento'!$G$58,ABS(N2311)*'Sollecitazioni nel paramento'!$G$54,'Sollecitazioni nel paramento'!$G$53)</f>
        <v>107176128.24714313</v>
      </c>
      <c r="I2311" s="472">
        <f>-'Foglio deposito bis'!$F$92*(C2311-sezione!$AP$36)*IF(ABS(O2311)&lt;'Sollecitazioni nel paramento'!$G$58,ABS(O2311)*'Sollecitazioni nel paramento'!$G$54,'Sollecitazioni nel paramento'!$G$53)</f>
        <v>1192120050.9197698</v>
      </c>
      <c r="J2311" s="472">
        <f t="shared" si="161"/>
        <v>1266715828.5763447</v>
      </c>
      <c r="K2311" s="550">
        <f>'Sollecitazioni nel paramento'!$G$60*(sezione!$AL$36-C2311)/C2311</f>
        <v>7.6510064679954068E-6</v>
      </c>
      <c r="L2311" s="550">
        <f>'Sollecitazioni nel paramento'!$G$60*(sezione!$AM$36-C2311)/C2311</f>
        <v>1.7614765097019934E-3</v>
      </c>
      <c r="M2311" s="551">
        <f>'Sollecitazioni nel paramento'!$G$60*(sezione!$AN$36-C2311)/C2311</f>
        <v>3.5153020129359909E-3</v>
      </c>
      <c r="N2311" s="551">
        <f>'Sollecitazioni nel paramento'!$G$60*(sezione!$AO$36-C2311)/C2311</f>
        <v>1.0530604025871982E-2</v>
      </c>
      <c r="O2311" s="551">
        <f>'Sollecitazioni nel paramento'!$G$60*(sezione!$AP$36-C2311)/C2311</f>
        <v>6.2897754398937453E-2</v>
      </c>
      <c r="P2311" s="545">
        <f>-'Sollecitazioni nel paramento'!$G$47*'Sollecitazioni nel paramento'!$G$41*IF(DATI!$G$211="dx",DATI!$E$61,DATI!$E$64*DATI!$E$63)*1000*C2311*sezione!$AD$5</f>
        <v>-1520556.0616392707</v>
      </c>
      <c r="Q2311" s="545">
        <f>'Foglio deposito bis'!$F$88*IF(ABS(K2311)&lt;'Sollecitazioni nel paramento'!$G$58,ABS(K2311)*'Sollecitazioni nel paramento'!$G$54,'Sollecitazioni nel paramento'!$G$53)*IF(K2311&lt;0,-1,1)</f>
        <v>0</v>
      </c>
      <c r="R2311" s="545">
        <f>'Foglio deposito bis'!$F$89*IF(ABS(L2311)&lt;'Sollecitazioni nel paramento'!$G$58,ABS(L2311)*'Sollecitazioni nel paramento'!$G$54,'Sollecitazioni nel paramento'!$G$53)*IF(L2311&lt;0,-1,1)</f>
        <v>142496.42280553238</v>
      </c>
      <c r="S2311" s="545">
        <f>'Foglio deposito bis'!$F$90*IF(ABS(M2311)&lt;'Sollecitazioni nel paramento'!$G$58,ABS(M2311)*'Sollecitazioni nel paramento'!$G$54,'Sollecitazioni nel paramento'!$G$53)*IF(M2311&lt;0,-1,1)</f>
        <v>0</v>
      </c>
      <c r="T2311" s="545">
        <f>'Foglio deposito bis'!$F$91*IF(ABS(N2311)&lt;'Sollecitazioni nel paramento'!$G$58,ABS(N2311)*'Sollecitazioni nel paramento'!$G$54,'Sollecitazioni nel paramento'!$G$53)*IF(N2311&lt;0,-1,1)</f>
        <v>892485.49558937876</v>
      </c>
      <c r="U2311" s="545">
        <f>'Foglio deposito bis'!$F$92*IF(ABS(O2311)&lt;'Sollecitazioni nel paramento'!$G$58,ABS(O2311)*'Sollecitazioni nel paramento'!$G$54,'Sollecitazioni nel paramento'!$G$53)*IF(O2311&lt;0,-1,1)</f>
        <v>1662039.1047339395</v>
      </c>
      <c r="V2311" s="472">
        <f t="shared" si="163"/>
        <v>1176464.9614895799</v>
      </c>
      <c r="W2311" s="551"/>
      <c r="X2311" s="551"/>
    </row>
    <row r="2312" spans="1:24" x14ac:dyDescent="0.25">
      <c r="A2312" s="545">
        <f t="shared" si="162"/>
        <v>1150241.8071264254</v>
      </c>
      <c r="B2312" s="3">
        <f t="shared" si="164"/>
        <v>3.7499999999999947</v>
      </c>
      <c r="C2312" s="545">
        <f>'Foglio deposito bis'!$E$162/sezione!$B$247*B2312</f>
        <v>40.452112148628188</v>
      </c>
      <c r="D2312" s="603">
        <f>-'Sollecitazioni nel paramento'!$G$47*'Sollecitazioni nel paramento'!$G$41*IF(DATI!$G$211="dx",DATI!$E$61,DATI!$E$64*DATI!$E$63)*1000*C2312^2*sezione!$AD$5*(1-sezione!$AD$6)</f>
        <v>-36407095.267789438</v>
      </c>
      <c r="E2312" s="545">
        <f>-'Foglio deposito bis'!$F$88*(C2312-sezione!$AL$36)*IF(ABS(K2312)&lt;'Sollecitazioni nel paramento'!$G$58,ABS(K2312)*'Sollecitazioni nel paramento'!$G$54,'Sollecitazioni nel paramento'!$G$53)</f>
        <v>0</v>
      </c>
      <c r="F2312" s="545">
        <f>-'Foglio deposito bis'!$F$89*(C2312-sezione!$AM$36)*IF(ABS(L2312)&lt;'Sollecitazioni nel paramento'!$G$58,ABS(L2312)*'Sollecitazioni nel paramento'!$G$54,'Sollecitazioni nel paramento'!$G$53)</f>
        <v>2674567.8841192927</v>
      </c>
      <c r="G2312" s="545">
        <f>-'Foglio deposito bis'!$F$90*(C2312-sezione!$AN$36)*IF(ABS(M2312)&lt;'Sollecitazioni nel paramento'!$G$58,ABS(M2312)*'Sollecitazioni nel paramento'!$G$54,'Sollecitazioni nel paramento'!$G$53)</f>
        <v>0</v>
      </c>
      <c r="H2312" s="545">
        <f>-'Foglio deposito bis'!$F$91*(C2312-sezione!$AO$36)*IF(ABS(N2312)&lt;'Sollecitazioni nel paramento'!$G$58,ABS(N2312)*'Sollecitazioni nel paramento'!$G$54,'Sollecitazioni nel paramento'!$G$53)</f>
        <v>106694755.93569504</v>
      </c>
      <c r="I2312" s="472">
        <f>-'Foglio deposito bis'!$F$92*(C2312-sezione!$AP$36)*IF(ABS(O2312)&lt;'Sollecitazioni nel paramento'!$G$58,ABS(O2312)*'Sollecitazioni nel paramento'!$G$54,'Sollecitazioni nel paramento'!$G$53)</f>
        <v>1191223611.0229685</v>
      </c>
      <c r="J2312" s="472">
        <f t="shared" si="161"/>
        <v>1264185839.5749934</v>
      </c>
      <c r="K2312" s="550">
        <f>'Sollecitazioni nel paramento'!$G$60*(sezione!$AL$36-C2312)/C2312</f>
        <v>-3.9117673618244475E-5</v>
      </c>
      <c r="L2312" s="550">
        <f>'Sollecitazioni nel paramento'!$G$60*(sezione!$AM$36-C2312)/C2312</f>
        <v>1.6913234895726333E-3</v>
      </c>
      <c r="M2312" s="551">
        <f>'Sollecitazioni nel paramento'!$G$60*(sezione!$AN$36-C2312)/C2312</f>
        <v>3.4217646527635111E-3</v>
      </c>
      <c r="N2312" s="551">
        <f>'Sollecitazioni nel paramento'!$G$60*(sezione!$AO$36-C2312)/C2312</f>
        <v>1.0343529305527023E-2</v>
      </c>
      <c r="O2312" s="551">
        <f>'Sollecitazioni nel paramento'!$G$60*(sezione!$AP$36-C2312)/C2312</f>
        <v>6.2012451006951637E-2</v>
      </c>
      <c r="P2312" s="545">
        <f>-'Sollecitazioni nel paramento'!$G$47*'Sollecitazioni nel paramento'!$G$41*IF(DATI!$G$211="dx",DATI!$E$61,DATI!$E$64*DATI!$E$63)*1000*C2312*sezione!$AD$5</f>
        <v>-1541104.1165262877</v>
      </c>
      <c r="Q2312" s="545">
        <f>'Foglio deposito bis'!$F$88*IF(ABS(K2312)&lt;'Sollecitazioni nel paramento'!$G$58,ABS(K2312)*'Sollecitazioni nel paramento'!$G$54,'Sollecitazioni nel paramento'!$G$53)*IF(K2312&lt;0,-1,1)</f>
        <v>0</v>
      </c>
      <c r="R2312" s="545">
        <f>'Foglio deposito bis'!$F$89*IF(ABS(L2312)&lt;'Sollecitazioni nel paramento'!$G$58,ABS(L2312)*'Sollecitazioni nel paramento'!$G$54,'Sollecitazioni nel paramento'!$G$53)*IF(L2312&lt;0,-1,1)</f>
        <v>136821.32332939486</v>
      </c>
      <c r="S2312" s="545">
        <f>'Foglio deposito bis'!$F$90*IF(ABS(M2312)&lt;'Sollecitazioni nel paramento'!$G$58,ABS(M2312)*'Sollecitazioni nel paramento'!$G$54,'Sollecitazioni nel paramento'!$G$53)*IF(M2312&lt;0,-1,1)</f>
        <v>0</v>
      </c>
      <c r="T2312" s="545">
        <f>'Foglio deposito bis'!$F$91*IF(ABS(N2312)&lt;'Sollecitazioni nel paramento'!$G$58,ABS(N2312)*'Sollecitazioni nel paramento'!$G$54,'Sollecitazioni nel paramento'!$G$53)*IF(N2312&lt;0,-1,1)</f>
        <v>892485.49558937876</v>
      </c>
      <c r="U2312" s="545">
        <f>'Foglio deposito bis'!$F$92*IF(ABS(O2312)&lt;'Sollecitazioni nel paramento'!$G$58,ABS(O2312)*'Sollecitazioni nel paramento'!$G$54,'Sollecitazioni nel paramento'!$G$53)*IF(O2312&lt;0,-1,1)</f>
        <v>1662039.1047339395</v>
      </c>
      <c r="V2312" s="472">
        <f t="shared" si="163"/>
        <v>1150241.8071264254</v>
      </c>
      <c r="W2312" s="551"/>
      <c r="X2312" s="551"/>
    </row>
    <row r="2313" spans="1:24" x14ac:dyDescent="0.25">
      <c r="A2313" s="545">
        <f t="shared" si="162"/>
        <v>1124167.9974863268</v>
      </c>
      <c r="B2313" s="3">
        <f t="shared" si="164"/>
        <v>3.7999999999999945</v>
      </c>
      <c r="C2313" s="545">
        <f>'Foglio deposito bis'!$E$162/sezione!$B$247*B2313</f>
        <v>40.99147364394323</v>
      </c>
      <c r="D2313" s="603">
        <f>-'Sollecitazioni nel paramento'!$G$47*'Sollecitazioni nel paramento'!$G$41*IF(DATI!$G$211="dx",DATI!$E$61,DATI!$E$64*DATI!$E$63)*1000*C2313^2*sezione!$AD$5*(1-sezione!$AD$6)</f>
        <v>-37384423.514089197</v>
      </c>
      <c r="E2313" s="545">
        <f>-'Foglio deposito bis'!$F$88*(C2313-sezione!$AL$36)*IF(ABS(K2313)&lt;'Sollecitazioni nel paramento'!$G$58,ABS(K2313)*'Sollecitazioni nel paramento'!$G$54,'Sollecitazioni nel paramento'!$G$53)</f>
        <v>0</v>
      </c>
      <c r="F2313" s="545">
        <f>-'Foglio deposito bis'!$F$89*(C2313-sezione!$AM$36)*IF(ABS(L2313)&lt;'Sollecitazioni nel paramento'!$G$58,ABS(L2313)*'Sollecitazioni nel paramento'!$G$54,'Sollecitazioni nel paramento'!$G$53)</f>
        <v>2495735.275716316</v>
      </c>
      <c r="G2313" s="545">
        <f>-'Foglio deposito bis'!$F$90*(C2313-sezione!$AN$36)*IF(ABS(M2313)&lt;'Sollecitazioni nel paramento'!$G$58,ABS(M2313)*'Sollecitazioni nel paramento'!$G$54,'Sollecitazioni nel paramento'!$G$53)</f>
        <v>0</v>
      </c>
      <c r="H2313" s="545">
        <f>-'Foglio deposito bis'!$F$91*(C2313-sezione!$AO$36)*IF(ABS(N2313)&lt;'Sollecitazioni nel paramento'!$G$58,ABS(N2313)*'Sollecitazioni nel paramento'!$G$54,'Sollecitazioni nel paramento'!$G$53)</f>
        <v>106213383.62424697</v>
      </c>
      <c r="I2313" s="472">
        <f>-'Foglio deposito bis'!$F$92*(C2313-sezione!$AP$36)*IF(ABS(O2313)&lt;'Sollecitazioni nel paramento'!$G$58,ABS(O2313)*'Sollecitazioni nel paramento'!$G$54,'Sollecitazioni nel paramento'!$G$53)</f>
        <v>1190327171.1261673</v>
      </c>
      <c r="J2313" s="472">
        <f t="shared" si="161"/>
        <v>1261651866.5120413</v>
      </c>
      <c r="K2313" s="550">
        <f>'Sollecitazioni nel paramento'!$G$60*(sezione!$AL$36-C2313)/C2313</f>
        <v>-8.4655598965372778E-5</v>
      </c>
      <c r="L2313" s="550">
        <f>'Sollecitazioni nel paramento'!$G$60*(sezione!$AM$36-C2313)/C2313</f>
        <v>1.6230166015519408E-3</v>
      </c>
      <c r="M2313" s="551">
        <f>'Sollecitazioni nel paramento'!$G$60*(sezione!$AN$36-C2313)/C2313</f>
        <v>3.3306888020692544E-3</v>
      </c>
      <c r="N2313" s="551">
        <f>'Sollecitazioni nel paramento'!$G$60*(sezione!$AO$36-C2313)/C2313</f>
        <v>1.0161377604138508E-2</v>
      </c>
      <c r="O2313" s="551">
        <f>'Sollecitazioni nel paramento'!$G$60*(sezione!$AP$36-C2313)/C2313</f>
        <v>6.1150445072649641E-2</v>
      </c>
      <c r="P2313" s="545">
        <f>-'Sollecitazioni nel paramento'!$G$47*'Sollecitazioni nel paramento'!$G$41*IF(DATI!$G$211="dx",DATI!$E$61,DATI!$E$64*DATI!$E$63)*1000*C2313*sezione!$AD$5</f>
        <v>-1561652.171413305</v>
      </c>
      <c r="Q2313" s="545">
        <f>'Foglio deposito bis'!$F$88*IF(ABS(K2313)&lt;'Sollecitazioni nel paramento'!$G$58,ABS(K2313)*'Sollecitazioni nel paramento'!$G$54,'Sollecitazioni nel paramento'!$G$53)*IF(K2313&lt;0,-1,1)</f>
        <v>0</v>
      </c>
      <c r="R2313" s="545">
        <f>'Foglio deposito bis'!$F$89*IF(ABS(L2313)&lt;'Sollecitazioni nel paramento'!$G$58,ABS(L2313)*'Sollecitazioni nel paramento'!$G$54,'Sollecitazioni nel paramento'!$G$53)*IF(L2313&lt;0,-1,1)</f>
        <v>131295.56857631361</v>
      </c>
      <c r="S2313" s="545">
        <f>'Foglio deposito bis'!$F$90*IF(ABS(M2313)&lt;'Sollecitazioni nel paramento'!$G$58,ABS(M2313)*'Sollecitazioni nel paramento'!$G$54,'Sollecitazioni nel paramento'!$G$53)*IF(M2313&lt;0,-1,1)</f>
        <v>0</v>
      </c>
      <c r="T2313" s="545">
        <f>'Foglio deposito bis'!$F$91*IF(ABS(N2313)&lt;'Sollecitazioni nel paramento'!$G$58,ABS(N2313)*'Sollecitazioni nel paramento'!$G$54,'Sollecitazioni nel paramento'!$G$53)*IF(N2313&lt;0,-1,1)</f>
        <v>892485.49558937876</v>
      </c>
      <c r="U2313" s="545">
        <f>'Foglio deposito bis'!$F$92*IF(ABS(O2313)&lt;'Sollecitazioni nel paramento'!$G$58,ABS(O2313)*'Sollecitazioni nel paramento'!$G$54,'Sollecitazioni nel paramento'!$G$53)*IF(O2313&lt;0,-1,1)</f>
        <v>1662039.1047339395</v>
      </c>
      <c r="V2313" s="472">
        <f t="shared" si="163"/>
        <v>1124167.9974863268</v>
      </c>
      <c r="W2313" s="551"/>
      <c r="X2313" s="551"/>
    </row>
    <row r="2314" spans="1:24" x14ac:dyDescent="0.25">
      <c r="A2314" s="545">
        <f t="shared" si="162"/>
        <v>1098237.7139437112</v>
      </c>
      <c r="B2314" s="3">
        <f t="shared" si="164"/>
        <v>3.8499999999999943</v>
      </c>
      <c r="C2314" s="545">
        <f>'Foglio deposito bis'!$E$162/sezione!$B$247*B2314</f>
        <v>41.530835139258272</v>
      </c>
      <c r="D2314" s="603">
        <f>-'Sollecitazioni nel paramento'!$G$47*'Sollecitazioni nel paramento'!$G$41*IF(DATI!$G$211="dx",DATI!$E$61,DATI!$E$64*DATI!$E$63)*1000*C2314^2*sezione!$AD$5*(1-sezione!$AD$6)</f>
        <v>-38374696.505373076</v>
      </c>
      <c r="E2314" s="545">
        <f>-'Foglio deposito bis'!$F$88*(C2314-sezione!$AL$36)*IF(ABS(K2314)&lt;'Sollecitazioni nel paramento'!$G$58,ABS(K2314)*'Sollecitazioni nel paramento'!$G$54,'Sollecitazioni nel paramento'!$G$53)</f>
        <v>0</v>
      </c>
      <c r="F2314" s="545">
        <f>-'Foglio deposito bis'!$F$89*(C2314-sezione!$AM$36)*IF(ABS(L2314)&lt;'Sollecitazioni nel paramento'!$G$58,ABS(L2314)*'Sollecitazioni nel paramento'!$G$54,'Sollecitazioni nel paramento'!$G$53)</f>
        <v>2325514.2331622988</v>
      </c>
      <c r="G2314" s="545">
        <f>-'Foglio deposito bis'!$F$90*(C2314-sezione!$AN$36)*IF(ABS(M2314)&lt;'Sollecitazioni nel paramento'!$G$58,ABS(M2314)*'Sollecitazioni nel paramento'!$G$54,'Sollecitazioni nel paramento'!$G$53)</f>
        <v>0</v>
      </c>
      <c r="H2314" s="545">
        <f>-'Foglio deposito bis'!$F$91*(C2314-sezione!$AO$36)*IF(ABS(N2314)&lt;'Sollecitazioni nel paramento'!$G$58,ABS(N2314)*'Sollecitazioni nel paramento'!$G$54,'Sollecitazioni nel paramento'!$G$53)</f>
        <v>105732011.31279889</v>
      </c>
      <c r="I2314" s="472">
        <f>-'Foglio deposito bis'!$F$92*(C2314-sezione!$AP$36)*IF(ABS(O2314)&lt;'Sollecitazioni nel paramento'!$G$58,ABS(O2314)*'Sollecitazioni nel paramento'!$G$54,'Sollecitazioni nel paramento'!$G$53)</f>
        <v>1189430731.2293658</v>
      </c>
      <c r="J2314" s="472">
        <f t="shared" si="161"/>
        <v>1259113560.269954</v>
      </c>
      <c r="K2314" s="550">
        <f>'Sollecitazioni nel paramento'!$G$60*(sezione!$AL$36-C2314)/C2314</f>
        <v>-1.2901072105673153E-4</v>
      </c>
      <c r="L2314" s="550">
        <f>'Sollecitazioni nel paramento'!$G$60*(sezione!$AM$36-C2314)/C2314</f>
        <v>1.5564839184149029E-3</v>
      </c>
      <c r="M2314" s="551">
        <f>'Sollecitazioni nel paramento'!$G$60*(sezione!$AN$36-C2314)/C2314</f>
        <v>3.2419785578865373E-3</v>
      </c>
      <c r="N2314" s="551">
        <f>'Sollecitazioni nel paramento'!$G$60*(sezione!$AO$36-C2314)/C2314</f>
        <v>9.9839571157730733E-3</v>
      </c>
      <c r="O2314" s="551">
        <f>'Sollecitazioni nel paramento'!$G$60*(sezione!$AP$36-C2314)/C2314</f>
        <v>6.0310828902874973E-2</v>
      </c>
      <c r="P2314" s="545">
        <f>-'Sollecitazioni nel paramento'!$G$47*'Sollecitazioni nel paramento'!$G$41*IF(DATI!$G$211="dx",DATI!$E$61,DATI!$E$64*DATI!$E$63)*1000*C2314*sezione!$AD$5</f>
        <v>-1582200.226300322</v>
      </c>
      <c r="Q2314" s="545">
        <f>'Foglio deposito bis'!$F$88*IF(ABS(K2314)&lt;'Sollecitazioni nel paramento'!$G$58,ABS(K2314)*'Sollecitazioni nel paramento'!$G$54,'Sollecitazioni nel paramento'!$G$53)*IF(K2314&lt;0,-1,1)</f>
        <v>0</v>
      </c>
      <c r="R2314" s="545">
        <f>'Foglio deposito bis'!$F$89*IF(ABS(L2314)&lt;'Sollecitazioni nel paramento'!$G$58,ABS(L2314)*'Sollecitazioni nel paramento'!$G$54,'Sollecitazioni nel paramento'!$G$53)*IF(L2314&lt;0,-1,1)</f>
        <v>125913.33992071502</v>
      </c>
      <c r="S2314" s="545">
        <f>'Foglio deposito bis'!$F$90*IF(ABS(M2314)&lt;'Sollecitazioni nel paramento'!$G$58,ABS(M2314)*'Sollecitazioni nel paramento'!$G$54,'Sollecitazioni nel paramento'!$G$53)*IF(M2314&lt;0,-1,1)</f>
        <v>0</v>
      </c>
      <c r="T2314" s="545">
        <f>'Foglio deposito bis'!$F$91*IF(ABS(N2314)&lt;'Sollecitazioni nel paramento'!$G$58,ABS(N2314)*'Sollecitazioni nel paramento'!$G$54,'Sollecitazioni nel paramento'!$G$53)*IF(N2314&lt;0,-1,1)</f>
        <v>892485.49558937876</v>
      </c>
      <c r="U2314" s="545">
        <f>'Foglio deposito bis'!$F$92*IF(ABS(O2314)&lt;'Sollecitazioni nel paramento'!$G$58,ABS(O2314)*'Sollecitazioni nel paramento'!$G$54,'Sollecitazioni nel paramento'!$G$53)*IF(O2314&lt;0,-1,1)</f>
        <v>1662039.1047339395</v>
      </c>
      <c r="V2314" s="472">
        <f t="shared" si="163"/>
        <v>1098237.7139437112</v>
      </c>
      <c r="W2314" s="551"/>
      <c r="X2314" s="551"/>
    </row>
    <row r="2315" spans="1:24" x14ac:dyDescent="0.25">
      <c r="A2315" s="545">
        <f t="shared" si="162"/>
        <v>1072445.4362640595</v>
      </c>
      <c r="B2315" s="3">
        <f t="shared" si="164"/>
        <v>3.8999999999999941</v>
      </c>
      <c r="C2315" s="545">
        <f>'Foglio deposito bis'!$E$162/sezione!$B$247*B2315</f>
        <v>42.070196634573314</v>
      </c>
      <c r="D2315" s="603">
        <f>-'Sollecitazioni nel paramento'!$G$47*'Sollecitazioni nel paramento'!$G$41*IF(DATI!$G$211="dx",DATI!$E$61,DATI!$E$64*DATI!$E$63)*1000*C2315^2*sezione!$AD$5*(1-sezione!$AD$6)</f>
        <v>-39377914.241641052</v>
      </c>
      <c r="E2315" s="545">
        <f>-'Foglio deposito bis'!$F$88*(C2315-sezione!$AL$36)*IF(ABS(K2315)&lt;'Sollecitazioni nel paramento'!$G$58,ABS(K2315)*'Sollecitazioni nel paramento'!$G$54,'Sollecitazioni nel paramento'!$G$53)</f>
        <v>0</v>
      </c>
      <c r="F2315" s="545">
        <f>-'Foglio deposito bis'!$F$89*(C2315-sezione!$AM$36)*IF(ABS(L2315)&lt;'Sollecitazioni nel paramento'!$G$58,ABS(L2315)*'Sollecitazioni nel paramento'!$G$54,'Sollecitazioni nel paramento'!$G$53)</f>
        <v>2163573.5423861244</v>
      </c>
      <c r="G2315" s="545">
        <f>-'Foglio deposito bis'!$F$90*(C2315-sezione!$AN$36)*IF(ABS(M2315)&lt;'Sollecitazioni nel paramento'!$G$58,ABS(M2315)*'Sollecitazioni nel paramento'!$G$54,'Sollecitazioni nel paramento'!$G$53)</f>
        <v>0</v>
      </c>
      <c r="H2315" s="545">
        <f>-'Foglio deposito bis'!$F$91*(C2315-sezione!$AO$36)*IF(ABS(N2315)&lt;'Sollecitazioni nel paramento'!$G$58,ABS(N2315)*'Sollecitazioni nel paramento'!$G$54,'Sollecitazioni nel paramento'!$G$53)</f>
        <v>105250639.00135083</v>
      </c>
      <c r="I2315" s="472">
        <f>-'Foglio deposito bis'!$F$92*(C2315-sezione!$AP$36)*IF(ABS(O2315)&lt;'Sollecitazioni nel paramento'!$G$58,ABS(O2315)*'Sollecitazioni nel paramento'!$G$54,'Sollecitazioni nel paramento'!$G$53)</f>
        <v>1188534291.3325644</v>
      </c>
      <c r="J2315" s="472">
        <f t="shared" si="161"/>
        <v>1256570589.6346602</v>
      </c>
      <c r="K2315" s="550">
        <f>'Sollecitazioni nel paramento'!$G$60*(sezione!$AL$36-C2315)/C2315</f>
        <v>-1.7222853232523491E-4</v>
      </c>
      <c r="L2315" s="550">
        <f>'Sollecitazioni nel paramento'!$G$60*(sezione!$AM$36-C2315)/C2315</f>
        <v>1.4916572015121476E-3</v>
      </c>
      <c r="M2315" s="551">
        <f>'Sollecitazioni nel paramento'!$G$60*(sezione!$AN$36-C2315)/C2315</f>
        <v>3.1555429353495304E-3</v>
      </c>
      <c r="N2315" s="551">
        <f>'Sollecitazioni nel paramento'!$G$60*(sezione!$AO$36-C2315)/C2315</f>
        <v>9.8110858706990604E-3</v>
      </c>
      <c r="O2315" s="551">
        <f>'Sollecitazioni nel paramento'!$G$60*(sezione!$AP$36-C2315)/C2315</f>
        <v>5.9492741352838115E-2</v>
      </c>
      <c r="P2315" s="545">
        <f>-'Sollecitazioni nel paramento'!$G$47*'Sollecitazioni nel paramento'!$G$41*IF(DATI!$G$211="dx",DATI!$E$61,DATI!$E$64*DATI!$E$63)*1000*C2315*sezione!$AD$5</f>
        <v>-1602748.2811873392</v>
      </c>
      <c r="Q2315" s="545">
        <f>'Foglio deposito bis'!$F$88*IF(ABS(K2315)&lt;'Sollecitazioni nel paramento'!$G$58,ABS(K2315)*'Sollecitazioni nel paramento'!$G$54,'Sollecitazioni nel paramento'!$G$53)*IF(K2315&lt;0,-1,1)</f>
        <v>0</v>
      </c>
      <c r="R2315" s="545">
        <f>'Foglio deposito bis'!$F$89*IF(ABS(L2315)&lt;'Sollecitazioni nel paramento'!$G$58,ABS(L2315)*'Sollecitazioni nel paramento'!$G$54,'Sollecitazioni nel paramento'!$G$53)*IF(L2315&lt;0,-1,1)</f>
        <v>120669.11712808047</v>
      </c>
      <c r="S2315" s="545">
        <f>'Foglio deposito bis'!$F$90*IF(ABS(M2315)&lt;'Sollecitazioni nel paramento'!$G$58,ABS(M2315)*'Sollecitazioni nel paramento'!$G$54,'Sollecitazioni nel paramento'!$G$53)*IF(M2315&lt;0,-1,1)</f>
        <v>0</v>
      </c>
      <c r="T2315" s="545">
        <f>'Foglio deposito bis'!$F$91*IF(ABS(N2315)&lt;'Sollecitazioni nel paramento'!$G$58,ABS(N2315)*'Sollecitazioni nel paramento'!$G$54,'Sollecitazioni nel paramento'!$G$53)*IF(N2315&lt;0,-1,1)</f>
        <v>892485.49558937876</v>
      </c>
      <c r="U2315" s="545">
        <f>'Foglio deposito bis'!$F$92*IF(ABS(O2315)&lt;'Sollecitazioni nel paramento'!$G$58,ABS(O2315)*'Sollecitazioni nel paramento'!$G$54,'Sollecitazioni nel paramento'!$G$53)*IF(O2315&lt;0,-1,1)</f>
        <v>1662039.1047339395</v>
      </c>
      <c r="V2315" s="472">
        <f t="shared" si="163"/>
        <v>1072445.4362640595</v>
      </c>
      <c r="W2315" s="551"/>
      <c r="X2315" s="551"/>
    </row>
    <row r="2316" spans="1:24" x14ac:dyDescent="0.25">
      <c r="A2316" s="545">
        <f t="shared" si="162"/>
        <v>1046785.9237183984</v>
      </c>
      <c r="B2316" s="3">
        <f t="shared" si="164"/>
        <v>3.949999999999994</v>
      </c>
      <c r="C2316" s="545">
        <f>'Foglio deposito bis'!$E$162/sezione!$B$247*B2316</f>
        <v>42.609558129888356</v>
      </c>
      <c r="D2316" s="603">
        <f>-'Sollecitazioni nel paramento'!$G$47*'Sollecitazioni nel paramento'!$G$41*IF(DATI!$G$211="dx",DATI!$E$61,DATI!$E$64*DATI!$E$63)*1000*C2316^2*sezione!$AD$5*(1-sezione!$AD$6)</f>
        <v>-40394076.722893134</v>
      </c>
      <c r="E2316" s="545">
        <f>-'Foglio deposito bis'!$F$88*(C2316-sezione!$AL$36)*IF(ABS(K2316)&lt;'Sollecitazioni nel paramento'!$G$58,ABS(K2316)*'Sollecitazioni nel paramento'!$G$54,'Sollecitazioni nel paramento'!$G$53)</f>
        <v>0</v>
      </c>
      <c r="F2316" s="545">
        <f>-'Foglio deposito bis'!$F$89*(C2316-sezione!$AM$36)*IF(ABS(L2316)&lt;'Sollecitazioni nel paramento'!$G$58,ABS(L2316)*'Sollecitazioni nel paramento'!$G$54,'Sollecitazioni nel paramento'!$G$53)</f>
        <v>2009598.7596493948</v>
      </c>
      <c r="G2316" s="545">
        <f>-'Foglio deposito bis'!$F$90*(C2316-sezione!$AN$36)*IF(ABS(M2316)&lt;'Sollecitazioni nel paramento'!$G$58,ABS(M2316)*'Sollecitazioni nel paramento'!$G$54,'Sollecitazioni nel paramento'!$G$53)</f>
        <v>0</v>
      </c>
      <c r="H2316" s="545">
        <f>-'Foglio deposito bis'!$F$91*(C2316-sezione!$AO$36)*IF(ABS(N2316)&lt;'Sollecitazioni nel paramento'!$G$58,ABS(N2316)*'Sollecitazioni nel paramento'!$G$54,'Sollecitazioni nel paramento'!$G$53)</f>
        <v>104769266.68990274</v>
      </c>
      <c r="I2316" s="472">
        <f>-'Foglio deposito bis'!$F$92*(C2316-sezione!$AP$36)*IF(ABS(O2316)&lt;'Sollecitazioni nel paramento'!$G$58,ABS(O2316)*'Sollecitazioni nel paramento'!$G$54,'Sollecitazioni nel paramento'!$G$53)</f>
        <v>1187637851.4357631</v>
      </c>
      <c r="J2316" s="472">
        <f t="shared" si="161"/>
        <v>1254022640.1624222</v>
      </c>
      <c r="K2316" s="550">
        <f>'Sollecitazioni nel paramento'!$G$60*(sezione!$AL$36-C2316)/C2316</f>
        <v>-2.143522217894724E-4</v>
      </c>
      <c r="L2316" s="550">
        <f>'Sollecitazioni nel paramento'!$G$60*(sezione!$AM$36-C2316)/C2316</f>
        <v>1.4284716673157913E-3</v>
      </c>
      <c r="M2316" s="551">
        <f>'Sollecitazioni nel paramento'!$G$60*(sezione!$AN$36-C2316)/C2316</f>
        <v>3.0712955564210554E-3</v>
      </c>
      <c r="N2316" s="551">
        <f>'Sollecitazioni nel paramento'!$G$60*(sezione!$AO$36-C2316)/C2316</f>
        <v>9.6425911128421114E-3</v>
      </c>
      <c r="O2316" s="551">
        <f>'Sollecitazioni nel paramento'!$G$60*(sezione!$AP$36-C2316)/C2316</f>
        <v>5.8695364880017378E-2</v>
      </c>
      <c r="P2316" s="545">
        <f>-'Sollecitazioni nel paramento'!$G$47*'Sollecitazioni nel paramento'!$G$41*IF(DATI!$G$211="dx",DATI!$E$61,DATI!$E$64*DATI!$E$63)*1000*C2316*sezione!$AD$5</f>
        <v>-1623296.3360743565</v>
      </c>
      <c r="Q2316" s="545">
        <f>'Foglio deposito bis'!$F$88*IF(ABS(K2316)&lt;'Sollecitazioni nel paramento'!$G$58,ABS(K2316)*'Sollecitazioni nel paramento'!$G$54,'Sollecitazioni nel paramento'!$G$53)*IF(K2316&lt;0,-1,1)</f>
        <v>0</v>
      </c>
      <c r="R2316" s="545">
        <f>'Foglio deposito bis'!$F$89*IF(ABS(L2316)&lt;'Sollecitazioni nel paramento'!$G$58,ABS(L2316)*'Sollecitazioni nel paramento'!$G$54,'Sollecitazioni nel paramento'!$G$53)*IF(L2316&lt;0,-1,1)</f>
        <v>115557.65946943666</v>
      </c>
      <c r="S2316" s="545">
        <f>'Foglio deposito bis'!$F$90*IF(ABS(M2316)&lt;'Sollecitazioni nel paramento'!$G$58,ABS(M2316)*'Sollecitazioni nel paramento'!$G$54,'Sollecitazioni nel paramento'!$G$53)*IF(M2316&lt;0,-1,1)</f>
        <v>0</v>
      </c>
      <c r="T2316" s="545">
        <f>'Foglio deposito bis'!$F$91*IF(ABS(N2316)&lt;'Sollecitazioni nel paramento'!$G$58,ABS(N2316)*'Sollecitazioni nel paramento'!$G$54,'Sollecitazioni nel paramento'!$G$53)*IF(N2316&lt;0,-1,1)</f>
        <v>892485.49558937876</v>
      </c>
      <c r="U2316" s="545">
        <f>'Foglio deposito bis'!$F$92*IF(ABS(O2316)&lt;'Sollecitazioni nel paramento'!$G$58,ABS(O2316)*'Sollecitazioni nel paramento'!$G$54,'Sollecitazioni nel paramento'!$G$53)*IF(O2316&lt;0,-1,1)</f>
        <v>1662039.1047339395</v>
      </c>
      <c r="V2316" s="472">
        <f t="shared" si="163"/>
        <v>1046785.9237183984</v>
      </c>
      <c r="W2316" s="551"/>
      <c r="X2316" s="551"/>
    </row>
    <row r="2317" spans="1:24" x14ac:dyDescent="0.25">
      <c r="A2317" s="545">
        <f t="shared" si="162"/>
        <v>1021254.1976142037</v>
      </c>
      <c r="B2317" s="3">
        <f t="shared" si="164"/>
        <v>3.9999999999999938</v>
      </c>
      <c r="C2317" s="545">
        <f>'Foglio deposito bis'!$E$162/sezione!$B$247*B2317</f>
        <v>43.148919625203398</v>
      </c>
      <c r="D2317" s="603">
        <f>-'Sollecitazioni nel paramento'!$G$47*'Sollecitazioni nel paramento'!$G$41*IF(DATI!$G$211="dx",DATI!$E$61,DATI!$E$64*DATI!$E$63)*1000*C2317^2*sezione!$AD$5*(1-sezione!$AD$6)</f>
        <v>-41423183.949129306</v>
      </c>
      <c r="E2317" s="545">
        <f>-'Foglio deposito bis'!$F$88*(C2317-sezione!$AL$36)*IF(ABS(K2317)&lt;'Sollecitazioni nel paramento'!$G$58,ABS(K2317)*'Sollecitazioni nel paramento'!$G$54,'Sollecitazioni nel paramento'!$G$53)</f>
        <v>0</v>
      </c>
      <c r="F2317" s="545">
        <f>-'Foglio deposito bis'!$F$89*(C2317-sezione!$AM$36)*IF(ABS(L2317)&lt;'Sollecitazioni nel paramento'!$G$58,ABS(L2317)*'Sollecitazioni nel paramento'!$G$54,'Sollecitazioni nel paramento'!$G$53)</f>
        <v>1863291.1634006309</v>
      </c>
      <c r="G2317" s="545">
        <f>-'Foglio deposito bis'!$F$90*(C2317-sezione!$AN$36)*IF(ABS(M2317)&lt;'Sollecitazioni nel paramento'!$G$58,ABS(M2317)*'Sollecitazioni nel paramento'!$G$54,'Sollecitazioni nel paramento'!$G$53)</f>
        <v>0</v>
      </c>
      <c r="H2317" s="545">
        <f>-'Foglio deposito bis'!$F$91*(C2317-sezione!$AO$36)*IF(ABS(N2317)&lt;'Sollecitazioni nel paramento'!$G$58,ABS(N2317)*'Sollecitazioni nel paramento'!$G$54,'Sollecitazioni nel paramento'!$G$53)</f>
        <v>104287894.37845467</v>
      </c>
      <c r="I2317" s="472">
        <f>-'Foglio deposito bis'!$F$92*(C2317-sezione!$AP$36)*IF(ABS(O2317)&lt;'Sollecitazioni nel paramento'!$G$58,ABS(O2317)*'Sollecitazioni nel paramento'!$G$54,'Sollecitazioni nel paramento'!$G$53)</f>
        <v>1186741411.5389619</v>
      </c>
      <c r="J2317" s="472">
        <f t="shared" si="161"/>
        <v>1251469413.1316879</v>
      </c>
      <c r="K2317" s="550">
        <f>'Sollecitazioni nel paramento'!$G$60*(sezione!$AL$36-C2317)/C2317</f>
        <v>-2.5542281901710397E-4</v>
      </c>
      <c r="L2317" s="550">
        <f>'Sollecitazioni nel paramento'!$G$60*(sezione!$AM$36-C2317)/C2317</f>
        <v>1.3668657714743441E-3</v>
      </c>
      <c r="M2317" s="551">
        <f>'Sollecitazioni nel paramento'!$G$60*(sezione!$AN$36-C2317)/C2317</f>
        <v>2.9891543619657924E-3</v>
      </c>
      <c r="N2317" s="551">
        <f>'Sollecitazioni nel paramento'!$G$60*(sezione!$AO$36-C2317)/C2317</f>
        <v>9.4783087239315843E-3</v>
      </c>
      <c r="O2317" s="551">
        <f>'Sollecitazioni nel paramento'!$G$60*(sezione!$AP$36-C2317)/C2317</f>
        <v>5.7917922819017163E-2</v>
      </c>
      <c r="P2317" s="545">
        <f>-'Sollecitazioni nel paramento'!$G$47*'Sollecitazioni nel paramento'!$G$41*IF(DATI!$G$211="dx",DATI!$E$61,DATI!$E$64*DATI!$E$63)*1000*C2317*sezione!$AD$5</f>
        <v>-1643844.3909613735</v>
      </c>
      <c r="Q2317" s="545">
        <f>'Foglio deposito bis'!$F$88*IF(ABS(K2317)&lt;'Sollecitazioni nel paramento'!$G$58,ABS(K2317)*'Sollecitazioni nel paramento'!$G$54,'Sollecitazioni nel paramento'!$G$53)*IF(K2317&lt;0,-1,1)</f>
        <v>0</v>
      </c>
      <c r="R2317" s="545">
        <f>'Foglio deposito bis'!$F$89*IF(ABS(L2317)&lt;'Sollecitazioni nel paramento'!$G$58,ABS(L2317)*'Sollecitazioni nel paramento'!$G$54,'Sollecitazioni nel paramento'!$G$53)*IF(L2317&lt;0,-1,1)</f>
        <v>110573.98825225896</v>
      </c>
      <c r="S2317" s="545">
        <f>'Foglio deposito bis'!$F$90*IF(ABS(M2317)&lt;'Sollecitazioni nel paramento'!$G$58,ABS(M2317)*'Sollecitazioni nel paramento'!$G$54,'Sollecitazioni nel paramento'!$G$53)*IF(M2317&lt;0,-1,1)</f>
        <v>0</v>
      </c>
      <c r="T2317" s="545">
        <f>'Foglio deposito bis'!$F$91*IF(ABS(N2317)&lt;'Sollecitazioni nel paramento'!$G$58,ABS(N2317)*'Sollecitazioni nel paramento'!$G$54,'Sollecitazioni nel paramento'!$G$53)*IF(N2317&lt;0,-1,1)</f>
        <v>892485.49558937876</v>
      </c>
      <c r="U2317" s="545">
        <f>'Foglio deposito bis'!$F$92*IF(ABS(O2317)&lt;'Sollecitazioni nel paramento'!$G$58,ABS(O2317)*'Sollecitazioni nel paramento'!$G$54,'Sollecitazioni nel paramento'!$G$53)*IF(O2317&lt;0,-1,1)</f>
        <v>1662039.1047339395</v>
      </c>
      <c r="V2317" s="472">
        <f t="shared" si="163"/>
        <v>1021254.1976142037</v>
      </c>
      <c r="W2317" s="551"/>
      <c r="X2317" s="551"/>
    </row>
    <row r="2318" spans="1:24" x14ac:dyDescent="0.25">
      <c r="A2318" s="545">
        <f t="shared" si="162"/>
        <v>995845.52512031002</v>
      </c>
      <c r="B2318" s="3">
        <f t="shared" si="164"/>
        <v>4.0499999999999936</v>
      </c>
      <c r="C2318" s="545">
        <f>'Foglio deposito bis'!$E$162/sezione!$B$247*B2318</f>
        <v>43.688281120518432</v>
      </c>
      <c r="D2318" s="603">
        <f>-'Sollecitazioni nel paramento'!$G$47*'Sollecitazioni nel paramento'!$G$41*IF(DATI!$G$211="dx",DATI!$E$61,DATI!$E$64*DATI!$E$63)*1000*C2318^2*sezione!$AD$5*(1-sezione!$AD$6)</f>
        <v>-42465235.920349583</v>
      </c>
      <c r="E2318" s="545">
        <f>-'Foglio deposito bis'!$F$88*(C2318-sezione!$AL$36)*IF(ABS(K2318)&lt;'Sollecitazioni nel paramento'!$G$58,ABS(K2318)*'Sollecitazioni nel paramento'!$G$54,'Sollecitazioni nel paramento'!$G$53)</f>
        <v>0</v>
      </c>
      <c r="F2318" s="545">
        <f>-'Foglio deposito bis'!$F$89*(C2318-sezione!$AM$36)*IF(ABS(L2318)&lt;'Sollecitazioni nel paramento'!$G$58,ABS(L2318)*'Sollecitazioni nel paramento'!$G$54,'Sollecitazioni nel paramento'!$G$53)</f>
        <v>1724366.7837699105</v>
      </c>
      <c r="G2318" s="545">
        <f>-'Foglio deposito bis'!$F$90*(C2318-sezione!$AN$36)*IF(ABS(M2318)&lt;'Sollecitazioni nel paramento'!$G$58,ABS(M2318)*'Sollecitazioni nel paramento'!$G$54,'Sollecitazioni nel paramento'!$G$53)</f>
        <v>0</v>
      </c>
      <c r="H2318" s="545">
        <f>-'Foglio deposito bis'!$F$91*(C2318-sezione!$AO$36)*IF(ABS(N2318)&lt;'Sollecitazioni nel paramento'!$G$58,ABS(N2318)*'Sollecitazioni nel paramento'!$G$54,'Sollecitazioni nel paramento'!$G$53)</f>
        <v>103806522.0670066</v>
      </c>
      <c r="I2318" s="472">
        <f>-'Foglio deposito bis'!$F$92*(C2318-sezione!$AP$36)*IF(ABS(O2318)&lt;'Sollecitazioni nel paramento'!$G$58,ABS(O2318)*'Sollecitazioni nel paramento'!$G$54,'Sollecitazioni nel paramento'!$G$53)</f>
        <v>1185844971.6421602</v>
      </c>
      <c r="J2318" s="472">
        <f t="shared" si="161"/>
        <v>1248910624.572587</v>
      </c>
      <c r="K2318" s="550">
        <f>'Sollecitazioni nel paramento'!$G$60*(sezione!$AL$36-C2318)/C2318</f>
        <v>-2.9547932742429966E-4</v>
      </c>
      <c r="L2318" s="550">
        <f>'Sollecitazioni nel paramento'!$G$60*(sezione!$AM$36-C2318)/C2318</f>
        <v>1.3067810088635507E-3</v>
      </c>
      <c r="M2318" s="551">
        <f>'Sollecitazioni nel paramento'!$G$60*(sezione!$AN$36-C2318)/C2318</f>
        <v>2.9090413451514007E-3</v>
      </c>
      <c r="N2318" s="551">
        <f>'Sollecitazioni nel paramento'!$G$60*(sezione!$AO$36-C2318)/C2318</f>
        <v>9.3180826903028011E-3</v>
      </c>
      <c r="O2318" s="551">
        <f>'Sollecitazioni nel paramento'!$G$60*(sezione!$AP$36-C2318)/C2318</f>
        <v>5.7159676858288565E-2</v>
      </c>
      <c r="P2318" s="545">
        <f>-'Sollecitazioni nel paramento'!$G$47*'Sollecitazioni nel paramento'!$G$41*IF(DATI!$G$211="dx",DATI!$E$61,DATI!$E$64*DATI!$E$63)*1000*C2318*sezione!$AD$5</f>
        <v>-1664392.4458483902</v>
      </c>
      <c r="Q2318" s="545">
        <f>'Foglio deposito bis'!$F$88*IF(ABS(K2318)&lt;'Sollecitazioni nel paramento'!$G$58,ABS(K2318)*'Sollecitazioni nel paramento'!$G$54,'Sollecitazioni nel paramento'!$G$53)*IF(K2318&lt;0,-1,1)</f>
        <v>0</v>
      </c>
      <c r="R2318" s="545">
        <f>'Foglio deposito bis'!$F$89*IF(ABS(L2318)&lt;'Sollecitazioni nel paramento'!$G$58,ABS(L2318)*'Sollecitazioni nel paramento'!$G$54,'Sollecitazioni nel paramento'!$G$53)*IF(L2318&lt;0,-1,1)</f>
        <v>105713.37064538202</v>
      </c>
      <c r="S2318" s="545">
        <f>'Foglio deposito bis'!$F$90*IF(ABS(M2318)&lt;'Sollecitazioni nel paramento'!$G$58,ABS(M2318)*'Sollecitazioni nel paramento'!$G$54,'Sollecitazioni nel paramento'!$G$53)*IF(M2318&lt;0,-1,1)</f>
        <v>0</v>
      </c>
      <c r="T2318" s="545">
        <f>'Foglio deposito bis'!$F$91*IF(ABS(N2318)&lt;'Sollecitazioni nel paramento'!$G$58,ABS(N2318)*'Sollecitazioni nel paramento'!$G$54,'Sollecitazioni nel paramento'!$G$53)*IF(N2318&lt;0,-1,1)</f>
        <v>892485.49558937876</v>
      </c>
      <c r="U2318" s="545">
        <f>'Foglio deposito bis'!$F$92*IF(ABS(O2318)&lt;'Sollecitazioni nel paramento'!$G$58,ABS(O2318)*'Sollecitazioni nel paramento'!$G$54,'Sollecitazioni nel paramento'!$G$53)*IF(O2318&lt;0,-1,1)</f>
        <v>1662039.1047339395</v>
      </c>
      <c r="V2318" s="472">
        <f t="shared" si="163"/>
        <v>995845.52512031002</v>
      </c>
      <c r="W2318" s="551"/>
      <c r="X2318" s="551"/>
    </row>
    <row r="2319" spans="1:24" x14ac:dyDescent="0.25">
      <c r="A2319" s="545">
        <f t="shared" si="162"/>
        <v>970555.40427536401</v>
      </c>
      <c r="B2319" s="3">
        <f t="shared" si="164"/>
        <v>4.0999999999999934</v>
      </c>
      <c r="C2319" s="545">
        <f>'Foglio deposito bis'!$E$162/sezione!$B$247*B2319</f>
        <v>44.227642615833474</v>
      </c>
      <c r="D2319" s="603">
        <f>-'Sollecitazioni nel paramento'!$G$47*'Sollecitazioni nel paramento'!$G$41*IF(DATI!$G$211="dx",DATI!$E$61,DATI!$E$64*DATI!$E$63)*1000*C2319^2*sezione!$AD$5*(1-sezione!$AD$6)</f>
        <v>-43520232.636553966</v>
      </c>
      <c r="E2319" s="545">
        <f>-'Foglio deposito bis'!$F$88*(C2319-sezione!$AL$36)*IF(ABS(K2319)&lt;'Sollecitazioni nel paramento'!$G$58,ABS(K2319)*'Sollecitazioni nel paramento'!$G$54,'Sollecitazioni nel paramento'!$G$53)</f>
        <v>0</v>
      </c>
      <c r="F2319" s="545">
        <f>-'Foglio deposito bis'!$F$89*(C2319-sezione!$AM$36)*IF(ABS(L2319)&lt;'Sollecitazioni nel paramento'!$G$58,ABS(L2319)*'Sollecitazioni nel paramento'!$G$54,'Sollecitazioni nel paramento'!$G$53)</f>
        <v>1592555.5030760807</v>
      </c>
      <c r="G2319" s="545">
        <f>-'Foglio deposito bis'!$F$90*(C2319-sezione!$AN$36)*IF(ABS(M2319)&lt;'Sollecitazioni nel paramento'!$G$58,ABS(M2319)*'Sollecitazioni nel paramento'!$G$54,'Sollecitazioni nel paramento'!$G$53)</f>
        <v>0</v>
      </c>
      <c r="H2319" s="545">
        <f>-'Foglio deposito bis'!$F$91*(C2319-sezione!$AO$36)*IF(ABS(N2319)&lt;'Sollecitazioni nel paramento'!$G$58,ABS(N2319)*'Sollecitazioni nel paramento'!$G$54,'Sollecitazioni nel paramento'!$G$53)</f>
        <v>103325149.75555855</v>
      </c>
      <c r="I2319" s="472">
        <f>-'Foglio deposito bis'!$F$92*(C2319-sezione!$AP$36)*IF(ABS(O2319)&lt;'Sollecitazioni nel paramento'!$G$58,ABS(O2319)*'Sollecitazioni nel paramento'!$G$54,'Sollecitazioni nel paramento'!$G$53)</f>
        <v>1184948531.7453589</v>
      </c>
      <c r="J2319" s="472">
        <f t="shared" si="161"/>
        <v>1246346004.3674395</v>
      </c>
      <c r="K2319" s="550">
        <f>'Sollecitazioni nel paramento'!$G$60*(sezione!$AL$36-C2319)/C2319</f>
        <v>-3.3455884782156419E-4</v>
      </c>
      <c r="L2319" s="550">
        <f>'Sollecitazioni nel paramento'!$G$60*(sezione!$AM$36-C2319)/C2319</f>
        <v>1.2481617282676537E-3</v>
      </c>
      <c r="M2319" s="551">
        <f>'Sollecitazioni nel paramento'!$G$60*(sezione!$AN$36-C2319)/C2319</f>
        <v>2.8308823043568716E-3</v>
      </c>
      <c r="N2319" s="551">
        <f>'Sollecitazioni nel paramento'!$G$60*(sezione!$AO$36-C2319)/C2319</f>
        <v>9.1617646087137437E-3</v>
      </c>
      <c r="O2319" s="551">
        <f>'Sollecitazioni nel paramento'!$G$60*(sezione!$AP$36-C2319)/C2319</f>
        <v>5.6419924701480169E-2</v>
      </c>
      <c r="P2319" s="545">
        <f>-'Sollecitazioni nel paramento'!$G$47*'Sollecitazioni nel paramento'!$G$41*IF(DATI!$G$211="dx",DATI!$E$61,DATI!$E$64*DATI!$E$63)*1000*C2319*sezione!$AD$5</f>
        <v>-1684940.5007354075</v>
      </c>
      <c r="Q2319" s="545">
        <f>'Foglio deposito bis'!$F$88*IF(ABS(K2319)&lt;'Sollecitazioni nel paramento'!$G$58,ABS(K2319)*'Sollecitazioni nel paramento'!$G$54,'Sollecitazioni nel paramento'!$G$53)*IF(K2319&lt;0,-1,1)</f>
        <v>0</v>
      </c>
      <c r="R2319" s="545">
        <f>'Foglio deposito bis'!$F$89*IF(ABS(L2319)&lt;'Sollecitazioni nel paramento'!$G$58,ABS(L2319)*'Sollecitazioni nel paramento'!$G$54,'Sollecitazioni nel paramento'!$G$53)*IF(L2319&lt;0,-1,1)</f>
        <v>100971.30468745322</v>
      </c>
      <c r="S2319" s="545">
        <f>'Foglio deposito bis'!$F$90*IF(ABS(M2319)&lt;'Sollecitazioni nel paramento'!$G$58,ABS(M2319)*'Sollecitazioni nel paramento'!$G$54,'Sollecitazioni nel paramento'!$G$53)*IF(M2319&lt;0,-1,1)</f>
        <v>0</v>
      </c>
      <c r="T2319" s="545">
        <f>'Foglio deposito bis'!$F$91*IF(ABS(N2319)&lt;'Sollecitazioni nel paramento'!$G$58,ABS(N2319)*'Sollecitazioni nel paramento'!$G$54,'Sollecitazioni nel paramento'!$G$53)*IF(N2319&lt;0,-1,1)</f>
        <v>892485.49558937876</v>
      </c>
      <c r="U2319" s="545">
        <f>'Foglio deposito bis'!$F$92*IF(ABS(O2319)&lt;'Sollecitazioni nel paramento'!$G$58,ABS(O2319)*'Sollecitazioni nel paramento'!$G$54,'Sollecitazioni nel paramento'!$G$53)*IF(O2319&lt;0,-1,1)</f>
        <v>1662039.1047339395</v>
      </c>
      <c r="V2319" s="472">
        <f t="shared" si="163"/>
        <v>970555.40427536401</v>
      </c>
      <c r="W2319" s="551"/>
      <c r="X2319" s="551"/>
    </row>
    <row r="2320" spans="1:24" x14ac:dyDescent="0.25">
      <c r="A2320" s="545">
        <f t="shared" si="162"/>
        <v>945379.55008000671</v>
      </c>
      <c r="B2320" s="3">
        <f t="shared" si="164"/>
        <v>4.1499999999999932</v>
      </c>
      <c r="C2320" s="545">
        <f>'Foglio deposito bis'!$E$162/sezione!$B$247*B2320</f>
        <v>44.767004111148516</v>
      </c>
      <c r="D2320" s="603">
        <f>-'Sollecitazioni nel paramento'!$G$47*'Sollecitazioni nel paramento'!$G$41*IF(DATI!$G$211="dx",DATI!$E$61,DATI!$E$64*DATI!$E$63)*1000*C2320^2*sezione!$AD$5*(1-sezione!$AD$6)</f>
        <v>-44588174.097742446</v>
      </c>
      <c r="E2320" s="545">
        <f>-'Foglio deposito bis'!$F$88*(C2320-sezione!$AL$36)*IF(ABS(K2320)&lt;'Sollecitazioni nel paramento'!$G$58,ABS(K2320)*'Sollecitazioni nel paramento'!$G$54,'Sollecitazioni nel paramento'!$G$53)</f>
        <v>0</v>
      </c>
      <c r="F2320" s="545">
        <f>-'Foglio deposito bis'!$F$89*(C2320-sezione!$AM$36)*IF(ABS(L2320)&lt;'Sollecitazioni nel paramento'!$G$58,ABS(L2320)*'Sollecitazioni nel paramento'!$G$54,'Sollecitazioni nel paramento'!$G$53)</f>
        <v>1467600.2213575698</v>
      </c>
      <c r="G2320" s="545">
        <f>-'Foglio deposito bis'!$F$90*(C2320-sezione!$AN$36)*IF(ABS(M2320)&lt;'Sollecitazioni nel paramento'!$G$58,ABS(M2320)*'Sollecitazioni nel paramento'!$G$54,'Sollecitazioni nel paramento'!$G$53)</f>
        <v>0</v>
      </c>
      <c r="H2320" s="545">
        <f>-'Foglio deposito bis'!$F$91*(C2320-sezione!$AO$36)*IF(ABS(N2320)&lt;'Sollecitazioni nel paramento'!$G$58,ABS(N2320)*'Sollecitazioni nel paramento'!$G$54,'Sollecitazioni nel paramento'!$G$53)</f>
        <v>102843777.44411047</v>
      </c>
      <c r="I2320" s="472">
        <f>-'Foglio deposito bis'!$F$92*(C2320-sezione!$AP$36)*IF(ABS(O2320)&lt;'Sollecitazioni nel paramento'!$G$58,ABS(O2320)*'Sollecitazioni nel paramento'!$G$54,'Sollecitazioni nel paramento'!$G$53)</f>
        <v>1184052091.8485577</v>
      </c>
      <c r="J2320" s="472">
        <f t="shared" si="161"/>
        <v>1243775295.4162834</v>
      </c>
      <c r="K2320" s="550">
        <f>'Sollecitazioni nel paramento'!$G$60*(sezione!$AL$36-C2320)/C2320</f>
        <v>-3.7269669302853332E-4</v>
      </c>
      <c r="L2320" s="550">
        <f>'Sollecitazioni nel paramento'!$G$60*(sezione!$AM$36-C2320)/C2320</f>
        <v>1.1909549604572E-3</v>
      </c>
      <c r="M2320" s="551">
        <f>'Sollecitazioni nel paramento'!$G$60*(sezione!$AN$36-C2320)/C2320</f>
        <v>2.7546066139429335E-3</v>
      </c>
      <c r="N2320" s="551">
        <f>'Sollecitazioni nel paramento'!$G$60*(sezione!$AO$36-C2320)/C2320</f>
        <v>9.0092132278858685E-3</v>
      </c>
      <c r="O2320" s="551">
        <f>'Sollecitazioni nel paramento'!$G$60*(sezione!$AP$36-C2320)/C2320</f>
        <v>5.5697997897847885E-2</v>
      </c>
      <c r="P2320" s="545">
        <f>-'Sollecitazioni nel paramento'!$G$47*'Sollecitazioni nel paramento'!$G$41*IF(DATI!$G$211="dx",DATI!$E$61,DATI!$E$64*DATI!$E$63)*1000*C2320*sezione!$AD$5</f>
        <v>-1705488.5556224247</v>
      </c>
      <c r="Q2320" s="545">
        <f>'Foglio deposito bis'!$F$88*IF(ABS(K2320)&lt;'Sollecitazioni nel paramento'!$G$58,ABS(K2320)*'Sollecitazioni nel paramento'!$G$54,'Sollecitazioni nel paramento'!$G$53)*IF(K2320&lt;0,-1,1)</f>
        <v>0</v>
      </c>
      <c r="R2320" s="545">
        <f>'Foglio deposito bis'!$F$89*IF(ABS(L2320)&lt;'Sollecitazioni nel paramento'!$G$58,ABS(L2320)*'Sollecitazioni nel paramento'!$G$54,'Sollecitazioni nel paramento'!$G$53)*IF(L2320&lt;0,-1,1)</f>
        <v>96343.505379113034</v>
      </c>
      <c r="S2320" s="545">
        <f>'Foglio deposito bis'!$F$90*IF(ABS(M2320)&lt;'Sollecitazioni nel paramento'!$G$58,ABS(M2320)*'Sollecitazioni nel paramento'!$G$54,'Sollecitazioni nel paramento'!$G$53)*IF(M2320&lt;0,-1,1)</f>
        <v>0</v>
      </c>
      <c r="T2320" s="545">
        <f>'Foglio deposito bis'!$F$91*IF(ABS(N2320)&lt;'Sollecitazioni nel paramento'!$G$58,ABS(N2320)*'Sollecitazioni nel paramento'!$G$54,'Sollecitazioni nel paramento'!$G$53)*IF(N2320&lt;0,-1,1)</f>
        <v>892485.49558937876</v>
      </c>
      <c r="U2320" s="545">
        <f>'Foglio deposito bis'!$F$92*IF(ABS(O2320)&lt;'Sollecitazioni nel paramento'!$G$58,ABS(O2320)*'Sollecitazioni nel paramento'!$G$54,'Sollecitazioni nel paramento'!$G$53)*IF(O2320&lt;0,-1,1)</f>
        <v>1662039.1047339395</v>
      </c>
      <c r="V2320" s="472">
        <f t="shared" si="163"/>
        <v>945379.55008000671</v>
      </c>
      <c r="W2320" s="551"/>
      <c r="X2320" s="551"/>
    </row>
    <row r="2321" spans="1:24" x14ac:dyDescent="0.25">
      <c r="A2321" s="545">
        <f t="shared" si="162"/>
        <v>920313.88158246689</v>
      </c>
      <c r="B2321" s="3">
        <f t="shared" si="164"/>
        <v>4.1999999999999931</v>
      </c>
      <c r="C2321" s="545">
        <f>'Foglio deposito bis'!$E$162/sezione!$B$247*B2321</f>
        <v>45.306365606463558</v>
      </c>
      <c r="D2321" s="603">
        <f>-'Sollecitazioni nel paramento'!$G$47*'Sollecitazioni nel paramento'!$G$41*IF(DATI!$G$211="dx",DATI!$E$61,DATI!$E$64*DATI!$E$63)*1000*C2321^2*sezione!$AD$5*(1-sezione!$AD$6)</f>
        <v>-45669060.303915046</v>
      </c>
      <c r="E2321" s="545">
        <f>-'Foglio deposito bis'!$F$88*(C2321-sezione!$AL$36)*IF(ABS(K2321)&lt;'Sollecitazioni nel paramento'!$G$58,ABS(K2321)*'Sollecitazioni nel paramento'!$G$54,'Sollecitazioni nel paramento'!$G$53)</f>
        <v>0</v>
      </c>
      <c r="F2321" s="545">
        <f>-'Foglio deposito bis'!$F$89*(C2321-sezione!$AM$36)*IF(ABS(L2321)&lt;'Sollecitazioni nel paramento'!$G$58,ABS(L2321)*'Sollecitazioni nel paramento'!$G$54,'Sollecitazioni nel paramento'!$G$53)</f>
        <v>1349256.0815081166</v>
      </c>
      <c r="G2321" s="545">
        <f>-'Foglio deposito bis'!$F$90*(C2321-sezione!$AN$36)*IF(ABS(M2321)&lt;'Sollecitazioni nel paramento'!$G$58,ABS(M2321)*'Sollecitazioni nel paramento'!$G$54,'Sollecitazioni nel paramento'!$G$53)</f>
        <v>0</v>
      </c>
      <c r="H2321" s="545">
        <f>-'Foglio deposito bis'!$F$91*(C2321-sezione!$AO$36)*IF(ABS(N2321)&lt;'Sollecitazioni nel paramento'!$G$58,ABS(N2321)*'Sollecitazioni nel paramento'!$G$54,'Sollecitazioni nel paramento'!$G$53)</f>
        <v>102362405.13266239</v>
      </c>
      <c r="I2321" s="472">
        <f>-'Foglio deposito bis'!$F$92*(C2321-sezione!$AP$36)*IF(ABS(O2321)&lt;'Sollecitazioni nel paramento'!$G$58,ABS(O2321)*'Sollecitazioni nel paramento'!$G$54,'Sollecitazioni nel paramento'!$G$53)</f>
        <v>1183155651.951756</v>
      </c>
      <c r="J2321" s="472">
        <f t="shared" si="161"/>
        <v>1241198252.8620114</v>
      </c>
      <c r="K2321" s="550">
        <f>'Sollecitazioni nel paramento'!$G$60*(sezione!$AL$36-C2321)/C2321</f>
        <v>-4.099264943020031E-4</v>
      </c>
      <c r="L2321" s="550">
        <f>'Sollecitazioni nel paramento'!$G$60*(sezione!$AM$36-C2321)/C2321</f>
        <v>1.1351102585469954E-3</v>
      </c>
      <c r="M2321" s="551">
        <f>'Sollecitazioni nel paramento'!$G$60*(sezione!$AN$36-C2321)/C2321</f>
        <v>2.6801470113959939E-3</v>
      </c>
      <c r="N2321" s="551">
        <f>'Sollecitazioni nel paramento'!$G$60*(sezione!$AO$36-C2321)/C2321</f>
        <v>8.8602940227919882E-3</v>
      </c>
      <c r="O2321" s="551">
        <f>'Sollecitazioni nel paramento'!$G$60*(sezione!$AP$36-C2321)/C2321</f>
        <v>5.49932598276354E-2</v>
      </c>
      <c r="P2321" s="545">
        <f>-'Sollecitazioni nel paramento'!$G$47*'Sollecitazioni nel paramento'!$G$41*IF(DATI!$G$211="dx",DATI!$E$61,DATI!$E$64*DATI!$E$63)*1000*C2321*sezione!$AD$5</f>
        <v>-1726036.6105094419</v>
      </c>
      <c r="Q2321" s="545">
        <f>'Foglio deposito bis'!$F$88*IF(ABS(K2321)&lt;'Sollecitazioni nel paramento'!$G$58,ABS(K2321)*'Sollecitazioni nel paramento'!$G$54,'Sollecitazioni nel paramento'!$G$53)*IF(K2321&lt;0,-1,1)</f>
        <v>0</v>
      </c>
      <c r="R2321" s="545">
        <f>'Foglio deposito bis'!$F$89*IF(ABS(L2321)&lt;'Sollecitazioni nel paramento'!$G$58,ABS(L2321)*'Sollecitazioni nel paramento'!$G$54,'Sollecitazioni nel paramento'!$G$53)*IF(L2321&lt;0,-1,1)</f>
        <v>91825.891768590518</v>
      </c>
      <c r="S2321" s="545">
        <f>'Foglio deposito bis'!$F$90*IF(ABS(M2321)&lt;'Sollecitazioni nel paramento'!$G$58,ABS(M2321)*'Sollecitazioni nel paramento'!$G$54,'Sollecitazioni nel paramento'!$G$53)*IF(M2321&lt;0,-1,1)</f>
        <v>0</v>
      </c>
      <c r="T2321" s="545">
        <f>'Foglio deposito bis'!$F$91*IF(ABS(N2321)&lt;'Sollecitazioni nel paramento'!$G$58,ABS(N2321)*'Sollecitazioni nel paramento'!$G$54,'Sollecitazioni nel paramento'!$G$53)*IF(N2321&lt;0,-1,1)</f>
        <v>892485.49558937876</v>
      </c>
      <c r="U2321" s="545">
        <f>'Foglio deposito bis'!$F$92*IF(ABS(O2321)&lt;'Sollecitazioni nel paramento'!$G$58,ABS(O2321)*'Sollecitazioni nel paramento'!$G$54,'Sollecitazioni nel paramento'!$G$53)*IF(O2321&lt;0,-1,1)</f>
        <v>1662039.1047339395</v>
      </c>
      <c r="V2321" s="472">
        <f t="shared" si="163"/>
        <v>920313.88158246689</v>
      </c>
      <c r="W2321" s="551"/>
      <c r="X2321" s="551"/>
    </row>
    <row r="2322" spans="1:24" x14ac:dyDescent="0.25">
      <c r="A2322" s="545">
        <f t="shared" si="162"/>
        <v>895354.50987576297</v>
      </c>
      <c r="B2322" s="3">
        <f t="shared" si="164"/>
        <v>4.2499999999999929</v>
      </c>
      <c r="C2322" s="545">
        <f>'Foglio deposito bis'!$E$162/sezione!$B$247*B2322</f>
        <v>45.8457271017786</v>
      </c>
      <c r="D2322" s="603">
        <f>-'Sollecitazioni nel paramento'!$G$47*'Sollecitazioni nel paramento'!$G$41*IF(DATI!$G$211="dx",DATI!$E$61,DATI!$E$64*DATI!$E$63)*1000*C2322^2*sezione!$AD$5*(1-sezione!$AD$6)</f>
        <v>-46762891.255071737</v>
      </c>
      <c r="E2322" s="545">
        <f>-'Foglio deposito bis'!$F$88*(C2322-sezione!$AL$36)*IF(ABS(K2322)&lt;'Sollecitazioni nel paramento'!$G$58,ABS(K2322)*'Sollecitazioni nel paramento'!$G$54,'Sollecitazioni nel paramento'!$G$53)</f>
        <v>0</v>
      </c>
      <c r="F2322" s="545">
        <f>-'Foglio deposito bis'!$F$89*(C2322-sezione!$AM$36)*IF(ABS(L2322)&lt;'Sollecitazioni nel paramento'!$G$58,ABS(L2322)*'Sollecitazioni nel paramento'!$G$54,'Sollecitazioni nel paramento'!$G$53)</f>
        <v>1237289.7491088125</v>
      </c>
      <c r="G2322" s="545">
        <f>-'Foglio deposito bis'!$F$90*(C2322-sezione!$AN$36)*IF(ABS(M2322)&lt;'Sollecitazioni nel paramento'!$G$58,ABS(M2322)*'Sollecitazioni nel paramento'!$G$54,'Sollecitazioni nel paramento'!$G$53)</f>
        <v>0</v>
      </c>
      <c r="H2322" s="545">
        <f>-'Foglio deposito bis'!$F$91*(C2322-sezione!$AO$36)*IF(ABS(N2322)&lt;'Sollecitazioni nel paramento'!$G$58,ABS(N2322)*'Sollecitazioni nel paramento'!$G$54,'Sollecitazioni nel paramento'!$G$53)</f>
        <v>101881032.82121432</v>
      </c>
      <c r="I2322" s="472">
        <f>-'Foglio deposito bis'!$F$92*(C2322-sezione!$AP$36)*IF(ABS(O2322)&lt;'Sollecitazioni nel paramento'!$G$58,ABS(O2322)*'Sollecitazioni nel paramento'!$G$54,'Sollecitazioni nel paramento'!$G$53)</f>
        <v>1182259212.0549548</v>
      </c>
      <c r="J2322" s="472">
        <f t="shared" si="161"/>
        <v>1238614643.3702061</v>
      </c>
      <c r="K2322" s="550">
        <f>'Sollecitazioni nel paramento'!$G$60*(sezione!$AL$36-C2322)/C2322</f>
        <v>-4.4628030025139131E-4</v>
      </c>
      <c r="L2322" s="550">
        <f>'Sollecitazioni nel paramento'!$G$60*(sezione!$AM$36-C2322)/C2322</f>
        <v>1.0805795496229131E-3</v>
      </c>
      <c r="M2322" s="551">
        <f>'Sollecitazioni nel paramento'!$G$60*(sezione!$AN$36-C2322)/C2322</f>
        <v>2.6074393994972174E-3</v>
      </c>
      <c r="N2322" s="551">
        <f>'Sollecitazioni nel paramento'!$G$60*(sezione!$AO$36-C2322)/C2322</f>
        <v>8.7148787989944354E-3</v>
      </c>
      <c r="O2322" s="551">
        <f>'Sollecitazioni nel paramento'!$G$60*(sezione!$AP$36-C2322)/C2322</f>
        <v>5.430510382966322E-2</v>
      </c>
      <c r="P2322" s="545">
        <f>-'Sollecitazioni nel paramento'!$G$47*'Sollecitazioni nel paramento'!$G$41*IF(DATI!$G$211="dx",DATI!$E$61,DATI!$E$64*DATI!$E$63)*1000*C2322*sezione!$AD$5</f>
        <v>-1746584.6653964592</v>
      </c>
      <c r="Q2322" s="545">
        <f>'Foglio deposito bis'!$F$88*IF(ABS(K2322)&lt;'Sollecitazioni nel paramento'!$G$58,ABS(K2322)*'Sollecitazioni nel paramento'!$G$54,'Sollecitazioni nel paramento'!$G$53)*IF(K2322&lt;0,-1,1)</f>
        <v>0</v>
      </c>
      <c r="R2322" s="545">
        <f>'Foglio deposito bis'!$F$89*IF(ABS(L2322)&lt;'Sollecitazioni nel paramento'!$G$58,ABS(L2322)*'Sollecitazioni nel paramento'!$G$54,'Sollecitazioni nel paramento'!$G$53)*IF(L2322&lt;0,-1,1)</f>
        <v>87414.574948903813</v>
      </c>
      <c r="S2322" s="545">
        <f>'Foglio deposito bis'!$F$90*IF(ABS(M2322)&lt;'Sollecitazioni nel paramento'!$G$58,ABS(M2322)*'Sollecitazioni nel paramento'!$G$54,'Sollecitazioni nel paramento'!$G$53)*IF(M2322&lt;0,-1,1)</f>
        <v>0</v>
      </c>
      <c r="T2322" s="545">
        <f>'Foglio deposito bis'!$F$91*IF(ABS(N2322)&lt;'Sollecitazioni nel paramento'!$G$58,ABS(N2322)*'Sollecitazioni nel paramento'!$G$54,'Sollecitazioni nel paramento'!$G$53)*IF(N2322&lt;0,-1,1)</f>
        <v>892485.49558937876</v>
      </c>
      <c r="U2322" s="545">
        <f>'Foglio deposito bis'!$F$92*IF(ABS(O2322)&lt;'Sollecitazioni nel paramento'!$G$58,ABS(O2322)*'Sollecitazioni nel paramento'!$G$54,'Sollecitazioni nel paramento'!$G$53)*IF(O2322&lt;0,-1,1)</f>
        <v>1662039.1047339395</v>
      </c>
      <c r="V2322" s="472">
        <f t="shared" si="163"/>
        <v>895354.50987576297</v>
      </c>
      <c r="W2322" s="551"/>
      <c r="X2322" s="551"/>
    </row>
    <row r="2323" spans="1:24" x14ac:dyDescent="0.25">
      <c r="A2323" s="545">
        <f t="shared" si="162"/>
        <v>870497.72693230794</v>
      </c>
      <c r="B2323" s="3">
        <f t="shared" si="164"/>
        <v>4.2999999999999927</v>
      </c>
      <c r="C2323" s="545">
        <f>'Foglio deposito bis'!$E$162/sezione!$B$247*B2323</f>
        <v>46.385088597093642</v>
      </c>
      <c r="D2323" s="603">
        <f>-'Sollecitazioni nel paramento'!$G$47*'Sollecitazioni nel paramento'!$G$41*IF(DATI!$G$211="dx",DATI!$E$61,DATI!$E$64*DATI!$E$63)*1000*C2323^2*sezione!$AD$5*(1-sezione!$AD$6)</f>
        <v>-47869666.951212525</v>
      </c>
      <c r="E2323" s="545">
        <f>-'Foglio deposito bis'!$F$88*(C2323-sezione!$AL$36)*IF(ABS(K2323)&lt;'Sollecitazioni nel paramento'!$G$58,ABS(K2323)*'Sollecitazioni nel paramento'!$G$54,'Sollecitazioni nel paramento'!$G$53)</f>
        <v>0</v>
      </c>
      <c r="F2323" s="545">
        <f>-'Foglio deposito bis'!$F$89*(C2323-sezione!$AM$36)*IF(ABS(L2323)&lt;'Sollecitazioni nel paramento'!$G$58,ABS(L2323)*'Sollecitazioni nel paramento'!$G$54,'Sollecitazioni nel paramento'!$G$53)</f>
        <v>1131478.7425044202</v>
      </c>
      <c r="G2323" s="545">
        <f>-'Foglio deposito bis'!$F$90*(C2323-sezione!$AN$36)*IF(ABS(M2323)&lt;'Sollecitazioni nel paramento'!$G$58,ABS(M2323)*'Sollecitazioni nel paramento'!$G$54,'Sollecitazioni nel paramento'!$G$53)</f>
        <v>0</v>
      </c>
      <c r="H2323" s="545">
        <f>-'Foglio deposito bis'!$F$91*(C2323-sezione!$AO$36)*IF(ABS(N2323)&lt;'Sollecitazioni nel paramento'!$G$58,ABS(N2323)*'Sollecitazioni nel paramento'!$G$54,'Sollecitazioni nel paramento'!$G$53)</f>
        <v>101399660.50976624</v>
      </c>
      <c r="I2323" s="472">
        <f>-'Foglio deposito bis'!$F$92*(C2323-sezione!$AP$36)*IF(ABS(O2323)&lt;'Sollecitazioni nel paramento'!$G$58,ABS(O2323)*'Sollecitazioni nel paramento'!$G$54,'Sollecitazioni nel paramento'!$G$53)</f>
        <v>1181362772.1581535</v>
      </c>
      <c r="J2323" s="472">
        <f t="shared" si="161"/>
        <v>1236024244.4592116</v>
      </c>
      <c r="K2323" s="550">
        <f>'Sollecitazioni nel paramento'!$G$60*(sezione!$AL$36-C2323)/C2323</f>
        <v>-4.8178866885311924E-4</v>
      </c>
      <c r="L2323" s="550">
        <f>'Sollecitazioni nel paramento'!$G$60*(sezione!$AM$36-C2323)/C2323</f>
        <v>1.0273169967203212E-3</v>
      </c>
      <c r="M2323" s="551">
        <f>'Sollecitazioni nel paramento'!$G$60*(sezione!$AN$36-C2323)/C2323</f>
        <v>2.5364226622937615E-3</v>
      </c>
      <c r="N2323" s="551">
        <f>'Sollecitazioni nel paramento'!$G$60*(sezione!$AO$36-C2323)/C2323</f>
        <v>8.5728453245875226E-3</v>
      </c>
      <c r="O2323" s="551">
        <f>'Sollecitazioni nel paramento'!$G$60*(sezione!$AP$36-C2323)/C2323</f>
        <v>5.3632951459550868E-2</v>
      </c>
      <c r="P2323" s="545">
        <f>-'Sollecitazioni nel paramento'!$G$47*'Sollecitazioni nel paramento'!$G$41*IF(DATI!$G$211="dx",DATI!$E$61,DATI!$E$64*DATI!$E$63)*1000*C2323*sezione!$AD$5</f>
        <v>-1767132.7202834759</v>
      </c>
      <c r="Q2323" s="545">
        <f>'Foglio deposito bis'!$F$88*IF(ABS(K2323)&lt;'Sollecitazioni nel paramento'!$G$58,ABS(K2323)*'Sollecitazioni nel paramento'!$G$54,'Sollecitazioni nel paramento'!$G$53)*IF(K2323&lt;0,-1,1)</f>
        <v>0</v>
      </c>
      <c r="R2323" s="545">
        <f>'Foglio deposito bis'!$F$89*IF(ABS(L2323)&lt;'Sollecitazioni nel paramento'!$G$58,ABS(L2323)*'Sollecitazioni nel paramento'!$G$54,'Sollecitazioni nel paramento'!$G$53)*IF(L2323&lt;0,-1,1)</f>
        <v>83105.846892465634</v>
      </c>
      <c r="S2323" s="545">
        <f>'Foglio deposito bis'!$F$90*IF(ABS(M2323)&lt;'Sollecitazioni nel paramento'!$G$58,ABS(M2323)*'Sollecitazioni nel paramento'!$G$54,'Sollecitazioni nel paramento'!$G$53)*IF(M2323&lt;0,-1,1)</f>
        <v>0</v>
      </c>
      <c r="T2323" s="545">
        <f>'Foglio deposito bis'!$F$91*IF(ABS(N2323)&lt;'Sollecitazioni nel paramento'!$G$58,ABS(N2323)*'Sollecitazioni nel paramento'!$G$54,'Sollecitazioni nel paramento'!$G$53)*IF(N2323&lt;0,-1,1)</f>
        <v>892485.49558937876</v>
      </c>
      <c r="U2323" s="545">
        <f>'Foglio deposito bis'!$F$92*IF(ABS(O2323)&lt;'Sollecitazioni nel paramento'!$G$58,ABS(O2323)*'Sollecitazioni nel paramento'!$G$54,'Sollecitazioni nel paramento'!$G$53)*IF(O2323&lt;0,-1,1)</f>
        <v>1662039.1047339395</v>
      </c>
      <c r="V2323" s="472">
        <f t="shared" si="163"/>
        <v>870497.72693230794</v>
      </c>
      <c r="W2323" s="551"/>
      <c r="X2323" s="551"/>
    </row>
    <row r="2324" spans="1:24" x14ac:dyDescent="0.25">
      <c r="A2324" s="545">
        <f t="shared" si="162"/>
        <v>845739.9952085407</v>
      </c>
      <c r="B2324" s="3">
        <f t="shared" si="164"/>
        <v>4.3499999999999925</v>
      </c>
      <c r="C2324" s="545">
        <f>'Foglio deposito bis'!$E$162/sezione!$B$247*B2324</f>
        <v>46.924450092408684</v>
      </c>
      <c r="D2324" s="603">
        <f>-'Sollecitazioni nel paramento'!$G$47*'Sollecitazioni nel paramento'!$G$41*IF(DATI!$G$211="dx",DATI!$E$61,DATI!$E$64*DATI!$E$63)*1000*C2324^2*sezione!$AD$5*(1-sezione!$AD$6)</f>
        <v>-48989387.392337419</v>
      </c>
      <c r="E2324" s="545">
        <f>-'Foglio deposito bis'!$F$88*(C2324-sezione!$AL$36)*IF(ABS(K2324)&lt;'Sollecitazioni nel paramento'!$G$58,ABS(K2324)*'Sollecitazioni nel paramento'!$G$54,'Sollecitazioni nel paramento'!$G$53)</f>
        <v>0</v>
      </c>
      <c r="F2324" s="545">
        <f>-'Foglio deposito bis'!$F$89*(C2324-sezione!$AM$36)*IF(ABS(L2324)&lt;'Sollecitazioni nel paramento'!$G$58,ABS(L2324)*'Sollecitazioni nel paramento'!$G$54,'Sollecitazioni nel paramento'!$G$53)</f>
        <v>1031610.8090813218</v>
      </c>
      <c r="G2324" s="545">
        <f>-'Foglio deposito bis'!$F$90*(C2324-sezione!$AN$36)*IF(ABS(M2324)&lt;'Sollecitazioni nel paramento'!$G$58,ABS(M2324)*'Sollecitazioni nel paramento'!$G$54,'Sollecitazioni nel paramento'!$G$53)</f>
        <v>0</v>
      </c>
      <c r="H2324" s="545">
        <f>-'Foglio deposito bis'!$F$91*(C2324-sezione!$AO$36)*IF(ABS(N2324)&lt;'Sollecitazioni nel paramento'!$G$58,ABS(N2324)*'Sollecitazioni nel paramento'!$G$54,'Sollecitazioni nel paramento'!$G$53)</f>
        <v>100918288.19831818</v>
      </c>
      <c r="I2324" s="472">
        <f>-'Foglio deposito bis'!$F$92*(C2324-sezione!$AP$36)*IF(ABS(O2324)&lt;'Sollecitazioni nel paramento'!$G$58,ABS(O2324)*'Sollecitazioni nel paramento'!$G$54,'Sollecitazioni nel paramento'!$G$53)</f>
        <v>1180466332.2613521</v>
      </c>
      <c r="J2324" s="472">
        <f t="shared" si="161"/>
        <v>1233426843.8764141</v>
      </c>
      <c r="K2324" s="550">
        <f>'Sollecitazioni nel paramento'!$G$60*(sezione!$AL$36-C2324)/C2324</f>
        <v>-5.1648075311917536E-4</v>
      </c>
      <c r="L2324" s="550">
        <f>'Sollecitazioni nel paramento'!$G$60*(sezione!$AM$36-C2324)/C2324</f>
        <v>9.7527887032123706E-4</v>
      </c>
      <c r="M2324" s="551">
        <f>'Sollecitazioni nel paramento'!$G$60*(sezione!$AN$36-C2324)/C2324</f>
        <v>2.4670384937616496E-3</v>
      </c>
      <c r="N2324" s="551">
        <f>'Sollecitazioni nel paramento'!$G$60*(sezione!$AO$36-C2324)/C2324</f>
        <v>8.4340769875232997E-3</v>
      </c>
      <c r="O2324" s="551">
        <f>'Sollecitazioni nel paramento'!$G$60*(sezione!$AP$36-C2324)/C2324</f>
        <v>5.2976250868061764E-2</v>
      </c>
      <c r="P2324" s="545">
        <f>-'Sollecitazioni nel paramento'!$G$47*'Sollecitazioni nel paramento'!$G$41*IF(DATI!$G$211="dx",DATI!$E$61,DATI!$E$64*DATI!$E$63)*1000*C2324*sezione!$AD$5</f>
        <v>-1787680.7751704932</v>
      </c>
      <c r="Q2324" s="545">
        <f>'Foglio deposito bis'!$F$88*IF(ABS(K2324)&lt;'Sollecitazioni nel paramento'!$G$58,ABS(K2324)*'Sollecitazioni nel paramento'!$G$54,'Sollecitazioni nel paramento'!$G$53)*IF(K2324&lt;0,-1,1)</f>
        <v>0</v>
      </c>
      <c r="R2324" s="545">
        <f>'Foglio deposito bis'!$F$89*IF(ABS(L2324)&lt;'Sollecitazioni nel paramento'!$G$58,ABS(L2324)*'Sollecitazioni nel paramento'!$G$54,'Sollecitazioni nel paramento'!$G$53)*IF(L2324&lt;0,-1,1)</f>
        <v>78896.170055715673</v>
      </c>
      <c r="S2324" s="545">
        <f>'Foglio deposito bis'!$F$90*IF(ABS(M2324)&lt;'Sollecitazioni nel paramento'!$G$58,ABS(M2324)*'Sollecitazioni nel paramento'!$G$54,'Sollecitazioni nel paramento'!$G$53)*IF(M2324&lt;0,-1,1)</f>
        <v>0</v>
      </c>
      <c r="T2324" s="545">
        <f>'Foglio deposito bis'!$F$91*IF(ABS(N2324)&lt;'Sollecitazioni nel paramento'!$G$58,ABS(N2324)*'Sollecitazioni nel paramento'!$G$54,'Sollecitazioni nel paramento'!$G$53)*IF(N2324&lt;0,-1,1)</f>
        <v>892485.49558937876</v>
      </c>
      <c r="U2324" s="545">
        <f>'Foglio deposito bis'!$F$92*IF(ABS(O2324)&lt;'Sollecitazioni nel paramento'!$G$58,ABS(O2324)*'Sollecitazioni nel paramento'!$G$54,'Sollecitazioni nel paramento'!$G$53)*IF(O2324&lt;0,-1,1)</f>
        <v>1662039.1047339395</v>
      </c>
      <c r="V2324" s="472">
        <f t="shared" si="163"/>
        <v>845739.9952085407</v>
      </c>
      <c r="W2324" s="551"/>
      <c r="X2324" s="551"/>
    </row>
    <row r="2325" spans="1:24" x14ac:dyDescent="0.25">
      <c r="A2325" s="545">
        <f t="shared" si="162"/>
        <v>821077.9379583362</v>
      </c>
      <c r="B2325" s="3">
        <f t="shared" si="164"/>
        <v>4.3999999999999924</v>
      </c>
      <c r="C2325" s="545">
        <f>'Foglio deposito bis'!$E$162/sezione!$B$247*B2325</f>
        <v>47.463811587723725</v>
      </c>
      <c r="D2325" s="603">
        <f>-'Sollecitazioni nel paramento'!$G$47*'Sollecitazioni nel paramento'!$G$41*IF(DATI!$G$211="dx",DATI!$E$61,DATI!$E$64*DATI!$E$63)*1000*C2325^2*sezione!$AD$5*(1-sezione!$AD$6)</f>
        <v>-50122052.57844644</v>
      </c>
      <c r="E2325" s="545">
        <f>-'Foglio deposito bis'!$F$88*(C2325-sezione!$AL$36)*IF(ABS(K2325)&lt;'Sollecitazioni nel paramento'!$G$58,ABS(K2325)*'Sollecitazioni nel paramento'!$G$54,'Sollecitazioni nel paramento'!$G$53)</f>
        <v>0</v>
      </c>
      <c r="F2325" s="545">
        <f>-'Foglio deposito bis'!$F$89*(C2325-sezione!$AM$36)*IF(ABS(L2325)&lt;'Sollecitazioni nel paramento'!$G$58,ABS(L2325)*'Sollecitazioni nel paramento'!$G$54,'Sollecitazioni nel paramento'!$G$53)</f>
        <v>937483.34407197358</v>
      </c>
      <c r="G2325" s="545">
        <f>-'Foglio deposito bis'!$F$90*(C2325-sezione!$AN$36)*IF(ABS(M2325)&lt;'Sollecitazioni nel paramento'!$G$58,ABS(M2325)*'Sollecitazioni nel paramento'!$G$54,'Sollecitazioni nel paramento'!$G$53)</f>
        <v>0</v>
      </c>
      <c r="H2325" s="545">
        <f>-'Foglio deposito bis'!$F$91*(C2325-sezione!$AO$36)*IF(ABS(N2325)&lt;'Sollecitazioni nel paramento'!$G$58,ABS(N2325)*'Sollecitazioni nel paramento'!$G$54,'Sollecitazioni nel paramento'!$G$53)</f>
        <v>100436915.88687009</v>
      </c>
      <c r="I2325" s="472">
        <f>-'Foglio deposito bis'!$F$92*(C2325-sezione!$AP$36)*IF(ABS(O2325)&lt;'Sollecitazioni nel paramento'!$G$58,ABS(O2325)*'Sollecitazioni nel paramento'!$G$54,'Sollecitazioni nel paramento'!$G$53)</f>
        <v>1179569892.3645506</v>
      </c>
      <c r="J2325" s="472">
        <f t="shared" si="161"/>
        <v>1230822239.0170462</v>
      </c>
      <c r="K2325" s="550">
        <f>'Sollecitazioni nel paramento'!$G$60*(sezione!$AL$36-C2325)/C2325</f>
        <v>-5.5038438092463917E-4</v>
      </c>
      <c r="L2325" s="550">
        <f>'Sollecitazioni nel paramento'!$G$60*(sezione!$AM$36-C2325)/C2325</f>
        <v>9.2442342861304117E-4</v>
      </c>
      <c r="M2325" s="551">
        <f>'Sollecitazioni nel paramento'!$G$60*(sezione!$AN$36-C2325)/C2325</f>
        <v>2.3992312381507217E-3</v>
      </c>
      <c r="N2325" s="551">
        <f>'Sollecitazioni nel paramento'!$G$60*(sezione!$AO$36-C2325)/C2325</f>
        <v>8.298462476301444E-3</v>
      </c>
      <c r="O2325" s="551">
        <f>'Sollecitazioni nel paramento'!$G$60*(sezione!$AP$36-C2325)/C2325</f>
        <v>5.2334475290015621E-2</v>
      </c>
      <c r="P2325" s="545">
        <f>-'Sollecitazioni nel paramento'!$G$47*'Sollecitazioni nel paramento'!$G$41*IF(DATI!$G$211="dx",DATI!$E$61,DATI!$E$64*DATI!$E$63)*1000*C2325*sezione!$AD$5</f>
        <v>-1808228.8300575104</v>
      </c>
      <c r="Q2325" s="545">
        <f>'Foglio deposito bis'!$F$88*IF(ABS(K2325)&lt;'Sollecitazioni nel paramento'!$G$58,ABS(K2325)*'Sollecitazioni nel paramento'!$G$54,'Sollecitazioni nel paramento'!$G$53)*IF(K2325&lt;0,-1,1)</f>
        <v>0</v>
      </c>
      <c r="R2325" s="545">
        <f>'Foglio deposito bis'!$F$89*IF(ABS(L2325)&lt;'Sollecitazioni nel paramento'!$G$58,ABS(L2325)*'Sollecitazioni nel paramento'!$G$54,'Sollecitazioni nel paramento'!$G$53)*IF(L2325&lt;0,-1,1)</f>
        <v>74782.167692528223</v>
      </c>
      <c r="S2325" s="545">
        <f>'Foglio deposito bis'!$F$90*IF(ABS(M2325)&lt;'Sollecitazioni nel paramento'!$G$58,ABS(M2325)*'Sollecitazioni nel paramento'!$G$54,'Sollecitazioni nel paramento'!$G$53)*IF(M2325&lt;0,-1,1)</f>
        <v>0</v>
      </c>
      <c r="T2325" s="545">
        <f>'Foglio deposito bis'!$F$91*IF(ABS(N2325)&lt;'Sollecitazioni nel paramento'!$G$58,ABS(N2325)*'Sollecitazioni nel paramento'!$G$54,'Sollecitazioni nel paramento'!$G$53)*IF(N2325&lt;0,-1,1)</f>
        <v>892485.49558937876</v>
      </c>
      <c r="U2325" s="545">
        <f>'Foglio deposito bis'!$F$92*IF(ABS(O2325)&lt;'Sollecitazioni nel paramento'!$G$58,ABS(O2325)*'Sollecitazioni nel paramento'!$G$54,'Sollecitazioni nel paramento'!$G$53)*IF(O2325&lt;0,-1,1)</f>
        <v>1662039.1047339395</v>
      </c>
      <c r="V2325" s="472">
        <f t="shared" si="163"/>
        <v>821077.9379583362</v>
      </c>
      <c r="W2325" s="551"/>
      <c r="X2325" s="551"/>
    </row>
    <row r="2326" spans="1:24" x14ac:dyDescent="0.25">
      <c r="A2326" s="545">
        <f t="shared" si="162"/>
        <v>796508.33019943908</v>
      </c>
      <c r="B2326" s="3">
        <f t="shared" si="164"/>
        <v>4.4499999999999922</v>
      </c>
      <c r="C2326" s="545">
        <f>'Foglio deposito bis'!$E$162/sezione!$B$247*B2326</f>
        <v>48.003173083038767</v>
      </c>
      <c r="D2326" s="603">
        <f>-'Sollecitazioni nel paramento'!$G$47*'Sollecitazioni nel paramento'!$G$41*IF(DATI!$G$211="dx",DATI!$E$61,DATI!$E$64*DATI!$E$63)*1000*C2326^2*sezione!$AD$5*(1-sezione!$AD$6)</f>
        <v>-51267662.509539537</v>
      </c>
      <c r="E2326" s="545">
        <f>-'Foglio deposito bis'!$F$88*(C2326-sezione!$AL$36)*IF(ABS(K2326)&lt;'Sollecitazioni nel paramento'!$G$58,ABS(K2326)*'Sollecitazioni nel paramento'!$G$54,'Sollecitazioni nel paramento'!$G$53)</f>
        <v>0</v>
      </c>
      <c r="F2326" s="545">
        <f>-'Foglio deposito bis'!$F$89*(C2326-sezione!$AM$36)*IF(ABS(L2326)&lt;'Sollecitazioni nel paramento'!$G$58,ABS(L2326)*'Sollecitazioni nel paramento'!$G$54,'Sollecitazioni nel paramento'!$G$53)</f>
        <v>848902.84854108025</v>
      </c>
      <c r="G2326" s="545">
        <f>-'Foglio deposito bis'!$F$90*(C2326-sezione!$AN$36)*IF(ABS(M2326)&lt;'Sollecitazioni nel paramento'!$G$58,ABS(M2326)*'Sollecitazioni nel paramento'!$G$54,'Sollecitazioni nel paramento'!$G$53)</f>
        <v>0</v>
      </c>
      <c r="H2326" s="545">
        <f>-'Foglio deposito bis'!$F$91*(C2326-sezione!$AO$36)*IF(ABS(N2326)&lt;'Sollecitazioni nel paramento'!$G$58,ABS(N2326)*'Sollecitazioni nel paramento'!$G$54,'Sollecitazioni nel paramento'!$G$53)</f>
        <v>99955543.575422019</v>
      </c>
      <c r="I2326" s="472">
        <f>-'Foglio deposito bis'!$F$92*(C2326-sezione!$AP$36)*IF(ABS(O2326)&lt;'Sollecitazioni nel paramento'!$G$58,ABS(O2326)*'Sollecitazioni nel paramento'!$G$54,'Sollecitazioni nel paramento'!$G$53)</f>
        <v>1178673452.4677494</v>
      </c>
      <c r="J2326" s="472">
        <f t="shared" si="161"/>
        <v>1228210236.3821728</v>
      </c>
      <c r="K2326" s="550">
        <f>'Sollecitazioni nel paramento'!$G$60*(sezione!$AL$36-C2326)/C2326</f>
        <v>-5.835261294535758E-4</v>
      </c>
      <c r="L2326" s="550">
        <f>'Sollecitazioni nel paramento'!$G$60*(sezione!$AM$36-C2326)/C2326</f>
        <v>8.7471080581963628E-4</v>
      </c>
      <c r="M2326" s="551">
        <f>'Sollecitazioni nel paramento'!$G$60*(sezione!$AN$36-C2326)/C2326</f>
        <v>2.3329477410928487E-3</v>
      </c>
      <c r="N2326" s="551">
        <f>'Sollecitazioni nel paramento'!$G$60*(sezione!$AO$36-C2326)/C2326</f>
        <v>8.1658954821856953E-3</v>
      </c>
      <c r="O2326" s="551">
        <f>'Sollecitazioni nel paramento'!$G$60*(sezione!$AP$36-C2326)/C2326</f>
        <v>5.1707121635071622E-2</v>
      </c>
      <c r="P2326" s="545">
        <f>-'Sollecitazioni nel paramento'!$G$47*'Sollecitazioni nel paramento'!$G$41*IF(DATI!$G$211="dx",DATI!$E$61,DATI!$E$64*DATI!$E$63)*1000*C2326*sezione!$AD$5</f>
        <v>-1828776.8849445276</v>
      </c>
      <c r="Q2326" s="545">
        <f>'Foglio deposito bis'!$F$88*IF(ABS(K2326)&lt;'Sollecitazioni nel paramento'!$G$58,ABS(K2326)*'Sollecitazioni nel paramento'!$G$54,'Sollecitazioni nel paramento'!$G$53)*IF(K2326&lt;0,-1,1)</f>
        <v>0</v>
      </c>
      <c r="R2326" s="545">
        <f>'Foglio deposito bis'!$F$89*IF(ABS(L2326)&lt;'Sollecitazioni nel paramento'!$G$58,ABS(L2326)*'Sollecitazioni nel paramento'!$G$54,'Sollecitazioni nel paramento'!$G$53)*IF(L2326&lt;0,-1,1)</f>
        <v>70760.614820648363</v>
      </c>
      <c r="S2326" s="545">
        <f>'Foglio deposito bis'!$F$90*IF(ABS(M2326)&lt;'Sollecitazioni nel paramento'!$G$58,ABS(M2326)*'Sollecitazioni nel paramento'!$G$54,'Sollecitazioni nel paramento'!$G$53)*IF(M2326&lt;0,-1,1)</f>
        <v>0</v>
      </c>
      <c r="T2326" s="545">
        <f>'Foglio deposito bis'!$F$91*IF(ABS(N2326)&lt;'Sollecitazioni nel paramento'!$G$58,ABS(N2326)*'Sollecitazioni nel paramento'!$G$54,'Sollecitazioni nel paramento'!$G$53)*IF(N2326&lt;0,-1,1)</f>
        <v>892485.49558937876</v>
      </c>
      <c r="U2326" s="545">
        <f>'Foglio deposito bis'!$F$92*IF(ABS(O2326)&lt;'Sollecitazioni nel paramento'!$G$58,ABS(O2326)*'Sollecitazioni nel paramento'!$G$54,'Sollecitazioni nel paramento'!$G$53)*IF(O2326&lt;0,-1,1)</f>
        <v>1662039.1047339395</v>
      </c>
      <c r="V2326" s="472">
        <f t="shared" si="163"/>
        <v>796508.33019943908</v>
      </c>
      <c r="W2326" s="551"/>
      <c r="X2326" s="551"/>
    </row>
    <row r="2327" spans="1:24" x14ac:dyDescent="0.25">
      <c r="A2327" s="545">
        <f t="shared" si="162"/>
        <v>772028.09028213937</v>
      </c>
      <c r="B2327" s="3">
        <f t="shared" si="164"/>
        <v>4.499999999999992</v>
      </c>
      <c r="C2327" s="545">
        <f>'Foglio deposito bis'!$E$162/sezione!$B$247*B2327</f>
        <v>48.542534578353809</v>
      </c>
      <c r="D2327" s="603">
        <f>-'Sollecitazioni nel paramento'!$G$47*'Sollecitazioni nel paramento'!$G$41*IF(DATI!$G$211="dx",DATI!$E$61,DATI!$E$64*DATI!$E$63)*1000*C2327^2*sezione!$AD$5*(1-sezione!$AD$6)</f>
        <v>-52426217.185616754</v>
      </c>
      <c r="E2327" s="545">
        <f>-'Foglio deposito bis'!$F$88*(C2327-sezione!$AL$36)*IF(ABS(K2327)&lt;'Sollecitazioni nel paramento'!$G$58,ABS(K2327)*'Sollecitazioni nel paramento'!$G$54,'Sollecitazioni nel paramento'!$G$53)</f>
        <v>0</v>
      </c>
      <c r="F2327" s="545">
        <f>-'Foglio deposito bis'!$F$89*(C2327-sezione!$AM$36)*IF(ABS(L2327)&lt;'Sollecitazioni nel paramento'!$G$58,ABS(L2327)*'Sollecitazioni nel paramento'!$G$54,'Sollecitazioni nel paramento'!$G$53)</f>
        <v>765684.42350602662</v>
      </c>
      <c r="G2327" s="545">
        <f>-'Foglio deposito bis'!$F$90*(C2327-sezione!$AN$36)*IF(ABS(M2327)&lt;'Sollecitazioni nel paramento'!$G$58,ABS(M2327)*'Sollecitazioni nel paramento'!$G$54,'Sollecitazioni nel paramento'!$G$53)</f>
        <v>0</v>
      </c>
      <c r="H2327" s="545">
        <f>-'Foglio deposito bis'!$F$91*(C2327-sezione!$AO$36)*IF(ABS(N2327)&lt;'Sollecitazioni nel paramento'!$G$58,ABS(N2327)*'Sollecitazioni nel paramento'!$G$54,'Sollecitazioni nel paramento'!$G$53)</f>
        <v>99474171.263973951</v>
      </c>
      <c r="I2327" s="472">
        <f>-'Foglio deposito bis'!$F$92*(C2327-sezione!$AP$36)*IF(ABS(O2327)&lt;'Sollecitazioni nel paramento'!$G$58,ABS(O2327)*'Sollecitazioni nel paramento'!$G$54,'Sollecitazioni nel paramento'!$G$53)</f>
        <v>1177777012.5709481</v>
      </c>
      <c r="J2327" s="472">
        <f t="shared" si="161"/>
        <v>1225590651.0728114</v>
      </c>
      <c r="K2327" s="550">
        <f>'Sollecitazioni nel paramento'!$G$60*(sezione!$AL$36-C2327)/C2327</f>
        <v>-6.1593139468186944E-4</v>
      </c>
      <c r="L2327" s="550">
        <f>'Sollecitazioni nel paramento'!$G$60*(sezione!$AM$36-C2327)/C2327</f>
        <v>8.2610290797719592E-4</v>
      </c>
      <c r="M2327" s="551">
        <f>'Sollecitazioni nel paramento'!$G$60*(sezione!$AN$36-C2327)/C2327</f>
        <v>2.2681372106362614E-3</v>
      </c>
      <c r="N2327" s="551">
        <f>'Sollecitazioni nel paramento'!$G$60*(sezione!$AO$36-C2327)/C2327</f>
        <v>8.0362744212725216E-3</v>
      </c>
      <c r="O2327" s="551">
        <f>'Sollecitazioni nel paramento'!$G$60*(sezione!$AP$36-C2327)/C2327</f>
        <v>5.1093709172459714E-2</v>
      </c>
      <c r="P2327" s="545">
        <f>-'Sollecitazioni nel paramento'!$G$47*'Sollecitazioni nel paramento'!$G$41*IF(DATI!$G$211="dx",DATI!$E$61,DATI!$E$64*DATI!$E$63)*1000*C2327*sezione!$AD$5</f>
        <v>-1849324.9398315446</v>
      </c>
      <c r="Q2327" s="545">
        <f>'Foglio deposito bis'!$F$88*IF(ABS(K2327)&lt;'Sollecitazioni nel paramento'!$G$58,ABS(K2327)*'Sollecitazioni nel paramento'!$G$54,'Sollecitazioni nel paramento'!$G$53)*IF(K2327&lt;0,-1,1)</f>
        <v>0</v>
      </c>
      <c r="R2327" s="545">
        <f>'Foglio deposito bis'!$F$89*IF(ABS(L2327)&lt;'Sollecitazioni nel paramento'!$G$58,ABS(L2327)*'Sollecitazioni nel paramento'!$G$54,'Sollecitazioni nel paramento'!$G$53)*IF(L2327&lt;0,-1,1)</f>
        <v>66828.42979036583</v>
      </c>
      <c r="S2327" s="545">
        <f>'Foglio deposito bis'!$F$90*IF(ABS(M2327)&lt;'Sollecitazioni nel paramento'!$G$58,ABS(M2327)*'Sollecitazioni nel paramento'!$G$54,'Sollecitazioni nel paramento'!$G$53)*IF(M2327&lt;0,-1,1)</f>
        <v>0</v>
      </c>
      <c r="T2327" s="545">
        <f>'Foglio deposito bis'!$F$91*IF(ABS(N2327)&lt;'Sollecitazioni nel paramento'!$G$58,ABS(N2327)*'Sollecitazioni nel paramento'!$G$54,'Sollecitazioni nel paramento'!$G$53)*IF(N2327&lt;0,-1,1)</f>
        <v>892485.49558937876</v>
      </c>
      <c r="U2327" s="545">
        <f>'Foglio deposito bis'!$F$92*IF(ABS(O2327)&lt;'Sollecitazioni nel paramento'!$G$58,ABS(O2327)*'Sollecitazioni nel paramento'!$G$54,'Sollecitazioni nel paramento'!$G$53)*IF(O2327&lt;0,-1,1)</f>
        <v>1662039.1047339395</v>
      </c>
      <c r="V2327" s="472">
        <f t="shared" si="163"/>
        <v>772028.09028213937</v>
      </c>
      <c r="W2327" s="551"/>
      <c r="X2327" s="551"/>
    </row>
    <row r="2328" spans="1:24" x14ac:dyDescent="0.25">
      <c r="A2328" s="545">
        <f t="shared" si="162"/>
        <v>747634.2720138568</v>
      </c>
      <c r="B2328" s="3">
        <f t="shared" si="164"/>
        <v>4.5499999999999918</v>
      </c>
      <c r="C2328" s="545">
        <f>'Foglio deposito bis'!$E$162/sezione!$B$247*B2328</f>
        <v>49.081896073668851</v>
      </c>
      <c r="D2328" s="603">
        <f>-'Sollecitazioni nel paramento'!$G$47*'Sollecitazioni nel paramento'!$G$41*IF(DATI!$G$211="dx",DATI!$E$61,DATI!$E$64*DATI!$E$63)*1000*C2328^2*sezione!$AD$5*(1-sezione!$AD$6)</f>
        <v>-53597716.606678061</v>
      </c>
      <c r="E2328" s="545">
        <f>-'Foglio deposito bis'!$F$88*(C2328-sezione!$AL$36)*IF(ABS(K2328)&lt;'Sollecitazioni nel paramento'!$G$58,ABS(K2328)*'Sollecitazioni nel paramento'!$G$54,'Sollecitazioni nel paramento'!$G$53)</f>
        <v>0</v>
      </c>
      <c r="F2328" s="545">
        <f>-'Foglio deposito bis'!$F$89*(C2328-sezione!$AM$36)*IF(ABS(L2328)&lt;'Sollecitazioni nel paramento'!$G$58,ABS(L2328)*'Sollecitazioni nel paramento'!$G$54,'Sollecitazioni nel paramento'!$G$53)</f>
        <v>687651.29741200502</v>
      </c>
      <c r="G2328" s="545">
        <f>-'Foglio deposito bis'!$F$90*(C2328-sezione!$AN$36)*IF(ABS(M2328)&lt;'Sollecitazioni nel paramento'!$G$58,ABS(M2328)*'Sollecitazioni nel paramento'!$G$54,'Sollecitazioni nel paramento'!$G$53)</f>
        <v>0</v>
      </c>
      <c r="H2328" s="545">
        <f>-'Foglio deposito bis'!$F$91*(C2328-sezione!$AO$36)*IF(ABS(N2328)&lt;'Sollecitazioni nel paramento'!$G$58,ABS(N2328)*'Sollecitazioni nel paramento'!$G$54,'Sollecitazioni nel paramento'!$G$53)</f>
        <v>98992798.952525884</v>
      </c>
      <c r="I2328" s="472">
        <f>-'Foglio deposito bis'!$F$92*(C2328-sezione!$AP$36)*IF(ABS(O2328)&lt;'Sollecitazioni nel paramento'!$G$58,ABS(O2328)*'Sollecitazioni nel paramento'!$G$54,'Sollecitazioni nel paramento'!$G$53)</f>
        <v>1176880572.6741467</v>
      </c>
      <c r="J2328" s="472">
        <f t="shared" si="161"/>
        <v>1222963306.3174064</v>
      </c>
      <c r="K2328" s="550">
        <f>'Sollecitazioni nel paramento'!$G$60*(sezione!$AL$36-C2328)/C2328</f>
        <v>-6.4762445627877189E-4</v>
      </c>
      <c r="L2328" s="550">
        <f>'Sollecitazioni nel paramento'!$G$60*(sezione!$AM$36-C2328)/C2328</f>
        <v>7.7856331558184215E-4</v>
      </c>
      <c r="M2328" s="551">
        <f>'Sollecitazioni nel paramento'!$G$60*(sezione!$AN$36-C2328)/C2328</f>
        <v>2.2047510874424561E-3</v>
      </c>
      <c r="N2328" s="551">
        <f>'Sollecitazioni nel paramento'!$G$60*(sezione!$AO$36-C2328)/C2328</f>
        <v>7.9095021748849127E-3</v>
      </c>
      <c r="O2328" s="551">
        <f>'Sollecitazioni nel paramento'!$G$60*(sezione!$AP$36-C2328)/C2328</f>
        <v>5.0493778302432686E-2</v>
      </c>
      <c r="P2328" s="545">
        <f>-'Sollecitazioni nel paramento'!$G$47*'Sollecitazioni nel paramento'!$G$41*IF(DATI!$G$211="dx",DATI!$E$61,DATI!$E$64*DATI!$E$63)*1000*C2328*sezione!$AD$5</f>
        <v>-1869872.9947185619</v>
      </c>
      <c r="Q2328" s="545">
        <f>'Foglio deposito bis'!$F$88*IF(ABS(K2328)&lt;'Sollecitazioni nel paramento'!$G$58,ABS(K2328)*'Sollecitazioni nel paramento'!$G$54,'Sollecitazioni nel paramento'!$G$53)*IF(K2328&lt;0,-1,1)</f>
        <v>0</v>
      </c>
      <c r="R2328" s="545">
        <f>'Foglio deposito bis'!$F$89*IF(ABS(L2328)&lt;'Sollecitazioni nel paramento'!$G$58,ABS(L2328)*'Sollecitazioni nel paramento'!$G$54,'Sollecitazioni nel paramento'!$G$53)*IF(L2328&lt;0,-1,1)</f>
        <v>62982.666409100493</v>
      </c>
      <c r="S2328" s="545">
        <f>'Foglio deposito bis'!$F$90*IF(ABS(M2328)&lt;'Sollecitazioni nel paramento'!$G$58,ABS(M2328)*'Sollecitazioni nel paramento'!$G$54,'Sollecitazioni nel paramento'!$G$53)*IF(M2328&lt;0,-1,1)</f>
        <v>0</v>
      </c>
      <c r="T2328" s="545">
        <f>'Foglio deposito bis'!$F$91*IF(ABS(N2328)&lt;'Sollecitazioni nel paramento'!$G$58,ABS(N2328)*'Sollecitazioni nel paramento'!$G$54,'Sollecitazioni nel paramento'!$G$53)*IF(N2328&lt;0,-1,1)</f>
        <v>892485.49558937876</v>
      </c>
      <c r="U2328" s="545">
        <f>'Foglio deposito bis'!$F$92*IF(ABS(O2328)&lt;'Sollecitazioni nel paramento'!$G$58,ABS(O2328)*'Sollecitazioni nel paramento'!$G$54,'Sollecitazioni nel paramento'!$G$53)*IF(O2328&lt;0,-1,1)</f>
        <v>1662039.1047339395</v>
      </c>
      <c r="V2328" s="472">
        <f t="shared" si="163"/>
        <v>747634.2720138568</v>
      </c>
      <c r="W2328" s="551"/>
      <c r="X2328" s="551"/>
    </row>
    <row r="2329" spans="1:24" x14ac:dyDescent="0.25">
      <c r="A2329" s="545">
        <f t="shared" si="162"/>
        <v>723324.05729734106</v>
      </c>
      <c r="B2329" s="3">
        <f t="shared" si="164"/>
        <v>4.5999999999999917</v>
      </c>
      <c r="C2329" s="545">
        <f>'Foglio deposito bis'!$E$162/sezione!$B$247*B2329</f>
        <v>49.621257568983893</v>
      </c>
      <c r="D2329" s="603">
        <f>-'Sollecitazioni nel paramento'!$G$47*'Sollecitazioni nel paramento'!$G$41*IF(DATI!$G$211="dx",DATI!$E$61,DATI!$E$64*DATI!$E$63)*1000*C2329^2*sezione!$AD$5*(1-sezione!$AD$6)</f>
        <v>-54782160.772723474</v>
      </c>
      <c r="E2329" s="545">
        <f>-'Foglio deposito bis'!$F$88*(C2329-sezione!$AL$36)*IF(ABS(K2329)&lt;'Sollecitazioni nel paramento'!$G$58,ABS(K2329)*'Sollecitazioni nel paramento'!$G$54,'Sollecitazioni nel paramento'!$G$53)</f>
        <v>0</v>
      </c>
      <c r="F2329" s="545">
        <f>-'Foglio deposito bis'!$F$89*(C2329-sezione!$AM$36)*IF(ABS(L2329)&lt;'Sollecitazioni nel paramento'!$G$58,ABS(L2329)*'Sollecitazioni nel paramento'!$G$54,'Sollecitazioni nel paramento'!$G$53)</f>
        <v>614634.38442398177</v>
      </c>
      <c r="G2329" s="545">
        <f>-'Foglio deposito bis'!$F$90*(C2329-sezione!$AN$36)*IF(ABS(M2329)&lt;'Sollecitazioni nel paramento'!$G$58,ABS(M2329)*'Sollecitazioni nel paramento'!$G$54,'Sollecitazioni nel paramento'!$G$53)</f>
        <v>0</v>
      </c>
      <c r="H2329" s="545">
        <f>-'Foglio deposito bis'!$F$91*(C2329-sezione!$AO$36)*IF(ABS(N2329)&lt;'Sollecitazioni nel paramento'!$G$58,ABS(N2329)*'Sollecitazioni nel paramento'!$G$54,'Sollecitazioni nel paramento'!$G$53)</f>
        <v>98511426.641077802</v>
      </c>
      <c r="I2329" s="472">
        <f>-'Foglio deposito bis'!$F$92*(C2329-sezione!$AP$36)*IF(ABS(O2329)&lt;'Sollecitazioni nel paramento'!$G$58,ABS(O2329)*'Sollecitazioni nel paramento'!$G$54,'Sollecitazioni nel paramento'!$G$53)</f>
        <v>1175984132.7773452</v>
      </c>
      <c r="J2329" s="472">
        <f t="shared" si="161"/>
        <v>1220328033.0301235</v>
      </c>
      <c r="K2329" s="550">
        <f>'Sollecitazioni nel paramento'!$G$60*(sezione!$AL$36-C2329)/C2329</f>
        <v>-6.7862853827574182E-4</v>
      </c>
      <c r="L2329" s="550">
        <f>'Sollecitazioni nel paramento'!$G$60*(sezione!$AM$36-C2329)/C2329</f>
        <v>7.3205719258638742E-4</v>
      </c>
      <c r="M2329" s="551">
        <f>'Sollecitazioni nel paramento'!$G$60*(sezione!$AN$36-C2329)/C2329</f>
        <v>2.1427429234485164E-3</v>
      </c>
      <c r="N2329" s="551">
        <f>'Sollecitazioni nel paramento'!$G$60*(sezione!$AO$36-C2329)/C2329</f>
        <v>7.7854858468970325E-3</v>
      </c>
      <c r="O2329" s="551">
        <f>'Sollecitazioni nel paramento'!$G$60*(sezione!$AP$36-C2329)/C2329</f>
        <v>4.9906889407841028E-2</v>
      </c>
      <c r="P2329" s="545">
        <f>-'Sollecitazioni nel paramento'!$G$47*'Sollecitazioni nel paramento'!$G$41*IF(DATI!$G$211="dx",DATI!$E$61,DATI!$E$64*DATI!$E$63)*1000*C2329*sezione!$AD$5</f>
        <v>-1890421.0496055791</v>
      </c>
      <c r="Q2329" s="545">
        <f>'Foglio deposito bis'!$F$88*IF(ABS(K2329)&lt;'Sollecitazioni nel paramento'!$G$58,ABS(K2329)*'Sollecitazioni nel paramento'!$G$54,'Sollecitazioni nel paramento'!$G$53)*IF(K2329&lt;0,-1,1)</f>
        <v>0</v>
      </c>
      <c r="R2329" s="545">
        <f>'Foglio deposito bis'!$F$89*IF(ABS(L2329)&lt;'Sollecitazioni nel paramento'!$G$58,ABS(L2329)*'Sollecitazioni nel paramento'!$G$54,'Sollecitazioni nel paramento'!$G$53)*IF(L2329&lt;0,-1,1)</f>
        <v>59220.506579601803</v>
      </c>
      <c r="S2329" s="545">
        <f>'Foglio deposito bis'!$F$90*IF(ABS(M2329)&lt;'Sollecitazioni nel paramento'!$G$58,ABS(M2329)*'Sollecitazioni nel paramento'!$G$54,'Sollecitazioni nel paramento'!$G$53)*IF(M2329&lt;0,-1,1)</f>
        <v>0</v>
      </c>
      <c r="T2329" s="545">
        <f>'Foglio deposito bis'!$F$91*IF(ABS(N2329)&lt;'Sollecitazioni nel paramento'!$G$58,ABS(N2329)*'Sollecitazioni nel paramento'!$G$54,'Sollecitazioni nel paramento'!$G$53)*IF(N2329&lt;0,-1,1)</f>
        <v>892485.49558937876</v>
      </c>
      <c r="U2329" s="545">
        <f>'Foglio deposito bis'!$F$92*IF(ABS(O2329)&lt;'Sollecitazioni nel paramento'!$G$58,ABS(O2329)*'Sollecitazioni nel paramento'!$G$54,'Sollecitazioni nel paramento'!$G$53)*IF(O2329&lt;0,-1,1)</f>
        <v>1662039.1047339395</v>
      </c>
      <c r="V2329" s="472">
        <f t="shared" si="163"/>
        <v>723324.05729734106</v>
      </c>
      <c r="W2329" s="551"/>
      <c r="X2329" s="551"/>
    </row>
    <row r="2330" spans="1:24" x14ac:dyDescent="0.25">
      <c r="A2330" s="545">
        <f t="shared" si="162"/>
        <v>699094.74924382544</v>
      </c>
      <c r="B2330" s="3">
        <f t="shared" si="164"/>
        <v>4.6499999999999915</v>
      </c>
      <c r="C2330" s="545">
        <f>'Foglio deposito bis'!$E$162/sezione!$B$247*B2330</f>
        <v>50.160619064298935</v>
      </c>
      <c r="D2330" s="603">
        <f>-'Sollecitazioni nel paramento'!$G$47*'Sollecitazioni nel paramento'!$G$41*IF(DATI!$G$211="dx",DATI!$E$61,DATI!$E$64*DATI!$E$63)*1000*C2330^2*sezione!$AD$5*(1-sezione!$AD$6)</f>
        <v>-55979549.683752999</v>
      </c>
      <c r="E2330" s="545">
        <f>-'Foglio deposito bis'!$F$88*(C2330-sezione!$AL$36)*IF(ABS(K2330)&lt;'Sollecitazioni nel paramento'!$G$58,ABS(K2330)*'Sollecitazioni nel paramento'!$G$54,'Sollecitazioni nel paramento'!$G$53)</f>
        <v>0</v>
      </c>
      <c r="F2330" s="545">
        <f>-'Foglio deposito bis'!$F$89*(C2330-sezione!$AM$36)*IF(ABS(L2330)&lt;'Sollecitazioni nel paramento'!$G$58,ABS(L2330)*'Sollecitazioni nel paramento'!$G$54,'Sollecitazioni nel paramento'!$G$53)</f>
        <v>546471.87121595663</v>
      </c>
      <c r="G2330" s="545">
        <f>-'Foglio deposito bis'!$F$90*(C2330-sezione!$AN$36)*IF(ABS(M2330)&lt;'Sollecitazioni nel paramento'!$G$58,ABS(M2330)*'Sollecitazioni nel paramento'!$G$54,'Sollecitazioni nel paramento'!$G$53)</f>
        <v>0</v>
      </c>
      <c r="H2330" s="545">
        <f>-'Foglio deposito bis'!$F$91*(C2330-sezione!$AO$36)*IF(ABS(N2330)&lt;'Sollecitazioni nel paramento'!$G$58,ABS(N2330)*'Sollecitazioni nel paramento'!$G$54,'Sollecitazioni nel paramento'!$G$53)</f>
        <v>98030054.329629719</v>
      </c>
      <c r="I2330" s="472">
        <f>-'Foglio deposito bis'!$F$92*(C2330-sezione!$AP$36)*IF(ABS(O2330)&lt;'Sollecitazioni nel paramento'!$G$58,ABS(O2330)*'Sollecitazioni nel paramento'!$G$54,'Sollecitazioni nel paramento'!$G$53)</f>
        <v>1175087692.8805439</v>
      </c>
      <c r="J2330" s="472">
        <f t="shared" si="161"/>
        <v>1217684669.3976367</v>
      </c>
      <c r="K2330" s="550">
        <f>'Sollecitazioni nel paramento'!$G$60*(sezione!$AL$36-C2330)/C2330</f>
        <v>-7.0896586582116388E-4</v>
      </c>
      <c r="L2330" s="550">
        <f>'Sollecitazioni nel paramento'!$G$60*(sezione!$AM$36-C2330)/C2330</f>
        <v>6.8655120126825421E-4</v>
      </c>
      <c r="M2330" s="551">
        <f>'Sollecitazioni nel paramento'!$G$60*(sezione!$AN$36-C2330)/C2330</f>
        <v>2.0820682683576723E-3</v>
      </c>
      <c r="N2330" s="551">
        <f>'Sollecitazioni nel paramento'!$G$60*(sezione!$AO$36-C2330)/C2330</f>
        <v>7.6641365367153451E-3</v>
      </c>
      <c r="O2330" s="551">
        <f>'Sollecitazioni nel paramento'!$G$60*(sezione!$AP$36-C2330)/C2330</f>
        <v>4.9332621779799725E-2</v>
      </c>
      <c r="P2330" s="545">
        <f>-'Sollecitazioni nel paramento'!$G$47*'Sollecitazioni nel paramento'!$G$41*IF(DATI!$G$211="dx",DATI!$E$61,DATI!$E$64*DATI!$E$63)*1000*C2330*sezione!$AD$5</f>
        <v>-1910969.1044925959</v>
      </c>
      <c r="Q2330" s="545">
        <f>'Foglio deposito bis'!$F$88*IF(ABS(K2330)&lt;'Sollecitazioni nel paramento'!$G$58,ABS(K2330)*'Sollecitazioni nel paramento'!$G$54,'Sollecitazioni nel paramento'!$G$53)*IF(K2330&lt;0,-1,1)</f>
        <v>0</v>
      </c>
      <c r="R2330" s="545">
        <f>'Foglio deposito bis'!$F$89*IF(ABS(L2330)&lt;'Sollecitazioni nel paramento'!$G$58,ABS(L2330)*'Sollecitazioni nel paramento'!$G$54,'Sollecitazioni nel paramento'!$G$53)*IF(L2330&lt;0,-1,1)</f>
        <v>55539.253413103062</v>
      </c>
      <c r="S2330" s="545">
        <f>'Foglio deposito bis'!$F$90*IF(ABS(M2330)&lt;'Sollecitazioni nel paramento'!$G$58,ABS(M2330)*'Sollecitazioni nel paramento'!$G$54,'Sollecitazioni nel paramento'!$G$53)*IF(M2330&lt;0,-1,1)</f>
        <v>0</v>
      </c>
      <c r="T2330" s="545">
        <f>'Foglio deposito bis'!$F$91*IF(ABS(N2330)&lt;'Sollecitazioni nel paramento'!$G$58,ABS(N2330)*'Sollecitazioni nel paramento'!$G$54,'Sollecitazioni nel paramento'!$G$53)*IF(N2330&lt;0,-1,1)</f>
        <v>892485.49558937876</v>
      </c>
      <c r="U2330" s="545">
        <f>'Foglio deposito bis'!$F$92*IF(ABS(O2330)&lt;'Sollecitazioni nel paramento'!$G$58,ABS(O2330)*'Sollecitazioni nel paramento'!$G$54,'Sollecitazioni nel paramento'!$G$53)*IF(O2330&lt;0,-1,1)</f>
        <v>1662039.1047339395</v>
      </c>
      <c r="V2330" s="472">
        <f t="shared" si="163"/>
        <v>699094.74924382544</v>
      </c>
      <c r="W2330" s="551"/>
      <c r="X2330" s="551"/>
    </row>
    <row r="2331" spans="1:24" x14ac:dyDescent="0.25">
      <c r="A2331" s="545">
        <f t="shared" si="162"/>
        <v>674943.76572576677</v>
      </c>
      <c r="B2331" s="3">
        <f t="shared" si="164"/>
        <v>4.6999999999999913</v>
      </c>
      <c r="C2331" s="545">
        <f>'Foglio deposito bis'!$E$162/sezione!$B$247*B2331</f>
        <v>50.699980559613977</v>
      </c>
      <c r="D2331" s="603">
        <f>-'Sollecitazioni nel paramento'!$G$47*'Sollecitazioni nel paramento'!$G$41*IF(DATI!$G$211="dx",DATI!$E$61,DATI!$E$64*DATI!$E$63)*1000*C2331^2*sezione!$AD$5*(1-sezione!$AD$6)</f>
        <v>-57189883.339766614</v>
      </c>
      <c r="E2331" s="545">
        <f>-'Foglio deposito bis'!$F$88*(C2331-sezione!$AL$36)*IF(ABS(K2331)&lt;'Sollecitazioni nel paramento'!$G$58,ABS(K2331)*'Sollecitazioni nel paramento'!$G$54,'Sollecitazioni nel paramento'!$G$53)</f>
        <v>0</v>
      </c>
      <c r="F2331" s="545">
        <f>-'Foglio deposito bis'!$F$89*(C2331-sezione!$AM$36)*IF(ABS(L2331)&lt;'Sollecitazioni nel paramento'!$G$58,ABS(L2331)*'Sollecitazioni nel paramento'!$G$54,'Sollecitazioni nel paramento'!$G$53)</f>
        <v>483008.83013537677</v>
      </c>
      <c r="G2331" s="545">
        <f>-'Foglio deposito bis'!$F$90*(C2331-sezione!$AN$36)*IF(ABS(M2331)&lt;'Sollecitazioni nel paramento'!$G$58,ABS(M2331)*'Sollecitazioni nel paramento'!$G$54,'Sollecitazioni nel paramento'!$G$53)</f>
        <v>0</v>
      </c>
      <c r="H2331" s="545">
        <f>-'Foglio deposito bis'!$F$91*(C2331-sezione!$AO$36)*IF(ABS(N2331)&lt;'Sollecitazioni nel paramento'!$G$58,ABS(N2331)*'Sollecitazioni nel paramento'!$G$54,'Sollecitazioni nel paramento'!$G$53)</f>
        <v>97548682.018181652</v>
      </c>
      <c r="I2331" s="472">
        <f>-'Foglio deposito bis'!$F$92*(C2331-sezione!$AP$36)*IF(ABS(O2331)&lt;'Sollecitazioni nel paramento'!$G$58,ABS(O2331)*'Sollecitazioni nel paramento'!$G$54,'Sollecitazioni nel paramento'!$G$53)</f>
        <v>1174191252.9837425</v>
      </c>
      <c r="J2331" s="472">
        <f t="shared" si="161"/>
        <v>1215033060.4922929</v>
      </c>
      <c r="K2331" s="550">
        <f>'Sollecitazioni nel paramento'!$G$60*(sezione!$AL$36-C2331)/C2331</f>
        <v>-7.3865771831242797E-4</v>
      </c>
      <c r="L2331" s="550">
        <f>'Sollecitazioni nel paramento'!$G$60*(sezione!$AM$36-C2331)/C2331</f>
        <v>6.4201342253135797E-4</v>
      </c>
      <c r="M2331" s="551">
        <f>'Sollecitazioni nel paramento'!$G$60*(sezione!$AN$36-C2331)/C2331</f>
        <v>2.0226845633751441E-3</v>
      </c>
      <c r="N2331" s="551">
        <f>'Sollecitazioni nel paramento'!$G$60*(sezione!$AO$36-C2331)/C2331</f>
        <v>7.5453691267502888E-3</v>
      </c>
      <c r="O2331" s="551">
        <f>'Sollecitazioni nel paramento'!$G$60*(sezione!$AP$36-C2331)/C2331</f>
        <v>4.8770572611929512E-2</v>
      </c>
      <c r="P2331" s="545">
        <f>-'Sollecitazioni nel paramento'!$G$47*'Sollecitazioni nel paramento'!$G$41*IF(DATI!$G$211="dx",DATI!$E$61,DATI!$E$64*DATI!$E$63)*1000*C2331*sezione!$AD$5</f>
        <v>-1931517.1593796134</v>
      </c>
      <c r="Q2331" s="545">
        <f>'Foglio deposito bis'!$F$88*IF(ABS(K2331)&lt;'Sollecitazioni nel paramento'!$G$58,ABS(K2331)*'Sollecitazioni nel paramento'!$G$54,'Sollecitazioni nel paramento'!$G$53)*IF(K2331&lt;0,-1,1)</f>
        <v>0</v>
      </c>
      <c r="R2331" s="545">
        <f>'Foglio deposito bis'!$F$89*IF(ABS(L2331)&lt;'Sollecitazioni nel paramento'!$G$58,ABS(L2331)*'Sollecitazioni nel paramento'!$G$54,'Sollecitazioni nel paramento'!$G$53)*IF(L2331&lt;0,-1,1)</f>
        <v>51936.324782061762</v>
      </c>
      <c r="S2331" s="545">
        <f>'Foglio deposito bis'!$F$90*IF(ABS(M2331)&lt;'Sollecitazioni nel paramento'!$G$58,ABS(M2331)*'Sollecitazioni nel paramento'!$G$54,'Sollecitazioni nel paramento'!$G$53)*IF(M2331&lt;0,-1,1)</f>
        <v>0</v>
      </c>
      <c r="T2331" s="545">
        <f>'Foglio deposito bis'!$F$91*IF(ABS(N2331)&lt;'Sollecitazioni nel paramento'!$G$58,ABS(N2331)*'Sollecitazioni nel paramento'!$G$54,'Sollecitazioni nel paramento'!$G$53)*IF(N2331&lt;0,-1,1)</f>
        <v>892485.49558937876</v>
      </c>
      <c r="U2331" s="545">
        <f>'Foglio deposito bis'!$F$92*IF(ABS(O2331)&lt;'Sollecitazioni nel paramento'!$G$58,ABS(O2331)*'Sollecitazioni nel paramento'!$G$54,'Sollecitazioni nel paramento'!$G$53)*IF(O2331&lt;0,-1,1)</f>
        <v>1662039.1047339395</v>
      </c>
      <c r="V2331" s="472">
        <f t="shared" si="163"/>
        <v>674943.76572576677</v>
      </c>
      <c r="W2331" s="551"/>
      <c r="X2331" s="551"/>
    </row>
    <row r="2332" spans="1:24" x14ac:dyDescent="0.25">
      <c r="A2332" s="545">
        <f t="shared" si="162"/>
        <v>650868.63333678269</v>
      </c>
      <c r="B2332" s="3">
        <f t="shared" si="164"/>
        <v>4.7499999999999911</v>
      </c>
      <c r="C2332" s="545">
        <f>'Foglio deposito bis'!$E$162/sezione!$B$247*B2332</f>
        <v>51.239342054929018</v>
      </c>
      <c r="D2332" s="603">
        <f>-'Sollecitazioni nel paramento'!$G$47*'Sollecitazioni nel paramento'!$G$41*IF(DATI!$G$211="dx",DATI!$E$61,DATI!$E$64*DATI!$E$63)*1000*C2332^2*sezione!$AD$5*(1-sezione!$AD$6)</f>
        <v>-58413161.740764335</v>
      </c>
      <c r="E2332" s="545">
        <f>-'Foglio deposito bis'!$F$88*(C2332-sezione!$AL$36)*IF(ABS(K2332)&lt;'Sollecitazioni nel paramento'!$G$58,ABS(K2332)*'Sollecitazioni nel paramento'!$G$54,'Sollecitazioni nel paramento'!$G$53)</f>
        <v>0</v>
      </c>
      <c r="F2332" s="545">
        <f>-'Foglio deposito bis'!$F$89*(C2332-sezione!$AM$36)*IF(ABS(L2332)&lt;'Sollecitazioni nel paramento'!$G$58,ABS(L2332)*'Sollecitazioni nel paramento'!$G$54,'Sollecitazioni nel paramento'!$G$53)</f>
        <v>424096.8567992702</v>
      </c>
      <c r="G2332" s="545">
        <f>-'Foglio deposito bis'!$F$90*(C2332-sezione!$AN$36)*IF(ABS(M2332)&lt;'Sollecitazioni nel paramento'!$G$58,ABS(M2332)*'Sollecitazioni nel paramento'!$G$54,'Sollecitazioni nel paramento'!$G$53)</f>
        <v>0</v>
      </c>
      <c r="H2332" s="545">
        <f>-'Foglio deposito bis'!$F$91*(C2332-sezione!$AO$36)*IF(ABS(N2332)&lt;'Sollecitazioni nel paramento'!$G$58,ABS(N2332)*'Sollecitazioni nel paramento'!$G$54,'Sollecitazioni nel paramento'!$G$53)</f>
        <v>97067309.706733584</v>
      </c>
      <c r="I2332" s="472">
        <f>-'Foglio deposito bis'!$F$92*(C2332-sezione!$AP$36)*IF(ABS(O2332)&lt;'Sollecitazioni nel paramento'!$G$58,ABS(O2332)*'Sollecitazioni nel paramento'!$G$54,'Sollecitazioni nel paramento'!$G$53)</f>
        <v>1173294813.086941</v>
      </c>
      <c r="J2332" s="472">
        <f t="shared" si="161"/>
        <v>1212373057.9097095</v>
      </c>
      <c r="K2332" s="550">
        <f>'Sollecitazioni nel paramento'!$G$60*(sezione!$AL$36-C2332)/C2332</f>
        <v>-7.6772447917229723E-4</v>
      </c>
      <c r="L2332" s="550">
        <f>'Sollecitazioni nel paramento'!$G$60*(sezione!$AM$36-C2332)/C2332</f>
        <v>5.9841328124155425E-4</v>
      </c>
      <c r="M2332" s="551">
        <f>'Sollecitazioni nel paramento'!$G$60*(sezione!$AN$36-C2332)/C2332</f>
        <v>1.9645510416554054E-3</v>
      </c>
      <c r="N2332" s="551">
        <f>'Sollecitazioni nel paramento'!$G$60*(sezione!$AO$36-C2332)/C2332</f>
        <v>7.4291020833108122E-3</v>
      </c>
      <c r="O2332" s="551">
        <f>'Sollecitazioni nel paramento'!$G$60*(sezione!$AP$36-C2332)/C2332</f>
        <v>4.822035605811973E-2</v>
      </c>
      <c r="P2332" s="545">
        <f>-'Sollecitazioni nel paramento'!$G$47*'Sollecitazioni nel paramento'!$G$41*IF(DATI!$G$211="dx",DATI!$E$61,DATI!$E$64*DATI!$E$63)*1000*C2332*sezione!$AD$5</f>
        <v>-1952065.2142666306</v>
      </c>
      <c r="Q2332" s="545">
        <f>'Foglio deposito bis'!$F$88*IF(ABS(K2332)&lt;'Sollecitazioni nel paramento'!$G$58,ABS(K2332)*'Sollecitazioni nel paramento'!$G$54,'Sollecitazioni nel paramento'!$G$53)*IF(K2332&lt;0,-1,1)</f>
        <v>0</v>
      </c>
      <c r="R2332" s="545">
        <f>'Foglio deposito bis'!$F$89*IF(ABS(L2332)&lt;'Sollecitazioni nel paramento'!$G$58,ABS(L2332)*'Sollecitazioni nel paramento'!$G$54,'Sollecitazioni nel paramento'!$G$53)*IF(L2332&lt;0,-1,1)</f>
        <v>48409.247280095013</v>
      </c>
      <c r="S2332" s="545">
        <f>'Foglio deposito bis'!$F$90*IF(ABS(M2332)&lt;'Sollecitazioni nel paramento'!$G$58,ABS(M2332)*'Sollecitazioni nel paramento'!$G$54,'Sollecitazioni nel paramento'!$G$53)*IF(M2332&lt;0,-1,1)</f>
        <v>0</v>
      </c>
      <c r="T2332" s="545">
        <f>'Foglio deposito bis'!$F$91*IF(ABS(N2332)&lt;'Sollecitazioni nel paramento'!$G$58,ABS(N2332)*'Sollecitazioni nel paramento'!$G$54,'Sollecitazioni nel paramento'!$G$53)*IF(N2332&lt;0,-1,1)</f>
        <v>892485.49558937876</v>
      </c>
      <c r="U2332" s="545">
        <f>'Foglio deposito bis'!$F$92*IF(ABS(O2332)&lt;'Sollecitazioni nel paramento'!$G$58,ABS(O2332)*'Sollecitazioni nel paramento'!$G$54,'Sollecitazioni nel paramento'!$G$53)*IF(O2332&lt;0,-1,1)</f>
        <v>1662039.1047339395</v>
      </c>
      <c r="V2332" s="472">
        <f t="shared" si="163"/>
        <v>650868.63333678269</v>
      </c>
      <c r="W2332" s="551"/>
      <c r="X2332" s="551"/>
    </row>
    <row r="2333" spans="1:24" x14ac:dyDescent="0.25">
      <c r="A2333" s="545">
        <f t="shared" si="162"/>
        <v>626866.98172909021</v>
      </c>
      <c r="B2333" s="3">
        <f t="shared" si="164"/>
        <v>4.7999999999999909</v>
      </c>
      <c r="C2333" s="545">
        <f>'Foglio deposito bis'!$E$162/sezione!$B$247*B2333</f>
        <v>51.778703550244053</v>
      </c>
      <c r="D2333" s="603">
        <f>-'Sollecitazioni nel paramento'!$G$47*'Sollecitazioni nel paramento'!$G$41*IF(DATI!$G$211="dx",DATI!$E$61,DATI!$E$64*DATI!$E$63)*1000*C2333^2*sezione!$AD$5*(1-sezione!$AD$6)</f>
        <v>-59649384.886746146</v>
      </c>
      <c r="E2333" s="545">
        <f>-'Foglio deposito bis'!$F$88*(C2333-sezione!$AL$36)*IF(ABS(K2333)&lt;'Sollecitazioni nel paramento'!$G$58,ABS(K2333)*'Sollecitazioni nel paramento'!$G$54,'Sollecitazioni nel paramento'!$G$53)</f>
        <v>0</v>
      </c>
      <c r="F2333" s="545">
        <f>-'Foglio deposito bis'!$F$89*(C2333-sezione!$AM$36)*IF(ABS(L2333)&lt;'Sollecitazioni nel paramento'!$G$58,ABS(L2333)*'Sollecitazioni nel paramento'!$G$54,'Sollecitazioni nel paramento'!$G$53)</f>
        <v>369593.73034062266</v>
      </c>
      <c r="G2333" s="545">
        <f>-'Foglio deposito bis'!$F$90*(C2333-sezione!$AN$36)*IF(ABS(M2333)&lt;'Sollecitazioni nel paramento'!$G$58,ABS(M2333)*'Sollecitazioni nel paramento'!$G$54,'Sollecitazioni nel paramento'!$G$53)</f>
        <v>0</v>
      </c>
      <c r="H2333" s="545">
        <f>-'Foglio deposito bis'!$F$91*(C2333-sezione!$AO$36)*IF(ABS(N2333)&lt;'Sollecitazioni nel paramento'!$G$58,ABS(N2333)*'Sollecitazioni nel paramento'!$G$54,'Sollecitazioni nel paramento'!$G$53)</f>
        <v>96585937.395285532</v>
      </c>
      <c r="I2333" s="472">
        <f>-'Foglio deposito bis'!$F$92*(C2333-sezione!$AP$36)*IF(ABS(O2333)&lt;'Sollecitazioni nel paramento'!$G$58,ABS(O2333)*'Sollecitazioni nel paramento'!$G$54,'Sollecitazioni nel paramento'!$G$53)</f>
        <v>1172398373.1901398</v>
      </c>
      <c r="J2333" s="472">
        <f t="shared" si="161"/>
        <v>1209704519.4290197</v>
      </c>
      <c r="K2333" s="550">
        <f>'Sollecitazioni nel paramento'!$G$60*(sezione!$AL$36-C2333)/C2333</f>
        <v>-7.9618568251425207E-4</v>
      </c>
      <c r="L2333" s="550">
        <f>'Sollecitazioni nel paramento'!$G$60*(sezione!$AM$36-C2333)/C2333</f>
        <v>5.5572147622862198E-4</v>
      </c>
      <c r="M2333" s="551">
        <f>'Sollecitazioni nel paramento'!$G$60*(sezione!$AN$36-C2333)/C2333</f>
        <v>1.9076286349714959E-3</v>
      </c>
      <c r="N2333" s="551">
        <f>'Sollecitazioni nel paramento'!$G$60*(sezione!$AO$36-C2333)/C2333</f>
        <v>7.3152572699429928E-3</v>
      </c>
      <c r="O2333" s="551">
        <f>'Sollecitazioni nel paramento'!$G$60*(sezione!$AP$36-C2333)/C2333</f>
        <v>4.7681602349181E-2</v>
      </c>
      <c r="P2333" s="545">
        <f>-'Sollecitazioni nel paramento'!$G$47*'Sollecitazioni nel paramento'!$G$41*IF(DATI!$G$211="dx",DATI!$E$61,DATI!$E$64*DATI!$E$63)*1000*C2333*sezione!$AD$5</f>
        <v>-1972613.2691536474</v>
      </c>
      <c r="Q2333" s="545">
        <f>'Foglio deposito bis'!$F$88*IF(ABS(K2333)&lt;'Sollecitazioni nel paramento'!$G$58,ABS(K2333)*'Sollecitazioni nel paramento'!$G$54,'Sollecitazioni nel paramento'!$G$53)*IF(K2333&lt;0,-1,1)</f>
        <v>0</v>
      </c>
      <c r="R2333" s="545">
        <f>'Foglio deposito bis'!$F$89*IF(ABS(L2333)&lt;'Sollecitazioni nel paramento'!$G$58,ABS(L2333)*'Sollecitazioni nel paramento'!$G$54,'Sollecitazioni nel paramento'!$G$53)*IF(L2333&lt;0,-1,1)</f>
        <v>44955.650559419271</v>
      </c>
      <c r="S2333" s="545">
        <f>'Foglio deposito bis'!$F$90*IF(ABS(M2333)&lt;'Sollecitazioni nel paramento'!$G$58,ABS(M2333)*'Sollecitazioni nel paramento'!$G$54,'Sollecitazioni nel paramento'!$G$53)*IF(M2333&lt;0,-1,1)</f>
        <v>0</v>
      </c>
      <c r="T2333" s="545">
        <f>'Foglio deposito bis'!$F$91*IF(ABS(N2333)&lt;'Sollecitazioni nel paramento'!$G$58,ABS(N2333)*'Sollecitazioni nel paramento'!$G$54,'Sollecitazioni nel paramento'!$G$53)*IF(N2333&lt;0,-1,1)</f>
        <v>892485.49558937876</v>
      </c>
      <c r="U2333" s="545">
        <f>'Foglio deposito bis'!$F$92*IF(ABS(O2333)&lt;'Sollecitazioni nel paramento'!$G$58,ABS(O2333)*'Sollecitazioni nel paramento'!$G$54,'Sollecitazioni nel paramento'!$G$53)*IF(O2333&lt;0,-1,1)</f>
        <v>1662039.1047339395</v>
      </c>
      <c r="V2333" s="472">
        <f t="shared" si="163"/>
        <v>626866.98172909021</v>
      </c>
      <c r="W2333" s="551"/>
      <c r="X2333" s="551"/>
    </row>
    <row r="2334" spans="1:24" x14ac:dyDescent="0.25">
      <c r="A2334" s="545">
        <f t="shared" si="162"/>
        <v>602936.53830120503</v>
      </c>
      <c r="B2334" s="3">
        <f t="shared" si="164"/>
        <v>4.8499999999999908</v>
      </c>
      <c r="C2334" s="545">
        <f>'Foglio deposito bis'!$E$162/sezione!$B$247*B2334</f>
        <v>52.318065045559095</v>
      </c>
      <c r="D2334" s="603">
        <f>-'Sollecitazioni nel paramento'!$G$47*'Sollecitazioni nel paramento'!$G$41*IF(DATI!$G$211="dx",DATI!$E$61,DATI!$E$64*DATI!$E$63)*1000*C2334^2*sezione!$AD$5*(1-sezione!$AD$6)</f>
        <v>-60898552.777712084</v>
      </c>
      <c r="E2334" s="545">
        <f>-'Foglio deposito bis'!$F$88*(C2334-sezione!$AL$36)*IF(ABS(K2334)&lt;'Sollecitazioni nel paramento'!$G$58,ABS(K2334)*'Sollecitazioni nel paramento'!$G$54,'Sollecitazioni nel paramento'!$G$53)</f>
        <v>0</v>
      </c>
      <c r="F2334" s="545">
        <f>-'Foglio deposito bis'!$F$89*(C2334-sezione!$AM$36)*IF(ABS(L2334)&lt;'Sollecitazioni nel paramento'!$G$58,ABS(L2334)*'Sollecitazioni nel paramento'!$G$54,'Sollecitazioni nel paramento'!$G$53)</f>
        <v>319363.09467043931</v>
      </c>
      <c r="G2334" s="545">
        <f>-'Foglio deposito bis'!$F$90*(C2334-sezione!$AN$36)*IF(ABS(M2334)&lt;'Sollecitazioni nel paramento'!$G$58,ABS(M2334)*'Sollecitazioni nel paramento'!$G$54,'Sollecitazioni nel paramento'!$G$53)</f>
        <v>0</v>
      </c>
      <c r="H2334" s="545">
        <f>-'Foglio deposito bis'!$F$91*(C2334-sezione!$AO$36)*IF(ABS(N2334)&lt;'Sollecitazioni nel paramento'!$G$58,ABS(N2334)*'Sollecitazioni nel paramento'!$G$54,'Sollecitazioni nel paramento'!$G$53)</f>
        <v>96104565.08383745</v>
      </c>
      <c r="I2334" s="472">
        <f>-'Foglio deposito bis'!$F$92*(C2334-sezione!$AP$36)*IF(ABS(O2334)&lt;'Sollecitazioni nel paramento'!$G$58,ABS(O2334)*'Sollecitazioni nel paramento'!$G$54,'Sollecitazioni nel paramento'!$G$53)</f>
        <v>1171501933.2933383</v>
      </c>
      <c r="J2334" s="472">
        <f t="shared" si="161"/>
        <v>1207027308.694134</v>
      </c>
      <c r="K2334" s="550">
        <f>'Sollecitazioni nel paramento'!$G$60*(sezione!$AL$36-C2334)/C2334</f>
        <v>-8.2406005692132155E-4</v>
      </c>
      <c r="L2334" s="550">
        <f>'Sollecitazioni nel paramento'!$G$60*(sezione!$AM$36-C2334)/C2334</f>
        <v>5.1390991461801772E-4</v>
      </c>
      <c r="M2334" s="551">
        <f>'Sollecitazioni nel paramento'!$G$60*(sezione!$AN$36-C2334)/C2334</f>
        <v>1.851879886157357E-3</v>
      </c>
      <c r="N2334" s="551">
        <f>'Sollecitazioni nel paramento'!$G$60*(sezione!$AO$36-C2334)/C2334</f>
        <v>7.2037597723147145E-3</v>
      </c>
      <c r="O2334" s="551">
        <f>'Sollecitazioni nel paramento'!$G$60*(sezione!$AP$36-C2334)/C2334</f>
        <v>4.7153956964137884E-2</v>
      </c>
      <c r="P2334" s="545">
        <f>-'Sollecitazioni nel paramento'!$G$47*'Sollecitazioni nel paramento'!$G$41*IF(DATI!$G$211="dx",DATI!$E$61,DATI!$E$64*DATI!$E$63)*1000*C2334*sezione!$AD$5</f>
        <v>-1993161.3240406646</v>
      </c>
      <c r="Q2334" s="545">
        <f>'Foglio deposito bis'!$F$88*IF(ABS(K2334)&lt;'Sollecitazioni nel paramento'!$G$58,ABS(K2334)*'Sollecitazioni nel paramento'!$G$54,'Sollecitazioni nel paramento'!$G$53)*IF(K2334&lt;0,-1,1)</f>
        <v>0</v>
      </c>
      <c r="R2334" s="545">
        <f>'Foglio deposito bis'!$F$89*IF(ABS(L2334)&lt;'Sollecitazioni nel paramento'!$G$58,ABS(L2334)*'Sollecitazioni nel paramento'!$G$54,'Sollecitazioni nel paramento'!$G$53)*IF(L2334&lt;0,-1,1)</f>
        <v>41573.262018551242</v>
      </c>
      <c r="S2334" s="545">
        <f>'Foglio deposito bis'!$F$90*IF(ABS(M2334)&lt;'Sollecitazioni nel paramento'!$G$58,ABS(M2334)*'Sollecitazioni nel paramento'!$G$54,'Sollecitazioni nel paramento'!$G$53)*IF(M2334&lt;0,-1,1)</f>
        <v>0</v>
      </c>
      <c r="T2334" s="545">
        <f>'Foglio deposito bis'!$F$91*IF(ABS(N2334)&lt;'Sollecitazioni nel paramento'!$G$58,ABS(N2334)*'Sollecitazioni nel paramento'!$G$54,'Sollecitazioni nel paramento'!$G$53)*IF(N2334&lt;0,-1,1)</f>
        <v>892485.49558937876</v>
      </c>
      <c r="U2334" s="545">
        <f>'Foglio deposito bis'!$F$92*IF(ABS(O2334)&lt;'Sollecitazioni nel paramento'!$G$58,ABS(O2334)*'Sollecitazioni nel paramento'!$G$54,'Sollecitazioni nel paramento'!$G$53)*IF(O2334&lt;0,-1,1)</f>
        <v>1662039.1047339395</v>
      </c>
      <c r="V2334" s="472">
        <f t="shared" si="163"/>
        <v>602936.53830120503</v>
      </c>
      <c r="W2334" s="551"/>
      <c r="X2334" s="551"/>
    </row>
    <row r="2335" spans="1:24" x14ac:dyDescent="0.25">
      <c r="A2335" s="545">
        <f t="shared" si="162"/>
        <v>579075.12321088859</v>
      </c>
      <c r="B2335" s="3">
        <f t="shared" si="164"/>
        <v>4.8999999999999906</v>
      </c>
      <c r="C2335" s="545">
        <f>'Foglio deposito bis'!$E$162/sezione!$B$247*B2335</f>
        <v>52.857426540874137</v>
      </c>
      <c r="D2335" s="603">
        <f>-'Sollecitazioni nel paramento'!$G$47*'Sollecitazioni nel paramento'!$G$41*IF(DATI!$G$211="dx",DATI!$E$61,DATI!$E$64*DATI!$E$63)*1000*C2335^2*sezione!$AD$5*(1-sezione!$AD$6)</f>
        <v>-62160665.413662106</v>
      </c>
      <c r="E2335" s="545">
        <f>-'Foglio deposito bis'!$F$88*(C2335-sezione!$AL$36)*IF(ABS(K2335)&lt;'Sollecitazioni nel paramento'!$G$58,ABS(K2335)*'Sollecitazioni nel paramento'!$G$54,'Sollecitazioni nel paramento'!$G$53)</f>
        <v>0</v>
      </c>
      <c r="F2335" s="545">
        <f>-'Foglio deposito bis'!$F$89*(C2335-sezione!$AM$36)*IF(ABS(L2335)&lt;'Sollecitazioni nel paramento'!$G$58,ABS(L2335)*'Sollecitazioni nel paramento'!$G$54,'Sollecitazioni nel paramento'!$G$53)</f>
        <v>273274.15925438004</v>
      </c>
      <c r="G2335" s="545">
        <f>-'Foglio deposito bis'!$F$90*(C2335-sezione!$AN$36)*IF(ABS(M2335)&lt;'Sollecitazioni nel paramento'!$G$58,ABS(M2335)*'Sollecitazioni nel paramento'!$G$54,'Sollecitazioni nel paramento'!$G$53)</f>
        <v>0</v>
      </c>
      <c r="H2335" s="545">
        <f>-'Foglio deposito bis'!$F$91*(C2335-sezione!$AO$36)*IF(ABS(N2335)&lt;'Sollecitazioni nel paramento'!$G$58,ABS(N2335)*'Sollecitazioni nel paramento'!$G$54,'Sollecitazioni nel paramento'!$G$53)</f>
        <v>95623192.772389352</v>
      </c>
      <c r="I2335" s="472">
        <f>-'Foglio deposito bis'!$F$92*(C2335-sezione!$AP$36)*IF(ABS(O2335)&lt;'Sollecitazioni nel paramento'!$G$58,ABS(O2335)*'Sollecitazioni nel paramento'!$G$54,'Sollecitazioni nel paramento'!$G$53)</f>
        <v>1170605493.3965371</v>
      </c>
      <c r="J2335" s="472">
        <f t="shared" si="161"/>
        <v>1204341294.9145186</v>
      </c>
      <c r="K2335" s="550">
        <f>'Sollecitazioni nel paramento'!$G$60*(sezione!$AL$36-C2335)/C2335</f>
        <v>-8.5136556654457339E-4</v>
      </c>
      <c r="L2335" s="550">
        <f>'Sollecitazioni nel paramento'!$G$60*(sezione!$AM$36-C2335)/C2335</f>
        <v>4.7295165018313996E-4</v>
      </c>
      <c r="M2335" s="551">
        <f>'Sollecitazioni nel paramento'!$G$60*(sezione!$AN$36-C2335)/C2335</f>
        <v>1.7972688669108533E-3</v>
      </c>
      <c r="N2335" s="551">
        <f>'Sollecitazioni nel paramento'!$G$60*(sezione!$AO$36-C2335)/C2335</f>
        <v>7.0945377338217062E-3</v>
      </c>
      <c r="O2335" s="551">
        <f>'Sollecitazioni nel paramento'!$G$60*(sezione!$AP$36-C2335)/C2335</f>
        <v>4.6637079852258928E-2</v>
      </c>
      <c r="P2335" s="545">
        <f>-'Sollecitazioni nel paramento'!$G$47*'Sollecitazioni nel paramento'!$G$41*IF(DATI!$G$211="dx",DATI!$E$61,DATI!$E$64*DATI!$E$63)*1000*C2335*sezione!$AD$5</f>
        <v>-2013709.3789276816</v>
      </c>
      <c r="Q2335" s="545">
        <f>'Foglio deposito bis'!$F$88*IF(ABS(K2335)&lt;'Sollecitazioni nel paramento'!$G$58,ABS(K2335)*'Sollecitazioni nel paramento'!$G$54,'Sollecitazioni nel paramento'!$G$53)*IF(K2335&lt;0,-1,1)</f>
        <v>0</v>
      </c>
      <c r="R2335" s="545">
        <f>'Foglio deposito bis'!$F$89*IF(ABS(L2335)&lt;'Sollecitazioni nel paramento'!$G$58,ABS(L2335)*'Sollecitazioni nel paramento'!$G$54,'Sollecitazioni nel paramento'!$G$53)*IF(L2335&lt;0,-1,1)</f>
        <v>38259.901815251949</v>
      </c>
      <c r="S2335" s="545">
        <f>'Foglio deposito bis'!$F$90*IF(ABS(M2335)&lt;'Sollecitazioni nel paramento'!$G$58,ABS(M2335)*'Sollecitazioni nel paramento'!$G$54,'Sollecitazioni nel paramento'!$G$53)*IF(M2335&lt;0,-1,1)</f>
        <v>0</v>
      </c>
      <c r="T2335" s="545">
        <f>'Foglio deposito bis'!$F$91*IF(ABS(N2335)&lt;'Sollecitazioni nel paramento'!$G$58,ABS(N2335)*'Sollecitazioni nel paramento'!$G$54,'Sollecitazioni nel paramento'!$G$53)*IF(N2335&lt;0,-1,1)</f>
        <v>892485.49558937876</v>
      </c>
      <c r="U2335" s="545">
        <f>'Foglio deposito bis'!$F$92*IF(ABS(O2335)&lt;'Sollecitazioni nel paramento'!$G$58,ABS(O2335)*'Sollecitazioni nel paramento'!$G$54,'Sollecitazioni nel paramento'!$G$53)*IF(O2335&lt;0,-1,1)</f>
        <v>1662039.1047339395</v>
      </c>
      <c r="V2335" s="472">
        <f t="shared" si="163"/>
        <v>579075.12321088859</v>
      </c>
      <c r="W2335" s="551"/>
      <c r="X2335" s="551"/>
    </row>
    <row r="2336" spans="1:24" x14ac:dyDescent="0.25">
      <c r="A2336" s="545">
        <f t="shared" si="162"/>
        <v>555280.64469033573</v>
      </c>
      <c r="B2336" s="3">
        <f t="shared" si="164"/>
        <v>4.9499999999999904</v>
      </c>
      <c r="C2336" s="545">
        <f>'Foglio deposito bis'!$E$162/sezione!$B$247*B2336</f>
        <v>53.396788036189179</v>
      </c>
      <c r="D2336" s="603">
        <f>-'Sollecitazioni nel paramento'!$G$47*'Sollecitazioni nel paramento'!$G$41*IF(DATI!$G$211="dx",DATI!$E$61,DATI!$E$64*DATI!$E$63)*1000*C2336^2*sezione!$AD$5*(1-sezione!$AD$6)</f>
        <v>-63435722.79459624</v>
      </c>
      <c r="E2336" s="545">
        <f>-'Foglio deposito bis'!$F$88*(C2336-sezione!$AL$36)*IF(ABS(K2336)&lt;'Sollecitazioni nel paramento'!$G$58,ABS(K2336)*'Sollecitazioni nel paramento'!$G$54,'Sollecitazioni nel paramento'!$G$53)</f>
        <v>0</v>
      </c>
      <c r="F2336" s="545">
        <f>-'Foglio deposito bis'!$F$89*(C2336-sezione!$AM$36)*IF(ABS(L2336)&lt;'Sollecitazioni nel paramento'!$G$58,ABS(L2336)*'Sollecitazioni nel paramento'!$G$54,'Sollecitazioni nel paramento'!$G$53)</f>
        <v>231201.41802413802</v>
      </c>
      <c r="G2336" s="545">
        <f>-'Foglio deposito bis'!$F$90*(C2336-sezione!$AN$36)*IF(ABS(M2336)&lt;'Sollecitazioni nel paramento'!$G$58,ABS(M2336)*'Sollecitazioni nel paramento'!$G$54,'Sollecitazioni nel paramento'!$G$53)</f>
        <v>0</v>
      </c>
      <c r="H2336" s="545">
        <f>-'Foglio deposito bis'!$F$91*(C2336-sezione!$AO$36)*IF(ABS(N2336)&lt;'Sollecitazioni nel paramento'!$G$58,ABS(N2336)*'Sollecitazioni nel paramento'!$G$54,'Sollecitazioni nel paramento'!$G$53)</f>
        <v>95141820.4609413</v>
      </c>
      <c r="I2336" s="472">
        <f>-'Foglio deposito bis'!$F$92*(C2336-sezione!$AP$36)*IF(ABS(O2336)&lt;'Sollecitazioni nel paramento'!$G$58,ABS(O2336)*'Sollecitazioni nel paramento'!$G$54,'Sollecitazioni nel paramento'!$G$53)</f>
        <v>1169709053.4997356</v>
      </c>
      <c r="J2336" s="472">
        <f t="shared" si="161"/>
        <v>1201646352.5841048</v>
      </c>
      <c r="K2336" s="550">
        <f>'Sollecitazioni nel paramento'!$G$60*(sezione!$AL$36-C2336)/C2336</f>
        <v>-8.7811944971078989E-4</v>
      </c>
      <c r="L2336" s="550">
        <f>'Sollecitazioni nel paramento'!$G$60*(sezione!$AM$36-C2336)/C2336</f>
        <v>4.3282082543381531E-4</v>
      </c>
      <c r="M2336" s="551">
        <f>'Sollecitazioni nel paramento'!$G$60*(sezione!$AN$36-C2336)/C2336</f>
        <v>1.7437611005784203E-3</v>
      </c>
      <c r="N2336" s="551">
        <f>'Sollecitazioni nel paramento'!$G$60*(sezione!$AO$36-C2336)/C2336</f>
        <v>6.9875222011568407E-3</v>
      </c>
      <c r="O2336" s="551">
        <f>'Sollecitazioni nel paramento'!$G$60*(sezione!$AP$36-C2336)/C2336</f>
        <v>4.6130644702236115E-2</v>
      </c>
      <c r="P2336" s="545">
        <f>-'Sollecitazioni nel paramento'!$G$47*'Sollecitazioni nel paramento'!$G$41*IF(DATI!$G$211="dx",DATI!$E$61,DATI!$E$64*DATI!$E$63)*1000*C2336*sezione!$AD$5</f>
        <v>-2034257.4338146988</v>
      </c>
      <c r="Q2336" s="545">
        <f>'Foglio deposito bis'!$F$88*IF(ABS(K2336)&lt;'Sollecitazioni nel paramento'!$G$58,ABS(K2336)*'Sollecitazioni nel paramento'!$G$54,'Sollecitazioni nel paramento'!$G$53)*IF(K2336&lt;0,-1,1)</f>
        <v>0</v>
      </c>
      <c r="R2336" s="545">
        <f>'Foglio deposito bis'!$F$89*IF(ABS(L2336)&lt;'Sollecitazioni nel paramento'!$G$58,ABS(L2336)*'Sollecitazioni nel paramento'!$G$54,'Sollecitazioni nel paramento'!$G$53)*IF(L2336&lt;0,-1,1)</f>
        <v>35013.478181716273</v>
      </c>
      <c r="S2336" s="545">
        <f>'Foglio deposito bis'!$F$90*IF(ABS(M2336)&lt;'Sollecitazioni nel paramento'!$G$58,ABS(M2336)*'Sollecitazioni nel paramento'!$G$54,'Sollecitazioni nel paramento'!$G$53)*IF(M2336&lt;0,-1,1)</f>
        <v>0</v>
      </c>
      <c r="T2336" s="545">
        <f>'Foglio deposito bis'!$F$91*IF(ABS(N2336)&lt;'Sollecitazioni nel paramento'!$G$58,ABS(N2336)*'Sollecitazioni nel paramento'!$G$54,'Sollecitazioni nel paramento'!$G$53)*IF(N2336&lt;0,-1,1)</f>
        <v>892485.49558937876</v>
      </c>
      <c r="U2336" s="545">
        <f>'Foglio deposito bis'!$F$92*IF(ABS(O2336)&lt;'Sollecitazioni nel paramento'!$G$58,ABS(O2336)*'Sollecitazioni nel paramento'!$G$54,'Sollecitazioni nel paramento'!$G$53)*IF(O2336&lt;0,-1,1)</f>
        <v>1662039.1047339395</v>
      </c>
      <c r="V2336" s="472">
        <f t="shared" si="163"/>
        <v>555280.64469033573</v>
      </c>
      <c r="W2336" s="551"/>
      <c r="X2336" s="551"/>
    </row>
    <row r="2337" spans="1:24" x14ac:dyDescent="0.25">
      <c r="A2337" s="545">
        <f t="shared" si="162"/>
        <v>531551.09464245359</v>
      </c>
      <c r="B2337" s="3">
        <f t="shared" si="164"/>
        <v>4.9999999999999902</v>
      </c>
      <c r="C2337" s="545">
        <f>'Foglio deposito bis'!$E$162/sezione!$B$247*B2337</f>
        <v>53.936149531504221</v>
      </c>
      <c r="D2337" s="603">
        <f>-'Sollecitazioni nel paramento'!$G$47*'Sollecitazioni nel paramento'!$G$41*IF(DATI!$G$211="dx",DATI!$E$61,DATI!$E$64*DATI!$E$63)*1000*C2337^2*sezione!$AD$5*(1-sezione!$AD$6)</f>
        <v>-64723724.920514479</v>
      </c>
      <c r="E2337" s="545">
        <f>-'Foglio deposito bis'!$F$88*(C2337-sezione!$AL$36)*IF(ABS(K2337)&lt;'Sollecitazioni nel paramento'!$G$58,ABS(K2337)*'Sollecitazioni nel paramento'!$G$54,'Sollecitazioni nel paramento'!$G$53)</f>
        <v>0</v>
      </c>
      <c r="F2337" s="545">
        <f>-'Foglio deposito bis'!$F$89*(C2337-sezione!$AM$36)*IF(ABS(L2337)&lt;'Sollecitazioni nel paramento'!$G$58,ABS(L2337)*'Sollecitazioni nel paramento'!$G$54,'Sollecitazioni nel paramento'!$G$53)</f>
        <v>193024.38515413887</v>
      </c>
      <c r="G2337" s="545">
        <f>-'Foglio deposito bis'!$F$90*(C2337-sezione!$AN$36)*IF(ABS(M2337)&lt;'Sollecitazioni nel paramento'!$G$58,ABS(M2337)*'Sollecitazioni nel paramento'!$G$54,'Sollecitazioni nel paramento'!$G$53)</f>
        <v>0</v>
      </c>
      <c r="H2337" s="545">
        <f>-'Foglio deposito bis'!$F$91*(C2337-sezione!$AO$36)*IF(ABS(N2337)&lt;'Sollecitazioni nel paramento'!$G$58,ABS(N2337)*'Sollecitazioni nel paramento'!$G$54,'Sollecitazioni nel paramento'!$G$53)</f>
        <v>94660448.149493232</v>
      </c>
      <c r="I2337" s="472">
        <f>-'Foglio deposito bis'!$F$92*(C2337-sezione!$AP$36)*IF(ABS(O2337)&lt;'Sollecitazioni nel paramento'!$G$58,ABS(O2337)*'Sollecitazioni nel paramento'!$G$54,'Sollecitazioni nel paramento'!$G$53)</f>
        <v>1168812613.6029341</v>
      </c>
      <c r="J2337" s="472">
        <f t="shared" si="161"/>
        <v>1198942361.217067</v>
      </c>
      <c r="K2337" s="550">
        <f>'Sollecitazioni nel paramento'!$G$60*(sezione!$AL$36-C2337)/C2337</f>
        <v>-9.0433825521368187E-4</v>
      </c>
      <c r="L2337" s="550">
        <f>'Sollecitazioni nel paramento'!$G$60*(sezione!$AM$36-C2337)/C2337</f>
        <v>3.9349261717947718E-4</v>
      </c>
      <c r="M2337" s="551">
        <f>'Sollecitazioni nel paramento'!$G$60*(sezione!$AN$36-C2337)/C2337</f>
        <v>1.6913234895726363E-3</v>
      </c>
      <c r="N2337" s="551">
        <f>'Sollecitazioni nel paramento'!$G$60*(sezione!$AO$36-C2337)/C2337</f>
        <v>6.8826469791452728E-3</v>
      </c>
      <c r="O2337" s="551">
        <f>'Sollecitazioni nel paramento'!$G$60*(sezione!$AP$36-C2337)/C2337</f>
        <v>4.5634338255213749E-2</v>
      </c>
      <c r="P2337" s="545">
        <f>-'Sollecitazioni nel paramento'!$G$47*'Sollecitazioni nel paramento'!$G$41*IF(DATI!$G$211="dx",DATI!$E$61,DATI!$E$64*DATI!$E$63)*1000*C2337*sezione!$AD$5</f>
        <v>-2054805.4887017161</v>
      </c>
      <c r="Q2337" s="545">
        <f>'Foglio deposito bis'!$F$88*IF(ABS(K2337)&lt;'Sollecitazioni nel paramento'!$G$58,ABS(K2337)*'Sollecitazioni nel paramento'!$G$54,'Sollecitazioni nel paramento'!$G$53)*IF(K2337&lt;0,-1,1)</f>
        <v>0</v>
      </c>
      <c r="R2337" s="545">
        <f>'Foglio deposito bis'!$F$89*IF(ABS(L2337)&lt;'Sollecitazioni nel paramento'!$G$58,ABS(L2337)*'Sollecitazioni nel paramento'!$G$54,'Sollecitazioni nel paramento'!$G$53)*IF(L2337&lt;0,-1,1)</f>
        <v>31831.983020851305</v>
      </c>
      <c r="S2337" s="545">
        <f>'Foglio deposito bis'!$F$90*IF(ABS(M2337)&lt;'Sollecitazioni nel paramento'!$G$58,ABS(M2337)*'Sollecitazioni nel paramento'!$G$54,'Sollecitazioni nel paramento'!$G$53)*IF(M2337&lt;0,-1,1)</f>
        <v>0</v>
      </c>
      <c r="T2337" s="545">
        <f>'Foglio deposito bis'!$F$91*IF(ABS(N2337)&lt;'Sollecitazioni nel paramento'!$G$58,ABS(N2337)*'Sollecitazioni nel paramento'!$G$54,'Sollecitazioni nel paramento'!$G$53)*IF(N2337&lt;0,-1,1)</f>
        <v>892485.49558937876</v>
      </c>
      <c r="U2337" s="545">
        <f>'Foglio deposito bis'!$F$92*IF(ABS(O2337)&lt;'Sollecitazioni nel paramento'!$G$58,ABS(O2337)*'Sollecitazioni nel paramento'!$G$54,'Sollecitazioni nel paramento'!$G$53)*IF(O2337&lt;0,-1,1)</f>
        <v>1662039.1047339395</v>
      </c>
      <c r="V2337" s="472">
        <f t="shared" si="163"/>
        <v>531551.09464245359</v>
      </c>
      <c r="W2337" s="551"/>
      <c r="X2337" s="551"/>
    </row>
    <row r="2338" spans="1:24" x14ac:dyDescent="0.25">
      <c r="A2338" s="545">
        <f t="shared" si="162"/>
        <v>507884.54449874721</v>
      </c>
      <c r="B2338" s="3">
        <f t="shared" si="164"/>
        <v>5.0499999999999901</v>
      </c>
      <c r="C2338" s="545">
        <f>'Foglio deposito bis'!$E$162/sezione!$B$247*B2338</f>
        <v>54.475511026819262</v>
      </c>
      <c r="D2338" s="603">
        <f>-'Sollecitazioni nel paramento'!$G$47*'Sollecitazioni nel paramento'!$G$41*IF(DATI!$G$211="dx",DATI!$E$61,DATI!$E$64*DATI!$E$63)*1000*C2338^2*sezione!$AD$5*(1-sezione!$AD$6)</f>
        <v>-66024671.791416824</v>
      </c>
      <c r="E2338" s="545">
        <f>-'Foglio deposito bis'!$F$88*(C2338-sezione!$AL$36)*IF(ABS(K2338)&lt;'Sollecitazioni nel paramento'!$G$58,ABS(K2338)*'Sollecitazioni nel paramento'!$G$54,'Sollecitazioni nel paramento'!$G$53)</f>
        <v>0</v>
      </c>
      <c r="F2338" s="545">
        <f>-'Foglio deposito bis'!$F$89*(C2338-sezione!$AM$36)*IF(ABS(L2338)&lt;'Sollecitazioni nel paramento'!$G$58,ABS(L2338)*'Sollecitazioni nel paramento'!$G$54,'Sollecitazioni nel paramento'!$G$53)</f>
        <v>158627.3465346724</v>
      </c>
      <c r="G2338" s="545">
        <f>-'Foglio deposito bis'!$F$90*(C2338-sezione!$AN$36)*IF(ABS(M2338)&lt;'Sollecitazioni nel paramento'!$G$58,ABS(M2338)*'Sollecitazioni nel paramento'!$G$54,'Sollecitazioni nel paramento'!$G$53)</f>
        <v>0</v>
      </c>
      <c r="H2338" s="545">
        <f>-'Foglio deposito bis'!$F$91*(C2338-sezione!$AO$36)*IF(ABS(N2338)&lt;'Sollecitazioni nel paramento'!$G$58,ABS(N2338)*'Sollecitazioni nel paramento'!$G$54,'Sollecitazioni nel paramento'!$G$53)</f>
        <v>94179075.83804515</v>
      </c>
      <c r="I2338" s="472">
        <f>-'Foglio deposito bis'!$F$92*(C2338-sezione!$AP$36)*IF(ABS(O2338)&lt;'Sollecitazioni nel paramento'!$G$58,ABS(O2338)*'Sollecitazioni nel paramento'!$G$54,'Sollecitazioni nel paramento'!$G$53)</f>
        <v>1167916173.7061329</v>
      </c>
      <c r="J2338" s="472">
        <f t="shared" si="161"/>
        <v>1196229205.0992959</v>
      </c>
      <c r="K2338" s="550">
        <f>'Sollecitazioni nel paramento'!$G$60*(sezione!$AL$36-C2338)/C2338</f>
        <v>-9.3003787644919001E-4</v>
      </c>
      <c r="L2338" s="550">
        <f>'Sollecitazioni nel paramento'!$G$60*(sezione!$AM$36-C2338)/C2338</f>
        <v>3.5494318532621507E-4</v>
      </c>
      <c r="M2338" s="551">
        <f>'Sollecitazioni nel paramento'!$G$60*(sezione!$AN$36-C2338)/C2338</f>
        <v>1.6399242471016201E-3</v>
      </c>
      <c r="N2338" s="551">
        <f>'Sollecitazioni nel paramento'!$G$60*(sezione!$AO$36-C2338)/C2338</f>
        <v>6.7798484942032406E-3</v>
      </c>
      <c r="O2338" s="551">
        <f>'Sollecitazioni nel paramento'!$G$60*(sezione!$AP$36-C2338)/C2338</f>
        <v>4.5147859658627484E-2</v>
      </c>
      <c r="P2338" s="545">
        <f>-'Sollecitazioni nel paramento'!$G$47*'Sollecitazioni nel paramento'!$G$41*IF(DATI!$G$211="dx",DATI!$E$61,DATI!$E$64*DATI!$E$63)*1000*C2338*sezione!$AD$5</f>
        <v>-2075353.5435887328</v>
      </c>
      <c r="Q2338" s="545">
        <f>'Foglio deposito bis'!$F$88*IF(ABS(K2338)&lt;'Sollecitazioni nel paramento'!$G$58,ABS(K2338)*'Sollecitazioni nel paramento'!$G$54,'Sollecitazioni nel paramento'!$G$53)*IF(K2338&lt;0,-1,1)</f>
        <v>0</v>
      </c>
      <c r="R2338" s="545">
        <f>'Foglio deposito bis'!$F$89*IF(ABS(L2338)&lt;'Sollecitazioni nel paramento'!$G$58,ABS(L2338)*'Sollecitazioni nel paramento'!$G$54,'Sollecitazioni nel paramento'!$G$53)*IF(L2338&lt;0,-1,1)</f>
        <v>28713.487764161891</v>
      </c>
      <c r="S2338" s="545">
        <f>'Foglio deposito bis'!$F$90*IF(ABS(M2338)&lt;'Sollecitazioni nel paramento'!$G$58,ABS(M2338)*'Sollecitazioni nel paramento'!$G$54,'Sollecitazioni nel paramento'!$G$53)*IF(M2338&lt;0,-1,1)</f>
        <v>0</v>
      </c>
      <c r="T2338" s="545">
        <f>'Foglio deposito bis'!$F$91*IF(ABS(N2338)&lt;'Sollecitazioni nel paramento'!$G$58,ABS(N2338)*'Sollecitazioni nel paramento'!$G$54,'Sollecitazioni nel paramento'!$G$53)*IF(N2338&lt;0,-1,1)</f>
        <v>892485.49558937876</v>
      </c>
      <c r="U2338" s="545">
        <f>'Foglio deposito bis'!$F$92*IF(ABS(O2338)&lt;'Sollecitazioni nel paramento'!$G$58,ABS(O2338)*'Sollecitazioni nel paramento'!$G$54,'Sollecitazioni nel paramento'!$G$53)*IF(O2338&lt;0,-1,1)</f>
        <v>1662039.1047339395</v>
      </c>
      <c r="V2338" s="472">
        <f t="shared" si="163"/>
        <v>507884.54449874721</v>
      </c>
      <c r="W2338" s="551"/>
      <c r="X2338" s="551"/>
    </row>
    <row r="2339" spans="1:24" x14ac:dyDescent="0.25">
      <c r="A2339" s="545">
        <f t="shared" si="162"/>
        <v>484279.14132085815</v>
      </c>
      <c r="B2339" s="3">
        <f t="shared" si="164"/>
        <v>5.0999999999999899</v>
      </c>
      <c r="C2339" s="545">
        <f>'Foglio deposito bis'!$E$162/sezione!$B$247*B2339</f>
        <v>55.014872522134304</v>
      </c>
      <c r="D2339" s="603">
        <f>-'Sollecitazioni nel paramento'!$G$47*'Sollecitazioni nel paramento'!$G$41*IF(DATI!$G$211="dx",DATI!$E$61,DATI!$E$64*DATI!$E$63)*1000*C2339^2*sezione!$AD$5*(1-sezione!$AD$6)</f>
        <v>-67338563.407303259</v>
      </c>
      <c r="E2339" s="545">
        <f>-'Foglio deposito bis'!$F$88*(C2339-sezione!$AL$36)*IF(ABS(K2339)&lt;'Sollecitazioni nel paramento'!$G$58,ABS(K2339)*'Sollecitazioni nel paramento'!$G$54,'Sollecitazioni nel paramento'!$G$53)</f>
        <v>0</v>
      </c>
      <c r="F2339" s="545">
        <f>-'Foglio deposito bis'!$F$89*(C2339-sezione!$AM$36)*IF(ABS(L2339)&lt;'Sollecitazioni nel paramento'!$G$58,ABS(L2339)*'Sollecitazioni nel paramento'!$G$54,'Sollecitazioni nel paramento'!$G$53)</f>
        <v>127899.12586425227</v>
      </c>
      <c r="G2339" s="545">
        <f>-'Foglio deposito bis'!$F$90*(C2339-sezione!$AN$36)*IF(ABS(M2339)&lt;'Sollecitazioni nel paramento'!$G$58,ABS(M2339)*'Sollecitazioni nel paramento'!$G$54,'Sollecitazioni nel paramento'!$G$53)</f>
        <v>0</v>
      </c>
      <c r="H2339" s="545">
        <f>-'Foglio deposito bis'!$F$91*(C2339-sezione!$AO$36)*IF(ABS(N2339)&lt;'Sollecitazioni nel paramento'!$G$58,ABS(N2339)*'Sollecitazioni nel paramento'!$G$54,'Sollecitazioni nel paramento'!$G$53)</f>
        <v>93697703.526597068</v>
      </c>
      <c r="I2339" s="472">
        <f>-'Foglio deposito bis'!$F$92*(C2339-sezione!$AP$36)*IF(ABS(O2339)&lt;'Sollecitazioni nel paramento'!$G$58,ABS(O2339)*'Sollecitazioni nel paramento'!$G$54,'Sollecitazioni nel paramento'!$G$53)</f>
        <v>1167019733.8093317</v>
      </c>
      <c r="J2339" s="472">
        <f t="shared" si="161"/>
        <v>1193506773.0544896</v>
      </c>
      <c r="K2339" s="550">
        <f>'Sollecitazioni nel paramento'!$G$60*(sezione!$AL$36-C2339)/C2339</f>
        <v>-9.5523358354282538E-4</v>
      </c>
      <c r="L2339" s="550">
        <f>'Sollecitazioni nel paramento'!$G$60*(sezione!$AM$36-C2339)/C2339</f>
        <v>3.1714962468576202E-4</v>
      </c>
      <c r="M2339" s="551">
        <f>'Sollecitazioni nel paramento'!$G$60*(sezione!$AN$36-C2339)/C2339</f>
        <v>1.5895328329143493E-3</v>
      </c>
      <c r="N2339" s="551">
        <f>'Sollecitazioni nel paramento'!$G$60*(sezione!$AO$36-C2339)/C2339</f>
        <v>6.6790656658286983E-3</v>
      </c>
      <c r="O2339" s="551">
        <f>'Sollecitazioni nel paramento'!$G$60*(sezione!$AP$36-C2339)/C2339</f>
        <v>4.4670919858052702E-2</v>
      </c>
      <c r="P2339" s="545">
        <f>-'Sollecitazioni nel paramento'!$G$47*'Sollecitazioni nel paramento'!$G$41*IF(DATI!$G$211="dx",DATI!$E$61,DATI!$E$64*DATI!$E$63)*1000*C2339*sezione!$AD$5</f>
        <v>-2095901.5984757501</v>
      </c>
      <c r="Q2339" s="545">
        <f>'Foglio deposito bis'!$F$88*IF(ABS(K2339)&lt;'Sollecitazioni nel paramento'!$G$58,ABS(K2339)*'Sollecitazioni nel paramento'!$G$54,'Sollecitazioni nel paramento'!$G$53)*IF(K2339&lt;0,-1,1)</f>
        <v>0</v>
      </c>
      <c r="R2339" s="545">
        <f>'Foglio deposito bis'!$F$89*IF(ABS(L2339)&lt;'Sollecitazioni nel paramento'!$G$58,ABS(L2339)*'Sollecitazioni nel paramento'!$G$54,'Sollecitazioni nel paramento'!$G$53)*IF(L2339&lt;0,-1,1)</f>
        <v>25656.139473289913</v>
      </c>
      <c r="S2339" s="545">
        <f>'Foglio deposito bis'!$F$90*IF(ABS(M2339)&lt;'Sollecitazioni nel paramento'!$G$58,ABS(M2339)*'Sollecitazioni nel paramento'!$G$54,'Sollecitazioni nel paramento'!$G$53)*IF(M2339&lt;0,-1,1)</f>
        <v>0</v>
      </c>
      <c r="T2339" s="545">
        <f>'Foglio deposito bis'!$F$91*IF(ABS(N2339)&lt;'Sollecitazioni nel paramento'!$G$58,ABS(N2339)*'Sollecitazioni nel paramento'!$G$54,'Sollecitazioni nel paramento'!$G$53)*IF(N2339&lt;0,-1,1)</f>
        <v>892485.49558937876</v>
      </c>
      <c r="U2339" s="545">
        <f>'Foglio deposito bis'!$F$92*IF(ABS(O2339)&lt;'Sollecitazioni nel paramento'!$G$58,ABS(O2339)*'Sollecitazioni nel paramento'!$G$54,'Sollecitazioni nel paramento'!$G$53)*IF(O2339&lt;0,-1,1)</f>
        <v>1662039.1047339395</v>
      </c>
      <c r="V2339" s="472">
        <f t="shared" si="163"/>
        <v>484279.14132085815</v>
      </c>
      <c r="W2339" s="551"/>
      <c r="X2339" s="551"/>
    </row>
    <row r="2340" spans="1:24" x14ac:dyDescent="0.25">
      <c r="A2340" s="545">
        <f t="shared" si="162"/>
        <v>390434.38677739049</v>
      </c>
      <c r="B2340" s="3">
        <f>B2339+0.2</f>
        <v>5.2999999999999901</v>
      </c>
      <c r="C2340" s="545">
        <f>'Foglio deposito bis'!$E$162/sezione!$B$247*B2340</f>
        <v>57.172318503394479</v>
      </c>
      <c r="D2340" s="603">
        <f>-'Sollecitazioni nel paramento'!$G$47*'Sollecitazioni nel paramento'!$G$41*IF(DATI!$G$211="dx",DATI!$E$61,DATI!$E$64*DATI!$E$63)*1000*C2340^2*sezione!$AD$5*(1-sezione!$AD$6)</f>
        <v>-72723577.320690066</v>
      </c>
      <c r="E2340" s="545">
        <f>-'Foglio deposito bis'!$F$88*(C2340-sezione!$AL$36)*IF(ABS(K2340)&lt;'Sollecitazioni nel paramento'!$G$58,ABS(K2340)*'Sollecitazioni nel paramento'!$G$54,'Sollecitazioni nel paramento'!$G$53)</f>
        <v>0</v>
      </c>
      <c r="F2340" s="545">
        <f>-'Foglio deposito bis'!$F$89*(C2340-sezione!$AM$36)*IF(ABS(L2340)&lt;'Sollecitazioni nel paramento'!$G$58,ABS(L2340)*'Sollecitazioni nel paramento'!$G$54,'Sollecitazioni nel paramento'!$G$53)</f>
        <v>39597.733267914635</v>
      </c>
      <c r="G2340" s="545">
        <f>-'Foglio deposito bis'!$F$90*(C2340-sezione!$AN$36)*IF(ABS(M2340)&lt;'Sollecitazioni nel paramento'!$G$58,ABS(M2340)*'Sollecitazioni nel paramento'!$G$54,'Sollecitazioni nel paramento'!$G$53)</f>
        <v>0</v>
      </c>
      <c r="H2340" s="545">
        <f>-'Foglio deposito bis'!$F$91*(C2340-sezione!$AO$36)*IF(ABS(N2340)&lt;'Sollecitazioni nel paramento'!$G$58,ABS(N2340)*'Sollecitazioni nel paramento'!$G$54,'Sollecitazioni nel paramento'!$G$53)</f>
        <v>91772214.280804768</v>
      </c>
      <c r="I2340" s="472">
        <f>-'Foglio deposito bis'!$F$92*(C2340-sezione!$AP$36)*IF(ABS(O2340)&lt;'Sollecitazioni nel paramento'!$G$58,ABS(O2340)*'Sollecitazioni nel paramento'!$G$54,'Sollecitazioni nel paramento'!$G$53)</f>
        <v>1163433974.222126</v>
      </c>
      <c r="J2340" s="472">
        <f t="shared" si="161"/>
        <v>1182522208.9155087</v>
      </c>
      <c r="K2340" s="550">
        <f>'Sollecitazioni nel paramento'!$G$60*(sezione!$AL$36-C2340)/C2340</f>
        <v>-1.051262504918568E-3</v>
      </c>
      <c r="L2340" s="550">
        <f>'Sollecitazioni nel paramento'!$G$60*(sezione!$AM$36-C2340)/C2340</f>
        <v>1.7310624262214795E-4</v>
      </c>
      <c r="M2340" s="551">
        <f>'Sollecitazioni nel paramento'!$G$60*(sezione!$AN$36-C2340)/C2340</f>
        <v>1.3974749901628641E-3</v>
      </c>
      <c r="N2340" s="551">
        <f>'Sollecitazioni nel paramento'!$G$60*(sezione!$AO$36-C2340)/C2340</f>
        <v>6.2949499803257288E-3</v>
      </c>
      <c r="O2340" s="551">
        <f>'Sollecitazioni nel paramento'!$G$60*(sezione!$AP$36-C2340)/C2340</f>
        <v>4.2853149297371454E-2</v>
      </c>
      <c r="P2340" s="545">
        <f>-'Sollecitazioni nel paramento'!$G$47*'Sollecitazioni nel paramento'!$G$41*IF(DATI!$G$211="dx",DATI!$E$61,DATI!$E$64*DATI!$E$63)*1000*C2340*sezione!$AD$5</f>
        <v>-2178093.818023819</v>
      </c>
      <c r="Q2340" s="545">
        <f>'Foglio deposito bis'!$F$88*IF(ABS(K2340)&lt;'Sollecitazioni nel paramento'!$G$58,ABS(K2340)*'Sollecitazioni nel paramento'!$G$54,'Sollecitazioni nel paramento'!$G$53)*IF(K2340&lt;0,-1,1)</f>
        <v>0</v>
      </c>
      <c r="R2340" s="545">
        <f>'Foglio deposito bis'!$F$89*IF(ABS(L2340)&lt;'Sollecitazioni nel paramento'!$G$58,ABS(L2340)*'Sollecitazioni nel paramento'!$G$54,'Sollecitazioni nel paramento'!$G$53)*IF(L2340&lt;0,-1,1)</f>
        <v>14003.604477891011</v>
      </c>
      <c r="S2340" s="545">
        <f>'Foglio deposito bis'!$F$90*IF(ABS(M2340)&lt;'Sollecitazioni nel paramento'!$G$58,ABS(M2340)*'Sollecitazioni nel paramento'!$G$54,'Sollecitazioni nel paramento'!$G$53)*IF(M2340&lt;0,-1,1)</f>
        <v>0</v>
      </c>
      <c r="T2340" s="545">
        <f>'Foglio deposito bis'!$F$91*IF(ABS(N2340)&lt;'Sollecitazioni nel paramento'!$G$58,ABS(N2340)*'Sollecitazioni nel paramento'!$G$54,'Sollecitazioni nel paramento'!$G$53)*IF(N2340&lt;0,-1,1)</f>
        <v>892485.49558937876</v>
      </c>
      <c r="U2340" s="545">
        <f>'Foglio deposito bis'!$F$92*IF(ABS(O2340)&lt;'Sollecitazioni nel paramento'!$G$58,ABS(O2340)*'Sollecitazioni nel paramento'!$G$54,'Sollecitazioni nel paramento'!$G$53)*IF(O2340&lt;0,-1,1)</f>
        <v>1662039.1047339395</v>
      </c>
      <c r="V2340" s="472">
        <f t="shared" si="163"/>
        <v>390434.38677739049</v>
      </c>
      <c r="W2340" s="551"/>
      <c r="X2340" s="551"/>
    </row>
    <row r="2341" spans="1:24" x14ac:dyDescent="0.25">
      <c r="A2341" s="545">
        <f t="shared" si="162"/>
        <v>297437.08932449692</v>
      </c>
      <c r="B2341" s="3">
        <f t="shared" ref="B2341:B2404" si="165">B2340+0.2</f>
        <v>5.4999999999999902</v>
      </c>
      <c r="C2341" s="545">
        <f>'Foglio deposito bis'!$E$162/sezione!$B$247*B2341</f>
        <v>59.329764484654653</v>
      </c>
      <c r="D2341" s="603">
        <f>-'Sollecitazioni nel paramento'!$G$47*'Sollecitazioni nel paramento'!$G$41*IF(DATI!$G$211="dx",DATI!$E$61,DATI!$E$64*DATI!$E$63)*1000*C2341^2*sezione!$AD$5*(1-sezione!$AD$6)</f>
        <v>-78315707.153822556</v>
      </c>
      <c r="E2341" s="545">
        <f>-'Foglio deposito bis'!$F$88*(C2341-sezione!$AL$36)*IF(ABS(K2341)&lt;'Sollecitazioni nel paramento'!$G$58,ABS(K2341)*'Sollecitazioni nel paramento'!$G$54,'Sollecitazioni nel paramento'!$G$53)</f>
        <v>0</v>
      </c>
      <c r="F2341" s="545">
        <f>-'Foglio deposito bis'!$F$89*(C2341-sezione!$AM$36)*IF(ABS(L2341)&lt;'Sollecitazioni nel paramento'!$G$58,ABS(L2341)*'Sollecitazioni nel paramento'!$G$54,'Sollecitazioni nel paramento'!$G$53)</f>
        <v>2143.7661060450678</v>
      </c>
      <c r="G2341" s="545">
        <f>-'Foglio deposito bis'!$F$90*(C2341-sezione!$AN$36)*IF(ABS(M2341)&lt;'Sollecitazioni nel paramento'!$G$58,ABS(M2341)*'Sollecitazioni nel paramento'!$G$54,'Sollecitazioni nel paramento'!$G$53)</f>
        <v>0</v>
      </c>
      <c r="H2341" s="545">
        <f>-'Foglio deposito bis'!$F$91*(C2341-sezione!$AO$36)*IF(ABS(N2341)&lt;'Sollecitazioni nel paramento'!$G$58,ABS(N2341)*'Sollecitazioni nel paramento'!$G$54,'Sollecitazioni nel paramento'!$G$53)</f>
        <v>89846725.035012469</v>
      </c>
      <c r="I2341" s="472">
        <f>-'Foglio deposito bis'!$F$92*(C2341-sezione!$AP$36)*IF(ABS(O2341)&lt;'Sollecitazioni nel paramento'!$G$58,ABS(O2341)*'Sollecitazioni nel paramento'!$G$54,'Sollecitazioni nel paramento'!$G$53)</f>
        <v>1159848214.6349206</v>
      </c>
      <c r="J2341" s="472">
        <f t="shared" si="161"/>
        <v>1171381376.2822165</v>
      </c>
      <c r="K2341" s="550">
        <f>'Sollecitazioni nel paramento'!$G$60*(sezione!$AL$36-C2341)/C2341</f>
        <v>-1.1403075047397113E-3</v>
      </c>
      <c r="L2341" s="550">
        <f>'Sollecitazioni nel paramento'!$G$60*(sezione!$AM$36-C2341)/C2341</f>
        <v>3.9538742890433177E-5</v>
      </c>
      <c r="M2341" s="551">
        <f>'Sollecitazioni nel paramento'!$G$60*(sezione!$AN$36-C2341)/C2341</f>
        <v>1.2193849905205777E-3</v>
      </c>
      <c r="N2341" s="551">
        <f>'Sollecitazioni nel paramento'!$G$60*(sezione!$AO$36-C2341)/C2341</f>
        <v>5.9387699810411554E-3</v>
      </c>
      <c r="O2341" s="551">
        <f>'Sollecitazioni nel paramento'!$G$60*(sezione!$AP$36-C2341)/C2341</f>
        <v>4.1167580232012495E-2</v>
      </c>
      <c r="P2341" s="545">
        <f>-'Sollecitazioni nel paramento'!$G$47*'Sollecitazioni nel paramento'!$G$41*IF(DATI!$G$211="dx",DATI!$E$61,DATI!$E$64*DATI!$E$63)*1000*C2341*sezione!$AD$5</f>
        <v>-2260286.037571888</v>
      </c>
      <c r="Q2341" s="545">
        <f>'Foglio deposito bis'!$F$88*IF(ABS(K2341)&lt;'Sollecitazioni nel paramento'!$G$58,ABS(K2341)*'Sollecitazioni nel paramento'!$G$54,'Sollecitazioni nel paramento'!$G$53)*IF(K2341&lt;0,-1,1)</f>
        <v>0</v>
      </c>
      <c r="R2341" s="545">
        <f>'Foglio deposito bis'!$F$89*IF(ABS(L2341)&lt;'Sollecitazioni nel paramento'!$G$58,ABS(L2341)*'Sollecitazioni nel paramento'!$G$54,'Sollecitazioni nel paramento'!$G$53)*IF(L2341&lt;0,-1,1)</f>
        <v>3198.5265730665833</v>
      </c>
      <c r="S2341" s="545">
        <f>'Foglio deposito bis'!$F$90*IF(ABS(M2341)&lt;'Sollecitazioni nel paramento'!$G$58,ABS(M2341)*'Sollecitazioni nel paramento'!$G$54,'Sollecitazioni nel paramento'!$G$53)*IF(M2341&lt;0,-1,1)</f>
        <v>0</v>
      </c>
      <c r="T2341" s="545">
        <f>'Foglio deposito bis'!$F$91*IF(ABS(N2341)&lt;'Sollecitazioni nel paramento'!$G$58,ABS(N2341)*'Sollecitazioni nel paramento'!$G$54,'Sollecitazioni nel paramento'!$G$53)*IF(N2341&lt;0,-1,1)</f>
        <v>892485.49558937876</v>
      </c>
      <c r="U2341" s="545">
        <f>'Foglio deposito bis'!$F$92*IF(ABS(O2341)&lt;'Sollecitazioni nel paramento'!$G$58,ABS(O2341)*'Sollecitazioni nel paramento'!$G$54,'Sollecitazioni nel paramento'!$G$53)*IF(O2341&lt;0,-1,1)</f>
        <v>1662039.1047339395</v>
      </c>
      <c r="V2341" s="472">
        <f t="shared" si="163"/>
        <v>297437.08932449692</v>
      </c>
      <c r="W2341" s="551"/>
      <c r="X2341" s="551"/>
    </row>
    <row r="2342" spans="1:24" x14ac:dyDescent="0.25">
      <c r="A2342" s="545">
        <f t="shared" si="162"/>
        <v>205198.04295264394</v>
      </c>
      <c r="B2342" s="3">
        <f t="shared" si="165"/>
        <v>5.6999999999999904</v>
      </c>
      <c r="C2342" s="545">
        <f>'Foglio deposito bis'!$E$162/sezione!$B$247*B2342</f>
        <v>61.487210465914828</v>
      </c>
      <c r="D2342" s="603">
        <f>-'Sollecitazioni nel paramento'!$G$47*'Sollecitazioni nel paramento'!$G$41*IF(DATI!$G$211="dx",DATI!$E$61,DATI!$E$64*DATI!$E$63)*1000*C2342^2*sezione!$AD$5*(1-sezione!$AD$6)</f>
        <v>-84114952.906700656</v>
      </c>
      <c r="E2342" s="545">
        <f>-'Foglio deposito bis'!$F$88*(C2342-sezione!$AL$36)*IF(ABS(K2342)&lt;'Sollecitazioni nel paramento'!$G$58,ABS(K2342)*'Sollecitazioni nel paramento'!$G$54,'Sollecitazioni nel paramento'!$G$53)</f>
        <v>0</v>
      </c>
      <c r="F2342" s="545">
        <f>-'Foglio deposito bis'!$F$89*(C2342-sezione!$AM$36)*IF(ABS(L2342)&lt;'Sollecitazioni nel paramento'!$G$58,ABS(L2342)*'Sollecitazioni nel paramento'!$G$54,'Sollecitazioni nel paramento'!$G$53)</f>
        <v>-10184.863806594256</v>
      </c>
      <c r="G2342" s="545">
        <f>-'Foglio deposito bis'!$F$90*(C2342-sezione!$AN$36)*IF(ABS(M2342)&lt;'Sollecitazioni nel paramento'!$G$58,ABS(M2342)*'Sollecitazioni nel paramento'!$G$54,'Sollecitazioni nel paramento'!$G$53)</f>
        <v>0</v>
      </c>
      <c r="H2342" s="545">
        <f>-'Foglio deposito bis'!$F$91*(C2342-sezione!$AO$36)*IF(ABS(N2342)&lt;'Sollecitazioni nel paramento'!$G$58,ABS(N2342)*'Sollecitazioni nel paramento'!$G$54,'Sollecitazioni nel paramento'!$G$53)</f>
        <v>87921235.789220169</v>
      </c>
      <c r="I2342" s="472">
        <f>-'Foglio deposito bis'!$F$92*(C2342-sezione!$AP$36)*IF(ABS(O2342)&lt;'Sollecitazioni nel paramento'!$G$58,ABS(O2342)*'Sollecitazioni nel paramento'!$G$54,'Sollecitazioni nel paramento'!$G$53)</f>
        <v>1156262455.0477152</v>
      </c>
      <c r="J2342" s="472">
        <f t="shared" si="161"/>
        <v>1160058553.0664282</v>
      </c>
      <c r="K2342" s="550">
        <f>'Sollecitazioni nel paramento'!$G$60*(sezione!$AL$36-C2342)/C2342</f>
        <v>-1.2231037326435813E-3</v>
      </c>
      <c r="L2342" s="550">
        <f>'Sollecitazioni nel paramento'!$G$60*(sezione!$AM$36-C2342)/C2342</f>
        <v>-8.4655598965371803E-5</v>
      </c>
      <c r="M2342" s="551">
        <f>'Sollecitazioni nel paramento'!$G$60*(sezione!$AN$36-C2342)/C2342</f>
        <v>1.0537925347128376E-3</v>
      </c>
      <c r="N2342" s="551">
        <f>'Sollecitazioni nel paramento'!$G$60*(sezione!$AO$36-C2342)/C2342</f>
        <v>5.6075850694256753E-3</v>
      </c>
      <c r="O2342" s="551">
        <f>'Sollecitazioni nel paramento'!$G$60*(sezione!$AP$36-C2342)/C2342</f>
        <v>3.9600296715099778E-2</v>
      </c>
      <c r="P2342" s="545">
        <f>-'Sollecitazioni nel paramento'!$G$47*'Sollecitazioni nel paramento'!$G$41*IF(DATI!$G$211="dx",DATI!$E$61,DATI!$E$64*DATI!$E$63)*1000*C2342*sezione!$AD$5</f>
        <v>-2342478.2571199569</v>
      </c>
      <c r="Q2342" s="545">
        <f>'Foglio deposito bis'!$F$88*IF(ABS(K2342)&lt;'Sollecitazioni nel paramento'!$G$58,ABS(K2342)*'Sollecitazioni nel paramento'!$G$54,'Sollecitazioni nel paramento'!$G$53)*IF(K2342&lt;0,-1,1)</f>
        <v>0</v>
      </c>
      <c r="R2342" s="545">
        <f>'Foglio deposito bis'!$F$89*IF(ABS(L2342)&lt;'Sollecitazioni nel paramento'!$G$58,ABS(L2342)*'Sollecitazioni nel paramento'!$G$54,'Sollecitazioni nel paramento'!$G$53)*IF(L2342&lt;0,-1,1)</f>
        <v>-6848.3002507175343</v>
      </c>
      <c r="S2342" s="545">
        <f>'Foglio deposito bis'!$F$90*IF(ABS(M2342)&lt;'Sollecitazioni nel paramento'!$G$58,ABS(M2342)*'Sollecitazioni nel paramento'!$G$54,'Sollecitazioni nel paramento'!$G$53)*IF(M2342&lt;0,-1,1)</f>
        <v>0</v>
      </c>
      <c r="T2342" s="545">
        <f>'Foglio deposito bis'!$F$91*IF(ABS(N2342)&lt;'Sollecitazioni nel paramento'!$G$58,ABS(N2342)*'Sollecitazioni nel paramento'!$G$54,'Sollecitazioni nel paramento'!$G$53)*IF(N2342&lt;0,-1,1)</f>
        <v>892485.49558937876</v>
      </c>
      <c r="U2342" s="545">
        <f>'Foglio deposito bis'!$F$92*IF(ABS(O2342)&lt;'Sollecitazioni nel paramento'!$G$58,ABS(O2342)*'Sollecitazioni nel paramento'!$G$54,'Sollecitazioni nel paramento'!$G$53)*IF(O2342&lt;0,-1,1)</f>
        <v>1662039.1047339395</v>
      </c>
      <c r="V2342" s="472">
        <f t="shared" si="163"/>
        <v>205198.04295264394</v>
      </c>
      <c r="W2342" s="551"/>
      <c r="X2342" s="551"/>
    </row>
    <row r="2343" spans="1:24" x14ac:dyDescent="0.25">
      <c r="A2343" s="545">
        <f t="shared" si="162"/>
        <v>113640.13738240325</v>
      </c>
      <c r="B2343" s="3">
        <f t="shared" si="165"/>
        <v>5.8999999999999906</v>
      </c>
      <c r="C2343" s="545">
        <f>'Foglio deposito bis'!$E$162/sezione!$B$247*B2343</f>
        <v>63.644656447175002</v>
      </c>
      <c r="D2343" s="603">
        <f>-'Sollecitazioni nel paramento'!$G$47*'Sollecitazioni nel paramento'!$G$41*IF(DATI!$G$211="dx",DATI!$E$61,DATI!$E$64*DATI!$E$63)*1000*C2343^2*sezione!$AD$5*(1-sezione!$AD$6)</f>
        <v>-90121314.579324409</v>
      </c>
      <c r="E2343" s="545">
        <f>-'Foglio deposito bis'!$F$88*(C2343-sezione!$AL$36)*IF(ABS(K2343)&lt;'Sollecitazioni nel paramento'!$G$58,ABS(K2343)*'Sollecitazioni nel paramento'!$G$54,'Sollecitazioni nel paramento'!$G$53)</f>
        <v>0</v>
      </c>
      <c r="F2343" s="545">
        <f>-'Foglio deposito bis'!$F$89*(C2343-sezione!$AM$36)*IF(ABS(L2343)&lt;'Sollecitazioni nel paramento'!$G$58,ABS(L2343)*'Sollecitazioni nel paramento'!$G$54,'Sollecitazioni nel paramento'!$G$53)</f>
        <v>-59094.409603892498</v>
      </c>
      <c r="G2343" s="545">
        <f>-'Foglio deposito bis'!$F$90*(C2343-sezione!$AN$36)*IF(ABS(M2343)&lt;'Sollecitazioni nel paramento'!$G$58,ABS(M2343)*'Sollecitazioni nel paramento'!$G$54,'Sollecitazioni nel paramento'!$G$53)</f>
        <v>0</v>
      </c>
      <c r="H2343" s="545">
        <f>-'Foglio deposito bis'!$F$91*(C2343-sezione!$AO$36)*IF(ABS(N2343)&lt;'Sollecitazioni nel paramento'!$G$58,ABS(N2343)*'Sollecitazioni nel paramento'!$G$54,'Sollecitazioni nel paramento'!$G$53)</f>
        <v>85995746.54342787</v>
      </c>
      <c r="I2343" s="472">
        <f>-'Foglio deposito bis'!$F$92*(C2343-sezione!$AP$36)*IF(ABS(O2343)&lt;'Sollecitazioni nel paramento'!$G$58,ABS(O2343)*'Sollecitazioni nel paramento'!$G$54,'Sollecitazioni nel paramento'!$G$53)</f>
        <v>1152676695.4605098</v>
      </c>
      <c r="J2343" s="472">
        <f t="shared" si="161"/>
        <v>1148492033.0150094</v>
      </c>
      <c r="K2343" s="550">
        <f>'Sollecitazioni nel paramento'!$G$60*(sezione!$AL$36-C2343)/C2343</f>
        <v>-1.3002866569607481E-3</v>
      </c>
      <c r="L2343" s="550">
        <f>'Sollecitazioni nel paramento'!$G$60*(sezione!$AM$36-C2343)/C2343</f>
        <v>-2.0042998544112219E-4</v>
      </c>
      <c r="M2343" s="551">
        <f>'Sollecitazioni nel paramento'!$G$60*(sezione!$AN$36-C2343)/C2343</f>
        <v>8.9942668607850384E-4</v>
      </c>
      <c r="N2343" s="551">
        <f>'Sollecitazioni nel paramento'!$G$60*(sezione!$AO$36-C2343)/C2343</f>
        <v>5.2988533721570075E-3</v>
      </c>
      <c r="O2343" s="551">
        <f>'Sollecitazioni nel paramento'!$G$60*(sezione!$AP$36-C2343)/C2343</f>
        <v>3.8139269707808253E-2</v>
      </c>
      <c r="P2343" s="545">
        <f>-'Sollecitazioni nel paramento'!$G$47*'Sollecitazioni nel paramento'!$G$41*IF(DATI!$G$211="dx",DATI!$E$61,DATI!$E$64*DATI!$E$63)*1000*C2343*sezione!$AD$5</f>
        <v>-2424670.4766680258</v>
      </c>
      <c r="Q2343" s="545">
        <f>'Foglio deposito bis'!$F$88*IF(ABS(K2343)&lt;'Sollecitazioni nel paramento'!$G$58,ABS(K2343)*'Sollecitazioni nel paramento'!$G$54,'Sollecitazioni nel paramento'!$G$53)*IF(K2343&lt;0,-1,1)</f>
        <v>0</v>
      </c>
      <c r="R2343" s="545">
        <f>'Foglio deposito bis'!$F$89*IF(ABS(L2343)&lt;'Sollecitazioni nel paramento'!$G$58,ABS(L2343)*'Sollecitazioni nel paramento'!$G$54,'Sollecitazioni nel paramento'!$G$53)*IF(L2343&lt;0,-1,1)</f>
        <v>-16213.986272889169</v>
      </c>
      <c r="S2343" s="545">
        <f>'Foglio deposito bis'!$F$90*IF(ABS(M2343)&lt;'Sollecitazioni nel paramento'!$G$58,ABS(M2343)*'Sollecitazioni nel paramento'!$G$54,'Sollecitazioni nel paramento'!$G$53)*IF(M2343&lt;0,-1,1)</f>
        <v>0</v>
      </c>
      <c r="T2343" s="545">
        <f>'Foglio deposito bis'!$F$91*IF(ABS(N2343)&lt;'Sollecitazioni nel paramento'!$G$58,ABS(N2343)*'Sollecitazioni nel paramento'!$G$54,'Sollecitazioni nel paramento'!$G$53)*IF(N2343&lt;0,-1,1)</f>
        <v>892485.49558937876</v>
      </c>
      <c r="U2343" s="545">
        <f>'Foglio deposito bis'!$F$92*IF(ABS(O2343)&lt;'Sollecitazioni nel paramento'!$G$58,ABS(O2343)*'Sollecitazioni nel paramento'!$G$54,'Sollecitazioni nel paramento'!$G$53)*IF(O2343&lt;0,-1,1)</f>
        <v>1662039.1047339395</v>
      </c>
      <c r="V2343" s="472">
        <f t="shared" si="163"/>
        <v>113640.13738240325</v>
      </c>
      <c r="W2343" s="551"/>
      <c r="X2343" s="551"/>
    </row>
    <row r="2344" spans="1:24" x14ac:dyDescent="0.25">
      <c r="A2344" s="545">
        <f t="shared" si="162"/>
        <v>22696.375157879433</v>
      </c>
      <c r="B2344" s="3">
        <f t="shared" si="165"/>
        <v>6.0999999999999908</v>
      </c>
      <c r="C2344" s="545">
        <f>'Foglio deposito bis'!$E$162/sezione!$B$247*B2344</f>
        <v>65.802102428435177</v>
      </c>
      <c r="D2344" s="603">
        <f>-'Sollecitazioni nel paramento'!$G$47*'Sollecitazioni nel paramento'!$G$41*IF(DATI!$G$211="dx",DATI!$E$61,DATI!$E$64*DATI!$E$63)*1000*C2344^2*sezione!$AD$5*(1-sezione!$AD$6)</f>
        <v>-96334792.171693832</v>
      </c>
      <c r="E2344" s="545">
        <f>-'Foglio deposito bis'!$F$88*(C2344-sezione!$AL$36)*IF(ABS(K2344)&lt;'Sollecitazioni nel paramento'!$G$58,ABS(K2344)*'Sollecitazioni nel paramento'!$G$54,'Sollecitazioni nel paramento'!$G$53)</f>
        <v>0</v>
      </c>
      <c r="F2344" s="545">
        <f>-'Foglio deposito bis'!$F$89*(C2344-sezione!$AM$36)*IF(ABS(L2344)&lt;'Sollecitazioni nel paramento'!$G$58,ABS(L2344)*'Sollecitazioni nel paramento'!$G$54,'Sollecitazioni nel paramento'!$G$53)</f>
        <v>-144852.55614416115</v>
      </c>
      <c r="G2344" s="545">
        <f>-'Foglio deposito bis'!$F$90*(C2344-sezione!$AN$36)*IF(ABS(M2344)&lt;'Sollecitazioni nel paramento'!$G$58,ABS(M2344)*'Sollecitazioni nel paramento'!$G$54,'Sollecitazioni nel paramento'!$G$53)</f>
        <v>0</v>
      </c>
      <c r="H2344" s="545">
        <f>-'Foglio deposito bis'!$F$91*(C2344-sezione!$AO$36)*IF(ABS(N2344)&lt;'Sollecitazioni nel paramento'!$G$58,ABS(N2344)*'Sollecitazioni nel paramento'!$G$54,'Sollecitazioni nel paramento'!$G$53)</f>
        <v>84070257.29763557</v>
      </c>
      <c r="I2344" s="472">
        <f>-'Foglio deposito bis'!$F$92*(C2344-sezione!$AP$36)*IF(ABS(O2344)&lt;'Sollecitazioni nel paramento'!$G$58,ABS(O2344)*'Sollecitazioni nel paramento'!$G$54,'Sollecitazioni nel paramento'!$G$53)</f>
        <v>1149090935.8733041</v>
      </c>
      <c r="J2344" s="472">
        <f t="shared" si="161"/>
        <v>1136681548.4431016</v>
      </c>
      <c r="K2344" s="550">
        <f>'Sollecitazioni nel paramento'!$G$60*(sezione!$AL$36-C2344)/C2344</f>
        <v>-1.3724084059128549E-3</v>
      </c>
      <c r="L2344" s="550">
        <f>'Sollecitazioni nel paramento'!$G$60*(sezione!$AM$36-C2344)/C2344</f>
        <v>-3.0861260886928235E-4</v>
      </c>
      <c r="M2344" s="551">
        <f>'Sollecitazioni nel paramento'!$G$60*(sezione!$AN$36-C2344)/C2344</f>
        <v>7.5518318817429026E-4</v>
      </c>
      <c r="N2344" s="551">
        <f>'Sollecitazioni nel paramento'!$G$60*(sezione!$AO$36-C2344)/C2344</f>
        <v>5.0103663763485804E-3</v>
      </c>
      <c r="O2344" s="551">
        <f>'Sollecitazioni nel paramento'!$G$60*(sezione!$AP$36-C2344)/C2344</f>
        <v>3.677404775017519E-2</v>
      </c>
      <c r="P2344" s="545">
        <f>-'Sollecitazioni nel paramento'!$G$47*'Sollecitazioni nel paramento'!$G$41*IF(DATI!$G$211="dx",DATI!$E$61,DATI!$E$64*DATI!$E$63)*1000*C2344*sezione!$AD$5</f>
        <v>-2506862.6962160943</v>
      </c>
      <c r="Q2344" s="545">
        <f>'Foglio deposito bis'!$F$88*IF(ABS(K2344)&lt;'Sollecitazioni nel paramento'!$G$58,ABS(K2344)*'Sollecitazioni nel paramento'!$G$54,'Sollecitazioni nel paramento'!$G$53)*IF(K2344&lt;0,-1,1)</f>
        <v>0</v>
      </c>
      <c r="R2344" s="545">
        <f>'Foglio deposito bis'!$F$89*IF(ABS(L2344)&lt;'Sollecitazioni nel paramento'!$G$58,ABS(L2344)*'Sollecitazioni nel paramento'!$G$54,'Sollecitazioni nel paramento'!$G$53)*IF(L2344&lt;0,-1,1)</f>
        <v>-24965.528949344629</v>
      </c>
      <c r="S2344" s="545">
        <f>'Foglio deposito bis'!$F$90*IF(ABS(M2344)&lt;'Sollecitazioni nel paramento'!$G$58,ABS(M2344)*'Sollecitazioni nel paramento'!$G$54,'Sollecitazioni nel paramento'!$G$53)*IF(M2344&lt;0,-1,1)</f>
        <v>0</v>
      </c>
      <c r="T2344" s="545">
        <f>'Foglio deposito bis'!$F$91*IF(ABS(N2344)&lt;'Sollecitazioni nel paramento'!$G$58,ABS(N2344)*'Sollecitazioni nel paramento'!$G$54,'Sollecitazioni nel paramento'!$G$53)*IF(N2344&lt;0,-1,1)</f>
        <v>892485.49558937876</v>
      </c>
      <c r="U2344" s="545">
        <f>'Foglio deposito bis'!$F$92*IF(ABS(O2344)&lt;'Sollecitazioni nel paramento'!$G$58,ABS(O2344)*'Sollecitazioni nel paramento'!$G$54,'Sollecitazioni nel paramento'!$G$53)*IF(O2344&lt;0,-1,1)</f>
        <v>1662039.1047339395</v>
      </c>
      <c r="V2344" s="472">
        <f t="shared" si="163"/>
        <v>22696.375157879433</v>
      </c>
      <c r="W2344" s="551"/>
      <c r="X2344" s="551"/>
    </row>
    <row r="2345" spans="1:24" x14ac:dyDescent="0.25">
      <c r="A2345" s="545">
        <f t="shared" si="162"/>
        <v>67691.733563378686</v>
      </c>
      <c r="B2345" s="3">
        <f t="shared" si="165"/>
        <v>6.2999999999999909</v>
      </c>
      <c r="C2345" s="545">
        <f>'Foglio deposito bis'!$E$162/sezione!$B$247*B2345</f>
        <v>67.959548409695358</v>
      </c>
      <c r="D2345" s="603">
        <f>-'Sollecitazioni nel paramento'!$G$47*'Sollecitazioni nel paramento'!$G$41*IF(DATI!$G$211="dx",DATI!$E$61,DATI!$E$64*DATI!$E$63)*1000*C2345^2*sezione!$AD$5*(1-sezione!$AD$6)</f>
        <v>-102755385.68380889</v>
      </c>
      <c r="E2345" s="545">
        <f>-'Foglio deposito bis'!$F$88*(C2345-sezione!$AL$36)*IF(ABS(K2345)&lt;'Sollecitazioni nel paramento'!$G$58,ABS(K2345)*'Sollecitazioni nel paramento'!$G$54,'Sollecitazioni nel paramento'!$G$53)</f>
        <v>0</v>
      </c>
      <c r="F2345" s="545">
        <f>-'Foglio deposito bis'!$F$89*(C2345-sezione!$AM$36)*IF(ABS(L2345)&lt;'Sollecitazioni nel paramento'!$G$58,ABS(L2345)*'Sollecitazioni nel paramento'!$G$54,'Sollecitazioni nel paramento'!$G$53)</f>
        <v>-263949.91288045119</v>
      </c>
      <c r="G2345" s="545">
        <f>-'Foglio deposito bis'!$F$90*(C2345-sezione!$AN$36)*IF(ABS(M2345)&lt;'Sollecitazioni nel paramento'!$G$58,ABS(M2345)*'Sollecitazioni nel paramento'!$G$54,'Sollecitazioni nel paramento'!$G$53)</f>
        <v>0</v>
      </c>
      <c r="H2345" s="545">
        <f>-'Foglio deposito bis'!$F$91*(C2345-sezione!$AO$36)*IF(ABS(N2345)&lt;'Sollecitazioni nel paramento'!$G$58,ABS(N2345)*'Sollecitazioni nel paramento'!$G$54,'Sollecitazioni nel paramento'!$G$53)</f>
        <v>82144768.051843271</v>
      </c>
      <c r="I2345" s="472">
        <f>-'Foglio deposito bis'!$F$92*(C2345-sezione!$AP$36)*IF(ABS(O2345)&lt;'Sollecitazioni nel paramento'!$G$58,ABS(O2345)*'Sollecitazioni nel paramento'!$G$54,'Sollecitazioni nel paramento'!$G$53)</f>
        <v>1145505176.2860987</v>
      </c>
      <c r="J2345" s="472">
        <f t="shared" si="161"/>
        <v>1124630608.7412527</v>
      </c>
      <c r="K2345" s="550">
        <f>'Sollecitazioni nel paramento'!$G$60*(sezione!$AL$36-C2345)/C2345</f>
        <v>-1.439950996201336E-3</v>
      </c>
      <c r="L2345" s="550">
        <f>'Sollecitazioni nel paramento'!$G$60*(sezione!$AM$36-C2345)/C2345</f>
        <v>-4.0992649430200408E-4</v>
      </c>
      <c r="M2345" s="551">
        <f>'Sollecitazioni nel paramento'!$G$60*(sezione!$AN$36-C2345)/C2345</f>
        <v>6.2009800759732796E-4</v>
      </c>
      <c r="N2345" s="551">
        <f>'Sollecitazioni nel paramento'!$G$60*(sezione!$AO$36-C2345)/C2345</f>
        <v>4.7401960151946558E-3</v>
      </c>
      <c r="O2345" s="551">
        <f>'Sollecitazioni nel paramento'!$G$60*(sezione!$AP$36-C2345)/C2345</f>
        <v>3.5495506551756921E-2</v>
      </c>
      <c r="P2345" s="545">
        <f>-'Sollecitazioni nel paramento'!$G$47*'Sollecitazioni nel paramento'!$G$41*IF(DATI!$G$211="dx",DATI!$E$61,DATI!$E$64*DATI!$E$63)*1000*C2345*sezione!$AD$5</f>
        <v>-2589054.9157641637</v>
      </c>
      <c r="Q2345" s="545">
        <f>'Foglio deposito bis'!$F$88*IF(ABS(K2345)&lt;'Sollecitazioni nel paramento'!$G$58,ABS(K2345)*'Sollecitazioni nel paramento'!$G$54,'Sollecitazioni nel paramento'!$G$53)*IF(K2345&lt;0,-1,1)</f>
        <v>0</v>
      </c>
      <c r="R2345" s="545">
        <f>'Foglio deposito bis'!$F$89*IF(ABS(L2345)&lt;'Sollecitazioni nel paramento'!$G$58,ABS(L2345)*'Sollecitazioni nel paramento'!$G$54,'Sollecitazioni nel paramento'!$G$53)*IF(L2345&lt;0,-1,1)</f>
        <v>-33161.418122533098</v>
      </c>
      <c r="S2345" s="545">
        <f>'Foglio deposito bis'!$F$90*IF(ABS(M2345)&lt;'Sollecitazioni nel paramento'!$G$58,ABS(M2345)*'Sollecitazioni nel paramento'!$G$54,'Sollecitazioni nel paramento'!$G$53)*IF(M2345&lt;0,-1,1)</f>
        <v>0</v>
      </c>
      <c r="T2345" s="545">
        <f>'Foglio deposito bis'!$F$91*IF(ABS(N2345)&lt;'Sollecitazioni nel paramento'!$G$58,ABS(N2345)*'Sollecitazioni nel paramento'!$G$54,'Sollecitazioni nel paramento'!$G$53)*IF(N2345&lt;0,-1,1)</f>
        <v>892485.49558937876</v>
      </c>
      <c r="U2345" s="545">
        <f>'Foglio deposito bis'!$F$92*IF(ABS(O2345)&lt;'Sollecitazioni nel paramento'!$G$58,ABS(O2345)*'Sollecitazioni nel paramento'!$G$54,'Sollecitazioni nel paramento'!$G$53)*IF(O2345&lt;0,-1,1)</f>
        <v>1662039.1047339395</v>
      </c>
      <c r="V2345" s="472">
        <f t="shared" si="163"/>
        <v>-67691.733563378686</v>
      </c>
      <c r="W2345" s="551"/>
      <c r="X2345" s="551"/>
    </row>
    <row r="2346" spans="1:24" x14ac:dyDescent="0.25">
      <c r="A2346" s="545">
        <f t="shared" si="162"/>
        <v>157575.47987397783</v>
      </c>
      <c r="B2346" s="3">
        <f t="shared" si="165"/>
        <v>6.4999999999999911</v>
      </c>
      <c r="C2346" s="545">
        <f>'Foglio deposito bis'!$E$162/sezione!$B$247*B2346</f>
        <v>70.116994390955526</v>
      </c>
      <c r="D2346" s="603">
        <f>-'Sollecitazioni nel paramento'!$G$47*'Sollecitazioni nel paramento'!$G$41*IF(DATI!$G$211="dx",DATI!$E$61,DATI!$E$64*DATI!$E$63)*1000*C2346^2*sezione!$AD$5*(1-sezione!$AD$6)</f>
        <v>-109383095.11566958</v>
      </c>
      <c r="E2346" s="545">
        <f>-'Foglio deposito bis'!$F$88*(C2346-sezione!$AL$36)*IF(ABS(K2346)&lt;'Sollecitazioni nel paramento'!$G$58,ABS(K2346)*'Sollecitazioni nel paramento'!$G$54,'Sollecitazioni nel paramento'!$G$53)</f>
        <v>0</v>
      </c>
      <c r="F2346" s="545">
        <f>-'Foglio deposito bis'!$F$89*(C2346-sezione!$AM$36)*IF(ABS(L2346)&lt;'Sollecitazioni nel paramento'!$G$58,ABS(L2346)*'Sollecitazioni nel paramento'!$G$54,'Sollecitazioni nel paramento'!$G$53)</f>
        <v>-413309.01425620535</v>
      </c>
      <c r="G2346" s="545">
        <f>-'Foglio deposito bis'!$F$90*(C2346-sezione!$AN$36)*IF(ABS(M2346)&lt;'Sollecitazioni nel paramento'!$G$58,ABS(M2346)*'Sollecitazioni nel paramento'!$G$54,'Sollecitazioni nel paramento'!$G$53)</f>
        <v>0</v>
      </c>
      <c r="H2346" s="545">
        <f>-'Foglio deposito bis'!$F$91*(C2346-sezione!$AO$36)*IF(ABS(N2346)&lt;'Sollecitazioni nel paramento'!$G$58,ABS(N2346)*'Sollecitazioni nel paramento'!$G$54,'Sollecitazioni nel paramento'!$G$53)</f>
        <v>80219278.806050971</v>
      </c>
      <c r="I2346" s="472">
        <f>-'Foglio deposito bis'!$F$92*(C2346-sezione!$AP$36)*IF(ABS(O2346)&lt;'Sollecitazioni nel paramento'!$G$58,ABS(O2346)*'Sollecitazioni nel paramento'!$G$54,'Sollecitazioni nel paramento'!$G$53)</f>
        <v>1141919416.6988933</v>
      </c>
      <c r="J2346" s="472">
        <f t="shared" si="161"/>
        <v>1112342291.3750186</v>
      </c>
      <c r="K2346" s="550">
        <f>'Sollecitazioni nel paramento'!$G$60*(sezione!$AL$36-C2346)/C2346</f>
        <v>-1.5033371193951411E-3</v>
      </c>
      <c r="L2346" s="550">
        <f>'Sollecitazioni nel paramento'!$G$60*(sezione!$AM$36-C2346)/C2346</f>
        <v>-5.0500567909271153E-4</v>
      </c>
      <c r="M2346" s="551">
        <f>'Sollecitazioni nel paramento'!$G$60*(sezione!$AN$36-C2346)/C2346</f>
        <v>4.9332576120971795E-4</v>
      </c>
      <c r="N2346" s="551">
        <f>'Sollecitazioni nel paramento'!$G$60*(sezione!$AO$36-C2346)/C2346</f>
        <v>4.4866515224194362E-3</v>
      </c>
      <c r="O2346" s="551">
        <f>'Sollecitazioni nel paramento'!$G$60*(sezione!$AP$36-C2346)/C2346</f>
        <v>3.4295644811702872E-2</v>
      </c>
      <c r="P2346" s="545">
        <f>-'Sollecitazioni nel paramento'!$G$47*'Sollecitazioni nel paramento'!$G$41*IF(DATI!$G$211="dx",DATI!$E$61,DATI!$E$64*DATI!$E$63)*1000*C2346*sezione!$AD$5</f>
        <v>-2671247.1353122322</v>
      </c>
      <c r="Q2346" s="545">
        <f>'Foglio deposito bis'!$F$88*IF(ABS(K2346)&lt;'Sollecitazioni nel paramento'!$G$58,ABS(K2346)*'Sollecitazioni nel paramento'!$G$54,'Sollecitazioni nel paramento'!$G$53)*IF(K2346&lt;0,-1,1)</f>
        <v>0</v>
      </c>
      <c r="R2346" s="545">
        <f>'Foglio deposito bis'!$F$89*IF(ABS(L2346)&lt;'Sollecitazioni nel paramento'!$G$58,ABS(L2346)*'Sollecitazioni nel paramento'!$G$54,'Sollecitazioni nel paramento'!$G$53)*IF(L2346&lt;0,-1,1)</f>
        <v>-40852.944885063764</v>
      </c>
      <c r="S2346" s="545">
        <f>'Foglio deposito bis'!$F$90*IF(ABS(M2346)&lt;'Sollecitazioni nel paramento'!$G$58,ABS(M2346)*'Sollecitazioni nel paramento'!$G$54,'Sollecitazioni nel paramento'!$G$53)*IF(M2346&lt;0,-1,1)</f>
        <v>0</v>
      </c>
      <c r="T2346" s="545">
        <f>'Foglio deposito bis'!$F$91*IF(ABS(N2346)&lt;'Sollecitazioni nel paramento'!$G$58,ABS(N2346)*'Sollecitazioni nel paramento'!$G$54,'Sollecitazioni nel paramento'!$G$53)*IF(N2346&lt;0,-1,1)</f>
        <v>892485.49558937876</v>
      </c>
      <c r="U2346" s="545">
        <f>'Foglio deposito bis'!$F$92*IF(ABS(O2346)&lt;'Sollecitazioni nel paramento'!$G$58,ABS(O2346)*'Sollecitazioni nel paramento'!$G$54,'Sollecitazioni nel paramento'!$G$53)*IF(O2346&lt;0,-1,1)</f>
        <v>1662039.1047339395</v>
      </c>
      <c r="V2346" s="472">
        <f t="shared" si="163"/>
        <v>-157575.47987397783</v>
      </c>
      <c r="W2346" s="551"/>
      <c r="X2346" s="551"/>
    </row>
    <row r="2347" spans="1:24" x14ac:dyDescent="0.25">
      <c r="A2347" s="545">
        <f t="shared" si="162"/>
        <v>247000.03055696399</v>
      </c>
      <c r="B2347" s="3">
        <f t="shared" si="165"/>
        <v>6.6999999999999913</v>
      </c>
      <c r="C2347" s="545">
        <f>'Foglio deposito bis'!$E$162/sezione!$B$247*B2347</f>
        <v>72.274440372215707</v>
      </c>
      <c r="D2347" s="603">
        <f>-'Sollecitazioni nel paramento'!$G$47*'Sollecitazioni nel paramento'!$G$41*IF(DATI!$G$211="dx",DATI!$E$61,DATI!$E$64*DATI!$E$63)*1000*C2347^2*sezione!$AD$5*(1-sezione!$AD$6)</f>
        <v>-116217920.46727598</v>
      </c>
      <c r="E2347" s="545">
        <f>-'Foglio deposito bis'!$F$88*(C2347-sezione!$AL$36)*IF(ABS(K2347)&lt;'Sollecitazioni nel paramento'!$G$58,ABS(K2347)*'Sollecitazioni nel paramento'!$G$54,'Sollecitazioni nel paramento'!$G$53)</f>
        <v>0</v>
      </c>
      <c r="F2347" s="545">
        <f>-'Foglio deposito bis'!$F$89*(C2347-sezione!$AM$36)*IF(ABS(L2347)&lt;'Sollecitazioni nel paramento'!$G$58,ABS(L2347)*'Sollecitazioni nel paramento'!$G$54,'Sollecitazioni nel paramento'!$G$53)</f>
        <v>-590219.85328878718</v>
      </c>
      <c r="G2347" s="545">
        <f>-'Foglio deposito bis'!$F$90*(C2347-sezione!$AN$36)*IF(ABS(M2347)&lt;'Sollecitazioni nel paramento'!$G$58,ABS(M2347)*'Sollecitazioni nel paramento'!$G$54,'Sollecitazioni nel paramento'!$G$53)</f>
        <v>0</v>
      </c>
      <c r="H2347" s="545">
        <f>-'Foglio deposito bis'!$F$91*(C2347-sezione!$AO$36)*IF(ABS(N2347)&lt;'Sollecitazioni nel paramento'!$G$58,ABS(N2347)*'Sollecitazioni nel paramento'!$G$54,'Sollecitazioni nel paramento'!$G$53)</f>
        <v>78293789.560258657</v>
      </c>
      <c r="I2347" s="472">
        <f>-'Foglio deposito bis'!$F$92*(C2347-sezione!$AP$36)*IF(ABS(O2347)&lt;'Sollecitazioni nel paramento'!$G$58,ABS(O2347)*'Sollecitazioni nel paramento'!$G$54,'Sollecitazioni nel paramento'!$G$53)</f>
        <v>1138333657.1116877</v>
      </c>
      <c r="J2347" s="472">
        <f t="shared" si="161"/>
        <v>1099819306.3513815</v>
      </c>
      <c r="K2347" s="550">
        <f>'Sollecitazioni nel paramento'!$G$60*(sezione!$AL$36-C2347)/C2347</f>
        <v>-1.5629389964281221E-3</v>
      </c>
      <c r="L2347" s="550">
        <f>'Sollecitazioni nel paramento'!$G$60*(sezione!$AM$36-C2347)/C2347</f>
        <v>-5.9440849464218338E-4</v>
      </c>
      <c r="M2347" s="551">
        <f>'Sollecitazioni nel paramento'!$G$60*(sezione!$AN$36-C2347)/C2347</f>
        <v>3.7412200714375565E-4</v>
      </c>
      <c r="N2347" s="551">
        <f>'Sollecitazioni nel paramento'!$G$60*(sezione!$AO$36-C2347)/C2347</f>
        <v>4.2482440142875113E-3</v>
      </c>
      <c r="O2347" s="551">
        <f>'Sollecitazioni nel paramento'!$G$60*(sezione!$AP$36-C2347)/C2347</f>
        <v>3.3167416608368444E-2</v>
      </c>
      <c r="P2347" s="545">
        <f>-'Sollecitazioni nel paramento'!$G$47*'Sollecitazioni nel paramento'!$G$41*IF(DATI!$G$211="dx",DATI!$E$61,DATI!$E$64*DATI!$E$63)*1000*C2347*sezione!$AD$5</f>
        <v>-2753439.3548603016</v>
      </c>
      <c r="Q2347" s="545">
        <f>'Foglio deposito bis'!$F$88*IF(ABS(K2347)&lt;'Sollecitazioni nel paramento'!$G$58,ABS(K2347)*'Sollecitazioni nel paramento'!$G$54,'Sollecitazioni nel paramento'!$G$53)*IF(K2347&lt;0,-1,1)</f>
        <v>0</v>
      </c>
      <c r="R2347" s="545">
        <f>'Foglio deposito bis'!$F$89*IF(ABS(L2347)&lt;'Sollecitazioni nel paramento'!$G$58,ABS(L2347)*'Sollecitazioni nel paramento'!$G$54,'Sollecitazioni nel paramento'!$G$53)*IF(L2347&lt;0,-1,1)</f>
        <v>-48085.276019980716</v>
      </c>
      <c r="S2347" s="545">
        <f>'Foglio deposito bis'!$F$90*IF(ABS(M2347)&lt;'Sollecitazioni nel paramento'!$G$58,ABS(M2347)*'Sollecitazioni nel paramento'!$G$54,'Sollecitazioni nel paramento'!$G$53)*IF(M2347&lt;0,-1,1)</f>
        <v>0</v>
      </c>
      <c r="T2347" s="545">
        <f>'Foglio deposito bis'!$F$91*IF(ABS(N2347)&lt;'Sollecitazioni nel paramento'!$G$58,ABS(N2347)*'Sollecitazioni nel paramento'!$G$54,'Sollecitazioni nel paramento'!$G$53)*IF(N2347&lt;0,-1,1)</f>
        <v>892485.49558937876</v>
      </c>
      <c r="U2347" s="545">
        <f>'Foglio deposito bis'!$F$92*IF(ABS(O2347)&lt;'Sollecitazioni nel paramento'!$G$58,ABS(O2347)*'Sollecitazioni nel paramento'!$G$54,'Sollecitazioni nel paramento'!$G$53)*IF(O2347&lt;0,-1,1)</f>
        <v>1662039.1047339395</v>
      </c>
      <c r="V2347" s="472">
        <f t="shared" si="163"/>
        <v>-247000.03055696399</v>
      </c>
      <c r="W2347" s="551"/>
      <c r="X2347" s="551"/>
    </row>
    <row r="2348" spans="1:24" x14ac:dyDescent="0.25">
      <c r="A2348" s="545">
        <f t="shared" si="162"/>
        <v>336005.31566691096</v>
      </c>
      <c r="B2348" s="3">
        <f t="shared" si="165"/>
        <v>6.8999999999999915</v>
      </c>
      <c r="C2348" s="545">
        <f>'Foglio deposito bis'!$E$162/sezione!$B$247*B2348</f>
        <v>74.431886353475875</v>
      </c>
      <c r="D2348" s="603">
        <f>-'Sollecitazioni nel paramento'!$G$47*'Sollecitazioni nel paramento'!$G$41*IF(DATI!$G$211="dx",DATI!$E$61,DATI!$E$64*DATI!$E$63)*1000*C2348^2*sezione!$AD$5*(1-sezione!$AD$6)</f>
        <v>-123259861.73862794</v>
      </c>
      <c r="E2348" s="545">
        <f>-'Foglio deposito bis'!$F$88*(C2348-sezione!$AL$36)*IF(ABS(K2348)&lt;'Sollecitazioni nel paramento'!$G$58,ABS(K2348)*'Sollecitazioni nel paramento'!$G$54,'Sollecitazioni nel paramento'!$G$53)</f>
        <v>0</v>
      </c>
      <c r="F2348" s="545">
        <f>-'Foglio deposito bis'!$F$89*(C2348-sezione!$AM$36)*IF(ABS(L2348)&lt;'Sollecitazioni nel paramento'!$G$58,ABS(L2348)*'Sollecitazioni nel paramento'!$G$54,'Sollecitazioni nel paramento'!$G$53)</f>
        <v>-792286.62670368725</v>
      </c>
      <c r="G2348" s="545">
        <f>-'Foglio deposito bis'!$F$90*(C2348-sezione!$AN$36)*IF(ABS(M2348)&lt;'Sollecitazioni nel paramento'!$G$58,ABS(M2348)*'Sollecitazioni nel paramento'!$G$54,'Sollecitazioni nel paramento'!$G$53)</f>
        <v>0</v>
      </c>
      <c r="H2348" s="545">
        <f>-'Foglio deposito bis'!$F$91*(C2348-sezione!$AO$36)*IF(ABS(N2348)&lt;'Sollecitazioni nel paramento'!$G$58,ABS(N2348)*'Sollecitazioni nel paramento'!$G$54,'Sollecitazioni nel paramento'!$G$53)</f>
        <v>76368300.314466372</v>
      </c>
      <c r="I2348" s="472">
        <f>-'Foglio deposito bis'!$F$92*(C2348-sezione!$AP$36)*IF(ABS(O2348)&lt;'Sollecitazioni nel paramento'!$G$58,ABS(O2348)*'Sollecitazioni nel paramento'!$G$54,'Sollecitazioni nel paramento'!$G$53)</f>
        <v>1134747897.5244823</v>
      </c>
      <c r="J2348" s="472">
        <f t="shared" si="161"/>
        <v>1087064049.4736171</v>
      </c>
      <c r="K2348" s="550">
        <f>'Sollecitazioni nel paramento'!$G$60*(sezione!$AL$36-C2348)/C2348</f>
        <v>-1.6190856921838286E-3</v>
      </c>
      <c r="L2348" s="550">
        <f>'Sollecitazioni nel paramento'!$G$60*(sezione!$AM$36-C2348)/C2348</f>
        <v>-6.7862853827574312E-4</v>
      </c>
      <c r="M2348" s="551">
        <f>'Sollecitazioni nel paramento'!$G$60*(sezione!$AN$36-C2348)/C2348</f>
        <v>2.6182861563234255E-4</v>
      </c>
      <c r="N2348" s="551">
        <f>'Sollecitazioni nel paramento'!$G$60*(sezione!$AO$36-C2348)/C2348</f>
        <v>4.0236572312646853E-3</v>
      </c>
      <c r="O2348" s="551">
        <f>'Sollecitazioni nel paramento'!$G$60*(sezione!$AP$36-C2348)/C2348</f>
        <v>3.2104592938560668E-2</v>
      </c>
      <c r="P2348" s="545">
        <f>-'Sollecitazioni nel paramento'!$G$47*'Sollecitazioni nel paramento'!$G$41*IF(DATI!$G$211="dx",DATI!$E$61,DATI!$E$64*DATI!$E$63)*1000*C2348*sezione!$AD$5</f>
        <v>-2835631.5744083701</v>
      </c>
      <c r="Q2348" s="545">
        <f>'Foglio deposito bis'!$F$88*IF(ABS(K2348)&lt;'Sollecitazioni nel paramento'!$G$58,ABS(K2348)*'Sollecitazioni nel paramento'!$G$54,'Sollecitazioni nel paramento'!$G$53)*IF(K2348&lt;0,-1,1)</f>
        <v>0</v>
      </c>
      <c r="R2348" s="545">
        <f>'Foglio deposito bis'!$F$89*IF(ABS(L2348)&lt;'Sollecitazioni nel paramento'!$G$58,ABS(L2348)*'Sollecitazioni nel paramento'!$G$54,'Sollecitazioni nel paramento'!$G$53)*IF(L2348&lt;0,-1,1)</f>
        <v>-54898.341581858942</v>
      </c>
      <c r="S2348" s="545">
        <f>'Foglio deposito bis'!$F$90*IF(ABS(M2348)&lt;'Sollecitazioni nel paramento'!$G$58,ABS(M2348)*'Sollecitazioni nel paramento'!$G$54,'Sollecitazioni nel paramento'!$G$53)*IF(M2348&lt;0,-1,1)</f>
        <v>0</v>
      </c>
      <c r="T2348" s="545">
        <f>'Foglio deposito bis'!$F$91*IF(ABS(N2348)&lt;'Sollecitazioni nel paramento'!$G$58,ABS(N2348)*'Sollecitazioni nel paramento'!$G$54,'Sollecitazioni nel paramento'!$G$53)*IF(N2348&lt;0,-1,1)</f>
        <v>892485.49558937876</v>
      </c>
      <c r="U2348" s="545">
        <f>'Foglio deposito bis'!$F$92*IF(ABS(O2348)&lt;'Sollecitazioni nel paramento'!$G$58,ABS(O2348)*'Sollecitazioni nel paramento'!$G$54,'Sollecitazioni nel paramento'!$G$53)*IF(O2348&lt;0,-1,1)</f>
        <v>1662039.1047339395</v>
      </c>
      <c r="V2348" s="472">
        <f t="shared" si="163"/>
        <v>-336005.31566691096</v>
      </c>
      <c r="W2348" s="551"/>
      <c r="X2348" s="551"/>
    </row>
    <row r="2349" spans="1:24" x14ac:dyDescent="0.25">
      <c r="A2349" s="545">
        <f t="shared" si="162"/>
        <v>424626.76609731535</v>
      </c>
      <c r="B2349" s="3">
        <f t="shared" si="165"/>
        <v>7.0999999999999917</v>
      </c>
      <c r="C2349" s="545">
        <f>'Foglio deposito bis'!$E$162/sezione!$B$247*B2349</f>
        <v>76.589332334736056</v>
      </c>
      <c r="D2349" s="603">
        <f>-'Sollecitazioni nel paramento'!$G$47*'Sollecitazioni nel paramento'!$G$41*IF(DATI!$G$211="dx",DATI!$E$61,DATI!$E$64*DATI!$E$63)*1000*C2349^2*sezione!$AD$5*(1-sezione!$AD$6)</f>
        <v>-130508918.92972562</v>
      </c>
      <c r="E2349" s="545">
        <f>-'Foglio deposito bis'!$F$88*(C2349-sezione!$AL$36)*IF(ABS(K2349)&lt;'Sollecitazioni nel paramento'!$G$58,ABS(K2349)*'Sollecitazioni nel paramento'!$G$54,'Sollecitazioni nel paramento'!$G$53)</f>
        <v>0</v>
      </c>
      <c r="F2349" s="545">
        <f>-'Foglio deposito bis'!$F$89*(C2349-sezione!$AM$36)*IF(ABS(L2349)&lt;'Sollecitazioni nel paramento'!$G$58,ABS(L2349)*'Sollecitazioni nel paramento'!$G$54,'Sollecitazioni nel paramento'!$G$53)</f>
        <v>-1017383.4808911352</v>
      </c>
      <c r="G2349" s="545">
        <f>-'Foglio deposito bis'!$F$90*(C2349-sezione!$AN$36)*IF(ABS(M2349)&lt;'Sollecitazioni nel paramento'!$G$58,ABS(M2349)*'Sollecitazioni nel paramento'!$G$54,'Sollecitazioni nel paramento'!$G$53)</f>
        <v>0</v>
      </c>
      <c r="H2349" s="545">
        <f>-'Foglio deposito bis'!$F$91*(C2349-sezione!$AO$36)*IF(ABS(N2349)&lt;'Sollecitazioni nel paramento'!$G$58,ABS(N2349)*'Sollecitazioni nel paramento'!$G$54,'Sollecitazioni nel paramento'!$G$53)</f>
        <v>74442811.068674058</v>
      </c>
      <c r="I2349" s="472">
        <f>-'Foglio deposito bis'!$F$92*(C2349-sezione!$AP$36)*IF(ABS(O2349)&lt;'Sollecitazioni nel paramento'!$G$58,ABS(O2349)*'Sollecitazioni nel paramento'!$G$54,'Sollecitazioni nel paramento'!$G$53)</f>
        <v>1131162137.9372766</v>
      </c>
      <c r="J2349" s="472">
        <f t="shared" si="161"/>
        <v>1074078646.5953338</v>
      </c>
      <c r="K2349" s="550">
        <f>'Sollecitazioni nel paramento'!$G$60*(sezione!$AL$36-C2349)/C2349</f>
        <v>-1.6720691938124535E-3</v>
      </c>
      <c r="L2349" s="550">
        <f>'Sollecitazioni nel paramento'!$G$60*(sezione!$AM$36-C2349)/C2349</f>
        <v>-7.581037907186803E-4</v>
      </c>
      <c r="M2349" s="551">
        <f>'Sollecitazioni nel paramento'!$G$60*(sezione!$AN$36-C2349)/C2349</f>
        <v>1.5586161237509294E-4</v>
      </c>
      <c r="N2349" s="551">
        <f>'Sollecitazioni nel paramento'!$G$60*(sezione!$AO$36-C2349)/C2349</f>
        <v>3.8117232247501863E-3</v>
      </c>
      <c r="O2349" s="551">
        <f>'Sollecitazioni nel paramento'!$G$60*(sezione!$AP$36-C2349)/C2349</f>
        <v>3.1101646658601205E-2</v>
      </c>
      <c r="P2349" s="545">
        <f>-'Sollecitazioni nel paramento'!$G$47*'Sollecitazioni nel paramento'!$G$41*IF(DATI!$G$211="dx",DATI!$E$61,DATI!$E$64*DATI!$E$63)*1000*C2349*sezione!$AD$5</f>
        <v>-2917823.793956439</v>
      </c>
      <c r="Q2349" s="545">
        <f>'Foglio deposito bis'!$F$88*IF(ABS(K2349)&lt;'Sollecitazioni nel paramento'!$G$58,ABS(K2349)*'Sollecitazioni nel paramento'!$G$54,'Sollecitazioni nel paramento'!$G$53)*IF(K2349&lt;0,-1,1)</f>
        <v>0</v>
      </c>
      <c r="R2349" s="545">
        <f>'Foglio deposito bis'!$F$89*IF(ABS(L2349)&lt;'Sollecitazioni nel paramento'!$G$58,ABS(L2349)*'Sollecitazioni nel paramento'!$G$54,'Sollecitazioni nel paramento'!$G$53)*IF(L2349&lt;0,-1,1)</f>
        <v>-61327.572464194789</v>
      </c>
      <c r="S2349" s="545">
        <f>'Foglio deposito bis'!$F$90*IF(ABS(M2349)&lt;'Sollecitazioni nel paramento'!$G$58,ABS(M2349)*'Sollecitazioni nel paramento'!$G$54,'Sollecitazioni nel paramento'!$G$53)*IF(M2349&lt;0,-1,1)</f>
        <v>0</v>
      </c>
      <c r="T2349" s="545">
        <f>'Foglio deposito bis'!$F$91*IF(ABS(N2349)&lt;'Sollecitazioni nel paramento'!$G$58,ABS(N2349)*'Sollecitazioni nel paramento'!$G$54,'Sollecitazioni nel paramento'!$G$53)*IF(N2349&lt;0,-1,1)</f>
        <v>892485.49558937876</v>
      </c>
      <c r="U2349" s="545">
        <f>'Foglio deposito bis'!$F$92*IF(ABS(O2349)&lt;'Sollecitazioni nel paramento'!$G$58,ABS(O2349)*'Sollecitazioni nel paramento'!$G$54,'Sollecitazioni nel paramento'!$G$53)*IF(O2349&lt;0,-1,1)</f>
        <v>1662039.1047339395</v>
      </c>
      <c r="V2349" s="472">
        <f t="shared" si="163"/>
        <v>-424626.76609731535</v>
      </c>
      <c r="W2349" s="551"/>
      <c r="X2349" s="551"/>
    </row>
    <row r="2350" spans="1:24" x14ac:dyDescent="0.25">
      <c r="A2350" s="545">
        <f t="shared" si="162"/>
        <v>512895.92990402994</v>
      </c>
      <c r="B2350" s="3">
        <f t="shared" si="165"/>
        <v>7.2999999999999918</v>
      </c>
      <c r="C2350" s="545">
        <f>'Foglio deposito bis'!$E$162/sezione!$B$247*B2350</f>
        <v>78.746778315996224</v>
      </c>
      <c r="D2350" s="603">
        <f>-'Sollecitazioni nel paramento'!$G$47*'Sollecitazioni nel paramento'!$G$41*IF(DATI!$G$211="dx",DATI!$E$61,DATI!$E$64*DATI!$E$63)*1000*C2350^2*sezione!$AD$5*(1-sezione!$AD$6)</f>
        <v>-137965092.04056889</v>
      </c>
      <c r="E2350" s="545">
        <f>-'Foglio deposito bis'!$F$88*(C2350-sezione!$AL$36)*IF(ABS(K2350)&lt;'Sollecitazioni nel paramento'!$G$58,ABS(K2350)*'Sollecitazioni nel paramento'!$G$54,'Sollecitazioni nel paramento'!$G$53)</f>
        <v>0</v>
      </c>
      <c r="F2350" s="545">
        <f>-'Foglio deposito bis'!$F$89*(C2350-sezione!$AM$36)*IF(ABS(L2350)&lt;'Sollecitazioni nel paramento'!$G$58,ABS(L2350)*'Sollecitazioni nel paramento'!$G$54,'Sollecitazioni nel paramento'!$G$53)</f>
        <v>-1263617.5324999597</v>
      </c>
      <c r="G2350" s="545">
        <f>-'Foglio deposito bis'!$F$90*(C2350-sezione!$AN$36)*IF(ABS(M2350)&lt;'Sollecitazioni nel paramento'!$G$58,ABS(M2350)*'Sollecitazioni nel paramento'!$G$54,'Sollecitazioni nel paramento'!$G$53)</f>
        <v>0</v>
      </c>
      <c r="H2350" s="545">
        <f>-'Foglio deposito bis'!$F$91*(C2350-sezione!$AO$36)*IF(ABS(N2350)&lt;'Sollecitazioni nel paramento'!$G$58,ABS(N2350)*'Sollecitazioni nel paramento'!$G$54,'Sollecitazioni nel paramento'!$G$53)</f>
        <v>72517321.822881773</v>
      </c>
      <c r="I2350" s="472">
        <f>-'Foglio deposito bis'!$F$92*(C2350-sezione!$AP$36)*IF(ABS(O2350)&lt;'Sollecitazioni nel paramento'!$G$58,ABS(O2350)*'Sollecitazioni nel paramento'!$G$54,'Sollecitazioni nel paramento'!$G$53)</f>
        <v>1127576378.350071</v>
      </c>
      <c r="J2350" s="472">
        <f t="shared" si="161"/>
        <v>1060864990.5998839</v>
      </c>
      <c r="K2350" s="550">
        <f>'Sollecitazioni nel paramento'!$G$60*(sezione!$AL$36-C2350)/C2350</f>
        <v>-1.7221494898723864E-3</v>
      </c>
      <c r="L2350" s="550">
        <f>'Sollecitazioni nel paramento'!$G$60*(sezione!$AM$36-C2350)/C2350</f>
        <v>-8.332242348085794E-4</v>
      </c>
      <c r="M2350" s="551">
        <f>'Sollecitazioni nel paramento'!$G$60*(sezione!$AN$36-C2350)/C2350</f>
        <v>5.5701020255227523E-5</v>
      </c>
      <c r="N2350" s="551">
        <f>'Sollecitazioni nel paramento'!$G$60*(sezione!$AO$36-C2350)/C2350</f>
        <v>3.6114020405104549E-3</v>
      </c>
      <c r="O2350" s="551">
        <f>'Sollecitazioni nel paramento'!$G$60*(sezione!$AP$36-C2350)/C2350</f>
        <v>3.0153656339187474E-2</v>
      </c>
      <c r="P2350" s="545">
        <f>-'Sollecitazioni nel paramento'!$G$47*'Sollecitazioni nel paramento'!$G$41*IF(DATI!$G$211="dx",DATI!$E$61,DATI!$E$64*DATI!$E$63)*1000*C2350*sezione!$AD$5</f>
        <v>-3000016.0135045075</v>
      </c>
      <c r="Q2350" s="545">
        <f>'Foglio deposito bis'!$F$88*IF(ABS(K2350)&lt;'Sollecitazioni nel paramento'!$G$58,ABS(K2350)*'Sollecitazioni nel paramento'!$G$54,'Sollecitazioni nel paramento'!$G$53)*IF(K2350&lt;0,-1,1)</f>
        <v>0</v>
      </c>
      <c r="R2350" s="545">
        <f>'Foglio deposito bis'!$F$89*IF(ABS(L2350)&lt;'Sollecitazioni nel paramento'!$G$58,ABS(L2350)*'Sollecitazioni nel paramento'!$G$54,'Sollecitazioni nel paramento'!$G$53)*IF(L2350&lt;0,-1,1)</f>
        <v>-67404.516722840955</v>
      </c>
      <c r="S2350" s="545">
        <f>'Foglio deposito bis'!$F$90*IF(ABS(M2350)&lt;'Sollecitazioni nel paramento'!$G$58,ABS(M2350)*'Sollecitazioni nel paramento'!$G$54,'Sollecitazioni nel paramento'!$G$53)*IF(M2350&lt;0,-1,1)</f>
        <v>0</v>
      </c>
      <c r="T2350" s="545">
        <f>'Foglio deposito bis'!$F$91*IF(ABS(N2350)&lt;'Sollecitazioni nel paramento'!$G$58,ABS(N2350)*'Sollecitazioni nel paramento'!$G$54,'Sollecitazioni nel paramento'!$G$53)*IF(N2350&lt;0,-1,1)</f>
        <v>892485.49558937876</v>
      </c>
      <c r="U2350" s="545">
        <f>'Foglio deposito bis'!$F$92*IF(ABS(O2350)&lt;'Sollecitazioni nel paramento'!$G$58,ABS(O2350)*'Sollecitazioni nel paramento'!$G$54,'Sollecitazioni nel paramento'!$G$53)*IF(O2350&lt;0,-1,1)</f>
        <v>1662039.1047339395</v>
      </c>
      <c r="V2350" s="472">
        <f t="shared" si="163"/>
        <v>-512895.92990402994</v>
      </c>
      <c r="W2350" s="551"/>
      <c r="X2350" s="551"/>
    </row>
    <row r="2351" spans="1:24" x14ac:dyDescent="0.25">
      <c r="A2351" s="545">
        <f t="shared" si="162"/>
        <v>600840.99001695099</v>
      </c>
      <c r="B2351" s="3">
        <f t="shared" si="165"/>
        <v>7.499999999999992</v>
      </c>
      <c r="C2351" s="545">
        <f>'Foglio deposito bis'!$E$162/sezione!$B$247*B2351</f>
        <v>80.904224297256405</v>
      </c>
      <c r="D2351" s="603">
        <f>-'Sollecitazioni nel paramento'!$G$47*'Sollecitazioni nel paramento'!$G$41*IF(DATI!$G$211="dx",DATI!$E$61,DATI!$E$64*DATI!$E$63)*1000*C2351^2*sezione!$AD$5*(1-sezione!$AD$6)</f>
        <v>-145628381.07115784</v>
      </c>
      <c r="E2351" s="545">
        <f>-'Foglio deposito bis'!$F$88*(C2351-sezione!$AL$36)*IF(ABS(K2351)&lt;'Sollecitazioni nel paramento'!$G$58,ABS(K2351)*'Sollecitazioni nel paramento'!$G$54,'Sollecitazioni nel paramento'!$G$53)</f>
        <v>0</v>
      </c>
      <c r="F2351" s="545">
        <f>-'Foglio deposito bis'!$F$89*(C2351-sezione!$AM$36)*IF(ABS(L2351)&lt;'Sollecitazioni nel paramento'!$G$58,ABS(L2351)*'Sollecitazioni nel paramento'!$G$54,'Sollecitazioni nel paramento'!$G$53)</f>
        <v>-1529297.8057364533</v>
      </c>
      <c r="G2351" s="545">
        <f>-'Foglio deposito bis'!$F$90*(C2351-sezione!$AN$36)*IF(ABS(M2351)&lt;'Sollecitazioni nel paramento'!$G$58,ABS(M2351)*'Sollecitazioni nel paramento'!$G$54,'Sollecitazioni nel paramento'!$G$53)</f>
        <v>0</v>
      </c>
      <c r="H2351" s="545">
        <f>-'Foglio deposito bis'!$F$91*(C2351-sezione!$AO$36)*IF(ABS(N2351)&lt;'Sollecitazioni nel paramento'!$G$58,ABS(N2351)*'Sollecitazioni nel paramento'!$G$54,'Sollecitazioni nel paramento'!$G$53)</f>
        <v>70591832.577089459</v>
      </c>
      <c r="I2351" s="472">
        <f>-'Foglio deposito bis'!$F$92*(C2351-sezione!$AP$36)*IF(ABS(O2351)&lt;'Sollecitazioni nel paramento'!$G$58,ABS(O2351)*'Sollecitazioni nel paramento'!$G$54,'Sollecitazioni nel paramento'!$G$53)</f>
        <v>1123990618.7628655</v>
      </c>
      <c r="J2351" s="472">
        <f t="shared" si="161"/>
        <v>1047424772.4630607</v>
      </c>
      <c r="K2351" s="550">
        <f>'Sollecitazioni nel paramento'!$G$60*(sezione!$AL$36-C2351)/C2351</f>
        <v>-1.7695588368091229E-3</v>
      </c>
      <c r="L2351" s="550">
        <f>'Sollecitazioni nel paramento'!$G$60*(sezione!$AM$36-C2351)/C2351</f>
        <v>-9.0433825521368425E-4</v>
      </c>
      <c r="M2351" s="551">
        <f>'Sollecitazioni nel paramento'!$G$60*(sezione!$AN$36-C2351)/C2351</f>
        <v>-3.9117673618245695E-5</v>
      </c>
      <c r="N2351" s="551">
        <f>'Sollecitazioni nel paramento'!$G$60*(sezione!$AO$36-C2351)/C2351</f>
        <v>3.4217646527635085E-3</v>
      </c>
      <c r="O2351" s="551">
        <f>'Sollecitazioni nel paramento'!$G$60*(sezione!$AP$36-C2351)/C2351</f>
        <v>2.9256225503475803E-2</v>
      </c>
      <c r="P2351" s="545">
        <f>-'Sollecitazioni nel paramento'!$G$47*'Sollecitazioni nel paramento'!$G$41*IF(DATI!$G$211="dx",DATI!$E$61,DATI!$E$64*DATI!$E$63)*1000*C2351*sezione!$AD$5</f>
        <v>-3082208.2330525764</v>
      </c>
      <c r="Q2351" s="545">
        <f>'Foglio deposito bis'!$F$88*IF(ABS(K2351)&lt;'Sollecitazioni nel paramento'!$G$58,ABS(K2351)*'Sollecitazioni nel paramento'!$G$54,'Sollecitazioni nel paramento'!$G$53)*IF(K2351&lt;0,-1,1)</f>
        <v>0</v>
      </c>
      <c r="R2351" s="545">
        <f>'Foglio deposito bis'!$F$89*IF(ABS(L2351)&lt;'Sollecitazioni nel paramento'!$G$58,ABS(L2351)*'Sollecitazioni nel paramento'!$G$54,'Sollecitazioni nel paramento'!$G$53)*IF(L2351&lt;0,-1,1)</f>
        <v>-73157.357287692692</v>
      </c>
      <c r="S2351" s="545">
        <f>'Foglio deposito bis'!$F$90*IF(ABS(M2351)&lt;'Sollecitazioni nel paramento'!$G$58,ABS(M2351)*'Sollecitazioni nel paramento'!$G$54,'Sollecitazioni nel paramento'!$G$53)*IF(M2351&lt;0,-1,1)</f>
        <v>0</v>
      </c>
      <c r="T2351" s="545">
        <f>'Foglio deposito bis'!$F$91*IF(ABS(N2351)&lt;'Sollecitazioni nel paramento'!$G$58,ABS(N2351)*'Sollecitazioni nel paramento'!$G$54,'Sollecitazioni nel paramento'!$G$53)*IF(N2351&lt;0,-1,1)</f>
        <v>892485.49558937876</v>
      </c>
      <c r="U2351" s="545">
        <f>'Foglio deposito bis'!$F$92*IF(ABS(O2351)&lt;'Sollecitazioni nel paramento'!$G$58,ABS(O2351)*'Sollecitazioni nel paramento'!$G$54,'Sollecitazioni nel paramento'!$G$53)*IF(O2351&lt;0,-1,1)</f>
        <v>1662039.1047339395</v>
      </c>
      <c r="V2351" s="472">
        <f t="shared" si="163"/>
        <v>-600840.99001695099</v>
      </c>
      <c r="W2351" s="551"/>
      <c r="X2351" s="551"/>
    </row>
    <row r="2352" spans="1:24" x14ac:dyDescent="0.25">
      <c r="A2352" s="545">
        <f t="shared" si="162"/>
        <v>688487.20126935956</v>
      </c>
      <c r="B2352" s="3">
        <f t="shared" si="165"/>
        <v>7.6999999999999922</v>
      </c>
      <c r="C2352" s="545">
        <f>'Foglio deposito bis'!$E$162/sezione!$B$247*B2352</f>
        <v>83.061670278516573</v>
      </c>
      <c r="D2352" s="603">
        <f>-'Sollecitazioni nel paramento'!$G$47*'Sollecitazioni nel paramento'!$G$41*IF(DATI!$G$211="dx",DATI!$E$61,DATI!$E$64*DATI!$E$63)*1000*C2352^2*sezione!$AD$5*(1-sezione!$AD$6)</f>
        <v>-153498786.02149242</v>
      </c>
      <c r="E2352" s="545">
        <f>-'Foglio deposito bis'!$F$88*(C2352-sezione!$AL$36)*IF(ABS(K2352)&lt;'Sollecitazioni nel paramento'!$G$58,ABS(K2352)*'Sollecitazioni nel paramento'!$G$54,'Sollecitazioni nel paramento'!$G$53)</f>
        <v>0</v>
      </c>
      <c r="F2352" s="545">
        <f>-'Foglio deposito bis'!$F$89*(C2352-sezione!$AM$36)*IF(ABS(L2352)&lt;'Sollecitazioni nel paramento'!$G$58,ABS(L2352)*'Sollecitazioni nel paramento'!$G$54,'Sollecitazioni nel paramento'!$G$53)</f>
        <v>-1812909.0106036521</v>
      </c>
      <c r="G2352" s="545">
        <f>-'Foglio deposito bis'!$F$90*(C2352-sezione!$AN$36)*IF(ABS(M2352)&lt;'Sollecitazioni nel paramento'!$G$58,ABS(M2352)*'Sollecitazioni nel paramento'!$G$54,'Sollecitazioni nel paramento'!$G$53)</f>
        <v>0</v>
      </c>
      <c r="H2352" s="545">
        <f>-'Foglio deposito bis'!$F$91*(C2352-sezione!$AO$36)*IF(ABS(N2352)&lt;'Sollecitazioni nel paramento'!$G$58,ABS(N2352)*'Sollecitazioni nel paramento'!$G$54,'Sollecitazioni nel paramento'!$G$53)</f>
        <v>68666343.331297174</v>
      </c>
      <c r="I2352" s="472">
        <f>-'Foglio deposito bis'!$F$92*(C2352-sezione!$AP$36)*IF(ABS(O2352)&lt;'Sollecitazioni nel paramento'!$G$58,ABS(O2352)*'Sollecitazioni nel paramento'!$G$54,'Sollecitazioni nel paramento'!$G$53)</f>
        <v>1120404859.1756601</v>
      </c>
      <c r="J2352" s="472">
        <f t="shared" si="161"/>
        <v>1033759507.4748613</v>
      </c>
      <c r="K2352" s="550">
        <f>'Sollecitazioni nel paramento'!$G$60*(sezione!$AL$36-C2352)/C2352</f>
        <v>-1.8145053605283662E-3</v>
      </c>
      <c r="L2352" s="550">
        <f>'Sollecitazioni nel paramento'!$G$60*(sezione!$AM$36-C2352)/C2352</f>
        <v>-9.7175804079254954E-4</v>
      </c>
      <c r="M2352" s="551">
        <f>'Sollecitazioni nel paramento'!$G$60*(sezione!$AN$36-C2352)/C2352</f>
        <v>-1.2901072105673267E-4</v>
      </c>
      <c r="N2352" s="551">
        <f>'Sollecitazioni nel paramento'!$G$60*(sezione!$AO$36-C2352)/C2352</f>
        <v>3.2419785578865347E-3</v>
      </c>
      <c r="O2352" s="551">
        <f>'Sollecitazioni nel paramento'!$G$60*(sezione!$AP$36-C2352)/C2352</f>
        <v>2.8405414451437475E-2</v>
      </c>
      <c r="P2352" s="545">
        <f>-'Sollecitazioni nel paramento'!$G$47*'Sollecitazioni nel paramento'!$G$41*IF(DATI!$G$211="dx",DATI!$E$61,DATI!$E$64*DATI!$E$63)*1000*C2352*sezione!$AD$5</f>
        <v>-3164400.4526006454</v>
      </c>
      <c r="Q2352" s="545">
        <f>'Foglio deposito bis'!$F$88*IF(ABS(K2352)&lt;'Sollecitazioni nel paramento'!$G$58,ABS(K2352)*'Sollecitazioni nel paramento'!$G$54,'Sollecitazioni nel paramento'!$G$53)*IF(K2352&lt;0,-1,1)</f>
        <v>0</v>
      </c>
      <c r="R2352" s="545">
        <f>'Foglio deposito bis'!$F$89*IF(ABS(L2352)&lt;'Sollecitazioni nel paramento'!$G$58,ABS(L2352)*'Sollecitazioni nel paramento'!$G$54,'Sollecitazioni nel paramento'!$G$53)*IF(L2352&lt;0,-1,1)</f>
        <v>-78611.34899203261</v>
      </c>
      <c r="S2352" s="545">
        <f>'Foglio deposito bis'!$F$90*IF(ABS(M2352)&lt;'Sollecitazioni nel paramento'!$G$58,ABS(M2352)*'Sollecitazioni nel paramento'!$G$54,'Sollecitazioni nel paramento'!$G$53)*IF(M2352&lt;0,-1,1)</f>
        <v>0</v>
      </c>
      <c r="T2352" s="545">
        <f>'Foglio deposito bis'!$F$91*IF(ABS(N2352)&lt;'Sollecitazioni nel paramento'!$G$58,ABS(N2352)*'Sollecitazioni nel paramento'!$G$54,'Sollecitazioni nel paramento'!$G$53)*IF(N2352&lt;0,-1,1)</f>
        <v>892485.49558937876</v>
      </c>
      <c r="U2352" s="545">
        <f>'Foglio deposito bis'!$F$92*IF(ABS(O2352)&lt;'Sollecitazioni nel paramento'!$G$58,ABS(O2352)*'Sollecitazioni nel paramento'!$G$54,'Sollecitazioni nel paramento'!$G$53)*IF(O2352&lt;0,-1,1)</f>
        <v>1662039.1047339395</v>
      </c>
      <c r="V2352" s="472">
        <f t="shared" si="163"/>
        <v>-688487.20126935956</v>
      </c>
      <c r="W2352" s="551"/>
      <c r="X2352" s="551"/>
    </row>
    <row r="2353" spans="1:24" x14ac:dyDescent="0.25">
      <c r="A2353" s="545">
        <f t="shared" si="162"/>
        <v>775857.26104306779</v>
      </c>
      <c r="B2353" s="3">
        <f t="shared" si="165"/>
        <v>7.8999999999999924</v>
      </c>
      <c r="C2353" s="545">
        <f>'Foglio deposito bis'!$E$162/sezione!$B$247*B2353</f>
        <v>85.219116259776754</v>
      </c>
      <c r="D2353" s="603">
        <f>-'Sollecitazioni nel paramento'!$G$47*'Sollecitazioni nel paramento'!$G$41*IF(DATI!$G$211="dx",DATI!$E$61,DATI!$E$64*DATI!$E$63)*1000*C2353^2*sezione!$AD$5*(1-sezione!$AD$6)</f>
        <v>-161576306.89157271</v>
      </c>
      <c r="E2353" s="545">
        <f>-'Foglio deposito bis'!$F$88*(C2353-sezione!$AL$36)*IF(ABS(K2353)&lt;'Sollecitazioni nel paramento'!$G$58,ABS(K2353)*'Sollecitazioni nel paramento'!$G$54,'Sollecitazioni nel paramento'!$G$53)</f>
        <v>0</v>
      </c>
      <c r="F2353" s="545">
        <f>-'Foglio deposito bis'!$F$89*(C2353-sezione!$AM$36)*IF(ABS(L2353)&lt;'Sollecitazioni nel paramento'!$G$58,ABS(L2353)*'Sollecitazioni nel paramento'!$G$54,'Sollecitazioni nel paramento'!$G$53)</f>
        <v>-2113089.3041928979</v>
      </c>
      <c r="G2353" s="545">
        <f>-'Foglio deposito bis'!$F$90*(C2353-sezione!$AN$36)*IF(ABS(M2353)&lt;'Sollecitazioni nel paramento'!$G$58,ABS(M2353)*'Sollecitazioni nel paramento'!$G$54,'Sollecitazioni nel paramento'!$G$53)</f>
        <v>0</v>
      </c>
      <c r="H2353" s="545">
        <f>-'Foglio deposito bis'!$F$91*(C2353-sezione!$AO$36)*IF(ABS(N2353)&lt;'Sollecitazioni nel paramento'!$G$58,ABS(N2353)*'Sollecitazioni nel paramento'!$G$54,'Sollecitazioni nel paramento'!$G$53)</f>
        <v>66740854.085504867</v>
      </c>
      <c r="I2353" s="472">
        <f>-'Foglio deposito bis'!$F$92*(C2353-sezione!$AP$36)*IF(ABS(O2353)&lt;'Sollecitazioni nel paramento'!$G$58,ABS(O2353)*'Sollecitazioni nel paramento'!$G$54,'Sollecitazioni nel paramento'!$G$53)</f>
        <v>1116819099.5884545</v>
      </c>
      <c r="J2353" s="472">
        <f t="shared" si="161"/>
        <v>1019870557.4781938</v>
      </c>
      <c r="K2353" s="550">
        <f>'Sollecitazioni nel paramento'!$G$60*(sezione!$AL$36-C2353)/C2353</f>
        <v>-1.8571761108947373E-3</v>
      </c>
      <c r="L2353" s="550">
        <f>'Sollecitazioni nel paramento'!$G$60*(sezione!$AM$36-C2353)/C2353</f>
        <v>-1.0357641663421055E-3</v>
      </c>
      <c r="M2353" s="551">
        <f>'Sollecitazioni nel paramento'!$G$60*(sezione!$AN$36-C2353)/C2353</f>
        <v>-2.1435222178947406E-4</v>
      </c>
      <c r="N2353" s="551">
        <f>'Sollecitazioni nel paramento'!$G$60*(sezione!$AO$36-C2353)/C2353</f>
        <v>3.071295556421052E-3</v>
      </c>
      <c r="O2353" s="551">
        <f>'Sollecitazioni nel paramento'!$G$60*(sezione!$AP$36-C2353)/C2353</f>
        <v>2.7597682440008674E-2</v>
      </c>
      <c r="P2353" s="545">
        <f>-'Sollecitazioni nel paramento'!$G$47*'Sollecitazioni nel paramento'!$G$41*IF(DATI!$G$211="dx",DATI!$E$61,DATI!$E$64*DATI!$E$63)*1000*C2353*sezione!$AD$5</f>
        <v>-3246592.6721487143</v>
      </c>
      <c r="Q2353" s="545">
        <f>'Foglio deposito bis'!$F$88*IF(ABS(K2353)&lt;'Sollecitazioni nel paramento'!$G$58,ABS(K2353)*'Sollecitazioni nel paramento'!$G$54,'Sollecitazioni nel paramento'!$G$53)*IF(K2353&lt;0,-1,1)</f>
        <v>0</v>
      </c>
      <c r="R2353" s="545">
        <f>'Foglio deposito bis'!$F$89*IF(ABS(L2353)&lt;'Sollecitazioni nel paramento'!$G$58,ABS(L2353)*'Sollecitazioni nel paramento'!$G$54,'Sollecitazioni nel paramento'!$G$53)*IF(L2353&lt;0,-1,1)</f>
        <v>-83789.18921767181</v>
      </c>
      <c r="S2353" s="545">
        <f>'Foglio deposito bis'!$F$90*IF(ABS(M2353)&lt;'Sollecitazioni nel paramento'!$G$58,ABS(M2353)*'Sollecitazioni nel paramento'!$G$54,'Sollecitazioni nel paramento'!$G$53)*IF(M2353&lt;0,-1,1)</f>
        <v>0</v>
      </c>
      <c r="T2353" s="545">
        <f>'Foglio deposito bis'!$F$91*IF(ABS(N2353)&lt;'Sollecitazioni nel paramento'!$G$58,ABS(N2353)*'Sollecitazioni nel paramento'!$G$54,'Sollecitazioni nel paramento'!$G$53)*IF(N2353&lt;0,-1,1)</f>
        <v>892485.49558937876</v>
      </c>
      <c r="U2353" s="545">
        <f>'Foglio deposito bis'!$F$92*IF(ABS(O2353)&lt;'Sollecitazioni nel paramento'!$G$58,ABS(O2353)*'Sollecitazioni nel paramento'!$G$54,'Sollecitazioni nel paramento'!$G$53)*IF(O2353&lt;0,-1,1)</f>
        <v>1662039.1047339395</v>
      </c>
      <c r="V2353" s="472">
        <f t="shared" si="163"/>
        <v>-775857.26104306779</v>
      </c>
      <c r="W2353" s="551"/>
      <c r="X2353" s="551"/>
    </row>
    <row r="2354" spans="1:24" x14ac:dyDescent="0.25">
      <c r="A2354" s="545">
        <f t="shared" si="162"/>
        <v>862971.62500316487</v>
      </c>
      <c r="B2354" s="3">
        <f t="shared" si="165"/>
        <v>8.0999999999999925</v>
      </c>
      <c r="C2354" s="545">
        <f>'Foglio deposito bis'!$E$162/sezione!$B$247*B2354</f>
        <v>87.376562241036936</v>
      </c>
      <c r="D2354" s="603">
        <f>-'Sollecitazioni nel paramento'!$G$47*'Sollecitazioni nel paramento'!$G$41*IF(DATI!$G$211="dx",DATI!$E$61,DATI!$E$64*DATI!$E$63)*1000*C2354^2*sezione!$AD$5*(1-sezione!$AD$6)</f>
        <v>-169860943.6813986</v>
      </c>
      <c r="E2354" s="545">
        <f>-'Foglio deposito bis'!$F$88*(C2354-sezione!$AL$36)*IF(ABS(K2354)&lt;'Sollecitazioni nel paramento'!$G$58,ABS(K2354)*'Sollecitazioni nel paramento'!$G$54,'Sollecitazioni nel paramento'!$G$53)</f>
        <v>0</v>
      </c>
      <c r="F2354" s="545">
        <f>-'Foglio deposito bis'!$F$89*(C2354-sezione!$AM$36)*IF(ABS(L2354)&lt;'Sollecitazioni nel paramento'!$G$58,ABS(L2354)*'Sollecitazioni nel paramento'!$G$54,'Sollecitazioni nel paramento'!$G$53)</f>
        <v>-2428611.3465988538</v>
      </c>
      <c r="G2354" s="545">
        <f>-'Foglio deposito bis'!$F$90*(C2354-sezione!$AN$36)*IF(ABS(M2354)&lt;'Sollecitazioni nel paramento'!$G$58,ABS(M2354)*'Sollecitazioni nel paramento'!$G$54,'Sollecitazioni nel paramento'!$G$53)</f>
        <v>0</v>
      </c>
      <c r="H2354" s="545">
        <f>-'Foglio deposito bis'!$F$91*(C2354-sezione!$AO$36)*IF(ABS(N2354)&lt;'Sollecitazioni nel paramento'!$G$58,ABS(N2354)*'Sollecitazioni nel paramento'!$G$54,'Sollecitazioni nel paramento'!$G$53)</f>
        <v>64815364.83971256</v>
      </c>
      <c r="I2354" s="472">
        <f>-'Foglio deposito bis'!$F$92*(C2354-sezione!$AP$36)*IF(ABS(O2354)&lt;'Sollecitazioni nel paramento'!$G$58,ABS(O2354)*'Sollecitazioni nel paramento'!$G$54,'Sollecitazioni nel paramento'!$G$53)</f>
        <v>1113233340.0012491</v>
      </c>
      <c r="J2354" s="472">
        <f t="shared" si="161"/>
        <v>1005759149.8129642</v>
      </c>
      <c r="K2354" s="550">
        <f>'Sollecitazioni nel paramento'!$G$60*(sezione!$AL$36-C2354)/C2354</f>
        <v>-1.8977396637121513E-3</v>
      </c>
      <c r="L2354" s="550">
        <f>'Sollecitazioni nel paramento'!$G$60*(sezione!$AM$36-C2354)/C2354</f>
        <v>-1.0966094955682268E-3</v>
      </c>
      <c r="M2354" s="551">
        <f>'Sollecitazioni nel paramento'!$G$60*(sezione!$AN$36-C2354)/C2354</f>
        <v>-2.9547932742430227E-4</v>
      </c>
      <c r="N2354" s="551">
        <f>'Sollecitazioni nel paramento'!$G$60*(sezione!$AO$36-C2354)/C2354</f>
        <v>2.909041345151396E-3</v>
      </c>
      <c r="O2354" s="551">
        <f>'Sollecitazioni nel paramento'!$G$60*(sezione!$AP$36-C2354)/C2354</f>
        <v>2.6829838429144257E-2</v>
      </c>
      <c r="P2354" s="545">
        <f>-'Sollecitazioni nel paramento'!$G$47*'Sollecitazioni nel paramento'!$G$41*IF(DATI!$G$211="dx",DATI!$E$61,DATI!$E$64*DATI!$E$63)*1000*C2354*sezione!$AD$5</f>
        <v>-3328784.8916967837</v>
      </c>
      <c r="Q2354" s="545">
        <f>'Foglio deposito bis'!$F$88*IF(ABS(K2354)&lt;'Sollecitazioni nel paramento'!$G$58,ABS(K2354)*'Sollecitazioni nel paramento'!$G$54,'Sollecitazioni nel paramento'!$G$53)*IF(K2354&lt;0,-1,1)</f>
        <v>0</v>
      </c>
      <c r="R2354" s="545">
        <f>'Foglio deposito bis'!$F$89*IF(ABS(L2354)&lt;'Sollecitazioni nel paramento'!$G$58,ABS(L2354)*'Sollecitazioni nel paramento'!$G$54,'Sollecitazioni nel paramento'!$G$53)*IF(L2354&lt;0,-1,1)</f>
        <v>-88711.333629699206</v>
      </c>
      <c r="S2354" s="545">
        <f>'Foglio deposito bis'!$F$90*IF(ABS(M2354)&lt;'Sollecitazioni nel paramento'!$G$58,ABS(M2354)*'Sollecitazioni nel paramento'!$G$54,'Sollecitazioni nel paramento'!$G$53)*IF(M2354&lt;0,-1,1)</f>
        <v>0</v>
      </c>
      <c r="T2354" s="545">
        <f>'Foglio deposito bis'!$F$91*IF(ABS(N2354)&lt;'Sollecitazioni nel paramento'!$G$58,ABS(N2354)*'Sollecitazioni nel paramento'!$G$54,'Sollecitazioni nel paramento'!$G$53)*IF(N2354&lt;0,-1,1)</f>
        <v>892485.49558937876</v>
      </c>
      <c r="U2354" s="545">
        <f>'Foglio deposito bis'!$F$92*IF(ABS(O2354)&lt;'Sollecitazioni nel paramento'!$G$58,ABS(O2354)*'Sollecitazioni nel paramento'!$G$54,'Sollecitazioni nel paramento'!$G$53)*IF(O2354&lt;0,-1,1)</f>
        <v>1662039.1047339395</v>
      </c>
      <c r="V2354" s="472">
        <f t="shared" si="163"/>
        <v>-862971.62500316487</v>
      </c>
      <c r="W2354" s="551"/>
      <c r="X2354" s="551"/>
    </row>
    <row r="2355" spans="1:24" x14ac:dyDescent="0.25">
      <c r="A2355" s="545">
        <f t="shared" si="162"/>
        <v>949848.77718436695</v>
      </c>
      <c r="B2355" s="3">
        <f t="shared" si="165"/>
        <v>8.2999999999999918</v>
      </c>
      <c r="C2355" s="545">
        <f>'Foglio deposito bis'!$E$162/sezione!$B$247*B2355</f>
        <v>89.534008222297089</v>
      </c>
      <c r="D2355" s="603">
        <f>-'Sollecitazioni nel paramento'!$G$47*'Sollecitazioni nel paramento'!$G$41*IF(DATI!$G$211="dx",DATI!$E$61,DATI!$E$64*DATI!$E$63)*1000*C2355^2*sezione!$AD$5*(1-sezione!$AD$6)</f>
        <v>-178352696.39096999</v>
      </c>
      <c r="E2355" s="545">
        <f>-'Foglio deposito bis'!$F$88*(C2355-sezione!$AL$36)*IF(ABS(K2355)&lt;'Sollecitazioni nel paramento'!$G$58,ABS(K2355)*'Sollecitazioni nel paramento'!$G$54,'Sollecitazioni nel paramento'!$G$53)</f>
        <v>0</v>
      </c>
      <c r="F2355" s="545">
        <f>-'Foglio deposito bis'!$F$89*(C2355-sezione!$AM$36)*IF(ABS(L2355)&lt;'Sollecitazioni nel paramento'!$G$58,ABS(L2355)*'Sollecitazioni nel paramento'!$G$54,'Sollecitazioni nel paramento'!$G$53)</f>
        <v>-2758366.0957383774</v>
      </c>
      <c r="G2355" s="545">
        <f>-'Foglio deposito bis'!$F$90*(C2355-sezione!$AN$36)*IF(ABS(M2355)&lt;'Sollecitazioni nel paramento'!$G$58,ABS(M2355)*'Sollecitazioni nel paramento'!$G$54,'Sollecitazioni nel paramento'!$G$53)</f>
        <v>0</v>
      </c>
      <c r="H2355" s="545">
        <f>-'Foglio deposito bis'!$F$91*(C2355-sezione!$AO$36)*IF(ABS(N2355)&lt;'Sollecitazioni nel paramento'!$G$58,ABS(N2355)*'Sollecitazioni nel paramento'!$G$54,'Sollecitazioni nel paramento'!$G$53)</f>
        <v>62889875.593920276</v>
      </c>
      <c r="I2355" s="472">
        <f>-'Foglio deposito bis'!$F$92*(C2355-sezione!$AP$36)*IF(ABS(O2355)&lt;'Sollecitazioni nel paramento'!$G$58,ABS(O2355)*'Sollecitazioni nel paramento'!$G$54,'Sollecitazioni nel paramento'!$G$53)</f>
        <v>1109647580.4140437</v>
      </c>
      <c r="J2355" s="472">
        <f t="shared" si="161"/>
        <v>991426393.52125561</v>
      </c>
      <c r="K2355" s="550">
        <f>'Sollecitazioni nel paramento'!$G$60*(sezione!$AL$36-C2355)/C2355</f>
        <v>-1.9363483465142676E-3</v>
      </c>
      <c r="L2355" s="550">
        <f>'Sollecitazioni nel paramento'!$G$60*(sezione!$AM$36-C2355)/C2355</f>
        <v>-1.1545225197714015E-3</v>
      </c>
      <c r="M2355" s="551">
        <f>'Sollecitazioni nel paramento'!$G$60*(sezione!$AN$36-C2355)/C2355</f>
        <v>-3.7269669302853533E-4</v>
      </c>
      <c r="N2355" s="551">
        <f>'Sollecitazioni nel paramento'!$G$60*(sezione!$AO$36-C2355)/C2355</f>
        <v>2.7546066139429296E-3</v>
      </c>
      <c r="O2355" s="551">
        <f>'Sollecitazioni nel paramento'!$G$60*(sezione!$AP$36-C2355)/C2355</f>
        <v>2.6098998948923924E-2</v>
      </c>
      <c r="P2355" s="545">
        <f>-'Sollecitazioni nel paramento'!$G$47*'Sollecitazioni nel paramento'!$G$41*IF(DATI!$G$211="dx",DATI!$E$61,DATI!$E$64*DATI!$E$63)*1000*C2355*sezione!$AD$5</f>
        <v>-3410977.1112448517</v>
      </c>
      <c r="Q2355" s="545">
        <f>'Foglio deposito bis'!$F$88*IF(ABS(K2355)&lt;'Sollecitazioni nel paramento'!$G$58,ABS(K2355)*'Sollecitazioni nel paramento'!$G$54,'Sollecitazioni nel paramento'!$G$53)*IF(K2355&lt;0,-1,1)</f>
        <v>0</v>
      </c>
      <c r="R2355" s="545">
        <f>'Foglio deposito bis'!$F$89*IF(ABS(L2355)&lt;'Sollecitazioni nel paramento'!$G$58,ABS(L2355)*'Sollecitazioni nel paramento'!$G$54,'Sollecitazioni nel paramento'!$G$53)*IF(L2355&lt;0,-1,1)</f>
        <v>-93396.266262833655</v>
      </c>
      <c r="S2355" s="545">
        <f>'Foglio deposito bis'!$F$90*IF(ABS(M2355)&lt;'Sollecitazioni nel paramento'!$G$58,ABS(M2355)*'Sollecitazioni nel paramento'!$G$54,'Sollecitazioni nel paramento'!$G$53)*IF(M2355&lt;0,-1,1)</f>
        <v>0</v>
      </c>
      <c r="T2355" s="545">
        <f>'Foglio deposito bis'!$F$91*IF(ABS(N2355)&lt;'Sollecitazioni nel paramento'!$G$58,ABS(N2355)*'Sollecitazioni nel paramento'!$G$54,'Sollecitazioni nel paramento'!$G$53)*IF(N2355&lt;0,-1,1)</f>
        <v>892485.49558937876</v>
      </c>
      <c r="U2355" s="545">
        <f>'Foglio deposito bis'!$F$92*IF(ABS(O2355)&lt;'Sollecitazioni nel paramento'!$G$58,ABS(O2355)*'Sollecitazioni nel paramento'!$G$54,'Sollecitazioni nel paramento'!$G$53)*IF(O2355&lt;0,-1,1)</f>
        <v>1662039.1047339395</v>
      </c>
      <c r="V2355" s="472">
        <f t="shared" si="163"/>
        <v>-949848.77718436695</v>
      </c>
      <c r="W2355" s="551"/>
      <c r="X2355" s="551"/>
    </row>
    <row r="2356" spans="1:24" x14ac:dyDescent="0.25">
      <c r="A2356" s="545">
        <f t="shared" si="162"/>
        <v>1036505.4619475396</v>
      </c>
      <c r="B2356" s="3">
        <f t="shared" si="165"/>
        <v>8.4999999999999911</v>
      </c>
      <c r="C2356" s="545">
        <f>'Foglio deposito bis'!$E$162/sezione!$B$247*B2356</f>
        <v>91.691454203557257</v>
      </c>
      <c r="D2356" s="603">
        <f>-'Sollecitazioni nel paramento'!$G$47*'Sollecitazioni nel paramento'!$G$41*IF(DATI!$G$211="dx",DATI!$E$61,DATI!$E$64*DATI!$E$63)*1000*C2356^2*sezione!$AD$5*(1-sezione!$AD$6)</f>
        <v>-187051565.02028719</v>
      </c>
      <c r="E2356" s="545">
        <f>-'Foglio deposito bis'!$F$88*(C2356-sezione!$AL$36)*IF(ABS(K2356)&lt;'Sollecitazioni nel paramento'!$G$58,ABS(K2356)*'Sollecitazioni nel paramento'!$G$54,'Sollecitazioni nel paramento'!$G$53)</f>
        <v>0</v>
      </c>
      <c r="F2356" s="545">
        <f>-'Foglio deposito bis'!$F$89*(C2356-sezione!$AM$36)*IF(ABS(L2356)&lt;'Sollecitazioni nel paramento'!$G$58,ABS(L2356)*'Sollecitazioni nel paramento'!$G$54,'Sollecitazioni nel paramento'!$G$53)</f>
        <v>-3101348.8899596948</v>
      </c>
      <c r="G2356" s="545">
        <f>-'Foglio deposito bis'!$F$90*(C2356-sezione!$AN$36)*IF(ABS(M2356)&lt;'Sollecitazioni nel paramento'!$G$58,ABS(M2356)*'Sollecitazioni nel paramento'!$G$54,'Sollecitazioni nel paramento'!$G$53)</f>
        <v>0</v>
      </c>
      <c r="H2356" s="545">
        <f>-'Foglio deposito bis'!$F$91*(C2356-sezione!$AO$36)*IF(ABS(N2356)&lt;'Sollecitazioni nel paramento'!$G$58,ABS(N2356)*'Sollecitazioni nel paramento'!$G$54,'Sollecitazioni nel paramento'!$G$53)</f>
        <v>60964386.348127984</v>
      </c>
      <c r="I2356" s="472">
        <f>-'Foglio deposito bis'!$F$92*(C2356-sezione!$AP$36)*IF(ABS(O2356)&lt;'Sollecitazioni nel paramento'!$G$58,ABS(O2356)*'Sollecitazioni nel paramento'!$G$54,'Sollecitazioni nel paramento'!$G$53)</f>
        <v>1106061820.8268383</v>
      </c>
      <c r="J2356" s="472">
        <f t="shared" si="161"/>
        <v>976873293.26471937</v>
      </c>
      <c r="K2356" s="550">
        <f>'Sollecitazioni nel paramento'!$G$60*(sezione!$AL$36-C2356)/C2356</f>
        <v>-1.9731401501256966E-3</v>
      </c>
      <c r="L2356" s="550">
        <f>'Sollecitazioni nel paramento'!$G$60*(sezione!$AM$36-C2356)/C2356</f>
        <v>-1.209710225188545E-3</v>
      </c>
      <c r="M2356" s="551">
        <f>'Sollecitazioni nel paramento'!$G$60*(sezione!$AN$36-C2356)/C2356</f>
        <v>-4.4628030025139315E-4</v>
      </c>
      <c r="N2356" s="551">
        <f>'Sollecitazioni nel paramento'!$G$60*(sezione!$AO$36-C2356)/C2356</f>
        <v>2.6074393994972135E-3</v>
      </c>
      <c r="O2356" s="551">
        <f>'Sollecitazioni nel paramento'!$G$60*(sezione!$AP$36-C2356)/C2356</f>
        <v>2.5402551914831595E-2</v>
      </c>
      <c r="P2356" s="545">
        <f>-'Sollecitazioni nel paramento'!$G$47*'Sollecitazioni nel paramento'!$G$41*IF(DATI!$G$211="dx",DATI!$E$61,DATI!$E$64*DATI!$E$63)*1000*C2356*sezione!$AD$5</f>
        <v>-3493169.3307929197</v>
      </c>
      <c r="Q2356" s="545">
        <f>'Foglio deposito bis'!$F$88*IF(ABS(K2356)&lt;'Sollecitazioni nel paramento'!$G$58,ABS(K2356)*'Sollecitazioni nel paramento'!$G$54,'Sollecitazioni nel paramento'!$G$53)*IF(K2356&lt;0,-1,1)</f>
        <v>0</v>
      </c>
      <c r="R2356" s="545">
        <f>'Foglio deposito bis'!$F$89*IF(ABS(L2356)&lt;'Sollecitazioni nel paramento'!$G$58,ABS(L2356)*'Sollecitazioni nel paramento'!$G$54,'Sollecitazioni nel paramento'!$G$53)*IF(L2356&lt;0,-1,1)</f>
        <v>-97860.731477938258</v>
      </c>
      <c r="S2356" s="545">
        <f>'Foglio deposito bis'!$F$90*IF(ABS(M2356)&lt;'Sollecitazioni nel paramento'!$G$58,ABS(M2356)*'Sollecitazioni nel paramento'!$G$54,'Sollecitazioni nel paramento'!$G$53)*IF(M2356&lt;0,-1,1)</f>
        <v>0</v>
      </c>
      <c r="T2356" s="545">
        <f>'Foglio deposito bis'!$F$91*IF(ABS(N2356)&lt;'Sollecitazioni nel paramento'!$G$58,ABS(N2356)*'Sollecitazioni nel paramento'!$G$54,'Sollecitazioni nel paramento'!$G$53)*IF(N2356&lt;0,-1,1)</f>
        <v>892485.49558937876</v>
      </c>
      <c r="U2356" s="545">
        <f>'Foglio deposito bis'!$F$92*IF(ABS(O2356)&lt;'Sollecitazioni nel paramento'!$G$58,ABS(O2356)*'Sollecitazioni nel paramento'!$G$54,'Sollecitazioni nel paramento'!$G$53)*IF(O2356&lt;0,-1,1)</f>
        <v>1662039.1047339395</v>
      </c>
      <c r="V2356" s="472">
        <f t="shared" si="163"/>
        <v>-1036505.4619475396</v>
      </c>
      <c r="W2356" s="551"/>
      <c r="X2356" s="551"/>
    </row>
    <row r="2357" spans="1:24" x14ac:dyDescent="0.25">
      <c r="A2357" s="545">
        <f t="shared" si="162"/>
        <v>1122956.8839422029</v>
      </c>
      <c r="B2357" s="3">
        <f t="shared" si="165"/>
        <v>8.6999999999999904</v>
      </c>
      <c r="C2357" s="545">
        <f>'Foglio deposito bis'!$E$162/sezione!$B$247*B2357</f>
        <v>93.848900184817424</v>
      </c>
      <c r="D2357" s="603">
        <f>-'Sollecitazioni nel paramento'!$G$47*'Sollecitazioni nel paramento'!$G$41*IF(DATI!$G$211="dx",DATI!$E$61,DATI!$E$64*DATI!$E$63)*1000*C2357^2*sezione!$AD$5*(1-sezione!$AD$6)</f>
        <v>-195957549.56934997</v>
      </c>
      <c r="E2357" s="545">
        <f>-'Foglio deposito bis'!$F$88*(C2357-sezione!$AL$36)*IF(ABS(K2357)&lt;'Sollecitazioni nel paramento'!$G$58,ABS(K2357)*'Sollecitazioni nel paramento'!$G$54,'Sollecitazioni nel paramento'!$G$53)</f>
        <v>0</v>
      </c>
      <c r="F2357" s="545">
        <f>-'Foglio deposito bis'!$F$89*(C2357-sezione!$AM$36)*IF(ABS(L2357)&lt;'Sollecitazioni nel paramento'!$G$58,ABS(L2357)*'Sollecitazioni nel paramento'!$G$54,'Sollecitazioni nel paramento'!$G$53)</f>
        <v>-3456647.4502916452</v>
      </c>
      <c r="G2357" s="545">
        <f>-'Foglio deposito bis'!$F$90*(C2357-sezione!$AN$36)*IF(ABS(M2357)&lt;'Sollecitazioni nel paramento'!$G$58,ABS(M2357)*'Sollecitazioni nel paramento'!$G$54,'Sollecitazioni nel paramento'!$G$53)</f>
        <v>0</v>
      </c>
      <c r="H2357" s="545">
        <f>-'Foglio deposito bis'!$F$91*(C2357-sezione!$AO$36)*IF(ABS(N2357)&lt;'Sollecitazioni nel paramento'!$G$58,ABS(N2357)*'Sollecitazioni nel paramento'!$G$54,'Sollecitazioni nel paramento'!$G$53)</f>
        <v>59038897.102335684</v>
      </c>
      <c r="I2357" s="472">
        <f>-'Foglio deposito bis'!$F$92*(C2357-sezione!$AP$36)*IF(ABS(O2357)&lt;'Sollecitazioni nel paramento'!$G$58,ABS(O2357)*'Sollecitazioni nel paramento'!$G$54,'Sollecitazioni nel paramento'!$G$53)</f>
        <v>1102476061.2396326</v>
      </c>
      <c r="J2357" s="472">
        <f t="shared" si="161"/>
        <v>962100761.32232666</v>
      </c>
      <c r="K2357" s="550">
        <f>'Sollecitazioni nel paramento'!$G$60*(sezione!$AL$36-C2357)/C2357</f>
        <v>-2.0082403765595887E-3</v>
      </c>
      <c r="L2357" s="550">
        <f>'Sollecitazioni nel paramento'!$G$60*(sezione!$AM$36-C2357)/C2357</f>
        <v>-1.2623605648393829E-3</v>
      </c>
      <c r="M2357" s="551">
        <f>'Sollecitazioni nel paramento'!$G$60*(sezione!$AN$36-C2357)/C2357</f>
        <v>-5.1648075311917709E-4</v>
      </c>
      <c r="N2357" s="551">
        <f>'Sollecitazioni nel paramento'!$G$60*(sezione!$AO$36-C2357)/C2357</f>
        <v>2.4670384937616457E-3</v>
      </c>
      <c r="O2357" s="551">
        <f>'Sollecitazioni nel paramento'!$G$60*(sezione!$AP$36-C2357)/C2357</f>
        <v>2.4738125434030867E-2</v>
      </c>
      <c r="P2357" s="545">
        <f>-'Sollecitazioni nel paramento'!$G$47*'Sollecitazioni nel paramento'!$G$41*IF(DATI!$G$211="dx",DATI!$E$61,DATI!$E$64*DATI!$E$63)*1000*C2357*sezione!$AD$5</f>
        <v>-3575361.5503409887</v>
      </c>
      <c r="Q2357" s="545">
        <f>'Foglio deposito bis'!$F$88*IF(ABS(K2357)&lt;'Sollecitazioni nel paramento'!$G$58,ABS(K2357)*'Sollecitazioni nel paramento'!$G$54,'Sollecitazioni nel paramento'!$G$53)*IF(K2357&lt;0,-1,1)</f>
        <v>0</v>
      </c>
      <c r="R2357" s="545">
        <f>'Foglio deposito bis'!$F$89*IF(ABS(L2357)&lt;'Sollecitazioni nel paramento'!$G$58,ABS(L2357)*'Sollecitazioni nel paramento'!$G$54,'Sollecitazioni nel paramento'!$G$53)*IF(L2357&lt;0,-1,1)</f>
        <v>-102119.93392453232</v>
      </c>
      <c r="S2357" s="545">
        <f>'Foglio deposito bis'!$F$90*IF(ABS(M2357)&lt;'Sollecitazioni nel paramento'!$G$58,ABS(M2357)*'Sollecitazioni nel paramento'!$G$54,'Sollecitazioni nel paramento'!$G$53)*IF(M2357&lt;0,-1,1)</f>
        <v>0</v>
      </c>
      <c r="T2357" s="545">
        <f>'Foglio deposito bis'!$F$91*IF(ABS(N2357)&lt;'Sollecitazioni nel paramento'!$G$58,ABS(N2357)*'Sollecitazioni nel paramento'!$G$54,'Sollecitazioni nel paramento'!$G$53)*IF(N2357&lt;0,-1,1)</f>
        <v>892485.49558937876</v>
      </c>
      <c r="U2357" s="545">
        <f>'Foglio deposito bis'!$F$92*IF(ABS(O2357)&lt;'Sollecitazioni nel paramento'!$G$58,ABS(O2357)*'Sollecitazioni nel paramento'!$G$54,'Sollecitazioni nel paramento'!$G$53)*IF(O2357&lt;0,-1,1)</f>
        <v>1662039.1047339395</v>
      </c>
      <c r="V2357" s="472">
        <f t="shared" si="163"/>
        <v>-1122956.8839422029</v>
      </c>
      <c r="W2357" s="551"/>
      <c r="X2357" s="551"/>
    </row>
    <row r="2358" spans="1:24" x14ac:dyDescent="0.25">
      <c r="A2358" s="545">
        <f t="shared" si="162"/>
        <v>1209216.8811078051</v>
      </c>
      <c r="B2358" s="3">
        <f t="shared" si="165"/>
        <v>8.8999999999999897</v>
      </c>
      <c r="C2358" s="545">
        <f>'Foglio deposito bis'!$E$162/sezione!$B$247*B2358</f>
        <v>96.006346166077591</v>
      </c>
      <c r="D2358" s="603">
        <f>-'Sollecitazioni nel paramento'!$G$47*'Sollecitazioni nel paramento'!$G$41*IF(DATI!$G$211="dx",DATI!$E$61,DATI!$E$64*DATI!$E$63)*1000*C2358^2*sezione!$AD$5*(1-sezione!$AD$6)</f>
        <v>-205070650.03815842</v>
      </c>
      <c r="E2358" s="545">
        <f>-'Foglio deposito bis'!$F$88*(C2358-sezione!$AL$36)*IF(ABS(K2358)&lt;'Sollecitazioni nel paramento'!$G$58,ABS(K2358)*'Sollecitazioni nel paramento'!$G$54,'Sollecitazioni nel paramento'!$G$53)</f>
        <v>0</v>
      </c>
      <c r="F2358" s="545">
        <f>-'Foglio deposito bis'!$F$89*(C2358-sezione!$AM$36)*IF(ABS(L2358)&lt;'Sollecitazioni nel paramento'!$G$58,ABS(L2358)*'Sollecitazioni nel paramento'!$G$54,'Sollecitazioni nel paramento'!$G$53)</f>
        <v>-3823431.5003672205</v>
      </c>
      <c r="G2358" s="545">
        <f>-'Foglio deposito bis'!$F$90*(C2358-sezione!$AN$36)*IF(ABS(M2358)&lt;'Sollecitazioni nel paramento'!$G$58,ABS(M2358)*'Sollecitazioni nel paramento'!$G$54,'Sollecitazioni nel paramento'!$G$53)</f>
        <v>0</v>
      </c>
      <c r="H2358" s="545">
        <f>-'Foglio deposito bis'!$F$91*(C2358-sezione!$AO$36)*IF(ABS(N2358)&lt;'Sollecitazioni nel paramento'!$G$58,ABS(N2358)*'Sollecitazioni nel paramento'!$G$54,'Sollecitazioni nel paramento'!$G$53)</f>
        <v>57113407.856543392</v>
      </c>
      <c r="I2358" s="472">
        <f>-'Foglio deposito bis'!$F$92*(C2358-sezione!$AP$36)*IF(ABS(O2358)&lt;'Sollecitazioni nel paramento'!$G$58,ABS(O2358)*'Sollecitazioni nel paramento'!$G$54,'Sollecitazioni nel paramento'!$G$53)</f>
        <v>1098890301.6524272</v>
      </c>
      <c r="J2358" s="472">
        <f t="shared" si="161"/>
        <v>947109627.97044492</v>
      </c>
      <c r="K2358" s="550">
        <f>'Sollecitazioni nel paramento'!$G$60*(sezione!$AL$36-C2358)/C2358</f>
        <v>-2.0417630647267889E-3</v>
      </c>
      <c r="L2358" s="550">
        <f>'Sollecitazioni nel paramento'!$G$60*(sezione!$AM$36-C2358)/C2358</f>
        <v>-1.3126445970901832E-3</v>
      </c>
      <c r="M2358" s="551">
        <f>'Sollecitazioni nel paramento'!$G$60*(sezione!$AN$36-C2358)/C2358</f>
        <v>-5.8352612945357753E-4</v>
      </c>
      <c r="N2358" s="551">
        <f>'Sollecitazioni nel paramento'!$G$60*(sezione!$AO$36-C2358)/C2358</f>
        <v>2.3329477410928448E-3</v>
      </c>
      <c r="O2358" s="551">
        <f>'Sollecitazioni nel paramento'!$G$60*(sezione!$AP$36-C2358)/C2358</f>
        <v>2.4103560817535792E-2</v>
      </c>
      <c r="P2358" s="545">
        <f>-'Sollecitazioni nel paramento'!$G$47*'Sollecitazioni nel paramento'!$G$41*IF(DATI!$G$211="dx",DATI!$E$61,DATI!$E$64*DATI!$E$63)*1000*C2358*sezione!$AD$5</f>
        <v>-3657553.7698890571</v>
      </c>
      <c r="Q2358" s="545">
        <f>'Foglio deposito bis'!$F$88*IF(ABS(K2358)&lt;'Sollecitazioni nel paramento'!$G$58,ABS(K2358)*'Sollecitazioni nel paramento'!$G$54,'Sollecitazioni nel paramento'!$G$53)*IF(K2358&lt;0,-1,1)</f>
        <v>0</v>
      </c>
      <c r="R2358" s="545">
        <f>'Foglio deposito bis'!$F$89*IF(ABS(L2358)&lt;'Sollecitazioni nel paramento'!$G$58,ABS(L2358)*'Sollecitazioni nel paramento'!$G$54,'Sollecitazioni nel paramento'!$G$53)*IF(L2358&lt;0,-1,1)</f>
        <v>-106187.71154206598</v>
      </c>
      <c r="S2358" s="545">
        <f>'Foglio deposito bis'!$F$90*IF(ABS(M2358)&lt;'Sollecitazioni nel paramento'!$G$58,ABS(M2358)*'Sollecitazioni nel paramento'!$G$54,'Sollecitazioni nel paramento'!$G$53)*IF(M2358&lt;0,-1,1)</f>
        <v>0</v>
      </c>
      <c r="T2358" s="545">
        <f>'Foglio deposito bis'!$F$91*IF(ABS(N2358)&lt;'Sollecitazioni nel paramento'!$G$58,ABS(N2358)*'Sollecitazioni nel paramento'!$G$54,'Sollecitazioni nel paramento'!$G$53)*IF(N2358&lt;0,-1,1)</f>
        <v>892485.49558937876</v>
      </c>
      <c r="U2358" s="545">
        <f>'Foglio deposito bis'!$F$92*IF(ABS(O2358)&lt;'Sollecitazioni nel paramento'!$G$58,ABS(O2358)*'Sollecitazioni nel paramento'!$G$54,'Sollecitazioni nel paramento'!$G$53)*IF(O2358&lt;0,-1,1)</f>
        <v>1662039.1047339395</v>
      </c>
      <c r="V2358" s="472">
        <f t="shared" si="163"/>
        <v>-1209216.8811078051</v>
      </c>
      <c r="W2358" s="551"/>
      <c r="X2358" s="551"/>
    </row>
    <row r="2359" spans="1:24" x14ac:dyDescent="0.25">
      <c r="A2359" s="545">
        <f t="shared" si="162"/>
        <v>1295298.0748616478</v>
      </c>
      <c r="B2359" s="3">
        <f t="shared" si="165"/>
        <v>9.099999999999989</v>
      </c>
      <c r="C2359" s="545">
        <f>'Foglio deposito bis'!$E$162/sezione!$B$247*B2359</f>
        <v>98.163792147337759</v>
      </c>
      <c r="D2359" s="603">
        <f>-'Sollecitazioni nel paramento'!$G$47*'Sollecitazioni nel paramento'!$G$41*IF(DATI!$G$211="dx",DATI!$E$61,DATI!$E$64*DATI!$E$63)*1000*C2359^2*sezione!$AD$5*(1-sezione!$AD$6)</f>
        <v>-214390866.42671251</v>
      </c>
      <c r="E2359" s="545">
        <f>-'Foglio deposito bis'!$F$88*(C2359-sezione!$AL$36)*IF(ABS(K2359)&lt;'Sollecitazioni nel paramento'!$G$58,ABS(K2359)*'Sollecitazioni nel paramento'!$G$54,'Sollecitazioni nel paramento'!$G$53)</f>
        <v>0</v>
      </c>
      <c r="F2359" s="545">
        <f>-'Foglio deposito bis'!$F$89*(C2359-sezione!$AM$36)*IF(ABS(L2359)&lt;'Sollecitazioni nel paramento'!$G$58,ABS(L2359)*'Sollecitazioni nel paramento'!$G$54,'Sollecitazioni nel paramento'!$G$53)</f>
        <v>-4200943.7551483791</v>
      </c>
      <c r="G2359" s="545">
        <f>-'Foglio deposito bis'!$F$90*(C2359-sezione!$AN$36)*IF(ABS(M2359)&lt;'Sollecitazioni nel paramento'!$G$58,ABS(M2359)*'Sollecitazioni nel paramento'!$G$54,'Sollecitazioni nel paramento'!$G$53)</f>
        <v>0</v>
      </c>
      <c r="H2359" s="545">
        <f>-'Foglio deposito bis'!$F$91*(C2359-sezione!$AO$36)*IF(ABS(N2359)&lt;'Sollecitazioni nel paramento'!$G$58,ABS(N2359)*'Sollecitazioni nel paramento'!$G$54,'Sollecitazioni nel paramento'!$G$53)</f>
        <v>55187918.6107511</v>
      </c>
      <c r="I2359" s="472">
        <f>-'Foglio deposito bis'!$F$92*(C2359-sezione!$AP$36)*IF(ABS(O2359)&lt;'Sollecitazioni nel paramento'!$G$58,ABS(O2359)*'Sollecitazioni nel paramento'!$G$54,'Sollecitazioni nel paramento'!$G$53)</f>
        <v>1095304542.0652215</v>
      </c>
      <c r="J2359" s="472">
        <f t="shared" si="161"/>
        <v>931900650.49411178</v>
      </c>
      <c r="K2359" s="550">
        <f>'Sollecitazioni nel paramento'!$G$60*(sezione!$AL$36-C2359)/C2359</f>
        <v>-2.0738122281393867E-3</v>
      </c>
      <c r="L2359" s="550">
        <f>'Sollecitazioni nel paramento'!$G$60*(sezione!$AM$36-C2359)/C2359</f>
        <v>-1.3607183422090802E-3</v>
      </c>
      <c r="M2359" s="551">
        <f>'Sollecitazioni nel paramento'!$G$60*(sezione!$AN$36-C2359)/C2359</f>
        <v>-6.4762445627877363E-4</v>
      </c>
      <c r="N2359" s="551">
        <f>'Sollecitazioni nel paramento'!$G$60*(sezione!$AO$36-C2359)/C2359</f>
        <v>2.204751087442453E-3</v>
      </c>
      <c r="O2359" s="551">
        <f>'Sollecitazioni nel paramento'!$G$60*(sezione!$AP$36-C2359)/C2359</f>
        <v>2.3496889151216328E-2</v>
      </c>
      <c r="P2359" s="545">
        <f>-'Sollecitazioni nel paramento'!$G$47*'Sollecitazioni nel paramento'!$G$41*IF(DATI!$G$211="dx",DATI!$E$61,DATI!$E$64*DATI!$E$63)*1000*C2359*sezione!$AD$5</f>
        <v>-3739745.9894371261</v>
      </c>
      <c r="Q2359" s="545">
        <f>'Foglio deposito bis'!$F$88*IF(ABS(K2359)&lt;'Sollecitazioni nel paramento'!$G$58,ABS(K2359)*'Sollecitazioni nel paramento'!$G$54,'Sollecitazioni nel paramento'!$G$53)*IF(K2359&lt;0,-1,1)</f>
        <v>0</v>
      </c>
      <c r="R2359" s="545">
        <f>'Foglio deposito bis'!$F$89*IF(ABS(L2359)&lt;'Sollecitazioni nel paramento'!$G$58,ABS(L2359)*'Sollecitazioni nel paramento'!$G$54,'Sollecitazioni nel paramento'!$G$53)*IF(L2359&lt;0,-1,1)</f>
        <v>-110076.6857478399</v>
      </c>
      <c r="S2359" s="545">
        <f>'Foglio deposito bis'!$F$90*IF(ABS(M2359)&lt;'Sollecitazioni nel paramento'!$G$58,ABS(M2359)*'Sollecitazioni nel paramento'!$G$54,'Sollecitazioni nel paramento'!$G$53)*IF(M2359&lt;0,-1,1)</f>
        <v>0</v>
      </c>
      <c r="T2359" s="545">
        <f>'Foglio deposito bis'!$F$91*IF(ABS(N2359)&lt;'Sollecitazioni nel paramento'!$G$58,ABS(N2359)*'Sollecitazioni nel paramento'!$G$54,'Sollecitazioni nel paramento'!$G$53)*IF(N2359&lt;0,-1,1)</f>
        <v>892485.49558937876</v>
      </c>
      <c r="U2359" s="545">
        <f>'Foglio deposito bis'!$F$92*IF(ABS(O2359)&lt;'Sollecitazioni nel paramento'!$G$58,ABS(O2359)*'Sollecitazioni nel paramento'!$G$54,'Sollecitazioni nel paramento'!$G$53)*IF(O2359&lt;0,-1,1)</f>
        <v>1662039.1047339395</v>
      </c>
      <c r="V2359" s="472">
        <f t="shared" si="163"/>
        <v>-1295298.0748616478</v>
      </c>
      <c r="W2359" s="551"/>
      <c r="X2359" s="551"/>
    </row>
    <row r="2360" spans="1:24" x14ac:dyDescent="0.25">
      <c r="A2360" s="545">
        <f t="shared" si="162"/>
        <v>1381212.0009077142</v>
      </c>
      <c r="B2360" s="3">
        <f t="shared" si="165"/>
        <v>9.2999999999999883</v>
      </c>
      <c r="C2360" s="545">
        <f>'Foglio deposito bis'!$E$162/sezione!$B$247*B2360</f>
        <v>100.32123812859793</v>
      </c>
      <c r="D2360" s="603">
        <f>-'Sollecitazioni nel paramento'!$G$47*'Sollecitazioni nel paramento'!$G$41*IF(DATI!$G$211="dx",DATI!$E$61,DATI!$E$64*DATI!$E$63)*1000*C2360^2*sezione!$AD$5*(1-sezione!$AD$6)</f>
        <v>-223918198.7350122</v>
      </c>
      <c r="E2360" s="545">
        <f>-'Foglio deposito bis'!$F$88*(C2360-sezione!$AL$36)*IF(ABS(K2360)&lt;'Sollecitazioni nel paramento'!$G$58,ABS(K2360)*'Sollecitazioni nel paramento'!$G$54,'Sollecitazioni nel paramento'!$G$53)</f>
        <v>0</v>
      </c>
      <c r="F2360" s="545">
        <f>-'Foglio deposito bis'!$F$89*(C2360-sezione!$AM$36)*IF(ABS(L2360)&lt;'Sollecitazioni nel paramento'!$G$58,ABS(L2360)*'Sollecitazioni nel paramento'!$G$54,'Sollecitazioni nel paramento'!$G$53)</f>
        <v>-4588492.0723960493</v>
      </c>
      <c r="G2360" s="545">
        <f>-'Foglio deposito bis'!$F$90*(C2360-sezione!$AN$36)*IF(ABS(M2360)&lt;'Sollecitazioni nel paramento'!$G$58,ABS(M2360)*'Sollecitazioni nel paramento'!$G$54,'Sollecitazioni nel paramento'!$G$53)</f>
        <v>0</v>
      </c>
      <c r="H2360" s="545">
        <f>-'Foglio deposito bis'!$F$91*(C2360-sezione!$AO$36)*IF(ABS(N2360)&lt;'Sollecitazioni nel paramento'!$G$58,ABS(N2360)*'Sollecitazioni nel paramento'!$G$54,'Sollecitazioni nel paramento'!$G$53)</f>
        <v>53262429.3649588</v>
      </c>
      <c r="I2360" s="472">
        <f>-'Foglio deposito bis'!$F$92*(C2360-sezione!$AP$36)*IF(ABS(O2360)&lt;'Sollecitazioni nel paramento'!$G$58,ABS(O2360)*'Sollecitazioni nel paramento'!$G$54,'Sollecitazioni nel paramento'!$G$53)</f>
        <v>1091718782.4780161</v>
      </c>
      <c r="J2360" s="472">
        <f t="shared" si="161"/>
        <v>916474521.03556669</v>
      </c>
      <c r="K2360" s="550">
        <f>'Sollecitazioni nel paramento'!$G$60*(sezione!$AL$36-C2360)/C2360</f>
        <v>-2.1044829329105825E-3</v>
      </c>
      <c r="L2360" s="550">
        <f>'Sollecitazioni nel paramento'!$G$60*(sezione!$AM$36-C2360)/C2360</f>
        <v>-1.406724399365874E-3</v>
      </c>
      <c r="M2360" s="551">
        <f>'Sollecitazioni nel paramento'!$G$60*(sezione!$AN$36-C2360)/C2360</f>
        <v>-7.089658658211654E-4</v>
      </c>
      <c r="N2360" s="551">
        <f>'Sollecitazioni nel paramento'!$G$60*(sezione!$AO$36-C2360)/C2360</f>
        <v>2.0820682683576693E-3</v>
      </c>
      <c r="O2360" s="551">
        <f>'Sollecitazioni nel paramento'!$G$60*(sezione!$AP$36-C2360)/C2360</f>
        <v>2.2916310889899847E-2</v>
      </c>
      <c r="P2360" s="545">
        <f>-'Sollecitazioni nel paramento'!$G$47*'Sollecitazioni nel paramento'!$G$41*IF(DATI!$G$211="dx",DATI!$E$61,DATI!$E$64*DATI!$E$63)*1000*C2360*sezione!$AD$5</f>
        <v>-3821938.2089851941</v>
      </c>
      <c r="Q2360" s="545">
        <f>'Foglio deposito bis'!$F$88*IF(ABS(K2360)&lt;'Sollecitazioni nel paramento'!$G$58,ABS(K2360)*'Sollecitazioni nel paramento'!$G$54,'Sollecitazioni nel paramento'!$G$53)*IF(K2360&lt;0,-1,1)</f>
        <v>0</v>
      </c>
      <c r="R2360" s="545">
        <f>'Foglio deposito bis'!$F$89*IF(ABS(L2360)&lt;'Sollecitazioni nel paramento'!$G$58,ABS(L2360)*'Sollecitazioni nel paramento'!$G$54,'Sollecitazioni nel paramento'!$G$53)*IF(L2360&lt;0,-1,1)</f>
        <v>-113798.39224583859</v>
      </c>
      <c r="S2360" s="545">
        <f>'Foglio deposito bis'!$F$90*IF(ABS(M2360)&lt;'Sollecitazioni nel paramento'!$G$58,ABS(M2360)*'Sollecitazioni nel paramento'!$G$54,'Sollecitazioni nel paramento'!$G$53)*IF(M2360&lt;0,-1,1)</f>
        <v>0</v>
      </c>
      <c r="T2360" s="545">
        <f>'Foglio deposito bis'!$F$91*IF(ABS(N2360)&lt;'Sollecitazioni nel paramento'!$G$58,ABS(N2360)*'Sollecitazioni nel paramento'!$G$54,'Sollecitazioni nel paramento'!$G$53)*IF(N2360&lt;0,-1,1)</f>
        <v>892485.49558937876</v>
      </c>
      <c r="U2360" s="545">
        <f>'Foglio deposito bis'!$F$92*IF(ABS(O2360)&lt;'Sollecitazioni nel paramento'!$G$58,ABS(O2360)*'Sollecitazioni nel paramento'!$G$54,'Sollecitazioni nel paramento'!$G$53)*IF(O2360&lt;0,-1,1)</f>
        <v>1662039.1047339395</v>
      </c>
      <c r="V2360" s="472">
        <f t="shared" si="163"/>
        <v>-1381212.0009077142</v>
      </c>
      <c r="W2360" s="551"/>
      <c r="X2360" s="551"/>
    </row>
    <row r="2361" spans="1:24" x14ac:dyDescent="0.25">
      <c r="A2361" s="545">
        <f t="shared" si="162"/>
        <v>1466969.2235222876</v>
      </c>
      <c r="B2361" s="3">
        <f t="shared" si="165"/>
        <v>9.4999999999999876</v>
      </c>
      <c r="C2361" s="545">
        <f>'Foglio deposito bis'!$E$162/sezione!$B$247*B2361</f>
        <v>102.47868410985809</v>
      </c>
      <c r="D2361" s="603">
        <f>-'Sollecitazioni nel paramento'!$G$47*'Sollecitazioni nel paramento'!$G$41*IF(DATI!$G$211="dx",DATI!$E$61,DATI!$E$64*DATI!$E$63)*1000*C2361^2*sezione!$AD$5*(1-sezione!$AD$6)</f>
        <v>-233652646.96305764</v>
      </c>
      <c r="E2361" s="545">
        <f>-'Foglio deposito bis'!$F$88*(C2361-sezione!$AL$36)*IF(ABS(K2361)&lt;'Sollecitazioni nel paramento'!$G$58,ABS(K2361)*'Sollecitazioni nel paramento'!$G$54,'Sollecitazioni nel paramento'!$G$53)</f>
        <v>0</v>
      </c>
      <c r="F2361" s="545">
        <f>-'Foglio deposito bis'!$F$89*(C2361-sezione!$AM$36)*IF(ABS(L2361)&lt;'Sollecitazioni nel paramento'!$G$58,ABS(L2361)*'Sollecitazioni nel paramento'!$G$54,'Sollecitazioni nel paramento'!$G$53)</f>
        <v>-4985442.5955334026</v>
      </c>
      <c r="G2361" s="545">
        <f>-'Foglio deposito bis'!$F$90*(C2361-sezione!$AN$36)*IF(ABS(M2361)&lt;'Sollecitazioni nel paramento'!$G$58,ABS(M2361)*'Sollecitazioni nel paramento'!$G$54,'Sollecitazioni nel paramento'!$G$53)</f>
        <v>0</v>
      </c>
      <c r="H2361" s="545">
        <f>-'Foglio deposito bis'!$F$91*(C2361-sezione!$AO$36)*IF(ABS(N2361)&lt;'Sollecitazioni nel paramento'!$G$58,ABS(N2361)*'Sollecitazioni nel paramento'!$G$54,'Sollecitazioni nel paramento'!$G$53)</f>
        <v>51336940.119166508</v>
      </c>
      <c r="I2361" s="472">
        <f>-'Foglio deposito bis'!$F$92*(C2361-sezione!$AP$36)*IF(ABS(O2361)&lt;'Sollecitazioni nel paramento'!$G$58,ABS(O2361)*'Sollecitazioni nel paramento'!$G$54,'Sollecitazioni nel paramento'!$G$53)</f>
        <v>1088133022.8908107</v>
      </c>
      <c r="J2361" s="472">
        <f t="shared" si="161"/>
        <v>900831873.45138621</v>
      </c>
      <c r="K2361" s="550">
        <f>'Sollecitazioni nel paramento'!$G$60*(sezione!$AL$36-C2361)/C2361</f>
        <v>-2.1338622395861494E-3</v>
      </c>
      <c r="L2361" s="550">
        <f>'Sollecitazioni nel paramento'!$G$60*(sezione!$AM$36-C2361)/C2361</f>
        <v>-1.450793359379224E-3</v>
      </c>
      <c r="M2361" s="551">
        <f>'Sollecitazioni nel paramento'!$G$60*(sezione!$AN$36-C2361)/C2361</f>
        <v>-7.6772447917229875E-4</v>
      </c>
      <c r="N2361" s="551">
        <f>'Sollecitazioni nel paramento'!$G$60*(sezione!$AO$36-C2361)/C2361</f>
        <v>1.9645510416554028E-3</v>
      </c>
      <c r="O2361" s="551">
        <f>'Sollecitazioni nel paramento'!$G$60*(sezione!$AP$36-C2361)/C2361</f>
        <v>2.236017802905985E-2</v>
      </c>
      <c r="P2361" s="545">
        <f>-'Sollecitazioni nel paramento'!$G$47*'Sollecitazioni nel paramento'!$G$41*IF(DATI!$G$211="dx",DATI!$E$61,DATI!$E$64*DATI!$E$63)*1000*C2361*sezione!$AD$5</f>
        <v>-3904130.428533263</v>
      </c>
      <c r="Q2361" s="545">
        <f>'Foglio deposito bis'!$F$88*IF(ABS(K2361)&lt;'Sollecitazioni nel paramento'!$G$58,ABS(K2361)*'Sollecitazioni nel paramento'!$G$54,'Sollecitazioni nel paramento'!$G$53)*IF(K2361&lt;0,-1,1)</f>
        <v>0</v>
      </c>
      <c r="R2361" s="545">
        <f>'Foglio deposito bis'!$F$89*IF(ABS(L2361)&lt;'Sollecitazioni nel paramento'!$G$58,ABS(L2361)*'Sollecitazioni nel paramento'!$G$54,'Sollecitazioni nel paramento'!$G$53)*IF(L2361&lt;0,-1,1)</f>
        <v>-117363.39531234263</v>
      </c>
      <c r="S2361" s="545">
        <f>'Foglio deposito bis'!$F$90*IF(ABS(M2361)&lt;'Sollecitazioni nel paramento'!$G$58,ABS(M2361)*'Sollecitazioni nel paramento'!$G$54,'Sollecitazioni nel paramento'!$G$53)*IF(M2361&lt;0,-1,1)</f>
        <v>0</v>
      </c>
      <c r="T2361" s="545">
        <f>'Foglio deposito bis'!$F$91*IF(ABS(N2361)&lt;'Sollecitazioni nel paramento'!$G$58,ABS(N2361)*'Sollecitazioni nel paramento'!$G$54,'Sollecitazioni nel paramento'!$G$53)*IF(N2361&lt;0,-1,1)</f>
        <v>892485.49558937876</v>
      </c>
      <c r="U2361" s="545">
        <f>'Foglio deposito bis'!$F$92*IF(ABS(O2361)&lt;'Sollecitazioni nel paramento'!$G$58,ABS(O2361)*'Sollecitazioni nel paramento'!$G$54,'Sollecitazioni nel paramento'!$G$53)*IF(O2361&lt;0,-1,1)</f>
        <v>1662039.1047339395</v>
      </c>
      <c r="V2361" s="472">
        <f t="shared" si="163"/>
        <v>-1466969.2235222876</v>
      </c>
      <c r="W2361" s="551"/>
      <c r="X2361" s="551"/>
    </row>
    <row r="2362" spans="1:24" x14ac:dyDescent="0.25">
      <c r="A2362" s="545">
        <f t="shared" si="162"/>
        <v>1574970.2208351919</v>
      </c>
      <c r="B2362" s="3">
        <f t="shared" si="165"/>
        <v>9.6999999999999869</v>
      </c>
      <c r="C2362" s="545">
        <f>'Foglio deposito bis'!$E$162/sezione!$B$247*B2362</f>
        <v>104.63613009111825</v>
      </c>
      <c r="D2362" s="603">
        <f>-'Sollecitazioni nel paramento'!$G$47*'Sollecitazioni nel paramento'!$G$41*IF(DATI!$G$211="dx",DATI!$E$61,DATI!$E$64*DATI!$E$63)*1000*C2362^2*sezione!$AD$5*(1-sezione!$AD$6)</f>
        <v>-243594211.11084861</v>
      </c>
      <c r="E2362" s="545">
        <f>-'Foglio deposito bis'!$F$88*(C2362-sezione!$AL$36)*IF(ABS(K2362)&lt;'Sollecitazioni nel paramento'!$G$58,ABS(K2362)*'Sollecitazioni nel paramento'!$G$54,'Sollecitazioni nel paramento'!$G$53)</f>
        <v>0</v>
      </c>
      <c r="F2362" s="545">
        <f>-'Foglio deposito bis'!$F$89*(C2362-sezione!$AM$36)*IF(ABS(L2362)&lt;'Sollecitazioni nel paramento'!$G$58,ABS(L2362)*'Sollecitazioni nel paramento'!$G$54,'Sollecitazioni nel paramento'!$G$53)</f>
        <v>-5391213.744814679</v>
      </c>
      <c r="G2362" s="545">
        <f>-'Foglio deposito bis'!$F$90*(C2362-sezione!$AN$36)*IF(ABS(M2362)&lt;'Sollecitazioni nel paramento'!$G$58,ABS(M2362)*'Sollecitazioni nel paramento'!$G$54,'Sollecitazioni nel paramento'!$G$53)</f>
        <v>0</v>
      </c>
      <c r="H2362" s="545">
        <f>-'Foglio deposito bis'!$F$91*(C2362-sezione!$AO$36)*IF(ABS(N2362)&lt;'Sollecitazioni nel paramento'!$G$58,ABS(N2362)*'Sollecitazioni nel paramento'!$G$54,'Sollecitazioni nel paramento'!$G$53)</f>
        <v>48171810.358054139</v>
      </c>
      <c r="I2362" s="472">
        <f>-'Foglio deposito bis'!$F$92*(C2362-sezione!$AP$36)*IF(ABS(O2362)&lt;'Sollecitazioni nel paramento'!$G$58,ABS(O2362)*'Sollecitazioni nel paramento'!$G$54,'Sollecitazioni nel paramento'!$G$53)</f>
        <v>1084547263.3036053</v>
      </c>
      <c r="J2362" s="472">
        <f t="shared" si="161"/>
        <v>883733648.80599618</v>
      </c>
      <c r="K2362" s="550">
        <f>'Sollecitazioni nel paramento'!$G$60*(sezione!$AL$36-C2362)/C2362</f>
        <v>-2.1620300284606615E-3</v>
      </c>
      <c r="L2362" s="550">
        <f>'Sollecitazioni nel paramento'!$G$60*(sezione!$AM$36-C2362)/C2362</f>
        <v>-1.4930450426909922E-3</v>
      </c>
      <c r="M2362" s="551">
        <f>'Sollecitazioni nel paramento'!$G$60*(sezione!$AN$36-C2362)/C2362</f>
        <v>-8.2406005692132296E-4</v>
      </c>
      <c r="N2362" s="551">
        <f>'Sollecitazioni nel paramento'!$G$60*(sezione!$AO$36-C2362)/C2362</f>
        <v>1.8518798861573542E-3</v>
      </c>
      <c r="O2362" s="551">
        <f>'Sollecitazioni nel paramento'!$G$60*(sezione!$AP$36-C2362)/C2362</f>
        <v>2.1826978482068927E-2</v>
      </c>
      <c r="P2362" s="545">
        <f>-'Sollecitazioni nel paramento'!$G$47*'Sollecitazioni nel paramento'!$G$41*IF(DATI!$G$211="dx",DATI!$E$61,DATI!$E$64*DATI!$E$63)*1000*C2362*sezione!$AD$5</f>
        <v>-3986322.6480813306</v>
      </c>
      <c r="Q2362" s="545">
        <f>'Foglio deposito bis'!$F$88*IF(ABS(K2362)&lt;'Sollecitazioni nel paramento'!$G$58,ABS(K2362)*'Sollecitazioni nel paramento'!$G$54,'Sollecitazioni nel paramento'!$G$53)*IF(K2362&lt;0,-1,1)</f>
        <v>0</v>
      </c>
      <c r="R2362" s="545">
        <f>'Foglio deposito bis'!$F$89*IF(ABS(L2362)&lt;'Sollecitazioni nel paramento'!$G$58,ABS(L2362)*'Sollecitazioni nel paramento'!$G$54,'Sollecitazioni nel paramento'!$G$53)*IF(L2362&lt;0,-1,1)</f>
        <v>-120781.38794311449</v>
      </c>
      <c r="S2362" s="545">
        <f>'Foglio deposito bis'!$F$90*IF(ABS(M2362)&lt;'Sollecitazioni nel paramento'!$G$58,ABS(M2362)*'Sollecitazioni nel paramento'!$G$54,'Sollecitazioni nel paramento'!$G$53)*IF(M2362&lt;0,-1,1)</f>
        <v>0</v>
      </c>
      <c r="T2362" s="545">
        <f>'Foglio deposito bis'!$F$91*IF(ABS(N2362)&lt;'Sollecitazioni nel paramento'!$G$58,ABS(N2362)*'Sollecitazioni nel paramento'!$G$54,'Sollecitazioni nel paramento'!$G$53)*IF(N2362&lt;0,-1,1)</f>
        <v>870094.71045531391</v>
      </c>
      <c r="U2362" s="545">
        <f>'Foglio deposito bis'!$F$92*IF(ABS(O2362)&lt;'Sollecitazioni nel paramento'!$G$58,ABS(O2362)*'Sollecitazioni nel paramento'!$G$54,'Sollecitazioni nel paramento'!$G$53)*IF(O2362&lt;0,-1,1)</f>
        <v>1662039.1047339395</v>
      </c>
      <c r="V2362" s="472">
        <f t="shared" si="163"/>
        <v>-1574970.2208351919</v>
      </c>
      <c r="W2362" s="551"/>
      <c r="X2362" s="551"/>
    </row>
    <row r="2363" spans="1:24" x14ac:dyDescent="0.25">
      <c r="A2363" s="545">
        <f t="shared" si="162"/>
        <v>1711241.298334128</v>
      </c>
      <c r="B2363" s="3">
        <f t="shared" si="165"/>
        <v>9.8999999999999861</v>
      </c>
      <c r="C2363" s="545">
        <f>'Foglio deposito bis'!$E$162/sezione!$B$247*B2363</f>
        <v>106.79357607237841</v>
      </c>
      <c r="D2363" s="603">
        <f>-'Sollecitazioni nel paramento'!$G$47*'Sollecitazioni nel paramento'!$G$41*IF(DATI!$G$211="dx",DATI!$E$61,DATI!$E$64*DATI!$E$63)*1000*C2363^2*sezione!$AD$5*(1-sezione!$AD$6)</f>
        <v>-253742891.17838523</v>
      </c>
      <c r="E2363" s="545">
        <f>-'Foglio deposito bis'!$F$88*(C2363-sezione!$AL$36)*IF(ABS(K2363)&lt;'Sollecitazioni nel paramento'!$G$58,ABS(K2363)*'Sollecitazioni nel paramento'!$G$54,'Sollecitazioni nel paramento'!$G$53)</f>
        <v>0</v>
      </c>
      <c r="F2363" s="545">
        <f>-'Foglio deposito bis'!$F$89*(C2363-sezione!$AM$36)*IF(ABS(L2363)&lt;'Sollecitazioni nel paramento'!$G$58,ABS(L2363)*'Sollecitazioni nel paramento'!$G$54,'Sollecitazioni nel paramento'!$G$53)</f>
        <v>-5805270.9368372262</v>
      </c>
      <c r="G2363" s="545">
        <f>-'Foglio deposito bis'!$F$90*(C2363-sezione!$AN$36)*IF(ABS(M2363)&lt;'Sollecitazioni nel paramento'!$G$58,ABS(M2363)*'Sollecitazioni nel paramento'!$G$54,'Sollecitazioni nel paramento'!$G$53)</f>
        <v>0</v>
      </c>
      <c r="H2363" s="545">
        <f>-'Foglio deposito bis'!$F$91*(C2363-sezione!$AO$36)*IF(ABS(N2363)&lt;'Sollecitazioni nel paramento'!$G$58,ABS(N2363)*'Sollecitazioni nel paramento'!$G$54,'Sollecitazioni nel paramento'!$G$53)</f>
        <v>43591796.699859202</v>
      </c>
      <c r="I2363" s="472">
        <f>-'Foglio deposito bis'!$F$92*(C2363-sezione!$AP$36)*IF(ABS(O2363)&lt;'Sollecitazioni nel paramento'!$G$58,ABS(O2363)*'Sollecitazioni nel paramento'!$G$54,'Sollecitazioni nel paramento'!$G$53)</f>
        <v>1080961503.7163999</v>
      </c>
      <c r="J2363" s="472">
        <f t="shared" si="161"/>
        <v>865005138.3010366</v>
      </c>
      <c r="K2363" s="550">
        <f>'Sollecitazioni nel paramento'!$G$60*(sezione!$AL$36-C2363)/C2363</f>
        <v>-2.1890597248553959E-3</v>
      </c>
      <c r="L2363" s="550">
        <f>'Sollecitazioni nel paramento'!$G$60*(sezione!$AM$36-C2363)/C2363</f>
        <v>-1.5335895872830934E-3</v>
      </c>
      <c r="M2363" s="551">
        <f>'Sollecitazioni nel paramento'!$G$60*(sezione!$AN$36-C2363)/C2363</f>
        <v>-8.7811944971079119E-4</v>
      </c>
      <c r="N2363" s="551">
        <f>'Sollecitazioni nel paramento'!$G$60*(sezione!$AO$36-C2363)/C2363</f>
        <v>1.7437611005784177E-3</v>
      </c>
      <c r="O2363" s="551">
        <f>'Sollecitazioni nel paramento'!$G$60*(sezione!$AP$36-C2363)/C2363</f>
        <v>2.1315322351118045E-2</v>
      </c>
      <c r="P2363" s="545">
        <f>-'Sollecitazioni nel paramento'!$G$47*'Sollecitazioni nel paramento'!$G$41*IF(DATI!$G$211="dx",DATI!$E$61,DATI!$E$64*DATI!$E$63)*1000*C2363*sezione!$AD$5</f>
        <v>-4068514.8676293995</v>
      </c>
      <c r="Q2363" s="545">
        <f>'Foglio deposito bis'!$F$88*IF(ABS(K2363)&lt;'Sollecitazioni nel paramento'!$G$58,ABS(K2363)*'Sollecitazioni nel paramento'!$G$54,'Sollecitazioni nel paramento'!$G$53)*IF(K2363&lt;0,-1,1)</f>
        <v>0</v>
      </c>
      <c r="R2363" s="545">
        <f>'Foglio deposito bis'!$F$89*IF(ABS(L2363)&lt;'Sollecitazioni nel paramento'!$G$58,ABS(L2363)*'Sollecitazioni nel paramento'!$G$54,'Sollecitazioni nel paramento'!$G$53)*IF(L2363&lt;0,-1,1)</f>
        <v>-124061.27986153201</v>
      </c>
      <c r="S2363" s="545">
        <f>'Foglio deposito bis'!$F$90*IF(ABS(M2363)&lt;'Sollecitazioni nel paramento'!$G$58,ABS(M2363)*'Sollecitazioni nel paramento'!$G$54,'Sollecitazioni nel paramento'!$G$53)*IF(M2363&lt;0,-1,1)</f>
        <v>0</v>
      </c>
      <c r="T2363" s="545">
        <f>'Foglio deposito bis'!$F$91*IF(ABS(N2363)&lt;'Sollecitazioni nel paramento'!$G$58,ABS(N2363)*'Sollecitazioni nel paramento'!$G$54,'Sollecitazioni nel paramento'!$G$53)*IF(N2363&lt;0,-1,1)</f>
        <v>819295.74442286394</v>
      </c>
      <c r="U2363" s="545">
        <f>'Foglio deposito bis'!$F$92*IF(ABS(O2363)&lt;'Sollecitazioni nel paramento'!$G$58,ABS(O2363)*'Sollecitazioni nel paramento'!$G$54,'Sollecitazioni nel paramento'!$G$53)*IF(O2363&lt;0,-1,1)</f>
        <v>1662039.1047339395</v>
      </c>
      <c r="V2363" s="472">
        <f t="shared" si="163"/>
        <v>-1711241.298334128</v>
      </c>
      <c r="W2363" s="551"/>
      <c r="X2363" s="551"/>
    </row>
    <row r="2364" spans="1:24" x14ac:dyDescent="0.25">
      <c r="A2364" s="545">
        <f t="shared" si="162"/>
        <v>1845370.6388845148</v>
      </c>
      <c r="B2364" s="3">
        <f t="shared" si="165"/>
        <v>10.099999999999985</v>
      </c>
      <c r="C2364" s="545">
        <f>'Foglio deposito bis'!$E$162/sezione!$B$247*B2364</f>
        <v>108.95102205363858</v>
      </c>
      <c r="D2364" s="603">
        <f>-'Sollecitazioni nel paramento'!$G$47*'Sollecitazioni nel paramento'!$G$41*IF(DATI!$G$211="dx",DATI!$E$61,DATI!$E$64*DATI!$E$63)*1000*C2364^2*sezione!$AD$5*(1-sezione!$AD$6)</f>
        <v>-264098687.16566756</v>
      </c>
      <c r="E2364" s="545">
        <f>-'Foglio deposito bis'!$F$88*(C2364-sezione!$AL$36)*IF(ABS(K2364)&lt;'Sollecitazioni nel paramento'!$G$58,ABS(K2364)*'Sollecitazioni nel paramento'!$G$54,'Sollecitazioni nel paramento'!$G$53)</f>
        <v>0</v>
      </c>
      <c r="F2364" s="545">
        <f>-'Foglio deposito bis'!$F$89*(C2364-sezione!$AM$36)*IF(ABS(L2364)&lt;'Sollecitazioni nel paramento'!$G$58,ABS(L2364)*'Sollecitazioni nel paramento'!$G$54,'Sollecitazioni nel paramento'!$G$53)</f>
        <v>-6227121.9314381881</v>
      </c>
      <c r="G2364" s="545">
        <f>-'Foglio deposito bis'!$F$90*(C2364-sezione!$AN$36)*IF(ABS(M2364)&lt;'Sollecitazioni nel paramento'!$G$58,ABS(M2364)*'Sollecitazioni nel paramento'!$G$54,'Sollecitazioni nel paramento'!$G$53)</f>
        <v>0</v>
      </c>
      <c r="H2364" s="545">
        <f>-'Foglio deposito bis'!$F$91*(C2364-sezione!$AO$36)*IF(ABS(N2364)&lt;'Sollecitazioni nel paramento'!$G$58,ABS(N2364)*'Sollecitazioni nel paramento'!$G$54,'Sollecitazioni nel paramento'!$G$53)</f>
        <v>39333677.479889698</v>
      </c>
      <c r="I2364" s="472">
        <f>-'Foglio deposito bis'!$F$92*(C2364-sezione!$AP$36)*IF(ABS(O2364)&lt;'Sollecitazioni nel paramento'!$G$58,ABS(O2364)*'Sollecitazioni nel paramento'!$G$54,'Sollecitazioni nel paramento'!$G$53)</f>
        <v>1077375744.1291945</v>
      </c>
      <c r="J2364" s="472">
        <f t="shared" si="161"/>
        <v>846383612.51197839</v>
      </c>
      <c r="K2364" s="550">
        <f>'Sollecitazioni nel paramento'!$G$60*(sezione!$AL$36-C2364)/C2364</f>
        <v>-2.2150189382245957E-3</v>
      </c>
      <c r="L2364" s="550">
        <f>'Sollecitazioni nel paramento'!$G$60*(sezione!$AM$36-C2364)/C2364</f>
        <v>-1.5725284073368935E-3</v>
      </c>
      <c r="M2364" s="551">
        <f>'Sollecitazioni nel paramento'!$G$60*(sezione!$AN$36-C2364)/C2364</f>
        <v>-9.3003787644919131E-4</v>
      </c>
      <c r="N2364" s="551">
        <f>'Sollecitazioni nel paramento'!$G$60*(sezione!$AO$36-C2364)/C2364</f>
        <v>1.6399242471016174E-3</v>
      </c>
      <c r="O2364" s="551">
        <f>'Sollecitazioni nel paramento'!$G$60*(sezione!$AP$36-C2364)/C2364</f>
        <v>2.0823929829313727E-2</v>
      </c>
      <c r="P2364" s="545">
        <f>-'Sollecitazioni nel paramento'!$G$47*'Sollecitazioni nel paramento'!$G$41*IF(DATI!$G$211="dx",DATI!$E$61,DATI!$E$64*DATI!$E$63)*1000*C2364*sezione!$AD$5</f>
        <v>-4150707.087177468</v>
      </c>
      <c r="Q2364" s="545">
        <f>'Foglio deposito bis'!$F$88*IF(ABS(K2364)&lt;'Sollecitazioni nel paramento'!$G$58,ABS(K2364)*'Sollecitazioni nel paramento'!$G$54,'Sollecitazioni nel paramento'!$G$53)*IF(K2364&lt;0,-1,1)</f>
        <v>0</v>
      </c>
      <c r="R2364" s="545">
        <f>'Foglio deposito bis'!$F$89*IF(ABS(L2364)&lt;'Sollecitazioni nel paramento'!$G$58,ABS(L2364)*'Sollecitazioni nel paramento'!$G$54,'Sollecitazioni nel paramento'!$G$53)*IF(L2364&lt;0,-1,1)</f>
        <v>-127211.27507030917</v>
      </c>
      <c r="S2364" s="545">
        <f>'Foglio deposito bis'!$F$90*IF(ABS(M2364)&lt;'Sollecitazioni nel paramento'!$G$58,ABS(M2364)*'Sollecitazioni nel paramento'!$G$54,'Sollecitazioni nel paramento'!$G$53)*IF(M2364&lt;0,-1,1)</f>
        <v>0</v>
      </c>
      <c r="T2364" s="545">
        <f>'Foglio deposito bis'!$F$91*IF(ABS(N2364)&lt;'Sollecitazioni nel paramento'!$G$58,ABS(N2364)*'Sollecitazioni nel paramento'!$G$54,'Sollecitazioni nel paramento'!$G$53)*IF(N2364&lt;0,-1,1)</f>
        <v>770508.61862932285</v>
      </c>
      <c r="U2364" s="545">
        <f>'Foglio deposito bis'!$F$92*IF(ABS(O2364)&lt;'Sollecitazioni nel paramento'!$G$58,ABS(O2364)*'Sollecitazioni nel paramento'!$G$54,'Sollecitazioni nel paramento'!$G$53)*IF(O2364&lt;0,-1,1)</f>
        <v>1662039.1047339395</v>
      </c>
      <c r="V2364" s="472">
        <f t="shared" si="163"/>
        <v>-1845370.6388845148</v>
      </c>
      <c r="W2364" s="551"/>
      <c r="X2364" s="551"/>
    </row>
    <row r="2365" spans="1:24" x14ac:dyDescent="0.25">
      <c r="A2365" s="545">
        <f t="shared" si="162"/>
        <v>1977483.0038619966</v>
      </c>
      <c r="B2365" s="3">
        <f t="shared" si="165"/>
        <v>10.299999999999985</v>
      </c>
      <c r="C2365" s="545">
        <f>'Foglio deposito bis'!$E$162/sezione!$B$247*B2365</f>
        <v>111.10846803489875</v>
      </c>
      <c r="D2365" s="603">
        <f>-'Sollecitazioni nel paramento'!$G$47*'Sollecitazioni nel paramento'!$G$41*IF(DATI!$G$211="dx",DATI!$E$61,DATI!$E$64*DATI!$E$63)*1000*C2365^2*sezione!$AD$5*(1-sezione!$AD$6)</f>
        <v>-274661599.07269555</v>
      </c>
      <c r="E2365" s="545">
        <f>-'Foglio deposito bis'!$F$88*(C2365-sezione!$AL$36)*IF(ABS(K2365)&lt;'Sollecitazioni nel paramento'!$G$58,ABS(K2365)*'Sollecitazioni nel paramento'!$G$54,'Sollecitazioni nel paramento'!$G$53)</f>
        <v>0</v>
      </c>
      <c r="F2365" s="545">
        <f>-'Foglio deposito bis'!$F$89*(C2365-sezione!$AM$36)*IF(ABS(L2365)&lt;'Sollecitazioni nel paramento'!$G$58,ABS(L2365)*'Sollecitazioni nel paramento'!$G$54,'Sollecitazioni nel paramento'!$G$53)</f>
        <v>-6656312.7207003804</v>
      </c>
      <c r="G2365" s="545">
        <f>-'Foglio deposito bis'!$F$90*(C2365-sezione!$AN$36)*IF(ABS(M2365)&lt;'Sollecitazioni nel paramento'!$G$58,ABS(M2365)*'Sollecitazioni nel paramento'!$G$54,'Sollecitazioni nel paramento'!$G$53)</f>
        <v>0</v>
      </c>
      <c r="H2365" s="545">
        <f>-'Foglio deposito bis'!$F$91*(C2365-sezione!$AO$36)*IF(ABS(N2365)&lt;'Sollecitazioni nel paramento'!$G$58,ABS(N2365)*'Sollecitazioni nel paramento'!$G$54,'Sollecitazioni nel paramento'!$G$53)</f>
        <v>35378701.565821804</v>
      </c>
      <c r="I2365" s="472">
        <f>-'Foglio deposito bis'!$F$92*(C2365-sezione!$AP$36)*IF(ABS(O2365)&lt;'Sollecitazioni nel paramento'!$G$58,ABS(O2365)*'Sollecitazioni nel paramento'!$G$54,'Sollecitazioni nel paramento'!$G$53)</f>
        <v>1073789984.5419888</v>
      </c>
      <c r="J2365" s="472">
        <f t="shared" ref="J2365:J2428" si="166">D2365+E2365+F2365+G2365+H2365+I2365</f>
        <v>827850774.31441474</v>
      </c>
      <c r="K2365" s="550">
        <f>'Sollecitazioni nel paramento'!$G$60*(sezione!$AL$36-C2365)/C2365</f>
        <v>-2.2399700268027588E-3</v>
      </c>
      <c r="L2365" s="550">
        <f>'Sollecitazioni nel paramento'!$G$60*(sezione!$AM$36-C2365)/C2365</f>
        <v>-1.6099550402041383E-3</v>
      </c>
      <c r="M2365" s="551">
        <f>'Sollecitazioni nel paramento'!$G$60*(sezione!$AN$36-C2365)/C2365</f>
        <v>-9.799400536055177E-4</v>
      </c>
      <c r="N2365" s="551">
        <f>'Sollecitazioni nel paramento'!$G$60*(sezione!$AO$36-C2365)/C2365</f>
        <v>1.5401198927889647E-3</v>
      </c>
      <c r="O2365" s="551">
        <f>'Sollecitazioni nel paramento'!$G$60*(sezione!$AP$36-C2365)/C2365</f>
        <v>2.0351620512239672E-2</v>
      </c>
      <c r="P2365" s="545">
        <f>-'Sollecitazioni nel paramento'!$G$47*'Sollecitazioni nel paramento'!$G$41*IF(DATI!$G$211="dx",DATI!$E$61,DATI!$E$64*DATI!$E$63)*1000*C2365*sezione!$AD$5</f>
        <v>-4232899.3067255374</v>
      </c>
      <c r="Q2365" s="545">
        <f>'Foglio deposito bis'!$F$88*IF(ABS(K2365)&lt;'Sollecitazioni nel paramento'!$G$58,ABS(K2365)*'Sollecitazioni nel paramento'!$G$54,'Sollecitazioni nel paramento'!$G$53)*IF(K2365&lt;0,-1,1)</f>
        <v>0</v>
      </c>
      <c r="R2365" s="545">
        <f>'Foglio deposito bis'!$F$89*IF(ABS(L2365)&lt;'Sollecitazioni nel paramento'!$G$58,ABS(L2365)*'Sollecitazioni nel paramento'!$G$54,'Sollecitazioni nel paramento'!$G$53)*IF(L2365&lt;0,-1,1)</f>
        <v>-130238.9403680659</v>
      </c>
      <c r="S2365" s="545">
        <f>'Foglio deposito bis'!$F$90*IF(ABS(M2365)&lt;'Sollecitazioni nel paramento'!$G$58,ABS(M2365)*'Sollecitazioni nel paramento'!$G$54,'Sollecitazioni nel paramento'!$G$53)*IF(M2365&lt;0,-1,1)</f>
        <v>0</v>
      </c>
      <c r="T2365" s="545">
        <f>'Foglio deposito bis'!$F$91*IF(ABS(N2365)&lt;'Sollecitazioni nel paramento'!$G$58,ABS(N2365)*'Sollecitazioni nel paramento'!$G$54,'Sollecitazioni nel paramento'!$G$53)*IF(N2365&lt;0,-1,1)</f>
        <v>723616.13849766681</v>
      </c>
      <c r="U2365" s="545">
        <f>'Foglio deposito bis'!$F$92*IF(ABS(O2365)&lt;'Sollecitazioni nel paramento'!$G$58,ABS(O2365)*'Sollecitazioni nel paramento'!$G$54,'Sollecitazioni nel paramento'!$G$53)*IF(O2365&lt;0,-1,1)</f>
        <v>1662039.1047339395</v>
      </c>
      <c r="V2365" s="472">
        <f t="shared" si="163"/>
        <v>-1977483.0038619966</v>
      </c>
      <c r="W2365" s="551"/>
      <c r="X2365" s="551"/>
    </row>
    <row r="2366" spans="1:24" x14ac:dyDescent="0.25">
      <c r="A2366" s="545">
        <f t="shared" ref="A2366:A2429" si="167">ABS(V2366)</f>
        <v>2107693.6490135957</v>
      </c>
      <c r="B2366" s="3">
        <f t="shared" si="165"/>
        <v>10.499999999999984</v>
      </c>
      <c r="C2366" s="545">
        <f>'Foglio deposito bis'!$E$162/sezione!$B$247*B2366</f>
        <v>113.26591401615892</v>
      </c>
      <c r="D2366" s="603">
        <f>-'Sollecitazioni nel paramento'!$G$47*'Sollecitazioni nel paramento'!$G$41*IF(DATI!$G$211="dx",DATI!$E$61,DATI!$E$64*DATI!$E$63)*1000*C2366^2*sezione!$AD$5*(1-sezione!$AD$6)</f>
        <v>-285431626.89946914</v>
      </c>
      <c r="E2366" s="545">
        <f>-'Foglio deposito bis'!$F$88*(C2366-sezione!$AL$36)*IF(ABS(K2366)&lt;'Sollecitazioni nel paramento'!$G$58,ABS(K2366)*'Sollecitazioni nel paramento'!$G$54,'Sollecitazioni nel paramento'!$G$53)</f>
        <v>0</v>
      </c>
      <c r="F2366" s="545">
        <f>-'Foglio deposito bis'!$F$89*(C2366-sezione!$AM$36)*IF(ABS(L2366)&lt;'Sollecitazioni nel paramento'!$G$58,ABS(L2366)*'Sollecitazioni nel paramento'!$G$54,'Sollecitazioni nel paramento'!$G$53)</f>
        <v>-7092423.8877860159</v>
      </c>
      <c r="G2366" s="545">
        <f>-'Foglio deposito bis'!$F$90*(C2366-sezione!$AN$36)*IF(ABS(M2366)&lt;'Sollecitazioni nel paramento'!$G$58,ABS(M2366)*'Sollecitazioni nel paramento'!$G$54,'Sollecitazioni nel paramento'!$G$53)</f>
        <v>0</v>
      </c>
      <c r="H2366" s="545">
        <f>-'Foglio deposito bis'!$F$91*(C2366-sezione!$AO$36)*IF(ABS(N2366)&lt;'Sollecitazioni nel paramento'!$G$58,ABS(N2366)*'Sollecitazioni nel paramento'!$G$54,'Sollecitazioni nel paramento'!$G$53)</f>
        <v>31709546.483032584</v>
      </c>
      <c r="I2366" s="472">
        <f>-'Foglio deposito bis'!$F$92*(C2366-sezione!$AP$36)*IF(ABS(O2366)&lt;'Sollecitazioni nel paramento'!$G$58,ABS(O2366)*'Sollecitazioni nel paramento'!$G$54,'Sollecitazioni nel paramento'!$G$53)</f>
        <v>1070204224.9547833</v>
      </c>
      <c r="J2366" s="472">
        <f t="shared" si="166"/>
        <v>809389720.65056074</v>
      </c>
      <c r="K2366" s="550">
        <f>'Sollecitazioni nel paramento'!$G$60*(sezione!$AL$36-C2366)/C2366</f>
        <v>-2.2639705977208014E-3</v>
      </c>
      <c r="L2366" s="550">
        <f>'Sollecitazioni nel paramento'!$G$60*(sezione!$AM$36-C2366)/C2366</f>
        <v>-1.6459558965812022E-3</v>
      </c>
      <c r="M2366" s="551">
        <f>'Sollecitazioni nel paramento'!$G$60*(sezione!$AN$36-C2366)/C2366</f>
        <v>-1.0279411954416031E-3</v>
      </c>
      <c r="N2366" s="551">
        <f>'Sollecitazioni nel paramento'!$G$60*(sezione!$AO$36-C2366)/C2366</f>
        <v>1.4441176091167941E-3</v>
      </c>
      <c r="O2366" s="551">
        <f>'Sollecitazioni nel paramento'!$G$60*(sezione!$AP$36-C2366)/C2366</f>
        <v>1.9897303931054159E-2</v>
      </c>
      <c r="P2366" s="545">
        <f>-'Sollecitazioni nel paramento'!$G$47*'Sollecitazioni nel paramento'!$G$41*IF(DATI!$G$211="dx",DATI!$E$61,DATI!$E$64*DATI!$E$63)*1000*C2366*sezione!$AD$5</f>
        <v>-4315091.5262736054</v>
      </c>
      <c r="Q2366" s="545">
        <f>'Foglio deposito bis'!$F$88*IF(ABS(K2366)&lt;'Sollecitazioni nel paramento'!$G$58,ABS(K2366)*'Sollecitazioni nel paramento'!$G$54,'Sollecitazioni nel paramento'!$G$53)*IF(K2366&lt;0,-1,1)</f>
        <v>0</v>
      </c>
      <c r="R2366" s="545">
        <f>'Foglio deposito bis'!$F$89*IF(ABS(L2366)&lt;'Sollecitazioni nel paramento'!$G$58,ABS(L2366)*'Sollecitazioni nel paramento'!$G$54,'Sollecitazioni nel paramento'!$G$53)*IF(L2366&lt;0,-1,1)</f>
        <v>-133151.26603543188</v>
      </c>
      <c r="S2366" s="545">
        <f>'Foglio deposito bis'!$F$90*IF(ABS(M2366)&lt;'Sollecitazioni nel paramento'!$G$58,ABS(M2366)*'Sollecitazioni nel paramento'!$G$54,'Sollecitazioni nel paramento'!$G$53)*IF(M2366&lt;0,-1,1)</f>
        <v>0</v>
      </c>
      <c r="T2366" s="545">
        <f>'Foglio deposito bis'!$F$91*IF(ABS(N2366)&lt;'Sollecitazioni nel paramento'!$G$58,ABS(N2366)*'Sollecitazioni nel paramento'!$G$54,'Sollecitazioni nel paramento'!$G$53)*IF(N2366&lt;0,-1,1)</f>
        <v>678510.03856150247</v>
      </c>
      <c r="U2366" s="545">
        <f>'Foglio deposito bis'!$F$92*IF(ABS(O2366)&lt;'Sollecitazioni nel paramento'!$G$58,ABS(O2366)*'Sollecitazioni nel paramento'!$G$54,'Sollecitazioni nel paramento'!$G$53)*IF(O2366&lt;0,-1,1)</f>
        <v>1662039.1047339395</v>
      </c>
      <c r="V2366" s="472">
        <f t="shared" ref="V2366:V2429" si="168">P2366+Q2366+R2366+S2366+T2366+U2366</f>
        <v>-2107693.6490135957</v>
      </c>
      <c r="W2366" s="551"/>
      <c r="X2366" s="551"/>
    </row>
    <row r="2367" spans="1:24" x14ac:dyDescent="0.25">
      <c r="A2367" s="545">
        <f t="shared" si="167"/>
        <v>2236109.2128342213</v>
      </c>
      <c r="B2367" s="3">
        <f t="shared" si="165"/>
        <v>10.699999999999983</v>
      </c>
      <c r="C2367" s="545">
        <f>'Foglio deposito bis'!$E$162/sezione!$B$247*B2367</f>
        <v>115.42335999741908</v>
      </c>
      <c r="D2367" s="603">
        <f>-'Sollecitazioni nel paramento'!$G$47*'Sollecitazioni nel paramento'!$G$41*IF(DATI!$G$211="dx",DATI!$E$61,DATI!$E$64*DATI!$E$63)*1000*C2367^2*sezione!$AD$5*(1-sezione!$AD$6)</f>
        <v>-296408770.64598835</v>
      </c>
      <c r="E2367" s="545">
        <f>-'Foglio deposito bis'!$F$88*(C2367-sezione!$AL$36)*IF(ABS(K2367)&lt;'Sollecitazioni nel paramento'!$G$58,ABS(K2367)*'Sollecitazioni nel paramento'!$G$54,'Sollecitazioni nel paramento'!$G$53)</f>
        <v>0</v>
      </c>
      <c r="F2367" s="545">
        <f>-'Foglio deposito bis'!$F$89*(C2367-sezione!$AM$36)*IF(ABS(L2367)&lt;'Sollecitazioni nel paramento'!$G$58,ABS(L2367)*'Sollecitazioni nel paramento'!$G$54,'Sollecitazioni nel paramento'!$G$53)</f>
        <v>-7535067.3741255552</v>
      </c>
      <c r="G2367" s="545">
        <f>-'Foglio deposito bis'!$F$90*(C2367-sezione!$AN$36)*IF(ABS(M2367)&lt;'Sollecitazioni nel paramento'!$G$58,ABS(M2367)*'Sollecitazioni nel paramento'!$G$54,'Sollecitazioni nel paramento'!$G$53)</f>
        <v>0</v>
      </c>
      <c r="H2367" s="545">
        <f>-'Foglio deposito bis'!$F$91*(C2367-sezione!$AO$36)*IF(ABS(N2367)&lt;'Sollecitazioni nel paramento'!$G$58,ABS(N2367)*'Sollecitazioni nel paramento'!$G$54,'Sollecitazioni nel paramento'!$G$53)</f>
        <v>28310184.895188641</v>
      </c>
      <c r="I2367" s="472">
        <f>-'Foglio deposito bis'!$F$92*(C2367-sezione!$AP$36)*IF(ABS(O2367)&lt;'Sollecitazioni nel paramento'!$G$58,ABS(O2367)*'Sollecitazioni nel paramento'!$G$54,'Sollecitazioni nel paramento'!$G$53)</f>
        <v>1066618465.3675779</v>
      </c>
      <c r="J2367" s="472">
        <f t="shared" si="166"/>
        <v>790984812.24265265</v>
      </c>
      <c r="K2367" s="550">
        <f>'Sollecitazioni nel paramento'!$G$60*(sezione!$AL$36-C2367)/C2367</f>
        <v>-2.2870739510344315E-3</v>
      </c>
      <c r="L2367" s="550">
        <f>'Sollecitazioni nel paramento'!$G$60*(sezione!$AM$36-C2367)/C2367</f>
        <v>-1.680610926551647E-3</v>
      </c>
      <c r="M2367" s="551">
        <f>'Sollecitazioni nel paramento'!$G$60*(sezione!$AN$36-C2367)/C2367</f>
        <v>-1.0741479020688627E-3</v>
      </c>
      <c r="N2367" s="551">
        <f>'Sollecitazioni nel paramento'!$G$60*(sezione!$AO$36-C2367)/C2367</f>
        <v>1.3517041958622748E-3</v>
      </c>
      <c r="O2367" s="551">
        <f>'Sollecitazioni nel paramento'!$G$60*(sezione!$AP$36-C2367)/C2367</f>
        <v>1.9459971147296137E-2</v>
      </c>
      <c r="P2367" s="545">
        <f>-'Sollecitazioni nel paramento'!$G$47*'Sollecitazioni nel paramento'!$G$41*IF(DATI!$G$211="dx",DATI!$E$61,DATI!$E$64*DATI!$E$63)*1000*C2367*sezione!$AD$5</f>
        <v>-4397283.7458216744</v>
      </c>
      <c r="Q2367" s="545">
        <f>'Foglio deposito bis'!$F$88*IF(ABS(K2367)&lt;'Sollecitazioni nel paramento'!$G$58,ABS(K2367)*'Sollecitazioni nel paramento'!$G$54,'Sollecitazioni nel paramento'!$G$53)*IF(K2367&lt;0,-1,1)</f>
        <v>0</v>
      </c>
      <c r="R2367" s="545">
        <f>'Foglio deposito bis'!$F$89*IF(ABS(L2367)&lt;'Sollecitazioni nel paramento'!$G$58,ABS(L2367)*'Sollecitazioni nel paramento'!$G$54,'Sollecitazioni nel paramento'!$G$53)*IF(L2367&lt;0,-1,1)</f>
        <v>-135954.71971523279</v>
      </c>
      <c r="S2367" s="545">
        <f>'Foglio deposito bis'!$F$90*IF(ABS(M2367)&lt;'Sollecitazioni nel paramento'!$G$58,ABS(M2367)*'Sollecitazioni nel paramento'!$G$54,'Sollecitazioni nel paramento'!$G$53)*IF(M2367&lt;0,-1,1)</f>
        <v>0</v>
      </c>
      <c r="T2367" s="545">
        <f>'Foglio deposito bis'!$F$91*IF(ABS(N2367)&lt;'Sollecitazioni nel paramento'!$G$58,ABS(N2367)*'Sollecitazioni nel paramento'!$G$54,'Sollecitazioni nel paramento'!$G$53)*IF(N2367&lt;0,-1,1)</f>
        <v>635090.14796874614</v>
      </c>
      <c r="U2367" s="545">
        <f>'Foglio deposito bis'!$F$92*IF(ABS(O2367)&lt;'Sollecitazioni nel paramento'!$G$58,ABS(O2367)*'Sollecitazioni nel paramento'!$G$54,'Sollecitazioni nel paramento'!$G$53)*IF(O2367&lt;0,-1,1)</f>
        <v>1662039.1047339395</v>
      </c>
      <c r="V2367" s="472">
        <f t="shared" si="168"/>
        <v>-2236109.2128342213</v>
      </c>
      <c r="W2367" s="551"/>
      <c r="X2367" s="551"/>
    </row>
    <row r="2368" spans="1:24" x14ac:dyDescent="0.25">
      <c r="A2368" s="545">
        <f t="shared" si="167"/>
        <v>2362828.5071402574</v>
      </c>
      <c r="B2368" s="3">
        <f t="shared" si="165"/>
        <v>10.899999999999983</v>
      </c>
      <c r="C2368" s="545">
        <f>'Foglio deposito bis'!$E$162/sezione!$B$247*B2368</f>
        <v>117.58080597867925</v>
      </c>
      <c r="D2368" s="603">
        <f>-'Sollecitazioni nel paramento'!$G$47*'Sollecitazioni nel paramento'!$G$41*IF(DATI!$G$211="dx",DATI!$E$61,DATI!$E$64*DATI!$E$63)*1000*C2368^2*sezione!$AD$5*(1-sezione!$AD$6)</f>
        <v>-307593030.3122533</v>
      </c>
      <c r="E2368" s="545">
        <f>-'Foglio deposito bis'!$F$88*(C2368-sezione!$AL$36)*IF(ABS(K2368)&lt;'Sollecitazioni nel paramento'!$G$58,ABS(K2368)*'Sollecitazioni nel paramento'!$G$54,'Sollecitazioni nel paramento'!$G$53)</f>
        <v>0</v>
      </c>
      <c r="F2368" s="545">
        <f>-'Foglio deposito bis'!$F$89*(C2368-sezione!$AM$36)*IF(ABS(L2368)&lt;'Sollecitazioni nel paramento'!$G$58,ABS(L2368)*'Sollecitazioni nel paramento'!$G$54,'Sollecitazioni nel paramento'!$G$53)</f>
        <v>-7983883.6025123652</v>
      </c>
      <c r="G2368" s="545">
        <f>-'Foglio deposito bis'!$F$90*(C2368-sezione!$AN$36)*IF(ABS(M2368)&lt;'Sollecitazioni nel paramento'!$G$58,ABS(M2368)*'Sollecitazioni nel paramento'!$G$54,'Sollecitazioni nel paramento'!$G$53)</f>
        <v>0</v>
      </c>
      <c r="H2368" s="545">
        <f>-'Foglio deposito bis'!$F$91*(C2368-sezione!$AO$36)*IF(ABS(N2368)&lt;'Sollecitazioni nel paramento'!$G$58,ABS(N2368)*'Sollecitazioni nel paramento'!$G$54,'Sollecitazioni nel paramento'!$G$53)</f>
        <v>25165765.7842196</v>
      </c>
      <c r="I2368" s="472">
        <f>-'Foglio deposito bis'!$F$92*(C2368-sezione!$AP$36)*IF(ABS(O2368)&lt;'Sollecitazioni nel paramento'!$G$58,ABS(O2368)*'Sollecitazioni nel paramento'!$G$54,'Sollecitazioni nel paramento'!$G$53)</f>
        <v>1063032705.7803725</v>
      </c>
      <c r="J2368" s="472">
        <f t="shared" si="166"/>
        <v>772621557.64982653</v>
      </c>
      <c r="K2368" s="550">
        <f>'Sollecitazioni nel paramento'!$G$60*(sezione!$AL$36-C2368)/C2368</f>
        <v>-2.3093294748686619E-3</v>
      </c>
      <c r="L2368" s="550">
        <f>'Sollecitazioni nel paramento'!$G$60*(sezione!$AM$36-C2368)/C2368</f>
        <v>-1.713994212302993E-3</v>
      </c>
      <c r="M2368" s="551">
        <f>'Sollecitazioni nel paramento'!$G$60*(sezione!$AN$36-C2368)/C2368</f>
        <v>-1.1186589497373237E-3</v>
      </c>
      <c r="N2368" s="551">
        <f>'Sollecitazioni nel paramento'!$G$60*(sezione!$AO$36-C2368)/C2368</f>
        <v>1.2626821005253524E-3</v>
      </c>
      <c r="O2368" s="551">
        <f>'Sollecitazioni nel paramento'!$G$60*(sezione!$AP$36-C2368)/C2368</f>
        <v>1.9038687273033823E-2</v>
      </c>
      <c r="P2368" s="545">
        <f>-'Sollecitazioni nel paramento'!$G$47*'Sollecitazioni nel paramento'!$G$41*IF(DATI!$G$211="dx",DATI!$E$61,DATI!$E$64*DATI!$E$63)*1000*C2368*sezione!$AD$5</f>
        <v>-4479475.9653697424</v>
      </c>
      <c r="Q2368" s="545">
        <f>'Foglio deposito bis'!$F$88*IF(ABS(K2368)&lt;'Sollecitazioni nel paramento'!$G$58,ABS(K2368)*'Sollecitazioni nel paramento'!$G$54,'Sollecitazioni nel paramento'!$G$53)*IF(K2368&lt;0,-1,1)</f>
        <v>0</v>
      </c>
      <c r="R2368" s="545">
        <f>'Foglio deposito bis'!$F$89*IF(ABS(L2368)&lt;'Sollecitazioni nel paramento'!$G$58,ABS(L2368)*'Sollecitazioni nel paramento'!$G$54,'Sollecitazioni nel paramento'!$G$53)*IF(L2368&lt;0,-1,1)</f>
        <v>-138655.29436091255</v>
      </c>
      <c r="S2368" s="545">
        <f>'Foglio deposito bis'!$F$90*IF(ABS(M2368)&lt;'Sollecitazioni nel paramento'!$G$58,ABS(M2368)*'Sollecitazioni nel paramento'!$G$54,'Sollecitazioni nel paramento'!$G$53)*IF(M2368&lt;0,-1,1)</f>
        <v>0</v>
      </c>
      <c r="T2368" s="545">
        <f>'Foglio deposito bis'!$F$91*IF(ABS(N2368)&lt;'Sollecitazioni nel paramento'!$G$58,ABS(N2368)*'Sollecitazioni nel paramento'!$G$54,'Sollecitazioni nel paramento'!$G$53)*IF(N2368&lt;0,-1,1)</f>
        <v>593263.64785645797</v>
      </c>
      <c r="U2368" s="545">
        <f>'Foglio deposito bis'!$F$92*IF(ABS(O2368)&lt;'Sollecitazioni nel paramento'!$G$58,ABS(O2368)*'Sollecitazioni nel paramento'!$G$54,'Sollecitazioni nel paramento'!$G$53)*IF(O2368&lt;0,-1,1)</f>
        <v>1662039.1047339395</v>
      </c>
      <c r="V2368" s="472">
        <f t="shared" si="168"/>
        <v>-2362828.5071402574</v>
      </c>
      <c r="W2368" s="551"/>
      <c r="X2368" s="551"/>
    </row>
    <row r="2369" spans="1:24" x14ac:dyDescent="0.25">
      <c r="A2369" s="545">
        <f t="shared" si="167"/>
        <v>2487943.222175736</v>
      </c>
      <c r="B2369" s="3">
        <f t="shared" si="165"/>
        <v>11.099999999999982</v>
      </c>
      <c r="C2369" s="545">
        <f>'Foglio deposito bis'!$E$162/sezione!$B$247*B2369</f>
        <v>119.7382519599394</v>
      </c>
      <c r="D2369" s="603">
        <f>-'Sollecitazioni nel paramento'!$G$47*'Sollecitazioni nel paramento'!$G$41*IF(DATI!$G$211="dx",DATI!$E$61,DATI!$E$64*DATI!$E$63)*1000*C2369^2*sezione!$AD$5*(1-sezione!$AD$6)</f>
        <v>-318984405.89826375</v>
      </c>
      <c r="E2369" s="545">
        <f>-'Foglio deposito bis'!$F$88*(C2369-sezione!$AL$36)*IF(ABS(K2369)&lt;'Sollecitazioni nel paramento'!$G$58,ABS(K2369)*'Sollecitazioni nel paramento'!$G$54,'Sollecitazioni nel paramento'!$G$53)</f>
        <v>0</v>
      </c>
      <c r="F2369" s="545">
        <f>-'Foglio deposito bis'!$F$89*(C2369-sezione!$AM$36)*IF(ABS(L2369)&lt;'Sollecitazioni nel paramento'!$G$58,ABS(L2369)*'Sollecitazioni nel paramento'!$G$54,'Sollecitazioni nel paramento'!$G$53)</f>
        <v>-8438538.9112141524</v>
      </c>
      <c r="G2369" s="545">
        <f>-'Foglio deposito bis'!$F$90*(C2369-sezione!$AN$36)*IF(ABS(M2369)&lt;'Sollecitazioni nel paramento'!$G$58,ABS(M2369)*'Sollecitazioni nel paramento'!$G$54,'Sollecitazioni nel paramento'!$G$53)</f>
        <v>0</v>
      </c>
      <c r="H2369" s="545">
        <f>-'Foglio deposito bis'!$F$91*(C2369-sezione!$AO$36)*IF(ABS(N2369)&lt;'Sollecitazioni nel paramento'!$G$58,ABS(N2369)*'Sollecitazioni nel paramento'!$G$54,'Sollecitazioni nel paramento'!$G$53)</f>
        <v>22262508.475699805</v>
      </c>
      <c r="I2369" s="472">
        <f>-'Foglio deposito bis'!$F$92*(C2369-sezione!$AP$36)*IF(ABS(O2369)&lt;'Sollecitazioni nel paramento'!$G$58,ABS(O2369)*'Sollecitazioni nel paramento'!$G$54,'Sollecitazioni nel paramento'!$G$53)</f>
        <v>1059446946.193167</v>
      </c>
      <c r="J2369" s="472">
        <f t="shared" si="166"/>
        <v>754286509.85938883</v>
      </c>
      <c r="K2369" s="550">
        <f>'Sollecitazioni nel paramento'!$G$60*(sezione!$AL$36-C2369)/C2369</f>
        <v>-2.3307829978440014E-3</v>
      </c>
      <c r="L2369" s="550">
        <f>'Sollecitazioni nel paramento'!$G$60*(sezione!$AM$36-C2369)/C2369</f>
        <v>-1.7461744967660017E-3</v>
      </c>
      <c r="M2369" s="551">
        <f>'Sollecitazioni nel paramento'!$G$60*(sezione!$AN$36-C2369)/C2369</f>
        <v>-1.1615659956880026E-3</v>
      </c>
      <c r="N2369" s="551">
        <f>'Sollecitazioni nel paramento'!$G$60*(sezione!$AO$36-C2369)/C2369</f>
        <v>1.1768680086239954E-3</v>
      </c>
      <c r="O2369" s="551">
        <f>'Sollecitazioni nel paramento'!$G$60*(sezione!$AP$36-C2369)/C2369</f>
        <v>1.8632584799645829E-2</v>
      </c>
      <c r="P2369" s="545">
        <f>-'Sollecitazioni nel paramento'!$G$47*'Sollecitazioni nel paramento'!$G$41*IF(DATI!$G$211="dx",DATI!$E$61,DATI!$E$64*DATI!$E$63)*1000*C2369*sezione!$AD$5</f>
        <v>-4561668.1849178104</v>
      </c>
      <c r="Q2369" s="545">
        <f>'Foglio deposito bis'!$F$88*IF(ABS(K2369)&lt;'Sollecitazioni nel paramento'!$G$58,ABS(K2369)*'Sollecitazioni nel paramento'!$G$54,'Sollecitazioni nel paramento'!$G$53)*IF(K2369&lt;0,-1,1)</f>
        <v>0</v>
      </c>
      <c r="R2369" s="545">
        <f>'Foglio deposito bis'!$F$89*IF(ABS(L2369)&lt;'Sollecitazioni nel paramento'!$G$58,ABS(L2369)*'Sollecitazioni nel paramento'!$G$54,'Sollecitazioni nel paramento'!$G$53)*IF(L2369&lt;0,-1,1)</f>
        <v>-141258.55100134254</v>
      </c>
      <c r="S2369" s="545">
        <f>'Foglio deposito bis'!$F$90*IF(ABS(M2369)&lt;'Sollecitazioni nel paramento'!$G$58,ABS(M2369)*'Sollecitazioni nel paramento'!$G$54,'Sollecitazioni nel paramento'!$G$53)*IF(M2369&lt;0,-1,1)</f>
        <v>0</v>
      </c>
      <c r="T2369" s="545">
        <f>'Foglio deposito bis'!$F$91*IF(ABS(N2369)&lt;'Sollecitazioni nel paramento'!$G$58,ABS(N2369)*'Sollecitazioni nel paramento'!$G$54,'Sollecitazioni nel paramento'!$G$53)*IF(N2369&lt;0,-1,1)</f>
        <v>552944.40900947771</v>
      </c>
      <c r="U2369" s="545">
        <f>'Foglio deposito bis'!$F$92*IF(ABS(O2369)&lt;'Sollecitazioni nel paramento'!$G$58,ABS(O2369)*'Sollecitazioni nel paramento'!$G$54,'Sollecitazioni nel paramento'!$G$53)*IF(O2369&lt;0,-1,1)</f>
        <v>1662039.1047339395</v>
      </c>
      <c r="V2369" s="472">
        <f t="shared" si="168"/>
        <v>-2487943.222175736</v>
      </c>
      <c r="W2369" s="551"/>
      <c r="X2369" s="551"/>
    </row>
    <row r="2370" spans="1:24" x14ac:dyDescent="0.25">
      <c r="A2370" s="545">
        <f t="shared" si="167"/>
        <v>2611538.5568399793</v>
      </c>
      <c r="B2370" s="3">
        <f t="shared" si="165"/>
        <v>11.299999999999981</v>
      </c>
      <c r="C2370" s="545">
        <f>'Foglio deposito bis'!$E$162/sezione!$B$247*B2370</f>
        <v>121.89569794119957</v>
      </c>
      <c r="D2370" s="603">
        <f>-'Sollecitazioni nel paramento'!$G$47*'Sollecitazioni nel paramento'!$G$41*IF(DATI!$G$211="dx",DATI!$E$61,DATI!$E$64*DATI!$E$63)*1000*C2370^2*sezione!$AD$5*(1-sezione!$AD$6)</f>
        <v>-330582897.40401995</v>
      </c>
      <c r="E2370" s="545">
        <f>-'Foglio deposito bis'!$F$88*(C2370-sezione!$AL$36)*IF(ABS(K2370)&lt;'Sollecitazioni nel paramento'!$G$58,ABS(K2370)*'Sollecitazioni nel paramento'!$G$54,'Sollecitazioni nel paramento'!$G$53)</f>
        <v>0</v>
      </c>
      <c r="F2370" s="545">
        <f>-'Foglio deposito bis'!$F$89*(C2370-sezione!$AM$36)*IF(ABS(L2370)&lt;'Sollecitazioni nel paramento'!$G$58,ABS(L2370)*'Sollecitazioni nel paramento'!$G$54,'Sollecitazioni nel paramento'!$G$53)</f>
        <v>-8898723.2605681848</v>
      </c>
      <c r="G2370" s="545">
        <f>-'Foglio deposito bis'!$F$90*(C2370-sezione!$AN$36)*IF(ABS(M2370)&lt;'Sollecitazioni nel paramento'!$G$58,ABS(M2370)*'Sollecitazioni nel paramento'!$G$54,'Sollecitazioni nel paramento'!$G$53)</f>
        <v>0</v>
      </c>
      <c r="H2370" s="545">
        <f>-'Foglio deposito bis'!$F$91*(C2370-sezione!$AO$36)*IF(ABS(N2370)&lt;'Sollecitazioni nel paramento'!$G$58,ABS(N2370)*'Sollecitazioni nel paramento'!$G$54,'Sollecitazioni nel paramento'!$G$53)</f>
        <v>19587607.918171737</v>
      </c>
      <c r="I2370" s="472">
        <f>-'Foglio deposito bis'!$F$92*(C2370-sezione!$AP$36)*IF(ABS(O2370)&lt;'Sollecitazioni nel paramento'!$G$58,ABS(O2370)*'Sollecitazioni nel paramento'!$G$54,'Sollecitazioni nel paramento'!$G$53)</f>
        <v>1055861186.6059613</v>
      </c>
      <c r="J2370" s="472">
        <f t="shared" si="166"/>
        <v>735967173.85954499</v>
      </c>
      <c r="K2370" s="550">
        <f>'Sollecitazioni nel paramento'!$G$60*(sezione!$AL$36-C2370)/C2370</f>
        <v>-2.3514771040768507E-3</v>
      </c>
      <c r="L2370" s="550">
        <f>'Sollecitazioni nel paramento'!$G$60*(sezione!$AM$36-C2370)/C2370</f>
        <v>-1.7772156561152762E-3</v>
      </c>
      <c r="M2370" s="551">
        <f>'Sollecitazioni nel paramento'!$G$60*(sezione!$AN$36-C2370)/C2370</f>
        <v>-1.2029542081537013E-3</v>
      </c>
      <c r="N2370" s="551">
        <f>'Sollecitazioni nel paramento'!$G$60*(sezione!$AO$36-C2370)/C2370</f>
        <v>1.0940915836925972E-3</v>
      </c>
      <c r="O2370" s="551">
        <f>'Sollecitazioni nel paramento'!$G$60*(sezione!$AP$36-C2370)/C2370</f>
        <v>1.8240857635050328E-2</v>
      </c>
      <c r="P2370" s="545">
        <f>-'Sollecitazioni nel paramento'!$G$47*'Sollecitazioni nel paramento'!$G$41*IF(DATI!$G$211="dx",DATI!$E$61,DATI!$E$64*DATI!$E$63)*1000*C2370*sezione!$AD$5</f>
        <v>-4643860.4044658793</v>
      </c>
      <c r="Q2370" s="545">
        <f>'Foglio deposito bis'!$F$88*IF(ABS(K2370)&lt;'Sollecitazioni nel paramento'!$G$58,ABS(K2370)*'Sollecitazioni nel paramento'!$G$54,'Sollecitazioni nel paramento'!$G$53)*IF(K2370&lt;0,-1,1)</f>
        <v>0</v>
      </c>
      <c r="R2370" s="545">
        <f>'Foglio deposito bis'!$F$89*IF(ABS(L2370)&lt;'Sollecitazioni nel paramento'!$G$58,ABS(L2370)*'Sollecitazioni nel paramento'!$G$54,'Sollecitazioni nel paramento'!$G$53)*IF(L2370&lt;0,-1,1)</f>
        <v>-143769.65696423527</v>
      </c>
      <c r="S2370" s="545">
        <f>'Foglio deposito bis'!$F$90*IF(ABS(M2370)&lt;'Sollecitazioni nel paramento'!$G$58,ABS(M2370)*'Sollecitazioni nel paramento'!$G$54,'Sollecitazioni nel paramento'!$G$53)*IF(M2370&lt;0,-1,1)</f>
        <v>0</v>
      </c>
      <c r="T2370" s="545">
        <f>'Foglio deposito bis'!$F$91*IF(ABS(N2370)&lt;'Sollecitazioni nel paramento'!$G$58,ABS(N2370)*'Sollecitazioni nel paramento'!$G$54,'Sollecitazioni nel paramento'!$G$53)*IF(N2370&lt;0,-1,1)</f>
        <v>514052.39985619567</v>
      </c>
      <c r="U2370" s="545">
        <f>'Foglio deposito bis'!$F$92*IF(ABS(O2370)&lt;'Sollecitazioni nel paramento'!$G$58,ABS(O2370)*'Sollecitazioni nel paramento'!$G$54,'Sollecitazioni nel paramento'!$G$53)*IF(O2370&lt;0,-1,1)</f>
        <v>1662039.1047339395</v>
      </c>
      <c r="V2370" s="472">
        <f t="shared" si="168"/>
        <v>-2611538.5568399793</v>
      </c>
      <c r="W2370" s="551"/>
      <c r="X2370" s="551"/>
    </row>
    <row r="2371" spans="1:24" x14ac:dyDescent="0.25">
      <c r="A2371" s="545">
        <f t="shared" si="167"/>
        <v>2733693.7831523567</v>
      </c>
      <c r="B2371" s="3">
        <f t="shared" si="165"/>
        <v>11.49999999999998</v>
      </c>
      <c r="C2371" s="545">
        <f>'Foglio deposito bis'!$E$162/sezione!$B$247*B2371</f>
        <v>124.05314392245974</v>
      </c>
      <c r="D2371" s="603">
        <f>-'Sollecitazioni nel paramento'!$G$47*'Sollecitazioni nel paramento'!$G$41*IF(DATI!$G$211="dx",DATI!$E$61,DATI!$E$64*DATI!$E$63)*1000*C2371^2*sezione!$AD$5*(1-sezione!$AD$6)</f>
        <v>-342388504.82952178</v>
      </c>
      <c r="E2371" s="545">
        <f>-'Foglio deposito bis'!$F$88*(C2371-sezione!$AL$36)*IF(ABS(K2371)&lt;'Sollecitazioni nel paramento'!$G$58,ABS(K2371)*'Sollecitazioni nel paramento'!$G$54,'Sollecitazioni nel paramento'!$G$53)</f>
        <v>0</v>
      </c>
      <c r="F2371" s="545">
        <f>-'Foglio deposito bis'!$F$89*(C2371-sezione!$AM$36)*IF(ABS(L2371)&lt;'Sollecitazioni nel paramento'!$G$58,ABS(L2371)*'Sollecitazioni nel paramento'!$G$54,'Sollecitazioni nel paramento'!$G$53)</f>
        <v>-9364148.1788882557</v>
      </c>
      <c r="G2371" s="545">
        <f>-'Foglio deposito bis'!$F$90*(C2371-sezione!$AN$36)*IF(ABS(M2371)&lt;'Sollecitazioni nel paramento'!$G$58,ABS(M2371)*'Sollecitazioni nel paramento'!$G$54,'Sollecitazioni nel paramento'!$G$53)</f>
        <v>0</v>
      </c>
      <c r="H2371" s="545">
        <f>-'Foglio deposito bis'!$F$91*(C2371-sezione!$AO$36)*IF(ABS(N2371)&lt;'Sollecitazioni nel paramento'!$G$58,ABS(N2371)*'Sollecitazioni nel paramento'!$G$54,'Sollecitazioni nel paramento'!$G$53)</f>
        <v>17129149.846366283</v>
      </c>
      <c r="I2371" s="472">
        <f>-'Foglio deposito bis'!$F$92*(C2371-sezione!$AP$36)*IF(ABS(O2371)&lt;'Sollecitazioni nel paramento'!$G$58,ABS(O2371)*'Sollecitazioni nel paramento'!$G$54,'Sollecitazioni nel paramento'!$G$53)</f>
        <v>1052275427.0187559</v>
      </c>
      <c r="J2371" s="472">
        <f t="shared" si="166"/>
        <v>717651923.8567121</v>
      </c>
      <c r="K2371" s="550">
        <f>'Sollecitazioni nel paramento'!$G$60*(sezione!$AL$36-C2371)/C2371</f>
        <v>-2.3714514153102967E-3</v>
      </c>
      <c r="L2371" s="550">
        <f>'Sollecitazioni nel paramento'!$G$60*(sezione!$AM$36-C2371)/C2371</f>
        <v>-1.8071771229654452E-3</v>
      </c>
      <c r="M2371" s="551">
        <f>'Sollecitazioni nel paramento'!$G$60*(sezione!$AN$36-C2371)/C2371</f>
        <v>-1.2429028306205935E-3</v>
      </c>
      <c r="N2371" s="551">
        <f>'Sollecitazioni nel paramento'!$G$60*(sezione!$AO$36-C2371)/C2371</f>
        <v>1.014194338758813E-3</v>
      </c>
      <c r="O2371" s="551">
        <f>'Sollecitazioni nel paramento'!$G$60*(sezione!$AP$36-C2371)/C2371</f>
        <v>1.7862755763136409E-2</v>
      </c>
      <c r="P2371" s="545">
        <f>-'Sollecitazioni nel paramento'!$G$47*'Sollecitazioni nel paramento'!$G$41*IF(DATI!$G$211="dx",DATI!$E$61,DATI!$E$64*DATI!$E$63)*1000*C2371*sezione!$AD$5</f>
        <v>-4726052.6240139483</v>
      </c>
      <c r="Q2371" s="545">
        <f>'Foglio deposito bis'!$F$88*IF(ABS(K2371)&lt;'Sollecitazioni nel paramento'!$G$58,ABS(K2371)*'Sollecitazioni nel paramento'!$G$54,'Sollecitazioni nel paramento'!$G$53)*IF(K2371&lt;0,-1,1)</f>
        <v>0</v>
      </c>
      <c r="R2371" s="545">
        <f>'Foglio deposito bis'!$F$89*IF(ABS(L2371)&lt;'Sollecitazioni nel paramento'!$G$58,ABS(L2371)*'Sollecitazioni nel paramento'!$G$54,'Sollecitazioni nel paramento'!$G$53)*IF(L2371&lt;0,-1,1)</f>
        <v>-146193.42011102734</v>
      </c>
      <c r="S2371" s="545">
        <f>'Foglio deposito bis'!$F$90*IF(ABS(M2371)&lt;'Sollecitazioni nel paramento'!$G$58,ABS(M2371)*'Sollecitazioni nel paramento'!$G$54,'Sollecitazioni nel paramento'!$G$53)*IF(M2371&lt;0,-1,1)</f>
        <v>0</v>
      </c>
      <c r="T2371" s="545">
        <f>'Foglio deposito bis'!$F$91*IF(ABS(N2371)&lt;'Sollecitazioni nel paramento'!$G$58,ABS(N2371)*'Sollecitazioni nel paramento'!$G$54,'Sollecitazioni nel paramento'!$G$53)*IF(N2371&lt;0,-1,1)</f>
        <v>476513.15623867989</v>
      </c>
      <c r="U2371" s="545">
        <f>'Foglio deposito bis'!$F$92*IF(ABS(O2371)&lt;'Sollecitazioni nel paramento'!$G$58,ABS(O2371)*'Sollecitazioni nel paramento'!$G$54,'Sollecitazioni nel paramento'!$G$53)*IF(O2371&lt;0,-1,1)</f>
        <v>1662039.1047339395</v>
      </c>
      <c r="V2371" s="472">
        <f t="shared" si="168"/>
        <v>-2733693.7831523567</v>
      </c>
      <c r="W2371" s="551"/>
      <c r="X2371" s="551"/>
    </row>
    <row r="2372" spans="1:24" x14ac:dyDescent="0.25">
      <c r="A2372" s="545">
        <f t="shared" si="167"/>
        <v>2854482.7528232178</v>
      </c>
      <c r="B2372" s="3">
        <f t="shared" si="165"/>
        <v>11.69999999999998</v>
      </c>
      <c r="C2372" s="545">
        <f>'Foglio deposito bis'!$E$162/sezione!$B$247*B2372</f>
        <v>126.21058990371991</v>
      </c>
      <c r="D2372" s="603">
        <f>-'Sollecitazioni nel paramento'!$G$47*'Sollecitazioni nel paramento'!$G$41*IF(DATI!$G$211="dx",DATI!$E$61,DATI!$E$64*DATI!$E$63)*1000*C2372^2*sezione!$AD$5*(1-sezione!$AD$6)</f>
        <v>-354401228.17476922</v>
      </c>
      <c r="E2372" s="545">
        <f>-'Foglio deposito bis'!$F$88*(C2372-sezione!$AL$36)*IF(ABS(K2372)&lt;'Sollecitazioni nel paramento'!$G$58,ABS(K2372)*'Sollecitazioni nel paramento'!$G$54,'Sollecitazioni nel paramento'!$G$53)</f>
        <v>0</v>
      </c>
      <c r="F2372" s="545">
        <f>-'Foglio deposito bis'!$F$89*(C2372-sezione!$AM$36)*IF(ABS(L2372)&lt;'Sollecitazioni nel paramento'!$G$58,ABS(L2372)*'Sollecitazioni nel paramento'!$G$54,'Sollecitazioni nel paramento'!$G$53)</f>
        <v>-9834544.9190478977</v>
      </c>
      <c r="G2372" s="545">
        <f>-'Foglio deposito bis'!$F$90*(C2372-sezione!$AN$36)*IF(ABS(M2372)&lt;'Sollecitazioni nel paramento'!$G$58,ABS(M2372)*'Sollecitazioni nel paramento'!$G$54,'Sollecitazioni nel paramento'!$G$53)</f>
        <v>0</v>
      </c>
      <c r="H2372" s="545">
        <f>-'Foglio deposito bis'!$F$91*(C2372-sezione!$AO$36)*IF(ABS(N2372)&lt;'Sollecitazioni nel paramento'!$G$58,ABS(N2372)*'Sollecitazioni nel paramento'!$G$54,'Sollecitazioni nel paramento'!$G$53)</f>
        <v>14876034.645630999</v>
      </c>
      <c r="I2372" s="472">
        <f>-'Foglio deposito bis'!$F$92*(C2372-sezione!$AP$36)*IF(ABS(O2372)&lt;'Sollecitazioni nel paramento'!$G$58,ABS(O2372)*'Sollecitazioni nel paramento'!$G$54,'Sollecitazioni nel paramento'!$G$53)</f>
        <v>1048689667.4315505</v>
      </c>
      <c r="J2372" s="472">
        <f t="shared" si="166"/>
        <v>699329928.98336434</v>
      </c>
      <c r="K2372" s="550">
        <f>'Sollecitazioni nel paramento'!$G$60*(sezione!$AL$36-C2372)/C2372</f>
        <v>-2.3907428441084116E-3</v>
      </c>
      <c r="L2372" s="550">
        <f>'Sollecitazioni nel paramento'!$G$60*(sezione!$AM$36-C2372)/C2372</f>
        <v>-1.8361142661626171E-3</v>
      </c>
      <c r="M2372" s="551">
        <f>'Sollecitazioni nel paramento'!$G$60*(sezione!$AN$36-C2372)/C2372</f>
        <v>-1.2814856882168227E-3</v>
      </c>
      <c r="N2372" s="551">
        <f>'Sollecitazioni nel paramento'!$G$60*(sezione!$AO$36-C2372)/C2372</f>
        <v>9.3702862356635471E-4</v>
      </c>
      <c r="O2372" s="551">
        <f>'Sollecitazioni nel paramento'!$G$60*(sezione!$AP$36-C2372)/C2372</f>
        <v>1.7497580450946043E-2</v>
      </c>
      <c r="P2372" s="545">
        <f>-'Sollecitazioni nel paramento'!$G$47*'Sollecitazioni nel paramento'!$G$41*IF(DATI!$G$211="dx",DATI!$E$61,DATI!$E$64*DATI!$E$63)*1000*C2372*sezione!$AD$5</f>
        <v>-4808244.8435620163</v>
      </c>
      <c r="Q2372" s="545">
        <f>'Foglio deposito bis'!$F$88*IF(ABS(K2372)&lt;'Sollecitazioni nel paramento'!$G$58,ABS(K2372)*'Sollecitazioni nel paramento'!$G$54,'Sollecitazioni nel paramento'!$G$53)*IF(K2372&lt;0,-1,1)</f>
        <v>0</v>
      </c>
      <c r="R2372" s="545">
        <f>'Foglio deposito bis'!$F$89*IF(ABS(L2372)&lt;'Sollecitazioni nel paramento'!$G$58,ABS(L2372)*'Sollecitazioni nel paramento'!$G$54,'Sollecitazioni nel paramento'!$G$53)*IF(L2372&lt;0,-1,1)</f>
        <v>-148534.3195604932</v>
      </c>
      <c r="S2372" s="545">
        <f>'Foglio deposito bis'!$F$90*IF(ABS(M2372)&lt;'Sollecitazioni nel paramento'!$G$58,ABS(M2372)*'Sollecitazioni nel paramento'!$G$54,'Sollecitazioni nel paramento'!$G$53)*IF(M2372&lt;0,-1,1)</f>
        <v>0</v>
      </c>
      <c r="T2372" s="545">
        <f>'Foglio deposito bis'!$F$91*IF(ABS(N2372)&lt;'Sollecitazioni nel paramento'!$G$58,ABS(N2372)*'Sollecitazioni nel paramento'!$G$54,'Sollecitazioni nel paramento'!$G$53)*IF(N2372&lt;0,-1,1)</f>
        <v>440257.30556535267</v>
      </c>
      <c r="U2372" s="545">
        <f>'Foglio deposito bis'!$F$92*IF(ABS(O2372)&lt;'Sollecitazioni nel paramento'!$G$58,ABS(O2372)*'Sollecitazioni nel paramento'!$G$54,'Sollecitazioni nel paramento'!$G$53)*IF(O2372&lt;0,-1,1)</f>
        <v>1662039.1047339395</v>
      </c>
      <c r="V2372" s="472">
        <f t="shared" si="168"/>
        <v>-2854482.7528232178</v>
      </c>
      <c r="W2372" s="551"/>
      <c r="X2372" s="551"/>
    </row>
    <row r="2373" spans="1:24" x14ac:dyDescent="0.25">
      <c r="A2373" s="545">
        <f t="shared" si="167"/>
        <v>2973974.3527420517</v>
      </c>
      <c r="B2373" s="3">
        <f t="shared" si="165"/>
        <v>11.899999999999979</v>
      </c>
      <c r="C2373" s="545">
        <f>'Foglio deposito bis'!$E$162/sezione!$B$247*B2373</f>
        <v>128.36803588498006</v>
      </c>
      <c r="D2373" s="603">
        <f>-'Sollecitazioni nel paramento'!$G$47*'Sollecitazioni nel paramento'!$G$41*IF(DATI!$G$211="dx",DATI!$E$61,DATI!$E$64*DATI!$E$63)*1000*C2373^2*sezione!$AD$5*(1-sezione!$AD$6)</f>
        <v>-366621067.43976229</v>
      </c>
      <c r="E2373" s="545">
        <f>-'Foglio deposito bis'!$F$88*(C2373-sezione!$AL$36)*IF(ABS(K2373)&lt;'Sollecitazioni nel paramento'!$G$58,ABS(K2373)*'Sollecitazioni nel paramento'!$G$54,'Sollecitazioni nel paramento'!$G$53)</f>
        <v>0</v>
      </c>
      <c r="F2373" s="545">
        <f>-'Foglio deposito bis'!$F$89*(C2373-sezione!$AM$36)*IF(ABS(L2373)&lt;'Sollecitazioni nel paramento'!$G$58,ABS(L2373)*'Sollecitazioni nel paramento'!$G$54,'Sollecitazioni nel paramento'!$G$53)</f>
        <v>-10309662.800954359</v>
      </c>
      <c r="G2373" s="545">
        <f>-'Foglio deposito bis'!$F$90*(C2373-sezione!$AN$36)*IF(ABS(M2373)&lt;'Sollecitazioni nel paramento'!$G$58,ABS(M2373)*'Sollecitazioni nel paramento'!$G$54,'Sollecitazioni nel paramento'!$G$53)</f>
        <v>0</v>
      </c>
      <c r="H2373" s="545">
        <f>-'Foglio deposito bis'!$F$91*(C2373-sezione!$AO$36)*IF(ABS(N2373)&lt;'Sollecitazioni nel paramento'!$G$58,ABS(N2373)*'Sollecitazioni nel paramento'!$G$54,'Sollecitazioni nel paramento'!$G$53)</f>
        <v>12817908.893895134</v>
      </c>
      <c r="I2373" s="472">
        <f>-'Foglio deposito bis'!$F$92*(C2373-sezione!$AP$36)*IF(ABS(O2373)&lt;'Sollecitazioni nel paramento'!$G$58,ABS(O2373)*'Sollecitazioni nel paramento'!$G$54,'Sollecitazioni nel paramento'!$G$53)</f>
        <v>1045103907.8443451</v>
      </c>
      <c r="J2373" s="472">
        <f t="shared" si="166"/>
        <v>680991086.49752355</v>
      </c>
      <c r="K2373" s="550">
        <f>'Sollecitazioni nel paramento'!$G$60*(sezione!$AL$36-C2373)/C2373</f>
        <v>-2.4093858215183542E-3</v>
      </c>
      <c r="L2373" s="550">
        <f>'Sollecitazioni nel paramento'!$G$60*(sezione!$AM$36-C2373)/C2373</f>
        <v>-1.8640787322775308E-3</v>
      </c>
      <c r="M2373" s="551">
        <f>'Sollecitazioni nel paramento'!$G$60*(sezione!$AN$36-C2373)/C2373</f>
        <v>-1.3187716430367077E-3</v>
      </c>
      <c r="N2373" s="551">
        <f>'Sollecitazioni nel paramento'!$G$60*(sezione!$AO$36-C2373)/C2373</f>
        <v>8.6245671392658468E-4</v>
      </c>
      <c r="O2373" s="551">
        <f>'Sollecitazioni nel paramento'!$G$60*(sezione!$AP$36-C2373)/C2373</f>
        <v>1.7144679939165439E-2</v>
      </c>
      <c r="P2373" s="545">
        <f>-'Sollecitazioni nel paramento'!$G$47*'Sollecitazioni nel paramento'!$G$41*IF(DATI!$G$211="dx",DATI!$E$61,DATI!$E$64*DATI!$E$63)*1000*C2373*sezione!$AD$5</f>
        <v>-4890437.0631100843</v>
      </c>
      <c r="Q2373" s="545">
        <f>'Foglio deposito bis'!$F$88*IF(ABS(K2373)&lt;'Sollecitazioni nel paramento'!$G$58,ABS(K2373)*'Sollecitazioni nel paramento'!$G$54,'Sollecitazioni nel paramento'!$G$53)*IF(K2373&lt;0,-1,1)</f>
        <v>0</v>
      </c>
      <c r="R2373" s="545">
        <f>'Foglio deposito bis'!$F$89*IF(ABS(L2373)&lt;'Sollecitazioni nel paramento'!$G$58,ABS(L2373)*'Sollecitazioni nel paramento'!$G$54,'Sollecitazioni nel paramento'!$G$53)*IF(L2373&lt;0,-1,1)</f>
        <v>-150796.53331417867</v>
      </c>
      <c r="S2373" s="545">
        <f>'Foglio deposito bis'!$F$90*IF(ABS(M2373)&lt;'Sollecitazioni nel paramento'!$G$58,ABS(M2373)*'Sollecitazioni nel paramento'!$G$54,'Sollecitazioni nel paramento'!$G$53)*IF(M2373&lt;0,-1,1)</f>
        <v>0</v>
      </c>
      <c r="T2373" s="545">
        <f>'Foglio deposito bis'!$F$91*IF(ABS(N2373)&lt;'Sollecitazioni nel paramento'!$G$58,ABS(N2373)*'Sollecitazioni nel paramento'!$G$54,'Sollecitazioni nel paramento'!$G$53)*IF(N2373&lt;0,-1,1)</f>
        <v>405220.13894827204</v>
      </c>
      <c r="U2373" s="545">
        <f>'Foglio deposito bis'!$F$92*IF(ABS(O2373)&lt;'Sollecitazioni nel paramento'!$G$58,ABS(O2373)*'Sollecitazioni nel paramento'!$G$54,'Sollecitazioni nel paramento'!$G$53)*IF(O2373&lt;0,-1,1)</f>
        <v>1662039.1047339395</v>
      </c>
      <c r="V2373" s="472">
        <f t="shared" si="168"/>
        <v>-2973974.3527420517</v>
      </c>
      <c r="W2373" s="551"/>
      <c r="X2373" s="551"/>
    </row>
    <row r="2374" spans="1:24" x14ac:dyDescent="0.25">
      <c r="A2374" s="545">
        <f t="shared" si="167"/>
        <v>3092913.8102071574</v>
      </c>
      <c r="B2374" s="3">
        <f t="shared" si="165"/>
        <v>12.099999999999978</v>
      </c>
      <c r="C2374" s="545">
        <f>'Foglio deposito bis'!$E$162/sezione!$B$247*B2374</f>
        <v>130.52548186624023</v>
      </c>
      <c r="D2374" s="603">
        <f>-'Sollecitazioni nel paramento'!$G$47*'Sollecitazioni nel paramento'!$G$41*IF(DATI!$G$211="dx",DATI!$E$61,DATI!$E$64*DATI!$E$63)*1000*C2374^2*sezione!$AD$5*(1-sezione!$AD$6)</f>
        <v>-379048022.62450105</v>
      </c>
      <c r="E2374" s="545">
        <f>-'Foglio deposito bis'!$F$88*(C2374-sezione!$AL$36)*IF(ABS(K2374)&lt;'Sollecitazioni nel paramento'!$G$58,ABS(K2374)*'Sollecitazioni nel paramento'!$G$54,'Sollecitazioni nel paramento'!$G$53)</f>
        <v>0</v>
      </c>
      <c r="F2374" s="545">
        <f>-'Foglio deposito bis'!$F$89*(C2374-sezione!$AM$36)*IF(ABS(L2374)&lt;'Sollecitazioni nel paramento'!$G$58,ABS(L2374)*'Sollecitazioni nel paramento'!$G$54,'Sollecitazioni nel paramento'!$G$53)</f>
        <v>-10837288.160308393</v>
      </c>
      <c r="G2374" s="545">
        <f>-'Foglio deposito bis'!$F$90*(C2374-sezione!$AN$36)*IF(ABS(M2374)&lt;'Sollecitazioni nel paramento'!$G$58,ABS(M2374)*'Sollecitazioni nel paramento'!$G$54,'Sollecitazioni nel paramento'!$G$53)</f>
        <v>0</v>
      </c>
      <c r="H2374" s="545">
        <f>-'Foglio deposito bis'!$F$91*(C2374-sezione!$AO$36)*IF(ABS(N2374)&lt;'Sollecitazioni nel paramento'!$G$58,ABS(N2374)*'Sollecitazioni nel paramento'!$G$54,'Sollecitazioni nel paramento'!$G$53)</f>
        <v>10945103.692861171</v>
      </c>
      <c r="I2374" s="472">
        <f>-'Foglio deposito bis'!$F$92*(C2374-sezione!$AP$36)*IF(ABS(O2374)&lt;'Sollecitazioni nel paramento'!$G$58,ABS(O2374)*'Sollecitazioni nel paramento'!$G$54,'Sollecitazioni nel paramento'!$G$53)</f>
        <v>1041518148.2571397</v>
      </c>
      <c r="J2374" s="472">
        <f t="shared" si="166"/>
        <v>662577941.16519141</v>
      </c>
      <c r="K2374" s="550">
        <f>'Sollecitazioni nel paramento'!$G$60*(sezione!$AL$36-C2374)/C2374</f>
        <v>-2.4274125021544139E-3</v>
      </c>
      <c r="L2374" s="550">
        <f>'Sollecitazioni nel paramento'!$G$60*(sezione!$AM$36-C2374)/C2374</f>
        <v>-1.8911187532316212E-3</v>
      </c>
      <c r="M2374" s="551">
        <f>'Sollecitazioni nel paramento'!$G$60*(sezione!$AN$36-C2374)/C2374</f>
        <v>-1.3548250043088283E-3</v>
      </c>
      <c r="N2374" s="551">
        <f>'Sollecitazioni nel paramento'!$G$60*(sezione!$AO$36-C2374)/C2374</f>
        <v>7.903499913823436E-4</v>
      </c>
      <c r="O2374" s="551">
        <f>'Sollecitazioni nel paramento'!$G$60*(sezione!$AP$36-C2374)/C2374</f>
        <v>1.6803445560005684E-2</v>
      </c>
      <c r="P2374" s="545">
        <f>-'Sollecitazioni nel paramento'!$G$47*'Sollecitazioni nel paramento'!$G$41*IF(DATI!$G$211="dx",DATI!$E$61,DATI!$E$64*DATI!$E$63)*1000*C2374*sezione!$AD$5</f>
        <v>-4972629.2826581523</v>
      </c>
      <c r="Q2374" s="545">
        <f>'Foglio deposito bis'!$F$88*IF(ABS(K2374)&lt;'Sollecitazioni nel paramento'!$G$58,ABS(K2374)*'Sollecitazioni nel paramento'!$G$54,'Sollecitazioni nel paramento'!$G$53)*IF(K2374&lt;0,-1,1)</f>
        <v>0</v>
      </c>
      <c r="R2374" s="545">
        <f>'Foglio deposito bis'!$F$89*IF(ABS(L2374)&lt;'Sollecitazioni nel paramento'!$G$58,ABS(L2374)*'Sollecitazioni nel paramento'!$G$54,'Sollecitazioni nel paramento'!$G$53)*IF(L2374&lt;0,-1,1)</f>
        <v>-153664.85805602249</v>
      </c>
      <c r="S2374" s="545">
        <f>'Foglio deposito bis'!$F$90*IF(ABS(M2374)&lt;'Sollecitazioni nel paramento'!$G$58,ABS(M2374)*'Sollecitazioni nel paramento'!$G$54,'Sollecitazioni nel paramento'!$G$53)*IF(M2374&lt;0,-1,1)</f>
        <v>0</v>
      </c>
      <c r="T2374" s="545">
        <f>'Foglio deposito bis'!$F$91*IF(ABS(N2374)&lt;'Sollecitazioni nel paramento'!$G$58,ABS(N2374)*'Sollecitazioni nel paramento'!$G$54,'Sollecitazioni nel paramento'!$G$53)*IF(N2374&lt;0,-1,1)</f>
        <v>371341.22577307804</v>
      </c>
      <c r="U2374" s="545">
        <f>'Foglio deposito bis'!$F$92*IF(ABS(O2374)&lt;'Sollecitazioni nel paramento'!$G$58,ABS(O2374)*'Sollecitazioni nel paramento'!$G$54,'Sollecitazioni nel paramento'!$G$53)*IF(O2374&lt;0,-1,1)</f>
        <v>1662039.1047339395</v>
      </c>
      <c r="V2374" s="472">
        <f t="shared" si="168"/>
        <v>-3092913.8102071574</v>
      </c>
      <c r="W2374" s="551"/>
      <c r="X2374" s="551"/>
    </row>
    <row r="2375" spans="1:24" x14ac:dyDescent="0.25">
      <c r="A2375" s="545">
        <f t="shared" si="167"/>
        <v>3207883.1896564318</v>
      </c>
      <c r="B2375" s="3">
        <f t="shared" si="165"/>
        <v>12.299999999999978</v>
      </c>
      <c r="C2375" s="545">
        <f>'Foglio deposito bis'!$E$162/sezione!$B$247*B2375</f>
        <v>132.68292784750039</v>
      </c>
      <c r="D2375" s="603">
        <f>-'Sollecitazioni nel paramento'!$G$47*'Sollecitazioni nel paramento'!$G$41*IF(DATI!$G$211="dx",DATI!$E$61,DATI!$E$64*DATI!$E$63)*1000*C2375^2*sezione!$AD$5*(1-sezione!$AD$6)</f>
        <v>-391682093.72898549</v>
      </c>
      <c r="E2375" s="545">
        <f>-'Foglio deposito bis'!$F$88*(C2375-sezione!$AL$36)*IF(ABS(K2375)&lt;'Sollecitazioni nel paramento'!$G$58,ABS(K2375)*'Sollecitazioni nel paramento'!$G$54,'Sollecitazioni nel paramento'!$G$53)</f>
        <v>0</v>
      </c>
      <c r="F2375" s="545">
        <f>-'Foglio deposito bis'!$F$89*(C2375-sezione!$AM$36)*IF(ABS(L2375)&lt;'Sollecitazioni nel paramento'!$G$58,ABS(L2375)*'Sollecitazioni nel paramento'!$G$54,'Sollecitazioni nel paramento'!$G$53)</f>
        <v>-11168811.790782273</v>
      </c>
      <c r="G2375" s="545">
        <f>-'Foglio deposito bis'!$F$90*(C2375-sezione!$AN$36)*IF(ABS(M2375)&lt;'Sollecitazioni nel paramento'!$G$58,ABS(M2375)*'Sollecitazioni nel paramento'!$G$54,'Sollecitazioni nel paramento'!$G$53)</f>
        <v>0</v>
      </c>
      <c r="H2375" s="545">
        <f>-'Foglio deposito bis'!$F$91*(C2375-sezione!$AO$36)*IF(ABS(N2375)&lt;'Sollecitazioni nel paramento'!$G$58,ABS(N2375)*'Sollecitazioni nel paramento'!$G$54,'Sollecitazioni nel paramento'!$G$53)</f>
        <v>9248579.015665615</v>
      </c>
      <c r="I2375" s="472">
        <f>-'Foglio deposito bis'!$F$92*(C2375-sezione!$AP$36)*IF(ABS(O2375)&lt;'Sollecitazioni nel paramento'!$G$58,ABS(O2375)*'Sollecitazioni nel paramento'!$G$54,'Sollecitazioni nel paramento'!$G$53)</f>
        <v>1037932388.669934</v>
      </c>
      <c r="J2375" s="472">
        <f t="shared" si="166"/>
        <v>644330062.1658318</v>
      </c>
      <c r="K2375" s="550">
        <f>'Sollecitazioni nel paramento'!$G$60*(sezione!$AL$36-C2375)/C2375</f>
        <v>-2.4448529492738548E-3</v>
      </c>
      <c r="L2375" s="550">
        <f>'Sollecitazioni nel paramento'!$G$60*(sezione!$AM$36-C2375)/C2375</f>
        <v>-1.9172794239107817E-3</v>
      </c>
      <c r="M2375" s="551">
        <f>'Sollecitazioni nel paramento'!$G$60*(sezione!$AN$36-C2375)/C2375</f>
        <v>-1.3897058985477091E-3</v>
      </c>
      <c r="N2375" s="551">
        <f>'Sollecitazioni nel paramento'!$G$60*(sezione!$AO$36-C2375)/C2375</f>
        <v>7.205882029045819E-4</v>
      </c>
      <c r="O2375" s="551">
        <f>'Sollecitazioni nel paramento'!$G$60*(sezione!$AP$36-C2375)/C2375</f>
        <v>1.6473308233826724E-2</v>
      </c>
      <c r="P2375" s="545">
        <f>-'Sollecitazioni nel paramento'!$G$47*'Sollecitazioni nel paramento'!$G$41*IF(DATI!$G$211="dx",DATI!$E$61,DATI!$E$64*DATI!$E$63)*1000*C2375*sezione!$AD$5</f>
        <v>-5054821.5022062222</v>
      </c>
      <c r="Q2375" s="545">
        <f>'Foglio deposito bis'!$F$88*IF(ABS(K2375)&lt;'Sollecitazioni nel paramento'!$G$58,ABS(K2375)*'Sollecitazioni nel paramento'!$G$54,'Sollecitazioni nel paramento'!$G$53)*IF(K2375&lt;0,-1,1)</f>
        <v>0</v>
      </c>
      <c r="R2375" s="545">
        <f>'Foglio deposito bis'!$F$89*IF(ABS(L2375)&lt;'Sollecitazioni nel paramento'!$G$58,ABS(L2375)*'Sollecitazioni nel paramento'!$G$54,'Sollecitazioni nel paramento'!$G$53)*IF(L2375&lt;0,-1,1)</f>
        <v>-153664.85805602249</v>
      </c>
      <c r="S2375" s="545">
        <f>'Foglio deposito bis'!$F$90*IF(ABS(M2375)&lt;'Sollecitazioni nel paramento'!$G$58,ABS(M2375)*'Sollecitazioni nel paramento'!$G$54,'Sollecitazioni nel paramento'!$G$53)*IF(M2375&lt;0,-1,1)</f>
        <v>0</v>
      </c>
      <c r="T2375" s="545">
        <f>'Foglio deposito bis'!$F$91*IF(ABS(N2375)&lt;'Sollecitazioni nel paramento'!$G$58,ABS(N2375)*'Sollecitazioni nel paramento'!$G$54,'Sollecitazioni nel paramento'!$G$53)*IF(N2375&lt;0,-1,1)</f>
        <v>338564.0658718741</v>
      </c>
      <c r="U2375" s="545">
        <f>'Foglio deposito bis'!$F$92*IF(ABS(O2375)&lt;'Sollecitazioni nel paramento'!$G$58,ABS(O2375)*'Sollecitazioni nel paramento'!$G$54,'Sollecitazioni nel paramento'!$G$53)*IF(O2375&lt;0,-1,1)</f>
        <v>1662039.1047339395</v>
      </c>
      <c r="V2375" s="472">
        <f t="shared" si="168"/>
        <v>-3207883.1896564318</v>
      </c>
      <c r="W2375" s="551"/>
      <c r="X2375" s="551"/>
    </row>
    <row r="2376" spans="1:24" x14ac:dyDescent="0.25">
      <c r="A2376" s="545">
        <f t="shared" si="167"/>
        <v>3321803.6999888653</v>
      </c>
      <c r="B2376" s="3">
        <f t="shared" si="165"/>
        <v>12.499999999999977</v>
      </c>
      <c r="C2376" s="545">
        <f>'Foglio deposito bis'!$E$162/sezione!$B$247*B2376</f>
        <v>134.84037382876056</v>
      </c>
      <c r="D2376" s="603">
        <f>-'Sollecitazioni nel paramento'!$G$47*'Sollecitazioni nel paramento'!$G$41*IF(DATI!$G$211="dx",DATI!$E$61,DATI!$E$64*DATI!$E$63)*1000*C2376^2*sezione!$AD$5*(1-sezione!$AD$6)</f>
        <v>-404523280.75321555</v>
      </c>
      <c r="E2376" s="545">
        <f>-'Foglio deposito bis'!$F$88*(C2376-sezione!$AL$36)*IF(ABS(K2376)&lt;'Sollecitazioni nel paramento'!$G$58,ABS(K2376)*'Sollecitazioni nel paramento'!$G$54,'Sollecitazioni nel paramento'!$G$53)</f>
        <v>0</v>
      </c>
      <c r="F2376" s="545">
        <f>-'Foglio deposito bis'!$F$89*(C2376-sezione!$AM$36)*IF(ABS(L2376)&lt;'Sollecitazioni nel paramento'!$G$58,ABS(L2376)*'Sollecitazioni nel paramento'!$G$54,'Sollecitazioni nel paramento'!$G$53)</f>
        <v>-11500335.421256153</v>
      </c>
      <c r="G2376" s="545">
        <f>-'Foglio deposito bis'!$F$90*(C2376-sezione!$AN$36)*IF(ABS(M2376)&lt;'Sollecitazioni nel paramento'!$G$58,ABS(M2376)*'Sollecitazioni nel paramento'!$G$54,'Sollecitazioni nel paramento'!$G$53)</f>
        <v>0</v>
      </c>
      <c r="H2376" s="545">
        <f>-'Foglio deposito bis'!$F$91*(C2376-sezione!$AO$36)*IF(ABS(N2376)&lt;'Sollecitazioni nel paramento'!$G$58,ABS(N2376)*'Sollecitazioni nel paramento'!$G$54,'Sollecitazioni nel paramento'!$G$53)</f>
        <v>7719873.3971642228</v>
      </c>
      <c r="I2376" s="472">
        <f>-'Foglio deposito bis'!$F$92*(C2376-sezione!$AP$36)*IF(ABS(O2376)&lt;'Sollecitazioni nel paramento'!$G$58,ABS(O2376)*'Sollecitazioni nel paramento'!$G$54,'Sollecitazioni nel paramento'!$G$53)</f>
        <v>1034346629.0827286</v>
      </c>
      <c r="J2376" s="472">
        <f t="shared" si="166"/>
        <v>626042886.30542111</v>
      </c>
      <c r="K2376" s="550">
        <f>'Sollecitazioni nel paramento'!$G$60*(sezione!$AL$36-C2376)/C2376</f>
        <v>-2.461735302085473E-3</v>
      </c>
      <c r="L2376" s="550">
        <f>'Sollecitazioni nel paramento'!$G$60*(sezione!$AM$36-C2376)/C2376</f>
        <v>-1.9426029531282095E-3</v>
      </c>
      <c r="M2376" s="551">
        <f>'Sollecitazioni nel paramento'!$G$60*(sezione!$AN$36-C2376)/C2376</f>
        <v>-1.4234706041709457E-3</v>
      </c>
      <c r="N2376" s="551">
        <f>'Sollecitazioni nel paramento'!$G$60*(sezione!$AO$36-C2376)/C2376</f>
        <v>6.5305879165810862E-4</v>
      </c>
      <c r="O2376" s="551">
        <f>'Sollecitazioni nel paramento'!$G$60*(sezione!$AP$36-C2376)/C2376</f>
        <v>1.6153735302085501E-2</v>
      </c>
      <c r="P2376" s="545">
        <f>-'Sollecitazioni nel paramento'!$G$47*'Sollecitazioni nel paramento'!$G$41*IF(DATI!$G$211="dx",DATI!$E$61,DATI!$E$64*DATI!$E$63)*1000*C2376*sezione!$AD$5</f>
        <v>-5137013.7217542902</v>
      </c>
      <c r="Q2376" s="545">
        <f>'Foglio deposito bis'!$F$88*IF(ABS(K2376)&lt;'Sollecitazioni nel paramento'!$G$58,ABS(K2376)*'Sollecitazioni nel paramento'!$G$54,'Sollecitazioni nel paramento'!$G$53)*IF(K2376&lt;0,-1,1)</f>
        <v>0</v>
      </c>
      <c r="R2376" s="545">
        <f>'Foglio deposito bis'!$F$89*IF(ABS(L2376)&lt;'Sollecitazioni nel paramento'!$G$58,ABS(L2376)*'Sollecitazioni nel paramento'!$G$54,'Sollecitazioni nel paramento'!$G$53)*IF(L2376&lt;0,-1,1)</f>
        <v>-153664.85805602249</v>
      </c>
      <c r="S2376" s="545">
        <f>'Foglio deposito bis'!$F$90*IF(ABS(M2376)&lt;'Sollecitazioni nel paramento'!$G$58,ABS(M2376)*'Sollecitazioni nel paramento'!$G$54,'Sollecitazioni nel paramento'!$G$53)*IF(M2376&lt;0,-1,1)</f>
        <v>0</v>
      </c>
      <c r="T2376" s="545">
        <f>'Foglio deposito bis'!$F$91*IF(ABS(N2376)&lt;'Sollecitazioni nel paramento'!$G$58,ABS(N2376)*'Sollecitazioni nel paramento'!$G$54,'Sollecitazioni nel paramento'!$G$53)*IF(N2376&lt;0,-1,1)</f>
        <v>306835.77508750872</v>
      </c>
      <c r="U2376" s="545">
        <f>'Foglio deposito bis'!$F$92*IF(ABS(O2376)&lt;'Sollecitazioni nel paramento'!$G$58,ABS(O2376)*'Sollecitazioni nel paramento'!$G$54,'Sollecitazioni nel paramento'!$G$53)*IF(O2376&lt;0,-1,1)</f>
        <v>1662039.1047339395</v>
      </c>
      <c r="V2376" s="472">
        <f t="shared" si="168"/>
        <v>-3321803.6999888653</v>
      </c>
      <c r="W2376" s="551"/>
      <c r="X2376" s="551"/>
    </row>
    <row r="2377" spans="1:24" x14ac:dyDescent="0.25">
      <c r="A2377" s="545">
        <f t="shared" si="167"/>
        <v>3434724.894076122</v>
      </c>
      <c r="B2377" s="3">
        <f t="shared" si="165"/>
        <v>12.699999999999976</v>
      </c>
      <c r="C2377" s="545">
        <f>'Foglio deposito bis'!$E$162/sezione!$B$247*B2377</f>
        <v>136.99781981002073</v>
      </c>
      <c r="D2377" s="603">
        <f>-'Sollecitazioni nel paramento'!$G$47*'Sollecitazioni nel paramento'!$G$41*IF(DATI!$G$211="dx",DATI!$E$61,DATI!$E$64*DATI!$E$63)*1000*C2377^2*sezione!$AD$5*(1-sezione!$AD$6)</f>
        <v>-417571583.69719124</v>
      </c>
      <c r="E2377" s="545">
        <f>-'Foglio deposito bis'!$F$88*(C2377-sezione!$AL$36)*IF(ABS(K2377)&lt;'Sollecitazioni nel paramento'!$G$58,ABS(K2377)*'Sollecitazioni nel paramento'!$G$54,'Sollecitazioni nel paramento'!$G$53)</f>
        <v>0</v>
      </c>
      <c r="F2377" s="545">
        <f>-'Foglio deposito bis'!$F$89*(C2377-sezione!$AM$36)*IF(ABS(L2377)&lt;'Sollecitazioni nel paramento'!$G$58,ABS(L2377)*'Sollecitazioni nel paramento'!$G$54,'Sollecitazioni nel paramento'!$G$53)</f>
        <v>-11831859.051730031</v>
      </c>
      <c r="G2377" s="545">
        <f>-'Foglio deposito bis'!$F$90*(C2377-sezione!$AN$36)*IF(ABS(M2377)&lt;'Sollecitazioni nel paramento'!$G$58,ABS(M2377)*'Sollecitazioni nel paramento'!$G$54,'Sollecitazioni nel paramento'!$G$53)</f>
        <v>0</v>
      </c>
      <c r="H2377" s="545">
        <f>-'Foglio deposito bis'!$F$91*(C2377-sezione!$AO$36)*IF(ABS(N2377)&lt;'Sollecitazioni nel paramento'!$G$58,ABS(N2377)*'Sollecitazioni nel paramento'!$G$54,'Sollecitazioni nel paramento'!$G$53)</f>
        <v>6351058.3778911298</v>
      </c>
      <c r="I2377" s="472">
        <f>-'Foglio deposito bis'!$F$92*(C2377-sezione!$AP$36)*IF(ABS(O2377)&lt;'Sollecitazioni nel paramento'!$G$58,ABS(O2377)*'Sollecitazioni nel paramento'!$G$54,'Sollecitazioni nel paramento'!$G$53)</f>
        <v>1030760869.4955232</v>
      </c>
      <c r="J2377" s="472">
        <f t="shared" si="166"/>
        <v>607708485.12449312</v>
      </c>
      <c r="K2377" s="550">
        <f>'Sollecitazioni nel paramento'!$G$60*(sezione!$AL$36-C2377)/C2377</f>
        <v>-2.4780859272494809E-3</v>
      </c>
      <c r="L2377" s="550">
        <f>'Sollecitazioni nel paramento'!$G$60*(sezione!$AM$36-C2377)/C2377</f>
        <v>-1.9671288908742215E-3</v>
      </c>
      <c r="M2377" s="551">
        <f>'Sollecitazioni nel paramento'!$G$60*(sezione!$AN$36-C2377)/C2377</f>
        <v>-1.4561718544989623E-3</v>
      </c>
      <c r="N2377" s="551">
        <f>'Sollecitazioni nel paramento'!$G$60*(sezione!$AO$36-C2377)/C2377</f>
        <v>5.876562910020755E-4</v>
      </c>
      <c r="O2377" s="551">
        <f>'Sollecitazioni nel paramento'!$G$60*(sezione!$AP$36-C2377)/C2377</f>
        <v>1.5844227659532972E-2</v>
      </c>
      <c r="P2377" s="545">
        <f>-'Sollecitazioni nel paramento'!$G$47*'Sollecitazioni nel paramento'!$G$41*IF(DATI!$G$211="dx",DATI!$E$61,DATI!$E$64*DATI!$E$63)*1000*C2377*sezione!$AD$5</f>
        <v>-5219205.9413023591</v>
      </c>
      <c r="Q2377" s="545">
        <f>'Foglio deposito bis'!$F$88*IF(ABS(K2377)&lt;'Sollecitazioni nel paramento'!$G$58,ABS(K2377)*'Sollecitazioni nel paramento'!$G$54,'Sollecitazioni nel paramento'!$G$53)*IF(K2377&lt;0,-1,1)</f>
        <v>0</v>
      </c>
      <c r="R2377" s="545">
        <f>'Foglio deposito bis'!$F$89*IF(ABS(L2377)&lt;'Sollecitazioni nel paramento'!$G$58,ABS(L2377)*'Sollecitazioni nel paramento'!$G$54,'Sollecitazioni nel paramento'!$G$53)*IF(L2377&lt;0,-1,1)</f>
        <v>-153664.85805602249</v>
      </c>
      <c r="S2377" s="545">
        <f>'Foglio deposito bis'!$F$90*IF(ABS(M2377)&lt;'Sollecitazioni nel paramento'!$G$58,ABS(M2377)*'Sollecitazioni nel paramento'!$G$54,'Sollecitazioni nel paramento'!$G$53)*IF(M2377&lt;0,-1,1)</f>
        <v>0</v>
      </c>
      <c r="T2377" s="545">
        <f>'Foglio deposito bis'!$F$91*IF(ABS(N2377)&lt;'Sollecitazioni nel paramento'!$G$58,ABS(N2377)*'Sollecitazioni nel paramento'!$G$54,'Sollecitazioni nel paramento'!$G$53)*IF(N2377&lt;0,-1,1)</f>
        <v>276106.80054832023</v>
      </c>
      <c r="U2377" s="545">
        <f>'Foglio deposito bis'!$F$92*IF(ABS(O2377)&lt;'Sollecitazioni nel paramento'!$G$58,ABS(O2377)*'Sollecitazioni nel paramento'!$G$54,'Sollecitazioni nel paramento'!$G$53)*IF(O2377&lt;0,-1,1)</f>
        <v>1662039.1047339395</v>
      </c>
      <c r="V2377" s="472">
        <f t="shared" si="168"/>
        <v>-3434724.894076122</v>
      </c>
      <c r="W2377" s="551"/>
      <c r="X2377" s="551"/>
    </row>
    <row r="2378" spans="1:24" x14ac:dyDescent="0.25">
      <c r="A2378" s="545">
        <f t="shared" si="167"/>
        <v>3546693.2517435588</v>
      </c>
      <c r="B2378" s="3">
        <f t="shared" si="165"/>
        <v>12.899999999999975</v>
      </c>
      <c r="C2378" s="545">
        <f>'Foglio deposito bis'!$E$162/sezione!$B$247*B2378</f>
        <v>139.1552657912809</v>
      </c>
      <c r="D2378" s="603">
        <f>-'Sollecitazioni nel paramento'!$G$47*'Sollecitazioni nel paramento'!$G$41*IF(DATI!$G$211="dx",DATI!$E$61,DATI!$E$64*DATI!$E$63)*1000*C2378^2*sezione!$AD$5*(1-sezione!$AD$6)</f>
        <v>-430827002.56091261</v>
      </c>
      <c r="E2378" s="545">
        <f>-'Foglio deposito bis'!$F$88*(C2378-sezione!$AL$36)*IF(ABS(K2378)&lt;'Sollecitazioni nel paramento'!$G$58,ABS(K2378)*'Sollecitazioni nel paramento'!$G$54,'Sollecitazioni nel paramento'!$G$53)</f>
        <v>0</v>
      </c>
      <c r="F2378" s="545">
        <f>-'Foglio deposito bis'!$F$89*(C2378-sezione!$AM$36)*IF(ABS(L2378)&lt;'Sollecitazioni nel paramento'!$G$58,ABS(L2378)*'Sollecitazioni nel paramento'!$G$54,'Sollecitazioni nel paramento'!$G$53)</f>
        <v>-12163382.682203913</v>
      </c>
      <c r="G2378" s="545">
        <f>-'Foglio deposito bis'!$F$90*(C2378-sezione!$AN$36)*IF(ABS(M2378)&lt;'Sollecitazioni nel paramento'!$G$58,ABS(M2378)*'Sollecitazioni nel paramento'!$G$54,'Sollecitazioni nel paramento'!$G$53)</f>
        <v>0</v>
      </c>
      <c r="H2378" s="545">
        <f>-'Foglio deposito bis'!$F$91*(C2378-sezione!$AO$36)*IF(ABS(N2378)&lt;'Sollecitazioni nel paramento'!$G$58,ABS(N2378)*'Sollecitazioni nel paramento'!$G$54,'Sollecitazioni nel paramento'!$G$53)</f>
        <v>5134697.1857892042</v>
      </c>
      <c r="I2378" s="472">
        <f>-'Foglio deposito bis'!$F$92*(C2378-sezione!$AP$36)*IF(ABS(O2378)&lt;'Sollecitazioni nel paramento'!$G$58,ABS(O2378)*'Sollecitazioni nel paramento'!$G$54,'Sollecitazioni nel paramento'!$G$53)</f>
        <v>1027175109.9083176</v>
      </c>
      <c r="J2378" s="472">
        <f t="shared" si="166"/>
        <v>589319421.8509903</v>
      </c>
      <c r="K2378" s="550">
        <f>'Sollecitazioni nel paramento'!$G$60*(sezione!$AL$36-C2378)/C2378</f>
        <v>-2.4939295562843729E-3</v>
      </c>
      <c r="L2378" s="550">
        <f>'Sollecitazioni nel paramento'!$G$60*(sezione!$AM$36-C2378)/C2378</f>
        <v>-1.9908943344265594E-3</v>
      </c>
      <c r="M2378" s="551">
        <f>'Sollecitazioni nel paramento'!$G$60*(sezione!$AN$36-C2378)/C2378</f>
        <v>-1.4878591125687458E-3</v>
      </c>
      <c r="N2378" s="551">
        <f>'Sollecitazioni nel paramento'!$G$60*(sezione!$AO$36-C2378)/C2378</f>
        <v>5.242817748625085E-4</v>
      </c>
      <c r="O2378" s="551">
        <f>'Sollecitazioni nel paramento'!$G$60*(sezione!$AP$36-C2378)/C2378</f>
        <v>1.5544317153183622E-2</v>
      </c>
      <c r="P2378" s="545">
        <f>-'Sollecitazioni nel paramento'!$G$47*'Sollecitazioni nel paramento'!$G$41*IF(DATI!$G$211="dx",DATI!$E$61,DATI!$E$64*DATI!$E$63)*1000*C2378*sezione!$AD$5</f>
        <v>-5301398.1608504271</v>
      </c>
      <c r="Q2378" s="545">
        <f>'Foglio deposito bis'!$F$88*IF(ABS(K2378)&lt;'Sollecitazioni nel paramento'!$G$58,ABS(K2378)*'Sollecitazioni nel paramento'!$G$54,'Sollecitazioni nel paramento'!$G$53)*IF(K2378&lt;0,-1,1)</f>
        <v>0</v>
      </c>
      <c r="R2378" s="545">
        <f>'Foglio deposito bis'!$F$89*IF(ABS(L2378)&lt;'Sollecitazioni nel paramento'!$G$58,ABS(L2378)*'Sollecitazioni nel paramento'!$G$54,'Sollecitazioni nel paramento'!$G$53)*IF(L2378&lt;0,-1,1)</f>
        <v>-153664.85805602249</v>
      </c>
      <c r="S2378" s="545">
        <f>'Foglio deposito bis'!$F$90*IF(ABS(M2378)&lt;'Sollecitazioni nel paramento'!$G$58,ABS(M2378)*'Sollecitazioni nel paramento'!$G$54,'Sollecitazioni nel paramento'!$G$53)*IF(M2378&lt;0,-1,1)</f>
        <v>0</v>
      </c>
      <c r="T2378" s="545">
        <f>'Foglio deposito bis'!$F$91*IF(ABS(N2378)&lt;'Sollecitazioni nel paramento'!$G$58,ABS(N2378)*'Sollecitazioni nel paramento'!$G$54,'Sollecitazioni nel paramento'!$G$53)*IF(N2378&lt;0,-1,1)</f>
        <v>246330.66242895156</v>
      </c>
      <c r="U2378" s="545">
        <f>'Foglio deposito bis'!$F$92*IF(ABS(O2378)&lt;'Sollecitazioni nel paramento'!$G$58,ABS(O2378)*'Sollecitazioni nel paramento'!$G$54,'Sollecitazioni nel paramento'!$G$53)*IF(O2378&lt;0,-1,1)</f>
        <v>1662039.1047339395</v>
      </c>
      <c r="V2378" s="472">
        <f t="shared" si="168"/>
        <v>-3546693.2517435588</v>
      </c>
      <c r="W2378" s="551"/>
      <c r="X2378" s="551"/>
    </row>
    <row r="2379" spans="1:24" x14ac:dyDescent="0.25">
      <c r="A2379" s="545">
        <f t="shared" si="167"/>
        <v>3657752.4143539164</v>
      </c>
      <c r="B2379" s="3">
        <f t="shared" si="165"/>
        <v>13.099999999999975</v>
      </c>
      <c r="C2379" s="545">
        <f>'Foglio deposito bis'!$E$162/sezione!$B$247*B2379</f>
        <v>141.31271177254106</v>
      </c>
      <c r="D2379" s="603">
        <f>-'Sollecitazioni nel paramento'!$G$47*'Sollecitazioni nel paramento'!$G$41*IF(DATI!$G$211="dx",DATI!$E$61,DATI!$E$64*DATI!$E$63)*1000*C2379^2*sezione!$AD$5*(1-sezione!$AD$6)</f>
        <v>-444289537.34437966</v>
      </c>
      <c r="E2379" s="545">
        <f>-'Foglio deposito bis'!$F$88*(C2379-sezione!$AL$36)*IF(ABS(K2379)&lt;'Sollecitazioni nel paramento'!$G$58,ABS(K2379)*'Sollecitazioni nel paramento'!$G$54,'Sollecitazioni nel paramento'!$G$53)</f>
        <v>0</v>
      </c>
      <c r="F2379" s="545">
        <f>-'Foglio deposito bis'!$F$89*(C2379-sezione!$AM$36)*IF(ABS(L2379)&lt;'Sollecitazioni nel paramento'!$G$58,ABS(L2379)*'Sollecitazioni nel paramento'!$G$54,'Sollecitazioni nel paramento'!$G$53)</f>
        <v>-12494906.312677791</v>
      </c>
      <c r="G2379" s="545">
        <f>-'Foglio deposito bis'!$F$90*(C2379-sezione!$AN$36)*IF(ABS(M2379)&lt;'Sollecitazioni nel paramento'!$G$58,ABS(M2379)*'Sollecitazioni nel paramento'!$G$54,'Sollecitazioni nel paramento'!$G$53)</f>
        <v>0</v>
      </c>
      <c r="H2379" s="545">
        <f>-'Foglio deposito bis'!$F$91*(C2379-sezione!$AO$36)*IF(ABS(N2379)&lt;'Sollecitazioni nel paramento'!$G$58,ABS(N2379)*'Sollecitazioni nel paramento'!$G$54,'Sollecitazioni nel paramento'!$G$53)</f>
        <v>4063807.2028200715</v>
      </c>
      <c r="I2379" s="472">
        <f>-'Foglio deposito bis'!$F$92*(C2379-sezione!$AP$36)*IF(ABS(O2379)&lt;'Sollecitazioni nel paramento'!$G$58,ABS(O2379)*'Sollecitazioni nel paramento'!$G$54,'Sollecitazioni nel paramento'!$G$53)</f>
        <v>1023589350.321112</v>
      </c>
      <c r="J2379" s="472">
        <f t="shared" si="166"/>
        <v>570868713.86687469</v>
      </c>
      <c r="K2379" s="550">
        <f>'Sollecitazioni nel paramento'!$G$60*(sezione!$AL$36-C2379)/C2379</f>
        <v>-2.5092894103869016E-3</v>
      </c>
      <c r="L2379" s="550">
        <f>'Sollecitazioni nel paramento'!$G$60*(sezione!$AM$36-C2379)/C2379</f>
        <v>-2.0139341155803524E-3</v>
      </c>
      <c r="M2379" s="551">
        <f>'Sollecitazioni nel paramento'!$G$60*(sezione!$AN$36-C2379)/C2379</f>
        <v>-1.5185788207738031E-3</v>
      </c>
      <c r="N2379" s="551">
        <f>'Sollecitazioni nel paramento'!$G$60*(sezione!$AO$36-C2379)/C2379</f>
        <v>4.6284235845239394E-4</v>
      </c>
      <c r="O2379" s="551">
        <f>'Sollecitazioni nel paramento'!$G$60*(sezione!$AP$36-C2379)/C2379</f>
        <v>1.525356421954723E-2</v>
      </c>
      <c r="P2379" s="545">
        <f>-'Sollecitazioni nel paramento'!$G$47*'Sollecitazioni nel paramento'!$G$41*IF(DATI!$G$211="dx",DATI!$E$61,DATI!$E$64*DATI!$E$63)*1000*C2379*sezione!$AD$5</f>
        <v>-5383590.3803984961</v>
      </c>
      <c r="Q2379" s="545">
        <f>'Foglio deposito bis'!$F$88*IF(ABS(K2379)&lt;'Sollecitazioni nel paramento'!$G$58,ABS(K2379)*'Sollecitazioni nel paramento'!$G$54,'Sollecitazioni nel paramento'!$G$53)*IF(K2379&lt;0,-1,1)</f>
        <v>0</v>
      </c>
      <c r="R2379" s="545">
        <f>'Foglio deposito bis'!$F$89*IF(ABS(L2379)&lt;'Sollecitazioni nel paramento'!$G$58,ABS(L2379)*'Sollecitazioni nel paramento'!$G$54,'Sollecitazioni nel paramento'!$G$53)*IF(L2379&lt;0,-1,1)</f>
        <v>-153664.85805602249</v>
      </c>
      <c r="S2379" s="545">
        <f>'Foglio deposito bis'!$F$90*IF(ABS(M2379)&lt;'Sollecitazioni nel paramento'!$G$58,ABS(M2379)*'Sollecitazioni nel paramento'!$G$54,'Sollecitazioni nel paramento'!$G$53)*IF(M2379&lt;0,-1,1)</f>
        <v>0</v>
      </c>
      <c r="T2379" s="545">
        <f>'Foglio deposito bis'!$F$91*IF(ABS(N2379)&lt;'Sollecitazioni nel paramento'!$G$58,ABS(N2379)*'Sollecitazioni nel paramento'!$G$54,'Sollecitazioni nel paramento'!$G$53)*IF(N2379&lt;0,-1,1)</f>
        <v>217463.71936666282</v>
      </c>
      <c r="U2379" s="545">
        <f>'Foglio deposito bis'!$F$92*IF(ABS(O2379)&lt;'Sollecitazioni nel paramento'!$G$58,ABS(O2379)*'Sollecitazioni nel paramento'!$G$54,'Sollecitazioni nel paramento'!$G$53)*IF(O2379&lt;0,-1,1)</f>
        <v>1662039.1047339395</v>
      </c>
      <c r="V2379" s="472">
        <f t="shared" si="168"/>
        <v>-3657752.4143539164</v>
      </c>
      <c r="W2379" s="551"/>
      <c r="X2379" s="551"/>
    </row>
    <row r="2380" spans="1:24" x14ac:dyDescent="0.25">
      <c r="A2380" s="545">
        <f t="shared" si="167"/>
        <v>3767943.398225558</v>
      </c>
      <c r="B2380" s="3">
        <f t="shared" si="165"/>
        <v>13.299999999999974</v>
      </c>
      <c r="C2380" s="545">
        <f>'Foglio deposito bis'!$E$162/sezione!$B$247*B2380</f>
        <v>143.47015775380123</v>
      </c>
      <c r="D2380" s="603">
        <f>-'Sollecitazioni nel paramento'!$G$47*'Sollecitazioni nel paramento'!$G$41*IF(DATI!$G$211="dx",DATI!$E$61,DATI!$E$64*DATI!$E$63)*1000*C2380^2*sezione!$AD$5*(1-sezione!$AD$6)</f>
        <v>-457959188.04759228</v>
      </c>
      <c r="E2380" s="545">
        <f>-'Foglio deposito bis'!$F$88*(C2380-sezione!$AL$36)*IF(ABS(K2380)&lt;'Sollecitazioni nel paramento'!$G$58,ABS(K2380)*'Sollecitazioni nel paramento'!$G$54,'Sollecitazioni nel paramento'!$G$53)</f>
        <v>0</v>
      </c>
      <c r="F2380" s="545">
        <f>-'Foglio deposito bis'!$F$89*(C2380-sezione!$AM$36)*IF(ABS(L2380)&lt;'Sollecitazioni nel paramento'!$G$58,ABS(L2380)*'Sollecitazioni nel paramento'!$G$54,'Sollecitazioni nel paramento'!$G$53)</f>
        <v>-12826429.94315167</v>
      </c>
      <c r="G2380" s="545">
        <f>-'Foglio deposito bis'!$F$90*(C2380-sezione!$AN$36)*IF(ABS(M2380)&lt;'Sollecitazioni nel paramento'!$G$58,ABS(M2380)*'Sollecitazioni nel paramento'!$G$54,'Sollecitazioni nel paramento'!$G$53)</f>
        <v>0</v>
      </c>
      <c r="H2380" s="545">
        <f>-'Foglio deposito bis'!$F$91*(C2380-sezione!$AO$36)*IF(ABS(N2380)&lt;'Sollecitazioni nel paramento'!$G$58,ABS(N2380)*'Sollecitazioni nel paramento'!$G$54,'Sollecitazioni nel paramento'!$G$53)</f>
        <v>3131825.8180454113</v>
      </c>
      <c r="I2380" s="472">
        <f>-'Foglio deposito bis'!$F$92*(C2380-sezione!$AP$36)*IF(ABS(O2380)&lt;'Sollecitazioni nel paramento'!$G$58,ABS(O2380)*'Sollecitazioni nel paramento'!$G$54,'Sollecitazioni nel paramento'!$G$53)</f>
        <v>1020003590.7339065</v>
      </c>
      <c r="J2380" s="472">
        <f t="shared" si="166"/>
        <v>552349798.56120801</v>
      </c>
      <c r="K2380" s="550">
        <f>'Sollecitazioni nel paramento'!$G$60*(sezione!$AL$36-C2380)/C2380</f>
        <v>-2.5241873139901058E-3</v>
      </c>
      <c r="L2380" s="550">
        <f>'Sollecitazioni nel paramento'!$G$60*(sezione!$AM$36-C2380)/C2380</f>
        <v>-2.0362809709851592E-3</v>
      </c>
      <c r="M2380" s="551">
        <f>'Sollecitazioni nel paramento'!$G$60*(sezione!$AN$36-C2380)/C2380</f>
        <v>-1.548374627980212E-3</v>
      </c>
      <c r="N2380" s="551">
        <f>'Sollecitazioni nel paramento'!$G$60*(sezione!$AO$36-C2380)/C2380</f>
        <v>4.0325074403957601E-4</v>
      </c>
      <c r="O2380" s="551">
        <f>'Sollecitazioni nel paramento'!$G$60*(sezione!$AP$36-C2380)/C2380</f>
        <v>1.4971555735042764E-2</v>
      </c>
      <c r="P2380" s="545">
        <f>-'Sollecitazioni nel paramento'!$G$47*'Sollecitazioni nel paramento'!$G$41*IF(DATI!$G$211="dx",DATI!$E$61,DATI!$E$64*DATI!$E$63)*1000*C2380*sezione!$AD$5</f>
        <v>-5465782.5999465641</v>
      </c>
      <c r="Q2380" s="545">
        <f>'Foglio deposito bis'!$F$88*IF(ABS(K2380)&lt;'Sollecitazioni nel paramento'!$G$58,ABS(K2380)*'Sollecitazioni nel paramento'!$G$54,'Sollecitazioni nel paramento'!$G$53)*IF(K2380&lt;0,-1,1)</f>
        <v>0</v>
      </c>
      <c r="R2380" s="545">
        <f>'Foglio deposito bis'!$F$89*IF(ABS(L2380)&lt;'Sollecitazioni nel paramento'!$G$58,ABS(L2380)*'Sollecitazioni nel paramento'!$G$54,'Sollecitazioni nel paramento'!$G$53)*IF(L2380&lt;0,-1,1)</f>
        <v>-153664.85805602249</v>
      </c>
      <c r="S2380" s="545">
        <f>'Foglio deposito bis'!$F$90*IF(ABS(M2380)&lt;'Sollecitazioni nel paramento'!$G$58,ABS(M2380)*'Sollecitazioni nel paramento'!$G$54,'Sollecitazioni nel paramento'!$G$53)*IF(M2380&lt;0,-1,1)</f>
        <v>0</v>
      </c>
      <c r="T2380" s="545">
        <f>'Foglio deposito bis'!$F$91*IF(ABS(N2380)&lt;'Sollecitazioni nel paramento'!$G$58,ABS(N2380)*'Sollecitazioni nel paramento'!$G$54,'Sollecitazioni nel paramento'!$G$53)*IF(N2380&lt;0,-1,1)</f>
        <v>189464.95504308952</v>
      </c>
      <c r="U2380" s="545">
        <f>'Foglio deposito bis'!$F$92*IF(ABS(O2380)&lt;'Sollecitazioni nel paramento'!$G$58,ABS(O2380)*'Sollecitazioni nel paramento'!$G$54,'Sollecitazioni nel paramento'!$G$53)*IF(O2380&lt;0,-1,1)</f>
        <v>1662039.1047339395</v>
      </c>
      <c r="V2380" s="472">
        <f t="shared" si="168"/>
        <v>-3767943.398225558</v>
      </c>
      <c r="W2380" s="551"/>
      <c r="X2380" s="551"/>
    </row>
    <row r="2381" spans="1:24" x14ac:dyDescent="0.25">
      <c r="A2381" s="545">
        <f t="shared" si="167"/>
        <v>3877304.7890802054</v>
      </c>
      <c r="B2381" s="3">
        <f t="shared" si="165"/>
        <v>13.499999999999973</v>
      </c>
      <c r="C2381" s="545">
        <f>'Foglio deposito bis'!$E$162/sezione!$B$247*B2381</f>
        <v>145.6276037350614</v>
      </c>
      <c r="D2381" s="603">
        <f>-'Sollecitazioni nel paramento'!$G$47*'Sollecitazioni nel paramento'!$G$41*IF(DATI!$G$211="dx",DATI!$E$61,DATI!$E$64*DATI!$E$63)*1000*C2381^2*sezione!$AD$5*(1-sezione!$AD$6)</f>
        <v>-471835954.67055058</v>
      </c>
      <c r="E2381" s="545">
        <f>-'Foglio deposito bis'!$F$88*(C2381-sezione!$AL$36)*IF(ABS(K2381)&lt;'Sollecitazioni nel paramento'!$G$58,ABS(K2381)*'Sollecitazioni nel paramento'!$G$54,'Sollecitazioni nel paramento'!$G$53)</f>
        <v>0</v>
      </c>
      <c r="F2381" s="545">
        <f>-'Foglio deposito bis'!$F$89*(C2381-sezione!$AM$36)*IF(ABS(L2381)&lt;'Sollecitazioni nel paramento'!$G$58,ABS(L2381)*'Sollecitazioni nel paramento'!$G$54,'Sollecitazioni nel paramento'!$G$53)</f>
        <v>-13157953.573625552</v>
      </c>
      <c r="G2381" s="545">
        <f>-'Foglio deposito bis'!$F$90*(C2381-sezione!$AN$36)*IF(ABS(M2381)&lt;'Sollecitazioni nel paramento'!$G$58,ABS(M2381)*'Sollecitazioni nel paramento'!$G$54,'Sollecitazioni nel paramento'!$G$53)</f>
        <v>0</v>
      </c>
      <c r="H2381" s="545">
        <f>-'Foglio deposito bis'!$F$91*(C2381-sezione!$AO$36)*IF(ABS(N2381)&lt;'Sollecitazioni nel paramento'!$G$58,ABS(N2381)*'Sollecitazioni nel paramento'!$G$54,'Sollecitazioni nel paramento'!$G$53)</f>
        <v>2332579.315989913</v>
      </c>
      <c r="I2381" s="472">
        <f>-'Foglio deposito bis'!$F$92*(C2381-sezione!$AP$36)*IF(ABS(O2381)&lt;'Sollecitazioni nel paramento'!$G$58,ABS(O2381)*'Sollecitazioni nel paramento'!$G$54,'Sollecitazioni nel paramento'!$G$53)</f>
        <v>1016417831.1467011</v>
      </c>
      <c r="J2381" s="472">
        <f t="shared" si="166"/>
        <v>533756502.21851486</v>
      </c>
      <c r="K2381" s="550">
        <f>'Sollecitazioni nel paramento'!$G$60*(sezione!$AL$36-C2381)/C2381</f>
        <v>-2.5386437982272895E-3</v>
      </c>
      <c r="L2381" s="550">
        <f>'Sollecitazioni nel paramento'!$G$60*(sezione!$AM$36-C2381)/C2381</f>
        <v>-2.0579656973409343E-3</v>
      </c>
      <c r="M2381" s="551">
        <f>'Sollecitazioni nel paramento'!$G$60*(sezione!$AN$36-C2381)/C2381</f>
        <v>-1.5772875964545792E-3</v>
      </c>
      <c r="N2381" s="551">
        <f>'Sollecitazioni nel paramento'!$G$60*(sezione!$AO$36-C2381)/C2381</f>
        <v>3.4542480709084158E-4</v>
      </c>
      <c r="O2381" s="551">
        <f>'Sollecitazioni nel paramento'!$G$60*(sezione!$AP$36-C2381)/C2381</f>
        <v>1.4697903057486576E-2</v>
      </c>
      <c r="P2381" s="545">
        <f>-'Sollecitazioni nel paramento'!$G$47*'Sollecitazioni nel paramento'!$G$41*IF(DATI!$G$211="dx",DATI!$E$61,DATI!$E$64*DATI!$E$63)*1000*C2381*sezione!$AD$5</f>
        <v>-5547974.819494633</v>
      </c>
      <c r="Q2381" s="545">
        <f>'Foglio deposito bis'!$F$88*IF(ABS(K2381)&lt;'Sollecitazioni nel paramento'!$G$58,ABS(K2381)*'Sollecitazioni nel paramento'!$G$54,'Sollecitazioni nel paramento'!$G$53)*IF(K2381&lt;0,-1,1)</f>
        <v>0</v>
      </c>
      <c r="R2381" s="545">
        <f>'Foglio deposito bis'!$F$89*IF(ABS(L2381)&lt;'Sollecitazioni nel paramento'!$G$58,ABS(L2381)*'Sollecitazioni nel paramento'!$G$54,'Sollecitazioni nel paramento'!$G$53)*IF(L2381&lt;0,-1,1)</f>
        <v>-153664.85805602249</v>
      </c>
      <c r="S2381" s="545">
        <f>'Foglio deposito bis'!$F$90*IF(ABS(M2381)&lt;'Sollecitazioni nel paramento'!$G$58,ABS(M2381)*'Sollecitazioni nel paramento'!$G$54,'Sollecitazioni nel paramento'!$G$53)*IF(M2381&lt;0,-1,1)</f>
        <v>0</v>
      </c>
      <c r="T2381" s="545">
        <f>'Foglio deposito bis'!$F$91*IF(ABS(N2381)&lt;'Sollecitazioni nel paramento'!$G$58,ABS(N2381)*'Sollecitazioni nel paramento'!$G$54,'Sollecitazioni nel paramento'!$G$53)*IF(N2381&lt;0,-1,1)</f>
        <v>162295.78373651096</v>
      </c>
      <c r="U2381" s="545">
        <f>'Foglio deposito bis'!$F$92*IF(ABS(O2381)&lt;'Sollecitazioni nel paramento'!$G$58,ABS(O2381)*'Sollecitazioni nel paramento'!$G$54,'Sollecitazioni nel paramento'!$G$53)*IF(O2381&lt;0,-1,1)</f>
        <v>1662039.1047339395</v>
      </c>
      <c r="V2381" s="472">
        <f t="shared" si="168"/>
        <v>-3877304.7890802054</v>
      </c>
      <c r="W2381" s="551"/>
      <c r="X2381" s="551"/>
    </row>
    <row r="2382" spans="1:24" x14ac:dyDescent="0.25">
      <c r="A2382" s="545">
        <f t="shared" si="167"/>
        <v>3985872.9194587488</v>
      </c>
      <c r="B2382" s="3">
        <f t="shared" si="165"/>
        <v>13.699999999999973</v>
      </c>
      <c r="C2382" s="545">
        <f>'Foglio deposito bis'!$E$162/sezione!$B$247*B2382</f>
        <v>147.78504971632157</v>
      </c>
      <c r="D2382" s="603">
        <f>-'Sollecitazioni nel paramento'!$G$47*'Sollecitazioni nel paramento'!$G$41*IF(DATI!$G$211="dx",DATI!$E$61,DATI!$E$64*DATI!$E$63)*1000*C2382^2*sezione!$AD$5*(1-sezione!$AD$6)</f>
        <v>-485919837.21325451</v>
      </c>
      <c r="E2382" s="545">
        <f>-'Foglio deposito bis'!$F$88*(C2382-sezione!$AL$36)*IF(ABS(K2382)&lt;'Sollecitazioni nel paramento'!$G$58,ABS(K2382)*'Sollecitazioni nel paramento'!$G$54,'Sollecitazioni nel paramento'!$G$53)</f>
        <v>0</v>
      </c>
      <c r="F2382" s="545">
        <f>-'Foglio deposito bis'!$F$89*(C2382-sezione!$AM$36)*IF(ABS(L2382)&lt;'Sollecitazioni nel paramento'!$G$58,ABS(L2382)*'Sollecitazioni nel paramento'!$G$54,'Sollecitazioni nel paramento'!$G$53)</f>
        <v>-13489477.204099432</v>
      </c>
      <c r="G2382" s="545">
        <f>-'Foglio deposito bis'!$F$90*(C2382-sezione!$AN$36)*IF(ABS(M2382)&lt;'Sollecitazioni nel paramento'!$G$58,ABS(M2382)*'Sollecitazioni nel paramento'!$G$54,'Sollecitazioni nel paramento'!$G$53)</f>
        <v>0</v>
      </c>
      <c r="H2382" s="545">
        <f>-'Foglio deposito bis'!$F$91*(C2382-sezione!$AO$36)*IF(ABS(N2382)&lt;'Sollecitazioni nel paramento'!$G$58,ABS(N2382)*'Sollecitazioni nel paramento'!$G$54,'Sollecitazioni nel paramento'!$G$53)</f>
        <v>1660254.4901111322</v>
      </c>
      <c r="I2382" s="472">
        <f>-'Foglio deposito bis'!$F$92*(C2382-sezione!$AP$36)*IF(ABS(O2382)&lt;'Sollecitazioni nel paramento'!$G$58,ABS(O2382)*'Sollecitazioni nel paramento'!$G$54,'Sollecitazioni nel paramento'!$G$53)</f>
        <v>1012832071.5594957</v>
      </c>
      <c r="J2382" s="472">
        <f t="shared" si="166"/>
        <v>515083011.63225287</v>
      </c>
      <c r="K2382" s="550">
        <f>'Sollecitazioni nel paramento'!$G$60*(sezione!$AL$36-C2382)/C2382</f>
        <v>-2.5526781953334608E-3</v>
      </c>
      <c r="L2382" s="550">
        <f>'Sollecitazioni nel paramento'!$G$60*(sezione!$AM$36-C2382)/C2382</f>
        <v>-2.0790172930001908E-3</v>
      </c>
      <c r="M2382" s="551">
        <f>'Sollecitazioni nel paramento'!$G$60*(sezione!$AN$36-C2382)/C2382</f>
        <v>-1.6053563906669212E-3</v>
      </c>
      <c r="N2382" s="551">
        <f>'Sollecitazioni nel paramento'!$G$60*(sezione!$AO$36-C2382)/C2382</f>
        <v>2.8928721866615782E-4</v>
      </c>
      <c r="O2382" s="551">
        <f>'Sollecitazioni nel paramento'!$G$60*(sezione!$AP$36-C2382)/C2382</f>
        <v>1.4432240239129108E-2</v>
      </c>
      <c r="P2382" s="545">
        <f>-'Sollecitazioni nel paramento'!$G$47*'Sollecitazioni nel paramento'!$G$41*IF(DATI!$G$211="dx",DATI!$E$61,DATI!$E$64*DATI!$E$63)*1000*C2382*sezione!$AD$5</f>
        <v>-5630167.0390427019</v>
      </c>
      <c r="Q2382" s="545">
        <f>'Foglio deposito bis'!$F$88*IF(ABS(K2382)&lt;'Sollecitazioni nel paramento'!$G$58,ABS(K2382)*'Sollecitazioni nel paramento'!$G$54,'Sollecitazioni nel paramento'!$G$53)*IF(K2382&lt;0,-1,1)</f>
        <v>0</v>
      </c>
      <c r="R2382" s="545">
        <f>'Foglio deposito bis'!$F$89*IF(ABS(L2382)&lt;'Sollecitazioni nel paramento'!$G$58,ABS(L2382)*'Sollecitazioni nel paramento'!$G$54,'Sollecitazioni nel paramento'!$G$53)*IF(L2382&lt;0,-1,1)</f>
        <v>-153664.85805602249</v>
      </c>
      <c r="S2382" s="545">
        <f>'Foglio deposito bis'!$F$90*IF(ABS(M2382)&lt;'Sollecitazioni nel paramento'!$G$58,ABS(M2382)*'Sollecitazioni nel paramento'!$G$54,'Sollecitazioni nel paramento'!$G$53)*IF(M2382&lt;0,-1,1)</f>
        <v>0</v>
      </c>
      <c r="T2382" s="545">
        <f>'Foglio deposito bis'!$F$91*IF(ABS(N2382)&lt;'Sollecitazioni nel paramento'!$G$58,ABS(N2382)*'Sollecitazioni nel paramento'!$G$54,'Sollecitazioni nel paramento'!$G$53)*IF(N2382&lt;0,-1,1)</f>
        <v>135919.87290603691</v>
      </c>
      <c r="U2382" s="545">
        <f>'Foglio deposito bis'!$F$92*IF(ABS(O2382)&lt;'Sollecitazioni nel paramento'!$G$58,ABS(O2382)*'Sollecitazioni nel paramento'!$G$54,'Sollecitazioni nel paramento'!$G$53)*IF(O2382&lt;0,-1,1)</f>
        <v>1662039.1047339395</v>
      </c>
      <c r="V2382" s="472">
        <f t="shared" si="168"/>
        <v>-3985872.9194587488</v>
      </c>
      <c r="W2382" s="551"/>
      <c r="X2382" s="551"/>
    </row>
    <row r="2383" spans="1:24" x14ac:dyDescent="0.25">
      <c r="A2383" s="545">
        <f t="shared" si="167"/>
        <v>4093682.0308205867</v>
      </c>
      <c r="B2383" s="3">
        <f t="shared" si="165"/>
        <v>13.899999999999972</v>
      </c>
      <c r="C2383" s="545">
        <f>'Foglio deposito bis'!$E$162/sezione!$B$247*B2383</f>
        <v>149.94249569758173</v>
      </c>
      <c r="D2383" s="603">
        <f>-'Sollecitazioni nel paramento'!$G$47*'Sollecitazioni nel paramento'!$G$41*IF(DATI!$G$211="dx",DATI!$E$61,DATI!$E$64*DATI!$E$63)*1000*C2383^2*sezione!$AD$5*(1-sezione!$AD$6)</f>
        <v>-500210835.67570406</v>
      </c>
      <c r="E2383" s="545">
        <f>-'Foglio deposito bis'!$F$88*(C2383-sezione!$AL$36)*IF(ABS(K2383)&lt;'Sollecitazioni nel paramento'!$G$58,ABS(K2383)*'Sollecitazioni nel paramento'!$G$54,'Sollecitazioni nel paramento'!$G$53)</f>
        <v>0</v>
      </c>
      <c r="F2383" s="545">
        <f>-'Foglio deposito bis'!$F$89*(C2383-sezione!$AM$36)*IF(ABS(L2383)&lt;'Sollecitazioni nel paramento'!$G$58,ABS(L2383)*'Sollecitazioni nel paramento'!$G$54,'Sollecitazioni nel paramento'!$G$53)</f>
        <v>-13821000.834573312</v>
      </c>
      <c r="G2383" s="545">
        <f>-'Foglio deposito bis'!$F$90*(C2383-sezione!$AN$36)*IF(ABS(M2383)&lt;'Sollecitazioni nel paramento'!$G$58,ABS(M2383)*'Sollecitazioni nel paramento'!$G$54,'Sollecitazioni nel paramento'!$G$53)</f>
        <v>0</v>
      </c>
      <c r="H2383" s="545">
        <f>-'Foglio deposito bis'!$F$91*(C2383-sezione!$AO$36)*IF(ABS(N2383)&lt;'Sollecitazioni nel paramento'!$G$58,ABS(N2383)*'Sollecitazioni nel paramento'!$G$54,'Sollecitazioni nel paramento'!$G$53)</f>
        <v>1109372.7069050372</v>
      </c>
      <c r="I2383" s="472">
        <f>-'Foglio deposito bis'!$F$92*(C2383-sezione!$AP$36)*IF(ABS(O2383)&lt;'Sollecitazioni nel paramento'!$G$58,ABS(O2383)*'Sollecitazioni nel paramento'!$G$54,'Sollecitazioni nel paramento'!$G$53)</f>
        <v>1009246311.9722902</v>
      </c>
      <c r="J2383" s="472">
        <f t="shared" si="166"/>
        <v>496323848.16891778</v>
      </c>
      <c r="K2383" s="550">
        <f>'Sollecitazioni nel paramento'!$G$60*(sezione!$AL$36-C2383)/C2383</f>
        <v>-2.5663087248970081E-3</v>
      </c>
      <c r="L2383" s="550">
        <f>'Sollecitazioni nel paramento'!$G$60*(sezione!$AM$36-C2383)/C2383</f>
        <v>-2.0994630873455121E-3</v>
      </c>
      <c r="M2383" s="551">
        <f>'Sollecitazioni nel paramento'!$G$60*(sezione!$AN$36-C2383)/C2383</f>
        <v>-1.6326174497940157E-3</v>
      </c>
      <c r="N2383" s="551">
        <f>'Sollecitazioni nel paramento'!$G$60*(sezione!$AO$36-C2383)/C2383</f>
        <v>2.3476510041196849E-4</v>
      </c>
      <c r="O2383" s="551">
        <f>'Sollecitazioni nel paramento'!$G$60*(sezione!$AP$36-C2383)/C2383</f>
        <v>1.4174222393961782E-2</v>
      </c>
      <c r="P2383" s="545">
        <f>-'Sollecitazioni nel paramento'!$G$47*'Sollecitazioni nel paramento'!$G$41*IF(DATI!$G$211="dx",DATI!$E$61,DATI!$E$64*DATI!$E$63)*1000*C2383*sezione!$AD$5</f>
        <v>-5712359.25859077</v>
      </c>
      <c r="Q2383" s="545">
        <f>'Foglio deposito bis'!$F$88*IF(ABS(K2383)&lt;'Sollecitazioni nel paramento'!$G$58,ABS(K2383)*'Sollecitazioni nel paramento'!$G$54,'Sollecitazioni nel paramento'!$G$53)*IF(K2383&lt;0,-1,1)</f>
        <v>0</v>
      </c>
      <c r="R2383" s="545">
        <f>'Foglio deposito bis'!$F$89*IF(ABS(L2383)&lt;'Sollecitazioni nel paramento'!$G$58,ABS(L2383)*'Sollecitazioni nel paramento'!$G$54,'Sollecitazioni nel paramento'!$G$53)*IF(L2383&lt;0,-1,1)</f>
        <v>-153664.85805602249</v>
      </c>
      <c r="S2383" s="545">
        <f>'Foglio deposito bis'!$F$90*IF(ABS(M2383)&lt;'Sollecitazioni nel paramento'!$G$58,ABS(M2383)*'Sollecitazioni nel paramento'!$G$54,'Sollecitazioni nel paramento'!$G$53)*IF(M2383&lt;0,-1,1)</f>
        <v>0</v>
      </c>
      <c r="T2383" s="545">
        <f>'Foglio deposito bis'!$F$91*IF(ABS(N2383)&lt;'Sollecitazioni nel paramento'!$G$58,ABS(N2383)*'Sollecitazioni nel paramento'!$G$54,'Sollecitazioni nel paramento'!$G$53)*IF(N2383&lt;0,-1,1)</f>
        <v>110302.98109226713</v>
      </c>
      <c r="U2383" s="545">
        <f>'Foglio deposito bis'!$F$92*IF(ABS(O2383)&lt;'Sollecitazioni nel paramento'!$G$58,ABS(O2383)*'Sollecitazioni nel paramento'!$G$54,'Sollecitazioni nel paramento'!$G$53)*IF(O2383&lt;0,-1,1)</f>
        <v>1662039.1047339395</v>
      </c>
      <c r="V2383" s="472">
        <f t="shared" si="168"/>
        <v>-4093682.0308205867</v>
      </c>
      <c r="W2383" s="551"/>
      <c r="X2383" s="551"/>
    </row>
    <row r="2384" spans="1:24" x14ac:dyDescent="0.25">
      <c r="A2384" s="545">
        <f t="shared" si="167"/>
        <v>4200764.4218472829</v>
      </c>
      <c r="B2384" s="3">
        <f t="shared" si="165"/>
        <v>14.099999999999971</v>
      </c>
      <c r="C2384" s="545">
        <f>'Foglio deposito bis'!$E$162/sezione!$B$247*B2384</f>
        <v>152.0999416788419</v>
      </c>
      <c r="D2384" s="603">
        <f>-'Sollecitazioni nel paramento'!$G$47*'Sollecitazioni nel paramento'!$G$41*IF(DATI!$G$211="dx",DATI!$E$61,DATI!$E$64*DATI!$E$63)*1000*C2384^2*sezione!$AD$5*(1-sezione!$AD$6)</f>
        <v>-514708950.0578993</v>
      </c>
      <c r="E2384" s="545">
        <f>-'Foglio deposito bis'!$F$88*(C2384-sezione!$AL$36)*IF(ABS(K2384)&lt;'Sollecitazioni nel paramento'!$G$58,ABS(K2384)*'Sollecitazioni nel paramento'!$G$54,'Sollecitazioni nel paramento'!$G$53)</f>
        <v>0</v>
      </c>
      <c r="F2384" s="545">
        <f>-'Foglio deposito bis'!$F$89*(C2384-sezione!$AM$36)*IF(ABS(L2384)&lt;'Sollecitazioni nel paramento'!$G$58,ABS(L2384)*'Sollecitazioni nel paramento'!$G$54,'Sollecitazioni nel paramento'!$G$53)</f>
        <v>-14152524.46504719</v>
      </c>
      <c r="G2384" s="545">
        <f>-'Foglio deposito bis'!$F$90*(C2384-sezione!$AN$36)*IF(ABS(M2384)&lt;'Sollecitazioni nel paramento'!$G$58,ABS(M2384)*'Sollecitazioni nel paramento'!$G$54,'Sollecitazioni nel paramento'!$G$53)</f>
        <v>0</v>
      </c>
      <c r="H2384" s="545">
        <f>-'Foglio deposito bis'!$F$91*(C2384-sezione!$AO$36)*IF(ABS(N2384)&lt;'Sollecitazioni nel paramento'!$G$58,ABS(N2384)*'Sollecitazioni nel paramento'!$G$54,'Sollecitazioni nel paramento'!$G$53)</f>
        <v>674766.17732172727</v>
      </c>
      <c r="I2384" s="472">
        <f>-'Foglio deposito bis'!$F$92*(C2384-sezione!$AP$36)*IF(ABS(O2384)&lt;'Sollecitazioni nel paramento'!$G$58,ABS(O2384)*'Sollecitazioni nel paramento'!$G$54,'Sollecitazioni nel paramento'!$G$53)</f>
        <v>1005660552.3850847</v>
      </c>
      <c r="J2384" s="472">
        <f t="shared" si="166"/>
        <v>477473844.03946</v>
      </c>
      <c r="K2384" s="550">
        <f>'Sollecitazioni nel paramento'!$G$60*(sezione!$AL$36-C2384)/C2384</f>
        <v>-2.5795525727708092E-3</v>
      </c>
      <c r="L2384" s="550">
        <f>'Sollecitazioni nel paramento'!$G$60*(sezione!$AM$36-C2384)/C2384</f>
        <v>-2.1193288591562138E-3</v>
      </c>
      <c r="M2384" s="551">
        <f>'Sollecitazioni nel paramento'!$G$60*(sezione!$AN$36-C2384)/C2384</f>
        <v>-1.6591051455416182E-3</v>
      </c>
      <c r="N2384" s="551">
        <f>'Sollecitazioni nel paramento'!$G$60*(sezione!$AO$36-C2384)/C2384</f>
        <v>1.8178970891676331E-4</v>
      </c>
      <c r="O2384" s="551">
        <f>'Sollecitazioni nel paramento'!$G$60*(sezione!$AP$36-C2384)/C2384</f>
        <v>1.3923524203976507E-2</v>
      </c>
      <c r="P2384" s="545">
        <f>-'Sollecitazioni nel paramento'!$G$47*'Sollecitazioni nel paramento'!$G$41*IF(DATI!$G$211="dx",DATI!$E$61,DATI!$E$64*DATI!$E$63)*1000*C2384*sezione!$AD$5</f>
        <v>-5794551.4781388389</v>
      </c>
      <c r="Q2384" s="545">
        <f>'Foglio deposito bis'!$F$88*IF(ABS(K2384)&lt;'Sollecitazioni nel paramento'!$G$58,ABS(K2384)*'Sollecitazioni nel paramento'!$G$54,'Sollecitazioni nel paramento'!$G$53)*IF(K2384&lt;0,-1,1)</f>
        <v>0</v>
      </c>
      <c r="R2384" s="545">
        <f>'Foglio deposito bis'!$F$89*IF(ABS(L2384)&lt;'Sollecitazioni nel paramento'!$G$58,ABS(L2384)*'Sollecitazioni nel paramento'!$G$54,'Sollecitazioni nel paramento'!$G$53)*IF(L2384&lt;0,-1,1)</f>
        <v>-153664.85805602249</v>
      </c>
      <c r="S2384" s="545">
        <f>'Foglio deposito bis'!$F$90*IF(ABS(M2384)&lt;'Sollecitazioni nel paramento'!$G$58,ABS(M2384)*'Sollecitazioni nel paramento'!$G$54,'Sollecitazioni nel paramento'!$G$53)*IF(M2384&lt;0,-1,1)</f>
        <v>0</v>
      </c>
      <c r="T2384" s="545">
        <f>'Foglio deposito bis'!$F$91*IF(ABS(N2384)&lt;'Sollecitazioni nel paramento'!$G$58,ABS(N2384)*'Sollecitazioni nel paramento'!$G$54,'Sollecitazioni nel paramento'!$G$53)*IF(N2384&lt;0,-1,1)</f>
        <v>85412.809613639765</v>
      </c>
      <c r="U2384" s="545">
        <f>'Foglio deposito bis'!$F$92*IF(ABS(O2384)&lt;'Sollecitazioni nel paramento'!$G$58,ABS(O2384)*'Sollecitazioni nel paramento'!$G$54,'Sollecitazioni nel paramento'!$G$53)*IF(O2384&lt;0,-1,1)</f>
        <v>1662039.1047339395</v>
      </c>
      <c r="V2384" s="472">
        <f t="shared" si="168"/>
        <v>-4200764.4218472829</v>
      </c>
      <c r="W2384" s="551"/>
      <c r="X2384" s="551"/>
    </row>
    <row r="2385" spans="1:24" x14ac:dyDescent="0.25">
      <c r="A2385" s="545">
        <f t="shared" si="167"/>
        <v>4307150.5843011495</v>
      </c>
      <c r="B2385" s="3">
        <f t="shared" si="165"/>
        <v>14.299999999999971</v>
      </c>
      <c r="C2385" s="545">
        <f>'Foglio deposito bis'!$E$162/sezione!$B$247*B2385</f>
        <v>154.25738766010207</v>
      </c>
      <c r="D2385" s="603">
        <f>-'Sollecitazioni nel paramento'!$G$47*'Sollecitazioni nel paramento'!$G$41*IF(DATI!$G$211="dx",DATI!$E$61,DATI!$E$64*DATI!$E$63)*1000*C2385^2*sezione!$AD$5*(1-sezione!$AD$6)</f>
        <v>-529414180.35984021</v>
      </c>
      <c r="E2385" s="545">
        <f>-'Foglio deposito bis'!$F$88*(C2385-sezione!$AL$36)*IF(ABS(K2385)&lt;'Sollecitazioni nel paramento'!$G$58,ABS(K2385)*'Sollecitazioni nel paramento'!$G$54,'Sollecitazioni nel paramento'!$G$53)</f>
        <v>0</v>
      </c>
      <c r="F2385" s="545">
        <f>-'Foglio deposito bis'!$F$89*(C2385-sezione!$AM$36)*IF(ABS(L2385)&lt;'Sollecitazioni nel paramento'!$G$58,ABS(L2385)*'Sollecitazioni nel paramento'!$G$54,'Sollecitazioni nel paramento'!$G$53)</f>
        <v>-14484048.09552107</v>
      </c>
      <c r="G2385" s="545">
        <f>-'Foglio deposito bis'!$F$90*(C2385-sezione!$AN$36)*IF(ABS(M2385)&lt;'Sollecitazioni nel paramento'!$G$58,ABS(M2385)*'Sollecitazioni nel paramento'!$G$54,'Sollecitazioni nel paramento'!$G$53)</f>
        <v>0</v>
      </c>
      <c r="H2385" s="545">
        <f>-'Foglio deposito bis'!$F$91*(C2385-sezione!$AO$36)*IF(ABS(N2385)&lt;'Sollecitazioni nel paramento'!$G$58,ABS(N2385)*'Sollecitazioni nel paramento'!$G$54,'Sollecitazioni nel paramento'!$G$53)</f>
        <v>351556.21939101518</v>
      </c>
      <c r="I2385" s="472">
        <f>-'Foglio deposito bis'!$F$92*(C2385-sezione!$AP$36)*IF(ABS(O2385)&lt;'Sollecitazioni nel paramento'!$G$58,ABS(O2385)*'Sollecitazioni nel paramento'!$G$54,'Sollecitazioni nel paramento'!$G$53)</f>
        <v>1002074792.7978792</v>
      </c>
      <c r="J2385" s="472">
        <f t="shared" si="166"/>
        <v>458528120.56190896</v>
      </c>
      <c r="K2385" s="550">
        <f>'Sollecitazioni nel paramento'!$G$60*(sezione!$AL$36-C2385)/C2385</f>
        <v>-2.5924259633614273E-3</v>
      </c>
      <c r="L2385" s="550">
        <f>'Sollecitazioni nel paramento'!$G$60*(sezione!$AM$36-C2385)/C2385</f>
        <v>-2.1386389450421409E-3</v>
      </c>
      <c r="M2385" s="551">
        <f>'Sollecitazioni nel paramento'!$G$60*(sezione!$AN$36-C2385)/C2385</f>
        <v>-1.6848519267228545E-3</v>
      </c>
      <c r="N2385" s="551">
        <f>'Sollecitazioni nel paramento'!$G$60*(sezione!$AO$36-C2385)/C2385</f>
        <v>1.3029614655429112E-4</v>
      </c>
      <c r="O2385" s="551">
        <f>'Sollecitazioni nel paramento'!$G$60*(sezione!$AP$36-C2385)/C2385</f>
        <v>1.3679838550774041E-2</v>
      </c>
      <c r="P2385" s="545">
        <f>-'Sollecitazioni nel paramento'!$G$47*'Sollecitazioni nel paramento'!$G$41*IF(DATI!$G$211="dx",DATI!$E$61,DATI!$E$64*DATI!$E$63)*1000*C2385*sezione!$AD$5</f>
        <v>-5876743.6976869069</v>
      </c>
      <c r="Q2385" s="545">
        <f>'Foglio deposito bis'!$F$88*IF(ABS(K2385)&lt;'Sollecitazioni nel paramento'!$G$58,ABS(K2385)*'Sollecitazioni nel paramento'!$G$54,'Sollecitazioni nel paramento'!$G$53)*IF(K2385&lt;0,-1,1)</f>
        <v>0</v>
      </c>
      <c r="R2385" s="545">
        <f>'Foglio deposito bis'!$F$89*IF(ABS(L2385)&lt;'Sollecitazioni nel paramento'!$G$58,ABS(L2385)*'Sollecitazioni nel paramento'!$G$54,'Sollecitazioni nel paramento'!$G$53)*IF(L2385&lt;0,-1,1)</f>
        <v>-153664.85805602249</v>
      </c>
      <c r="S2385" s="545">
        <f>'Foglio deposito bis'!$F$90*IF(ABS(M2385)&lt;'Sollecitazioni nel paramento'!$G$58,ABS(M2385)*'Sollecitazioni nel paramento'!$G$54,'Sollecitazioni nel paramento'!$G$53)*IF(M2385&lt;0,-1,1)</f>
        <v>0</v>
      </c>
      <c r="T2385" s="545">
        <f>'Foglio deposito bis'!$F$91*IF(ABS(N2385)&lt;'Sollecitazioni nel paramento'!$G$58,ABS(N2385)*'Sollecitazioni nel paramento'!$G$54,'Sollecitazioni nel paramento'!$G$53)*IF(N2385&lt;0,-1,1)</f>
        <v>61218.866707841138</v>
      </c>
      <c r="U2385" s="545">
        <f>'Foglio deposito bis'!$F$92*IF(ABS(O2385)&lt;'Sollecitazioni nel paramento'!$G$58,ABS(O2385)*'Sollecitazioni nel paramento'!$G$54,'Sollecitazioni nel paramento'!$G$53)*IF(O2385&lt;0,-1,1)</f>
        <v>1662039.1047339395</v>
      </c>
      <c r="V2385" s="472">
        <f t="shared" si="168"/>
        <v>-4307150.5843011495</v>
      </c>
      <c r="W2385" s="551"/>
      <c r="X2385" s="551"/>
    </row>
    <row r="2386" spans="1:24" x14ac:dyDescent="0.25">
      <c r="A2386" s="545">
        <f t="shared" si="167"/>
        <v>4412869.3276403742</v>
      </c>
      <c r="B2386" s="3">
        <f t="shared" si="165"/>
        <v>14.49999999999997</v>
      </c>
      <c r="C2386" s="545">
        <f>'Foglio deposito bis'!$E$162/sezione!$B$247*B2386</f>
        <v>156.41483364136224</v>
      </c>
      <c r="D2386" s="603">
        <f>-'Sollecitazioni nel paramento'!$G$47*'Sollecitazioni nel paramento'!$G$41*IF(DATI!$G$211="dx",DATI!$E$61,DATI!$E$64*DATI!$E$63)*1000*C2386^2*sezione!$AD$5*(1-sezione!$AD$6)</f>
        <v>-544326526.58152664</v>
      </c>
      <c r="E2386" s="545">
        <f>-'Foglio deposito bis'!$F$88*(C2386-sezione!$AL$36)*IF(ABS(K2386)&lt;'Sollecitazioni nel paramento'!$G$58,ABS(K2386)*'Sollecitazioni nel paramento'!$G$54,'Sollecitazioni nel paramento'!$G$53)</f>
        <v>0</v>
      </c>
      <c r="F2386" s="545">
        <f>-'Foglio deposito bis'!$F$89*(C2386-sezione!$AM$36)*IF(ABS(L2386)&lt;'Sollecitazioni nel paramento'!$G$58,ABS(L2386)*'Sollecitazioni nel paramento'!$G$54,'Sollecitazioni nel paramento'!$G$53)</f>
        <v>-14815571.72599495</v>
      </c>
      <c r="G2386" s="545">
        <f>-'Foglio deposito bis'!$F$90*(C2386-sezione!$AN$36)*IF(ABS(M2386)&lt;'Sollecitazioni nel paramento'!$G$58,ABS(M2386)*'Sollecitazioni nel paramento'!$G$54,'Sollecitazioni nel paramento'!$G$53)</f>
        <v>0</v>
      </c>
      <c r="H2386" s="545">
        <f>-'Foglio deposito bis'!$F$91*(C2386-sezione!$AO$36)*IF(ABS(N2386)&lt;'Sollecitazioni nel paramento'!$G$58,ABS(N2386)*'Sollecitazioni nel paramento'!$G$54,'Sollecitazioni nel paramento'!$G$53)</f>
        <v>135133.31980313835</v>
      </c>
      <c r="I2386" s="472">
        <f>-'Foglio deposito bis'!$F$92*(C2386-sezione!$AP$36)*IF(ABS(O2386)&lt;'Sollecitazioni nel paramento'!$G$58,ABS(O2386)*'Sollecitazioni nel paramento'!$G$54,'Sollecitazioni nel paramento'!$G$53)</f>
        <v>998489033.21067369</v>
      </c>
      <c r="J2386" s="472">
        <f t="shared" si="166"/>
        <v>439482068.22295523</v>
      </c>
      <c r="K2386" s="550">
        <f>'Sollecitazioni nel paramento'!$G$60*(sezione!$AL$36-C2386)/C2386</f>
        <v>-2.6049442259357524E-3</v>
      </c>
      <c r="L2386" s="550">
        <f>'Sollecitazioni nel paramento'!$G$60*(sezione!$AM$36-C2386)/C2386</f>
        <v>-2.1574163389036288E-3</v>
      </c>
      <c r="M2386" s="551">
        <f>'Sollecitazioni nel paramento'!$G$60*(sezione!$AN$36-C2386)/C2386</f>
        <v>-1.7098884518715047E-3</v>
      </c>
      <c r="N2386" s="551">
        <f>'Sollecitazioni nel paramento'!$G$60*(sezione!$AO$36-C2386)/C2386</f>
        <v>8.0223096256990599E-5</v>
      </c>
      <c r="O2386" s="551">
        <f>'Sollecitazioni nel paramento'!$G$60*(sezione!$AP$36-C2386)/C2386</f>
        <v>1.3442875260418534E-2</v>
      </c>
      <c r="P2386" s="545">
        <f>-'Sollecitazioni nel paramento'!$G$47*'Sollecitazioni nel paramento'!$G$41*IF(DATI!$G$211="dx",DATI!$E$61,DATI!$E$64*DATI!$E$63)*1000*C2386*sezione!$AD$5</f>
        <v>-5958935.9172349758</v>
      </c>
      <c r="Q2386" s="545">
        <f>'Foglio deposito bis'!$F$88*IF(ABS(K2386)&lt;'Sollecitazioni nel paramento'!$G$58,ABS(K2386)*'Sollecitazioni nel paramento'!$G$54,'Sollecitazioni nel paramento'!$G$53)*IF(K2386&lt;0,-1,1)</f>
        <v>0</v>
      </c>
      <c r="R2386" s="545">
        <f>'Foglio deposito bis'!$F$89*IF(ABS(L2386)&lt;'Sollecitazioni nel paramento'!$G$58,ABS(L2386)*'Sollecitazioni nel paramento'!$G$54,'Sollecitazioni nel paramento'!$G$53)*IF(L2386&lt;0,-1,1)</f>
        <v>-153664.85805602249</v>
      </c>
      <c r="S2386" s="545">
        <f>'Foglio deposito bis'!$F$90*IF(ABS(M2386)&lt;'Sollecitazioni nel paramento'!$G$58,ABS(M2386)*'Sollecitazioni nel paramento'!$G$54,'Sollecitazioni nel paramento'!$G$53)*IF(M2386&lt;0,-1,1)</f>
        <v>0</v>
      </c>
      <c r="T2386" s="545">
        <f>'Foglio deposito bis'!$F$91*IF(ABS(N2386)&lt;'Sollecitazioni nel paramento'!$G$58,ABS(N2386)*'Sollecitazioni nel paramento'!$G$54,'Sollecitazioni nel paramento'!$G$53)*IF(N2386&lt;0,-1,1)</f>
        <v>37692.342916685244</v>
      </c>
      <c r="U2386" s="545">
        <f>'Foglio deposito bis'!$F$92*IF(ABS(O2386)&lt;'Sollecitazioni nel paramento'!$G$58,ABS(O2386)*'Sollecitazioni nel paramento'!$G$54,'Sollecitazioni nel paramento'!$G$53)*IF(O2386&lt;0,-1,1)</f>
        <v>1662039.1047339395</v>
      </c>
      <c r="V2386" s="472">
        <f t="shared" si="168"/>
        <v>-4412869.3276403742</v>
      </c>
      <c r="W2386" s="551"/>
      <c r="X2386" s="551"/>
    </row>
    <row r="2387" spans="1:24" x14ac:dyDescent="0.25">
      <c r="A2387" s="545">
        <f t="shared" si="167"/>
        <v>4517947.8934614714</v>
      </c>
      <c r="B2387" s="3">
        <f t="shared" si="165"/>
        <v>14.699999999999969</v>
      </c>
      <c r="C2387" s="545">
        <f>'Foglio deposito bis'!$E$162/sezione!$B$247*B2387</f>
        <v>158.57227962262237</v>
      </c>
      <c r="D2387" s="603">
        <f>-'Sollecitazioni nel paramento'!$G$47*'Sollecitazioni nel paramento'!$G$41*IF(DATI!$G$211="dx",DATI!$E$61,DATI!$E$64*DATI!$E$63)*1000*C2387^2*sezione!$AD$5*(1-sezione!$AD$6)</f>
        <v>-559445988.72295868</v>
      </c>
      <c r="E2387" s="545">
        <f>-'Foglio deposito bis'!$F$88*(C2387-sezione!$AL$36)*IF(ABS(K2387)&lt;'Sollecitazioni nel paramento'!$G$58,ABS(K2387)*'Sollecitazioni nel paramento'!$G$54,'Sollecitazioni nel paramento'!$G$53)</f>
        <v>0</v>
      </c>
      <c r="F2387" s="545">
        <f>-'Foglio deposito bis'!$F$89*(C2387-sezione!$AM$36)*IF(ABS(L2387)&lt;'Sollecitazioni nel paramento'!$G$58,ABS(L2387)*'Sollecitazioni nel paramento'!$G$54,'Sollecitazioni nel paramento'!$G$53)</f>
        <v>-15147095.356468825</v>
      </c>
      <c r="G2387" s="545">
        <f>-'Foglio deposito bis'!$F$90*(C2387-sezione!$AN$36)*IF(ABS(M2387)&lt;'Sollecitazioni nel paramento'!$G$58,ABS(M2387)*'Sollecitazioni nel paramento'!$G$54,'Sollecitazioni nel paramento'!$G$53)</f>
        <v>0</v>
      </c>
      <c r="H2387" s="545">
        <f>-'Foglio deposito bis'!$F$91*(C2387-sezione!$AO$36)*IF(ABS(N2387)&lt;'Sollecitazioni nel paramento'!$G$58,ABS(N2387)*'Sollecitazioni nel paramento'!$G$54,'Sollecitazioni nel paramento'!$G$53)</f>
        <v>21138.82311553285</v>
      </c>
      <c r="I2387" s="472">
        <f>-'Foglio deposito bis'!$F$92*(C2387-sezione!$AP$36)*IF(ABS(O2387)&lt;'Sollecitazioni nel paramento'!$G$58,ABS(O2387)*'Sollecitazioni nel paramento'!$G$54,'Sollecitazioni nel paramento'!$G$53)</f>
        <v>994903273.6234684</v>
      </c>
      <c r="J2387" s="472">
        <f t="shared" si="166"/>
        <v>420331328.36715651</v>
      </c>
      <c r="K2387" s="550">
        <f>'Sollecitazioni nel paramento'!$G$60*(sezione!$AL$36-C2387)/C2387</f>
        <v>-2.6171218555148578E-3</v>
      </c>
      <c r="L2387" s="550">
        <f>'Sollecitazioni nel paramento'!$G$60*(sezione!$AM$36-C2387)/C2387</f>
        <v>-2.1756827832722864E-3</v>
      </c>
      <c r="M2387" s="551">
        <f>'Sollecitazioni nel paramento'!$G$60*(sezione!$AN$36-C2387)/C2387</f>
        <v>-1.7342437110297153E-3</v>
      </c>
      <c r="N2387" s="551">
        <f>'Sollecitazioni nel paramento'!$G$60*(sezione!$AO$36-C2387)/C2387</f>
        <v>3.1512577940569621E-5</v>
      </c>
      <c r="O2387" s="551">
        <f>'Sollecitazioni nel paramento'!$G$60*(sezione!$AP$36-C2387)/C2387</f>
        <v>1.3212359950752983E-2</v>
      </c>
      <c r="P2387" s="545">
        <f>-'Sollecitazioni nel paramento'!$G$47*'Sollecitazioni nel paramento'!$G$41*IF(DATI!$G$211="dx",DATI!$E$61,DATI!$E$64*DATI!$E$63)*1000*C2387*sezione!$AD$5</f>
        <v>-6041128.1367830439</v>
      </c>
      <c r="Q2387" s="545">
        <f>'Foglio deposito bis'!$F$88*IF(ABS(K2387)&lt;'Sollecitazioni nel paramento'!$G$58,ABS(K2387)*'Sollecitazioni nel paramento'!$G$54,'Sollecitazioni nel paramento'!$G$53)*IF(K2387&lt;0,-1,1)</f>
        <v>0</v>
      </c>
      <c r="R2387" s="545">
        <f>'Foglio deposito bis'!$F$89*IF(ABS(L2387)&lt;'Sollecitazioni nel paramento'!$G$58,ABS(L2387)*'Sollecitazioni nel paramento'!$G$54,'Sollecitazioni nel paramento'!$G$53)*IF(L2387&lt;0,-1,1)</f>
        <v>-153664.85805602249</v>
      </c>
      <c r="S2387" s="545">
        <f>'Foglio deposito bis'!$F$90*IF(ABS(M2387)&lt;'Sollecitazioni nel paramento'!$G$58,ABS(M2387)*'Sollecitazioni nel paramento'!$G$54,'Sollecitazioni nel paramento'!$G$53)*IF(M2387&lt;0,-1,1)</f>
        <v>0</v>
      </c>
      <c r="T2387" s="545">
        <f>'Foglio deposito bis'!$F$91*IF(ABS(N2387)&lt;'Sollecitazioni nel paramento'!$G$58,ABS(N2387)*'Sollecitazioni nel paramento'!$G$54,'Sollecitazioni nel paramento'!$G$53)*IF(N2387&lt;0,-1,1)</f>
        <v>14805.996643656321</v>
      </c>
      <c r="U2387" s="545">
        <f>'Foglio deposito bis'!$F$92*IF(ABS(O2387)&lt;'Sollecitazioni nel paramento'!$G$58,ABS(O2387)*'Sollecitazioni nel paramento'!$G$54,'Sollecitazioni nel paramento'!$G$53)*IF(O2387&lt;0,-1,1)</f>
        <v>1662039.1047339395</v>
      </c>
      <c r="V2387" s="472">
        <f t="shared" si="168"/>
        <v>-4517947.8934614714</v>
      </c>
      <c r="W2387" s="551"/>
      <c r="X2387" s="551"/>
    </row>
    <row r="2388" spans="1:24" x14ac:dyDescent="0.25">
      <c r="A2388" s="545">
        <f t="shared" si="167"/>
        <v>4622412.0607249029</v>
      </c>
      <c r="B2388" s="3">
        <f t="shared" si="165"/>
        <v>14.899999999999968</v>
      </c>
      <c r="C2388" s="545">
        <f>'Foglio deposito bis'!$E$162/sezione!$B$247*B2388</f>
        <v>160.72972560388254</v>
      </c>
      <c r="D2388" s="603">
        <f>-'Sollecitazioni nel paramento'!$G$47*'Sollecitazioni nel paramento'!$G$41*IF(DATI!$G$211="dx",DATI!$E$61,DATI!$E$64*DATI!$E$63)*1000*C2388^2*sezione!$AD$5*(1-sezione!$AD$6)</f>
        <v>-574772566.78413653</v>
      </c>
      <c r="E2388" s="545">
        <f>-'Foglio deposito bis'!$F$88*(C2388-sezione!$AL$36)*IF(ABS(K2388)&lt;'Sollecitazioni nel paramento'!$G$58,ABS(K2388)*'Sollecitazioni nel paramento'!$G$54,'Sollecitazioni nel paramento'!$G$53)</f>
        <v>0</v>
      </c>
      <c r="F2388" s="545">
        <f>-'Foglio deposito bis'!$F$89*(C2388-sezione!$AM$36)*IF(ABS(L2388)&lt;'Sollecitazioni nel paramento'!$G$58,ABS(L2388)*'Sollecitazioni nel paramento'!$G$54,'Sollecitazioni nel paramento'!$G$53)</f>
        <v>-15478618.986942705</v>
      </c>
      <c r="G2388" s="545">
        <f>-'Foglio deposito bis'!$F$90*(C2388-sezione!$AN$36)*IF(ABS(M2388)&lt;'Sollecitazioni nel paramento'!$G$58,ABS(M2388)*'Sollecitazioni nel paramento'!$G$54,'Sollecitazioni nel paramento'!$G$53)</f>
        <v>0</v>
      </c>
      <c r="H2388" s="545">
        <f>-'Foglio deposito bis'!$F$91*(C2388-sezione!$AO$36)*IF(ABS(N2388)&lt;'Sollecitazioni nel paramento'!$G$58,ABS(N2388)*'Sollecitazioni nel paramento'!$G$54,'Sollecitazioni nel paramento'!$G$53)</f>
        <v>-5448.0956543594057</v>
      </c>
      <c r="I2388" s="472">
        <f>-'Foglio deposito bis'!$F$92*(C2388-sezione!$AP$36)*IF(ABS(O2388)&lt;'Sollecitazioni nel paramento'!$G$58,ABS(O2388)*'Sollecitazioni nel paramento'!$G$54,'Sollecitazioni nel paramento'!$G$53)</f>
        <v>991317514.03626287</v>
      </c>
      <c r="J2388" s="472">
        <f t="shared" si="166"/>
        <v>401060880.16952932</v>
      </c>
      <c r="K2388" s="550">
        <f>'Sollecitazioni nel paramento'!$G$60*(sezione!$AL$36-C2388)/C2388</f>
        <v>-2.6289725688636513E-3</v>
      </c>
      <c r="L2388" s="550">
        <f>'Sollecitazioni nel paramento'!$G$60*(sezione!$AM$36-C2388)/C2388</f>
        <v>-2.1934588532954769E-3</v>
      </c>
      <c r="M2388" s="551">
        <f>'Sollecitazioni nel paramento'!$G$60*(sezione!$AN$36-C2388)/C2388</f>
        <v>-1.7579451377273028E-3</v>
      </c>
      <c r="N2388" s="551">
        <f>'Sollecitazioni nel paramento'!$G$60*(sezione!$AO$36-C2388)/C2388</f>
        <v>-1.5890275454605789E-5</v>
      </c>
      <c r="O2388" s="551">
        <f>'Sollecitazioni nel paramento'!$G$60*(sezione!$AP$36-C2388)/C2388</f>
        <v>1.2988032971548241E-2</v>
      </c>
      <c r="P2388" s="545">
        <f>-'Sollecitazioni nel paramento'!$G$47*'Sollecitazioni nel paramento'!$G$41*IF(DATI!$G$211="dx",DATI!$E$61,DATI!$E$64*DATI!$E$63)*1000*C2388*sezione!$AD$5</f>
        <v>-6123320.3563311119</v>
      </c>
      <c r="Q2388" s="545">
        <f>'Foglio deposito bis'!$F$88*IF(ABS(K2388)&lt;'Sollecitazioni nel paramento'!$G$58,ABS(K2388)*'Sollecitazioni nel paramento'!$G$54,'Sollecitazioni nel paramento'!$G$53)*IF(K2388&lt;0,-1,1)</f>
        <v>0</v>
      </c>
      <c r="R2388" s="545">
        <f>'Foglio deposito bis'!$F$89*IF(ABS(L2388)&lt;'Sollecitazioni nel paramento'!$G$58,ABS(L2388)*'Sollecitazioni nel paramento'!$G$54,'Sollecitazioni nel paramento'!$G$53)*IF(L2388&lt;0,-1,1)</f>
        <v>-153664.85805602249</v>
      </c>
      <c r="S2388" s="545">
        <f>'Foglio deposito bis'!$F$90*IF(ABS(M2388)&lt;'Sollecitazioni nel paramento'!$G$58,ABS(M2388)*'Sollecitazioni nel paramento'!$G$54,'Sollecitazioni nel paramento'!$G$53)*IF(M2388&lt;0,-1,1)</f>
        <v>0</v>
      </c>
      <c r="T2388" s="545">
        <f>'Foglio deposito bis'!$F$91*IF(ABS(N2388)&lt;'Sollecitazioni nel paramento'!$G$58,ABS(N2388)*'Sollecitazioni nel paramento'!$G$54,'Sollecitazioni nel paramento'!$G$53)*IF(N2388&lt;0,-1,1)</f>
        <v>-7465.9510717076855</v>
      </c>
      <c r="U2388" s="545">
        <f>'Foglio deposito bis'!$F$92*IF(ABS(O2388)&lt;'Sollecitazioni nel paramento'!$G$58,ABS(O2388)*'Sollecitazioni nel paramento'!$G$54,'Sollecitazioni nel paramento'!$G$53)*IF(O2388&lt;0,-1,1)</f>
        <v>1662039.1047339395</v>
      </c>
      <c r="V2388" s="472">
        <f t="shared" si="168"/>
        <v>-4622412.0607249029</v>
      </c>
      <c r="W2388" s="551"/>
      <c r="X2388" s="551"/>
    </row>
    <row r="2389" spans="1:24" x14ac:dyDescent="0.25">
      <c r="A2389" s="545">
        <f t="shared" si="167"/>
        <v>4726286.2426183922</v>
      </c>
      <c r="B2389" s="3">
        <f t="shared" si="165"/>
        <v>15.099999999999968</v>
      </c>
      <c r="C2389" s="545">
        <f>'Foglio deposito bis'!$E$162/sezione!$B$247*B2389</f>
        <v>162.88717158514271</v>
      </c>
      <c r="D2389" s="603">
        <f>-'Sollecitazioni nel paramento'!$G$47*'Sollecitazioni nel paramento'!$G$41*IF(DATI!$G$211="dx",DATI!$E$61,DATI!$E$64*DATI!$E$63)*1000*C2389^2*sezione!$AD$5*(1-sezione!$AD$6)</f>
        <v>-590306260.76505995</v>
      </c>
      <c r="E2389" s="545">
        <f>-'Foglio deposito bis'!$F$88*(C2389-sezione!$AL$36)*IF(ABS(K2389)&lt;'Sollecitazioni nel paramento'!$G$58,ABS(K2389)*'Sollecitazioni nel paramento'!$G$54,'Sollecitazioni nel paramento'!$G$53)</f>
        <v>0</v>
      </c>
      <c r="F2389" s="545">
        <f>-'Foglio deposito bis'!$F$89*(C2389-sezione!$AM$36)*IF(ABS(L2389)&lt;'Sollecitazioni nel paramento'!$G$58,ABS(L2389)*'Sollecitazioni nel paramento'!$G$54,'Sollecitazioni nel paramento'!$G$53)</f>
        <v>-15810142.617416587</v>
      </c>
      <c r="G2389" s="545">
        <f>-'Foglio deposito bis'!$F$90*(C2389-sezione!$AN$36)*IF(ABS(M2389)&lt;'Sollecitazioni nel paramento'!$G$58,ABS(M2389)*'Sollecitazioni nel paramento'!$G$54,'Sollecitazioni nel paramento'!$G$53)</f>
        <v>0</v>
      </c>
      <c r="H2389" s="545">
        <f>-'Foglio deposito bis'!$F$91*(C2389-sezione!$AO$36)*IF(ABS(N2389)&lt;'Sollecitazioni nel paramento'!$G$58,ABS(N2389)*'Sollecitazioni nel paramento'!$G$54,'Sollecitazioni nel paramento'!$G$53)</f>
        <v>-84155.027384132714</v>
      </c>
      <c r="I2389" s="472">
        <f>-'Foglio deposito bis'!$F$92*(C2389-sezione!$AP$36)*IF(ABS(O2389)&lt;'Sollecitazioni nel paramento'!$G$58,ABS(O2389)*'Sollecitazioni nel paramento'!$G$54,'Sollecitazioni nel paramento'!$G$53)</f>
        <v>987731754.44905722</v>
      </c>
      <c r="J2389" s="472">
        <f t="shared" si="166"/>
        <v>381531196.03919649</v>
      </c>
      <c r="K2389" s="550">
        <f>'Sollecitazioni nel paramento'!$G$60*(sezione!$AL$36-C2389)/C2389</f>
        <v>-2.6405093560310203E-3</v>
      </c>
      <c r="L2389" s="550">
        <f>'Sollecitazioni nel paramento'!$G$60*(sezione!$AM$36-C2389)/C2389</f>
        <v>-2.2107640340465304E-3</v>
      </c>
      <c r="M2389" s="551">
        <f>'Sollecitazioni nel paramento'!$G$60*(sezione!$AN$36-C2389)/C2389</f>
        <v>-1.7810187120620405E-3</v>
      </c>
      <c r="N2389" s="551">
        <f>'Sollecitazioni nel paramento'!$G$60*(sezione!$AO$36-C2389)/C2389</f>
        <v>-6.2037424124081195E-5</v>
      </c>
      <c r="O2389" s="551">
        <f>'Sollecitazioni nel paramento'!$G$60*(sezione!$AP$36-C2389)/C2389</f>
        <v>1.2769648428878731E-2</v>
      </c>
      <c r="P2389" s="545">
        <f>-'Sollecitazioni nel paramento'!$G$47*'Sollecitazioni nel paramento'!$G$41*IF(DATI!$G$211="dx",DATI!$E$61,DATI!$E$64*DATI!$E$63)*1000*C2389*sezione!$AD$5</f>
        <v>-6205512.5758791808</v>
      </c>
      <c r="Q2389" s="545">
        <f>'Foglio deposito bis'!$F$88*IF(ABS(K2389)&lt;'Sollecitazioni nel paramento'!$G$58,ABS(K2389)*'Sollecitazioni nel paramento'!$G$54,'Sollecitazioni nel paramento'!$G$53)*IF(K2389&lt;0,-1,1)</f>
        <v>0</v>
      </c>
      <c r="R2389" s="545">
        <f>'Foglio deposito bis'!$F$89*IF(ABS(L2389)&lt;'Sollecitazioni nel paramento'!$G$58,ABS(L2389)*'Sollecitazioni nel paramento'!$G$54,'Sollecitazioni nel paramento'!$G$53)*IF(L2389&lt;0,-1,1)</f>
        <v>-153664.85805602249</v>
      </c>
      <c r="S2389" s="545">
        <f>'Foglio deposito bis'!$F$90*IF(ABS(M2389)&lt;'Sollecitazioni nel paramento'!$G$58,ABS(M2389)*'Sollecitazioni nel paramento'!$G$54,'Sollecitazioni nel paramento'!$G$53)*IF(M2389&lt;0,-1,1)</f>
        <v>0</v>
      </c>
      <c r="T2389" s="545">
        <f>'Foglio deposito bis'!$F$91*IF(ABS(N2389)&lt;'Sollecitazioni nel paramento'!$G$58,ABS(N2389)*'Sollecitazioni nel paramento'!$G$54,'Sollecitazioni nel paramento'!$G$53)*IF(N2389&lt;0,-1,1)</f>
        <v>-29147.913417128279</v>
      </c>
      <c r="U2389" s="545">
        <f>'Foglio deposito bis'!$F$92*IF(ABS(O2389)&lt;'Sollecitazioni nel paramento'!$G$58,ABS(O2389)*'Sollecitazioni nel paramento'!$G$54,'Sollecitazioni nel paramento'!$G$53)*IF(O2389&lt;0,-1,1)</f>
        <v>1662039.1047339395</v>
      </c>
      <c r="V2389" s="472">
        <f t="shared" si="168"/>
        <v>-4726286.2426183922</v>
      </c>
      <c r="W2389" s="551"/>
      <c r="X2389" s="551"/>
    </row>
    <row r="2390" spans="1:24" x14ac:dyDescent="0.25">
      <c r="A2390" s="545">
        <f t="shared" si="167"/>
        <v>4829593.5758231124</v>
      </c>
      <c r="B2390" s="3">
        <f t="shared" si="165"/>
        <v>15.299999999999967</v>
      </c>
      <c r="C2390" s="545">
        <f>'Foglio deposito bis'!$E$162/sezione!$B$247*B2390</f>
        <v>165.04461756640288</v>
      </c>
      <c r="D2390" s="603">
        <f>-'Sollecitazioni nel paramento'!$G$47*'Sollecitazioni nel paramento'!$G$41*IF(DATI!$G$211="dx",DATI!$E$61,DATI!$E$64*DATI!$E$63)*1000*C2390^2*sezione!$AD$5*(1-sezione!$AD$6)</f>
        <v>-606047070.66572905</v>
      </c>
      <c r="E2390" s="545">
        <f>-'Foglio deposito bis'!$F$88*(C2390-sezione!$AL$36)*IF(ABS(K2390)&lt;'Sollecitazioni nel paramento'!$G$58,ABS(K2390)*'Sollecitazioni nel paramento'!$G$54,'Sollecitazioni nel paramento'!$G$53)</f>
        <v>0</v>
      </c>
      <c r="F2390" s="545">
        <f>-'Foglio deposito bis'!$F$89*(C2390-sezione!$AM$36)*IF(ABS(L2390)&lt;'Sollecitazioni nel paramento'!$G$58,ABS(L2390)*'Sollecitazioni nel paramento'!$G$54,'Sollecitazioni nel paramento'!$G$53)</f>
        <v>-16141666.247890467</v>
      </c>
      <c r="G2390" s="545">
        <f>-'Foglio deposito bis'!$F$90*(C2390-sezione!$AN$36)*IF(ABS(M2390)&lt;'Sollecitazioni nel paramento'!$G$58,ABS(M2390)*'Sollecitazioni nel paramento'!$G$54,'Sollecitazioni nel paramento'!$G$53)</f>
        <v>0</v>
      </c>
      <c r="H2390" s="545">
        <f>-'Foglio deposito bis'!$F$91*(C2390-sezione!$AO$36)*IF(ABS(N2390)&lt;'Sollecitazioni nel paramento'!$G$58,ABS(N2390)*'Sollecitazioni nel paramento'!$G$54,'Sollecitazioni nel paramento'!$G$53)</f>
        <v>-253557.74931697251</v>
      </c>
      <c r="I2390" s="472">
        <f>-'Foglio deposito bis'!$F$92*(C2390-sezione!$AP$36)*IF(ABS(O2390)&lt;'Sollecitazioni nel paramento'!$G$58,ABS(O2390)*'Sollecitazioni nel paramento'!$G$54,'Sollecitazioni nel paramento'!$G$53)</f>
        <v>984145994.86185181</v>
      </c>
      <c r="J2390" s="472">
        <f t="shared" si="166"/>
        <v>361703700.19891536</v>
      </c>
      <c r="K2390" s="550">
        <f>'Sollecitazioni nel paramento'!$G$60*(sezione!$AL$36-C2390)/C2390</f>
        <v>-2.6517445278476087E-3</v>
      </c>
      <c r="L2390" s="550">
        <f>'Sollecitazioni nel paramento'!$G$60*(sezione!$AM$36-C2390)/C2390</f>
        <v>-2.2276167917714127E-3</v>
      </c>
      <c r="M2390" s="551">
        <f>'Sollecitazioni nel paramento'!$G$60*(sezione!$AN$36-C2390)/C2390</f>
        <v>-1.8034890556952166E-3</v>
      </c>
      <c r="N2390" s="551">
        <f>'Sollecitazioni nel paramento'!$G$60*(sezione!$AO$36-C2390)/C2390</f>
        <v>-1.0697811139043306E-4</v>
      </c>
      <c r="O2390" s="551">
        <f>'Sollecitazioni nel paramento'!$G$60*(sezione!$AP$36-C2390)/C2390</f>
        <v>1.255697328601757E-2</v>
      </c>
      <c r="P2390" s="545">
        <f>-'Sollecitazioni nel paramento'!$G$47*'Sollecitazioni nel paramento'!$G$41*IF(DATI!$G$211="dx",DATI!$E$61,DATI!$E$64*DATI!$E$63)*1000*C2390*sezione!$AD$5</f>
        <v>-6287704.7954272488</v>
      </c>
      <c r="Q2390" s="545">
        <f>'Foglio deposito bis'!$F$88*IF(ABS(K2390)&lt;'Sollecitazioni nel paramento'!$G$58,ABS(K2390)*'Sollecitazioni nel paramento'!$G$54,'Sollecitazioni nel paramento'!$G$53)*IF(K2390&lt;0,-1,1)</f>
        <v>0</v>
      </c>
      <c r="R2390" s="545">
        <f>'Foglio deposito bis'!$F$89*IF(ABS(L2390)&lt;'Sollecitazioni nel paramento'!$G$58,ABS(L2390)*'Sollecitazioni nel paramento'!$G$54,'Sollecitazioni nel paramento'!$G$53)*IF(L2390&lt;0,-1,1)</f>
        <v>-153664.85805602249</v>
      </c>
      <c r="S2390" s="545">
        <f>'Foglio deposito bis'!$F$90*IF(ABS(M2390)&lt;'Sollecitazioni nel paramento'!$G$58,ABS(M2390)*'Sollecitazioni nel paramento'!$G$54,'Sollecitazioni nel paramento'!$G$53)*IF(M2390&lt;0,-1,1)</f>
        <v>0</v>
      </c>
      <c r="T2390" s="545">
        <f>'Foglio deposito bis'!$F$91*IF(ABS(N2390)&lt;'Sollecitazioni nel paramento'!$G$58,ABS(N2390)*'Sollecitazioni nel paramento'!$G$54,'Sollecitazioni nel paramento'!$G$53)*IF(N2390&lt;0,-1,1)</f>
        <v>-50263.027073779704</v>
      </c>
      <c r="U2390" s="545">
        <f>'Foglio deposito bis'!$F$92*IF(ABS(O2390)&lt;'Sollecitazioni nel paramento'!$G$58,ABS(O2390)*'Sollecitazioni nel paramento'!$G$54,'Sollecitazioni nel paramento'!$G$53)*IF(O2390&lt;0,-1,1)</f>
        <v>1662039.1047339395</v>
      </c>
      <c r="V2390" s="472">
        <f t="shared" si="168"/>
        <v>-4829593.5758231124</v>
      </c>
      <c r="W2390" s="551"/>
      <c r="X2390" s="551"/>
    </row>
    <row r="2391" spans="1:24" x14ac:dyDescent="0.25">
      <c r="A2391" s="545">
        <f t="shared" si="167"/>
        <v>4932356.0028689513</v>
      </c>
      <c r="B2391" s="3">
        <f t="shared" si="165"/>
        <v>15.499999999999966</v>
      </c>
      <c r="C2391" s="545">
        <f>'Foglio deposito bis'!$E$162/sezione!$B$247*B2391</f>
        <v>167.20206354766304</v>
      </c>
      <c r="D2391" s="603">
        <f>-'Sollecitazioni nel paramento'!$G$47*'Sollecitazioni nel paramento'!$G$41*IF(DATI!$G$211="dx",DATI!$E$61,DATI!$E$64*DATI!$E$63)*1000*C2391^2*sezione!$AD$5*(1-sezione!$AD$6)</f>
        <v>-621994996.48614395</v>
      </c>
      <c r="E2391" s="545">
        <f>-'Foglio deposito bis'!$F$88*(C2391-sezione!$AL$36)*IF(ABS(K2391)&lt;'Sollecitazioni nel paramento'!$G$58,ABS(K2391)*'Sollecitazioni nel paramento'!$G$54,'Sollecitazioni nel paramento'!$G$53)</f>
        <v>0</v>
      </c>
      <c r="F2391" s="545">
        <f>-'Foglio deposito bis'!$F$89*(C2391-sezione!$AM$36)*IF(ABS(L2391)&lt;'Sollecitazioni nel paramento'!$G$58,ABS(L2391)*'Sollecitazioni nel paramento'!$G$54,'Sollecitazioni nel paramento'!$G$53)</f>
        <v>-16473189.878364345</v>
      </c>
      <c r="G2391" s="545">
        <f>-'Foglio deposito bis'!$F$90*(C2391-sezione!$AN$36)*IF(ABS(M2391)&lt;'Sollecitazioni nel paramento'!$G$58,ABS(M2391)*'Sollecitazioni nel paramento'!$G$54,'Sollecitazioni nel paramento'!$G$53)</f>
        <v>0</v>
      </c>
      <c r="H2391" s="545">
        <f>-'Foglio deposito bis'!$F$91*(C2391-sezione!$AO$36)*IF(ABS(N2391)&lt;'Sollecitazioni nel paramento'!$G$58,ABS(N2391)*'Sollecitazioni nel paramento'!$G$54,'Sollecitazioni nel paramento'!$G$53)</f>
        <v>-510145.45667082461</v>
      </c>
      <c r="I2391" s="472">
        <f>-'Foglio deposito bis'!$F$92*(C2391-sezione!$AP$36)*IF(ABS(O2391)&lt;'Sollecitazioni nel paramento'!$G$58,ABS(O2391)*'Sollecitazioni nel paramento'!$G$54,'Sollecitazioni nel paramento'!$G$53)</f>
        <v>980560235.27464616</v>
      </c>
      <c r="J2391" s="472">
        <f t="shared" si="166"/>
        <v>341581903.45346701</v>
      </c>
      <c r="K2391" s="550">
        <f>'Sollecitazioni nel paramento'!$G$60*(sezione!$AL$36-C2391)/C2391</f>
        <v>-2.6626897597463489E-3</v>
      </c>
      <c r="L2391" s="550">
        <f>'Sollecitazioni nel paramento'!$G$60*(sezione!$AM$36-C2391)/C2391</f>
        <v>-2.2440346396195229E-3</v>
      </c>
      <c r="M2391" s="551">
        <f>'Sollecitazioni nel paramento'!$G$60*(sezione!$AN$36-C2391)/C2391</f>
        <v>-1.8253795194926978E-3</v>
      </c>
      <c r="N2391" s="551">
        <f>'Sollecitazioni nel paramento'!$G$60*(sezione!$AO$36-C2391)/C2391</f>
        <v>-1.5075903898539519E-4</v>
      </c>
      <c r="O2391" s="551">
        <f>'Sollecitazioni nel paramento'!$G$60*(sezione!$AP$36-C2391)/C2391</f>
        <v>1.2349786533939923E-2</v>
      </c>
      <c r="P2391" s="545">
        <f>-'Sollecitazioni nel paramento'!$G$47*'Sollecitazioni nel paramento'!$G$41*IF(DATI!$G$211="dx",DATI!$E$61,DATI!$E$64*DATI!$E$63)*1000*C2391*sezione!$AD$5</f>
        <v>-6369897.0149753178</v>
      </c>
      <c r="Q2391" s="545">
        <f>'Foglio deposito bis'!$F$88*IF(ABS(K2391)&lt;'Sollecitazioni nel paramento'!$G$58,ABS(K2391)*'Sollecitazioni nel paramento'!$G$54,'Sollecitazioni nel paramento'!$G$53)*IF(K2391&lt;0,-1,1)</f>
        <v>0</v>
      </c>
      <c r="R2391" s="545">
        <f>'Foglio deposito bis'!$F$89*IF(ABS(L2391)&lt;'Sollecitazioni nel paramento'!$G$58,ABS(L2391)*'Sollecitazioni nel paramento'!$G$54,'Sollecitazioni nel paramento'!$G$53)*IF(L2391&lt;0,-1,1)</f>
        <v>-153664.85805602249</v>
      </c>
      <c r="S2391" s="545">
        <f>'Foglio deposito bis'!$F$90*IF(ABS(M2391)&lt;'Sollecitazioni nel paramento'!$G$58,ABS(M2391)*'Sollecitazioni nel paramento'!$G$54,'Sollecitazioni nel paramento'!$G$53)*IF(M2391&lt;0,-1,1)</f>
        <v>0</v>
      </c>
      <c r="T2391" s="545">
        <f>'Foglio deposito bis'!$F$91*IF(ABS(N2391)&lt;'Sollecitazioni nel paramento'!$G$58,ABS(N2391)*'Sollecitazioni nel paramento'!$G$54,'Sollecitazioni nel paramento'!$G$53)*IF(N2391&lt;0,-1,1)</f>
        <v>-70833.234571549809</v>
      </c>
      <c r="U2391" s="545">
        <f>'Foglio deposito bis'!$F$92*IF(ABS(O2391)&lt;'Sollecitazioni nel paramento'!$G$58,ABS(O2391)*'Sollecitazioni nel paramento'!$G$54,'Sollecitazioni nel paramento'!$G$53)*IF(O2391&lt;0,-1,1)</f>
        <v>1662039.1047339395</v>
      </c>
      <c r="V2391" s="472">
        <f t="shared" si="168"/>
        <v>-4932356.0028689513</v>
      </c>
      <c r="W2391" s="551"/>
      <c r="X2391" s="551"/>
    </row>
    <row r="2392" spans="1:24" x14ac:dyDescent="0.25">
      <c r="A2392" s="545">
        <f t="shared" si="167"/>
        <v>5034594.3481951021</v>
      </c>
      <c r="B2392" s="3">
        <f t="shared" si="165"/>
        <v>15.699999999999966</v>
      </c>
      <c r="C2392" s="545">
        <f>'Foglio deposito bis'!$E$162/sezione!$B$247*B2392</f>
        <v>169.35950952892321</v>
      </c>
      <c r="D2392" s="603">
        <f>-'Sollecitazioni nel paramento'!$G$47*'Sollecitazioni nel paramento'!$G$41*IF(DATI!$G$211="dx",DATI!$E$61,DATI!$E$64*DATI!$E$63)*1000*C2392^2*sezione!$AD$5*(1-sezione!$AD$6)</f>
        <v>-638150038.22630417</v>
      </c>
      <c r="E2392" s="545">
        <f>-'Foglio deposito bis'!$F$88*(C2392-sezione!$AL$36)*IF(ABS(K2392)&lt;'Sollecitazioni nel paramento'!$G$58,ABS(K2392)*'Sollecitazioni nel paramento'!$G$54,'Sollecitazioni nel paramento'!$G$53)</f>
        <v>0</v>
      </c>
      <c r="F2392" s="545">
        <f>-'Foglio deposito bis'!$F$89*(C2392-sezione!$AM$36)*IF(ABS(L2392)&lt;'Sollecitazioni nel paramento'!$G$58,ABS(L2392)*'Sollecitazioni nel paramento'!$G$54,'Sollecitazioni nel paramento'!$G$53)</f>
        <v>-16804713.508838225</v>
      </c>
      <c r="G2392" s="545">
        <f>-'Foglio deposito bis'!$F$90*(C2392-sezione!$AN$36)*IF(ABS(M2392)&lt;'Sollecitazioni nel paramento'!$G$58,ABS(M2392)*'Sollecitazioni nel paramento'!$G$54,'Sollecitazioni nel paramento'!$G$53)</f>
        <v>0</v>
      </c>
      <c r="H2392" s="545">
        <f>-'Foglio deposito bis'!$F$91*(C2392-sezione!$AO$36)*IF(ABS(N2392)&lt;'Sollecitazioni nel paramento'!$G$58,ABS(N2392)*'Sollecitazioni nel paramento'!$G$54,'Sollecitazioni nel paramento'!$G$53)</f>
        <v>-850586.23917482235</v>
      </c>
      <c r="I2392" s="472">
        <f>-'Foglio deposito bis'!$F$92*(C2392-sezione!$AP$36)*IF(ABS(O2392)&lt;'Sollecitazioni nel paramento'!$G$58,ABS(O2392)*'Sollecitazioni nel paramento'!$G$54,'Sollecitazioni nel paramento'!$G$53)</f>
        <v>976974475.68744075</v>
      </c>
      <c r="J2392" s="472">
        <f t="shared" si="166"/>
        <v>321169137.71312356</v>
      </c>
      <c r="K2392" s="550">
        <f>'Sollecitazioni nel paramento'!$G$60*(sezione!$AL$36-C2392)/C2392</f>
        <v>-2.6733561322336563E-3</v>
      </c>
      <c r="L2392" s="550">
        <f>'Sollecitazioni nel paramento'!$G$60*(sezione!$AM$36-C2392)/C2392</f>
        <v>-2.2600341983504846E-3</v>
      </c>
      <c r="M2392" s="551">
        <f>'Sollecitazioni nel paramento'!$G$60*(sezione!$AN$36-C2392)/C2392</f>
        <v>-1.8467122644673128E-3</v>
      </c>
      <c r="N2392" s="551">
        <f>'Sollecitazioni nel paramento'!$G$60*(sezione!$AO$36-C2392)/C2392</f>
        <v>-1.9342452893462582E-4</v>
      </c>
      <c r="O2392" s="551">
        <f>'Sollecitazioni nel paramento'!$G$60*(sezione!$AP$36-C2392)/C2392</f>
        <v>1.2147878425227313E-2</v>
      </c>
      <c r="P2392" s="545">
        <f>-'Sollecitazioni nel paramento'!$G$47*'Sollecitazioni nel paramento'!$G$41*IF(DATI!$G$211="dx",DATI!$E$61,DATI!$E$64*DATI!$E$63)*1000*C2392*sezione!$AD$5</f>
        <v>-6452089.2345233867</v>
      </c>
      <c r="Q2392" s="545">
        <f>'Foglio deposito bis'!$F$88*IF(ABS(K2392)&lt;'Sollecitazioni nel paramento'!$G$58,ABS(K2392)*'Sollecitazioni nel paramento'!$G$54,'Sollecitazioni nel paramento'!$G$53)*IF(K2392&lt;0,-1,1)</f>
        <v>0</v>
      </c>
      <c r="R2392" s="545">
        <f>'Foglio deposito bis'!$F$89*IF(ABS(L2392)&lt;'Sollecitazioni nel paramento'!$G$58,ABS(L2392)*'Sollecitazioni nel paramento'!$G$54,'Sollecitazioni nel paramento'!$G$53)*IF(L2392&lt;0,-1,1)</f>
        <v>-153664.85805602249</v>
      </c>
      <c r="S2392" s="545">
        <f>'Foglio deposito bis'!$F$90*IF(ABS(M2392)&lt;'Sollecitazioni nel paramento'!$G$58,ABS(M2392)*'Sollecitazioni nel paramento'!$G$54,'Sollecitazioni nel paramento'!$G$53)*IF(M2392&lt;0,-1,1)</f>
        <v>0</v>
      </c>
      <c r="T2392" s="545">
        <f>'Foglio deposito bis'!$F$91*IF(ABS(N2392)&lt;'Sollecitazioni nel paramento'!$G$58,ABS(N2392)*'Sollecitazioni nel paramento'!$G$54,'Sollecitazioni nel paramento'!$G$53)*IF(N2392&lt;0,-1,1)</f>
        <v>-90879.36034963149</v>
      </c>
      <c r="U2392" s="545">
        <f>'Foglio deposito bis'!$F$92*IF(ABS(O2392)&lt;'Sollecitazioni nel paramento'!$G$58,ABS(O2392)*'Sollecitazioni nel paramento'!$G$54,'Sollecitazioni nel paramento'!$G$53)*IF(O2392&lt;0,-1,1)</f>
        <v>1662039.1047339395</v>
      </c>
      <c r="V2392" s="472">
        <f t="shared" si="168"/>
        <v>-5034594.3481951021</v>
      </c>
      <c r="W2392" s="551"/>
      <c r="X2392" s="551"/>
    </row>
    <row r="2393" spans="1:24" x14ac:dyDescent="0.25">
      <c r="A2393" s="545">
        <f t="shared" si="167"/>
        <v>5136328.3884702306</v>
      </c>
      <c r="B2393" s="3">
        <f t="shared" si="165"/>
        <v>15.899999999999965</v>
      </c>
      <c r="C2393" s="545">
        <f>'Foglio deposito bis'!$E$162/sezione!$B$247*B2393</f>
        <v>171.51695551018338</v>
      </c>
      <c r="D2393" s="603">
        <f>-'Sollecitazioni nel paramento'!$G$47*'Sollecitazioni nel paramento'!$G$41*IF(DATI!$G$211="dx",DATI!$E$61,DATI!$E$64*DATI!$E$63)*1000*C2393^2*sezione!$AD$5*(1-sezione!$AD$6)</f>
        <v>-654512195.88621032</v>
      </c>
      <c r="E2393" s="545">
        <f>-'Foglio deposito bis'!$F$88*(C2393-sezione!$AL$36)*IF(ABS(K2393)&lt;'Sollecitazioni nel paramento'!$G$58,ABS(K2393)*'Sollecitazioni nel paramento'!$G$54,'Sollecitazioni nel paramento'!$G$53)</f>
        <v>0</v>
      </c>
      <c r="F2393" s="545">
        <f>-'Foglio deposito bis'!$F$89*(C2393-sezione!$AM$36)*IF(ABS(L2393)&lt;'Sollecitazioni nel paramento'!$G$58,ABS(L2393)*'Sollecitazioni nel paramento'!$G$54,'Sollecitazioni nel paramento'!$G$53)</f>
        <v>-17136237.139312103</v>
      </c>
      <c r="G2393" s="545">
        <f>-'Foglio deposito bis'!$F$90*(C2393-sezione!$AN$36)*IF(ABS(M2393)&lt;'Sollecitazioni nel paramento'!$G$58,ABS(M2393)*'Sollecitazioni nel paramento'!$G$54,'Sollecitazioni nel paramento'!$G$53)</f>
        <v>0</v>
      </c>
      <c r="H2393" s="545">
        <f>-'Foglio deposito bis'!$F$91*(C2393-sezione!$AO$36)*IF(ABS(N2393)&lt;'Sollecitazioni nel paramento'!$G$58,ABS(N2393)*'Sollecitazioni nel paramento'!$G$54,'Sollecitazioni nel paramento'!$G$53)</f>
        <v>-1271715.8298421677</v>
      </c>
      <c r="I2393" s="472">
        <f>-'Foglio deposito bis'!$F$92*(C2393-sezione!$AP$36)*IF(ABS(O2393)&lt;'Sollecitazioni nel paramento'!$G$58,ABS(O2393)*'Sollecitazioni nel paramento'!$G$54,'Sollecitazioni nel paramento'!$G$53)</f>
        <v>973388716.10023534</v>
      </c>
      <c r="J2393" s="472">
        <f t="shared" si="166"/>
        <v>300468567.24487066</v>
      </c>
      <c r="K2393" s="550">
        <f>'Sollecitazioni nel paramento'!$G$60*(sezione!$AL$36-C2393)/C2393</f>
        <v>-2.6837541683061893E-3</v>
      </c>
      <c r="L2393" s="550">
        <f>'Sollecitazioni nel paramento'!$G$60*(sezione!$AM$36-C2393)/C2393</f>
        <v>-2.2756312524592837E-3</v>
      </c>
      <c r="M2393" s="551">
        <f>'Sollecitazioni nel paramento'!$G$60*(sezione!$AN$36-C2393)/C2393</f>
        <v>-1.8675083366123783E-3</v>
      </c>
      <c r="N2393" s="551">
        <f>'Sollecitazioni nel paramento'!$G$60*(sezione!$AO$36-C2393)/C2393</f>
        <v>-2.3501667322475627E-4</v>
      </c>
      <c r="O2393" s="551">
        <f>'Sollecitazioni nel paramento'!$G$60*(sezione!$AP$36-C2393)/C2393</f>
        <v>1.1951049765790492E-2</v>
      </c>
      <c r="P2393" s="545">
        <f>-'Sollecitazioni nel paramento'!$G$47*'Sollecitazioni nel paramento'!$G$41*IF(DATI!$G$211="dx",DATI!$E$61,DATI!$E$64*DATI!$E$63)*1000*C2393*sezione!$AD$5</f>
        <v>-6534281.4540714547</v>
      </c>
      <c r="Q2393" s="545">
        <f>'Foglio deposito bis'!$F$88*IF(ABS(K2393)&lt;'Sollecitazioni nel paramento'!$G$58,ABS(K2393)*'Sollecitazioni nel paramento'!$G$54,'Sollecitazioni nel paramento'!$G$53)*IF(K2393&lt;0,-1,1)</f>
        <v>0</v>
      </c>
      <c r="R2393" s="545">
        <f>'Foglio deposito bis'!$F$89*IF(ABS(L2393)&lt;'Sollecitazioni nel paramento'!$G$58,ABS(L2393)*'Sollecitazioni nel paramento'!$G$54,'Sollecitazioni nel paramento'!$G$53)*IF(L2393&lt;0,-1,1)</f>
        <v>-153664.85805602249</v>
      </c>
      <c r="S2393" s="545">
        <f>'Foglio deposito bis'!$F$90*IF(ABS(M2393)&lt;'Sollecitazioni nel paramento'!$G$58,ABS(M2393)*'Sollecitazioni nel paramento'!$G$54,'Sollecitazioni nel paramento'!$G$53)*IF(M2393&lt;0,-1,1)</f>
        <v>0</v>
      </c>
      <c r="T2393" s="545">
        <f>'Foglio deposito bis'!$F$91*IF(ABS(N2393)&lt;'Sollecitazioni nel paramento'!$G$58,ABS(N2393)*'Sollecitazioni nel paramento'!$G$54,'Sollecitazioni nel paramento'!$G$53)*IF(N2393&lt;0,-1,1)</f>
        <v>-110421.18107669226</v>
      </c>
      <c r="U2393" s="545">
        <f>'Foglio deposito bis'!$F$92*IF(ABS(O2393)&lt;'Sollecitazioni nel paramento'!$G$58,ABS(O2393)*'Sollecitazioni nel paramento'!$G$54,'Sollecitazioni nel paramento'!$G$53)*IF(O2393&lt;0,-1,1)</f>
        <v>1662039.1047339395</v>
      </c>
      <c r="V2393" s="472">
        <f t="shared" si="168"/>
        <v>-5136328.3884702306</v>
      </c>
      <c r="W2393" s="551"/>
      <c r="X2393" s="551"/>
    </row>
    <row r="2394" spans="1:24" x14ac:dyDescent="0.25">
      <c r="A2394" s="545">
        <f t="shared" si="167"/>
        <v>5237576.9176713973</v>
      </c>
      <c r="B2394" s="3">
        <f t="shared" si="165"/>
        <v>16.099999999999966</v>
      </c>
      <c r="C2394" s="545">
        <f>'Foglio deposito bis'!$E$162/sezione!$B$247*B2394</f>
        <v>173.67440149144358</v>
      </c>
      <c r="D2394" s="603">
        <f>-'Sollecitazioni nel paramento'!$G$47*'Sollecitazioni nel paramento'!$G$41*IF(DATI!$G$211="dx",DATI!$E$61,DATI!$E$64*DATI!$E$63)*1000*C2394^2*sezione!$AD$5*(1-sezione!$AD$6)</f>
        <v>-671081469.46586227</v>
      </c>
      <c r="E2394" s="545">
        <f>-'Foglio deposito bis'!$F$88*(C2394-sezione!$AL$36)*IF(ABS(K2394)&lt;'Sollecitazioni nel paramento'!$G$58,ABS(K2394)*'Sollecitazioni nel paramento'!$G$54,'Sollecitazioni nel paramento'!$G$53)</f>
        <v>0</v>
      </c>
      <c r="F2394" s="545">
        <f>-'Foglio deposito bis'!$F$89*(C2394-sezione!$AM$36)*IF(ABS(L2394)&lt;'Sollecitazioni nel paramento'!$G$58,ABS(L2394)*'Sollecitazioni nel paramento'!$G$54,'Sollecitazioni nel paramento'!$G$53)</f>
        <v>-17467760.769785989</v>
      </c>
      <c r="G2394" s="545">
        <f>-'Foglio deposito bis'!$F$90*(C2394-sezione!$AN$36)*IF(ABS(M2394)&lt;'Sollecitazioni nel paramento'!$G$58,ABS(M2394)*'Sollecitazioni nel paramento'!$G$54,'Sollecitazioni nel paramento'!$G$53)</f>
        <v>0</v>
      </c>
      <c r="H2394" s="545">
        <f>-'Foglio deposito bis'!$F$91*(C2394-sezione!$AO$36)*IF(ABS(N2394)&lt;'Sollecitazioni nel paramento'!$G$58,ABS(N2394)*'Sollecitazioni nel paramento'!$G$54,'Sollecitazioni nel paramento'!$G$53)</f>
        <v>-1770527.1923437987</v>
      </c>
      <c r="I2394" s="472">
        <f>-'Foglio deposito bis'!$F$92*(C2394-sezione!$AP$36)*IF(ABS(O2394)&lt;'Sollecitazioni nel paramento'!$G$58,ABS(O2394)*'Sollecitazioni nel paramento'!$G$54,'Sollecitazioni nel paramento'!$G$53)</f>
        <v>969802956.51302981</v>
      </c>
      <c r="J2394" s="472">
        <f t="shared" si="166"/>
        <v>279483199.08503771</v>
      </c>
      <c r="K2394" s="550">
        <f>'Sollecitazioni nel paramento'!$G$60*(sezione!$AL$36-C2394)/C2394</f>
        <v>-2.6938938680787831E-3</v>
      </c>
      <c r="L2394" s="550">
        <f>'Sollecitazioni nel paramento'!$G$60*(sezione!$AM$36-C2394)/C2394</f>
        <v>-2.2908408021181745E-3</v>
      </c>
      <c r="M2394" s="551">
        <f>'Sollecitazioni nel paramento'!$G$60*(sezione!$AN$36-C2394)/C2394</f>
        <v>-1.8877877361575663E-3</v>
      </c>
      <c r="N2394" s="551">
        <f>'Sollecitazioni nel paramento'!$G$60*(sezione!$AO$36-C2394)/C2394</f>
        <v>-2.755754723151325E-4</v>
      </c>
      <c r="O2394" s="551">
        <f>'Sollecitazioni nel paramento'!$G$60*(sezione!$AP$36-C2394)/C2394</f>
        <v>1.1759111259383155E-2</v>
      </c>
      <c r="P2394" s="545">
        <f>-'Sollecitazioni nel paramento'!$G$47*'Sollecitazioni nel paramento'!$G$41*IF(DATI!$G$211="dx",DATI!$E$61,DATI!$E$64*DATI!$E$63)*1000*C2394*sezione!$AD$5</f>
        <v>-6616473.6736195246</v>
      </c>
      <c r="Q2394" s="545">
        <f>'Foglio deposito bis'!$F$88*IF(ABS(K2394)&lt;'Sollecitazioni nel paramento'!$G$58,ABS(K2394)*'Sollecitazioni nel paramento'!$G$54,'Sollecitazioni nel paramento'!$G$53)*IF(K2394&lt;0,-1,1)</f>
        <v>0</v>
      </c>
      <c r="R2394" s="545">
        <f>'Foglio deposito bis'!$F$89*IF(ABS(L2394)&lt;'Sollecitazioni nel paramento'!$G$58,ABS(L2394)*'Sollecitazioni nel paramento'!$G$54,'Sollecitazioni nel paramento'!$G$53)*IF(L2394&lt;0,-1,1)</f>
        <v>-153664.85805602249</v>
      </c>
      <c r="S2394" s="545">
        <f>'Foglio deposito bis'!$F$90*IF(ABS(M2394)&lt;'Sollecitazioni nel paramento'!$G$58,ABS(M2394)*'Sollecitazioni nel paramento'!$G$54,'Sollecitazioni nel paramento'!$G$53)*IF(M2394&lt;0,-1,1)</f>
        <v>0</v>
      </c>
      <c r="T2394" s="545">
        <f>'Foglio deposito bis'!$F$91*IF(ABS(N2394)&lt;'Sollecitazioni nel paramento'!$G$58,ABS(N2394)*'Sollecitazioni nel paramento'!$G$54,'Sollecitazioni nel paramento'!$G$53)*IF(N2394&lt;0,-1,1)</f>
        <v>-129477.49072978903</v>
      </c>
      <c r="U2394" s="545">
        <f>'Foglio deposito bis'!$F$92*IF(ABS(O2394)&lt;'Sollecitazioni nel paramento'!$G$58,ABS(O2394)*'Sollecitazioni nel paramento'!$G$54,'Sollecitazioni nel paramento'!$G$53)*IF(O2394&lt;0,-1,1)</f>
        <v>1662039.1047339395</v>
      </c>
      <c r="V2394" s="472">
        <f t="shared" si="168"/>
        <v>-5237576.9176713973</v>
      </c>
      <c r="W2394" s="551"/>
      <c r="X2394" s="551"/>
    </row>
    <row r="2395" spans="1:24" x14ac:dyDescent="0.25">
      <c r="A2395" s="545">
        <f t="shared" si="167"/>
        <v>5338357.8073718734</v>
      </c>
      <c r="B2395" s="3">
        <f t="shared" si="165"/>
        <v>16.299999999999965</v>
      </c>
      <c r="C2395" s="545">
        <f>'Foglio deposito bis'!$E$162/sezione!$B$247*B2395</f>
        <v>175.83184747270374</v>
      </c>
      <c r="D2395" s="603">
        <f>-'Sollecitazioni nel paramento'!$G$47*'Sollecitazioni nel paramento'!$G$41*IF(DATI!$G$211="dx",DATI!$E$61,DATI!$E$64*DATI!$E$63)*1000*C2395^2*sezione!$AD$5*(1-sezione!$AD$6)</f>
        <v>-687857858.96525955</v>
      </c>
      <c r="E2395" s="545">
        <f>-'Foglio deposito bis'!$F$88*(C2395-sezione!$AL$36)*IF(ABS(K2395)&lt;'Sollecitazioni nel paramento'!$G$58,ABS(K2395)*'Sollecitazioni nel paramento'!$G$54,'Sollecitazioni nel paramento'!$G$53)</f>
        <v>0</v>
      </c>
      <c r="F2395" s="545">
        <f>-'Foglio deposito bis'!$F$89*(C2395-sezione!$AM$36)*IF(ABS(L2395)&lt;'Sollecitazioni nel paramento'!$G$58,ABS(L2395)*'Sollecitazioni nel paramento'!$G$54,'Sollecitazioni nel paramento'!$G$53)</f>
        <v>-17799284.400259867</v>
      </c>
      <c r="G2395" s="545">
        <f>-'Foglio deposito bis'!$F$90*(C2395-sezione!$AN$36)*IF(ABS(M2395)&lt;'Sollecitazioni nel paramento'!$G$58,ABS(M2395)*'Sollecitazioni nel paramento'!$G$54,'Sollecitazioni nel paramento'!$G$53)</f>
        <v>0</v>
      </c>
      <c r="H2395" s="545">
        <f>-'Foglio deposito bis'!$F$91*(C2395-sezione!$AO$36)*IF(ABS(N2395)&lt;'Sollecitazioni nel paramento'!$G$58,ABS(N2395)*'Sollecitazioni nel paramento'!$G$54,'Sollecitazioni nel paramento'!$G$53)</f>
        <v>-2344160.8749557412</v>
      </c>
      <c r="I2395" s="472">
        <f>-'Foglio deposito bis'!$F$92*(C2395-sezione!$AP$36)*IF(ABS(O2395)&lt;'Sollecitazioni nel paramento'!$G$58,ABS(O2395)*'Sollecitazioni nel paramento'!$G$54,'Sollecitazioni nel paramento'!$G$53)</f>
        <v>966217196.92582428</v>
      </c>
      <c r="J2395" s="472">
        <f t="shared" si="166"/>
        <v>258215892.68534911</v>
      </c>
      <c r="K2395" s="550">
        <f>'Sollecitazioni nel paramento'!$G$60*(sezione!$AL$36-C2395)/C2395</f>
        <v>-2.7037847408630925E-3</v>
      </c>
      <c r="L2395" s="550">
        <f>'Sollecitazioni nel paramento'!$G$60*(sezione!$AM$36-C2395)/C2395</f>
        <v>-2.3056771112946388E-3</v>
      </c>
      <c r="M2395" s="551">
        <f>'Sollecitazioni nel paramento'!$G$60*(sezione!$AN$36-C2395)/C2395</f>
        <v>-1.907569481726185E-3</v>
      </c>
      <c r="N2395" s="551">
        <f>'Sollecitazioni nel paramento'!$G$60*(sezione!$AO$36-C2395)/C2395</f>
        <v>-3.1513896345237009E-4</v>
      </c>
      <c r="O2395" s="551">
        <f>'Sollecitazioni nel paramento'!$G$60*(sezione!$AP$36-C2395)/C2395</f>
        <v>1.1571882900372317E-2</v>
      </c>
      <c r="P2395" s="545">
        <f>-'Sollecitazioni nel paramento'!$G$47*'Sollecitazioni nel paramento'!$G$41*IF(DATI!$G$211="dx",DATI!$E$61,DATI!$E$64*DATI!$E$63)*1000*C2395*sezione!$AD$5</f>
        <v>-6698665.8931675935</v>
      </c>
      <c r="Q2395" s="545">
        <f>'Foglio deposito bis'!$F$88*IF(ABS(K2395)&lt;'Sollecitazioni nel paramento'!$G$58,ABS(K2395)*'Sollecitazioni nel paramento'!$G$54,'Sollecitazioni nel paramento'!$G$53)*IF(K2395&lt;0,-1,1)</f>
        <v>0</v>
      </c>
      <c r="R2395" s="545">
        <f>'Foglio deposito bis'!$F$89*IF(ABS(L2395)&lt;'Sollecitazioni nel paramento'!$G$58,ABS(L2395)*'Sollecitazioni nel paramento'!$G$54,'Sollecitazioni nel paramento'!$G$53)*IF(L2395&lt;0,-1,1)</f>
        <v>-153664.85805602249</v>
      </c>
      <c r="S2395" s="545">
        <f>'Foglio deposito bis'!$F$90*IF(ABS(M2395)&lt;'Sollecitazioni nel paramento'!$G$58,ABS(M2395)*'Sollecitazioni nel paramento'!$G$54,'Sollecitazioni nel paramento'!$G$53)*IF(M2395&lt;0,-1,1)</f>
        <v>0</v>
      </c>
      <c r="T2395" s="545">
        <f>'Foglio deposito bis'!$F$91*IF(ABS(N2395)&lt;'Sollecitazioni nel paramento'!$G$58,ABS(N2395)*'Sollecitazioni nel paramento'!$G$54,'Sollecitazioni nel paramento'!$G$53)*IF(N2395&lt;0,-1,1)</f>
        <v>-148066.16088219604</v>
      </c>
      <c r="U2395" s="545">
        <f>'Foglio deposito bis'!$F$92*IF(ABS(O2395)&lt;'Sollecitazioni nel paramento'!$G$58,ABS(O2395)*'Sollecitazioni nel paramento'!$G$54,'Sollecitazioni nel paramento'!$G$53)*IF(O2395&lt;0,-1,1)</f>
        <v>1662039.1047339395</v>
      </c>
      <c r="V2395" s="472">
        <f t="shared" si="168"/>
        <v>-5338357.8073718734</v>
      </c>
      <c r="W2395" s="551"/>
      <c r="X2395" s="551"/>
    </row>
    <row r="2396" spans="1:24" x14ac:dyDescent="0.25">
      <c r="A2396" s="545">
        <f t="shared" si="167"/>
        <v>5438688.0626444109</v>
      </c>
      <c r="B2396" s="3">
        <f t="shared" si="165"/>
        <v>16.499999999999964</v>
      </c>
      <c r="C2396" s="545">
        <f>'Foglio deposito bis'!$E$162/sezione!$B$247*B2396</f>
        <v>177.98929345396391</v>
      </c>
      <c r="D2396" s="603">
        <f>-'Sollecitazioni nel paramento'!$G$47*'Sollecitazioni nel paramento'!$G$41*IF(DATI!$G$211="dx",DATI!$E$61,DATI!$E$64*DATI!$E$63)*1000*C2396^2*sezione!$AD$5*(1-sezione!$AD$6)</f>
        <v>-704841364.38440263</v>
      </c>
      <c r="E2396" s="545">
        <f>-'Foglio deposito bis'!$F$88*(C2396-sezione!$AL$36)*IF(ABS(K2396)&lt;'Sollecitazioni nel paramento'!$G$58,ABS(K2396)*'Sollecitazioni nel paramento'!$G$54,'Sollecitazioni nel paramento'!$G$53)</f>
        <v>0</v>
      </c>
      <c r="F2396" s="545">
        <f>-'Foglio deposito bis'!$F$89*(C2396-sezione!$AM$36)*IF(ABS(L2396)&lt;'Sollecitazioni nel paramento'!$G$58,ABS(L2396)*'Sollecitazioni nel paramento'!$G$54,'Sollecitazioni nel paramento'!$G$53)</f>
        <v>-18130808.030733749</v>
      </c>
      <c r="G2396" s="545">
        <f>-'Foglio deposito bis'!$F$90*(C2396-sezione!$AN$36)*IF(ABS(M2396)&lt;'Sollecitazioni nel paramento'!$G$58,ABS(M2396)*'Sollecitazioni nel paramento'!$G$54,'Sollecitazioni nel paramento'!$G$53)</f>
        <v>0</v>
      </c>
      <c r="H2396" s="545">
        <f>-'Foglio deposito bis'!$F$91*(C2396-sezione!$AO$36)*IF(ABS(N2396)&lt;'Sollecitazioni nel paramento'!$G$58,ABS(N2396)*'Sollecitazioni nel paramento'!$G$54,'Sollecitazioni nel paramento'!$G$53)</f>
        <v>-2989896.0660376265</v>
      </c>
      <c r="I2396" s="472">
        <f>-'Foglio deposito bis'!$F$92*(C2396-sezione!$AP$36)*IF(ABS(O2396)&lt;'Sollecitazioni nel paramento'!$G$58,ABS(O2396)*'Sollecitazioni nel paramento'!$G$54,'Sollecitazioni nel paramento'!$G$53)</f>
        <v>962631437.33861887</v>
      </c>
      <c r="J2396" s="472">
        <f t="shared" si="166"/>
        <v>236669368.85744488</v>
      </c>
      <c r="K2396" s="550">
        <f>'Sollecitazioni nel paramento'!$G$60*(sezione!$AL$36-C2396)/C2396</f>
        <v>-2.7134358349132372E-3</v>
      </c>
      <c r="L2396" s="550">
        <f>'Sollecitazioni nel paramento'!$G$60*(sezione!$AM$36-C2396)/C2396</f>
        <v>-2.3201537523698554E-3</v>
      </c>
      <c r="M2396" s="551">
        <f>'Sollecitazioni nel paramento'!$G$60*(sezione!$AN$36-C2396)/C2396</f>
        <v>-1.9268716698264737E-3</v>
      </c>
      <c r="N2396" s="551">
        <f>'Sollecitazioni nel paramento'!$G$60*(sezione!$AO$36-C2396)/C2396</f>
        <v>-3.5374333965294743E-4</v>
      </c>
      <c r="O2396" s="551">
        <f>'Sollecitazioni nel paramento'!$G$60*(sezione!$AP$36-C2396)/C2396</f>
        <v>1.1389193410670836E-2</v>
      </c>
      <c r="P2396" s="545">
        <f>-'Sollecitazioni nel paramento'!$G$47*'Sollecitazioni nel paramento'!$G$41*IF(DATI!$G$211="dx",DATI!$E$61,DATI!$E$64*DATI!$E$63)*1000*C2396*sezione!$AD$5</f>
        <v>-6780858.1127156615</v>
      </c>
      <c r="Q2396" s="545">
        <f>'Foglio deposito bis'!$F$88*IF(ABS(K2396)&lt;'Sollecitazioni nel paramento'!$G$58,ABS(K2396)*'Sollecitazioni nel paramento'!$G$54,'Sollecitazioni nel paramento'!$G$53)*IF(K2396&lt;0,-1,1)</f>
        <v>0</v>
      </c>
      <c r="R2396" s="545">
        <f>'Foglio deposito bis'!$F$89*IF(ABS(L2396)&lt;'Sollecitazioni nel paramento'!$G$58,ABS(L2396)*'Sollecitazioni nel paramento'!$G$54,'Sollecitazioni nel paramento'!$G$53)*IF(L2396&lt;0,-1,1)</f>
        <v>-153664.85805602249</v>
      </c>
      <c r="S2396" s="545">
        <f>'Foglio deposito bis'!$F$90*IF(ABS(M2396)&lt;'Sollecitazioni nel paramento'!$G$58,ABS(M2396)*'Sollecitazioni nel paramento'!$G$54,'Sollecitazioni nel paramento'!$G$53)*IF(M2396&lt;0,-1,1)</f>
        <v>0</v>
      </c>
      <c r="T2396" s="545">
        <f>'Foglio deposito bis'!$F$91*IF(ABS(N2396)&lt;'Sollecitazioni nel paramento'!$G$58,ABS(N2396)*'Sollecitazioni nel paramento'!$G$54,'Sollecitazioni nel paramento'!$G$53)*IF(N2396&lt;0,-1,1)</f>
        <v>-166204.19660666594</v>
      </c>
      <c r="U2396" s="545">
        <f>'Foglio deposito bis'!$F$92*IF(ABS(O2396)&lt;'Sollecitazioni nel paramento'!$G$58,ABS(O2396)*'Sollecitazioni nel paramento'!$G$54,'Sollecitazioni nel paramento'!$G$53)*IF(O2396&lt;0,-1,1)</f>
        <v>1662039.1047339395</v>
      </c>
      <c r="V2396" s="472">
        <f t="shared" si="168"/>
        <v>-5438688.0626444109</v>
      </c>
      <c r="W2396" s="551"/>
      <c r="X2396" s="551"/>
    </row>
    <row r="2397" spans="1:24" x14ac:dyDescent="0.25">
      <c r="A2397" s="545">
        <f t="shared" si="167"/>
        <v>5538583.8739475003</v>
      </c>
      <c r="B2397" s="3">
        <f t="shared" si="165"/>
        <v>16.699999999999964</v>
      </c>
      <c r="C2397" s="545">
        <f>'Foglio deposito bis'!$E$162/sezione!$B$247*B2397</f>
        <v>180.14673943522405</v>
      </c>
      <c r="D2397" s="603">
        <f>-'Sollecitazioni nel paramento'!$G$47*'Sollecitazioni nel paramento'!$G$41*IF(DATI!$G$211="dx",DATI!$E$61,DATI!$E$64*DATI!$E$63)*1000*C2397^2*sezione!$AD$5*(1-sezione!$AD$6)</f>
        <v>-722031985.72329092</v>
      </c>
      <c r="E2397" s="545">
        <f>-'Foglio deposito bis'!$F$88*(C2397-sezione!$AL$36)*IF(ABS(K2397)&lt;'Sollecitazioni nel paramento'!$G$58,ABS(K2397)*'Sollecitazioni nel paramento'!$G$54,'Sollecitazioni nel paramento'!$G$53)</f>
        <v>0</v>
      </c>
      <c r="F2397" s="545">
        <f>-'Foglio deposito bis'!$F$89*(C2397-sezione!$AM$36)*IF(ABS(L2397)&lt;'Sollecitazioni nel paramento'!$G$58,ABS(L2397)*'Sollecitazioni nel paramento'!$G$54,'Sollecitazioni nel paramento'!$G$53)</f>
        <v>-18462331.661207624</v>
      </c>
      <c r="G2397" s="545">
        <f>-'Foglio deposito bis'!$F$90*(C2397-sezione!$AN$36)*IF(ABS(M2397)&lt;'Sollecitazioni nel paramento'!$G$58,ABS(M2397)*'Sollecitazioni nel paramento'!$G$54,'Sollecitazioni nel paramento'!$G$53)</f>
        <v>0</v>
      </c>
      <c r="H2397" s="545">
        <f>-'Foglio deposito bis'!$F$91*(C2397-sezione!$AO$36)*IF(ABS(N2397)&lt;'Sollecitazioni nel paramento'!$G$58,ABS(N2397)*'Sollecitazioni nel paramento'!$G$54,'Sollecitazioni nel paramento'!$G$53)</f>
        <v>-3705142.2922312422</v>
      </c>
      <c r="I2397" s="472">
        <f>-'Foglio deposito bis'!$F$92*(C2397-sezione!$AP$36)*IF(ABS(O2397)&lt;'Sollecitazioni nel paramento'!$G$58,ABS(O2397)*'Sollecitazioni nel paramento'!$G$54,'Sollecitazioni nel paramento'!$G$53)</f>
        <v>959045677.75141346</v>
      </c>
      <c r="J2397" s="472">
        <f t="shared" si="166"/>
        <v>214846218.07468367</v>
      </c>
      <c r="K2397" s="550">
        <f>'Sollecitazioni nel paramento'!$G$60*(sezione!$AL$36-C2397)/C2397</f>
        <v>-2.7228557650340363E-3</v>
      </c>
      <c r="L2397" s="550">
        <f>'Sollecitazioni nel paramento'!$G$60*(sezione!$AM$36-C2397)/C2397</f>
        <v>-2.3342836475510548E-3</v>
      </c>
      <c r="M2397" s="551">
        <f>'Sollecitazioni nel paramento'!$G$60*(sezione!$AN$36-C2397)/C2397</f>
        <v>-1.9457115300680727E-3</v>
      </c>
      <c r="N2397" s="551">
        <f>'Sollecitazioni nel paramento'!$G$60*(sezione!$AO$36-C2397)/C2397</f>
        <v>-3.914230601361451E-4</v>
      </c>
      <c r="O2397" s="551">
        <f>'Sollecitazioni nel paramento'!$G$60*(sezione!$AP$36-C2397)/C2397</f>
        <v>1.1210879717129869E-2</v>
      </c>
      <c r="P2397" s="545">
        <f>-'Sollecitazioni nel paramento'!$G$47*'Sollecitazioni nel paramento'!$G$41*IF(DATI!$G$211="dx",DATI!$E$61,DATI!$E$64*DATI!$E$63)*1000*C2397*sezione!$AD$5</f>
        <v>-6863050.3322637295</v>
      </c>
      <c r="Q2397" s="545">
        <f>'Foglio deposito bis'!$F$88*IF(ABS(K2397)&lt;'Sollecitazioni nel paramento'!$G$58,ABS(K2397)*'Sollecitazioni nel paramento'!$G$54,'Sollecitazioni nel paramento'!$G$53)*IF(K2397&lt;0,-1,1)</f>
        <v>0</v>
      </c>
      <c r="R2397" s="545">
        <f>'Foglio deposito bis'!$F$89*IF(ABS(L2397)&lt;'Sollecitazioni nel paramento'!$G$58,ABS(L2397)*'Sollecitazioni nel paramento'!$G$54,'Sollecitazioni nel paramento'!$G$53)*IF(L2397&lt;0,-1,1)</f>
        <v>-153664.85805602249</v>
      </c>
      <c r="S2397" s="545">
        <f>'Foglio deposito bis'!$F$90*IF(ABS(M2397)&lt;'Sollecitazioni nel paramento'!$G$58,ABS(M2397)*'Sollecitazioni nel paramento'!$G$54,'Sollecitazioni nel paramento'!$G$53)*IF(M2397&lt;0,-1,1)</f>
        <v>0</v>
      </c>
      <c r="T2397" s="545">
        <f>'Foglio deposito bis'!$F$91*IF(ABS(N2397)&lt;'Sollecitazioni nel paramento'!$G$58,ABS(N2397)*'Sollecitazioni nel paramento'!$G$54,'Sollecitazioni nel paramento'!$G$53)*IF(N2397&lt;0,-1,1)</f>
        <v>-183907.78836168721</v>
      </c>
      <c r="U2397" s="545">
        <f>'Foglio deposito bis'!$F$92*IF(ABS(O2397)&lt;'Sollecitazioni nel paramento'!$G$58,ABS(O2397)*'Sollecitazioni nel paramento'!$G$54,'Sollecitazioni nel paramento'!$G$53)*IF(O2397&lt;0,-1,1)</f>
        <v>1662039.1047339395</v>
      </c>
      <c r="V2397" s="472">
        <f t="shared" si="168"/>
        <v>-5538583.8739475003</v>
      </c>
      <c r="W2397" s="551"/>
      <c r="X2397" s="551"/>
    </row>
    <row r="2398" spans="1:24" x14ac:dyDescent="0.25">
      <c r="A2398" s="545">
        <f t="shared" si="167"/>
        <v>5638060.6653273953</v>
      </c>
      <c r="B2398" s="3">
        <f t="shared" si="165"/>
        <v>16.899999999999963</v>
      </c>
      <c r="C2398" s="545">
        <f>'Foglio deposito bis'!$E$162/sezione!$B$247*B2398</f>
        <v>182.30418541648422</v>
      </c>
      <c r="D2398" s="603">
        <f>-'Sollecitazioni nel paramento'!$G$47*'Sollecitazioni nel paramento'!$G$41*IF(DATI!$G$211="dx",DATI!$E$61,DATI!$E$64*DATI!$E$63)*1000*C2398^2*sezione!$AD$5*(1-sezione!$AD$6)</f>
        <v>-739429722.98192525</v>
      </c>
      <c r="E2398" s="545">
        <f>-'Foglio deposito bis'!$F$88*(C2398-sezione!$AL$36)*IF(ABS(K2398)&lt;'Sollecitazioni nel paramento'!$G$58,ABS(K2398)*'Sollecitazioni nel paramento'!$G$54,'Sollecitazioni nel paramento'!$G$53)</f>
        <v>0</v>
      </c>
      <c r="F2398" s="545">
        <f>-'Foglio deposito bis'!$F$89*(C2398-sezione!$AM$36)*IF(ABS(L2398)&lt;'Sollecitazioni nel paramento'!$G$58,ABS(L2398)*'Sollecitazioni nel paramento'!$G$54,'Sollecitazioni nel paramento'!$G$53)</f>
        <v>-18793855.291681506</v>
      </c>
      <c r="G2398" s="545">
        <f>-'Foglio deposito bis'!$F$90*(C2398-sezione!$AN$36)*IF(ABS(M2398)&lt;'Sollecitazioni nel paramento'!$G$58,ABS(M2398)*'Sollecitazioni nel paramento'!$G$54,'Sollecitazioni nel paramento'!$G$53)</f>
        <v>0</v>
      </c>
      <c r="H2398" s="545">
        <f>-'Foglio deposito bis'!$F$91*(C2398-sezione!$AO$36)*IF(ABS(N2398)&lt;'Sollecitazioni nel paramento'!$G$58,ABS(N2398)*'Sollecitazioni nel paramento'!$G$54,'Sollecitazioni nel paramento'!$G$53)</f>
        <v>-4487431.7061361913</v>
      </c>
      <c r="I2398" s="472">
        <f>-'Foglio deposito bis'!$F$92*(C2398-sezione!$AP$36)*IF(ABS(O2398)&lt;'Sollecitazioni nel paramento'!$G$58,ABS(O2398)*'Sollecitazioni nel paramento'!$G$54,'Sollecitazioni nel paramento'!$G$53)</f>
        <v>955459918.16420805</v>
      </c>
      <c r="J2398" s="472">
        <f t="shared" si="166"/>
        <v>192748908.18446505</v>
      </c>
      <c r="K2398" s="550">
        <f>'Sollecitazioni nel paramento'!$G$60*(sezione!$AL$36-C2398)/C2398</f>
        <v>-2.7320527382288999E-3</v>
      </c>
      <c r="L2398" s="550">
        <f>'Sollecitazioni nel paramento'!$G$60*(sezione!$AM$36-C2398)/C2398</f>
        <v>-2.3480791073433498E-3</v>
      </c>
      <c r="M2398" s="551">
        <f>'Sollecitazioni nel paramento'!$G$60*(sezione!$AN$36-C2398)/C2398</f>
        <v>-1.9641054764577993E-3</v>
      </c>
      <c r="N2398" s="551">
        <f>'Sollecitazioni nel paramento'!$G$60*(sezione!$AO$36-C2398)/C2398</f>
        <v>-4.2821095291559902E-4</v>
      </c>
      <c r="O2398" s="551">
        <f>'Sollecitazioni nel paramento'!$G$60*(sezione!$AP$36-C2398)/C2398</f>
        <v>1.1036786466039577E-2</v>
      </c>
      <c r="P2398" s="545">
        <f>-'Sollecitazioni nel paramento'!$G$47*'Sollecitazioni nel paramento'!$G$41*IF(DATI!$G$211="dx",DATI!$E$61,DATI!$E$64*DATI!$E$63)*1000*C2398*sezione!$AD$5</f>
        <v>-6945242.5518117985</v>
      </c>
      <c r="Q2398" s="545">
        <f>'Foglio deposito bis'!$F$88*IF(ABS(K2398)&lt;'Sollecitazioni nel paramento'!$G$58,ABS(K2398)*'Sollecitazioni nel paramento'!$G$54,'Sollecitazioni nel paramento'!$G$53)*IF(K2398&lt;0,-1,1)</f>
        <v>0</v>
      </c>
      <c r="R2398" s="545">
        <f>'Foglio deposito bis'!$F$89*IF(ABS(L2398)&lt;'Sollecitazioni nel paramento'!$G$58,ABS(L2398)*'Sollecitazioni nel paramento'!$G$54,'Sollecitazioni nel paramento'!$G$53)*IF(L2398&lt;0,-1,1)</f>
        <v>-153664.85805602249</v>
      </c>
      <c r="S2398" s="545">
        <f>'Foglio deposito bis'!$F$90*IF(ABS(M2398)&lt;'Sollecitazioni nel paramento'!$G$58,ABS(M2398)*'Sollecitazioni nel paramento'!$G$54,'Sollecitazioni nel paramento'!$G$53)*IF(M2398&lt;0,-1,1)</f>
        <v>0</v>
      </c>
      <c r="T2398" s="545">
        <f>'Foglio deposito bis'!$F$91*IF(ABS(N2398)&lt;'Sollecitazioni nel paramento'!$G$58,ABS(N2398)*'Sollecitazioni nel paramento'!$G$54,'Sollecitazioni nel paramento'!$G$53)*IF(N2398&lt;0,-1,1)</f>
        <v>-201192.36019351296</v>
      </c>
      <c r="U2398" s="545">
        <f>'Foglio deposito bis'!$F$92*IF(ABS(O2398)&lt;'Sollecitazioni nel paramento'!$G$58,ABS(O2398)*'Sollecitazioni nel paramento'!$G$54,'Sollecitazioni nel paramento'!$G$53)*IF(O2398&lt;0,-1,1)</f>
        <v>1662039.1047339395</v>
      </c>
      <c r="V2398" s="472">
        <f t="shared" si="168"/>
        <v>-5638060.6653273953</v>
      </c>
      <c r="W2398" s="551"/>
      <c r="X2398" s="551"/>
    </row>
    <row r="2399" spans="1:24" x14ac:dyDescent="0.25">
      <c r="A2399" s="545">
        <f t="shared" si="167"/>
        <v>5737133.139237537</v>
      </c>
      <c r="B2399" s="3">
        <f t="shared" si="165"/>
        <v>17.099999999999962</v>
      </c>
      <c r="C2399" s="545">
        <f>'Foglio deposito bis'!$E$162/sezione!$B$247*B2399</f>
        <v>184.46163139774438</v>
      </c>
      <c r="D2399" s="603">
        <f>-'Sollecitazioni nel paramento'!$G$47*'Sollecitazioni nel paramento'!$G$41*IF(DATI!$G$211="dx",DATI!$E$61,DATI!$E$64*DATI!$E$63)*1000*C2399^2*sezione!$AD$5*(1-sezione!$AD$6)</f>
        <v>-757034576.16030526</v>
      </c>
      <c r="E2399" s="545">
        <f>-'Foglio deposito bis'!$F$88*(C2399-sezione!$AL$36)*IF(ABS(K2399)&lt;'Sollecitazioni nel paramento'!$G$58,ABS(K2399)*'Sollecitazioni nel paramento'!$G$54,'Sollecitazioni nel paramento'!$G$53)</f>
        <v>0</v>
      </c>
      <c r="F2399" s="545">
        <f>-'Foglio deposito bis'!$F$89*(C2399-sezione!$AM$36)*IF(ABS(L2399)&lt;'Sollecitazioni nel paramento'!$G$58,ABS(L2399)*'Sollecitazioni nel paramento'!$G$54,'Sollecitazioni nel paramento'!$G$53)</f>
        <v>-19125378.922155384</v>
      </c>
      <c r="G2399" s="545">
        <f>-'Foglio deposito bis'!$F$90*(C2399-sezione!$AN$36)*IF(ABS(M2399)&lt;'Sollecitazioni nel paramento'!$G$58,ABS(M2399)*'Sollecitazioni nel paramento'!$G$54,'Sollecitazioni nel paramento'!$G$53)</f>
        <v>0</v>
      </c>
      <c r="H2399" s="545">
        <f>-'Foglio deposito bis'!$F$91*(C2399-sezione!$AO$36)*IF(ABS(N2399)&lt;'Sollecitazioni nel paramento'!$G$58,ABS(N2399)*'Sollecitazioni nel paramento'!$G$54,'Sollecitazioni nel paramento'!$G$53)</f>
        <v>-5334411.9152011899</v>
      </c>
      <c r="I2399" s="472">
        <f>-'Foglio deposito bis'!$F$92*(C2399-sezione!$AP$36)*IF(ABS(O2399)&lt;'Sollecitazioni nel paramento'!$G$58,ABS(O2399)*'Sollecitazioni nel paramento'!$G$54,'Sollecitazioni nel paramento'!$G$53)</f>
        <v>951874158.57700229</v>
      </c>
      <c r="J2399" s="472">
        <f t="shared" si="166"/>
        <v>170379791.57934046</v>
      </c>
      <c r="K2399" s="550">
        <f>'Sollecitazioni nel paramento'!$G$60*(sezione!$AL$36-C2399)/C2399</f>
        <v>-2.7410345775478601E-3</v>
      </c>
      <c r="L2399" s="550">
        <f>'Sollecitazioni nel paramento'!$G$60*(sezione!$AM$36-C2399)/C2399</f>
        <v>-2.3615518663217898E-3</v>
      </c>
      <c r="M2399" s="551">
        <f>'Sollecitazioni nel paramento'!$G$60*(sezione!$AN$36-C2399)/C2399</f>
        <v>-1.9820691550957201E-3</v>
      </c>
      <c r="N2399" s="551">
        <f>'Sollecitazioni nel paramento'!$G$60*(sezione!$AO$36-C2399)/C2399</f>
        <v>-4.6413831019143998E-4</v>
      </c>
      <c r="O2399" s="551">
        <f>'Sollecitazioni nel paramento'!$G$60*(sezione!$AP$36-C2399)/C2399</f>
        <v>1.0866765571699929E-2</v>
      </c>
      <c r="P2399" s="545">
        <f>-'Sollecitazioni nel paramento'!$G$47*'Sollecitazioni nel paramento'!$G$41*IF(DATI!$G$211="dx",DATI!$E$61,DATI!$E$64*DATI!$E$63)*1000*C2399*sezione!$AD$5</f>
        <v>-7027434.7713598656</v>
      </c>
      <c r="Q2399" s="545">
        <f>'Foglio deposito bis'!$F$88*IF(ABS(K2399)&lt;'Sollecitazioni nel paramento'!$G$58,ABS(K2399)*'Sollecitazioni nel paramento'!$G$54,'Sollecitazioni nel paramento'!$G$53)*IF(K2399&lt;0,-1,1)</f>
        <v>0</v>
      </c>
      <c r="R2399" s="545">
        <f>'Foglio deposito bis'!$F$89*IF(ABS(L2399)&lt;'Sollecitazioni nel paramento'!$G$58,ABS(L2399)*'Sollecitazioni nel paramento'!$G$54,'Sollecitazioni nel paramento'!$G$53)*IF(L2399&lt;0,-1,1)</f>
        <v>-153664.85805602249</v>
      </c>
      <c r="S2399" s="545">
        <f>'Foglio deposito bis'!$F$90*IF(ABS(M2399)&lt;'Sollecitazioni nel paramento'!$G$58,ABS(M2399)*'Sollecitazioni nel paramento'!$G$54,'Sollecitazioni nel paramento'!$G$53)*IF(M2399&lt;0,-1,1)</f>
        <v>0</v>
      </c>
      <c r="T2399" s="545">
        <f>'Foglio deposito bis'!$F$91*IF(ABS(N2399)&lt;'Sollecitazioni nel paramento'!$G$58,ABS(N2399)*'Sollecitazioni nel paramento'!$G$54,'Sollecitazioni nel paramento'!$G$53)*IF(N2399&lt;0,-1,1)</f>
        <v>-218072.6145555884</v>
      </c>
      <c r="U2399" s="545">
        <f>'Foglio deposito bis'!$F$92*IF(ABS(O2399)&lt;'Sollecitazioni nel paramento'!$G$58,ABS(O2399)*'Sollecitazioni nel paramento'!$G$54,'Sollecitazioni nel paramento'!$G$53)*IF(O2399&lt;0,-1,1)</f>
        <v>1662039.1047339395</v>
      </c>
      <c r="V2399" s="472">
        <f t="shared" si="168"/>
        <v>-5737133.139237537</v>
      </c>
      <c r="W2399" s="551"/>
      <c r="X2399" s="551"/>
    </row>
    <row r="2400" spans="1:24" x14ac:dyDescent="0.25">
      <c r="A2400" s="545">
        <f t="shared" si="167"/>
        <v>5835815.3182491371</v>
      </c>
      <c r="B2400" s="3">
        <f t="shared" si="165"/>
        <v>17.299999999999962</v>
      </c>
      <c r="C2400" s="545">
        <f>'Foglio deposito bis'!$E$162/sezione!$B$247*B2400</f>
        <v>186.61907737900455</v>
      </c>
      <c r="D2400" s="603">
        <f>-'Sollecitazioni nel paramento'!$G$47*'Sollecitazioni nel paramento'!$G$41*IF(DATI!$G$211="dx",DATI!$E$61,DATI!$E$64*DATI!$E$63)*1000*C2400^2*sezione!$AD$5*(1-sezione!$AD$6)</f>
        <v>-774846545.25843084</v>
      </c>
      <c r="E2400" s="545">
        <f>-'Foglio deposito bis'!$F$88*(C2400-sezione!$AL$36)*IF(ABS(K2400)&lt;'Sollecitazioni nel paramento'!$G$58,ABS(K2400)*'Sollecitazioni nel paramento'!$G$54,'Sollecitazioni nel paramento'!$G$53)</f>
        <v>0</v>
      </c>
      <c r="F2400" s="545">
        <f>-'Foglio deposito bis'!$F$89*(C2400-sezione!$AM$36)*IF(ABS(L2400)&lt;'Sollecitazioni nel paramento'!$G$58,ABS(L2400)*'Sollecitazioni nel paramento'!$G$54,'Sollecitazioni nel paramento'!$G$53)</f>
        <v>-19456902.552629262</v>
      </c>
      <c r="G2400" s="545">
        <f>-'Foglio deposito bis'!$F$90*(C2400-sezione!$AN$36)*IF(ABS(M2400)&lt;'Sollecitazioni nel paramento'!$G$58,ABS(M2400)*'Sollecitazioni nel paramento'!$G$54,'Sollecitazioni nel paramento'!$G$53)</f>
        <v>0</v>
      </c>
      <c r="H2400" s="545">
        <f>-'Foglio deposito bis'!$F$91*(C2400-sezione!$AO$36)*IF(ABS(N2400)&lt;'Sollecitazioni nel paramento'!$G$58,ABS(N2400)*'Sollecitazioni nel paramento'!$G$54,'Sollecitazioni nel paramento'!$G$53)</f>
        <v>-6243839.3080334049</v>
      </c>
      <c r="I2400" s="472">
        <f>-'Foglio deposito bis'!$F$92*(C2400-sezione!$AP$36)*IF(ABS(O2400)&lt;'Sollecitazioni nel paramento'!$G$58,ABS(O2400)*'Sollecitazioni nel paramento'!$G$54,'Sollecitazioni nel paramento'!$G$53)</f>
        <v>948288398.98979688</v>
      </c>
      <c r="J2400" s="472">
        <f t="shared" si="166"/>
        <v>147741111.87070346</v>
      </c>
      <c r="K2400" s="550">
        <f>'Sollecitazioni nel paramento'!$G$60*(sezione!$AL$36-C2400)/C2400</f>
        <v>-2.7498087442814111E-3</v>
      </c>
      <c r="L2400" s="550">
        <f>'Sollecitazioni nel paramento'!$G$60*(sezione!$AM$36-C2400)/C2400</f>
        <v>-2.3747131164221164E-3</v>
      </c>
      <c r="M2400" s="551">
        <f>'Sollecitazioni nel paramento'!$G$60*(sezione!$AN$36-C2400)/C2400</f>
        <v>-1.9996174885628217E-3</v>
      </c>
      <c r="N2400" s="551">
        <f>'Sollecitazioni nel paramento'!$G$60*(sezione!$AO$36-C2400)/C2400</f>
        <v>-4.9923497712564297E-4</v>
      </c>
      <c r="O2400" s="551">
        <f>'Sollecitazioni nel paramento'!$G$60*(sezione!$AP$36-C2400)/C2400</f>
        <v>1.0700675796304555E-2</v>
      </c>
      <c r="P2400" s="545">
        <f>-'Sollecitazioni nel paramento'!$G$47*'Sollecitazioni nel paramento'!$G$41*IF(DATI!$G$211="dx",DATI!$E$61,DATI!$E$64*DATI!$E$63)*1000*C2400*sezione!$AD$5</f>
        <v>-7109626.9909079345</v>
      </c>
      <c r="Q2400" s="545">
        <f>'Foglio deposito bis'!$F$88*IF(ABS(K2400)&lt;'Sollecitazioni nel paramento'!$G$58,ABS(K2400)*'Sollecitazioni nel paramento'!$G$54,'Sollecitazioni nel paramento'!$G$53)*IF(K2400&lt;0,-1,1)</f>
        <v>0</v>
      </c>
      <c r="R2400" s="545">
        <f>'Foglio deposito bis'!$F$89*IF(ABS(L2400)&lt;'Sollecitazioni nel paramento'!$G$58,ABS(L2400)*'Sollecitazioni nel paramento'!$G$54,'Sollecitazioni nel paramento'!$G$53)*IF(L2400&lt;0,-1,1)</f>
        <v>-153664.85805602249</v>
      </c>
      <c r="S2400" s="545">
        <f>'Foglio deposito bis'!$F$90*IF(ABS(M2400)&lt;'Sollecitazioni nel paramento'!$G$58,ABS(M2400)*'Sollecitazioni nel paramento'!$G$54,'Sollecitazioni nel paramento'!$G$53)*IF(M2400&lt;0,-1,1)</f>
        <v>0</v>
      </c>
      <c r="T2400" s="545">
        <f>'Foglio deposito bis'!$F$91*IF(ABS(N2400)&lt;'Sollecitazioni nel paramento'!$G$58,ABS(N2400)*'Sollecitazioni nel paramento'!$G$54,'Sollecitazioni nel paramento'!$G$53)*IF(N2400&lt;0,-1,1)</f>
        <v>-234562.57401911877</v>
      </c>
      <c r="U2400" s="545">
        <f>'Foglio deposito bis'!$F$92*IF(ABS(O2400)&lt;'Sollecitazioni nel paramento'!$G$58,ABS(O2400)*'Sollecitazioni nel paramento'!$G$54,'Sollecitazioni nel paramento'!$G$53)*IF(O2400&lt;0,-1,1)</f>
        <v>1662039.1047339395</v>
      </c>
      <c r="V2400" s="472">
        <f t="shared" si="168"/>
        <v>-5835815.3182491371</v>
      </c>
      <c r="W2400" s="551"/>
      <c r="X2400" s="551"/>
    </row>
    <row r="2401" spans="1:24" x14ac:dyDescent="0.25">
      <c r="A2401" s="545">
        <f t="shared" si="167"/>
        <v>5934120.5839015692</v>
      </c>
      <c r="B2401" s="3">
        <f t="shared" si="165"/>
        <v>17.499999999999961</v>
      </c>
      <c r="C2401" s="545">
        <f>'Foglio deposito bis'!$E$162/sezione!$B$247*B2401</f>
        <v>188.77652336026472</v>
      </c>
      <c r="D2401" s="603">
        <f>-'Sollecitazioni nel paramento'!$G$47*'Sollecitazioni nel paramento'!$G$41*IF(DATI!$G$211="dx",DATI!$E$61,DATI!$E$64*DATI!$E$63)*1000*C2401^2*sezione!$AD$5*(1-sezione!$AD$6)</f>
        <v>-792865630.27630198</v>
      </c>
      <c r="E2401" s="545">
        <f>-'Foglio deposito bis'!$F$88*(C2401-sezione!$AL$36)*IF(ABS(K2401)&lt;'Sollecitazioni nel paramento'!$G$58,ABS(K2401)*'Sollecitazioni nel paramento'!$G$54,'Sollecitazioni nel paramento'!$G$53)</f>
        <v>0</v>
      </c>
      <c r="F2401" s="545">
        <f>-'Foglio deposito bis'!$F$89*(C2401-sezione!$AM$36)*IF(ABS(L2401)&lt;'Sollecitazioni nel paramento'!$G$58,ABS(L2401)*'Sollecitazioni nel paramento'!$G$54,'Sollecitazioni nel paramento'!$G$53)</f>
        <v>-19788426.183103144</v>
      </c>
      <c r="G2401" s="545">
        <f>-'Foglio deposito bis'!$F$90*(C2401-sezione!$AN$36)*IF(ABS(M2401)&lt;'Sollecitazioni nel paramento'!$G$58,ABS(M2401)*'Sollecitazioni nel paramento'!$G$54,'Sollecitazioni nel paramento'!$G$53)</f>
        <v>0</v>
      </c>
      <c r="H2401" s="545">
        <f>-'Foglio deposito bis'!$F$91*(C2401-sezione!$AO$36)*IF(ABS(N2401)&lt;'Sollecitazioni nel paramento'!$G$58,ABS(N2401)*'Sollecitazioni nel paramento'!$G$54,'Sollecitazioni nel paramento'!$G$53)</f>
        <v>-7213572.8383322442</v>
      </c>
      <c r="I2401" s="472">
        <f>-'Foglio deposito bis'!$F$92*(C2401-sezione!$AP$36)*IF(ABS(O2401)&lt;'Sollecitazioni nel paramento'!$G$58,ABS(O2401)*'Sollecitazioni nel paramento'!$G$54,'Sollecitazioni nel paramento'!$G$53)</f>
        <v>944702639.40259147</v>
      </c>
      <c r="J2401" s="472">
        <f t="shared" si="166"/>
        <v>124835010.10485399</v>
      </c>
      <c r="K2401" s="550">
        <f>'Sollecitazioni nel paramento'!$G$60*(sezione!$AL$36-C2401)/C2401</f>
        <v>-2.7583823586324807E-3</v>
      </c>
      <c r="L2401" s="550">
        <f>'Sollecitazioni nel paramento'!$G$60*(sezione!$AM$36-C2401)/C2401</f>
        <v>-2.3875735379487203E-3</v>
      </c>
      <c r="M2401" s="551">
        <f>'Sollecitazioni nel paramento'!$G$60*(sezione!$AN$36-C2401)/C2401</f>
        <v>-2.0167647172649609E-3</v>
      </c>
      <c r="N2401" s="551">
        <f>'Sollecitazioni nel paramento'!$G$60*(sezione!$AO$36-C2401)/C2401</f>
        <v>-5.335294345299213E-4</v>
      </c>
      <c r="O2401" s="551">
        <f>'Sollecitazioni nel paramento'!$G$60*(sezione!$AP$36-C2401)/C2401</f>
        <v>1.0538382358632505E-2</v>
      </c>
      <c r="P2401" s="545">
        <f>-'Sollecitazioni nel paramento'!$G$47*'Sollecitazioni nel paramento'!$G$41*IF(DATI!$G$211="dx",DATI!$E$61,DATI!$E$64*DATI!$E$63)*1000*C2401*sezione!$AD$5</f>
        <v>-7191819.2104560034</v>
      </c>
      <c r="Q2401" s="545">
        <f>'Foglio deposito bis'!$F$88*IF(ABS(K2401)&lt;'Sollecitazioni nel paramento'!$G$58,ABS(K2401)*'Sollecitazioni nel paramento'!$G$54,'Sollecitazioni nel paramento'!$G$53)*IF(K2401&lt;0,-1,1)</f>
        <v>0</v>
      </c>
      <c r="R2401" s="545">
        <f>'Foglio deposito bis'!$F$89*IF(ABS(L2401)&lt;'Sollecitazioni nel paramento'!$G$58,ABS(L2401)*'Sollecitazioni nel paramento'!$G$54,'Sollecitazioni nel paramento'!$G$53)*IF(L2401&lt;0,-1,1)</f>
        <v>-153664.85805602249</v>
      </c>
      <c r="S2401" s="545">
        <f>'Foglio deposito bis'!$F$90*IF(ABS(M2401)&lt;'Sollecitazioni nel paramento'!$G$58,ABS(M2401)*'Sollecitazioni nel paramento'!$G$54,'Sollecitazioni nel paramento'!$G$53)*IF(M2401&lt;0,-1,1)</f>
        <v>0</v>
      </c>
      <c r="T2401" s="545">
        <f>'Foglio deposito bis'!$F$91*IF(ABS(N2401)&lt;'Sollecitazioni nel paramento'!$G$58,ABS(N2401)*'Sollecitazioni nel paramento'!$G$54,'Sollecitazioni nel paramento'!$G$53)*IF(N2401&lt;0,-1,1)</f>
        <v>-250675.62012348269</v>
      </c>
      <c r="U2401" s="545">
        <f>'Foglio deposito bis'!$F$92*IF(ABS(O2401)&lt;'Sollecitazioni nel paramento'!$G$58,ABS(O2401)*'Sollecitazioni nel paramento'!$G$54,'Sollecitazioni nel paramento'!$G$53)*IF(O2401&lt;0,-1,1)</f>
        <v>1662039.1047339395</v>
      </c>
      <c r="V2401" s="472">
        <f t="shared" si="168"/>
        <v>-5934120.5839015692</v>
      </c>
      <c r="W2401" s="551"/>
      <c r="X2401" s="551"/>
    </row>
    <row r="2402" spans="1:24" x14ac:dyDescent="0.25">
      <c r="A2402" s="545">
        <f t="shared" si="167"/>
        <v>6032061.7129188757</v>
      </c>
      <c r="B2402" s="3">
        <f t="shared" si="165"/>
        <v>17.69999999999996</v>
      </c>
      <c r="C2402" s="545">
        <f>'Foglio deposito bis'!$E$162/sezione!$B$247*B2402</f>
        <v>190.93396934152489</v>
      </c>
      <c r="D2402" s="603">
        <f>-'Sollecitazioni nel paramento'!$G$47*'Sollecitazioni nel paramento'!$G$41*IF(DATI!$G$211="dx",DATI!$E$61,DATI!$E$64*DATI!$E$63)*1000*C2402^2*sezione!$AD$5*(1-sezione!$AD$6)</f>
        <v>-811091831.21391881</v>
      </c>
      <c r="E2402" s="545">
        <f>-'Foglio deposito bis'!$F$88*(C2402-sezione!$AL$36)*IF(ABS(K2402)&lt;'Sollecitazioni nel paramento'!$G$58,ABS(K2402)*'Sollecitazioni nel paramento'!$G$54,'Sollecitazioni nel paramento'!$G$53)</f>
        <v>0</v>
      </c>
      <c r="F2402" s="545">
        <f>-'Foglio deposito bis'!$F$89*(C2402-sezione!$AM$36)*IF(ABS(L2402)&lt;'Sollecitazioni nel paramento'!$G$58,ABS(L2402)*'Sollecitazioni nel paramento'!$G$54,'Sollecitazioni nel paramento'!$G$53)</f>
        <v>-20119949.813577022</v>
      </c>
      <c r="G2402" s="545">
        <f>-'Foglio deposito bis'!$F$90*(C2402-sezione!$AN$36)*IF(ABS(M2402)&lt;'Sollecitazioni nel paramento'!$G$58,ABS(M2402)*'Sollecitazioni nel paramento'!$G$54,'Sollecitazioni nel paramento'!$G$53)</f>
        <v>0</v>
      </c>
      <c r="H2402" s="545">
        <f>-'Foglio deposito bis'!$F$91*(C2402-sezione!$AO$36)*IF(ABS(N2402)&lt;'Sollecitazioni nel paramento'!$G$58,ABS(N2402)*'Sollecitazioni nel paramento'!$G$54,'Sollecitazioni nel paramento'!$G$53)</f>
        <v>-8241568.2302513821</v>
      </c>
      <c r="I2402" s="472">
        <f>-'Foglio deposito bis'!$F$92*(C2402-sezione!$AP$36)*IF(ABS(O2402)&lt;'Sollecitazioni nel paramento'!$G$58,ABS(O2402)*'Sollecitazioni nel paramento'!$G$54,'Sollecitazioni nel paramento'!$G$53)</f>
        <v>941116879.81538606</v>
      </c>
      <c r="J2402" s="472">
        <f t="shared" si="166"/>
        <v>101663530.55763876</v>
      </c>
      <c r="K2402" s="550">
        <f>'Sollecitazioni nel paramento'!$G$60*(sezione!$AL$36-C2402)/C2402</f>
        <v>-2.7667622189869157E-3</v>
      </c>
      <c r="L2402" s="550">
        <f>'Sollecitazioni nel paramento'!$G$60*(sezione!$AM$36-C2402)/C2402</f>
        <v>-2.4001433284803735E-3</v>
      </c>
      <c r="M2402" s="551">
        <f>'Sollecitazioni nel paramento'!$G$60*(sezione!$AN$36-C2402)/C2402</f>
        <v>-2.0335244379738313E-3</v>
      </c>
      <c r="N2402" s="551">
        <f>'Sollecitazioni nel paramento'!$G$60*(sezione!$AO$36-C2402)/C2402</f>
        <v>-5.6704887594766229E-4</v>
      </c>
      <c r="O2402" s="551">
        <f>'Sollecitazioni nel paramento'!$G$60*(sezione!$AP$36-C2402)/C2402</f>
        <v>1.0379756569269427E-2</v>
      </c>
      <c r="P2402" s="545">
        <f>-'Sollecitazioni nel paramento'!$G$47*'Sollecitazioni nel paramento'!$G$41*IF(DATI!$G$211="dx",DATI!$E$61,DATI!$E$64*DATI!$E$63)*1000*C2402*sezione!$AD$5</f>
        <v>-7274011.4300040724</v>
      </c>
      <c r="Q2402" s="545">
        <f>'Foglio deposito bis'!$F$88*IF(ABS(K2402)&lt;'Sollecitazioni nel paramento'!$G$58,ABS(K2402)*'Sollecitazioni nel paramento'!$G$54,'Sollecitazioni nel paramento'!$G$53)*IF(K2402&lt;0,-1,1)</f>
        <v>0</v>
      </c>
      <c r="R2402" s="545">
        <f>'Foglio deposito bis'!$F$89*IF(ABS(L2402)&lt;'Sollecitazioni nel paramento'!$G$58,ABS(L2402)*'Sollecitazioni nel paramento'!$G$54,'Sollecitazioni nel paramento'!$G$53)*IF(L2402&lt;0,-1,1)</f>
        <v>-153664.85805602249</v>
      </c>
      <c r="S2402" s="545">
        <f>'Foglio deposito bis'!$F$90*IF(ABS(M2402)&lt;'Sollecitazioni nel paramento'!$G$58,ABS(M2402)*'Sollecitazioni nel paramento'!$G$54,'Sollecitazioni nel paramento'!$G$53)*IF(M2402&lt;0,-1,1)</f>
        <v>0</v>
      </c>
      <c r="T2402" s="545">
        <f>'Foglio deposito bis'!$F$91*IF(ABS(N2402)&lt;'Sollecitazioni nel paramento'!$G$58,ABS(N2402)*'Sollecitazioni nel paramento'!$G$54,'Sollecitazioni nel paramento'!$G$53)*IF(N2402&lt;0,-1,1)</f>
        <v>-266424.52959271974</v>
      </c>
      <c r="U2402" s="545">
        <f>'Foglio deposito bis'!$F$92*IF(ABS(O2402)&lt;'Sollecitazioni nel paramento'!$G$58,ABS(O2402)*'Sollecitazioni nel paramento'!$G$54,'Sollecitazioni nel paramento'!$G$53)*IF(O2402&lt;0,-1,1)</f>
        <v>1662039.1047339395</v>
      </c>
      <c r="V2402" s="472">
        <f t="shared" si="168"/>
        <v>-6032061.7129188757</v>
      </c>
      <c r="W2402" s="551"/>
      <c r="X2402" s="551"/>
    </row>
    <row r="2403" spans="1:24" x14ac:dyDescent="0.25">
      <c r="A2403" s="545">
        <f t="shared" si="167"/>
        <v>6129650.9109983211</v>
      </c>
      <c r="B2403" s="3">
        <f t="shared" si="165"/>
        <v>17.899999999999959</v>
      </c>
      <c r="C2403" s="545">
        <f>'Foglio deposito bis'!$E$162/sezione!$B$247*B2403</f>
        <v>193.09141532278505</v>
      </c>
      <c r="D2403" s="603">
        <f>-'Sollecitazioni nel paramento'!$G$47*'Sollecitazioni nel paramento'!$G$41*IF(DATI!$G$211="dx",DATI!$E$61,DATI!$E$64*DATI!$E$63)*1000*C2403^2*sezione!$AD$5*(1-sezione!$AD$6)</f>
        <v>-829525148.07128131</v>
      </c>
      <c r="E2403" s="545">
        <f>-'Foglio deposito bis'!$F$88*(C2403-sezione!$AL$36)*IF(ABS(K2403)&lt;'Sollecitazioni nel paramento'!$G$58,ABS(K2403)*'Sollecitazioni nel paramento'!$G$54,'Sollecitazioni nel paramento'!$G$53)</f>
        <v>0</v>
      </c>
      <c r="F2403" s="545">
        <f>-'Foglio deposito bis'!$F$89*(C2403-sezione!$AM$36)*IF(ABS(L2403)&lt;'Sollecitazioni nel paramento'!$G$58,ABS(L2403)*'Sollecitazioni nel paramento'!$G$54,'Sollecitazioni nel paramento'!$G$53)</f>
        <v>-20451473.444050901</v>
      </c>
      <c r="G2403" s="545">
        <f>-'Foglio deposito bis'!$F$90*(C2403-sezione!$AN$36)*IF(ABS(M2403)&lt;'Sollecitazioni nel paramento'!$G$58,ABS(M2403)*'Sollecitazioni nel paramento'!$G$54,'Sollecitazioni nel paramento'!$G$53)</f>
        <v>0</v>
      </c>
      <c r="H2403" s="545">
        <f>-'Foglio deposito bis'!$F$91*(C2403-sezione!$AO$36)*IF(ABS(N2403)&lt;'Sollecitazioni nel paramento'!$G$58,ABS(N2403)*'Sollecitazioni nel paramento'!$G$54,'Sollecitazioni nel paramento'!$G$53)</f>
        <v>-9325872.5722281281</v>
      </c>
      <c r="I2403" s="472">
        <f>-'Foglio deposito bis'!$F$92*(C2403-sezione!$AP$36)*IF(ABS(O2403)&lt;'Sollecitazioni nel paramento'!$G$58,ABS(O2403)*'Sollecitazioni nel paramento'!$G$54,'Sollecitazioni nel paramento'!$G$53)</f>
        <v>937531120.22818065</v>
      </c>
      <c r="J2403" s="472">
        <f t="shared" si="166"/>
        <v>78228626.140620351</v>
      </c>
      <c r="K2403" s="550">
        <f>'Sollecitazioni nel paramento'!$G$60*(sezione!$AL$36-C2403)/C2403</f>
        <v>-2.7749548198920896E-3</v>
      </c>
      <c r="L2403" s="550">
        <f>'Sollecitazioni nel paramento'!$G$60*(sezione!$AM$36-C2403)/C2403</f>
        <v>-2.4124322298381346E-3</v>
      </c>
      <c r="M2403" s="551">
        <f>'Sollecitazioni nel paramento'!$G$60*(sezione!$AN$36-C2403)/C2403</f>
        <v>-2.0499096397841796E-3</v>
      </c>
      <c r="N2403" s="551">
        <f>'Sollecitazioni nel paramento'!$G$60*(sezione!$AO$36-C2403)/C2403</f>
        <v>-5.9981927956835883E-4</v>
      </c>
      <c r="O2403" s="551">
        <f>'Sollecitazioni nel paramento'!$G$60*(sezione!$AP$36-C2403)/C2403</f>
        <v>1.0224675490283176E-2</v>
      </c>
      <c r="P2403" s="545">
        <f>-'Sollecitazioni nel paramento'!$G$47*'Sollecitazioni nel paramento'!$G$41*IF(DATI!$G$211="dx",DATI!$E$61,DATI!$E$64*DATI!$E$63)*1000*C2403*sezione!$AD$5</f>
        <v>-7356203.6495521404</v>
      </c>
      <c r="Q2403" s="545">
        <f>'Foglio deposito bis'!$F$88*IF(ABS(K2403)&lt;'Sollecitazioni nel paramento'!$G$58,ABS(K2403)*'Sollecitazioni nel paramento'!$G$54,'Sollecitazioni nel paramento'!$G$53)*IF(K2403&lt;0,-1,1)</f>
        <v>0</v>
      </c>
      <c r="R2403" s="545">
        <f>'Foglio deposito bis'!$F$89*IF(ABS(L2403)&lt;'Sollecitazioni nel paramento'!$G$58,ABS(L2403)*'Sollecitazioni nel paramento'!$G$54,'Sollecitazioni nel paramento'!$G$53)*IF(L2403&lt;0,-1,1)</f>
        <v>-153664.85805602249</v>
      </c>
      <c r="S2403" s="545">
        <f>'Foglio deposito bis'!$F$90*IF(ABS(M2403)&lt;'Sollecitazioni nel paramento'!$G$58,ABS(M2403)*'Sollecitazioni nel paramento'!$G$54,'Sollecitazioni nel paramento'!$G$53)*IF(M2403&lt;0,-1,1)</f>
        <v>0</v>
      </c>
      <c r="T2403" s="545">
        <f>'Foglio deposito bis'!$F$91*IF(ABS(N2403)&lt;'Sollecitazioni nel paramento'!$G$58,ABS(N2403)*'Sollecitazioni nel paramento'!$G$54,'Sollecitazioni nel paramento'!$G$53)*IF(N2403&lt;0,-1,1)</f>
        <v>-281821.50812409678</v>
      </c>
      <c r="U2403" s="545">
        <f>'Foglio deposito bis'!$F$92*IF(ABS(O2403)&lt;'Sollecitazioni nel paramento'!$G$58,ABS(O2403)*'Sollecitazioni nel paramento'!$G$54,'Sollecitazioni nel paramento'!$G$53)*IF(O2403&lt;0,-1,1)</f>
        <v>1662039.1047339395</v>
      </c>
      <c r="V2403" s="472">
        <f t="shared" si="168"/>
        <v>-6129650.9109983211</v>
      </c>
      <c r="W2403" s="551"/>
      <c r="X2403" s="551"/>
    </row>
    <row r="2404" spans="1:24" x14ac:dyDescent="0.25">
      <c r="A2404" s="545">
        <f t="shared" si="167"/>
        <v>6226899.844358841</v>
      </c>
      <c r="B2404" s="3">
        <f t="shared" si="165"/>
        <v>18.099999999999959</v>
      </c>
      <c r="C2404" s="545">
        <f>'Foglio deposito bis'!$E$162/sezione!$B$247*B2404</f>
        <v>195.24886130404522</v>
      </c>
      <c r="D2404" s="603">
        <f>-'Sollecitazioni nel paramento'!$G$47*'Sollecitazioni nel paramento'!$G$41*IF(DATI!$G$211="dx",DATI!$E$61,DATI!$E$64*DATI!$E$63)*1000*C2404^2*sezione!$AD$5*(1-sezione!$AD$6)</f>
        <v>-848165580.84838951</v>
      </c>
      <c r="E2404" s="545">
        <f>-'Foglio deposito bis'!$F$88*(C2404-sezione!$AL$36)*IF(ABS(K2404)&lt;'Sollecitazioni nel paramento'!$G$58,ABS(K2404)*'Sollecitazioni nel paramento'!$G$54,'Sollecitazioni nel paramento'!$G$53)</f>
        <v>0</v>
      </c>
      <c r="F2404" s="545">
        <f>-'Foglio deposito bis'!$F$89*(C2404-sezione!$AM$36)*IF(ABS(L2404)&lt;'Sollecitazioni nel paramento'!$G$58,ABS(L2404)*'Sollecitazioni nel paramento'!$G$54,'Sollecitazioni nel paramento'!$G$53)</f>
        <v>-20782997.074524783</v>
      </c>
      <c r="G2404" s="545">
        <f>-'Foglio deposito bis'!$F$90*(C2404-sezione!$AN$36)*IF(ABS(M2404)&lt;'Sollecitazioni nel paramento'!$G$58,ABS(M2404)*'Sollecitazioni nel paramento'!$G$54,'Sollecitazioni nel paramento'!$G$53)</f>
        <v>0</v>
      </c>
      <c r="H2404" s="545">
        <f>-'Foglio deposito bis'!$F$91*(C2404-sezione!$AO$36)*IF(ABS(N2404)&lt;'Sollecitazioni nel paramento'!$G$58,ABS(N2404)*'Sollecitazioni nel paramento'!$G$54,'Sollecitazioni nel paramento'!$G$53)</f>
        <v>-10464619.269232947</v>
      </c>
      <c r="I2404" s="472">
        <f>-'Foglio deposito bis'!$F$92*(C2404-sezione!$AP$36)*IF(ABS(O2404)&lt;'Sollecitazioni nel paramento'!$G$58,ABS(O2404)*'Sollecitazioni nel paramento'!$G$54,'Sollecitazioni nel paramento'!$G$53)</f>
        <v>933945360.640975</v>
      </c>
      <c r="J2404" s="472">
        <f t="shared" si="166"/>
        <v>54532163.448827744</v>
      </c>
      <c r="K2404" s="550">
        <f>'Sollecitazioni nel paramento'!$G$60*(sezione!$AL$36-C2404)/C2404</f>
        <v>-2.7829663688435581E-3</v>
      </c>
      <c r="L2404" s="550">
        <f>'Sollecitazioni nel paramento'!$G$60*(sezione!$AM$36-C2404)/C2404</f>
        <v>-2.4244495532653376E-3</v>
      </c>
      <c r="M2404" s="551">
        <f>'Sollecitazioni nel paramento'!$G$60*(sezione!$AN$36-C2404)/C2404</f>
        <v>-2.0659327376871166E-3</v>
      </c>
      <c r="N2404" s="551">
        <f>'Sollecitazioni nel paramento'!$G$60*(sezione!$AO$36-C2404)/C2404</f>
        <v>-6.3186547537423326E-4</v>
      </c>
      <c r="O2404" s="551">
        <f>'Sollecitazioni nel paramento'!$G$60*(sezione!$AP$36-C2404)/C2404</f>
        <v>1.0073021617462366E-2</v>
      </c>
      <c r="P2404" s="545">
        <f>-'Sollecitazioni nel paramento'!$G$47*'Sollecitazioni nel paramento'!$G$41*IF(DATI!$G$211="dx",DATI!$E$61,DATI!$E$64*DATI!$E$63)*1000*C2404*sezione!$AD$5</f>
        <v>-7438395.8691002093</v>
      </c>
      <c r="Q2404" s="545">
        <f>'Foglio deposito bis'!$F$88*IF(ABS(K2404)&lt;'Sollecitazioni nel paramento'!$G$58,ABS(K2404)*'Sollecitazioni nel paramento'!$G$54,'Sollecitazioni nel paramento'!$G$53)*IF(K2404&lt;0,-1,1)</f>
        <v>0</v>
      </c>
      <c r="R2404" s="545">
        <f>'Foglio deposito bis'!$F$89*IF(ABS(L2404)&lt;'Sollecitazioni nel paramento'!$G$58,ABS(L2404)*'Sollecitazioni nel paramento'!$G$54,'Sollecitazioni nel paramento'!$G$53)*IF(L2404&lt;0,-1,1)</f>
        <v>-153664.85805602249</v>
      </c>
      <c r="S2404" s="545">
        <f>'Foglio deposito bis'!$F$90*IF(ABS(M2404)&lt;'Sollecitazioni nel paramento'!$G$58,ABS(M2404)*'Sollecitazioni nel paramento'!$G$54,'Sollecitazioni nel paramento'!$G$53)*IF(M2404&lt;0,-1,1)</f>
        <v>0</v>
      </c>
      <c r="T2404" s="545">
        <f>'Foglio deposito bis'!$F$91*IF(ABS(N2404)&lt;'Sollecitazioni nel paramento'!$G$58,ABS(N2404)*'Sollecitazioni nel paramento'!$G$54,'Sollecitazioni nel paramento'!$G$53)*IF(N2404&lt;0,-1,1)</f>
        <v>-296878.2219365483</v>
      </c>
      <c r="U2404" s="545">
        <f>'Foglio deposito bis'!$F$92*IF(ABS(O2404)&lt;'Sollecitazioni nel paramento'!$G$58,ABS(O2404)*'Sollecitazioni nel paramento'!$G$54,'Sollecitazioni nel paramento'!$G$53)*IF(O2404&lt;0,-1,1)</f>
        <v>1662039.1047339395</v>
      </c>
      <c r="V2404" s="472">
        <f t="shared" si="168"/>
        <v>-6226899.844358841</v>
      </c>
      <c r="W2404" s="551"/>
      <c r="X2404" s="551"/>
    </row>
    <row r="2405" spans="1:24" x14ac:dyDescent="0.25">
      <c r="A2405" s="545">
        <f t="shared" si="167"/>
        <v>6323819.6692207288</v>
      </c>
      <c r="B2405" s="3">
        <f t="shared" ref="B2405:B2428" si="169">B2404+0.2</f>
        <v>18.299999999999958</v>
      </c>
      <c r="C2405" s="545">
        <f>'Foglio deposito bis'!$E$162/sezione!$B$247*B2405</f>
        <v>197.40630728530539</v>
      </c>
      <c r="D2405" s="603">
        <f>-'Sollecitazioni nel paramento'!$G$47*'Sollecitazioni nel paramento'!$G$41*IF(DATI!$G$211="dx",DATI!$E$61,DATI!$E$64*DATI!$E$63)*1000*C2405^2*sezione!$AD$5*(1-sezione!$AD$6)</f>
        <v>-867013129.54524338</v>
      </c>
      <c r="E2405" s="545">
        <f>-'Foglio deposito bis'!$F$88*(C2405-sezione!$AL$36)*IF(ABS(K2405)&lt;'Sollecitazioni nel paramento'!$G$58,ABS(K2405)*'Sollecitazioni nel paramento'!$G$54,'Sollecitazioni nel paramento'!$G$53)</f>
        <v>0</v>
      </c>
      <c r="F2405" s="545">
        <f>-'Foglio deposito bis'!$F$89*(C2405-sezione!$AM$36)*IF(ABS(L2405)&lt;'Sollecitazioni nel paramento'!$G$58,ABS(L2405)*'Sollecitazioni nel paramento'!$G$54,'Sollecitazioni nel paramento'!$G$53)</f>
        <v>-21114520.704998661</v>
      </c>
      <c r="G2405" s="545">
        <f>-'Foglio deposito bis'!$F$90*(C2405-sezione!$AN$36)*IF(ABS(M2405)&lt;'Sollecitazioni nel paramento'!$G$58,ABS(M2405)*'Sollecitazioni nel paramento'!$G$54,'Sollecitazioni nel paramento'!$G$53)</f>
        <v>0</v>
      </c>
      <c r="H2405" s="545">
        <f>-'Foglio deposito bis'!$F$91*(C2405-sezione!$AO$36)*IF(ABS(N2405)&lt;'Sollecitazioni nel paramento'!$G$58,ABS(N2405)*'Sollecitazioni nel paramento'!$G$54,'Sollecitazioni nel paramento'!$G$53)</f>
        <v>-11656023.326019019</v>
      </c>
      <c r="I2405" s="472">
        <f>-'Foglio deposito bis'!$F$92*(C2405-sezione!$AP$36)*IF(ABS(O2405)&lt;'Sollecitazioni nel paramento'!$G$58,ABS(O2405)*'Sollecitazioni nel paramento'!$G$54,'Sollecitazioni nel paramento'!$G$53)</f>
        <v>930359601.05376959</v>
      </c>
      <c r="J2405" s="472">
        <f t="shared" si="166"/>
        <v>30575927.477508545</v>
      </c>
      <c r="K2405" s="550">
        <f>'Sollecitazioni nel paramento'!$G$60*(sezione!$AL$36-C2405)/C2405</f>
        <v>-2.7908028019709512E-3</v>
      </c>
      <c r="L2405" s="550">
        <f>'Sollecitazioni nel paramento'!$G$60*(sezione!$AM$36-C2405)/C2405</f>
        <v>-2.4362042029564268E-3</v>
      </c>
      <c r="M2405" s="551">
        <f>'Sollecitazioni nel paramento'!$G$60*(sezione!$AN$36-C2405)/C2405</f>
        <v>-2.0816056039419024E-3</v>
      </c>
      <c r="N2405" s="551">
        <f>'Sollecitazioni nel paramento'!$G$60*(sezione!$AO$36-C2405)/C2405</f>
        <v>-6.6321120788380449E-4</v>
      </c>
      <c r="O2405" s="551">
        <f>'Sollecitazioni nel paramento'!$G$60*(sezione!$AP$36-C2405)/C2405</f>
        <v>9.9246825833917401E-3</v>
      </c>
      <c r="P2405" s="545">
        <f>-'Sollecitazioni nel paramento'!$G$47*'Sollecitazioni nel paramento'!$G$41*IF(DATI!$G$211="dx",DATI!$E$61,DATI!$E$64*DATI!$E$63)*1000*C2405*sezione!$AD$5</f>
        <v>-7520588.0886482783</v>
      </c>
      <c r="Q2405" s="545">
        <f>'Foglio deposito bis'!$F$88*IF(ABS(K2405)&lt;'Sollecitazioni nel paramento'!$G$58,ABS(K2405)*'Sollecitazioni nel paramento'!$G$54,'Sollecitazioni nel paramento'!$G$53)*IF(K2405&lt;0,-1,1)</f>
        <v>0</v>
      </c>
      <c r="R2405" s="545">
        <f>'Foglio deposito bis'!$F$89*IF(ABS(L2405)&lt;'Sollecitazioni nel paramento'!$G$58,ABS(L2405)*'Sollecitazioni nel paramento'!$G$54,'Sollecitazioni nel paramento'!$G$53)*IF(L2405&lt;0,-1,1)</f>
        <v>-153664.85805602249</v>
      </c>
      <c r="S2405" s="545">
        <f>'Foglio deposito bis'!$F$90*IF(ABS(M2405)&lt;'Sollecitazioni nel paramento'!$G$58,ABS(M2405)*'Sollecitazioni nel paramento'!$G$54,'Sollecitazioni nel paramento'!$G$53)*IF(M2405&lt;0,-1,1)</f>
        <v>0</v>
      </c>
      <c r="T2405" s="545">
        <f>'Foglio deposito bis'!$F$91*IF(ABS(N2405)&lt;'Sollecitazioni nel paramento'!$G$58,ABS(N2405)*'Sollecitazioni nel paramento'!$G$54,'Sollecitazioni nel paramento'!$G$53)*IF(N2405&lt;0,-1,1)</f>
        <v>-311605.82725036709</v>
      </c>
      <c r="U2405" s="545">
        <f>'Foglio deposito bis'!$F$92*IF(ABS(O2405)&lt;'Sollecitazioni nel paramento'!$G$58,ABS(O2405)*'Sollecitazioni nel paramento'!$G$54,'Sollecitazioni nel paramento'!$G$53)*IF(O2405&lt;0,-1,1)</f>
        <v>1662039.1047339395</v>
      </c>
      <c r="V2405" s="472">
        <f t="shared" si="168"/>
        <v>-6323819.6692207288</v>
      </c>
      <c r="W2405" s="551"/>
      <c r="X2405" s="551"/>
    </row>
    <row r="2406" spans="1:24" x14ac:dyDescent="0.25">
      <c r="A2406" s="545">
        <f t="shared" si="167"/>
        <v>6420421.0593731282</v>
      </c>
      <c r="B2406" s="3">
        <f t="shared" si="169"/>
        <v>18.499999999999957</v>
      </c>
      <c r="C2406" s="545">
        <f>'Foglio deposito bis'!$E$162/sezione!$B$247*B2406</f>
        <v>199.56375326656556</v>
      </c>
      <c r="D2406" s="603">
        <f>-'Sollecitazioni nel paramento'!$G$47*'Sollecitazioni nel paramento'!$G$41*IF(DATI!$G$211="dx",DATI!$E$61,DATI!$E$64*DATI!$E$63)*1000*C2406^2*sezione!$AD$5*(1-sezione!$AD$6)</f>
        <v>-886067794.16184258</v>
      </c>
      <c r="E2406" s="545">
        <f>-'Foglio deposito bis'!$F$88*(C2406-sezione!$AL$36)*IF(ABS(K2406)&lt;'Sollecitazioni nel paramento'!$G$58,ABS(K2406)*'Sollecitazioni nel paramento'!$G$54,'Sollecitazioni nel paramento'!$G$53)</f>
        <v>0</v>
      </c>
      <c r="F2406" s="545">
        <f>-'Foglio deposito bis'!$F$89*(C2406-sezione!$AM$36)*IF(ABS(L2406)&lt;'Sollecitazioni nel paramento'!$G$58,ABS(L2406)*'Sollecitazioni nel paramento'!$G$54,'Sollecitazioni nel paramento'!$G$53)</f>
        <v>-21446044.335472543</v>
      </c>
      <c r="G2406" s="545">
        <f>-'Foglio deposito bis'!$F$90*(C2406-sezione!$AN$36)*IF(ABS(M2406)&lt;'Sollecitazioni nel paramento'!$G$58,ABS(M2406)*'Sollecitazioni nel paramento'!$G$54,'Sollecitazioni nel paramento'!$G$53)</f>
        <v>0</v>
      </c>
      <c r="H2406" s="545">
        <f>-'Foglio deposito bis'!$F$91*(C2406-sezione!$AO$36)*IF(ABS(N2406)&lt;'Sollecitazioni nel paramento'!$G$58,ABS(N2406)*'Sollecitazioni nel paramento'!$G$54,'Sollecitazioni nel paramento'!$G$53)</f>
        <v>-12898376.936323162</v>
      </c>
      <c r="I2406" s="472">
        <f>-'Foglio deposito bis'!$F$92*(C2406-sezione!$AP$36)*IF(ABS(O2406)&lt;'Sollecitazioni nel paramento'!$G$58,ABS(O2406)*'Sollecitazioni nel paramento'!$G$54,'Sollecitazioni nel paramento'!$G$53)</f>
        <v>926773841.46656418</v>
      </c>
      <c r="J2406" s="472">
        <f t="shared" si="166"/>
        <v>6361626.0329258442</v>
      </c>
      <c r="K2406" s="550">
        <f>'Sollecitazioni nel paramento'!$G$60*(sezione!$AL$36-C2406)/C2406</f>
        <v>-2.7984697987064005E-3</v>
      </c>
      <c r="L2406" s="550">
        <f>'Sollecitazioni nel paramento'!$G$60*(sezione!$AM$36-C2406)/C2406</f>
        <v>-2.4477046980596003E-3</v>
      </c>
      <c r="M2406" s="551">
        <f>'Sollecitazioni nel paramento'!$G$60*(sezione!$AN$36-C2406)/C2406</f>
        <v>-2.0969395974128006E-3</v>
      </c>
      <c r="N2406" s="551">
        <f>'Sollecitazioni nel paramento'!$G$60*(sezione!$AO$36-C2406)/C2406</f>
        <v>-6.9387919482560118E-4</v>
      </c>
      <c r="O2406" s="551">
        <f>'Sollecitazioni nel paramento'!$G$60*(sezione!$AP$36-C2406)/C2406</f>
        <v>9.7795508797875047E-3</v>
      </c>
      <c r="P2406" s="545">
        <f>-'Sollecitazioni nel paramento'!$G$47*'Sollecitazioni nel paramento'!$G$41*IF(DATI!$G$211="dx",DATI!$E$61,DATI!$E$64*DATI!$E$63)*1000*C2406*sezione!$AD$5</f>
        <v>-7602780.3081963472</v>
      </c>
      <c r="Q2406" s="545">
        <f>'Foglio deposito bis'!$F$88*IF(ABS(K2406)&lt;'Sollecitazioni nel paramento'!$G$58,ABS(K2406)*'Sollecitazioni nel paramento'!$G$54,'Sollecitazioni nel paramento'!$G$53)*IF(K2406&lt;0,-1,1)</f>
        <v>0</v>
      </c>
      <c r="R2406" s="545">
        <f>'Foglio deposito bis'!$F$89*IF(ABS(L2406)&lt;'Sollecitazioni nel paramento'!$G$58,ABS(L2406)*'Sollecitazioni nel paramento'!$G$54,'Sollecitazioni nel paramento'!$G$53)*IF(L2406&lt;0,-1,1)</f>
        <v>-153664.85805602249</v>
      </c>
      <c r="S2406" s="545">
        <f>'Foglio deposito bis'!$F$90*IF(ABS(M2406)&lt;'Sollecitazioni nel paramento'!$G$58,ABS(M2406)*'Sollecitazioni nel paramento'!$G$54,'Sollecitazioni nel paramento'!$G$53)*IF(M2406&lt;0,-1,1)</f>
        <v>0</v>
      </c>
      <c r="T2406" s="545">
        <f>'Foglio deposito bis'!$F$91*IF(ABS(N2406)&lt;'Sollecitazioni nel paramento'!$G$58,ABS(N2406)*'Sollecitazioni nel paramento'!$G$54,'Sollecitazioni nel paramento'!$G$53)*IF(N2406&lt;0,-1,1)</f>
        <v>-326014.99785469775</v>
      </c>
      <c r="U2406" s="545">
        <f>'Foglio deposito bis'!$F$92*IF(ABS(O2406)&lt;'Sollecitazioni nel paramento'!$G$58,ABS(O2406)*'Sollecitazioni nel paramento'!$G$54,'Sollecitazioni nel paramento'!$G$53)*IF(O2406&lt;0,-1,1)</f>
        <v>1662039.1047339395</v>
      </c>
      <c r="V2406" s="472">
        <f t="shared" si="168"/>
        <v>-6420421.0593731282</v>
      </c>
      <c r="W2406" s="551"/>
      <c r="X2406" s="551"/>
    </row>
    <row r="2407" spans="1:24" x14ac:dyDescent="0.25">
      <c r="A2407" s="545">
        <f t="shared" si="167"/>
        <v>6516714.2319724923</v>
      </c>
      <c r="B2407" s="3">
        <f t="shared" si="169"/>
        <v>18.699999999999957</v>
      </c>
      <c r="C2407" s="545">
        <f>'Foglio deposito bis'!$E$162/sezione!$B$247*B2407</f>
        <v>201.72119924782572</v>
      </c>
      <c r="D2407" s="603">
        <f>-'Sollecitazioni nel paramento'!$G$47*'Sollecitazioni nel paramento'!$G$41*IF(DATI!$G$211="dx",DATI!$E$61,DATI!$E$64*DATI!$E$63)*1000*C2407^2*sezione!$AD$5*(1-sezione!$AD$6)</f>
        <v>-905329574.69818771</v>
      </c>
      <c r="E2407" s="545">
        <f>-'Foglio deposito bis'!$F$88*(C2407-sezione!$AL$36)*IF(ABS(K2407)&lt;'Sollecitazioni nel paramento'!$G$58,ABS(K2407)*'Sollecitazioni nel paramento'!$G$54,'Sollecitazioni nel paramento'!$G$53)</f>
        <v>0</v>
      </c>
      <c r="F2407" s="545">
        <f>-'Foglio deposito bis'!$F$89*(C2407-sezione!$AM$36)*IF(ABS(L2407)&lt;'Sollecitazioni nel paramento'!$G$58,ABS(L2407)*'Sollecitazioni nel paramento'!$G$54,'Sollecitazioni nel paramento'!$G$53)</f>
        <v>-21777567.965946425</v>
      </c>
      <c r="G2407" s="545">
        <f>-'Foglio deposito bis'!$F$90*(C2407-sezione!$AN$36)*IF(ABS(M2407)&lt;'Sollecitazioni nel paramento'!$G$58,ABS(M2407)*'Sollecitazioni nel paramento'!$G$54,'Sollecitazioni nel paramento'!$G$53)</f>
        <v>0</v>
      </c>
      <c r="H2407" s="545">
        <f>-'Foglio deposito bis'!$F$91*(C2407-sezione!$AO$36)*IF(ABS(N2407)&lt;'Sollecitazioni nel paramento'!$G$58,ABS(N2407)*'Sollecitazioni nel paramento'!$G$54,'Sollecitazioni nel paramento'!$G$53)</f>
        <v>-14190045.35511272</v>
      </c>
      <c r="I2407" s="472">
        <f>-'Foglio deposito bis'!$F$92*(C2407-sezione!$AP$36)*IF(ABS(O2407)&lt;'Sollecitazioni nel paramento'!$G$58,ABS(O2407)*'Sollecitazioni nel paramento'!$G$54,'Sollecitazioni nel paramento'!$G$53)</f>
        <v>923188081.87935853</v>
      </c>
      <c r="J2407" s="472">
        <f t="shared" si="166"/>
        <v>-18109106.139888287</v>
      </c>
      <c r="K2407" s="550">
        <f>'Sollecitazioni nel paramento'!$G$60*(sezione!$AL$36-C2407)/C2407</f>
        <v>-2.8059727955116794E-3</v>
      </c>
      <c r="L2407" s="550">
        <f>'Sollecitazioni nel paramento'!$G$60*(sezione!$AM$36-C2407)/C2407</f>
        <v>-2.4589591932675193E-3</v>
      </c>
      <c r="M2407" s="551">
        <f>'Sollecitazioni nel paramento'!$G$60*(sezione!$AN$36-C2407)/C2407</f>
        <v>-2.1119455910233588E-3</v>
      </c>
      <c r="N2407" s="551">
        <f>'Sollecitazioni nel paramento'!$G$60*(sezione!$AO$36-C2407)/C2407</f>
        <v>-7.2389118204671771E-4</v>
      </c>
      <c r="O2407" s="551">
        <f>'Sollecitazioni nel paramento'!$G$60*(sezione!$AP$36-C2407)/C2407</f>
        <v>9.6375235976507382E-3</v>
      </c>
      <c r="P2407" s="545">
        <f>-'Sollecitazioni nel paramento'!$G$47*'Sollecitazioni nel paramento'!$G$41*IF(DATI!$G$211="dx",DATI!$E$61,DATI!$E$64*DATI!$E$63)*1000*C2407*sezione!$AD$5</f>
        <v>-7684972.5277444143</v>
      </c>
      <c r="Q2407" s="545">
        <f>'Foglio deposito bis'!$F$88*IF(ABS(K2407)&lt;'Sollecitazioni nel paramento'!$G$58,ABS(K2407)*'Sollecitazioni nel paramento'!$G$54,'Sollecitazioni nel paramento'!$G$53)*IF(K2407&lt;0,-1,1)</f>
        <v>0</v>
      </c>
      <c r="R2407" s="545">
        <f>'Foglio deposito bis'!$F$89*IF(ABS(L2407)&lt;'Sollecitazioni nel paramento'!$G$58,ABS(L2407)*'Sollecitazioni nel paramento'!$G$54,'Sollecitazioni nel paramento'!$G$53)*IF(L2407&lt;0,-1,1)</f>
        <v>-153664.85805602249</v>
      </c>
      <c r="S2407" s="545">
        <f>'Foglio deposito bis'!$F$90*IF(ABS(M2407)&lt;'Sollecitazioni nel paramento'!$G$58,ABS(M2407)*'Sollecitazioni nel paramento'!$G$54,'Sollecitazioni nel paramento'!$G$53)*IF(M2407&lt;0,-1,1)</f>
        <v>0</v>
      </c>
      <c r="T2407" s="545">
        <f>'Foglio deposito bis'!$F$91*IF(ABS(N2407)&lt;'Sollecitazioni nel paramento'!$G$58,ABS(N2407)*'Sollecitazioni nel paramento'!$G$54,'Sollecitazioni nel paramento'!$G$53)*IF(N2407&lt;0,-1,1)</f>
        <v>-340115.95090599474</v>
      </c>
      <c r="U2407" s="545">
        <f>'Foglio deposito bis'!$F$92*IF(ABS(O2407)&lt;'Sollecitazioni nel paramento'!$G$58,ABS(O2407)*'Sollecitazioni nel paramento'!$G$54,'Sollecitazioni nel paramento'!$G$53)*IF(O2407&lt;0,-1,1)</f>
        <v>1662039.1047339395</v>
      </c>
      <c r="V2407" s="472">
        <f t="shared" si="168"/>
        <v>-6516714.2319724923</v>
      </c>
      <c r="W2407" s="551"/>
      <c r="X2407" s="551"/>
    </row>
    <row r="2408" spans="1:24" x14ac:dyDescent="0.25">
      <c r="A2408" s="545">
        <f t="shared" si="167"/>
        <v>6612708.9717030488</v>
      </c>
      <c r="B2408" s="3">
        <f t="shared" si="169"/>
        <v>18.899999999999956</v>
      </c>
      <c r="C2408" s="545">
        <f>'Foglio deposito bis'!$E$162/sezione!$B$247*B2408</f>
        <v>203.87864522908589</v>
      </c>
      <c r="D2408" s="603">
        <f>-'Sollecitazioni nel paramento'!$G$47*'Sollecitazioni nel paramento'!$G$41*IF(DATI!$G$211="dx",DATI!$E$61,DATI!$E$64*DATI!$E$63)*1000*C2408^2*sezione!$AD$5*(1-sezione!$AD$6)</f>
        <v>-924798471.15427852</v>
      </c>
      <c r="E2408" s="545">
        <f>-'Foglio deposito bis'!$F$88*(C2408-sezione!$AL$36)*IF(ABS(K2408)&lt;'Sollecitazioni nel paramento'!$G$58,ABS(K2408)*'Sollecitazioni nel paramento'!$G$54,'Sollecitazioni nel paramento'!$G$53)</f>
        <v>0</v>
      </c>
      <c r="F2408" s="545">
        <f>-'Foglio deposito bis'!$F$89*(C2408-sezione!$AM$36)*IF(ABS(L2408)&lt;'Sollecitazioni nel paramento'!$G$58,ABS(L2408)*'Sollecitazioni nel paramento'!$G$54,'Sollecitazioni nel paramento'!$G$53)</f>
        <v>-22109091.596420299</v>
      </c>
      <c r="G2408" s="545">
        <f>-'Foglio deposito bis'!$F$90*(C2408-sezione!$AN$36)*IF(ABS(M2408)&lt;'Sollecitazioni nel paramento'!$G$58,ABS(M2408)*'Sollecitazioni nel paramento'!$G$54,'Sollecitazioni nel paramento'!$G$53)</f>
        <v>0</v>
      </c>
      <c r="H2408" s="545">
        <f>-'Foglio deposito bis'!$F$91*(C2408-sezione!$AO$36)*IF(ABS(N2408)&lt;'Sollecitazioni nel paramento'!$G$58,ABS(N2408)*'Sollecitazioni nel paramento'!$G$54,'Sollecitazioni nel paramento'!$G$53)</f>
        <v>-15529463.03291196</v>
      </c>
      <c r="I2408" s="472">
        <f>-'Foglio deposito bis'!$F$92*(C2408-sezione!$AP$36)*IF(ABS(O2408)&lt;'Sollecitazioni nel paramento'!$G$58,ABS(O2408)*'Sollecitazioni nel paramento'!$G$54,'Sollecitazioni nel paramento'!$G$53)</f>
        <v>919602322.29215312</v>
      </c>
      <c r="J2408" s="472">
        <f t="shared" si="166"/>
        <v>-42834703.491457701</v>
      </c>
      <c r="K2408" s="550">
        <f>'Sollecitazioni nel paramento'!$G$60*(sezione!$AL$36-C2408)/C2408</f>
        <v>-2.8133169987337781E-3</v>
      </c>
      <c r="L2408" s="550">
        <f>'Sollecitazioni nel paramento'!$G$60*(sezione!$AM$36-C2408)/C2408</f>
        <v>-2.4699754981006672E-3</v>
      </c>
      <c r="M2408" s="551">
        <f>'Sollecitazioni nel paramento'!$G$60*(sezione!$AN$36-C2408)/C2408</f>
        <v>-2.1266339974675562E-3</v>
      </c>
      <c r="N2408" s="551">
        <f>'Sollecitazioni nel paramento'!$G$60*(sezione!$AO$36-C2408)/C2408</f>
        <v>-7.5326799493511233E-4</v>
      </c>
      <c r="O2408" s="551">
        <f>'Sollecitazioni nel paramento'!$G$60*(sezione!$AP$36-C2408)/C2408</f>
        <v>9.4985021839189849E-3</v>
      </c>
      <c r="P2408" s="545">
        <f>-'Sollecitazioni nel paramento'!$G$47*'Sollecitazioni nel paramento'!$G$41*IF(DATI!$G$211="dx",DATI!$E$61,DATI!$E$64*DATI!$E$63)*1000*C2408*sezione!$AD$5</f>
        <v>-7767164.7472924842</v>
      </c>
      <c r="Q2408" s="545">
        <f>'Foglio deposito bis'!$F$88*IF(ABS(K2408)&lt;'Sollecitazioni nel paramento'!$G$58,ABS(K2408)*'Sollecitazioni nel paramento'!$G$54,'Sollecitazioni nel paramento'!$G$53)*IF(K2408&lt;0,-1,1)</f>
        <v>0</v>
      </c>
      <c r="R2408" s="545">
        <f>'Foglio deposito bis'!$F$89*IF(ABS(L2408)&lt;'Sollecitazioni nel paramento'!$G$58,ABS(L2408)*'Sollecitazioni nel paramento'!$G$54,'Sollecitazioni nel paramento'!$G$53)*IF(L2408&lt;0,-1,1)</f>
        <v>-153664.85805602249</v>
      </c>
      <c r="S2408" s="545">
        <f>'Foglio deposito bis'!$F$90*IF(ABS(M2408)&lt;'Sollecitazioni nel paramento'!$G$58,ABS(M2408)*'Sollecitazioni nel paramento'!$G$54,'Sollecitazioni nel paramento'!$G$53)*IF(M2408&lt;0,-1,1)</f>
        <v>0</v>
      </c>
      <c r="T2408" s="545">
        <f>'Foglio deposito bis'!$F$91*IF(ABS(N2408)&lt;'Sollecitazioni nel paramento'!$G$58,ABS(N2408)*'Sollecitazioni nel paramento'!$G$54,'Sollecitazioni nel paramento'!$G$53)*IF(N2408&lt;0,-1,1)</f>
        <v>-353918.47108848125</v>
      </c>
      <c r="U2408" s="545">
        <f>'Foglio deposito bis'!$F$92*IF(ABS(O2408)&lt;'Sollecitazioni nel paramento'!$G$58,ABS(O2408)*'Sollecitazioni nel paramento'!$G$54,'Sollecitazioni nel paramento'!$G$53)*IF(O2408&lt;0,-1,1)</f>
        <v>1662039.1047339395</v>
      </c>
      <c r="V2408" s="472">
        <f t="shared" si="168"/>
        <v>-6612708.9717030488</v>
      </c>
      <c r="W2408" s="551"/>
      <c r="X2408" s="551"/>
    </row>
    <row r="2409" spans="1:24" x14ac:dyDescent="0.25">
      <c r="A2409" s="545">
        <f t="shared" si="167"/>
        <v>6708414.6534193112</v>
      </c>
      <c r="B2409" s="3">
        <f t="shared" si="169"/>
        <v>19.099999999999955</v>
      </c>
      <c r="C2409" s="545">
        <f>'Foglio deposito bis'!$E$162/sezione!$B$247*B2409</f>
        <v>206.03609121034606</v>
      </c>
      <c r="D2409" s="603">
        <f>-'Sollecitazioni nel paramento'!$G$47*'Sollecitazioni nel paramento'!$G$41*IF(DATI!$G$211="dx",DATI!$E$61,DATI!$E$64*DATI!$E$63)*1000*C2409^2*sezione!$AD$5*(1-sezione!$AD$6)</f>
        <v>-944474483.53011489</v>
      </c>
      <c r="E2409" s="545">
        <f>-'Foglio deposito bis'!$F$88*(C2409-sezione!$AL$36)*IF(ABS(K2409)&lt;'Sollecitazioni nel paramento'!$G$58,ABS(K2409)*'Sollecitazioni nel paramento'!$G$54,'Sollecitazioni nel paramento'!$G$53)</f>
        <v>0</v>
      </c>
      <c r="F2409" s="545">
        <f>-'Foglio deposito bis'!$F$89*(C2409-sezione!$AM$36)*IF(ABS(L2409)&lt;'Sollecitazioni nel paramento'!$G$58,ABS(L2409)*'Sollecitazioni nel paramento'!$G$54,'Sollecitazioni nel paramento'!$G$53)</f>
        <v>-22440615.226894181</v>
      </c>
      <c r="G2409" s="545">
        <f>-'Foglio deposito bis'!$F$90*(C2409-sezione!$AN$36)*IF(ABS(M2409)&lt;'Sollecitazioni nel paramento'!$G$58,ABS(M2409)*'Sollecitazioni nel paramento'!$G$54,'Sollecitazioni nel paramento'!$G$53)</f>
        <v>0</v>
      </c>
      <c r="H2409" s="545">
        <f>-'Foglio deposito bis'!$F$91*(C2409-sezione!$AO$36)*IF(ABS(N2409)&lt;'Sollecitazioni nel paramento'!$G$58,ABS(N2409)*'Sollecitazioni nel paramento'!$G$54,'Sollecitazioni nel paramento'!$G$53)</f>
        <v>-16915129.992998064</v>
      </c>
      <c r="I2409" s="472">
        <f>-'Foglio deposito bis'!$F$92*(C2409-sezione!$AP$36)*IF(ABS(O2409)&lt;'Sollecitazioni nel paramento'!$G$58,ABS(O2409)*'Sollecitazioni nel paramento'!$G$54,'Sollecitazioni nel paramento'!$G$53)</f>
        <v>916016562.70494759</v>
      </c>
      <c r="J2409" s="472">
        <f t="shared" si="166"/>
        <v>-67813666.045059562</v>
      </c>
      <c r="K2409" s="550">
        <f>'Sollecitazioni nel paramento'!$G$60*(sezione!$AL$36-C2409)/C2409</f>
        <v>-2.820507396652796E-3</v>
      </c>
      <c r="L2409" s="550">
        <f>'Sollecitazioni nel paramento'!$G$60*(sezione!$AM$36-C2409)/C2409</f>
        <v>-2.4807610949791944E-3</v>
      </c>
      <c r="M2409" s="551">
        <f>'Sollecitazioni nel paramento'!$G$60*(sezione!$AN$36-C2409)/C2409</f>
        <v>-2.1410147933055923E-3</v>
      </c>
      <c r="N2409" s="551">
        <f>'Sollecitazioni nel paramento'!$G$60*(sezione!$AO$36-C2409)/C2409</f>
        <v>-7.8202958661118438E-4</v>
      </c>
      <c r="O2409" s="551">
        <f>'Sollecitazioni nel paramento'!$G$60*(sezione!$AP$36-C2409)/C2409</f>
        <v>9.362392213406746E-3</v>
      </c>
      <c r="P2409" s="545">
        <f>-'Sollecitazioni nel paramento'!$G$47*'Sollecitazioni nel paramento'!$G$41*IF(DATI!$G$211="dx",DATI!$E$61,DATI!$E$64*DATI!$E$63)*1000*C2409*sezione!$AD$5</f>
        <v>-7849356.9668405531</v>
      </c>
      <c r="Q2409" s="545">
        <f>'Foglio deposito bis'!$F$88*IF(ABS(K2409)&lt;'Sollecitazioni nel paramento'!$G$58,ABS(K2409)*'Sollecitazioni nel paramento'!$G$54,'Sollecitazioni nel paramento'!$G$53)*IF(K2409&lt;0,-1,1)</f>
        <v>0</v>
      </c>
      <c r="R2409" s="545">
        <f>'Foglio deposito bis'!$F$89*IF(ABS(L2409)&lt;'Sollecitazioni nel paramento'!$G$58,ABS(L2409)*'Sollecitazioni nel paramento'!$G$54,'Sollecitazioni nel paramento'!$G$53)*IF(L2409&lt;0,-1,1)</f>
        <v>-153664.85805602249</v>
      </c>
      <c r="S2409" s="545">
        <f>'Foglio deposito bis'!$F$90*IF(ABS(M2409)&lt;'Sollecitazioni nel paramento'!$G$58,ABS(M2409)*'Sollecitazioni nel paramento'!$G$54,'Sollecitazioni nel paramento'!$G$53)*IF(M2409&lt;0,-1,1)</f>
        <v>0</v>
      </c>
      <c r="T2409" s="545">
        <f>'Foglio deposito bis'!$F$91*IF(ABS(N2409)&lt;'Sollecitazioni nel paramento'!$G$58,ABS(N2409)*'Sollecitazioni nel paramento'!$G$54,'Sollecitazioni nel paramento'!$G$53)*IF(N2409&lt;0,-1,1)</f>
        <v>-367431.93325667473</v>
      </c>
      <c r="U2409" s="545">
        <f>'Foglio deposito bis'!$F$92*IF(ABS(O2409)&lt;'Sollecitazioni nel paramento'!$G$58,ABS(O2409)*'Sollecitazioni nel paramento'!$G$54,'Sollecitazioni nel paramento'!$G$53)*IF(O2409&lt;0,-1,1)</f>
        <v>1662039.1047339395</v>
      </c>
      <c r="V2409" s="472">
        <f t="shared" si="168"/>
        <v>-6708414.6534193112</v>
      </c>
      <c r="W2409" s="551"/>
      <c r="X2409" s="551"/>
    </row>
    <row r="2410" spans="1:24" x14ac:dyDescent="0.25">
      <c r="A2410" s="545">
        <f t="shared" si="167"/>
        <v>6803840.2633807911</v>
      </c>
      <c r="B2410" s="3">
        <f t="shared" si="169"/>
        <v>19.299999999999955</v>
      </c>
      <c r="C2410" s="545">
        <f>'Foglio deposito bis'!$E$162/sezione!$B$247*B2410</f>
        <v>208.19353719160623</v>
      </c>
      <c r="D2410" s="603">
        <f>-'Sollecitazioni nel paramento'!$G$47*'Sollecitazioni nel paramento'!$G$41*IF(DATI!$G$211="dx",DATI!$E$61,DATI!$E$64*DATI!$E$63)*1000*C2410^2*sezione!$AD$5*(1-sezione!$AD$6)</f>
        <v>-964357611.82569695</v>
      </c>
      <c r="E2410" s="545">
        <f>-'Foglio deposito bis'!$F$88*(C2410-sezione!$AL$36)*IF(ABS(K2410)&lt;'Sollecitazioni nel paramento'!$G$58,ABS(K2410)*'Sollecitazioni nel paramento'!$G$54,'Sollecitazioni nel paramento'!$G$53)</f>
        <v>0</v>
      </c>
      <c r="F2410" s="545">
        <f>-'Foglio deposito bis'!$F$89*(C2410-sezione!$AM$36)*IF(ABS(L2410)&lt;'Sollecitazioni nel paramento'!$G$58,ABS(L2410)*'Sollecitazioni nel paramento'!$G$54,'Sollecitazioni nel paramento'!$G$53)</f>
        <v>-22772138.857368063</v>
      </c>
      <c r="G2410" s="545">
        <f>-'Foglio deposito bis'!$F$90*(C2410-sezione!$AN$36)*IF(ABS(M2410)&lt;'Sollecitazioni nel paramento'!$G$58,ABS(M2410)*'Sollecitazioni nel paramento'!$G$54,'Sollecitazioni nel paramento'!$G$53)</f>
        <v>0</v>
      </c>
      <c r="H2410" s="545">
        <f>-'Foglio deposito bis'!$F$91*(C2410-sezione!$AO$36)*IF(ABS(N2410)&lt;'Sollecitazioni nel paramento'!$G$58,ABS(N2410)*'Sollecitazioni nel paramento'!$G$54,'Sollecitazioni nel paramento'!$G$53)</f>
        <v>-18345608.43384916</v>
      </c>
      <c r="I2410" s="472">
        <f>-'Foglio deposito bis'!$F$92*(C2410-sezione!$AP$36)*IF(ABS(O2410)&lt;'Sollecitazioni nel paramento'!$G$58,ABS(O2410)*'Sollecitazioni nel paramento'!$G$54,'Sollecitazioni nel paramento'!$G$53)</f>
        <v>912430803.11774218</v>
      </c>
      <c r="J2410" s="472">
        <f t="shared" si="166"/>
        <v>-93044555.999172091</v>
      </c>
      <c r="K2410" s="550">
        <f>'Sollecitazioni nel paramento'!$G$60*(sezione!$AL$36-C2410)/C2410</f>
        <v>-2.8275487707807461E-3</v>
      </c>
      <c r="L2410" s="550">
        <f>'Sollecitazioni nel paramento'!$G$60*(sezione!$AM$36-C2410)/C2410</f>
        <v>-2.4913231561711196E-3</v>
      </c>
      <c r="M2410" s="551">
        <f>'Sollecitazioni nel paramento'!$G$60*(sezione!$AN$36-C2410)/C2410</f>
        <v>-2.155097541561493E-3</v>
      </c>
      <c r="N2410" s="551">
        <f>'Sollecitazioni nel paramento'!$G$60*(sezione!$AO$36-C2410)/C2410</f>
        <v>-8.1019508312298548E-4</v>
      </c>
      <c r="O2410" s="551">
        <f>'Sollecitazioni nel paramento'!$G$60*(sezione!$AP$36-C2410)/C2410</f>
        <v>9.229103174925847E-3</v>
      </c>
      <c r="P2410" s="545">
        <f>-'Sollecitazioni nel paramento'!$G$47*'Sollecitazioni nel paramento'!$G$41*IF(DATI!$G$211="dx",DATI!$E$61,DATI!$E$64*DATI!$E$63)*1000*C2410*sezione!$AD$5</f>
        <v>-7931549.1863886202</v>
      </c>
      <c r="Q2410" s="545">
        <f>'Foglio deposito bis'!$F$88*IF(ABS(K2410)&lt;'Sollecitazioni nel paramento'!$G$58,ABS(K2410)*'Sollecitazioni nel paramento'!$G$54,'Sollecitazioni nel paramento'!$G$53)*IF(K2410&lt;0,-1,1)</f>
        <v>0</v>
      </c>
      <c r="R2410" s="545">
        <f>'Foglio deposito bis'!$F$89*IF(ABS(L2410)&lt;'Sollecitazioni nel paramento'!$G$58,ABS(L2410)*'Sollecitazioni nel paramento'!$G$54,'Sollecitazioni nel paramento'!$G$53)*IF(L2410&lt;0,-1,1)</f>
        <v>-153664.85805602249</v>
      </c>
      <c r="S2410" s="545">
        <f>'Foglio deposito bis'!$F$90*IF(ABS(M2410)&lt;'Sollecitazioni nel paramento'!$G$58,ABS(M2410)*'Sollecitazioni nel paramento'!$G$54,'Sollecitazioni nel paramento'!$G$53)*IF(M2410&lt;0,-1,1)</f>
        <v>0</v>
      </c>
      <c r="T2410" s="545">
        <f>'Foglio deposito bis'!$F$91*IF(ABS(N2410)&lt;'Sollecitazioni nel paramento'!$G$58,ABS(N2410)*'Sollecitazioni nel paramento'!$G$54,'Sollecitazioni nel paramento'!$G$53)*IF(N2410&lt;0,-1,1)</f>
        <v>-380665.32367008697</v>
      </c>
      <c r="U2410" s="545">
        <f>'Foglio deposito bis'!$F$92*IF(ABS(O2410)&lt;'Sollecitazioni nel paramento'!$G$58,ABS(O2410)*'Sollecitazioni nel paramento'!$G$54,'Sollecitazioni nel paramento'!$G$53)*IF(O2410&lt;0,-1,1)</f>
        <v>1662039.1047339395</v>
      </c>
      <c r="V2410" s="472">
        <f t="shared" si="168"/>
        <v>-6803840.2633807911</v>
      </c>
      <c r="W2410" s="551"/>
      <c r="X2410" s="551"/>
    </row>
    <row r="2411" spans="1:24" x14ac:dyDescent="0.25">
      <c r="A2411" s="545">
        <f t="shared" si="167"/>
        <v>6898994.4191799434</v>
      </c>
      <c r="B2411" s="3">
        <f t="shared" si="169"/>
        <v>19.499999999999954</v>
      </c>
      <c r="C2411" s="545">
        <f>'Foglio deposito bis'!$E$162/sezione!$B$247*B2411</f>
        <v>210.35098317286636</v>
      </c>
      <c r="D2411" s="603">
        <f>-'Sollecitazioni nel paramento'!$G$47*'Sollecitazioni nel paramento'!$G$41*IF(DATI!$G$211="dx",DATI!$E$61,DATI!$E$64*DATI!$E$63)*1000*C2411^2*sezione!$AD$5*(1-sezione!$AD$6)</f>
        <v>-984447856.04102421</v>
      </c>
      <c r="E2411" s="545">
        <f>-'Foglio deposito bis'!$F$88*(C2411-sezione!$AL$36)*IF(ABS(K2411)&lt;'Sollecitazioni nel paramento'!$G$58,ABS(K2411)*'Sollecitazioni nel paramento'!$G$54,'Sollecitazioni nel paramento'!$G$53)</f>
        <v>0</v>
      </c>
      <c r="F2411" s="545">
        <f>-'Foglio deposito bis'!$F$89*(C2411-sezione!$AM$36)*IF(ABS(L2411)&lt;'Sollecitazioni nel paramento'!$G$58,ABS(L2411)*'Sollecitazioni nel paramento'!$G$54,'Sollecitazioni nel paramento'!$G$53)</f>
        <v>-23103662.487841938</v>
      </c>
      <c r="G2411" s="545">
        <f>-'Foglio deposito bis'!$F$90*(C2411-sezione!$AN$36)*IF(ABS(M2411)&lt;'Sollecitazioni nel paramento'!$G$58,ABS(M2411)*'Sollecitazioni nel paramento'!$G$54,'Sollecitazioni nel paramento'!$G$53)</f>
        <v>0</v>
      </c>
      <c r="H2411" s="545">
        <f>-'Foglio deposito bis'!$F$91*(C2411-sezione!$AO$36)*IF(ABS(N2411)&lt;'Sollecitazioni nel paramento'!$G$58,ABS(N2411)*'Sollecitazioni nel paramento'!$G$54,'Sollecitazioni nel paramento'!$G$53)</f>
        <v>-19819519.540672462</v>
      </c>
      <c r="I2411" s="472">
        <f>-'Foglio deposito bis'!$F$92*(C2411-sezione!$AP$36)*IF(ABS(O2411)&lt;'Sollecitazioni nel paramento'!$G$58,ABS(O2411)*'Sollecitazioni nel paramento'!$G$54,'Sollecitazioni nel paramento'!$G$53)</f>
        <v>908845043.53053665</v>
      </c>
      <c r="J2411" s="472">
        <f t="shared" si="166"/>
        <v>-118525994.53900194</v>
      </c>
      <c r="K2411" s="550">
        <f>'Sollecitazioni nel paramento'!$G$60*(sezione!$AL$36-C2411)/C2411</f>
        <v>-2.8344457064650463E-3</v>
      </c>
      <c r="L2411" s="550">
        <f>'Sollecitazioni nel paramento'!$G$60*(sezione!$AM$36-C2411)/C2411</f>
        <v>-2.5016685596975698E-3</v>
      </c>
      <c r="M2411" s="551">
        <f>'Sollecitazioni nel paramento'!$G$60*(sezione!$AN$36-C2411)/C2411</f>
        <v>-2.1688914129300929E-3</v>
      </c>
      <c r="N2411" s="551">
        <f>'Sollecitazioni nel paramento'!$G$60*(sezione!$AO$36-C2411)/C2411</f>
        <v>-8.3778282586018527E-4</v>
      </c>
      <c r="O2411" s="551">
        <f>'Sollecitazioni nel paramento'!$G$60*(sezione!$AP$36-C2411)/C2411</f>
        <v>9.0985482705676357E-3</v>
      </c>
      <c r="P2411" s="545">
        <f>-'Sollecitazioni nel paramento'!$G$47*'Sollecitazioni nel paramento'!$G$41*IF(DATI!$G$211="dx",DATI!$E$61,DATI!$E$64*DATI!$E$63)*1000*C2411*sezione!$AD$5</f>
        <v>-8013741.4059366873</v>
      </c>
      <c r="Q2411" s="545">
        <f>'Foglio deposito bis'!$F$88*IF(ABS(K2411)&lt;'Sollecitazioni nel paramento'!$G$58,ABS(K2411)*'Sollecitazioni nel paramento'!$G$54,'Sollecitazioni nel paramento'!$G$53)*IF(K2411&lt;0,-1,1)</f>
        <v>0</v>
      </c>
      <c r="R2411" s="545">
        <f>'Foglio deposito bis'!$F$89*IF(ABS(L2411)&lt;'Sollecitazioni nel paramento'!$G$58,ABS(L2411)*'Sollecitazioni nel paramento'!$G$54,'Sollecitazioni nel paramento'!$G$53)*IF(L2411&lt;0,-1,1)</f>
        <v>-153664.85805602249</v>
      </c>
      <c r="S2411" s="545">
        <f>'Foglio deposito bis'!$F$90*IF(ABS(M2411)&lt;'Sollecitazioni nel paramento'!$G$58,ABS(M2411)*'Sollecitazioni nel paramento'!$G$54,'Sollecitazioni nel paramento'!$G$53)*IF(M2411&lt;0,-1,1)</f>
        <v>0</v>
      </c>
      <c r="T2411" s="545">
        <f>'Foglio deposito bis'!$F$91*IF(ABS(N2411)&lt;'Sollecitazioni nel paramento'!$G$58,ABS(N2411)*'Sollecitazioni nel paramento'!$G$54,'Sollecitazioni nel paramento'!$G$53)*IF(N2411&lt;0,-1,1)</f>
        <v>-393627.25992117275</v>
      </c>
      <c r="U2411" s="545">
        <f>'Foglio deposito bis'!$F$92*IF(ABS(O2411)&lt;'Sollecitazioni nel paramento'!$G$58,ABS(O2411)*'Sollecitazioni nel paramento'!$G$54,'Sollecitazioni nel paramento'!$G$53)*IF(O2411&lt;0,-1,1)</f>
        <v>1662039.1047339395</v>
      </c>
      <c r="V2411" s="472">
        <f t="shared" si="168"/>
        <v>-6898994.4191799434</v>
      </c>
      <c r="W2411" s="551"/>
      <c r="X2411" s="551"/>
    </row>
    <row r="2412" spans="1:24" x14ac:dyDescent="0.25">
      <c r="A2412" s="545">
        <f t="shared" si="167"/>
        <v>6993885.3884562338</v>
      </c>
      <c r="B2412" s="3">
        <f t="shared" si="169"/>
        <v>19.699999999999953</v>
      </c>
      <c r="C2412" s="545">
        <f>'Foglio deposito bis'!$E$162/sezione!$B$247*B2412</f>
        <v>212.50842915412653</v>
      </c>
      <c r="D2412" s="603">
        <f>-'Sollecitazioni nel paramento'!$G$47*'Sollecitazioni nel paramento'!$G$41*IF(DATI!$G$211="dx",DATI!$E$61,DATI!$E$64*DATI!$E$63)*1000*C2412^2*sezione!$AD$5*(1-sezione!$AD$6)</f>
        <v>-1004745216.1760976</v>
      </c>
      <c r="E2412" s="545">
        <f>-'Foglio deposito bis'!$F$88*(C2412-sezione!$AL$36)*IF(ABS(K2412)&lt;'Sollecitazioni nel paramento'!$G$58,ABS(K2412)*'Sollecitazioni nel paramento'!$G$54,'Sollecitazioni nel paramento'!$G$53)</f>
        <v>0</v>
      </c>
      <c r="F2412" s="545">
        <f>-'Foglio deposito bis'!$F$89*(C2412-sezione!$AM$36)*IF(ABS(L2412)&lt;'Sollecitazioni nel paramento'!$G$58,ABS(L2412)*'Sollecitazioni nel paramento'!$G$54,'Sollecitazioni nel paramento'!$G$53)</f>
        <v>-23435186.118315816</v>
      </c>
      <c r="G2412" s="545">
        <f>-'Foglio deposito bis'!$F$90*(C2412-sezione!$AN$36)*IF(ABS(M2412)&lt;'Sollecitazioni nel paramento'!$G$58,ABS(M2412)*'Sollecitazioni nel paramento'!$G$54,'Sollecitazioni nel paramento'!$G$53)</f>
        <v>0</v>
      </c>
      <c r="H2412" s="545">
        <f>-'Foglio deposito bis'!$F$91*(C2412-sezione!$AO$36)*IF(ABS(N2412)&lt;'Sollecitazioni nel paramento'!$G$58,ABS(N2412)*'Sollecitazioni nel paramento'!$G$54,'Sollecitazioni nel paramento'!$G$53)</f>
        <v>-21335540.491154138</v>
      </c>
      <c r="I2412" s="472">
        <f>-'Foglio deposito bis'!$F$92*(C2412-sezione!$AP$36)*IF(ABS(O2412)&lt;'Sollecitazioni nel paramento'!$G$58,ABS(O2412)*'Sollecitazioni nel paramento'!$G$54,'Sollecitazioni nel paramento'!$G$53)</f>
        <v>905259283.94333112</v>
      </c>
      <c r="J2412" s="472">
        <f t="shared" si="166"/>
        <v>-144256658.84223652</v>
      </c>
      <c r="K2412" s="550">
        <f>'Sollecitazioni nel paramento'!$G$60*(sezione!$AL$36-C2412)/C2412</f>
        <v>-2.8412026028461117E-3</v>
      </c>
      <c r="L2412" s="550">
        <f>'Sollecitazioni nel paramento'!$G$60*(sezione!$AM$36-C2412)/C2412</f>
        <v>-2.5118039042691682E-3</v>
      </c>
      <c r="M2412" s="551">
        <f>'Sollecitazioni nel paramento'!$G$60*(sezione!$AN$36-C2412)/C2412</f>
        <v>-2.1824052056922238E-3</v>
      </c>
      <c r="N2412" s="551">
        <f>'Sollecitazioni nel paramento'!$G$60*(sezione!$AO$36-C2412)/C2412</f>
        <v>-8.6481041138444749E-4</v>
      </c>
      <c r="O2412" s="551">
        <f>'Sollecitazioni nel paramento'!$G$60*(sezione!$AP$36-C2412)/C2412</f>
        <v>8.9706442272116174E-3</v>
      </c>
      <c r="P2412" s="545">
        <f>-'Sollecitazioni nel paramento'!$G$47*'Sollecitazioni nel paramento'!$G$41*IF(DATI!$G$211="dx",DATI!$E$61,DATI!$E$64*DATI!$E$63)*1000*C2412*sezione!$AD$5</f>
        <v>-8095933.6254847571</v>
      </c>
      <c r="Q2412" s="545">
        <f>'Foglio deposito bis'!$F$88*IF(ABS(K2412)&lt;'Sollecitazioni nel paramento'!$G$58,ABS(K2412)*'Sollecitazioni nel paramento'!$G$54,'Sollecitazioni nel paramento'!$G$53)*IF(K2412&lt;0,-1,1)</f>
        <v>0</v>
      </c>
      <c r="R2412" s="545">
        <f>'Foglio deposito bis'!$F$89*IF(ABS(L2412)&lt;'Sollecitazioni nel paramento'!$G$58,ABS(L2412)*'Sollecitazioni nel paramento'!$G$54,'Sollecitazioni nel paramento'!$G$53)*IF(L2412&lt;0,-1,1)</f>
        <v>-153664.85805602249</v>
      </c>
      <c r="S2412" s="545">
        <f>'Foglio deposito bis'!$F$90*IF(ABS(M2412)&lt;'Sollecitazioni nel paramento'!$G$58,ABS(M2412)*'Sollecitazioni nel paramento'!$G$54,'Sollecitazioni nel paramento'!$G$53)*IF(M2412&lt;0,-1,1)</f>
        <v>0</v>
      </c>
      <c r="T2412" s="545">
        <f>'Foglio deposito bis'!$F$91*IF(ABS(N2412)&lt;'Sollecitazioni nel paramento'!$G$58,ABS(N2412)*'Sollecitazioni nel paramento'!$G$54,'Sollecitazioni nel paramento'!$G$53)*IF(N2412&lt;0,-1,1)</f>
        <v>-406326.00964939396</v>
      </c>
      <c r="U2412" s="545">
        <f>'Foglio deposito bis'!$F$92*IF(ABS(O2412)&lt;'Sollecitazioni nel paramento'!$G$58,ABS(O2412)*'Sollecitazioni nel paramento'!$G$54,'Sollecitazioni nel paramento'!$G$53)*IF(O2412&lt;0,-1,1)</f>
        <v>1662039.1047339395</v>
      </c>
      <c r="V2412" s="472">
        <f t="shared" si="168"/>
        <v>-6993885.3884562338</v>
      </c>
      <c r="W2412" s="551"/>
      <c r="X2412" s="551"/>
    </row>
    <row r="2413" spans="1:24" x14ac:dyDescent="0.25">
      <c r="A2413" s="545">
        <f t="shared" si="167"/>
        <v>7088521.1064817058</v>
      </c>
      <c r="B2413" s="3">
        <f t="shared" si="169"/>
        <v>19.899999999999952</v>
      </c>
      <c r="C2413" s="545">
        <f>'Foglio deposito bis'!$E$162/sezione!$B$247*B2413</f>
        <v>214.6658751353867</v>
      </c>
      <c r="D2413" s="603">
        <f>-'Sollecitazioni nel paramento'!$G$47*'Sollecitazioni nel paramento'!$G$41*IF(DATI!$G$211="dx",DATI!$E$61,DATI!$E$64*DATI!$E$63)*1000*C2413^2*sezione!$AD$5*(1-sezione!$AD$6)</f>
        <v>-1025249692.2309165</v>
      </c>
      <c r="E2413" s="545">
        <f>-'Foglio deposito bis'!$F$88*(C2413-sezione!$AL$36)*IF(ABS(K2413)&lt;'Sollecitazioni nel paramento'!$G$58,ABS(K2413)*'Sollecitazioni nel paramento'!$G$54,'Sollecitazioni nel paramento'!$G$53)</f>
        <v>0</v>
      </c>
      <c r="F2413" s="545">
        <f>-'Foglio deposito bis'!$F$89*(C2413-sezione!$AM$36)*IF(ABS(L2413)&lt;'Sollecitazioni nel paramento'!$G$58,ABS(L2413)*'Sollecitazioni nel paramento'!$G$54,'Sollecitazioni nel paramento'!$G$53)</f>
        <v>-23766709.748789698</v>
      </c>
      <c r="G2413" s="545">
        <f>-'Foglio deposito bis'!$F$90*(C2413-sezione!$AN$36)*IF(ABS(M2413)&lt;'Sollecitazioni nel paramento'!$G$58,ABS(M2413)*'Sollecitazioni nel paramento'!$G$54,'Sollecitazioni nel paramento'!$G$53)</f>
        <v>0</v>
      </c>
      <c r="H2413" s="545">
        <f>-'Foglio deposito bis'!$F$91*(C2413-sezione!$AO$36)*IF(ABS(N2413)&lt;'Sollecitazioni nel paramento'!$G$58,ABS(N2413)*'Sollecitazioni nel paramento'!$G$54,'Sollecitazioni nel paramento'!$G$53)</f>
        <v>-22892401.641766772</v>
      </c>
      <c r="I2413" s="472">
        <f>-'Foglio deposito bis'!$F$92*(C2413-sezione!$AP$36)*IF(ABS(O2413)&lt;'Sollecitazioni nel paramento'!$G$58,ABS(O2413)*'Sollecitazioni nel paramento'!$G$54,'Sollecitazioni nel paramento'!$G$53)</f>
        <v>901673524.35612571</v>
      </c>
      <c r="J2413" s="472">
        <f t="shared" si="166"/>
        <v>-170235279.26534724</v>
      </c>
      <c r="K2413" s="550">
        <f>'Sollecitazioni nel paramento'!$G$60*(sezione!$AL$36-C2413)/C2413</f>
        <v>-2.8478236822144926E-3</v>
      </c>
      <c r="L2413" s="550">
        <f>'Sollecitazioni nel paramento'!$G$60*(sezione!$AM$36-C2413)/C2413</f>
        <v>-2.5217355233217395E-3</v>
      </c>
      <c r="M2413" s="551">
        <f>'Sollecitazioni nel paramento'!$G$60*(sezione!$AN$36-C2413)/C2413</f>
        <v>-2.1956473644289855E-3</v>
      </c>
      <c r="N2413" s="551">
        <f>'Sollecitazioni nel paramento'!$G$60*(sezione!$AO$36-C2413)/C2413</f>
        <v>-8.9129472885797055E-4</v>
      </c>
      <c r="O2413" s="551">
        <f>'Sollecitazioni nel paramento'!$G$60*(sezione!$AP$36-C2413)/C2413</f>
        <v>8.8453111194004459E-3</v>
      </c>
      <c r="P2413" s="545">
        <f>-'Sollecitazioni nel paramento'!$G$47*'Sollecitazioni nel paramento'!$G$41*IF(DATI!$G$211="dx",DATI!$E$61,DATI!$E$64*DATI!$E$63)*1000*C2413*sezione!$AD$5</f>
        <v>-8178125.8450328261</v>
      </c>
      <c r="Q2413" s="545">
        <f>'Foglio deposito bis'!$F$88*IF(ABS(K2413)&lt;'Sollecitazioni nel paramento'!$G$58,ABS(K2413)*'Sollecitazioni nel paramento'!$G$54,'Sollecitazioni nel paramento'!$G$53)*IF(K2413&lt;0,-1,1)</f>
        <v>0</v>
      </c>
      <c r="R2413" s="545">
        <f>'Foglio deposito bis'!$F$89*IF(ABS(L2413)&lt;'Sollecitazioni nel paramento'!$G$58,ABS(L2413)*'Sollecitazioni nel paramento'!$G$54,'Sollecitazioni nel paramento'!$G$53)*IF(L2413&lt;0,-1,1)</f>
        <v>-153664.85805602249</v>
      </c>
      <c r="S2413" s="545">
        <f>'Foglio deposito bis'!$F$90*IF(ABS(M2413)&lt;'Sollecitazioni nel paramento'!$G$58,ABS(M2413)*'Sollecitazioni nel paramento'!$G$54,'Sollecitazioni nel paramento'!$G$53)*IF(M2413&lt;0,-1,1)</f>
        <v>0</v>
      </c>
      <c r="T2413" s="545">
        <f>'Foglio deposito bis'!$F$91*IF(ABS(N2413)&lt;'Sollecitazioni nel paramento'!$G$58,ABS(N2413)*'Sollecitazioni nel paramento'!$G$54,'Sollecitazioni nel paramento'!$G$53)*IF(N2413&lt;0,-1,1)</f>
        <v>-418769.50812679669</v>
      </c>
      <c r="U2413" s="545">
        <f>'Foglio deposito bis'!$F$92*IF(ABS(O2413)&lt;'Sollecitazioni nel paramento'!$G$58,ABS(O2413)*'Sollecitazioni nel paramento'!$G$54,'Sollecitazioni nel paramento'!$G$53)*IF(O2413&lt;0,-1,1)</f>
        <v>1662039.1047339395</v>
      </c>
      <c r="V2413" s="472">
        <f t="shared" si="168"/>
        <v>-7088521.1064817058</v>
      </c>
      <c r="W2413" s="551"/>
      <c r="X2413" s="551"/>
    </row>
    <row r="2414" spans="1:24" x14ac:dyDescent="0.25">
      <c r="A2414" s="545">
        <f t="shared" si="167"/>
        <v>7182909.1926966822</v>
      </c>
      <c r="B2414" s="3">
        <f t="shared" si="169"/>
        <v>20.099999999999952</v>
      </c>
      <c r="C2414" s="545">
        <f>'Foglio deposito bis'!$E$162/sezione!$B$247*B2414</f>
        <v>216.82332111664687</v>
      </c>
      <c r="D2414" s="603">
        <f>-'Sollecitazioni nel paramento'!$G$47*'Sollecitazioni nel paramento'!$G$41*IF(DATI!$G$211="dx",DATI!$E$61,DATI!$E$64*DATI!$E$63)*1000*C2414^2*sezione!$AD$5*(1-sezione!$AD$6)</f>
        <v>-1045961284.2054811</v>
      </c>
      <c r="E2414" s="545">
        <f>-'Foglio deposito bis'!$F$88*(C2414-sezione!$AL$36)*IF(ABS(K2414)&lt;'Sollecitazioni nel paramento'!$G$58,ABS(K2414)*'Sollecitazioni nel paramento'!$G$54,'Sollecitazioni nel paramento'!$G$53)</f>
        <v>0</v>
      </c>
      <c r="F2414" s="545">
        <f>-'Foglio deposito bis'!$F$89*(C2414-sezione!$AM$36)*IF(ABS(L2414)&lt;'Sollecitazioni nel paramento'!$G$58,ABS(L2414)*'Sollecitazioni nel paramento'!$G$54,'Sollecitazioni nel paramento'!$G$53)</f>
        <v>-24098233.379263576</v>
      </c>
      <c r="G2414" s="545">
        <f>-'Foglio deposito bis'!$F$90*(C2414-sezione!$AN$36)*IF(ABS(M2414)&lt;'Sollecitazioni nel paramento'!$G$58,ABS(M2414)*'Sollecitazioni nel paramento'!$G$54,'Sollecitazioni nel paramento'!$G$53)</f>
        <v>0</v>
      </c>
      <c r="H2414" s="545">
        <f>-'Foglio deposito bis'!$F$91*(C2414-sezione!$AO$36)*IF(ABS(N2414)&lt;'Sollecitazioni nel paramento'!$G$58,ABS(N2414)*'Sollecitazioni nel paramento'!$G$54,'Sollecitazioni nel paramento'!$G$53)</f>
        <v>-24488883.882058699</v>
      </c>
      <c r="I2414" s="472">
        <f>-'Foglio deposito bis'!$F$92*(C2414-sezione!$AP$36)*IF(ABS(O2414)&lt;'Sollecitazioni nel paramento'!$G$58,ABS(O2414)*'Sollecitazioni nel paramento'!$G$54,'Sollecitazioni nel paramento'!$G$53)</f>
        <v>898087764.7689203</v>
      </c>
      <c r="J2414" s="472">
        <f t="shared" si="166"/>
        <v>-196460636.69788301</v>
      </c>
      <c r="K2414" s="550">
        <f>'Sollecitazioni nel paramento'!$G$60*(sezione!$AL$36-C2414)/C2414</f>
        <v>-2.8543129988093737E-3</v>
      </c>
      <c r="L2414" s="550">
        <f>'Sollecitazioni nel paramento'!$G$60*(sezione!$AM$36-C2414)/C2414</f>
        <v>-2.53146949821406E-3</v>
      </c>
      <c r="M2414" s="551">
        <f>'Sollecitazioni nel paramento'!$G$60*(sezione!$AN$36-C2414)/C2414</f>
        <v>-2.2086259976187468E-3</v>
      </c>
      <c r="N2414" s="551">
        <f>'Sollecitazioni nel paramento'!$G$60*(sezione!$AO$36-C2414)/C2414</f>
        <v>-9.1725199523749322E-4</v>
      </c>
      <c r="O2414" s="551">
        <f>'Sollecitazioni nel paramento'!$G$60*(sezione!$AP$36-C2414)/C2414</f>
        <v>8.7224722027894955E-3</v>
      </c>
      <c r="P2414" s="545">
        <f>-'Sollecitazioni nel paramento'!$G$47*'Sollecitazioni nel paramento'!$G$41*IF(DATI!$G$211="dx",DATI!$E$61,DATI!$E$64*DATI!$E$63)*1000*C2414*sezione!$AD$5</f>
        <v>-8260318.064580895</v>
      </c>
      <c r="Q2414" s="545">
        <f>'Foglio deposito bis'!$F$88*IF(ABS(K2414)&lt;'Sollecitazioni nel paramento'!$G$58,ABS(K2414)*'Sollecitazioni nel paramento'!$G$54,'Sollecitazioni nel paramento'!$G$53)*IF(K2414&lt;0,-1,1)</f>
        <v>0</v>
      </c>
      <c r="R2414" s="545">
        <f>'Foglio deposito bis'!$F$89*IF(ABS(L2414)&lt;'Sollecitazioni nel paramento'!$G$58,ABS(L2414)*'Sollecitazioni nel paramento'!$G$54,'Sollecitazioni nel paramento'!$G$53)*IF(L2414&lt;0,-1,1)</f>
        <v>-153664.85805602249</v>
      </c>
      <c r="S2414" s="545">
        <f>'Foglio deposito bis'!$F$90*IF(ABS(M2414)&lt;'Sollecitazioni nel paramento'!$G$58,ABS(M2414)*'Sollecitazioni nel paramento'!$G$54,'Sollecitazioni nel paramento'!$G$53)*IF(M2414&lt;0,-1,1)</f>
        <v>0</v>
      </c>
      <c r="T2414" s="545">
        <f>'Foglio deposito bis'!$F$91*IF(ABS(N2414)&lt;'Sollecitazioni nel paramento'!$G$58,ABS(N2414)*'Sollecitazioni nel paramento'!$G$54,'Sollecitazioni nel paramento'!$G$53)*IF(N2414&lt;0,-1,1)</f>
        <v>-430965.37479370378</v>
      </c>
      <c r="U2414" s="545">
        <f>'Foglio deposito bis'!$F$92*IF(ABS(O2414)&lt;'Sollecitazioni nel paramento'!$G$58,ABS(O2414)*'Sollecitazioni nel paramento'!$G$54,'Sollecitazioni nel paramento'!$G$53)*IF(O2414&lt;0,-1,1)</f>
        <v>1662039.1047339395</v>
      </c>
      <c r="V2414" s="472">
        <f t="shared" si="168"/>
        <v>-7182909.1926966822</v>
      </c>
      <c r="W2414" s="551"/>
      <c r="X2414" s="551"/>
    </row>
    <row r="2415" spans="1:24" x14ac:dyDescent="0.25">
      <c r="A2415" s="545">
        <f t="shared" si="167"/>
        <v>7277056.9662679723</v>
      </c>
      <c r="B2415" s="3">
        <f t="shared" si="169"/>
        <v>20.299999999999951</v>
      </c>
      <c r="C2415" s="545">
        <f>'Foglio deposito bis'!$E$162/sezione!$B$247*B2415</f>
        <v>218.98076709790703</v>
      </c>
      <c r="D2415" s="603">
        <f>-'Sollecitazioni nel paramento'!$G$47*'Sollecitazioni nel paramento'!$G$41*IF(DATI!$G$211="dx",DATI!$E$61,DATI!$E$64*DATI!$E$63)*1000*C2415^2*sezione!$AD$5*(1-sezione!$AD$6)</f>
        <v>-1066879992.0997913</v>
      </c>
      <c r="E2415" s="545">
        <f>-'Foglio deposito bis'!$F$88*(C2415-sezione!$AL$36)*IF(ABS(K2415)&lt;'Sollecitazioni nel paramento'!$G$58,ABS(K2415)*'Sollecitazioni nel paramento'!$G$54,'Sollecitazioni nel paramento'!$G$53)</f>
        <v>0</v>
      </c>
      <c r="F2415" s="545">
        <f>-'Foglio deposito bis'!$F$89*(C2415-sezione!$AM$36)*IF(ABS(L2415)&lt;'Sollecitazioni nel paramento'!$G$58,ABS(L2415)*'Sollecitazioni nel paramento'!$G$54,'Sollecitazioni nel paramento'!$G$53)</f>
        <v>-24429757.009737454</v>
      </c>
      <c r="G2415" s="545">
        <f>-'Foglio deposito bis'!$F$90*(C2415-sezione!$AN$36)*IF(ABS(M2415)&lt;'Sollecitazioni nel paramento'!$G$58,ABS(M2415)*'Sollecitazioni nel paramento'!$G$54,'Sollecitazioni nel paramento'!$G$53)</f>
        <v>0</v>
      </c>
      <c r="H2415" s="545">
        <f>-'Foglio deposito bis'!$F$91*(C2415-sezione!$AO$36)*IF(ABS(N2415)&lt;'Sollecitazioni nel paramento'!$G$58,ABS(N2415)*'Sollecitazioni nel paramento'!$G$54,'Sollecitazioni nel paramento'!$G$53)</f>
        <v>-26123816.145339895</v>
      </c>
      <c r="I2415" s="472">
        <f>-'Foglio deposito bis'!$F$92*(C2415-sezione!$AP$36)*IF(ABS(O2415)&lt;'Sollecitazioni nel paramento'!$G$58,ABS(O2415)*'Sollecitazioni nel paramento'!$G$54,'Sollecitazioni nel paramento'!$G$53)</f>
        <v>894502005.18171489</v>
      </c>
      <c r="J2415" s="472">
        <f t="shared" si="166"/>
        <v>-222931560.07315385</v>
      </c>
      <c r="K2415" s="550">
        <f>'Sollecitazioni nel paramento'!$G$60*(sezione!$AL$36-C2415)/C2415</f>
        <v>-2.8606744470969659E-3</v>
      </c>
      <c r="L2415" s="550">
        <f>'Sollecitazioni nel paramento'!$G$60*(sezione!$AM$36-C2415)/C2415</f>
        <v>-2.5410116706454486E-3</v>
      </c>
      <c r="M2415" s="551">
        <f>'Sollecitazioni nel paramento'!$G$60*(sezione!$AN$36-C2415)/C2415</f>
        <v>-2.2213488941939313E-3</v>
      </c>
      <c r="N2415" s="551">
        <f>'Sollecitazioni nel paramento'!$G$60*(sezione!$AO$36-C2415)/C2415</f>
        <v>-9.4269778838786274E-4</v>
      </c>
      <c r="O2415" s="551">
        <f>'Sollecitazioni nel paramento'!$G$60*(sezione!$AP$36-C2415)/C2415</f>
        <v>8.602053757441816E-3</v>
      </c>
      <c r="P2415" s="545">
        <f>-'Sollecitazioni nel paramento'!$G$47*'Sollecitazioni nel paramento'!$G$41*IF(DATI!$G$211="dx",DATI!$E$61,DATI!$E$64*DATI!$E$63)*1000*C2415*sezione!$AD$5</f>
        <v>-8342510.2841289621</v>
      </c>
      <c r="Q2415" s="545">
        <f>'Foglio deposito bis'!$F$88*IF(ABS(K2415)&lt;'Sollecitazioni nel paramento'!$G$58,ABS(K2415)*'Sollecitazioni nel paramento'!$G$54,'Sollecitazioni nel paramento'!$G$53)*IF(K2415&lt;0,-1,1)</f>
        <v>0</v>
      </c>
      <c r="R2415" s="545">
        <f>'Foglio deposito bis'!$F$89*IF(ABS(L2415)&lt;'Sollecitazioni nel paramento'!$G$58,ABS(L2415)*'Sollecitazioni nel paramento'!$G$54,'Sollecitazioni nel paramento'!$G$53)*IF(L2415&lt;0,-1,1)</f>
        <v>-153664.85805602249</v>
      </c>
      <c r="S2415" s="545">
        <f>'Foglio deposito bis'!$F$90*IF(ABS(M2415)&lt;'Sollecitazioni nel paramento'!$G$58,ABS(M2415)*'Sollecitazioni nel paramento'!$G$54,'Sollecitazioni nel paramento'!$G$53)*IF(M2415&lt;0,-1,1)</f>
        <v>0</v>
      </c>
      <c r="T2415" s="545">
        <f>'Foglio deposito bis'!$F$91*IF(ABS(N2415)&lt;'Sollecitazioni nel paramento'!$G$58,ABS(N2415)*'Sollecitazioni nel paramento'!$G$54,'Sollecitazioni nel paramento'!$G$53)*IF(N2415&lt;0,-1,1)</f>
        <v>-442920.928816928</v>
      </c>
      <c r="U2415" s="545">
        <f>'Foglio deposito bis'!$F$92*IF(ABS(O2415)&lt;'Sollecitazioni nel paramento'!$G$58,ABS(O2415)*'Sollecitazioni nel paramento'!$G$54,'Sollecitazioni nel paramento'!$G$53)*IF(O2415&lt;0,-1,1)</f>
        <v>1662039.1047339395</v>
      </c>
      <c r="V2415" s="472">
        <f t="shared" si="168"/>
        <v>-7277056.9662679723</v>
      </c>
      <c r="W2415" s="551"/>
      <c r="X2415" s="551"/>
    </row>
    <row r="2416" spans="1:24" x14ac:dyDescent="0.25">
      <c r="A2416" s="545">
        <f t="shared" si="167"/>
        <v>7370971.4607363744</v>
      </c>
      <c r="B2416" s="3">
        <f t="shared" si="169"/>
        <v>20.49999999999995</v>
      </c>
      <c r="C2416" s="545">
        <f>'Foglio deposito bis'!$E$162/sezione!$B$247*B2416</f>
        <v>221.1382130791672</v>
      </c>
      <c r="D2416" s="603">
        <f>-'Sollecitazioni nel paramento'!$G$47*'Sollecitazioni nel paramento'!$G$41*IF(DATI!$G$211="dx",DATI!$E$61,DATI!$E$64*DATI!$E$63)*1000*C2416^2*sezione!$AD$5*(1-sezione!$AD$6)</f>
        <v>-1088005815.9138474</v>
      </c>
      <c r="E2416" s="545">
        <f>-'Foglio deposito bis'!$F$88*(C2416-sezione!$AL$36)*IF(ABS(K2416)&lt;'Sollecitazioni nel paramento'!$G$58,ABS(K2416)*'Sollecitazioni nel paramento'!$G$54,'Sollecitazioni nel paramento'!$G$53)</f>
        <v>0</v>
      </c>
      <c r="F2416" s="545">
        <f>-'Foglio deposito bis'!$F$89*(C2416-sezione!$AM$36)*IF(ABS(L2416)&lt;'Sollecitazioni nel paramento'!$G$58,ABS(L2416)*'Sollecitazioni nel paramento'!$G$54,'Sollecitazioni nel paramento'!$G$53)</f>
        <v>-24761280.640211336</v>
      </c>
      <c r="G2416" s="545">
        <f>-'Foglio deposito bis'!$F$90*(C2416-sezione!$AN$36)*IF(ABS(M2416)&lt;'Sollecitazioni nel paramento'!$G$58,ABS(M2416)*'Sollecitazioni nel paramento'!$G$54,'Sollecitazioni nel paramento'!$G$53)</f>
        <v>0</v>
      </c>
      <c r="H2416" s="545">
        <f>-'Foglio deposito bis'!$F$91*(C2416-sezione!$AO$36)*IF(ABS(N2416)&lt;'Sollecitazioni nel paramento'!$G$58,ABS(N2416)*'Sollecitazioni nel paramento'!$G$54,'Sollecitazioni nel paramento'!$G$53)</f>
        <v>-27796073.065083832</v>
      </c>
      <c r="I2416" s="472">
        <f>-'Foglio deposito bis'!$F$92*(C2416-sezione!$AP$36)*IF(ABS(O2416)&lt;'Sollecitazioni nel paramento'!$G$58,ABS(O2416)*'Sollecitazioni nel paramento'!$G$54,'Sollecitazioni nel paramento'!$G$53)</f>
        <v>890916245.59450936</v>
      </c>
      <c r="J2416" s="472">
        <f t="shared" si="166"/>
        <v>-249646924.02463317</v>
      </c>
      <c r="K2416" s="550">
        <f>'Sollecitazioni nel paramento'!$G$60*(sezione!$AL$36-C2416)/C2416</f>
        <v>-2.8669117695643126E-3</v>
      </c>
      <c r="L2416" s="550">
        <f>'Sollecitazioni nel paramento'!$G$60*(sezione!$AM$36-C2416)/C2416</f>
        <v>-2.5503676543464685E-3</v>
      </c>
      <c r="M2416" s="551">
        <f>'Sollecitazioni nel paramento'!$G$60*(sezione!$AN$36-C2416)/C2416</f>
        <v>-2.2338235391286248E-3</v>
      </c>
      <c r="N2416" s="551">
        <f>'Sollecitazioni nel paramento'!$G$60*(sezione!$AO$36-C2416)/C2416</f>
        <v>-9.676470782572494E-4</v>
      </c>
      <c r="O2416" s="551">
        <f>'Sollecitazioni nel paramento'!$G$60*(sezione!$AP$36-C2416)/C2416</f>
        <v>8.4839849402960424E-3</v>
      </c>
      <c r="P2416" s="545">
        <f>-'Sollecitazioni nel paramento'!$G$47*'Sollecitazioni nel paramento'!$G$41*IF(DATI!$G$211="dx",DATI!$E$61,DATI!$E$64*DATI!$E$63)*1000*C2416*sezione!$AD$5</f>
        <v>-8424702.503677031</v>
      </c>
      <c r="Q2416" s="545">
        <f>'Foglio deposito bis'!$F$88*IF(ABS(K2416)&lt;'Sollecitazioni nel paramento'!$G$58,ABS(K2416)*'Sollecitazioni nel paramento'!$G$54,'Sollecitazioni nel paramento'!$G$53)*IF(K2416&lt;0,-1,1)</f>
        <v>0</v>
      </c>
      <c r="R2416" s="545">
        <f>'Foglio deposito bis'!$F$89*IF(ABS(L2416)&lt;'Sollecitazioni nel paramento'!$G$58,ABS(L2416)*'Sollecitazioni nel paramento'!$G$54,'Sollecitazioni nel paramento'!$G$53)*IF(L2416&lt;0,-1,1)</f>
        <v>-153664.85805602249</v>
      </c>
      <c r="S2416" s="545">
        <f>'Foglio deposito bis'!$F$90*IF(ABS(M2416)&lt;'Sollecitazioni nel paramento'!$G$58,ABS(M2416)*'Sollecitazioni nel paramento'!$G$54,'Sollecitazioni nel paramento'!$G$53)*IF(M2416&lt;0,-1,1)</f>
        <v>0</v>
      </c>
      <c r="T2416" s="545">
        <f>'Foglio deposito bis'!$F$91*IF(ABS(N2416)&lt;'Sollecitazioni nel paramento'!$G$58,ABS(N2416)*'Sollecitazioni nel paramento'!$G$54,'Sollecitazioni nel paramento'!$G$53)*IF(N2416&lt;0,-1,1)</f>
        <v>-454643.20373726002</v>
      </c>
      <c r="U2416" s="545">
        <f>'Foglio deposito bis'!$F$92*IF(ABS(O2416)&lt;'Sollecitazioni nel paramento'!$G$58,ABS(O2416)*'Sollecitazioni nel paramento'!$G$54,'Sollecitazioni nel paramento'!$G$53)*IF(O2416&lt;0,-1,1)</f>
        <v>1662039.1047339395</v>
      </c>
      <c r="V2416" s="472">
        <f t="shared" si="168"/>
        <v>-7370971.4607363744</v>
      </c>
      <c r="W2416" s="551"/>
      <c r="X2416" s="551"/>
    </row>
    <row r="2417" spans="1:24" x14ac:dyDescent="0.25">
      <c r="A2417" s="545">
        <f t="shared" si="167"/>
        <v>7464659.4378150096</v>
      </c>
      <c r="B2417" s="3">
        <f t="shared" si="169"/>
        <v>20.69999999999995</v>
      </c>
      <c r="C2417" s="545">
        <f>'Foglio deposito bis'!$E$162/sezione!$B$247*B2417</f>
        <v>223.29565906042737</v>
      </c>
      <c r="D2417" s="603">
        <f>-'Sollecitazioni nel paramento'!$G$47*'Sollecitazioni nel paramento'!$G$41*IF(DATI!$G$211="dx",DATI!$E$61,DATI!$E$64*DATI!$E$63)*1000*C2417^2*sezione!$AD$5*(1-sezione!$AD$6)</f>
        <v>-1109338755.6476488</v>
      </c>
      <c r="E2417" s="545">
        <f>-'Foglio deposito bis'!$F$88*(C2417-sezione!$AL$36)*IF(ABS(K2417)&lt;'Sollecitazioni nel paramento'!$G$58,ABS(K2417)*'Sollecitazioni nel paramento'!$G$54,'Sollecitazioni nel paramento'!$G$53)</f>
        <v>0</v>
      </c>
      <c r="F2417" s="545">
        <f>-'Foglio deposito bis'!$F$89*(C2417-sezione!$AM$36)*IF(ABS(L2417)&lt;'Sollecitazioni nel paramento'!$G$58,ABS(L2417)*'Sollecitazioni nel paramento'!$G$54,'Sollecitazioni nel paramento'!$G$53)</f>
        <v>-25092804.270685215</v>
      </c>
      <c r="G2417" s="545">
        <f>-'Foglio deposito bis'!$F$90*(C2417-sezione!$AN$36)*IF(ABS(M2417)&lt;'Sollecitazioni nel paramento'!$G$58,ABS(M2417)*'Sollecitazioni nel paramento'!$G$54,'Sollecitazioni nel paramento'!$G$53)</f>
        <v>0</v>
      </c>
      <c r="H2417" s="545">
        <f>-'Foglio deposito bis'!$F$91*(C2417-sezione!$AO$36)*IF(ABS(N2417)&lt;'Sollecitazioni nel paramento'!$G$58,ABS(N2417)*'Sollecitazioni nel paramento'!$G$54,'Sollecitazioni nel paramento'!$G$53)</f>
        <v>-29504572.767190151</v>
      </c>
      <c r="I2417" s="472">
        <f>-'Foglio deposito bis'!$F$92*(C2417-sezione!$AP$36)*IF(ABS(O2417)&lt;'Sollecitazioni nel paramento'!$G$58,ABS(O2417)*'Sollecitazioni nel paramento'!$G$54,'Sollecitazioni nel paramento'!$G$53)</f>
        <v>887330486.00730383</v>
      </c>
      <c r="J2417" s="472">
        <f t="shared" si="166"/>
        <v>-276605646.67822039</v>
      </c>
      <c r="K2417" s="550">
        <f>'Sollecitazioni nel paramento'!$G$60*(sezione!$AL$36-C2417)/C2417</f>
        <v>-2.8730285640612752E-3</v>
      </c>
      <c r="L2417" s="550">
        <f>'Sollecitazioni nel paramento'!$G$60*(sezione!$AM$36-C2417)/C2417</f>
        <v>-2.5595428460919133E-3</v>
      </c>
      <c r="M2417" s="551">
        <f>'Sollecitazioni nel paramento'!$G$60*(sezione!$AN$36-C2417)/C2417</f>
        <v>-2.2460571281225509E-3</v>
      </c>
      <c r="N2417" s="551">
        <f>'Sollecitazioni nel paramento'!$G$60*(sezione!$AO$36-C2417)/C2417</f>
        <v>-9.9211425624510206E-4</v>
      </c>
      <c r="O2417" s="551">
        <f>'Sollecitazioni nel paramento'!$G$60*(sezione!$AP$36-C2417)/C2417</f>
        <v>8.3681976461869017E-3</v>
      </c>
      <c r="P2417" s="545">
        <f>-'Sollecitazioni nel paramento'!$G$47*'Sollecitazioni nel paramento'!$G$41*IF(DATI!$G$211="dx",DATI!$E$61,DATI!$E$64*DATI!$E$63)*1000*C2417*sezione!$AD$5</f>
        <v>-8506894.7232251</v>
      </c>
      <c r="Q2417" s="545">
        <f>'Foglio deposito bis'!$F$88*IF(ABS(K2417)&lt;'Sollecitazioni nel paramento'!$G$58,ABS(K2417)*'Sollecitazioni nel paramento'!$G$54,'Sollecitazioni nel paramento'!$G$53)*IF(K2417&lt;0,-1,1)</f>
        <v>0</v>
      </c>
      <c r="R2417" s="545">
        <f>'Foglio deposito bis'!$F$89*IF(ABS(L2417)&lt;'Sollecitazioni nel paramento'!$G$58,ABS(L2417)*'Sollecitazioni nel paramento'!$G$54,'Sollecitazioni nel paramento'!$G$53)*IF(L2417&lt;0,-1,1)</f>
        <v>-153664.85805602249</v>
      </c>
      <c r="S2417" s="545">
        <f>'Foglio deposito bis'!$F$90*IF(ABS(M2417)&lt;'Sollecitazioni nel paramento'!$G$58,ABS(M2417)*'Sollecitazioni nel paramento'!$G$54,'Sollecitazioni nel paramento'!$G$53)*IF(M2417&lt;0,-1,1)</f>
        <v>0</v>
      </c>
      <c r="T2417" s="545">
        <f>'Foglio deposito bis'!$F$91*IF(ABS(N2417)&lt;'Sollecitazioni nel paramento'!$G$58,ABS(N2417)*'Sollecitazioni nel paramento'!$G$54,'Sollecitazioni nel paramento'!$G$53)*IF(N2417&lt;0,-1,1)</f>
        <v>-466138.9612678272</v>
      </c>
      <c r="U2417" s="545">
        <f>'Foglio deposito bis'!$F$92*IF(ABS(O2417)&lt;'Sollecitazioni nel paramento'!$G$58,ABS(O2417)*'Sollecitazioni nel paramento'!$G$54,'Sollecitazioni nel paramento'!$G$53)*IF(O2417&lt;0,-1,1)</f>
        <v>1662039.1047339395</v>
      </c>
      <c r="V2417" s="472">
        <f t="shared" si="168"/>
        <v>-7464659.4378150096</v>
      </c>
      <c r="W2417" s="551"/>
      <c r="X2417" s="551"/>
    </row>
    <row r="2418" spans="1:24" x14ac:dyDescent="0.25">
      <c r="A2418" s="545">
        <f t="shared" si="167"/>
        <v>7558127.400395452</v>
      </c>
      <c r="B2418" s="3">
        <f t="shared" si="169"/>
        <v>20.899999999999949</v>
      </c>
      <c r="C2418" s="545">
        <f>'Foglio deposito bis'!$E$162/sezione!$B$247*B2418</f>
        <v>225.45310504168754</v>
      </c>
      <c r="D2418" s="603">
        <f>-'Sollecitazioni nel paramento'!$G$47*'Sollecitazioni nel paramento'!$G$41*IF(DATI!$G$211="dx",DATI!$E$61,DATI!$E$64*DATI!$E$63)*1000*C2418^2*sezione!$AD$5*(1-sezione!$AD$6)</f>
        <v>-1130878811.3011961</v>
      </c>
      <c r="E2418" s="545">
        <f>-'Foglio deposito bis'!$F$88*(C2418-sezione!$AL$36)*IF(ABS(K2418)&lt;'Sollecitazioni nel paramento'!$G$58,ABS(K2418)*'Sollecitazioni nel paramento'!$G$54,'Sollecitazioni nel paramento'!$G$53)</f>
        <v>0</v>
      </c>
      <c r="F2418" s="545">
        <f>-'Foglio deposito bis'!$F$89*(C2418-sezione!$AM$36)*IF(ABS(L2418)&lt;'Sollecitazioni nel paramento'!$G$58,ABS(L2418)*'Sollecitazioni nel paramento'!$G$54,'Sollecitazioni nel paramento'!$G$53)</f>
        <v>-25424327.901159093</v>
      </c>
      <c r="G2418" s="545">
        <f>-'Foglio deposito bis'!$F$90*(C2418-sezione!$AN$36)*IF(ABS(M2418)&lt;'Sollecitazioni nel paramento'!$G$58,ABS(M2418)*'Sollecitazioni nel paramento'!$G$54,'Sollecitazioni nel paramento'!$G$53)</f>
        <v>0</v>
      </c>
      <c r="H2418" s="545">
        <f>-'Foglio deposito bis'!$F$91*(C2418-sezione!$AO$36)*IF(ABS(N2418)&lt;'Sollecitazioni nel paramento'!$G$58,ABS(N2418)*'Sollecitazioni nel paramento'!$G$54,'Sollecitazioni nel paramento'!$G$53)</f>
        <v>-31248274.789007306</v>
      </c>
      <c r="I2418" s="472">
        <f>-'Foglio deposito bis'!$F$92*(C2418-sezione!$AP$36)*IF(ABS(O2418)&lt;'Sollecitazioni nel paramento'!$G$58,ABS(O2418)*'Sollecitazioni nel paramento'!$G$54,'Sollecitazioni nel paramento'!$G$53)</f>
        <v>883744726.42009842</v>
      </c>
      <c r="J2418" s="472">
        <f t="shared" si="166"/>
        <v>-303806687.57126415</v>
      </c>
      <c r="K2418" s="550">
        <f>'Sollecitazioni nel paramento'!$G$60*(sezione!$AL$36-C2418)/C2418</f>
        <v>-2.879028290720976E-3</v>
      </c>
      <c r="L2418" s="550">
        <f>'Sollecitazioni nel paramento'!$G$60*(sezione!$AM$36-C2418)/C2418</f>
        <v>-2.5685424360814644E-3</v>
      </c>
      <c r="M2418" s="551">
        <f>'Sollecitazioni nel paramento'!$G$60*(sezione!$AN$36-C2418)/C2418</f>
        <v>-2.2580565814419523E-3</v>
      </c>
      <c r="N2418" s="551">
        <f>'Sollecitazioni nel paramento'!$G$60*(sezione!$AO$36-C2418)/C2418</f>
        <v>-1.0161131628839051E-3</v>
      </c>
      <c r="O2418" s="551">
        <f>'Sollecitazioni nel paramento'!$G$60*(sezione!$AP$36-C2418)/C2418</f>
        <v>8.2546263768454014E-3</v>
      </c>
      <c r="P2418" s="545">
        <f>-'Sollecitazioni nel paramento'!$G$47*'Sollecitazioni nel paramento'!$G$41*IF(DATI!$G$211="dx",DATI!$E$61,DATI!$E$64*DATI!$E$63)*1000*C2418*sezione!$AD$5</f>
        <v>-8589086.942773167</v>
      </c>
      <c r="Q2418" s="545">
        <f>'Foglio deposito bis'!$F$88*IF(ABS(K2418)&lt;'Sollecitazioni nel paramento'!$G$58,ABS(K2418)*'Sollecitazioni nel paramento'!$G$54,'Sollecitazioni nel paramento'!$G$53)*IF(K2418&lt;0,-1,1)</f>
        <v>0</v>
      </c>
      <c r="R2418" s="545">
        <f>'Foglio deposito bis'!$F$89*IF(ABS(L2418)&lt;'Sollecitazioni nel paramento'!$G$58,ABS(L2418)*'Sollecitazioni nel paramento'!$G$54,'Sollecitazioni nel paramento'!$G$53)*IF(L2418&lt;0,-1,1)</f>
        <v>-153664.85805602249</v>
      </c>
      <c r="S2418" s="545">
        <f>'Foglio deposito bis'!$F$90*IF(ABS(M2418)&lt;'Sollecitazioni nel paramento'!$G$58,ABS(M2418)*'Sollecitazioni nel paramento'!$G$54,'Sollecitazioni nel paramento'!$G$53)*IF(M2418&lt;0,-1,1)</f>
        <v>0</v>
      </c>
      <c r="T2418" s="545">
        <f>'Foglio deposito bis'!$F$91*IF(ABS(N2418)&lt;'Sollecitazioni nel paramento'!$G$58,ABS(N2418)*'Sollecitazioni nel paramento'!$G$54,'Sollecitazioni nel paramento'!$G$53)*IF(N2418&lt;0,-1,1)</f>
        <v>-477414.70430020179</v>
      </c>
      <c r="U2418" s="545">
        <f>'Foglio deposito bis'!$F$92*IF(ABS(O2418)&lt;'Sollecitazioni nel paramento'!$G$58,ABS(O2418)*'Sollecitazioni nel paramento'!$G$54,'Sollecitazioni nel paramento'!$G$53)*IF(O2418&lt;0,-1,1)</f>
        <v>1662039.1047339395</v>
      </c>
      <c r="V2418" s="472">
        <f t="shared" si="168"/>
        <v>-7558127.400395452</v>
      </c>
      <c r="W2418" s="551"/>
      <c r="X2418" s="551"/>
    </row>
    <row r="2419" spans="1:24" x14ac:dyDescent="0.25">
      <c r="A2419" s="545">
        <f t="shared" si="167"/>
        <v>7651381.6048141429</v>
      </c>
      <c r="B2419" s="3">
        <f t="shared" si="169"/>
        <v>21.099999999999948</v>
      </c>
      <c r="C2419" s="545">
        <f>'Foglio deposito bis'!$E$162/sezione!$B$247*B2419</f>
        <v>227.6105510229477</v>
      </c>
      <c r="D2419" s="603">
        <f>-'Sollecitazioni nel paramento'!$G$47*'Sollecitazioni nel paramento'!$G$41*IF(DATI!$G$211="dx",DATI!$E$61,DATI!$E$64*DATI!$E$63)*1000*C2419^2*sezione!$AD$5*(1-sezione!$AD$6)</f>
        <v>-1152625982.8744891</v>
      </c>
      <c r="E2419" s="545">
        <f>-'Foglio deposito bis'!$F$88*(C2419-sezione!$AL$36)*IF(ABS(K2419)&lt;'Sollecitazioni nel paramento'!$G$58,ABS(K2419)*'Sollecitazioni nel paramento'!$G$54,'Sollecitazioni nel paramento'!$G$53)</f>
        <v>0</v>
      </c>
      <c r="F2419" s="545">
        <f>-'Foglio deposito bis'!$F$89*(C2419-sezione!$AM$36)*IF(ABS(L2419)&lt;'Sollecitazioni nel paramento'!$G$58,ABS(L2419)*'Sollecitazioni nel paramento'!$G$54,'Sollecitazioni nel paramento'!$G$53)</f>
        <v>-25755851.531632978</v>
      </c>
      <c r="G2419" s="545">
        <f>-'Foglio deposito bis'!$F$90*(C2419-sezione!$AN$36)*IF(ABS(M2419)&lt;'Sollecitazioni nel paramento'!$G$58,ABS(M2419)*'Sollecitazioni nel paramento'!$G$54,'Sollecitazioni nel paramento'!$G$53)</f>
        <v>0</v>
      </c>
      <c r="H2419" s="545">
        <f>-'Foglio deposito bis'!$F$91*(C2419-sezione!$AO$36)*IF(ABS(N2419)&lt;'Sollecitazioni nel paramento'!$G$58,ABS(N2419)*'Sollecitazioni nel paramento'!$G$54,'Sollecitazioni nel paramento'!$G$53)</f>
        <v>-33026178.116704635</v>
      </c>
      <c r="I2419" s="472">
        <f>-'Foglio deposito bis'!$F$92*(C2419-sezione!$AP$36)*IF(ABS(O2419)&lt;'Sollecitazioni nel paramento'!$G$58,ABS(O2419)*'Sollecitazioni nel paramento'!$G$54,'Sollecitazioni nel paramento'!$G$53)</f>
        <v>880158966.83289301</v>
      </c>
      <c r="J2419" s="472">
        <f t="shared" si="166"/>
        <v>-331249045.68993366</v>
      </c>
      <c r="K2419" s="550">
        <f>'Sollecitazioni nel paramento'!$G$60*(sezione!$AL$36-C2419)/C2419</f>
        <v>-2.884914278486654E-3</v>
      </c>
      <c r="L2419" s="550">
        <f>'Sollecitazioni nel paramento'!$G$60*(sezione!$AM$36-C2419)/C2419</f>
        <v>-2.5773714177299814E-3</v>
      </c>
      <c r="M2419" s="551">
        <f>'Sollecitazioni nel paramento'!$G$60*(sezione!$AN$36-C2419)/C2419</f>
        <v>-2.2698285569733084E-3</v>
      </c>
      <c r="N2419" s="551">
        <f>'Sollecitazioni nel paramento'!$G$60*(sezione!$AO$36-C2419)/C2419</f>
        <v>-1.0396571139466167E-3</v>
      </c>
      <c r="O2419" s="551">
        <f>'Sollecitazioni nel paramento'!$G$60*(sezione!$AP$36-C2419)/C2419</f>
        <v>8.143208117349237E-3</v>
      </c>
      <c r="P2419" s="545">
        <f>-'Sollecitazioni nel paramento'!$G$47*'Sollecitazioni nel paramento'!$G$41*IF(DATI!$G$211="dx",DATI!$E$61,DATI!$E$64*DATI!$E$63)*1000*C2419*sezione!$AD$5</f>
        <v>-8671279.162321236</v>
      </c>
      <c r="Q2419" s="545">
        <f>'Foglio deposito bis'!$F$88*IF(ABS(K2419)&lt;'Sollecitazioni nel paramento'!$G$58,ABS(K2419)*'Sollecitazioni nel paramento'!$G$54,'Sollecitazioni nel paramento'!$G$53)*IF(K2419&lt;0,-1,1)</f>
        <v>0</v>
      </c>
      <c r="R2419" s="545">
        <f>'Foglio deposito bis'!$F$89*IF(ABS(L2419)&lt;'Sollecitazioni nel paramento'!$G$58,ABS(L2419)*'Sollecitazioni nel paramento'!$G$54,'Sollecitazioni nel paramento'!$G$53)*IF(L2419&lt;0,-1,1)</f>
        <v>-153664.85805602249</v>
      </c>
      <c r="S2419" s="545">
        <f>'Foglio deposito bis'!$F$90*IF(ABS(M2419)&lt;'Sollecitazioni nel paramento'!$G$58,ABS(M2419)*'Sollecitazioni nel paramento'!$G$54,'Sollecitazioni nel paramento'!$G$53)*IF(M2419&lt;0,-1,1)</f>
        <v>0</v>
      </c>
      <c r="T2419" s="545">
        <f>'Foglio deposito bis'!$F$91*IF(ABS(N2419)&lt;'Sollecitazioni nel paramento'!$G$58,ABS(N2419)*'Sollecitazioni nel paramento'!$G$54,'Sollecitazioni nel paramento'!$G$53)*IF(N2419&lt;0,-1,1)</f>
        <v>-488476.68917082506</v>
      </c>
      <c r="U2419" s="545">
        <f>'Foglio deposito bis'!$F$92*IF(ABS(O2419)&lt;'Sollecitazioni nel paramento'!$G$58,ABS(O2419)*'Sollecitazioni nel paramento'!$G$54,'Sollecitazioni nel paramento'!$G$53)*IF(O2419&lt;0,-1,1)</f>
        <v>1662039.1047339395</v>
      </c>
      <c r="V2419" s="472">
        <f t="shared" si="168"/>
        <v>-7651381.6048141429</v>
      </c>
      <c r="W2419" s="551"/>
      <c r="X2419" s="551"/>
    </row>
    <row r="2420" spans="1:24" x14ac:dyDescent="0.25">
      <c r="A2420" s="545">
        <f t="shared" si="167"/>
        <v>7744428.0724277543</v>
      </c>
      <c r="B2420" s="3">
        <f t="shared" si="169"/>
        <v>21.299999999999947</v>
      </c>
      <c r="C2420" s="545">
        <f>'Foglio deposito bis'!$E$162/sezione!$B$247*B2420</f>
        <v>229.76799700420787</v>
      </c>
      <c r="D2420" s="603">
        <f>-'Sollecitazioni nel paramento'!$G$47*'Sollecitazioni nel paramento'!$G$41*IF(DATI!$G$211="dx",DATI!$E$61,DATI!$E$64*DATI!$E$63)*1000*C2420^2*sezione!$AD$5*(1-sezione!$AD$6)</f>
        <v>-1174580270.3675275</v>
      </c>
      <c r="E2420" s="545">
        <f>-'Foglio deposito bis'!$F$88*(C2420-sezione!$AL$36)*IF(ABS(K2420)&lt;'Sollecitazioni nel paramento'!$G$58,ABS(K2420)*'Sollecitazioni nel paramento'!$G$54,'Sollecitazioni nel paramento'!$G$53)</f>
        <v>0</v>
      </c>
      <c r="F2420" s="545">
        <f>-'Foglio deposito bis'!$F$89*(C2420-sezione!$AM$36)*IF(ABS(L2420)&lt;'Sollecitazioni nel paramento'!$G$58,ABS(L2420)*'Sollecitazioni nel paramento'!$G$54,'Sollecitazioni nel paramento'!$G$53)</f>
        <v>-26087375.162106853</v>
      </c>
      <c r="G2420" s="545">
        <f>-'Foglio deposito bis'!$F$90*(C2420-sezione!$AN$36)*IF(ABS(M2420)&lt;'Sollecitazioni nel paramento'!$G$58,ABS(M2420)*'Sollecitazioni nel paramento'!$G$54,'Sollecitazioni nel paramento'!$G$53)</f>
        <v>0</v>
      </c>
      <c r="H2420" s="545">
        <f>-'Foglio deposito bis'!$F$91*(C2420-sezione!$AO$36)*IF(ABS(N2420)&lt;'Sollecitazioni nel paramento'!$G$58,ABS(N2420)*'Sollecitazioni nel paramento'!$G$54,'Sollecitazioni nel paramento'!$G$53)</f>
        <v>-34837319.33321511</v>
      </c>
      <c r="I2420" s="472">
        <f>-'Foglio deposito bis'!$F$92*(C2420-sezione!$AP$36)*IF(ABS(O2420)&lt;'Sollecitazioni nel paramento'!$G$58,ABS(O2420)*'Sollecitazioni nel paramento'!$G$54,'Sollecitazioni nel paramento'!$G$53)</f>
        <v>876573207.24568725</v>
      </c>
      <c r="J2420" s="472">
        <f t="shared" si="166"/>
        <v>-358931757.61716199</v>
      </c>
      <c r="K2420" s="550">
        <f>'Sollecitazioni nel paramento'!$G$60*(sezione!$AL$36-C2420)/C2420</f>
        <v>-2.890689731270817E-3</v>
      </c>
      <c r="L2420" s="550">
        <f>'Sollecitazioni nel paramento'!$G$60*(sezione!$AM$36-C2420)/C2420</f>
        <v>-2.5860345969062255E-3</v>
      </c>
      <c r="M2420" s="551">
        <f>'Sollecitazioni nel paramento'!$G$60*(sezione!$AN$36-C2420)/C2420</f>
        <v>-2.2813794625416339E-3</v>
      </c>
      <c r="N2420" s="551">
        <f>'Sollecitazioni nel paramento'!$G$60*(sezione!$AO$36-C2420)/C2420</f>
        <v>-1.0627589250832683E-3</v>
      </c>
      <c r="O2420" s="551">
        <f>'Sollecitazioni nel paramento'!$G$60*(sezione!$AP$36-C2420)/C2420</f>
        <v>8.0338822195337497E-3</v>
      </c>
      <c r="P2420" s="545">
        <f>-'Sollecitazioni nel paramento'!$G$47*'Sollecitazioni nel paramento'!$G$41*IF(DATI!$G$211="dx",DATI!$E$61,DATI!$E$64*DATI!$E$63)*1000*C2420*sezione!$AD$5</f>
        <v>-8753471.3818693049</v>
      </c>
      <c r="Q2420" s="545">
        <f>'Foglio deposito bis'!$F$88*IF(ABS(K2420)&lt;'Sollecitazioni nel paramento'!$G$58,ABS(K2420)*'Sollecitazioni nel paramento'!$G$54,'Sollecitazioni nel paramento'!$G$53)*IF(K2420&lt;0,-1,1)</f>
        <v>0</v>
      </c>
      <c r="R2420" s="545">
        <f>'Foglio deposito bis'!$F$89*IF(ABS(L2420)&lt;'Sollecitazioni nel paramento'!$G$58,ABS(L2420)*'Sollecitazioni nel paramento'!$G$54,'Sollecitazioni nel paramento'!$G$53)*IF(L2420&lt;0,-1,1)</f>
        <v>-153664.85805602249</v>
      </c>
      <c r="S2420" s="545">
        <f>'Foglio deposito bis'!$F$90*IF(ABS(M2420)&lt;'Sollecitazioni nel paramento'!$G$58,ABS(M2420)*'Sollecitazioni nel paramento'!$G$54,'Sollecitazioni nel paramento'!$G$53)*IF(M2420&lt;0,-1,1)</f>
        <v>0</v>
      </c>
      <c r="T2420" s="545">
        <f>'Foglio deposito bis'!$F$91*IF(ABS(N2420)&lt;'Sollecitazioni nel paramento'!$G$58,ABS(N2420)*'Sollecitazioni nel paramento'!$G$54,'Sollecitazioni nel paramento'!$G$53)*IF(N2420&lt;0,-1,1)</f>
        <v>-499330.93723636627</v>
      </c>
      <c r="U2420" s="545">
        <f>'Foglio deposito bis'!$F$92*IF(ABS(O2420)&lt;'Sollecitazioni nel paramento'!$G$58,ABS(O2420)*'Sollecitazioni nel paramento'!$G$54,'Sollecitazioni nel paramento'!$G$53)*IF(O2420&lt;0,-1,1)</f>
        <v>1662039.1047339395</v>
      </c>
      <c r="V2420" s="472">
        <f t="shared" si="168"/>
        <v>-7744428.0724277543</v>
      </c>
      <c r="W2420" s="551"/>
      <c r="X2420" s="551"/>
    </row>
    <row r="2421" spans="1:24" x14ac:dyDescent="0.25">
      <c r="A2421" s="545">
        <f t="shared" si="167"/>
        <v>7837272.6005424699</v>
      </c>
      <c r="B2421" s="3">
        <f t="shared" si="169"/>
        <v>21.499999999999947</v>
      </c>
      <c r="C2421" s="545">
        <f>'Foglio deposito bis'!$E$162/sezione!$B$247*B2421</f>
        <v>231.92544298546804</v>
      </c>
      <c r="D2421" s="603">
        <f>-'Sollecitazioni nel paramento'!$G$47*'Sollecitazioni nel paramento'!$G$41*IF(DATI!$G$211="dx",DATI!$E$61,DATI!$E$64*DATI!$E$63)*1000*C2421^2*sezione!$AD$5*(1-sezione!$AD$6)</f>
        <v>-1196741673.7803118</v>
      </c>
      <c r="E2421" s="545">
        <f>-'Foglio deposito bis'!$F$88*(C2421-sezione!$AL$36)*IF(ABS(K2421)&lt;'Sollecitazioni nel paramento'!$G$58,ABS(K2421)*'Sollecitazioni nel paramento'!$G$54,'Sollecitazioni nel paramento'!$G$53)</f>
        <v>0</v>
      </c>
      <c r="F2421" s="545">
        <f>-'Foglio deposito bis'!$F$89*(C2421-sezione!$AM$36)*IF(ABS(L2421)&lt;'Sollecitazioni nel paramento'!$G$58,ABS(L2421)*'Sollecitazioni nel paramento'!$G$54,'Sollecitazioni nel paramento'!$G$53)</f>
        <v>-26418898.792580731</v>
      </c>
      <c r="G2421" s="545">
        <f>-'Foglio deposito bis'!$F$90*(C2421-sezione!$AN$36)*IF(ABS(M2421)&lt;'Sollecitazioni nel paramento'!$G$58,ABS(M2421)*'Sollecitazioni nel paramento'!$G$54,'Sollecitazioni nel paramento'!$G$53)</f>
        <v>0</v>
      </c>
      <c r="H2421" s="545">
        <f>-'Foglio deposito bis'!$F$91*(C2421-sezione!$AO$36)*IF(ABS(N2421)&lt;'Sollecitazioni nel paramento'!$G$58,ABS(N2421)*'Sollecitazioni nel paramento'!$G$54,'Sollecitazioni nel paramento'!$G$53)</f>
        <v>-36680770.869548596</v>
      </c>
      <c r="I2421" s="472">
        <f>-'Foglio deposito bis'!$F$92*(C2421-sezione!$AP$36)*IF(ABS(O2421)&lt;'Sollecitazioni nel paramento'!$G$58,ABS(O2421)*'Sollecitazioni nel paramento'!$G$54,'Sollecitazioni nel paramento'!$G$53)</f>
        <v>872987447.65848172</v>
      </c>
      <c r="J2421" s="472">
        <f t="shared" si="166"/>
        <v>-386853895.78395951</v>
      </c>
      <c r="K2421" s="550">
        <f>'Sollecitazioni nel paramento'!$G$60*(sezione!$AL$36-C2421)/C2421</f>
        <v>-2.8963577337706237E-3</v>
      </c>
      <c r="L2421" s="550">
        <f>'Sollecitazioni nel paramento'!$G$60*(sezione!$AM$36-C2421)/C2421</f>
        <v>-2.5945366006559349E-3</v>
      </c>
      <c r="M2421" s="551">
        <f>'Sollecitazioni nel paramento'!$G$60*(sezione!$AN$36-C2421)/C2421</f>
        <v>-2.2927154675412469E-3</v>
      </c>
      <c r="N2421" s="551">
        <f>'Sollecitazioni nel paramento'!$G$60*(sezione!$AO$36-C2421)/C2421</f>
        <v>-1.0854309350824937E-3</v>
      </c>
      <c r="O2421" s="551">
        <f>'Sollecitazioni nel paramento'!$G$60*(sezione!$AP$36-C2421)/C2421</f>
        <v>7.9265902919101808E-3</v>
      </c>
      <c r="P2421" s="545">
        <f>-'Sollecitazioni nel paramento'!$G$47*'Sollecitazioni nel paramento'!$G$41*IF(DATI!$G$211="dx",DATI!$E$61,DATI!$E$64*DATI!$E$63)*1000*C2421*sezione!$AD$5</f>
        <v>-8835663.6014173739</v>
      </c>
      <c r="Q2421" s="545">
        <f>'Foglio deposito bis'!$F$88*IF(ABS(K2421)&lt;'Sollecitazioni nel paramento'!$G$58,ABS(K2421)*'Sollecitazioni nel paramento'!$G$54,'Sollecitazioni nel paramento'!$G$53)*IF(K2421&lt;0,-1,1)</f>
        <v>0</v>
      </c>
      <c r="R2421" s="545">
        <f>'Foglio deposito bis'!$F$89*IF(ABS(L2421)&lt;'Sollecitazioni nel paramento'!$G$58,ABS(L2421)*'Sollecitazioni nel paramento'!$G$54,'Sollecitazioni nel paramento'!$G$53)*IF(L2421&lt;0,-1,1)</f>
        <v>-153664.85805602249</v>
      </c>
      <c r="S2421" s="545">
        <f>'Foglio deposito bis'!$F$90*IF(ABS(M2421)&lt;'Sollecitazioni nel paramento'!$G$58,ABS(M2421)*'Sollecitazioni nel paramento'!$G$54,'Sollecitazioni nel paramento'!$G$53)*IF(M2421&lt;0,-1,1)</f>
        <v>0</v>
      </c>
      <c r="T2421" s="545">
        <f>'Foglio deposito bis'!$F$91*IF(ABS(N2421)&lt;'Sollecitazioni nel paramento'!$G$58,ABS(N2421)*'Sollecitazioni nel paramento'!$G$54,'Sollecitazioni nel paramento'!$G$53)*IF(N2421&lt;0,-1,1)</f>
        <v>-509983.24580301373</v>
      </c>
      <c r="U2421" s="545">
        <f>'Foglio deposito bis'!$F$92*IF(ABS(O2421)&lt;'Sollecitazioni nel paramento'!$G$58,ABS(O2421)*'Sollecitazioni nel paramento'!$G$54,'Sollecitazioni nel paramento'!$G$53)*IF(O2421&lt;0,-1,1)</f>
        <v>1662039.1047339395</v>
      </c>
      <c r="V2421" s="472">
        <f t="shared" si="168"/>
        <v>-7837272.6005424699</v>
      </c>
      <c r="W2421" s="551"/>
      <c r="X2421" s="551"/>
    </row>
    <row r="2422" spans="1:24" x14ac:dyDescent="0.25">
      <c r="A2422" s="545">
        <f t="shared" si="167"/>
        <v>7929920.7727389066</v>
      </c>
      <c r="B2422" s="3">
        <f t="shared" si="169"/>
        <v>21.699999999999946</v>
      </c>
      <c r="C2422" s="545">
        <f>'Foglio deposito bis'!$E$162/sezione!$B$247*B2422</f>
        <v>234.08288896672821</v>
      </c>
      <c r="D2422" s="603">
        <f>-'Sollecitazioni nel paramento'!$G$47*'Sollecitazioni nel paramento'!$G$41*IF(DATI!$G$211="dx",DATI!$E$61,DATI!$E$64*DATI!$E$63)*1000*C2422^2*sezione!$AD$5*(1-sezione!$AD$6)</f>
        <v>-1219110193.1128414</v>
      </c>
      <c r="E2422" s="545">
        <f>-'Foglio deposito bis'!$F$88*(C2422-sezione!$AL$36)*IF(ABS(K2422)&lt;'Sollecitazioni nel paramento'!$G$58,ABS(K2422)*'Sollecitazioni nel paramento'!$G$54,'Sollecitazioni nel paramento'!$G$53)</f>
        <v>0</v>
      </c>
      <c r="F2422" s="545">
        <f>-'Foglio deposito bis'!$F$89*(C2422-sezione!$AM$36)*IF(ABS(L2422)&lt;'Sollecitazioni nel paramento'!$G$58,ABS(L2422)*'Sollecitazioni nel paramento'!$G$54,'Sollecitazioni nel paramento'!$G$53)</f>
        <v>-26750422.423054613</v>
      </c>
      <c r="G2422" s="545">
        <f>-'Foglio deposito bis'!$F$90*(C2422-sezione!$AN$36)*IF(ABS(M2422)&lt;'Sollecitazioni nel paramento'!$G$58,ABS(M2422)*'Sollecitazioni nel paramento'!$G$54,'Sollecitazioni nel paramento'!$G$53)</f>
        <v>0</v>
      </c>
      <c r="H2422" s="545">
        <f>-'Foglio deposito bis'!$F$91*(C2422-sezione!$AO$36)*IF(ABS(N2422)&lt;'Sollecitazioni nel paramento'!$G$58,ABS(N2422)*'Sollecitazioni nel paramento'!$G$54,'Sollecitazioni nel paramento'!$G$53)</f>
        <v>-38555639.352806754</v>
      </c>
      <c r="I2422" s="472">
        <f>-'Foglio deposito bis'!$F$92*(C2422-sezione!$AP$36)*IF(ABS(O2422)&lt;'Sollecitazioni nel paramento'!$G$58,ABS(O2422)*'Sollecitazioni nel paramento'!$G$54,'Sollecitazioni nel paramento'!$G$53)</f>
        <v>869401688.07127631</v>
      </c>
      <c r="J2422" s="472">
        <f t="shared" si="166"/>
        <v>-415014566.81742656</v>
      </c>
      <c r="K2422" s="550">
        <f>'Sollecitazioni nel paramento'!$G$60*(sezione!$AL$36-C2422)/C2422</f>
        <v>-2.9019212569616776E-3</v>
      </c>
      <c r="L2422" s="550">
        <f>'Sollecitazioni nel paramento'!$G$60*(sezione!$AM$36-C2422)/C2422</f>
        <v>-2.6028818854425162E-3</v>
      </c>
      <c r="M2422" s="551">
        <f>'Sollecitazioni nel paramento'!$G$60*(sezione!$AN$36-C2422)/C2422</f>
        <v>-2.3038425139233552E-3</v>
      </c>
      <c r="N2422" s="551">
        <f>'Sollecitazioni nel paramento'!$G$60*(sezione!$AO$36-C2422)/C2422</f>
        <v>-1.1076850278467104E-3</v>
      </c>
      <c r="O2422" s="551">
        <f>'Sollecitazioni nel paramento'!$G$60*(sezione!$AP$36-C2422)/C2422</f>
        <v>7.8212760956713773E-3</v>
      </c>
      <c r="P2422" s="545">
        <f>-'Sollecitazioni nel paramento'!$G$47*'Sollecitazioni nel paramento'!$G$41*IF(DATI!$G$211="dx",DATI!$E$61,DATI!$E$64*DATI!$E$63)*1000*C2422*sezione!$AD$5</f>
        <v>-8917855.8209654428</v>
      </c>
      <c r="Q2422" s="545">
        <f>'Foglio deposito bis'!$F$88*IF(ABS(K2422)&lt;'Sollecitazioni nel paramento'!$G$58,ABS(K2422)*'Sollecitazioni nel paramento'!$G$54,'Sollecitazioni nel paramento'!$G$53)*IF(K2422&lt;0,-1,1)</f>
        <v>0</v>
      </c>
      <c r="R2422" s="545">
        <f>'Foglio deposito bis'!$F$89*IF(ABS(L2422)&lt;'Sollecitazioni nel paramento'!$G$58,ABS(L2422)*'Sollecitazioni nel paramento'!$G$54,'Sollecitazioni nel paramento'!$G$53)*IF(L2422&lt;0,-1,1)</f>
        <v>-153664.85805602249</v>
      </c>
      <c r="S2422" s="545">
        <f>'Foglio deposito bis'!$F$90*IF(ABS(M2422)&lt;'Sollecitazioni nel paramento'!$G$58,ABS(M2422)*'Sollecitazioni nel paramento'!$G$54,'Sollecitazioni nel paramento'!$G$53)*IF(M2422&lt;0,-1,1)</f>
        <v>0</v>
      </c>
      <c r="T2422" s="545">
        <f>'Foglio deposito bis'!$F$91*IF(ABS(N2422)&lt;'Sollecitazioni nel paramento'!$G$58,ABS(N2422)*'Sollecitazioni nel paramento'!$G$54,'Sollecitazioni nel paramento'!$G$53)*IF(N2422&lt;0,-1,1)</f>
        <v>-520439.19845138193</v>
      </c>
      <c r="U2422" s="545">
        <f>'Foglio deposito bis'!$F$92*IF(ABS(O2422)&lt;'Sollecitazioni nel paramento'!$G$58,ABS(O2422)*'Sollecitazioni nel paramento'!$G$54,'Sollecitazioni nel paramento'!$G$53)*IF(O2422&lt;0,-1,1)</f>
        <v>1662039.1047339395</v>
      </c>
      <c r="V2422" s="472">
        <f t="shared" si="168"/>
        <v>-7929920.7727389066</v>
      </c>
      <c r="W2422" s="551"/>
      <c r="X2422" s="551"/>
    </row>
    <row r="2423" spans="1:24" x14ac:dyDescent="0.25">
      <c r="A2423" s="545">
        <f t="shared" si="167"/>
        <v>8022377.9686312648</v>
      </c>
      <c r="B2423" s="3">
        <f t="shared" si="169"/>
        <v>21.899999999999945</v>
      </c>
      <c r="C2423" s="545">
        <f>'Foglio deposito bis'!$E$162/sezione!$B$247*B2423</f>
        <v>236.24033494798837</v>
      </c>
      <c r="D2423" s="603">
        <f>-'Sollecitazioni nel paramento'!$G$47*'Sollecitazioni nel paramento'!$G$41*IF(DATI!$G$211="dx",DATI!$E$61,DATI!$E$64*DATI!$E$63)*1000*C2423^2*sezione!$AD$5*(1-sezione!$AD$6)</f>
        <v>-1241685828.3651168</v>
      </c>
      <c r="E2423" s="545">
        <f>-'Foglio deposito bis'!$F$88*(C2423-sezione!$AL$36)*IF(ABS(K2423)&lt;'Sollecitazioni nel paramento'!$G$58,ABS(K2423)*'Sollecitazioni nel paramento'!$G$54,'Sollecitazioni nel paramento'!$G$53)</f>
        <v>0</v>
      </c>
      <c r="F2423" s="545">
        <f>-'Foglio deposito bis'!$F$89*(C2423-sezione!$AM$36)*IF(ABS(L2423)&lt;'Sollecitazioni nel paramento'!$G$58,ABS(L2423)*'Sollecitazioni nel paramento'!$G$54,'Sollecitazioni nel paramento'!$G$53)</f>
        <v>-27081946.053528495</v>
      </c>
      <c r="G2423" s="545">
        <f>-'Foglio deposito bis'!$F$90*(C2423-sezione!$AN$36)*IF(ABS(M2423)&lt;'Sollecitazioni nel paramento'!$G$58,ABS(M2423)*'Sollecitazioni nel paramento'!$G$54,'Sollecitazioni nel paramento'!$G$53)</f>
        <v>0</v>
      </c>
      <c r="H2423" s="545">
        <f>-'Foglio deposito bis'!$F$91*(C2423-sezione!$AO$36)*IF(ABS(N2423)&lt;'Sollecitazioni nel paramento'!$G$58,ABS(N2423)*'Sollecitazioni nel paramento'!$G$54,'Sollecitazioni nel paramento'!$G$53)</f>
        <v>-40461064.044717669</v>
      </c>
      <c r="I2423" s="472">
        <f>-'Foglio deposito bis'!$F$92*(C2423-sezione!$AP$36)*IF(ABS(O2423)&lt;'Sollecitazioni nel paramento'!$G$58,ABS(O2423)*'Sollecitazioni nel paramento'!$G$54,'Sollecitazioni nel paramento'!$G$53)</f>
        <v>865815928.4840709</v>
      </c>
      <c r="J2423" s="472">
        <f t="shared" si="166"/>
        <v>-443412909.97929227</v>
      </c>
      <c r="K2423" s="550">
        <f>'Sollecitazioni nel paramento'!$G$60*(sezione!$AL$36-C2423)/C2423</f>
        <v>-2.9073831632907944E-3</v>
      </c>
      <c r="L2423" s="550">
        <f>'Sollecitazioni nel paramento'!$G$60*(sezione!$AM$36-C2423)/C2423</f>
        <v>-2.6110747449361918E-3</v>
      </c>
      <c r="M2423" s="551">
        <f>'Sollecitazioni nel paramento'!$G$60*(sezione!$AN$36-C2423)/C2423</f>
        <v>-2.3147663265815897E-3</v>
      </c>
      <c r="N2423" s="551">
        <f>'Sollecitazioni nel paramento'!$G$60*(sezione!$AO$36-C2423)/C2423</f>
        <v>-1.1295326531631786E-3</v>
      </c>
      <c r="O2423" s="551">
        <f>'Sollecitazioni nel paramento'!$G$60*(sezione!$AP$36-C2423)/C2423</f>
        <v>7.7178854463958394E-3</v>
      </c>
      <c r="P2423" s="545">
        <f>-'Sollecitazioni nel paramento'!$G$47*'Sollecitazioni nel paramento'!$G$41*IF(DATI!$G$211="dx",DATI!$E$61,DATI!$E$64*DATI!$E$63)*1000*C2423*sezione!$AD$5</f>
        <v>-9000048.0405135117</v>
      </c>
      <c r="Q2423" s="545">
        <f>'Foglio deposito bis'!$F$88*IF(ABS(K2423)&lt;'Sollecitazioni nel paramento'!$G$58,ABS(K2423)*'Sollecitazioni nel paramento'!$G$54,'Sollecitazioni nel paramento'!$G$53)*IF(K2423&lt;0,-1,1)</f>
        <v>0</v>
      </c>
      <c r="R2423" s="545">
        <f>'Foglio deposito bis'!$F$89*IF(ABS(L2423)&lt;'Sollecitazioni nel paramento'!$G$58,ABS(L2423)*'Sollecitazioni nel paramento'!$G$54,'Sollecitazioni nel paramento'!$G$53)*IF(L2423&lt;0,-1,1)</f>
        <v>-153664.85805602249</v>
      </c>
      <c r="S2423" s="545">
        <f>'Foglio deposito bis'!$F$90*IF(ABS(M2423)&lt;'Sollecitazioni nel paramento'!$G$58,ABS(M2423)*'Sollecitazioni nel paramento'!$G$54,'Sollecitazioni nel paramento'!$G$53)*IF(M2423&lt;0,-1,1)</f>
        <v>0</v>
      </c>
      <c r="T2423" s="545">
        <f>'Foglio deposito bis'!$F$91*IF(ABS(N2423)&lt;'Sollecitazioni nel paramento'!$G$58,ABS(N2423)*'Sollecitazioni nel paramento'!$G$54,'Sollecitazioni nel paramento'!$G$53)*IF(N2423&lt;0,-1,1)</f>
        <v>-530704.17479567032</v>
      </c>
      <c r="U2423" s="545">
        <f>'Foglio deposito bis'!$F$92*IF(ABS(O2423)&lt;'Sollecitazioni nel paramento'!$G$58,ABS(O2423)*'Sollecitazioni nel paramento'!$G$54,'Sollecitazioni nel paramento'!$G$53)*IF(O2423&lt;0,-1,1)</f>
        <v>1662039.1047339395</v>
      </c>
      <c r="V2423" s="472">
        <f t="shared" si="168"/>
        <v>-8022377.9686312648</v>
      </c>
      <c r="W2423" s="551"/>
      <c r="X2423" s="551"/>
    </row>
    <row r="2424" spans="1:24" x14ac:dyDescent="0.25">
      <c r="A2424" s="545">
        <f t="shared" si="167"/>
        <v>8114649.373096575</v>
      </c>
      <c r="B2424" s="3">
        <f t="shared" si="169"/>
        <v>22.099999999999945</v>
      </c>
      <c r="C2424" s="545">
        <f>'Foglio deposito bis'!$E$162/sezione!$B$247*B2424</f>
        <v>238.39778092924854</v>
      </c>
      <c r="D2424" s="603">
        <f>-'Sollecitazioni nel paramento'!$G$47*'Sollecitazioni nel paramento'!$G$41*IF(DATI!$G$211="dx",DATI!$E$61,DATI!$E$64*DATI!$E$63)*1000*C2424^2*sezione!$AD$5*(1-sezione!$AD$6)</f>
        <v>-1264468579.5371377</v>
      </c>
      <c r="E2424" s="545">
        <f>-'Foglio deposito bis'!$F$88*(C2424-sezione!$AL$36)*IF(ABS(K2424)&lt;'Sollecitazioni nel paramento'!$G$58,ABS(K2424)*'Sollecitazioni nel paramento'!$G$54,'Sollecitazioni nel paramento'!$G$53)</f>
        <v>0</v>
      </c>
      <c r="F2424" s="545">
        <f>-'Foglio deposito bis'!$F$89*(C2424-sezione!$AM$36)*IF(ABS(L2424)&lt;'Sollecitazioni nel paramento'!$G$58,ABS(L2424)*'Sollecitazioni nel paramento'!$G$54,'Sollecitazioni nel paramento'!$G$53)</f>
        <v>-27413469.684002373</v>
      </c>
      <c r="G2424" s="545">
        <f>-'Foglio deposito bis'!$F$90*(C2424-sezione!$AN$36)*IF(ABS(M2424)&lt;'Sollecitazioni nel paramento'!$G$58,ABS(M2424)*'Sollecitazioni nel paramento'!$G$54,'Sollecitazioni nel paramento'!$G$53)</f>
        <v>0</v>
      </c>
      <c r="H2424" s="545">
        <f>-'Foglio deposito bis'!$F$91*(C2424-sezione!$AO$36)*IF(ABS(N2424)&lt;'Sollecitazioni nel paramento'!$G$58,ABS(N2424)*'Sollecitazioni nel paramento'!$G$54,'Sollecitazioni nel paramento'!$G$53)</f>
        <v>-42396215.364955939</v>
      </c>
      <c r="I2424" s="472">
        <f>-'Foglio deposito bis'!$F$92*(C2424-sezione!$AP$36)*IF(ABS(O2424)&lt;'Sollecitazioni nel paramento'!$G$58,ABS(O2424)*'Sollecitazioni nel paramento'!$G$54,'Sollecitazioni nel paramento'!$G$53)</f>
        <v>862230168.89686549</v>
      </c>
      <c r="J2424" s="472">
        <f t="shared" si="166"/>
        <v>-472048095.68923056</v>
      </c>
      <c r="K2424" s="550">
        <f>'Sollecitazioni nel paramento'!$G$60*(sezione!$AL$36-C2424)/C2424</f>
        <v>-2.9127462115868053E-3</v>
      </c>
      <c r="L2424" s="550">
        <f>'Sollecitazioni nel paramento'!$G$60*(sezione!$AM$36-C2424)/C2424</f>
        <v>-2.6191193173802085E-3</v>
      </c>
      <c r="M2424" s="551">
        <f>'Sollecitazioni nel paramento'!$G$60*(sezione!$AN$36-C2424)/C2424</f>
        <v>-2.3254924231736109E-3</v>
      </c>
      <c r="N2424" s="551">
        <f>'Sollecitazioni nel paramento'!$G$60*(sezione!$AO$36-C2424)/C2424</f>
        <v>-1.1509848463472222E-3</v>
      </c>
      <c r="O2424" s="551">
        <f>'Sollecitazioni nel paramento'!$G$60*(sezione!$AP$36-C2424)/C2424</f>
        <v>7.6163661210890904E-3</v>
      </c>
      <c r="P2424" s="545">
        <f>-'Sollecitazioni nel paramento'!$G$47*'Sollecitazioni nel paramento'!$G$41*IF(DATI!$G$211="dx",DATI!$E$61,DATI!$E$64*DATI!$E$63)*1000*C2424*sezione!$AD$5</f>
        <v>-9082240.2600615807</v>
      </c>
      <c r="Q2424" s="545">
        <f>'Foglio deposito bis'!$F$88*IF(ABS(K2424)&lt;'Sollecitazioni nel paramento'!$G$58,ABS(K2424)*'Sollecitazioni nel paramento'!$G$54,'Sollecitazioni nel paramento'!$G$53)*IF(K2424&lt;0,-1,1)</f>
        <v>0</v>
      </c>
      <c r="R2424" s="545">
        <f>'Foglio deposito bis'!$F$89*IF(ABS(L2424)&lt;'Sollecitazioni nel paramento'!$G$58,ABS(L2424)*'Sollecitazioni nel paramento'!$G$54,'Sollecitazioni nel paramento'!$G$53)*IF(L2424&lt;0,-1,1)</f>
        <v>-153664.85805602249</v>
      </c>
      <c r="S2424" s="545">
        <f>'Foglio deposito bis'!$F$90*IF(ABS(M2424)&lt;'Sollecitazioni nel paramento'!$G$58,ABS(M2424)*'Sollecitazioni nel paramento'!$G$54,'Sollecitazioni nel paramento'!$G$53)*IF(M2424&lt;0,-1,1)</f>
        <v>0</v>
      </c>
      <c r="T2424" s="545">
        <f>'Foglio deposito bis'!$F$91*IF(ABS(N2424)&lt;'Sollecitazioni nel paramento'!$G$58,ABS(N2424)*'Sollecitazioni nel paramento'!$G$54,'Sollecitazioni nel paramento'!$G$53)*IF(N2424&lt;0,-1,1)</f>
        <v>-540783.3597129127</v>
      </c>
      <c r="U2424" s="545">
        <f>'Foglio deposito bis'!$F$92*IF(ABS(O2424)&lt;'Sollecitazioni nel paramento'!$G$58,ABS(O2424)*'Sollecitazioni nel paramento'!$G$54,'Sollecitazioni nel paramento'!$G$53)*IF(O2424&lt;0,-1,1)</f>
        <v>1662039.1047339395</v>
      </c>
      <c r="V2424" s="472">
        <f t="shared" si="168"/>
        <v>-8114649.373096575</v>
      </c>
      <c r="W2424" s="551"/>
      <c r="X2424" s="551"/>
    </row>
    <row r="2425" spans="1:24" x14ac:dyDescent="0.25">
      <c r="A2425" s="545">
        <f t="shared" si="167"/>
        <v>8206739.9850073168</v>
      </c>
      <c r="B2425" s="3">
        <f t="shared" si="169"/>
        <v>22.299999999999944</v>
      </c>
      <c r="C2425" s="545">
        <f>'Foglio deposito bis'!$E$162/sezione!$B$247*B2425</f>
        <v>240.55522691050868</v>
      </c>
      <c r="D2425" s="603">
        <f>-'Sollecitazioni nel paramento'!$G$47*'Sollecitazioni nel paramento'!$G$41*IF(DATI!$G$211="dx",DATI!$E$61,DATI!$E$64*DATI!$E$63)*1000*C2425^2*sezione!$AD$5*(1-sezione!$AD$6)</f>
        <v>-1287458446.6289043</v>
      </c>
      <c r="E2425" s="545">
        <f>-'Foglio deposito bis'!$F$88*(C2425-sezione!$AL$36)*IF(ABS(K2425)&lt;'Sollecitazioni nel paramento'!$G$58,ABS(K2425)*'Sollecitazioni nel paramento'!$G$54,'Sollecitazioni nel paramento'!$G$53)</f>
        <v>0</v>
      </c>
      <c r="F2425" s="545">
        <f>-'Foglio deposito bis'!$F$89*(C2425-sezione!$AM$36)*IF(ABS(L2425)&lt;'Sollecitazioni nel paramento'!$G$58,ABS(L2425)*'Sollecitazioni nel paramento'!$G$54,'Sollecitazioni nel paramento'!$G$53)</f>
        <v>-27744993.314476248</v>
      </c>
      <c r="G2425" s="545">
        <f>-'Foglio deposito bis'!$F$90*(C2425-sezione!$AN$36)*IF(ABS(M2425)&lt;'Sollecitazioni nel paramento'!$G$58,ABS(M2425)*'Sollecitazioni nel paramento'!$G$54,'Sollecitazioni nel paramento'!$G$53)</f>
        <v>0</v>
      </c>
      <c r="H2425" s="545">
        <f>-'Foglio deposito bis'!$F$91*(C2425-sezione!$AO$36)*IF(ABS(N2425)&lt;'Sollecitazioni nel paramento'!$G$58,ABS(N2425)*'Sollecitazioni nel paramento'!$G$54,'Sollecitazioni nel paramento'!$G$53)</f>
        <v>-44360293.493925288</v>
      </c>
      <c r="I2425" s="472">
        <f>-'Foglio deposito bis'!$F$92*(C2425-sezione!$AP$36)*IF(ABS(O2425)&lt;'Sollecitazioni nel paramento'!$G$58,ABS(O2425)*'Sollecitazioni nel paramento'!$G$54,'Sollecitazioni nel paramento'!$G$53)</f>
        <v>858644409.30965996</v>
      </c>
      <c r="J2425" s="472">
        <f t="shared" si="166"/>
        <v>-500919324.12764597</v>
      </c>
      <c r="K2425" s="550">
        <f>'Sollecitazioni nel paramento'!$G$60*(sezione!$AL$36-C2425)/C2425</f>
        <v>-2.9180130617071031E-3</v>
      </c>
      <c r="L2425" s="550">
        <f>'Sollecitazioni nel paramento'!$G$60*(sezione!$AM$36-C2425)/C2425</f>
        <v>-2.627019592560655E-3</v>
      </c>
      <c r="M2425" s="551">
        <f>'Sollecitazioni nel paramento'!$G$60*(sezione!$AN$36-C2425)/C2425</f>
        <v>-2.3360261234142061E-3</v>
      </c>
      <c r="N2425" s="551">
        <f>'Sollecitazioni nel paramento'!$G$60*(sezione!$AO$36-C2425)/C2425</f>
        <v>-1.1720522468284128E-3</v>
      </c>
      <c r="O2425" s="551">
        <f>'Sollecitazioni nel paramento'!$G$60*(sezione!$AP$36-C2425)/C2425</f>
        <v>7.5166677702273041E-3</v>
      </c>
      <c r="P2425" s="545">
        <f>-'Sollecitazioni nel paramento'!$G$47*'Sollecitazioni nel paramento'!$G$41*IF(DATI!$G$211="dx",DATI!$E$61,DATI!$E$64*DATI!$E$63)*1000*C2425*sezione!$AD$5</f>
        <v>-9164432.4796096478</v>
      </c>
      <c r="Q2425" s="545">
        <f>'Foglio deposito bis'!$F$88*IF(ABS(K2425)&lt;'Sollecitazioni nel paramento'!$G$58,ABS(K2425)*'Sollecitazioni nel paramento'!$G$54,'Sollecitazioni nel paramento'!$G$53)*IF(K2425&lt;0,-1,1)</f>
        <v>0</v>
      </c>
      <c r="R2425" s="545">
        <f>'Foglio deposito bis'!$F$89*IF(ABS(L2425)&lt;'Sollecitazioni nel paramento'!$G$58,ABS(L2425)*'Sollecitazioni nel paramento'!$G$54,'Sollecitazioni nel paramento'!$G$53)*IF(L2425&lt;0,-1,1)</f>
        <v>-153664.85805602249</v>
      </c>
      <c r="S2425" s="545">
        <f>'Foglio deposito bis'!$F$90*IF(ABS(M2425)&lt;'Sollecitazioni nel paramento'!$G$58,ABS(M2425)*'Sollecitazioni nel paramento'!$G$54,'Sollecitazioni nel paramento'!$G$53)*IF(M2425&lt;0,-1,1)</f>
        <v>0</v>
      </c>
      <c r="T2425" s="545">
        <f>'Foglio deposito bis'!$F$91*IF(ABS(N2425)&lt;'Sollecitazioni nel paramento'!$G$58,ABS(N2425)*'Sollecitazioni nel paramento'!$G$54,'Sollecitazioni nel paramento'!$G$53)*IF(N2425&lt;0,-1,1)</f>
        <v>-550681.75207558565</v>
      </c>
      <c r="U2425" s="545">
        <f>'Foglio deposito bis'!$F$92*IF(ABS(O2425)&lt;'Sollecitazioni nel paramento'!$G$58,ABS(O2425)*'Sollecitazioni nel paramento'!$G$54,'Sollecitazioni nel paramento'!$G$53)*IF(O2425&lt;0,-1,1)</f>
        <v>1662039.1047339395</v>
      </c>
      <c r="V2425" s="472">
        <f t="shared" si="168"/>
        <v>-8206739.9850073168</v>
      </c>
      <c r="W2425" s="551"/>
      <c r="X2425" s="551"/>
    </row>
    <row r="2426" spans="1:24" x14ac:dyDescent="0.25">
      <c r="A2426" s="545">
        <f t="shared" si="167"/>
        <v>8298654.6254982771</v>
      </c>
      <c r="B2426" s="3">
        <f t="shared" si="169"/>
        <v>22.499999999999943</v>
      </c>
      <c r="C2426" s="545">
        <f>'Foglio deposito bis'!$E$162/sezione!$B$247*B2426</f>
        <v>242.71267289176885</v>
      </c>
      <c r="D2426" s="603">
        <f>-'Sollecitazioni nel paramento'!$G$47*'Sollecitazioni nel paramento'!$G$41*IF(DATI!$G$211="dx",DATI!$E$61,DATI!$E$64*DATI!$E$63)*1000*C2426^2*sezione!$AD$5*(1-sezione!$AD$6)</f>
        <v>-1310655429.6404166</v>
      </c>
      <c r="E2426" s="545">
        <f>-'Foglio deposito bis'!$F$88*(C2426-sezione!$AL$36)*IF(ABS(K2426)&lt;'Sollecitazioni nel paramento'!$G$58,ABS(K2426)*'Sollecitazioni nel paramento'!$G$54,'Sollecitazioni nel paramento'!$G$53)</f>
        <v>0</v>
      </c>
      <c r="F2426" s="545">
        <f>-'Foglio deposito bis'!$F$89*(C2426-sezione!$AM$36)*IF(ABS(L2426)&lt;'Sollecitazioni nel paramento'!$G$58,ABS(L2426)*'Sollecitazioni nel paramento'!$G$54,'Sollecitazioni nel paramento'!$G$53)</f>
        <v>-28076516.94495013</v>
      </c>
      <c r="G2426" s="545">
        <f>-'Foglio deposito bis'!$F$90*(C2426-sezione!$AN$36)*IF(ABS(M2426)&lt;'Sollecitazioni nel paramento'!$G$58,ABS(M2426)*'Sollecitazioni nel paramento'!$G$54,'Sollecitazioni nel paramento'!$G$53)</f>
        <v>0</v>
      </c>
      <c r="H2426" s="545">
        <f>-'Foglio deposito bis'!$F$91*(C2426-sezione!$AO$36)*IF(ABS(N2426)&lt;'Sollecitazioni nel paramento'!$G$58,ABS(N2426)*'Sollecitazioni nel paramento'!$G$54,'Sollecitazioni nel paramento'!$G$53)</f>
        <v>-46352527.050059602</v>
      </c>
      <c r="I2426" s="472">
        <f>-'Foglio deposito bis'!$F$92*(C2426-sezione!$AP$36)*IF(ABS(O2426)&lt;'Sollecitazioni nel paramento'!$G$58,ABS(O2426)*'Sollecitazioni nel paramento'!$G$54,'Sollecitazioni nel paramento'!$G$53)</f>
        <v>855058649.72245443</v>
      </c>
      <c r="J2426" s="472">
        <f t="shared" si="166"/>
        <v>-530025823.91297185</v>
      </c>
      <c r="K2426" s="550">
        <f>'Sollecitazioni nel paramento'!$G$60*(sezione!$AL$36-C2426)/C2426</f>
        <v>-2.9231862789363735E-3</v>
      </c>
      <c r="L2426" s="550">
        <f>'Sollecitazioni nel paramento'!$G$60*(sezione!$AM$36-C2426)/C2426</f>
        <v>-2.6347794184045604E-3</v>
      </c>
      <c r="M2426" s="551">
        <f>'Sollecitazioni nel paramento'!$G$60*(sezione!$AN$36-C2426)/C2426</f>
        <v>-2.3463725578727469E-3</v>
      </c>
      <c r="N2426" s="551">
        <f>'Sollecitazioni nel paramento'!$G$60*(sezione!$AO$36-C2426)/C2426</f>
        <v>-1.1927451157454937E-3</v>
      </c>
      <c r="O2426" s="551">
        <f>'Sollecitazioni nel paramento'!$G$60*(sezione!$AP$36-C2426)/C2426</f>
        <v>7.4187418344919508E-3</v>
      </c>
      <c r="P2426" s="545">
        <f>-'Sollecitazioni nel paramento'!$G$47*'Sollecitazioni nel paramento'!$G$41*IF(DATI!$G$211="dx",DATI!$E$61,DATI!$E$64*DATI!$E$63)*1000*C2426*sezione!$AD$5</f>
        <v>-9246624.6991577167</v>
      </c>
      <c r="Q2426" s="545">
        <f>'Foglio deposito bis'!$F$88*IF(ABS(K2426)&lt;'Sollecitazioni nel paramento'!$G$58,ABS(K2426)*'Sollecitazioni nel paramento'!$G$54,'Sollecitazioni nel paramento'!$G$53)*IF(K2426&lt;0,-1,1)</f>
        <v>0</v>
      </c>
      <c r="R2426" s="545">
        <f>'Foglio deposito bis'!$F$89*IF(ABS(L2426)&lt;'Sollecitazioni nel paramento'!$G$58,ABS(L2426)*'Sollecitazioni nel paramento'!$G$54,'Sollecitazioni nel paramento'!$G$53)*IF(L2426&lt;0,-1,1)</f>
        <v>-153664.85805602249</v>
      </c>
      <c r="S2426" s="545">
        <f>'Foglio deposito bis'!$F$90*IF(ABS(M2426)&lt;'Sollecitazioni nel paramento'!$G$58,ABS(M2426)*'Sollecitazioni nel paramento'!$G$54,'Sollecitazioni nel paramento'!$G$53)*IF(M2426&lt;0,-1,1)</f>
        <v>0</v>
      </c>
      <c r="T2426" s="545">
        <f>'Foglio deposito bis'!$F$91*IF(ABS(N2426)&lt;'Sollecitazioni nel paramento'!$G$58,ABS(N2426)*'Sollecitazioni nel paramento'!$G$54,'Sollecitazioni nel paramento'!$G$53)*IF(N2426&lt;0,-1,1)</f>
        <v>-560404.17301847797</v>
      </c>
      <c r="U2426" s="545">
        <f>'Foglio deposito bis'!$F$92*IF(ABS(O2426)&lt;'Sollecitazioni nel paramento'!$G$58,ABS(O2426)*'Sollecitazioni nel paramento'!$G$54,'Sollecitazioni nel paramento'!$G$53)*IF(O2426&lt;0,-1,1)</f>
        <v>1662039.1047339395</v>
      </c>
      <c r="V2426" s="472">
        <f t="shared" si="168"/>
        <v>-8298654.6254982771</v>
      </c>
      <c r="W2426" s="551"/>
      <c r="X2426" s="551"/>
    </row>
    <row r="2427" spans="1:24" x14ac:dyDescent="0.25">
      <c r="A2427" s="545">
        <f t="shared" si="167"/>
        <v>8390397.9457964096</v>
      </c>
      <c r="B2427" s="3">
        <f t="shared" si="169"/>
        <v>22.699999999999942</v>
      </c>
      <c r="C2427" s="545">
        <f>'Foglio deposito bis'!$E$162/sezione!$B$247*B2427</f>
        <v>244.87011887302901</v>
      </c>
      <c r="D2427" s="603">
        <f>-'Sollecitazioni nel paramento'!$G$47*'Sollecitazioni nel paramento'!$G$41*IF(DATI!$G$211="dx",DATI!$E$61,DATI!$E$64*DATI!$E$63)*1000*C2427^2*sezione!$AD$5*(1-sezione!$AD$6)</f>
        <v>-1334059528.5716743</v>
      </c>
      <c r="E2427" s="545">
        <f>-'Foglio deposito bis'!$F$88*(C2427-sezione!$AL$36)*IF(ABS(K2427)&lt;'Sollecitazioni nel paramento'!$G$58,ABS(K2427)*'Sollecitazioni nel paramento'!$G$54,'Sollecitazioni nel paramento'!$G$53)</f>
        <v>0</v>
      </c>
      <c r="F2427" s="545">
        <f>-'Foglio deposito bis'!$F$89*(C2427-sezione!$AM$36)*IF(ABS(L2427)&lt;'Sollecitazioni nel paramento'!$G$58,ABS(L2427)*'Sollecitazioni nel paramento'!$G$54,'Sollecitazioni nel paramento'!$G$53)</f>
        <v>-28408040.575424008</v>
      </c>
      <c r="G2427" s="545">
        <f>-'Foglio deposito bis'!$F$90*(C2427-sezione!$AN$36)*IF(ABS(M2427)&lt;'Sollecitazioni nel paramento'!$G$58,ABS(M2427)*'Sollecitazioni nel paramento'!$G$54,'Sollecitazioni nel paramento'!$G$53)</f>
        <v>0</v>
      </c>
      <c r="H2427" s="545">
        <f>-'Foglio deposito bis'!$F$91*(C2427-sezione!$AO$36)*IF(ABS(N2427)&lt;'Sollecitazioni nel paramento'!$G$58,ABS(N2427)*'Sollecitazioni nel paramento'!$G$54,'Sollecitazioni nel paramento'!$G$53)</f>
        <v>-48372171.837046117</v>
      </c>
      <c r="I2427" s="472">
        <f>-'Foglio deposito bis'!$F$92*(C2427-sezione!$AP$36)*IF(ABS(O2427)&lt;'Sollecitazioni nel paramento'!$G$58,ABS(O2427)*'Sollecitazioni nel paramento'!$G$54,'Sollecitazioni nel paramento'!$G$53)</f>
        <v>851472890.13524902</v>
      </c>
      <c r="J2427" s="472">
        <f t="shared" si="166"/>
        <v>-559366850.84889543</v>
      </c>
      <c r="K2427" s="550">
        <f>'Sollecitazioni nel paramento'!$G$60*(sezione!$AL$36-C2427)/C2427</f>
        <v>-2.928268338152793E-3</v>
      </c>
      <c r="L2427" s="550">
        <f>'Sollecitazioni nel paramento'!$G$60*(sezione!$AM$36-C2427)/C2427</f>
        <v>-2.6424025072291895E-3</v>
      </c>
      <c r="M2427" s="551">
        <f>'Sollecitazioni nel paramento'!$G$60*(sezione!$AN$36-C2427)/C2427</f>
        <v>-2.356536676305586E-3</v>
      </c>
      <c r="N2427" s="551">
        <f>'Sollecitazioni nel paramento'!$G$60*(sezione!$AO$36-C2427)/C2427</f>
        <v>-1.2130733526111721E-3</v>
      </c>
      <c r="O2427" s="551">
        <f>'Sollecitazioni nel paramento'!$G$60*(sezione!$AP$36-C2427)/C2427</f>
        <v>7.3225414659061194E-3</v>
      </c>
      <c r="P2427" s="545">
        <f>-'Sollecitazioni nel paramento'!$G$47*'Sollecitazioni nel paramento'!$G$41*IF(DATI!$G$211="dx",DATI!$E$61,DATI!$E$64*DATI!$E$63)*1000*C2427*sezione!$AD$5</f>
        <v>-9328816.9187057838</v>
      </c>
      <c r="Q2427" s="545">
        <f>'Foglio deposito bis'!$F$88*IF(ABS(K2427)&lt;'Sollecitazioni nel paramento'!$G$58,ABS(K2427)*'Sollecitazioni nel paramento'!$G$54,'Sollecitazioni nel paramento'!$G$53)*IF(K2427&lt;0,-1,1)</f>
        <v>0</v>
      </c>
      <c r="R2427" s="545">
        <f>'Foglio deposito bis'!$F$89*IF(ABS(L2427)&lt;'Sollecitazioni nel paramento'!$G$58,ABS(L2427)*'Sollecitazioni nel paramento'!$G$54,'Sollecitazioni nel paramento'!$G$53)*IF(L2427&lt;0,-1,1)</f>
        <v>-153664.85805602249</v>
      </c>
      <c r="S2427" s="545">
        <f>'Foglio deposito bis'!$F$90*IF(ABS(M2427)&lt;'Sollecitazioni nel paramento'!$G$58,ABS(M2427)*'Sollecitazioni nel paramento'!$G$54,'Sollecitazioni nel paramento'!$G$53)*IF(M2427&lt;0,-1,1)</f>
        <v>0</v>
      </c>
      <c r="T2427" s="545">
        <f>'Foglio deposito bis'!$F$91*IF(ABS(N2427)&lt;'Sollecitazioni nel paramento'!$G$58,ABS(N2427)*'Sollecitazioni nel paramento'!$G$54,'Sollecitazioni nel paramento'!$G$53)*IF(N2427&lt;0,-1,1)</f>
        <v>-569955.27376854396</v>
      </c>
      <c r="U2427" s="545">
        <f>'Foglio deposito bis'!$F$92*IF(ABS(O2427)&lt;'Sollecitazioni nel paramento'!$G$58,ABS(O2427)*'Sollecitazioni nel paramento'!$G$54,'Sollecitazioni nel paramento'!$G$53)*IF(O2427&lt;0,-1,1)</f>
        <v>1662039.1047339395</v>
      </c>
      <c r="V2427" s="472">
        <f t="shared" si="168"/>
        <v>-8390397.9457964096</v>
      </c>
      <c r="W2427" s="551"/>
      <c r="X2427" s="551"/>
    </row>
    <row r="2428" spans="1:24" x14ac:dyDescent="0.25">
      <c r="A2428" s="545">
        <f t="shared" si="167"/>
        <v>8481974.4346403945</v>
      </c>
      <c r="B2428" s="3">
        <f t="shared" si="169"/>
        <v>22.899999999999942</v>
      </c>
      <c r="C2428" s="545">
        <f>'Foglio deposito bis'!$E$162/sezione!$B$247*B2428</f>
        <v>247.02756485428918</v>
      </c>
      <c r="D2428" s="603">
        <f>-'Sollecitazioni nel paramento'!$G$47*'Sollecitazioni nel paramento'!$G$41*IF(DATI!$G$211="dx",DATI!$E$61,DATI!$E$64*DATI!$E$63)*1000*C2428^2*sezione!$AD$5*(1-sezione!$AD$6)</f>
        <v>-1357670743.4226782</v>
      </c>
      <c r="E2428" s="545">
        <f>-'Foglio deposito bis'!$F$88*(C2428-sezione!$AL$36)*IF(ABS(K2428)&lt;'Sollecitazioni nel paramento'!$G$58,ABS(K2428)*'Sollecitazioni nel paramento'!$G$54,'Sollecitazioni nel paramento'!$G$53)</f>
        <v>0</v>
      </c>
      <c r="F2428" s="545">
        <f>-'Foglio deposito bis'!$F$89*(C2428-sezione!$AM$36)*IF(ABS(L2428)&lt;'Sollecitazioni nel paramento'!$G$58,ABS(L2428)*'Sollecitazioni nel paramento'!$G$54,'Sollecitazioni nel paramento'!$G$53)</f>
        <v>-28739564.20589789</v>
      </c>
      <c r="G2428" s="545">
        <f>-'Foglio deposito bis'!$F$90*(C2428-sezione!$AN$36)*IF(ABS(M2428)&lt;'Sollecitazioni nel paramento'!$G$58,ABS(M2428)*'Sollecitazioni nel paramento'!$G$54,'Sollecitazioni nel paramento'!$G$53)</f>
        <v>0</v>
      </c>
      <c r="H2428" s="545">
        <f>-'Foglio deposito bis'!$F$91*(C2428-sezione!$AO$36)*IF(ABS(N2428)&lt;'Sollecitazioni nel paramento'!$G$58,ABS(N2428)*'Sollecitazioni nel paramento'!$G$54,'Sollecitazioni nel paramento'!$G$53)</f>
        <v>-50418509.656696565</v>
      </c>
      <c r="I2428" s="472">
        <f>-'Foglio deposito bis'!$F$92*(C2428-sezione!$AP$36)*IF(ABS(O2428)&lt;'Sollecitazioni nel paramento'!$G$58,ABS(O2428)*'Sollecitazioni nel paramento'!$G$54,'Sollecitazioni nel paramento'!$G$53)</f>
        <v>847887130.54804361</v>
      </c>
      <c r="J2428" s="472">
        <f t="shared" si="166"/>
        <v>-588941686.73722899</v>
      </c>
      <c r="K2428" s="550">
        <f>'Sollecitazioni nel paramento'!$G$60*(sezione!$AL$36-C2428)/C2428</f>
        <v>-2.9332616277759128E-3</v>
      </c>
      <c r="L2428" s="550">
        <f>'Sollecitazioni nel paramento'!$G$60*(sezione!$AM$36-C2428)/C2428</f>
        <v>-2.6498924416638692E-3</v>
      </c>
      <c r="M2428" s="551">
        <f>'Sollecitazioni nel paramento'!$G$60*(sezione!$AN$36-C2428)/C2428</f>
        <v>-2.3665232555518255E-3</v>
      </c>
      <c r="N2428" s="551">
        <f>'Sollecitazioni nel paramento'!$G$60*(sezione!$AO$36-C2428)/C2428</f>
        <v>-1.233046511103651E-3</v>
      </c>
      <c r="O2428" s="551">
        <f>'Sollecitazioni nel paramento'!$G$60*(sezione!$AP$36-C2428)/C2428</f>
        <v>7.2280214531034457E-3</v>
      </c>
      <c r="P2428" s="545">
        <f>-'Sollecitazioni nel paramento'!$G$47*'Sollecitazioni nel paramento'!$G$41*IF(DATI!$G$211="dx",DATI!$E$61,DATI!$E$64*DATI!$E$63)*1000*C2428*sezione!$AD$5</f>
        <v>-9411009.1382538527</v>
      </c>
      <c r="Q2428" s="545">
        <f>'Foglio deposito bis'!$F$88*IF(ABS(K2428)&lt;'Sollecitazioni nel paramento'!$G$58,ABS(K2428)*'Sollecitazioni nel paramento'!$G$54,'Sollecitazioni nel paramento'!$G$53)*IF(K2428&lt;0,-1,1)</f>
        <v>0</v>
      </c>
      <c r="R2428" s="545">
        <f>'Foglio deposito bis'!$F$89*IF(ABS(L2428)&lt;'Sollecitazioni nel paramento'!$G$58,ABS(L2428)*'Sollecitazioni nel paramento'!$G$54,'Sollecitazioni nel paramento'!$G$53)*IF(L2428&lt;0,-1,1)</f>
        <v>-153664.85805602249</v>
      </c>
      <c r="S2428" s="545">
        <f>'Foglio deposito bis'!$F$90*IF(ABS(M2428)&lt;'Sollecitazioni nel paramento'!$G$58,ABS(M2428)*'Sollecitazioni nel paramento'!$G$54,'Sollecitazioni nel paramento'!$G$53)*IF(M2428&lt;0,-1,1)</f>
        <v>0</v>
      </c>
      <c r="T2428" s="545">
        <f>'Foglio deposito bis'!$F$91*IF(ABS(N2428)&lt;'Sollecitazioni nel paramento'!$G$58,ABS(N2428)*'Sollecitazioni nel paramento'!$G$54,'Sollecitazioni nel paramento'!$G$53)*IF(N2428&lt;0,-1,1)</f>
        <v>-579339.54306446016</v>
      </c>
      <c r="U2428" s="545">
        <f>'Foglio deposito bis'!$F$92*IF(ABS(O2428)&lt;'Sollecitazioni nel paramento'!$G$58,ABS(O2428)*'Sollecitazioni nel paramento'!$G$54,'Sollecitazioni nel paramento'!$G$53)*IF(O2428&lt;0,-1,1)</f>
        <v>1662039.1047339395</v>
      </c>
      <c r="V2428" s="472">
        <f t="shared" si="168"/>
        <v>-8481974.4346403945</v>
      </c>
      <c r="W2428" s="551"/>
      <c r="X2428" s="551"/>
    </row>
    <row r="2429" spans="1:24" x14ac:dyDescent="0.25">
      <c r="A2429" s="545">
        <f t="shared" si="167"/>
        <v>8937500.9953550696</v>
      </c>
      <c r="B2429" s="3">
        <f t="shared" ref="B2429:B2479" si="170">B2428+1</f>
        <v>23.899999999999942</v>
      </c>
      <c r="C2429" s="545">
        <f>'Foglio deposito bis'!$E$162/sezione!$B$247*B2429</f>
        <v>257.81479476059008</v>
      </c>
      <c r="D2429" s="603">
        <f>-'Sollecitazioni nel paramento'!$G$47*'Sollecitazioni nel paramento'!$G$41*IF(DATI!$G$211="dx",DATI!$E$61,DATI!$E$64*DATI!$E$63)*1000*C2429^2*sezione!$AD$5*(1-sezione!$AD$6)</f>
        <v>-1478833556.473882</v>
      </c>
      <c r="E2429" s="545">
        <f>-'Foglio deposito bis'!$F$88*(C2429-sezione!$AL$36)*IF(ABS(K2429)&lt;'Sollecitazioni nel paramento'!$G$58,ABS(K2429)*'Sollecitazioni nel paramento'!$G$54,'Sollecitazioni nel paramento'!$G$53)</f>
        <v>0</v>
      </c>
      <c r="F2429" s="545">
        <f>-'Foglio deposito bis'!$F$89*(C2429-sezione!$AM$36)*IF(ABS(L2429)&lt;'Sollecitazioni nel paramento'!$G$58,ABS(L2429)*'Sollecitazioni nel paramento'!$G$54,'Sollecitazioni nel paramento'!$G$53)</f>
        <v>-30397182.3582673</v>
      </c>
      <c r="G2429" s="545">
        <f>-'Foglio deposito bis'!$F$90*(C2429-sezione!$AN$36)*IF(ABS(M2429)&lt;'Sollecitazioni nel paramento'!$G$58,ABS(M2429)*'Sollecitazioni nel paramento'!$G$54,'Sollecitazioni nel paramento'!$G$53)</f>
        <v>0</v>
      </c>
      <c r="H2429" s="545">
        <f>-'Foglio deposito bis'!$F$91*(C2429-sezione!$AO$36)*IF(ABS(N2429)&lt;'Sollecitazioni nel paramento'!$G$58,ABS(N2429)*'Sollecitazioni nel paramento'!$G$54,'Sollecitazioni nel paramento'!$G$53)</f>
        <v>-61027140.115789063</v>
      </c>
      <c r="I2429" s="472">
        <f>-'Foglio deposito bis'!$F$92*(C2429-sezione!$AP$36)*IF(ABS(O2429)&lt;'Sollecitazioni nel paramento'!$G$58,ABS(O2429)*'Sollecitazioni nel paramento'!$G$54,'Sollecitazioni nel paramento'!$G$53)</f>
        <v>829958332.61201596</v>
      </c>
      <c r="J2429" s="472">
        <f t="shared" ref="J2429:J2479" si="171">D2429+E2429+F2429+G2429+H2429+I2429</f>
        <v>-740299546.33592248</v>
      </c>
      <c r="K2429" s="550">
        <f>'Sollecitazioni nel paramento'!$G$60*(sezione!$AL$36-C2429)/C2429</f>
        <v>-2.9569745303794311E-3</v>
      </c>
      <c r="L2429" s="550">
        <f>'Sollecitazioni nel paramento'!$G$60*(sezione!$AM$36-C2429)/C2429</f>
        <v>-2.6854617955691467E-3</v>
      </c>
      <c r="M2429" s="551">
        <f>'Sollecitazioni nel paramento'!$G$60*(sezione!$AN$36-C2429)/C2429</f>
        <v>-2.4139490607588622E-3</v>
      </c>
      <c r="N2429" s="551">
        <f>'Sollecitazioni nel paramento'!$G$60*(sezione!$AO$36-C2429)/C2429</f>
        <v>-1.3278981215177246E-3</v>
      </c>
      <c r="O2429" s="551">
        <f>'Sollecitazioni nel paramento'!$G$60*(sezione!$AP$36-C2429)/C2429</f>
        <v>6.7791502625970234E-3</v>
      </c>
      <c r="P2429" s="545">
        <f>-'Sollecitazioni nel paramento'!$G$47*'Sollecitazioni nel paramento'!$G$41*IF(DATI!$G$211="dx",DATI!$E$61,DATI!$E$64*DATI!$E$63)*1000*C2429*sezione!$AD$5</f>
        <v>-9821970.2359941974</v>
      </c>
      <c r="Q2429" s="545">
        <f>'Foglio deposito bis'!$F$88*IF(ABS(K2429)&lt;'Sollecitazioni nel paramento'!$G$58,ABS(K2429)*'Sollecitazioni nel paramento'!$G$54,'Sollecitazioni nel paramento'!$G$53)*IF(K2429&lt;0,-1,1)</f>
        <v>0</v>
      </c>
      <c r="R2429" s="545">
        <f>'Foglio deposito bis'!$F$89*IF(ABS(L2429)&lt;'Sollecitazioni nel paramento'!$G$58,ABS(L2429)*'Sollecitazioni nel paramento'!$G$54,'Sollecitazioni nel paramento'!$G$53)*IF(L2429&lt;0,-1,1)</f>
        <v>-153664.85805602249</v>
      </c>
      <c r="S2429" s="545">
        <f>'Foglio deposito bis'!$F$90*IF(ABS(M2429)&lt;'Sollecitazioni nel paramento'!$G$58,ABS(M2429)*'Sollecitazioni nel paramento'!$G$54,'Sollecitazioni nel paramento'!$G$53)*IF(M2429&lt;0,-1,1)</f>
        <v>0</v>
      </c>
      <c r="T2429" s="545">
        <f>'Foglio deposito bis'!$F$91*IF(ABS(N2429)&lt;'Sollecitazioni nel paramento'!$G$58,ABS(N2429)*'Sollecitazioni nel paramento'!$G$54,'Sollecitazioni nel paramento'!$G$53)*IF(N2429&lt;0,-1,1)</f>
        <v>-623905.00603879103</v>
      </c>
      <c r="U2429" s="545">
        <f>'Foglio deposito bis'!$F$92*IF(ABS(O2429)&lt;'Sollecitazioni nel paramento'!$G$58,ABS(O2429)*'Sollecitazioni nel paramento'!$G$54,'Sollecitazioni nel paramento'!$G$53)*IF(O2429&lt;0,-1,1)</f>
        <v>1662039.1047339395</v>
      </c>
      <c r="V2429" s="472">
        <f t="shared" si="168"/>
        <v>-8937500.9953550696</v>
      </c>
      <c r="W2429" s="551"/>
      <c r="X2429" s="551"/>
    </row>
    <row r="2430" spans="1:24" x14ac:dyDescent="0.25">
      <c r="A2430" s="545">
        <f t="shared" ref="A2430:A2479" si="172">ABS(V2430)</f>
        <v>9389448.0008107629</v>
      </c>
      <c r="B2430" s="3">
        <f t="shared" si="170"/>
        <v>24.899999999999942</v>
      </c>
      <c r="C2430" s="545">
        <f>'Foglio deposito bis'!$E$162/sezione!$B$247*B2430</f>
        <v>268.60202466689094</v>
      </c>
      <c r="D2430" s="603">
        <f>-'Sollecitazioni nel paramento'!$G$47*'Sollecitazioni nel paramento'!$G$41*IF(DATI!$G$211="dx",DATI!$E$61,DATI!$E$64*DATI!$E$63)*1000*C2430^2*sezione!$AD$5*(1-sezione!$AD$6)</f>
        <v>-1605174267.5187261</v>
      </c>
      <c r="E2430" s="545">
        <f>-'Foglio deposito bis'!$F$88*(C2430-sezione!$AL$36)*IF(ABS(K2430)&lt;'Sollecitazioni nel paramento'!$G$58,ABS(K2430)*'Sollecitazioni nel paramento'!$G$54,'Sollecitazioni nel paramento'!$G$53)</f>
        <v>0</v>
      </c>
      <c r="F2430" s="545">
        <f>-'Foglio deposito bis'!$F$89*(C2430-sezione!$AM$36)*IF(ABS(L2430)&lt;'Sollecitazioni nel paramento'!$G$58,ABS(L2430)*'Sollecitazioni nel paramento'!$G$54,'Sollecitazioni nel paramento'!$G$53)</f>
        <v>-32054800.510636702</v>
      </c>
      <c r="G2430" s="545">
        <f>-'Foglio deposito bis'!$F$90*(C2430-sezione!$AN$36)*IF(ABS(M2430)&lt;'Sollecitazioni nel paramento'!$G$58,ABS(M2430)*'Sollecitazioni nel paramento'!$G$54,'Sollecitazioni nel paramento'!$G$53)</f>
        <v>0</v>
      </c>
      <c r="H2430" s="545">
        <f>-'Foglio deposito bis'!$F$91*(C2430-sezione!$AO$36)*IF(ABS(N2430)&lt;'Sollecitazioni nel paramento'!$G$58,ABS(N2430)*'Sollecitazioni nel paramento'!$G$54,'Sollecitazioni nel paramento'!$G$53)</f>
        <v>-72208499.416318715</v>
      </c>
      <c r="I2430" s="472">
        <f>-'Foglio deposito bis'!$F$92*(C2430-sezione!$AP$36)*IF(ABS(O2430)&lt;'Sollecitazioni nel paramento'!$G$58,ABS(O2430)*'Sollecitazioni nel paramento'!$G$54,'Sollecitazioni nel paramento'!$G$53)</f>
        <v>812029534.67598855</v>
      </c>
      <c r="J2430" s="472">
        <f t="shared" si="171"/>
        <v>-897408032.76969302</v>
      </c>
      <c r="K2430" s="550">
        <f>'Sollecitazioni nel paramento'!$G$60*(sezione!$AL$36-C2430)/C2430</f>
        <v>-2.9787827821714219E-3</v>
      </c>
      <c r="L2430" s="550">
        <f>'Sollecitazioni nel paramento'!$G$60*(sezione!$AM$36-C2430)/C2430</f>
        <v>-2.7181741732571333E-3</v>
      </c>
      <c r="M2430" s="551">
        <f>'Sollecitazioni nel paramento'!$G$60*(sezione!$AN$36-C2430)/C2430</f>
        <v>-2.4575655643428438E-3</v>
      </c>
      <c r="N2430" s="551">
        <f>'Sollecitazioni nel paramento'!$G$60*(sezione!$AO$36-C2430)/C2430</f>
        <v>-1.4151311286856878E-3</v>
      </c>
      <c r="O2430" s="551">
        <f>'Sollecitazioni nel paramento'!$G$60*(sezione!$AP$36-C2430)/C2430</f>
        <v>6.3663329829746519E-3</v>
      </c>
      <c r="P2430" s="545">
        <f>-'Sollecitazioni nel paramento'!$G$47*'Sollecitazioni nel paramento'!$G$41*IF(DATI!$G$211="dx",DATI!$E$61,DATI!$E$64*DATI!$E$63)*1000*C2430*sezione!$AD$5</f>
        <v>-10232931.333734542</v>
      </c>
      <c r="Q2430" s="545">
        <f>'Foglio deposito bis'!$F$88*IF(ABS(K2430)&lt;'Sollecitazioni nel paramento'!$G$58,ABS(K2430)*'Sollecitazioni nel paramento'!$G$54,'Sollecitazioni nel paramento'!$G$53)*IF(K2430&lt;0,-1,1)</f>
        <v>0</v>
      </c>
      <c r="R2430" s="545">
        <f>'Foglio deposito bis'!$F$89*IF(ABS(L2430)&lt;'Sollecitazioni nel paramento'!$G$58,ABS(L2430)*'Sollecitazioni nel paramento'!$G$54,'Sollecitazioni nel paramento'!$G$53)*IF(L2430&lt;0,-1,1)</f>
        <v>-153664.85805602249</v>
      </c>
      <c r="S2430" s="545">
        <f>'Foglio deposito bis'!$F$90*IF(ABS(M2430)&lt;'Sollecitazioni nel paramento'!$G$58,ABS(M2430)*'Sollecitazioni nel paramento'!$G$54,'Sollecitazioni nel paramento'!$G$53)*IF(M2430&lt;0,-1,1)</f>
        <v>0</v>
      </c>
      <c r="T2430" s="545">
        <f>'Foglio deposito bis'!$F$91*IF(ABS(N2430)&lt;'Sollecitazioni nel paramento'!$G$58,ABS(N2430)*'Sollecitazioni nel paramento'!$G$54,'Sollecitazioni nel paramento'!$G$53)*IF(N2430&lt;0,-1,1)</f>
        <v>-664890.91375413956</v>
      </c>
      <c r="U2430" s="545">
        <f>'Foglio deposito bis'!$F$92*IF(ABS(O2430)&lt;'Sollecitazioni nel paramento'!$G$58,ABS(O2430)*'Sollecitazioni nel paramento'!$G$54,'Sollecitazioni nel paramento'!$G$53)*IF(O2430&lt;0,-1,1)</f>
        <v>1662039.1047339395</v>
      </c>
      <c r="V2430" s="472">
        <f t="shared" ref="V2430:V2479" si="173">P2430+Q2430+R2430+S2430+T2430+U2430</f>
        <v>-9389448.0008107629</v>
      </c>
      <c r="W2430" s="551"/>
      <c r="X2430" s="551"/>
    </row>
    <row r="2431" spans="1:24" x14ac:dyDescent="0.25">
      <c r="A2431" s="545">
        <f t="shared" si="172"/>
        <v>9838230.071307743</v>
      </c>
      <c r="B2431" s="3">
        <f t="shared" si="170"/>
        <v>25.899999999999942</v>
      </c>
      <c r="C2431" s="545">
        <f>'Foglio deposito bis'!$E$162/sezione!$B$247*B2431</f>
        <v>279.38925457319181</v>
      </c>
      <c r="D2431" s="603">
        <f>-'Sollecitazioni nel paramento'!$G$47*'Sollecitazioni nel paramento'!$G$41*IF(DATI!$G$211="dx",DATI!$E$61,DATI!$E$64*DATI!$E$63)*1000*C2431^2*sezione!$AD$5*(1-sezione!$AD$6)</f>
        <v>-1736692876.5572121</v>
      </c>
      <c r="E2431" s="545">
        <f>-'Foglio deposito bis'!$F$88*(C2431-sezione!$AL$36)*IF(ABS(K2431)&lt;'Sollecitazioni nel paramento'!$G$58,ABS(K2431)*'Sollecitazioni nel paramento'!$G$54,'Sollecitazioni nel paramento'!$G$53)</f>
        <v>0</v>
      </c>
      <c r="F2431" s="545">
        <f>-'Foglio deposito bis'!$F$89*(C2431-sezione!$AM$36)*IF(ABS(L2431)&lt;'Sollecitazioni nel paramento'!$G$58,ABS(L2431)*'Sollecitazioni nel paramento'!$G$54,'Sollecitazioni nel paramento'!$G$53)</f>
        <v>-33712418.663006105</v>
      </c>
      <c r="G2431" s="545">
        <f>-'Foglio deposito bis'!$F$90*(C2431-sezione!$AN$36)*IF(ABS(M2431)&lt;'Sollecitazioni nel paramento'!$G$58,ABS(M2431)*'Sollecitazioni nel paramento'!$G$54,'Sollecitazioni nel paramento'!$G$53)</f>
        <v>0</v>
      </c>
      <c r="H2431" s="545">
        <f>-'Foglio deposito bis'!$F$91*(C2431-sezione!$AO$36)*IF(ABS(N2431)&lt;'Sollecitazioni nel paramento'!$G$58,ABS(N2431)*'Sollecitazioni nel paramento'!$G$54,'Sollecitazioni nel paramento'!$G$53)</f>
        <v>-83896248.310242623</v>
      </c>
      <c r="I2431" s="472">
        <f>-'Foglio deposito bis'!$F$92*(C2431-sezione!$AP$36)*IF(ABS(O2431)&lt;'Sollecitazioni nel paramento'!$G$58,ABS(O2431)*'Sollecitazioni nel paramento'!$G$54,'Sollecitazioni nel paramento'!$G$53)</f>
        <v>794100736.73996103</v>
      </c>
      <c r="J2431" s="472">
        <f t="shared" si="171"/>
        <v>-1060200806.7904998</v>
      </c>
      <c r="K2431" s="550">
        <f>'Sollecitazioni nel paramento'!$G$60*(sezione!$AL$36-C2431)/C2431</f>
        <v>-2.9989069990760003E-3</v>
      </c>
      <c r="L2431" s="550">
        <f>'Sollecitazioni nel paramento'!$G$60*(sezione!$AM$36-C2431)/C2431</f>
        <v>-2.7483604986140004E-3</v>
      </c>
      <c r="M2431" s="551">
        <f>'Sollecitazioni nel paramento'!$G$60*(sezione!$AN$36-C2431)/C2431</f>
        <v>-2.4978139981520005E-3</v>
      </c>
      <c r="N2431" s="551">
        <f>'Sollecitazioni nel paramento'!$G$60*(sezione!$AO$36-C2431)/C2431</f>
        <v>-1.4956279963040011E-3</v>
      </c>
      <c r="O2431" s="551">
        <f>'Sollecitazioni nel paramento'!$G$60*(sezione!$AP$36-C2431)/C2431</f>
        <v>5.9853934855625028E-3</v>
      </c>
      <c r="P2431" s="545">
        <f>-'Sollecitazioni nel paramento'!$G$47*'Sollecitazioni nel paramento'!$G$41*IF(DATI!$G$211="dx",DATI!$E$61,DATI!$E$64*DATI!$E$63)*1000*C2431*sezione!$AD$5</f>
        <v>-10643892.431474887</v>
      </c>
      <c r="Q2431" s="545">
        <f>'Foglio deposito bis'!$F$88*IF(ABS(K2431)&lt;'Sollecitazioni nel paramento'!$G$58,ABS(K2431)*'Sollecitazioni nel paramento'!$G$54,'Sollecitazioni nel paramento'!$G$53)*IF(K2431&lt;0,-1,1)</f>
        <v>0</v>
      </c>
      <c r="R2431" s="545">
        <f>'Foglio deposito bis'!$F$89*IF(ABS(L2431)&lt;'Sollecitazioni nel paramento'!$G$58,ABS(L2431)*'Sollecitazioni nel paramento'!$G$54,'Sollecitazioni nel paramento'!$G$53)*IF(L2431&lt;0,-1,1)</f>
        <v>-153664.85805602249</v>
      </c>
      <c r="S2431" s="545">
        <f>'Foglio deposito bis'!$F$90*IF(ABS(M2431)&lt;'Sollecitazioni nel paramento'!$G$58,ABS(M2431)*'Sollecitazioni nel paramento'!$G$54,'Sollecitazioni nel paramento'!$G$53)*IF(M2431&lt;0,-1,1)</f>
        <v>0</v>
      </c>
      <c r="T2431" s="545">
        <f>'Foglio deposito bis'!$F$91*IF(ABS(N2431)&lt;'Sollecitazioni nel paramento'!$G$58,ABS(N2431)*'Sollecitazioni nel paramento'!$G$54,'Sollecitazioni nel paramento'!$G$53)*IF(N2431&lt;0,-1,1)</f>
        <v>-702711.88651077368</v>
      </c>
      <c r="U2431" s="545">
        <f>'Foglio deposito bis'!$F$92*IF(ABS(O2431)&lt;'Sollecitazioni nel paramento'!$G$58,ABS(O2431)*'Sollecitazioni nel paramento'!$G$54,'Sollecitazioni nel paramento'!$G$53)*IF(O2431&lt;0,-1,1)</f>
        <v>1662039.1047339395</v>
      </c>
      <c r="V2431" s="472">
        <f t="shared" si="173"/>
        <v>-9838230.071307743</v>
      </c>
      <c r="W2431" s="551"/>
      <c r="X2431" s="551"/>
    </row>
    <row r="2432" spans="1:24" x14ac:dyDescent="0.25">
      <c r="A2432" s="545">
        <f t="shared" si="172"/>
        <v>10284200.173570026</v>
      </c>
      <c r="B2432" s="3">
        <f t="shared" si="170"/>
        <v>26.899999999999942</v>
      </c>
      <c r="C2432" s="545">
        <f>'Foglio deposito bis'!$E$162/sezione!$B$247*B2432</f>
        <v>290.17648447949267</v>
      </c>
      <c r="D2432" s="603">
        <f>-'Sollecitazioni nel paramento'!$G$47*'Sollecitazioni nel paramento'!$G$41*IF(DATI!$G$211="dx",DATI!$E$61,DATI!$E$64*DATI!$E$63)*1000*C2432^2*sezione!$AD$5*(1-sezione!$AD$6)</f>
        <v>-1873389383.5893388</v>
      </c>
      <c r="E2432" s="545">
        <f>-'Foglio deposito bis'!$F$88*(C2432-sezione!$AL$36)*IF(ABS(K2432)&lt;'Sollecitazioni nel paramento'!$G$58,ABS(K2432)*'Sollecitazioni nel paramento'!$G$54,'Sollecitazioni nel paramento'!$G$53)</f>
        <v>0</v>
      </c>
      <c r="F2432" s="545">
        <f>-'Foglio deposito bis'!$F$89*(C2432-sezione!$AM$36)*IF(ABS(L2432)&lt;'Sollecitazioni nel paramento'!$G$58,ABS(L2432)*'Sollecitazioni nel paramento'!$G$54,'Sollecitazioni nel paramento'!$G$53)</f>
        <v>-35370036.815375507</v>
      </c>
      <c r="G2432" s="545">
        <f>-'Foglio deposito bis'!$F$90*(C2432-sezione!$AN$36)*IF(ABS(M2432)&lt;'Sollecitazioni nel paramento'!$G$58,ABS(M2432)*'Sollecitazioni nel paramento'!$G$54,'Sollecitazioni nel paramento'!$G$53)</f>
        <v>0</v>
      </c>
      <c r="H2432" s="545">
        <f>-'Foglio deposito bis'!$F$91*(C2432-sezione!$AO$36)*IF(ABS(N2432)&lt;'Sollecitazioni nel paramento'!$G$58,ABS(N2432)*'Sollecitazioni nel paramento'!$G$54,'Sollecitazioni nel paramento'!$G$53)</f>
        <v>-96033912.121717587</v>
      </c>
      <c r="I2432" s="472">
        <f>-'Foglio deposito bis'!$F$92*(C2432-sezione!$AP$36)*IF(ABS(O2432)&lt;'Sollecitazioni nel paramento'!$G$58,ABS(O2432)*'Sollecitazioni nel paramento'!$G$54,'Sollecitazioni nel paramento'!$G$53)</f>
        <v>776171938.80393362</v>
      </c>
      <c r="J2432" s="472">
        <f t="shared" si="171"/>
        <v>-1228621393.7224984</v>
      </c>
      <c r="K2432" s="550">
        <f>'Sollecitazioni nel paramento'!$G$60*(sezione!$AL$36-C2432)/C2432</f>
        <v>-3.0175349916754055E-3</v>
      </c>
      <c r="L2432" s="550">
        <f>'Sollecitazioni nel paramento'!$G$60*(sezione!$AM$36-C2432)/C2432</f>
        <v>-2.7763024875131085E-3</v>
      </c>
      <c r="M2432" s="551">
        <f>'Sollecitazioni nel paramento'!$G$60*(sezione!$AN$36-C2432)/C2432</f>
        <v>-2.535069983350811E-3</v>
      </c>
      <c r="N2432" s="551">
        <f>'Sollecitazioni nel paramento'!$G$60*(sezione!$AO$36-C2432)/C2432</f>
        <v>-1.5701399667016221E-3</v>
      </c>
      <c r="O2432" s="551">
        <f>'Sollecitazioni nel paramento'!$G$60*(sezione!$AP$36-C2432)/C2432</f>
        <v>5.6327766273631518E-3</v>
      </c>
      <c r="P2432" s="545">
        <f>-'Sollecitazioni nel paramento'!$G$47*'Sollecitazioni nel paramento'!$G$41*IF(DATI!$G$211="dx",DATI!$E$61,DATI!$E$64*DATI!$E$63)*1000*C2432*sezione!$AD$5</f>
        <v>-11054853.52921523</v>
      </c>
      <c r="Q2432" s="545">
        <f>'Foglio deposito bis'!$F$88*IF(ABS(K2432)&lt;'Sollecitazioni nel paramento'!$G$58,ABS(K2432)*'Sollecitazioni nel paramento'!$G$54,'Sollecitazioni nel paramento'!$G$53)*IF(K2432&lt;0,-1,1)</f>
        <v>0</v>
      </c>
      <c r="R2432" s="545">
        <f>'Foglio deposito bis'!$F$89*IF(ABS(L2432)&lt;'Sollecitazioni nel paramento'!$G$58,ABS(L2432)*'Sollecitazioni nel paramento'!$G$54,'Sollecitazioni nel paramento'!$G$53)*IF(L2432&lt;0,-1,1)</f>
        <v>-153664.85805602249</v>
      </c>
      <c r="S2432" s="545">
        <f>'Foglio deposito bis'!$F$90*IF(ABS(M2432)&lt;'Sollecitazioni nel paramento'!$G$58,ABS(M2432)*'Sollecitazioni nel paramento'!$G$54,'Sollecitazioni nel paramento'!$G$53)*IF(M2432&lt;0,-1,1)</f>
        <v>0</v>
      </c>
      <c r="T2432" s="545">
        <f>'Foglio deposito bis'!$F$91*IF(ABS(N2432)&lt;'Sollecitazioni nel paramento'!$G$58,ABS(N2432)*'Sollecitazioni nel paramento'!$G$54,'Sollecitazioni nel paramento'!$G$53)*IF(N2432&lt;0,-1,1)</f>
        <v>-737720.89103271393</v>
      </c>
      <c r="U2432" s="545">
        <f>'Foglio deposito bis'!$F$92*IF(ABS(O2432)&lt;'Sollecitazioni nel paramento'!$G$58,ABS(O2432)*'Sollecitazioni nel paramento'!$G$54,'Sollecitazioni nel paramento'!$G$53)*IF(O2432&lt;0,-1,1)</f>
        <v>1662039.1047339395</v>
      </c>
      <c r="V2432" s="472">
        <f t="shared" si="173"/>
        <v>-10284200.173570026</v>
      </c>
      <c r="W2432" s="551"/>
      <c r="X2432" s="551"/>
    </row>
    <row r="2433" spans="1:24" x14ac:dyDescent="0.25">
      <c r="A2433" s="545">
        <f t="shared" si="172"/>
        <v>10727660.669773389</v>
      </c>
      <c r="B2433" s="3">
        <f t="shared" si="170"/>
        <v>27.899999999999942</v>
      </c>
      <c r="C2433" s="545">
        <f>'Foglio deposito bis'!$E$162/sezione!$B$247*B2433</f>
        <v>300.96371438579354</v>
      </c>
      <c r="D2433" s="603">
        <f>-'Sollecitazioni nel paramento'!$G$47*'Sollecitazioni nel paramento'!$G$41*IF(DATI!$G$211="dx",DATI!$E$61,DATI!$E$64*DATI!$E$63)*1000*C2433^2*sezione!$AD$5*(1-sezione!$AD$6)</f>
        <v>-2015263788.6151068</v>
      </c>
      <c r="E2433" s="545">
        <f>-'Foglio deposito bis'!$F$88*(C2433-sezione!$AL$36)*IF(ABS(K2433)&lt;'Sollecitazioni nel paramento'!$G$58,ABS(K2433)*'Sollecitazioni nel paramento'!$G$54,'Sollecitazioni nel paramento'!$G$53)</f>
        <v>0</v>
      </c>
      <c r="F2433" s="545">
        <f>-'Foglio deposito bis'!$F$89*(C2433-sezione!$AM$36)*IF(ABS(L2433)&lt;'Sollecitazioni nel paramento'!$G$58,ABS(L2433)*'Sollecitazioni nel paramento'!$G$54,'Sollecitazioni nel paramento'!$G$53)</f>
        <v>-37027654.967744909</v>
      </c>
      <c r="G2433" s="545">
        <f>-'Foglio deposito bis'!$F$90*(C2433-sezione!$AN$36)*IF(ABS(M2433)&lt;'Sollecitazioni nel paramento'!$G$58,ABS(M2433)*'Sollecitazioni nel paramento'!$G$54,'Sollecitazioni nel paramento'!$G$53)</f>
        <v>0</v>
      </c>
      <c r="H2433" s="545">
        <f>-'Foglio deposito bis'!$F$91*(C2433-sezione!$AO$36)*IF(ABS(N2433)&lt;'Sollecitazioni nel paramento'!$G$58,ABS(N2433)*'Sollecitazioni nel paramento'!$G$54,'Sollecitazioni nel paramento'!$G$53)</f>
        <v>-108573112.90261981</v>
      </c>
      <c r="I2433" s="472">
        <f>-'Foglio deposito bis'!$F$92*(C2433-sezione!$AP$36)*IF(ABS(O2433)&lt;'Sollecitazioni nel paramento'!$G$58,ABS(O2433)*'Sollecitazioni nel paramento'!$G$54,'Sollecitazioni nel paramento'!$G$53)</f>
        <v>758243140.86790609</v>
      </c>
      <c r="J2433" s="472">
        <f t="shared" si="171"/>
        <v>-1402621415.6175652</v>
      </c>
      <c r="K2433" s="550">
        <f>'Sollecitazioni nel paramento'!$G$60*(sezione!$AL$36-C2433)/C2433</f>
        <v>-3.0348276443035271E-3</v>
      </c>
      <c r="L2433" s="550">
        <f>'Sollecitazioni nel paramento'!$G$60*(sezione!$AM$36-C2433)/C2433</f>
        <v>-2.8022414664552911E-3</v>
      </c>
      <c r="M2433" s="551">
        <f>'Sollecitazioni nel paramento'!$G$60*(sezione!$AN$36-C2433)/C2433</f>
        <v>-2.5696552886070546E-3</v>
      </c>
      <c r="N2433" s="551">
        <f>'Sollecitazioni nel paramento'!$G$60*(sezione!$AO$36-C2433)/C2433</f>
        <v>-1.6393105772141087E-3</v>
      </c>
      <c r="O2433" s="551">
        <f>'Sollecitazioni nel paramento'!$G$60*(sezione!$AP$36-C2433)/C2433</f>
        <v>5.3054369632999565E-3</v>
      </c>
      <c r="P2433" s="545">
        <f>-'Sollecitazioni nel paramento'!$G$47*'Sollecitazioni nel paramento'!$G$41*IF(DATI!$G$211="dx",DATI!$E$61,DATI!$E$64*DATI!$E$63)*1000*C2433*sezione!$AD$5</f>
        <v>-11465814.626955574</v>
      </c>
      <c r="Q2433" s="545">
        <f>'Foglio deposito bis'!$F$88*IF(ABS(K2433)&lt;'Sollecitazioni nel paramento'!$G$58,ABS(K2433)*'Sollecitazioni nel paramento'!$G$54,'Sollecitazioni nel paramento'!$G$53)*IF(K2433&lt;0,-1,1)</f>
        <v>0</v>
      </c>
      <c r="R2433" s="545">
        <f>'Foglio deposito bis'!$F$89*IF(ABS(L2433)&lt;'Sollecitazioni nel paramento'!$G$58,ABS(L2433)*'Sollecitazioni nel paramento'!$G$54,'Sollecitazioni nel paramento'!$G$53)*IF(L2433&lt;0,-1,1)</f>
        <v>-153664.85805602249</v>
      </c>
      <c r="S2433" s="545">
        <f>'Foglio deposito bis'!$F$90*IF(ABS(M2433)&lt;'Sollecitazioni nel paramento'!$G$58,ABS(M2433)*'Sollecitazioni nel paramento'!$G$54,'Sollecitazioni nel paramento'!$G$53)*IF(M2433&lt;0,-1,1)</f>
        <v>0</v>
      </c>
      <c r="T2433" s="545">
        <f>'Foglio deposito bis'!$F$91*IF(ABS(N2433)&lt;'Sollecitazioni nel paramento'!$G$58,ABS(N2433)*'Sollecitazioni nel paramento'!$G$54,'Sollecitazioni nel paramento'!$G$53)*IF(N2433&lt;0,-1,1)</f>
        <v>-770220.28949573357</v>
      </c>
      <c r="U2433" s="545">
        <f>'Foglio deposito bis'!$F$92*IF(ABS(O2433)&lt;'Sollecitazioni nel paramento'!$G$58,ABS(O2433)*'Sollecitazioni nel paramento'!$G$54,'Sollecitazioni nel paramento'!$G$53)*IF(O2433&lt;0,-1,1)</f>
        <v>1662039.1047339395</v>
      </c>
      <c r="V2433" s="472">
        <f t="shared" si="173"/>
        <v>-10727660.669773389</v>
      </c>
      <c r="W2433" s="551"/>
      <c r="X2433" s="551"/>
    </row>
    <row r="2434" spans="1:24" x14ac:dyDescent="0.25">
      <c r="A2434" s="545">
        <f t="shared" si="172"/>
        <v>11168872.072657514</v>
      </c>
      <c r="B2434" s="3">
        <f t="shared" si="170"/>
        <v>28.899999999999942</v>
      </c>
      <c r="C2434" s="545">
        <f>'Foglio deposito bis'!$E$162/sezione!$B$247*B2434</f>
        <v>311.7509442920944</v>
      </c>
      <c r="D2434" s="603">
        <f>-'Sollecitazioni nel paramento'!$G$47*'Sollecitazioni nel paramento'!$G$41*IF(DATI!$G$211="dx",DATI!$E$61,DATI!$E$64*DATI!$E$63)*1000*C2434^2*sezione!$AD$5*(1-sezione!$AD$6)</f>
        <v>-2162316091.6345162</v>
      </c>
      <c r="E2434" s="545">
        <f>-'Foglio deposito bis'!$F$88*(C2434-sezione!$AL$36)*IF(ABS(K2434)&lt;'Sollecitazioni nel paramento'!$G$58,ABS(K2434)*'Sollecitazioni nel paramento'!$G$54,'Sollecitazioni nel paramento'!$G$53)</f>
        <v>0</v>
      </c>
      <c r="F2434" s="545">
        <f>-'Foglio deposito bis'!$F$89*(C2434-sezione!$AM$36)*IF(ABS(L2434)&lt;'Sollecitazioni nel paramento'!$G$58,ABS(L2434)*'Sollecitazioni nel paramento'!$G$54,'Sollecitazioni nel paramento'!$G$53)</f>
        <v>-38685273.120114319</v>
      </c>
      <c r="G2434" s="545">
        <f>-'Foglio deposito bis'!$F$90*(C2434-sezione!$AN$36)*IF(ABS(M2434)&lt;'Sollecitazioni nel paramento'!$G$58,ABS(M2434)*'Sollecitazioni nel paramento'!$G$54,'Sollecitazioni nel paramento'!$G$53)</f>
        <v>0</v>
      </c>
      <c r="H2434" s="545">
        <f>-'Foglio deposito bis'!$F$91*(C2434-sezione!$AO$36)*IF(ABS(N2434)&lt;'Sollecitazioni nel paramento'!$G$58,ABS(N2434)*'Sollecitazioni nel paramento'!$G$54,'Sollecitazioni nel paramento'!$G$53)</f>
        <v>-121472168.61460045</v>
      </c>
      <c r="I2434" s="472">
        <f>-'Foglio deposito bis'!$F$92*(C2434-sezione!$AP$36)*IF(ABS(O2434)&lt;'Sollecitazioni nel paramento'!$G$58,ABS(O2434)*'Sollecitazioni nel paramento'!$G$54,'Sollecitazioni nel paramento'!$G$53)</f>
        <v>740314342.93187869</v>
      </c>
      <c r="J2434" s="472">
        <f t="shared" si="171"/>
        <v>-1582159190.4373527</v>
      </c>
      <c r="K2434" s="550">
        <f>'Sollecitazioni nel paramento'!$G$60*(sezione!$AL$36-C2434)/C2434</f>
        <v>-3.0509235735663811E-3</v>
      </c>
      <c r="L2434" s="550">
        <f>'Sollecitazioni nel paramento'!$G$60*(sezione!$AM$36-C2434)/C2434</f>
        <v>-2.8263853603495716E-3</v>
      </c>
      <c r="M2434" s="551">
        <f>'Sollecitazioni nel paramento'!$G$60*(sezione!$AN$36-C2434)/C2434</f>
        <v>-2.6018471471327622E-3</v>
      </c>
      <c r="N2434" s="551">
        <f>'Sollecitazioni nel paramento'!$G$60*(sezione!$AO$36-C2434)/C2434</f>
        <v>-1.703694294265524E-3</v>
      </c>
      <c r="O2434" s="551">
        <f>'Sollecitazioni nel paramento'!$G$60*(sezione!$AP$36-C2434)/C2434</f>
        <v>5.0007505631857697E-3</v>
      </c>
      <c r="P2434" s="545">
        <f>-'Sollecitazioni nel paramento'!$G$47*'Sollecitazioni nel paramento'!$G$41*IF(DATI!$G$211="dx",DATI!$E$61,DATI!$E$64*DATI!$E$63)*1000*C2434*sezione!$AD$5</f>
        <v>-11876775.724695919</v>
      </c>
      <c r="Q2434" s="545">
        <f>'Foglio deposito bis'!$F$88*IF(ABS(K2434)&lt;'Sollecitazioni nel paramento'!$G$58,ABS(K2434)*'Sollecitazioni nel paramento'!$G$54,'Sollecitazioni nel paramento'!$G$53)*IF(K2434&lt;0,-1,1)</f>
        <v>0</v>
      </c>
      <c r="R2434" s="545">
        <f>'Foglio deposito bis'!$F$89*IF(ABS(L2434)&lt;'Sollecitazioni nel paramento'!$G$58,ABS(L2434)*'Sollecitazioni nel paramento'!$G$54,'Sollecitazioni nel paramento'!$G$53)*IF(L2434&lt;0,-1,1)</f>
        <v>-153664.85805602249</v>
      </c>
      <c r="S2434" s="545">
        <f>'Foglio deposito bis'!$F$90*IF(ABS(M2434)&lt;'Sollecitazioni nel paramento'!$G$58,ABS(M2434)*'Sollecitazioni nel paramento'!$G$54,'Sollecitazioni nel paramento'!$G$53)*IF(M2434&lt;0,-1,1)</f>
        <v>0</v>
      </c>
      <c r="T2434" s="545">
        <f>'Foglio deposito bis'!$F$91*IF(ABS(N2434)&lt;'Sollecitazioni nel paramento'!$G$58,ABS(N2434)*'Sollecitazioni nel paramento'!$G$54,'Sollecitazioni nel paramento'!$G$53)*IF(N2434&lt;0,-1,1)</f>
        <v>-800470.59463951329</v>
      </c>
      <c r="U2434" s="545">
        <f>'Foglio deposito bis'!$F$92*IF(ABS(O2434)&lt;'Sollecitazioni nel paramento'!$G$58,ABS(O2434)*'Sollecitazioni nel paramento'!$G$54,'Sollecitazioni nel paramento'!$G$53)*IF(O2434&lt;0,-1,1)</f>
        <v>1662039.1047339395</v>
      </c>
      <c r="V2434" s="472">
        <f t="shared" si="173"/>
        <v>-11168872.072657514</v>
      </c>
      <c r="W2434" s="551"/>
      <c r="X2434" s="551"/>
    </row>
    <row r="2435" spans="1:24" x14ac:dyDescent="0.25">
      <c r="A2435" s="545">
        <f t="shared" si="172"/>
        <v>11608060.043759443</v>
      </c>
      <c r="B2435" s="3">
        <f t="shared" si="170"/>
        <v>29.899999999999942</v>
      </c>
      <c r="C2435" s="545">
        <f>'Foglio deposito bis'!$E$162/sezione!$B$247*B2435</f>
        <v>322.53817419839527</v>
      </c>
      <c r="D2435" s="603">
        <f>-'Sollecitazioni nel paramento'!$G$47*'Sollecitazioni nel paramento'!$G$41*IF(DATI!$G$211="dx",DATI!$E$61,DATI!$E$64*DATI!$E$63)*1000*C2435^2*sezione!$AD$5*(1-sezione!$AD$6)</f>
        <v>-2314546292.6475663</v>
      </c>
      <c r="E2435" s="545">
        <f>-'Foglio deposito bis'!$F$88*(C2435-sezione!$AL$36)*IF(ABS(K2435)&lt;'Sollecitazioni nel paramento'!$G$58,ABS(K2435)*'Sollecitazioni nel paramento'!$G$54,'Sollecitazioni nel paramento'!$G$53)</f>
        <v>0</v>
      </c>
      <c r="F2435" s="545">
        <f>-'Foglio deposito bis'!$F$89*(C2435-sezione!$AM$36)*IF(ABS(L2435)&lt;'Sollecitazioni nel paramento'!$G$58,ABS(L2435)*'Sollecitazioni nel paramento'!$G$54,'Sollecitazioni nel paramento'!$G$53)</f>
        <v>-40342891.272483721</v>
      </c>
      <c r="G2435" s="545">
        <f>-'Foglio deposito bis'!$F$90*(C2435-sezione!$AN$36)*IF(ABS(M2435)&lt;'Sollecitazioni nel paramento'!$G$58,ABS(M2435)*'Sollecitazioni nel paramento'!$G$54,'Sollecitazioni nel paramento'!$G$53)</f>
        <v>0</v>
      </c>
      <c r="H2435" s="545">
        <f>-'Foglio deposito bis'!$F$91*(C2435-sezione!$AO$36)*IF(ABS(N2435)&lt;'Sollecitazioni nel paramento'!$G$58,ABS(N2435)*'Sollecitazioni nel paramento'!$G$54,'Sollecitazioni nel paramento'!$G$53)</f>
        <v>-134694973.4117319</v>
      </c>
      <c r="I2435" s="472">
        <f>-'Foglio deposito bis'!$F$92*(C2435-sezione!$AP$36)*IF(ABS(O2435)&lt;'Sollecitazioni nel paramento'!$G$58,ABS(O2435)*'Sollecitazioni nel paramento'!$G$54,'Sollecitazioni nel paramento'!$G$53)</f>
        <v>722385544.99585116</v>
      </c>
      <c r="J2435" s="472">
        <f t="shared" si="171"/>
        <v>-1767198612.3359308</v>
      </c>
      <c r="K2435" s="550">
        <f>'Sollecitazioni nel paramento'!$G$60*(sezione!$AL$36-C2435)/C2435</f>
        <v>-3.0659428520424217E-3</v>
      </c>
      <c r="L2435" s="550">
        <f>'Sollecitazioni nel paramento'!$G$60*(sezione!$AM$36-C2435)/C2435</f>
        <v>-2.8489142780636326E-3</v>
      </c>
      <c r="M2435" s="551">
        <f>'Sollecitazioni nel paramento'!$G$60*(sezione!$AN$36-C2435)/C2435</f>
        <v>-2.6318857040848439E-3</v>
      </c>
      <c r="N2435" s="551">
        <f>'Sollecitazioni nel paramento'!$G$60*(sezione!$AO$36-C2435)/C2435</f>
        <v>-1.763771408169687E-3</v>
      </c>
      <c r="O2435" s="551">
        <f>'Sollecitazioni nel paramento'!$G$60*(sezione!$AP$36-C2435)/C2435</f>
        <v>4.7164445242832351E-3</v>
      </c>
      <c r="P2435" s="545">
        <f>-'Sollecitazioni nel paramento'!$G$47*'Sollecitazioni nel paramento'!$G$41*IF(DATI!$G$211="dx",DATI!$E$61,DATI!$E$64*DATI!$E$63)*1000*C2435*sezione!$AD$5</f>
        <v>-12287736.822436262</v>
      </c>
      <c r="Q2435" s="545">
        <f>'Foglio deposito bis'!$F$88*IF(ABS(K2435)&lt;'Sollecitazioni nel paramento'!$G$58,ABS(K2435)*'Sollecitazioni nel paramento'!$G$54,'Sollecitazioni nel paramento'!$G$53)*IF(K2435&lt;0,-1,1)</f>
        <v>0</v>
      </c>
      <c r="R2435" s="545">
        <f>'Foglio deposito bis'!$F$89*IF(ABS(L2435)&lt;'Sollecitazioni nel paramento'!$G$58,ABS(L2435)*'Sollecitazioni nel paramento'!$G$54,'Sollecitazioni nel paramento'!$G$53)*IF(L2435&lt;0,-1,1)</f>
        <v>-153664.85805602249</v>
      </c>
      <c r="S2435" s="545">
        <f>'Foglio deposito bis'!$F$90*IF(ABS(M2435)&lt;'Sollecitazioni nel paramento'!$G$58,ABS(M2435)*'Sollecitazioni nel paramento'!$G$54,'Sollecitazioni nel paramento'!$G$53)*IF(M2435&lt;0,-1,1)</f>
        <v>0</v>
      </c>
      <c r="T2435" s="545">
        <f>'Foglio deposito bis'!$F$91*IF(ABS(N2435)&lt;'Sollecitazioni nel paramento'!$G$58,ABS(N2435)*'Sollecitazioni nel paramento'!$G$54,'Sollecitazioni nel paramento'!$G$53)*IF(N2435&lt;0,-1,1)</f>
        <v>-828697.46800110023</v>
      </c>
      <c r="U2435" s="545">
        <f>'Foglio deposito bis'!$F$92*IF(ABS(O2435)&lt;'Sollecitazioni nel paramento'!$G$58,ABS(O2435)*'Sollecitazioni nel paramento'!$G$54,'Sollecitazioni nel paramento'!$G$53)*IF(O2435&lt;0,-1,1)</f>
        <v>1662039.1047339395</v>
      </c>
      <c r="V2435" s="472">
        <f t="shared" si="173"/>
        <v>-11608060.043759443</v>
      </c>
      <c r="W2435" s="551"/>
      <c r="X2435" s="551"/>
    </row>
    <row r="2436" spans="1:24" x14ac:dyDescent="0.25">
      <c r="A2436" s="545">
        <f t="shared" si="172"/>
        <v>12045421.032766774</v>
      </c>
      <c r="B2436" s="3">
        <f t="shared" si="170"/>
        <v>30.899999999999942</v>
      </c>
      <c r="C2436" s="545">
        <f>'Foglio deposito bis'!$E$162/sezione!$B$247*B2436</f>
        <v>333.32540410469613</v>
      </c>
      <c r="D2436" s="603">
        <f>-'Sollecitazioni nel paramento'!$G$47*'Sollecitazioni nel paramento'!$G$41*IF(DATI!$G$211="dx",DATI!$E$61,DATI!$E$64*DATI!$E$63)*1000*C2436^2*sezione!$AD$5*(1-sezione!$AD$6)</f>
        <v>-2471954391.6542578</v>
      </c>
      <c r="E2436" s="545">
        <f>-'Foglio deposito bis'!$F$88*(C2436-sezione!$AL$36)*IF(ABS(K2436)&lt;'Sollecitazioni nel paramento'!$G$58,ABS(K2436)*'Sollecitazioni nel paramento'!$G$54,'Sollecitazioni nel paramento'!$G$53)</f>
        <v>0</v>
      </c>
      <c r="F2436" s="545">
        <f>-'Foglio deposito bis'!$F$89*(C2436-sezione!$AM$36)*IF(ABS(L2436)&lt;'Sollecitazioni nel paramento'!$G$58,ABS(L2436)*'Sollecitazioni nel paramento'!$G$54,'Sollecitazioni nel paramento'!$G$53)</f>
        <v>-42000509.424853124</v>
      </c>
      <c r="G2436" s="545">
        <f>-'Foglio deposito bis'!$F$90*(C2436-sezione!$AN$36)*IF(ABS(M2436)&lt;'Sollecitazioni nel paramento'!$G$58,ABS(M2436)*'Sollecitazioni nel paramento'!$G$54,'Sollecitazioni nel paramento'!$G$53)</f>
        <v>0</v>
      </c>
      <c r="H2436" s="545">
        <f>-'Foglio deposito bis'!$F$91*(C2436-sezione!$AO$36)*IF(ABS(N2436)&lt;'Sollecitazioni nel paramento'!$G$58,ABS(N2436)*'Sollecitazioni nel paramento'!$G$54,'Sollecitazioni nel paramento'!$G$53)</f>
        <v>-148210095.34399956</v>
      </c>
      <c r="I2436" s="472">
        <f>-'Foglio deposito bis'!$F$92*(C2436-sezione!$AP$36)*IF(ABS(O2436)&lt;'Sollecitazioni nel paramento'!$G$58,ABS(O2436)*'Sollecitazioni nel paramento'!$G$54,'Sollecitazioni nel paramento'!$G$53)</f>
        <v>704456747.05982375</v>
      </c>
      <c r="J2436" s="472">
        <f t="shared" si="171"/>
        <v>-1957708249.3632867</v>
      </c>
      <c r="K2436" s="550">
        <f>'Sollecitazioni nel paramento'!$G$60*(sezione!$AL$36-C2436)/C2436</f>
        <v>-3.079990008934253E-3</v>
      </c>
      <c r="L2436" s="550">
        <f>'Sollecitazioni nel paramento'!$G$60*(sezione!$AM$36-C2436)/C2436</f>
        <v>-2.8699850134013792E-3</v>
      </c>
      <c r="M2436" s="551">
        <f>'Sollecitazioni nel paramento'!$G$60*(sezione!$AN$36-C2436)/C2436</f>
        <v>-2.6599800178685059E-3</v>
      </c>
      <c r="N2436" s="551">
        <f>'Sollecitazioni nel paramento'!$G$60*(sezione!$AO$36-C2436)/C2436</f>
        <v>-1.8199600357370112E-3</v>
      </c>
      <c r="O2436" s="551">
        <f>'Sollecitazioni nel paramento'!$G$60*(sezione!$AP$36-C2436)/C2436</f>
        <v>4.4505401707465603E-3</v>
      </c>
      <c r="P2436" s="545">
        <f>-'Sollecitazioni nel paramento'!$G$47*'Sollecitazioni nel paramento'!$G$41*IF(DATI!$G$211="dx",DATI!$E$61,DATI!$E$64*DATI!$E$63)*1000*C2436*sezione!$AD$5</f>
        <v>-12698697.920176607</v>
      </c>
      <c r="Q2436" s="545">
        <f>'Foglio deposito bis'!$F$88*IF(ABS(K2436)&lt;'Sollecitazioni nel paramento'!$G$58,ABS(K2436)*'Sollecitazioni nel paramento'!$G$54,'Sollecitazioni nel paramento'!$G$53)*IF(K2436&lt;0,-1,1)</f>
        <v>0</v>
      </c>
      <c r="R2436" s="545">
        <f>'Foglio deposito bis'!$F$89*IF(ABS(L2436)&lt;'Sollecitazioni nel paramento'!$G$58,ABS(L2436)*'Sollecitazioni nel paramento'!$G$54,'Sollecitazioni nel paramento'!$G$53)*IF(L2436&lt;0,-1,1)</f>
        <v>-153664.85805602249</v>
      </c>
      <c r="S2436" s="545">
        <f>'Foglio deposito bis'!$F$90*IF(ABS(M2436)&lt;'Sollecitazioni nel paramento'!$G$58,ABS(M2436)*'Sollecitazioni nel paramento'!$G$54,'Sollecitazioni nel paramento'!$G$53)*IF(M2436&lt;0,-1,1)</f>
        <v>0</v>
      </c>
      <c r="T2436" s="545">
        <f>'Foglio deposito bis'!$F$91*IF(ABS(N2436)&lt;'Sollecitazioni nel paramento'!$G$58,ABS(N2436)*'Sollecitazioni nel paramento'!$G$54,'Sollecitazioni nel paramento'!$G$53)*IF(N2436&lt;0,-1,1)</f>
        <v>-855097.35926808615</v>
      </c>
      <c r="U2436" s="545">
        <f>'Foglio deposito bis'!$F$92*IF(ABS(O2436)&lt;'Sollecitazioni nel paramento'!$G$58,ABS(O2436)*'Sollecitazioni nel paramento'!$G$54,'Sollecitazioni nel paramento'!$G$53)*IF(O2436&lt;0,-1,1)</f>
        <v>1662039.1047339395</v>
      </c>
      <c r="V2436" s="472">
        <f t="shared" si="173"/>
        <v>-12045421.032766774</v>
      </c>
      <c r="W2436" s="551"/>
      <c r="X2436" s="551"/>
    </row>
    <row r="2437" spans="1:24" x14ac:dyDescent="0.25">
      <c r="A2437" s="545">
        <f t="shared" si="172"/>
        <v>12493770.266828412</v>
      </c>
      <c r="B2437" s="3">
        <f t="shared" si="170"/>
        <v>31.899999999999942</v>
      </c>
      <c r="C2437" s="545">
        <f>'Foglio deposito bis'!$E$162/sezione!$B$247*B2437</f>
        <v>344.112634010997</v>
      </c>
      <c r="D2437" s="603">
        <f>-'Sollecitazioni nel paramento'!$G$47*'Sollecitazioni nel paramento'!$G$41*IF(DATI!$G$211="dx",DATI!$E$61,DATI!$E$64*DATI!$E$63)*1000*C2437^2*sezione!$AD$5*(1-sezione!$AD$6)</f>
        <v>-2634540388.6545911</v>
      </c>
      <c r="E2437" s="545">
        <f>-'Foglio deposito bis'!$F$88*(C2437-sezione!$AL$36)*IF(ABS(K2437)&lt;'Sollecitazioni nel paramento'!$G$58,ABS(K2437)*'Sollecitazioni nel paramento'!$G$54,'Sollecitazioni nel paramento'!$G$53)</f>
        <v>0</v>
      </c>
      <c r="F2437" s="545">
        <f>-'Foglio deposito bis'!$F$89*(C2437-sezione!$AM$36)*IF(ABS(L2437)&lt;'Sollecitazioni nel paramento'!$G$58,ABS(L2437)*'Sollecitazioni nel paramento'!$G$54,'Sollecitazioni nel paramento'!$G$53)</f>
        <v>-43658127.577222526</v>
      </c>
      <c r="G2437" s="545">
        <f>-'Foglio deposito bis'!$F$90*(C2437-sezione!$AN$36)*IF(ABS(M2437)&lt;'Sollecitazioni nel paramento'!$G$58,ABS(M2437)*'Sollecitazioni nel paramento'!$G$54,'Sollecitazioni nel paramento'!$G$53)</f>
        <v>0</v>
      </c>
      <c r="H2437" s="545">
        <f>-'Foglio deposito bis'!$F$91*(C2437-sezione!$AO$36)*IF(ABS(N2437)&lt;'Sollecitazioni nel paramento'!$G$58,ABS(N2437)*'Sollecitazioni nel paramento'!$G$54,'Sollecitazioni nel paramento'!$G$53)</f>
        <v>-164317855.40957057</v>
      </c>
      <c r="I2437" s="472">
        <f>-'Foglio deposito bis'!$F$92*(C2437-sezione!$AP$36)*IF(ABS(O2437)&lt;'Sollecitazioni nel paramento'!$G$58,ABS(O2437)*'Sollecitazioni nel paramento'!$G$54,'Sollecitazioni nel paramento'!$G$53)</f>
        <v>686527949.12379622</v>
      </c>
      <c r="J2437" s="472">
        <f t="shared" si="171"/>
        <v>-2155988422.5175877</v>
      </c>
      <c r="K2437" s="550">
        <f>'Sollecitazioni nel paramento'!$G$60*(sezione!$AL$36-C2437)/C2437</f>
        <v>-3.0931564663344326E-3</v>
      </c>
      <c r="L2437" s="550">
        <f>'Sollecitazioni nel paramento'!$G$60*(sezione!$AM$36-C2437)/C2437</f>
        <v>-2.8897346995016499E-3</v>
      </c>
      <c r="M2437" s="551">
        <f>'Sollecitazioni nel paramento'!$G$60*(sezione!$AN$36-C2437)/C2437</f>
        <v>-2.6863129326688659E-3</v>
      </c>
      <c r="N2437" s="551">
        <f>'Sollecitazioni nel paramento'!$G$60*(sezione!$AO$36-C2437)/C2437</f>
        <v>-1.872625865337732E-3</v>
      </c>
      <c r="O2437" s="551">
        <f>'Sollecitazioni nel paramento'!$G$60*(sezione!$AP$36-C2437)/C2437</f>
        <v>4.201306936553878E-3</v>
      </c>
      <c r="P2437" s="545">
        <f>-'Sollecitazioni nel paramento'!$G$47*'Sollecitazioni nel paramento'!$G$41*IF(DATI!$G$211="dx",DATI!$E$61,DATI!$E$64*DATI!$E$63)*1000*C2437*sezione!$AD$5</f>
        <v>-13109659.017916951</v>
      </c>
      <c r="Q2437" s="545">
        <f>'Foglio deposito bis'!$F$88*IF(ABS(K2437)&lt;'Sollecitazioni nel paramento'!$G$58,ABS(K2437)*'Sollecitazioni nel paramento'!$G$54,'Sollecitazioni nel paramento'!$G$53)*IF(K2437&lt;0,-1,1)</f>
        <v>0</v>
      </c>
      <c r="R2437" s="545">
        <f>'Foglio deposito bis'!$F$89*IF(ABS(L2437)&lt;'Sollecitazioni nel paramento'!$G$58,ABS(L2437)*'Sollecitazioni nel paramento'!$G$54,'Sollecitazioni nel paramento'!$G$53)*IF(L2437&lt;0,-1,1)</f>
        <v>-153664.85805602249</v>
      </c>
      <c r="S2437" s="545">
        <f>'Foglio deposito bis'!$F$90*IF(ABS(M2437)&lt;'Sollecitazioni nel paramento'!$G$58,ABS(M2437)*'Sollecitazioni nel paramento'!$G$54,'Sollecitazioni nel paramento'!$G$53)*IF(M2437&lt;0,-1,1)</f>
        <v>0</v>
      </c>
      <c r="T2437" s="545">
        <f>'Foglio deposito bis'!$F$91*IF(ABS(N2437)&lt;'Sollecitazioni nel paramento'!$G$58,ABS(N2437)*'Sollecitazioni nel paramento'!$G$54,'Sollecitazioni nel paramento'!$G$53)*IF(N2437&lt;0,-1,1)</f>
        <v>-892485.49558937876</v>
      </c>
      <c r="U2437" s="545">
        <f>'Foglio deposito bis'!$F$92*IF(ABS(O2437)&lt;'Sollecitazioni nel paramento'!$G$58,ABS(O2437)*'Sollecitazioni nel paramento'!$G$54,'Sollecitazioni nel paramento'!$G$53)*IF(O2437&lt;0,-1,1)</f>
        <v>1662039.1047339395</v>
      </c>
      <c r="V2437" s="472">
        <f t="shared" si="173"/>
        <v>-12493770.266828412</v>
      </c>
      <c r="W2437" s="551"/>
      <c r="X2437" s="551"/>
    </row>
    <row r="2438" spans="1:24" x14ac:dyDescent="0.25">
      <c r="A2438" s="545">
        <f t="shared" si="172"/>
        <v>12904731.364568755</v>
      </c>
      <c r="B2438" s="3">
        <f t="shared" si="170"/>
        <v>32.899999999999942</v>
      </c>
      <c r="C2438" s="545">
        <f>'Foglio deposito bis'!$E$162/sezione!$B$247*B2438</f>
        <v>354.89986391729786</v>
      </c>
      <c r="D2438" s="603">
        <f>-'Sollecitazioni nel paramento'!$G$47*'Sollecitazioni nel paramento'!$G$41*IF(DATI!$G$211="dx",DATI!$E$61,DATI!$E$64*DATI!$E$63)*1000*C2438^2*sezione!$AD$5*(1-sezione!$AD$6)</f>
        <v>-2802304283.6485648</v>
      </c>
      <c r="E2438" s="545">
        <f>-'Foglio deposito bis'!$F$88*(C2438-sezione!$AL$36)*IF(ABS(K2438)&lt;'Sollecitazioni nel paramento'!$G$58,ABS(K2438)*'Sollecitazioni nel paramento'!$G$54,'Sollecitazioni nel paramento'!$G$53)</f>
        <v>0</v>
      </c>
      <c r="F2438" s="545">
        <f>-'Foglio deposito bis'!$F$89*(C2438-sezione!$AM$36)*IF(ABS(L2438)&lt;'Sollecitazioni nel paramento'!$G$58,ABS(L2438)*'Sollecitazioni nel paramento'!$G$54,'Sollecitazioni nel paramento'!$G$53)</f>
        <v>-45315745.729591928</v>
      </c>
      <c r="G2438" s="545">
        <f>-'Foglio deposito bis'!$F$90*(C2438-sezione!$AN$36)*IF(ABS(M2438)&lt;'Sollecitazioni nel paramento'!$G$58,ABS(M2438)*'Sollecitazioni nel paramento'!$G$54,'Sollecitazioni nel paramento'!$G$53)</f>
        <v>0</v>
      </c>
      <c r="H2438" s="545">
        <f>-'Foglio deposito bis'!$F$91*(C2438-sezione!$AO$36)*IF(ABS(N2438)&lt;'Sollecitazioni nel paramento'!$G$58,ABS(N2438)*'Sollecitazioni nel paramento'!$G$54,'Sollecitazioni nel paramento'!$G$53)</f>
        <v>-173945301.63853207</v>
      </c>
      <c r="I2438" s="472">
        <f>-'Foglio deposito bis'!$F$92*(C2438-sezione!$AP$36)*IF(ABS(O2438)&lt;'Sollecitazioni nel paramento'!$G$58,ABS(O2438)*'Sollecitazioni nel paramento'!$G$54,'Sollecitazioni nel paramento'!$G$53)</f>
        <v>668599151.18776882</v>
      </c>
      <c r="J2438" s="472">
        <f t="shared" si="171"/>
        <v>-2352966179.8289199</v>
      </c>
      <c r="K2438" s="550">
        <f>'Sollecitazioni nel paramento'!$G$60*(sezione!$AL$36-C2438)/C2438</f>
        <v>-3.1055225311874897E-3</v>
      </c>
      <c r="L2438" s="550">
        <f>'Sollecitazioni nel paramento'!$G$60*(sezione!$AM$36-C2438)/C2438</f>
        <v>-2.9082837967812345E-3</v>
      </c>
      <c r="M2438" s="551">
        <f>'Sollecitazioni nel paramento'!$G$60*(sezione!$AN$36-C2438)/C2438</f>
        <v>-2.7110450623749793E-3</v>
      </c>
      <c r="N2438" s="551">
        <f>'Sollecitazioni nel paramento'!$G$60*(sezione!$AO$36-C2438)/C2438</f>
        <v>-1.9220901247499588E-3</v>
      </c>
      <c r="O2438" s="551">
        <f>'Sollecitazioni nel paramento'!$G$60*(sezione!$AP$36-C2438)/C2438</f>
        <v>3.9672246588470733E-3</v>
      </c>
      <c r="P2438" s="545">
        <f>-'Sollecitazioni nel paramento'!$G$47*'Sollecitazioni nel paramento'!$G$41*IF(DATI!$G$211="dx",DATI!$E$61,DATI!$E$64*DATI!$E$63)*1000*C2438*sezione!$AD$5</f>
        <v>-13520620.115657294</v>
      </c>
      <c r="Q2438" s="545">
        <f>'Foglio deposito bis'!$F$88*IF(ABS(K2438)&lt;'Sollecitazioni nel paramento'!$G$58,ABS(K2438)*'Sollecitazioni nel paramento'!$G$54,'Sollecitazioni nel paramento'!$G$53)*IF(K2438&lt;0,-1,1)</f>
        <v>0</v>
      </c>
      <c r="R2438" s="545">
        <f>'Foglio deposito bis'!$F$89*IF(ABS(L2438)&lt;'Sollecitazioni nel paramento'!$G$58,ABS(L2438)*'Sollecitazioni nel paramento'!$G$54,'Sollecitazioni nel paramento'!$G$53)*IF(L2438&lt;0,-1,1)</f>
        <v>-153664.85805602249</v>
      </c>
      <c r="S2438" s="545">
        <f>'Foglio deposito bis'!$F$90*IF(ABS(M2438)&lt;'Sollecitazioni nel paramento'!$G$58,ABS(M2438)*'Sollecitazioni nel paramento'!$G$54,'Sollecitazioni nel paramento'!$G$53)*IF(M2438&lt;0,-1,1)</f>
        <v>0</v>
      </c>
      <c r="T2438" s="545">
        <f>'Foglio deposito bis'!$F$91*IF(ABS(N2438)&lt;'Sollecitazioni nel paramento'!$G$58,ABS(N2438)*'Sollecitazioni nel paramento'!$G$54,'Sollecitazioni nel paramento'!$G$53)*IF(N2438&lt;0,-1,1)</f>
        <v>-892485.49558937876</v>
      </c>
      <c r="U2438" s="545">
        <f>'Foglio deposito bis'!$F$92*IF(ABS(O2438)&lt;'Sollecitazioni nel paramento'!$G$58,ABS(O2438)*'Sollecitazioni nel paramento'!$G$54,'Sollecitazioni nel paramento'!$G$53)*IF(O2438&lt;0,-1,1)</f>
        <v>1662039.1047339395</v>
      </c>
      <c r="V2438" s="472">
        <f t="shared" si="173"/>
        <v>-12904731.364568755</v>
      </c>
      <c r="W2438" s="551"/>
      <c r="X2438" s="551"/>
    </row>
    <row r="2439" spans="1:24" x14ac:dyDescent="0.25">
      <c r="A2439" s="545">
        <f t="shared" si="172"/>
        <v>13315692.462309098</v>
      </c>
      <c r="B2439" s="3">
        <f t="shared" si="170"/>
        <v>33.899999999999942</v>
      </c>
      <c r="C2439" s="545">
        <f>'Foglio deposito bis'!$E$162/sezione!$B$247*B2439</f>
        <v>365.68709382359873</v>
      </c>
      <c r="D2439" s="603">
        <f>-'Sollecitazioni nel paramento'!$G$47*'Sollecitazioni nel paramento'!$G$41*IF(DATI!$G$211="dx",DATI!$E$61,DATI!$E$64*DATI!$E$63)*1000*C2439^2*sezione!$AD$5*(1-sezione!$AD$6)</f>
        <v>-2975246076.6361794</v>
      </c>
      <c r="E2439" s="545">
        <f>-'Foglio deposito bis'!$F$88*(C2439-sezione!$AL$36)*IF(ABS(K2439)&lt;'Sollecitazioni nel paramento'!$G$58,ABS(K2439)*'Sollecitazioni nel paramento'!$G$54,'Sollecitazioni nel paramento'!$G$53)</f>
        <v>0</v>
      </c>
      <c r="F2439" s="545">
        <f>-'Foglio deposito bis'!$F$89*(C2439-sezione!$AM$36)*IF(ABS(L2439)&lt;'Sollecitazioni nel paramento'!$G$58,ABS(L2439)*'Sollecitazioni nel paramento'!$G$54,'Sollecitazioni nel paramento'!$G$53)</f>
        <v>-46973363.881961331</v>
      </c>
      <c r="G2439" s="545">
        <f>-'Foglio deposito bis'!$F$90*(C2439-sezione!$AN$36)*IF(ABS(M2439)&lt;'Sollecitazioni nel paramento'!$G$58,ABS(M2439)*'Sollecitazioni nel paramento'!$G$54,'Sollecitazioni nel paramento'!$G$53)</f>
        <v>0</v>
      </c>
      <c r="H2439" s="545">
        <f>-'Foglio deposito bis'!$F$91*(C2439-sezione!$AO$36)*IF(ABS(N2439)&lt;'Sollecitazioni nel paramento'!$G$58,ABS(N2439)*'Sollecitazioni nel paramento'!$G$54,'Sollecitazioni nel paramento'!$G$53)</f>
        <v>-183572747.86749357</v>
      </c>
      <c r="I2439" s="472">
        <f>-'Foglio deposito bis'!$F$92*(C2439-sezione!$AP$36)*IF(ABS(O2439)&lt;'Sollecitazioni nel paramento'!$G$58,ABS(O2439)*'Sollecitazioni nel paramento'!$G$54,'Sollecitazioni nel paramento'!$G$53)</f>
        <v>650670353.25174129</v>
      </c>
      <c r="J2439" s="472">
        <f t="shared" si="171"/>
        <v>-2555121835.133893</v>
      </c>
      <c r="K2439" s="550">
        <f>'Sollecitazioni nel paramento'!$G$60*(sezione!$AL$36-C2439)/C2439</f>
        <v>-3.1171590346922838E-3</v>
      </c>
      <c r="L2439" s="550">
        <f>'Sollecitazioni nel paramento'!$G$60*(sezione!$AM$36-C2439)/C2439</f>
        <v>-2.9257385520384256E-3</v>
      </c>
      <c r="M2439" s="551">
        <f>'Sollecitazioni nel paramento'!$G$60*(sezione!$AN$36-C2439)/C2439</f>
        <v>-2.734318069384567E-3</v>
      </c>
      <c r="N2439" s="551">
        <f>'Sollecitazioni nel paramento'!$G$60*(sezione!$AO$36-C2439)/C2439</f>
        <v>-1.9686361387691344E-3</v>
      </c>
      <c r="O2439" s="551">
        <f>'Sollecitazioni nel paramento'!$G$60*(sezione!$AP$36-C2439)/C2439</f>
        <v>3.7469525450167752E-3</v>
      </c>
      <c r="P2439" s="545">
        <f>-'Sollecitazioni nel paramento'!$G$47*'Sollecitazioni nel paramento'!$G$41*IF(DATI!$G$211="dx",DATI!$E$61,DATI!$E$64*DATI!$E$63)*1000*C2439*sezione!$AD$5</f>
        <v>-13931581.213397637</v>
      </c>
      <c r="Q2439" s="545">
        <f>'Foglio deposito bis'!$F$88*IF(ABS(K2439)&lt;'Sollecitazioni nel paramento'!$G$58,ABS(K2439)*'Sollecitazioni nel paramento'!$G$54,'Sollecitazioni nel paramento'!$G$53)*IF(K2439&lt;0,-1,1)</f>
        <v>0</v>
      </c>
      <c r="R2439" s="545">
        <f>'Foglio deposito bis'!$F$89*IF(ABS(L2439)&lt;'Sollecitazioni nel paramento'!$G$58,ABS(L2439)*'Sollecitazioni nel paramento'!$G$54,'Sollecitazioni nel paramento'!$G$53)*IF(L2439&lt;0,-1,1)</f>
        <v>-153664.85805602249</v>
      </c>
      <c r="S2439" s="545">
        <f>'Foglio deposito bis'!$F$90*IF(ABS(M2439)&lt;'Sollecitazioni nel paramento'!$G$58,ABS(M2439)*'Sollecitazioni nel paramento'!$G$54,'Sollecitazioni nel paramento'!$G$53)*IF(M2439&lt;0,-1,1)</f>
        <v>0</v>
      </c>
      <c r="T2439" s="545">
        <f>'Foglio deposito bis'!$F$91*IF(ABS(N2439)&lt;'Sollecitazioni nel paramento'!$G$58,ABS(N2439)*'Sollecitazioni nel paramento'!$G$54,'Sollecitazioni nel paramento'!$G$53)*IF(N2439&lt;0,-1,1)</f>
        <v>-892485.49558937876</v>
      </c>
      <c r="U2439" s="545">
        <f>'Foglio deposito bis'!$F$92*IF(ABS(O2439)&lt;'Sollecitazioni nel paramento'!$G$58,ABS(O2439)*'Sollecitazioni nel paramento'!$G$54,'Sollecitazioni nel paramento'!$G$53)*IF(O2439&lt;0,-1,1)</f>
        <v>1662039.1047339395</v>
      </c>
      <c r="V2439" s="472">
        <f t="shared" si="173"/>
        <v>-13315692.462309098</v>
      </c>
      <c r="W2439" s="551"/>
      <c r="X2439" s="551"/>
    </row>
    <row r="2440" spans="1:24" x14ac:dyDescent="0.25">
      <c r="A2440" s="545">
        <f t="shared" si="172"/>
        <v>13726653.560049443</v>
      </c>
      <c r="B2440" s="3">
        <f t="shared" si="170"/>
        <v>34.899999999999942</v>
      </c>
      <c r="C2440" s="545">
        <f>'Foglio deposito bis'!$E$162/sezione!$B$247*B2440</f>
        <v>376.4743237298996</v>
      </c>
      <c r="D2440" s="603">
        <f>-'Sollecitazioni nel paramento'!$G$47*'Sollecitazioni nel paramento'!$G$41*IF(DATI!$G$211="dx",DATI!$E$61,DATI!$E$64*DATI!$E$63)*1000*C2440^2*sezione!$AD$5*(1-sezione!$AD$6)</f>
        <v>-3153365767.6174359</v>
      </c>
      <c r="E2440" s="545">
        <f>-'Foglio deposito bis'!$F$88*(C2440-sezione!$AL$36)*IF(ABS(K2440)&lt;'Sollecitazioni nel paramento'!$G$58,ABS(K2440)*'Sollecitazioni nel paramento'!$G$54,'Sollecitazioni nel paramento'!$G$53)</f>
        <v>0</v>
      </c>
      <c r="F2440" s="545">
        <f>-'Foglio deposito bis'!$F$89*(C2440-sezione!$AM$36)*IF(ABS(L2440)&lt;'Sollecitazioni nel paramento'!$G$58,ABS(L2440)*'Sollecitazioni nel paramento'!$G$54,'Sollecitazioni nel paramento'!$G$53)</f>
        <v>-48630982.034330733</v>
      </c>
      <c r="G2440" s="545">
        <f>-'Foglio deposito bis'!$F$90*(C2440-sezione!$AN$36)*IF(ABS(M2440)&lt;'Sollecitazioni nel paramento'!$G$58,ABS(M2440)*'Sollecitazioni nel paramento'!$G$54,'Sollecitazioni nel paramento'!$G$53)</f>
        <v>0</v>
      </c>
      <c r="H2440" s="545">
        <f>-'Foglio deposito bis'!$F$91*(C2440-sezione!$AO$36)*IF(ABS(N2440)&lt;'Sollecitazioni nel paramento'!$G$58,ABS(N2440)*'Sollecitazioni nel paramento'!$G$54,'Sollecitazioni nel paramento'!$G$53)</f>
        <v>-193200194.09645507</v>
      </c>
      <c r="I2440" s="472">
        <f>-'Foglio deposito bis'!$F$92*(C2440-sezione!$AP$36)*IF(ABS(O2440)&lt;'Sollecitazioni nel paramento'!$G$58,ABS(O2440)*'Sollecitazioni nel paramento'!$G$54,'Sollecitazioni nel paramento'!$G$53)</f>
        <v>632741555.31571388</v>
      </c>
      <c r="J2440" s="472">
        <f t="shared" si="171"/>
        <v>-2762455388.432508</v>
      </c>
      <c r="K2440" s="550">
        <f>'Sollecitazioni nel paramento'!$G$60*(sezione!$AL$36-C2440)/C2440</f>
        <v>-3.1281286898586936E-3</v>
      </c>
      <c r="L2440" s="550">
        <f>'Sollecitazioni nel paramento'!$G$60*(sezione!$AM$36-C2440)/C2440</f>
        <v>-2.9421930347880406E-3</v>
      </c>
      <c r="M2440" s="551">
        <f>'Sollecitazioni nel paramento'!$G$60*(sezione!$AN$36-C2440)/C2440</f>
        <v>-2.756257379717388E-3</v>
      </c>
      <c r="N2440" s="551">
        <f>'Sollecitazioni nel paramento'!$G$60*(sezione!$AO$36-C2440)/C2440</f>
        <v>-2.0125147594347755E-3</v>
      </c>
      <c r="O2440" s="551">
        <f>'Sollecitazioni nel paramento'!$G$60*(sezione!$AP$36-C2440)/C2440</f>
        <v>3.5393034749589881E-3</v>
      </c>
      <c r="P2440" s="545">
        <f>-'Sollecitazioni nel paramento'!$G$47*'Sollecitazioni nel paramento'!$G$41*IF(DATI!$G$211="dx",DATI!$E$61,DATI!$E$64*DATI!$E$63)*1000*C2440*sezione!$AD$5</f>
        <v>-14342542.311137982</v>
      </c>
      <c r="Q2440" s="545">
        <f>'Foglio deposito bis'!$F$88*IF(ABS(K2440)&lt;'Sollecitazioni nel paramento'!$G$58,ABS(K2440)*'Sollecitazioni nel paramento'!$G$54,'Sollecitazioni nel paramento'!$G$53)*IF(K2440&lt;0,-1,1)</f>
        <v>0</v>
      </c>
      <c r="R2440" s="545">
        <f>'Foglio deposito bis'!$F$89*IF(ABS(L2440)&lt;'Sollecitazioni nel paramento'!$G$58,ABS(L2440)*'Sollecitazioni nel paramento'!$G$54,'Sollecitazioni nel paramento'!$G$53)*IF(L2440&lt;0,-1,1)</f>
        <v>-153664.85805602249</v>
      </c>
      <c r="S2440" s="545">
        <f>'Foglio deposito bis'!$F$90*IF(ABS(M2440)&lt;'Sollecitazioni nel paramento'!$G$58,ABS(M2440)*'Sollecitazioni nel paramento'!$G$54,'Sollecitazioni nel paramento'!$G$53)*IF(M2440&lt;0,-1,1)</f>
        <v>0</v>
      </c>
      <c r="T2440" s="545">
        <f>'Foglio deposito bis'!$F$91*IF(ABS(N2440)&lt;'Sollecitazioni nel paramento'!$G$58,ABS(N2440)*'Sollecitazioni nel paramento'!$G$54,'Sollecitazioni nel paramento'!$G$53)*IF(N2440&lt;0,-1,1)</f>
        <v>-892485.49558937876</v>
      </c>
      <c r="U2440" s="545">
        <f>'Foglio deposito bis'!$F$92*IF(ABS(O2440)&lt;'Sollecitazioni nel paramento'!$G$58,ABS(O2440)*'Sollecitazioni nel paramento'!$G$54,'Sollecitazioni nel paramento'!$G$53)*IF(O2440&lt;0,-1,1)</f>
        <v>1662039.1047339395</v>
      </c>
      <c r="V2440" s="472">
        <f t="shared" si="173"/>
        <v>-13726653.560049443</v>
      </c>
      <c r="W2440" s="551"/>
      <c r="X2440" s="551"/>
    </row>
    <row r="2441" spans="1:24" x14ac:dyDescent="0.25">
      <c r="A2441" s="545">
        <f t="shared" si="172"/>
        <v>14137614.657789785</v>
      </c>
      <c r="B2441" s="3">
        <f t="shared" si="170"/>
        <v>35.899999999999942</v>
      </c>
      <c r="C2441" s="545">
        <f>'Foglio deposito bis'!$E$162/sezione!$B$247*B2441</f>
        <v>387.26155363620046</v>
      </c>
      <c r="D2441" s="603">
        <f>-'Sollecitazioni nel paramento'!$G$47*'Sollecitazioni nel paramento'!$G$41*IF(DATI!$G$211="dx",DATI!$E$61,DATI!$E$64*DATI!$E$63)*1000*C2441^2*sezione!$AD$5*(1-sezione!$AD$6)</f>
        <v>-3336663356.5923328</v>
      </c>
      <c r="E2441" s="545">
        <f>-'Foglio deposito bis'!$F$88*(C2441-sezione!$AL$36)*IF(ABS(K2441)&lt;'Sollecitazioni nel paramento'!$G$58,ABS(K2441)*'Sollecitazioni nel paramento'!$G$54,'Sollecitazioni nel paramento'!$G$53)</f>
        <v>0</v>
      </c>
      <c r="F2441" s="545">
        <f>-'Foglio deposito bis'!$F$89*(C2441-sezione!$AM$36)*IF(ABS(L2441)&lt;'Sollecitazioni nel paramento'!$G$58,ABS(L2441)*'Sollecitazioni nel paramento'!$G$54,'Sollecitazioni nel paramento'!$G$53)</f>
        <v>-50288600.186700135</v>
      </c>
      <c r="G2441" s="545">
        <f>-'Foglio deposito bis'!$F$90*(C2441-sezione!$AN$36)*IF(ABS(M2441)&lt;'Sollecitazioni nel paramento'!$G$58,ABS(M2441)*'Sollecitazioni nel paramento'!$G$54,'Sollecitazioni nel paramento'!$G$53)</f>
        <v>0</v>
      </c>
      <c r="H2441" s="545">
        <f>-'Foglio deposito bis'!$F$91*(C2441-sezione!$AO$36)*IF(ABS(N2441)&lt;'Sollecitazioni nel paramento'!$G$58,ABS(N2441)*'Sollecitazioni nel paramento'!$G$54,'Sollecitazioni nel paramento'!$G$53)</f>
        <v>-202827640.32541656</v>
      </c>
      <c r="I2441" s="472">
        <f>-'Foglio deposito bis'!$F$92*(C2441-sezione!$AP$36)*IF(ABS(O2441)&lt;'Sollecitazioni nel paramento'!$G$58,ABS(O2441)*'Sollecitazioni nel paramento'!$G$54,'Sollecitazioni nel paramento'!$G$53)</f>
        <v>614812757.37968636</v>
      </c>
      <c r="J2441" s="472">
        <f t="shared" si="171"/>
        <v>-2974966839.7247634</v>
      </c>
      <c r="K2441" s="550">
        <f>'Sollecitazioni nel paramento'!$G$60*(sezione!$AL$36-C2441)/C2441</f>
        <v>-3.1384872221746078E-3</v>
      </c>
      <c r="L2441" s="550">
        <f>'Sollecitazioni nel paramento'!$G$60*(sezione!$AM$36-C2441)/C2441</f>
        <v>-2.9577308332619117E-3</v>
      </c>
      <c r="M2441" s="551">
        <f>'Sollecitazioni nel paramento'!$G$60*(sezione!$AN$36-C2441)/C2441</f>
        <v>-2.7769744443492152E-3</v>
      </c>
      <c r="N2441" s="551">
        <f>'Sollecitazioni nel paramento'!$G$60*(sezione!$AO$36-C2441)/C2441</f>
        <v>-2.0539488886984307E-3</v>
      </c>
      <c r="O2441" s="551">
        <f>'Sollecitazioni nel paramento'!$G$60*(sezione!$AP$36-C2441)/C2441</f>
        <v>3.3432225982191828E-3</v>
      </c>
      <c r="P2441" s="545">
        <f>-'Sollecitazioni nel paramento'!$G$47*'Sollecitazioni nel paramento'!$G$41*IF(DATI!$G$211="dx",DATI!$E$61,DATI!$E$64*DATI!$E$63)*1000*C2441*sezione!$AD$5</f>
        <v>-14753503.408878325</v>
      </c>
      <c r="Q2441" s="545">
        <f>'Foglio deposito bis'!$F$88*IF(ABS(K2441)&lt;'Sollecitazioni nel paramento'!$G$58,ABS(K2441)*'Sollecitazioni nel paramento'!$G$54,'Sollecitazioni nel paramento'!$G$53)*IF(K2441&lt;0,-1,1)</f>
        <v>0</v>
      </c>
      <c r="R2441" s="545">
        <f>'Foglio deposito bis'!$F$89*IF(ABS(L2441)&lt;'Sollecitazioni nel paramento'!$G$58,ABS(L2441)*'Sollecitazioni nel paramento'!$G$54,'Sollecitazioni nel paramento'!$G$53)*IF(L2441&lt;0,-1,1)</f>
        <v>-153664.85805602249</v>
      </c>
      <c r="S2441" s="545">
        <f>'Foglio deposito bis'!$F$90*IF(ABS(M2441)&lt;'Sollecitazioni nel paramento'!$G$58,ABS(M2441)*'Sollecitazioni nel paramento'!$G$54,'Sollecitazioni nel paramento'!$G$53)*IF(M2441&lt;0,-1,1)</f>
        <v>0</v>
      </c>
      <c r="T2441" s="545">
        <f>'Foglio deposito bis'!$F$91*IF(ABS(N2441)&lt;'Sollecitazioni nel paramento'!$G$58,ABS(N2441)*'Sollecitazioni nel paramento'!$G$54,'Sollecitazioni nel paramento'!$G$53)*IF(N2441&lt;0,-1,1)</f>
        <v>-892485.49558937876</v>
      </c>
      <c r="U2441" s="545">
        <f>'Foglio deposito bis'!$F$92*IF(ABS(O2441)&lt;'Sollecitazioni nel paramento'!$G$58,ABS(O2441)*'Sollecitazioni nel paramento'!$G$54,'Sollecitazioni nel paramento'!$G$53)*IF(O2441&lt;0,-1,1)</f>
        <v>1662039.1047339395</v>
      </c>
      <c r="V2441" s="472">
        <f t="shared" si="173"/>
        <v>-14137614.657789785</v>
      </c>
      <c r="W2441" s="551"/>
      <c r="X2441" s="551"/>
    </row>
    <row r="2442" spans="1:24" x14ac:dyDescent="0.25">
      <c r="A2442" s="545">
        <f t="shared" si="172"/>
        <v>14548575.755530132</v>
      </c>
      <c r="B2442" s="3">
        <f t="shared" si="170"/>
        <v>36.899999999999942</v>
      </c>
      <c r="C2442" s="545">
        <f>'Foglio deposito bis'!$E$162/sezione!$B$247*B2442</f>
        <v>398.04878354250133</v>
      </c>
      <c r="D2442" s="603">
        <f>-'Sollecitazioni nel paramento'!$G$47*'Sollecitazioni nel paramento'!$G$41*IF(DATI!$G$211="dx",DATI!$E$61,DATI!$E$64*DATI!$E$63)*1000*C2442^2*sezione!$AD$5*(1-sezione!$AD$6)</f>
        <v>-3525138843.5608721</v>
      </c>
      <c r="E2442" s="545">
        <f>-'Foglio deposito bis'!$F$88*(C2442-sezione!$AL$36)*IF(ABS(K2442)&lt;'Sollecitazioni nel paramento'!$G$58,ABS(K2442)*'Sollecitazioni nel paramento'!$G$54,'Sollecitazioni nel paramento'!$G$53)</f>
        <v>0</v>
      </c>
      <c r="F2442" s="545">
        <f>-'Foglio deposito bis'!$F$89*(C2442-sezione!$AM$36)*IF(ABS(L2442)&lt;'Sollecitazioni nel paramento'!$G$58,ABS(L2442)*'Sollecitazioni nel paramento'!$G$54,'Sollecitazioni nel paramento'!$G$53)</f>
        <v>-51946218.33906953</v>
      </c>
      <c r="G2442" s="545">
        <f>-'Foglio deposito bis'!$F$90*(C2442-sezione!$AN$36)*IF(ABS(M2442)&lt;'Sollecitazioni nel paramento'!$G$58,ABS(M2442)*'Sollecitazioni nel paramento'!$G$54,'Sollecitazioni nel paramento'!$G$53)</f>
        <v>0</v>
      </c>
      <c r="H2442" s="545">
        <f>-'Foglio deposito bis'!$F$91*(C2442-sezione!$AO$36)*IF(ABS(N2442)&lt;'Sollecitazioni nel paramento'!$G$58,ABS(N2442)*'Sollecitazioni nel paramento'!$G$54,'Sollecitazioni nel paramento'!$G$53)</f>
        <v>-212455086.55437803</v>
      </c>
      <c r="I2442" s="472">
        <f>-'Foglio deposito bis'!$F$92*(C2442-sezione!$AP$36)*IF(ABS(O2442)&lt;'Sollecitazioni nel paramento'!$G$58,ABS(O2442)*'Sollecitazioni nel paramento'!$G$54,'Sollecitazioni nel paramento'!$G$53)</f>
        <v>596883959.44365895</v>
      </c>
      <c r="J2442" s="472">
        <f t="shared" si="171"/>
        <v>-3192656189.0106606</v>
      </c>
      <c r="K2442" s="550">
        <f>'Sollecitazioni nel paramento'!$G$60*(sezione!$AL$36-C2442)/C2442</f>
        <v>-3.1482843164246182E-3</v>
      </c>
      <c r="L2442" s="550">
        <f>'Sollecitazioni nel paramento'!$G$60*(sezione!$AM$36-C2442)/C2442</f>
        <v>-2.9724264746369277E-3</v>
      </c>
      <c r="M2442" s="551">
        <f>'Sollecitazioni nel paramento'!$G$60*(sezione!$AN$36-C2442)/C2442</f>
        <v>-2.7965686328492367E-3</v>
      </c>
      <c r="N2442" s="551">
        <f>'Sollecitazioni nel paramento'!$G$60*(sezione!$AO$36-C2442)/C2442</f>
        <v>-2.0931372656984733E-3</v>
      </c>
      <c r="O2442" s="551">
        <f>'Sollecitazioni nel paramento'!$G$60*(sezione!$AP$36-C2442)/C2442</f>
        <v>3.157769411275573E-3</v>
      </c>
      <c r="P2442" s="545">
        <f>-'Sollecitazioni nel paramento'!$G$47*'Sollecitazioni nel paramento'!$G$41*IF(DATI!$G$211="dx",DATI!$E$61,DATI!$E$64*DATI!$E$63)*1000*C2442*sezione!$AD$5</f>
        <v>-15164464.506618671</v>
      </c>
      <c r="Q2442" s="545">
        <f>'Foglio deposito bis'!$F$88*IF(ABS(K2442)&lt;'Sollecitazioni nel paramento'!$G$58,ABS(K2442)*'Sollecitazioni nel paramento'!$G$54,'Sollecitazioni nel paramento'!$G$53)*IF(K2442&lt;0,-1,1)</f>
        <v>0</v>
      </c>
      <c r="R2442" s="545">
        <f>'Foglio deposito bis'!$F$89*IF(ABS(L2442)&lt;'Sollecitazioni nel paramento'!$G$58,ABS(L2442)*'Sollecitazioni nel paramento'!$G$54,'Sollecitazioni nel paramento'!$G$53)*IF(L2442&lt;0,-1,1)</f>
        <v>-153664.85805602249</v>
      </c>
      <c r="S2442" s="545">
        <f>'Foglio deposito bis'!$F$90*IF(ABS(M2442)&lt;'Sollecitazioni nel paramento'!$G$58,ABS(M2442)*'Sollecitazioni nel paramento'!$G$54,'Sollecitazioni nel paramento'!$G$53)*IF(M2442&lt;0,-1,1)</f>
        <v>0</v>
      </c>
      <c r="T2442" s="545">
        <f>'Foglio deposito bis'!$F$91*IF(ABS(N2442)&lt;'Sollecitazioni nel paramento'!$G$58,ABS(N2442)*'Sollecitazioni nel paramento'!$G$54,'Sollecitazioni nel paramento'!$G$53)*IF(N2442&lt;0,-1,1)</f>
        <v>-892485.49558937876</v>
      </c>
      <c r="U2442" s="545">
        <f>'Foglio deposito bis'!$F$92*IF(ABS(O2442)&lt;'Sollecitazioni nel paramento'!$G$58,ABS(O2442)*'Sollecitazioni nel paramento'!$G$54,'Sollecitazioni nel paramento'!$G$53)*IF(O2442&lt;0,-1,1)</f>
        <v>1662039.1047339395</v>
      </c>
      <c r="V2442" s="472">
        <f t="shared" si="173"/>
        <v>-14548575.755530132</v>
      </c>
      <c r="W2442" s="551"/>
      <c r="X2442" s="551"/>
    </row>
    <row r="2443" spans="1:24" x14ac:dyDescent="0.25">
      <c r="A2443" s="545">
        <f t="shared" si="172"/>
        <v>14959536.853270475</v>
      </c>
      <c r="B2443" s="3">
        <f t="shared" si="170"/>
        <v>37.899999999999942</v>
      </c>
      <c r="C2443" s="545">
        <f>'Foglio deposito bis'!$E$162/sezione!$B$247*B2443</f>
        <v>408.83601344880219</v>
      </c>
      <c r="D2443" s="603">
        <f>-'Sollecitazioni nel paramento'!$G$47*'Sollecitazioni nel paramento'!$G$41*IF(DATI!$G$211="dx",DATI!$E$61,DATI!$E$64*DATI!$E$63)*1000*C2443^2*sezione!$AD$5*(1-sezione!$AD$6)</f>
        <v>-3718792228.5230517</v>
      </c>
      <c r="E2443" s="545">
        <f>-'Foglio deposito bis'!$F$88*(C2443-sezione!$AL$36)*IF(ABS(K2443)&lt;'Sollecitazioni nel paramento'!$G$58,ABS(K2443)*'Sollecitazioni nel paramento'!$G$54,'Sollecitazioni nel paramento'!$G$53)</f>
        <v>0</v>
      </c>
      <c r="F2443" s="545">
        <f>-'Foglio deposito bis'!$F$89*(C2443-sezione!$AM$36)*IF(ABS(L2443)&lt;'Sollecitazioni nel paramento'!$G$58,ABS(L2443)*'Sollecitazioni nel paramento'!$G$54,'Sollecitazioni nel paramento'!$G$53)</f>
        <v>-53603836.491438948</v>
      </c>
      <c r="G2443" s="545">
        <f>-'Foglio deposito bis'!$F$90*(C2443-sezione!$AN$36)*IF(ABS(M2443)&lt;'Sollecitazioni nel paramento'!$G$58,ABS(M2443)*'Sollecitazioni nel paramento'!$G$54,'Sollecitazioni nel paramento'!$G$53)</f>
        <v>0</v>
      </c>
      <c r="H2443" s="545">
        <f>-'Foglio deposito bis'!$F$91*(C2443-sezione!$AO$36)*IF(ABS(N2443)&lt;'Sollecitazioni nel paramento'!$G$58,ABS(N2443)*'Sollecitazioni nel paramento'!$G$54,'Sollecitazioni nel paramento'!$G$53)</f>
        <v>-222082532.78333956</v>
      </c>
      <c r="I2443" s="472">
        <f>-'Foglio deposito bis'!$F$92*(C2443-sezione!$AP$36)*IF(ABS(O2443)&lt;'Sollecitazioni nel paramento'!$G$58,ABS(O2443)*'Sollecitazioni nel paramento'!$G$54,'Sollecitazioni nel paramento'!$G$53)</f>
        <v>578955161.50763142</v>
      </c>
      <c r="J2443" s="472">
        <f t="shared" si="171"/>
        <v>-3415523436.2901988</v>
      </c>
      <c r="K2443" s="550">
        <f>'Sollecitazioni nel paramento'!$G$60*(sezione!$AL$36-C2443)/C2443</f>
        <v>-3.1575644136165809E-3</v>
      </c>
      <c r="L2443" s="550">
        <f>'Sollecitazioni nel paramento'!$G$60*(sezione!$AM$36-C2443)/C2443</f>
        <v>-2.9863466204248712E-3</v>
      </c>
      <c r="M2443" s="551">
        <f>'Sollecitazioni nel paramento'!$G$60*(sezione!$AN$36-C2443)/C2443</f>
        <v>-2.8151288272331614E-3</v>
      </c>
      <c r="N2443" s="551">
        <f>'Sollecitazioni nel paramento'!$G$60*(sezione!$AO$36-C2443)/C2443</f>
        <v>-2.1302576544663236E-3</v>
      </c>
      <c r="O2443" s="551">
        <f>'Sollecitazioni nel paramento'!$G$60*(sezione!$AP$36-C2443)/C2443</f>
        <v>2.9821026721917848E-3</v>
      </c>
      <c r="P2443" s="545">
        <f>-'Sollecitazioni nel paramento'!$G$47*'Sollecitazioni nel paramento'!$G$41*IF(DATI!$G$211="dx",DATI!$E$61,DATI!$E$64*DATI!$E$63)*1000*C2443*sezione!$AD$5</f>
        <v>-15575425.604359014</v>
      </c>
      <c r="Q2443" s="545">
        <f>'Foglio deposito bis'!$F$88*IF(ABS(K2443)&lt;'Sollecitazioni nel paramento'!$G$58,ABS(K2443)*'Sollecitazioni nel paramento'!$G$54,'Sollecitazioni nel paramento'!$G$53)*IF(K2443&lt;0,-1,1)</f>
        <v>0</v>
      </c>
      <c r="R2443" s="545">
        <f>'Foglio deposito bis'!$F$89*IF(ABS(L2443)&lt;'Sollecitazioni nel paramento'!$G$58,ABS(L2443)*'Sollecitazioni nel paramento'!$G$54,'Sollecitazioni nel paramento'!$G$53)*IF(L2443&lt;0,-1,1)</f>
        <v>-153664.85805602249</v>
      </c>
      <c r="S2443" s="545">
        <f>'Foglio deposito bis'!$F$90*IF(ABS(M2443)&lt;'Sollecitazioni nel paramento'!$G$58,ABS(M2443)*'Sollecitazioni nel paramento'!$G$54,'Sollecitazioni nel paramento'!$G$53)*IF(M2443&lt;0,-1,1)</f>
        <v>0</v>
      </c>
      <c r="T2443" s="545">
        <f>'Foglio deposito bis'!$F$91*IF(ABS(N2443)&lt;'Sollecitazioni nel paramento'!$G$58,ABS(N2443)*'Sollecitazioni nel paramento'!$G$54,'Sollecitazioni nel paramento'!$G$53)*IF(N2443&lt;0,-1,1)</f>
        <v>-892485.49558937876</v>
      </c>
      <c r="U2443" s="545">
        <f>'Foglio deposito bis'!$F$92*IF(ABS(O2443)&lt;'Sollecitazioni nel paramento'!$G$58,ABS(O2443)*'Sollecitazioni nel paramento'!$G$54,'Sollecitazioni nel paramento'!$G$53)*IF(O2443&lt;0,-1,1)</f>
        <v>1662039.1047339395</v>
      </c>
      <c r="V2443" s="472">
        <f t="shared" si="173"/>
        <v>-14959536.853270475</v>
      </c>
      <c r="W2443" s="551"/>
      <c r="X2443" s="551"/>
    </row>
    <row r="2444" spans="1:24" x14ac:dyDescent="0.25">
      <c r="A2444" s="545">
        <f t="shared" si="172"/>
        <v>15370497.95101082</v>
      </c>
      <c r="B2444" s="3">
        <f t="shared" si="170"/>
        <v>38.899999999999942</v>
      </c>
      <c r="C2444" s="545">
        <f>'Foglio deposito bis'!$E$162/sezione!$B$247*B2444</f>
        <v>419.62324335510306</v>
      </c>
      <c r="D2444" s="603">
        <f>-'Sollecitazioni nel paramento'!$G$47*'Sollecitazioni nel paramento'!$G$41*IF(DATI!$G$211="dx",DATI!$E$61,DATI!$E$64*DATI!$E$63)*1000*C2444^2*sezione!$AD$5*(1-sezione!$AD$6)</f>
        <v>-3917623511.4788728</v>
      </c>
      <c r="E2444" s="545">
        <f>-'Foglio deposito bis'!$F$88*(C2444-sezione!$AL$36)*IF(ABS(K2444)&lt;'Sollecitazioni nel paramento'!$G$58,ABS(K2444)*'Sollecitazioni nel paramento'!$G$54,'Sollecitazioni nel paramento'!$G$53)</f>
        <v>0</v>
      </c>
      <c r="F2444" s="545">
        <f>-'Foglio deposito bis'!$F$89*(C2444-sezione!$AM$36)*IF(ABS(L2444)&lt;'Sollecitazioni nel paramento'!$G$58,ABS(L2444)*'Sollecitazioni nel paramento'!$G$54,'Sollecitazioni nel paramento'!$G$53)</f>
        <v>-55261454.64380835</v>
      </c>
      <c r="G2444" s="545">
        <f>-'Foglio deposito bis'!$F$90*(C2444-sezione!$AN$36)*IF(ABS(M2444)&lt;'Sollecitazioni nel paramento'!$G$58,ABS(M2444)*'Sollecitazioni nel paramento'!$G$54,'Sollecitazioni nel paramento'!$G$53)</f>
        <v>0</v>
      </c>
      <c r="H2444" s="545">
        <f>-'Foglio deposito bis'!$F$91*(C2444-sezione!$AO$36)*IF(ABS(N2444)&lt;'Sollecitazioni nel paramento'!$G$58,ABS(N2444)*'Sollecitazioni nel paramento'!$G$54,'Sollecitazioni nel paramento'!$G$53)</f>
        <v>-231709979.01230106</v>
      </c>
      <c r="I2444" s="472">
        <f>-'Foglio deposito bis'!$F$92*(C2444-sezione!$AP$36)*IF(ABS(O2444)&lt;'Sollecitazioni nel paramento'!$G$58,ABS(O2444)*'Sollecitazioni nel paramento'!$G$54,'Sollecitazioni nel paramento'!$G$53)</f>
        <v>561026363.57160401</v>
      </c>
      <c r="J2444" s="472">
        <f t="shared" si="171"/>
        <v>-3643568581.5633783</v>
      </c>
      <c r="K2444" s="550">
        <f>'Sollecitazioni nel paramento'!$G$60*(sezione!$AL$36-C2444)/C2444</f>
        <v>-3.1663673849889051E-3</v>
      </c>
      <c r="L2444" s="550">
        <f>'Sollecitazioni nel paramento'!$G$60*(sezione!$AM$36-C2444)/C2444</f>
        <v>-2.9995510774833583E-3</v>
      </c>
      <c r="M2444" s="551">
        <f>'Sollecitazioni nel paramento'!$G$60*(sezione!$AN$36-C2444)/C2444</f>
        <v>-2.8327347699778106E-3</v>
      </c>
      <c r="N2444" s="551">
        <f>'Sollecitazioni nel paramento'!$G$60*(sezione!$AO$36-C2444)/C2444</f>
        <v>-2.1654695399556212E-3</v>
      </c>
      <c r="O2444" s="551">
        <f>'Sollecitazioni nel paramento'!$G$60*(sezione!$AP$36-C2444)/C2444</f>
        <v>2.8154676420583196E-3</v>
      </c>
      <c r="P2444" s="545">
        <f>-'Sollecitazioni nel paramento'!$G$47*'Sollecitazioni nel paramento'!$G$41*IF(DATI!$G$211="dx",DATI!$E$61,DATI!$E$64*DATI!$E$63)*1000*C2444*sezione!$AD$5</f>
        <v>-15986386.702099359</v>
      </c>
      <c r="Q2444" s="545">
        <f>'Foglio deposito bis'!$F$88*IF(ABS(K2444)&lt;'Sollecitazioni nel paramento'!$G$58,ABS(K2444)*'Sollecitazioni nel paramento'!$G$54,'Sollecitazioni nel paramento'!$G$53)*IF(K2444&lt;0,-1,1)</f>
        <v>0</v>
      </c>
      <c r="R2444" s="545">
        <f>'Foglio deposito bis'!$F$89*IF(ABS(L2444)&lt;'Sollecitazioni nel paramento'!$G$58,ABS(L2444)*'Sollecitazioni nel paramento'!$G$54,'Sollecitazioni nel paramento'!$G$53)*IF(L2444&lt;0,-1,1)</f>
        <v>-153664.85805602249</v>
      </c>
      <c r="S2444" s="545">
        <f>'Foglio deposito bis'!$F$90*IF(ABS(M2444)&lt;'Sollecitazioni nel paramento'!$G$58,ABS(M2444)*'Sollecitazioni nel paramento'!$G$54,'Sollecitazioni nel paramento'!$G$53)*IF(M2444&lt;0,-1,1)</f>
        <v>0</v>
      </c>
      <c r="T2444" s="545">
        <f>'Foglio deposito bis'!$F$91*IF(ABS(N2444)&lt;'Sollecitazioni nel paramento'!$G$58,ABS(N2444)*'Sollecitazioni nel paramento'!$G$54,'Sollecitazioni nel paramento'!$G$53)*IF(N2444&lt;0,-1,1)</f>
        <v>-892485.49558937876</v>
      </c>
      <c r="U2444" s="545">
        <f>'Foglio deposito bis'!$F$92*IF(ABS(O2444)&lt;'Sollecitazioni nel paramento'!$G$58,ABS(O2444)*'Sollecitazioni nel paramento'!$G$54,'Sollecitazioni nel paramento'!$G$53)*IF(O2444&lt;0,-1,1)</f>
        <v>1662039.1047339395</v>
      </c>
      <c r="V2444" s="472">
        <f t="shared" si="173"/>
        <v>-15370497.95101082</v>
      </c>
      <c r="W2444" s="551"/>
      <c r="X2444" s="551"/>
    </row>
    <row r="2445" spans="1:24" x14ac:dyDescent="0.25">
      <c r="A2445" s="545">
        <f t="shared" si="172"/>
        <v>15781459.048751161</v>
      </c>
      <c r="B2445" s="3">
        <f t="shared" si="170"/>
        <v>39.899999999999942</v>
      </c>
      <c r="C2445" s="545">
        <f>'Foglio deposito bis'!$E$162/sezione!$B$247*B2445</f>
        <v>430.41047326140392</v>
      </c>
      <c r="D2445" s="603">
        <f>-'Sollecitazioni nel paramento'!$G$47*'Sollecitazioni nel paramento'!$G$41*IF(DATI!$G$211="dx",DATI!$E$61,DATI!$E$64*DATI!$E$63)*1000*C2445^2*sezione!$AD$5*(1-sezione!$AD$6)</f>
        <v>-4121632692.4283347</v>
      </c>
      <c r="E2445" s="545">
        <f>-'Foglio deposito bis'!$F$88*(C2445-sezione!$AL$36)*IF(ABS(K2445)&lt;'Sollecitazioni nel paramento'!$G$58,ABS(K2445)*'Sollecitazioni nel paramento'!$G$54,'Sollecitazioni nel paramento'!$G$53)</f>
        <v>0</v>
      </c>
      <c r="F2445" s="545">
        <f>-'Foglio deposito bis'!$F$89*(C2445-sezione!$AM$36)*IF(ABS(L2445)&lt;'Sollecitazioni nel paramento'!$G$58,ABS(L2445)*'Sollecitazioni nel paramento'!$G$54,'Sollecitazioni nel paramento'!$G$53)</f>
        <v>-56919072.796177752</v>
      </c>
      <c r="G2445" s="545">
        <f>-'Foglio deposito bis'!$F$90*(C2445-sezione!$AN$36)*IF(ABS(M2445)&lt;'Sollecitazioni nel paramento'!$G$58,ABS(M2445)*'Sollecitazioni nel paramento'!$G$54,'Sollecitazioni nel paramento'!$G$53)</f>
        <v>0</v>
      </c>
      <c r="H2445" s="545">
        <f>-'Foglio deposito bis'!$F$91*(C2445-sezione!$AO$36)*IF(ABS(N2445)&lt;'Sollecitazioni nel paramento'!$G$58,ABS(N2445)*'Sollecitazioni nel paramento'!$G$54,'Sollecitazioni nel paramento'!$G$53)</f>
        <v>-241337425.24126253</v>
      </c>
      <c r="I2445" s="472">
        <f>-'Foglio deposito bis'!$F$92*(C2445-sezione!$AP$36)*IF(ABS(O2445)&lt;'Sollecitazioni nel paramento'!$G$58,ABS(O2445)*'Sollecitazioni nel paramento'!$G$54,'Sollecitazioni nel paramento'!$G$53)</f>
        <v>543097565.63557649</v>
      </c>
      <c r="J2445" s="472">
        <f t="shared" si="171"/>
        <v>-3876791624.8301992</v>
      </c>
      <c r="K2445" s="550">
        <f>'Sollecitazioni nel paramento'!$G$60*(sezione!$AL$36-C2445)/C2445</f>
        <v>-3.1747291046633689E-3</v>
      </c>
      <c r="L2445" s="550">
        <f>'Sollecitazioni nel paramento'!$G$60*(sezione!$AM$36-C2445)/C2445</f>
        <v>-3.012093656995053E-3</v>
      </c>
      <c r="M2445" s="551">
        <f>'Sollecitazioni nel paramento'!$G$60*(sezione!$AN$36-C2445)/C2445</f>
        <v>-2.8494582093267378E-3</v>
      </c>
      <c r="N2445" s="551">
        <f>'Sollecitazioni nel paramento'!$G$60*(sezione!$AO$36-C2445)/C2445</f>
        <v>-2.1989164186534751E-3</v>
      </c>
      <c r="O2445" s="551">
        <f>'Sollecitazioni nel paramento'!$G$60*(sezione!$AP$36-C2445)/C2445</f>
        <v>2.6571852450142514E-3</v>
      </c>
      <c r="P2445" s="545">
        <f>-'Sollecitazioni nel paramento'!$G$47*'Sollecitazioni nel paramento'!$G$41*IF(DATI!$G$211="dx",DATI!$E$61,DATI!$E$64*DATI!$E$63)*1000*C2445*sezione!$AD$5</f>
        <v>-16397347.799839702</v>
      </c>
      <c r="Q2445" s="545">
        <f>'Foglio deposito bis'!$F$88*IF(ABS(K2445)&lt;'Sollecitazioni nel paramento'!$G$58,ABS(K2445)*'Sollecitazioni nel paramento'!$G$54,'Sollecitazioni nel paramento'!$G$53)*IF(K2445&lt;0,-1,1)</f>
        <v>0</v>
      </c>
      <c r="R2445" s="545">
        <f>'Foglio deposito bis'!$F$89*IF(ABS(L2445)&lt;'Sollecitazioni nel paramento'!$G$58,ABS(L2445)*'Sollecitazioni nel paramento'!$G$54,'Sollecitazioni nel paramento'!$G$53)*IF(L2445&lt;0,-1,1)</f>
        <v>-153664.85805602249</v>
      </c>
      <c r="S2445" s="545">
        <f>'Foglio deposito bis'!$F$90*IF(ABS(M2445)&lt;'Sollecitazioni nel paramento'!$G$58,ABS(M2445)*'Sollecitazioni nel paramento'!$G$54,'Sollecitazioni nel paramento'!$G$53)*IF(M2445&lt;0,-1,1)</f>
        <v>0</v>
      </c>
      <c r="T2445" s="545">
        <f>'Foglio deposito bis'!$F$91*IF(ABS(N2445)&lt;'Sollecitazioni nel paramento'!$G$58,ABS(N2445)*'Sollecitazioni nel paramento'!$G$54,'Sollecitazioni nel paramento'!$G$53)*IF(N2445&lt;0,-1,1)</f>
        <v>-892485.49558937876</v>
      </c>
      <c r="U2445" s="545">
        <f>'Foglio deposito bis'!$F$92*IF(ABS(O2445)&lt;'Sollecitazioni nel paramento'!$G$58,ABS(O2445)*'Sollecitazioni nel paramento'!$G$54,'Sollecitazioni nel paramento'!$G$53)*IF(O2445&lt;0,-1,1)</f>
        <v>1662039.1047339395</v>
      </c>
      <c r="V2445" s="472">
        <f t="shared" si="173"/>
        <v>-15781459.048751161</v>
      </c>
      <c r="W2445" s="551"/>
      <c r="X2445" s="551"/>
    </row>
    <row r="2446" spans="1:24" x14ac:dyDescent="0.25">
      <c r="A2446" s="545">
        <f t="shared" si="172"/>
        <v>16192420.146491509</v>
      </c>
      <c r="B2446" s="3">
        <f t="shared" si="170"/>
        <v>40.899999999999942</v>
      </c>
      <c r="C2446" s="545">
        <f>'Foglio deposito bis'!$E$162/sezione!$B$247*B2446</f>
        <v>441.19770316770479</v>
      </c>
      <c r="D2446" s="603">
        <f>-'Sollecitazioni nel paramento'!$G$47*'Sollecitazioni nel paramento'!$G$41*IF(DATI!$G$211="dx",DATI!$E$61,DATI!$E$64*DATI!$E$63)*1000*C2446^2*sezione!$AD$5*(1-sezione!$AD$6)</f>
        <v>-4330819771.3714371</v>
      </c>
      <c r="E2446" s="545">
        <f>-'Foglio deposito bis'!$F$88*(C2446-sezione!$AL$36)*IF(ABS(K2446)&lt;'Sollecitazioni nel paramento'!$G$58,ABS(K2446)*'Sollecitazioni nel paramento'!$G$54,'Sollecitazioni nel paramento'!$G$53)</f>
        <v>0</v>
      </c>
      <c r="F2446" s="545">
        <f>-'Foglio deposito bis'!$F$89*(C2446-sezione!$AM$36)*IF(ABS(L2446)&lt;'Sollecitazioni nel paramento'!$G$58,ABS(L2446)*'Sollecitazioni nel paramento'!$G$54,'Sollecitazioni nel paramento'!$G$53)</f>
        <v>-58576690.948547155</v>
      </c>
      <c r="G2446" s="545">
        <f>-'Foglio deposito bis'!$F$90*(C2446-sezione!$AN$36)*IF(ABS(M2446)&lt;'Sollecitazioni nel paramento'!$G$58,ABS(M2446)*'Sollecitazioni nel paramento'!$G$54,'Sollecitazioni nel paramento'!$G$53)</f>
        <v>0</v>
      </c>
      <c r="H2446" s="545">
        <f>-'Foglio deposito bis'!$F$91*(C2446-sezione!$AO$36)*IF(ABS(N2446)&lt;'Sollecitazioni nel paramento'!$G$58,ABS(N2446)*'Sollecitazioni nel paramento'!$G$54,'Sollecitazioni nel paramento'!$G$53)</f>
        <v>-250964871.47022405</v>
      </c>
      <c r="I2446" s="472">
        <f>-'Foglio deposito bis'!$F$92*(C2446-sezione!$AP$36)*IF(ABS(O2446)&lt;'Sollecitazioni nel paramento'!$G$58,ABS(O2446)*'Sollecitazioni nel paramento'!$G$54,'Sollecitazioni nel paramento'!$G$53)</f>
        <v>525168767.69954908</v>
      </c>
      <c r="J2446" s="472">
        <f t="shared" si="171"/>
        <v>-4115192566.0906596</v>
      </c>
      <c r="K2446" s="550">
        <f>'Sollecitazioni nel paramento'!$G$60*(sezione!$AL$36-C2446)/C2446</f>
        <v>-3.1826819382901818E-3</v>
      </c>
      <c r="L2446" s="550">
        <f>'Sollecitazioni nel paramento'!$G$60*(sezione!$AM$36-C2446)/C2446</f>
        <v>-3.0240229074352722E-3</v>
      </c>
      <c r="M2446" s="551">
        <f>'Sollecitazioni nel paramento'!$G$60*(sezione!$AN$36-C2446)/C2446</f>
        <v>-2.8653638765803627E-3</v>
      </c>
      <c r="N2446" s="551">
        <f>'Sollecitazioni nel paramento'!$G$60*(sezione!$AO$36-C2446)/C2446</f>
        <v>-2.2307277531607257E-3</v>
      </c>
      <c r="O2446" s="551">
        <f>'Sollecitazioni nel paramento'!$G$60*(sezione!$AP$36-C2446)/C2446</f>
        <v>2.5066428184857851E-3</v>
      </c>
      <c r="P2446" s="545">
        <f>-'Sollecitazioni nel paramento'!$G$47*'Sollecitazioni nel paramento'!$G$41*IF(DATI!$G$211="dx",DATI!$E$61,DATI!$E$64*DATI!$E$63)*1000*C2446*sezione!$AD$5</f>
        <v>-16808308.897580046</v>
      </c>
      <c r="Q2446" s="545">
        <f>'Foglio deposito bis'!$F$88*IF(ABS(K2446)&lt;'Sollecitazioni nel paramento'!$G$58,ABS(K2446)*'Sollecitazioni nel paramento'!$G$54,'Sollecitazioni nel paramento'!$G$53)*IF(K2446&lt;0,-1,1)</f>
        <v>0</v>
      </c>
      <c r="R2446" s="545">
        <f>'Foglio deposito bis'!$F$89*IF(ABS(L2446)&lt;'Sollecitazioni nel paramento'!$G$58,ABS(L2446)*'Sollecitazioni nel paramento'!$G$54,'Sollecitazioni nel paramento'!$G$53)*IF(L2446&lt;0,-1,1)</f>
        <v>-153664.85805602249</v>
      </c>
      <c r="S2446" s="545">
        <f>'Foglio deposito bis'!$F$90*IF(ABS(M2446)&lt;'Sollecitazioni nel paramento'!$G$58,ABS(M2446)*'Sollecitazioni nel paramento'!$G$54,'Sollecitazioni nel paramento'!$G$53)*IF(M2446&lt;0,-1,1)</f>
        <v>0</v>
      </c>
      <c r="T2446" s="545">
        <f>'Foglio deposito bis'!$F$91*IF(ABS(N2446)&lt;'Sollecitazioni nel paramento'!$G$58,ABS(N2446)*'Sollecitazioni nel paramento'!$G$54,'Sollecitazioni nel paramento'!$G$53)*IF(N2446&lt;0,-1,1)</f>
        <v>-892485.49558937876</v>
      </c>
      <c r="U2446" s="545">
        <f>'Foglio deposito bis'!$F$92*IF(ABS(O2446)&lt;'Sollecitazioni nel paramento'!$G$58,ABS(O2446)*'Sollecitazioni nel paramento'!$G$54,'Sollecitazioni nel paramento'!$G$53)*IF(O2446&lt;0,-1,1)</f>
        <v>1662039.1047339395</v>
      </c>
      <c r="V2446" s="472">
        <f t="shared" si="173"/>
        <v>-16192420.146491509</v>
      </c>
      <c r="W2446" s="551"/>
      <c r="X2446" s="551"/>
    </row>
    <row r="2447" spans="1:24" x14ac:dyDescent="0.25">
      <c r="A2447" s="545">
        <f t="shared" si="172"/>
        <v>16603381.24423185</v>
      </c>
      <c r="B2447" s="3">
        <f t="shared" si="170"/>
        <v>41.899999999999942</v>
      </c>
      <c r="C2447" s="545">
        <f>'Foglio deposito bis'!$E$162/sezione!$B$247*B2447</f>
        <v>451.98493307400565</v>
      </c>
      <c r="D2447" s="603">
        <f>-'Sollecitazioni nel paramento'!$G$47*'Sollecitazioni nel paramento'!$G$41*IF(DATI!$G$211="dx",DATI!$E$61,DATI!$E$64*DATI!$E$63)*1000*C2447^2*sezione!$AD$5*(1-sezione!$AD$6)</f>
        <v>-4545184748.3081827</v>
      </c>
      <c r="E2447" s="545">
        <f>-'Foglio deposito bis'!$F$88*(C2447-sezione!$AL$36)*IF(ABS(K2447)&lt;'Sollecitazioni nel paramento'!$G$58,ABS(K2447)*'Sollecitazioni nel paramento'!$G$54,'Sollecitazioni nel paramento'!$G$53)</f>
        <v>0</v>
      </c>
      <c r="F2447" s="545">
        <f>-'Foglio deposito bis'!$F$89*(C2447-sezione!$AM$36)*IF(ABS(L2447)&lt;'Sollecitazioni nel paramento'!$G$58,ABS(L2447)*'Sollecitazioni nel paramento'!$G$54,'Sollecitazioni nel paramento'!$G$53)</f>
        <v>-60234309.100916557</v>
      </c>
      <c r="G2447" s="545">
        <f>-'Foglio deposito bis'!$F$90*(C2447-sezione!$AN$36)*IF(ABS(M2447)&lt;'Sollecitazioni nel paramento'!$G$58,ABS(M2447)*'Sollecitazioni nel paramento'!$G$54,'Sollecitazioni nel paramento'!$G$53)</f>
        <v>0</v>
      </c>
      <c r="H2447" s="545">
        <f>-'Foglio deposito bis'!$F$91*(C2447-sezione!$AO$36)*IF(ABS(N2447)&lt;'Sollecitazioni nel paramento'!$G$58,ABS(N2447)*'Sollecitazioni nel paramento'!$G$54,'Sollecitazioni nel paramento'!$G$53)</f>
        <v>-260592317.69918552</v>
      </c>
      <c r="I2447" s="472">
        <f>-'Foglio deposito bis'!$F$92*(C2447-sezione!$AP$36)*IF(ABS(O2447)&lt;'Sollecitazioni nel paramento'!$G$58,ABS(O2447)*'Sollecitazioni nel paramento'!$G$54,'Sollecitazioni nel paramento'!$G$53)</f>
        <v>507239969.76352161</v>
      </c>
      <c r="J2447" s="472">
        <f t="shared" si="171"/>
        <v>-4358771405.3447638</v>
      </c>
      <c r="K2447" s="550">
        <f>'Sollecitazioni nel paramento'!$G$60*(sezione!$AL$36-C2447)/C2447</f>
        <v>-3.1902551617200101E-3</v>
      </c>
      <c r="L2447" s="550">
        <f>'Sollecitazioni nel paramento'!$G$60*(sezione!$AM$36-C2447)/C2447</f>
        <v>-3.0353827425800149E-3</v>
      </c>
      <c r="M2447" s="551">
        <f>'Sollecitazioni nel paramento'!$G$60*(sezione!$AN$36-C2447)/C2447</f>
        <v>-2.8805103234400202E-3</v>
      </c>
      <c r="N2447" s="551">
        <f>'Sollecitazioni nel paramento'!$G$60*(sezione!$AO$36-C2447)/C2447</f>
        <v>-2.2610206468800399E-3</v>
      </c>
      <c r="O2447" s="551">
        <f>'Sollecitazioni nel paramento'!$G$60*(sezione!$AP$36-C2447)/C2447</f>
        <v>2.3632861879729979E-3</v>
      </c>
      <c r="P2447" s="545">
        <f>-'Sollecitazioni nel paramento'!$G$47*'Sollecitazioni nel paramento'!$G$41*IF(DATI!$G$211="dx",DATI!$E$61,DATI!$E$64*DATI!$E$63)*1000*C2447*sezione!$AD$5</f>
        <v>-17219269.995320387</v>
      </c>
      <c r="Q2447" s="545">
        <f>'Foglio deposito bis'!$F$88*IF(ABS(K2447)&lt;'Sollecitazioni nel paramento'!$G$58,ABS(K2447)*'Sollecitazioni nel paramento'!$G$54,'Sollecitazioni nel paramento'!$G$53)*IF(K2447&lt;0,-1,1)</f>
        <v>0</v>
      </c>
      <c r="R2447" s="545">
        <f>'Foglio deposito bis'!$F$89*IF(ABS(L2447)&lt;'Sollecitazioni nel paramento'!$G$58,ABS(L2447)*'Sollecitazioni nel paramento'!$G$54,'Sollecitazioni nel paramento'!$G$53)*IF(L2447&lt;0,-1,1)</f>
        <v>-153664.85805602249</v>
      </c>
      <c r="S2447" s="545">
        <f>'Foglio deposito bis'!$F$90*IF(ABS(M2447)&lt;'Sollecitazioni nel paramento'!$G$58,ABS(M2447)*'Sollecitazioni nel paramento'!$G$54,'Sollecitazioni nel paramento'!$G$53)*IF(M2447&lt;0,-1,1)</f>
        <v>0</v>
      </c>
      <c r="T2447" s="545">
        <f>'Foglio deposito bis'!$F$91*IF(ABS(N2447)&lt;'Sollecitazioni nel paramento'!$G$58,ABS(N2447)*'Sollecitazioni nel paramento'!$G$54,'Sollecitazioni nel paramento'!$G$53)*IF(N2447&lt;0,-1,1)</f>
        <v>-892485.49558937876</v>
      </c>
      <c r="U2447" s="545">
        <f>'Foglio deposito bis'!$F$92*IF(ABS(O2447)&lt;'Sollecitazioni nel paramento'!$G$58,ABS(O2447)*'Sollecitazioni nel paramento'!$G$54,'Sollecitazioni nel paramento'!$G$53)*IF(O2447&lt;0,-1,1)</f>
        <v>1662039.1047339395</v>
      </c>
      <c r="V2447" s="472">
        <f t="shared" si="173"/>
        <v>-16603381.24423185</v>
      </c>
      <c r="W2447" s="551"/>
      <c r="X2447" s="551"/>
    </row>
    <row r="2448" spans="1:24" x14ac:dyDescent="0.25">
      <c r="A2448" s="545">
        <f t="shared" si="172"/>
        <v>17014342.341972198</v>
      </c>
      <c r="B2448" s="3">
        <f t="shared" si="170"/>
        <v>42.899999999999942</v>
      </c>
      <c r="C2448" s="545">
        <f>'Foglio deposito bis'!$E$162/sezione!$B$247*B2448</f>
        <v>462.77216298030652</v>
      </c>
      <c r="D2448" s="603">
        <f>-'Sollecitazioni nel paramento'!$G$47*'Sollecitazioni nel paramento'!$G$41*IF(DATI!$G$211="dx",DATI!$E$61,DATI!$E$64*DATI!$E$63)*1000*C2448^2*sezione!$AD$5*(1-sezione!$AD$6)</f>
        <v>-4764727623.2385683</v>
      </c>
      <c r="E2448" s="545">
        <f>-'Foglio deposito bis'!$F$88*(C2448-sezione!$AL$36)*IF(ABS(K2448)&lt;'Sollecitazioni nel paramento'!$G$58,ABS(K2448)*'Sollecitazioni nel paramento'!$G$54,'Sollecitazioni nel paramento'!$G$53)</f>
        <v>0</v>
      </c>
      <c r="F2448" s="545">
        <f>-'Foglio deposito bis'!$F$89*(C2448-sezione!$AM$36)*IF(ABS(L2448)&lt;'Sollecitazioni nel paramento'!$G$58,ABS(L2448)*'Sollecitazioni nel paramento'!$G$54,'Sollecitazioni nel paramento'!$G$53)</f>
        <v>-61891927.253285959</v>
      </c>
      <c r="G2448" s="545">
        <f>-'Foglio deposito bis'!$F$90*(C2448-sezione!$AN$36)*IF(ABS(M2448)&lt;'Sollecitazioni nel paramento'!$G$58,ABS(M2448)*'Sollecitazioni nel paramento'!$G$54,'Sollecitazioni nel paramento'!$G$53)</f>
        <v>0</v>
      </c>
      <c r="H2448" s="545">
        <f>-'Foglio deposito bis'!$F$91*(C2448-sezione!$AO$36)*IF(ABS(N2448)&lt;'Sollecitazioni nel paramento'!$G$58,ABS(N2448)*'Sollecitazioni nel paramento'!$G$54,'Sollecitazioni nel paramento'!$G$53)</f>
        <v>-270219763.92814702</v>
      </c>
      <c r="I2448" s="472">
        <f>-'Foglio deposito bis'!$F$92*(C2448-sezione!$AP$36)*IF(ABS(O2448)&lt;'Sollecitazioni nel paramento'!$G$58,ABS(O2448)*'Sollecitazioni nel paramento'!$G$54,'Sollecitazioni nel paramento'!$G$53)</f>
        <v>489311171.82749414</v>
      </c>
      <c r="J2448" s="472">
        <f t="shared" si="171"/>
        <v>-4607528142.5925083</v>
      </c>
      <c r="K2448" s="550">
        <f>'Sollecitazioni nel paramento'!$G$60*(sezione!$AL$36-C2448)/C2448</f>
        <v>-3.1974753211204761E-3</v>
      </c>
      <c r="L2448" s="550">
        <f>'Sollecitazioni nel paramento'!$G$60*(sezione!$AM$36-C2448)/C2448</f>
        <v>-3.0462129816807141E-3</v>
      </c>
      <c r="M2448" s="551">
        <f>'Sollecitazioni nel paramento'!$G$60*(sezione!$AN$36-C2448)/C2448</f>
        <v>-2.8949506422409517E-3</v>
      </c>
      <c r="N2448" s="551">
        <f>'Sollecitazioni nel paramento'!$G$60*(sezione!$AO$36-C2448)/C2448</f>
        <v>-2.2899012844819037E-3</v>
      </c>
      <c r="O2448" s="551">
        <f>'Sollecitazioni nel paramento'!$G$60*(sezione!$AP$36-C2448)/C2448</f>
        <v>2.2266128502580092E-3</v>
      </c>
      <c r="P2448" s="545">
        <f>-'Sollecitazioni nel paramento'!$G$47*'Sollecitazioni nel paramento'!$G$41*IF(DATI!$G$211="dx",DATI!$E$61,DATI!$E$64*DATI!$E$63)*1000*C2448*sezione!$AD$5</f>
        <v>-17630231.093060736</v>
      </c>
      <c r="Q2448" s="545">
        <f>'Foglio deposito bis'!$F$88*IF(ABS(K2448)&lt;'Sollecitazioni nel paramento'!$G$58,ABS(K2448)*'Sollecitazioni nel paramento'!$G$54,'Sollecitazioni nel paramento'!$G$53)*IF(K2448&lt;0,-1,1)</f>
        <v>0</v>
      </c>
      <c r="R2448" s="545">
        <f>'Foglio deposito bis'!$F$89*IF(ABS(L2448)&lt;'Sollecitazioni nel paramento'!$G$58,ABS(L2448)*'Sollecitazioni nel paramento'!$G$54,'Sollecitazioni nel paramento'!$G$53)*IF(L2448&lt;0,-1,1)</f>
        <v>-153664.85805602249</v>
      </c>
      <c r="S2448" s="545">
        <f>'Foglio deposito bis'!$F$90*IF(ABS(M2448)&lt;'Sollecitazioni nel paramento'!$G$58,ABS(M2448)*'Sollecitazioni nel paramento'!$G$54,'Sollecitazioni nel paramento'!$G$53)*IF(M2448&lt;0,-1,1)</f>
        <v>0</v>
      </c>
      <c r="T2448" s="545">
        <f>'Foglio deposito bis'!$F$91*IF(ABS(N2448)&lt;'Sollecitazioni nel paramento'!$G$58,ABS(N2448)*'Sollecitazioni nel paramento'!$G$54,'Sollecitazioni nel paramento'!$G$53)*IF(N2448&lt;0,-1,1)</f>
        <v>-892485.49558937876</v>
      </c>
      <c r="U2448" s="545">
        <f>'Foglio deposito bis'!$F$92*IF(ABS(O2448)&lt;'Sollecitazioni nel paramento'!$G$58,ABS(O2448)*'Sollecitazioni nel paramento'!$G$54,'Sollecitazioni nel paramento'!$G$53)*IF(O2448&lt;0,-1,1)</f>
        <v>1662039.1047339395</v>
      </c>
      <c r="V2448" s="472">
        <f t="shared" si="173"/>
        <v>-17014342.341972198</v>
      </c>
      <c r="W2448" s="551"/>
      <c r="X2448" s="551"/>
    </row>
    <row r="2449" spans="1:24" x14ac:dyDescent="0.25">
      <c r="A2449" s="545">
        <f t="shared" si="172"/>
        <v>17425303.439712543</v>
      </c>
      <c r="B2449" s="3">
        <f t="shared" si="170"/>
        <v>43.899999999999942</v>
      </c>
      <c r="C2449" s="545">
        <f>'Foglio deposito bis'!$E$162/sezione!$B$247*B2449</f>
        <v>473.55939288660738</v>
      </c>
      <c r="D2449" s="603">
        <f>-'Sollecitazioni nel paramento'!$G$47*'Sollecitazioni nel paramento'!$G$41*IF(DATI!$G$211="dx",DATI!$E$61,DATI!$E$64*DATI!$E$63)*1000*C2449^2*sezione!$AD$5*(1-sezione!$AD$6)</f>
        <v>-4989448396.1625957</v>
      </c>
      <c r="E2449" s="545">
        <f>-'Foglio deposito bis'!$F$88*(C2449-sezione!$AL$36)*IF(ABS(K2449)&lt;'Sollecitazioni nel paramento'!$G$58,ABS(K2449)*'Sollecitazioni nel paramento'!$G$54,'Sollecitazioni nel paramento'!$G$53)</f>
        <v>0</v>
      </c>
      <c r="F2449" s="545">
        <f>-'Foglio deposito bis'!$F$89*(C2449-sezione!$AM$36)*IF(ABS(L2449)&lt;'Sollecitazioni nel paramento'!$G$58,ABS(L2449)*'Sollecitazioni nel paramento'!$G$54,'Sollecitazioni nel paramento'!$G$53)</f>
        <v>-63549545.405655362</v>
      </c>
      <c r="G2449" s="545">
        <f>-'Foglio deposito bis'!$F$90*(C2449-sezione!$AN$36)*IF(ABS(M2449)&lt;'Sollecitazioni nel paramento'!$G$58,ABS(M2449)*'Sollecitazioni nel paramento'!$G$54,'Sollecitazioni nel paramento'!$G$53)</f>
        <v>0</v>
      </c>
      <c r="H2449" s="545">
        <f>-'Foglio deposito bis'!$F$91*(C2449-sezione!$AO$36)*IF(ABS(N2449)&lt;'Sollecitazioni nel paramento'!$G$58,ABS(N2449)*'Sollecitazioni nel paramento'!$G$54,'Sollecitazioni nel paramento'!$G$53)</f>
        <v>-279847210.15710855</v>
      </c>
      <c r="I2449" s="472">
        <f>-'Foglio deposito bis'!$F$92*(C2449-sezione!$AP$36)*IF(ABS(O2449)&lt;'Sollecitazioni nel paramento'!$G$58,ABS(O2449)*'Sollecitazioni nel paramento'!$G$54,'Sollecitazioni nel paramento'!$G$53)</f>
        <v>471382373.89146668</v>
      </c>
      <c r="J2449" s="472">
        <f t="shared" si="171"/>
        <v>-4861462777.8338919</v>
      </c>
      <c r="K2449" s="550">
        <f>'Sollecitazioni nel paramento'!$G$60*(sezione!$AL$36-C2449)/C2449</f>
        <v>-3.2043665438739959E-3</v>
      </c>
      <c r="L2449" s="550">
        <f>'Sollecitazioni nel paramento'!$G$60*(sezione!$AM$36-C2449)/C2449</f>
        <v>-3.0565498158109938E-3</v>
      </c>
      <c r="M2449" s="551">
        <f>'Sollecitazioni nel paramento'!$G$60*(sezione!$AN$36-C2449)/C2449</f>
        <v>-2.9087330877479918E-3</v>
      </c>
      <c r="N2449" s="551">
        <f>'Sollecitazioni nel paramento'!$G$60*(sezione!$AO$36-C2449)/C2449</f>
        <v>-2.3174661754959834E-3</v>
      </c>
      <c r="O2449" s="551">
        <f>'Sollecitazioni nel paramento'!$G$60*(sezione!$AP$36-C2449)/C2449</f>
        <v>2.0961660882931341E-3</v>
      </c>
      <c r="P2449" s="545">
        <f>-'Sollecitazioni nel paramento'!$G$47*'Sollecitazioni nel paramento'!$G$41*IF(DATI!$G$211="dx",DATI!$E$61,DATI!$E$64*DATI!$E$63)*1000*C2449*sezione!$AD$5</f>
        <v>-18041192.19080108</v>
      </c>
      <c r="Q2449" s="545">
        <f>'Foglio deposito bis'!$F$88*IF(ABS(K2449)&lt;'Sollecitazioni nel paramento'!$G$58,ABS(K2449)*'Sollecitazioni nel paramento'!$G$54,'Sollecitazioni nel paramento'!$G$53)*IF(K2449&lt;0,-1,1)</f>
        <v>0</v>
      </c>
      <c r="R2449" s="545">
        <f>'Foglio deposito bis'!$F$89*IF(ABS(L2449)&lt;'Sollecitazioni nel paramento'!$G$58,ABS(L2449)*'Sollecitazioni nel paramento'!$G$54,'Sollecitazioni nel paramento'!$G$53)*IF(L2449&lt;0,-1,1)</f>
        <v>-153664.85805602249</v>
      </c>
      <c r="S2449" s="545">
        <f>'Foglio deposito bis'!$F$90*IF(ABS(M2449)&lt;'Sollecitazioni nel paramento'!$G$58,ABS(M2449)*'Sollecitazioni nel paramento'!$G$54,'Sollecitazioni nel paramento'!$G$53)*IF(M2449&lt;0,-1,1)</f>
        <v>0</v>
      </c>
      <c r="T2449" s="545">
        <f>'Foglio deposito bis'!$F$91*IF(ABS(N2449)&lt;'Sollecitazioni nel paramento'!$G$58,ABS(N2449)*'Sollecitazioni nel paramento'!$G$54,'Sollecitazioni nel paramento'!$G$53)*IF(N2449&lt;0,-1,1)</f>
        <v>-892485.49558937876</v>
      </c>
      <c r="U2449" s="545">
        <f>'Foglio deposito bis'!$F$92*IF(ABS(O2449)&lt;'Sollecitazioni nel paramento'!$G$58,ABS(O2449)*'Sollecitazioni nel paramento'!$G$54,'Sollecitazioni nel paramento'!$G$53)*IF(O2449&lt;0,-1,1)</f>
        <v>1662039.1047339395</v>
      </c>
      <c r="V2449" s="472">
        <f t="shared" si="173"/>
        <v>-17425303.439712543</v>
      </c>
      <c r="W2449" s="551"/>
      <c r="X2449" s="551"/>
    </row>
    <row r="2450" spans="1:24" x14ac:dyDescent="0.25">
      <c r="A2450" s="545">
        <f t="shared" si="172"/>
        <v>17836264.537452884</v>
      </c>
      <c r="B2450" s="3">
        <f t="shared" si="170"/>
        <v>44.899999999999942</v>
      </c>
      <c r="C2450" s="545">
        <f>'Foglio deposito bis'!$E$162/sezione!$B$247*B2450</f>
        <v>484.34662279290825</v>
      </c>
      <c r="D2450" s="603">
        <f>-'Sollecitazioni nel paramento'!$G$47*'Sollecitazioni nel paramento'!$G$41*IF(DATI!$G$211="dx",DATI!$E$61,DATI!$E$64*DATI!$E$63)*1000*C2450^2*sezione!$AD$5*(1-sezione!$AD$6)</f>
        <v>-5219347067.0802631</v>
      </c>
      <c r="E2450" s="545">
        <f>-'Foglio deposito bis'!$F$88*(C2450-sezione!$AL$36)*IF(ABS(K2450)&lt;'Sollecitazioni nel paramento'!$G$58,ABS(K2450)*'Sollecitazioni nel paramento'!$G$54,'Sollecitazioni nel paramento'!$G$53)</f>
        <v>0</v>
      </c>
      <c r="F2450" s="545">
        <f>-'Foglio deposito bis'!$F$89*(C2450-sezione!$AM$36)*IF(ABS(L2450)&lt;'Sollecitazioni nel paramento'!$G$58,ABS(L2450)*'Sollecitazioni nel paramento'!$G$54,'Sollecitazioni nel paramento'!$G$53)</f>
        <v>-65207163.558024764</v>
      </c>
      <c r="G2450" s="545">
        <f>-'Foglio deposito bis'!$F$90*(C2450-sezione!$AN$36)*IF(ABS(M2450)&lt;'Sollecitazioni nel paramento'!$G$58,ABS(M2450)*'Sollecitazioni nel paramento'!$G$54,'Sollecitazioni nel paramento'!$G$53)</f>
        <v>0</v>
      </c>
      <c r="H2450" s="545">
        <f>-'Foglio deposito bis'!$F$91*(C2450-sezione!$AO$36)*IF(ABS(N2450)&lt;'Sollecitazioni nel paramento'!$G$58,ABS(N2450)*'Sollecitazioni nel paramento'!$G$54,'Sollecitazioni nel paramento'!$G$53)</f>
        <v>-289474656.38607001</v>
      </c>
      <c r="I2450" s="472">
        <f>-'Foglio deposito bis'!$F$92*(C2450-sezione!$AP$36)*IF(ABS(O2450)&lt;'Sollecitazioni nel paramento'!$G$58,ABS(O2450)*'Sollecitazioni nel paramento'!$G$54,'Sollecitazioni nel paramento'!$G$53)</f>
        <v>453453575.95543921</v>
      </c>
      <c r="J2450" s="472">
        <f t="shared" si="171"/>
        <v>-5120575311.0689182</v>
      </c>
      <c r="K2450" s="550">
        <f>'Sollecitazioni nel paramento'!$G$60*(sezione!$AL$36-C2450)/C2450</f>
        <v>-3.2109508079302546E-3</v>
      </c>
      <c r="L2450" s="550">
        <f>'Sollecitazioni nel paramento'!$G$60*(sezione!$AM$36-C2450)/C2450</f>
        <v>-3.0664262118953816E-3</v>
      </c>
      <c r="M2450" s="551">
        <f>'Sollecitazioni nel paramento'!$G$60*(sezione!$AN$36-C2450)/C2450</f>
        <v>-2.9219016158605086E-3</v>
      </c>
      <c r="N2450" s="551">
        <f>'Sollecitazioni nel paramento'!$G$60*(sezione!$AO$36-C2450)/C2450</f>
        <v>-2.3438032317210176E-3</v>
      </c>
      <c r="O2450" s="551">
        <f>'Sollecitazioni nel paramento'!$G$60*(sezione!$AP$36-C2450)/C2450</f>
        <v>1.9715298725182314E-3</v>
      </c>
      <c r="P2450" s="545">
        <f>-'Sollecitazioni nel paramento'!$G$47*'Sollecitazioni nel paramento'!$G$41*IF(DATI!$G$211="dx",DATI!$E$61,DATI!$E$64*DATI!$E$63)*1000*C2450*sezione!$AD$5</f>
        <v>-18452153.288541421</v>
      </c>
      <c r="Q2450" s="545">
        <f>'Foglio deposito bis'!$F$88*IF(ABS(K2450)&lt;'Sollecitazioni nel paramento'!$G$58,ABS(K2450)*'Sollecitazioni nel paramento'!$G$54,'Sollecitazioni nel paramento'!$G$53)*IF(K2450&lt;0,-1,1)</f>
        <v>0</v>
      </c>
      <c r="R2450" s="545">
        <f>'Foglio deposito bis'!$F$89*IF(ABS(L2450)&lt;'Sollecitazioni nel paramento'!$G$58,ABS(L2450)*'Sollecitazioni nel paramento'!$G$54,'Sollecitazioni nel paramento'!$G$53)*IF(L2450&lt;0,-1,1)</f>
        <v>-153664.85805602249</v>
      </c>
      <c r="S2450" s="545">
        <f>'Foglio deposito bis'!$F$90*IF(ABS(M2450)&lt;'Sollecitazioni nel paramento'!$G$58,ABS(M2450)*'Sollecitazioni nel paramento'!$G$54,'Sollecitazioni nel paramento'!$G$53)*IF(M2450&lt;0,-1,1)</f>
        <v>0</v>
      </c>
      <c r="T2450" s="545">
        <f>'Foglio deposito bis'!$F$91*IF(ABS(N2450)&lt;'Sollecitazioni nel paramento'!$G$58,ABS(N2450)*'Sollecitazioni nel paramento'!$G$54,'Sollecitazioni nel paramento'!$G$53)*IF(N2450&lt;0,-1,1)</f>
        <v>-892485.49558937876</v>
      </c>
      <c r="U2450" s="545">
        <f>'Foglio deposito bis'!$F$92*IF(ABS(O2450)&lt;'Sollecitazioni nel paramento'!$G$58,ABS(O2450)*'Sollecitazioni nel paramento'!$G$54,'Sollecitazioni nel paramento'!$G$53)*IF(O2450&lt;0,-1,1)</f>
        <v>1662039.1047339395</v>
      </c>
      <c r="V2450" s="472">
        <f t="shared" si="173"/>
        <v>-17836264.537452884</v>
      </c>
      <c r="W2450" s="551"/>
      <c r="X2450" s="551"/>
    </row>
    <row r="2451" spans="1:24" x14ac:dyDescent="0.25">
      <c r="A2451" s="545">
        <f t="shared" si="172"/>
        <v>18288534.113356039</v>
      </c>
      <c r="B2451" s="3">
        <f t="shared" si="170"/>
        <v>45.899999999999942</v>
      </c>
      <c r="C2451" s="545">
        <f>'Foglio deposito bis'!$E$162/sezione!$B$247*B2451</f>
        <v>495.13385269920911</v>
      </c>
      <c r="D2451" s="603">
        <f>-'Sollecitazioni nel paramento'!$G$47*'Sollecitazioni nel paramento'!$G$41*IF(DATI!$G$211="dx",DATI!$E$61,DATI!$E$64*DATI!$E$63)*1000*C2451^2*sezione!$AD$5*(1-sezione!$AD$6)</f>
        <v>-5454423635.9915733</v>
      </c>
      <c r="E2451" s="545">
        <f>-'Foglio deposito bis'!$F$88*(C2451-sezione!$AL$36)*IF(ABS(K2451)&lt;'Sollecitazioni nel paramento'!$G$58,ABS(K2451)*'Sollecitazioni nel paramento'!$G$54,'Sollecitazioni nel paramento'!$G$53)</f>
        <v>0</v>
      </c>
      <c r="F2451" s="545">
        <f>-'Foglio deposito bis'!$F$89*(C2451-sezione!$AM$36)*IF(ABS(L2451)&lt;'Sollecitazioni nel paramento'!$G$58,ABS(L2451)*'Sollecitazioni nel paramento'!$G$54,'Sollecitazioni nel paramento'!$G$53)</f>
        <v>-66864781.710394166</v>
      </c>
      <c r="G2451" s="545">
        <f>-'Foglio deposito bis'!$F$90*(C2451-sezione!$AN$36)*IF(ABS(M2451)&lt;'Sollecitazioni nel paramento'!$G$58,ABS(M2451)*'Sollecitazioni nel paramento'!$G$54,'Sollecitazioni nel paramento'!$G$53)</f>
        <v>0</v>
      </c>
      <c r="H2451" s="545">
        <f>-'Foglio deposito bis'!$F$91*(C2451-sezione!$AO$36)*IF(ABS(N2451)&lt;'Sollecitazioni nel paramento'!$G$58,ABS(N2451)*'Sollecitazioni nel paramento'!$G$54,'Sollecitazioni nel paramento'!$G$53)</f>
        <v>-299102102.61503148</v>
      </c>
      <c r="I2451" s="472">
        <f>-'Foglio deposito bis'!$F$92*(C2451-sezione!$AP$36)*IF(ABS(O2451)&lt;'Sollecitazioni nel paramento'!$G$58,ABS(O2451)*'Sollecitazioni nel paramento'!$G$54,'Sollecitazioni nel paramento'!$G$53)</f>
        <v>424700203.71731853</v>
      </c>
      <c r="J2451" s="472">
        <f t="shared" si="171"/>
        <v>-5395690316.5996799</v>
      </c>
      <c r="K2451" s="550">
        <f>'Sollecitazioni nel paramento'!$G$60*(sezione!$AL$36-C2451)/C2451</f>
        <v>-3.2172481759492029E-3</v>
      </c>
      <c r="L2451" s="550">
        <f>'Sollecitazioni nel paramento'!$G$60*(sezione!$AM$36-C2451)/C2451</f>
        <v>-3.0758722639238046E-3</v>
      </c>
      <c r="M2451" s="551">
        <f>'Sollecitazioni nel paramento'!$G$60*(sezione!$AN$36-C2451)/C2451</f>
        <v>-2.9344963518984062E-3</v>
      </c>
      <c r="N2451" s="551">
        <f>'Sollecitazioni nel paramento'!$G$60*(sezione!$AO$36-C2451)/C2451</f>
        <v>-2.3689927037968119E-3</v>
      </c>
      <c r="O2451" s="551">
        <f>'Sollecitazioni nel paramento'!$G$60*(sezione!$AP$36-C2451)/C2451</f>
        <v>1.8523244286725181E-3</v>
      </c>
      <c r="P2451" s="545">
        <f>-'Sollecitazioni nel paramento'!$G$47*'Sollecitazioni nel paramento'!$G$41*IF(DATI!$G$211="dx",DATI!$E$61,DATI!$E$64*DATI!$E$63)*1000*C2451*sezione!$AD$5</f>
        <v>-18863114.386281766</v>
      </c>
      <c r="Q2451" s="545">
        <f>'Foglio deposito bis'!$F$88*IF(ABS(K2451)&lt;'Sollecitazioni nel paramento'!$G$58,ABS(K2451)*'Sollecitazioni nel paramento'!$G$54,'Sollecitazioni nel paramento'!$G$53)*IF(K2451&lt;0,-1,1)</f>
        <v>0</v>
      </c>
      <c r="R2451" s="545">
        <f>'Foglio deposito bis'!$F$89*IF(ABS(L2451)&lt;'Sollecitazioni nel paramento'!$G$58,ABS(L2451)*'Sollecitazioni nel paramento'!$G$54,'Sollecitazioni nel paramento'!$G$53)*IF(L2451&lt;0,-1,1)</f>
        <v>-153664.85805602249</v>
      </c>
      <c r="S2451" s="545">
        <f>'Foglio deposito bis'!$F$90*IF(ABS(M2451)&lt;'Sollecitazioni nel paramento'!$G$58,ABS(M2451)*'Sollecitazioni nel paramento'!$G$54,'Sollecitazioni nel paramento'!$G$53)*IF(M2451&lt;0,-1,1)</f>
        <v>0</v>
      </c>
      <c r="T2451" s="545">
        <f>'Foglio deposito bis'!$F$91*IF(ABS(N2451)&lt;'Sollecitazioni nel paramento'!$G$58,ABS(N2451)*'Sollecitazioni nel paramento'!$G$54,'Sollecitazioni nel paramento'!$G$53)*IF(N2451&lt;0,-1,1)</f>
        <v>-892485.49558937876</v>
      </c>
      <c r="U2451" s="545">
        <f>'Foglio deposito bis'!$F$92*IF(ABS(O2451)&lt;'Sollecitazioni nel paramento'!$G$58,ABS(O2451)*'Sollecitazioni nel paramento'!$G$54,'Sollecitazioni nel paramento'!$G$53)*IF(O2451&lt;0,-1,1)</f>
        <v>1620730.6265711307</v>
      </c>
      <c r="V2451" s="472">
        <f t="shared" si="173"/>
        <v>-18288534.113356039</v>
      </c>
      <c r="W2451" s="551"/>
      <c r="X2451" s="551"/>
    </row>
    <row r="2452" spans="1:24" x14ac:dyDescent="0.25">
      <c r="A2452" s="545">
        <f t="shared" si="172"/>
        <v>18799348.729487624</v>
      </c>
      <c r="B2452" s="3">
        <f t="shared" si="170"/>
        <v>46.899999999999942</v>
      </c>
      <c r="C2452" s="545">
        <f>'Foglio deposito bis'!$E$162/sezione!$B$247*B2452</f>
        <v>505.92108260550998</v>
      </c>
      <c r="D2452" s="603">
        <f>-'Sollecitazioni nel paramento'!$G$47*'Sollecitazioni nel paramento'!$G$41*IF(DATI!$G$211="dx",DATI!$E$61,DATI!$E$64*DATI!$E$63)*1000*C2452^2*sezione!$AD$5*(1-sezione!$AD$6)</f>
        <v>-5694678102.8965225</v>
      </c>
      <c r="E2452" s="545">
        <f>-'Foglio deposito bis'!$F$88*(C2452-sezione!$AL$36)*IF(ABS(K2452)&lt;'Sollecitazioni nel paramento'!$G$58,ABS(K2452)*'Sollecitazioni nel paramento'!$G$54,'Sollecitazioni nel paramento'!$G$53)</f>
        <v>0</v>
      </c>
      <c r="F2452" s="545">
        <f>-'Foglio deposito bis'!$F$89*(C2452-sezione!$AM$36)*IF(ABS(L2452)&lt;'Sollecitazioni nel paramento'!$G$58,ABS(L2452)*'Sollecitazioni nel paramento'!$G$54,'Sollecitazioni nel paramento'!$G$53)</f>
        <v>-68522399.862763569</v>
      </c>
      <c r="G2452" s="545">
        <f>-'Foglio deposito bis'!$F$90*(C2452-sezione!$AN$36)*IF(ABS(M2452)&lt;'Sollecitazioni nel paramento'!$G$58,ABS(M2452)*'Sollecitazioni nel paramento'!$G$54,'Sollecitazioni nel paramento'!$G$53)</f>
        <v>0</v>
      </c>
      <c r="H2452" s="545">
        <f>-'Foglio deposito bis'!$F$91*(C2452-sezione!$AO$36)*IF(ABS(N2452)&lt;'Sollecitazioni nel paramento'!$G$58,ABS(N2452)*'Sollecitazioni nel paramento'!$G$54,'Sollecitazioni nel paramento'!$G$53)</f>
        <v>-308729548.84399301</v>
      </c>
      <c r="I2452" s="472">
        <f>-'Foglio deposito bis'!$F$92*(C2452-sezione!$AP$36)*IF(ABS(O2452)&lt;'Sollecitazioni nel paramento'!$G$58,ABS(O2452)*'Sollecitazioni nel paramento'!$G$54,'Sollecitazioni nel paramento'!$G$53)</f>
        <v>382128293.35229945</v>
      </c>
      <c r="J2452" s="472">
        <f t="shared" si="171"/>
        <v>-5689801758.2509794</v>
      </c>
      <c r="K2452" s="550">
        <f>'Sollecitazioni nel paramento'!$G$60*(sezione!$AL$36-C2452)/C2452</f>
        <v>-3.2232769994897316E-3</v>
      </c>
      <c r="L2452" s="550">
        <f>'Sollecitazioni nel paramento'!$G$60*(sezione!$AM$36-C2452)/C2452</f>
        <v>-3.0849154992345974E-3</v>
      </c>
      <c r="M2452" s="551">
        <f>'Sollecitazioni nel paramento'!$G$60*(sezione!$AN$36-C2452)/C2452</f>
        <v>-2.9465539989794636E-3</v>
      </c>
      <c r="N2452" s="551">
        <f>'Sollecitazioni nel paramento'!$G$60*(sezione!$AO$36-C2452)/C2452</f>
        <v>-2.3931079979589271E-3</v>
      </c>
      <c r="O2452" s="551">
        <f>'Sollecitazioni nel paramento'!$G$60*(sezione!$AP$36-C2452)/C2452</f>
        <v>1.7382023726240634E-3</v>
      </c>
      <c r="P2452" s="545">
        <f>-'Sollecitazioni nel paramento'!$G$47*'Sollecitazioni nel paramento'!$G$41*IF(DATI!$G$211="dx",DATI!$E$61,DATI!$E$64*DATI!$E$63)*1000*C2452*sezione!$AD$5</f>
        <v>-19274075.484022111</v>
      </c>
      <c r="Q2452" s="545">
        <f>'Foglio deposito bis'!$F$88*IF(ABS(K2452)&lt;'Sollecitazioni nel paramento'!$G$58,ABS(K2452)*'Sollecitazioni nel paramento'!$G$54,'Sollecitazioni nel paramento'!$G$53)*IF(K2452&lt;0,-1,1)</f>
        <v>0</v>
      </c>
      <c r="R2452" s="545">
        <f>'Foglio deposito bis'!$F$89*IF(ABS(L2452)&lt;'Sollecitazioni nel paramento'!$G$58,ABS(L2452)*'Sollecitazioni nel paramento'!$G$54,'Sollecitazioni nel paramento'!$G$53)*IF(L2452&lt;0,-1,1)</f>
        <v>-153664.85805602249</v>
      </c>
      <c r="S2452" s="545">
        <f>'Foglio deposito bis'!$F$90*IF(ABS(M2452)&lt;'Sollecitazioni nel paramento'!$G$58,ABS(M2452)*'Sollecitazioni nel paramento'!$G$54,'Sollecitazioni nel paramento'!$G$53)*IF(M2452&lt;0,-1,1)</f>
        <v>0</v>
      </c>
      <c r="T2452" s="545">
        <f>'Foglio deposito bis'!$F$91*IF(ABS(N2452)&lt;'Sollecitazioni nel paramento'!$G$58,ABS(N2452)*'Sollecitazioni nel paramento'!$G$54,'Sollecitazioni nel paramento'!$G$53)*IF(N2452&lt;0,-1,1)</f>
        <v>-892485.49558937876</v>
      </c>
      <c r="U2452" s="545">
        <f>'Foglio deposito bis'!$F$92*IF(ABS(O2452)&lt;'Sollecitazioni nel paramento'!$G$58,ABS(O2452)*'Sollecitazioni nel paramento'!$G$54,'Sollecitazioni nel paramento'!$G$53)*IF(O2452&lt;0,-1,1)</f>
        <v>1520877.1081798892</v>
      </c>
      <c r="V2452" s="472">
        <f t="shared" si="173"/>
        <v>-18799348.729487624</v>
      </c>
      <c r="W2452" s="551"/>
      <c r="X2452" s="551"/>
    </row>
    <row r="2453" spans="1:24" x14ac:dyDescent="0.25">
      <c r="A2453" s="545">
        <f t="shared" si="172"/>
        <v>19305994.096417069</v>
      </c>
      <c r="B2453" s="3">
        <f t="shared" si="170"/>
        <v>47.899999999999942</v>
      </c>
      <c r="C2453" s="545">
        <f>'Foglio deposito bis'!$E$162/sezione!$B$247*B2453</f>
        <v>516.70831251181085</v>
      </c>
      <c r="D2453" s="603">
        <f>-'Sollecitazioni nel paramento'!$G$47*'Sollecitazioni nel paramento'!$G$41*IF(DATI!$G$211="dx",DATI!$E$61,DATI!$E$64*DATI!$E$63)*1000*C2453^2*sezione!$AD$5*(1-sezione!$AD$6)</f>
        <v>-5940110467.7951136</v>
      </c>
      <c r="E2453" s="545">
        <f>-'Foglio deposito bis'!$F$88*(C2453-sezione!$AL$36)*IF(ABS(K2453)&lt;'Sollecitazioni nel paramento'!$G$58,ABS(K2453)*'Sollecitazioni nel paramento'!$G$54,'Sollecitazioni nel paramento'!$G$53)</f>
        <v>0</v>
      </c>
      <c r="F2453" s="545">
        <f>-'Foglio deposito bis'!$F$89*(C2453-sezione!$AM$36)*IF(ABS(L2453)&lt;'Sollecitazioni nel paramento'!$G$58,ABS(L2453)*'Sollecitazioni nel paramento'!$G$54,'Sollecitazioni nel paramento'!$G$53)</f>
        <v>-70180018.015132964</v>
      </c>
      <c r="G2453" s="545">
        <f>-'Foglio deposito bis'!$F$90*(C2453-sezione!$AN$36)*IF(ABS(M2453)&lt;'Sollecitazioni nel paramento'!$G$58,ABS(M2453)*'Sollecitazioni nel paramento'!$G$54,'Sollecitazioni nel paramento'!$G$53)</f>
        <v>0</v>
      </c>
      <c r="H2453" s="545">
        <f>-'Foglio deposito bis'!$F$91*(C2453-sezione!$AO$36)*IF(ABS(N2453)&lt;'Sollecitazioni nel paramento'!$G$58,ABS(N2453)*'Sollecitazioni nel paramento'!$G$54,'Sollecitazioni nel paramento'!$G$53)</f>
        <v>-318356995.07295448</v>
      </c>
      <c r="I2453" s="472">
        <f>-'Foglio deposito bis'!$F$92*(C2453-sezione!$AP$36)*IF(ABS(O2453)&lt;'Sollecitazioni nel paramento'!$G$58,ABS(O2453)*'Sollecitazioni nel paramento'!$G$54,'Sollecitazioni nel paramento'!$G$53)</f>
        <v>342713239.63055712</v>
      </c>
      <c r="J2453" s="472">
        <f t="shared" si="171"/>
        <v>-5985934241.2526436</v>
      </c>
      <c r="K2453" s="550">
        <f>'Sollecitazioni nel paramento'!$G$60*(sezione!$AL$36-C2453)/C2453</f>
        <v>-3.2290540976214702E-3</v>
      </c>
      <c r="L2453" s="550">
        <f>'Sollecitazioni nel paramento'!$G$60*(sezione!$AM$36-C2453)/C2453</f>
        <v>-3.0935811464322051E-3</v>
      </c>
      <c r="M2453" s="551">
        <f>'Sollecitazioni nel paramento'!$G$60*(sezione!$AN$36-C2453)/C2453</f>
        <v>-2.9581081952429404E-3</v>
      </c>
      <c r="N2453" s="551">
        <f>'Sollecitazioni nel paramento'!$G$60*(sezione!$AO$36-C2453)/C2453</f>
        <v>-2.4162163904858803E-3</v>
      </c>
      <c r="O2453" s="551">
        <f>'Sollecitazioni nel paramento'!$G$60*(sezione!$AP$36-C2453)/C2453</f>
        <v>1.6288453293542497E-3</v>
      </c>
      <c r="P2453" s="545">
        <f>-'Sollecitazioni nel paramento'!$G$47*'Sollecitazioni nel paramento'!$G$41*IF(DATI!$G$211="dx",DATI!$E$61,DATI!$E$64*DATI!$E$63)*1000*C2453*sezione!$AD$5</f>
        <v>-19685036.581762452</v>
      </c>
      <c r="Q2453" s="545">
        <f>'Foglio deposito bis'!$F$88*IF(ABS(K2453)&lt;'Sollecitazioni nel paramento'!$G$58,ABS(K2453)*'Sollecitazioni nel paramento'!$G$54,'Sollecitazioni nel paramento'!$G$53)*IF(K2453&lt;0,-1,1)</f>
        <v>0</v>
      </c>
      <c r="R2453" s="545">
        <f>'Foglio deposito bis'!$F$89*IF(ABS(L2453)&lt;'Sollecitazioni nel paramento'!$G$58,ABS(L2453)*'Sollecitazioni nel paramento'!$G$54,'Sollecitazioni nel paramento'!$G$53)*IF(L2453&lt;0,-1,1)</f>
        <v>-153664.85805602249</v>
      </c>
      <c r="S2453" s="545">
        <f>'Foglio deposito bis'!$F$90*IF(ABS(M2453)&lt;'Sollecitazioni nel paramento'!$G$58,ABS(M2453)*'Sollecitazioni nel paramento'!$G$54,'Sollecitazioni nel paramento'!$G$53)*IF(M2453&lt;0,-1,1)</f>
        <v>0</v>
      </c>
      <c r="T2453" s="545">
        <f>'Foglio deposito bis'!$F$91*IF(ABS(N2453)&lt;'Sollecitazioni nel paramento'!$G$58,ABS(N2453)*'Sollecitazioni nel paramento'!$G$54,'Sollecitazioni nel paramento'!$G$53)*IF(N2453&lt;0,-1,1)</f>
        <v>-892485.49558937876</v>
      </c>
      <c r="U2453" s="545">
        <f>'Foglio deposito bis'!$F$92*IF(ABS(O2453)&lt;'Sollecitazioni nel paramento'!$G$58,ABS(O2453)*'Sollecitazioni nel paramento'!$G$54,'Sollecitazioni nel paramento'!$G$53)*IF(O2453&lt;0,-1,1)</f>
        <v>1425192.8389907866</v>
      </c>
      <c r="V2453" s="472">
        <f t="shared" si="173"/>
        <v>-19305994.096417069</v>
      </c>
      <c r="W2453" s="551"/>
      <c r="X2453" s="551"/>
    </row>
    <row r="2454" spans="1:24" x14ac:dyDescent="0.25">
      <c r="A2454" s="545">
        <f t="shared" si="172"/>
        <v>19808725.996304017</v>
      </c>
      <c r="B2454" s="3">
        <f t="shared" si="170"/>
        <v>48.899999999999942</v>
      </c>
      <c r="C2454" s="545">
        <f>'Foglio deposito bis'!$E$162/sezione!$B$247*B2454</f>
        <v>527.49554241811165</v>
      </c>
      <c r="D2454" s="603">
        <f>-'Sollecitazioni nel paramento'!$G$47*'Sollecitazioni nel paramento'!$G$41*IF(DATI!$G$211="dx",DATI!$E$61,DATI!$E$64*DATI!$E$63)*1000*C2454^2*sezione!$AD$5*(1-sezione!$AD$6)</f>
        <v>-6190720730.6873465</v>
      </c>
      <c r="E2454" s="545">
        <f>-'Foglio deposito bis'!$F$88*(C2454-sezione!$AL$36)*IF(ABS(K2454)&lt;'Sollecitazioni nel paramento'!$G$58,ABS(K2454)*'Sollecitazioni nel paramento'!$G$54,'Sollecitazioni nel paramento'!$G$53)</f>
        <v>0</v>
      </c>
      <c r="F2454" s="545">
        <f>-'Foglio deposito bis'!$F$89*(C2454-sezione!$AM$36)*IF(ABS(L2454)&lt;'Sollecitazioni nel paramento'!$G$58,ABS(L2454)*'Sollecitazioni nel paramento'!$G$54,'Sollecitazioni nel paramento'!$G$53)</f>
        <v>-71837636.167502373</v>
      </c>
      <c r="G2454" s="545">
        <f>-'Foglio deposito bis'!$F$90*(C2454-sezione!$AN$36)*IF(ABS(M2454)&lt;'Sollecitazioni nel paramento'!$G$58,ABS(M2454)*'Sollecitazioni nel paramento'!$G$54,'Sollecitazioni nel paramento'!$G$53)</f>
        <v>0</v>
      </c>
      <c r="H2454" s="545">
        <f>-'Foglio deposito bis'!$F$91*(C2454-sezione!$AO$36)*IF(ABS(N2454)&lt;'Sollecitazioni nel paramento'!$G$58,ABS(N2454)*'Sollecitazioni nel paramento'!$G$54,'Sollecitazioni nel paramento'!$G$53)</f>
        <v>-327984441.30191594</v>
      </c>
      <c r="I2454" s="472">
        <f>-'Foglio deposito bis'!$F$92*(C2454-sezione!$AP$36)*IF(ABS(O2454)&lt;'Sollecitazioni nel paramento'!$G$58,ABS(O2454)*'Sollecitazioni nel paramento'!$G$54,'Sollecitazioni nel paramento'!$G$53)</f>
        <v>306261370.36538774</v>
      </c>
      <c r="J2454" s="472">
        <f t="shared" si="171"/>
        <v>-6284281437.7913771</v>
      </c>
      <c r="K2454" s="550">
        <f>'Sollecitazioni nel paramento'!$G$60*(sezione!$AL$36-C2454)/C2454</f>
        <v>-3.2345949136210312E-3</v>
      </c>
      <c r="L2454" s="550">
        <f>'Sollecitazioni nel paramento'!$G$60*(sezione!$AM$36-C2454)/C2454</f>
        <v>-3.1018923704315467E-3</v>
      </c>
      <c r="M2454" s="551">
        <f>'Sollecitazioni nel paramento'!$G$60*(sezione!$AN$36-C2454)/C2454</f>
        <v>-2.9691898272420623E-3</v>
      </c>
      <c r="N2454" s="551">
        <f>'Sollecitazioni nel paramento'!$G$60*(sezione!$AO$36-C2454)/C2454</f>
        <v>-2.4383796544841241E-3</v>
      </c>
      <c r="O2454" s="551">
        <f>'Sollecitazioni nel paramento'!$G$60*(sezione!$AP$36-C2454)/C2454</f>
        <v>1.5239609667907685E-3</v>
      </c>
      <c r="P2454" s="545">
        <f>-'Sollecitazioni nel paramento'!$G$47*'Sollecitazioni nel paramento'!$G$41*IF(DATI!$G$211="dx",DATI!$E$61,DATI!$E$64*DATI!$E$63)*1000*C2454*sezione!$AD$5</f>
        <v>-20095997.679502796</v>
      </c>
      <c r="Q2454" s="545">
        <f>'Foglio deposito bis'!$F$88*IF(ABS(K2454)&lt;'Sollecitazioni nel paramento'!$G$58,ABS(K2454)*'Sollecitazioni nel paramento'!$G$54,'Sollecitazioni nel paramento'!$G$53)*IF(K2454&lt;0,-1,1)</f>
        <v>0</v>
      </c>
      <c r="R2454" s="545">
        <f>'Foglio deposito bis'!$F$89*IF(ABS(L2454)&lt;'Sollecitazioni nel paramento'!$G$58,ABS(L2454)*'Sollecitazioni nel paramento'!$G$54,'Sollecitazioni nel paramento'!$G$53)*IF(L2454&lt;0,-1,1)</f>
        <v>-153664.85805602249</v>
      </c>
      <c r="S2454" s="545">
        <f>'Foglio deposito bis'!$F$90*IF(ABS(M2454)&lt;'Sollecitazioni nel paramento'!$G$58,ABS(M2454)*'Sollecitazioni nel paramento'!$G$54,'Sollecitazioni nel paramento'!$G$53)*IF(M2454&lt;0,-1,1)</f>
        <v>0</v>
      </c>
      <c r="T2454" s="545">
        <f>'Foglio deposito bis'!$F$91*IF(ABS(N2454)&lt;'Sollecitazioni nel paramento'!$G$58,ABS(N2454)*'Sollecitazioni nel paramento'!$G$54,'Sollecitazioni nel paramento'!$G$53)*IF(N2454&lt;0,-1,1)</f>
        <v>-892485.49558937876</v>
      </c>
      <c r="U2454" s="545">
        <f>'Foglio deposito bis'!$F$92*IF(ABS(O2454)&lt;'Sollecitazioni nel paramento'!$G$58,ABS(O2454)*'Sollecitazioni nel paramento'!$G$54,'Sollecitazioni nel paramento'!$G$53)*IF(O2454&lt;0,-1,1)</f>
        <v>1333422.0368441839</v>
      </c>
      <c r="V2454" s="472">
        <f t="shared" si="173"/>
        <v>-19808725.996304017</v>
      </c>
      <c r="W2454" s="551"/>
      <c r="X2454" s="551"/>
    </row>
    <row r="2455" spans="1:24" x14ac:dyDescent="0.25">
      <c r="A2455" s="545">
        <f t="shared" si="172"/>
        <v>20307779.707728174</v>
      </c>
      <c r="B2455" s="3">
        <f t="shared" si="170"/>
        <v>49.899999999999942</v>
      </c>
      <c r="C2455" s="545">
        <f>'Foglio deposito bis'!$E$162/sezione!$B$247*B2455</f>
        <v>538.28277232441258</v>
      </c>
      <c r="D2455" s="603">
        <f>-'Sollecitazioni nel paramento'!$G$47*'Sollecitazioni nel paramento'!$G$41*IF(DATI!$G$211="dx",DATI!$E$61,DATI!$E$64*DATI!$E$63)*1000*C2455^2*sezione!$AD$5*(1-sezione!$AD$6)</f>
        <v>-6446508891.5732212</v>
      </c>
      <c r="E2455" s="545">
        <f>-'Foglio deposito bis'!$F$88*(C2455-sezione!$AL$36)*IF(ABS(K2455)&lt;'Sollecitazioni nel paramento'!$G$58,ABS(K2455)*'Sollecitazioni nel paramento'!$G$54,'Sollecitazioni nel paramento'!$G$53)</f>
        <v>0</v>
      </c>
      <c r="F2455" s="545">
        <f>-'Foglio deposito bis'!$F$89*(C2455-sezione!$AM$36)*IF(ABS(L2455)&lt;'Sollecitazioni nel paramento'!$G$58,ABS(L2455)*'Sollecitazioni nel paramento'!$G$54,'Sollecitazioni nel paramento'!$G$53)</f>
        <v>-73495254.319871783</v>
      </c>
      <c r="G2455" s="545">
        <f>-'Foglio deposito bis'!$F$90*(C2455-sezione!$AN$36)*IF(ABS(M2455)&lt;'Sollecitazioni nel paramento'!$G$58,ABS(M2455)*'Sollecitazioni nel paramento'!$G$54,'Sollecitazioni nel paramento'!$G$53)</f>
        <v>0</v>
      </c>
      <c r="H2455" s="545">
        <f>-'Foglio deposito bis'!$F$91*(C2455-sezione!$AO$36)*IF(ABS(N2455)&lt;'Sollecitazioni nel paramento'!$G$58,ABS(N2455)*'Sollecitazioni nel paramento'!$G$54,'Sollecitazioni nel paramento'!$G$53)</f>
        <v>-337611887.53087747</v>
      </c>
      <c r="I2455" s="472">
        <f>-'Foglio deposito bis'!$F$92*(C2455-sezione!$AP$36)*IF(ABS(O2455)&lt;'Sollecitazioni nel paramento'!$G$58,ABS(O2455)*'Sollecitazioni nel paramento'!$G$54,'Sollecitazioni nel paramento'!$G$53)</f>
        <v>272594538.19467211</v>
      </c>
      <c r="J2455" s="472">
        <f t="shared" si="171"/>
        <v>-6585021495.2292976</v>
      </c>
      <c r="K2455" s="550">
        <f>'Sollecitazioni nel paramento'!$G$60*(sezione!$AL$36-C2455)/C2455</f>
        <v>-3.2399136528270226E-3</v>
      </c>
      <c r="L2455" s="550">
        <f>'Sollecitazioni nel paramento'!$G$60*(sezione!$AM$36-C2455)/C2455</f>
        <v>-3.1098704792405338E-3</v>
      </c>
      <c r="M2455" s="551">
        <f>'Sollecitazioni nel paramento'!$G$60*(sezione!$AN$36-C2455)/C2455</f>
        <v>-2.979827305654045E-3</v>
      </c>
      <c r="N2455" s="551">
        <f>'Sollecitazioni nel paramento'!$G$60*(sezione!$AO$36-C2455)/C2455</f>
        <v>-2.4596546113080896E-3</v>
      </c>
      <c r="O2455" s="551">
        <f>'Sollecitazioni nel paramento'!$G$60*(sezione!$AP$36-C2455)/C2455</f>
        <v>1.4232803862939589E-3</v>
      </c>
      <c r="P2455" s="545">
        <f>-'Sollecitazioni nel paramento'!$G$47*'Sollecitazioni nel paramento'!$G$41*IF(DATI!$G$211="dx",DATI!$E$61,DATI!$E$64*DATI!$E$63)*1000*C2455*sezione!$AD$5</f>
        <v>-20506958.777243141</v>
      </c>
      <c r="Q2455" s="545">
        <f>'Foglio deposito bis'!$F$88*IF(ABS(K2455)&lt;'Sollecitazioni nel paramento'!$G$58,ABS(K2455)*'Sollecitazioni nel paramento'!$G$54,'Sollecitazioni nel paramento'!$G$53)*IF(K2455&lt;0,-1,1)</f>
        <v>0</v>
      </c>
      <c r="R2455" s="545">
        <f>'Foglio deposito bis'!$F$89*IF(ABS(L2455)&lt;'Sollecitazioni nel paramento'!$G$58,ABS(L2455)*'Sollecitazioni nel paramento'!$G$54,'Sollecitazioni nel paramento'!$G$53)*IF(L2455&lt;0,-1,1)</f>
        <v>-153664.85805602249</v>
      </c>
      <c r="S2455" s="545">
        <f>'Foglio deposito bis'!$F$90*IF(ABS(M2455)&lt;'Sollecitazioni nel paramento'!$G$58,ABS(M2455)*'Sollecitazioni nel paramento'!$G$54,'Sollecitazioni nel paramento'!$G$53)*IF(M2455&lt;0,-1,1)</f>
        <v>0</v>
      </c>
      <c r="T2455" s="545">
        <f>'Foglio deposito bis'!$F$91*IF(ABS(N2455)&lt;'Sollecitazioni nel paramento'!$G$58,ABS(N2455)*'Sollecitazioni nel paramento'!$G$54,'Sollecitazioni nel paramento'!$G$53)*IF(N2455&lt;0,-1,1)</f>
        <v>-892485.49558937876</v>
      </c>
      <c r="U2455" s="545">
        <f>'Foglio deposito bis'!$F$92*IF(ABS(O2455)&lt;'Sollecitazioni nel paramento'!$G$58,ABS(O2455)*'Sollecitazioni nel paramento'!$G$54,'Sollecitazioni nel paramento'!$G$53)*IF(O2455&lt;0,-1,1)</f>
        <v>1245329.42316037</v>
      </c>
      <c r="V2455" s="472">
        <f t="shared" si="173"/>
        <v>-20307779.707728174</v>
      </c>
      <c r="W2455" s="551"/>
      <c r="X2455" s="551"/>
    </row>
    <row r="2456" spans="1:24" x14ac:dyDescent="0.25">
      <c r="A2456" s="545">
        <f t="shared" si="172"/>
        <v>20803372.019793436</v>
      </c>
      <c r="B2456" s="3">
        <f t="shared" si="170"/>
        <v>50.899999999999942</v>
      </c>
      <c r="C2456" s="545">
        <f>'Foglio deposito bis'!$E$162/sezione!$B$247*B2456</f>
        <v>549.07000223071338</v>
      </c>
      <c r="D2456" s="603">
        <f>-'Sollecitazioni nel paramento'!$G$47*'Sollecitazioni nel paramento'!$G$41*IF(DATI!$G$211="dx",DATI!$E$61,DATI!$E$64*DATI!$E$63)*1000*C2456^2*sezione!$AD$5*(1-sezione!$AD$6)</f>
        <v>-6707474950.452734</v>
      </c>
      <c r="E2456" s="545">
        <f>-'Foglio deposito bis'!$F$88*(C2456-sezione!$AL$36)*IF(ABS(K2456)&lt;'Sollecitazioni nel paramento'!$G$58,ABS(K2456)*'Sollecitazioni nel paramento'!$G$54,'Sollecitazioni nel paramento'!$G$53)</f>
        <v>0</v>
      </c>
      <c r="F2456" s="545">
        <f>-'Foglio deposito bis'!$F$89*(C2456-sezione!$AM$36)*IF(ABS(L2456)&lt;'Sollecitazioni nel paramento'!$G$58,ABS(L2456)*'Sollecitazioni nel paramento'!$G$54,'Sollecitazioni nel paramento'!$G$53)</f>
        <v>-75152872.472241178</v>
      </c>
      <c r="G2456" s="545">
        <f>-'Foglio deposito bis'!$F$90*(C2456-sezione!$AN$36)*IF(ABS(M2456)&lt;'Sollecitazioni nel paramento'!$G$58,ABS(M2456)*'Sollecitazioni nel paramento'!$G$54,'Sollecitazioni nel paramento'!$G$53)</f>
        <v>0</v>
      </c>
      <c r="H2456" s="545">
        <f>-'Foglio deposito bis'!$F$91*(C2456-sezione!$AO$36)*IF(ABS(N2456)&lt;'Sollecitazioni nel paramento'!$G$58,ABS(N2456)*'Sollecitazioni nel paramento'!$G$54,'Sollecitazioni nel paramento'!$G$53)</f>
        <v>-347239333.75983894</v>
      </c>
      <c r="I2456" s="472">
        <f>-'Foglio deposito bis'!$F$92*(C2456-sezione!$AP$36)*IF(ABS(O2456)&lt;'Sollecitazioni nel paramento'!$G$58,ABS(O2456)*'Sollecitazioni nel paramento'!$G$54,'Sollecitazioni nel paramento'!$G$53)</f>
        <v>241548595.54899323</v>
      </c>
      <c r="J2456" s="472">
        <f t="shared" si="171"/>
        <v>-6888318561.1358213</v>
      </c>
      <c r="K2456" s="550">
        <f>'Sollecitazioni nel paramento'!$G$60*(sezione!$AL$36-C2456)/C2456</f>
        <v>-3.2450234042449592E-3</v>
      </c>
      <c r="L2456" s="550">
        <f>'Sollecitazioni nel paramento'!$G$60*(sezione!$AM$36-C2456)/C2456</f>
        <v>-3.117535106367439E-3</v>
      </c>
      <c r="M2456" s="551">
        <f>'Sollecitazioni nel paramento'!$G$60*(sezione!$AN$36-C2456)/C2456</f>
        <v>-2.9900468084899184E-3</v>
      </c>
      <c r="N2456" s="551">
        <f>'Sollecitazioni nel paramento'!$G$60*(sezione!$AO$36-C2456)/C2456</f>
        <v>-2.4800936169798366E-3</v>
      </c>
      <c r="O2456" s="551">
        <f>'Sollecitazioni nel paramento'!$G$60*(sezione!$AP$36-C2456)/C2456</f>
        <v>1.3265558207479092E-3</v>
      </c>
      <c r="P2456" s="545">
        <f>-'Sollecitazioni nel paramento'!$G$47*'Sollecitazioni nel paramento'!$G$41*IF(DATI!$G$211="dx",DATI!$E$61,DATI!$E$64*DATI!$E$63)*1000*C2456*sezione!$AD$5</f>
        <v>-20917919.874983482</v>
      </c>
      <c r="Q2456" s="545">
        <f>'Foglio deposito bis'!$F$88*IF(ABS(K2456)&lt;'Sollecitazioni nel paramento'!$G$58,ABS(K2456)*'Sollecitazioni nel paramento'!$G$54,'Sollecitazioni nel paramento'!$G$53)*IF(K2456&lt;0,-1,1)</f>
        <v>0</v>
      </c>
      <c r="R2456" s="545">
        <f>'Foglio deposito bis'!$F$89*IF(ABS(L2456)&lt;'Sollecitazioni nel paramento'!$G$58,ABS(L2456)*'Sollecitazioni nel paramento'!$G$54,'Sollecitazioni nel paramento'!$G$53)*IF(L2456&lt;0,-1,1)</f>
        <v>-153664.85805602249</v>
      </c>
      <c r="S2456" s="545">
        <f>'Foglio deposito bis'!$F$90*IF(ABS(M2456)&lt;'Sollecitazioni nel paramento'!$G$58,ABS(M2456)*'Sollecitazioni nel paramento'!$G$54,'Sollecitazioni nel paramento'!$G$53)*IF(M2456&lt;0,-1,1)</f>
        <v>0</v>
      </c>
      <c r="T2456" s="545">
        <f>'Foglio deposito bis'!$F$91*IF(ABS(N2456)&lt;'Sollecitazioni nel paramento'!$G$58,ABS(N2456)*'Sollecitazioni nel paramento'!$G$54,'Sollecitazioni nel paramento'!$G$53)*IF(N2456&lt;0,-1,1)</f>
        <v>-892485.49558937876</v>
      </c>
      <c r="U2456" s="545">
        <f>'Foglio deposito bis'!$F$92*IF(ABS(O2456)&lt;'Sollecitazioni nel paramento'!$G$58,ABS(O2456)*'Sollecitazioni nel paramento'!$G$54,'Sollecitazioni nel paramento'!$G$53)*IF(O2456&lt;0,-1,1)</f>
        <v>1160698.2088354495</v>
      </c>
      <c r="V2456" s="472">
        <f t="shared" si="173"/>
        <v>-20803372.019793436</v>
      </c>
      <c r="W2456" s="551"/>
      <c r="X2456" s="551"/>
    </row>
    <row r="2457" spans="1:24" x14ac:dyDescent="0.25">
      <c r="A2457" s="545">
        <f t="shared" si="172"/>
        <v>21295703.013387609</v>
      </c>
      <c r="B2457" s="3">
        <f t="shared" si="170"/>
        <v>51.899999999999942</v>
      </c>
      <c r="C2457" s="545">
        <f>'Foglio deposito bis'!$E$162/sezione!$B$247*B2457</f>
        <v>559.85723213701431</v>
      </c>
      <c r="D2457" s="603">
        <f>-'Sollecitazioni nel paramento'!$G$47*'Sollecitazioni nel paramento'!$G$41*IF(DATI!$G$211="dx",DATI!$E$61,DATI!$E$64*DATI!$E$63)*1000*C2457^2*sezione!$AD$5*(1-sezione!$AD$6)</f>
        <v>-6973618907.3258934</v>
      </c>
      <c r="E2457" s="545">
        <f>-'Foglio deposito bis'!$F$88*(C2457-sezione!$AL$36)*IF(ABS(K2457)&lt;'Sollecitazioni nel paramento'!$G$58,ABS(K2457)*'Sollecitazioni nel paramento'!$G$54,'Sollecitazioni nel paramento'!$G$53)</f>
        <v>0</v>
      </c>
      <c r="F2457" s="545">
        <f>-'Foglio deposito bis'!$F$89*(C2457-sezione!$AM$36)*IF(ABS(L2457)&lt;'Sollecitazioni nel paramento'!$G$58,ABS(L2457)*'Sollecitazioni nel paramento'!$G$54,'Sollecitazioni nel paramento'!$G$53)</f>
        <v>-76810490.624610588</v>
      </c>
      <c r="G2457" s="545">
        <f>-'Foglio deposito bis'!$F$90*(C2457-sezione!$AN$36)*IF(ABS(M2457)&lt;'Sollecitazioni nel paramento'!$G$58,ABS(M2457)*'Sollecitazioni nel paramento'!$G$54,'Sollecitazioni nel paramento'!$G$53)</f>
        <v>0</v>
      </c>
      <c r="H2457" s="545">
        <f>-'Foglio deposito bis'!$F$91*(C2457-sezione!$AO$36)*IF(ABS(N2457)&lt;'Sollecitazioni nel paramento'!$G$58,ABS(N2457)*'Sollecitazioni nel paramento'!$G$54,'Sollecitazioni nel paramento'!$G$53)</f>
        <v>-356866779.98880053</v>
      </c>
      <c r="I2457" s="472">
        <f>-'Foglio deposito bis'!$F$92*(C2457-sezione!$AP$36)*IF(ABS(O2457)&lt;'Sollecitazioni nel paramento'!$G$58,ABS(O2457)*'Sollecitazioni nel paramento'!$G$54,'Sollecitazioni nel paramento'!$G$53)</f>
        <v>212972045.92401302</v>
      </c>
      <c r="J2457" s="472">
        <f t="shared" si="171"/>
        <v>-7194324132.0152912</v>
      </c>
      <c r="K2457" s="550">
        <f>'Sollecitazioni nel paramento'!$G$60*(sezione!$AL$36-C2457)/C2457</f>
        <v>-3.2499362480938039E-3</v>
      </c>
      <c r="L2457" s="550">
        <f>'Sollecitazioni nel paramento'!$G$60*(sezione!$AM$36-C2457)/C2457</f>
        <v>-3.1249043721407058E-3</v>
      </c>
      <c r="M2457" s="551">
        <f>'Sollecitazioni nel paramento'!$G$60*(sezione!$AN$36-C2457)/C2457</f>
        <v>-2.9998724961876077E-3</v>
      </c>
      <c r="N2457" s="551">
        <f>'Sollecitazioni nel paramento'!$G$60*(sezione!$AO$36-C2457)/C2457</f>
        <v>-2.4997449923752158E-3</v>
      </c>
      <c r="O2457" s="551">
        <f>'Sollecitazioni nel paramento'!$G$60*(sezione!$AP$36-C2457)/C2457</f>
        <v>1.2335585987681801E-3</v>
      </c>
      <c r="P2457" s="545">
        <f>-'Sollecitazioni nel paramento'!$G$47*'Sollecitazioni nel paramento'!$G$41*IF(DATI!$G$211="dx",DATI!$E$61,DATI!$E$64*DATI!$E$63)*1000*C2457*sezione!$AD$5</f>
        <v>-21328880.97272383</v>
      </c>
      <c r="Q2457" s="545">
        <f>'Foglio deposito bis'!$F$88*IF(ABS(K2457)&lt;'Sollecitazioni nel paramento'!$G$58,ABS(K2457)*'Sollecitazioni nel paramento'!$G$54,'Sollecitazioni nel paramento'!$G$53)*IF(K2457&lt;0,-1,1)</f>
        <v>0</v>
      </c>
      <c r="R2457" s="545">
        <f>'Foglio deposito bis'!$F$89*IF(ABS(L2457)&lt;'Sollecitazioni nel paramento'!$G$58,ABS(L2457)*'Sollecitazioni nel paramento'!$G$54,'Sollecitazioni nel paramento'!$G$53)*IF(L2457&lt;0,-1,1)</f>
        <v>-153664.85805602249</v>
      </c>
      <c r="S2457" s="545">
        <f>'Foglio deposito bis'!$F$90*IF(ABS(M2457)&lt;'Sollecitazioni nel paramento'!$G$58,ABS(M2457)*'Sollecitazioni nel paramento'!$G$54,'Sollecitazioni nel paramento'!$G$53)*IF(M2457&lt;0,-1,1)</f>
        <v>0</v>
      </c>
      <c r="T2457" s="545">
        <f>'Foglio deposito bis'!$F$91*IF(ABS(N2457)&lt;'Sollecitazioni nel paramento'!$G$58,ABS(N2457)*'Sollecitazioni nel paramento'!$G$54,'Sollecitazioni nel paramento'!$G$53)*IF(N2457&lt;0,-1,1)</f>
        <v>-892485.49558937876</v>
      </c>
      <c r="U2457" s="545">
        <f>'Foglio deposito bis'!$F$92*IF(ABS(O2457)&lt;'Sollecitazioni nel paramento'!$G$58,ABS(O2457)*'Sollecitazioni nel paramento'!$G$54,'Sollecitazioni nel paramento'!$G$53)*IF(O2457&lt;0,-1,1)</f>
        <v>1079328.3129816235</v>
      </c>
      <c r="V2457" s="472">
        <f t="shared" si="173"/>
        <v>-21295703.013387609</v>
      </c>
      <c r="W2457" s="551"/>
      <c r="X2457" s="551"/>
    </row>
    <row r="2458" spans="1:24" x14ac:dyDescent="0.25">
      <c r="A2458" s="545">
        <f t="shared" si="172"/>
        <v>21784957.640408851</v>
      </c>
      <c r="B2458" s="3">
        <f t="shared" si="170"/>
        <v>52.899999999999942</v>
      </c>
      <c r="C2458" s="545">
        <f>'Foglio deposito bis'!$E$162/sezione!$B$247*B2458</f>
        <v>570.64446204331512</v>
      </c>
      <c r="D2458" s="603">
        <f>-'Sollecitazioni nel paramento'!$G$47*'Sollecitazioni nel paramento'!$G$41*IF(DATI!$G$211="dx",DATI!$E$61,DATI!$E$64*DATI!$E$63)*1000*C2458^2*sezione!$AD$5*(1-sezione!$AD$6)</f>
        <v>-7244940762.1926889</v>
      </c>
      <c r="E2458" s="545">
        <f>-'Foglio deposito bis'!$F$88*(C2458-sezione!$AL$36)*IF(ABS(K2458)&lt;'Sollecitazioni nel paramento'!$G$58,ABS(K2458)*'Sollecitazioni nel paramento'!$G$54,'Sollecitazioni nel paramento'!$G$53)</f>
        <v>0</v>
      </c>
      <c r="F2458" s="545">
        <f>-'Foglio deposito bis'!$F$89*(C2458-sezione!$AM$36)*IF(ABS(L2458)&lt;'Sollecitazioni nel paramento'!$G$58,ABS(L2458)*'Sollecitazioni nel paramento'!$G$54,'Sollecitazioni nel paramento'!$G$53)</f>
        <v>-78468108.776979983</v>
      </c>
      <c r="G2458" s="545">
        <f>-'Foglio deposito bis'!$F$90*(C2458-sezione!$AN$36)*IF(ABS(M2458)&lt;'Sollecitazioni nel paramento'!$G$58,ABS(M2458)*'Sollecitazioni nel paramento'!$G$54,'Sollecitazioni nel paramento'!$G$53)</f>
        <v>0</v>
      </c>
      <c r="H2458" s="545">
        <f>-'Foglio deposito bis'!$F$91*(C2458-sezione!$AO$36)*IF(ABS(N2458)&lt;'Sollecitazioni nel paramento'!$G$58,ABS(N2458)*'Sollecitazioni nel paramento'!$G$54,'Sollecitazioni nel paramento'!$G$53)</f>
        <v>-366494226.21776193</v>
      </c>
      <c r="I2458" s="472">
        <f>-'Foglio deposito bis'!$F$92*(C2458-sezione!$AP$36)*IF(ABS(O2458)&lt;'Sollecitazioni nel paramento'!$G$58,ABS(O2458)*'Sollecitazioni nel paramento'!$G$54,'Sollecitazioni nel paramento'!$G$53)</f>
        <v>186724848.12763196</v>
      </c>
      <c r="J2458" s="472">
        <f t="shared" si="171"/>
        <v>-7503178249.0597992</v>
      </c>
      <c r="K2458" s="550">
        <f>'Sollecitazioni nel paramento'!$G$60*(sezione!$AL$36-C2458)/C2458</f>
        <v>-3.2546633511544125E-3</v>
      </c>
      <c r="L2458" s="550">
        <f>'Sollecitazioni nel paramento'!$G$60*(sezione!$AM$36-C2458)/C2458</f>
        <v>-3.1319950267316189E-3</v>
      </c>
      <c r="M2458" s="551">
        <f>'Sollecitazioni nel paramento'!$G$60*(sezione!$AN$36-C2458)/C2458</f>
        <v>-3.0093267023088249E-3</v>
      </c>
      <c r="N2458" s="551">
        <f>'Sollecitazioni nel paramento'!$G$60*(sezione!$AO$36-C2458)/C2458</f>
        <v>-2.5186534046176498E-3</v>
      </c>
      <c r="O2458" s="551">
        <f>'Sollecitazioni nel paramento'!$G$60*(sezione!$AP$36-C2458)/C2458</f>
        <v>1.14407733981226E-3</v>
      </c>
      <c r="P2458" s="545">
        <f>-'Sollecitazioni nel paramento'!$G$47*'Sollecitazioni nel paramento'!$G$41*IF(DATI!$G$211="dx",DATI!$E$61,DATI!$E$64*DATI!$E$63)*1000*C2458*sezione!$AD$5</f>
        <v>-21739842.070464171</v>
      </c>
      <c r="Q2458" s="545">
        <f>'Foglio deposito bis'!$F$88*IF(ABS(K2458)&lt;'Sollecitazioni nel paramento'!$G$58,ABS(K2458)*'Sollecitazioni nel paramento'!$G$54,'Sollecitazioni nel paramento'!$G$53)*IF(K2458&lt;0,-1,1)</f>
        <v>0</v>
      </c>
      <c r="R2458" s="545">
        <f>'Foglio deposito bis'!$F$89*IF(ABS(L2458)&lt;'Sollecitazioni nel paramento'!$G$58,ABS(L2458)*'Sollecitazioni nel paramento'!$G$54,'Sollecitazioni nel paramento'!$G$53)*IF(L2458&lt;0,-1,1)</f>
        <v>-153664.85805602249</v>
      </c>
      <c r="S2458" s="545">
        <f>'Foglio deposito bis'!$F$90*IF(ABS(M2458)&lt;'Sollecitazioni nel paramento'!$G$58,ABS(M2458)*'Sollecitazioni nel paramento'!$G$54,'Sollecitazioni nel paramento'!$G$53)*IF(M2458&lt;0,-1,1)</f>
        <v>0</v>
      </c>
      <c r="T2458" s="545">
        <f>'Foglio deposito bis'!$F$91*IF(ABS(N2458)&lt;'Sollecitazioni nel paramento'!$G$58,ABS(N2458)*'Sollecitazioni nel paramento'!$G$54,'Sollecitazioni nel paramento'!$G$53)*IF(N2458&lt;0,-1,1)</f>
        <v>-892485.49558937876</v>
      </c>
      <c r="U2458" s="545">
        <f>'Foglio deposito bis'!$F$92*IF(ABS(O2458)&lt;'Sollecitazioni nel paramento'!$G$58,ABS(O2458)*'Sollecitazioni nel paramento'!$G$54,'Sollecitazioni nel paramento'!$G$53)*IF(O2458&lt;0,-1,1)</f>
        <v>1001034.7837007215</v>
      </c>
      <c r="V2458" s="472">
        <f t="shared" si="173"/>
        <v>-21784957.640408851</v>
      </c>
      <c r="W2458" s="551"/>
      <c r="X2458" s="551"/>
    </row>
    <row r="2459" spans="1:24" x14ac:dyDescent="0.25">
      <c r="A2459" s="545">
        <f t="shared" si="172"/>
        <v>22271307.127197042</v>
      </c>
      <c r="B2459" s="3">
        <f t="shared" si="170"/>
        <v>53.899999999999942</v>
      </c>
      <c r="C2459" s="545">
        <f>'Foglio deposito bis'!$E$162/sezione!$B$247*B2459</f>
        <v>581.43169194961604</v>
      </c>
      <c r="D2459" s="603">
        <f>-'Sollecitazioni nel paramento'!$G$47*'Sollecitazioni nel paramento'!$G$41*IF(DATI!$G$211="dx",DATI!$E$61,DATI!$E$64*DATI!$E$63)*1000*C2459^2*sezione!$AD$5*(1-sezione!$AD$6)</f>
        <v>-7521440515.0531292</v>
      </c>
      <c r="E2459" s="545">
        <f>-'Foglio deposito bis'!$F$88*(C2459-sezione!$AL$36)*IF(ABS(K2459)&lt;'Sollecitazioni nel paramento'!$G$58,ABS(K2459)*'Sollecitazioni nel paramento'!$G$54,'Sollecitazioni nel paramento'!$G$53)</f>
        <v>0</v>
      </c>
      <c r="F2459" s="545">
        <f>-'Foglio deposito bis'!$F$89*(C2459-sezione!$AM$36)*IF(ABS(L2459)&lt;'Sollecitazioni nel paramento'!$G$58,ABS(L2459)*'Sollecitazioni nel paramento'!$G$54,'Sollecitazioni nel paramento'!$G$53)</f>
        <v>-80125726.929349393</v>
      </c>
      <c r="G2459" s="545">
        <f>-'Foglio deposito bis'!$F$90*(C2459-sezione!$AN$36)*IF(ABS(M2459)&lt;'Sollecitazioni nel paramento'!$G$58,ABS(M2459)*'Sollecitazioni nel paramento'!$G$54,'Sollecitazioni nel paramento'!$G$53)</f>
        <v>0</v>
      </c>
      <c r="H2459" s="545">
        <f>-'Foglio deposito bis'!$F$91*(C2459-sezione!$AO$36)*IF(ABS(N2459)&lt;'Sollecitazioni nel paramento'!$G$58,ABS(N2459)*'Sollecitazioni nel paramento'!$G$54,'Sollecitazioni nel paramento'!$G$53)</f>
        <v>-376121672.44672352</v>
      </c>
      <c r="I2459" s="472">
        <f>-'Foglio deposito bis'!$F$92*(C2459-sezione!$AP$36)*IF(ABS(O2459)&lt;'Sollecitazioni nel paramento'!$G$58,ABS(O2459)*'Sollecitazioni nel paramento'!$G$54,'Sollecitazioni nel paramento'!$G$53)</f>
        <v>162677353.63506672</v>
      </c>
      <c r="J2459" s="472">
        <f t="shared" si="171"/>
        <v>-7815010560.7941351</v>
      </c>
      <c r="K2459" s="550">
        <f>'Sollecitazioni nel paramento'!$G$60*(sezione!$AL$36-C2459)/C2459</f>
        <v>-3.2592150515040525E-3</v>
      </c>
      <c r="L2459" s="550">
        <f>'Sollecitazioni nel paramento'!$G$60*(sezione!$AM$36-C2459)/C2459</f>
        <v>-3.1388225772560783E-3</v>
      </c>
      <c r="M2459" s="551">
        <f>'Sollecitazioni nel paramento'!$G$60*(sezione!$AN$36-C2459)/C2459</f>
        <v>-3.018430103008105E-3</v>
      </c>
      <c r="N2459" s="551">
        <f>'Sollecitazioni nel paramento'!$G$60*(sezione!$AO$36-C2459)/C2459</f>
        <v>-2.5368602060162095E-3</v>
      </c>
      <c r="O2459" s="551">
        <f>'Sollecitazioni nel paramento'!$G$60*(sezione!$AP$36-C2459)/C2459</f>
        <v>1.0579163502053531E-3</v>
      </c>
      <c r="P2459" s="545">
        <f>-'Sollecitazioni nel paramento'!$G$47*'Sollecitazioni nel paramento'!$G$41*IF(DATI!$G$211="dx",DATI!$E$61,DATI!$E$64*DATI!$E$63)*1000*C2459*sezione!$AD$5</f>
        <v>-22150803.168204516</v>
      </c>
      <c r="Q2459" s="545">
        <f>'Foglio deposito bis'!$F$88*IF(ABS(K2459)&lt;'Sollecitazioni nel paramento'!$G$58,ABS(K2459)*'Sollecitazioni nel paramento'!$G$54,'Sollecitazioni nel paramento'!$G$53)*IF(K2459&lt;0,-1,1)</f>
        <v>0</v>
      </c>
      <c r="R2459" s="545">
        <f>'Foglio deposito bis'!$F$89*IF(ABS(L2459)&lt;'Sollecitazioni nel paramento'!$G$58,ABS(L2459)*'Sollecitazioni nel paramento'!$G$54,'Sollecitazioni nel paramento'!$G$53)*IF(L2459&lt;0,-1,1)</f>
        <v>-153664.85805602249</v>
      </c>
      <c r="S2459" s="545">
        <f>'Foglio deposito bis'!$F$90*IF(ABS(M2459)&lt;'Sollecitazioni nel paramento'!$G$58,ABS(M2459)*'Sollecitazioni nel paramento'!$G$54,'Sollecitazioni nel paramento'!$G$53)*IF(M2459&lt;0,-1,1)</f>
        <v>0</v>
      </c>
      <c r="T2459" s="545">
        <f>'Foglio deposito bis'!$F$91*IF(ABS(N2459)&lt;'Sollecitazioni nel paramento'!$G$58,ABS(N2459)*'Sollecitazioni nel paramento'!$G$54,'Sollecitazioni nel paramento'!$G$53)*IF(N2459&lt;0,-1,1)</f>
        <v>-892485.49558937876</v>
      </c>
      <c r="U2459" s="545">
        <f>'Foglio deposito bis'!$F$92*IF(ABS(O2459)&lt;'Sollecitazioni nel paramento'!$G$58,ABS(O2459)*'Sollecitazioni nel paramento'!$G$54,'Sollecitazioni nel paramento'!$G$53)*IF(O2459&lt;0,-1,1)</f>
        <v>925646.39465287654</v>
      </c>
      <c r="V2459" s="472">
        <f t="shared" si="173"/>
        <v>-22271307.127197042</v>
      </c>
      <c r="W2459" s="551"/>
      <c r="X2459" s="551"/>
    </row>
    <row r="2460" spans="1:24" x14ac:dyDescent="0.25">
      <c r="A2460" s="545">
        <f t="shared" si="172"/>
        <v>22754910.224584583</v>
      </c>
      <c r="B2460" s="3">
        <f t="shared" si="170"/>
        <v>54.899999999999942</v>
      </c>
      <c r="C2460" s="545">
        <f>'Foglio deposito bis'!$E$162/sezione!$B$247*B2460</f>
        <v>592.21892185591685</v>
      </c>
      <c r="D2460" s="603">
        <f>-'Sollecitazioni nel paramento'!$G$47*'Sollecitazioni nel paramento'!$G$41*IF(DATI!$G$211="dx",DATI!$E$61,DATI!$E$64*DATI!$E$63)*1000*C2460^2*sezione!$AD$5*(1-sezione!$AD$6)</f>
        <v>-7803118165.9072075</v>
      </c>
      <c r="E2460" s="545">
        <f>-'Foglio deposito bis'!$F$88*(C2460-sezione!$AL$36)*IF(ABS(K2460)&lt;'Sollecitazioni nel paramento'!$G$58,ABS(K2460)*'Sollecitazioni nel paramento'!$G$54,'Sollecitazioni nel paramento'!$G$53)</f>
        <v>0</v>
      </c>
      <c r="F2460" s="545">
        <f>-'Foglio deposito bis'!$F$89*(C2460-sezione!$AM$36)*IF(ABS(L2460)&lt;'Sollecitazioni nel paramento'!$G$58,ABS(L2460)*'Sollecitazioni nel paramento'!$G$54,'Sollecitazioni nel paramento'!$G$53)</f>
        <v>-81783345.081718788</v>
      </c>
      <c r="G2460" s="545">
        <f>-'Foglio deposito bis'!$F$90*(C2460-sezione!$AN$36)*IF(ABS(M2460)&lt;'Sollecitazioni nel paramento'!$G$58,ABS(M2460)*'Sollecitazioni nel paramento'!$G$54,'Sollecitazioni nel paramento'!$G$53)</f>
        <v>0</v>
      </c>
      <c r="H2460" s="545">
        <f>-'Foglio deposito bis'!$F$91*(C2460-sezione!$AO$36)*IF(ABS(N2460)&lt;'Sollecitazioni nel paramento'!$G$58,ABS(N2460)*'Sollecitazioni nel paramento'!$G$54,'Sollecitazioni nel paramento'!$G$53)</f>
        <v>-385749118.67568493</v>
      </c>
      <c r="I2460" s="472">
        <f>-'Foglio deposito bis'!$F$92*(C2460-sezione!$AP$36)*IF(ABS(O2460)&lt;'Sollecitazioni nel paramento'!$G$58,ABS(O2460)*'Sollecitazioni nel paramento'!$G$54,'Sollecitazioni nel paramento'!$G$53)</f>
        <v>140709360.07998893</v>
      </c>
      <c r="J2460" s="472">
        <f t="shared" si="171"/>
        <v>-8129941269.5846224</v>
      </c>
      <c r="K2460" s="550">
        <f>'Sollecitazioni nel paramento'!$G$60*(sezione!$AL$36-C2460)/C2460</f>
        <v>-3.2636009339903176E-3</v>
      </c>
      <c r="L2460" s="550">
        <f>'Sollecitazioni nel paramento'!$G$60*(sezione!$AM$36-C2460)/C2460</f>
        <v>-3.1454014009854761E-3</v>
      </c>
      <c r="M2460" s="551">
        <f>'Sollecitazioni nel paramento'!$G$60*(sezione!$AN$36-C2460)/C2460</f>
        <v>-3.0272018679806346E-3</v>
      </c>
      <c r="N2460" s="551">
        <f>'Sollecitazioni nel paramento'!$G$60*(sezione!$AO$36-C2460)/C2460</f>
        <v>-2.5544037359612692E-3</v>
      </c>
      <c r="O2460" s="551">
        <f>'Sollecitazioni nel paramento'!$G$60*(sezione!$AP$36-C2460)/C2460</f>
        <v>9.74894194463908E-4</v>
      </c>
      <c r="P2460" s="545">
        <f>-'Sollecitazioni nel paramento'!$G$47*'Sollecitazioni nel paramento'!$G$41*IF(DATI!$G$211="dx",DATI!$E$61,DATI!$E$64*DATI!$E$63)*1000*C2460*sezione!$AD$5</f>
        <v>-22561764.265944861</v>
      </c>
      <c r="Q2460" s="545">
        <f>'Foglio deposito bis'!$F$88*IF(ABS(K2460)&lt;'Sollecitazioni nel paramento'!$G$58,ABS(K2460)*'Sollecitazioni nel paramento'!$G$54,'Sollecitazioni nel paramento'!$G$53)*IF(K2460&lt;0,-1,1)</f>
        <v>0</v>
      </c>
      <c r="R2460" s="545">
        <f>'Foglio deposito bis'!$F$89*IF(ABS(L2460)&lt;'Sollecitazioni nel paramento'!$G$58,ABS(L2460)*'Sollecitazioni nel paramento'!$G$54,'Sollecitazioni nel paramento'!$G$53)*IF(L2460&lt;0,-1,1)</f>
        <v>-153664.85805602249</v>
      </c>
      <c r="S2460" s="545">
        <f>'Foglio deposito bis'!$F$90*IF(ABS(M2460)&lt;'Sollecitazioni nel paramento'!$G$58,ABS(M2460)*'Sollecitazioni nel paramento'!$G$54,'Sollecitazioni nel paramento'!$G$53)*IF(M2460&lt;0,-1,1)</f>
        <v>0</v>
      </c>
      <c r="T2460" s="545">
        <f>'Foglio deposito bis'!$F$91*IF(ABS(N2460)&lt;'Sollecitazioni nel paramento'!$G$58,ABS(N2460)*'Sollecitazioni nel paramento'!$G$54,'Sollecitazioni nel paramento'!$G$53)*IF(N2460&lt;0,-1,1)</f>
        <v>-892485.49558937876</v>
      </c>
      <c r="U2460" s="545">
        <f>'Foglio deposito bis'!$F$92*IF(ABS(O2460)&lt;'Sollecitazioni nel paramento'!$G$58,ABS(O2460)*'Sollecitazioni nel paramento'!$G$54,'Sollecitazioni nel paramento'!$G$53)*IF(O2460&lt;0,-1,1)</f>
        <v>853004.39500568225</v>
      </c>
      <c r="V2460" s="472">
        <f t="shared" si="173"/>
        <v>-22754910.224584583</v>
      </c>
      <c r="W2460" s="551"/>
      <c r="X2460" s="551"/>
    </row>
    <row r="2461" spans="1:24" x14ac:dyDescent="0.25">
      <c r="A2461" s="545">
        <f t="shared" si="172"/>
        <v>23235914.323773652</v>
      </c>
      <c r="B2461" s="3">
        <f t="shared" si="170"/>
        <v>55.899999999999942</v>
      </c>
      <c r="C2461" s="545">
        <f>'Foglio deposito bis'!$E$162/sezione!$B$247*B2461</f>
        <v>603.00615176221777</v>
      </c>
      <c r="D2461" s="603">
        <f>-'Sollecitazioni nel paramento'!$G$47*'Sollecitazioni nel paramento'!$G$41*IF(DATI!$G$211="dx",DATI!$E$61,DATI!$E$64*DATI!$E$63)*1000*C2461^2*sezione!$AD$5*(1-sezione!$AD$6)</f>
        <v>-8089973714.7549305</v>
      </c>
      <c r="E2461" s="545">
        <f>-'Foglio deposito bis'!$F$88*(C2461-sezione!$AL$36)*IF(ABS(K2461)&lt;'Sollecitazioni nel paramento'!$G$58,ABS(K2461)*'Sollecitazioni nel paramento'!$G$54,'Sollecitazioni nel paramento'!$G$53)</f>
        <v>0</v>
      </c>
      <c r="F2461" s="545">
        <f>-'Foglio deposito bis'!$F$89*(C2461-sezione!$AM$36)*IF(ABS(L2461)&lt;'Sollecitazioni nel paramento'!$G$58,ABS(L2461)*'Sollecitazioni nel paramento'!$G$54,'Sollecitazioni nel paramento'!$G$53)</f>
        <v>-83440963.234088197</v>
      </c>
      <c r="G2461" s="545">
        <f>-'Foglio deposito bis'!$F$90*(C2461-sezione!$AN$36)*IF(ABS(M2461)&lt;'Sollecitazioni nel paramento'!$G$58,ABS(M2461)*'Sollecitazioni nel paramento'!$G$54,'Sollecitazioni nel paramento'!$G$53)</f>
        <v>0</v>
      </c>
      <c r="H2461" s="545">
        <f>-'Foglio deposito bis'!$F$91*(C2461-sezione!$AO$36)*IF(ABS(N2461)&lt;'Sollecitazioni nel paramento'!$G$58,ABS(N2461)*'Sollecitazioni nel paramento'!$G$54,'Sollecitazioni nel paramento'!$G$53)</f>
        <v>-395376564.90464652</v>
      </c>
      <c r="I2461" s="472">
        <f>-'Foglio deposito bis'!$F$92*(C2461-sezione!$AP$36)*IF(ABS(O2461)&lt;'Sollecitazioni nel paramento'!$G$58,ABS(O2461)*'Sollecitazioni nel paramento'!$G$54,'Sollecitazioni nel paramento'!$G$53)</f>
        <v>120709266.33874056</v>
      </c>
      <c r="J2461" s="472">
        <f t="shared" si="171"/>
        <v>-8448081976.554925</v>
      </c>
      <c r="K2461" s="550">
        <f>'Sollecitazioni nel paramento'!$G$60*(sezione!$AL$36-C2461)/C2461</f>
        <v>-3.2678298976040864E-3</v>
      </c>
      <c r="L2461" s="550">
        <f>'Sollecitazioni nel paramento'!$G$60*(sezione!$AM$36-C2461)/C2461</f>
        <v>-3.1517448464061294E-3</v>
      </c>
      <c r="M2461" s="551">
        <f>'Sollecitazioni nel paramento'!$G$60*(sezione!$AN$36-C2461)/C2461</f>
        <v>-3.0356597952081728E-3</v>
      </c>
      <c r="N2461" s="551">
        <f>'Sollecitazioni nel paramento'!$G$60*(sezione!$AO$36-C2461)/C2461</f>
        <v>-2.571319590416345E-3</v>
      </c>
      <c r="O2461" s="551">
        <f>'Sollecitazioni nel paramento'!$G$60*(sezione!$AP$36-C2461)/C2461</f>
        <v>8.9484241996544759E-4</v>
      </c>
      <c r="P2461" s="545">
        <f>-'Sollecitazioni nel paramento'!$G$47*'Sollecitazioni nel paramento'!$G$41*IF(DATI!$G$211="dx",DATI!$E$61,DATI!$E$64*DATI!$E$63)*1000*C2461*sezione!$AD$5</f>
        <v>-22972725.363685206</v>
      </c>
      <c r="Q2461" s="545">
        <f>'Foglio deposito bis'!$F$88*IF(ABS(K2461)&lt;'Sollecitazioni nel paramento'!$G$58,ABS(K2461)*'Sollecitazioni nel paramento'!$G$54,'Sollecitazioni nel paramento'!$G$53)*IF(K2461&lt;0,-1,1)</f>
        <v>0</v>
      </c>
      <c r="R2461" s="545">
        <f>'Foglio deposito bis'!$F$89*IF(ABS(L2461)&lt;'Sollecitazioni nel paramento'!$G$58,ABS(L2461)*'Sollecitazioni nel paramento'!$G$54,'Sollecitazioni nel paramento'!$G$53)*IF(L2461&lt;0,-1,1)</f>
        <v>-153664.85805602249</v>
      </c>
      <c r="S2461" s="545">
        <f>'Foglio deposito bis'!$F$90*IF(ABS(M2461)&lt;'Sollecitazioni nel paramento'!$G$58,ABS(M2461)*'Sollecitazioni nel paramento'!$G$54,'Sollecitazioni nel paramento'!$G$53)*IF(M2461&lt;0,-1,1)</f>
        <v>0</v>
      </c>
      <c r="T2461" s="545">
        <f>'Foglio deposito bis'!$F$91*IF(ABS(N2461)&lt;'Sollecitazioni nel paramento'!$G$58,ABS(N2461)*'Sollecitazioni nel paramento'!$G$54,'Sollecitazioni nel paramento'!$G$53)*IF(N2461&lt;0,-1,1)</f>
        <v>-892485.49558937876</v>
      </c>
      <c r="U2461" s="545">
        <f>'Foglio deposito bis'!$F$92*IF(ABS(O2461)&lt;'Sollecitazioni nel paramento'!$G$58,ABS(O2461)*'Sollecitazioni nel paramento'!$G$54,'Sollecitazioni nel paramento'!$G$53)*IF(O2461&lt;0,-1,1)</f>
        <v>782961.39355695574</v>
      </c>
      <c r="V2461" s="472">
        <f t="shared" si="173"/>
        <v>-23235914.323773652</v>
      </c>
      <c r="W2461" s="551"/>
      <c r="X2461" s="551"/>
    </row>
    <row r="2462" spans="1:24" x14ac:dyDescent="0.25">
      <c r="A2462" s="545">
        <f t="shared" si="172"/>
        <v>23714456.454546243</v>
      </c>
      <c r="B2462" s="3">
        <f t="shared" si="170"/>
        <v>56.899999999999942</v>
      </c>
      <c r="C2462" s="545">
        <f>'Foglio deposito bis'!$E$162/sezione!$B$247*B2462</f>
        <v>613.79338166851858</v>
      </c>
      <c r="D2462" s="603">
        <f>-'Sollecitazioni nel paramento'!$G$47*'Sollecitazioni nel paramento'!$G$41*IF(DATI!$G$211="dx",DATI!$E$61,DATI!$E$64*DATI!$E$63)*1000*C2462^2*sezione!$AD$5*(1-sezione!$AD$6)</f>
        <v>-8382007161.5962896</v>
      </c>
      <c r="E2462" s="545">
        <f>-'Foglio deposito bis'!$F$88*(C2462-sezione!$AL$36)*IF(ABS(K2462)&lt;'Sollecitazioni nel paramento'!$G$58,ABS(K2462)*'Sollecitazioni nel paramento'!$G$54,'Sollecitazioni nel paramento'!$G$53)</f>
        <v>0</v>
      </c>
      <c r="F2462" s="545">
        <f>-'Foglio deposito bis'!$F$89*(C2462-sezione!$AM$36)*IF(ABS(L2462)&lt;'Sollecitazioni nel paramento'!$G$58,ABS(L2462)*'Sollecitazioni nel paramento'!$G$54,'Sollecitazioni nel paramento'!$G$53)</f>
        <v>-85098581.386457592</v>
      </c>
      <c r="G2462" s="545">
        <f>-'Foglio deposito bis'!$F$90*(C2462-sezione!$AN$36)*IF(ABS(M2462)&lt;'Sollecitazioni nel paramento'!$G$58,ABS(M2462)*'Sollecitazioni nel paramento'!$G$54,'Sollecitazioni nel paramento'!$G$53)</f>
        <v>0</v>
      </c>
      <c r="H2462" s="545">
        <f>-'Foglio deposito bis'!$F$91*(C2462-sezione!$AO$36)*IF(ABS(N2462)&lt;'Sollecitazioni nel paramento'!$G$58,ABS(N2462)*'Sollecitazioni nel paramento'!$G$54,'Sollecitazioni nel paramento'!$G$53)</f>
        <v>-405004011.13360792</v>
      </c>
      <c r="I2462" s="472">
        <f>-'Foglio deposito bis'!$F$92*(C2462-sezione!$AP$36)*IF(ABS(O2462)&lt;'Sollecitazioni nel paramento'!$G$58,ABS(O2462)*'Sollecitazioni nel paramento'!$G$54,'Sollecitazioni nel paramento'!$G$53)</f>
        <v>102573316.70936267</v>
      </c>
      <c r="J2462" s="472">
        <f t="shared" si="171"/>
        <v>-8769536437.4069939</v>
      </c>
      <c r="K2462" s="550">
        <f>'Sollecitazioni nel paramento'!$G$60*(sezione!$AL$36-C2462)/C2462</f>
        <v>-3.2719102157481271E-3</v>
      </c>
      <c r="L2462" s="550">
        <f>'Sollecitazioni nel paramento'!$G$60*(sezione!$AM$36-C2462)/C2462</f>
        <v>-3.1578653236221904E-3</v>
      </c>
      <c r="M2462" s="551">
        <f>'Sollecitazioni nel paramento'!$G$60*(sezione!$AN$36-C2462)/C2462</f>
        <v>-3.0438204314962537E-3</v>
      </c>
      <c r="N2462" s="551">
        <f>'Sollecitazioni nel paramento'!$G$60*(sezione!$AO$36-C2462)/C2462</f>
        <v>-2.5876408629925077E-3</v>
      </c>
      <c r="O2462" s="551">
        <f>'Sollecitazioni nel paramento'!$G$60*(sezione!$AP$36-C2462)/C2462</f>
        <v>8.1760441609962284E-4</v>
      </c>
      <c r="P2462" s="545">
        <f>-'Sollecitazioni nel paramento'!$G$47*'Sollecitazioni nel paramento'!$G$41*IF(DATI!$G$211="dx",DATI!$E$61,DATI!$E$64*DATI!$E$63)*1000*C2462*sezione!$AD$5</f>
        <v>-23383686.461425547</v>
      </c>
      <c r="Q2462" s="545">
        <f>'Foglio deposito bis'!$F$88*IF(ABS(K2462)&lt;'Sollecitazioni nel paramento'!$G$58,ABS(K2462)*'Sollecitazioni nel paramento'!$G$54,'Sollecitazioni nel paramento'!$G$53)*IF(K2462&lt;0,-1,1)</f>
        <v>0</v>
      </c>
      <c r="R2462" s="545">
        <f>'Foglio deposito bis'!$F$89*IF(ABS(L2462)&lt;'Sollecitazioni nel paramento'!$G$58,ABS(L2462)*'Sollecitazioni nel paramento'!$G$54,'Sollecitazioni nel paramento'!$G$53)*IF(L2462&lt;0,-1,1)</f>
        <v>-153664.85805602249</v>
      </c>
      <c r="S2462" s="545">
        <f>'Foglio deposito bis'!$F$90*IF(ABS(M2462)&lt;'Sollecitazioni nel paramento'!$G$58,ABS(M2462)*'Sollecitazioni nel paramento'!$G$54,'Sollecitazioni nel paramento'!$G$53)*IF(M2462&lt;0,-1,1)</f>
        <v>0</v>
      </c>
      <c r="T2462" s="545">
        <f>'Foglio deposito bis'!$F$91*IF(ABS(N2462)&lt;'Sollecitazioni nel paramento'!$G$58,ABS(N2462)*'Sollecitazioni nel paramento'!$G$54,'Sollecitazioni nel paramento'!$G$53)*IF(N2462&lt;0,-1,1)</f>
        <v>-892485.49558937876</v>
      </c>
      <c r="U2462" s="545">
        <f>'Foglio deposito bis'!$F$92*IF(ABS(O2462)&lt;'Sollecitazioni nel paramento'!$G$58,ABS(O2462)*'Sollecitazioni nel paramento'!$G$54,'Sollecitazioni nel paramento'!$G$53)*IF(O2462&lt;0,-1,1)</f>
        <v>715380.36052470549</v>
      </c>
      <c r="V2462" s="472">
        <f t="shared" si="173"/>
        <v>-23714456.454546243</v>
      </c>
      <c r="W2462" s="551"/>
      <c r="X2462" s="551"/>
    </row>
    <row r="2463" spans="1:24" x14ac:dyDescent="0.25">
      <c r="A2463" s="545">
        <f t="shared" si="172"/>
        <v>24190664.180032756</v>
      </c>
      <c r="B2463" s="3">
        <f t="shared" si="170"/>
        <v>57.899999999999942</v>
      </c>
      <c r="C2463" s="545">
        <f>'Foglio deposito bis'!$E$162/sezione!$B$247*B2463</f>
        <v>624.5806115748195</v>
      </c>
      <c r="D2463" s="603">
        <f>-'Sollecitazioni nel paramento'!$G$47*'Sollecitazioni nel paramento'!$G$41*IF(DATI!$G$211="dx",DATI!$E$61,DATI!$E$64*DATI!$E$63)*1000*C2463^2*sezione!$AD$5*(1-sezione!$AD$6)</f>
        <v>-8679218506.4312935</v>
      </c>
      <c r="E2463" s="545">
        <f>-'Foglio deposito bis'!$F$88*(C2463-sezione!$AL$36)*IF(ABS(K2463)&lt;'Sollecitazioni nel paramento'!$G$58,ABS(K2463)*'Sollecitazioni nel paramento'!$G$54,'Sollecitazioni nel paramento'!$G$53)</f>
        <v>0</v>
      </c>
      <c r="F2463" s="545">
        <f>-'Foglio deposito bis'!$F$89*(C2463-sezione!$AM$36)*IF(ABS(L2463)&lt;'Sollecitazioni nel paramento'!$G$58,ABS(L2463)*'Sollecitazioni nel paramento'!$G$54,'Sollecitazioni nel paramento'!$G$53)</f>
        <v>-86756199.538827002</v>
      </c>
      <c r="G2463" s="545">
        <f>-'Foglio deposito bis'!$F$90*(C2463-sezione!$AN$36)*IF(ABS(M2463)&lt;'Sollecitazioni nel paramento'!$G$58,ABS(M2463)*'Sollecitazioni nel paramento'!$G$54,'Sollecitazioni nel paramento'!$G$53)</f>
        <v>0</v>
      </c>
      <c r="H2463" s="545">
        <f>-'Foglio deposito bis'!$F$91*(C2463-sezione!$AO$36)*IF(ABS(N2463)&lt;'Sollecitazioni nel paramento'!$G$58,ABS(N2463)*'Sollecitazioni nel paramento'!$G$54,'Sollecitazioni nel paramento'!$G$53)</f>
        <v>-414631457.36256945</v>
      </c>
      <c r="I2463" s="472">
        <f>-'Foglio deposito bis'!$F$92*(C2463-sezione!$AP$36)*IF(ABS(O2463)&lt;'Sollecitazioni nel paramento'!$G$58,ABS(O2463)*'Sollecitazioni nel paramento'!$G$54,'Sollecitazioni nel paramento'!$G$53)</f>
        <v>86204923.414037734</v>
      </c>
      <c r="J2463" s="472">
        <f t="shared" si="171"/>
        <v>-9094401239.9186535</v>
      </c>
      <c r="K2463" s="550">
        <f>'Sollecitazioni nel paramento'!$G$60*(sezione!$AL$36-C2463)/C2463</f>
        <v>-3.275849590260249E-3</v>
      </c>
      <c r="L2463" s="550">
        <f>'Sollecitazioni nel paramento'!$G$60*(sezione!$AM$36-C2463)/C2463</f>
        <v>-3.163774385390374E-3</v>
      </c>
      <c r="M2463" s="551">
        <f>'Sollecitazioni nel paramento'!$G$60*(sezione!$AN$36-C2463)/C2463</f>
        <v>-3.0516991805204985E-3</v>
      </c>
      <c r="N2463" s="551">
        <f>'Sollecitazioni nel paramento'!$G$60*(sezione!$AO$36-C2463)/C2463</f>
        <v>-2.6033983610409964E-3</v>
      </c>
      <c r="O2463" s="551">
        <f>'Sollecitazioni nel paramento'!$G$60*(sezione!$AP$36-C2463)/C2463</f>
        <v>7.4303439164194322E-4</v>
      </c>
      <c r="P2463" s="545">
        <f>-'Sollecitazioni nel paramento'!$G$47*'Sollecitazioni nel paramento'!$G$41*IF(DATI!$G$211="dx",DATI!$E$61,DATI!$E$64*DATI!$E$63)*1000*C2463*sezione!$AD$5</f>
        <v>-23794647.559165895</v>
      </c>
      <c r="Q2463" s="545">
        <f>'Foglio deposito bis'!$F$88*IF(ABS(K2463)&lt;'Sollecitazioni nel paramento'!$G$58,ABS(K2463)*'Sollecitazioni nel paramento'!$G$54,'Sollecitazioni nel paramento'!$G$53)*IF(K2463&lt;0,-1,1)</f>
        <v>0</v>
      </c>
      <c r="R2463" s="545">
        <f>'Foglio deposito bis'!$F$89*IF(ABS(L2463)&lt;'Sollecitazioni nel paramento'!$G$58,ABS(L2463)*'Sollecitazioni nel paramento'!$G$54,'Sollecitazioni nel paramento'!$G$53)*IF(L2463&lt;0,-1,1)</f>
        <v>-153664.85805602249</v>
      </c>
      <c r="S2463" s="545">
        <f>'Foglio deposito bis'!$F$90*IF(ABS(M2463)&lt;'Sollecitazioni nel paramento'!$G$58,ABS(M2463)*'Sollecitazioni nel paramento'!$G$54,'Sollecitazioni nel paramento'!$G$53)*IF(M2463&lt;0,-1,1)</f>
        <v>0</v>
      </c>
      <c r="T2463" s="545">
        <f>'Foglio deposito bis'!$F$91*IF(ABS(N2463)&lt;'Sollecitazioni nel paramento'!$G$58,ABS(N2463)*'Sollecitazioni nel paramento'!$G$54,'Sollecitazioni nel paramento'!$G$53)*IF(N2463&lt;0,-1,1)</f>
        <v>-892485.49558937876</v>
      </c>
      <c r="U2463" s="545">
        <f>'Foglio deposito bis'!$F$92*IF(ABS(O2463)&lt;'Sollecitazioni nel paramento'!$G$58,ABS(O2463)*'Sollecitazioni nel paramento'!$G$54,'Sollecitazioni nel paramento'!$G$53)*IF(O2463&lt;0,-1,1)</f>
        <v>650133.73277854268</v>
      </c>
      <c r="V2463" s="472">
        <f t="shared" si="173"/>
        <v>-24190664.180032756</v>
      </c>
      <c r="W2463" s="551"/>
      <c r="X2463" s="551"/>
    </row>
    <row r="2464" spans="1:24" x14ac:dyDescent="0.25">
      <c r="A2464" s="545">
        <f t="shared" si="172"/>
        <v>24664656.40033263</v>
      </c>
      <c r="B2464" s="3">
        <f t="shared" si="170"/>
        <v>58.899999999999942</v>
      </c>
      <c r="C2464" s="545">
        <f>'Foglio deposito bis'!$E$162/sezione!$B$247*B2464</f>
        <v>635.36784148112031</v>
      </c>
      <c r="D2464" s="603">
        <f>-'Sollecitazioni nel paramento'!$G$47*'Sollecitazioni nel paramento'!$G$41*IF(DATI!$G$211="dx",DATI!$E$61,DATI!$E$64*DATI!$E$63)*1000*C2464^2*sezione!$AD$5*(1-sezione!$AD$6)</f>
        <v>-8981607749.2599392</v>
      </c>
      <c r="E2464" s="545">
        <f>-'Foglio deposito bis'!$F$88*(C2464-sezione!$AL$36)*IF(ABS(K2464)&lt;'Sollecitazioni nel paramento'!$G$58,ABS(K2464)*'Sollecitazioni nel paramento'!$G$54,'Sollecitazioni nel paramento'!$G$53)</f>
        <v>0</v>
      </c>
      <c r="F2464" s="545">
        <f>-'Foglio deposito bis'!$F$89*(C2464-sezione!$AM$36)*IF(ABS(L2464)&lt;'Sollecitazioni nel paramento'!$G$58,ABS(L2464)*'Sollecitazioni nel paramento'!$G$54,'Sollecitazioni nel paramento'!$G$53)</f>
        <v>-88413817.691196412</v>
      </c>
      <c r="G2464" s="545">
        <f>-'Foglio deposito bis'!$F$90*(C2464-sezione!$AN$36)*IF(ABS(M2464)&lt;'Sollecitazioni nel paramento'!$G$58,ABS(M2464)*'Sollecitazioni nel paramento'!$G$54,'Sollecitazioni nel paramento'!$G$53)</f>
        <v>0</v>
      </c>
      <c r="H2464" s="545">
        <f>-'Foglio deposito bis'!$F$91*(C2464-sezione!$AO$36)*IF(ABS(N2464)&lt;'Sollecitazioni nel paramento'!$G$58,ABS(N2464)*'Sollecitazioni nel paramento'!$G$54,'Sollecitazioni nel paramento'!$G$53)</f>
        <v>-424258903.59153092</v>
      </c>
      <c r="I2464" s="472">
        <f>-'Foglio deposito bis'!$F$92*(C2464-sezione!$AP$36)*IF(ABS(O2464)&lt;'Sollecitazioni nel paramento'!$G$58,ABS(O2464)*'Sollecitazioni nel paramento'!$G$54,'Sollecitazioni nel paramento'!$G$53)</f>
        <v>71514058.116566449</v>
      </c>
      <c r="J2464" s="472">
        <f t="shared" si="171"/>
        <v>-9422766412.4261017</v>
      </c>
      <c r="K2464" s="550">
        <f>'Sollecitazioni nel paramento'!$G$60*(sezione!$AL$36-C2464)/C2464</f>
        <v>-3.2796551999332503E-3</v>
      </c>
      <c r="L2464" s="550">
        <f>'Sollecitazioni nel paramento'!$G$60*(sezione!$AM$36-C2464)/C2464</f>
        <v>-3.169482799899875E-3</v>
      </c>
      <c r="M2464" s="551">
        <f>'Sollecitazioni nel paramento'!$G$60*(sezione!$AN$36-C2464)/C2464</f>
        <v>-3.0593103998665001E-3</v>
      </c>
      <c r="N2464" s="551">
        <f>'Sollecitazioni nel paramento'!$G$60*(sezione!$AO$36-C2464)/C2464</f>
        <v>-2.6186207997329998E-3</v>
      </c>
      <c r="O2464" s="551">
        <f>'Sollecitazioni nel paramento'!$G$60*(sezione!$AP$36-C2464)/C2464</f>
        <v>6.7099645629997511E-4</v>
      </c>
      <c r="P2464" s="545">
        <f>-'Sollecitazioni nel paramento'!$G$47*'Sollecitazioni nel paramento'!$G$41*IF(DATI!$G$211="dx",DATI!$E$61,DATI!$E$64*DATI!$E$63)*1000*C2464*sezione!$AD$5</f>
        <v>-24205608.656906236</v>
      </c>
      <c r="Q2464" s="545">
        <f>'Foglio deposito bis'!$F$88*IF(ABS(K2464)&lt;'Sollecitazioni nel paramento'!$G$58,ABS(K2464)*'Sollecitazioni nel paramento'!$G$54,'Sollecitazioni nel paramento'!$G$53)*IF(K2464&lt;0,-1,1)</f>
        <v>0</v>
      </c>
      <c r="R2464" s="545">
        <f>'Foglio deposito bis'!$F$89*IF(ABS(L2464)&lt;'Sollecitazioni nel paramento'!$G$58,ABS(L2464)*'Sollecitazioni nel paramento'!$G$54,'Sollecitazioni nel paramento'!$G$53)*IF(L2464&lt;0,-1,1)</f>
        <v>-153664.85805602249</v>
      </c>
      <c r="S2464" s="545">
        <f>'Foglio deposito bis'!$F$90*IF(ABS(M2464)&lt;'Sollecitazioni nel paramento'!$G$58,ABS(M2464)*'Sollecitazioni nel paramento'!$G$54,'Sollecitazioni nel paramento'!$G$53)*IF(M2464&lt;0,-1,1)</f>
        <v>0</v>
      </c>
      <c r="T2464" s="545">
        <f>'Foglio deposito bis'!$F$91*IF(ABS(N2464)&lt;'Sollecitazioni nel paramento'!$G$58,ABS(N2464)*'Sollecitazioni nel paramento'!$G$54,'Sollecitazioni nel paramento'!$G$53)*IF(N2464&lt;0,-1,1)</f>
        <v>-892485.49558937876</v>
      </c>
      <c r="U2464" s="545">
        <f>'Foglio deposito bis'!$F$92*IF(ABS(O2464)&lt;'Sollecitazioni nel paramento'!$G$58,ABS(O2464)*'Sollecitazioni nel paramento'!$G$54,'Sollecitazioni nel paramento'!$G$53)*IF(O2464&lt;0,-1,1)</f>
        <v>587102.61021900736</v>
      </c>
      <c r="V2464" s="472">
        <f t="shared" si="173"/>
        <v>-24664656.40033263</v>
      </c>
      <c r="W2464" s="551"/>
      <c r="X2464" s="551"/>
    </row>
    <row r="2465" spans="1:24" x14ac:dyDescent="0.25">
      <c r="A2465" s="545">
        <f t="shared" si="172"/>
        <v>25136544.075638872</v>
      </c>
      <c r="B2465" s="3">
        <f t="shared" si="170"/>
        <v>59.899999999999942</v>
      </c>
      <c r="C2465" s="545">
        <f>'Foglio deposito bis'!$E$162/sezione!$B$247*B2465</f>
        <v>646.15507138742123</v>
      </c>
      <c r="D2465" s="603">
        <f>-'Sollecitazioni nel paramento'!$G$47*'Sollecitazioni nel paramento'!$G$41*IF(DATI!$G$211="dx",DATI!$E$61,DATI!$E$64*DATI!$E$63)*1000*C2465^2*sezione!$AD$5*(1-sezione!$AD$6)</f>
        <v>-9289174890.0822258</v>
      </c>
      <c r="E2465" s="545">
        <f>-'Foglio deposito bis'!$F$88*(C2465-sezione!$AL$36)*IF(ABS(K2465)&lt;'Sollecitazioni nel paramento'!$G$58,ABS(K2465)*'Sollecitazioni nel paramento'!$G$54,'Sollecitazioni nel paramento'!$G$53)</f>
        <v>0</v>
      </c>
      <c r="F2465" s="545">
        <f>-'Foglio deposito bis'!$F$89*(C2465-sezione!$AM$36)*IF(ABS(L2465)&lt;'Sollecitazioni nel paramento'!$G$58,ABS(L2465)*'Sollecitazioni nel paramento'!$G$54,'Sollecitazioni nel paramento'!$G$53)</f>
        <v>-90071435.843565822</v>
      </c>
      <c r="G2465" s="545">
        <f>-'Foglio deposito bis'!$F$90*(C2465-sezione!$AN$36)*IF(ABS(M2465)&lt;'Sollecitazioni nel paramento'!$G$58,ABS(M2465)*'Sollecitazioni nel paramento'!$G$54,'Sollecitazioni nel paramento'!$G$53)</f>
        <v>0</v>
      </c>
      <c r="H2465" s="545">
        <f>-'Foglio deposito bis'!$F$91*(C2465-sezione!$AO$36)*IF(ABS(N2465)&lt;'Sollecitazioni nel paramento'!$G$58,ABS(N2465)*'Sollecitazioni nel paramento'!$G$54,'Sollecitazioni nel paramento'!$G$53)</f>
        <v>-433886349.82049245</v>
      </c>
      <c r="I2465" s="472">
        <f>-'Foglio deposito bis'!$F$92*(C2465-sezione!$AP$36)*IF(ABS(O2465)&lt;'Sollecitazioni nel paramento'!$G$58,ABS(O2465)*'Sollecitazioni nel paramento'!$G$54,'Sollecitazioni nel paramento'!$G$53)</f>
        <v>58416704.38967704</v>
      </c>
      <c r="J2465" s="472">
        <f t="shared" si="171"/>
        <v>-9754715971.3566055</v>
      </c>
      <c r="K2465" s="550">
        <f>'Sollecitazioni nel paramento'!$G$60*(sezione!$AL$36-C2465)/C2465</f>
        <v>-3.283333744174765E-3</v>
      </c>
      <c r="L2465" s="550">
        <f>'Sollecitazioni nel paramento'!$G$60*(sezione!$AM$36-C2465)/C2465</f>
        <v>-3.1750006162621471E-3</v>
      </c>
      <c r="M2465" s="551">
        <f>'Sollecitazioni nel paramento'!$G$60*(sezione!$AN$36-C2465)/C2465</f>
        <v>-3.06666748834953E-3</v>
      </c>
      <c r="N2465" s="551">
        <f>'Sollecitazioni nel paramento'!$G$60*(sezione!$AO$36-C2465)/C2465</f>
        <v>-2.6333349766990599E-3</v>
      </c>
      <c r="O2465" s="551">
        <f>'Sollecitazioni nel paramento'!$G$60*(sezione!$AP$36-C2465)/C2465</f>
        <v>6.0136379425823876E-4</v>
      </c>
      <c r="P2465" s="545">
        <f>-'Sollecitazioni nel paramento'!$G$47*'Sollecitazioni nel paramento'!$G$41*IF(DATI!$G$211="dx",DATI!$E$61,DATI!$E$64*DATI!$E$63)*1000*C2465*sezione!$AD$5</f>
        <v>-24616569.754646581</v>
      </c>
      <c r="Q2465" s="545">
        <f>'Foglio deposito bis'!$F$88*IF(ABS(K2465)&lt;'Sollecitazioni nel paramento'!$G$58,ABS(K2465)*'Sollecitazioni nel paramento'!$G$54,'Sollecitazioni nel paramento'!$G$53)*IF(K2465&lt;0,-1,1)</f>
        <v>0</v>
      </c>
      <c r="R2465" s="545">
        <f>'Foglio deposito bis'!$F$89*IF(ABS(L2465)&lt;'Sollecitazioni nel paramento'!$G$58,ABS(L2465)*'Sollecitazioni nel paramento'!$G$54,'Sollecitazioni nel paramento'!$G$53)*IF(L2465&lt;0,-1,1)</f>
        <v>-153664.85805602249</v>
      </c>
      <c r="S2465" s="545">
        <f>'Foglio deposito bis'!$F$90*IF(ABS(M2465)&lt;'Sollecitazioni nel paramento'!$G$58,ABS(M2465)*'Sollecitazioni nel paramento'!$G$54,'Sollecitazioni nel paramento'!$G$53)*IF(M2465&lt;0,-1,1)</f>
        <v>0</v>
      </c>
      <c r="T2465" s="545">
        <f>'Foglio deposito bis'!$F$91*IF(ABS(N2465)&lt;'Sollecitazioni nel paramento'!$G$58,ABS(N2465)*'Sollecitazioni nel paramento'!$G$54,'Sollecitazioni nel paramento'!$G$53)*IF(N2465&lt;0,-1,1)</f>
        <v>-892485.49558937876</v>
      </c>
      <c r="U2465" s="545">
        <f>'Foglio deposito bis'!$F$92*IF(ABS(O2465)&lt;'Sollecitazioni nel paramento'!$G$58,ABS(O2465)*'Sollecitazioni nel paramento'!$G$54,'Sollecitazioni nel paramento'!$G$53)*IF(O2465&lt;0,-1,1)</f>
        <v>526176.03265311196</v>
      </c>
      <c r="V2465" s="472">
        <f t="shared" si="173"/>
        <v>-25136544.075638872</v>
      </c>
      <c r="W2465" s="551"/>
      <c r="X2465" s="551"/>
    </row>
    <row r="2466" spans="1:24" x14ac:dyDescent="0.25">
      <c r="A2466" s="545">
        <f t="shared" si="172"/>
        <v>25606430.878118645</v>
      </c>
      <c r="B2466" s="3">
        <f t="shared" si="170"/>
        <v>60.899999999999942</v>
      </c>
      <c r="C2466" s="545">
        <f>'Foglio deposito bis'!$E$162/sezione!$B$247*B2466</f>
        <v>656.94230129372204</v>
      </c>
      <c r="D2466" s="603">
        <f>-'Sollecitazioni nel paramento'!$G$47*'Sollecitazioni nel paramento'!$G$41*IF(DATI!$G$211="dx",DATI!$E$61,DATI!$E$64*DATI!$E$63)*1000*C2466^2*sezione!$AD$5*(1-sezione!$AD$6)</f>
        <v>-9601919928.8981514</v>
      </c>
      <c r="E2466" s="545">
        <f>-'Foglio deposito bis'!$F$88*(C2466-sezione!$AL$36)*IF(ABS(K2466)&lt;'Sollecitazioni nel paramento'!$G$58,ABS(K2466)*'Sollecitazioni nel paramento'!$G$54,'Sollecitazioni nel paramento'!$G$53)</f>
        <v>0</v>
      </c>
      <c r="F2466" s="545">
        <f>-'Foglio deposito bis'!$F$89*(C2466-sezione!$AM$36)*IF(ABS(L2466)&lt;'Sollecitazioni nel paramento'!$G$58,ABS(L2466)*'Sollecitazioni nel paramento'!$G$54,'Sollecitazioni nel paramento'!$G$53)</f>
        <v>-91729053.995935217</v>
      </c>
      <c r="G2466" s="545">
        <f>-'Foglio deposito bis'!$F$90*(C2466-sezione!$AN$36)*IF(ABS(M2466)&lt;'Sollecitazioni nel paramento'!$G$58,ABS(M2466)*'Sollecitazioni nel paramento'!$G$54,'Sollecitazioni nel paramento'!$G$53)</f>
        <v>0</v>
      </c>
      <c r="H2466" s="545">
        <f>-'Foglio deposito bis'!$F$91*(C2466-sezione!$AO$36)*IF(ABS(N2466)&lt;'Sollecitazioni nel paramento'!$G$58,ABS(N2466)*'Sollecitazioni nel paramento'!$G$54,'Sollecitazioni nel paramento'!$G$53)</f>
        <v>-443513796.04945391</v>
      </c>
      <c r="I2466" s="472">
        <f>-'Foglio deposito bis'!$F$92*(C2466-sezione!$AP$36)*IF(ABS(O2466)&lt;'Sollecitazioni nel paramento'!$G$58,ABS(O2466)*'Sollecitazioni nel paramento'!$G$54,'Sollecitazioni nel paramento'!$G$53)</f>
        <v>46834364.126444586</v>
      </c>
      <c r="J2466" s="472">
        <f t="shared" si="171"/>
        <v>-10090328414.817097</v>
      </c>
      <c r="K2466" s="550">
        <f>'Sollecitazioni nel paramento'!$G$60*(sezione!$AL$36-C2466)/C2466</f>
        <v>-3.2868914823656553E-3</v>
      </c>
      <c r="L2466" s="550">
        <f>'Sollecitazioni nel paramento'!$G$60*(sezione!$AM$36-C2466)/C2466</f>
        <v>-3.1803372235484836E-3</v>
      </c>
      <c r="M2466" s="551">
        <f>'Sollecitazioni nel paramento'!$G$60*(sezione!$AN$36-C2466)/C2466</f>
        <v>-3.0737829647313111E-3</v>
      </c>
      <c r="N2466" s="551">
        <f>'Sollecitazioni nel paramento'!$G$60*(sezione!$AO$36-C2466)/C2466</f>
        <v>-2.647565929462622E-3</v>
      </c>
      <c r="O2466" s="551">
        <f>'Sollecitazioni nel paramento'!$G$60*(sezione!$AP$36-C2466)/C2466</f>
        <v>5.3401791914726646E-4</v>
      </c>
      <c r="P2466" s="545">
        <f>-'Sollecitazioni nel paramento'!$G$47*'Sollecitazioni nel paramento'!$G$41*IF(DATI!$G$211="dx",DATI!$E$61,DATI!$E$64*DATI!$E$63)*1000*C2466*sezione!$AD$5</f>
        <v>-25027530.852386925</v>
      </c>
      <c r="Q2466" s="545">
        <f>'Foglio deposito bis'!$F$88*IF(ABS(K2466)&lt;'Sollecitazioni nel paramento'!$G$58,ABS(K2466)*'Sollecitazioni nel paramento'!$G$54,'Sollecitazioni nel paramento'!$G$53)*IF(K2466&lt;0,-1,1)</f>
        <v>0</v>
      </c>
      <c r="R2466" s="545">
        <f>'Foglio deposito bis'!$F$89*IF(ABS(L2466)&lt;'Sollecitazioni nel paramento'!$G$58,ABS(L2466)*'Sollecitazioni nel paramento'!$G$54,'Sollecitazioni nel paramento'!$G$53)*IF(L2466&lt;0,-1,1)</f>
        <v>-153664.85805602249</v>
      </c>
      <c r="S2466" s="545">
        <f>'Foglio deposito bis'!$F$90*IF(ABS(M2466)&lt;'Sollecitazioni nel paramento'!$G$58,ABS(M2466)*'Sollecitazioni nel paramento'!$G$54,'Sollecitazioni nel paramento'!$G$53)*IF(M2466&lt;0,-1,1)</f>
        <v>0</v>
      </c>
      <c r="T2466" s="545">
        <f>'Foglio deposito bis'!$F$91*IF(ABS(N2466)&lt;'Sollecitazioni nel paramento'!$G$58,ABS(N2466)*'Sollecitazioni nel paramento'!$G$54,'Sollecitazioni nel paramento'!$G$53)*IF(N2466&lt;0,-1,1)</f>
        <v>-892485.49558937876</v>
      </c>
      <c r="U2466" s="545">
        <f>'Foglio deposito bis'!$F$92*IF(ABS(O2466)&lt;'Sollecitazioni nel paramento'!$G$58,ABS(O2466)*'Sollecitazioni nel paramento'!$G$54,'Sollecitazioni nel paramento'!$G$53)*IF(O2466&lt;0,-1,1)</f>
        <v>467250.32791368355</v>
      </c>
      <c r="V2466" s="472">
        <f t="shared" si="173"/>
        <v>-25606430.878118645</v>
      </c>
      <c r="W2466" s="551"/>
      <c r="X2466" s="551"/>
    </row>
    <row r="2467" spans="1:24" x14ac:dyDescent="0.25">
      <c r="A2467" s="545">
        <f t="shared" si="172"/>
        <v>26074413.780606836</v>
      </c>
      <c r="B2467" s="3">
        <f t="shared" si="170"/>
        <v>61.899999999999942</v>
      </c>
      <c r="C2467" s="545">
        <f>'Foglio deposito bis'!$E$162/sezione!$B$247*B2467</f>
        <v>667.72953120002296</v>
      </c>
      <c r="D2467" s="603">
        <f>-'Sollecitazioni nel paramento'!$G$47*'Sollecitazioni nel paramento'!$G$41*IF(DATI!$G$211="dx",DATI!$E$61,DATI!$E$64*DATI!$E$63)*1000*C2467^2*sezione!$AD$5*(1-sezione!$AD$6)</f>
        <v>-9919842865.7077217</v>
      </c>
      <c r="E2467" s="545">
        <f>-'Foglio deposito bis'!$F$88*(C2467-sezione!$AL$36)*IF(ABS(K2467)&lt;'Sollecitazioni nel paramento'!$G$58,ABS(K2467)*'Sollecitazioni nel paramento'!$G$54,'Sollecitazioni nel paramento'!$G$53)</f>
        <v>0</v>
      </c>
      <c r="F2467" s="545">
        <f>-'Foglio deposito bis'!$F$89*(C2467-sezione!$AM$36)*IF(ABS(L2467)&lt;'Sollecitazioni nel paramento'!$G$58,ABS(L2467)*'Sollecitazioni nel paramento'!$G$54,'Sollecitazioni nel paramento'!$G$53)</f>
        <v>-93386672.148304626</v>
      </c>
      <c r="G2467" s="545">
        <f>-'Foglio deposito bis'!$F$90*(C2467-sezione!$AN$36)*IF(ABS(M2467)&lt;'Sollecitazioni nel paramento'!$G$58,ABS(M2467)*'Sollecitazioni nel paramento'!$G$54,'Sollecitazioni nel paramento'!$G$53)</f>
        <v>0</v>
      </c>
      <c r="H2467" s="545">
        <f>-'Foglio deposito bis'!$F$91*(C2467-sezione!$AO$36)*IF(ABS(N2467)&lt;'Sollecitazioni nel paramento'!$G$58,ABS(N2467)*'Sollecitazioni nel paramento'!$G$54,'Sollecitazioni nel paramento'!$G$53)</f>
        <v>-453141242.27841538</v>
      </c>
      <c r="I2467" s="472">
        <f>-'Foglio deposito bis'!$F$92*(C2467-sezione!$AP$36)*IF(ABS(O2467)&lt;'Sollecitazioni nel paramento'!$G$58,ABS(O2467)*'Sollecitazioni nel paramento'!$G$54,'Sollecitazioni nel paramento'!$G$53)</f>
        <v>36693611.795512259</v>
      </c>
      <c r="J2467" s="472">
        <f t="shared" si="171"/>
        <v>-10429677168.338928</v>
      </c>
      <c r="K2467" s="550">
        <f>'Sollecitazioni nel paramento'!$G$60*(sezione!$AL$36-C2467)/C2467</f>
        <v>-3.290334269403367E-3</v>
      </c>
      <c r="L2467" s="550">
        <f>'Sollecitazioni nel paramento'!$G$60*(sezione!$AM$36-C2467)/C2467</f>
        <v>-3.1855014041050509E-3</v>
      </c>
      <c r="M2467" s="551">
        <f>'Sollecitazioni nel paramento'!$G$60*(sezione!$AN$36-C2467)/C2467</f>
        <v>-3.0806685388067344E-3</v>
      </c>
      <c r="N2467" s="551">
        <f>'Sollecitazioni nel paramento'!$G$60*(sezione!$AO$36-C2467)/C2467</f>
        <v>-2.6613370776134683E-3</v>
      </c>
      <c r="O2467" s="551">
        <f>'Sollecitazioni nel paramento'!$G$60*(sezione!$AP$36-C2467)/C2467</f>
        <v>4.6884800122889335E-4</v>
      </c>
      <c r="P2467" s="545">
        <f>-'Sollecitazioni nel paramento'!$G$47*'Sollecitazioni nel paramento'!$G$41*IF(DATI!$G$211="dx",DATI!$E$61,DATI!$E$64*DATI!$E$63)*1000*C2467*sezione!$AD$5</f>
        <v>-25438491.95012727</v>
      </c>
      <c r="Q2467" s="545">
        <f>'Foglio deposito bis'!$F$88*IF(ABS(K2467)&lt;'Sollecitazioni nel paramento'!$G$58,ABS(K2467)*'Sollecitazioni nel paramento'!$G$54,'Sollecitazioni nel paramento'!$G$53)*IF(K2467&lt;0,-1,1)</f>
        <v>0</v>
      </c>
      <c r="R2467" s="545">
        <f>'Foglio deposito bis'!$F$89*IF(ABS(L2467)&lt;'Sollecitazioni nel paramento'!$G$58,ABS(L2467)*'Sollecitazioni nel paramento'!$G$54,'Sollecitazioni nel paramento'!$G$53)*IF(L2467&lt;0,-1,1)</f>
        <v>-153664.85805602249</v>
      </c>
      <c r="S2467" s="545">
        <f>'Foglio deposito bis'!$F$90*IF(ABS(M2467)&lt;'Sollecitazioni nel paramento'!$G$58,ABS(M2467)*'Sollecitazioni nel paramento'!$G$54,'Sollecitazioni nel paramento'!$G$53)*IF(M2467&lt;0,-1,1)</f>
        <v>0</v>
      </c>
      <c r="T2467" s="545">
        <f>'Foglio deposito bis'!$F$91*IF(ABS(N2467)&lt;'Sollecitazioni nel paramento'!$G$58,ABS(N2467)*'Sollecitazioni nel paramento'!$G$54,'Sollecitazioni nel paramento'!$G$53)*IF(N2467&lt;0,-1,1)</f>
        <v>-892485.49558937876</v>
      </c>
      <c r="U2467" s="545">
        <f>'Foglio deposito bis'!$F$92*IF(ABS(O2467)&lt;'Sollecitazioni nel paramento'!$G$58,ABS(O2467)*'Sollecitazioni nel paramento'!$G$54,'Sollecitazioni nel paramento'!$G$53)*IF(O2467&lt;0,-1,1)</f>
        <v>410228.52316583524</v>
      </c>
      <c r="V2467" s="472">
        <f t="shared" si="173"/>
        <v>-26074413.780606836</v>
      </c>
      <c r="W2467" s="551"/>
      <c r="X2467" s="551"/>
    </row>
    <row r="2468" spans="1:24" x14ac:dyDescent="0.25">
      <c r="A2468" s="545">
        <f t="shared" si="172"/>
        <v>26540583.589144379</v>
      </c>
      <c r="B2468" s="3">
        <f t="shared" si="170"/>
        <v>62.899999999999942</v>
      </c>
      <c r="C2468" s="545">
        <f>'Foglio deposito bis'!$E$162/sezione!$B$247*B2468</f>
        <v>678.51676110632377</v>
      </c>
      <c r="D2468" s="603">
        <f>-'Sollecitazioni nel paramento'!$G$47*'Sollecitazioni nel paramento'!$G$41*IF(DATI!$G$211="dx",DATI!$E$61,DATI!$E$64*DATI!$E$63)*1000*C2468^2*sezione!$AD$5*(1-sezione!$AD$6)</f>
        <v>-10242943700.510929</v>
      </c>
      <c r="E2468" s="545">
        <f>-'Foglio deposito bis'!$F$88*(C2468-sezione!$AL$36)*IF(ABS(K2468)&lt;'Sollecitazioni nel paramento'!$G$58,ABS(K2468)*'Sollecitazioni nel paramento'!$G$54,'Sollecitazioni nel paramento'!$G$53)</f>
        <v>0</v>
      </c>
      <c r="F2468" s="545">
        <f>-'Foglio deposito bis'!$F$89*(C2468-sezione!$AM$36)*IF(ABS(L2468)&lt;'Sollecitazioni nel paramento'!$G$58,ABS(L2468)*'Sollecitazioni nel paramento'!$G$54,'Sollecitazioni nel paramento'!$G$53)</f>
        <v>-95044290.300674021</v>
      </c>
      <c r="G2468" s="545">
        <f>-'Foglio deposito bis'!$F$90*(C2468-sezione!$AN$36)*IF(ABS(M2468)&lt;'Sollecitazioni nel paramento'!$G$58,ABS(M2468)*'Sollecitazioni nel paramento'!$G$54,'Sollecitazioni nel paramento'!$G$53)</f>
        <v>0</v>
      </c>
      <c r="H2468" s="545">
        <f>-'Foglio deposito bis'!$F$91*(C2468-sezione!$AO$36)*IF(ABS(N2468)&lt;'Sollecitazioni nel paramento'!$G$58,ABS(N2468)*'Sollecitazioni nel paramento'!$G$54,'Sollecitazioni nel paramento'!$G$53)</f>
        <v>-462768688.50737691</v>
      </c>
      <c r="I2468" s="472">
        <f>-'Foglio deposito bis'!$F$92*(C2468-sezione!$AP$36)*IF(ABS(O2468)&lt;'Sollecitazioni nel paramento'!$G$58,ABS(O2468)*'Sollecitazioni nel paramento'!$G$54,'Sollecitazioni nel paramento'!$G$53)</f>
        <v>27925691.215689499</v>
      </c>
      <c r="J2468" s="472">
        <f t="shared" si="171"/>
        <v>-10772830988.103292</v>
      </c>
      <c r="K2468" s="550">
        <f>'Sollecitazioni nel paramento'!$G$60*(sezione!$AL$36-C2468)/C2468</f>
        <v>-3.293667587854824E-3</v>
      </c>
      <c r="L2468" s="550">
        <f>'Sollecitazioni nel paramento'!$G$60*(sezione!$AM$36-C2468)/C2468</f>
        <v>-3.1905013817822357E-3</v>
      </c>
      <c r="M2468" s="551">
        <f>'Sollecitazioni nel paramento'!$G$60*(sezione!$AN$36-C2468)/C2468</f>
        <v>-3.0873351757096479E-3</v>
      </c>
      <c r="N2468" s="551">
        <f>'Sollecitazioni nel paramento'!$G$60*(sezione!$AO$36-C2468)/C2468</f>
        <v>-2.6746703514192957E-3</v>
      </c>
      <c r="O2468" s="551">
        <f>'Sollecitazioni nel paramento'!$G$60*(sezione!$AP$36-C2468)/C2468</f>
        <v>4.0575025876102571E-4</v>
      </c>
      <c r="P2468" s="545">
        <f>-'Sollecitazioni nel paramento'!$G$47*'Sollecitazioni nel paramento'!$G$41*IF(DATI!$G$211="dx",DATI!$E$61,DATI!$E$64*DATI!$E$63)*1000*C2468*sezione!$AD$5</f>
        <v>-25849453.047867611</v>
      </c>
      <c r="Q2468" s="545">
        <f>'Foglio deposito bis'!$F$88*IF(ABS(K2468)&lt;'Sollecitazioni nel paramento'!$G$58,ABS(K2468)*'Sollecitazioni nel paramento'!$G$54,'Sollecitazioni nel paramento'!$G$53)*IF(K2468&lt;0,-1,1)</f>
        <v>0</v>
      </c>
      <c r="R2468" s="545">
        <f>'Foglio deposito bis'!$F$89*IF(ABS(L2468)&lt;'Sollecitazioni nel paramento'!$G$58,ABS(L2468)*'Sollecitazioni nel paramento'!$G$54,'Sollecitazioni nel paramento'!$G$53)*IF(L2468&lt;0,-1,1)</f>
        <v>-153664.85805602249</v>
      </c>
      <c r="S2468" s="545">
        <f>'Foglio deposito bis'!$F$90*IF(ABS(M2468)&lt;'Sollecitazioni nel paramento'!$G$58,ABS(M2468)*'Sollecitazioni nel paramento'!$G$54,'Sollecitazioni nel paramento'!$G$53)*IF(M2468&lt;0,-1,1)</f>
        <v>0</v>
      </c>
      <c r="T2468" s="545">
        <f>'Foglio deposito bis'!$F$91*IF(ABS(N2468)&lt;'Sollecitazioni nel paramento'!$G$58,ABS(N2468)*'Sollecitazioni nel paramento'!$G$54,'Sollecitazioni nel paramento'!$G$53)*IF(N2468&lt;0,-1,1)</f>
        <v>-892485.49558937876</v>
      </c>
      <c r="U2468" s="545">
        <f>'Foglio deposito bis'!$F$92*IF(ABS(O2468)&lt;'Sollecitazioni nel paramento'!$G$58,ABS(O2468)*'Sollecitazioni nel paramento'!$G$54,'Sollecitazioni nel paramento'!$G$53)*IF(O2468&lt;0,-1,1)</f>
        <v>355019.81236863456</v>
      </c>
      <c r="V2468" s="472">
        <f t="shared" si="173"/>
        <v>-26540583.589144379</v>
      </c>
      <c r="W2468" s="551"/>
      <c r="X2468" s="551"/>
    </row>
    <row r="2469" spans="1:24" x14ac:dyDescent="0.25">
      <c r="A2469" s="545">
        <f t="shared" si="172"/>
        <v>27005025.425513003</v>
      </c>
      <c r="B2469" s="3">
        <f t="shared" si="170"/>
        <v>63.899999999999942</v>
      </c>
      <c r="C2469" s="545">
        <f>'Foglio deposito bis'!$E$162/sezione!$B$247*B2469</f>
        <v>689.30399101262469</v>
      </c>
      <c r="D2469" s="603">
        <f>-'Sollecitazioni nel paramento'!$G$47*'Sollecitazioni nel paramento'!$G$41*IF(DATI!$G$211="dx",DATI!$E$61,DATI!$E$64*DATI!$E$63)*1000*C2469^2*sezione!$AD$5*(1-sezione!$AD$6)</f>
        <v>-10571222433.307779</v>
      </c>
      <c r="E2469" s="545">
        <f>-'Foglio deposito bis'!$F$88*(C2469-sezione!$AL$36)*IF(ABS(K2469)&lt;'Sollecitazioni nel paramento'!$G$58,ABS(K2469)*'Sollecitazioni nel paramento'!$G$54,'Sollecitazioni nel paramento'!$G$53)</f>
        <v>0</v>
      </c>
      <c r="F2469" s="545">
        <f>-'Foglio deposito bis'!$F$89*(C2469-sezione!$AM$36)*IF(ABS(L2469)&lt;'Sollecitazioni nel paramento'!$G$58,ABS(L2469)*'Sollecitazioni nel paramento'!$G$54,'Sollecitazioni nel paramento'!$G$53)</f>
        <v>-96701908.453043431</v>
      </c>
      <c r="G2469" s="545">
        <f>-'Foglio deposito bis'!$F$90*(C2469-sezione!$AN$36)*IF(ABS(M2469)&lt;'Sollecitazioni nel paramento'!$G$58,ABS(M2469)*'Sollecitazioni nel paramento'!$G$54,'Sollecitazioni nel paramento'!$G$53)</f>
        <v>0</v>
      </c>
      <c r="H2469" s="545">
        <f>-'Foglio deposito bis'!$F$91*(C2469-sezione!$AO$36)*IF(ABS(N2469)&lt;'Sollecitazioni nel paramento'!$G$58,ABS(N2469)*'Sollecitazioni nel paramento'!$G$54,'Sollecitazioni nel paramento'!$G$53)</f>
        <v>-472396134.73633844</v>
      </c>
      <c r="I2469" s="472">
        <f>-'Foglio deposito bis'!$F$92*(C2469-sezione!$AP$36)*IF(ABS(O2469)&lt;'Sollecitazioni nel paramento'!$G$58,ABS(O2469)*'Sollecitazioni nel paramento'!$G$54,'Sollecitazioni nel paramento'!$G$53)</f>
        <v>20466150.192088358</v>
      </c>
      <c r="J2469" s="472">
        <f t="shared" si="171"/>
        <v>-11119854326.305071</v>
      </c>
      <c r="K2469" s="550">
        <f>'Sollecitazioni nel paramento'!$G$60*(sezione!$AL$36-C2469)/C2469</f>
        <v>-3.2968965770902728E-3</v>
      </c>
      <c r="L2469" s="550">
        <f>'Sollecitazioni nel paramento'!$G$60*(sezione!$AM$36-C2469)/C2469</f>
        <v>-3.1953448656354094E-3</v>
      </c>
      <c r="M2469" s="551">
        <f>'Sollecitazioni nel paramento'!$G$60*(sezione!$AN$36-C2469)/C2469</f>
        <v>-3.0937931541805451E-3</v>
      </c>
      <c r="N2469" s="551">
        <f>'Sollecitazioni nel paramento'!$G$60*(sezione!$AO$36-C2469)/C2469</f>
        <v>-2.6875863083610906E-3</v>
      </c>
      <c r="O2469" s="551">
        <f>'Sollecitazioni nel paramento'!$G$60*(sezione!$AP$36-C2469)/C2469</f>
        <v>3.4462740651124401E-4</v>
      </c>
      <c r="P2469" s="545">
        <f>-'Sollecitazioni nel paramento'!$G$47*'Sollecitazioni nel paramento'!$G$41*IF(DATI!$G$211="dx",DATI!$E$61,DATI!$E$64*DATI!$E$63)*1000*C2469*sezione!$AD$5</f>
        <v>-26260414.145607959</v>
      </c>
      <c r="Q2469" s="545">
        <f>'Foglio deposito bis'!$F$88*IF(ABS(K2469)&lt;'Sollecitazioni nel paramento'!$G$58,ABS(K2469)*'Sollecitazioni nel paramento'!$G$54,'Sollecitazioni nel paramento'!$G$53)*IF(K2469&lt;0,-1,1)</f>
        <v>0</v>
      </c>
      <c r="R2469" s="545">
        <f>'Foglio deposito bis'!$F$89*IF(ABS(L2469)&lt;'Sollecitazioni nel paramento'!$G$58,ABS(L2469)*'Sollecitazioni nel paramento'!$G$54,'Sollecitazioni nel paramento'!$G$53)*IF(L2469&lt;0,-1,1)</f>
        <v>-153664.85805602249</v>
      </c>
      <c r="S2469" s="545">
        <f>'Foglio deposito bis'!$F$90*IF(ABS(M2469)&lt;'Sollecitazioni nel paramento'!$G$58,ABS(M2469)*'Sollecitazioni nel paramento'!$G$54,'Sollecitazioni nel paramento'!$G$53)*IF(M2469&lt;0,-1,1)</f>
        <v>0</v>
      </c>
      <c r="T2469" s="545">
        <f>'Foglio deposito bis'!$F$91*IF(ABS(N2469)&lt;'Sollecitazioni nel paramento'!$G$58,ABS(N2469)*'Sollecitazioni nel paramento'!$G$54,'Sollecitazioni nel paramento'!$G$53)*IF(N2469&lt;0,-1,1)</f>
        <v>-892485.49558937876</v>
      </c>
      <c r="U2469" s="545">
        <f>'Foglio deposito bis'!$F$92*IF(ABS(O2469)&lt;'Sollecitazioni nel paramento'!$G$58,ABS(O2469)*'Sollecitazioni nel paramento'!$G$54,'Sollecitazioni nel paramento'!$G$53)*IF(O2469&lt;0,-1,1)</f>
        <v>301539.0737403598</v>
      </c>
      <c r="V2469" s="472">
        <f t="shared" si="173"/>
        <v>-27005025.425513003</v>
      </c>
      <c r="W2469" s="551"/>
      <c r="X2469" s="551"/>
    </row>
    <row r="2470" spans="1:24" x14ac:dyDescent="0.25">
      <c r="A2470" s="545">
        <f t="shared" si="172"/>
        <v>27467819.165159643</v>
      </c>
      <c r="B2470" s="3">
        <f t="shared" si="170"/>
        <v>64.899999999999949</v>
      </c>
      <c r="C2470" s="545">
        <f>'Foglio deposito bis'!$E$162/sezione!$B$247*B2470</f>
        <v>700.09122091892561</v>
      </c>
      <c r="D2470" s="603">
        <f>-'Sollecitazioni nel paramento'!$G$47*'Sollecitazioni nel paramento'!$G$41*IF(DATI!$G$211="dx",DATI!$E$61,DATI!$E$64*DATI!$E$63)*1000*C2470^2*sezione!$AD$5*(1-sezione!$AD$6)</f>
        <v>-10904679064.098272</v>
      </c>
      <c r="E2470" s="545">
        <f>-'Foglio deposito bis'!$F$88*(C2470-sezione!$AL$36)*IF(ABS(K2470)&lt;'Sollecitazioni nel paramento'!$G$58,ABS(K2470)*'Sollecitazioni nel paramento'!$G$54,'Sollecitazioni nel paramento'!$G$53)</f>
        <v>0</v>
      </c>
      <c r="F2470" s="545">
        <f>-'Foglio deposito bis'!$F$89*(C2470-sezione!$AM$36)*IF(ABS(L2470)&lt;'Sollecitazioni nel paramento'!$G$58,ABS(L2470)*'Sollecitazioni nel paramento'!$G$54,'Sollecitazioni nel paramento'!$G$53)</f>
        <v>-98359526.605412841</v>
      </c>
      <c r="G2470" s="545">
        <f>-'Foglio deposito bis'!$F$90*(C2470-sezione!$AN$36)*IF(ABS(M2470)&lt;'Sollecitazioni nel paramento'!$G$58,ABS(M2470)*'Sollecitazioni nel paramento'!$G$54,'Sollecitazioni nel paramento'!$G$53)</f>
        <v>0</v>
      </c>
      <c r="H2470" s="545">
        <f>-'Foglio deposito bis'!$F$91*(C2470-sezione!$AO$36)*IF(ABS(N2470)&lt;'Sollecitazioni nel paramento'!$G$58,ABS(N2470)*'Sollecitazioni nel paramento'!$G$54,'Sollecitazioni nel paramento'!$G$53)</f>
        <v>-482023580.96530002</v>
      </c>
      <c r="I2470" s="472">
        <f>-'Foglio deposito bis'!$F$92*(C2470-sezione!$AP$36)*IF(ABS(O2470)&lt;'Sollecitazioni nel paramento'!$G$58,ABS(O2470)*'Sollecitazioni nel paramento'!$G$54,'Sollecitazioni nel paramento'!$G$53)</f>
        <v>14254508.930122396</v>
      </c>
      <c r="J2470" s="472">
        <f t="shared" si="171"/>
        <v>-11470807662.738863</v>
      </c>
      <c r="K2470" s="550">
        <f>'Sollecitazioni nel paramento'!$G$60*(sezione!$AL$36-C2470)/C2470</f>
        <v>-3.3000260597237045E-3</v>
      </c>
      <c r="L2470" s="550">
        <f>'Sollecitazioni nel paramento'!$G$60*(sezione!$AM$36-C2470)/C2470</f>
        <v>-3.2000390895855569E-3</v>
      </c>
      <c r="M2470" s="551">
        <f>'Sollecitazioni nel paramento'!$G$60*(sezione!$AN$36-C2470)/C2470</f>
        <v>-3.1000521194474088E-3</v>
      </c>
      <c r="N2470" s="551">
        <f>'Sollecitazioni nel paramento'!$G$60*(sezione!$AO$36-C2470)/C2470</f>
        <v>-2.7001042388948185E-3</v>
      </c>
      <c r="O2470" s="551">
        <f>'Sollecitazioni nel paramento'!$G$60*(sezione!$AP$36-C2470)/C2470</f>
        <v>2.8538815525529226E-4</v>
      </c>
      <c r="P2470" s="545">
        <f>-'Sollecitazioni nel paramento'!$G$47*'Sollecitazioni nel paramento'!$G$41*IF(DATI!$G$211="dx",DATI!$E$61,DATI!$E$64*DATI!$E$63)*1000*C2470*sezione!$AD$5</f>
        <v>-26671375.243348304</v>
      </c>
      <c r="Q2470" s="545">
        <f>'Foglio deposito bis'!$F$88*IF(ABS(K2470)&lt;'Sollecitazioni nel paramento'!$G$58,ABS(K2470)*'Sollecitazioni nel paramento'!$G$54,'Sollecitazioni nel paramento'!$G$53)*IF(K2470&lt;0,-1,1)</f>
        <v>0</v>
      </c>
      <c r="R2470" s="545">
        <f>'Foglio deposito bis'!$F$89*IF(ABS(L2470)&lt;'Sollecitazioni nel paramento'!$G$58,ABS(L2470)*'Sollecitazioni nel paramento'!$G$54,'Sollecitazioni nel paramento'!$G$53)*IF(L2470&lt;0,-1,1)</f>
        <v>-153664.85805602249</v>
      </c>
      <c r="S2470" s="545">
        <f>'Foglio deposito bis'!$F$90*IF(ABS(M2470)&lt;'Sollecitazioni nel paramento'!$G$58,ABS(M2470)*'Sollecitazioni nel paramento'!$G$54,'Sollecitazioni nel paramento'!$G$53)*IF(M2470&lt;0,-1,1)</f>
        <v>0</v>
      </c>
      <c r="T2470" s="545">
        <f>'Foglio deposito bis'!$F$91*IF(ABS(N2470)&lt;'Sollecitazioni nel paramento'!$G$58,ABS(N2470)*'Sollecitazioni nel paramento'!$G$54,'Sollecitazioni nel paramento'!$G$53)*IF(N2470&lt;0,-1,1)</f>
        <v>-892485.49558937876</v>
      </c>
      <c r="U2470" s="545">
        <f>'Foglio deposito bis'!$F$92*IF(ABS(O2470)&lt;'Sollecitazioni nel paramento'!$G$58,ABS(O2470)*'Sollecitazioni nel paramento'!$G$54,'Sollecitazioni nel paramento'!$G$53)*IF(O2470&lt;0,-1,1)</f>
        <v>249706.43183406576</v>
      </c>
      <c r="V2470" s="472">
        <f t="shared" si="173"/>
        <v>-27467819.165159643</v>
      </c>
      <c r="W2470" s="551"/>
      <c r="X2470" s="551"/>
    </row>
    <row r="2471" spans="1:24" x14ac:dyDescent="0.25">
      <c r="A2471" s="545">
        <f t="shared" si="172"/>
        <v>27929039.835249182</v>
      </c>
      <c r="B2471" s="3">
        <f t="shared" si="170"/>
        <v>65.899999999999949</v>
      </c>
      <c r="C2471" s="545">
        <f>'Foglio deposito bis'!$E$162/sezione!$B$247*B2471</f>
        <v>710.87845082522642</v>
      </c>
      <c r="D2471" s="603">
        <f>-'Sollecitazioni nel paramento'!$G$47*'Sollecitazioni nel paramento'!$G$41*IF(DATI!$G$211="dx",DATI!$E$61,DATI!$E$64*DATI!$E$63)*1000*C2471^2*sezione!$AD$5*(1-sezione!$AD$6)</f>
        <v>-11243313592.882406</v>
      </c>
      <c r="E2471" s="545">
        <f>-'Foglio deposito bis'!$F$88*(C2471-sezione!$AL$36)*IF(ABS(K2471)&lt;'Sollecitazioni nel paramento'!$G$58,ABS(K2471)*'Sollecitazioni nel paramento'!$G$54,'Sollecitazioni nel paramento'!$G$53)</f>
        <v>0</v>
      </c>
      <c r="F2471" s="545">
        <f>-'Foglio deposito bis'!$F$89*(C2471-sezione!$AM$36)*IF(ABS(L2471)&lt;'Sollecitazioni nel paramento'!$G$58,ABS(L2471)*'Sollecitazioni nel paramento'!$G$54,'Sollecitazioni nel paramento'!$G$53)</f>
        <v>-100017144.75778224</v>
      </c>
      <c r="G2471" s="545">
        <f>-'Foglio deposito bis'!$F$90*(C2471-sezione!$AN$36)*IF(ABS(M2471)&lt;'Sollecitazioni nel paramento'!$G$58,ABS(M2471)*'Sollecitazioni nel paramento'!$G$54,'Sollecitazioni nel paramento'!$G$53)</f>
        <v>0</v>
      </c>
      <c r="H2471" s="545">
        <f>-'Foglio deposito bis'!$F$91*(C2471-sezione!$AO$36)*IF(ABS(N2471)&lt;'Sollecitazioni nel paramento'!$G$58,ABS(N2471)*'Sollecitazioni nel paramento'!$G$54,'Sollecitazioni nel paramento'!$G$53)</f>
        <v>-491651027.19426149</v>
      </c>
      <c r="I2471" s="472">
        <f>-'Foglio deposito bis'!$F$92*(C2471-sezione!$AP$36)*IF(ABS(O2471)&lt;'Sollecitazioni nel paramento'!$G$58,ABS(O2471)*'Sollecitazioni nel paramento'!$G$54,'Sollecitazioni nel paramento'!$G$53)</f>
        <v>9233958.6394289229</v>
      </c>
      <c r="J2471" s="472">
        <f t="shared" si="171"/>
        <v>-11825747806.195021</v>
      </c>
      <c r="K2471" s="550">
        <f>'Sollecitazioni nel paramento'!$G$60*(sezione!$AL$36-C2471)/C2471</f>
        <v>-3.3030605656459546E-3</v>
      </c>
      <c r="L2471" s="550">
        <f>'Sollecitazioni nel paramento'!$G$60*(sezione!$AM$36-C2471)/C2471</f>
        <v>-3.204590848468932E-3</v>
      </c>
      <c r="M2471" s="551">
        <f>'Sollecitazioni nel paramento'!$G$60*(sezione!$AN$36-C2471)/C2471</f>
        <v>-3.10612113129191E-3</v>
      </c>
      <c r="N2471" s="551">
        <f>'Sollecitazioni nel paramento'!$G$60*(sezione!$AO$36-C2471)/C2471</f>
        <v>-2.7122422625838194E-3</v>
      </c>
      <c r="O2471" s="551">
        <f>'Sollecitazioni nel paramento'!$G$60*(sezione!$AP$36-C2471)/C2471</f>
        <v>2.279467568447418E-4</v>
      </c>
      <c r="P2471" s="545">
        <f>-'Sollecitazioni nel paramento'!$G$47*'Sollecitazioni nel paramento'!$G$41*IF(DATI!$G$211="dx",DATI!$E$61,DATI!$E$64*DATI!$E$63)*1000*C2471*sezione!$AD$5</f>
        <v>-27082336.341088645</v>
      </c>
      <c r="Q2471" s="545">
        <f>'Foglio deposito bis'!$F$88*IF(ABS(K2471)&lt;'Sollecitazioni nel paramento'!$G$58,ABS(K2471)*'Sollecitazioni nel paramento'!$G$54,'Sollecitazioni nel paramento'!$G$53)*IF(K2471&lt;0,-1,1)</f>
        <v>0</v>
      </c>
      <c r="R2471" s="545">
        <f>'Foglio deposito bis'!$F$89*IF(ABS(L2471)&lt;'Sollecitazioni nel paramento'!$G$58,ABS(L2471)*'Sollecitazioni nel paramento'!$G$54,'Sollecitazioni nel paramento'!$G$53)*IF(L2471&lt;0,-1,1)</f>
        <v>-153664.85805602249</v>
      </c>
      <c r="S2471" s="545">
        <f>'Foglio deposito bis'!$F$90*IF(ABS(M2471)&lt;'Sollecitazioni nel paramento'!$G$58,ABS(M2471)*'Sollecitazioni nel paramento'!$G$54,'Sollecitazioni nel paramento'!$G$53)*IF(M2471&lt;0,-1,1)</f>
        <v>0</v>
      </c>
      <c r="T2471" s="545">
        <f>'Foglio deposito bis'!$F$91*IF(ABS(N2471)&lt;'Sollecitazioni nel paramento'!$G$58,ABS(N2471)*'Sollecitazioni nel paramento'!$G$54,'Sollecitazioni nel paramento'!$G$53)*IF(N2471&lt;0,-1,1)</f>
        <v>-892485.49558937876</v>
      </c>
      <c r="U2471" s="545">
        <f>'Foglio deposito bis'!$F$92*IF(ABS(O2471)&lt;'Sollecitazioni nel paramento'!$G$58,ABS(O2471)*'Sollecitazioni nel paramento'!$G$54,'Sollecitazioni nel paramento'!$G$53)*IF(O2471&lt;0,-1,1)</f>
        <v>199446.85948486769</v>
      </c>
      <c r="V2471" s="472">
        <f t="shared" si="173"/>
        <v>-27929039.835249182</v>
      </c>
      <c r="W2471" s="551"/>
      <c r="X2471" s="551"/>
    </row>
    <row r="2472" spans="1:24" x14ac:dyDescent="0.25">
      <c r="A2472" s="545">
        <f t="shared" si="172"/>
        <v>28388757.977017373</v>
      </c>
      <c r="B2472" s="3">
        <f t="shared" si="170"/>
        <v>66.899999999999949</v>
      </c>
      <c r="C2472" s="545">
        <f>'Foglio deposito bis'!$E$162/sezione!$B$247*B2472</f>
        <v>721.66568073152735</v>
      </c>
      <c r="D2472" s="603">
        <f>-'Sollecitazioni nel paramento'!$G$47*'Sollecitazioni nel paramento'!$G$41*IF(DATI!$G$211="dx",DATI!$E$61,DATI!$E$64*DATI!$E$63)*1000*C2472^2*sezione!$AD$5*(1-sezione!$AD$6)</f>
        <v>-11587126019.660179</v>
      </c>
      <c r="E2472" s="545">
        <f>-'Foglio deposito bis'!$F$88*(C2472-sezione!$AL$36)*IF(ABS(K2472)&lt;'Sollecitazioni nel paramento'!$G$58,ABS(K2472)*'Sollecitazioni nel paramento'!$G$54,'Sollecitazioni nel paramento'!$G$53)</f>
        <v>0</v>
      </c>
      <c r="F2472" s="545">
        <f>-'Foglio deposito bis'!$F$89*(C2472-sezione!$AM$36)*IF(ABS(L2472)&lt;'Sollecitazioni nel paramento'!$G$58,ABS(L2472)*'Sollecitazioni nel paramento'!$G$54,'Sollecitazioni nel paramento'!$G$53)</f>
        <v>-101674762.91015165</v>
      </c>
      <c r="G2472" s="545">
        <f>-'Foglio deposito bis'!$F$90*(C2472-sezione!$AN$36)*IF(ABS(M2472)&lt;'Sollecitazioni nel paramento'!$G$58,ABS(M2472)*'Sollecitazioni nel paramento'!$G$54,'Sollecitazioni nel paramento'!$G$53)</f>
        <v>0</v>
      </c>
      <c r="H2472" s="545">
        <f>-'Foglio deposito bis'!$F$91*(C2472-sezione!$AO$36)*IF(ABS(N2472)&lt;'Sollecitazioni nel paramento'!$G$58,ABS(N2472)*'Sollecitazioni nel paramento'!$G$54,'Sollecitazioni nel paramento'!$G$53)</f>
        <v>-501278473.42322296</v>
      </c>
      <c r="I2472" s="472">
        <f>-'Foglio deposito bis'!$F$92*(C2472-sezione!$AP$36)*IF(ABS(O2472)&lt;'Sollecitazioni nel paramento'!$G$58,ABS(O2472)*'Sollecitazioni nel paramento'!$G$54,'Sollecitazioni nel paramento'!$G$53)</f>
        <v>5351087.1688296925</v>
      </c>
      <c r="J2472" s="472">
        <f t="shared" si="171"/>
        <v>-12184728168.824726</v>
      </c>
      <c r="K2472" s="550">
        <f>'Sollecitazioni nel paramento'!$G$60*(sezione!$AL$36-C2472)/C2472</f>
        <v>-3.3060043539023683E-3</v>
      </c>
      <c r="L2472" s="550">
        <f>'Sollecitazioni nel paramento'!$G$60*(sezione!$AM$36-C2472)/C2472</f>
        <v>-3.209006530853552E-3</v>
      </c>
      <c r="M2472" s="551">
        <f>'Sollecitazioni nel paramento'!$G$60*(sezione!$AN$36-C2472)/C2472</f>
        <v>-3.1120087078047361E-3</v>
      </c>
      <c r="N2472" s="551">
        <f>'Sollecitazioni nel paramento'!$G$60*(sezione!$AO$36-C2472)/C2472</f>
        <v>-2.7240174156094722E-3</v>
      </c>
      <c r="O2472" s="551">
        <f>'Sollecitazioni nel paramento'!$G$60*(sezione!$AP$36-C2472)/C2472</f>
        <v>1.7222259007576178E-4</v>
      </c>
      <c r="P2472" s="545">
        <f>-'Sollecitazioni nel paramento'!$G$47*'Sollecitazioni nel paramento'!$G$41*IF(DATI!$G$211="dx",DATI!$E$61,DATI!$E$64*DATI!$E$63)*1000*C2472*sezione!$AD$5</f>
        <v>-27493297.43882899</v>
      </c>
      <c r="Q2472" s="545">
        <f>'Foglio deposito bis'!$F$88*IF(ABS(K2472)&lt;'Sollecitazioni nel paramento'!$G$58,ABS(K2472)*'Sollecitazioni nel paramento'!$G$54,'Sollecitazioni nel paramento'!$G$53)*IF(K2472&lt;0,-1,1)</f>
        <v>0</v>
      </c>
      <c r="R2472" s="545">
        <f>'Foglio deposito bis'!$F$89*IF(ABS(L2472)&lt;'Sollecitazioni nel paramento'!$G$58,ABS(L2472)*'Sollecitazioni nel paramento'!$G$54,'Sollecitazioni nel paramento'!$G$53)*IF(L2472&lt;0,-1,1)</f>
        <v>-153664.85805602249</v>
      </c>
      <c r="S2472" s="545">
        <f>'Foglio deposito bis'!$F$90*IF(ABS(M2472)&lt;'Sollecitazioni nel paramento'!$G$58,ABS(M2472)*'Sollecitazioni nel paramento'!$G$54,'Sollecitazioni nel paramento'!$G$53)*IF(M2472&lt;0,-1,1)</f>
        <v>0</v>
      </c>
      <c r="T2472" s="545">
        <f>'Foglio deposito bis'!$F$91*IF(ABS(N2472)&lt;'Sollecitazioni nel paramento'!$G$58,ABS(N2472)*'Sollecitazioni nel paramento'!$G$54,'Sollecitazioni nel paramento'!$G$53)*IF(N2472&lt;0,-1,1)</f>
        <v>-892485.49558937876</v>
      </c>
      <c r="U2472" s="545">
        <f>'Foglio deposito bis'!$F$92*IF(ABS(O2472)&lt;'Sollecitazioni nel paramento'!$G$58,ABS(O2472)*'Sollecitazioni nel paramento'!$G$54,'Sollecitazioni nel paramento'!$G$53)*IF(O2472&lt;0,-1,1)</f>
        <v>150689.81545702033</v>
      </c>
      <c r="V2472" s="472">
        <f t="shared" si="173"/>
        <v>-28388757.977017373</v>
      </c>
      <c r="W2472" s="551"/>
      <c r="X2472" s="551"/>
    </row>
    <row r="2473" spans="1:24" x14ac:dyDescent="0.25">
      <c r="A2473" s="545">
        <f t="shared" si="172"/>
        <v>28847039.976104327</v>
      </c>
      <c r="B2473" s="3">
        <f t="shared" si="170"/>
        <v>67.899999999999949</v>
      </c>
      <c r="C2473" s="545">
        <f>'Foglio deposito bis'!$E$162/sezione!$B$247*B2473</f>
        <v>732.45291063782815</v>
      </c>
      <c r="D2473" s="603">
        <f>-'Sollecitazioni nel paramento'!$G$47*'Sollecitazioni nel paramento'!$G$41*IF(DATI!$G$211="dx",DATI!$E$61,DATI!$E$64*DATI!$E$63)*1000*C2473^2*sezione!$AD$5*(1-sezione!$AD$6)</f>
        <v>-11936116344.431593</v>
      </c>
      <c r="E2473" s="545">
        <f>-'Foglio deposito bis'!$F$88*(C2473-sezione!$AL$36)*IF(ABS(K2473)&lt;'Sollecitazioni nel paramento'!$G$58,ABS(K2473)*'Sollecitazioni nel paramento'!$G$54,'Sollecitazioni nel paramento'!$G$53)</f>
        <v>0</v>
      </c>
      <c r="F2473" s="545">
        <f>-'Foglio deposito bis'!$F$89*(C2473-sezione!$AM$36)*IF(ABS(L2473)&lt;'Sollecitazioni nel paramento'!$G$58,ABS(L2473)*'Sollecitazioni nel paramento'!$G$54,'Sollecitazioni nel paramento'!$G$53)</f>
        <v>-103332381.06252104</v>
      </c>
      <c r="G2473" s="545">
        <f>-'Foglio deposito bis'!$F$90*(C2473-sezione!$AN$36)*IF(ABS(M2473)&lt;'Sollecitazioni nel paramento'!$G$58,ABS(M2473)*'Sollecitazioni nel paramento'!$G$54,'Sollecitazioni nel paramento'!$G$53)</f>
        <v>0</v>
      </c>
      <c r="H2473" s="545">
        <f>-'Foglio deposito bis'!$F$91*(C2473-sezione!$AO$36)*IF(ABS(N2473)&lt;'Sollecitazioni nel paramento'!$G$58,ABS(N2473)*'Sollecitazioni nel paramento'!$G$54,'Sollecitazioni nel paramento'!$G$53)</f>
        <v>-510905919.65218443</v>
      </c>
      <c r="I2473" s="472">
        <f>-'Foglio deposito bis'!$F$92*(C2473-sezione!$AP$36)*IF(ABS(O2473)&lt;'Sollecitazioni nel paramento'!$G$58,ABS(O2473)*'Sollecitazioni nel paramento'!$G$54,'Sollecitazioni nel paramento'!$G$53)</f>
        <v>2555628.885625476</v>
      </c>
      <c r="J2473" s="472">
        <f t="shared" si="171"/>
        <v>-12547799016.260672</v>
      </c>
      <c r="K2473" s="550">
        <f>'Sollecitazioni nel paramento'!$G$60*(sezione!$AL$36-C2473)/C2473</f>
        <v>-3.3088614326372374E-3</v>
      </c>
      <c r="L2473" s="550">
        <f>'Sollecitazioni nel paramento'!$G$60*(sezione!$AM$36-C2473)/C2473</f>
        <v>-3.2132921489558563E-3</v>
      </c>
      <c r="M2473" s="551">
        <f>'Sollecitazioni nel paramento'!$G$60*(sezione!$AN$36-C2473)/C2473</f>
        <v>-3.1177228652744748E-3</v>
      </c>
      <c r="N2473" s="551">
        <f>'Sollecitazioni nel paramento'!$G$60*(sezione!$AO$36-C2473)/C2473</f>
        <v>-2.7354457305489499E-3</v>
      </c>
      <c r="O2473" s="551">
        <f>'Sollecitazioni nel paramento'!$G$60*(sezione!$AP$36-C2473)/C2473</f>
        <v>1.1813978315270218E-4</v>
      </c>
      <c r="P2473" s="545">
        <f>-'Sollecitazioni nel paramento'!$G$47*'Sollecitazioni nel paramento'!$G$41*IF(DATI!$G$211="dx",DATI!$E$61,DATI!$E$64*DATI!$E$63)*1000*C2473*sezione!$AD$5</f>
        <v>-27904258.536569331</v>
      </c>
      <c r="Q2473" s="545">
        <f>'Foglio deposito bis'!$F$88*IF(ABS(K2473)&lt;'Sollecitazioni nel paramento'!$G$58,ABS(K2473)*'Sollecitazioni nel paramento'!$G$54,'Sollecitazioni nel paramento'!$G$53)*IF(K2473&lt;0,-1,1)</f>
        <v>0</v>
      </c>
      <c r="R2473" s="545">
        <f>'Foglio deposito bis'!$F$89*IF(ABS(L2473)&lt;'Sollecitazioni nel paramento'!$G$58,ABS(L2473)*'Sollecitazioni nel paramento'!$G$54,'Sollecitazioni nel paramento'!$G$53)*IF(L2473&lt;0,-1,1)</f>
        <v>-153664.85805602249</v>
      </c>
      <c r="S2473" s="545">
        <f>'Foglio deposito bis'!$F$90*IF(ABS(M2473)&lt;'Sollecitazioni nel paramento'!$G$58,ABS(M2473)*'Sollecitazioni nel paramento'!$G$54,'Sollecitazioni nel paramento'!$G$53)*IF(M2473&lt;0,-1,1)</f>
        <v>0</v>
      </c>
      <c r="T2473" s="545">
        <f>'Foglio deposito bis'!$F$91*IF(ABS(N2473)&lt;'Sollecitazioni nel paramento'!$G$58,ABS(N2473)*'Sollecitazioni nel paramento'!$G$54,'Sollecitazioni nel paramento'!$G$53)*IF(N2473&lt;0,-1,1)</f>
        <v>-892485.49558937876</v>
      </c>
      <c r="U2473" s="545">
        <f>'Foglio deposito bis'!$F$92*IF(ABS(O2473)&lt;'Sollecitazioni nel paramento'!$G$58,ABS(O2473)*'Sollecitazioni nel paramento'!$G$54,'Sollecitazioni nel paramento'!$G$53)*IF(O2473&lt;0,-1,1)</f>
        <v>103368.91411040607</v>
      </c>
      <c r="V2473" s="472">
        <f t="shared" si="173"/>
        <v>-28847039.976104327</v>
      </c>
      <c r="W2473" s="551"/>
      <c r="X2473" s="551"/>
    </row>
    <row r="2474" spans="1:24" x14ac:dyDescent="0.25">
      <c r="A2474" s="545">
        <f t="shared" si="172"/>
        <v>29303948.364121724</v>
      </c>
      <c r="B2474" s="3">
        <f t="shared" si="170"/>
        <v>68.899999999999949</v>
      </c>
      <c r="C2474" s="545">
        <f>'Foglio deposito bis'!$E$162/sezione!$B$247*B2474</f>
        <v>743.24014054412908</v>
      </c>
      <c r="D2474" s="603">
        <f>-'Sollecitazioni nel paramento'!$G$47*'Sollecitazioni nel paramento'!$G$41*IF(DATI!$G$211="dx",DATI!$E$61,DATI!$E$64*DATI!$E$63)*1000*C2474^2*sezione!$AD$5*(1-sezione!$AD$6)</f>
        <v>-12290284567.196651</v>
      </c>
      <c r="E2474" s="545">
        <f>-'Foglio deposito bis'!$F$88*(C2474-sezione!$AL$36)*IF(ABS(K2474)&lt;'Sollecitazioni nel paramento'!$G$58,ABS(K2474)*'Sollecitazioni nel paramento'!$G$54,'Sollecitazioni nel paramento'!$G$53)</f>
        <v>0</v>
      </c>
      <c r="F2474" s="545">
        <f>-'Foglio deposito bis'!$F$89*(C2474-sezione!$AM$36)*IF(ABS(L2474)&lt;'Sollecitazioni nel paramento'!$G$58,ABS(L2474)*'Sollecitazioni nel paramento'!$G$54,'Sollecitazioni nel paramento'!$G$53)</f>
        <v>-104989999.21489045</v>
      </c>
      <c r="G2474" s="545">
        <f>-'Foglio deposito bis'!$F$90*(C2474-sezione!$AN$36)*IF(ABS(M2474)&lt;'Sollecitazioni nel paramento'!$G$58,ABS(M2474)*'Sollecitazioni nel paramento'!$G$54,'Sollecitazioni nel paramento'!$G$53)</f>
        <v>0</v>
      </c>
      <c r="H2474" s="545">
        <f>-'Foglio deposito bis'!$F$91*(C2474-sezione!$AO$36)*IF(ABS(N2474)&lt;'Sollecitazioni nel paramento'!$G$58,ABS(N2474)*'Sollecitazioni nel paramento'!$G$54,'Sollecitazioni nel paramento'!$G$53)</f>
        <v>-520533365.88114601</v>
      </c>
      <c r="I2474" s="472">
        <f>-'Foglio deposito bis'!$F$92*(C2474-sezione!$AP$36)*IF(ABS(O2474)&lt;'Sollecitazioni nel paramento'!$G$58,ABS(O2474)*'Sollecitazioni nel paramento'!$G$54,'Sollecitazioni nel paramento'!$G$53)</f>
        <v>800236.3360834904</v>
      </c>
      <c r="J2474" s="472">
        <f t="shared" si="171"/>
        <v>-12915007695.956602</v>
      </c>
      <c r="K2474" s="550">
        <f>'Sollecitazioni nel paramento'!$G$60*(sezione!$AL$36-C2474)/C2474</f>
        <v>-3.3116355773014283E-3</v>
      </c>
      <c r="L2474" s="550">
        <f>'Sollecitazioni nel paramento'!$G$60*(sezione!$AM$36-C2474)/C2474</f>
        <v>-3.217453365952143E-3</v>
      </c>
      <c r="M2474" s="551">
        <f>'Sollecitazioni nel paramento'!$G$60*(sezione!$AN$36-C2474)/C2474</f>
        <v>-3.1232711546028574E-3</v>
      </c>
      <c r="N2474" s="551">
        <f>'Sollecitazioni nel paramento'!$G$60*(sezione!$AO$36-C2474)/C2474</f>
        <v>-2.7465423092057142E-3</v>
      </c>
      <c r="O2474" s="551">
        <f>'Sollecitazioni nel paramento'!$G$60*(sezione!$AP$36-C2474)/C2474</f>
        <v>6.5626869028569766E-5</v>
      </c>
      <c r="P2474" s="545">
        <f>-'Sollecitazioni nel paramento'!$G$47*'Sollecitazioni nel paramento'!$G$41*IF(DATI!$G$211="dx",DATI!$E$61,DATI!$E$64*DATI!$E$63)*1000*C2474*sezione!$AD$5</f>
        <v>-28315219.634309679</v>
      </c>
      <c r="Q2474" s="545">
        <f>'Foglio deposito bis'!$F$88*IF(ABS(K2474)&lt;'Sollecitazioni nel paramento'!$G$58,ABS(K2474)*'Sollecitazioni nel paramento'!$G$54,'Sollecitazioni nel paramento'!$G$53)*IF(K2474&lt;0,-1,1)</f>
        <v>0</v>
      </c>
      <c r="R2474" s="545">
        <f>'Foglio deposito bis'!$F$89*IF(ABS(L2474)&lt;'Sollecitazioni nel paramento'!$G$58,ABS(L2474)*'Sollecitazioni nel paramento'!$G$54,'Sollecitazioni nel paramento'!$G$53)*IF(L2474&lt;0,-1,1)</f>
        <v>-153664.85805602249</v>
      </c>
      <c r="S2474" s="545">
        <f>'Foglio deposito bis'!$F$90*IF(ABS(M2474)&lt;'Sollecitazioni nel paramento'!$G$58,ABS(M2474)*'Sollecitazioni nel paramento'!$G$54,'Sollecitazioni nel paramento'!$G$53)*IF(M2474&lt;0,-1,1)</f>
        <v>0</v>
      </c>
      <c r="T2474" s="545">
        <f>'Foglio deposito bis'!$F$91*IF(ABS(N2474)&lt;'Sollecitazioni nel paramento'!$G$58,ABS(N2474)*'Sollecitazioni nel paramento'!$G$54,'Sollecitazioni nel paramento'!$G$53)*IF(N2474&lt;0,-1,1)</f>
        <v>-892485.49558937876</v>
      </c>
      <c r="U2474" s="545">
        <f>'Foglio deposito bis'!$F$92*IF(ABS(O2474)&lt;'Sollecitazioni nel paramento'!$G$58,ABS(O2474)*'Sollecitazioni nel paramento'!$G$54,'Sollecitazioni nel paramento'!$G$53)*IF(O2474&lt;0,-1,1)</f>
        <v>57421.623833359241</v>
      </c>
      <c r="V2474" s="472">
        <f t="shared" si="173"/>
        <v>-29303948.364121724</v>
      </c>
      <c r="W2474" s="551"/>
      <c r="X2474" s="551"/>
    </row>
    <row r="2475" spans="1:24" x14ac:dyDescent="0.25">
      <c r="A2475" s="545">
        <f t="shared" si="172"/>
        <v>29759542.09433433</v>
      </c>
      <c r="B2475" s="3">
        <f t="shared" si="170"/>
        <v>69.899999999999949</v>
      </c>
      <c r="C2475" s="545">
        <f>'Foglio deposito bis'!$E$162/sezione!$B$247*B2475</f>
        <v>754.02737045042988</v>
      </c>
      <c r="D2475" s="603">
        <f>-'Sollecitazioni nel paramento'!$G$47*'Sollecitazioni nel paramento'!$G$41*IF(DATI!$G$211="dx",DATI!$E$61,DATI!$E$64*DATI!$E$63)*1000*C2475^2*sezione!$AD$5*(1-sezione!$AD$6)</f>
        <v>-12649630687.955349</v>
      </c>
      <c r="E2475" s="545">
        <f>-'Foglio deposito bis'!$F$88*(C2475-sezione!$AL$36)*IF(ABS(K2475)&lt;'Sollecitazioni nel paramento'!$G$58,ABS(K2475)*'Sollecitazioni nel paramento'!$G$54,'Sollecitazioni nel paramento'!$G$53)</f>
        <v>0</v>
      </c>
      <c r="F2475" s="545">
        <f>-'Foglio deposito bis'!$F$89*(C2475-sezione!$AM$36)*IF(ABS(L2475)&lt;'Sollecitazioni nel paramento'!$G$58,ABS(L2475)*'Sollecitazioni nel paramento'!$G$54,'Sollecitazioni nel paramento'!$G$53)</f>
        <v>-106647617.36725985</v>
      </c>
      <c r="G2475" s="545">
        <f>-'Foglio deposito bis'!$F$90*(C2475-sezione!$AN$36)*IF(ABS(M2475)&lt;'Sollecitazioni nel paramento'!$G$58,ABS(M2475)*'Sollecitazioni nel paramento'!$G$54,'Sollecitazioni nel paramento'!$G$53)</f>
        <v>0</v>
      </c>
      <c r="H2475" s="545">
        <f>-'Foglio deposito bis'!$F$91*(C2475-sezione!$AO$36)*IF(ABS(N2475)&lt;'Sollecitazioni nel paramento'!$G$58,ABS(N2475)*'Sollecitazioni nel paramento'!$G$54,'Sollecitazioni nel paramento'!$G$53)</f>
        <v>-530160812.11010748</v>
      </c>
      <c r="I2475" s="472">
        <f>-'Foglio deposito bis'!$F$92*(C2475-sezione!$AP$36)*IF(ABS(O2475)&lt;'Sollecitazioni nel paramento'!$G$58,ABS(O2475)*'Sollecitazioni nel paramento'!$G$54,'Sollecitazioni nel paramento'!$G$53)</f>
        <v>40271.50588350308</v>
      </c>
      <c r="J2475" s="472">
        <f t="shared" si="171"/>
        <v>-13286398845.926832</v>
      </c>
      <c r="K2475" s="550">
        <f>'Sollecitazioni nel paramento'!$G$60*(sezione!$AL$36-C2475)/C2475</f>
        <v>-3.3143303472971167E-3</v>
      </c>
      <c r="L2475" s="550">
        <f>'Sollecitazioni nel paramento'!$G$60*(sezione!$AM$36-C2475)/C2475</f>
        <v>-3.2214955209456742E-3</v>
      </c>
      <c r="M2475" s="551">
        <f>'Sollecitazioni nel paramento'!$G$60*(sezione!$AN$36-C2475)/C2475</f>
        <v>-3.1286606945942325E-3</v>
      </c>
      <c r="N2475" s="551">
        <f>'Sollecitazioni nel paramento'!$G$60*(sezione!$AO$36-C2475)/C2475</f>
        <v>-2.7573213891884645E-3</v>
      </c>
      <c r="O2475" s="551">
        <f>'Sollecitazioni nel paramento'!$G$60*(sezione!$AP$36-C2475)/C2475</f>
        <v>1.4616470330021069E-5</v>
      </c>
      <c r="P2475" s="545">
        <f>-'Sollecitazioni nel paramento'!$G$47*'Sollecitazioni nel paramento'!$G$41*IF(DATI!$G$211="dx",DATI!$E$61,DATI!$E$64*DATI!$E$63)*1000*C2475*sezione!$AD$5</f>
        <v>-28726180.73205002</v>
      </c>
      <c r="Q2475" s="545">
        <f>'Foglio deposito bis'!$F$88*IF(ABS(K2475)&lt;'Sollecitazioni nel paramento'!$G$58,ABS(K2475)*'Sollecitazioni nel paramento'!$G$54,'Sollecitazioni nel paramento'!$G$53)*IF(K2475&lt;0,-1,1)</f>
        <v>0</v>
      </c>
      <c r="R2475" s="545">
        <f>'Foglio deposito bis'!$F$89*IF(ABS(L2475)&lt;'Sollecitazioni nel paramento'!$G$58,ABS(L2475)*'Sollecitazioni nel paramento'!$G$54,'Sollecitazioni nel paramento'!$G$53)*IF(L2475&lt;0,-1,1)</f>
        <v>-153664.85805602249</v>
      </c>
      <c r="S2475" s="545">
        <f>'Foglio deposito bis'!$F$90*IF(ABS(M2475)&lt;'Sollecitazioni nel paramento'!$G$58,ABS(M2475)*'Sollecitazioni nel paramento'!$G$54,'Sollecitazioni nel paramento'!$G$53)*IF(M2475&lt;0,-1,1)</f>
        <v>0</v>
      </c>
      <c r="T2475" s="545">
        <f>'Foglio deposito bis'!$F$91*IF(ABS(N2475)&lt;'Sollecitazioni nel paramento'!$G$58,ABS(N2475)*'Sollecitazioni nel paramento'!$G$54,'Sollecitazioni nel paramento'!$G$53)*IF(N2475&lt;0,-1,1)</f>
        <v>-892485.49558937876</v>
      </c>
      <c r="U2475" s="545">
        <f>'Foglio deposito bis'!$F$92*IF(ABS(O2475)&lt;'Sollecitazioni nel paramento'!$G$58,ABS(O2475)*'Sollecitazioni nel paramento'!$G$54,'Sollecitazioni nel paramento'!$G$53)*IF(O2475&lt;0,-1,1)</f>
        <v>12788.991361092476</v>
      </c>
      <c r="V2475" s="472">
        <f t="shared" si="173"/>
        <v>-29759542.09433433</v>
      </c>
      <c r="W2475" s="551"/>
      <c r="X2475" s="551"/>
    </row>
    <row r="2476" spans="1:24" x14ac:dyDescent="0.25">
      <c r="A2476" s="545">
        <f t="shared" si="172"/>
        <v>30213876.794011761</v>
      </c>
      <c r="B2476" s="3">
        <f t="shared" si="170"/>
        <v>70.899999999999949</v>
      </c>
      <c r="C2476" s="545">
        <f>'Foglio deposito bis'!$E$162/sezione!$B$247*B2476</f>
        <v>764.81460035673081</v>
      </c>
      <c r="D2476" s="603">
        <f>-'Sollecitazioni nel paramento'!$G$47*'Sollecitazioni nel paramento'!$G$41*IF(DATI!$G$211="dx",DATI!$E$61,DATI!$E$64*DATI!$E$63)*1000*C2476^2*sezione!$AD$5*(1-sezione!$AD$6)</f>
        <v>-13014154706.707689</v>
      </c>
      <c r="E2476" s="545">
        <f>-'Foglio deposito bis'!$F$88*(C2476-sezione!$AL$36)*IF(ABS(K2476)&lt;'Sollecitazioni nel paramento'!$G$58,ABS(K2476)*'Sollecitazioni nel paramento'!$G$54,'Sollecitazioni nel paramento'!$G$53)</f>
        <v>0</v>
      </c>
      <c r="F2476" s="545">
        <f>-'Foglio deposito bis'!$F$89*(C2476-sezione!$AM$36)*IF(ABS(L2476)&lt;'Sollecitazioni nel paramento'!$G$58,ABS(L2476)*'Sollecitazioni nel paramento'!$G$54,'Sollecitazioni nel paramento'!$G$53)</f>
        <v>-108305235.51962925</v>
      </c>
      <c r="G2476" s="545">
        <f>-'Foglio deposito bis'!$F$90*(C2476-sezione!$AN$36)*IF(ABS(M2476)&lt;'Sollecitazioni nel paramento'!$G$58,ABS(M2476)*'Sollecitazioni nel paramento'!$G$54,'Sollecitazioni nel paramento'!$G$53)</f>
        <v>0</v>
      </c>
      <c r="H2476" s="545">
        <f>-'Foglio deposito bis'!$F$91*(C2476-sezione!$AO$36)*IF(ABS(N2476)&lt;'Sollecitazioni nel paramento'!$G$58,ABS(N2476)*'Sollecitazioni nel paramento'!$G$54,'Sollecitazioni nel paramento'!$G$53)</f>
        <v>-539788258.33906889</v>
      </c>
      <c r="I2476" s="472">
        <f>-'Foglio deposito bis'!$F$92*(C2476-sezione!$AP$36)*IF(ABS(O2476)&lt;'Sollecitazioni nel paramento'!$G$58,ABS(O2476)*'Sollecitazioni nel paramento'!$G$54,'Sollecitazioni nel paramento'!$G$53)</f>
        <v>-233614.74540595009</v>
      </c>
      <c r="J2476" s="472">
        <f t="shared" si="171"/>
        <v>-13662481815.311792</v>
      </c>
      <c r="K2476" s="550">
        <f>'Sollecitazioni nel paramento'!$G$60*(sezione!$AL$36-C2476)/C2476</f>
        <v>-3.3169491012139413E-3</v>
      </c>
      <c r="L2476" s="550">
        <f>'Sollecitazioni nel paramento'!$G$60*(sezione!$AM$36-C2476)/C2476</f>
        <v>-3.2254236518209113E-3</v>
      </c>
      <c r="M2476" s="551">
        <f>'Sollecitazioni nel paramento'!$G$60*(sezione!$AN$36-C2476)/C2476</f>
        <v>-3.1338982024278822E-3</v>
      </c>
      <c r="N2476" s="551">
        <f>'Sollecitazioni nel paramento'!$G$60*(sezione!$AO$36-C2476)/C2476</f>
        <v>-2.7677964048557647E-3</v>
      </c>
      <c r="O2476" s="551">
        <f>'Sollecitazioni nel paramento'!$G$60*(sezione!$AP$36-C2476)/C2476</f>
        <v>-3.4954989054041586E-5</v>
      </c>
      <c r="P2476" s="545">
        <f>-'Sollecitazioni nel paramento'!$G$47*'Sollecitazioni nel paramento'!$G$41*IF(DATI!$G$211="dx",DATI!$E$61,DATI!$E$64*DATI!$E$63)*1000*C2476*sezione!$AD$5</f>
        <v>-29137141.829790365</v>
      </c>
      <c r="Q2476" s="545">
        <f>'Foglio deposito bis'!$F$88*IF(ABS(K2476)&lt;'Sollecitazioni nel paramento'!$G$58,ABS(K2476)*'Sollecitazioni nel paramento'!$G$54,'Sollecitazioni nel paramento'!$G$53)*IF(K2476&lt;0,-1,1)</f>
        <v>0</v>
      </c>
      <c r="R2476" s="545">
        <f>'Foglio deposito bis'!$F$89*IF(ABS(L2476)&lt;'Sollecitazioni nel paramento'!$G$58,ABS(L2476)*'Sollecitazioni nel paramento'!$G$54,'Sollecitazioni nel paramento'!$G$53)*IF(L2476&lt;0,-1,1)</f>
        <v>-153664.85805602249</v>
      </c>
      <c r="S2476" s="545">
        <f>'Foglio deposito bis'!$F$90*IF(ABS(M2476)&lt;'Sollecitazioni nel paramento'!$G$58,ABS(M2476)*'Sollecitazioni nel paramento'!$G$54,'Sollecitazioni nel paramento'!$G$53)*IF(M2476&lt;0,-1,1)</f>
        <v>0</v>
      </c>
      <c r="T2476" s="545">
        <f>'Foglio deposito bis'!$F$91*IF(ABS(N2476)&lt;'Sollecitazioni nel paramento'!$G$58,ABS(N2476)*'Sollecitazioni nel paramento'!$G$54,'Sollecitazioni nel paramento'!$G$53)*IF(N2476&lt;0,-1,1)</f>
        <v>-892485.49558937876</v>
      </c>
      <c r="U2476" s="545">
        <f>'Foglio deposito bis'!$F$92*IF(ABS(O2476)&lt;'Sollecitazioni nel paramento'!$G$58,ABS(O2476)*'Sollecitazioni nel paramento'!$G$54,'Sollecitazioni nel paramento'!$G$53)*IF(O2476&lt;0,-1,1)</f>
        <v>-30584.610575990919</v>
      </c>
      <c r="V2476" s="472">
        <f t="shared" si="173"/>
        <v>-30213876.794011761</v>
      </c>
      <c r="W2476" s="551"/>
      <c r="X2476" s="551"/>
    </row>
    <row r="2477" spans="1:24" x14ac:dyDescent="0.25">
      <c r="A2477" s="545">
        <f t="shared" si="172"/>
        <v>30667004.995721538</v>
      </c>
      <c r="B2477" s="3">
        <f t="shared" si="170"/>
        <v>71.899999999999949</v>
      </c>
      <c r="C2477" s="545">
        <f>'Foglio deposito bis'!$E$162/sezione!$B$247*B2477</f>
        <v>775.60183026303162</v>
      </c>
      <c r="D2477" s="603">
        <f>-'Sollecitazioni nel paramento'!$G$47*'Sollecitazioni nel paramento'!$G$41*IF(DATI!$G$211="dx",DATI!$E$61,DATI!$E$64*DATI!$E$63)*1000*C2477^2*sezione!$AD$5*(1-sezione!$AD$6)</f>
        <v>-13383856623.453667</v>
      </c>
      <c r="E2477" s="545">
        <f>-'Foglio deposito bis'!$F$88*(C2477-sezione!$AL$36)*IF(ABS(K2477)&lt;'Sollecitazioni nel paramento'!$G$58,ABS(K2477)*'Sollecitazioni nel paramento'!$G$54,'Sollecitazioni nel paramento'!$G$53)</f>
        <v>0</v>
      </c>
      <c r="F2477" s="545">
        <f>-'Foglio deposito bis'!$F$89*(C2477-sezione!$AM$36)*IF(ABS(L2477)&lt;'Sollecitazioni nel paramento'!$G$58,ABS(L2477)*'Sollecitazioni nel paramento'!$G$54,'Sollecitazioni nel paramento'!$G$53)</f>
        <v>-109962853.67199865</v>
      </c>
      <c r="G2477" s="545">
        <f>-'Foglio deposito bis'!$F$90*(C2477-sezione!$AN$36)*IF(ABS(M2477)&lt;'Sollecitazioni nel paramento'!$G$58,ABS(M2477)*'Sollecitazioni nel paramento'!$G$54,'Sollecitazioni nel paramento'!$G$53)</f>
        <v>0</v>
      </c>
      <c r="H2477" s="545">
        <f>-'Foglio deposito bis'!$F$91*(C2477-sezione!$AO$36)*IF(ABS(N2477)&lt;'Sollecitazioni nel paramento'!$G$58,ABS(N2477)*'Sollecitazioni nel paramento'!$G$54,'Sollecitazioni nel paramento'!$G$53)</f>
        <v>-549415704.56803036</v>
      </c>
      <c r="I2477" s="472">
        <f>-'Foglio deposito bis'!$F$92*(C2477-sezione!$AP$36)*IF(ABS(O2477)&lt;'Sollecitazioni nel paramento'!$G$58,ABS(O2477)*'Sollecitazioni nel paramento'!$G$54,'Sollecitazioni nel paramento'!$G$53)</f>
        <v>-1340489.6400587927</v>
      </c>
      <c r="J2477" s="472">
        <f t="shared" si="171"/>
        <v>-14044575671.333754</v>
      </c>
      <c r="K2477" s="550">
        <f>'Sollecitazioni nel paramento'!$G$60*(sezione!$AL$36-C2477)/C2477</f>
        <v>-3.3194950107937192E-3</v>
      </c>
      <c r="L2477" s="550">
        <f>'Sollecitazioni nel paramento'!$G$60*(sezione!$AM$36-C2477)/C2477</f>
        <v>-3.2292425161905792E-3</v>
      </c>
      <c r="M2477" s="551">
        <f>'Sollecitazioni nel paramento'!$G$60*(sezione!$AN$36-C2477)/C2477</f>
        <v>-3.1389900215874388E-3</v>
      </c>
      <c r="N2477" s="551">
        <f>'Sollecitazioni nel paramento'!$G$60*(sezione!$AO$36-C2477)/C2477</f>
        <v>-2.7779800431748775E-3</v>
      </c>
      <c r="O2477" s="551">
        <f>'Sollecitazioni nel paramento'!$G$60*(sezione!$AP$36-C2477)/C2477</f>
        <v>-8.3147548316154832E-5</v>
      </c>
      <c r="P2477" s="545">
        <f>-'Sollecitazioni nel paramento'!$G$47*'Sollecitazioni nel paramento'!$G$41*IF(DATI!$G$211="dx",DATI!$E$61,DATI!$E$64*DATI!$E$63)*1000*C2477*sezione!$AD$5</f>
        <v>-29548102.927530713</v>
      </c>
      <c r="Q2477" s="545">
        <f>'Foglio deposito bis'!$F$88*IF(ABS(K2477)&lt;'Sollecitazioni nel paramento'!$G$58,ABS(K2477)*'Sollecitazioni nel paramento'!$G$54,'Sollecitazioni nel paramento'!$G$53)*IF(K2477&lt;0,-1,1)</f>
        <v>0</v>
      </c>
      <c r="R2477" s="545">
        <f>'Foglio deposito bis'!$F$89*IF(ABS(L2477)&lt;'Sollecitazioni nel paramento'!$G$58,ABS(L2477)*'Sollecitazioni nel paramento'!$G$54,'Sollecitazioni nel paramento'!$G$53)*IF(L2477&lt;0,-1,1)</f>
        <v>-153664.85805602249</v>
      </c>
      <c r="S2477" s="545">
        <f>'Foglio deposito bis'!$F$90*IF(ABS(M2477)&lt;'Sollecitazioni nel paramento'!$G$58,ABS(M2477)*'Sollecitazioni nel paramento'!$G$54,'Sollecitazioni nel paramento'!$G$53)*IF(M2477&lt;0,-1,1)</f>
        <v>0</v>
      </c>
      <c r="T2477" s="545">
        <f>'Foglio deposito bis'!$F$91*IF(ABS(N2477)&lt;'Sollecitazioni nel paramento'!$G$58,ABS(N2477)*'Sollecitazioni nel paramento'!$G$54,'Sollecitazioni nel paramento'!$G$53)*IF(N2477&lt;0,-1,1)</f>
        <v>-892485.49558937876</v>
      </c>
      <c r="U2477" s="545">
        <f>'Foglio deposito bis'!$F$92*IF(ABS(O2477)&lt;'Sollecitazioni nel paramento'!$G$58,ABS(O2477)*'Sollecitazioni nel paramento'!$G$54,'Sollecitazioni nel paramento'!$G$53)*IF(O2477&lt;0,-1,1)</f>
        <v>-72751.71454542203</v>
      </c>
      <c r="V2477" s="472">
        <f t="shared" si="173"/>
        <v>-30667004.995721538</v>
      </c>
      <c r="W2477" s="551"/>
      <c r="X2477" s="551"/>
    </row>
    <row r="2478" spans="1:24" x14ac:dyDescent="0.25">
      <c r="A2478" s="545">
        <f t="shared" si="172"/>
        <v>31118976.34958579</v>
      </c>
      <c r="B2478" s="3">
        <f t="shared" si="170"/>
        <v>72.899999999999949</v>
      </c>
      <c r="C2478" s="545">
        <f>'Foglio deposito bis'!$E$162/sezione!$B$247*B2478</f>
        <v>786.38906016933254</v>
      </c>
      <c r="D2478" s="603">
        <f>-'Sollecitazioni nel paramento'!$G$47*'Sollecitazioni nel paramento'!$G$41*IF(DATI!$G$211="dx",DATI!$E$61,DATI!$E$64*DATI!$E$63)*1000*C2478^2*sezione!$AD$5*(1-sezione!$AD$6)</f>
        <v>-13758736438.193289</v>
      </c>
      <c r="E2478" s="545">
        <f>-'Foglio deposito bis'!$F$88*(C2478-sezione!$AL$36)*IF(ABS(K2478)&lt;'Sollecitazioni nel paramento'!$G$58,ABS(K2478)*'Sollecitazioni nel paramento'!$G$54,'Sollecitazioni nel paramento'!$G$53)</f>
        <v>0</v>
      </c>
      <c r="F2478" s="545">
        <f>-'Foglio deposito bis'!$F$89*(C2478-sezione!$AM$36)*IF(ABS(L2478)&lt;'Sollecitazioni nel paramento'!$G$58,ABS(L2478)*'Sollecitazioni nel paramento'!$G$54,'Sollecitazioni nel paramento'!$G$53)</f>
        <v>-111620471.82436806</v>
      </c>
      <c r="G2478" s="545">
        <f>-'Foglio deposito bis'!$F$90*(C2478-sezione!$AN$36)*IF(ABS(M2478)&lt;'Sollecitazioni nel paramento'!$G$58,ABS(M2478)*'Sollecitazioni nel paramento'!$G$54,'Sollecitazioni nel paramento'!$G$53)</f>
        <v>0</v>
      </c>
      <c r="H2478" s="545">
        <f>-'Foglio deposito bis'!$F$91*(C2478-sezione!$AO$36)*IF(ABS(N2478)&lt;'Sollecitazioni nel paramento'!$G$58,ABS(N2478)*'Sollecitazioni nel paramento'!$G$54,'Sollecitazioni nel paramento'!$G$53)</f>
        <v>-559043150.79699194</v>
      </c>
      <c r="I2478" s="472">
        <f>-'Foglio deposito bis'!$F$92*(C2478-sezione!$AP$36)*IF(ABS(O2478)&lt;'Sollecitazioni nel paramento'!$G$58,ABS(O2478)*'Sollecitazioni nel paramento'!$G$54,'Sollecitazioni nel paramento'!$G$53)</f>
        <v>-3323302.294569198</v>
      </c>
      <c r="J2478" s="472">
        <f t="shared" si="171"/>
        <v>-14432723363.109217</v>
      </c>
      <c r="K2478" s="550">
        <f>'Sollecitazioni nel paramento'!$G$60*(sezione!$AL$36-C2478)/C2478</f>
        <v>-3.3219710737457946E-3</v>
      </c>
      <c r="L2478" s="550">
        <f>'Sollecitazioni nel paramento'!$G$60*(sezione!$AM$36-C2478)/C2478</f>
        <v>-3.2329566106186918E-3</v>
      </c>
      <c r="M2478" s="551">
        <f>'Sollecitazioni nel paramento'!$G$60*(sezione!$AN$36-C2478)/C2478</f>
        <v>-3.1439421474915895E-3</v>
      </c>
      <c r="N2478" s="551">
        <f>'Sollecitazioni nel paramento'!$G$60*(sezione!$AO$36-C2478)/C2478</f>
        <v>-2.7878842949831781E-3</v>
      </c>
      <c r="O2478" s="551">
        <f>'Sollecitazioni nel paramento'!$G$60*(sezione!$AP$36-C2478)/C2478</f>
        <v>-1.3001795231730527E-4</v>
      </c>
      <c r="P2478" s="545">
        <f>-'Sollecitazioni nel paramento'!$G$47*'Sollecitazioni nel paramento'!$G$41*IF(DATI!$G$211="dx",DATI!$E$61,DATI!$E$64*DATI!$E$63)*1000*C2478*sezione!$AD$5</f>
        <v>-29959064.025271058</v>
      </c>
      <c r="Q2478" s="545">
        <f>'Foglio deposito bis'!$F$88*IF(ABS(K2478)&lt;'Sollecitazioni nel paramento'!$G$58,ABS(K2478)*'Sollecitazioni nel paramento'!$G$54,'Sollecitazioni nel paramento'!$G$53)*IF(K2478&lt;0,-1,1)</f>
        <v>0</v>
      </c>
      <c r="R2478" s="545">
        <f>'Foglio deposito bis'!$F$89*IF(ABS(L2478)&lt;'Sollecitazioni nel paramento'!$G$58,ABS(L2478)*'Sollecitazioni nel paramento'!$G$54,'Sollecitazioni nel paramento'!$G$53)*IF(L2478&lt;0,-1,1)</f>
        <v>-153664.85805602249</v>
      </c>
      <c r="S2478" s="545">
        <f>'Foglio deposito bis'!$F$90*IF(ABS(M2478)&lt;'Sollecitazioni nel paramento'!$G$58,ABS(M2478)*'Sollecitazioni nel paramento'!$G$54,'Sollecitazioni nel paramento'!$G$53)*IF(M2478&lt;0,-1,1)</f>
        <v>0</v>
      </c>
      <c r="T2478" s="545">
        <f>'Foglio deposito bis'!$F$91*IF(ABS(N2478)&lt;'Sollecitazioni nel paramento'!$G$58,ABS(N2478)*'Sollecitazioni nel paramento'!$G$54,'Sollecitazioni nel paramento'!$G$53)*IF(N2478&lt;0,-1,1)</f>
        <v>-892485.49558937876</v>
      </c>
      <c r="U2478" s="545">
        <f>'Foglio deposito bis'!$F$92*IF(ABS(O2478)&lt;'Sollecitazioni nel paramento'!$G$58,ABS(O2478)*'Sollecitazioni nel paramento'!$G$54,'Sollecitazioni nel paramento'!$G$53)*IF(O2478&lt;0,-1,1)</f>
        <v>-113761.97066932736</v>
      </c>
      <c r="V2478" s="472">
        <f t="shared" si="173"/>
        <v>-31118976.34958579</v>
      </c>
      <c r="W2478" s="551"/>
      <c r="X2478" s="551"/>
    </row>
    <row r="2479" spans="1:24" x14ac:dyDescent="0.25">
      <c r="A2479" s="545">
        <f t="shared" si="172"/>
        <v>31569837.818304598</v>
      </c>
      <c r="B2479" s="3">
        <f t="shared" si="170"/>
        <v>73.899999999999949</v>
      </c>
      <c r="C2479" s="545">
        <f>'Foglio deposito bis'!$E$162/sezione!$B$247*B2479</f>
        <v>797.17629007563335</v>
      </c>
      <c r="D2479" s="603">
        <f>-'Sollecitazioni nel paramento'!$G$47*'Sollecitazioni nel paramento'!$G$41*IF(DATI!$G$211="dx",DATI!$E$61,DATI!$E$64*DATI!$E$63)*1000*C2479^2*sezione!$AD$5*(1-sezione!$AD$6)</f>
        <v>-14138794150.92655</v>
      </c>
      <c r="E2479" s="545">
        <f>-'Foglio deposito bis'!$F$88*(C2479-sezione!$AL$36)*IF(ABS(K2479)&lt;'Sollecitazioni nel paramento'!$G$58,ABS(K2479)*'Sollecitazioni nel paramento'!$G$54,'Sollecitazioni nel paramento'!$G$53)</f>
        <v>0</v>
      </c>
      <c r="F2479" s="545">
        <f>-'Foglio deposito bis'!$F$89*(C2479-sezione!$AM$36)*IF(ABS(L2479)&lt;'Sollecitazioni nel paramento'!$G$58,ABS(L2479)*'Sollecitazioni nel paramento'!$G$54,'Sollecitazioni nel paramento'!$G$53)</f>
        <v>-113278089.97673745</v>
      </c>
      <c r="G2479" s="545">
        <f>-'Foglio deposito bis'!$F$90*(C2479-sezione!$AN$36)*IF(ABS(M2479)&lt;'Sollecitazioni nel paramento'!$G$58,ABS(M2479)*'Sollecitazioni nel paramento'!$G$54,'Sollecitazioni nel paramento'!$G$53)</f>
        <v>0</v>
      </c>
      <c r="H2479" s="545">
        <f>-'Foglio deposito bis'!$F$91*(C2479-sezione!$AO$36)*IF(ABS(N2479)&lt;'Sollecitazioni nel paramento'!$G$58,ABS(N2479)*'Sollecitazioni nel paramento'!$G$54,'Sollecitazioni nel paramento'!$G$53)</f>
        <v>-568670597.02595341</v>
      </c>
      <c r="I2479" s="472">
        <f>-'Foglio deposito bis'!$F$92*(C2479-sezione!$AP$36)*IF(ABS(O2479)&lt;'Sollecitazioni nel paramento'!$G$58,ABS(O2479)*'Sollecitazioni nel paramento'!$G$54,'Sollecitazioni nel paramento'!$G$53)</f>
        <v>-6146493.6659117835</v>
      </c>
      <c r="J2479" s="472">
        <f t="shared" si="171"/>
        <v>-14826889331.595154</v>
      </c>
      <c r="K2479" s="550">
        <f>'Sollecitazioni nel paramento'!$G$60*(sezione!$AL$36-C2479)/C2479</f>
        <v>-3.3243801255219002E-3</v>
      </c>
      <c r="L2479" s="550">
        <f>'Sollecitazioni nel paramento'!$G$60*(sezione!$AM$36-C2479)/C2479</f>
        <v>-3.2365701882828501E-3</v>
      </c>
      <c r="M2479" s="551">
        <f>'Sollecitazioni nel paramento'!$G$60*(sezione!$AN$36-C2479)/C2479</f>
        <v>-3.1487602510438003E-3</v>
      </c>
      <c r="N2479" s="551">
        <f>'Sollecitazioni nel paramento'!$G$60*(sezione!$AO$36-C2479)/C2479</f>
        <v>-2.7975205020876011E-3</v>
      </c>
      <c r="O2479" s="551">
        <f>'Sollecitazioni nel paramento'!$G$60*(sezione!$AP$36-C2479)/C2479</f>
        <v>-1.7561987447809929E-4</v>
      </c>
      <c r="P2479" s="545">
        <f>-'Sollecitazioni nel paramento'!$G$47*'Sollecitazioni nel paramento'!$G$41*IF(DATI!$G$211="dx",DATI!$E$61,DATI!$E$64*DATI!$E$63)*1000*C2479*sezione!$AD$5</f>
        <v>-30370025.123011399</v>
      </c>
      <c r="Q2479" s="545">
        <f>'Foglio deposito bis'!$F$88*IF(ABS(K2479)&lt;'Sollecitazioni nel paramento'!$G$58,ABS(K2479)*'Sollecitazioni nel paramento'!$G$54,'Sollecitazioni nel paramento'!$G$53)*IF(K2479&lt;0,-1,1)</f>
        <v>0</v>
      </c>
      <c r="R2479" s="545">
        <f>'Foglio deposito bis'!$F$89*IF(ABS(L2479)&lt;'Sollecitazioni nel paramento'!$G$58,ABS(L2479)*'Sollecitazioni nel paramento'!$G$54,'Sollecitazioni nel paramento'!$G$53)*IF(L2479&lt;0,-1,1)</f>
        <v>-153664.85805602249</v>
      </c>
      <c r="S2479" s="545">
        <f>'Foglio deposito bis'!$F$90*IF(ABS(M2479)&lt;'Sollecitazioni nel paramento'!$G$58,ABS(M2479)*'Sollecitazioni nel paramento'!$G$54,'Sollecitazioni nel paramento'!$G$53)*IF(M2479&lt;0,-1,1)</f>
        <v>0</v>
      </c>
      <c r="T2479" s="545">
        <f>'Foglio deposito bis'!$F$91*IF(ABS(N2479)&lt;'Sollecitazioni nel paramento'!$G$58,ABS(N2479)*'Sollecitazioni nel paramento'!$G$54,'Sollecitazioni nel paramento'!$G$53)*IF(N2479&lt;0,-1,1)</f>
        <v>-892485.49558937876</v>
      </c>
      <c r="U2479" s="545">
        <f>'Foglio deposito bis'!$F$92*IF(ABS(O2479)&lt;'Sollecitazioni nel paramento'!$G$58,ABS(O2479)*'Sollecitazioni nel paramento'!$G$54,'Sollecitazioni nel paramento'!$G$53)*IF(O2479&lt;0,-1,1)</f>
        <v>-153662.34164779502</v>
      </c>
      <c r="V2479" s="472">
        <f t="shared" si="173"/>
        <v>-31569837.818304598</v>
      </c>
      <c r="W2479" s="551"/>
      <c r="X2479" s="551"/>
    </row>
    <row r="2480" spans="1:24" x14ac:dyDescent="0.25">
      <c r="A2480" s="421"/>
      <c r="B2480" s="421"/>
      <c r="C2480" s="421"/>
      <c r="D2480" s="421"/>
      <c r="E2480" s="421"/>
      <c r="F2480" s="421"/>
      <c r="G2480" s="421"/>
      <c r="H2480" s="421"/>
      <c r="I2480" s="421"/>
      <c r="J2480" s="421"/>
      <c r="K2480" s="421"/>
      <c r="L2480" s="421"/>
      <c r="M2480" s="421"/>
      <c r="N2480" s="421"/>
      <c r="O2480" s="421"/>
      <c r="P2480" s="545"/>
      <c r="Q2480" s="545"/>
      <c r="R2480" s="545"/>
      <c r="S2480" s="545"/>
      <c r="T2480" s="545"/>
      <c r="U2480" s="545"/>
      <c r="V2480" s="472"/>
    </row>
    <row r="2481" spans="1:24" x14ac:dyDescent="0.25">
      <c r="A2481" s="421"/>
      <c r="B2481" s="421"/>
      <c r="C2481" s="421"/>
      <c r="D2481" s="421"/>
      <c r="E2481" s="421"/>
      <c r="F2481" s="421"/>
      <c r="G2481" s="421"/>
      <c r="H2481" s="421"/>
      <c r="I2481" s="421"/>
      <c r="J2481" s="421"/>
      <c r="K2481" s="421"/>
      <c r="L2481" s="421"/>
      <c r="M2481" s="421"/>
      <c r="N2481" s="421"/>
      <c r="O2481" s="421"/>
      <c r="P2481" s="545"/>
      <c r="Q2481" s="545"/>
      <c r="R2481" s="545"/>
      <c r="S2481" s="545"/>
      <c r="T2481" s="545"/>
      <c r="U2481" s="545"/>
      <c r="V2481" s="472"/>
    </row>
    <row r="2482" spans="1:24" ht="15.75" x14ac:dyDescent="0.25">
      <c r="A2482" s="1035" t="s">
        <v>960</v>
      </c>
      <c r="B2482" s="1036"/>
      <c r="C2482" s="1036"/>
      <c r="D2482" s="1036"/>
      <c r="E2482" s="1036"/>
      <c r="F2482" s="1036"/>
      <c r="G2482" s="1036"/>
      <c r="H2482" s="1036"/>
      <c r="I2482" s="1036"/>
      <c r="J2482" s="1036"/>
      <c r="K2482" s="1036"/>
      <c r="L2482" s="1036"/>
      <c r="M2482" s="1036"/>
      <c r="N2482" s="1036"/>
      <c r="O2482" s="1037"/>
      <c r="P2482" s="545"/>
      <c r="Q2482" s="545"/>
      <c r="R2482" s="545"/>
      <c r="S2482" s="545"/>
      <c r="T2482" s="545"/>
      <c r="U2482" s="545"/>
      <c r="V2482" s="472"/>
      <c r="W2482" s="605"/>
      <c r="X2482" s="605"/>
    </row>
    <row r="2483" spans="1:24" x14ac:dyDescent="0.25">
      <c r="A2483" s="563">
        <v>1</v>
      </c>
      <c r="B2483" s="563">
        <v>2</v>
      </c>
      <c r="C2483" s="563">
        <v>3</v>
      </c>
      <c r="D2483" s="563">
        <v>4</v>
      </c>
      <c r="E2483" s="563">
        <v>5</v>
      </c>
      <c r="F2483" s="563">
        <v>6</v>
      </c>
      <c r="G2483" s="563">
        <v>7</v>
      </c>
      <c r="H2483" s="563">
        <v>8</v>
      </c>
      <c r="I2483" s="563">
        <v>9</v>
      </c>
      <c r="J2483" s="563">
        <v>10</v>
      </c>
      <c r="K2483" s="563">
        <v>11</v>
      </c>
      <c r="L2483" s="563">
        <v>12</v>
      </c>
      <c r="M2483" s="563">
        <v>13</v>
      </c>
      <c r="N2483" s="563">
        <v>14</v>
      </c>
      <c r="O2483" s="563">
        <v>15</v>
      </c>
      <c r="P2483" s="598">
        <v>4</v>
      </c>
      <c r="Q2483" s="598">
        <v>5</v>
      </c>
      <c r="R2483" s="598">
        <v>6</v>
      </c>
      <c r="S2483" s="598">
        <v>7</v>
      </c>
      <c r="T2483" s="598">
        <v>8</v>
      </c>
      <c r="U2483" s="598">
        <v>9</v>
      </c>
      <c r="V2483" s="598">
        <v>10</v>
      </c>
      <c r="W2483" s="46"/>
      <c r="X2483" s="46"/>
    </row>
    <row r="2484" spans="1:24" x14ac:dyDescent="0.25">
      <c r="A2484" s="565" t="s">
        <v>930</v>
      </c>
      <c r="B2484" s="80" t="s">
        <v>918</v>
      </c>
      <c r="C2484" s="563" t="s">
        <v>137</v>
      </c>
      <c r="D2484" s="563" t="s">
        <v>912</v>
      </c>
      <c r="E2484" s="563" t="s">
        <v>913</v>
      </c>
      <c r="F2484" s="563" t="s">
        <v>914</v>
      </c>
      <c r="G2484" s="563" t="s">
        <v>915</v>
      </c>
      <c r="H2484" s="563" t="s">
        <v>916</v>
      </c>
      <c r="I2484" s="563" t="s">
        <v>917</v>
      </c>
      <c r="J2484" s="564" t="s">
        <v>911</v>
      </c>
      <c r="K2484" s="565" t="s">
        <v>924</v>
      </c>
      <c r="L2484" s="565" t="s">
        <v>925</v>
      </c>
      <c r="M2484" s="565" t="s">
        <v>926</v>
      </c>
      <c r="N2484" s="565" t="s">
        <v>927</v>
      </c>
      <c r="O2484" s="565" t="s">
        <v>928</v>
      </c>
      <c r="P2484" s="598" t="s">
        <v>296</v>
      </c>
      <c r="Q2484" s="598" t="s">
        <v>969</v>
      </c>
      <c r="R2484" s="598" t="s">
        <v>970</v>
      </c>
      <c r="S2484" s="598" t="s">
        <v>971</v>
      </c>
      <c r="T2484" s="598" t="s">
        <v>972</v>
      </c>
      <c r="U2484" s="598" t="s">
        <v>973</v>
      </c>
      <c r="V2484" s="599" t="s">
        <v>1022</v>
      </c>
      <c r="W2484" s="57"/>
      <c r="X2484" s="57"/>
    </row>
    <row r="2485" spans="1:24" x14ac:dyDescent="0.25">
      <c r="A2485" s="545">
        <f>ABS(V2485)</f>
        <v>2707808.4883793406</v>
      </c>
      <c r="B2485" s="3">
        <v>0</v>
      </c>
      <c r="C2485" s="41">
        <v>0.01</v>
      </c>
      <c r="D2485" s="31">
        <f>-'Sollecitazioni nel paramento'!$G$47*'Sollecitazioni nel paramento'!$G$41*IF(DATI!$G$211="dx",DATI!$E$61,DATI!$E$64*DATI!$E$63)*1000*C2485^2*sezione!$AD$5*(1-sezione!$AD$6)</f>
        <v>-2.2248647999999998</v>
      </c>
      <c r="E2485" s="545">
        <f>-'Foglio deposito bis'!$F$88*(C2485-sezione!$AL$37)*IF(ABS(K2485)&lt;'Sollecitazioni nel paramento'!$G$58,ABS(K2485)*'Sollecitazioni nel paramento'!$G$54,'Sollecitazioni nel paramento'!$G$53)</f>
        <v>0</v>
      </c>
      <c r="F2485" s="545">
        <f>-'Foglio deposito bis'!$F$89*(C2485-sezione!$AM$37)*IF(ABS(L2485)&lt;'Sollecitazioni nel paramento'!$G$58,ABS(L2485)*'Sollecitazioni nel paramento'!$G$54,'Sollecitazioni nel paramento'!$G$53)</f>
        <v>9218354.8347807899</v>
      </c>
      <c r="G2485" s="545">
        <f>-'Foglio deposito bis'!$F$90*(C2485-sezione!$AN$37)*IF(ABS(M2485)&lt;'Sollecitazioni nel paramento'!$G$58,ABS(M2485)*'Sollecitazioni nel paramento'!$G$54,'Sollecitazioni nel paramento'!$G$53)</f>
        <v>0</v>
      </c>
      <c r="H2485" s="545">
        <f>-'Foglio deposito bis'!$F$91*(C2485-sezione!$AO$37)*IF(ABS(N2485)&lt;'Sollecitazioni nel paramento'!$G$58,ABS(N2485)*'Sollecitazioni nel paramento'!$G$54,'Sollecitazioni nel paramento'!$G$53)</f>
        <v>142788754.4393447</v>
      </c>
      <c r="I2485" s="472">
        <f>-'Foglio deposito bis'!$F$92*(C2485-sezione!$AP$37)*IF(ABS(O2485)&lt;'Sollecitazioni nel paramento'!$G$58,ABS(O2485)*'Sollecitazioni nel paramento'!$G$54,'Sollecitazioni nel paramento'!$G$53)</f>
        <v>1360261263.8070853</v>
      </c>
      <c r="J2485" s="472">
        <f t="shared" ref="J2485:J2548" si="174">D2485+E2485+F2485+G2485+H2485+I2485</f>
        <v>1512268370.8563459</v>
      </c>
      <c r="K2485" s="550">
        <f>'Sollecitazioni nel paramento'!$G$60*(sezione!$AL$37-C2485)/C2485</f>
        <v>13.996500000000001</v>
      </c>
      <c r="L2485" s="550">
        <f>'Sollecitazioni nel paramento'!$G$60*(sezione!$AM$37-C2485)/C2485</f>
        <v>20.996500000000001</v>
      </c>
      <c r="M2485" s="551">
        <f>'Sollecitazioni nel paramento'!$G$60*(sezione!$AN$37-C2485)/C2485</f>
        <v>27.996499999999997</v>
      </c>
      <c r="N2485" s="551">
        <f>'Sollecitazioni nel paramento'!$G$60*(sezione!$AO$37-C2485)/C2485</f>
        <v>55.996500000000005</v>
      </c>
      <c r="O2485" s="551">
        <f>'Sollecitazioni nel paramento'!$G$60*(sezione!$AP$37-C2485)/C2485</f>
        <v>286.45020503816176</v>
      </c>
      <c r="P2485" s="545">
        <f>-'Sollecitazioni nel paramento'!$G$47*'Sollecitazioni nel paramento'!$G$41*IF(DATI!$G$211="dx",DATI!$E$61,DATI!$E$64*DATI!$E$63)*1000*C2485*sezione!$AD$5</f>
        <v>-380.96999999999991</v>
      </c>
      <c r="Q2485" s="545">
        <f>'Foglio deposito bis'!$F$88*IF(ABS(K2485)&lt;'Sollecitazioni nel paramento'!$G$58,ABS(K2485)*'Sollecitazioni nel paramento'!$G$54,'Sollecitazioni nel paramento'!$G$53)*IF(K2485&lt;0,-1,1)</f>
        <v>0</v>
      </c>
      <c r="R2485" s="545">
        <f>'Foglio deposito bis'!$F$89*IF(ABS(L2485)&lt;'Sollecitazioni nel paramento'!$G$58,ABS(L2485)*'Sollecitazioni nel paramento'!$G$54,'Sollecitazioni nel paramento'!$G$53)*IF(L2485&lt;0,-1,1)</f>
        <v>153664.85805602249</v>
      </c>
      <c r="S2485" s="545">
        <f>'Foglio deposito bis'!$F$90*IF(ABS(M2485)&lt;'Sollecitazioni nel paramento'!$G$58,ABS(M2485)*'Sollecitazioni nel paramento'!$G$54,'Sollecitazioni nel paramento'!$G$53)*IF(M2485&lt;0,-1,1)</f>
        <v>0</v>
      </c>
      <c r="T2485" s="545">
        <f>'Foglio deposito bis'!$F$91*IF(ABS(N2485)&lt;'Sollecitazioni nel paramento'!$G$58,ABS(N2485)*'Sollecitazioni nel paramento'!$G$54,'Sollecitazioni nel paramento'!$G$53)*IF(N2485&lt;0,-1,1)</f>
        <v>892485.49558937876</v>
      </c>
      <c r="U2485" s="545">
        <f>'Foglio deposito bis'!$F$92*IF(ABS(O2485)&lt;'Sollecitazioni nel paramento'!$G$58,ABS(O2485)*'Sollecitazioni nel paramento'!$G$54,'Sollecitazioni nel paramento'!$G$53)*IF(O2485&lt;0,-1,1)</f>
        <v>1662039.1047339395</v>
      </c>
      <c r="V2485" s="472">
        <f>P2485+Q2485+R2485+S2485+T2485+U2485</f>
        <v>2707808.4883793406</v>
      </c>
      <c r="W2485" s="551"/>
      <c r="X2485" s="551"/>
    </row>
    <row r="2486" spans="1:24" x14ac:dyDescent="0.25">
      <c r="A2486" s="545">
        <f t="shared" ref="A2486:A2549" si="175">ABS(V2486)</f>
        <v>2686062.2888435996</v>
      </c>
      <c r="B2486" s="3">
        <f>B2485+0.05</f>
        <v>0.05</v>
      </c>
      <c r="C2486" s="545">
        <f>'Foglio deposito bis'!$E$163/sezione!$B$247*B2486</f>
        <v>0.58081133778883043</v>
      </c>
      <c r="D2486" s="603">
        <f>-'Sollecitazioni nel paramento'!$G$47*'Sollecitazioni nel paramento'!$G$41*IF(DATI!$G$211="dx",DATI!$E$61,DATI!$E$64*DATI!$E$63)*1000*C2486^2*sezione!$AD$5*(1-sezione!$AD$6)</f>
        <v>-7505.3991886878712</v>
      </c>
      <c r="E2486" s="545">
        <f>-'Foglio deposito bis'!$F$88*(C2486-sezione!$AL$37)*IF(ABS(K2486)&lt;'Sollecitazioni nel paramento'!$G$58,ABS(K2486)*'Sollecitazioni nel paramento'!$G$54,'Sollecitazioni nel paramento'!$G$53)</f>
        <v>0</v>
      </c>
      <c r="F2486" s="545">
        <f>-'Foglio deposito bis'!$F$89*(C2486-sezione!$AM$37)*IF(ABS(L2486)&lt;'Sollecitazioni nel paramento'!$G$58,ABS(L2486)*'Sollecitazioni nel paramento'!$G$54,'Sollecitazioni nel paramento'!$G$53)</f>
        <v>9130641.1915827002</v>
      </c>
      <c r="G2486" s="545">
        <f>-'Foglio deposito bis'!$F$90*(C2486-sezione!$AN$37)*IF(ABS(M2486)&lt;'Sollecitazioni nel paramento'!$G$58,ABS(M2486)*'Sollecitazioni nel paramento'!$G$54,'Sollecitazioni nel paramento'!$G$53)</f>
        <v>0</v>
      </c>
      <c r="H2486" s="545">
        <f>-'Foglio deposito bis'!$F$91*(C2486-sezione!$AO$37)*IF(ABS(N2486)&lt;'Sollecitazioni nel paramento'!$G$58,ABS(N2486)*'Sollecitazioni nel paramento'!$G$54,'Sollecitazioni nel paramento'!$G$53)</f>
        <v>142279313.59965023</v>
      </c>
      <c r="I2486" s="472">
        <f>-'Foglio deposito bis'!$F$92*(C2486-sezione!$AP$37)*IF(ABS(O2486)&lt;'Sollecitazioni nel paramento'!$G$58,ABS(O2486)*'Sollecitazioni nel paramento'!$G$54,'Sollecitazioni nel paramento'!$G$53)</f>
        <v>1359312553.0422547</v>
      </c>
      <c r="J2486" s="472">
        <f t="shared" si="174"/>
        <v>1510715002.434299</v>
      </c>
      <c r="K2486" s="550">
        <f>'Sollecitazioni nel paramento'!$G$60*(sezione!$AL$37-C2486)/C2486</f>
        <v>0.23754212657587748</v>
      </c>
      <c r="L2486" s="550">
        <f>'Sollecitazioni nel paramento'!$G$60*(sezione!$AM$37-C2486)/C2486</f>
        <v>0.35806318986381624</v>
      </c>
      <c r="M2486" s="551">
        <f>'Sollecitazioni nel paramento'!$G$60*(sezione!$AN$37-C2486)/C2486</f>
        <v>0.47858425315175501</v>
      </c>
      <c r="N2486" s="551">
        <f>'Sollecitazioni nel paramento'!$G$60*(sezione!$AO$37-C2486)/C2486</f>
        <v>0.96066850630351008</v>
      </c>
      <c r="O2486" s="551">
        <f>'Sollecitazioni nel paramento'!$G$60*(sezione!$AP$37-C2486)/C2486</f>
        <v>4.9284578734241196</v>
      </c>
      <c r="P2486" s="545">
        <f>-'Sollecitazioni nel paramento'!$G$47*'Sollecitazioni nel paramento'!$G$41*IF(DATI!$G$211="dx",DATI!$E$61,DATI!$E$64*DATI!$E$63)*1000*C2486*sezione!$AD$5</f>
        <v>-22127.169535741068</v>
      </c>
      <c r="Q2486" s="545">
        <f>'Foglio deposito bis'!$F$88*IF(ABS(K2486)&lt;'Sollecitazioni nel paramento'!$G$58,ABS(K2486)*'Sollecitazioni nel paramento'!$G$54,'Sollecitazioni nel paramento'!$G$53)*IF(K2486&lt;0,-1,1)</f>
        <v>0</v>
      </c>
      <c r="R2486" s="545">
        <f>'Foglio deposito bis'!$F$89*IF(ABS(L2486)&lt;'Sollecitazioni nel paramento'!$G$58,ABS(L2486)*'Sollecitazioni nel paramento'!$G$54,'Sollecitazioni nel paramento'!$G$53)*IF(L2486&lt;0,-1,1)</f>
        <v>153664.85805602249</v>
      </c>
      <c r="S2486" s="545">
        <f>'Foglio deposito bis'!$F$90*IF(ABS(M2486)&lt;'Sollecitazioni nel paramento'!$G$58,ABS(M2486)*'Sollecitazioni nel paramento'!$G$54,'Sollecitazioni nel paramento'!$G$53)*IF(M2486&lt;0,-1,1)</f>
        <v>0</v>
      </c>
      <c r="T2486" s="545">
        <f>'Foglio deposito bis'!$F$91*IF(ABS(N2486)&lt;'Sollecitazioni nel paramento'!$G$58,ABS(N2486)*'Sollecitazioni nel paramento'!$G$54,'Sollecitazioni nel paramento'!$G$53)*IF(N2486&lt;0,-1,1)</f>
        <v>892485.49558937876</v>
      </c>
      <c r="U2486" s="545">
        <f>'Foglio deposito bis'!$F$92*IF(ABS(O2486)&lt;'Sollecitazioni nel paramento'!$G$58,ABS(O2486)*'Sollecitazioni nel paramento'!$G$54,'Sollecitazioni nel paramento'!$G$53)*IF(O2486&lt;0,-1,1)</f>
        <v>1662039.1047339395</v>
      </c>
      <c r="V2486" s="472">
        <f t="shared" ref="V2486:V2549" si="176">P2486+Q2486+R2486+S2486+T2486+U2486</f>
        <v>2686062.2888435996</v>
      </c>
      <c r="W2486" s="551"/>
      <c r="X2486" s="551"/>
    </row>
    <row r="2487" spans="1:24" x14ac:dyDescent="0.25">
      <c r="A2487" s="545">
        <f t="shared" si="175"/>
        <v>2663935.1193078589</v>
      </c>
      <c r="B2487" s="3">
        <f t="shared" ref="B2487:B2550" si="177">B2486+0.05</f>
        <v>0.1</v>
      </c>
      <c r="C2487" s="545">
        <f>'Foglio deposito bis'!$E$163/sezione!$B$247*B2487</f>
        <v>1.1616226755776609</v>
      </c>
      <c r="D2487" s="603">
        <f>-'Sollecitazioni nel paramento'!$G$47*'Sollecitazioni nel paramento'!$G$41*IF(DATI!$G$211="dx",DATI!$E$61,DATI!$E$64*DATI!$E$63)*1000*C2487^2*sezione!$AD$5*(1-sezione!$AD$6)</f>
        <v>-30021.596754751485</v>
      </c>
      <c r="E2487" s="545">
        <f>-'Foglio deposito bis'!$F$88*(C2487-sezione!$AL$37)*IF(ABS(K2487)&lt;'Sollecitazioni nel paramento'!$G$58,ABS(K2487)*'Sollecitazioni nel paramento'!$G$54,'Sollecitazioni nel paramento'!$G$53)</f>
        <v>0</v>
      </c>
      <c r="F2487" s="545">
        <f>-'Foglio deposito bis'!$F$89*(C2487-sezione!$AM$37)*IF(ABS(L2487)&lt;'Sollecitazioni nel paramento'!$G$58,ABS(L2487)*'Sollecitazioni nel paramento'!$G$54,'Sollecitazioni nel paramento'!$G$53)</f>
        <v>9041390.8998040501</v>
      </c>
      <c r="G2487" s="545">
        <f>-'Foglio deposito bis'!$F$90*(C2487-sezione!$AN$37)*IF(ABS(M2487)&lt;'Sollecitazioni nel paramento'!$G$58,ABS(M2487)*'Sollecitazioni nel paramento'!$G$54,'Sollecitazioni nel paramento'!$G$53)</f>
        <v>0</v>
      </c>
      <c r="H2487" s="545">
        <f>-'Foglio deposito bis'!$F$91*(C2487-sezione!$AO$37)*IF(ABS(N2487)&lt;'Sollecitazioni nel paramento'!$G$58,ABS(N2487)*'Sollecitazioni nel paramento'!$G$54,'Sollecitazioni nel paramento'!$G$53)</f>
        <v>141760947.90499982</v>
      </c>
      <c r="I2487" s="472">
        <f>-'Foglio deposito bis'!$F$92*(C2487-sezione!$AP$37)*IF(ABS(O2487)&lt;'Sollecitazioni nel paramento'!$G$58,ABS(O2487)*'Sollecitazioni nel paramento'!$G$54,'Sollecitazioni nel paramento'!$G$53)</f>
        <v>1358347221.8863769</v>
      </c>
      <c r="J2487" s="472">
        <f t="shared" si="174"/>
        <v>1509119539.0944259</v>
      </c>
      <c r="K2487" s="550">
        <f>'Sollecitazioni nel paramento'!$G$60*(sezione!$AL$37-C2487)/C2487</f>
        <v>0.11702106328793875</v>
      </c>
      <c r="L2487" s="550">
        <f>'Sollecitazioni nel paramento'!$G$60*(sezione!$AM$37-C2487)/C2487</f>
        <v>0.17728159493190812</v>
      </c>
      <c r="M2487" s="551">
        <f>'Sollecitazioni nel paramento'!$G$60*(sezione!$AN$37-C2487)/C2487</f>
        <v>0.23754212657587748</v>
      </c>
      <c r="N2487" s="551">
        <f>'Sollecitazioni nel paramento'!$G$60*(sezione!$AO$37-C2487)/C2487</f>
        <v>0.47858425315175501</v>
      </c>
      <c r="O2487" s="551">
        <f>'Sollecitazioni nel paramento'!$G$60*(sezione!$AP$37-C2487)/C2487</f>
        <v>2.4624789367120599</v>
      </c>
      <c r="P2487" s="545">
        <f>-'Sollecitazioni nel paramento'!$G$47*'Sollecitazioni nel paramento'!$G$41*IF(DATI!$G$211="dx",DATI!$E$61,DATI!$E$64*DATI!$E$63)*1000*C2487*sezione!$AD$5</f>
        <v>-44254.339071482136</v>
      </c>
      <c r="Q2487" s="545">
        <f>'Foglio deposito bis'!$F$88*IF(ABS(K2487)&lt;'Sollecitazioni nel paramento'!$G$58,ABS(K2487)*'Sollecitazioni nel paramento'!$G$54,'Sollecitazioni nel paramento'!$G$53)*IF(K2487&lt;0,-1,1)</f>
        <v>0</v>
      </c>
      <c r="R2487" s="545">
        <f>'Foglio deposito bis'!$F$89*IF(ABS(L2487)&lt;'Sollecitazioni nel paramento'!$G$58,ABS(L2487)*'Sollecitazioni nel paramento'!$G$54,'Sollecitazioni nel paramento'!$G$53)*IF(L2487&lt;0,-1,1)</f>
        <v>153664.85805602249</v>
      </c>
      <c r="S2487" s="545">
        <f>'Foglio deposito bis'!$F$90*IF(ABS(M2487)&lt;'Sollecitazioni nel paramento'!$G$58,ABS(M2487)*'Sollecitazioni nel paramento'!$G$54,'Sollecitazioni nel paramento'!$G$53)*IF(M2487&lt;0,-1,1)</f>
        <v>0</v>
      </c>
      <c r="T2487" s="545">
        <f>'Foglio deposito bis'!$F$91*IF(ABS(N2487)&lt;'Sollecitazioni nel paramento'!$G$58,ABS(N2487)*'Sollecitazioni nel paramento'!$G$54,'Sollecitazioni nel paramento'!$G$53)*IF(N2487&lt;0,-1,1)</f>
        <v>892485.49558937876</v>
      </c>
      <c r="U2487" s="545">
        <f>'Foglio deposito bis'!$F$92*IF(ABS(O2487)&lt;'Sollecitazioni nel paramento'!$G$58,ABS(O2487)*'Sollecitazioni nel paramento'!$G$54,'Sollecitazioni nel paramento'!$G$53)*IF(O2487&lt;0,-1,1)</f>
        <v>1662039.1047339395</v>
      </c>
      <c r="V2487" s="472">
        <f t="shared" si="176"/>
        <v>2663935.1193078589</v>
      </c>
      <c r="W2487" s="551"/>
      <c r="X2487" s="551"/>
    </row>
    <row r="2488" spans="1:24" x14ac:dyDescent="0.25">
      <c r="A2488" s="545">
        <f t="shared" si="175"/>
        <v>2641807.9497721177</v>
      </c>
      <c r="B2488" s="3">
        <f t="shared" si="177"/>
        <v>0.15000000000000002</v>
      </c>
      <c r="C2488" s="545">
        <f>'Foglio deposito bis'!$E$163/sezione!$B$247*B2488</f>
        <v>1.7424340133664915</v>
      </c>
      <c r="D2488" s="603">
        <f>-'Sollecitazioni nel paramento'!$G$47*'Sollecitazioni nel paramento'!$G$41*IF(DATI!$G$211="dx",DATI!$E$61,DATI!$E$64*DATI!$E$63)*1000*C2488^2*sezione!$AD$5*(1-sezione!$AD$6)</f>
        <v>-67548.592698190871</v>
      </c>
      <c r="E2488" s="545">
        <f>-'Foglio deposito bis'!$F$88*(C2488-sezione!$AL$37)*IF(ABS(K2488)&lt;'Sollecitazioni nel paramento'!$G$58,ABS(K2488)*'Sollecitazioni nel paramento'!$G$54,'Sollecitazioni nel paramento'!$G$53)</f>
        <v>0</v>
      </c>
      <c r="F2488" s="545">
        <f>-'Foglio deposito bis'!$F$89*(C2488-sezione!$AM$37)*IF(ABS(L2488)&lt;'Sollecitazioni nel paramento'!$G$58,ABS(L2488)*'Sollecitazioni nel paramento'!$G$54,'Sollecitazioni nel paramento'!$G$53)</f>
        <v>8952140.6080254018</v>
      </c>
      <c r="G2488" s="545">
        <f>-'Foglio deposito bis'!$F$90*(C2488-sezione!$AN$37)*IF(ABS(M2488)&lt;'Sollecitazioni nel paramento'!$G$58,ABS(M2488)*'Sollecitazioni nel paramento'!$G$54,'Sollecitazioni nel paramento'!$G$53)</f>
        <v>0</v>
      </c>
      <c r="H2488" s="545">
        <f>-'Foglio deposito bis'!$F$91*(C2488-sezione!$AO$37)*IF(ABS(N2488)&lt;'Sollecitazioni nel paramento'!$G$58,ABS(N2488)*'Sollecitazioni nel paramento'!$G$54,'Sollecitazioni nel paramento'!$G$53)</f>
        <v>141242582.21034941</v>
      </c>
      <c r="I2488" s="472">
        <f>-'Foglio deposito bis'!$F$92*(C2488-sezione!$AP$37)*IF(ABS(O2488)&lt;'Sollecitazioni nel paramento'!$G$58,ABS(O2488)*'Sollecitazioni nel paramento'!$G$54,'Sollecitazioni nel paramento'!$G$53)</f>
        <v>1357381890.7304988</v>
      </c>
      <c r="J2488" s="472">
        <f t="shared" si="174"/>
        <v>1507509064.9561753</v>
      </c>
      <c r="K2488" s="550">
        <f>'Sollecitazioni nel paramento'!$G$60*(sezione!$AL$37-C2488)/C2488</f>
        <v>7.6847375525292486E-2</v>
      </c>
      <c r="L2488" s="550">
        <f>'Sollecitazioni nel paramento'!$G$60*(sezione!$AM$37-C2488)/C2488</f>
        <v>0.11702106328793872</v>
      </c>
      <c r="M2488" s="551">
        <f>'Sollecitazioni nel paramento'!$G$60*(sezione!$AN$37-C2488)/C2488</f>
        <v>0.157194751050585</v>
      </c>
      <c r="N2488" s="551">
        <f>'Sollecitazioni nel paramento'!$G$60*(sezione!$AO$37-C2488)/C2488</f>
        <v>0.3178895021011699</v>
      </c>
      <c r="O2488" s="551">
        <f>'Sollecitazioni nel paramento'!$G$60*(sezione!$AP$37-C2488)/C2488</f>
        <v>1.6404859578080395</v>
      </c>
      <c r="P2488" s="545">
        <f>-'Sollecitazioni nel paramento'!$G$47*'Sollecitazioni nel paramento'!$G$41*IF(DATI!$G$211="dx",DATI!$E$61,DATI!$E$64*DATI!$E$63)*1000*C2488*sezione!$AD$5</f>
        <v>-66381.508607223208</v>
      </c>
      <c r="Q2488" s="545">
        <f>'Foglio deposito bis'!$F$88*IF(ABS(K2488)&lt;'Sollecitazioni nel paramento'!$G$58,ABS(K2488)*'Sollecitazioni nel paramento'!$G$54,'Sollecitazioni nel paramento'!$G$53)*IF(K2488&lt;0,-1,1)</f>
        <v>0</v>
      </c>
      <c r="R2488" s="545">
        <f>'Foglio deposito bis'!$F$89*IF(ABS(L2488)&lt;'Sollecitazioni nel paramento'!$G$58,ABS(L2488)*'Sollecitazioni nel paramento'!$G$54,'Sollecitazioni nel paramento'!$G$53)*IF(L2488&lt;0,-1,1)</f>
        <v>153664.85805602249</v>
      </c>
      <c r="S2488" s="545">
        <f>'Foglio deposito bis'!$F$90*IF(ABS(M2488)&lt;'Sollecitazioni nel paramento'!$G$58,ABS(M2488)*'Sollecitazioni nel paramento'!$G$54,'Sollecitazioni nel paramento'!$G$53)*IF(M2488&lt;0,-1,1)</f>
        <v>0</v>
      </c>
      <c r="T2488" s="545">
        <f>'Foglio deposito bis'!$F$91*IF(ABS(N2488)&lt;'Sollecitazioni nel paramento'!$G$58,ABS(N2488)*'Sollecitazioni nel paramento'!$G$54,'Sollecitazioni nel paramento'!$G$53)*IF(N2488&lt;0,-1,1)</f>
        <v>892485.49558937876</v>
      </c>
      <c r="U2488" s="545">
        <f>'Foglio deposito bis'!$F$92*IF(ABS(O2488)&lt;'Sollecitazioni nel paramento'!$G$58,ABS(O2488)*'Sollecitazioni nel paramento'!$G$54,'Sollecitazioni nel paramento'!$G$53)*IF(O2488&lt;0,-1,1)</f>
        <v>1662039.1047339395</v>
      </c>
      <c r="V2488" s="472">
        <f t="shared" si="176"/>
        <v>2641807.9497721177</v>
      </c>
      <c r="W2488" s="551"/>
      <c r="X2488" s="551"/>
    </row>
    <row r="2489" spans="1:24" x14ac:dyDescent="0.25">
      <c r="A2489" s="545">
        <f t="shared" si="175"/>
        <v>2619680.7802363764</v>
      </c>
      <c r="B2489" s="3">
        <f t="shared" si="177"/>
        <v>0.2</v>
      </c>
      <c r="C2489" s="545">
        <f>'Foglio deposito bis'!$E$163/sezione!$B$247*B2489</f>
        <v>2.3232453511553217</v>
      </c>
      <c r="D2489" s="603">
        <f>-'Sollecitazioni nel paramento'!$G$47*'Sollecitazioni nel paramento'!$G$41*IF(DATI!$G$211="dx",DATI!$E$61,DATI!$E$64*DATI!$E$63)*1000*C2489^2*sezione!$AD$5*(1-sezione!$AD$6)</f>
        <v>-120086.38701900594</v>
      </c>
      <c r="E2489" s="545">
        <f>-'Foglio deposito bis'!$F$88*(C2489-sezione!$AL$37)*IF(ABS(K2489)&lt;'Sollecitazioni nel paramento'!$G$58,ABS(K2489)*'Sollecitazioni nel paramento'!$G$54,'Sollecitazioni nel paramento'!$G$53)</f>
        <v>0</v>
      </c>
      <c r="F2489" s="545">
        <f>-'Foglio deposito bis'!$F$89*(C2489-sezione!$AM$37)*IF(ABS(L2489)&lt;'Sollecitazioni nel paramento'!$G$58,ABS(L2489)*'Sollecitazioni nel paramento'!$G$54,'Sollecitazioni nel paramento'!$G$53)</f>
        <v>8862890.3162467517</v>
      </c>
      <c r="G2489" s="545">
        <f>-'Foglio deposito bis'!$F$90*(C2489-sezione!$AN$37)*IF(ABS(M2489)&lt;'Sollecitazioni nel paramento'!$G$58,ABS(M2489)*'Sollecitazioni nel paramento'!$G$54,'Sollecitazioni nel paramento'!$G$53)</f>
        <v>0</v>
      </c>
      <c r="H2489" s="545">
        <f>-'Foglio deposito bis'!$F$91*(C2489-sezione!$AO$37)*IF(ABS(N2489)&lt;'Sollecitazioni nel paramento'!$G$58,ABS(N2489)*'Sollecitazioni nel paramento'!$G$54,'Sollecitazioni nel paramento'!$G$53)</f>
        <v>140724216.51569903</v>
      </c>
      <c r="I2489" s="472">
        <f>-'Foglio deposito bis'!$F$92*(C2489-sezione!$AP$37)*IF(ABS(O2489)&lt;'Sollecitazioni nel paramento'!$G$58,ABS(O2489)*'Sollecitazioni nel paramento'!$G$54,'Sollecitazioni nel paramento'!$G$53)</f>
        <v>1356416559.574621</v>
      </c>
      <c r="J2489" s="472">
        <f t="shared" si="174"/>
        <v>1505883580.0195477</v>
      </c>
      <c r="K2489" s="550">
        <f>'Sollecitazioni nel paramento'!$G$60*(sezione!$AL$37-C2489)/C2489</f>
        <v>5.6760531643969374E-2</v>
      </c>
      <c r="L2489" s="550">
        <f>'Sollecitazioni nel paramento'!$G$60*(sezione!$AM$37-C2489)/C2489</f>
        <v>8.6890797465954059E-2</v>
      </c>
      <c r="M2489" s="551">
        <f>'Sollecitazioni nel paramento'!$G$60*(sezione!$AN$37-C2489)/C2489</f>
        <v>0.11702106328793875</v>
      </c>
      <c r="N2489" s="551">
        <f>'Sollecitazioni nel paramento'!$G$60*(sezione!$AO$37-C2489)/C2489</f>
        <v>0.23754212657587748</v>
      </c>
      <c r="O2489" s="551">
        <f>'Sollecitazioni nel paramento'!$G$60*(sezione!$AP$37-C2489)/C2489</f>
        <v>1.2294894683560296</v>
      </c>
      <c r="P2489" s="545">
        <f>-'Sollecitazioni nel paramento'!$G$47*'Sollecitazioni nel paramento'!$G$41*IF(DATI!$G$211="dx",DATI!$E$61,DATI!$E$64*DATI!$E$63)*1000*C2489*sezione!$AD$5</f>
        <v>-88508.678142964272</v>
      </c>
      <c r="Q2489" s="545">
        <f>'Foglio deposito bis'!$F$88*IF(ABS(K2489)&lt;'Sollecitazioni nel paramento'!$G$58,ABS(K2489)*'Sollecitazioni nel paramento'!$G$54,'Sollecitazioni nel paramento'!$G$53)*IF(K2489&lt;0,-1,1)</f>
        <v>0</v>
      </c>
      <c r="R2489" s="545">
        <f>'Foglio deposito bis'!$F$89*IF(ABS(L2489)&lt;'Sollecitazioni nel paramento'!$G$58,ABS(L2489)*'Sollecitazioni nel paramento'!$G$54,'Sollecitazioni nel paramento'!$G$53)*IF(L2489&lt;0,-1,1)</f>
        <v>153664.85805602249</v>
      </c>
      <c r="S2489" s="545">
        <f>'Foglio deposito bis'!$F$90*IF(ABS(M2489)&lt;'Sollecitazioni nel paramento'!$G$58,ABS(M2489)*'Sollecitazioni nel paramento'!$G$54,'Sollecitazioni nel paramento'!$G$53)*IF(M2489&lt;0,-1,1)</f>
        <v>0</v>
      </c>
      <c r="T2489" s="545">
        <f>'Foglio deposito bis'!$F$91*IF(ABS(N2489)&lt;'Sollecitazioni nel paramento'!$G$58,ABS(N2489)*'Sollecitazioni nel paramento'!$G$54,'Sollecitazioni nel paramento'!$G$53)*IF(N2489&lt;0,-1,1)</f>
        <v>892485.49558937876</v>
      </c>
      <c r="U2489" s="545">
        <f>'Foglio deposito bis'!$F$92*IF(ABS(O2489)&lt;'Sollecitazioni nel paramento'!$G$58,ABS(O2489)*'Sollecitazioni nel paramento'!$G$54,'Sollecitazioni nel paramento'!$G$53)*IF(O2489&lt;0,-1,1)</f>
        <v>1662039.1047339395</v>
      </c>
      <c r="V2489" s="472">
        <f t="shared" si="176"/>
        <v>2619680.7802363764</v>
      </c>
      <c r="W2489" s="551"/>
      <c r="X2489" s="551"/>
    </row>
    <row r="2490" spans="1:24" x14ac:dyDescent="0.25">
      <c r="A2490" s="545">
        <f t="shared" si="175"/>
        <v>2597553.6107006352</v>
      </c>
      <c r="B2490" s="3">
        <f t="shared" si="177"/>
        <v>0.25</v>
      </c>
      <c r="C2490" s="545">
        <f>'Foglio deposito bis'!$E$163/sezione!$B$247*B2490</f>
        <v>2.9040566889441521</v>
      </c>
      <c r="D2490" s="603">
        <f>-'Sollecitazioni nel paramento'!$G$47*'Sollecitazioni nel paramento'!$G$41*IF(DATI!$G$211="dx",DATI!$E$61,DATI!$E$64*DATI!$E$63)*1000*C2490^2*sezione!$AD$5*(1-sezione!$AD$6)</f>
        <v>-187634.97971719678</v>
      </c>
      <c r="E2490" s="545">
        <f>-'Foglio deposito bis'!$F$88*(C2490-sezione!$AL$37)*IF(ABS(K2490)&lt;'Sollecitazioni nel paramento'!$G$58,ABS(K2490)*'Sollecitazioni nel paramento'!$G$54,'Sollecitazioni nel paramento'!$G$53)</f>
        <v>0</v>
      </c>
      <c r="F2490" s="545">
        <f>-'Foglio deposito bis'!$F$89*(C2490-sezione!$AM$37)*IF(ABS(L2490)&lt;'Sollecitazioni nel paramento'!$G$58,ABS(L2490)*'Sollecitazioni nel paramento'!$G$54,'Sollecitazioni nel paramento'!$G$53)</f>
        <v>8773640.0244681034</v>
      </c>
      <c r="G2490" s="545">
        <f>-'Foglio deposito bis'!$F$90*(C2490-sezione!$AN$37)*IF(ABS(M2490)&lt;'Sollecitazioni nel paramento'!$G$58,ABS(M2490)*'Sollecitazioni nel paramento'!$G$54,'Sollecitazioni nel paramento'!$G$53)</f>
        <v>0</v>
      </c>
      <c r="H2490" s="545">
        <f>-'Foglio deposito bis'!$F$91*(C2490-sezione!$AO$37)*IF(ABS(N2490)&lt;'Sollecitazioni nel paramento'!$G$58,ABS(N2490)*'Sollecitazioni nel paramento'!$G$54,'Sollecitazioni nel paramento'!$G$53)</f>
        <v>140205850.82104865</v>
      </c>
      <c r="I2490" s="472">
        <f>-'Foglio deposito bis'!$F$92*(C2490-sezione!$AP$37)*IF(ABS(O2490)&lt;'Sollecitazioni nel paramento'!$G$58,ABS(O2490)*'Sollecitazioni nel paramento'!$G$54,'Sollecitazioni nel paramento'!$G$53)</f>
        <v>1355451228.4187431</v>
      </c>
      <c r="J2490" s="472">
        <f t="shared" si="174"/>
        <v>1504243084.2845426</v>
      </c>
      <c r="K2490" s="550">
        <f>'Sollecitazioni nel paramento'!$G$60*(sezione!$AL$37-C2490)/C2490</f>
        <v>4.47084253151755E-2</v>
      </c>
      <c r="L2490" s="550">
        <f>'Sollecitazioni nel paramento'!$G$60*(sezione!$AM$37-C2490)/C2490</f>
        <v>6.8812637972763241E-2</v>
      </c>
      <c r="M2490" s="551">
        <f>'Sollecitazioni nel paramento'!$G$60*(sezione!$AN$37-C2490)/C2490</f>
        <v>9.2916850630350989E-2</v>
      </c>
      <c r="N2490" s="551">
        <f>'Sollecitazioni nel paramento'!$G$60*(sezione!$AO$37-C2490)/C2490</f>
        <v>0.18933370126070201</v>
      </c>
      <c r="O2490" s="551">
        <f>'Sollecitazioni nel paramento'!$G$60*(sezione!$AP$37-C2490)/C2490</f>
        <v>0.98289157468482391</v>
      </c>
      <c r="P2490" s="545">
        <f>-'Sollecitazioni nel paramento'!$G$47*'Sollecitazioni nel paramento'!$G$41*IF(DATI!$G$211="dx",DATI!$E$61,DATI!$E$64*DATI!$E$63)*1000*C2490*sezione!$AD$5</f>
        <v>-110635.84767870534</v>
      </c>
      <c r="Q2490" s="545">
        <f>'Foglio deposito bis'!$F$88*IF(ABS(K2490)&lt;'Sollecitazioni nel paramento'!$G$58,ABS(K2490)*'Sollecitazioni nel paramento'!$G$54,'Sollecitazioni nel paramento'!$G$53)*IF(K2490&lt;0,-1,1)</f>
        <v>0</v>
      </c>
      <c r="R2490" s="545">
        <f>'Foglio deposito bis'!$F$89*IF(ABS(L2490)&lt;'Sollecitazioni nel paramento'!$G$58,ABS(L2490)*'Sollecitazioni nel paramento'!$G$54,'Sollecitazioni nel paramento'!$G$53)*IF(L2490&lt;0,-1,1)</f>
        <v>153664.85805602249</v>
      </c>
      <c r="S2490" s="545">
        <f>'Foglio deposito bis'!$F$90*IF(ABS(M2490)&lt;'Sollecitazioni nel paramento'!$G$58,ABS(M2490)*'Sollecitazioni nel paramento'!$G$54,'Sollecitazioni nel paramento'!$G$53)*IF(M2490&lt;0,-1,1)</f>
        <v>0</v>
      </c>
      <c r="T2490" s="545">
        <f>'Foglio deposito bis'!$F$91*IF(ABS(N2490)&lt;'Sollecitazioni nel paramento'!$G$58,ABS(N2490)*'Sollecitazioni nel paramento'!$G$54,'Sollecitazioni nel paramento'!$G$53)*IF(N2490&lt;0,-1,1)</f>
        <v>892485.49558937876</v>
      </c>
      <c r="U2490" s="545">
        <f>'Foglio deposito bis'!$F$92*IF(ABS(O2490)&lt;'Sollecitazioni nel paramento'!$G$58,ABS(O2490)*'Sollecitazioni nel paramento'!$G$54,'Sollecitazioni nel paramento'!$G$53)*IF(O2490&lt;0,-1,1)</f>
        <v>1662039.1047339395</v>
      </c>
      <c r="V2490" s="472">
        <f t="shared" si="176"/>
        <v>2597553.6107006352</v>
      </c>
      <c r="W2490" s="551"/>
      <c r="X2490" s="551"/>
    </row>
    <row r="2491" spans="1:24" x14ac:dyDescent="0.25">
      <c r="A2491" s="545">
        <f t="shared" si="175"/>
        <v>2575426.4411648945</v>
      </c>
      <c r="B2491" s="3">
        <f t="shared" si="177"/>
        <v>0.3</v>
      </c>
      <c r="C2491" s="545">
        <f>'Foglio deposito bis'!$E$163/sezione!$B$247*B2491</f>
        <v>3.4848680267329826</v>
      </c>
      <c r="D2491" s="603">
        <f>-'Sollecitazioni nel paramento'!$G$47*'Sollecitazioni nel paramento'!$G$41*IF(DATI!$G$211="dx",DATI!$E$61,DATI!$E$64*DATI!$E$63)*1000*C2491^2*sezione!$AD$5*(1-sezione!$AD$6)</f>
        <v>-270194.37079276331</v>
      </c>
      <c r="E2491" s="545">
        <f>-'Foglio deposito bis'!$F$88*(C2491-sezione!$AL$37)*IF(ABS(K2491)&lt;'Sollecitazioni nel paramento'!$G$58,ABS(K2491)*'Sollecitazioni nel paramento'!$G$54,'Sollecitazioni nel paramento'!$G$53)</f>
        <v>0</v>
      </c>
      <c r="F2491" s="545">
        <f>-'Foglio deposito bis'!$F$89*(C2491-sezione!$AM$37)*IF(ABS(L2491)&lt;'Sollecitazioni nel paramento'!$G$58,ABS(L2491)*'Sollecitazioni nel paramento'!$G$54,'Sollecitazioni nel paramento'!$G$53)</f>
        <v>8684389.7326894533</v>
      </c>
      <c r="G2491" s="545">
        <f>-'Foglio deposito bis'!$F$90*(C2491-sezione!$AN$37)*IF(ABS(M2491)&lt;'Sollecitazioni nel paramento'!$G$58,ABS(M2491)*'Sollecitazioni nel paramento'!$G$54,'Sollecitazioni nel paramento'!$G$53)</f>
        <v>0</v>
      </c>
      <c r="H2491" s="545">
        <f>-'Foglio deposito bis'!$F$91*(C2491-sezione!$AO$37)*IF(ABS(N2491)&lt;'Sollecitazioni nel paramento'!$G$58,ABS(N2491)*'Sollecitazioni nel paramento'!$G$54,'Sollecitazioni nel paramento'!$G$53)</f>
        <v>139687485.12639824</v>
      </c>
      <c r="I2491" s="472">
        <f>-'Foglio deposito bis'!$F$92*(C2491-sezione!$AP$37)*IF(ABS(O2491)&lt;'Sollecitazioni nel paramento'!$G$58,ABS(O2491)*'Sollecitazioni nel paramento'!$G$54,'Sollecitazioni nel paramento'!$G$53)</f>
        <v>1354485897.2628653</v>
      </c>
      <c r="J2491" s="472">
        <f t="shared" si="174"/>
        <v>1502587577.7511601</v>
      </c>
      <c r="K2491" s="550">
        <f>'Sollecitazioni nel paramento'!$G$60*(sezione!$AL$37-C2491)/C2491</f>
        <v>3.6673687762646248E-2</v>
      </c>
      <c r="L2491" s="550">
        <f>'Sollecitazioni nel paramento'!$G$60*(sezione!$AM$37-C2491)/C2491</f>
        <v>5.6760531643969374E-2</v>
      </c>
      <c r="M2491" s="551">
        <f>'Sollecitazioni nel paramento'!$G$60*(sezione!$AN$37-C2491)/C2491</f>
        <v>7.6847375525292486E-2</v>
      </c>
      <c r="N2491" s="551">
        <f>'Sollecitazioni nel paramento'!$G$60*(sezione!$AO$37-C2491)/C2491</f>
        <v>0.157194751050585</v>
      </c>
      <c r="O2491" s="551">
        <f>'Sollecitazioni nel paramento'!$G$60*(sezione!$AP$37-C2491)/C2491</f>
        <v>0.81849297890401984</v>
      </c>
      <c r="P2491" s="545">
        <f>-'Sollecitazioni nel paramento'!$G$47*'Sollecitazioni nel paramento'!$G$41*IF(DATI!$G$211="dx",DATI!$E$61,DATI!$E$64*DATI!$E$63)*1000*C2491*sezione!$AD$5</f>
        <v>-132763.01721444642</v>
      </c>
      <c r="Q2491" s="545">
        <f>'Foglio deposito bis'!$F$88*IF(ABS(K2491)&lt;'Sollecitazioni nel paramento'!$G$58,ABS(K2491)*'Sollecitazioni nel paramento'!$G$54,'Sollecitazioni nel paramento'!$G$53)*IF(K2491&lt;0,-1,1)</f>
        <v>0</v>
      </c>
      <c r="R2491" s="545">
        <f>'Foglio deposito bis'!$F$89*IF(ABS(L2491)&lt;'Sollecitazioni nel paramento'!$G$58,ABS(L2491)*'Sollecitazioni nel paramento'!$G$54,'Sollecitazioni nel paramento'!$G$53)*IF(L2491&lt;0,-1,1)</f>
        <v>153664.85805602249</v>
      </c>
      <c r="S2491" s="545">
        <f>'Foglio deposito bis'!$F$90*IF(ABS(M2491)&lt;'Sollecitazioni nel paramento'!$G$58,ABS(M2491)*'Sollecitazioni nel paramento'!$G$54,'Sollecitazioni nel paramento'!$G$53)*IF(M2491&lt;0,-1,1)</f>
        <v>0</v>
      </c>
      <c r="T2491" s="545">
        <f>'Foglio deposito bis'!$F$91*IF(ABS(N2491)&lt;'Sollecitazioni nel paramento'!$G$58,ABS(N2491)*'Sollecitazioni nel paramento'!$G$54,'Sollecitazioni nel paramento'!$G$53)*IF(N2491&lt;0,-1,1)</f>
        <v>892485.49558937876</v>
      </c>
      <c r="U2491" s="545">
        <f>'Foglio deposito bis'!$F$92*IF(ABS(O2491)&lt;'Sollecitazioni nel paramento'!$G$58,ABS(O2491)*'Sollecitazioni nel paramento'!$G$54,'Sollecitazioni nel paramento'!$G$53)*IF(O2491&lt;0,-1,1)</f>
        <v>1662039.1047339395</v>
      </c>
      <c r="V2491" s="472">
        <f t="shared" si="176"/>
        <v>2575426.4411648945</v>
      </c>
      <c r="W2491" s="551"/>
      <c r="X2491" s="551"/>
    </row>
    <row r="2492" spans="1:24" x14ac:dyDescent="0.25">
      <c r="A2492" s="545">
        <f t="shared" si="175"/>
        <v>2553299.2716291533</v>
      </c>
      <c r="B2492" s="3">
        <f t="shared" si="177"/>
        <v>0.35</v>
      </c>
      <c r="C2492" s="545">
        <f>'Foglio deposito bis'!$E$163/sezione!$B$247*B2492</f>
        <v>4.065679364521813</v>
      </c>
      <c r="D2492" s="603">
        <f>-'Sollecitazioni nel paramento'!$G$47*'Sollecitazioni nel paramento'!$G$41*IF(DATI!$G$211="dx",DATI!$E$61,DATI!$E$64*DATI!$E$63)*1000*C2492^2*sezione!$AD$5*(1-sezione!$AD$6)</f>
        <v>-367764.56024570571</v>
      </c>
      <c r="E2492" s="545">
        <f>-'Foglio deposito bis'!$F$88*(C2492-sezione!$AL$37)*IF(ABS(K2492)&lt;'Sollecitazioni nel paramento'!$G$58,ABS(K2492)*'Sollecitazioni nel paramento'!$G$54,'Sollecitazioni nel paramento'!$G$53)</f>
        <v>0</v>
      </c>
      <c r="F2492" s="545">
        <f>-'Foglio deposito bis'!$F$89*(C2492-sezione!$AM$37)*IF(ABS(L2492)&lt;'Sollecitazioni nel paramento'!$G$58,ABS(L2492)*'Sollecitazioni nel paramento'!$G$54,'Sollecitazioni nel paramento'!$G$53)</f>
        <v>8595139.440910805</v>
      </c>
      <c r="G2492" s="545">
        <f>-'Foglio deposito bis'!$F$90*(C2492-sezione!$AN$37)*IF(ABS(M2492)&lt;'Sollecitazioni nel paramento'!$G$58,ABS(M2492)*'Sollecitazioni nel paramento'!$G$54,'Sollecitazioni nel paramento'!$G$53)</f>
        <v>0</v>
      </c>
      <c r="H2492" s="545">
        <f>-'Foglio deposito bis'!$F$91*(C2492-sezione!$AO$37)*IF(ABS(N2492)&lt;'Sollecitazioni nel paramento'!$G$58,ABS(N2492)*'Sollecitazioni nel paramento'!$G$54,'Sollecitazioni nel paramento'!$G$53)</f>
        <v>139169119.43174782</v>
      </c>
      <c r="I2492" s="472">
        <f>-'Foglio deposito bis'!$F$92*(C2492-sezione!$AP$37)*IF(ABS(O2492)&lt;'Sollecitazioni nel paramento'!$G$58,ABS(O2492)*'Sollecitazioni nel paramento'!$G$54,'Sollecitazioni nel paramento'!$G$53)</f>
        <v>1353520566.1069877</v>
      </c>
      <c r="J2492" s="472">
        <f t="shared" si="174"/>
        <v>1500917060.4194007</v>
      </c>
      <c r="K2492" s="550">
        <f>'Sollecitazioni nel paramento'!$G$60*(sezione!$AL$37-C2492)/C2492</f>
        <v>3.0934589510839643E-2</v>
      </c>
      <c r="L2492" s="550">
        <f>'Sollecitazioni nel paramento'!$G$60*(sezione!$AM$37-C2492)/C2492</f>
        <v>4.8151884266259465E-2</v>
      </c>
      <c r="M2492" s="551">
        <f>'Sollecitazioni nel paramento'!$G$60*(sezione!$AN$37-C2492)/C2492</f>
        <v>6.5369179021679283E-2</v>
      </c>
      <c r="N2492" s="551">
        <f>'Sollecitazioni nel paramento'!$G$60*(sezione!$AO$37-C2492)/C2492</f>
        <v>0.13423835804335857</v>
      </c>
      <c r="O2492" s="551">
        <f>'Sollecitazioni nel paramento'!$G$60*(sezione!$AP$37-C2492)/C2492</f>
        <v>0.70106541048915993</v>
      </c>
      <c r="P2492" s="545">
        <f>-'Sollecitazioni nel paramento'!$G$47*'Sollecitazioni nel paramento'!$G$41*IF(DATI!$G$211="dx",DATI!$E$61,DATI!$E$64*DATI!$E$63)*1000*C2492*sezione!$AD$5</f>
        <v>-154890.18675018748</v>
      </c>
      <c r="Q2492" s="545">
        <f>'Foglio deposito bis'!$F$88*IF(ABS(K2492)&lt;'Sollecitazioni nel paramento'!$G$58,ABS(K2492)*'Sollecitazioni nel paramento'!$G$54,'Sollecitazioni nel paramento'!$G$53)*IF(K2492&lt;0,-1,1)</f>
        <v>0</v>
      </c>
      <c r="R2492" s="545">
        <f>'Foglio deposito bis'!$F$89*IF(ABS(L2492)&lt;'Sollecitazioni nel paramento'!$G$58,ABS(L2492)*'Sollecitazioni nel paramento'!$G$54,'Sollecitazioni nel paramento'!$G$53)*IF(L2492&lt;0,-1,1)</f>
        <v>153664.85805602249</v>
      </c>
      <c r="S2492" s="545">
        <f>'Foglio deposito bis'!$F$90*IF(ABS(M2492)&lt;'Sollecitazioni nel paramento'!$G$58,ABS(M2492)*'Sollecitazioni nel paramento'!$G$54,'Sollecitazioni nel paramento'!$G$53)*IF(M2492&lt;0,-1,1)</f>
        <v>0</v>
      </c>
      <c r="T2492" s="545">
        <f>'Foglio deposito bis'!$F$91*IF(ABS(N2492)&lt;'Sollecitazioni nel paramento'!$G$58,ABS(N2492)*'Sollecitazioni nel paramento'!$G$54,'Sollecitazioni nel paramento'!$G$53)*IF(N2492&lt;0,-1,1)</f>
        <v>892485.49558937876</v>
      </c>
      <c r="U2492" s="545">
        <f>'Foglio deposito bis'!$F$92*IF(ABS(O2492)&lt;'Sollecitazioni nel paramento'!$G$58,ABS(O2492)*'Sollecitazioni nel paramento'!$G$54,'Sollecitazioni nel paramento'!$G$53)*IF(O2492&lt;0,-1,1)</f>
        <v>1662039.1047339395</v>
      </c>
      <c r="V2492" s="472">
        <f t="shared" si="176"/>
        <v>2553299.2716291533</v>
      </c>
      <c r="W2492" s="551"/>
      <c r="X2492" s="551"/>
    </row>
    <row r="2493" spans="1:24" x14ac:dyDescent="0.25">
      <c r="A2493" s="545">
        <f t="shared" si="175"/>
        <v>2531172.1020934121</v>
      </c>
      <c r="B2493" s="3">
        <f t="shared" si="177"/>
        <v>0.39999999999999997</v>
      </c>
      <c r="C2493" s="545">
        <f>'Foglio deposito bis'!$E$163/sezione!$B$247*B2493</f>
        <v>4.6464907023106434</v>
      </c>
      <c r="D2493" s="603">
        <f>-'Sollecitazioni nel paramento'!$G$47*'Sollecitazioni nel paramento'!$G$41*IF(DATI!$G$211="dx",DATI!$E$61,DATI!$E$64*DATI!$E$63)*1000*C2493^2*sezione!$AD$5*(1-sezione!$AD$6)</f>
        <v>-480345.54807602376</v>
      </c>
      <c r="E2493" s="545">
        <f>-'Foglio deposito bis'!$F$88*(C2493-sezione!$AL$37)*IF(ABS(K2493)&lt;'Sollecitazioni nel paramento'!$G$58,ABS(K2493)*'Sollecitazioni nel paramento'!$G$54,'Sollecitazioni nel paramento'!$G$53)</f>
        <v>0</v>
      </c>
      <c r="F2493" s="545">
        <f>-'Foglio deposito bis'!$F$89*(C2493-sezione!$AM$37)*IF(ABS(L2493)&lt;'Sollecitazioni nel paramento'!$G$58,ABS(L2493)*'Sollecitazioni nel paramento'!$G$54,'Sollecitazioni nel paramento'!$G$53)</f>
        <v>8505889.1491321549</v>
      </c>
      <c r="G2493" s="545">
        <f>-'Foglio deposito bis'!$F$90*(C2493-sezione!$AN$37)*IF(ABS(M2493)&lt;'Sollecitazioni nel paramento'!$G$58,ABS(M2493)*'Sollecitazioni nel paramento'!$G$54,'Sollecitazioni nel paramento'!$G$53)</f>
        <v>0</v>
      </c>
      <c r="H2493" s="545">
        <f>-'Foglio deposito bis'!$F$91*(C2493-sezione!$AO$37)*IF(ABS(N2493)&lt;'Sollecitazioni nel paramento'!$G$58,ABS(N2493)*'Sollecitazioni nel paramento'!$G$54,'Sollecitazioni nel paramento'!$G$53)</f>
        <v>138650753.73709747</v>
      </c>
      <c r="I2493" s="472">
        <f>-'Foglio deposito bis'!$F$92*(C2493-sezione!$AP$37)*IF(ABS(O2493)&lt;'Sollecitazioni nel paramento'!$G$58,ABS(O2493)*'Sollecitazioni nel paramento'!$G$54,'Sollecitazioni nel paramento'!$G$53)</f>
        <v>1352555234.9511096</v>
      </c>
      <c r="J2493" s="472">
        <f t="shared" si="174"/>
        <v>1499231532.2892632</v>
      </c>
      <c r="K2493" s="550">
        <f>'Sollecitazioni nel paramento'!$G$60*(sezione!$AL$37-C2493)/C2493</f>
        <v>2.6630265821984689E-2</v>
      </c>
      <c r="L2493" s="550">
        <f>'Sollecitazioni nel paramento'!$G$60*(sezione!$AM$37-C2493)/C2493</f>
        <v>4.1695398732977028E-2</v>
      </c>
      <c r="M2493" s="551">
        <f>'Sollecitazioni nel paramento'!$G$60*(sezione!$AN$37-C2493)/C2493</f>
        <v>5.6760531643969374E-2</v>
      </c>
      <c r="N2493" s="551">
        <f>'Sollecitazioni nel paramento'!$G$60*(sezione!$AO$37-C2493)/C2493</f>
        <v>0.11702106328793875</v>
      </c>
      <c r="O2493" s="551">
        <f>'Sollecitazioni nel paramento'!$G$60*(sezione!$AP$37-C2493)/C2493</f>
        <v>0.61299473417801498</v>
      </c>
      <c r="P2493" s="545">
        <f>-'Sollecitazioni nel paramento'!$G$47*'Sollecitazioni nel paramento'!$G$41*IF(DATI!$G$211="dx",DATI!$E$61,DATI!$E$64*DATI!$E$63)*1000*C2493*sezione!$AD$5</f>
        <v>-177017.35628592854</v>
      </c>
      <c r="Q2493" s="545">
        <f>'Foglio deposito bis'!$F$88*IF(ABS(K2493)&lt;'Sollecitazioni nel paramento'!$G$58,ABS(K2493)*'Sollecitazioni nel paramento'!$G$54,'Sollecitazioni nel paramento'!$G$53)*IF(K2493&lt;0,-1,1)</f>
        <v>0</v>
      </c>
      <c r="R2493" s="545">
        <f>'Foglio deposito bis'!$F$89*IF(ABS(L2493)&lt;'Sollecitazioni nel paramento'!$G$58,ABS(L2493)*'Sollecitazioni nel paramento'!$G$54,'Sollecitazioni nel paramento'!$G$53)*IF(L2493&lt;0,-1,1)</f>
        <v>153664.85805602249</v>
      </c>
      <c r="S2493" s="545">
        <f>'Foglio deposito bis'!$F$90*IF(ABS(M2493)&lt;'Sollecitazioni nel paramento'!$G$58,ABS(M2493)*'Sollecitazioni nel paramento'!$G$54,'Sollecitazioni nel paramento'!$G$53)*IF(M2493&lt;0,-1,1)</f>
        <v>0</v>
      </c>
      <c r="T2493" s="545">
        <f>'Foglio deposito bis'!$F$91*IF(ABS(N2493)&lt;'Sollecitazioni nel paramento'!$G$58,ABS(N2493)*'Sollecitazioni nel paramento'!$G$54,'Sollecitazioni nel paramento'!$G$53)*IF(N2493&lt;0,-1,1)</f>
        <v>892485.49558937876</v>
      </c>
      <c r="U2493" s="545">
        <f>'Foglio deposito bis'!$F$92*IF(ABS(O2493)&lt;'Sollecitazioni nel paramento'!$G$58,ABS(O2493)*'Sollecitazioni nel paramento'!$G$54,'Sollecitazioni nel paramento'!$G$53)*IF(O2493&lt;0,-1,1)</f>
        <v>1662039.1047339395</v>
      </c>
      <c r="V2493" s="472">
        <f t="shared" si="176"/>
        <v>2531172.1020934121</v>
      </c>
      <c r="W2493" s="551"/>
      <c r="X2493" s="551"/>
    </row>
    <row r="2494" spans="1:24" x14ac:dyDescent="0.25">
      <c r="A2494" s="545">
        <f t="shared" si="175"/>
        <v>2509044.9325576713</v>
      </c>
      <c r="B2494" s="3">
        <f t="shared" si="177"/>
        <v>0.44999999999999996</v>
      </c>
      <c r="C2494" s="545">
        <f>'Foglio deposito bis'!$E$163/sezione!$B$247*B2494</f>
        <v>5.227302040099473</v>
      </c>
      <c r="D2494" s="603">
        <f>-'Sollecitazioni nel paramento'!$G$47*'Sollecitazioni nel paramento'!$G$41*IF(DATI!$G$211="dx",DATI!$E$61,DATI!$E$64*DATI!$E$63)*1000*C2494^2*sezione!$AD$5*(1-sezione!$AD$6)</f>
        <v>-607937.33428371744</v>
      </c>
      <c r="E2494" s="545">
        <f>-'Foglio deposito bis'!$F$88*(C2494-sezione!$AL$37)*IF(ABS(K2494)&lt;'Sollecitazioni nel paramento'!$G$58,ABS(K2494)*'Sollecitazioni nel paramento'!$G$54,'Sollecitazioni nel paramento'!$G$53)</f>
        <v>0</v>
      </c>
      <c r="F2494" s="545">
        <f>-'Foglio deposito bis'!$F$89*(C2494-sezione!$AM$37)*IF(ABS(L2494)&lt;'Sollecitazioni nel paramento'!$G$58,ABS(L2494)*'Sollecitazioni nel paramento'!$G$54,'Sollecitazioni nel paramento'!$G$53)</f>
        <v>8416638.8573535066</v>
      </c>
      <c r="G2494" s="545">
        <f>-'Foglio deposito bis'!$F$90*(C2494-sezione!$AN$37)*IF(ABS(M2494)&lt;'Sollecitazioni nel paramento'!$G$58,ABS(M2494)*'Sollecitazioni nel paramento'!$G$54,'Sollecitazioni nel paramento'!$G$53)</f>
        <v>0</v>
      </c>
      <c r="H2494" s="545">
        <f>-'Foglio deposito bis'!$F$91*(C2494-sezione!$AO$37)*IF(ABS(N2494)&lt;'Sollecitazioni nel paramento'!$G$58,ABS(N2494)*'Sollecitazioni nel paramento'!$G$54,'Sollecitazioni nel paramento'!$G$53)</f>
        <v>138132388.04244706</v>
      </c>
      <c r="I2494" s="472">
        <f>-'Foglio deposito bis'!$F$92*(C2494-sezione!$AP$37)*IF(ABS(O2494)&lt;'Sollecitazioni nel paramento'!$G$58,ABS(O2494)*'Sollecitazioni nel paramento'!$G$54,'Sollecitazioni nel paramento'!$G$53)</f>
        <v>1351589903.7952316</v>
      </c>
      <c r="J2494" s="472">
        <f t="shared" si="174"/>
        <v>1497530993.3607485</v>
      </c>
      <c r="K2494" s="550">
        <f>'Sollecitazioni nel paramento'!$G$60*(sezione!$AL$37-C2494)/C2494</f>
        <v>2.3282458508430838E-2</v>
      </c>
      <c r="L2494" s="550">
        <f>'Sollecitazioni nel paramento'!$G$60*(sezione!$AM$37-C2494)/C2494</f>
        <v>3.6673687762646255E-2</v>
      </c>
      <c r="M2494" s="551">
        <f>'Sollecitazioni nel paramento'!$G$60*(sezione!$AN$37-C2494)/C2494</f>
        <v>5.0064917016861672E-2</v>
      </c>
      <c r="N2494" s="551">
        <f>'Sollecitazioni nel paramento'!$G$60*(sezione!$AO$37-C2494)/C2494</f>
        <v>0.10362983403372336</v>
      </c>
      <c r="O2494" s="551">
        <f>'Sollecitazioni nel paramento'!$G$60*(sezione!$AP$37-C2494)/C2494</f>
        <v>0.54449531926934669</v>
      </c>
      <c r="P2494" s="545">
        <f>-'Sollecitazioni nel paramento'!$G$47*'Sollecitazioni nel paramento'!$G$41*IF(DATI!$G$211="dx",DATI!$E$61,DATI!$E$64*DATI!$E$63)*1000*C2494*sezione!$AD$5</f>
        <v>-199144.52582166958</v>
      </c>
      <c r="Q2494" s="545">
        <f>'Foglio deposito bis'!$F$88*IF(ABS(K2494)&lt;'Sollecitazioni nel paramento'!$G$58,ABS(K2494)*'Sollecitazioni nel paramento'!$G$54,'Sollecitazioni nel paramento'!$G$53)*IF(K2494&lt;0,-1,1)</f>
        <v>0</v>
      </c>
      <c r="R2494" s="545">
        <f>'Foglio deposito bis'!$F$89*IF(ABS(L2494)&lt;'Sollecitazioni nel paramento'!$G$58,ABS(L2494)*'Sollecitazioni nel paramento'!$G$54,'Sollecitazioni nel paramento'!$G$53)*IF(L2494&lt;0,-1,1)</f>
        <v>153664.85805602249</v>
      </c>
      <c r="S2494" s="545">
        <f>'Foglio deposito bis'!$F$90*IF(ABS(M2494)&lt;'Sollecitazioni nel paramento'!$G$58,ABS(M2494)*'Sollecitazioni nel paramento'!$G$54,'Sollecitazioni nel paramento'!$G$53)*IF(M2494&lt;0,-1,1)</f>
        <v>0</v>
      </c>
      <c r="T2494" s="545">
        <f>'Foglio deposito bis'!$F$91*IF(ABS(N2494)&lt;'Sollecitazioni nel paramento'!$G$58,ABS(N2494)*'Sollecitazioni nel paramento'!$G$54,'Sollecitazioni nel paramento'!$G$53)*IF(N2494&lt;0,-1,1)</f>
        <v>892485.49558937876</v>
      </c>
      <c r="U2494" s="545">
        <f>'Foglio deposito bis'!$F$92*IF(ABS(O2494)&lt;'Sollecitazioni nel paramento'!$G$58,ABS(O2494)*'Sollecitazioni nel paramento'!$G$54,'Sollecitazioni nel paramento'!$G$53)*IF(O2494&lt;0,-1,1)</f>
        <v>1662039.1047339395</v>
      </c>
      <c r="V2494" s="472">
        <f t="shared" si="176"/>
        <v>2509044.9325576713</v>
      </c>
      <c r="W2494" s="551"/>
      <c r="X2494" s="551"/>
    </row>
    <row r="2495" spans="1:24" x14ac:dyDescent="0.25">
      <c r="A2495" s="545">
        <f t="shared" si="175"/>
        <v>2486917.7630219301</v>
      </c>
      <c r="B2495" s="3">
        <f t="shared" si="177"/>
        <v>0.49999999999999994</v>
      </c>
      <c r="C2495" s="545">
        <f>'Foglio deposito bis'!$E$163/sezione!$B$247*B2495</f>
        <v>5.8081133778883034</v>
      </c>
      <c r="D2495" s="603">
        <f>-'Sollecitazioni nel paramento'!$G$47*'Sollecitazioni nel paramento'!$G$41*IF(DATI!$G$211="dx",DATI!$E$61,DATI!$E$64*DATI!$E$63)*1000*C2495^2*sezione!$AD$5*(1-sezione!$AD$6)</f>
        <v>-750539.91886878689</v>
      </c>
      <c r="E2495" s="545">
        <f>-'Foglio deposito bis'!$F$88*(C2495-sezione!$AL$37)*IF(ABS(K2495)&lt;'Sollecitazioni nel paramento'!$G$58,ABS(K2495)*'Sollecitazioni nel paramento'!$G$54,'Sollecitazioni nel paramento'!$G$53)</f>
        <v>0</v>
      </c>
      <c r="F2495" s="545">
        <f>-'Foglio deposito bis'!$F$89*(C2495-sezione!$AM$37)*IF(ABS(L2495)&lt;'Sollecitazioni nel paramento'!$G$58,ABS(L2495)*'Sollecitazioni nel paramento'!$G$54,'Sollecitazioni nel paramento'!$G$53)</f>
        <v>8327388.5655748574</v>
      </c>
      <c r="G2495" s="545">
        <f>-'Foglio deposito bis'!$F$90*(C2495-sezione!$AN$37)*IF(ABS(M2495)&lt;'Sollecitazioni nel paramento'!$G$58,ABS(M2495)*'Sollecitazioni nel paramento'!$G$54,'Sollecitazioni nel paramento'!$G$53)</f>
        <v>0</v>
      </c>
      <c r="H2495" s="545">
        <f>-'Foglio deposito bis'!$F$91*(C2495-sezione!$AO$37)*IF(ABS(N2495)&lt;'Sollecitazioni nel paramento'!$G$58,ABS(N2495)*'Sollecitazioni nel paramento'!$G$54,'Sollecitazioni nel paramento'!$G$53)</f>
        <v>137614022.34779668</v>
      </c>
      <c r="I2495" s="472">
        <f>-'Foglio deposito bis'!$F$92*(C2495-sezione!$AP$37)*IF(ABS(O2495)&lt;'Sollecitazioni nel paramento'!$G$58,ABS(O2495)*'Sollecitazioni nel paramento'!$G$54,'Sollecitazioni nel paramento'!$G$53)</f>
        <v>1350624572.6393538</v>
      </c>
      <c r="J2495" s="472">
        <f t="shared" si="174"/>
        <v>1495815443.6338565</v>
      </c>
      <c r="K2495" s="550">
        <f>'Sollecitazioni nel paramento'!$G$60*(sezione!$AL$37-C2495)/C2495</f>
        <v>2.0604212657587752E-2</v>
      </c>
      <c r="L2495" s="550">
        <f>'Sollecitazioni nel paramento'!$G$60*(sezione!$AM$37-C2495)/C2495</f>
        <v>3.2656318986381626E-2</v>
      </c>
      <c r="M2495" s="551">
        <f>'Sollecitazioni nel paramento'!$G$60*(sezione!$AN$37-C2495)/C2495</f>
        <v>4.4708425315175507E-2</v>
      </c>
      <c r="N2495" s="551">
        <f>'Sollecitazioni nel paramento'!$G$60*(sezione!$AO$37-C2495)/C2495</f>
        <v>9.2916850630351003E-2</v>
      </c>
      <c r="O2495" s="551">
        <f>'Sollecitazioni nel paramento'!$G$60*(sezione!$AP$37-C2495)/C2495</f>
        <v>0.48969578734241204</v>
      </c>
      <c r="P2495" s="545">
        <f>-'Sollecitazioni nel paramento'!$G$47*'Sollecitazioni nel paramento'!$G$41*IF(DATI!$G$211="dx",DATI!$E$61,DATI!$E$64*DATI!$E$63)*1000*C2495*sezione!$AD$5</f>
        <v>-221271.69535741064</v>
      </c>
      <c r="Q2495" s="545">
        <f>'Foglio deposito bis'!$F$88*IF(ABS(K2495)&lt;'Sollecitazioni nel paramento'!$G$58,ABS(K2495)*'Sollecitazioni nel paramento'!$G$54,'Sollecitazioni nel paramento'!$G$53)*IF(K2495&lt;0,-1,1)</f>
        <v>0</v>
      </c>
      <c r="R2495" s="545">
        <f>'Foglio deposito bis'!$F$89*IF(ABS(L2495)&lt;'Sollecitazioni nel paramento'!$G$58,ABS(L2495)*'Sollecitazioni nel paramento'!$G$54,'Sollecitazioni nel paramento'!$G$53)*IF(L2495&lt;0,-1,1)</f>
        <v>153664.85805602249</v>
      </c>
      <c r="S2495" s="545">
        <f>'Foglio deposito bis'!$F$90*IF(ABS(M2495)&lt;'Sollecitazioni nel paramento'!$G$58,ABS(M2495)*'Sollecitazioni nel paramento'!$G$54,'Sollecitazioni nel paramento'!$G$53)*IF(M2495&lt;0,-1,1)</f>
        <v>0</v>
      </c>
      <c r="T2495" s="545">
        <f>'Foglio deposito bis'!$F$91*IF(ABS(N2495)&lt;'Sollecitazioni nel paramento'!$G$58,ABS(N2495)*'Sollecitazioni nel paramento'!$G$54,'Sollecitazioni nel paramento'!$G$53)*IF(N2495&lt;0,-1,1)</f>
        <v>892485.49558937876</v>
      </c>
      <c r="U2495" s="545">
        <f>'Foglio deposito bis'!$F$92*IF(ABS(O2495)&lt;'Sollecitazioni nel paramento'!$G$58,ABS(O2495)*'Sollecitazioni nel paramento'!$G$54,'Sollecitazioni nel paramento'!$G$53)*IF(O2495&lt;0,-1,1)</f>
        <v>1662039.1047339395</v>
      </c>
      <c r="V2495" s="472">
        <f t="shared" si="176"/>
        <v>2486917.7630219301</v>
      </c>
      <c r="W2495" s="551"/>
      <c r="X2495" s="551"/>
    </row>
    <row r="2496" spans="1:24" x14ac:dyDescent="0.25">
      <c r="A2496" s="545">
        <f t="shared" si="175"/>
        <v>2464790.5934861889</v>
      </c>
      <c r="B2496" s="3">
        <f t="shared" si="177"/>
        <v>0.54999999999999993</v>
      </c>
      <c r="C2496" s="545">
        <f>'Foglio deposito bis'!$E$163/sezione!$B$247*B2496</f>
        <v>6.3889247156771338</v>
      </c>
      <c r="D2496" s="603">
        <f>-'Sollecitazioni nel paramento'!$G$47*'Sollecitazioni nel paramento'!$G$41*IF(DATI!$G$211="dx",DATI!$E$61,DATI!$E$64*DATI!$E$63)*1000*C2496^2*sezione!$AD$5*(1-sezione!$AD$6)</f>
        <v>-908153.30183123215</v>
      </c>
      <c r="E2496" s="545">
        <f>-'Foglio deposito bis'!$F$88*(C2496-sezione!$AL$37)*IF(ABS(K2496)&lt;'Sollecitazioni nel paramento'!$G$58,ABS(K2496)*'Sollecitazioni nel paramento'!$G$54,'Sollecitazioni nel paramento'!$G$53)</f>
        <v>0</v>
      </c>
      <c r="F2496" s="545">
        <f>-'Foglio deposito bis'!$F$89*(C2496-sezione!$AM$37)*IF(ABS(L2496)&lt;'Sollecitazioni nel paramento'!$G$58,ABS(L2496)*'Sollecitazioni nel paramento'!$G$54,'Sollecitazioni nel paramento'!$G$53)</f>
        <v>8238138.2737962091</v>
      </c>
      <c r="G2496" s="545">
        <f>-'Foglio deposito bis'!$F$90*(C2496-sezione!$AN$37)*IF(ABS(M2496)&lt;'Sollecitazioni nel paramento'!$G$58,ABS(M2496)*'Sollecitazioni nel paramento'!$G$54,'Sollecitazioni nel paramento'!$G$53)</f>
        <v>0</v>
      </c>
      <c r="H2496" s="545">
        <f>-'Foglio deposito bis'!$F$91*(C2496-sezione!$AO$37)*IF(ABS(N2496)&lt;'Sollecitazioni nel paramento'!$G$58,ABS(N2496)*'Sollecitazioni nel paramento'!$G$54,'Sollecitazioni nel paramento'!$G$53)</f>
        <v>137095656.6531463</v>
      </c>
      <c r="I2496" s="472">
        <f>-'Foglio deposito bis'!$F$92*(C2496-sezione!$AP$37)*IF(ABS(O2496)&lt;'Sollecitazioni nel paramento'!$G$58,ABS(O2496)*'Sollecitazioni nel paramento'!$G$54,'Sollecitazioni nel paramento'!$G$53)</f>
        <v>1349659241.4834759</v>
      </c>
      <c r="J2496" s="472">
        <f t="shared" si="174"/>
        <v>1494084883.1085873</v>
      </c>
      <c r="K2496" s="550">
        <f>'Sollecitazioni nel paramento'!$G$60*(sezione!$AL$37-C2496)/C2496</f>
        <v>1.8412920597807046E-2</v>
      </c>
      <c r="L2496" s="550">
        <f>'Sollecitazioni nel paramento'!$G$60*(sezione!$AM$37-C2496)/C2496</f>
        <v>2.9369380896710571E-2</v>
      </c>
      <c r="M2496" s="551">
        <f>'Sollecitazioni nel paramento'!$G$60*(sezione!$AN$37-C2496)/C2496</f>
        <v>4.0325841195614096E-2</v>
      </c>
      <c r="N2496" s="551">
        <f>'Sollecitazioni nel paramento'!$G$60*(sezione!$AO$37-C2496)/C2496</f>
        <v>8.4151682391228194E-2</v>
      </c>
      <c r="O2496" s="551">
        <f>'Sollecitazioni nel paramento'!$G$60*(sezione!$AP$37-C2496)/C2496</f>
        <v>0.44485980667491998</v>
      </c>
      <c r="P2496" s="545">
        <f>-'Sollecitazioni nel paramento'!$G$47*'Sollecitazioni nel paramento'!$G$41*IF(DATI!$G$211="dx",DATI!$E$61,DATI!$E$64*DATI!$E$63)*1000*C2496*sezione!$AD$5</f>
        <v>-243398.86489315174</v>
      </c>
      <c r="Q2496" s="545">
        <f>'Foglio deposito bis'!$F$88*IF(ABS(K2496)&lt;'Sollecitazioni nel paramento'!$G$58,ABS(K2496)*'Sollecitazioni nel paramento'!$G$54,'Sollecitazioni nel paramento'!$G$53)*IF(K2496&lt;0,-1,1)</f>
        <v>0</v>
      </c>
      <c r="R2496" s="545">
        <f>'Foglio deposito bis'!$F$89*IF(ABS(L2496)&lt;'Sollecitazioni nel paramento'!$G$58,ABS(L2496)*'Sollecitazioni nel paramento'!$G$54,'Sollecitazioni nel paramento'!$G$53)*IF(L2496&lt;0,-1,1)</f>
        <v>153664.85805602249</v>
      </c>
      <c r="S2496" s="545">
        <f>'Foglio deposito bis'!$F$90*IF(ABS(M2496)&lt;'Sollecitazioni nel paramento'!$G$58,ABS(M2496)*'Sollecitazioni nel paramento'!$G$54,'Sollecitazioni nel paramento'!$G$53)*IF(M2496&lt;0,-1,1)</f>
        <v>0</v>
      </c>
      <c r="T2496" s="545">
        <f>'Foglio deposito bis'!$F$91*IF(ABS(N2496)&lt;'Sollecitazioni nel paramento'!$G$58,ABS(N2496)*'Sollecitazioni nel paramento'!$G$54,'Sollecitazioni nel paramento'!$G$53)*IF(N2496&lt;0,-1,1)</f>
        <v>892485.49558937876</v>
      </c>
      <c r="U2496" s="545">
        <f>'Foglio deposito bis'!$F$92*IF(ABS(O2496)&lt;'Sollecitazioni nel paramento'!$G$58,ABS(O2496)*'Sollecitazioni nel paramento'!$G$54,'Sollecitazioni nel paramento'!$G$53)*IF(O2496&lt;0,-1,1)</f>
        <v>1662039.1047339395</v>
      </c>
      <c r="V2496" s="472">
        <f t="shared" si="176"/>
        <v>2464790.5934861889</v>
      </c>
      <c r="W2496" s="551"/>
      <c r="X2496" s="551"/>
    </row>
    <row r="2497" spans="1:24" x14ac:dyDescent="0.25">
      <c r="A2497" s="545">
        <f t="shared" si="175"/>
        <v>2442663.4239504477</v>
      </c>
      <c r="B2497" s="3">
        <f t="shared" si="177"/>
        <v>0.6</v>
      </c>
      <c r="C2497" s="545">
        <f>'Foglio deposito bis'!$E$163/sezione!$B$247*B2497</f>
        <v>6.9697360534659651</v>
      </c>
      <c r="D2497" s="603">
        <f>-'Sollecitazioni nel paramento'!$G$47*'Sollecitazioni nel paramento'!$G$41*IF(DATI!$G$211="dx",DATI!$E$61,DATI!$E$64*DATI!$E$63)*1000*C2497^2*sezione!$AD$5*(1-sezione!$AD$6)</f>
        <v>-1080777.4831710532</v>
      </c>
      <c r="E2497" s="545">
        <f>-'Foglio deposito bis'!$F$88*(C2497-sezione!$AL$37)*IF(ABS(K2497)&lt;'Sollecitazioni nel paramento'!$G$58,ABS(K2497)*'Sollecitazioni nel paramento'!$G$54,'Sollecitazioni nel paramento'!$G$53)</f>
        <v>0</v>
      </c>
      <c r="F2497" s="545">
        <f>-'Foglio deposito bis'!$F$89*(C2497-sezione!$AM$37)*IF(ABS(L2497)&lt;'Sollecitazioni nel paramento'!$G$58,ABS(L2497)*'Sollecitazioni nel paramento'!$G$54,'Sollecitazioni nel paramento'!$G$53)</f>
        <v>8148887.982017559</v>
      </c>
      <c r="G2497" s="545">
        <f>-'Foglio deposito bis'!$F$90*(C2497-sezione!$AN$37)*IF(ABS(M2497)&lt;'Sollecitazioni nel paramento'!$G$58,ABS(M2497)*'Sollecitazioni nel paramento'!$G$54,'Sollecitazioni nel paramento'!$G$53)</f>
        <v>0</v>
      </c>
      <c r="H2497" s="545">
        <f>-'Foglio deposito bis'!$F$91*(C2497-sezione!$AO$37)*IF(ABS(N2497)&lt;'Sollecitazioni nel paramento'!$G$58,ABS(N2497)*'Sollecitazioni nel paramento'!$G$54,'Sollecitazioni nel paramento'!$G$53)</f>
        <v>136577290.95849586</v>
      </c>
      <c r="I2497" s="472">
        <f>-'Foglio deposito bis'!$F$92*(C2497-sezione!$AP$37)*IF(ABS(O2497)&lt;'Sollecitazioni nel paramento'!$G$58,ABS(O2497)*'Sollecitazioni nel paramento'!$G$54,'Sollecitazioni nel paramento'!$G$53)</f>
        <v>1348693910.3275983</v>
      </c>
      <c r="J2497" s="472">
        <f t="shared" si="174"/>
        <v>1492339311.7849407</v>
      </c>
      <c r="K2497" s="550">
        <f>'Sollecitazioni nel paramento'!$G$60*(sezione!$AL$37-C2497)/C2497</f>
        <v>1.6586843881323123E-2</v>
      </c>
      <c r="L2497" s="550">
        <f>'Sollecitazioni nel paramento'!$G$60*(sezione!$AM$37-C2497)/C2497</f>
        <v>2.6630265821984689E-2</v>
      </c>
      <c r="M2497" s="551">
        <f>'Sollecitazioni nel paramento'!$G$60*(sezione!$AN$37-C2497)/C2497</f>
        <v>3.6673687762646248E-2</v>
      </c>
      <c r="N2497" s="551">
        <f>'Sollecitazioni nel paramento'!$G$60*(sezione!$AO$37-C2497)/C2497</f>
        <v>7.6847375525292486E-2</v>
      </c>
      <c r="O2497" s="551">
        <f>'Sollecitazioni nel paramento'!$G$60*(sezione!$AP$37-C2497)/C2497</f>
        <v>0.40749648945201</v>
      </c>
      <c r="P2497" s="545">
        <f>-'Sollecitazioni nel paramento'!$G$47*'Sollecitazioni nel paramento'!$G$41*IF(DATI!$G$211="dx",DATI!$E$61,DATI!$E$64*DATI!$E$63)*1000*C2497*sezione!$AD$5</f>
        <v>-265526.03442889283</v>
      </c>
      <c r="Q2497" s="545">
        <f>'Foglio deposito bis'!$F$88*IF(ABS(K2497)&lt;'Sollecitazioni nel paramento'!$G$58,ABS(K2497)*'Sollecitazioni nel paramento'!$G$54,'Sollecitazioni nel paramento'!$G$53)*IF(K2497&lt;0,-1,1)</f>
        <v>0</v>
      </c>
      <c r="R2497" s="545">
        <f>'Foglio deposito bis'!$F$89*IF(ABS(L2497)&lt;'Sollecitazioni nel paramento'!$G$58,ABS(L2497)*'Sollecitazioni nel paramento'!$G$54,'Sollecitazioni nel paramento'!$G$53)*IF(L2497&lt;0,-1,1)</f>
        <v>153664.85805602249</v>
      </c>
      <c r="S2497" s="545">
        <f>'Foglio deposito bis'!$F$90*IF(ABS(M2497)&lt;'Sollecitazioni nel paramento'!$G$58,ABS(M2497)*'Sollecitazioni nel paramento'!$G$54,'Sollecitazioni nel paramento'!$G$53)*IF(M2497&lt;0,-1,1)</f>
        <v>0</v>
      </c>
      <c r="T2497" s="545">
        <f>'Foglio deposito bis'!$F$91*IF(ABS(N2497)&lt;'Sollecitazioni nel paramento'!$G$58,ABS(N2497)*'Sollecitazioni nel paramento'!$G$54,'Sollecitazioni nel paramento'!$G$53)*IF(N2497&lt;0,-1,1)</f>
        <v>892485.49558937876</v>
      </c>
      <c r="U2497" s="545">
        <f>'Foglio deposito bis'!$F$92*IF(ABS(O2497)&lt;'Sollecitazioni nel paramento'!$G$58,ABS(O2497)*'Sollecitazioni nel paramento'!$G$54,'Sollecitazioni nel paramento'!$G$53)*IF(O2497&lt;0,-1,1)</f>
        <v>1662039.1047339395</v>
      </c>
      <c r="V2497" s="472">
        <f t="shared" si="176"/>
        <v>2442663.4239504477</v>
      </c>
      <c r="W2497" s="551"/>
      <c r="X2497" s="551"/>
    </row>
    <row r="2498" spans="1:24" x14ac:dyDescent="0.25">
      <c r="A2498" s="545">
        <f t="shared" si="175"/>
        <v>2420536.254414707</v>
      </c>
      <c r="B2498" s="3">
        <f t="shared" si="177"/>
        <v>0.65</v>
      </c>
      <c r="C2498" s="545">
        <f>'Foglio deposito bis'!$E$163/sezione!$B$247*B2498</f>
        <v>7.5505473912547956</v>
      </c>
      <c r="D2498" s="603">
        <f>-'Sollecitazioni nel paramento'!$G$47*'Sollecitazioni nel paramento'!$G$41*IF(DATI!$G$211="dx",DATI!$E$61,DATI!$E$64*DATI!$E$63)*1000*C2498^2*sezione!$AD$5*(1-sezione!$AD$6)</f>
        <v>-1268412.4628882501</v>
      </c>
      <c r="E2498" s="545">
        <f>-'Foglio deposito bis'!$F$88*(C2498-sezione!$AL$37)*IF(ABS(K2498)&lt;'Sollecitazioni nel paramento'!$G$58,ABS(K2498)*'Sollecitazioni nel paramento'!$G$54,'Sollecitazioni nel paramento'!$G$53)</f>
        <v>0</v>
      </c>
      <c r="F2498" s="545">
        <f>-'Foglio deposito bis'!$F$89*(C2498-sezione!$AM$37)*IF(ABS(L2498)&lt;'Sollecitazioni nel paramento'!$G$58,ABS(L2498)*'Sollecitazioni nel paramento'!$G$54,'Sollecitazioni nel paramento'!$G$53)</f>
        <v>8059637.6902389107</v>
      </c>
      <c r="G2498" s="545">
        <f>-'Foglio deposito bis'!$F$90*(C2498-sezione!$AN$37)*IF(ABS(M2498)&lt;'Sollecitazioni nel paramento'!$G$58,ABS(M2498)*'Sollecitazioni nel paramento'!$G$54,'Sollecitazioni nel paramento'!$G$53)</f>
        <v>0</v>
      </c>
      <c r="H2498" s="545">
        <f>-'Foglio deposito bis'!$F$91*(C2498-sezione!$AO$37)*IF(ABS(N2498)&lt;'Sollecitazioni nel paramento'!$G$58,ABS(N2498)*'Sollecitazioni nel paramento'!$G$54,'Sollecitazioni nel paramento'!$G$53)</f>
        <v>136058925.2638455</v>
      </c>
      <c r="I2498" s="472">
        <f>-'Foglio deposito bis'!$F$92*(C2498-sezione!$AP$37)*IF(ABS(O2498)&lt;'Sollecitazioni nel paramento'!$G$58,ABS(O2498)*'Sollecitazioni nel paramento'!$G$54,'Sollecitazioni nel paramento'!$G$53)</f>
        <v>1347728579.1717203</v>
      </c>
      <c r="J2498" s="472">
        <f t="shared" si="174"/>
        <v>1490578729.6629164</v>
      </c>
      <c r="K2498" s="550">
        <f>'Sollecitazioni nel paramento'!$G$60*(sezione!$AL$37-C2498)/C2498</f>
        <v>1.5041702044298269E-2</v>
      </c>
      <c r="L2498" s="550">
        <f>'Sollecitazioni nel paramento'!$G$60*(sezione!$AM$37-C2498)/C2498</f>
        <v>2.4312553066447404E-2</v>
      </c>
      <c r="M2498" s="551">
        <f>'Sollecitazioni nel paramento'!$G$60*(sezione!$AN$37-C2498)/C2498</f>
        <v>3.3583404088596537E-2</v>
      </c>
      <c r="N2498" s="551">
        <f>'Sollecitazioni nel paramento'!$G$60*(sezione!$AO$37-C2498)/C2498</f>
        <v>7.0666808177193077E-2</v>
      </c>
      <c r="O2498" s="551">
        <f>'Sollecitazioni nel paramento'!$G$60*(sezione!$AP$37-C2498)/C2498</f>
        <v>0.37588137487877843</v>
      </c>
      <c r="P2498" s="545">
        <f>-'Sollecitazioni nel paramento'!$G$47*'Sollecitazioni nel paramento'!$G$41*IF(DATI!$G$211="dx",DATI!$E$61,DATI!$E$64*DATI!$E$63)*1000*C2498*sezione!$AD$5</f>
        <v>-287653.20396463393</v>
      </c>
      <c r="Q2498" s="545">
        <f>'Foglio deposito bis'!$F$88*IF(ABS(K2498)&lt;'Sollecitazioni nel paramento'!$G$58,ABS(K2498)*'Sollecitazioni nel paramento'!$G$54,'Sollecitazioni nel paramento'!$G$53)*IF(K2498&lt;0,-1,1)</f>
        <v>0</v>
      </c>
      <c r="R2498" s="545">
        <f>'Foglio deposito bis'!$F$89*IF(ABS(L2498)&lt;'Sollecitazioni nel paramento'!$G$58,ABS(L2498)*'Sollecitazioni nel paramento'!$G$54,'Sollecitazioni nel paramento'!$G$53)*IF(L2498&lt;0,-1,1)</f>
        <v>153664.85805602249</v>
      </c>
      <c r="S2498" s="545">
        <f>'Foglio deposito bis'!$F$90*IF(ABS(M2498)&lt;'Sollecitazioni nel paramento'!$G$58,ABS(M2498)*'Sollecitazioni nel paramento'!$G$54,'Sollecitazioni nel paramento'!$G$53)*IF(M2498&lt;0,-1,1)</f>
        <v>0</v>
      </c>
      <c r="T2498" s="545">
        <f>'Foglio deposito bis'!$F$91*IF(ABS(N2498)&lt;'Sollecitazioni nel paramento'!$G$58,ABS(N2498)*'Sollecitazioni nel paramento'!$G$54,'Sollecitazioni nel paramento'!$G$53)*IF(N2498&lt;0,-1,1)</f>
        <v>892485.49558937876</v>
      </c>
      <c r="U2498" s="545">
        <f>'Foglio deposito bis'!$F$92*IF(ABS(O2498)&lt;'Sollecitazioni nel paramento'!$G$58,ABS(O2498)*'Sollecitazioni nel paramento'!$G$54,'Sollecitazioni nel paramento'!$G$53)*IF(O2498&lt;0,-1,1)</f>
        <v>1662039.1047339395</v>
      </c>
      <c r="V2498" s="472">
        <f t="shared" si="176"/>
        <v>2420536.254414707</v>
      </c>
      <c r="W2498" s="551"/>
      <c r="X2498" s="551"/>
    </row>
    <row r="2499" spans="1:24" x14ac:dyDescent="0.25">
      <c r="A2499" s="545">
        <f t="shared" si="175"/>
        <v>2398409.0848789657</v>
      </c>
      <c r="B2499" s="3">
        <f t="shared" si="177"/>
        <v>0.70000000000000007</v>
      </c>
      <c r="C2499" s="545">
        <f>'Foglio deposito bis'!$E$163/sezione!$B$247*B2499</f>
        <v>8.131358729043626</v>
      </c>
      <c r="D2499" s="603">
        <f>-'Sollecitazioni nel paramento'!$G$47*'Sollecitazioni nel paramento'!$G$41*IF(DATI!$G$211="dx",DATI!$E$61,DATI!$E$64*DATI!$E$63)*1000*C2499^2*sezione!$AD$5*(1-sezione!$AD$6)</f>
        <v>-1471058.2409828228</v>
      </c>
      <c r="E2499" s="545">
        <f>-'Foglio deposito bis'!$F$88*(C2499-sezione!$AL$37)*IF(ABS(K2499)&lt;'Sollecitazioni nel paramento'!$G$58,ABS(K2499)*'Sollecitazioni nel paramento'!$G$54,'Sollecitazioni nel paramento'!$G$53)</f>
        <v>0</v>
      </c>
      <c r="F2499" s="545">
        <f>-'Foglio deposito bis'!$F$89*(C2499-sezione!$AM$37)*IF(ABS(L2499)&lt;'Sollecitazioni nel paramento'!$G$58,ABS(L2499)*'Sollecitazioni nel paramento'!$G$54,'Sollecitazioni nel paramento'!$G$53)</f>
        <v>7970387.3984602606</v>
      </c>
      <c r="G2499" s="545">
        <f>-'Foglio deposito bis'!$F$90*(C2499-sezione!$AN$37)*IF(ABS(M2499)&lt;'Sollecitazioni nel paramento'!$G$58,ABS(M2499)*'Sollecitazioni nel paramento'!$G$54,'Sollecitazioni nel paramento'!$G$53)</f>
        <v>0</v>
      </c>
      <c r="H2499" s="545">
        <f>-'Foglio deposito bis'!$F$91*(C2499-sezione!$AO$37)*IF(ABS(N2499)&lt;'Sollecitazioni nel paramento'!$G$58,ABS(N2499)*'Sollecitazioni nel paramento'!$G$54,'Sollecitazioni nel paramento'!$G$53)</f>
        <v>135540559.56919509</v>
      </c>
      <c r="I2499" s="472">
        <f>-'Foglio deposito bis'!$F$92*(C2499-sezione!$AP$37)*IF(ABS(O2499)&lt;'Sollecitazioni nel paramento'!$G$58,ABS(O2499)*'Sollecitazioni nel paramento'!$G$54,'Sollecitazioni nel paramento'!$G$53)</f>
        <v>1346763248.0158424</v>
      </c>
      <c r="J2499" s="472">
        <f t="shared" si="174"/>
        <v>1488803136.7425151</v>
      </c>
      <c r="K2499" s="550">
        <f>'Sollecitazioni nel paramento'!$G$60*(sezione!$AL$37-C2499)/C2499</f>
        <v>1.3717294755419822E-2</v>
      </c>
      <c r="L2499" s="550">
        <f>'Sollecitazioni nel paramento'!$G$60*(sezione!$AM$37-C2499)/C2499</f>
        <v>2.2325942133129731E-2</v>
      </c>
      <c r="M2499" s="551">
        <f>'Sollecitazioni nel paramento'!$G$60*(sezione!$AN$37-C2499)/C2499</f>
        <v>3.0934589510839643E-2</v>
      </c>
      <c r="N2499" s="551">
        <f>'Sollecitazioni nel paramento'!$G$60*(sezione!$AO$37-C2499)/C2499</f>
        <v>6.5369179021679283E-2</v>
      </c>
      <c r="O2499" s="551">
        <f>'Sollecitazioni nel paramento'!$G$60*(sezione!$AP$37-C2499)/C2499</f>
        <v>0.34878270524457994</v>
      </c>
      <c r="P2499" s="545">
        <f>-'Sollecitazioni nel paramento'!$G$47*'Sollecitazioni nel paramento'!$G$41*IF(DATI!$G$211="dx",DATI!$E$61,DATI!$E$64*DATI!$E$63)*1000*C2499*sezione!$AD$5</f>
        <v>-309780.37350037496</v>
      </c>
      <c r="Q2499" s="545">
        <f>'Foglio deposito bis'!$F$88*IF(ABS(K2499)&lt;'Sollecitazioni nel paramento'!$G$58,ABS(K2499)*'Sollecitazioni nel paramento'!$G$54,'Sollecitazioni nel paramento'!$G$53)*IF(K2499&lt;0,-1,1)</f>
        <v>0</v>
      </c>
      <c r="R2499" s="545">
        <f>'Foglio deposito bis'!$F$89*IF(ABS(L2499)&lt;'Sollecitazioni nel paramento'!$G$58,ABS(L2499)*'Sollecitazioni nel paramento'!$G$54,'Sollecitazioni nel paramento'!$G$53)*IF(L2499&lt;0,-1,1)</f>
        <v>153664.85805602249</v>
      </c>
      <c r="S2499" s="545">
        <f>'Foglio deposito bis'!$F$90*IF(ABS(M2499)&lt;'Sollecitazioni nel paramento'!$G$58,ABS(M2499)*'Sollecitazioni nel paramento'!$G$54,'Sollecitazioni nel paramento'!$G$53)*IF(M2499&lt;0,-1,1)</f>
        <v>0</v>
      </c>
      <c r="T2499" s="545">
        <f>'Foglio deposito bis'!$F$91*IF(ABS(N2499)&lt;'Sollecitazioni nel paramento'!$G$58,ABS(N2499)*'Sollecitazioni nel paramento'!$G$54,'Sollecitazioni nel paramento'!$G$53)*IF(N2499&lt;0,-1,1)</f>
        <v>892485.49558937876</v>
      </c>
      <c r="U2499" s="545">
        <f>'Foglio deposito bis'!$F$92*IF(ABS(O2499)&lt;'Sollecitazioni nel paramento'!$G$58,ABS(O2499)*'Sollecitazioni nel paramento'!$G$54,'Sollecitazioni nel paramento'!$G$53)*IF(O2499&lt;0,-1,1)</f>
        <v>1662039.1047339395</v>
      </c>
      <c r="V2499" s="472">
        <f t="shared" si="176"/>
        <v>2398409.0848789657</v>
      </c>
      <c r="W2499" s="551"/>
      <c r="X2499" s="551"/>
    </row>
    <row r="2500" spans="1:24" x14ac:dyDescent="0.25">
      <c r="A2500" s="545">
        <f t="shared" si="175"/>
        <v>2376281.9153432245</v>
      </c>
      <c r="B2500" s="3">
        <f t="shared" si="177"/>
        <v>0.75000000000000011</v>
      </c>
      <c r="C2500" s="545">
        <f>'Foglio deposito bis'!$E$163/sezione!$B$247*B2500</f>
        <v>8.7121700668324582</v>
      </c>
      <c r="D2500" s="603">
        <f>-'Sollecitazioni nel paramento'!$G$47*'Sollecitazioni nel paramento'!$G$41*IF(DATI!$G$211="dx",DATI!$E$61,DATI!$E$64*DATI!$E$63)*1000*C2500^2*sezione!$AD$5*(1-sezione!$AD$6)</f>
        <v>-1688714.8174547716</v>
      </c>
      <c r="E2500" s="545">
        <f>-'Foglio deposito bis'!$F$88*(C2500-sezione!$AL$37)*IF(ABS(K2500)&lt;'Sollecitazioni nel paramento'!$G$58,ABS(K2500)*'Sollecitazioni nel paramento'!$G$54,'Sollecitazioni nel paramento'!$G$53)</f>
        <v>0</v>
      </c>
      <c r="F2500" s="545">
        <f>-'Foglio deposito bis'!$F$89*(C2500-sezione!$AM$37)*IF(ABS(L2500)&lt;'Sollecitazioni nel paramento'!$G$58,ABS(L2500)*'Sollecitazioni nel paramento'!$G$54,'Sollecitazioni nel paramento'!$G$53)</f>
        <v>7881137.1066816123</v>
      </c>
      <c r="G2500" s="545">
        <f>-'Foglio deposito bis'!$F$90*(C2500-sezione!$AN$37)*IF(ABS(M2500)&lt;'Sollecitazioni nel paramento'!$G$58,ABS(M2500)*'Sollecitazioni nel paramento'!$G$54,'Sollecitazioni nel paramento'!$G$53)</f>
        <v>0</v>
      </c>
      <c r="H2500" s="545">
        <f>-'Foglio deposito bis'!$F$91*(C2500-sezione!$AO$37)*IF(ABS(N2500)&lt;'Sollecitazioni nel paramento'!$G$58,ABS(N2500)*'Sollecitazioni nel paramento'!$G$54,'Sollecitazioni nel paramento'!$G$53)</f>
        <v>135022193.87454468</v>
      </c>
      <c r="I2500" s="472">
        <f>-'Foglio deposito bis'!$F$92*(C2500-sezione!$AP$37)*IF(ABS(O2500)&lt;'Sollecitazioni nel paramento'!$G$58,ABS(O2500)*'Sollecitazioni nel paramento'!$G$54,'Sollecitazioni nel paramento'!$G$53)</f>
        <v>1345797916.8599646</v>
      </c>
      <c r="J2500" s="472">
        <f t="shared" si="174"/>
        <v>1487012533.023736</v>
      </c>
      <c r="K2500" s="550">
        <f>'Sollecitazioni nel paramento'!$G$60*(sezione!$AL$37-C2500)/C2500</f>
        <v>1.2569475105058497E-2</v>
      </c>
      <c r="L2500" s="550">
        <f>'Sollecitazioni nel paramento'!$G$60*(sezione!$AM$37-C2500)/C2500</f>
        <v>2.0604212657587745E-2</v>
      </c>
      <c r="M2500" s="551">
        <f>'Sollecitazioni nel paramento'!$G$60*(sezione!$AN$37-C2500)/C2500</f>
        <v>2.8638950210116993E-2</v>
      </c>
      <c r="N2500" s="551">
        <f>'Sollecitazioni nel paramento'!$G$60*(sezione!$AO$37-C2500)/C2500</f>
        <v>6.0777900420233982E-2</v>
      </c>
      <c r="O2500" s="551">
        <f>'Sollecitazioni nel paramento'!$G$60*(sezione!$AP$37-C2500)/C2500</f>
        <v>0.32529719156160791</v>
      </c>
      <c r="P2500" s="545">
        <f>-'Sollecitazioni nel paramento'!$G$47*'Sollecitazioni nel paramento'!$G$41*IF(DATI!$G$211="dx",DATI!$E$61,DATI!$E$64*DATI!$E$63)*1000*C2500*sezione!$AD$5</f>
        <v>-331907.54303611611</v>
      </c>
      <c r="Q2500" s="545">
        <f>'Foglio deposito bis'!$F$88*IF(ABS(K2500)&lt;'Sollecitazioni nel paramento'!$G$58,ABS(K2500)*'Sollecitazioni nel paramento'!$G$54,'Sollecitazioni nel paramento'!$G$53)*IF(K2500&lt;0,-1,1)</f>
        <v>0</v>
      </c>
      <c r="R2500" s="545">
        <f>'Foglio deposito bis'!$F$89*IF(ABS(L2500)&lt;'Sollecitazioni nel paramento'!$G$58,ABS(L2500)*'Sollecitazioni nel paramento'!$G$54,'Sollecitazioni nel paramento'!$G$53)*IF(L2500&lt;0,-1,1)</f>
        <v>153664.85805602249</v>
      </c>
      <c r="S2500" s="545">
        <f>'Foglio deposito bis'!$F$90*IF(ABS(M2500)&lt;'Sollecitazioni nel paramento'!$G$58,ABS(M2500)*'Sollecitazioni nel paramento'!$G$54,'Sollecitazioni nel paramento'!$G$53)*IF(M2500&lt;0,-1,1)</f>
        <v>0</v>
      </c>
      <c r="T2500" s="545">
        <f>'Foglio deposito bis'!$F$91*IF(ABS(N2500)&lt;'Sollecitazioni nel paramento'!$G$58,ABS(N2500)*'Sollecitazioni nel paramento'!$G$54,'Sollecitazioni nel paramento'!$G$53)*IF(N2500&lt;0,-1,1)</f>
        <v>892485.49558937876</v>
      </c>
      <c r="U2500" s="545">
        <f>'Foglio deposito bis'!$F$92*IF(ABS(O2500)&lt;'Sollecitazioni nel paramento'!$G$58,ABS(O2500)*'Sollecitazioni nel paramento'!$G$54,'Sollecitazioni nel paramento'!$G$53)*IF(O2500&lt;0,-1,1)</f>
        <v>1662039.1047339395</v>
      </c>
      <c r="V2500" s="472">
        <f t="shared" si="176"/>
        <v>2376281.9153432245</v>
      </c>
      <c r="W2500" s="551"/>
      <c r="X2500" s="551"/>
    </row>
    <row r="2501" spans="1:24" x14ac:dyDescent="0.25">
      <c r="A2501" s="545">
        <f t="shared" si="175"/>
        <v>2354154.7458074838</v>
      </c>
      <c r="B2501" s="3">
        <f t="shared" si="177"/>
        <v>0.80000000000000016</v>
      </c>
      <c r="C2501" s="545">
        <f>'Foglio deposito bis'!$E$163/sezione!$B$247*B2501</f>
        <v>9.2929814046212886</v>
      </c>
      <c r="D2501" s="603">
        <f>-'Sollecitazioni nel paramento'!$G$47*'Sollecitazioni nel paramento'!$G$41*IF(DATI!$G$211="dx",DATI!$E$61,DATI!$E$64*DATI!$E$63)*1000*C2501^2*sezione!$AD$5*(1-sezione!$AD$6)</f>
        <v>-1921382.1923040957</v>
      </c>
      <c r="E2501" s="545">
        <f>-'Foglio deposito bis'!$F$88*(C2501-sezione!$AL$37)*IF(ABS(K2501)&lt;'Sollecitazioni nel paramento'!$G$58,ABS(K2501)*'Sollecitazioni nel paramento'!$G$54,'Sollecitazioni nel paramento'!$G$53)</f>
        <v>0</v>
      </c>
      <c r="F2501" s="545">
        <f>-'Foglio deposito bis'!$F$89*(C2501-sezione!$AM$37)*IF(ABS(L2501)&lt;'Sollecitazioni nel paramento'!$G$58,ABS(L2501)*'Sollecitazioni nel paramento'!$G$54,'Sollecitazioni nel paramento'!$G$53)</f>
        <v>7791886.8149029622</v>
      </c>
      <c r="G2501" s="545">
        <f>-'Foglio deposito bis'!$F$90*(C2501-sezione!$AN$37)*IF(ABS(M2501)&lt;'Sollecitazioni nel paramento'!$G$58,ABS(M2501)*'Sollecitazioni nel paramento'!$G$54,'Sollecitazioni nel paramento'!$G$53)</f>
        <v>0</v>
      </c>
      <c r="H2501" s="545">
        <f>-'Foglio deposito bis'!$F$91*(C2501-sezione!$AO$37)*IF(ABS(N2501)&lt;'Sollecitazioni nel paramento'!$G$58,ABS(N2501)*'Sollecitazioni nel paramento'!$G$54,'Sollecitazioni nel paramento'!$G$53)</f>
        <v>134503828.1798943</v>
      </c>
      <c r="I2501" s="472">
        <f>-'Foglio deposito bis'!$F$92*(C2501-sezione!$AP$37)*IF(ABS(O2501)&lt;'Sollecitazioni nel paramento'!$G$58,ABS(O2501)*'Sollecitazioni nel paramento'!$G$54,'Sollecitazioni nel paramento'!$G$53)</f>
        <v>1344832585.7040865</v>
      </c>
      <c r="J2501" s="472">
        <f t="shared" si="174"/>
        <v>1485206918.5065796</v>
      </c>
      <c r="K2501" s="550">
        <f>'Sollecitazioni nel paramento'!$G$60*(sezione!$AL$37-C2501)/C2501</f>
        <v>1.1565132910992341E-2</v>
      </c>
      <c r="L2501" s="550">
        <f>'Sollecitazioni nel paramento'!$G$60*(sezione!$AM$37-C2501)/C2501</f>
        <v>1.9097699366488512E-2</v>
      </c>
      <c r="M2501" s="551">
        <f>'Sollecitazioni nel paramento'!$G$60*(sezione!$AN$37-C2501)/C2501</f>
        <v>2.6630265821984682E-2</v>
      </c>
      <c r="N2501" s="551">
        <f>'Sollecitazioni nel paramento'!$G$60*(sezione!$AO$37-C2501)/C2501</f>
        <v>5.676053164396936E-2</v>
      </c>
      <c r="O2501" s="551">
        <f>'Sollecitazioni nel paramento'!$G$60*(sezione!$AP$37-C2501)/C2501</f>
        <v>0.3047473670890074</v>
      </c>
      <c r="P2501" s="545">
        <f>-'Sollecitazioni nel paramento'!$G$47*'Sollecitazioni nel paramento'!$G$41*IF(DATI!$G$211="dx",DATI!$E$61,DATI!$E$64*DATI!$E$63)*1000*C2501*sezione!$AD$5</f>
        <v>-354034.71257185715</v>
      </c>
      <c r="Q2501" s="545">
        <f>'Foglio deposito bis'!$F$88*IF(ABS(K2501)&lt;'Sollecitazioni nel paramento'!$G$58,ABS(K2501)*'Sollecitazioni nel paramento'!$G$54,'Sollecitazioni nel paramento'!$G$53)*IF(K2501&lt;0,-1,1)</f>
        <v>0</v>
      </c>
      <c r="R2501" s="545">
        <f>'Foglio deposito bis'!$F$89*IF(ABS(L2501)&lt;'Sollecitazioni nel paramento'!$G$58,ABS(L2501)*'Sollecitazioni nel paramento'!$G$54,'Sollecitazioni nel paramento'!$G$53)*IF(L2501&lt;0,-1,1)</f>
        <v>153664.85805602249</v>
      </c>
      <c r="S2501" s="545">
        <f>'Foglio deposito bis'!$F$90*IF(ABS(M2501)&lt;'Sollecitazioni nel paramento'!$G$58,ABS(M2501)*'Sollecitazioni nel paramento'!$G$54,'Sollecitazioni nel paramento'!$G$53)*IF(M2501&lt;0,-1,1)</f>
        <v>0</v>
      </c>
      <c r="T2501" s="545">
        <f>'Foglio deposito bis'!$F$91*IF(ABS(N2501)&lt;'Sollecitazioni nel paramento'!$G$58,ABS(N2501)*'Sollecitazioni nel paramento'!$G$54,'Sollecitazioni nel paramento'!$G$53)*IF(N2501&lt;0,-1,1)</f>
        <v>892485.49558937876</v>
      </c>
      <c r="U2501" s="545">
        <f>'Foglio deposito bis'!$F$92*IF(ABS(O2501)&lt;'Sollecitazioni nel paramento'!$G$58,ABS(O2501)*'Sollecitazioni nel paramento'!$G$54,'Sollecitazioni nel paramento'!$G$53)*IF(O2501&lt;0,-1,1)</f>
        <v>1662039.1047339395</v>
      </c>
      <c r="V2501" s="472">
        <f t="shared" si="176"/>
        <v>2354154.7458074838</v>
      </c>
      <c r="W2501" s="551"/>
      <c r="X2501" s="551"/>
    </row>
    <row r="2502" spans="1:24" x14ac:dyDescent="0.25">
      <c r="A2502" s="545">
        <f t="shared" si="175"/>
        <v>2332027.5762717426</v>
      </c>
      <c r="B2502" s="3">
        <f t="shared" si="177"/>
        <v>0.8500000000000002</v>
      </c>
      <c r="C2502" s="545">
        <f>'Foglio deposito bis'!$E$163/sezione!$B$247*B2502</f>
        <v>9.8737927424101191</v>
      </c>
      <c r="D2502" s="603">
        <f>-'Sollecitazioni nel paramento'!$G$47*'Sollecitazioni nel paramento'!$G$41*IF(DATI!$G$211="dx",DATI!$E$61,DATI!$E$64*DATI!$E$63)*1000*C2502^2*sezione!$AD$5*(1-sezione!$AD$6)</f>
        <v>-2169060.3655307954</v>
      </c>
      <c r="E2502" s="545">
        <f>-'Foglio deposito bis'!$F$88*(C2502-sezione!$AL$37)*IF(ABS(K2502)&lt;'Sollecitazioni nel paramento'!$G$58,ABS(K2502)*'Sollecitazioni nel paramento'!$G$54,'Sollecitazioni nel paramento'!$G$53)</f>
        <v>0</v>
      </c>
      <c r="F2502" s="545">
        <f>-'Foglio deposito bis'!$F$89*(C2502-sezione!$AM$37)*IF(ABS(L2502)&lt;'Sollecitazioni nel paramento'!$G$58,ABS(L2502)*'Sollecitazioni nel paramento'!$G$54,'Sollecitazioni nel paramento'!$G$53)</f>
        <v>7702636.5231243139</v>
      </c>
      <c r="G2502" s="545">
        <f>-'Foglio deposito bis'!$F$90*(C2502-sezione!$AN$37)*IF(ABS(M2502)&lt;'Sollecitazioni nel paramento'!$G$58,ABS(M2502)*'Sollecitazioni nel paramento'!$G$54,'Sollecitazioni nel paramento'!$G$53)</f>
        <v>0</v>
      </c>
      <c r="H2502" s="545">
        <f>-'Foglio deposito bis'!$F$91*(C2502-sezione!$AO$37)*IF(ABS(N2502)&lt;'Sollecitazioni nel paramento'!$G$58,ABS(N2502)*'Sollecitazioni nel paramento'!$G$54,'Sollecitazioni nel paramento'!$G$53)</f>
        <v>133985462.4852439</v>
      </c>
      <c r="I2502" s="472">
        <f>-'Foglio deposito bis'!$F$92*(C2502-sezione!$AP$37)*IF(ABS(O2502)&lt;'Sollecitazioni nel paramento'!$G$58,ABS(O2502)*'Sollecitazioni nel paramento'!$G$54,'Sollecitazioni nel paramento'!$G$53)</f>
        <v>1343867254.5482087</v>
      </c>
      <c r="J2502" s="472">
        <f t="shared" si="174"/>
        <v>1483386293.1910462</v>
      </c>
      <c r="K2502" s="550">
        <f>'Sollecitazioni nel paramento'!$G$60*(sezione!$AL$37-C2502)/C2502</f>
        <v>1.0678948622110438E-2</v>
      </c>
      <c r="L2502" s="550">
        <f>'Sollecitazioni nel paramento'!$G$60*(sezione!$AM$37-C2502)/C2502</f>
        <v>1.7768422933165655E-2</v>
      </c>
      <c r="M2502" s="551">
        <f>'Sollecitazioni nel paramento'!$G$60*(sezione!$AN$37-C2502)/C2502</f>
        <v>2.4857897244220876E-2</v>
      </c>
      <c r="N2502" s="551">
        <f>'Sollecitazioni nel paramento'!$G$60*(sezione!$AO$37-C2502)/C2502</f>
        <v>5.3215794488441749E-2</v>
      </c>
      <c r="O2502" s="551">
        <f>'Sollecitazioni nel paramento'!$G$60*(sezione!$AP$37-C2502)/C2502</f>
        <v>0.2866151690249481</v>
      </c>
      <c r="P2502" s="545">
        <f>-'Sollecitazioni nel paramento'!$G$47*'Sollecitazioni nel paramento'!$G$41*IF(DATI!$G$211="dx",DATI!$E$61,DATI!$E$64*DATI!$E$63)*1000*C2502*sezione!$AD$5</f>
        <v>-376161.88210759824</v>
      </c>
      <c r="Q2502" s="545">
        <f>'Foglio deposito bis'!$F$88*IF(ABS(K2502)&lt;'Sollecitazioni nel paramento'!$G$58,ABS(K2502)*'Sollecitazioni nel paramento'!$G$54,'Sollecitazioni nel paramento'!$G$53)*IF(K2502&lt;0,-1,1)</f>
        <v>0</v>
      </c>
      <c r="R2502" s="545">
        <f>'Foglio deposito bis'!$F$89*IF(ABS(L2502)&lt;'Sollecitazioni nel paramento'!$G$58,ABS(L2502)*'Sollecitazioni nel paramento'!$G$54,'Sollecitazioni nel paramento'!$G$53)*IF(L2502&lt;0,-1,1)</f>
        <v>153664.85805602249</v>
      </c>
      <c r="S2502" s="545">
        <f>'Foglio deposito bis'!$F$90*IF(ABS(M2502)&lt;'Sollecitazioni nel paramento'!$G$58,ABS(M2502)*'Sollecitazioni nel paramento'!$G$54,'Sollecitazioni nel paramento'!$G$53)*IF(M2502&lt;0,-1,1)</f>
        <v>0</v>
      </c>
      <c r="T2502" s="545">
        <f>'Foglio deposito bis'!$F$91*IF(ABS(N2502)&lt;'Sollecitazioni nel paramento'!$G$58,ABS(N2502)*'Sollecitazioni nel paramento'!$G$54,'Sollecitazioni nel paramento'!$G$53)*IF(N2502&lt;0,-1,1)</f>
        <v>892485.49558937876</v>
      </c>
      <c r="U2502" s="545">
        <f>'Foglio deposito bis'!$F$92*IF(ABS(O2502)&lt;'Sollecitazioni nel paramento'!$G$58,ABS(O2502)*'Sollecitazioni nel paramento'!$G$54,'Sollecitazioni nel paramento'!$G$53)*IF(O2502&lt;0,-1,1)</f>
        <v>1662039.1047339395</v>
      </c>
      <c r="V2502" s="472">
        <f t="shared" si="176"/>
        <v>2332027.5762717426</v>
      </c>
      <c r="W2502" s="551"/>
      <c r="X2502" s="551"/>
    </row>
    <row r="2503" spans="1:24" x14ac:dyDescent="0.25">
      <c r="A2503" s="545">
        <f t="shared" si="175"/>
        <v>2309900.4067360014</v>
      </c>
      <c r="B2503" s="3">
        <f t="shared" si="177"/>
        <v>0.90000000000000024</v>
      </c>
      <c r="C2503" s="545">
        <f>'Foglio deposito bis'!$E$163/sezione!$B$247*B2503</f>
        <v>10.454604080198951</v>
      </c>
      <c r="D2503" s="603">
        <f>-'Sollecitazioni nel paramento'!$G$47*'Sollecitazioni nel paramento'!$G$41*IF(DATI!$G$211="dx",DATI!$E$61,DATI!$E$64*DATI!$E$63)*1000*C2503^2*sezione!$AD$5*(1-sezione!$AD$6)</f>
        <v>-2431749.3371348721</v>
      </c>
      <c r="E2503" s="545">
        <f>-'Foglio deposito bis'!$F$88*(C2503-sezione!$AL$37)*IF(ABS(K2503)&lt;'Sollecitazioni nel paramento'!$G$58,ABS(K2503)*'Sollecitazioni nel paramento'!$G$54,'Sollecitazioni nel paramento'!$G$53)</f>
        <v>0</v>
      </c>
      <c r="F2503" s="545">
        <f>-'Foglio deposito bis'!$F$89*(C2503-sezione!$AM$37)*IF(ABS(L2503)&lt;'Sollecitazioni nel paramento'!$G$58,ABS(L2503)*'Sollecitazioni nel paramento'!$G$54,'Sollecitazioni nel paramento'!$G$53)</f>
        <v>7613386.2313456638</v>
      </c>
      <c r="G2503" s="545">
        <f>-'Foglio deposito bis'!$F$90*(C2503-sezione!$AN$37)*IF(ABS(M2503)&lt;'Sollecitazioni nel paramento'!$G$58,ABS(M2503)*'Sollecitazioni nel paramento'!$G$54,'Sollecitazioni nel paramento'!$G$53)</f>
        <v>0</v>
      </c>
      <c r="H2503" s="545">
        <f>-'Foglio deposito bis'!$F$91*(C2503-sezione!$AO$37)*IF(ABS(N2503)&lt;'Sollecitazioni nel paramento'!$G$58,ABS(N2503)*'Sollecitazioni nel paramento'!$G$54,'Sollecitazioni nel paramento'!$G$53)</f>
        <v>133467096.7905935</v>
      </c>
      <c r="I2503" s="472">
        <f>-'Foglio deposito bis'!$F$92*(C2503-sezione!$AP$37)*IF(ABS(O2503)&lt;'Sollecitazioni nel paramento'!$G$58,ABS(O2503)*'Sollecitazioni nel paramento'!$G$54,'Sollecitazioni nel paramento'!$G$53)</f>
        <v>1342901923.3923309</v>
      </c>
      <c r="J2503" s="472">
        <f t="shared" si="174"/>
        <v>1481550657.0771351</v>
      </c>
      <c r="K2503" s="550">
        <f>'Sollecitazioni nel paramento'!$G$60*(sezione!$AL$37-C2503)/C2503</f>
        <v>9.8912292542154123E-3</v>
      </c>
      <c r="L2503" s="550">
        <f>'Sollecitazioni nel paramento'!$G$60*(sezione!$AM$37-C2503)/C2503</f>
        <v>1.6586843881323119E-2</v>
      </c>
      <c r="M2503" s="551">
        <f>'Sollecitazioni nel paramento'!$G$60*(sezione!$AN$37-C2503)/C2503</f>
        <v>2.3282458508430824E-2</v>
      </c>
      <c r="N2503" s="551">
        <f>'Sollecitazioni nel paramento'!$G$60*(sezione!$AO$37-C2503)/C2503</f>
        <v>5.0064917016861644E-2</v>
      </c>
      <c r="O2503" s="551">
        <f>'Sollecitazioni nel paramento'!$G$60*(sezione!$AP$37-C2503)/C2503</f>
        <v>0.2704976596346732</v>
      </c>
      <c r="P2503" s="545">
        <f>-'Sollecitazioni nel paramento'!$G$47*'Sollecitazioni nel paramento'!$G$41*IF(DATI!$G$211="dx",DATI!$E$61,DATI!$E$64*DATI!$E$63)*1000*C2503*sezione!$AD$5</f>
        <v>-398289.05164333939</v>
      </c>
      <c r="Q2503" s="545">
        <f>'Foglio deposito bis'!$F$88*IF(ABS(K2503)&lt;'Sollecitazioni nel paramento'!$G$58,ABS(K2503)*'Sollecitazioni nel paramento'!$G$54,'Sollecitazioni nel paramento'!$G$53)*IF(K2503&lt;0,-1,1)</f>
        <v>0</v>
      </c>
      <c r="R2503" s="545">
        <f>'Foglio deposito bis'!$F$89*IF(ABS(L2503)&lt;'Sollecitazioni nel paramento'!$G$58,ABS(L2503)*'Sollecitazioni nel paramento'!$G$54,'Sollecitazioni nel paramento'!$G$53)*IF(L2503&lt;0,-1,1)</f>
        <v>153664.85805602249</v>
      </c>
      <c r="S2503" s="545">
        <f>'Foglio deposito bis'!$F$90*IF(ABS(M2503)&lt;'Sollecitazioni nel paramento'!$G$58,ABS(M2503)*'Sollecitazioni nel paramento'!$G$54,'Sollecitazioni nel paramento'!$G$53)*IF(M2503&lt;0,-1,1)</f>
        <v>0</v>
      </c>
      <c r="T2503" s="545">
        <f>'Foglio deposito bis'!$F$91*IF(ABS(N2503)&lt;'Sollecitazioni nel paramento'!$G$58,ABS(N2503)*'Sollecitazioni nel paramento'!$G$54,'Sollecitazioni nel paramento'!$G$53)*IF(N2503&lt;0,-1,1)</f>
        <v>892485.49558937876</v>
      </c>
      <c r="U2503" s="545">
        <f>'Foglio deposito bis'!$F$92*IF(ABS(O2503)&lt;'Sollecitazioni nel paramento'!$G$58,ABS(O2503)*'Sollecitazioni nel paramento'!$G$54,'Sollecitazioni nel paramento'!$G$53)*IF(O2503&lt;0,-1,1)</f>
        <v>1662039.1047339395</v>
      </c>
      <c r="V2503" s="472">
        <f t="shared" si="176"/>
        <v>2309900.4067360014</v>
      </c>
      <c r="W2503" s="551"/>
      <c r="X2503" s="551"/>
    </row>
    <row r="2504" spans="1:24" x14ac:dyDescent="0.25">
      <c r="A2504" s="545">
        <f t="shared" si="175"/>
        <v>2287773.2372002602</v>
      </c>
      <c r="B2504" s="3">
        <f t="shared" si="177"/>
        <v>0.95000000000000029</v>
      </c>
      <c r="C2504" s="545">
        <f>'Foglio deposito bis'!$E$163/sezione!$B$247*B2504</f>
        <v>11.035415417987782</v>
      </c>
      <c r="D2504" s="603">
        <f>-'Sollecitazioni nel paramento'!$G$47*'Sollecitazioni nel paramento'!$G$41*IF(DATI!$G$211="dx",DATI!$E$61,DATI!$E$64*DATI!$E$63)*1000*C2504^2*sezione!$AD$5*(1-sezione!$AD$6)</f>
        <v>-2709449.107116323</v>
      </c>
      <c r="E2504" s="545">
        <f>-'Foglio deposito bis'!$F$88*(C2504-sezione!$AL$37)*IF(ABS(K2504)&lt;'Sollecitazioni nel paramento'!$G$58,ABS(K2504)*'Sollecitazioni nel paramento'!$G$54,'Sollecitazioni nel paramento'!$G$53)</f>
        <v>0</v>
      </c>
      <c r="F2504" s="545">
        <f>-'Foglio deposito bis'!$F$89*(C2504-sezione!$AM$37)*IF(ABS(L2504)&lt;'Sollecitazioni nel paramento'!$G$58,ABS(L2504)*'Sollecitazioni nel paramento'!$G$54,'Sollecitazioni nel paramento'!$G$53)</f>
        <v>7524135.9395670155</v>
      </c>
      <c r="G2504" s="545">
        <f>-'Foglio deposito bis'!$F$90*(C2504-sezione!$AN$37)*IF(ABS(M2504)&lt;'Sollecitazioni nel paramento'!$G$58,ABS(M2504)*'Sollecitazioni nel paramento'!$G$54,'Sollecitazioni nel paramento'!$G$53)</f>
        <v>0</v>
      </c>
      <c r="H2504" s="545">
        <f>-'Foglio deposito bis'!$F$91*(C2504-sezione!$AO$37)*IF(ABS(N2504)&lt;'Sollecitazioni nel paramento'!$G$58,ABS(N2504)*'Sollecitazioni nel paramento'!$G$54,'Sollecitazioni nel paramento'!$G$53)</f>
        <v>132948731.09594311</v>
      </c>
      <c r="I2504" s="472">
        <f>-'Foglio deposito bis'!$F$92*(C2504-sezione!$AP$37)*IF(ABS(O2504)&lt;'Sollecitazioni nel paramento'!$G$58,ABS(O2504)*'Sollecitazioni nel paramento'!$G$54,'Sollecitazioni nel paramento'!$G$53)</f>
        <v>1341936592.2364531</v>
      </c>
      <c r="J2504" s="472">
        <f t="shared" si="174"/>
        <v>1479700010.1648469</v>
      </c>
      <c r="K2504" s="550">
        <f>'Sollecitazioni nel paramento'!$G$60*(sezione!$AL$37-C2504)/C2504</f>
        <v>9.1864277145198639E-3</v>
      </c>
      <c r="L2504" s="550">
        <f>'Sollecitazioni nel paramento'!$G$60*(sezione!$AM$37-C2504)/C2504</f>
        <v>1.5529641571779797E-2</v>
      </c>
      <c r="M2504" s="551">
        <f>'Sollecitazioni nel paramento'!$G$60*(sezione!$AN$37-C2504)/C2504</f>
        <v>2.1872855429039727E-2</v>
      </c>
      <c r="N2504" s="551">
        <f>'Sollecitazioni nel paramento'!$G$60*(sezione!$AO$37-C2504)/C2504</f>
        <v>4.7245710858079451E-2</v>
      </c>
      <c r="O2504" s="551">
        <f>'Sollecitazioni nel paramento'!$G$60*(sezione!$AP$37-C2504)/C2504</f>
        <v>0.25607673018021671</v>
      </c>
      <c r="P2504" s="545">
        <f>-'Sollecitazioni nel paramento'!$G$47*'Sollecitazioni nel paramento'!$G$41*IF(DATI!$G$211="dx",DATI!$E$61,DATI!$E$64*DATI!$E$63)*1000*C2504*sezione!$AD$5</f>
        <v>-420416.22117908043</v>
      </c>
      <c r="Q2504" s="545">
        <f>'Foglio deposito bis'!$F$88*IF(ABS(K2504)&lt;'Sollecitazioni nel paramento'!$G$58,ABS(K2504)*'Sollecitazioni nel paramento'!$G$54,'Sollecitazioni nel paramento'!$G$53)*IF(K2504&lt;0,-1,1)</f>
        <v>0</v>
      </c>
      <c r="R2504" s="545">
        <f>'Foglio deposito bis'!$F$89*IF(ABS(L2504)&lt;'Sollecitazioni nel paramento'!$G$58,ABS(L2504)*'Sollecitazioni nel paramento'!$G$54,'Sollecitazioni nel paramento'!$G$53)*IF(L2504&lt;0,-1,1)</f>
        <v>153664.85805602249</v>
      </c>
      <c r="S2504" s="545">
        <f>'Foglio deposito bis'!$F$90*IF(ABS(M2504)&lt;'Sollecitazioni nel paramento'!$G$58,ABS(M2504)*'Sollecitazioni nel paramento'!$G$54,'Sollecitazioni nel paramento'!$G$53)*IF(M2504&lt;0,-1,1)</f>
        <v>0</v>
      </c>
      <c r="T2504" s="545">
        <f>'Foglio deposito bis'!$F$91*IF(ABS(N2504)&lt;'Sollecitazioni nel paramento'!$G$58,ABS(N2504)*'Sollecitazioni nel paramento'!$G$54,'Sollecitazioni nel paramento'!$G$53)*IF(N2504&lt;0,-1,1)</f>
        <v>892485.49558937876</v>
      </c>
      <c r="U2504" s="545">
        <f>'Foglio deposito bis'!$F$92*IF(ABS(O2504)&lt;'Sollecitazioni nel paramento'!$G$58,ABS(O2504)*'Sollecitazioni nel paramento'!$G$54,'Sollecitazioni nel paramento'!$G$53)*IF(O2504&lt;0,-1,1)</f>
        <v>1662039.1047339395</v>
      </c>
      <c r="V2504" s="472">
        <f t="shared" si="176"/>
        <v>2287773.2372002602</v>
      </c>
      <c r="W2504" s="551"/>
      <c r="X2504" s="551"/>
    </row>
    <row r="2505" spans="1:24" x14ac:dyDescent="0.25">
      <c r="A2505" s="545">
        <f t="shared" si="175"/>
        <v>2265646.0676645194</v>
      </c>
      <c r="B2505" s="3">
        <f t="shared" si="177"/>
        <v>1.0000000000000002</v>
      </c>
      <c r="C2505" s="545">
        <f>'Foglio deposito bis'!$E$163/sezione!$B$247*B2505</f>
        <v>11.61622675577661</v>
      </c>
      <c r="D2505" s="603">
        <f>-'Sollecitazioni nel paramento'!$G$47*'Sollecitazioni nel paramento'!$G$41*IF(DATI!$G$211="dx",DATI!$E$61,DATI!$E$64*DATI!$E$63)*1000*C2505^2*sezione!$AD$5*(1-sezione!$AD$6)</f>
        <v>-3002159.6754751489</v>
      </c>
      <c r="E2505" s="545">
        <f>-'Foglio deposito bis'!$F$88*(C2505-sezione!$AL$37)*IF(ABS(K2505)&lt;'Sollecitazioni nel paramento'!$G$58,ABS(K2505)*'Sollecitazioni nel paramento'!$G$54,'Sollecitazioni nel paramento'!$G$53)</f>
        <v>0</v>
      </c>
      <c r="F2505" s="545">
        <f>-'Foglio deposito bis'!$F$89*(C2505-sezione!$AM$37)*IF(ABS(L2505)&lt;'Sollecitazioni nel paramento'!$G$58,ABS(L2505)*'Sollecitazioni nel paramento'!$G$54,'Sollecitazioni nel paramento'!$G$53)</f>
        <v>7434885.6477883663</v>
      </c>
      <c r="G2505" s="545">
        <f>-'Foglio deposito bis'!$F$90*(C2505-sezione!$AN$37)*IF(ABS(M2505)&lt;'Sollecitazioni nel paramento'!$G$58,ABS(M2505)*'Sollecitazioni nel paramento'!$G$54,'Sollecitazioni nel paramento'!$G$53)</f>
        <v>0</v>
      </c>
      <c r="H2505" s="545">
        <f>-'Foglio deposito bis'!$F$91*(C2505-sezione!$AO$37)*IF(ABS(N2505)&lt;'Sollecitazioni nel paramento'!$G$58,ABS(N2505)*'Sollecitazioni nel paramento'!$G$54,'Sollecitazioni nel paramento'!$G$53)</f>
        <v>132430365.40129273</v>
      </c>
      <c r="I2505" s="472">
        <f>-'Foglio deposito bis'!$F$92*(C2505-sezione!$AP$37)*IF(ABS(O2505)&lt;'Sollecitazioni nel paramento'!$G$58,ABS(O2505)*'Sollecitazioni nel paramento'!$G$54,'Sollecitazioni nel paramento'!$G$53)</f>
        <v>1340971261.080575</v>
      </c>
      <c r="J2505" s="472">
        <f t="shared" si="174"/>
        <v>1477834352.454181</v>
      </c>
      <c r="K2505" s="550">
        <f>'Sollecitazioni nel paramento'!$G$60*(sezione!$AL$37-C2505)/C2505</f>
        <v>8.5521063287938726E-3</v>
      </c>
      <c r="L2505" s="550">
        <f>'Sollecitazioni nel paramento'!$G$60*(sezione!$AM$37-C2505)/C2505</f>
        <v>1.457815949319081E-2</v>
      </c>
      <c r="M2505" s="551">
        <f>'Sollecitazioni nel paramento'!$G$60*(sezione!$AN$37-C2505)/C2505</f>
        <v>2.0604212657587745E-2</v>
      </c>
      <c r="N2505" s="551">
        <f>'Sollecitazioni nel paramento'!$G$60*(sezione!$AO$37-C2505)/C2505</f>
        <v>4.4708425315175493E-2</v>
      </c>
      <c r="O2505" s="551">
        <f>'Sollecitazioni nel paramento'!$G$60*(sezione!$AP$37-C2505)/C2505</f>
        <v>0.24309789367120591</v>
      </c>
      <c r="P2505" s="545">
        <f>-'Sollecitazioni nel paramento'!$G$47*'Sollecitazioni nel paramento'!$G$41*IF(DATI!$G$211="dx",DATI!$E$61,DATI!$E$64*DATI!$E$63)*1000*C2505*sezione!$AD$5</f>
        <v>-442543.39071482146</v>
      </c>
      <c r="Q2505" s="545">
        <f>'Foglio deposito bis'!$F$88*IF(ABS(K2505)&lt;'Sollecitazioni nel paramento'!$G$58,ABS(K2505)*'Sollecitazioni nel paramento'!$G$54,'Sollecitazioni nel paramento'!$G$53)*IF(K2505&lt;0,-1,1)</f>
        <v>0</v>
      </c>
      <c r="R2505" s="545">
        <f>'Foglio deposito bis'!$F$89*IF(ABS(L2505)&lt;'Sollecitazioni nel paramento'!$G$58,ABS(L2505)*'Sollecitazioni nel paramento'!$G$54,'Sollecitazioni nel paramento'!$G$53)*IF(L2505&lt;0,-1,1)</f>
        <v>153664.85805602249</v>
      </c>
      <c r="S2505" s="545">
        <f>'Foglio deposito bis'!$F$90*IF(ABS(M2505)&lt;'Sollecitazioni nel paramento'!$G$58,ABS(M2505)*'Sollecitazioni nel paramento'!$G$54,'Sollecitazioni nel paramento'!$G$53)*IF(M2505&lt;0,-1,1)</f>
        <v>0</v>
      </c>
      <c r="T2505" s="545">
        <f>'Foglio deposito bis'!$F$91*IF(ABS(N2505)&lt;'Sollecitazioni nel paramento'!$G$58,ABS(N2505)*'Sollecitazioni nel paramento'!$G$54,'Sollecitazioni nel paramento'!$G$53)*IF(N2505&lt;0,-1,1)</f>
        <v>892485.49558937876</v>
      </c>
      <c r="U2505" s="545">
        <f>'Foglio deposito bis'!$F$92*IF(ABS(O2505)&lt;'Sollecitazioni nel paramento'!$G$58,ABS(O2505)*'Sollecitazioni nel paramento'!$G$54,'Sollecitazioni nel paramento'!$G$53)*IF(O2505&lt;0,-1,1)</f>
        <v>1662039.1047339395</v>
      </c>
      <c r="V2505" s="472">
        <f t="shared" si="176"/>
        <v>2265646.0676645194</v>
      </c>
      <c r="W2505" s="551"/>
      <c r="X2505" s="551"/>
    </row>
    <row r="2506" spans="1:24" x14ac:dyDescent="0.25">
      <c r="A2506" s="545">
        <f t="shared" si="175"/>
        <v>2243518.8981287782</v>
      </c>
      <c r="B2506" s="3">
        <f t="shared" si="177"/>
        <v>1.0500000000000003</v>
      </c>
      <c r="C2506" s="545">
        <f>'Foglio deposito bis'!$E$163/sezione!$B$247*B2506</f>
        <v>12.197038093565443</v>
      </c>
      <c r="D2506" s="603">
        <f>-'Sollecitazioni nel paramento'!$G$47*'Sollecitazioni nel paramento'!$G$41*IF(DATI!$G$211="dx",DATI!$E$61,DATI!$E$64*DATI!$E$63)*1000*C2506^2*sezione!$AD$5*(1-sezione!$AD$6)</f>
        <v>-3309881.0422113533</v>
      </c>
      <c r="E2506" s="545">
        <f>-'Foglio deposito bis'!$F$88*(C2506-sezione!$AL$37)*IF(ABS(K2506)&lt;'Sollecitazioni nel paramento'!$G$58,ABS(K2506)*'Sollecitazioni nel paramento'!$G$54,'Sollecitazioni nel paramento'!$G$53)</f>
        <v>0</v>
      </c>
      <c r="F2506" s="545">
        <f>-'Foglio deposito bis'!$F$89*(C2506-sezione!$AM$37)*IF(ABS(L2506)&lt;'Sollecitazioni nel paramento'!$G$58,ABS(L2506)*'Sollecitazioni nel paramento'!$G$54,'Sollecitazioni nel paramento'!$G$53)</f>
        <v>7345635.3560097171</v>
      </c>
      <c r="G2506" s="545">
        <f>-'Foglio deposito bis'!$F$90*(C2506-sezione!$AN$37)*IF(ABS(M2506)&lt;'Sollecitazioni nel paramento'!$G$58,ABS(M2506)*'Sollecitazioni nel paramento'!$G$54,'Sollecitazioni nel paramento'!$G$53)</f>
        <v>0</v>
      </c>
      <c r="H2506" s="545">
        <f>-'Foglio deposito bis'!$F$91*(C2506-sezione!$AO$37)*IF(ABS(N2506)&lt;'Sollecitazioni nel paramento'!$G$58,ABS(N2506)*'Sollecitazioni nel paramento'!$G$54,'Sollecitazioni nel paramento'!$G$53)</f>
        <v>131911999.7066423</v>
      </c>
      <c r="I2506" s="472">
        <f>-'Foglio deposito bis'!$F$92*(C2506-sezione!$AP$37)*IF(ABS(O2506)&lt;'Sollecitazioni nel paramento'!$G$58,ABS(O2506)*'Sollecitazioni nel paramento'!$G$54,'Sollecitazioni nel paramento'!$G$53)</f>
        <v>1340005929.9246974</v>
      </c>
      <c r="J2506" s="472">
        <f t="shared" si="174"/>
        <v>1475953683.945138</v>
      </c>
      <c r="K2506" s="550">
        <f>'Sollecitazioni nel paramento'!$G$60*(sezione!$AL$37-C2506)/C2506</f>
        <v>7.9781965036132101E-3</v>
      </c>
      <c r="L2506" s="550">
        <f>'Sollecitazioni nel paramento'!$G$60*(sezione!$AM$37-C2506)/C2506</f>
        <v>1.3717294755419817E-2</v>
      </c>
      <c r="M2506" s="551">
        <f>'Sollecitazioni nel paramento'!$G$60*(sezione!$AN$37-C2506)/C2506</f>
        <v>1.9456393007226423E-2</v>
      </c>
      <c r="N2506" s="551">
        <f>'Sollecitazioni nel paramento'!$G$60*(sezione!$AO$37-C2506)/C2506</f>
        <v>4.2412786014452843E-2</v>
      </c>
      <c r="O2506" s="551">
        <f>'Sollecitazioni nel paramento'!$G$60*(sezione!$AP$37-C2506)/C2506</f>
        <v>0.23135513682971989</v>
      </c>
      <c r="P2506" s="545">
        <f>-'Sollecitazioni nel paramento'!$G$47*'Sollecitazioni nel paramento'!$G$41*IF(DATI!$G$211="dx",DATI!$E$61,DATI!$E$64*DATI!$E$63)*1000*C2506*sezione!$AD$5</f>
        <v>-464670.56025056256</v>
      </c>
      <c r="Q2506" s="545">
        <f>'Foglio deposito bis'!$F$88*IF(ABS(K2506)&lt;'Sollecitazioni nel paramento'!$G$58,ABS(K2506)*'Sollecitazioni nel paramento'!$G$54,'Sollecitazioni nel paramento'!$G$53)*IF(K2506&lt;0,-1,1)</f>
        <v>0</v>
      </c>
      <c r="R2506" s="545">
        <f>'Foglio deposito bis'!$F$89*IF(ABS(L2506)&lt;'Sollecitazioni nel paramento'!$G$58,ABS(L2506)*'Sollecitazioni nel paramento'!$G$54,'Sollecitazioni nel paramento'!$G$53)*IF(L2506&lt;0,-1,1)</f>
        <v>153664.85805602249</v>
      </c>
      <c r="S2506" s="545">
        <f>'Foglio deposito bis'!$F$90*IF(ABS(M2506)&lt;'Sollecitazioni nel paramento'!$G$58,ABS(M2506)*'Sollecitazioni nel paramento'!$G$54,'Sollecitazioni nel paramento'!$G$53)*IF(M2506&lt;0,-1,1)</f>
        <v>0</v>
      </c>
      <c r="T2506" s="545">
        <f>'Foglio deposito bis'!$F$91*IF(ABS(N2506)&lt;'Sollecitazioni nel paramento'!$G$58,ABS(N2506)*'Sollecitazioni nel paramento'!$G$54,'Sollecitazioni nel paramento'!$G$53)*IF(N2506&lt;0,-1,1)</f>
        <v>892485.49558937876</v>
      </c>
      <c r="U2506" s="545">
        <f>'Foglio deposito bis'!$F$92*IF(ABS(O2506)&lt;'Sollecitazioni nel paramento'!$G$58,ABS(O2506)*'Sollecitazioni nel paramento'!$G$54,'Sollecitazioni nel paramento'!$G$53)*IF(O2506&lt;0,-1,1)</f>
        <v>1662039.1047339395</v>
      </c>
      <c r="V2506" s="472">
        <f t="shared" si="176"/>
        <v>2243518.8981287782</v>
      </c>
      <c r="W2506" s="551"/>
      <c r="X2506" s="551"/>
    </row>
    <row r="2507" spans="1:24" x14ac:dyDescent="0.25">
      <c r="A2507" s="545">
        <f t="shared" si="175"/>
        <v>2221391.728593037</v>
      </c>
      <c r="B2507" s="3">
        <f t="shared" si="177"/>
        <v>1.1000000000000003</v>
      </c>
      <c r="C2507" s="545">
        <f>'Foglio deposito bis'!$E$163/sezione!$B$247*B2507</f>
        <v>12.777849431354273</v>
      </c>
      <c r="D2507" s="603">
        <f>-'Sollecitazioni nel paramento'!$G$47*'Sollecitazioni nel paramento'!$G$41*IF(DATI!$G$211="dx",DATI!$E$61,DATI!$E$64*DATI!$E$63)*1000*C2507^2*sezione!$AD$5*(1-sezione!$AD$6)</f>
        <v>-3632613.2073249319</v>
      </c>
      <c r="E2507" s="545">
        <f>-'Foglio deposito bis'!$F$88*(C2507-sezione!$AL$37)*IF(ABS(K2507)&lt;'Sollecitazioni nel paramento'!$G$58,ABS(K2507)*'Sollecitazioni nel paramento'!$G$54,'Sollecitazioni nel paramento'!$G$53)</f>
        <v>0</v>
      </c>
      <c r="F2507" s="545">
        <f>-'Foglio deposito bis'!$F$89*(C2507-sezione!$AM$37)*IF(ABS(L2507)&lt;'Sollecitazioni nel paramento'!$G$58,ABS(L2507)*'Sollecitazioni nel paramento'!$G$54,'Sollecitazioni nel paramento'!$G$53)</f>
        <v>7256385.0642310679</v>
      </c>
      <c r="G2507" s="545">
        <f>-'Foglio deposito bis'!$F$90*(C2507-sezione!$AN$37)*IF(ABS(M2507)&lt;'Sollecitazioni nel paramento'!$G$58,ABS(M2507)*'Sollecitazioni nel paramento'!$G$54,'Sollecitazioni nel paramento'!$G$53)</f>
        <v>0</v>
      </c>
      <c r="H2507" s="545">
        <f>-'Foglio deposito bis'!$F$91*(C2507-sezione!$AO$37)*IF(ABS(N2507)&lt;'Sollecitazioni nel paramento'!$G$58,ABS(N2507)*'Sollecitazioni nel paramento'!$G$54,'Sollecitazioni nel paramento'!$G$53)</f>
        <v>131393634.01199193</v>
      </c>
      <c r="I2507" s="472">
        <f>-'Foglio deposito bis'!$F$92*(C2507-sezione!$AP$37)*IF(ABS(O2507)&lt;'Sollecitazioni nel paramento'!$G$58,ABS(O2507)*'Sollecitazioni nel paramento'!$G$54,'Sollecitazioni nel paramento'!$G$53)</f>
        <v>1339040598.7688193</v>
      </c>
      <c r="J2507" s="472">
        <f t="shared" si="174"/>
        <v>1474058004.6377175</v>
      </c>
      <c r="K2507" s="550">
        <f>'Sollecitazioni nel paramento'!$G$60*(sezione!$AL$37-C2507)/C2507</f>
        <v>7.4564602989035189E-3</v>
      </c>
      <c r="L2507" s="550">
        <f>'Sollecitazioni nel paramento'!$G$60*(sezione!$AM$37-C2507)/C2507</f>
        <v>1.2934690448355279E-2</v>
      </c>
      <c r="M2507" s="551">
        <f>'Sollecitazioni nel paramento'!$G$60*(sezione!$AN$37-C2507)/C2507</f>
        <v>1.8412920597807039E-2</v>
      </c>
      <c r="N2507" s="551">
        <f>'Sollecitazioni nel paramento'!$G$60*(sezione!$AO$37-C2507)/C2507</f>
        <v>4.0325841195614082E-2</v>
      </c>
      <c r="O2507" s="551">
        <f>'Sollecitazioni nel paramento'!$G$60*(sezione!$AP$37-C2507)/C2507</f>
        <v>0.2206799033374599</v>
      </c>
      <c r="P2507" s="545">
        <f>-'Sollecitazioni nel paramento'!$G$47*'Sollecitazioni nel paramento'!$G$41*IF(DATI!$G$211="dx",DATI!$E$61,DATI!$E$64*DATI!$E$63)*1000*C2507*sezione!$AD$5</f>
        <v>-486797.72978630365</v>
      </c>
      <c r="Q2507" s="545">
        <f>'Foglio deposito bis'!$F$88*IF(ABS(K2507)&lt;'Sollecitazioni nel paramento'!$G$58,ABS(K2507)*'Sollecitazioni nel paramento'!$G$54,'Sollecitazioni nel paramento'!$G$53)*IF(K2507&lt;0,-1,1)</f>
        <v>0</v>
      </c>
      <c r="R2507" s="545">
        <f>'Foglio deposito bis'!$F$89*IF(ABS(L2507)&lt;'Sollecitazioni nel paramento'!$G$58,ABS(L2507)*'Sollecitazioni nel paramento'!$G$54,'Sollecitazioni nel paramento'!$G$53)*IF(L2507&lt;0,-1,1)</f>
        <v>153664.85805602249</v>
      </c>
      <c r="S2507" s="545">
        <f>'Foglio deposito bis'!$F$90*IF(ABS(M2507)&lt;'Sollecitazioni nel paramento'!$G$58,ABS(M2507)*'Sollecitazioni nel paramento'!$G$54,'Sollecitazioni nel paramento'!$G$53)*IF(M2507&lt;0,-1,1)</f>
        <v>0</v>
      </c>
      <c r="T2507" s="545">
        <f>'Foglio deposito bis'!$F$91*IF(ABS(N2507)&lt;'Sollecitazioni nel paramento'!$G$58,ABS(N2507)*'Sollecitazioni nel paramento'!$G$54,'Sollecitazioni nel paramento'!$G$53)*IF(N2507&lt;0,-1,1)</f>
        <v>892485.49558937876</v>
      </c>
      <c r="U2507" s="545">
        <f>'Foglio deposito bis'!$F$92*IF(ABS(O2507)&lt;'Sollecitazioni nel paramento'!$G$58,ABS(O2507)*'Sollecitazioni nel paramento'!$G$54,'Sollecitazioni nel paramento'!$G$53)*IF(O2507&lt;0,-1,1)</f>
        <v>1662039.1047339395</v>
      </c>
      <c r="V2507" s="472">
        <f t="shared" si="176"/>
        <v>2221391.728593037</v>
      </c>
      <c r="W2507" s="551"/>
      <c r="X2507" s="551"/>
    </row>
    <row r="2508" spans="1:24" x14ac:dyDescent="0.25">
      <c r="A2508" s="545">
        <f t="shared" si="175"/>
        <v>2199264.5590572963</v>
      </c>
      <c r="B2508" s="3">
        <f t="shared" si="177"/>
        <v>1.1500000000000004</v>
      </c>
      <c r="C2508" s="545">
        <f>'Foglio deposito bis'!$E$163/sezione!$B$247*B2508</f>
        <v>13.358660769143103</v>
      </c>
      <c r="D2508" s="603">
        <f>-'Sollecitazioni nel paramento'!$G$47*'Sollecitazioni nel paramento'!$G$41*IF(DATI!$G$211="dx",DATI!$E$61,DATI!$E$64*DATI!$E$63)*1000*C2508^2*sezione!$AD$5*(1-sezione!$AD$6)</f>
        <v>-3970356.170815886</v>
      </c>
      <c r="E2508" s="545">
        <f>-'Foglio deposito bis'!$F$88*(C2508-sezione!$AL$37)*IF(ABS(K2508)&lt;'Sollecitazioni nel paramento'!$G$58,ABS(K2508)*'Sollecitazioni nel paramento'!$G$54,'Sollecitazioni nel paramento'!$G$53)</f>
        <v>0</v>
      </c>
      <c r="F2508" s="545">
        <f>-'Foglio deposito bis'!$F$89*(C2508-sezione!$AM$37)*IF(ABS(L2508)&lt;'Sollecitazioni nel paramento'!$G$58,ABS(L2508)*'Sollecitazioni nel paramento'!$G$54,'Sollecitazioni nel paramento'!$G$53)</f>
        <v>7167134.7724524187</v>
      </c>
      <c r="G2508" s="545">
        <f>-'Foglio deposito bis'!$F$90*(C2508-sezione!$AN$37)*IF(ABS(M2508)&lt;'Sollecitazioni nel paramento'!$G$58,ABS(M2508)*'Sollecitazioni nel paramento'!$G$54,'Sollecitazioni nel paramento'!$G$53)</f>
        <v>0</v>
      </c>
      <c r="H2508" s="545">
        <f>-'Foglio deposito bis'!$F$91*(C2508-sezione!$AO$37)*IF(ABS(N2508)&lt;'Sollecitazioni nel paramento'!$G$58,ABS(N2508)*'Sollecitazioni nel paramento'!$G$54,'Sollecitazioni nel paramento'!$G$53)</f>
        <v>130875268.31734154</v>
      </c>
      <c r="I2508" s="472">
        <f>-'Foglio deposito bis'!$F$92*(C2508-sezione!$AP$37)*IF(ABS(O2508)&lt;'Sollecitazioni nel paramento'!$G$58,ABS(O2508)*'Sollecitazioni nel paramento'!$G$54,'Sollecitazioni nel paramento'!$G$53)</f>
        <v>1338075267.6129415</v>
      </c>
      <c r="J2508" s="472">
        <f t="shared" si="174"/>
        <v>1472147314.5319195</v>
      </c>
      <c r="K2508" s="550">
        <f>'Sollecitazioni nel paramento'!$G$60*(sezione!$AL$37-C2508)/C2508</f>
        <v>6.9800924598207581E-3</v>
      </c>
      <c r="L2508" s="550">
        <f>'Sollecitazioni nel paramento'!$G$60*(sezione!$AM$37-C2508)/C2508</f>
        <v>1.2220138689731137E-2</v>
      </c>
      <c r="M2508" s="551">
        <f>'Sollecitazioni nel paramento'!$G$60*(sezione!$AN$37-C2508)/C2508</f>
        <v>1.7460184919641516E-2</v>
      </c>
      <c r="N2508" s="551">
        <f>'Sollecitazioni nel paramento'!$G$60*(sezione!$AO$37-C2508)/C2508</f>
        <v>3.8420369839283028E-2</v>
      </c>
      <c r="O2508" s="551">
        <f>'Sollecitazioni nel paramento'!$G$60*(sezione!$AP$37-C2508)/C2508</f>
        <v>0.21093295101843995</v>
      </c>
      <c r="P2508" s="545">
        <f>-'Sollecitazioni nel paramento'!$G$47*'Sollecitazioni nel paramento'!$G$41*IF(DATI!$G$211="dx",DATI!$E$61,DATI!$E$64*DATI!$E$63)*1000*C2508*sezione!$AD$5</f>
        <v>-508924.89932204469</v>
      </c>
      <c r="Q2508" s="545">
        <f>'Foglio deposito bis'!$F$88*IF(ABS(K2508)&lt;'Sollecitazioni nel paramento'!$G$58,ABS(K2508)*'Sollecitazioni nel paramento'!$G$54,'Sollecitazioni nel paramento'!$G$53)*IF(K2508&lt;0,-1,1)</f>
        <v>0</v>
      </c>
      <c r="R2508" s="545">
        <f>'Foglio deposito bis'!$F$89*IF(ABS(L2508)&lt;'Sollecitazioni nel paramento'!$G$58,ABS(L2508)*'Sollecitazioni nel paramento'!$G$54,'Sollecitazioni nel paramento'!$G$53)*IF(L2508&lt;0,-1,1)</f>
        <v>153664.85805602249</v>
      </c>
      <c r="S2508" s="545">
        <f>'Foglio deposito bis'!$F$90*IF(ABS(M2508)&lt;'Sollecitazioni nel paramento'!$G$58,ABS(M2508)*'Sollecitazioni nel paramento'!$G$54,'Sollecitazioni nel paramento'!$G$53)*IF(M2508&lt;0,-1,1)</f>
        <v>0</v>
      </c>
      <c r="T2508" s="545">
        <f>'Foglio deposito bis'!$F$91*IF(ABS(N2508)&lt;'Sollecitazioni nel paramento'!$G$58,ABS(N2508)*'Sollecitazioni nel paramento'!$G$54,'Sollecitazioni nel paramento'!$G$53)*IF(N2508&lt;0,-1,1)</f>
        <v>892485.49558937876</v>
      </c>
      <c r="U2508" s="545">
        <f>'Foglio deposito bis'!$F$92*IF(ABS(O2508)&lt;'Sollecitazioni nel paramento'!$G$58,ABS(O2508)*'Sollecitazioni nel paramento'!$G$54,'Sollecitazioni nel paramento'!$G$53)*IF(O2508&lt;0,-1,1)</f>
        <v>1662039.1047339395</v>
      </c>
      <c r="V2508" s="472">
        <f t="shared" si="176"/>
        <v>2199264.5590572963</v>
      </c>
      <c r="W2508" s="551"/>
      <c r="X2508" s="551"/>
    </row>
    <row r="2509" spans="1:24" x14ac:dyDescent="0.25">
      <c r="A2509" s="545">
        <f t="shared" si="175"/>
        <v>2177137.389521555</v>
      </c>
      <c r="B2509" s="3">
        <f t="shared" si="177"/>
        <v>1.2000000000000004</v>
      </c>
      <c r="C2509" s="545">
        <f>'Foglio deposito bis'!$E$163/sezione!$B$247*B2509</f>
        <v>13.939472106931936</v>
      </c>
      <c r="D2509" s="603">
        <f>-'Sollecitazioni nel paramento'!$G$47*'Sollecitazioni nel paramento'!$G$41*IF(DATI!$G$211="dx",DATI!$E$61,DATI!$E$64*DATI!$E$63)*1000*C2509^2*sezione!$AD$5*(1-sezione!$AD$6)</f>
        <v>-4323109.9326842176</v>
      </c>
      <c r="E2509" s="545">
        <f>-'Foglio deposito bis'!$F$88*(C2509-sezione!$AL$37)*IF(ABS(K2509)&lt;'Sollecitazioni nel paramento'!$G$58,ABS(K2509)*'Sollecitazioni nel paramento'!$G$54,'Sollecitazioni nel paramento'!$G$53)</f>
        <v>0</v>
      </c>
      <c r="F2509" s="545">
        <f>-'Foglio deposito bis'!$F$89*(C2509-sezione!$AM$37)*IF(ABS(L2509)&lt;'Sollecitazioni nel paramento'!$G$58,ABS(L2509)*'Sollecitazioni nel paramento'!$G$54,'Sollecitazioni nel paramento'!$G$53)</f>
        <v>7077884.4806737695</v>
      </c>
      <c r="G2509" s="545">
        <f>-'Foglio deposito bis'!$F$90*(C2509-sezione!$AN$37)*IF(ABS(M2509)&lt;'Sollecitazioni nel paramento'!$G$58,ABS(M2509)*'Sollecitazioni nel paramento'!$G$54,'Sollecitazioni nel paramento'!$G$53)</f>
        <v>0</v>
      </c>
      <c r="H2509" s="545">
        <f>-'Foglio deposito bis'!$F$91*(C2509-sezione!$AO$37)*IF(ABS(N2509)&lt;'Sollecitazioni nel paramento'!$G$58,ABS(N2509)*'Sollecitazioni nel paramento'!$G$54,'Sollecitazioni nel paramento'!$G$53)</f>
        <v>130356902.62269114</v>
      </c>
      <c r="I2509" s="472">
        <f>-'Foglio deposito bis'!$F$92*(C2509-sezione!$AP$37)*IF(ABS(O2509)&lt;'Sollecitazioni nel paramento'!$G$58,ABS(O2509)*'Sollecitazioni nel paramento'!$G$54,'Sollecitazioni nel paramento'!$G$53)</f>
        <v>1337109936.4570637</v>
      </c>
      <c r="J2509" s="472">
        <f t="shared" si="174"/>
        <v>1470221613.6277444</v>
      </c>
      <c r="K2509" s="550">
        <f>'Sollecitazioni nel paramento'!$G$60*(sezione!$AL$37-C2509)/C2509</f>
        <v>6.543421940661558E-3</v>
      </c>
      <c r="L2509" s="550">
        <f>'Sollecitazioni nel paramento'!$G$60*(sezione!$AM$37-C2509)/C2509</f>
        <v>1.1565132910992338E-2</v>
      </c>
      <c r="M2509" s="551">
        <f>'Sollecitazioni nel paramento'!$G$60*(sezione!$AN$37-C2509)/C2509</f>
        <v>1.6586843881323116E-2</v>
      </c>
      <c r="N2509" s="551">
        <f>'Sollecitazioni nel paramento'!$G$60*(sezione!$AO$37-C2509)/C2509</f>
        <v>3.6673687762646234E-2</v>
      </c>
      <c r="O2509" s="551">
        <f>'Sollecitazioni nel paramento'!$G$60*(sezione!$AP$37-C2509)/C2509</f>
        <v>0.20199824472600489</v>
      </c>
      <c r="P2509" s="545">
        <f>-'Sollecitazioni nel paramento'!$G$47*'Sollecitazioni nel paramento'!$G$41*IF(DATI!$G$211="dx",DATI!$E$61,DATI!$E$64*DATI!$E$63)*1000*C2509*sezione!$AD$5</f>
        <v>-531052.0688577859</v>
      </c>
      <c r="Q2509" s="545">
        <f>'Foglio deposito bis'!$F$88*IF(ABS(K2509)&lt;'Sollecitazioni nel paramento'!$G$58,ABS(K2509)*'Sollecitazioni nel paramento'!$G$54,'Sollecitazioni nel paramento'!$G$53)*IF(K2509&lt;0,-1,1)</f>
        <v>0</v>
      </c>
      <c r="R2509" s="545">
        <f>'Foglio deposito bis'!$F$89*IF(ABS(L2509)&lt;'Sollecitazioni nel paramento'!$G$58,ABS(L2509)*'Sollecitazioni nel paramento'!$G$54,'Sollecitazioni nel paramento'!$G$53)*IF(L2509&lt;0,-1,1)</f>
        <v>153664.85805602249</v>
      </c>
      <c r="S2509" s="545">
        <f>'Foglio deposito bis'!$F$90*IF(ABS(M2509)&lt;'Sollecitazioni nel paramento'!$G$58,ABS(M2509)*'Sollecitazioni nel paramento'!$G$54,'Sollecitazioni nel paramento'!$G$53)*IF(M2509&lt;0,-1,1)</f>
        <v>0</v>
      </c>
      <c r="T2509" s="545">
        <f>'Foglio deposito bis'!$F$91*IF(ABS(N2509)&lt;'Sollecitazioni nel paramento'!$G$58,ABS(N2509)*'Sollecitazioni nel paramento'!$G$54,'Sollecitazioni nel paramento'!$G$53)*IF(N2509&lt;0,-1,1)</f>
        <v>892485.49558937876</v>
      </c>
      <c r="U2509" s="545">
        <f>'Foglio deposito bis'!$F$92*IF(ABS(O2509)&lt;'Sollecitazioni nel paramento'!$G$58,ABS(O2509)*'Sollecitazioni nel paramento'!$G$54,'Sollecitazioni nel paramento'!$G$53)*IF(O2509&lt;0,-1,1)</f>
        <v>1662039.1047339395</v>
      </c>
      <c r="V2509" s="472">
        <f t="shared" si="176"/>
        <v>2177137.389521555</v>
      </c>
      <c r="W2509" s="551"/>
      <c r="X2509" s="551"/>
    </row>
    <row r="2510" spans="1:24" x14ac:dyDescent="0.25">
      <c r="A2510" s="545">
        <f t="shared" si="175"/>
        <v>2155010.2199858138</v>
      </c>
      <c r="B2510" s="3">
        <f t="shared" si="177"/>
        <v>1.2500000000000004</v>
      </c>
      <c r="C2510" s="545">
        <f>'Foglio deposito bis'!$E$163/sezione!$B$247*B2510</f>
        <v>14.520283444720766</v>
      </c>
      <c r="D2510" s="603">
        <f>-'Sollecitazioni nel paramento'!$G$47*'Sollecitazioni nel paramento'!$G$41*IF(DATI!$G$211="dx",DATI!$E$61,DATI!$E$64*DATI!$E$63)*1000*C2510^2*sezione!$AD$5*(1-sezione!$AD$6)</f>
        <v>-4690874.4929299233</v>
      </c>
      <c r="E2510" s="545">
        <f>-'Foglio deposito bis'!$F$88*(C2510-sezione!$AL$37)*IF(ABS(K2510)&lt;'Sollecitazioni nel paramento'!$G$58,ABS(K2510)*'Sollecitazioni nel paramento'!$G$54,'Sollecitazioni nel paramento'!$G$53)</f>
        <v>0</v>
      </c>
      <c r="F2510" s="545">
        <f>-'Foglio deposito bis'!$F$89*(C2510-sezione!$AM$37)*IF(ABS(L2510)&lt;'Sollecitazioni nel paramento'!$G$58,ABS(L2510)*'Sollecitazioni nel paramento'!$G$54,'Sollecitazioni nel paramento'!$G$53)</f>
        <v>6988634.1888951194</v>
      </c>
      <c r="G2510" s="545">
        <f>-'Foglio deposito bis'!$F$90*(C2510-sezione!$AN$37)*IF(ABS(M2510)&lt;'Sollecitazioni nel paramento'!$G$58,ABS(M2510)*'Sollecitazioni nel paramento'!$G$54,'Sollecitazioni nel paramento'!$G$53)</f>
        <v>0</v>
      </c>
      <c r="H2510" s="545">
        <f>-'Foglio deposito bis'!$F$91*(C2510-sezione!$AO$37)*IF(ABS(N2510)&lt;'Sollecitazioni nel paramento'!$G$58,ABS(N2510)*'Sollecitazioni nel paramento'!$G$54,'Sollecitazioni nel paramento'!$G$53)</f>
        <v>129838536.92804073</v>
      </c>
      <c r="I2510" s="472">
        <f>-'Foglio deposito bis'!$F$92*(C2510-sezione!$AP$37)*IF(ABS(O2510)&lt;'Sollecitazioni nel paramento'!$G$58,ABS(O2510)*'Sollecitazioni nel paramento'!$G$54,'Sollecitazioni nel paramento'!$G$53)</f>
        <v>1336144605.3011856</v>
      </c>
      <c r="J2510" s="472">
        <f t="shared" si="174"/>
        <v>1468280901.9251916</v>
      </c>
      <c r="K2510" s="550">
        <f>'Sollecitazioni nel paramento'!$G$60*(sezione!$AL$37-C2510)/C2510</f>
        <v>6.1416850630350954E-3</v>
      </c>
      <c r="L2510" s="550">
        <f>'Sollecitazioni nel paramento'!$G$60*(sezione!$AM$37-C2510)/C2510</f>
        <v>1.0962527594552643E-2</v>
      </c>
      <c r="M2510" s="551">
        <f>'Sollecitazioni nel paramento'!$G$60*(sezione!$AN$37-C2510)/C2510</f>
        <v>1.5783370126070194E-2</v>
      </c>
      <c r="N2510" s="551">
        <f>'Sollecitazioni nel paramento'!$G$60*(sezione!$AO$37-C2510)/C2510</f>
        <v>3.5066740252140377E-2</v>
      </c>
      <c r="O2510" s="551">
        <f>'Sollecitazioni nel paramento'!$G$60*(sezione!$AP$37-C2510)/C2510</f>
        <v>0.19377831493696471</v>
      </c>
      <c r="P2510" s="545">
        <f>-'Sollecitazioni nel paramento'!$G$47*'Sollecitazioni nel paramento'!$G$41*IF(DATI!$G$211="dx",DATI!$E$61,DATI!$E$64*DATI!$E$63)*1000*C2510*sezione!$AD$5</f>
        <v>-553179.23839352687</v>
      </c>
      <c r="Q2510" s="545">
        <f>'Foglio deposito bis'!$F$88*IF(ABS(K2510)&lt;'Sollecitazioni nel paramento'!$G$58,ABS(K2510)*'Sollecitazioni nel paramento'!$G$54,'Sollecitazioni nel paramento'!$G$53)*IF(K2510&lt;0,-1,1)</f>
        <v>0</v>
      </c>
      <c r="R2510" s="545">
        <f>'Foglio deposito bis'!$F$89*IF(ABS(L2510)&lt;'Sollecitazioni nel paramento'!$G$58,ABS(L2510)*'Sollecitazioni nel paramento'!$G$54,'Sollecitazioni nel paramento'!$G$53)*IF(L2510&lt;0,-1,1)</f>
        <v>153664.85805602249</v>
      </c>
      <c r="S2510" s="545">
        <f>'Foglio deposito bis'!$F$90*IF(ABS(M2510)&lt;'Sollecitazioni nel paramento'!$G$58,ABS(M2510)*'Sollecitazioni nel paramento'!$G$54,'Sollecitazioni nel paramento'!$G$53)*IF(M2510&lt;0,-1,1)</f>
        <v>0</v>
      </c>
      <c r="T2510" s="545">
        <f>'Foglio deposito bis'!$F$91*IF(ABS(N2510)&lt;'Sollecitazioni nel paramento'!$G$58,ABS(N2510)*'Sollecitazioni nel paramento'!$G$54,'Sollecitazioni nel paramento'!$G$53)*IF(N2510&lt;0,-1,1)</f>
        <v>892485.49558937876</v>
      </c>
      <c r="U2510" s="545">
        <f>'Foglio deposito bis'!$F$92*IF(ABS(O2510)&lt;'Sollecitazioni nel paramento'!$G$58,ABS(O2510)*'Sollecitazioni nel paramento'!$G$54,'Sollecitazioni nel paramento'!$G$53)*IF(O2510&lt;0,-1,1)</f>
        <v>1662039.1047339395</v>
      </c>
      <c r="V2510" s="472">
        <f t="shared" si="176"/>
        <v>2155010.2199858138</v>
      </c>
      <c r="W2510" s="551"/>
      <c r="X2510" s="551"/>
    </row>
    <row r="2511" spans="1:24" x14ac:dyDescent="0.25">
      <c r="A2511" s="545">
        <f t="shared" si="175"/>
        <v>2132883.0504500726</v>
      </c>
      <c r="B2511" s="3">
        <f t="shared" si="177"/>
        <v>1.3000000000000005</v>
      </c>
      <c r="C2511" s="545">
        <f>'Foglio deposito bis'!$E$163/sezione!$B$247*B2511</f>
        <v>15.101094782509596</v>
      </c>
      <c r="D2511" s="603">
        <f>-'Sollecitazioni nel paramento'!$G$47*'Sollecitazioni nel paramento'!$G$41*IF(DATI!$G$211="dx",DATI!$E$61,DATI!$E$64*DATI!$E$63)*1000*C2511^2*sezione!$AD$5*(1-sezione!$AD$6)</f>
        <v>-5073649.8515530042</v>
      </c>
      <c r="E2511" s="545">
        <f>-'Foglio deposito bis'!$F$88*(C2511-sezione!$AL$37)*IF(ABS(K2511)&lt;'Sollecitazioni nel paramento'!$G$58,ABS(K2511)*'Sollecitazioni nel paramento'!$G$54,'Sollecitazioni nel paramento'!$G$53)</f>
        <v>0</v>
      </c>
      <c r="F2511" s="545">
        <f>-'Foglio deposito bis'!$F$89*(C2511-sezione!$AM$37)*IF(ABS(L2511)&lt;'Sollecitazioni nel paramento'!$G$58,ABS(L2511)*'Sollecitazioni nel paramento'!$G$54,'Sollecitazioni nel paramento'!$G$53)</f>
        <v>6899383.8971164711</v>
      </c>
      <c r="G2511" s="545">
        <f>-'Foglio deposito bis'!$F$90*(C2511-sezione!$AN$37)*IF(ABS(M2511)&lt;'Sollecitazioni nel paramento'!$G$58,ABS(M2511)*'Sollecitazioni nel paramento'!$G$54,'Sollecitazioni nel paramento'!$G$53)</f>
        <v>0</v>
      </c>
      <c r="H2511" s="545">
        <f>-'Foglio deposito bis'!$F$91*(C2511-sezione!$AO$37)*IF(ABS(N2511)&lt;'Sollecitazioni nel paramento'!$G$58,ABS(N2511)*'Sollecitazioni nel paramento'!$G$54,'Sollecitazioni nel paramento'!$G$53)</f>
        <v>129320171.23339036</v>
      </c>
      <c r="I2511" s="472">
        <f>-'Foglio deposito bis'!$F$92*(C2511-sezione!$AP$37)*IF(ABS(O2511)&lt;'Sollecitazioni nel paramento'!$G$58,ABS(O2511)*'Sollecitazioni nel paramento'!$G$54,'Sollecitazioni nel paramento'!$G$53)</f>
        <v>1335179274.145308</v>
      </c>
      <c r="J2511" s="472">
        <f t="shared" si="174"/>
        <v>1466325179.4242618</v>
      </c>
      <c r="K2511" s="550">
        <f>'Sollecitazioni nel paramento'!$G$60*(sezione!$AL$37-C2511)/C2511</f>
        <v>5.7708510221491302E-3</v>
      </c>
      <c r="L2511" s="550">
        <f>'Sollecitazioni nel paramento'!$G$60*(sezione!$AM$37-C2511)/C2511</f>
        <v>1.0406276533223697E-2</v>
      </c>
      <c r="M2511" s="551">
        <f>'Sollecitazioni nel paramento'!$G$60*(sezione!$AN$37-C2511)/C2511</f>
        <v>1.5041702044298264E-2</v>
      </c>
      <c r="N2511" s="551">
        <f>'Sollecitazioni nel paramento'!$G$60*(sezione!$AO$37-C2511)/C2511</f>
        <v>3.3583404088596523E-2</v>
      </c>
      <c r="O2511" s="551">
        <f>'Sollecitazioni nel paramento'!$G$60*(sezione!$AP$37-C2511)/C2511</f>
        <v>0.18619068743938913</v>
      </c>
      <c r="P2511" s="545">
        <f>-'Sollecitazioni nel paramento'!$G$47*'Sollecitazioni nel paramento'!$G$41*IF(DATI!$G$211="dx",DATI!$E$61,DATI!$E$64*DATI!$E$63)*1000*C2511*sezione!$AD$5</f>
        <v>-575306.40792926797</v>
      </c>
      <c r="Q2511" s="545">
        <f>'Foglio deposito bis'!$F$88*IF(ABS(K2511)&lt;'Sollecitazioni nel paramento'!$G$58,ABS(K2511)*'Sollecitazioni nel paramento'!$G$54,'Sollecitazioni nel paramento'!$G$53)*IF(K2511&lt;0,-1,1)</f>
        <v>0</v>
      </c>
      <c r="R2511" s="545">
        <f>'Foglio deposito bis'!$F$89*IF(ABS(L2511)&lt;'Sollecitazioni nel paramento'!$G$58,ABS(L2511)*'Sollecitazioni nel paramento'!$G$54,'Sollecitazioni nel paramento'!$G$53)*IF(L2511&lt;0,-1,1)</f>
        <v>153664.85805602249</v>
      </c>
      <c r="S2511" s="545">
        <f>'Foglio deposito bis'!$F$90*IF(ABS(M2511)&lt;'Sollecitazioni nel paramento'!$G$58,ABS(M2511)*'Sollecitazioni nel paramento'!$G$54,'Sollecitazioni nel paramento'!$G$53)*IF(M2511&lt;0,-1,1)</f>
        <v>0</v>
      </c>
      <c r="T2511" s="545">
        <f>'Foglio deposito bis'!$F$91*IF(ABS(N2511)&lt;'Sollecitazioni nel paramento'!$G$58,ABS(N2511)*'Sollecitazioni nel paramento'!$G$54,'Sollecitazioni nel paramento'!$G$53)*IF(N2511&lt;0,-1,1)</f>
        <v>892485.49558937876</v>
      </c>
      <c r="U2511" s="545">
        <f>'Foglio deposito bis'!$F$92*IF(ABS(O2511)&lt;'Sollecitazioni nel paramento'!$G$58,ABS(O2511)*'Sollecitazioni nel paramento'!$G$54,'Sollecitazioni nel paramento'!$G$53)*IF(O2511&lt;0,-1,1)</f>
        <v>1662039.1047339395</v>
      </c>
      <c r="V2511" s="472">
        <f t="shared" si="176"/>
        <v>2132883.0504500726</v>
      </c>
      <c r="W2511" s="551"/>
      <c r="X2511" s="551"/>
    </row>
    <row r="2512" spans="1:24" x14ac:dyDescent="0.25">
      <c r="A2512" s="545">
        <f t="shared" si="175"/>
        <v>2110755.8809143319</v>
      </c>
      <c r="B2512" s="3">
        <f t="shared" si="177"/>
        <v>1.3500000000000005</v>
      </c>
      <c r="C2512" s="545">
        <f>'Foglio deposito bis'!$E$163/sezione!$B$247*B2512</f>
        <v>15.681906120298427</v>
      </c>
      <c r="D2512" s="603">
        <f>-'Sollecitazioni nel paramento'!$G$47*'Sollecitazioni nel paramento'!$G$41*IF(DATI!$G$211="dx",DATI!$E$61,DATI!$E$64*DATI!$E$63)*1000*C2512^2*sezione!$AD$5*(1-sezione!$AD$6)</f>
        <v>-5471436.0085534621</v>
      </c>
      <c r="E2512" s="545">
        <f>-'Foglio deposito bis'!$F$88*(C2512-sezione!$AL$37)*IF(ABS(K2512)&lt;'Sollecitazioni nel paramento'!$G$58,ABS(K2512)*'Sollecitazioni nel paramento'!$G$54,'Sollecitazioni nel paramento'!$G$53)</f>
        <v>0</v>
      </c>
      <c r="F2512" s="545">
        <f>-'Foglio deposito bis'!$F$89*(C2512-sezione!$AM$37)*IF(ABS(L2512)&lt;'Sollecitazioni nel paramento'!$G$58,ABS(L2512)*'Sollecitazioni nel paramento'!$G$54,'Sollecitazioni nel paramento'!$G$53)</f>
        <v>6810133.6053378209</v>
      </c>
      <c r="G2512" s="545">
        <f>-'Foglio deposito bis'!$F$90*(C2512-sezione!$AN$37)*IF(ABS(M2512)&lt;'Sollecitazioni nel paramento'!$G$58,ABS(M2512)*'Sollecitazioni nel paramento'!$G$54,'Sollecitazioni nel paramento'!$G$53)</f>
        <v>0</v>
      </c>
      <c r="H2512" s="545">
        <f>-'Foglio deposito bis'!$F$91*(C2512-sezione!$AO$37)*IF(ABS(N2512)&lt;'Sollecitazioni nel paramento'!$G$58,ABS(N2512)*'Sollecitazioni nel paramento'!$G$54,'Sollecitazioni nel paramento'!$G$53)</f>
        <v>128801805.53873993</v>
      </c>
      <c r="I2512" s="472">
        <f>-'Foglio deposito bis'!$F$92*(C2512-sezione!$AP$37)*IF(ABS(O2512)&lt;'Sollecitazioni nel paramento'!$G$58,ABS(O2512)*'Sollecitazioni nel paramento'!$G$54,'Sollecitazioni nel paramento'!$G$53)</f>
        <v>1334213942.98943</v>
      </c>
      <c r="J2512" s="472">
        <f t="shared" si="174"/>
        <v>1464354446.1249542</v>
      </c>
      <c r="K2512" s="550">
        <f>'Sollecitazioni nel paramento'!$G$60*(sezione!$AL$37-C2512)/C2512</f>
        <v>5.4274861694769408E-3</v>
      </c>
      <c r="L2512" s="550">
        <f>'Sollecitazioni nel paramento'!$G$60*(sezione!$AM$37-C2512)/C2512</f>
        <v>9.8912292542154105E-3</v>
      </c>
      <c r="M2512" s="551">
        <f>'Sollecitazioni nel paramento'!$G$60*(sezione!$AN$37-C2512)/C2512</f>
        <v>1.4354972338953883E-2</v>
      </c>
      <c r="N2512" s="551">
        <f>'Sollecitazioni nel paramento'!$G$60*(sezione!$AO$37-C2512)/C2512</f>
        <v>3.2209944677907762E-2</v>
      </c>
      <c r="O2512" s="551">
        <f>'Sollecitazioni nel paramento'!$G$60*(sezione!$AP$37-C2512)/C2512</f>
        <v>0.17916510642311548</v>
      </c>
      <c r="P2512" s="545">
        <f>-'Sollecitazioni nel paramento'!$G$47*'Sollecitazioni nel paramento'!$G$41*IF(DATI!$G$211="dx",DATI!$E$61,DATI!$E$64*DATI!$E$63)*1000*C2512*sezione!$AD$5</f>
        <v>-597433.57746500906</v>
      </c>
      <c r="Q2512" s="545">
        <f>'Foglio deposito bis'!$F$88*IF(ABS(K2512)&lt;'Sollecitazioni nel paramento'!$G$58,ABS(K2512)*'Sollecitazioni nel paramento'!$G$54,'Sollecitazioni nel paramento'!$G$53)*IF(K2512&lt;0,-1,1)</f>
        <v>0</v>
      </c>
      <c r="R2512" s="545">
        <f>'Foglio deposito bis'!$F$89*IF(ABS(L2512)&lt;'Sollecitazioni nel paramento'!$G$58,ABS(L2512)*'Sollecitazioni nel paramento'!$G$54,'Sollecitazioni nel paramento'!$G$53)*IF(L2512&lt;0,-1,1)</f>
        <v>153664.85805602249</v>
      </c>
      <c r="S2512" s="545">
        <f>'Foglio deposito bis'!$F$90*IF(ABS(M2512)&lt;'Sollecitazioni nel paramento'!$G$58,ABS(M2512)*'Sollecitazioni nel paramento'!$G$54,'Sollecitazioni nel paramento'!$G$53)*IF(M2512&lt;0,-1,1)</f>
        <v>0</v>
      </c>
      <c r="T2512" s="545">
        <f>'Foglio deposito bis'!$F$91*IF(ABS(N2512)&lt;'Sollecitazioni nel paramento'!$G$58,ABS(N2512)*'Sollecitazioni nel paramento'!$G$54,'Sollecitazioni nel paramento'!$G$53)*IF(N2512&lt;0,-1,1)</f>
        <v>892485.49558937876</v>
      </c>
      <c r="U2512" s="545">
        <f>'Foglio deposito bis'!$F$92*IF(ABS(O2512)&lt;'Sollecitazioni nel paramento'!$G$58,ABS(O2512)*'Sollecitazioni nel paramento'!$G$54,'Sollecitazioni nel paramento'!$G$53)*IF(O2512&lt;0,-1,1)</f>
        <v>1662039.1047339395</v>
      </c>
      <c r="V2512" s="472">
        <f t="shared" si="176"/>
        <v>2110755.8809143319</v>
      </c>
      <c r="W2512" s="551"/>
      <c r="X2512" s="551"/>
    </row>
    <row r="2513" spans="1:24" x14ac:dyDescent="0.25">
      <c r="A2513" s="545">
        <f t="shared" si="175"/>
        <v>2088628.7113785904</v>
      </c>
      <c r="B2513" s="3">
        <f t="shared" si="177"/>
        <v>1.4000000000000006</v>
      </c>
      <c r="C2513" s="545">
        <f>'Foglio deposito bis'!$E$163/sezione!$B$247*B2513</f>
        <v>16.262717458087259</v>
      </c>
      <c r="D2513" s="603">
        <f>-'Sollecitazioni nel paramento'!$G$47*'Sollecitazioni nel paramento'!$G$41*IF(DATI!$G$211="dx",DATI!$E$61,DATI!$E$64*DATI!$E$63)*1000*C2513^2*sezione!$AD$5*(1-sezione!$AD$6)</f>
        <v>-5884232.963931296</v>
      </c>
      <c r="E2513" s="545">
        <f>-'Foglio deposito bis'!$F$88*(C2513-sezione!$AL$37)*IF(ABS(K2513)&lt;'Sollecitazioni nel paramento'!$G$58,ABS(K2513)*'Sollecitazioni nel paramento'!$G$54,'Sollecitazioni nel paramento'!$G$53)</f>
        <v>0</v>
      </c>
      <c r="F2513" s="545">
        <f>-'Foglio deposito bis'!$F$89*(C2513-sezione!$AM$37)*IF(ABS(L2513)&lt;'Sollecitazioni nel paramento'!$G$58,ABS(L2513)*'Sollecitazioni nel paramento'!$G$54,'Sollecitazioni nel paramento'!$G$53)</f>
        <v>6720883.3135591727</v>
      </c>
      <c r="G2513" s="545">
        <f>-'Foglio deposito bis'!$F$90*(C2513-sezione!$AN$37)*IF(ABS(M2513)&lt;'Sollecitazioni nel paramento'!$G$58,ABS(M2513)*'Sollecitazioni nel paramento'!$G$54,'Sollecitazioni nel paramento'!$G$53)</f>
        <v>0</v>
      </c>
      <c r="H2513" s="545">
        <f>-'Foglio deposito bis'!$F$91*(C2513-sezione!$AO$37)*IF(ABS(N2513)&lt;'Sollecitazioni nel paramento'!$G$58,ABS(N2513)*'Sollecitazioni nel paramento'!$G$54,'Sollecitazioni nel paramento'!$G$53)</f>
        <v>128283439.84408957</v>
      </c>
      <c r="I2513" s="472">
        <f>-'Foglio deposito bis'!$F$92*(C2513-sezione!$AP$37)*IF(ABS(O2513)&lt;'Sollecitazioni nel paramento'!$G$58,ABS(O2513)*'Sollecitazioni nel paramento'!$G$54,'Sollecitazioni nel paramento'!$G$53)</f>
        <v>1333248611.8335521</v>
      </c>
      <c r="J2513" s="472">
        <f t="shared" si="174"/>
        <v>1462368702.0272696</v>
      </c>
      <c r="K2513" s="550">
        <f>'Sollecitazioni nel paramento'!$G$60*(sezione!$AL$37-C2513)/C2513</f>
        <v>5.1086473777099068E-3</v>
      </c>
      <c r="L2513" s="550">
        <f>'Sollecitazioni nel paramento'!$G$60*(sezione!$AM$37-C2513)/C2513</f>
        <v>9.4129710665648604E-3</v>
      </c>
      <c r="M2513" s="551">
        <f>'Sollecitazioni nel paramento'!$G$60*(sezione!$AN$37-C2513)/C2513</f>
        <v>1.3717294755419813E-2</v>
      </c>
      <c r="N2513" s="551">
        <f>'Sollecitazioni nel paramento'!$G$60*(sezione!$AO$37-C2513)/C2513</f>
        <v>3.0934589510839629E-2</v>
      </c>
      <c r="O2513" s="551">
        <f>'Sollecitazioni nel paramento'!$G$60*(sezione!$AP$37-C2513)/C2513</f>
        <v>0.17264135262228988</v>
      </c>
      <c r="P2513" s="545">
        <f>-'Sollecitazioni nel paramento'!$G$47*'Sollecitazioni nel paramento'!$G$41*IF(DATI!$G$211="dx",DATI!$E$61,DATI!$E$64*DATI!$E$63)*1000*C2513*sezione!$AD$5</f>
        <v>-619560.74700075027</v>
      </c>
      <c r="Q2513" s="545">
        <f>'Foglio deposito bis'!$F$88*IF(ABS(K2513)&lt;'Sollecitazioni nel paramento'!$G$58,ABS(K2513)*'Sollecitazioni nel paramento'!$G$54,'Sollecitazioni nel paramento'!$G$53)*IF(K2513&lt;0,-1,1)</f>
        <v>0</v>
      </c>
      <c r="R2513" s="545">
        <f>'Foglio deposito bis'!$F$89*IF(ABS(L2513)&lt;'Sollecitazioni nel paramento'!$G$58,ABS(L2513)*'Sollecitazioni nel paramento'!$G$54,'Sollecitazioni nel paramento'!$G$53)*IF(L2513&lt;0,-1,1)</f>
        <v>153664.85805602249</v>
      </c>
      <c r="S2513" s="545">
        <f>'Foglio deposito bis'!$F$90*IF(ABS(M2513)&lt;'Sollecitazioni nel paramento'!$G$58,ABS(M2513)*'Sollecitazioni nel paramento'!$G$54,'Sollecitazioni nel paramento'!$G$53)*IF(M2513&lt;0,-1,1)</f>
        <v>0</v>
      </c>
      <c r="T2513" s="545">
        <f>'Foglio deposito bis'!$F$91*IF(ABS(N2513)&lt;'Sollecitazioni nel paramento'!$G$58,ABS(N2513)*'Sollecitazioni nel paramento'!$G$54,'Sollecitazioni nel paramento'!$G$53)*IF(N2513&lt;0,-1,1)</f>
        <v>892485.49558937876</v>
      </c>
      <c r="U2513" s="545">
        <f>'Foglio deposito bis'!$F$92*IF(ABS(O2513)&lt;'Sollecitazioni nel paramento'!$G$58,ABS(O2513)*'Sollecitazioni nel paramento'!$G$54,'Sollecitazioni nel paramento'!$G$53)*IF(O2513&lt;0,-1,1)</f>
        <v>1662039.1047339395</v>
      </c>
      <c r="V2513" s="472">
        <f t="shared" si="176"/>
        <v>2088628.7113785904</v>
      </c>
      <c r="W2513" s="551"/>
      <c r="X2513" s="551"/>
    </row>
    <row r="2514" spans="1:24" x14ac:dyDescent="0.25">
      <c r="A2514" s="545">
        <f t="shared" si="175"/>
        <v>2066501.5418428495</v>
      </c>
      <c r="B2514" s="3">
        <f t="shared" si="177"/>
        <v>1.4500000000000006</v>
      </c>
      <c r="C2514" s="545">
        <f>'Foglio deposito bis'!$E$163/sezione!$B$247*B2514</f>
        <v>16.84352879587609</v>
      </c>
      <c r="D2514" s="603">
        <f>-'Sollecitazioni nel paramento'!$G$47*'Sollecitazioni nel paramento'!$G$41*IF(DATI!$G$211="dx",DATI!$E$61,DATI!$E$64*DATI!$E$63)*1000*C2514^2*sezione!$AD$5*(1-sezione!$AD$6)</f>
        <v>-6312040.7176865041</v>
      </c>
      <c r="E2514" s="545">
        <f>-'Foglio deposito bis'!$F$88*(C2514-sezione!$AL$37)*IF(ABS(K2514)&lt;'Sollecitazioni nel paramento'!$G$58,ABS(K2514)*'Sollecitazioni nel paramento'!$G$54,'Sollecitazioni nel paramento'!$G$53)</f>
        <v>0</v>
      </c>
      <c r="F2514" s="545">
        <f>-'Foglio deposito bis'!$F$89*(C2514-sezione!$AM$37)*IF(ABS(L2514)&lt;'Sollecitazioni nel paramento'!$G$58,ABS(L2514)*'Sollecitazioni nel paramento'!$G$54,'Sollecitazioni nel paramento'!$G$53)</f>
        <v>6631633.0217805225</v>
      </c>
      <c r="G2514" s="545">
        <f>-'Foglio deposito bis'!$F$90*(C2514-sezione!$AN$37)*IF(ABS(M2514)&lt;'Sollecitazioni nel paramento'!$G$58,ABS(M2514)*'Sollecitazioni nel paramento'!$G$54,'Sollecitazioni nel paramento'!$G$53)</f>
        <v>0</v>
      </c>
      <c r="H2514" s="545">
        <f>-'Foglio deposito bis'!$F$91*(C2514-sezione!$AO$37)*IF(ABS(N2514)&lt;'Sollecitazioni nel paramento'!$G$58,ABS(N2514)*'Sollecitazioni nel paramento'!$G$54,'Sollecitazioni nel paramento'!$G$53)</f>
        <v>127765074.14943917</v>
      </c>
      <c r="I2514" s="472">
        <f>-'Foglio deposito bis'!$F$92*(C2514-sezione!$AP$37)*IF(ABS(O2514)&lt;'Sollecitazioni nel paramento'!$G$58,ABS(O2514)*'Sollecitazioni nel paramento'!$G$54,'Sollecitazioni nel paramento'!$G$53)</f>
        <v>1332283280.6776743</v>
      </c>
      <c r="J2514" s="472">
        <f t="shared" si="174"/>
        <v>1460367947.1312075</v>
      </c>
      <c r="K2514" s="550">
        <f>'Sollecitazioni nel paramento'!$G$60*(sezione!$AL$37-C2514)/C2514</f>
        <v>4.8117974681337033E-3</v>
      </c>
      <c r="L2514" s="550">
        <f>'Sollecitazioni nel paramento'!$G$60*(sezione!$AM$37-C2514)/C2514</f>
        <v>8.9676962022005556E-3</v>
      </c>
      <c r="M2514" s="551">
        <f>'Sollecitazioni nel paramento'!$G$60*(sezione!$AN$37-C2514)/C2514</f>
        <v>1.3123594936267406E-2</v>
      </c>
      <c r="N2514" s="551">
        <f>'Sollecitazioni nel paramento'!$G$60*(sezione!$AO$37-C2514)/C2514</f>
        <v>2.9747189872534812E-2</v>
      </c>
      <c r="O2514" s="551">
        <f>'Sollecitazioni nel paramento'!$G$60*(sezione!$AP$37-C2514)/C2514</f>
        <v>0.16656751287669372</v>
      </c>
      <c r="P2514" s="545">
        <f>-'Sollecitazioni nel paramento'!$G$47*'Sollecitazioni nel paramento'!$G$41*IF(DATI!$G$211="dx",DATI!$E$61,DATI!$E$64*DATI!$E$63)*1000*C2514*sezione!$AD$5</f>
        <v>-641687.91653649125</v>
      </c>
      <c r="Q2514" s="545">
        <f>'Foglio deposito bis'!$F$88*IF(ABS(K2514)&lt;'Sollecitazioni nel paramento'!$G$58,ABS(K2514)*'Sollecitazioni nel paramento'!$G$54,'Sollecitazioni nel paramento'!$G$53)*IF(K2514&lt;0,-1,1)</f>
        <v>0</v>
      </c>
      <c r="R2514" s="545">
        <f>'Foglio deposito bis'!$F$89*IF(ABS(L2514)&lt;'Sollecitazioni nel paramento'!$G$58,ABS(L2514)*'Sollecitazioni nel paramento'!$G$54,'Sollecitazioni nel paramento'!$G$53)*IF(L2514&lt;0,-1,1)</f>
        <v>153664.85805602249</v>
      </c>
      <c r="S2514" s="545">
        <f>'Foglio deposito bis'!$F$90*IF(ABS(M2514)&lt;'Sollecitazioni nel paramento'!$G$58,ABS(M2514)*'Sollecitazioni nel paramento'!$G$54,'Sollecitazioni nel paramento'!$G$53)*IF(M2514&lt;0,-1,1)</f>
        <v>0</v>
      </c>
      <c r="T2514" s="545">
        <f>'Foglio deposito bis'!$F$91*IF(ABS(N2514)&lt;'Sollecitazioni nel paramento'!$G$58,ABS(N2514)*'Sollecitazioni nel paramento'!$G$54,'Sollecitazioni nel paramento'!$G$53)*IF(N2514&lt;0,-1,1)</f>
        <v>892485.49558937876</v>
      </c>
      <c r="U2514" s="545">
        <f>'Foglio deposito bis'!$F$92*IF(ABS(O2514)&lt;'Sollecitazioni nel paramento'!$G$58,ABS(O2514)*'Sollecitazioni nel paramento'!$G$54,'Sollecitazioni nel paramento'!$G$53)*IF(O2514&lt;0,-1,1)</f>
        <v>1662039.1047339395</v>
      </c>
      <c r="V2514" s="472">
        <f t="shared" si="176"/>
        <v>2066501.5418428495</v>
      </c>
      <c r="W2514" s="551"/>
      <c r="X2514" s="551"/>
    </row>
    <row r="2515" spans="1:24" x14ac:dyDescent="0.25">
      <c r="A2515" s="545">
        <f t="shared" si="175"/>
        <v>2044374.3723071085</v>
      </c>
      <c r="B2515" s="3">
        <f t="shared" si="177"/>
        <v>1.5000000000000007</v>
      </c>
      <c r="C2515" s="545">
        <f>'Foglio deposito bis'!$E$163/sezione!$B$247*B2515</f>
        <v>17.42434013366492</v>
      </c>
      <c r="D2515" s="603">
        <f>-'Sollecitazioni nel paramento'!$G$47*'Sollecitazioni nel paramento'!$G$41*IF(DATI!$G$211="dx",DATI!$E$61,DATI!$E$64*DATI!$E$63)*1000*C2515^2*sezione!$AD$5*(1-sezione!$AD$6)</f>
        <v>-6754859.2698190892</v>
      </c>
      <c r="E2515" s="545">
        <f>-'Foglio deposito bis'!$F$88*(C2515-sezione!$AL$37)*IF(ABS(K2515)&lt;'Sollecitazioni nel paramento'!$G$58,ABS(K2515)*'Sollecitazioni nel paramento'!$G$54,'Sollecitazioni nel paramento'!$G$53)</f>
        <v>0</v>
      </c>
      <c r="F2515" s="545">
        <f>-'Foglio deposito bis'!$F$89*(C2515-sezione!$AM$37)*IF(ABS(L2515)&lt;'Sollecitazioni nel paramento'!$G$58,ABS(L2515)*'Sollecitazioni nel paramento'!$G$54,'Sollecitazioni nel paramento'!$G$53)</f>
        <v>6542382.7300018743</v>
      </c>
      <c r="G2515" s="545">
        <f>-'Foglio deposito bis'!$F$90*(C2515-sezione!$AN$37)*IF(ABS(M2515)&lt;'Sollecitazioni nel paramento'!$G$58,ABS(M2515)*'Sollecitazioni nel paramento'!$G$54,'Sollecitazioni nel paramento'!$G$53)</f>
        <v>0</v>
      </c>
      <c r="H2515" s="545">
        <f>-'Foglio deposito bis'!$F$91*(C2515-sezione!$AO$37)*IF(ABS(N2515)&lt;'Sollecitazioni nel paramento'!$G$58,ABS(N2515)*'Sollecitazioni nel paramento'!$G$54,'Sollecitazioni nel paramento'!$G$53)</f>
        <v>127246708.45478876</v>
      </c>
      <c r="I2515" s="472">
        <f>-'Foglio deposito bis'!$F$92*(C2515-sezione!$AP$37)*IF(ABS(O2515)&lt;'Sollecitazioni nel paramento'!$G$58,ABS(O2515)*'Sollecitazioni nel paramento'!$G$54,'Sollecitazioni nel paramento'!$G$53)</f>
        <v>1331317949.5217965</v>
      </c>
      <c r="J2515" s="472">
        <f t="shared" si="174"/>
        <v>1458352181.4367681</v>
      </c>
      <c r="K2515" s="550">
        <f>'Sollecitazioni nel paramento'!$G$60*(sezione!$AL$37-C2515)/C2515</f>
        <v>4.5347375525292468E-3</v>
      </c>
      <c r="L2515" s="550">
        <f>'Sollecitazioni nel paramento'!$G$60*(sezione!$AM$37-C2515)/C2515</f>
        <v>8.5521063287938692E-3</v>
      </c>
      <c r="M2515" s="551">
        <f>'Sollecitazioni nel paramento'!$G$60*(sezione!$AN$37-C2515)/C2515</f>
        <v>1.2569475105058493E-2</v>
      </c>
      <c r="N2515" s="551">
        <f>'Sollecitazioni nel paramento'!$G$60*(sezione!$AO$37-C2515)/C2515</f>
        <v>2.8638950210116986E-2</v>
      </c>
      <c r="O2515" s="551">
        <f>'Sollecitazioni nel paramento'!$G$60*(sezione!$AP$37-C2515)/C2515</f>
        <v>0.1608985957808039</v>
      </c>
      <c r="P2515" s="545">
        <f>-'Sollecitazioni nel paramento'!$G$47*'Sollecitazioni nel paramento'!$G$41*IF(DATI!$G$211="dx",DATI!$E$61,DATI!$E$64*DATI!$E$63)*1000*C2515*sezione!$AD$5</f>
        <v>-663815.08607223234</v>
      </c>
      <c r="Q2515" s="545">
        <f>'Foglio deposito bis'!$F$88*IF(ABS(K2515)&lt;'Sollecitazioni nel paramento'!$G$58,ABS(K2515)*'Sollecitazioni nel paramento'!$G$54,'Sollecitazioni nel paramento'!$G$53)*IF(K2515&lt;0,-1,1)</f>
        <v>0</v>
      </c>
      <c r="R2515" s="545">
        <f>'Foglio deposito bis'!$F$89*IF(ABS(L2515)&lt;'Sollecitazioni nel paramento'!$G$58,ABS(L2515)*'Sollecitazioni nel paramento'!$G$54,'Sollecitazioni nel paramento'!$G$53)*IF(L2515&lt;0,-1,1)</f>
        <v>153664.85805602249</v>
      </c>
      <c r="S2515" s="545">
        <f>'Foglio deposito bis'!$F$90*IF(ABS(M2515)&lt;'Sollecitazioni nel paramento'!$G$58,ABS(M2515)*'Sollecitazioni nel paramento'!$G$54,'Sollecitazioni nel paramento'!$G$53)*IF(M2515&lt;0,-1,1)</f>
        <v>0</v>
      </c>
      <c r="T2515" s="545">
        <f>'Foglio deposito bis'!$F$91*IF(ABS(N2515)&lt;'Sollecitazioni nel paramento'!$G$58,ABS(N2515)*'Sollecitazioni nel paramento'!$G$54,'Sollecitazioni nel paramento'!$G$53)*IF(N2515&lt;0,-1,1)</f>
        <v>892485.49558937876</v>
      </c>
      <c r="U2515" s="545">
        <f>'Foglio deposito bis'!$F$92*IF(ABS(O2515)&lt;'Sollecitazioni nel paramento'!$G$58,ABS(O2515)*'Sollecitazioni nel paramento'!$G$54,'Sollecitazioni nel paramento'!$G$53)*IF(O2515&lt;0,-1,1)</f>
        <v>1662039.1047339395</v>
      </c>
      <c r="V2515" s="472">
        <f t="shared" si="176"/>
        <v>2044374.3723071085</v>
      </c>
      <c r="W2515" s="551"/>
      <c r="X2515" s="551"/>
    </row>
    <row r="2516" spans="1:24" x14ac:dyDescent="0.25">
      <c r="A2516" s="545">
        <f t="shared" si="175"/>
        <v>2022247.2027713673</v>
      </c>
      <c r="B2516" s="3">
        <f t="shared" si="177"/>
        <v>1.5500000000000007</v>
      </c>
      <c r="C2516" s="545">
        <f>'Foglio deposito bis'!$E$163/sezione!$B$247*B2516</f>
        <v>18.00515147145375</v>
      </c>
      <c r="D2516" s="603">
        <f>-'Sollecitazioni nel paramento'!$G$47*'Sollecitazioni nel paramento'!$G$41*IF(DATI!$G$211="dx",DATI!$E$61,DATI!$E$64*DATI!$E$63)*1000*C2516^2*sezione!$AD$5*(1-sezione!$AD$6)</f>
        <v>-7212688.6203290494</v>
      </c>
      <c r="E2516" s="545">
        <f>-'Foglio deposito bis'!$F$88*(C2516-sezione!$AL$37)*IF(ABS(K2516)&lt;'Sollecitazioni nel paramento'!$G$58,ABS(K2516)*'Sollecitazioni nel paramento'!$G$54,'Sollecitazioni nel paramento'!$G$53)</f>
        <v>0</v>
      </c>
      <c r="F2516" s="545">
        <f>-'Foglio deposito bis'!$F$89*(C2516-sezione!$AM$37)*IF(ABS(L2516)&lt;'Sollecitazioni nel paramento'!$G$58,ABS(L2516)*'Sollecitazioni nel paramento'!$G$54,'Sollecitazioni nel paramento'!$G$53)</f>
        <v>6453132.4382232241</v>
      </c>
      <c r="G2516" s="545">
        <f>-'Foglio deposito bis'!$F$90*(C2516-sezione!$AN$37)*IF(ABS(M2516)&lt;'Sollecitazioni nel paramento'!$G$58,ABS(M2516)*'Sollecitazioni nel paramento'!$G$54,'Sollecitazioni nel paramento'!$G$53)</f>
        <v>0</v>
      </c>
      <c r="H2516" s="545">
        <f>-'Foglio deposito bis'!$F$91*(C2516-sezione!$AO$37)*IF(ABS(N2516)&lt;'Sollecitazioni nel paramento'!$G$58,ABS(N2516)*'Sollecitazioni nel paramento'!$G$54,'Sollecitazioni nel paramento'!$G$53)</f>
        <v>126728342.76013836</v>
      </c>
      <c r="I2516" s="472">
        <f>-'Foglio deposito bis'!$F$92*(C2516-sezione!$AP$37)*IF(ABS(O2516)&lt;'Sollecitazioni nel paramento'!$G$58,ABS(O2516)*'Sollecitazioni nel paramento'!$G$54,'Sollecitazioni nel paramento'!$G$53)</f>
        <v>1330352618.3659186</v>
      </c>
      <c r="J2516" s="472">
        <f t="shared" si="174"/>
        <v>1456321404.9439511</v>
      </c>
      <c r="K2516" s="550">
        <f>'Sollecitazioni nel paramento'!$G$60*(sezione!$AL$37-C2516)/C2516</f>
        <v>4.2755524701895932E-3</v>
      </c>
      <c r="L2516" s="550">
        <f>'Sollecitazioni nel paramento'!$G$60*(sezione!$AM$37-C2516)/C2516</f>
        <v>8.1633287052843909E-3</v>
      </c>
      <c r="M2516" s="551">
        <f>'Sollecitazioni nel paramento'!$G$60*(sezione!$AN$37-C2516)/C2516</f>
        <v>1.2051104940379188E-2</v>
      </c>
      <c r="N2516" s="551">
        <f>'Sollecitazioni nel paramento'!$G$60*(sezione!$AO$37-C2516)/C2516</f>
        <v>2.7602209880758375E-2</v>
      </c>
      <c r="O2516" s="551">
        <f>'Sollecitazioni nel paramento'!$G$60*(sezione!$AP$37-C2516)/C2516</f>
        <v>0.15559541527174572</v>
      </c>
      <c r="P2516" s="545">
        <f>-'Sollecitazioni nel paramento'!$G$47*'Sollecitazioni nel paramento'!$G$41*IF(DATI!$G$211="dx",DATI!$E$61,DATI!$E$64*DATI!$E$63)*1000*C2516*sezione!$AD$5</f>
        <v>-685942.25560797343</v>
      </c>
      <c r="Q2516" s="545">
        <f>'Foglio deposito bis'!$F$88*IF(ABS(K2516)&lt;'Sollecitazioni nel paramento'!$G$58,ABS(K2516)*'Sollecitazioni nel paramento'!$G$54,'Sollecitazioni nel paramento'!$G$53)*IF(K2516&lt;0,-1,1)</f>
        <v>0</v>
      </c>
      <c r="R2516" s="545">
        <f>'Foglio deposito bis'!$F$89*IF(ABS(L2516)&lt;'Sollecitazioni nel paramento'!$G$58,ABS(L2516)*'Sollecitazioni nel paramento'!$G$54,'Sollecitazioni nel paramento'!$G$53)*IF(L2516&lt;0,-1,1)</f>
        <v>153664.85805602249</v>
      </c>
      <c r="S2516" s="545">
        <f>'Foglio deposito bis'!$F$90*IF(ABS(M2516)&lt;'Sollecitazioni nel paramento'!$G$58,ABS(M2516)*'Sollecitazioni nel paramento'!$G$54,'Sollecitazioni nel paramento'!$G$53)*IF(M2516&lt;0,-1,1)</f>
        <v>0</v>
      </c>
      <c r="T2516" s="545">
        <f>'Foglio deposito bis'!$F$91*IF(ABS(N2516)&lt;'Sollecitazioni nel paramento'!$G$58,ABS(N2516)*'Sollecitazioni nel paramento'!$G$54,'Sollecitazioni nel paramento'!$G$53)*IF(N2516&lt;0,-1,1)</f>
        <v>892485.49558937876</v>
      </c>
      <c r="U2516" s="545">
        <f>'Foglio deposito bis'!$F$92*IF(ABS(O2516)&lt;'Sollecitazioni nel paramento'!$G$58,ABS(O2516)*'Sollecitazioni nel paramento'!$G$54,'Sollecitazioni nel paramento'!$G$53)*IF(O2516&lt;0,-1,1)</f>
        <v>1662039.1047339395</v>
      </c>
      <c r="V2516" s="472">
        <f t="shared" si="176"/>
        <v>2022247.2027713673</v>
      </c>
      <c r="W2516" s="551"/>
      <c r="X2516" s="551"/>
    </row>
    <row r="2517" spans="1:24" x14ac:dyDescent="0.25">
      <c r="A2517" s="545">
        <f t="shared" si="175"/>
        <v>2000120.0332356263</v>
      </c>
      <c r="B2517" s="3">
        <f t="shared" si="177"/>
        <v>1.6000000000000008</v>
      </c>
      <c r="C2517" s="545">
        <f>'Foglio deposito bis'!$E$163/sezione!$B$247*B2517</f>
        <v>18.585962809242581</v>
      </c>
      <c r="D2517" s="603">
        <f>-'Sollecitazioni nel paramento'!$G$47*'Sollecitazioni nel paramento'!$G$41*IF(DATI!$G$211="dx",DATI!$E$61,DATI!$E$64*DATI!$E$63)*1000*C2517^2*sezione!$AD$5*(1-sezione!$AD$6)</f>
        <v>-7685528.7692163857</v>
      </c>
      <c r="E2517" s="545">
        <f>-'Foglio deposito bis'!$F$88*(C2517-sezione!$AL$37)*IF(ABS(K2517)&lt;'Sollecitazioni nel paramento'!$G$58,ABS(K2517)*'Sollecitazioni nel paramento'!$G$54,'Sollecitazioni nel paramento'!$G$53)</f>
        <v>0</v>
      </c>
      <c r="F2517" s="545">
        <f>-'Foglio deposito bis'!$F$89*(C2517-sezione!$AM$37)*IF(ABS(L2517)&lt;'Sollecitazioni nel paramento'!$G$58,ABS(L2517)*'Sollecitazioni nel paramento'!$G$54,'Sollecitazioni nel paramento'!$G$53)</f>
        <v>6363882.1464445749</v>
      </c>
      <c r="G2517" s="545">
        <f>-'Foglio deposito bis'!$F$90*(C2517-sezione!$AN$37)*IF(ABS(M2517)&lt;'Sollecitazioni nel paramento'!$G$58,ABS(M2517)*'Sollecitazioni nel paramento'!$G$54,'Sollecitazioni nel paramento'!$G$53)</f>
        <v>0</v>
      </c>
      <c r="H2517" s="545">
        <f>-'Foglio deposito bis'!$F$91*(C2517-sezione!$AO$37)*IF(ABS(N2517)&lt;'Sollecitazioni nel paramento'!$G$58,ABS(N2517)*'Sollecitazioni nel paramento'!$G$54,'Sollecitazioni nel paramento'!$G$53)</f>
        <v>126209977.065488</v>
      </c>
      <c r="I2517" s="472">
        <f>-'Foglio deposito bis'!$F$92*(C2517-sezione!$AP$37)*IF(ABS(O2517)&lt;'Sollecitazioni nel paramento'!$G$58,ABS(O2517)*'Sollecitazioni nel paramento'!$G$54,'Sollecitazioni nel paramento'!$G$53)</f>
        <v>1329387287.2100406</v>
      </c>
      <c r="J2517" s="472">
        <f t="shared" si="174"/>
        <v>1454275617.6527567</v>
      </c>
      <c r="K2517" s="550">
        <f>'Sollecitazioni nel paramento'!$G$60*(sezione!$AL$37-C2517)/C2517</f>
        <v>4.0325664554961681E-3</v>
      </c>
      <c r="L2517" s="550">
        <f>'Sollecitazioni nel paramento'!$G$60*(sezione!$AM$37-C2517)/C2517</f>
        <v>7.798849683244252E-3</v>
      </c>
      <c r="M2517" s="551">
        <f>'Sollecitazioni nel paramento'!$G$60*(sezione!$AN$37-C2517)/C2517</f>
        <v>1.1565132910992338E-2</v>
      </c>
      <c r="N2517" s="551">
        <f>'Sollecitazioni nel paramento'!$G$60*(sezione!$AO$37-C2517)/C2517</f>
        <v>2.6630265821984678E-2</v>
      </c>
      <c r="O2517" s="551">
        <f>'Sollecitazioni nel paramento'!$G$60*(sezione!$AP$37-C2517)/C2517</f>
        <v>0.15062368354450367</v>
      </c>
      <c r="P2517" s="545">
        <f>-'Sollecitazioni nel paramento'!$G$47*'Sollecitazioni nel paramento'!$G$41*IF(DATI!$G$211="dx",DATI!$E$61,DATI!$E$64*DATI!$E$63)*1000*C2517*sezione!$AD$5</f>
        <v>-708069.42514371453</v>
      </c>
      <c r="Q2517" s="545">
        <f>'Foglio deposito bis'!$F$88*IF(ABS(K2517)&lt;'Sollecitazioni nel paramento'!$G$58,ABS(K2517)*'Sollecitazioni nel paramento'!$G$54,'Sollecitazioni nel paramento'!$G$53)*IF(K2517&lt;0,-1,1)</f>
        <v>0</v>
      </c>
      <c r="R2517" s="545">
        <f>'Foglio deposito bis'!$F$89*IF(ABS(L2517)&lt;'Sollecitazioni nel paramento'!$G$58,ABS(L2517)*'Sollecitazioni nel paramento'!$G$54,'Sollecitazioni nel paramento'!$G$53)*IF(L2517&lt;0,-1,1)</f>
        <v>153664.85805602249</v>
      </c>
      <c r="S2517" s="545">
        <f>'Foglio deposito bis'!$F$90*IF(ABS(M2517)&lt;'Sollecitazioni nel paramento'!$G$58,ABS(M2517)*'Sollecitazioni nel paramento'!$G$54,'Sollecitazioni nel paramento'!$G$53)*IF(M2517&lt;0,-1,1)</f>
        <v>0</v>
      </c>
      <c r="T2517" s="545">
        <f>'Foglio deposito bis'!$F$91*IF(ABS(N2517)&lt;'Sollecitazioni nel paramento'!$G$58,ABS(N2517)*'Sollecitazioni nel paramento'!$G$54,'Sollecitazioni nel paramento'!$G$53)*IF(N2517&lt;0,-1,1)</f>
        <v>892485.49558937876</v>
      </c>
      <c r="U2517" s="545">
        <f>'Foglio deposito bis'!$F$92*IF(ABS(O2517)&lt;'Sollecitazioni nel paramento'!$G$58,ABS(O2517)*'Sollecitazioni nel paramento'!$G$54,'Sollecitazioni nel paramento'!$G$53)*IF(O2517&lt;0,-1,1)</f>
        <v>1662039.1047339395</v>
      </c>
      <c r="V2517" s="472">
        <f t="shared" si="176"/>
        <v>2000120.0332356263</v>
      </c>
      <c r="W2517" s="551"/>
      <c r="X2517" s="551"/>
    </row>
    <row r="2518" spans="1:24" x14ac:dyDescent="0.25">
      <c r="A2518" s="545">
        <f t="shared" si="175"/>
        <v>1977992.8636998851</v>
      </c>
      <c r="B2518" s="3">
        <f t="shared" si="177"/>
        <v>1.6500000000000008</v>
      </c>
      <c r="C2518" s="545">
        <f>'Foglio deposito bis'!$E$163/sezione!$B$247*B2518</f>
        <v>19.166774147031415</v>
      </c>
      <c r="D2518" s="603">
        <f>-'Sollecitazioni nel paramento'!$G$47*'Sollecitazioni nel paramento'!$G$41*IF(DATI!$G$211="dx",DATI!$E$61,DATI!$E$64*DATI!$E$63)*1000*C2518^2*sezione!$AD$5*(1-sezione!$AD$6)</f>
        <v>-8173379.7164810998</v>
      </c>
      <c r="E2518" s="545">
        <f>-'Foglio deposito bis'!$F$88*(C2518-sezione!$AL$37)*IF(ABS(K2518)&lt;'Sollecitazioni nel paramento'!$G$58,ABS(K2518)*'Sollecitazioni nel paramento'!$G$54,'Sollecitazioni nel paramento'!$G$53)</f>
        <v>0</v>
      </c>
      <c r="F2518" s="545">
        <f>-'Foglio deposito bis'!$F$89*(C2518-sezione!$AM$37)*IF(ABS(L2518)&lt;'Sollecitazioni nel paramento'!$G$58,ABS(L2518)*'Sollecitazioni nel paramento'!$G$54,'Sollecitazioni nel paramento'!$G$53)</f>
        <v>6274631.8546659257</v>
      </c>
      <c r="G2518" s="545">
        <f>-'Foglio deposito bis'!$F$90*(C2518-sezione!$AN$37)*IF(ABS(M2518)&lt;'Sollecitazioni nel paramento'!$G$58,ABS(M2518)*'Sollecitazioni nel paramento'!$G$54,'Sollecitazioni nel paramento'!$G$53)</f>
        <v>0</v>
      </c>
      <c r="H2518" s="545">
        <f>-'Foglio deposito bis'!$F$91*(C2518-sezione!$AO$37)*IF(ABS(N2518)&lt;'Sollecitazioni nel paramento'!$G$58,ABS(N2518)*'Sollecitazioni nel paramento'!$G$54,'Sollecitazioni nel paramento'!$G$53)</f>
        <v>125691611.37083757</v>
      </c>
      <c r="I2518" s="472">
        <f>-'Foglio deposito bis'!$F$92*(C2518-sezione!$AP$37)*IF(ABS(O2518)&lt;'Sollecitazioni nel paramento'!$G$58,ABS(O2518)*'Sollecitazioni nel paramento'!$G$54,'Sollecitazioni nel paramento'!$G$53)</f>
        <v>1328421956.0541627</v>
      </c>
      <c r="J2518" s="472">
        <f t="shared" si="174"/>
        <v>1452214819.5631852</v>
      </c>
      <c r="K2518" s="550">
        <f>'Sollecitazioni nel paramento'!$G$60*(sezione!$AL$37-C2518)/C2518</f>
        <v>3.8043068659356777E-3</v>
      </c>
      <c r="L2518" s="550">
        <f>'Sollecitazioni nel paramento'!$G$60*(sezione!$AM$37-C2518)/C2518</f>
        <v>7.4564602989035155E-3</v>
      </c>
      <c r="M2518" s="551">
        <f>'Sollecitazioni nel paramento'!$G$60*(sezione!$AN$37-C2518)/C2518</f>
        <v>1.1108613731871355E-2</v>
      </c>
      <c r="N2518" s="551">
        <f>'Sollecitazioni nel paramento'!$G$60*(sezione!$AO$37-C2518)/C2518</f>
        <v>2.571722746374271E-2</v>
      </c>
      <c r="O2518" s="551">
        <f>'Sollecitazioni nel paramento'!$G$60*(sezione!$AP$37-C2518)/C2518</f>
        <v>0.1459532688916399</v>
      </c>
      <c r="P2518" s="545">
        <f>-'Sollecitazioni nel paramento'!$G$47*'Sollecitazioni nel paramento'!$G$41*IF(DATI!$G$211="dx",DATI!$E$61,DATI!$E$64*DATI!$E$63)*1000*C2518*sezione!$AD$5</f>
        <v>-730196.59467945574</v>
      </c>
      <c r="Q2518" s="545">
        <f>'Foglio deposito bis'!$F$88*IF(ABS(K2518)&lt;'Sollecitazioni nel paramento'!$G$58,ABS(K2518)*'Sollecitazioni nel paramento'!$G$54,'Sollecitazioni nel paramento'!$G$53)*IF(K2518&lt;0,-1,1)</f>
        <v>0</v>
      </c>
      <c r="R2518" s="545">
        <f>'Foglio deposito bis'!$F$89*IF(ABS(L2518)&lt;'Sollecitazioni nel paramento'!$G$58,ABS(L2518)*'Sollecitazioni nel paramento'!$G$54,'Sollecitazioni nel paramento'!$G$53)*IF(L2518&lt;0,-1,1)</f>
        <v>153664.85805602249</v>
      </c>
      <c r="S2518" s="545">
        <f>'Foglio deposito bis'!$F$90*IF(ABS(M2518)&lt;'Sollecitazioni nel paramento'!$G$58,ABS(M2518)*'Sollecitazioni nel paramento'!$G$54,'Sollecitazioni nel paramento'!$G$53)*IF(M2518&lt;0,-1,1)</f>
        <v>0</v>
      </c>
      <c r="T2518" s="545">
        <f>'Foglio deposito bis'!$F$91*IF(ABS(N2518)&lt;'Sollecitazioni nel paramento'!$G$58,ABS(N2518)*'Sollecitazioni nel paramento'!$G$54,'Sollecitazioni nel paramento'!$G$53)*IF(N2518&lt;0,-1,1)</f>
        <v>892485.49558937876</v>
      </c>
      <c r="U2518" s="545">
        <f>'Foglio deposito bis'!$F$92*IF(ABS(O2518)&lt;'Sollecitazioni nel paramento'!$G$58,ABS(O2518)*'Sollecitazioni nel paramento'!$G$54,'Sollecitazioni nel paramento'!$G$53)*IF(O2518&lt;0,-1,1)</f>
        <v>1662039.1047339395</v>
      </c>
      <c r="V2518" s="472">
        <f t="shared" si="176"/>
        <v>1977992.8636998851</v>
      </c>
      <c r="W2518" s="551"/>
      <c r="X2518" s="551"/>
    </row>
    <row r="2519" spans="1:24" x14ac:dyDescent="0.25">
      <c r="A2519" s="545">
        <f t="shared" si="175"/>
        <v>1955865.6941641441</v>
      </c>
      <c r="B2519" s="3">
        <f t="shared" si="177"/>
        <v>1.7000000000000008</v>
      </c>
      <c r="C2519" s="545">
        <f>'Foglio deposito bis'!$E$163/sezione!$B$247*B2519</f>
        <v>19.747585484820245</v>
      </c>
      <c r="D2519" s="603">
        <f>-'Sollecitazioni nel paramento'!$G$47*'Sollecitazioni nel paramento'!$G$41*IF(DATI!$G$211="dx",DATI!$E$61,DATI!$E$64*DATI!$E$63)*1000*C2519^2*sezione!$AD$5*(1-sezione!$AD$6)</f>
        <v>-8676241.4621231873</v>
      </c>
      <c r="E2519" s="545">
        <f>-'Foglio deposito bis'!$F$88*(C2519-sezione!$AL$37)*IF(ABS(K2519)&lt;'Sollecitazioni nel paramento'!$G$58,ABS(K2519)*'Sollecitazioni nel paramento'!$G$54,'Sollecitazioni nel paramento'!$G$53)</f>
        <v>0</v>
      </c>
      <c r="F2519" s="545">
        <f>-'Foglio deposito bis'!$F$89*(C2519-sezione!$AM$37)*IF(ABS(L2519)&lt;'Sollecitazioni nel paramento'!$G$58,ABS(L2519)*'Sollecitazioni nel paramento'!$G$54,'Sollecitazioni nel paramento'!$G$53)</f>
        <v>6185381.5628872765</v>
      </c>
      <c r="G2519" s="545">
        <f>-'Foglio deposito bis'!$F$90*(C2519-sezione!$AN$37)*IF(ABS(M2519)&lt;'Sollecitazioni nel paramento'!$G$58,ABS(M2519)*'Sollecitazioni nel paramento'!$G$54,'Sollecitazioni nel paramento'!$G$53)</f>
        <v>0</v>
      </c>
      <c r="H2519" s="545">
        <f>-'Foglio deposito bis'!$F$91*(C2519-sezione!$AO$37)*IF(ABS(N2519)&lt;'Sollecitazioni nel paramento'!$G$58,ABS(N2519)*'Sollecitazioni nel paramento'!$G$54,'Sollecitazioni nel paramento'!$G$53)</f>
        <v>125173245.6761872</v>
      </c>
      <c r="I2519" s="472">
        <f>-'Foglio deposito bis'!$F$92*(C2519-sezione!$AP$37)*IF(ABS(O2519)&lt;'Sollecitazioni nel paramento'!$G$58,ABS(O2519)*'Sollecitazioni nel paramento'!$G$54,'Sollecitazioni nel paramento'!$G$53)</f>
        <v>1327456624.8982852</v>
      </c>
      <c r="J2519" s="472">
        <f t="shared" si="174"/>
        <v>1450139010.6752365</v>
      </c>
      <c r="K2519" s="550">
        <f>'Sollecitazioni nel paramento'!$G$60*(sezione!$AL$37-C2519)/C2519</f>
        <v>3.5894743110552168E-3</v>
      </c>
      <c r="L2519" s="550">
        <f>'Sollecitazioni nel paramento'!$G$60*(sezione!$AM$37-C2519)/C2519</f>
        <v>7.1342114665828241E-3</v>
      </c>
      <c r="M2519" s="551">
        <f>'Sollecitazioni nel paramento'!$G$60*(sezione!$AN$37-C2519)/C2519</f>
        <v>1.0678948622110433E-2</v>
      </c>
      <c r="N2519" s="551">
        <f>'Sollecitazioni nel paramento'!$G$60*(sezione!$AO$37-C2519)/C2519</f>
        <v>2.4857897244220866E-2</v>
      </c>
      <c r="O2519" s="551">
        <f>'Sollecitazioni nel paramento'!$G$60*(sezione!$AP$37-C2519)/C2519</f>
        <v>0.14155758451247402</v>
      </c>
      <c r="P2519" s="545">
        <f>-'Sollecitazioni nel paramento'!$G$47*'Sollecitazioni nel paramento'!$G$41*IF(DATI!$G$211="dx",DATI!$E$61,DATI!$E$64*DATI!$E$63)*1000*C2519*sezione!$AD$5</f>
        <v>-752323.76421519672</v>
      </c>
      <c r="Q2519" s="545">
        <f>'Foglio deposito bis'!$F$88*IF(ABS(K2519)&lt;'Sollecitazioni nel paramento'!$G$58,ABS(K2519)*'Sollecitazioni nel paramento'!$G$54,'Sollecitazioni nel paramento'!$G$53)*IF(K2519&lt;0,-1,1)</f>
        <v>0</v>
      </c>
      <c r="R2519" s="545">
        <f>'Foglio deposito bis'!$F$89*IF(ABS(L2519)&lt;'Sollecitazioni nel paramento'!$G$58,ABS(L2519)*'Sollecitazioni nel paramento'!$G$54,'Sollecitazioni nel paramento'!$G$53)*IF(L2519&lt;0,-1,1)</f>
        <v>153664.85805602249</v>
      </c>
      <c r="S2519" s="545">
        <f>'Foglio deposito bis'!$F$90*IF(ABS(M2519)&lt;'Sollecitazioni nel paramento'!$G$58,ABS(M2519)*'Sollecitazioni nel paramento'!$G$54,'Sollecitazioni nel paramento'!$G$53)*IF(M2519&lt;0,-1,1)</f>
        <v>0</v>
      </c>
      <c r="T2519" s="545">
        <f>'Foglio deposito bis'!$F$91*IF(ABS(N2519)&lt;'Sollecitazioni nel paramento'!$G$58,ABS(N2519)*'Sollecitazioni nel paramento'!$G$54,'Sollecitazioni nel paramento'!$G$53)*IF(N2519&lt;0,-1,1)</f>
        <v>892485.49558937876</v>
      </c>
      <c r="U2519" s="545">
        <f>'Foglio deposito bis'!$F$92*IF(ABS(O2519)&lt;'Sollecitazioni nel paramento'!$G$58,ABS(O2519)*'Sollecitazioni nel paramento'!$G$54,'Sollecitazioni nel paramento'!$G$53)*IF(O2519&lt;0,-1,1)</f>
        <v>1662039.1047339395</v>
      </c>
      <c r="V2519" s="472">
        <f t="shared" si="176"/>
        <v>1955865.6941641441</v>
      </c>
      <c r="W2519" s="551"/>
      <c r="X2519" s="551"/>
    </row>
    <row r="2520" spans="1:24" x14ac:dyDescent="0.25">
      <c r="A2520" s="545">
        <f t="shared" si="175"/>
        <v>1933738.5246284029</v>
      </c>
      <c r="B2520" s="3">
        <f t="shared" si="177"/>
        <v>1.7500000000000009</v>
      </c>
      <c r="C2520" s="545">
        <f>'Foglio deposito bis'!$E$163/sezione!$B$247*B2520</f>
        <v>20.328396822609076</v>
      </c>
      <c r="D2520" s="603">
        <f>-'Sollecitazioni nel paramento'!$G$47*'Sollecitazioni nel paramento'!$G$41*IF(DATI!$G$211="dx",DATI!$E$61,DATI!$E$64*DATI!$E$63)*1000*C2520^2*sezione!$AD$5*(1-sezione!$AD$6)</f>
        <v>-9194114.0061426517</v>
      </c>
      <c r="E2520" s="545">
        <f>-'Foglio deposito bis'!$F$88*(C2520-sezione!$AL$37)*IF(ABS(K2520)&lt;'Sollecitazioni nel paramento'!$G$58,ABS(K2520)*'Sollecitazioni nel paramento'!$G$54,'Sollecitazioni nel paramento'!$G$53)</f>
        <v>0</v>
      </c>
      <c r="F2520" s="545">
        <f>-'Foglio deposito bis'!$F$89*(C2520-sezione!$AM$37)*IF(ABS(L2520)&lt;'Sollecitazioni nel paramento'!$G$58,ABS(L2520)*'Sollecitazioni nel paramento'!$G$54,'Sollecitazioni nel paramento'!$G$53)</f>
        <v>6096131.2711086273</v>
      </c>
      <c r="G2520" s="545">
        <f>-'Foglio deposito bis'!$F$90*(C2520-sezione!$AN$37)*IF(ABS(M2520)&lt;'Sollecitazioni nel paramento'!$G$58,ABS(M2520)*'Sollecitazioni nel paramento'!$G$54,'Sollecitazioni nel paramento'!$G$53)</f>
        <v>0</v>
      </c>
      <c r="H2520" s="545">
        <f>-'Foglio deposito bis'!$F$91*(C2520-sezione!$AO$37)*IF(ABS(N2520)&lt;'Sollecitazioni nel paramento'!$G$58,ABS(N2520)*'Sollecitazioni nel paramento'!$G$54,'Sollecitazioni nel paramento'!$G$53)</f>
        <v>124654879.98153679</v>
      </c>
      <c r="I2520" s="472">
        <f>-'Foglio deposito bis'!$F$92*(C2520-sezione!$AP$37)*IF(ABS(O2520)&lt;'Sollecitazioni nel paramento'!$G$58,ABS(O2520)*'Sollecitazioni nel paramento'!$G$54,'Sollecitazioni nel paramento'!$G$53)</f>
        <v>1326491293.7424071</v>
      </c>
      <c r="J2520" s="472">
        <f t="shared" si="174"/>
        <v>1448048190.98891</v>
      </c>
      <c r="K2520" s="550">
        <f>'Sollecitazioni nel paramento'!$G$60*(sezione!$AL$37-C2520)/C2520</f>
        <v>3.3869179021679247E-3</v>
      </c>
      <c r="L2520" s="550">
        <f>'Sollecitazioni nel paramento'!$G$60*(sezione!$AM$37-C2520)/C2520</f>
        <v>6.8303768532518858E-3</v>
      </c>
      <c r="M2520" s="551">
        <f>'Sollecitazioni nel paramento'!$G$60*(sezione!$AN$37-C2520)/C2520</f>
        <v>1.0273835804335848E-2</v>
      </c>
      <c r="N2520" s="551">
        <f>'Sollecitazioni nel paramento'!$G$60*(sezione!$AO$37-C2520)/C2520</f>
        <v>2.4047671608671699E-2</v>
      </c>
      <c r="O2520" s="551">
        <f>'Sollecitazioni nel paramento'!$G$60*(sezione!$AP$37-C2520)/C2520</f>
        <v>0.1374130820978319</v>
      </c>
      <c r="P2520" s="545">
        <f>-'Sollecitazioni nel paramento'!$G$47*'Sollecitazioni nel paramento'!$G$41*IF(DATI!$G$211="dx",DATI!$E$61,DATI!$E$64*DATI!$E$63)*1000*C2520*sezione!$AD$5</f>
        <v>-774450.93375093781</v>
      </c>
      <c r="Q2520" s="545">
        <f>'Foglio deposito bis'!$F$88*IF(ABS(K2520)&lt;'Sollecitazioni nel paramento'!$G$58,ABS(K2520)*'Sollecitazioni nel paramento'!$G$54,'Sollecitazioni nel paramento'!$G$53)*IF(K2520&lt;0,-1,1)</f>
        <v>0</v>
      </c>
      <c r="R2520" s="545">
        <f>'Foglio deposito bis'!$F$89*IF(ABS(L2520)&lt;'Sollecitazioni nel paramento'!$G$58,ABS(L2520)*'Sollecitazioni nel paramento'!$G$54,'Sollecitazioni nel paramento'!$G$53)*IF(L2520&lt;0,-1,1)</f>
        <v>153664.85805602249</v>
      </c>
      <c r="S2520" s="545">
        <f>'Foglio deposito bis'!$F$90*IF(ABS(M2520)&lt;'Sollecitazioni nel paramento'!$G$58,ABS(M2520)*'Sollecitazioni nel paramento'!$G$54,'Sollecitazioni nel paramento'!$G$53)*IF(M2520&lt;0,-1,1)</f>
        <v>0</v>
      </c>
      <c r="T2520" s="545">
        <f>'Foglio deposito bis'!$F$91*IF(ABS(N2520)&lt;'Sollecitazioni nel paramento'!$G$58,ABS(N2520)*'Sollecitazioni nel paramento'!$G$54,'Sollecitazioni nel paramento'!$G$53)*IF(N2520&lt;0,-1,1)</f>
        <v>892485.49558937876</v>
      </c>
      <c r="U2520" s="545">
        <f>'Foglio deposito bis'!$F$92*IF(ABS(O2520)&lt;'Sollecitazioni nel paramento'!$G$58,ABS(O2520)*'Sollecitazioni nel paramento'!$G$54,'Sollecitazioni nel paramento'!$G$53)*IF(O2520&lt;0,-1,1)</f>
        <v>1662039.1047339395</v>
      </c>
      <c r="V2520" s="472">
        <f t="shared" si="176"/>
        <v>1933738.5246284029</v>
      </c>
      <c r="W2520" s="551"/>
      <c r="X2520" s="551"/>
    </row>
    <row r="2521" spans="1:24" x14ac:dyDescent="0.25">
      <c r="A2521" s="545">
        <f t="shared" si="175"/>
        <v>1911611.3550926619</v>
      </c>
      <c r="B2521" s="3">
        <f t="shared" si="177"/>
        <v>1.8000000000000009</v>
      </c>
      <c r="C2521" s="545">
        <f>'Foglio deposito bis'!$E$163/sezione!$B$247*B2521</f>
        <v>20.909208160397906</v>
      </c>
      <c r="D2521" s="603">
        <f>-'Sollecitazioni nel paramento'!$G$47*'Sollecitazioni nel paramento'!$G$41*IF(DATI!$G$211="dx",DATI!$E$61,DATI!$E$64*DATI!$E$63)*1000*C2521^2*sezione!$AD$5*(1-sezione!$AD$6)</f>
        <v>-9726997.3485394903</v>
      </c>
      <c r="E2521" s="545">
        <f>-'Foglio deposito bis'!$F$88*(C2521-sezione!$AL$37)*IF(ABS(K2521)&lt;'Sollecitazioni nel paramento'!$G$58,ABS(K2521)*'Sollecitazioni nel paramento'!$G$54,'Sollecitazioni nel paramento'!$G$53)</f>
        <v>0</v>
      </c>
      <c r="F2521" s="545">
        <f>-'Foglio deposito bis'!$F$89*(C2521-sezione!$AM$37)*IF(ABS(L2521)&lt;'Sollecitazioni nel paramento'!$G$58,ABS(L2521)*'Sollecitazioni nel paramento'!$G$54,'Sollecitazioni nel paramento'!$G$53)</f>
        <v>6006880.9793299781</v>
      </c>
      <c r="G2521" s="545">
        <f>-'Foglio deposito bis'!$F$90*(C2521-sezione!$AN$37)*IF(ABS(M2521)&lt;'Sollecitazioni nel paramento'!$G$58,ABS(M2521)*'Sollecitazioni nel paramento'!$G$54,'Sollecitazioni nel paramento'!$G$53)</f>
        <v>0</v>
      </c>
      <c r="H2521" s="545">
        <f>-'Foglio deposito bis'!$F$91*(C2521-sezione!$AO$37)*IF(ABS(N2521)&lt;'Sollecitazioni nel paramento'!$G$58,ABS(N2521)*'Sollecitazioni nel paramento'!$G$54,'Sollecitazioni nel paramento'!$G$53)</f>
        <v>124136514.28688639</v>
      </c>
      <c r="I2521" s="472">
        <f>-'Foglio deposito bis'!$F$92*(C2521-sezione!$AP$37)*IF(ABS(O2521)&lt;'Sollecitazioni nel paramento'!$G$58,ABS(O2521)*'Sollecitazioni nel paramento'!$G$54,'Sollecitazioni nel paramento'!$G$53)</f>
        <v>1325525962.5865293</v>
      </c>
      <c r="J2521" s="472">
        <f t="shared" si="174"/>
        <v>1445942360.5042062</v>
      </c>
      <c r="K2521" s="550">
        <f>'Sollecitazioni nel paramento'!$G$60*(sezione!$AL$37-C2521)/C2521</f>
        <v>3.1956146271077046E-3</v>
      </c>
      <c r="L2521" s="550">
        <f>'Sollecitazioni nel paramento'!$G$60*(sezione!$AM$37-C2521)/C2521</f>
        <v>6.5434219406615562E-3</v>
      </c>
      <c r="M2521" s="551">
        <f>'Sollecitazioni nel paramento'!$G$60*(sezione!$AN$37-C2521)/C2521</f>
        <v>9.8912292542154088E-3</v>
      </c>
      <c r="N2521" s="551">
        <f>'Sollecitazioni nel paramento'!$G$60*(sezione!$AO$37-C2521)/C2521</f>
        <v>2.3282458508430821E-2</v>
      </c>
      <c r="O2521" s="551">
        <f>'Sollecitazioni nel paramento'!$G$60*(sezione!$AP$37-C2521)/C2521</f>
        <v>0.13349882981733657</v>
      </c>
      <c r="P2521" s="545">
        <f>-'Sollecitazioni nel paramento'!$G$47*'Sollecitazioni nel paramento'!$G$41*IF(DATI!$G$211="dx",DATI!$E$61,DATI!$E$64*DATI!$E$63)*1000*C2521*sezione!$AD$5</f>
        <v>-796578.10328667879</v>
      </c>
      <c r="Q2521" s="545">
        <f>'Foglio deposito bis'!$F$88*IF(ABS(K2521)&lt;'Sollecitazioni nel paramento'!$G$58,ABS(K2521)*'Sollecitazioni nel paramento'!$G$54,'Sollecitazioni nel paramento'!$G$53)*IF(K2521&lt;0,-1,1)</f>
        <v>0</v>
      </c>
      <c r="R2521" s="545">
        <f>'Foglio deposito bis'!$F$89*IF(ABS(L2521)&lt;'Sollecitazioni nel paramento'!$G$58,ABS(L2521)*'Sollecitazioni nel paramento'!$G$54,'Sollecitazioni nel paramento'!$G$53)*IF(L2521&lt;0,-1,1)</f>
        <v>153664.85805602249</v>
      </c>
      <c r="S2521" s="545">
        <f>'Foglio deposito bis'!$F$90*IF(ABS(M2521)&lt;'Sollecitazioni nel paramento'!$G$58,ABS(M2521)*'Sollecitazioni nel paramento'!$G$54,'Sollecitazioni nel paramento'!$G$53)*IF(M2521&lt;0,-1,1)</f>
        <v>0</v>
      </c>
      <c r="T2521" s="545">
        <f>'Foglio deposito bis'!$F$91*IF(ABS(N2521)&lt;'Sollecitazioni nel paramento'!$G$58,ABS(N2521)*'Sollecitazioni nel paramento'!$G$54,'Sollecitazioni nel paramento'!$G$53)*IF(N2521&lt;0,-1,1)</f>
        <v>892485.49558937876</v>
      </c>
      <c r="U2521" s="545">
        <f>'Foglio deposito bis'!$F$92*IF(ABS(O2521)&lt;'Sollecitazioni nel paramento'!$G$58,ABS(O2521)*'Sollecitazioni nel paramento'!$G$54,'Sollecitazioni nel paramento'!$G$53)*IF(O2521&lt;0,-1,1)</f>
        <v>1662039.1047339395</v>
      </c>
      <c r="V2521" s="472">
        <f t="shared" si="176"/>
        <v>1911611.3550926619</v>
      </c>
      <c r="W2521" s="551"/>
      <c r="X2521" s="551"/>
    </row>
    <row r="2522" spans="1:24" x14ac:dyDescent="0.25">
      <c r="A2522" s="545">
        <f t="shared" si="175"/>
        <v>1889484.1855569207</v>
      </c>
      <c r="B2522" s="3">
        <f t="shared" si="177"/>
        <v>1.850000000000001</v>
      </c>
      <c r="C2522" s="545">
        <f>'Foglio deposito bis'!$E$163/sezione!$B$247*B2522</f>
        <v>21.490019498186737</v>
      </c>
      <c r="D2522" s="603">
        <f>-'Sollecitazioni nel paramento'!$G$47*'Sollecitazioni nel paramento'!$G$41*IF(DATI!$G$211="dx",DATI!$E$61,DATI!$E$64*DATI!$E$63)*1000*C2522^2*sezione!$AD$5*(1-sezione!$AD$6)</f>
        <v>-10274891.489313705</v>
      </c>
      <c r="E2522" s="545">
        <f>-'Foglio deposito bis'!$F$88*(C2522-sezione!$AL$37)*IF(ABS(K2522)&lt;'Sollecitazioni nel paramento'!$G$58,ABS(K2522)*'Sollecitazioni nel paramento'!$G$54,'Sollecitazioni nel paramento'!$G$53)</f>
        <v>0</v>
      </c>
      <c r="F2522" s="545">
        <f>-'Foglio deposito bis'!$F$89*(C2522-sezione!$AM$37)*IF(ABS(L2522)&lt;'Sollecitazioni nel paramento'!$G$58,ABS(L2522)*'Sollecitazioni nel paramento'!$G$54,'Sollecitazioni nel paramento'!$G$53)</f>
        <v>5917630.6875513289</v>
      </c>
      <c r="G2522" s="545">
        <f>-'Foglio deposito bis'!$F$90*(C2522-sezione!$AN$37)*IF(ABS(M2522)&lt;'Sollecitazioni nel paramento'!$G$58,ABS(M2522)*'Sollecitazioni nel paramento'!$G$54,'Sollecitazioni nel paramento'!$G$53)</f>
        <v>0</v>
      </c>
      <c r="H2522" s="545">
        <f>-'Foglio deposito bis'!$F$91*(C2522-sezione!$AO$37)*IF(ABS(N2522)&lt;'Sollecitazioni nel paramento'!$G$58,ABS(N2522)*'Sollecitazioni nel paramento'!$G$54,'Sollecitazioni nel paramento'!$G$53)</f>
        <v>123618148.592236</v>
      </c>
      <c r="I2522" s="472">
        <f>-'Foglio deposito bis'!$F$92*(C2522-sezione!$AP$37)*IF(ABS(O2522)&lt;'Sollecitazioni nel paramento'!$G$58,ABS(O2522)*'Sollecitazioni nel paramento'!$G$54,'Sollecitazioni nel paramento'!$G$53)</f>
        <v>1324560631.4306514</v>
      </c>
      <c r="J2522" s="472">
        <f t="shared" si="174"/>
        <v>1443821519.2211251</v>
      </c>
      <c r="K2522" s="550">
        <f>'Sollecitazioni nel paramento'!$G$60*(sezione!$AL$37-C2522)/C2522</f>
        <v>3.0146520696183073E-3</v>
      </c>
      <c r="L2522" s="550">
        <f>'Sollecitazioni nel paramento'!$G$60*(sezione!$AM$37-C2522)/C2522</f>
        <v>6.2719781044274598E-3</v>
      </c>
      <c r="M2522" s="551">
        <f>'Sollecitazioni nel paramento'!$G$60*(sezione!$AN$37-C2522)/C2522</f>
        <v>9.5293041392366142E-3</v>
      </c>
      <c r="N2522" s="551">
        <f>'Sollecitazioni nel paramento'!$G$60*(sezione!$AO$37-C2522)/C2522</f>
        <v>2.2558608278473228E-2</v>
      </c>
      <c r="O2522" s="551">
        <f>'Sollecitazioni nel paramento'!$G$60*(sezione!$AP$37-C2522)/C2522</f>
        <v>0.12979615874119235</v>
      </c>
      <c r="P2522" s="545">
        <f>-'Sollecitazioni nel paramento'!$G$47*'Sollecitazioni nel paramento'!$G$41*IF(DATI!$G$211="dx",DATI!$E$61,DATI!$E$64*DATI!$E$63)*1000*C2522*sezione!$AD$5</f>
        <v>-818705.27282242</v>
      </c>
      <c r="Q2522" s="545">
        <f>'Foglio deposito bis'!$F$88*IF(ABS(K2522)&lt;'Sollecitazioni nel paramento'!$G$58,ABS(K2522)*'Sollecitazioni nel paramento'!$G$54,'Sollecitazioni nel paramento'!$G$53)*IF(K2522&lt;0,-1,1)</f>
        <v>0</v>
      </c>
      <c r="R2522" s="545">
        <f>'Foglio deposito bis'!$F$89*IF(ABS(L2522)&lt;'Sollecitazioni nel paramento'!$G$58,ABS(L2522)*'Sollecitazioni nel paramento'!$G$54,'Sollecitazioni nel paramento'!$G$53)*IF(L2522&lt;0,-1,1)</f>
        <v>153664.85805602249</v>
      </c>
      <c r="S2522" s="545">
        <f>'Foglio deposito bis'!$F$90*IF(ABS(M2522)&lt;'Sollecitazioni nel paramento'!$G$58,ABS(M2522)*'Sollecitazioni nel paramento'!$G$54,'Sollecitazioni nel paramento'!$G$53)*IF(M2522&lt;0,-1,1)</f>
        <v>0</v>
      </c>
      <c r="T2522" s="545">
        <f>'Foglio deposito bis'!$F$91*IF(ABS(N2522)&lt;'Sollecitazioni nel paramento'!$G$58,ABS(N2522)*'Sollecitazioni nel paramento'!$G$54,'Sollecitazioni nel paramento'!$G$53)*IF(N2522&lt;0,-1,1)</f>
        <v>892485.49558937876</v>
      </c>
      <c r="U2522" s="545">
        <f>'Foglio deposito bis'!$F$92*IF(ABS(O2522)&lt;'Sollecitazioni nel paramento'!$G$58,ABS(O2522)*'Sollecitazioni nel paramento'!$G$54,'Sollecitazioni nel paramento'!$G$53)*IF(O2522&lt;0,-1,1)</f>
        <v>1662039.1047339395</v>
      </c>
      <c r="V2522" s="472">
        <f t="shared" si="176"/>
        <v>1889484.1855569207</v>
      </c>
      <c r="W2522" s="551"/>
      <c r="X2522" s="551"/>
    </row>
    <row r="2523" spans="1:24" x14ac:dyDescent="0.25">
      <c r="A2523" s="545">
        <f t="shared" si="175"/>
        <v>1867357.0160211797</v>
      </c>
      <c r="B2523" s="3">
        <f t="shared" si="177"/>
        <v>1.900000000000001</v>
      </c>
      <c r="C2523" s="545">
        <f>'Foglio deposito bis'!$E$163/sezione!$B$247*B2523</f>
        <v>22.070830835975567</v>
      </c>
      <c r="D2523" s="603">
        <f>-'Sollecitazioni nel paramento'!$G$47*'Sollecitazioni nel paramento'!$G$41*IF(DATI!$G$211="dx",DATI!$E$61,DATI!$E$64*DATI!$E$63)*1000*C2523^2*sezione!$AD$5*(1-sezione!$AD$6)</f>
        <v>-10837796.428465297</v>
      </c>
      <c r="E2523" s="545">
        <f>-'Foglio deposito bis'!$F$88*(C2523-sezione!$AL$37)*IF(ABS(K2523)&lt;'Sollecitazioni nel paramento'!$G$58,ABS(K2523)*'Sollecitazioni nel paramento'!$G$54,'Sollecitazioni nel paramento'!$G$53)</f>
        <v>0</v>
      </c>
      <c r="F2523" s="545">
        <f>-'Foglio deposito bis'!$F$89*(C2523-sezione!$AM$37)*IF(ABS(L2523)&lt;'Sollecitazioni nel paramento'!$G$58,ABS(L2523)*'Sollecitazioni nel paramento'!$G$54,'Sollecitazioni nel paramento'!$G$53)</f>
        <v>5828380.3957726797</v>
      </c>
      <c r="G2523" s="545">
        <f>-'Foglio deposito bis'!$F$90*(C2523-sezione!$AN$37)*IF(ABS(M2523)&lt;'Sollecitazioni nel paramento'!$G$58,ABS(M2523)*'Sollecitazioni nel paramento'!$G$54,'Sollecitazioni nel paramento'!$G$53)</f>
        <v>0</v>
      </c>
      <c r="H2523" s="545">
        <f>-'Foglio deposito bis'!$F$91*(C2523-sezione!$AO$37)*IF(ABS(N2523)&lt;'Sollecitazioni nel paramento'!$G$58,ABS(N2523)*'Sollecitazioni nel paramento'!$G$54,'Sollecitazioni nel paramento'!$G$53)</f>
        <v>123099782.89758563</v>
      </c>
      <c r="I2523" s="472">
        <f>-'Foglio deposito bis'!$F$92*(C2523-sezione!$AP$37)*IF(ABS(O2523)&lt;'Sollecitazioni nel paramento'!$G$58,ABS(O2523)*'Sollecitazioni nel paramento'!$G$54,'Sollecitazioni nel paramento'!$G$53)</f>
        <v>1323595300.2747734</v>
      </c>
      <c r="J2523" s="472">
        <f t="shared" si="174"/>
        <v>1441685667.1396663</v>
      </c>
      <c r="K2523" s="550">
        <f>'Sollecitazioni nel paramento'!$G$60*(sezione!$AL$37-C2523)/C2523</f>
        <v>2.8432138572599308E-3</v>
      </c>
      <c r="L2523" s="550">
        <f>'Sollecitazioni nel paramento'!$G$60*(sezione!$AM$37-C2523)/C2523</f>
        <v>6.0148207858898954E-3</v>
      </c>
      <c r="M2523" s="551">
        <f>'Sollecitazioni nel paramento'!$G$60*(sezione!$AN$37-C2523)/C2523</f>
        <v>9.1864277145198622E-3</v>
      </c>
      <c r="N2523" s="551">
        <f>'Sollecitazioni nel paramento'!$G$60*(sezione!$AO$37-C2523)/C2523</f>
        <v>2.1872855429039724E-2</v>
      </c>
      <c r="O2523" s="551">
        <f>'Sollecitazioni nel paramento'!$G$60*(sezione!$AP$37-C2523)/C2523</f>
        <v>0.12628836509010835</v>
      </c>
      <c r="P2523" s="545">
        <f>-'Sollecitazioni nel paramento'!$G$47*'Sollecitazioni nel paramento'!$G$41*IF(DATI!$G$211="dx",DATI!$E$61,DATI!$E$64*DATI!$E$63)*1000*C2523*sezione!$AD$5</f>
        <v>-840832.44235816109</v>
      </c>
      <c r="Q2523" s="545">
        <f>'Foglio deposito bis'!$F$88*IF(ABS(K2523)&lt;'Sollecitazioni nel paramento'!$G$58,ABS(K2523)*'Sollecitazioni nel paramento'!$G$54,'Sollecitazioni nel paramento'!$G$53)*IF(K2523&lt;0,-1,1)</f>
        <v>0</v>
      </c>
      <c r="R2523" s="545">
        <f>'Foglio deposito bis'!$F$89*IF(ABS(L2523)&lt;'Sollecitazioni nel paramento'!$G$58,ABS(L2523)*'Sollecitazioni nel paramento'!$G$54,'Sollecitazioni nel paramento'!$G$53)*IF(L2523&lt;0,-1,1)</f>
        <v>153664.85805602249</v>
      </c>
      <c r="S2523" s="545">
        <f>'Foglio deposito bis'!$F$90*IF(ABS(M2523)&lt;'Sollecitazioni nel paramento'!$G$58,ABS(M2523)*'Sollecitazioni nel paramento'!$G$54,'Sollecitazioni nel paramento'!$G$53)*IF(M2523&lt;0,-1,1)</f>
        <v>0</v>
      </c>
      <c r="T2523" s="545">
        <f>'Foglio deposito bis'!$F$91*IF(ABS(N2523)&lt;'Sollecitazioni nel paramento'!$G$58,ABS(N2523)*'Sollecitazioni nel paramento'!$G$54,'Sollecitazioni nel paramento'!$G$53)*IF(N2523&lt;0,-1,1)</f>
        <v>892485.49558937876</v>
      </c>
      <c r="U2523" s="545">
        <f>'Foglio deposito bis'!$F$92*IF(ABS(O2523)&lt;'Sollecitazioni nel paramento'!$G$58,ABS(O2523)*'Sollecitazioni nel paramento'!$G$54,'Sollecitazioni nel paramento'!$G$53)*IF(O2523&lt;0,-1,1)</f>
        <v>1662039.1047339395</v>
      </c>
      <c r="V2523" s="472">
        <f t="shared" si="176"/>
        <v>1867357.0160211797</v>
      </c>
      <c r="W2523" s="551"/>
      <c r="X2523" s="551"/>
    </row>
    <row r="2524" spans="1:24" x14ac:dyDescent="0.25">
      <c r="A2524" s="545">
        <f t="shared" si="175"/>
        <v>1845229.8464854388</v>
      </c>
      <c r="B2524" s="3">
        <f t="shared" si="177"/>
        <v>1.9500000000000011</v>
      </c>
      <c r="C2524" s="545">
        <f>'Foglio deposito bis'!$E$163/sezione!$B$247*B2524</f>
        <v>22.651642173764397</v>
      </c>
      <c r="D2524" s="603">
        <f>-'Sollecitazioni nel paramento'!$G$47*'Sollecitazioni nel paramento'!$G$41*IF(DATI!$G$211="dx",DATI!$E$61,DATI!$E$64*DATI!$E$63)*1000*C2524^2*sezione!$AD$5*(1-sezione!$AD$6)</f>
        <v>-11415712.165994262</v>
      </c>
      <c r="E2524" s="545">
        <f>-'Foglio deposito bis'!$F$88*(C2524-sezione!$AL$37)*IF(ABS(K2524)&lt;'Sollecitazioni nel paramento'!$G$58,ABS(K2524)*'Sollecitazioni nel paramento'!$G$54,'Sollecitazioni nel paramento'!$G$53)</f>
        <v>0</v>
      </c>
      <c r="F2524" s="545">
        <f>-'Foglio deposito bis'!$F$89*(C2524-sezione!$AM$37)*IF(ABS(L2524)&lt;'Sollecitazioni nel paramento'!$G$58,ABS(L2524)*'Sollecitazioni nel paramento'!$G$54,'Sollecitazioni nel paramento'!$G$53)</f>
        <v>5739130.1039940305</v>
      </c>
      <c r="G2524" s="545">
        <f>-'Foglio deposito bis'!$F$90*(C2524-sezione!$AN$37)*IF(ABS(M2524)&lt;'Sollecitazioni nel paramento'!$G$58,ABS(M2524)*'Sollecitazioni nel paramento'!$G$54,'Sollecitazioni nel paramento'!$G$53)</f>
        <v>0</v>
      </c>
      <c r="H2524" s="545">
        <f>-'Foglio deposito bis'!$F$91*(C2524-sezione!$AO$37)*IF(ABS(N2524)&lt;'Sollecitazioni nel paramento'!$G$58,ABS(N2524)*'Sollecitazioni nel paramento'!$G$54,'Sollecitazioni nel paramento'!$G$53)</f>
        <v>122581417.2029352</v>
      </c>
      <c r="I2524" s="472">
        <f>-'Foglio deposito bis'!$F$92*(C2524-sezione!$AP$37)*IF(ABS(O2524)&lt;'Sollecitazioni nel paramento'!$G$58,ABS(O2524)*'Sollecitazioni nel paramento'!$G$54,'Sollecitazioni nel paramento'!$G$53)</f>
        <v>1322629969.1188958</v>
      </c>
      <c r="J2524" s="472">
        <f t="shared" si="174"/>
        <v>1439534804.2598307</v>
      </c>
      <c r="K2524" s="550">
        <f>'Sollecitazioni nel paramento'!$G$60*(sezione!$AL$37-C2524)/C2524</f>
        <v>2.68056734809942E-3</v>
      </c>
      <c r="L2524" s="550">
        <f>'Sollecitazioni nel paramento'!$G$60*(sezione!$AM$37-C2524)/C2524</f>
        <v>5.7708510221491302E-3</v>
      </c>
      <c r="M2524" s="551">
        <f>'Sollecitazioni nel paramento'!$G$60*(sezione!$AN$37-C2524)/C2524</f>
        <v>8.8611346961988396E-3</v>
      </c>
      <c r="N2524" s="551">
        <f>'Sollecitazioni nel paramento'!$G$60*(sezione!$AO$37-C2524)/C2524</f>
        <v>2.1222269392397679E-2</v>
      </c>
      <c r="O2524" s="551">
        <f>'Sollecitazioni nel paramento'!$G$60*(sezione!$AP$37-C2524)/C2524</f>
        <v>0.12296045829292608</v>
      </c>
      <c r="P2524" s="545">
        <f>-'Sollecitazioni nel paramento'!$G$47*'Sollecitazioni nel paramento'!$G$41*IF(DATI!$G$211="dx",DATI!$E$61,DATI!$E$64*DATI!$E$63)*1000*C2524*sezione!$AD$5</f>
        <v>-862959.61189390207</v>
      </c>
      <c r="Q2524" s="545">
        <f>'Foglio deposito bis'!$F$88*IF(ABS(K2524)&lt;'Sollecitazioni nel paramento'!$G$58,ABS(K2524)*'Sollecitazioni nel paramento'!$G$54,'Sollecitazioni nel paramento'!$G$53)*IF(K2524&lt;0,-1,1)</f>
        <v>0</v>
      </c>
      <c r="R2524" s="545">
        <f>'Foglio deposito bis'!$F$89*IF(ABS(L2524)&lt;'Sollecitazioni nel paramento'!$G$58,ABS(L2524)*'Sollecitazioni nel paramento'!$G$54,'Sollecitazioni nel paramento'!$G$53)*IF(L2524&lt;0,-1,1)</f>
        <v>153664.85805602249</v>
      </c>
      <c r="S2524" s="545">
        <f>'Foglio deposito bis'!$F$90*IF(ABS(M2524)&lt;'Sollecitazioni nel paramento'!$G$58,ABS(M2524)*'Sollecitazioni nel paramento'!$G$54,'Sollecitazioni nel paramento'!$G$53)*IF(M2524&lt;0,-1,1)</f>
        <v>0</v>
      </c>
      <c r="T2524" s="545">
        <f>'Foglio deposito bis'!$F$91*IF(ABS(N2524)&lt;'Sollecitazioni nel paramento'!$G$58,ABS(N2524)*'Sollecitazioni nel paramento'!$G$54,'Sollecitazioni nel paramento'!$G$53)*IF(N2524&lt;0,-1,1)</f>
        <v>892485.49558937876</v>
      </c>
      <c r="U2524" s="545">
        <f>'Foglio deposito bis'!$F$92*IF(ABS(O2524)&lt;'Sollecitazioni nel paramento'!$G$58,ABS(O2524)*'Sollecitazioni nel paramento'!$G$54,'Sollecitazioni nel paramento'!$G$53)*IF(O2524&lt;0,-1,1)</f>
        <v>1662039.1047339395</v>
      </c>
      <c r="V2524" s="472">
        <f t="shared" si="176"/>
        <v>1845229.8464854388</v>
      </c>
      <c r="W2524" s="551"/>
      <c r="X2524" s="551"/>
    </row>
    <row r="2525" spans="1:24" x14ac:dyDescent="0.25">
      <c r="A2525" s="545">
        <f t="shared" si="175"/>
        <v>1823102.6769496978</v>
      </c>
      <c r="B2525" s="3">
        <f t="shared" si="177"/>
        <v>2.0000000000000009</v>
      </c>
      <c r="C2525" s="545">
        <f>'Foglio deposito bis'!$E$163/sezione!$B$247*B2525</f>
        <v>23.232453511553228</v>
      </c>
      <c r="D2525" s="603">
        <f>-'Sollecitazioni nel paramento'!$G$47*'Sollecitazioni nel paramento'!$G$41*IF(DATI!$G$211="dx",DATI!$E$61,DATI!$E$64*DATI!$E$63)*1000*C2525^2*sezione!$AD$5*(1-sezione!$AD$6)</f>
        <v>-12008638.701900605</v>
      </c>
      <c r="E2525" s="545">
        <f>-'Foglio deposito bis'!$F$88*(C2525-sezione!$AL$37)*IF(ABS(K2525)&lt;'Sollecitazioni nel paramento'!$G$58,ABS(K2525)*'Sollecitazioni nel paramento'!$G$54,'Sollecitazioni nel paramento'!$G$53)</f>
        <v>0</v>
      </c>
      <c r="F2525" s="545">
        <f>-'Foglio deposito bis'!$F$89*(C2525-sezione!$AM$37)*IF(ABS(L2525)&lt;'Sollecitazioni nel paramento'!$G$58,ABS(L2525)*'Sollecitazioni nel paramento'!$G$54,'Sollecitazioni nel paramento'!$G$53)</f>
        <v>5649879.8122153813</v>
      </c>
      <c r="G2525" s="545">
        <f>-'Foglio deposito bis'!$F$90*(C2525-sezione!$AN$37)*IF(ABS(M2525)&lt;'Sollecitazioni nel paramento'!$G$58,ABS(M2525)*'Sollecitazioni nel paramento'!$G$54,'Sollecitazioni nel paramento'!$G$53)</f>
        <v>0</v>
      </c>
      <c r="H2525" s="545">
        <f>-'Foglio deposito bis'!$F$91*(C2525-sezione!$AO$37)*IF(ABS(N2525)&lt;'Sollecitazioni nel paramento'!$G$58,ABS(N2525)*'Sollecitazioni nel paramento'!$G$54,'Sollecitazioni nel paramento'!$G$53)</f>
        <v>122063051.50828482</v>
      </c>
      <c r="I2525" s="472">
        <f>-'Foglio deposito bis'!$F$92*(C2525-sezione!$AP$37)*IF(ABS(O2525)&lt;'Sollecitazioni nel paramento'!$G$58,ABS(O2525)*'Sollecitazioni nel paramento'!$G$54,'Sollecitazioni nel paramento'!$G$53)</f>
        <v>1321664637.9630177</v>
      </c>
      <c r="J2525" s="472">
        <f t="shared" si="174"/>
        <v>1437368930.5816174</v>
      </c>
      <c r="K2525" s="550">
        <f>'Sollecitazioni nel paramento'!$G$60*(sezione!$AL$37-C2525)/C2525</f>
        <v>2.5260531643969348E-3</v>
      </c>
      <c r="L2525" s="550">
        <f>'Sollecitazioni nel paramento'!$G$60*(sezione!$AM$37-C2525)/C2525</f>
        <v>5.5390797465954007E-3</v>
      </c>
      <c r="M2525" s="551">
        <f>'Sollecitazioni nel paramento'!$G$60*(sezione!$AN$37-C2525)/C2525</f>
        <v>8.5521063287938692E-3</v>
      </c>
      <c r="N2525" s="551">
        <f>'Sollecitazioni nel paramento'!$G$60*(sezione!$AO$37-C2525)/C2525</f>
        <v>2.0604212657587738E-2</v>
      </c>
      <c r="O2525" s="551">
        <f>'Sollecitazioni nel paramento'!$G$60*(sezione!$AP$37-C2525)/C2525</f>
        <v>0.11979894683560294</v>
      </c>
      <c r="P2525" s="545">
        <f>-'Sollecitazioni nel paramento'!$G$47*'Sollecitazioni nel paramento'!$G$41*IF(DATI!$G$211="dx",DATI!$E$61,DATI!$E$64*DATI!$E$63)*1000*C2525*sezione!$AD$5</f>
        <v>-885086.78142964304</v>
      </c>
      <c r="Q2525" s="545">
        <f>'Foglio deposito bis'!$F$88*IF(ABS(K2525)&lt;'Sollecitazioni nel paramento'!$G$58,ABS(K2525)*'Sollecitazioni nel paramento'!$G$54,'Sollecitazioni nel paramento'!$G$53)*IF(K2525&lt;0,-1,1)</f>
        <v>0</v>
      </c>
      <c r="R2525" s="545">
        <f>'Foglio deposito bis'!$F$89*IF(ABS(L2525)&lt;'Sollecitazioni nel paramento'!$G$58,ABS(L2525)*'Sollecitazioni nel paramento'!$G$54,'Sollecitazioni nel paramento'!$G$53)*IF(L2525&lt;0,-1,1)</f>
        <v>153664.85805602249</v>
      </c>
      <c r="S2525" s="545">
        <f>'Foglio deposito bis'!$F$90*IF(ABS(M2525)&lt;'Sollecitazioni nel paramento'!$G$58,ABS(M2525)*'Sollecitazioni nel paramento'!$G$54,'Sollecitazioni nel paramento'!$G$53)*IF(M2525&lt;0,-1,1)</f>
        <v>0</v>
      </c>
      <c r="T2525" s="545">
        <f>'Foglio deposito bis'!$F$91*IF(ABS(N2525)&lt;'Sollecitazioni nel paramento'!$G$58,ABS(N2525)*'Sollecitazioni nel paramento'!$G$54,'Sollecitazioni nel paramento'!$G$53)*IF(N2525&lt;0,-1,1)</f>
        <v>892485.49558937876</v>
      </c>
      <c r="U2525" s="545">
        <f>'Foglio deposito bis'!$F$92*IF(ABS(O2525)&lt;'Sollecitazioni nel paramento'!$G$58,ABS(O2525)*'Sollecitazioni nel paramento'!$G$54,'Sollecitazioni nel paramento'!$G$53)*IF(O2525&lt;0,-1,1)</f>
        <v>1662039.1047339395</v>
      </c>
      <c r="V2525" s="472">
        <f t="shared" si="176"/>
        <v>1823102.6769496978</v>
      </c>
      <c r="W2525" s="551"/>
      <c r="X2525" s="551"/>
    </row>
    <row r="2526" spans="1:24" x14ac:dyDescent="0.25">
      <c r="A2526" s="545">
        <f t="shared" si="175"/>
        <v>1800975.5074139566</v>
      </c>
      <c r="B2526" s="3">
        <f t="shared" si="177"/>
        <v>2.0500000000000007</v>
      </c>
      <c r="C2526" s="545">
        <f>'Foglio deposito bis'!$E$163/sezione!$B$247*B2526</f>
        <v>23.813264849342055</v>
      </c>
      <c r="D2526" s="603">
        <f>-'Sollecitazioni nel paramento'!$G$47*'Sollecitazioni nel paramento'!$G$41*IF(DATI!$G$211="dx",DATI!$E$61,DATI!$E$64*DATI!$E$63)*1000*C2526^2*sezione!$AD$5*(1-sezione!$AD$6)</f>
        <v>-12616576.03618432</v>
      </c>
      <c r="E2526" s="545">
        <f>-'Foglio deposito bis'!$F$88*(C2526-sezione!$AL$37)*IF(ABS(K2526)&lt;'Sollecitazioni nel paramento'!$G$58,ABS(K2526)*'Sollecitazioni nel paramento'!$G$54,'Sollecitazioni nel paramento'!$G$53)</f>
        <v>0</v>
      </c>
      <c r="F2526" s="545">
        <f>-'Foglio deposito bis'!$F$89*(C2526-sezione!$AM$37)*IF(ABS(L2526)&lt;'Sollecitazioni nel paramento'!$G$58,ABS(L2526)*'Sollecitazioni nel paramento'!$G$54,'Sollecitazioni nel paramento'!$G$53)</f>
        <v>5560629.520436733</v>
      </c>
      <c r="G2526" s="545">
        <f>-'Foglio deposito bis'!$F$90*(C2526-sezione!$AN$37)*IF(ABS(M2526)&lt;'Sollecitazioni nel paramento'!$G$58,ABS(M2526)*'Sollecitazioni nel paramento'!$G$54,'Sollecitazioni nel paramento'!$G$53)</f>
        <v>0</v>
      </c>
      <c r="H2526" s="545">
        <f>-'Foglio deposito bis'!$F$91*(C2526-sezione!$AO$37)*IF(ABS(N2526)&lt;'Sollecitazioni nel paramento'!$G$58,ABS(N2526)*'Sollecitazioni nel paramento'!$G$54,'Sollecitazioni nel paramento'!$G$53)</f>
        <v>121544685.81363443</v>
      </c>
      <c r="I2526" s="472">
        <f>-'Foglio deposito bis'!$F$92*(C2526-sezione!$AP$37)*IF(ABS(O2526)&lt;'Sollecitazioni nel paramento'!$G$58,ABS(O2526)*'Sollecitazioni nel paramento'!$G$54,'Sollecitazioni nel paramento'!$G$53)</f>
        <v>1320699306.8071399</v>
      </c>
      <c r="J2526" s="472">
        <f t="shared" si="174"/>
        <v>1435188046.1050267</v>
      </c>
      <c r="K2526" s="550">
        <f>'Sollecitazioni nel paramento'!$G$60*(sezione!$AL$37-C2526)/C2526</f>
        <v>2.37907625794823E-3</v>
      </c>
      <c r="L2526" s="550">
        <f>'Sollecitazioni nel paramento'!$G$60*(sezione!$AM$37-C2526)/C2526</f>
        <v>5.318614386922345E-3</v>
      </c>
      <c r="M2526" s="551">
        <f>'Sollecitazioni nel paramento'!$G$60*(sezione!$AN$37-C2526)/C2526</f>
        <v>8.2581525158964605E-3</v>
      </c>
      <c r="N2526" s="551">
        <f>'Sollecitazioni nel paramento'!$G$60*(sezione!$AO$37-C2526)/C2526</f>
        <v>2.0016305031792917E-2</v>
      </c>
      <c r="O2526" s="551">
        <f>'Sollecitazioni nel paramento'!$G$60*(sezione!$AP$37-C2526)/C2526</f>
        <v>0.11679165544936872</v>
      </c>
      <c r="P2526" s="545">
        <f>-'Sollecitazioni nel paramento'!$G$47*'Sollecitazioni nel paramento'!$G$41*IF(DATI!$G$211="dx",DATI!$E$61,DATI!$E$64*DATI!$E$63)*1000*C2526*sezione!$AD$5</f>
        <v>-907213.95096538414</v>
      </c>
      <c r="Q2526" s="545">
        <f>'Foglio deposito bis'!$F$88*IF(ABS(K2526)&lt;'Sollecitazioni nel paramento'!$G$58,ABS(K2526)*'Sollecitazioni nel paramento'!$G$54,'Sollecitazioni nel paramento'!$G$53)*IF(K2526&lt;0,-1,1)</f>
        <v>0</v>
      </c>
      <c r="R2526" s="545">
        <f>'Foglio deposito bis'!$F$89*IF(ABS(L2526)&lt;'Sollecitazioni nel paramento'!$G$58,ABS(L2526)*'Sollecitazioni nel paramento'!$G$54,'Sollecitazioni nel paramento'!$G$53)*IF(L2526&lt;0,-1,1)</f>
        <v>153664.85805602249</v>
      </c>
      <c r="S2526" s="545">
        <f>'Foglio deposito bis'!$F$90*IF(ABS(M2526)&lt;'Sollecitazioni nel paramento'!$G$58,ABS(M2526)*'Sollecitazioni nel paramento'!$G$54,'Sollecitazioni nel paramento'!$G$53)*IF(M2526&lt;0,-1,1)</f>
        <v>0</v>
      </c>
      <c r="T2526" s="545">
        <f>'Foglio deposito bis'!$F$91*IF(ABS(N2526)&lt;'Sollecitazioni nel paramento'!$G$58,ABS(N2526)*'Sollecitazioni nel paramento'!$G$54,'Sollecitazioni nel paramento'!$G$53)*IF(N2526&lt;0,-1,1)</f>
        <v>892485.49558937876</v>
      </c>
      <c r="U2526" s="545">
        <f>'Foglio deposito bis'!$F$92*IF(ABS(O2526)&lt;'Sollecitazioni nel paramento'!$G$58,ABS(O2526)*'Sollecitazioni nel paramento'!$G$54,'Sollecitazioni nel paramento'!$G$53)*IF(O2526&lt;0,-1,1)</f>
        <v>1662039.1047339395</v>
      </c>
      <c r="V2526" s="472">
        <f t="shared" si="176"/>
        <v>1800975.5074139566</v>
      </c>
      <c r="W2526" s="551"/>
      <c r="X2526" s="551"/>
    </row>
    <row r="2527" spans="1:24" x14ac:dyDescent="0.25">
      <c r="A2527" s="545">
        <f t="shared" si="175"/>
        <v>1778848.3378782156</v>
      </c>
      <c r="B2527" s="3">
        <f t="shared" si="177"/>
        <v>2.1000000000000005</v>
      </c>
      <c r="C2527" s="545">
        <f>'Foglio deposito bis'!$E$163/sezione!$B$247*B2527</f>
        <v>24.394076187130885</v>
      </c>
      <c r="D2527" s="603">
        <f>-'Sollecitazioni nel paramento'!$G$47*'Sollecitazioni nel paramento'!$G$41*IF(DATI!$G$211="dx",DATI!$E$61,DATI!$E$64*DATI!$E$63)*1000*C2527^2*sezione!$AD$5*(1-sezione!$AD$6)</f>
        <v>-13239524.168845413</v>
      </c>
      <c r="E2527" s="545">
        <f>-'Foglio deposito bis'!$F$88*(C2527-sezione!$AL$37)*IF(ABS(K2527)&lt;'Sollecitazioni nel paramento'!$G$58,ABS(K2527)*'Sollecitazioni nel paramento'!$G$54,'Sollecitazioni nel paramento'!$G$53)</f>
        <v>0</v>
      </c>
      <c r="F2527" s="545">
        <f>-'Foglio deposito bis'!$F$89*(C2527-sezione!$AM$37)*IF(ABS(L2527)&lt;'Sollecitazioni nel paramento'!$G$58,ABS(L2527)*'Sollecitazioni nel paramento'!$G$54,'Sollecitazioni nel paramento'!$G$53)</f>
        <v>5471379.2286580838</v>
      </c>
      <c r="G2527" s="545">
        <f>-'Foglio deposito bis'!$F$90*(C2527-sezione!$AN$37)*IF(ABS(M2527)&lt;'Sollecitazioni nel paramento'!$G$58,ABS(M2527)*'Sollecitazioni nel paramento'!$G$54,'Sollecitazioni nel paramento'!$G$53)</f>
        <v>0</v>
      </c>
      <c r="H2527" s="545">
        <f>-'Foglio deposito bis'!$F$91*(C2527-sezione!$AO$37)*IF(ABS(N2527)&lt;'Sollecitazioni nel paramento'!$G$58,ABS(N2527)*'Sollecitazioni nel paramento'!$G$54,'Sollecitazioni nel paramento'!$G$53)</f>
        <v>121026320.11898403</v>
      </c>
      <c r="I2527" s="472">
        <f>-'Foglio deposito bis'!$F$92*(C2527-sezione!$AP$37)*IF(ABS(O2527)&lt;'Sollecitazioni nel paramento'!$G$58,ABS(O2527)*'Sollecitazioni nel paramento'!$G$54,'Sollecitazioni nel paramento'!$G$53)</f>
        <v>1319733975.651262</v>
      </c>
      <c r="J2527" s="472">
        <f t="shared" si="174"/>
        <v>1432992150.8300588</v>
      </c>
      <c r="K2527" s="550">
        <f>'Sollecitazioni nel paramento'!$G$60*(sezione!$AL$37-C2527)/C2527</f>
        <v>2.2390982518066052E-3</v>
      </c>
      <c r="L2527" s="550">
        <f>'Sollecitazioni nel paramento'!$G$60*(sezione!$AM$37-C2527)/C2527</f>
        <v>5.1086473777099085E-3</v>
      </c>
      <c r="M2527" s="551">
        <f>'Sollecitazioni nel paramento'!$G$60*(sezione!$AN$37-C2527)/C2527</f>
        <v>7.9781965036132101E-3</v>
      </c>
      <c r="N2527" s="551">
        <f>'Sollecitazioni nel paramento'!$G$60*(sezione!$AO$37-C2527)/C2527</f>
        <v>1.9456393007226423E-2</v>
      </c>
      <c r="O2527" s="551">
        <f>'Sollecitazioni nel paramento'!$G$60*(sezione!$AP$37-C2527)/C2527</f>
        <v>0.11392756841485996</v>
      </c>
      <c r="P2527" s="545">
        <f>-'Sollecitazioni nel paramento'!$G$47*'Sollecitazioni nel paramento'!$G$41*IF(DATI!$G$211="dx",DATI!$E$61,DATI!$E$64*DATI!$E$63)*1000*C2527*sezione!$AD$5</f>
        <v>-929341.12050112511</v>
      </c>
      <c r="Q2527" s="545">
        <f>'Foglio deposito bis'!$F$88*IF(ABS(K2527)&lt;'Sollecitazioni nel paramento'!$G$58,ABS(K2527)*'Sollecitazioni nel paramento'!$G$54,'Sollecitazioni nel paramento'!$G$53)*IF(K2527&lt;0,-1,1)</f>
        <v>0</v>
      </c>
      <c r="R2527" s="545">
        <f>'Foglio deposito bis'!$F$89*IF(ABS(L2527)&lt;'Sollecitazioni nel paramento'!$G$58,ABS(L2527)*'Sollecitazioni nel paramento'!$G$54,'Sollecitazioni nel paramento'!$G$53)*IF(L2527&lt;0,-1,1)</f>
        <v>153664.85805602249</v>
      </c>
      <c r="S2527" s="545">
        <f>'Foglio deposito bis'!$F$90*IF(ABS(M2527)&lt;'Sollecitazioni nel paramento'!$G$58,ABS(M2527)*'Sollecitazioni nel paramento'!$G$54,'Sollecitazioni nel paramento'!$G$53)*IF(M2527&lt;0,-1,1)</f>
        <v>0</v>
      </c>
      <c r="T2527" s="545">
        <f>'Foglio deposito bis'!$F$91*IF(ABS(N2527)&lt;'Sollecitazioni nel paramento'!$G$58,ABS(N2527)*'Sollecitazioni nel paramento'!$G$54,'Sollecitazioni nel paramento'!$G$53)*IF(N2527&lt;0,-1,1)</f>
        <v>892485.49558937876</v>
      </c>
      <c r="U2527" s="545">
        <f>'Foglio deposito bis'!$F$92*IF(ABS(O2527)&lt;'Sollecitazioni nel paramento'!$G$58,ABS(O2527)*'Sollecitazioni nel paramento'!$G$54,'Sollecitazioni nel paramento'!$G$53)*IF(O2527&lt;0,-1,1)</f>
        <v>1662039.1047339395</v>
      </c>
      <c r="V2527" s="472">
        <f t="shared" si="176"/>
        <v>1778848.3378782156</v>
      </c>
      <c r="W2527" s="551"/>
      <c r="X2527" s="551"/>
    </row>
    <row r="2528" spans="1:24" x14ac:dyDescent="0.25">
      <c r="A2528" s="545">
        <f t="shared" si="175"/>
        <v>1756721.1683424746</v>
      </c>
      <c r="B2528" s="3">
        <f t="shared" si="177"/>
        <v>2.1500000000000004</v>
      </c>
      <c r="C2528" s="545">
        <f>'Foglio deposito bis'!$E$163/sezione!$B$247*B2528</f>
        <v>24.974887524919712</v>
      </c>
      <c r="D2528" s="603">
        <f>-'Sollecitazioni nel paramento'!$G$47*'Sollecitazioni nel paramento'!$G$41*IF(DATI!$G$211="dx",DATI!$E$61,DATI!$E$64*DATI!$E$63)*1000*C2528^2*sezione!$AD$5*(1-sezione!$AD$6)</f>
        <v>-13877483.099883877</v>
      </c>
      <c r="E2528" s="545">
        <f>-'Foglio deposito bis'!$F$88*(C2528-sezione!$AL$37)*IF(ABS(K2528)&lt;'Sollecitazioni nel paramento'!$G$58,ABS(K2528)*'Sollecitazioni nel paramento'!$G$54,'Sollecitazioni nel paramento'!$G$53)</f>
        <v>0</v>
      </c>
      <c r="F2528" s="545">
        <f>-'Foglio deposito bis'!$F$89*(C2528-sezione!$AM$37)*IF(ABS(L2528)&lt;'Sollecitazioni nel paramento'!$G$58,ABS(L2528)*'Sollecitazioni nel paramento'!$G$54,'Sollecitazioni nel paramento'!$G$53)</f>
        <v>5382128.9368794356</v>
      </c>
      <c r="G2528" s="545">
        <f>-'Foglio deposito bis'!$F$90*(C2528-sezione!$AN$37)*IF(ABS(M2528)&lt;'Sollecitazioni nel paramento'!$G$58,ABS(M2528)*'Sollecitazioni nel paramento'!$G$54,'Sollecitazioni nel paramento'!$G$53)</f>
        <v>0</v>
      </c>
      <c r="H2528" s="545">
        <f>-'Foglio deposito bis'!$F$91*(C2528-sezione!$AO$37)*IF(ABS(N2528)&lt;'Sollecitazioni nel paramento'!$G$58,ABS(N2528)*'Sollecitazioni nel paramento'!$G$54,'Sollecitazioni nel paramento'!$G$53)</f>
        <v>120507954.42433363</v>
      </c>
      <c r="I2528" s="472">
        <f>-'Foglio deposito bis'!$F$92*(C2528-sezione!$AP$37)*IF(ABS(O2528)&lt;'Sollecitazioni nel paramento'!$G$58,ABS(O2528)*'Sollecitazioni nel paramento'!$G$54,'Sollecitazioni nel paramento'!$G$53)</f>
        <v>1318768644.4953842</v>
      </c>
      <c r="J2528" s="472">
        <f t="shared" si="174"/>
        <v>1430781244.7567134</v>
      </c>
      <c r="K2528" s="550">
        <f>'Sollecitazioni nel paramento'!$G$60*(sezione!$AL$37-C2528)/C2528</f>
        <v>2.1056308506018011E-3</v>
      </c>
      <c r="L2528" s="550">
        <f>'Sollecitazioni nel paramento'!$G$60*(sezione!$AM$37-C2528)/C2528</f>
        <v>4.9084462759027029E-3</v>
      </c>
      <c r="M2528" s="551">
        <f>'Sollecitazioni nel paramento'!$G$60*(sezione!$AN$37-C2528)/C2528</f>
        <v>7.7112617012036035E-3</v>
      </c>
      <c r="N2528" s="551">
        <f>'Sollecitazioni nel paramento'!$G$60*(sezione!$AO$37-C2528)/C2528</f>
        <v>1.8922523402407205E-2</v>
      </c>
      <c r="O2528" s="551">
        <f>'Sollecitazioni nel paramento'!$G$60*(sezione!$AP$37-C2528)/C2528</f>
        <v>0.11119669473079345</v>
      </c>
      <c r="P2528" s="545">
        <f>-'Sollecitazioni nel paramento'!$G$47*'Sollecitazioni nel paramento'!$G$41*IF(DATI!$G$211="dx",DATI!$E$61,DATI!$E$64*DATI!$E$63)*1000*C2528*sezione!$AD$5</f>
        <v>-951468.29003686609</v>
      </c>
      <c r="Q2528" s="545">
        <f>'Foglio deposito bis'!$F$88*IF(ABS(K2528)&lt;'Sollecitazioni nel paramento'!$G$58,ABS(K2528)*'Sollecitazioni nel paramento'!$G$54,'Sollecitazioni nel paramento'!$G$53)*IF(K2528&lt;0,-1,1)</f>
        <v>0</v>
      </c>
      <c r="R2528" s="545">
        <f>'Foglio deposito bis'!$F$89*IF(ABS(L2528)&lt;'Sollecitazioni nel paramento'!$G$58,ABS(L2528)*'Sollecitazioni nel paramento'!$G$54,'Sollecitazioni nel paramento'!$G$53)*IF(L2528&lt;0,-1,1)</f>
        <v>153664.85805602249</v>
      </c>
      <c r="S2528" s="545">
        <f>'Foglio deposito bis'!$F$90*IF(ABS(M2528)&lt;'Sollecitazioni nel paramento'!$G$58,ABS(M2528)*'Sollecitazioni nel paramento'!$G$54,'Sollecitazioni nel paramento'!$G$53)*IF(M2528&lt;0,-1,1)</f>
        <v>0</v>
      </c>
      <c r="T2528" s="545">
        <f>'Foglio deposito bis'!$F$91*IF(ABS(N2528)&lt;'Sollecitazioni nel paramento'!$G$58,ABS(N2528)*'Sollecitazioni nel paramento'!$G$54,'Sollecitazioni nel paramento'!$G$53)*IF(N2528&lt;0,-1,1)</f>
        <v>892485.49558937876</v>
      </c>
      <c r="U2528" s="545">
        <f>'Foglio deposito bis'!$F$92*IF(ABS(O2528)&lt;'Sollecitazioni nel paramento'!$G$58,ABS(O2528)*'Sollecitazioni nel paramento'!$G$54,'Sollecitazioni nel paramento'!$G$53)*IF(O2528&lt;0,-1,1)</f>
        <v>1662039.1047339395</v>
      </c>
      <c r="V2528" s="472">
        <f t="shared" si="176"/>
        <v>1756721.1683424746</v>
      </c>
      <c r="W2528" s="551"/>
      <c r="X2528" s="551"/>
    </row>
    <row r="2529" spans="1:24" x14ac:dyDescent="0.25">
      <c r="A2529" s="545">
        <f t="shared" si="175"/>
        <v>1734593.9988067336</v>
      </c>
      <c r="B2529" s="3">
        <f t="shared" si="177"/>
        <v>2.2000000000000002</v>
      </c>
      <c r="C2529" s="545">
        <f>'Foglio deposito bis'!$E$163/sezione!$B$247*B2529</f>
        <v>25.555698862708542</v>
      </c>
      <c r="D2529" s="603">
        <f>-'Sollecitazioni nel paramento'!$G$47*'Sollecitazioni nel paramento'!$G$41*IF(DATI!$G$211="dx",DATI!$E$61,DATI!$E$64*DATI!$E$63)*1000*C2529^2*sezione!$AD$5*(1-sezione!$AD$6)</f>
        <v>-14530452.82929972</v>
      </c>
      <c r="E2529" s="545">
        <f>-'Foglio deposito bis'!$F$88*(C2529-sezione!$AL$37)*IF(ABS(K2529)&lt;'Sollecitazioni nel paramento'!$G$58,ABS(K2529)*'Sollecitazioni nel paramento'!$G$54,'Sollecitazioni nel paramento'!$G$53)</f>
        <v>0</v>
      </c>
      <c r="F2529" s="545">
        <f>-'Foglio deposito bis'!$F$89*(C2529-sezione!$AM$37)*IF(ABS(L2529)&lt;'Sollecitazioni nel paramento'!$G$58,ABS(L2529)*'Sollecitazioni nel paramento'!$G$54,'Sollecitazioni nel paramento'!$G$53)</f>
        <v>5292878.6451007864</v>
      </c>
      <c r="G2529" s="545">
        <f>-'Foglio deposito bis'!$F$90*(C2529-sezione!$AN$37)*IF(ABS(M2529)&lt;'Sollecitazioni nel paramento'!$G$58,ABS(M2529)*'Sollecitazioni nel paramento'!$G$54,'Sollecitazioni nel paramento'!$G$53)</f>
        <v>0</v>
      </c>
      <c r="H2529" s="545">
        <f>-'Foglio deposito bis'!$F$91*(C2529-sezione!$AO$37)*IF(ABS(N2529)&lt;'Sollecitazioni nel paramento'!$G$58,ABS(N2529)*'Sollecitazioni nel paramento'!$G$54,'Sollecitazioni nel paramento'!$G$53)</f>
        <v>119989588.72968327</v>
      </c>
      <c r="I2529" s="472">
        <f>-'Foglio deposito bis'!$F$92*(C2529-sezione!$AP$37)*IF(ABS(O2529)&lt;'Sollecitazioni nel paramento'!$G$58,ABS(O2529)*'Sollecitazioni nel paramento'!$G$54,'Sollecitazioni nel paramento'!$G$53)</f>
        <v>1317803313.3395061</v>
      </c>
      <c r="J2529" s="472">
        <f t="shared" si="174"/>
        <v>1428555327.8849905</v>
      </c>
      <c r="K2529" s="550">
        <f>'Sollecitazioni nel paramento'!$G$60*(sezione!$AL$37-C2529)/C2529</f>
        <v>1.9782301494517605E-3</v>
      </c>
      <c r="L2529" s="550">
        <f>'Sollecitazioni nel paramento'!$G$60*(sezione!$AM$37-C2529)/C2529</f>
        <v>4.7173452241776413E-3</v>
      </c>
      <c r="M2529" s="551">
        <f>'Sollecitazioni nel paramento'!$G$60*(sezione!$AN$37-C2529)/C2529</f>
        <v>7.4564602989035207E-3</v>
      </c>
      <c r="N2529" s="551">
        <f>'Sollecitazioni nel paramento'!$G$60*(sezione!$AO$37-C2529)/C2529</f>
        <v>1.8412920597807043E-2</v>
      </c>
      <c r="O2529" s="551">
        <f>'Sollecitazioni nel paramento'!$G$60*(sezione!$AP$37-C2529)/C2529</f>
        <v>0.10858995166872996</v>
      </c>
      <c r="P2529" s="545">
        <f>-'Sollecitazioni nel paramento'!$G$47*'Sollecitazioni nel paramento'!$G$41*IF(DATI!$G$211="dx",DATI!$E$61,DATI!$E$64*DATI!$E$63)*1000*C2529*sezione!$AD$5</f>
        <v>-973595.45957260719</v>
      </c>
      <c r="Q2529" s="545">
        <f>'Foglio deposito bis'!$F$88*IF(ABS(K2529)&lt;'Sollecitazioni nel paramento'!$G$58,ABS(K2529)*'Sollecitazioni nel paramento'!$G$54,'Sollecitazioni nel paramento'!$G$53)*IF(K2529&lt;0,-1,1)</f>
        <v>0</v>
      </c>
      <c r="R2529" s="545">
        <f>'Foglio deposito bis'!$F$89*IF(ABS(L2529)&lt;'Sollecitazioni nel paramento'!$G$58,ABS(L2529)*'Sollecitazioni nel paramento'!$G$54,'Sollecitazioni nel paramento'!$G$53)*IF(L2529&lt;0,-1,1)</f>
        <v>153664.85805602249</v>
      </c>
      <c r="S2529" s="545">
        <f>'Foglio deposito bis'!$F$90*IF(ABS(M2529)&lt;'Sollecitazioni nel paramento'!$G$58,ABS(M2529)*'Sollecitazioni nel paramento'!$G$54,'Sollecitazioni nel paramento'!$G$53)*IF(M2529&lt;0,-1,1)</f>
        <v>0</v>
      </c>
      <c r="T2529" s="545">
        <f>'Foglio deposito bis'!$F$91*IF(ABS(N2529)&lt;'Sollecitazioni nel paramento'!$G$58,ABS(N2529)*'Sollecitazioni nel paramento'!$G$54,'Sollecitazioni nel paramento'!$G$53)*IF(N2529&lt;0,-1,1)</f>
        <v>892485.49558937876</v>
      </c>
      <c r="U2529" s="545">
        <f>'Foglio deposito bis'!$F$92*IF(ABS(O2529)&lt;'Sollecitazioni nel paramento'!$G$58,ABS(O2529)*'Sollecitazioni nel paramento'!$G$54,'Sollecitazioni nel paramento'!$G$53)*IF(O2529&lt;0,-1,1)</f>
        <v>1662039.1047339395</v>
      </c>
      <c r="V2529" s="472">
        <f t="shared" si="176"/>
        <v>1734593.9988067336</v>
      </c>
      <c r="W2529" s="551"/>
      <c r="X2529" s="551"/>
    </row>
    <row r="2530" spans="1:24" x14ac:dyDescent="0.25">
      <c r="A2530" s="545">
        <f t="shared" si="175"/>
        <v>1712466.8292709927</v>
      </c>
      <c r="B2530" s="3">
        <f t="shared" si="177"/>
        <v>2.25</v>
      </c>
      <c r="C2530" s="545">
        <f>'Foglio deposito bis'!$E$163/sezione!$B$247*B2530</f>
        <v>26.136510200497369</v>
      </c>
      <c r="D2530" s="603">
        <f>-'Sollecitazioni nel paramento'!$G$47*'Sollecitazioni nel paramento'!$G$41*IF(DATI!$G$211="dx",DATI!$E$61,DATI!$E$64*DATI!$E$63)*1000*C2530^2*sezione!$AD$5*(1-sezione!$AD$6)</f>
        <v>-15198433.357092939</v>
      </c>
      <c r="E2530" s="545">
        <f>-'Foglio deposito bis'!$F$88*(C2530-sezione!$AL$37)*IF(ABS(K2530)&lt;'Sollecitazioni nel paramento'!$G$58,ABS(K2530)*'Sollecitazioni nel paramento'!$G$54,'Sollecitazioni nel paramento'!$G$53)</f>
        <v>0</v>
      </c>
      <c r="F2530" s="545">
        <f>-'Foglio deposito bis'!$F$89*(C2530-sezione!$AM$37)*IF(ABS(L2530)&lt;'Sollecitazioni nel paramento'!$G$58,ABS(L2530)*'Sollecitazioni nel paramento'!$G$54,'Sollecitazioni nel paramento'!$G$53)</f>
        <v>5203628.3533221371</v>
      </c>
      <c r="G2530" s="545">
        <f>-'Foglio deposito bis'!$F$90*(C2530-sezione!$AN$37)*IF(ABS(M2530)&lt;'Sollecitazioni nel paramento'!$G$58,ABS(M2530)*'Sollecitazioni nel paramento'!$G$54,'Sollecitazioni nel paramento'!$G$53)</f>
        <v>0</v>
      </c>
      <c r="H2530" s="545">
        <f>-'Foglio deposito bis'!$F$91*(C2530-sezione!$AO$37)*IF(ABS(N2530)&lt;'Sollecitazioni nel paramento'!$G$58,ABS(N2530)*'Sollecitazioni nel paramento'!$G$54,'Sollecitazioni nel paramento'!$G$53)</f>
        <v>119471223.03503285</v>
      </c>
      <c r="I2530" s="472">
        <f>-'Foglio deposito bis'!$F$92*(C2530-sezione!$AP$37)*IF(ABS(O2530)&lt;'Sollecitazioni nel paramento'!$G$58,ABS(O2530)*'Sollecitazioni nel paramento'!$G$54,'Sollecitazioni nel paramento'!$G$53)</f>
        <v>1316837982.1836283</v>
      </c>
      <c r="J2530" s="472">
        <f t="shared" si="174"/>
        <v>1426314400.2148905</v>
      </c>
      <c r="K2530" s="550">
        <f>'Sollecitazioni nel paramento'!$G$60*(sezione!$AL$37-C2530)/C2530</f>
        <v>1.8564917016861665E-3</v>
      </c>
      <c r="L2530" s="550">
        <f>'Sollecitazioni nel paramento'!$G$60*(sezione!$AM$37-C2530)/C2530</f>
        <v>4.5347375525292494E-3</v>
      </c>
      <c r="M2530" s="551">
        <f>'Sollecitazioni nel paramento'!$G$60*(sezione!$AN$37-C2530)/C2530</f>
        <v>7.212983403372333E-3</v>
      </c>
      <c r="N2530" s="551">
        <f>'Sollecitazioni nel paramento'!$G$60*(sezione!$AO$37-C2530)/C2530</f>
        <v>1.7925966806744666E-2</v>
      </c>
      <c r="O2530" s="551">
        <f>'Sollecitazioni nel paramento'!$G$60*(sezione!$AP$37-C2530)/C2530</f>
        <v>0.10609906385386932</v>
      </c>
      <c r="P2530" s="545">
        <f>-'Sollecitazioni nel paramento'!$G$47*'Sollecitazioni nel paramento'!$G$41*IF(DATI!$G$211="dx",DATI!$E$61,DATI!$E$64*DATI!$E$63)*1000*C2530*sezione!$AD$5</f>
        <v>-995722.62910834816</v>
      </c>
      <c r="Q2530" s="545">
        <f>'Foglio deposito bis'!$F$88*IF(ABS(K2530)&lt;'Sollecitazioni nel paramento'!$G$58,ABS(K2530)*'Sollecitazioni nel paramento'!$G$54,'Sollecitazioni nel paramento'!$G$53)*IF(K2530&lt;0,-1,1)</f>
        <v>0</v>
      </c>
      <c r="R2530" s="545">
        <f>'Foglio deposito bis'!$F$89*IF(ABS(L2530)&lt;'Sollecitazioni nel paramento'!$G$58,ABS(L2530)*'Sollecitazioni nel paramento'!$G$54,'Sollecitazioni nel paramento'!$G$53)*IF(L2530&lt;0,-1,1)</f>
        <v>153664.85805602249</v>
      </c>
      <c r="S2530" s="545">
        <f>'Foglio deposito bis'!$F$90*IF(ABS(M2530)&lt;'Sollecitazioni nel paramento'!$G$58,ABS(M2530)*'Sollecitazioni nel paramento'!$G$54,'Sollecitazioni nel paramento'!$G$53)*IF(M2530&lt;0,-1,1)</f>
        <v>0</v>
      </c>
      <c r="T2530" s="545">
        <f>'Foglio deposito bis'!$F$91*IF(ABS(N2530)&lt;'Sollecitazioni nel paramento'!$G$58,ABS(N2530)*'Sollecitazioni nel paramento'!$G$54,'Sollecitazioni nel paramento'!$G$53)*IF(N2530&lt;0,-1,1)</f>
        <v>892485.49558937876</v>
      </c>
      <c r="U2530" s="545">
        <f>'Foglio deposito bis'!$F$92*IF(ABS(O2530)&lt;'Sollecitazioni nel paramento'!$G$58,ABS(O2530)*'Sollecitazioni nel paramento'!$G$54,'Sollecitazioni nel paramento'!$G$53)*IF(O2530&lt;0,-1,1)</f>
        <v>1662039.1047339395</v>
      </c>
      <c r="V2530" s="472">
        <f t="shared" si="176"/>
        <v>1712466.8292709927</v>
      </c>
      <c r="W2530" s="551"/>
      <c r="X2530" s="551"/>
    </row>
    <row r="2531" spans="1:24" x14ac:dyDescent="0.25">
      <c r="A2531" s="545">
        <f t="shared" si="175"/>
        <v>1690339.6597352517</v>
      </c>
      <c r="B2531" s="3">
        <f t="shared" si="177"/>
        <v>2.2999999999999998</v>
      </c>
      <c r="C2531" s="545">
        <f>'Foglio deposito bis'!$E$163/sezione!$B$247*B2531</f>
        <v>26.717321538286196</v>
      </c>
      <c r="D2531" s="603">
        <f>-'Sollecitazioni nel paramento'!$G$47*'Sollecitazioni nel paramento'!$G$41*IF(DATI!$G$211="dx",DATI!$E$61,DATI!$E$64*DATI!$E$63)*1000*C2531^2*sezione!$AD$5*(1-sezione!$AD$6)</f>
        <v>-15881424.683263531</v>
      </c>
      <c r="E2531" s="545">
        <f>-'Foglio deposito bis'!$F$88*(C2531-sezione!$AL$37)*IF(ABS(K2531)&lt;'Sollecitazioni nel paramento'!$G$58,ABS(K2531)*'Sollecitazioni nel paramento'!$G$54,'Sollecitazioni nel paramento'!$G$53)</f>
        <v>0</v>
      </c>
      <c r="F2531" s="545">
        <f>-'Foglio deposito bis'!$F$89*(C2531-sezione!$AM$37)*IF(ABS(L2531)&lt;'Sollecitazioni nel paramento'!$G$58,ABS(L2531)*'Sollecitazioni nel paramento'!$G$54,'Sollecitazioni nel paramento'!$G$53)</f>
        <v>5114378.0615434889</v>
      </c>
      <c r="G2531" s="545">
        <f>-'Foglio deposito bis'!$F$90*(C2531-sezione!$AN$37)*IF(ABS(M2531)&lt;'Sollecitazioni nel paramento'!$G$58,ABS(M2531)*'Sollecitazioni nel paramento'!$G$54,'Sollecitazioni nel paramento'!$G$53)</f>
        <v>0</v>
      </c>
      <c r="H2531" s="545">
        <f>-'Foglio deposito bis'!$F$91*(C2531-sezione!$AO$37)*IF(ABS(N2531)&lt;'Sollecitazioni nel paramento'!$G$58,ABS(N2531)*'Sollecitazioni nel paramento'!$G$54,'Sollecitazioni nel paramento'!$G$53)</f>
        <v>118952857.34038246</v>
      </c>
      <c r="I2531" s="472">
        <f>-'Foglio deposito bis'!$F$92*(C2531-sezione!$AP$37)*IF(ABS(O2531)&lt;'Sollecitazioni nel paramento'!$G$58,ABS(O2531)*'Sollecitazioni nel paramento'!$G$54,'Sollecitazioni nel paramento'!$G$53)</f>
        <v>1315872651.0277505</v>
      </c>
      <c r="J2531" s="472">
        <f t="shared" si="174"/>
        <v>1424058461.746413</v>
      </c>
      <c r="K2531" s="550">
        <f>'Sollecitazioni nel paramento'!$G$60*(sezione!$AL$37-C2531)/C2531</f>
        <v>1.740046229910381E-3</v>
      </c>
      <c r="L2531" s="550">
        <f>'Sollecitazioni nel paramento'!$G$60*(sezione!$AM$37-C2531)/C2531</f>
        <v>4.3600693448655713E-3</v>
      </c>
      <c r="M2531" s="551">
        <f>'Sollecitazioni nel paramento'!$G$60*(sezione!$AN$37-C2531)/C2531</f>
        <v>6.9800924598207607E-3</v>
      </c>
      <c r="N2531" s="551">
        <f>'Sollecitazioni nel paramento'!$G$60*(sezione!$AO$37-C2531)/C2531</f>
        <v>1.7460184919641523E-2</v>
      </c>
      <c r="O2531" s="551">
        <f>'Sollecitazioni nel paramento'!$G$60*(sezione!$AP$37-C2531)/C2531</f>
        <v>0.10371647550922</v>
      </c>
      <c r="P2531" s="545">
        <f>-'Sollecitazioni nel paramento'!$G$47*'Sollecitazioni nel paramento'!$G$41*IF(DATI!$G$211="dx",DATI!$E$61,DATI!$E$64*DATI!$E$63)*1000*C2531*sezione!$AD$5</f>
        <v>-1017849.798644089</v>
      </c>
      <c r="Q2531" s="545">
        <f>'Foglio deposito bis'!$F$88*IF(ABS(K2531)&lt;'Sollecitazioni nel paramento'!$G$58,ABS(K2531)*'Sollecitazioni nel paramento'!$G$54,'Sollecitazioni nel paramento'!$G$53)*IF(K2531&lt;0,-1,1)</f>
        <v>0</v>
      </c>
      <c r="R2531" s="545">
        <f>'Foglio deposito bis'!$F$89*IF(ABS(L2531)&lt;'Sollecitazioni nel paramento'!$G$58,ABS(L2531)*'Sollecitazioni nel paramento'!$G$54,'Sollecitazioni nel paramento'!$G$53)*IF(L2531&lt;0,-1,1)</f>
        <v>153664.85805602249</v>
      </c>
      <c r="S2531" s="545">
        <f>'Foglio deposito bis'!$F$90*IF(ABS(M2531)&lt;'Sollecitazioni nel paramento'!$G$58,ABS(M2531)*'Sollecitazioni nel paramento'!$G$54,'Sollecitazioni nel paramento'!$G$53)*IF(M2531&lt;0,-1,1)</f>
        <v>0</v>
      </c>
      <c r="T2531" s="545">
        <f>'Foglio deposito bis'!$F$91*IF(ABS(N2531)&lt;'Sollecitazioni nel paramento'!$G$58,ABS(N2531)*'Sollecitazioni nel paramento'!$G$54,'Sollecitazioni nel paramento'!$G$53)*IF(N2531&lt;0,-1,1)</f>
        <v>892485.49558937876</v>
      </c>
      <c r="U2531" s="545">
        <f>'Foglio deposito bis'!$F$92*IF(ABS(O2531)&lt;'Sollecitazioni nel paramento'!$G$58,ABS(O2531)*'Sollecitazioni nel paramento'!$G$54,'Sollecitazioni nel paramento'!$G$53)*IF(O2531&lt;0,-1,1)</f>
        <v>1662039.1047339395</v>
      </c>
      <c r="V2531" s="472">
        <f t="shared" si="176"/>
        <v>1690339.6597352517</v>
      </c>
      <c r="W2531" s="551"/>
      <c r="X2531" s="551"/>
    </row>
    <row r="2532" spans="1:24" x14ac:dyDescent="0.25">
      <c r="A2532" s="545">
        <f t="shared" si="175"/>
        <v>1668212.4901995107</v>
      </c>
      <c r="B2532" s="3">
        <f t="shared" si="177"/>
        <v>2.3499999999999996</v>
      </c>
      <c r="C2532" s="545">
        <f>'Foglio deposito bis'!$E$163/sezione!$B$247*B2532</f>
        <v>27.298132876075027</v>
      </c>
      <c r="D2532" s="603">
        <f>-'Sollecitazioni nel paramento'!$G$47*'Sollecitazioni nel paramento'!$G$41*IF(DATI!$G$211="dx",DATI!$E$61,DATI!$E$64*DATI!$E$63)*1000*C2532^2*sezione!$AD$5*(1-sezione!$AD$6)</f>
        <v>-16579426.807811506</v>
      </c>
      <c r="E2532" s="545">
        <f>-'Foglio deposito bis'!$F$88*(C2532-sezione!$AL$37)*IF(ABS(K2532)&lt;'Sollecitazioni nel paramento'!$G$58,ABS(K2532)*'Sollecitazioni nel paramento'!$G$54,'Sollecitazioni nel paramento'!$G$53)</f>
        <v>0</v>
      </c>
      <c r="F2532" s="545">
        <f>-'Foglio deposito bis'!$F$89*(C2532-sezione!$AM$37)*IF(ABS(L2532)&lt;'Sollecitazioni nel paramento'!$G$58,ABS(L2532)*'Sollecitazioni nel paramento'!$G$54,'Sollecitazioni nel paramento'!$G$53)</f>
        <v>5025127.7697648397</v>
      </c>
      <c r="G2532" s="545">
        <f>-'Foglio deposito bis'!$F$90*(C2532-sezione!$AN$37)*IF(ABS(M2532)&lt;'Sollecitazioni nel paramento'!$G$58,ABS(M2532)*'Sollecitazioni nel paramento'!$G$54,'Sollecitazioni nel paramento'!$G$53)</f>
        <v>0</v>
      </c>
      <c r="H2532" s="545">
        <f>-'Foglio deposito bis'!$F$91*(C2532-sezione!$AO$37)*IF(ABS(N2532)&lt;'Sollecitazioni nel paramento'!$G$58,ABS(N2532)*'Sollecitazioni nel paramento'!$G$54,'Sollecitazioni nel paramento'!$G$53)</f>
        <v>118434491.64573209</v>
      </c>
      <c r="I2532" s="472">
        <f>-'Foglio deposito bis'!$F$92*(C2532-sezione!$AP$37)*IF(ABS(O2532)&lt;'Sollecitazioni nel paramento'!$G$58,ABS(O2532)*'Sollecitazioni nel paramento'!$G$54,'Sollecitazioni nel paramento'!$G$53)</f>
        <v>1314907319.8718727</v>
      </c>
      <c r="J2532" s="472">
        <f t="shared" si="174"/>
        <v>1421787512.479558</v>
      </c>
      <c r="K2532" s="550">
        <f>'Sollecitazioni nel paramento'!$G$60*(sezione!$AL$37-C2532)/C2532</f>
        <v>1.6285558845931386E-3</v>
      </c>
      <c r="L2532" s="550">
        <f>'Sollecitazioni nel paramento'!$G$60*(sezione!$AM$37-C2532)/C2532</f>
        <v>4.1928338268897077E-3</v>
      </c>
      <c r="M2532" s="551">
        <f>'Sollecitazioni nel paramento'!$G$60*(sezione!$AN$37-C2532)/C2532</f>
        <v>6.7571117691862768E-3</v>
      </c>
      <c r="N2532" s="551">
        <f>'Sollecitazioni nel paramento'!$G$60*(sezione!$AO$37-C2532)/C2532</f>
        <v>1.7014223538372557E-2</v>
      </c>
      <c r="O2532" s="551">
        <f>'Sollecitazioni nel paramento'!$G$60*(sezione!$AP$37-C2532)/C2532</f>
        <v>0.10143527390264084</v>
      </c>
      <c r="P2532" s="545">
        <f>-'Sollecitazioni nel paramento'!$G$47*'Sollecitazioni nel paramento'!$G$41*IF(DATI!$G$211="dx",DATI!$E$61,DATI!$E$64*DATI!$E$63)*1000*C2532*sezione!$AD$5</f>
        <v>-1039976.96817983</v>
      </c>
      <c r="Q2532" s="545">
        <f>'Foglio deposito bis'!$F$88*IF(ABS(K2532)&lt;'Sollecitazioni nel paramento'!$G$58,ABS(K2532)*'Sollecitazioni nel paramento'!$G$54,'Sollecitazioni nel paramento'!$G$53)*IF(K2532&lt;0,-1,1)</f>
        <v>0</v>
      </c>
      <c r="R2532" s="545">
        <f>'Foglio deposito bis'!$F$89*IF(ABS(L2532)&lt;'Sollecitazioni nel paramento'!$G$58,ABS(L2532)*'Sollecitazioni nel paramento'!$G$54,'Sollecitazioni nel paramento'!$G$53)*IF(L2532&lt;0,-1,1)</f>
        <v>153664.85805602249</v>
      </c>
      <c r="S2532" s="545">
        <f>'Foglio deposito bis'!$F$90*IF(ABS(M2532)&lt;'Sollecitazioni nel paramento'!$G$58,ABS(M2532)*'Sollecitazioni nel paramento'!$G$54,'Sollecitazioni nel paramento'!$G$53)*IF(M2532&lt;0,-1,1)</f>
        <v>0</v>
      </c>
      <c r="T2532" s="545">
        <f>'Foglio deposito bis'!$F$91*IF(ABS(N2532)&lt;'Sollecitazioni nel paramento'!$G$58,ABS(N2532)*'Sollecitazioni nel paramento'!$G$54,'Sollecitazioni nel paramento'!$G$53)*IF(N2532&lt;0,-1,1)</f>
        <v>892485.49558937876</v>
      </c>
      <c r="U2532" s="545">
        <f>'Foglio deposito bis'!$F$92*IF(ABS(O2532)&lt;'Sollecitazioni nel paramento'!$G$58,ABS(O2532)*'Sollecitazioni nel paramento'!$G$54,'Sollecitazioni nel paramento'!$G$53)*IF(O2532&lt;0,-1,1)</f>
        <v>1662039.1047339395</v>
      </c>
      <c r="V2532" s="472">
        <f t="shared" si="176"/>
        <v>1668212.4901995107</v>
      </c>
      <c r="W2532" s="551"/>
      <c r="X2532" s="551"/>
    </row>
    <row r="2533" spans="1:24" x14ac:dyDescent="0.25">
      <c r="A2533" s="545">
        <f t="shared" si="175"/>
        <v>1646085.3206637697</v>
      </c>
      <c r="B2533" s="3">
        <f t="shared" si="177"/>
        <v>2.3999999999999995</v>
      </c>
      <c r="C2533" s="545">
        <f>'Foglio deposito bis'!$E$163/sezione!$B$247*B2533</f>
        <v>27.878944213863853</v>
      </c>
      <c r="D2533" s="603">
        <f>-'Sollecitazioni nel paramento'!$G$47*'Sollecitazioni nel paramento'!$G$41*IF(DATI!$G$211="dx",DATI!$E$61,DATI!$E$64*DATI!$E$63)*1000*C2533^2*sezione!$AD$5*(1-sezione!$AD$6)</f>
        <v>-17292439.730736844</v>
      </c>
      <c r="E2533" s="545">
        <f>-'Foglio deposito bis'!$F$88*(C2533-sezione!$AL$37)*IF(ABS(K2533)&lt;'Sollecitazioni nel paramento'!$G$58,ABS(K2533)*'Sollecitazioni nel paramento'!$G$54,'Sollecitazioni nel paramento'!$G$53)</f>
        <v>0</v>
      </c>
      <c r="F2533" s="545">
        <f>-'Foglio deposito bis'!$F$89*(C2533-sezione!$AM$37)*IF(ABS(L2533)&lt;'Sollecitazioni nel paramento'!$G$58,ABS(L2533)*'Sollecitazioni nel paramento'!$G$54,'Sollecitazioni nel paramento'!$G$53)</f>
        <v>4935877.4779861905</v>
      </c>
      <c r="G2533" s="545">
        <f>-'Foglio deposito bis'!$F$90*(C2533-sezione!$AN$37)*IF(ABS(M2533)&lt;'Sollecitazioni nel paramento'!$G$58,ABS(M2533)*'Sollecitazioni nel paramento'!$G$54,'Sollecitazioni nel paramento'!$G$53)</f>
        <v>0</v>
      </c>
      <c r="H2533" s="545">
        <f>-'Foglio deposito bis'!$F$91*(C2533-sezione!$AO$37)*IF(ABS(N2533)&lt;'Sollecitazioni nel paramento'!$G$58,ABS(N2533)*'Sollecitazioni nel paramento'!$G$54,'Sollecitazioni nel paramento'!$G$53)</f>
        <v>117916125.95108166</v>
      </c>
      <c r="I2533" s="472">
        <f>-'Foglio deposito bis'!$F$92*(C2533-sezione!$AP$37)*IF(ABS(O2533)&lt;'Sollecitazioni nel paramento'!$G$58,ABS(O2533)*'Sollecitazioni nel paramento'!$G$54,'Sollecitazioni nel paramento'!$G$53)</f>
        <v>1313941988.7159948</v>
      </c>
      <c r="J2533" s="472">
        <f t="shared" si="174"/>
        <v>1419501552.414326</v>
      </c>
      <c r="K2533" s="550">
        <f>'Sollecitazioni nel paramento'!$G$60*(sezione!$AL$37-C2533)/C2533</f>
        <v>1.5217109703307822E-3</v>
      </c>
      <c r="L2533" s="550">
        <f>'Sollecitazioni nel paramento'!$G$60*(sezione!$AM$37-C2533)/C2533</f>
        <v>4.0325664554961733E-3</v>
      </c>
      <c r="M2533" s="551">
        <f>'Sollecitazioni nel paramento'!$G$60*(sezione!$AN$37-C2533)/C2533</f>
        <v>6.5434219406615641E-3</v>
      </c>
      <c r="N2533" s="551">
        <f>'Sollecitazioni nel paramento'!$G$60*(sezione!$AO$37-C2533)/C2533</f>
        <v>1.6586843881323129E-2</v>
      </c>
      <c r="O2533" s="551">
        <f>'Sollecitazioni nel paramento'!$G$60*(sezione!$AP$37-C2533)/C2533</f>
        <v>9.9249122363002512E-2</v>
      </c>
      <c r="P2533" s="545">
        <f>-'Sollecitazioni nel paramento'!$G$47*'Sollecitazioni nel paramento'!$G$41*IF(DATI!$G$211="dx",DATI!$E$61,DATI!$E$64*DATI!$E$63)*1000*C2533*sezione!$AD$5</f>
        <v>-1062104.1377155711</v>
      </c>
      <c r="Q2533" s="545">
        <f>'Foglio deposito bis'!$F$88*IF(ABS(K2533)&lt;'Sollecitazioni nel paramento'!$G$58,ABS(K2533)*'Sollecitazioni nel paramento'!$G$54,'Sollecitazioni nel paramento'!$G$53)*IF(K2533&lt;0,-1,1)</f>
        <v>0</v>
      </c>
      <c r="R2533" s="545">
        <f>'Foglio deposito bis'!$F$89*IF(ABS(L2533)&lt;'Sollecitazioni nel paramento'!$G$58,ABS(L2533)*'Sollecitazioni nel paramento'!$G$54,'Sollecitazioni nel paramento'!$G$53)*IF(L2533&lt;0,-1,1)</f>
        <v>153664.85805602249</v>
      </c>
      <c r="S2533" s="545">
        <f>'Foglio deposito bis'!$F$90*IF(ABS(M2533)&lt;'Sollecitazioni nel paramento'!$G$58,ABS(M2533)*'Sollecitazioni nel paramento'!$G$54,'Sollecitazioni nel paramento'!$G$53)*IF(M2533&lt;0,-1,1)</f>
        <v>0</v>
      </c>
      <c r="T2533" s="545">
        <f>'Foglio deposito bis'!$F$91*IF(ABS(N2533)&lt;'Sollecitazioni nel paramento'!$G$58,ABS(N2533)*'Sollecitazioni nel paramento'!$G$54,'Sollecitazioni nel paramento'!$G$53)*IF(N2533&lt;0,-1,1)</f>
        <v>892485.49558937876</v>
      </c>
      <c r="U2533" s="545">
        <f>'Foglio deposito bis'!$F$92*IF(ABS(O2533)&lt;'Sollecitazioni nel paramento'!$G$58,ABS(O2533)*'Sollecitazioni nel paramento'!$G$54,'Sollecitazioni nel paramento'!$G$53)*IF(O2533&lt;0,-1,1)</f>
        <v>1662039.1047339395</v>
      </c>
      <c r="V2533" s="472">
        <f t="shared" si="176"/>
        <v>1646085.3206637697</v>
      </c>
      <c r="W2533" s="551"/>
      <c r="X2533" s="551"/>
    </row>
    <row r="2534" spans="1:24" x14ac:dyDescent="0.25">
      <c r="A2534" s="545">
        <f t="shared" si="175"/>
        <v>1623958.1511280288</v>
      </c>
      <c r="B2534" s="3">
        <f t="shared" si="177"/>
        <v>2.4499999999999993</v>
      </c>
      <c r="C2534" s="545">
        <f>'Foglio deposito bis'!$E$163/sezione!$B$247*B2534</f>
        <v>28.459755551652684</v>
      </c>
      <c r="D2534" s="603">
        <f>-'Sollecitazioni nel paramento'!$G$47*'Sollecitazioni nel paramento'!$G$41*IF(DATI!$G$211="dx",DATI!$E$61,DATI!$E$64*DATI!$E$63)*1000*C2534^2*sezione!$AD$5*(1-sezione!$AD$6)</f>
        <v>-18020463.45203957</v>
      </c>
      <c r="E2534" s="545">
        <f>-'Foglio deposito bis'!$F$88*(C2534-sezione!$AL$37)*IF(ABS(K2534)&lt;'Sollecitazioni nel paramento'!$G$58,ABS(K2534)*'Sollecitazioni nel paramento'!$G$54,'Sollecitazioni nel paramento'!$G$53)</f>
        <v>0</v>
      </c>
      <c r="F2534" s="545">
        <f>-'Foglio deposito bis'!$F$89*(C2534-sezione!$AM$37)*IF(ABS(L2534)&lt;'Sollecitazioni nel paramento'!$G$58,ABS(L2534)*'Sollecitazioni nel paramento'!$G$54,'Sollecitazioni nel paramento'!$G$53)</f>
        <v>4846627.1862075413</v>
      </c>
      <c r="G2534" s="545">
        <f>-'Foglio deposito bis'!$F$90*(C2534-sezione!$AN$37)*IF(ABS(M2534)&lt;'Sollecitazioni nel paramento'!$G$58,ABS(M2534)*'Sollecitazioni nel paramento'!$G$54,'Sollecitazioni nel paramento'!$G$53)</f>
        <v>0</v>
      </c>
      <c r="H2534" s="545">
        <f>-'Foglio deposito bis'!$F$91*(C2534-sezione!$AO$37)*IF(ABS(N2534)&lt;'Sollecitazioni nel paramento'!$G$58,ABS(N2534)*'Sollecitazioni nel paramento'!$G$54,'Sollecitazioni nel paramento'!$G$53)</f>
        <v>117397760.2564313</v>
      </c>
      <c r="I2534" s="472">
        <f>-'Foglio deposito bis'!$F$92*(C2534-sezione!$AP$37)*IF(ABS(O2534)&lt;'Sollecitazioni nel paramento'!$G$58,ABS(O2534)*'Sollecitazioni nel paramento'!$G$54,'Sollecitazioni nel paramento'!$G$53)</f>
        <v>1312976657.560117</v>
      </c>
      <c r="J2534" s="472">
        <f t="shared" si="174"/>
        <v>1417200581.5507164</v>
      </c>
      <c r="K2534" s="550">
        <f>'Sollecitazioni nel paramento'!$G$60*(sezione!$AL$37-C2534)/C2534</f>
        <v>1.4192270729770928E-3</v>
      </c>
      <c r="L2534" s="550">
        <f>'Sollecitazioni nel paramento'!$G$60*(sezione!$AM$37-C2534)/C2534</f>
        <v>3.8788406094656396E-3</v>
      </c>
      <c r="M2534" s="551">
        <f>'Sollecitazioni nel paramento'!$G$60*(sezione!$AN$37-C2534)/C2534</f>
        <v>6.3384541459541857E-3</v>
      </c>
      <c r="N2534" s="551">
        <f>'Sollecitazioni nel paramento'!$G$60*(sezione!$AO$37-C2534)/C2534</f>
        <v>1.6176908291908373E-2</v>
      </c>
      <c r="O2534" s="551">
        <f>'Sollecitazioni nel paramento'!$G$60*(sezione!$AP$37-C2534)/C2534</f>
        <v>9.715220149845144E-2</v>
      </c>
      <c r="P2534" s="545">
        <f>-'Sollecitazioni nel paramento'!$G$47*'Sollecitazioni nel paramento'!$G$41*IF(DATI!$G$211="dx",DATI!$E$61,DATI!$E$64*DATI!$E$63)*1000*C2534*sezione!$AD$5</f>
        <v>-1084231.3072513121</v>
      </c>
      <c r="Q2534" s="545">
        <f>'Foglio deposito bis'!$F$88*IF(ABS(K2534)&lt;'Sollecitazioni nel paramento'!$G$58,ABS(K2534)*'Sollecitazioni nel paramento'!$G$54,'Sollecitazioni nel paramento'!$G$53)*IF(K2534&lt;0,-1,1)</f>
        <v>0</v>
      </c>
      <c r="R2534" s="545">
        <f>'Foglio deposito bis'!$F$89*IF(ABS(L2534)&lt;'Sollecitazioni nel paramento'!$G$58,ABS(L2534)*'Sollecitazioni nel paramento'!$G$54,'Sollecitazioni nel paramento'!$G$53)*IF(L2534&lt;0,-1,1)</f>
        <v>153664.85805602249</v>
      </c>
      <c r="S2534" s="545">
        <f>'Foglio deposito bis'!$F$90*IF(ABS(M2534)&lt;'Sollecitazioni nel paramento'!$G$58,ABS(M2534)*'Sollecitazioni nel paramento'!$G$54,'Sollecitazioni nel paramento'!$G$53)*IF(M2534&lt;0,-1,1)</f>
        <v>0</v>
      </c>
      <c r="T2534" s="545">
        <f>'Foglio deposito bis'!$F$91*IF(ABS(N2534)&lt;'Sollecitazioni nel paramento'!$G$58,ABS(N2534)*'Sollecitazioni nel paramento'!$G$54,'Sollecitazioni nel paramento'!$G$53)*IF(N2534&lt;0,-1,1)</f>
        <v>892485.49558937876</v>
      </c>
      <c r="U2534" s="545">
        <f>'Foglio deposito bis'!$F$92*IF(ABS(O2534)&lt;'Sollecitazioni nel paramento'!$G$58,ABS(O2534)*'Sollecitazioni nel paramento'!$G$54,'Sollecitazioni nel paramento'!$G$53)*IF(O2534&lt;0,-1,1)</f>
        <v>1662039.1047339395</v>
      </c>
      <c r="V2534" s="472">
        <f t="shared" si="176"/>
        <v>1623958.1511280288</v>
      </c>
      <c r="W2534" s="551"/>
      <c r="X2534" s="551"/>
    </row>
    <row r="2535" spans="1:24" x14ac:dyDescent="0.25">
      <c r="A2535" s="545">
        <f t="shared" si="175"/>
        <v>1601830.9815922878</v>
      </c>
      <c r="B2535" s="3">
        <f t="shared" si="177"/>
        <v>2.4999999999999991</v>
      </c>
      <c r="C2535" s="545">
        <f>'Foglio deposito bis'!$E$163/sezione!$B$247*B2535</f>
        <v>29.040566889441511</v>
      </c>
      <c r="D2535" s="603">
        <f>-'Sollecitazioni nel paramento'!$G$47*'Sollecitazioni nel paramento'!$G$41*IF(DATI!$G$211="dx",DATI!$E$61,DATI!$E$64*DATI!$E$63)*1000*C2535^2*sezione!$AD$5*(1-sezione!$AD$6)</f>
        <v>-18763497.971719667</v>
      </c>
      <c r="E2535" s="545">
        <f>-'Foglio deposito bis'!$F$88*(C2535-sezione!$AL$37)*IF(ABS(K2535)&lt;'Sollecitazioni nel paramento'!$G$58,ABS(K2535)*'Sollecitazioni nel paramento'!$G$54,'Sollecitazioni nel paramento'!$G$53)</f>
        <v>0</v>
      </c>
      <c r="F2535" s="545">
        <f>-'Foglio deposito bis'!$F$89*(C2535-sezione!$AM$37)*IF(ABS(L2535)&lt;'Sollecitazioni nel paramento'!$G$58,ABS(L2535)*'Sollecitazioni nel paramento'!$G$54,'Sollecitazioni nel paramento'!$G$53)</f>
        <v>4757376.894428893</v>
      </c>
      <c r="G2535" s="545">
        <f>-'Foglio deposito bis'!$F$90*(C2535-sezione!$AN$37)*IF(ABS(M2535)&lt;'Sollecitazioni nel paramento'!$G$58,ABS(M2535)*'Sollecitazioni nel paramento'!$G$54,'Sollecitazioni nel paramento'!$G$53)</f>
        <v>0</v>
      </c>
      <c r="H2535" s="545">
        <f>-'Foglio deposito bis'!$F$91*(C2535-sezione!$AO$37)*IF(ABS(N2535)&lt;'Sollecitazioni nel paramento'!$G$58,ABS(N2535)*'Sollecitazioni nel paramento'!$G$54,'Sollecitazioni nel paramento'!$G$53)</f>
        <v>116879394.56178088</v>
      </c>
      <c r="I2535" s="472">
        <f>-'Foglio deposito bis'!$F$92*(C2535-sezione!$AP$37)*IF(ABS(O2535)&lt;'Sollecitazioni nel paramento'!$G$58,ABS(O2535)*'Sollecitazioni nel paramento'!$G$54,'Sollecitazioni nel paramento'!$G$53)</f>
        <v>1312011326.4042392</v>
      </c>
      <c r="J2535" s="472">
        <f t="shared" si="174"/>
        <v>1414884599.8887293</v>
      </c>
      <c r="K2535" s="550">
        <f>'Sollecitazioni nel paramento'!$G$60*(sezione!$AL$37-C2535)/C2535</f>
        <v>1.3208425315175516E-3</v>
      </c>
      <c r="L2535" s="550">
        <f>'Sollecitazioni nel paramento'!$G$60*(sezione!$AM$37-C2535)/C2535</f>
        <v>3.7312637972763277E-3</v>
      </c>
      <c r="M2535" s="551">
        <f>'Sollecitazioni nel paramento'!$G$60*(sezione!$AN$37-C2535)/C2535</f>
        <v>6.1416850630351041E-3</v>
      </c>
      <c r="N2535" s="551">
        <f>'Sollecitazioni nel paramento'!$G$60*(sezione!$AO$37-C2535)/C2535</f>
        <v>1.5783370126070204E-2</v>
      </c>
      <c r="O2535" s="551">
        <f>'Sollecitazioni nel paramento'!$G$60*(sezione!$AP$37-C2535)/C2535</f>
        <v>9.5139157468482421E-2</v>
      </c>
      <c r="P2535" s="545">
        <f>-'Sollecitazioni nel paramento'!$G$47*'Sollecitazioni nel paramento'!$G$41*IF(DATI!$G$211="dx",DATI!$E$61,DATI!$E$64*DATI!$E$63)*1000*C2535*sezione!$AD$5</f>
        <v>-1106358.476787053</v>
      </c>
      <c r="Q2535" s="545">
        <f>'Foglio deposito bis'!$F$88*IF(ABS(K2535)&lt;'Sollecitazioni nel paramento'!$G$58,ABS(K2535)*'Sollecitazioni nel paramento'!$G$54,'Sollecitazioni nel paramento'!$G$53)*IF(K2535&lt;0,-1,1)</f>
        <v>0</v>
      </c>
      <c r="R2535" s="545">
        <f>'Foglio deposito bis'!$F$89*IF(ABS(L2535)&lt;'Sollecitazioni nel paramento'!$G$58,ABS(L2535)*'Sollecitazioni nel paramento'!$G$54,'Sollecitazioni nel paramento'!$G$53)*IF(L2535&lt;0,-1,1)</f>
        <v>153664.85805602249</v>
      </c>
      <c r="S2535" s="545">
        <f>'Foglio deposito bis'!$F$90*IF(ABS(M2535)&lt;'Sollecitazioni nel paramento'!$G$58,ABS(M2535)*'Sollecitazioni nel paramento'!$G$54,'Sollecitazioni nel paramento'!$G$53)*IF(M2535&lt;0,-1,1)</f>
        <v>0</v>
      </c>
      <c r="T2535" s="545">
        <f>'Foglio deposito bis'!$F$91*IF(ABS(N2535)&lt;'Sollecitazioni nel paramento'!$G$58,ABS(N2535)*'Sollecitazioni nel paramento'!$G$54,'Sollecitazioni nel paramento'!$G$53)*IF(N2535&lt;0,-1,1)</f>
        <v>892485.49558937876</v>
      </c>
      <c r="U2535" s="545">
        <f>'Foglio deposito bis'!$F$92*IF(ABS(O2535)&lt;'Sollecitazioni nel paramento'!$G$58,ABS(O2535)*'Sollecitazioni nel paramento'!$G$54,'Sollecitazioni nel paramento'!$G$53)*IF(O2535&lt;0,-1,1)</f>
        <v>1662039.1047339395</v>
      </c>
      <c r="V2535" s="472">
        <f t="shared" si="176"/>
        <v>1601830.9815922878</v>
      </c>
      <c r="W2535" s="551"/>
      <c r="X2535" s="551"/>
    </row>
    <row r="2536" spans="1:24" x14ac:dyDescent="0.25">
      <c r="A2536" s="545">
        <f t="shared" si="175"/>
        <v>1579703.8120565468</v>
      </c>
      <c r="B2536" s="3">
        <f t="shared" si="177"/>
        <v>2.5499999999999989</v>
      </c>
      <c r="C2536" s="545">
        <f>'Foglio deposito bis'!$E$163/sezione!$B$247*B2536</f>
        <v>29.621378227230341</v>
      </c>
      <c r="D2536" s="603">
        <f>-'Sollecitazioni nel paramento'!$G$47*'Sollecitazioni nel paramento'!$G$41*IF(DATI!$G$211="dx",DATI!$E$61,DATI!$E$64*DATI!$E$63)*1000*C2536^2*sezione!$AD$5*(1-sezione!$AD$6)</f>
        <v>-19521543.289777137</v>
      </c>
      <c r="E2536" s="545">
        <f>-'Foglio deposito bis'!$F$88*(C2536-sezione!$AL$37)*IF(ABS(K2536)&lt;'Sollecitazioni nel paramento'!$G$58,ABS(K2536)*'Sollecitazioni nel paramento'!$G$54,'Sollecitazioni nel paramento'!$G$53)</f>
        <v>0</v>
      </c>
      <c r="F2536" s="545">
        <f>-'Foglio deposito bis'!$F$89*(C2536-sezione!$AM$37)*IF(ABS(L2536)&lt;'Sollecitazioni nel paramento'!$G$58,ABS(L2536)*'Sollecitazioni nel paramento'!$G$54,'Sollecitazioni nel paramento'!$G$53)</f>
        <v>4668126.6026502438</v>
      </c>
      <c r="G2536" s="545">
        <f>-'Foglio deposito bis'!$F$90*(C2536-sezione!$AN$37)*IF(ABS(M2536)&lt;'Sollecitazioni nel paramento'!$G$58,ABS(M2536)*'Sollecitazioni nel paramento'!$G$54,'Sollecitazioni nel paramento'!$G$53)</f>
        <v>0</v>
      </c>
      <c r="H2536" s="545">
        <f>-'Foglio deposito bis'!$F$91*(C2536-sezione!$AO$37)*IF(ABS(N2536)&lt;'Sollecitazioni nel paramento'!$G$58,ABS(N2536)*'Sollecitazioni nel paramento'!$G$54,'Sollecitazioni nel paramento'!$G$53)</f>
        <v>116361028.86713049</v>
      </c>
      <c r="I2536" s="472">
        <f>-'Foglio deposito bis'!$F$92*(C2536-sezione!$AP$37)*IF(ABS(O2536)&lt;'Sollecitazioni nel paramento'!$G$58,ABS(O2536)*'Sollecitazioni nel paramento'!$G$54,'Sollecitazioni nel paramento'!$G$53)</f>
        <v>1311045995.2483611</v>
      </c>
      <c r="J2536" s="472">
        <f t="shared" si="174"/>
        <v>1412553607.4283648</v>
      </c>
      <c r="K2536" s="550">
        <f>'Sollecitazioni nel paramento'!$G$60*(sezione!$AL$37-C2536)/C2536</f>
        <v>1.2263162073701485E-3</v>
      </c>
      <c r="L2536" s="550">
        <f>'Sollecitazioni nel paramento'!$G$60*(sezione!$AM$37-C2536)/C2536</f>
        <v>3.5894743110552229E-3</v>
      </c>
      <c r="M2536" s="551">
        <f>'Sollecitazioni nel paramento'!$G$60*(sezione!$AN$37-C2536)/C2536</f>
        <v>5.952632414740297E-3</v>
      </c>
      <c r="N2536" s="551">
        <f>'Sollecitazioni nel paramento'!$G$60*(sezione!$AO$37-C2536)/C2536</f>
        <v>1.5405264829480594E-2</v>
      </c>
      <c r="O2536" s="551">
        <f>'Sollecitazioni nel paramento'!$G$60*(sezione!$AP$37-C2536)/C2536</f>
        <v>9.3205056341649439E-2</v>
      </c>
      <c r="P2536" s="545">
        <f>-'Sollecitazioni nel paramento'!$G$47*'Sollecitazioni nel paramento'!$G$41*IF(DATI!$G$211="dx",DATI!$E$61,DATI!$E$64*DATI!$E$63)*1000*C2536*sezione!$AD$5</f>
        <v>-1128485.646322794</v>
      </c>
      <c r="Q2536" s="545">
        <f>'Foglio deposito bis'!$F$88*IF(ABS(K2536)&lt;'Sollecitazioni nel paramento'!$G$58,ABS(K2536)*'Sollecitazioni nel paramento'!$G$54,'Sollecitazioni nel paramento'!$G$53)*IF(K2536&lt;0,-1,1)</f>
        <v>0</v>
      </c>
      <c r="R2536" s="545">
        <f>'Foglio deposito bis'!$F$89*IF(ABS(L2536)&lt;'Sollecitazioni nel paramento'!$G$58,ABS(L2536)*'Sollecitazioni nel paramento'!$G$54,'Sollecitazioni nel paramento'!$G$53)*IF(L2536&lt;0,-1,1)</f>
        <v>153664.85805602249</v>
      </c>
      <c r="S2536" s="545">
        <f>'Foglio deposito bis'!$F$90*IF(ABS(M2536)&lt;'Sollecitazioni nel paramento'!$G$58,ABS(M2536)*'Sollecitazioni nel paramento'!$G$54,'Sollecitazioni nel paramento'!$G$53)*IF(M2536&lt;0,-1,1)</f>
        <v>0</v>
      </c>
      <c r="T2536" s="545">
        <f>'Foglio deposito bis'!$F$91*IF(ABS(N2536)&lt;'Sollecitazioni nel paramento'!$G$58,ABS(N2536)*'Sollecitazioni nel paramento'!$G$54,'Sollecitazioni nel paramento'!$G$53)*IF(N2536&lt;0,-1,1)</f>
        <v>892485.49558937876</v>
      </c>
      <c r="U2536" s="545">
        <f>'Foglio deposito bis'!$F$92*IF(ABS(O2536)&lt;'Sollecitazioni nel paramento'!$G$58,ABS(O2536)*'Sollecitazioni nel paramento'!$G$54,'Sollecitazioni nel paramento'!$G$53)*IF(O2536&lt;0,-1,1)</f>
        <v>1662039.1047339395</v>
      </c>
      <c r="V2536" s="472">
        <f t="shared" si="176"/>
        <v>1579703.8120565468</v>
      </c>
      <c r="W2536" s="551"/>
      <c r="X2536" s="551"/>
    </row>
    <row r="2537" spans="1:24" x14ac:dyDescent="0.25">
      <c r="A2537" s="545">
        <f t="shared" si="175"/>
        <v>1557576.6425208058</v>
      </c>
      <c r="B2537" s="3">
        <f t="shared" si="177"/>
        <v>2.5999999999999988</v>
      </c>
      <c r="C2537" s="545">
        <f>'Foglio deposito bis'!$E$163/sezione!$B$247*B2537</f>
        <v>30.202189565019168</v>
      </c>
      <c r="D2537" s="603">
        <f>-'Sollecitazioni nel paramento'!$G$47*'Sollecitazioni nel paramento'!$G$41*IF(DATI!$G$211="dx",DATI!$E$61,DATI!$E$64*DATI!$E$63)*1000*C2537^2*sezione!$AD$5*(1-sezione!$AD$6)</f>
        <v>-20294599.406211983</v>
      </c>
      <c r="E2537" s="545">
        <f>-'Foglio deposito bis'!$F$88*(C2537-sezione!$AL$37)*IF(ABS(K2537)&lt;'Sollecitazioni nel paramento'!$G$58,ABS(K2537)*'Sollecitazioni nel paramento'!$G$54,'Sollecitazioni nel paramento'!$G$53)</f>
        <v>0</v>
      </c>
      <c r="F2537" s="545">
        <f>-'Foglio deposito bis'!$F$89*(C2537-sezione!$AM$37)*IF(ABS(L2537)&lt;'Sollecitazioni nel paramento'!$G$58,ABS(L2537)*'Sollecitazioni nel paramento'!$G$54,'Sollecitazioni nel paramento'!$G$53)</f>
        <v>4578876.3108715955</v>
      </c>
      <c r="G2537" s="545">
        <f>-'Foglio deposito bis'!$F$90*(C2537-sezione!$AN$37)*IF(ABS(M2537)&lt;'Sollecitazioni nel paramento'!$G$58,ABS(M2537)*'Sollecitazioni nel paramento'!$G$54,'Sollecitazioni nel paramento'!$G$53)</f>
        <v>0</v>
      </c>
      <c r="H2537" s="545">
        <f>-'Foglio deposito bis'!$F$91*(C2537-sezione!$AO$37)*IF(ABS(N2537)&lt;'Sollecitazioni nel paramento'!$G$58,ABS(N2537)*'Sollecitazioni nel paramento'!$G$54,'Sollecitazioni nel paramento'!$G$53)</f>
        <v>115842663.17248009</v>
      </c>
      <c r="I2537" s="472">
        <f>-'Foglio deposito bis'!$F$92*(C2537-sezione!$AP$37)*IF(ABS(O2537)&lt;'Sollecitazioni nel paramento'!$G$58,ABS(O2537)*'Sollecitazioni nel paramento'!$G$54,'Sollecitazioni nel paramento'!$G$53)</f>
        <v>1310080664.0924833</v>
      </c>
      <c r="J2537" s="472">
        <f t="shared" si="174"/>
        <v>1410207604.1696229</v>
      </c>
      <c r="K2537" s="550">
        <f>'Sollecitazioni nel paramento'!$G$60*(sezione!$AL$37-C2537)/C2537</f>
        <v>1.1354255110745692E-3</v>
      </c>
      <c r="L2537" s="550">
        <f>'Sollecitazioni nel paramento'!$G$60*(sezione!$AM$37-C2537)/C2537</f>
        <v>3.4531382666118538E-3</v>
      </c>
      <c r="M2537" s="551">
        <f>'Sollecitazioni nel paramento'!$G$60*(sezione!$AN$37-C2537)/C2537</f>
        <v>5.7708510221491389E-3</v>
      </c>
      <c r="N2537" s="551">
        <f>'Sollecitazioni nel paramento'!$G$60*(sezione!$AO$37-C2537)/C2537</f>
        <v>1.5041702044298276E-2</v>
      </c>
      <c r="O2537" s="551">
        <f>'Sollecitazioni nel paramento'!$G$60*(sezione!$AP$37-C2537)/C2537</f>
        <v>9.1345343719694647E-2</v>
      </c>
      <c r="P2537" s="545">
        <f>-'Sollecitazioni nel paramento'!$G$47*'Sollecitazioni nel paramento'!$G$41*IF(DATI!$G$211="dx",DATI!$E$61,DATI!$E$64*DATI!$E$63)*1000*C2537*sezione!$AD$5</f>
        <v>-1150612.815858535</v>
      </c>
      <c r="Q2537" s="545">
        <f>'Foglio deposito bis'!$F$88*IF(ABS(K2537)&lt;'Sollecitazioni nel paramento'!$G$58,ABS(K2537)*'Sollecitazioni nel paramento'!$G$54,'Sollecitazioni nel paramento'!$G$53)*IF(K2537&lt;0,-1,1)</f>
        <v>0</v>
      </c>
      <c r="R2537" s="545">
        <f>'Foglio deposito bis'!$F$89*IF(ABS(L2537)&lt;'Sollecitazioni nel paramento'!$G$58,ABS(L2537)*'Sollecitazioni nel paramento'!$G$54,'Sollecitazioni nel paramento'!$G$53)*IF(L2537&lt;0,-1,1)</f>
        <v>153664.85805602249</v>
      </c>
      <c r="S2537" s="545">
        <f>'Foglio deposito bis'!$F$90*IF(ABS(M2537)&lt;'Sollecitazioni nel paramento'!$G$58,ABS(M2537)*'Sollecitazioni nel paramento'!$G$54,'Sollecitazioni nel paramento'!$G$53)*IF(M2537&lt;0,-1,1)</f>
        <v>0</v>
      </c>
      <c r="T2537" s="545">
        <f>'Foglio deposito bis'!$F$91*IF(ABS(N2537)&lt;'Sollecitazioni nel paramento'!$G$58,ABS(N2537)*'Sollecitazioni nel paramento'!$G$54,'Sollecitazioni nel paramento'!$G$53)*IF(N2537&lt;0,-1,1)</f>
        <v>892485.49558937876</v>
      </c>
      <c r="U2537" s="545">
        <f>'Foglio deposito bis'!$F$92*IF(ABS(O2537)&lt;'Sollecitazioni nel paramento'!$G$58,ABS(O2537)*'Sollecitazioni nel paramento'!$G$54,'Sollecitazioni nel paramento'!$G$53)*IF(O2537&lt;0,-1,1)</f>
        <v>1662039.1047339395</v>
      </c>
      <c r="V2537" s="472">
        <f t="shared" si="176"/>
        <v>1557576.6425208058</v>
      </c>
      <c r="W2537" s="551"/>
      <c r="X2537" s="551"/>
    </row>
    <row r="2538" spans="1:24" x14ac:dyDescent="0.25">
      <c r="A2538" s="545">
        <f t="shared" si="175"/>
        <v>1535449.4729850648</v>
      </c>
      <c r="B2538" s="3">
        <f t="shared" si="177"/>
        <v>2.6499999999999986</v>
      </c>
      <c r="C2538" s="545">
        <f>'Foglio deposito bis'!$E$163/sezione!$B$247*B2538</f>
        <v>30.783000902807995</v>
      </c>
      <c r="D2538" s="603">
        <f>-'Sollecitazioni nel paramento'!$G$47*'Sollecitazioni nel paramento'!$G$41*IF(DATI!$G$211="dx",DATI!$E$61,DATI!$E$64*DATI!$E$63)*1000*C2538^2*sezione!$AD$5*(1-sezione!$AD$6)</f>
        <v>-21082666.321024209</v>
      </c>
      <c r="E2538" s="545">
        <f>-'Foglio deposito bis'!$F$88*(C2538-sezione!$AL$37)*IF(ABS(K2538)&lt;'Sollecitazioni nel paramento'!$G$58,ABS(K2538)*'Sollecitazioni nel paramento'!$G$54,'Sollecitazioni nel paramento'!$G$53)</f>
        <v>0</v>
      </c>
      <c r="F2538" s="545">
        <f>-'Foglio deposito bis'!$F$89*(C2538-sezione!$AM$37)*IF(ABS(L2538)&lt;'Sollecitazioni nel paramento'!$G$58,ABS(L2538)*'Sollecitazioni nel paramento'!$G$54,'Sollecitazioni nel paramento'!$G$53)</f>
        <v>4489626.0190929472</v>
      </c>
      <c r="G2538" s="545">
        <f>-'Foglio deposito bis'!$F$90*(C2538-sezione!$AN$37)*IF(ABS(M2538)&lt;'Sollecitazioni nel paramento'!$G$58,ABS(M2538)*'Sollecitazioni nel paramento'!$G$54,'Sollecitazioni nel paramento'!$G$53)</f>
        <v>0</v>
      </c>
      <c r="H2538" s="545">
        <f>-'Foglio deposito bis'!$F$91*(C2538-sezione!$AO$37)*IF(ABS(N2538)&lt;'Sollecitazioni nel paramento'!$G$58,ABS(N2538)*'Sollecitazioni nel paramento'!$G$54,'Sollecitazioni nel paramento'!$G$53)</f>
        <v>115324297.47782972</v>
      </c>
      <c r="I2538" s="472">
        <f>-'Foglio deposito bis'!$F$92*(C2538-sezione!$AP$37)*IF(ABS(O2538)&lt;'Sollecitazioni nel paramento'!$G$58,ABS(O2538)*'Sollecitazioni nel paramento'!$G$54,'Sollecitazioni nel paramento'!$G$53)</f>
        <v>1309115332.9366055</v>
      </c>
      <c r="J2538" s="472">
        <f t="shared" si="174"/>
        <v>1407846590.112504</v>
      </c>
      <c r="K2538" s="550">
        <f>'Sollecitazioni nel paramento'!$G$60*(sezione!$AL$37-C2538)/C2538</f>
        <v>1.0479646523750498E-3</v>
      </c>
      <c r="L2538" s="550">
        <f>'Sollecitazioni nel paramento'!$G$60*(sezione!$AM$37-C2538)/C2538</f>
        <v>3.3219469785625744E-3</v>
      </c>
      <c r="M2538" s="551">
        <f>'Sollecitazioni nel paramento'!$G$60*(sezione!$AN$37-C2538)/C2538</f>
        <v>5.5959293047500988E-3</v>
      </c>
      <c r="N2538" s="551">
        <f>'Sollecitazioni nel paramento'!$G$60*(sezione!$AO$37-C2538)/C2538</f>
        <v>1.4691858609500199E-2</v>
      </c>
      <c r="O2538" s="551">
        <f>'Sollecitazioni nel paramento'!$G$60*(sezione!$AP$37-C2538)/C2538</f>
        <v>8.9555808932530609E-2</v>
      </c>
      <c r="P2538" s="545">
        <f>-'Sollecitazioni nel paramento'!$G$47*'Sollecitazioni nel paramento'!$G$41*IF(DATI!$G$211="dx",DATI!$E$61,DATI!$E$64*DATI!$E$63)*1000*C2538*sezione!$AD$5</f>
        <v>-1172739.985394276</v>
      </c>
      <c r="Q2538" s="545">
        <f>'Foglio deposito bis'!$F$88*IF(ABS(K2538)&lt;'Sollecitazioni nel paramento'!$G$58,ABS(K2538)*'Sollecitazioni nel paramento'!$G$54,'Sollecitazioni nel paramento'!$G$53)*IF(K2538&lt;0,-1,1)</f>
        <v>0</v>
      </c>
      <c r="R2538" s="545">
        <f>'Foglio deposito bis'!$F$89*IF(ABS(L2538)&lt;'Sollecitazioni nel paramento'!$G$58,ABS(L2538)*'Sollecitazioni nel paramento'!$G$54,'Sollecitazioni nel paramento'!$G$53)*IF(L2538&lt;0,-1,1)</f>
        <v>153664.85805602249</v>
      </c>
      <c r="S2538" s="545">
        <f>'Foglio deposito bis'!$F$90*IF(ABS(M2538)&lt;'Sollecitazioni nel paramento'!$G$58,ABS(M2538)*'Sollecitazioni nel paramento'!$G$54,'Sollecitazioni nel paramento'!$G$53)*IF(M2538&lt;0,-1,1)</f>
        <v>0</v>
      </c>
      <c r="T2538" s="545">
        <f>'Foglio deposito bis'!$F$91*IF(ABS(N2538)&lt;'Sollecitazioni nel paramento'!$G$58,ABS(N2538)*'Sollecitazioni nel paramento'!$G$54,'Sollecitazioni nel paramento'!$G$53)*IF(N2538&lt;0,-1,1)</f>
        <v>892485.49558937876</v>
      </c>
      <c r="U2538" s="545">
        <f>'Foglio deposito bis'!$F$92*IF(ABS(O2538)&lt;'Sollecitazioni nel paramento'!$G$58,ABS(O2538)*'Sollecitazioni nel paramento'!$G$54,'Sollecitazioni nel paramento'!$G$53)*IF(O2538&lt;0,-1,1)</f>
        <v>1662039.1047339395</v>
      </c>
      <c r="V2538" s="472">
        <f t="shared" si="176"/>
        <v>1535449.4729850648</v>
      </c>
      <c r="W2538" s="551"/>
      <c r="X2538" s="551"/>
    </row>
    <row r="2539" spans="1:24" x14ac:dyDescent="0.25">
      <c r="A2539" s="545">
        <f t="shared" si="175"/>
        <v>1513322.3034493236</v>
      </c>
      <c r="B2539" s="3">
        <f t="shared" si="177"/>
        <v>2.6999999999999984</v>
      </c>
      <c r="C2539" s="545">
        <f>'Foglio deposito bis'!$E$163/sezione!$B$247*B2539</f>
        <v>31.363812240596825</v>
      </c>
      <c r="D2539" s="603">
        <f>-'Sollecitazioni nel paramento'!$G$47*'Sollecitazioni nel paramento'!$G$41*IF(DATI!$G$211="dx",DATI!$E$61,DATI!$E$64*DATI!$E$63)*1000*C2539^2*sezione!$AD$5*(1-sezione!$AD$6)</f>
        <v>-21885744.034213804</v>
      </c>
      <c r="E2539" s="545">
        <f>-'Foglio deposito bis'!$F$88*(C2539-sezione!$AL$37)*IF(ABS(K2539)&lt;'Sollecitazioni nel paramento'!$G$58,ABS(K2539)*'Sollecitazioni nel paramento'!$G$54,'Sollecitazioni nel paramento'!$G$53)</f>
        <v>0</v>
      </c>
      <c r="F2539" s="545">
        <f>-'Foglio deposito bis'!$F$89*(C2539-sezione!$AM$37)*IF(ABS(L2539)&lt;'Sollecitazioni nel paramento'!$G$58,ABS(L2539)*'Sollecitazioni nel paramento'!$G$54,'Sollecitazioni nel paramento'!$G$53)</f>
        <v>4400375.727314298</v>
      </c>
      <c r="G2539" s="545">
        <f>-'Foglio deposito bis'!$F$90*(C2539-sezione!$AN$37)*IF(ABS(M2539)&lt;'Sollecitazioni nel paramento'!$G$58,ABS(M2539)*'Sollecitazioni nel paramento'!$G$54,'Sollecitazioni nel paramento'!$G$53)</f>
        <v>0</v>
      </c>
      <c r="H2539" s="545">
        <f>-'Foglio deposito bis'!$F$91*(C2539-sezione!$AO$37)*IF(ABS(N2539)&lt;'Sollecitazioni nel paramento'!$G$58,ABS(N2539)*'Sollecitazioni nel paramento'!$G$54,'Sollecitazioni nel paramento'!$G$53)</f>
        <v>114805931.78317934</v>
      </c>
      <c r="I2539" s="472">
        <f>-'Foglio deposito bis'!$F$92*(C2539-sezione!$AP$37)*IF(ABS(O2539)&lt;'Sollecitazioni nel paramento'!$G$58,ABS(O2539)*'Sollecitazioni nel paramento'!$G$54,'Sollecitazioni nel paramento'!$G$53)</f>
        <v>1308150001.7807276</v>
      </c>
      <c r="J2539" s="472">
        <f t="shared" si="174"/>
        <v>1405470565.2570074</v>
      </c>
      <c r="K2539" s="550">
        <f>'Sollecitazioni nel paramento'!$G$60*(sezione!$AL$37-C2539)/C2539</f>
        <v>9.6374308473847457E-4</v>
      </c>
      <c r="L2539" s="550">
        <f>'Sollecitazioni nel paramento'!$G$60*(sezione!$AM$37-C2539)/C2539</f>
        <v>3.1956146271077119E-3</v>
      </c>
      <c r="M2539" s="551">
        <f>'Sollecitazioni nel paramento'!$G$60*(sezione!$AN$37-C2539)/C2539</f>
        <v>5.4274861694769486E-3</v>
      </c>
      <c r="N2539" s="551">
        <f>'Sollecitazioni nel paramento'!$G$60*(sezione!$AO$37-C2539)/C2539</f>
        <v>1.43549723389539E-2</v>
      </c>
      <c r="O2539" s="551">
        <f>'Sollecitazioni nel paramento'!$G$60*(sezione!$AP$37-C2539)/C2539</f>
        <v>8.7832553211557807E-2</v>
      </c>
      <c r="P2539" s="545">
        <f>-'Sollecitazioni nel paramento'!$G$47*'Sollecitazioni nel paramento'!$G$41*IF(DATI!$G$211="dx",DATI!$E$61,DATI!$E$64*DATI!$E$63)*1000*C2539*sezione!$AD$5</f>
        <v>-1194867.1549300172</v>
      </c>
      <c r="Q2539" s="545">
        <f>'Foglio deposito bis'!$F$88*IF(ABS(K2539)&lt;'Sollecitazioni nel paramento'!$G$58,ABS(K2539)*'Sollecitazioni nel paramento'!$G$54,'Sollecitazioni nel paramento'!$G$53)*IF(K2539&lt;0,-1,1)</f>
        <v>0</v>
      </c>
      <c r="R2539" s="545">
        <f>'Foglio deposito bis'!$F$89*IF(ABS(L2539)&lt;'Sollecitazioni nel paramento'!$G$58,ABS(L2539)*'Sollecitazioni nel paramento'!$G$54,'Sollecitazioni nel paramento'!$G$53)*IF(L2539&lt;0,-1,1)</f>
        <v>153664.85805602249</v>
      </c>
      <c r="S2539" s="545">
        <f>'Foglio deposito bis'!$F$90*IF(ABS(M2539)&lt;'Sollecitazioni nel paramento'!$G$58,ABS(M2539)*'Sollecitazioni nel paramento'!$G$54,'Sollecitazioni nel paramento'!$G$53)*IF(M2539&lt;0,-1,1)</f>
        <v>0</v>
      </c>
      <c r="T2539" s="545">
        <f>'Foglio deposito bis'!$F$91*IF(ABS(N2539)&lt;'Sollecitazioni nel paramento'!$G$58,ABS(N2539)*'Sollecitazioni nel paramento'!$G$54,'Sollecitazioni nel paramento'!$G$53)*IF(N2539&lt;0,-1,1)</f>
        <v>892485.49558937876</v>
      </c>
      <c r="U2539" s="545">
        <f>'Foglio deposito bis'!$F$92*IF(ABS(O2539)&lt;'Sollecitazioni nel paramento'!$G$58,ABS(O2539)*'Sollecitazioni nel paramento'!$G$54,'Sollecitazioni nel paramento'!$G$53)*IF(O2539&lt;0,-1,1)</f>
        <v>1662039.1047339395</v>
      </c>
      <c r="V2539" s="472">
        <f t="shared" si="176"/>
        <v>1513322.3034493236</v>
      </c>
      <c r="W2539" s="551"/>
      <c r="X2539" s="551"/>
    </row>
    <row r="2540" spans="1:24" x14ac:dyDescent="0.25">
      <c r="A2540" s="545">
        <f t="shared" si="175"/>
        <v>1491195.1339135829</v>
      </c>
      <c r="B2540" s="3">
        <f t="shared" si="177"/>
        <v>2.7499999999999982</v>
      </c>
      <c r="C2540" s="545">
        <f>'Foglio deposito bis'!$E$163/sezione!$B$247*B2540</f>
        <v>31.944623578385652</v>
      </c>
      <c r="D2540" s="603">
        <f>-'Sollecitazioni nel paramento'!$G$47*'Sollecitazioni nel paramento'!$G$41*IF(DATI!$G$211="dx",DATI!$E$61,DATI!$E$64*DATI!$E$63)*1000*C2540^2*sezione!$AD$5*(1-sezione!$AD$6)</f>
        <v>-22703832.545780782</v>
      </c>
      <c r="E2540" s="545">
        <f>-'Foglio deposito bis'!$F$88*(C2540-sezione!$AL$37)*IF(ABS(K2540)&lt;'Sollecitazioni nel paramento'!$G$58,ABS(K2540)*'Sollecitazioni nel paramento'!$G$54,'Sollecitazioni nel paramento'!$G$53)</f>
        <v>0</v>
      </c>
      <c r="F2540" s="545">
        <f>-'Foglio deposito bis'!$F$89*(C2540-sezione!$AM$37)*IF(ABS(L2540)&lt;'Sollecitazioni nel paramento'!$G$58,ABS(L2540)*'Sollecitazioni nel paramento'!$G$54,'Sollecitazioni nel paramento'!$G$53)</f>
        <v>4311125.4355356488</v>
      </c>
      <c r="G2540" s="545">
        <f>-'Foglio deposito bis'!$F$90*(C2540-sezione!$AN$37)*IF(ABS(M2540)&lt;'Sollecitazioni nel paramento'!$G$58,ABS(M2540)*'Sollecitazioni nel paramento'!$G$54,'Sollecitazioni nel paramento'!$G$53)</f>
        <v>0</v>
      </c>
      <c r="H2540" s="545">
        <f>-'Foglio deposito bis'!$F$91*(C2540-sezione!$AO$37)*IF(ABS(N2540)&lt;'Sollecitazioni nel paramento'!$G$58,ABS(N2540)*'Sollecitazioni nel paramento'!$G$54,'Sollecitazioni nel paramento'!$G$53)</f>
        <v>114287566.08852892</v>
      </c>
      <c r="I2540" s="472">
        <f>-'Foglio deposito bis'!$F$92*(C2540-sezione!$AP$37)*IF(ABS(O2540)&lt;'Sollecitazioni nel paramento'!$G$58,ABS(O2540)*'Sollecitazioni nel paramento'!$G$54,'Sollecitazioni nel paramento'!$G$53)</f>
        <v>1307184670.6248498</v>
      </c>
      <c r="J2540" s="472">
        <f t="shared" si="174"/>
        <v>1403079529.6031337</v>
      </c>
      <c r="K2540" s="550">
        <f>'Sollecitazioni nel paramento'!$G$60*(sezione!$AL$37-C2540)/C2540</f>
        <v>8.8258411956141183E-4</v>
      </c>
      <c r="L2540" s="550">
        <f>'Sollecitazioni nel paramento'!$G$60*(sezione!$AM$37-C2540)/C2540</f>
        <v>3.0738761793421177E-3</v>
      </c>
      <c r="M2540" s="551">
        <f>'Sollecitazioni nel paramento'!$G$60*(sezione!$AN$37-C2540)/C2540</f>
        <v>5.2651682391228237E-3</v>
      </c>
      <c r="N2540" s="551">
        <f>'Sollecitazioni nel paramento'!$G$60*(sezione!$AO$37-C2540)/C2540</f>
        <v>1.4030336478245645E-2</v>
      </c>
      <c r="O2540" s="551">
        <f>'Sollecitazioni nel paramento'!$G$60*(sezione!$AP$37-C2540)/C2540</f>
        <v>8.617196133498406E-2</v>
      </c>
      <c r="P2540" s="545">
        <f>-'Sollecitazioni nel paramento'!$G$47*'Sollecitazioni nel paramento'!$G$41*IF(DATI!$G$211="dx",DATI!$E$61,DATI!$E$64*DATI!$E$63)*1000*C2540*sezione!$AD$5</f>
        <v>-1216994.3244657579</v>
      </c>
      <c r="Q2540" s="545">
        <f>'Foglio deposito bis'!$F$88*IF(ABS(K2540)&lt;'Sollecitazioni nel paramento'!$G$58,ABS(K2540)*'Sollecitazioni nel paramento'!$G$54,'Sollecitazioni nel paramento'!$G$53)*IF(K2540&lt;0,-1,1)</f>
        <v>0</v>
      </c>
      <c r="R2540" s="545">
        <f>'Foglio deposito bis'!$F$89*IF(ABS(L2540)&lt;'Sollecitazioni nel paramento'!$G$58,ABS(L2540)*'Sollecitazioni nel paramento'!$G$54,'Sollecitazioni nel paramento'!$G$53)*IF(L2540&lt;0,-1,1)</f>
        <v>153664.85805602249</v>
      </c>
      <c r="S2540" s="545">
        <f>'Foglio deposito bis'!$F$90*IF(ABS(M2540)&lt;'Sollecitazioni nel paramento'!$G$58,ABS(M2540)*'Sollecitazioni nel paramento'!$G$54,'Sollecitazioni nel paramento'!$G$53)*IF(M2540&lt;0,-1,1)</f>
        <v>0</v>
      </c>
      <c r="T2540" s="545">
        <f>'Foglio deposito bis'!$F$91*IF(ABS(N2540)&lt;'Sollecitazioni nel paramento'!$G$58,ABS(N2540)*'Sollecitazioni nel paramento'!$G$54,'Sollecitazioni nel paramento'!$G$53)*IF(N2540&lt;0,-1,1)</f>
        <v>892485.49558937876</v>
      </c>
      <c r="U2540" s="545">
        <f>'Foglio deposito bis'!$F$92*IF(ABS(O2540)&lt;'Sollecitazioni nel paramento'!$G$58,ABS(O2540)*'Sollecitazioni nel paramento'!$G$54,'Sollecitazioni nel paramento'!$G$53)*IF(O2540&lt;0,-1,1)</f>
        <v>1662039.1047339395</v>
      </c>
      <c r="V2540" s="472">
        <f t="shared" si="176"/>
        <v>1491195.1339135829</v>
      </c>
      <c r="W2540" s="551"/>
      <c r="X2540" s="551"/>
    </row>
    <row r="2541" spans="1:24" x14ac:dyDescent="0.25">
      <c r="A2541" s="545">
        <f t="shared" si="175"/>
        <v>1469067.9643778419</v>
      </c>
      <c r="B2541" s="3">
        <f t="shared" si="177"/>
        <v>2.799999999999998</v>
      </c>
      <c r="C2541" s="545">
        <f>'Foglio deposito bis'!$E$163/sezione!$B$247*B2541</f>
        <v>32.525434916174483</v>
      </c>
      <c r="D2541" s="603">
        <f>-'Sollecitazioni nel paramento'!$G$47*'Sollecitazioni nel paramento'!$G$41*IF(DATI!$G$211="dx",DATI!$E$61,DATI!$E$64*DATI!$E$63)*1000*C2541^2*sezione!$AD$5*(1-sezione!$AD$6)</f>
        <v>-23536931.855725136</v>
      </c>
      <c r="E2541" s="545">
        <f>-'Foglio deposito bis'!$F$88*(C2541-sezione!$AL$37)*IF(ABS(K2541)&lt;'Sollecitazioni nel paramento'!$G$58,ABS(K2541)*'Sollecitazioni nel paramento'!$G$54,'Sollecitazioni nel paramento'!$G$53)</f>
        <v>0</v>
      </c>
      <c r="F2541" s="545">
        <f>-'Foglio deposito bis'!$F$89*(C2541-sezione!$AM$37)*IF(ABS(L2541)&lt;'Sollecitazioni nel paramento'!$G$58,ABS(L2541)*'Sollecitazioni nel paramento'!$G$54,'Sollecitazioni nel paramento'!$G$53)</f>
        <v>4221875.1437569996</v>
      </c>
      <c r="G2541" s="545">
        <f>-'Foglio deposito bis'!$F$90*(C2541-sezione!$AN$37)*IF(ABS(M2541)&lt;'Sollecitazioni nel paramento'!$G$58,ABS(M2541)*'Sollecitazioni nel paramento'!$G$54,'Sollecitazioni nel paramento'!$G$53)</f>
        <v>0</v>
      </c>
      <c r="H2541" s="545">
        <f>-'Foglio deposito bis'!$F$91*(C2541-sezione!$AO$37)*IF(ABS(N2541)&lt;'Sollecitazioni nel paramento'!$G$58,ABS(N2541)*'Sollecitazioni nel paramento'!$G$54,'Sollecitazioni nel paramento'!$G$53)</f>
        <v>113769200.39387855</v>
      </c>
      <c r="I2541" s="472">
        <f>-'Foglio deposito bis'!$F$92*(C2541-sezione!$AP$37)*IF(ABS(O2541)&lt;'Sollecitazioni nel paramento'!$G$58,ABS(O2541)*'Sollecitazioni nel paramento'!$G$54,'Sollecitazioni nel paramento'!$G$53)</f>
        <v>1306219339.468972</v>
      </c>
      <c r="J2541" s="472">
        <f t="shared" si="174"/>
        <v>1400673483.1508825</v>
      </c>
      <c r="K2541" s="550">
        <f>'Sollecitazioni nel paramento'!$G$60*(sezione!$AL$37-C2541)/C2541</f>
        <v>8.0432368885495801E-4</v>
      </c>
      <c r="L2541" s="550">
        <f>'Sollecitazioni nel paramento'!$G$60*(sezione!$AM$37-C2541)/C2541</f>
        <v>2.9564855332824369E-3</v>
      </c>
      <c r="M2541" s="551">
        <f>'Sollecitazioni nel paramento'!$G$60*(sezione!$AN$37-C2541)/C2541</f>
        <v>5.1086473777099163E-3</v>
      </c>
      <c r="N2541" s="551">
        <f>'Sollecitazioni nel paramento'!$G$60*(sezione!$AO$37-C2541)/C2541</f>
        <v>1.3717294755419834E-2</v>
      </c>
      <c r="O2541" s="551">
        <f>'Sollecitazioni nel paramento'!$G$60*(sezione!$AP$37-C2541)/C2541</f>
        <v>8.4570676311145038E-2</v>
      </c>
      <c r="P2541" s="545">
        <f>-'Sollecitazioni nel paramento'!$G$47*'Sollecitazioni nel paramento'!$G$41*IF(DATI!$G$211="dx",DATI!$E$61,DATI!$E$64*DATI!$E$63)*1000*C2541*sezione!$AD$5</f>
        <v>-1239121.4940014989</v>
      </c>
      <c r="Q2541" s="545">
        <f>'Foglio deposito bis'!$F$88*IF(ABS(K2541)&lt;'Sollecitazioni nel paramento'!$G$58,ABS(K2541)*'Sollecitazioni nel paramento'!$G$54,'Sollecitazioni nel paramento'!$G$53)*IF(K2541&lt;0,-1,1)</f>
        <v>0</v>
      </c>
      <c r="R2541" s="545">
        <f>'Foglio deposito bis'!$F$89*IF(ABS(L2541)&lt;'Sollecitazioni nel paramento'!$G$58,ABS(L2541)*'Sollecitazioni nel paramento'!$G$54,'Sollecitazioni nel paramento'!$G$53)*IF(L2541&lt;0,-1,1)</f>
        <v>153664.85805602249</v>
      </c>
      <c r="S2541" s="545">
        <f>'Foglio deposito bis'!$F$90*IF(ABS(M2541)&lt;'Sollecitazioni nel paramento'!$G$58,ABS(M2541)*'Sollecitazioni nel paramento'!$G$54,'Sollecitazioni nel paramento'!$G$53)*IF(M2541&lt;0,-1,1)</f>
        <v>0</v>
      </c>
      <c r="T2541" s="545">
        <f>'Foglio deposito bis'!$F$91*IF(ABS(N2541)&lt;'Sollecitazioni nel paramento'!$G$58,ABS(N2541)*'Sollecitazioni nel paramento'!$G$54,'Sollecitazioni nel paramento'!$G$53)*IF(N2541&lt;0,-1,1)</f>
        <v>892485.49558937876</v>
      </c>
      <c r="U2541" s="545">
        <f>'Foglio deposito bis'!$F$92*IF(ABS(O2541)&lt;'Sollecitazioni nel paramento'!$G$58,ABS(O2541)*'Sollecitazioni nel paramento'!$G$54,'Sollecitazioni nel paramento'!$G$53)*IF(O2541&lt;0,-1,1)</f>
        <v>1662039.1047339395</v>
      </c>
      <c r="V2541" s="472">
        <f t="shared" si="176"/>
        <v>1469067.9643778419</v>
      </c>
      <c r="W2541" s="551"/>
      <c r="X2541" s="551"/>
    </row>
    <row r="2542" spans="1:24" x14ac:dyDescent="0.25">
      <c r="A2542" s="545">
        <f t="shared" si="175"/>
        <v>1446940.7948421007</v>
      </c>
      <c r="B2542" s="3">
        <f t="shared" si="177"/>
        <v>2.8499999999999979</v>
      </c>
      <c r="C2542" s="545">
        <f>'Foglio deposito bis'!$E$163/sezione!$B$247*B2542</f>
        <v>33.106246253963313</v>
      </c>
      <c r="D2542" s="603">
        <f>-'Sollecitazioni nel paramento'!$G$47*'Sollecitazioni nel paramento'!$G$41*IF(DATI!$G$211="dx",DATI!$E$61,DATI!$E$64*DATI!$E$63)*1000*C2542^2*sezione!$AD$5*(1-sezione!$AD$6)</f>
        <v>-24385041.964046862</v>
      </c>
      <c r="E2542" s="545">
        <f>-'Foglio deposito bis'!$F$88*(C2542-sezione!$AL$37)*IF(ABS(K2542)&lt;'Sollecitazioni nel paramento'!$G$58,ABS(K2542)*'Sollecitazioni nel paramento'!$G$54,'Sollecitazioni nel paramento'!$G$53)</f>
        <v>0</v>
      </c>
      <c r="F2542" s="545">
        <f>-'Foglio deposito bis'!$F$89*(C2542-sezione!$AM$37)*IF(ABS(L2542)&lt;'Sollecitazioni nel paramento'!$G$58,ABS(L2542)*'Sollecitazioni nel paramento'!$G$54,'Sollecitazioni nel paramento'!$G$53)</f>
        <v>4132624.8519783504</v>
      </c>
      <c r="G2542" s="545">
        <f>-'Foglio deposito bis'!$F$90*(C2542-sezione!$AN$37)*IF(ABS(M2542)&lt;'Sollecitazioni nel paramento'!$G$58,ABS(M2542)*'Sollecitazioni nel paramento'!$G$54,'Sollecitazioni nel paramento'!$G$53)</f>
        <v>0</v>
      </c>
      <c r="H2542" s="545">
        <f>-'Foglio deposito bis'!$F$91*(C2542-sezione!$AO$37)*IF(ABS(N2542)&lt;'Sollecitazioni nel paramento'!$G$58,ABS(N2542)*'Sollecitazioni nel paramento'!$G$54,'Sollecitazioni nel paramento'!$G$53)</f>
        <v>113250834.69922815</v>
      </c>
      <c r="I2542" s="472">
        <f>-'Foglio deposito bis'!$F$92*(C2542-sezione!$AP$37)*IF(ABS(O2542)&lt;'Sollecitazioni nel paramento'!$G$58,ABS(O2542)*'Sollecitazioni nel paramento'!$G$54,'Sollecitazioni nel paramento'!$G$53)</f>
        <v>1305254008.3130941</v>
      </c>
      <c r="J2542" s="472">
        <f t="shared" si="174"/>
        <v>1398252425.9002538</v>
      </c>
      <c r="K2542" s="550">
        <f>'Sollecitazioni nel paramento'!$G$60*(sezione!$AL$37-C2542)/C2542</f>
        <v>7.2880923817329204E-4</v>
      </c>
      <c r="L2542" s="550">
        <f>'Sollecitazioni nel paramento'!$G$60*(sezione!$AM$37-C2542)/C2542</f>
        <v>2.8432138572599382E-3</v>
      </c>
      <c r="M2542" s="551">
        <f>'Sollecitazioni nel paramento'!$G$60*(sezione!$AN$37-C2542)/C2542</f>
        <v>4.9576184763465841E-3</v>
      </c>
      <c r="N2542" s="551">
        <f>'Sollecitazioni nel paramento'!$G$60*(sezione!$AO$37-C2542)/C2542</f>
        <v>1.3415236952693168E-2</v>
      </c>
      <c r="O2542" s="551">
        <f>'Sollecitazioni nel paramento'!$G$60*(sezione!$AP$37-C2542)/C2542</f>
        <v>8.3025576726739006E-2</v>
      </c>
      <c r="P2542" s="545">
        <f>-'Sollecitazioni nel paramento'!$G$47*'Sollecitazioni nel paramento'!$G$41*IF(DATI!$G$211="dx",DATI!$E$61,DATI!$E$64*DATI!$E$63)*1000*C2542*sezione!$AD$5</f>
        <v>-1261248.6635372401</v>
      </c>
      <c r="Q2542" s="545">
        <f>'Foglio deposito bis'!$F$88*IF(ABS(K2542)&lt;'Sollecitazioni nel paramento'!$G$58,ABS(K2542)*'Sollecitazioni nel paramento'!$G$54,'Sollecitazioni nel paramento'!$G$53)*IF(K2542&lt;0,-1,1)</f>
        <v>0</v>
      </c>
      <c r="R2542" s="545">
        <f>'Foglio deposito bis'!$F$89*IF(ABS(L2542)&lt;'Sollecitazioni nel paramento'!$G$58,ABS(L2542)*'Sollecitazioni nel paramento'!$G$54,'Sollecitazioni nel paramento'!$G$53)*IF(L2542&lt;0,-1,1)</f>
        <v>153664.85805602249</v>
      </c>
      <c r="S2542" s="545">
        <f>'Foglio deposito bis'!$F$90*IF(ABS(M2542)&lt;'Sollecitazioni nel paramento'!$G$58,ABS(M2542)*'Sollecitazioni nel paramento'!$G$54,'Sollecitazioni nel paramento'!$G$53)*IF(M2542&lt;0,-1,1)</f>
        <v>0</v>
      </c>
      <c r="T2542" s="545">
        <f>'Foglio deposito bis'!$F$91*IF(ABS(N2542)&lt;'Sollecitazioni nel paramento'!$G$58,ABS(N2542)*'Sollecitazioni nel paramento'!$G$54,'Sollecitazioni nel paramento'!$G$53)*IF(N2542&lt;0,-1,1)</f>
        <v>892485.49558937876</v>
      </c>
      <c r="U2542" s="545">
        <f>'Foglio deposito bis'!$F$92*IF(ABS(O2542)&lt;'Sollecitazioni nel paramento'!$G$58,ABS(O2542)*'Sollecitazioni nel paramento'!$G$54,'Sollecitazioni nel paramento'!$G$53)*IF(O2542&lt;0,-1,1)</f>
        <v>1662039.1047339395</v>
      </c>
      <c r="V2542" s="472">
        <f t="shared" si="176"/>
        <v>1446940.7948421007</v>
      </c>
      <c r="W2542" s="551"/>
      <c r="X2542" s="551"/>
    </row>
    <row r="2543" spans="1:24" x14ac:dyDescent="0.25">
      <c r="A2543" s="545">
        <f t="shared" si="175"/>
        <v>1424813.62530636</v>
      </c>
      <c r="B2543" s="3">
        <f t="shared" si="177"/>
        <v>2.8999999999999977</v>
      </c>
      <c r="C2543" s="545">
        <f>'Foglio deposito bis'!$E$163/sezione!$B$247*B2543</f>
        <v>33.687057591752136</v>
      </c>
      <c r="D2543" s="603">
        <f>-'Sollecitazioni nel paramento'!$G$47*'Sollecitazioni nel paramento'!$G$41*IF(DATI!$G$211="dx",DATI!$E$61,DATI!$E$64*DATI!$E$63)*1000*C2543^2*sezione!$AD$5*(1-sezione!$AD$6)</f>
        <v>-25248162.870745953</v>
      </c>
      <c r="E2543" s="545">
        <f>-'Foglio deposito bis'!$F$88*(C2543-sezione!$AL$37)*IF(ABS(K2543)&lt;'Sollecitazioni nel paramento'!$G$58,ABS(K2543)*'Sollecitazioni nel paramento'!$G$54,'Sollecitazioni nel paramento'!$G$53)</f>
        <v>0</v>
      </c>
      <c r="F2543" s="545">
        <f>-'Foglio deposito bis'!$F$89*(C2543-sezione!$AM$37)*IF(ABS(L2543)&lt;'Sollecitazioni nel paramento'!$G$58,ABS(L2543)*'Sollecitazioni nel paramento'!$G$54,'Sollecitazioni nel paramento'!$G$53)</f>
        <v>4043374.5601997026</v>
      </c>
      <c r="G2543" s="545">
        <f>-'Foglio deposito bis'!$F$90*(C2543-sezione!$AN$37)*IF(ABS(M2543)&lt;'Sollecitazioni nel paramento'!$G$58,ABS(M2543)*'Sollecitazioni nel paramento'!$G$54,'Sollecitazioni nel paramento'!$G$53)</f>
        <v>0</v>
      </c>
      <c r="H2543" s="545">
        <f>-'Foglio deposito bis'!$F$91*(C2543-sezione!$AO$37)*IF(ABS(N2543)&lt;'Sollecitazioni nel paramento'!$G$58,ABS(N2543)*'Sollecitazioni nel paramento'!$G$54,'Sollecitazioni nel paramento'!$G$53)</f>
        <v>112732469.00457776</v>
      </c>
      <c r="I2543" s="472">
        <f>-'Foglio deposito bis'!$F$92*(C2543-sezione!$AP$37)*IF(ABS(O2543)&lt;'Sollecitazioni nel paramento'!$G$58,ABS(O2543)*'Sollecitazioni nel paramento'!$G$54,'Sollecitazioni nel paramento'!$G$53)</f>
        <v>1304288677.1572161</v>
      </c>
      <c r="J2543" s="472">
        <f t="shared" si="174"/>
        <v>1395816357.8512475</v>
      </c>
      <c r="K2543" s="550">
        <f>'Sollecitazioni nel paramento'!$G$60*(sezione!$AL$37-C2543)/C2543</f>
        <v>6.5589873406685681E-4</v>
      </c>
      <c r="L2543" s="550">
        <f>'Sollecitazioni nel paramento'!$G$60*(sezione!$AM$37-C2543)/C2543</f>
        <v>2.7338481011002854E-3</v>
      </c>
      <c r="M2543" s="551">
        <f>'Sollecitazioni nel paramento'!$G$60*(sezione!$AN$37-C2543)/C2543</f>
        <v>4.8117974681337137E-3</v>
      </c>
      <c r="N2543" s="551">
        <f>'Sollecitazioni nel paramento'!$G$60*(sezione!$AO$37-C2543)/C2543</f>
        <v>1.3123594936267427E-2</v>
      </c>
      <c r="O2543" s="551">
        <f>'Sollecitazioni nel paramento'!$G$60*(sezione!$AP$37-C2543)/C2543</f>
        <v>8.1533756438346955E-2</v>
      </c>
      <c r="P2543" s="545">
        <f>-'Sollecitazioni nel paramento'!$G$47*'Sollecitazioni nel paramento'!$G$41*IF(DATI!$G$211="dx",DATI!$E$61,DATI!$E$64*DATI!$E$63)*1000*C2543*sezione!$AD$5</f>
        <v>-1283375.8330729809</v>
      </c>
      <c r="Q2543" s="545">
        <f>'Foglio deposito bis'!$F$88*IF(ABS(K2543)&lt;'Sollecitazioni nel paramento'!$G$58,ABS(K2543)*'Sollecitazioni nel paramento'!$G$54,'Sollecitazioni nel paramento'!$G$53)*IF(K2543&lt;0,-1,1)</f>
        <v>0</v>
      </c>
      <c r="R2543" s="545">
        <f>'Foglio deposito bis'!$F$89*IF(ABS(L2543)&lt;'Sollecitazioni nel paramento'!$G$58,ABS(L2543)*'Sollecitazioni nel paramento'!$G$54,'Sollecitazioni nel paramento'!$G$53)*IF(L2543&lt;0,-1,1)</f>
        <v>153664.85805602249</v>
      </c>
      <c r="S2543" s="545">
        <f>'Foglio deposito bis'!$F$90*IF(ABS(M2543)&lt;'Sollecitazioni nel paramento'!$G$58,ABS(M2543)*'Sollecitazioni nel paramento'!$G$54,'Sollecitazioni nel paramento'!$G$53)*IF(M2543&lt;0,-1,1)</f>
        <v>0</v>
      </c>
      <c r="T2543" s="545">
        <f>'Foglio deposito bis'!$F$91*IF(ABS(N2543)&lt;'Sollecitazioni nel paramento'!$G$58,ABS(N2543)*'Sollecitazioni nel paramento'!$G$54,'Sollecitazioni nel paramento'!$G$53)*IF(N2543&lt;0,-1,1)</f>
        <v>892485.49558937876</v>
      </c>
      <c r="U2543" s="545">
        <f>'Foglio deposito bis'!$F$92*IF(ABS(O2543)&lt;'Sollecitazioni nel paramento'!$G$58,ABS(O2543)*'Sollecitazioni nel paramento'!$G$54,'Sollecitazioni nel paramento'!$G$53)*IF(O2543&lt;0,-1,1)</f>
        <v>1662039.1047339395</v>
      </c>
      <c r="V2543" s="472">
        <f t="shared" si="176"/>
        <v>1424813.62530636</v>
      </c>
      <c r="W2543" s="551"/>
      <c r="X2543" s="551"/>
    </row>
    <row r="2544" spans="1:24" x14ac:dyDescent="0.25">
      <c r="A2544" s="545">
        <f t="shared" si="175"/>
        <v>1402686.4557706187</v>
      </c>
      <c r="B2544" s="3">
        <f t="shared" si="177"/>
        <v>2.9499999999999975</v>
      </c>
      <c r="C2544" s="545">
        <f>'Foglio deposito bis'!$E$163/sezione!$B$247*B2544</f>
        <v>34.267868929540967</v>
      </c>
      <c r="D2544" s="603">
        <f>-'Sollecitazioni nel paramento'!$G$47*'Sollecitazioni nel paramento'!$G$41*IF(DATI!$G$211="dx",DATI!$E$61,DATI!$E$64*DATI!$E$63)*1000*C2544^2*sezione!$AD$5*(1-sezione!$AD$6)</f>
        <v>-26126294.575822435</v>
      </c>
      <c r="E2544" s="545">
        <f>-'Foglio deposito bis'!$F$88*(C2544-sezione!$AL$37)*IF(ABS(K2544)&lt;'Sollecitazioni nel paramento'!$G$58,ABS(K2544)*'Sollecitazioni nel paramento'!$G$54,'Sollecitazioni nel paramento'!$G$53)</f>
        <v>0</v>
      </c>
      <c r="F2544" s="545">
        <f>-'Foglio deposito bis'!$F$89*(C2544-sezione!$AM$37)*IF(ABS(L2544)&lt;'Sollecitazioni nel paramento'!$G$58,ABS(L2544)*'Sollecitazioni nel paramento'!$G$54,'Sollecitazioni nel paramento'!$G$53)</f>
        <v>3954124.2684210534</v>
      </c>
      <c r="G2544" s="545">
        <f>-'Foglio deposito bis'!$F$90*(C2544-sezione!$AN$37)*IF(ABS(M2544)&lt;'Sollecitazioni nel paramento'!$G$58,ABS(M2544)*'Sollecitazioni nel paramento'!$G$54,'Sollecitazioni nel paramento'!$G$53)</f>
        <v>0</v>
      </c>
      <c r="H2544" s="545">
        <f>-'Foglio deposito bis'!$F$91*(C2544-sezione!$AO$37)*IF(ABS(N2544)&lt;'Sollecitazioni nel paramento'!$G$58,ABS(N2544)*'Sollecitazioni nel paramento'!$G$54,'Sollecitazioni nel paramento'!$G$53)</f>
        <v>112214103.30992736</v>
      </c>
      <c r="I2544" s="472">
        <f>-'Foglio deposito bis'!$F$92*(C2544-sezione!$AP$37)*IF(ABS(O2544)&lt;'Sollecitazioni nel paramento'!$G$58,ABS(O2544)*'Sollecitazioni nel paramento'!$G$54,'Sollecitazioni nel paramento'!$G$53)</f>
        <v>1303323346.0013382</v>
      </c>
      <c r="J2544" s="472">
        <f t="shared" si="174"/>
        <v>1393365279.0038643</v>
      </c>
      <c r="K2544" s="550">
        <f>'Sollecitazioni nel paramento'!$G$60*(sezione!$AL$37-C2544)/C2544</f>
        <v>5.8545977247250315E-4</v>
      </c>
      <c r="L2544" s="550">
        <f>'Sollecitazioni nel paramento'!$G$60*(sezione!$AM$37-C2544)/C2544</f>
        <v>2.628189658708755E-3</v>
      </c>
      <c r="M2544" s="551">
        <f>'Sollecitazioni nel paramento'!$G$60*(sezione!$AN$37-C2544)/C2544</f>
        <v>4.6709195449450066E-3</v>
      </c>
      <c r="N2544" s="551">
        <f>'Sollecitazioni nel paramento'!$G$60*(sezione!$AO$37-C2544)/C2544</f>
        <v>1.2841839089890013E-2</v>
      </c>
      <c r="O2544" s="551">
        <f>'Sollecitazioni nel paramento'!$G$60*(sezione!$AP$37-C2544)/C2544</f>
        <v>8.0092506329222435E-2</v>
      </c>
      <c r="P2544" s="545">
        <f>-'Sollecitazioni nel paramento'!$G$47*'Sollecitazioni nel paramento'!$G$41*IF(DATI!$G$211="dx",DATI!$E$61,DATI!$E$64*DATI!$E$63)*1000*C2544*sezione!$AD$5</f>
        <v>-1305503.0026087221</v>
      </c>
      <c r="Q2544" s="545">
        <f>'Foglio deposito bis'!$F$88*IF(ABS(K2544)&lt;'Sollecitazioni nel paramento'!$G$58,ABS(K2544)*'Sollecitazioni nel paramento'!$G$54,'Sollecitazioni nel paramento'!$G$53)*IF(K2544&lt;0,-1,1)</f>
        <v>0</v>
      </c>
      <c r="R2544" s="545">
        <f>'Foglio deposito bis'!$F$89*IF(ABS(L2544)&lt;'Sollecitazioni nel paramento'!$G$58,ABS(L2544)*'Sollecitazioni nel paramento'!$G$54,'Sollecitazioni nel paramento'!$G$53)*IF(L2544&lt;0,-1,1)</f>
        <v>153664.85805602249</v>
      </c>
      <c r="S2544" s="545">
        <f>'Foglio deposito bis'!$F$90*IF(ABS(M2544)&lt;'Sollecitazioni nel paramento'!$G$58,ABS(M2544)*'Sollecitazioni nel paramento'!$G$54,'Sollecitazioni nel paramento'!$G$53)*IF(M2544&lt;0,-1,1)</f>
        <v>0</v>
      </c>
      <c r="T2544" s="545">
        <f>'Foglio deposito bis'!$F$91*IF(ABS(N2544)&lt;'Sollecitazioni nel paramento'!$G$58,ABS(N2544)*'Sollecitazioni nel paramento'!$G$54,'Sollecitazioni nel paramento'!$G$53)*IF(N2544&lt;0,-1,1)</f>
        <v>892485.49558937876</v>
      </c>
      <c r="U2544" s="545">
        <f>'Foglio deposito bis'!$F$92*IF(ABS(O2544)&lt;'Sollecitazioni nel paramento'!$G$58,ABS(O2544)*'Sollecitazioni nel paramento'!$G$54,'Sollecitazioni nel paramento'!$G$53)*IF(O2544&lt;0,-1,1)</f>
        <v>1662039.1047339395</v>
      </c>
      <c r="V2544" s="472">
        <f t="shared" si="176"/>
        <v>1402686.4557706187</v>
      </c>
      <c r="W2544" s="551"/>
      <c r="X2544" s="551"/>
    </row>
    <row r="2545" spans="1:24" x14ac:dyDescent="0.25">
      <c r="A2545" s="545">
        <f t="shared" si="175"/>
        <v>1380559.2862348778</v>
      </c>
      <c r="B2545" s="3">
        <f t="shared" si="177"/>
        <v>2.9999999999999973</v>
      </c>
      <c r="C2545" s="545">
        <f>'Foglio deposito bis'!$E$163/sezione!$B$247*B2545</f>
        <v>34.848680267329797</v>
      </c>
      <c r="D2545" s="603">
        <f>-'Sollecitazioni nel paramento'!$G$47*'Sollecitazioni nel paramento'!$G$41*IF(DATI!$G$211="dx",DATI!$E$61,DATI!$E$64*DATI!$E$63)*1000*C2545^2*sezione!$AD$5*(1-sezione!$AD$6)</f>
        <v>-27019437.079276294</v>
      </c>
      <c r="E2545" s="545">
        <f>-'Foglio deposito bis'!$F$88*(C2545-sezione!$AL$37)*IF(ABS(K2545)&lt;'Sollecitazioni nel paramento'!$G$58,ABS(K2545)*'Sollecitazioni nel paramento'!$G$54,'Sollecitazioni nel paramento'!$G$53)</f>
        <v>0</v>
      </c>
      <c r="F2545" s="545">
        <f>-'Foglio deposito bis'!$F$89*(C2545-sezione!$AM$37)*IF(ABS(L2545)&lt;'Sollecitazioni nel paramento'!$G$58,ABS(L2545)*'Sollecitazioni nel paramento'!$G$54,'Sollecitazioni nel paramento'!$G$53)</f>
        <v>3864873.9766424047</v>
      </c>
      <c r="G2545" s="545">
        <f>-'Foglio deposito bis'!$F$90*(C2545-sezione!$AN$37)*IF(ABS(M2545)&lt;'Sollecitazioni nel paramento'!$G$58,ABS(M2545)*'Sollecitazioni nel paramento'!$G$54,'Sollecitazioni nel paramento'!$G$53)</f>
        <v>0</v>
      </c>
      <c r="H2545" s="545">
        <f>-'Foglio deposito bis'!$F$91*(C2545-sezione!$AO$37)*IF(ABS(N2545)&lt;'Sollecitazioni nel paramento'!$G$58,ABS(N2545)*'Sollecitazioni nel paramento'!$G$54,'Sollecitazioni nel paramento'!$G$53)</f>
        <v>111695737.61527698</v>
      </c>
      <c r="I2545" s="472">
        <f>-'Foglio deposito bis'!$F$92*(C2545-sezione!$AP$37)*IF(ABS(O2545)&lt;'Sollecitazioni nel paramento'!$G$58,ABS(O2545)*'Sollecitazioni nel paramento'!$G$54,'Sollecitazioni nel paramento'!$G$53)</f>
        <v>1302358014.8454604</v>
      </c>
      <c r="J2545" s="472">
        <f t="shared" si="174"/>
        <v>1390899189.3581035</v>
      </c>
      <c r="K2545" s="550">
        <f>'Sollecitazioni nel paramento'!$G$60*(sezione!$AL$37-C2545)/C2545</f>
        <v>5.1736877626462814E-4</v>
      </c>
      <c r="L2545" s="550">
        <f>'Sollecitazioni nel paramento'!$G$60*(sezione!$AM$37-C2545)/C2545</f>
        <v>2.5260531643969421E-3</v>
      </c>
      <c r="M2545" s="551">
        <f>'Sollecitazioni nel paramento'!$G$60*(sezione!$AN$37-C2545)/C2545</f>
        <v>4.5347375525292563E-3</v>
      </c>
      <c r="N2545" s="551">
        <f>'Sollecitazioni nel paramento'!$G$60*(sezione!$AO$37-C2545)/C2545</f>
        <v>1.2569475105058512E-2</v>
      </c>
      <c r="O2545" s="551">
        <f>'Sollecitazioni nel paramento'!$G$60*(sezione!$AP$37-C2545)/C2545</f>
        <v>7.8699297890402059E-2</v>
      </c>
      <c r="P2545" s="545">
        <f>-'Sollecitazioni nel paramento'!$G$47*'Sollecitazioni nel paramento'!$G$41*IF(DATI!$G$211="dx",DATI!$E$61,DATI!$E$64*DATI!$E$63)*1000*C2545*sezione!$AD$5</f>
        <v>-1327630.1721444631</v>
      </c>
      <c r="Q2545" s="545">
        <f>'Foglio deposito bis'!$F$88*IF(ABS(K2545)&lt;'Sollecitazioni nel paramento'!$G$58,ABS(K2545)*'Sollecitazioni nel paramento'!$G$54,'Sollecitazioni nel paramento'!$G$53)*IF(K2545&lt;0,-1,1)</f>
        <v>0</v>
      </c>
      <c r="R2545" s="545">
        <f>'Foglio deposito bis'!$F$89*IF(ABS(L2545)&lt;'Sollecitazioni nel paramento'!$G$58,ABS(L2545)*'Sollecitazioni nel paramento'!$G$54,'Sollecitazioni nel paramento'!$G$53)*IF(L2545&lt;0,-1,1)</f>
        <v>153664.85805602249</v>
      </c>
      <c r="S2545" s="545">
        <f>'Foglio deposito bis'!$F$90*IF(ABS(M2545)&lt;'Sollecitazioni nel paramento'!$G$58,ABS(M2545)*'Sollecitazioni nel paramento'!$G$54,'Sollecitazioni nel paramento'!$G$53)*IF(M2545&lt;0,-1,1)</f>
        <v>0</v>
      </c>
      <c r="T2545" s="545">
        <f>'Foglio deposito bis'!$F$91*IF(ABS(N2545)&lt;'Sollecitazioni nel paramento'!$G$58,ABS(N2545)*'Sollecitazioni nel paramento'!$G$54,'Sollecitazioni nel paramento'!$G$53)*IF(N2545&lt;0,-1,1)</f>
        <v>892485.49558937876</v>
      </c>
      <c r="U2545" s="545">
        <f>'Foglio deposito bis'!$F$92*IF(ABS(O2545)&lt;'Sollecitazioni nel paramento'!$G$58,ABS(O2545)*'Sollecitazioni nel paramento'!$G$54,'Sollecitazioni nel paramento'!$G$53)*IF(O2545&lt;0,-1,1)</f>
        <v>1662039.1047339395</v>
      </c>
      <c r="V2545" s="472">
        <f t="shared" si="176"/>
        <v>1380559.2862348778</v>
      </c>
      <c r="W2545" s="551"/>
      <c r="X2545" s="551"/>
    </row>
    <row r="2546" spans="1:24" x14ac:dyDescent="0.25">
      <c r="A2546" s="545">
        <f t="shared" si="175"/>
        <v>1358432.116699137</v>
      </c>
      <c r="B2546" s="3">
        <f t="shared" si="177"/>
        <v>3.0499999999999972</v>
      </c>
      <c r="C2546" s="545">
        <f>'Foglio deposito bis'!$E$163/sezione!$B$247*B2546</f>
        <v>35.429491605118621</v>
      </c>
      <c r="D2546" s="603">
        <f>-'Sollecitazioni nel paramento'!$G$47*'Sollecitazioni nel paramento'!$G$41*IF(DATI!$G$211="dx",DATI!$E$61,DATI!$E$64*DATI!$E$63)*1000*C2546^2*sezione!$AD$5*(1-sezione!$AD$6)</f>
        <v>-27927590.381107513</v>
      </c>
      <c r="E2546" s="545">
        <f>-'Foglio deposito bis'!$F$88*(C2546-sezione!$AL$37)*IF(ABS(K2546)&lt;'Sollecitazioni nel paramento'!$G$58,ABS(K2546)*'Sollecitazioni nel paramento'!$G$54,'Sollecitazioni nel paramento'!$G$53)</f>
        <v>0</v>
      </c>
      <c r="F2546" s="545">
        <f>-'Foglio deposito bis'!$F$89*(C2546-sezione!$AM$37)*IF(ABS(L2546)&lt;'Sollecitazioni nel paramento'!$G$58,ABS(L2546)*'Sollecitazioni nel paramento'!$G$54,'Sollecitazioni nel paramento'!$G$53)</f>
        <v>3775623.6848637559</v>
      </c>
      <c r="G2546" s="545">
        <f>-'Foglio deposito bis'!$F$90*(C2546-sezione!$AN$37)*IF(ABS(M2546)&lt;'Sollecitazioni nel paramento'!$G$58,ABS(M2546)*'Sollecitazioni nel paramento'!$G$54,'Sollecitazioni nel paramento'!$G$53)</f>
        <v>0</v>
      </c>
      <c r="H2546" s="545">
        <f>-'Foglio deposito bis'!$F$91*(C2546-sezione!$AO$37)*IF(ABS(N2546)&lt;'Sollecitazioni nel paramento'!$G$58,ABS(N2546)*'Sollecitazioni nel paramento'!$G$54,'Sollecitazioni nel paramento'!$G$53)</f>
        <v>111177371.92062658</v>
      </c>
      <c r="I2546" s="472">
        <f>-'Foglio deposito bis'!$F$92*(C2546-sezione!$AP$37)*IF(ABS(O2546)&lt;'Sollecitazioni nel paramento'!$G$58,ABS(O2546)*'Sollecitazioni nel paramento'!$G$54,'Sollecitazioni nel paramento'!$G$53)</f>
        <v>1301392683.6895826</v>
      </c>
      <c r="J2546" s="472">
        <f t="shared" si="174"/>
        <v>1388418088.9139655</v>
      </c>
      <c r="K2546" s="550">
        <f>'Sollecitazioni nel paramento'!$G$60*(sezione!$AL$37-C2546)/C2546</f>
        <v>4.5151027173570053E-4</v>
      </c>
      <c r="L2546" s="550">
        <f>'Sollecitazioni nel paramento'!$G$60*(sezione!$AM$37-C2546)/C2546</f>
        <v>2.4272654076035508E-3</v>
      </c>
      <c r="M2546" s="551">
        <f>'Sollecitazioni nel paramento'!$G$60*(sezione!$AN$37-C2546)/C2546</f>
        <v>4.4030205434714012E-3</v>
      </c>
      <c r="N2546" s="551">
        <f>'Sollecitazioni nel paramento'!$G$60*(sezione!$AO$37-C2546)/C2546</f>
        <v>1.2306041086942804E-2</v>
      </c>
      <c r="O2546" s="551">
        <f>'Sollecitazioni nel paramento'!$G$60*(sezione!$AP$37-C2546)/C2546</f>
        <v>7.7351768416788924E-2</v>
      </c>
      <c r="P2546" s="545">
        <f>-'Sollecitazioni nel paramento'!$G$47*'Sollecitazioni nel paramento'!$G$41*IF(DATI!$G$211="dx",DATI!$E$61,DATI!$E$64*DATI!$E$63)*1000*C2546*sezione!$AD$5</f>
        <v>-1349757.3416802038</v>
      </c>
      <c r="Q2546" s="545">
        <f>'Foglio deposito bis'!$F$88*IF(ABS(K2546)&lt;'Sollecitazioni nel paramento'!$G$58,ABS(K2546)*'Sollecitazioni nel paramento'!$G$54,'Sollecitazioni nel paramento'!$G$53)*IF(K2546&lt;0,-1,1)</f>
        <v>0</v>
      </c>
      <c r="R2546" s="545">
        <f>'Foglio deposito bis'!$F$89*IF(ABS(L2546)&lt;'Sollecitazioni nel paramento'!$G$58,ABS(L2546)*'Sollecitazioni nel paramento'!$G$54,'Sollecitazioni nel paramento'!$G$53)*IF(L2546&lt;0,-1,1)</f>
        <v>153664.85805602249</v>
      </c>
      <c r="S2546" s="545">
        <f>'Foglio deposito bis'!$F$90*IF(ABS(M2546)&lt;'Sollecitazioni nel paramento'!$G$58,ABS(M2546)*'Sollecitazioni nel paramento'!$G$54,'Sollecitazioni nel paramento'!$G$53)*IF(M2546&lt;0,-1,1)</f>
        <v>0</v>
      </c>
      <c r="T2546" s="545">
        <f>'Foglio deposito bis'!$F$91*IF(ABS(N2546)&lt;'Sollecitazioni nel paramento'!$G$58,ABS(N2546)*'Sollecitazioni nel paramento'!$G$54,'Sollecitazioni nel paramento'!$G$53)*IF(N2546&lt;0,-1,1)</f>
        <v>892485.49558937876</v>
      </c>
      <c r="U2546" s="545">
        <f>'Foglio deposito bis'!$F$92*IF(ABS(O2546)&lt;'Sollecitazioni nel paramento'!$G$58,ABS(O2546)*'Sollecitazioni nel paramento'!$G$54,'Sollecitazioni nel paramento'!$G$53)*IF(O2546&lt;0,-1,1)</f>
        <v>1662039.1047339395</v>
      </c>
      <c r="V2546" s="472">
        <f t="shared" si="176"/>
        <v>1358432.116699137</v>
      </c>
      <c r="W2546" s="551"/>
      <c r="X2546" s="551"/>
    </row>
    <row r="2547" spans="1:24" x14ac:dyDescent="0.25">
      <c r="A2547" s="545">
        <f t="shared" si="175"/>
        <v>1336304.947163396</v>
      </c>
      <c r="B2547" s="3">
        <f t="shared" si="177"/>
        <v>3.099999999999997</v>
      </c>
      <c r="C2547" s="545">
        <f>'Foglio deposito bis'!$E$163/sezione!$B$247*B2547</f>
        <v>36.010302942907451</v>
      </c>
      <c r="D2547" s="603">
        <f>-'Sollecitazioni nel paramento'!$G$47*'Sollecitazioni nel paramento'!$G$41*IF(DATI!$G$211="dx",DATI!$E$61,DATI!$E$64*DATI!$E$63)*1000*C2547^2*sezione!$AD$5*(1-sezione!$AD$6)</f>
        <v>-28850754.481316119</v>
      </c>
      <c r="E2547" s="545">
        <f>-'Foglio deposito bis'!$F$88*(C2547-sezione!$AL$37)*IF(ABS(K2547)&lt;'Sollecitazioni nel paramento'!$G$58,ABS(K2547)*'Sollecitazioni nel paramento'!$G$54,'Sollecitazioni nel paramento'!$G$53)</f>
        <v>0</v>
      </c>
      <c r="F2547" s="545">
        <f>-'Foglio deposito bis'!$F$89*(C2547-sezione!$AM$37)*IF(ABS(L2547)&lt;'Sollecitazioni nel paramento'!$G$58,ABS(L2547)*'Sollecitazioni nel paramento'!$G$54,'Sollecitazioni nel paramento'!$G$53)</f>
        <v>3686373.3930851067</v>
      </c>
      <c r="G2547" s="545">
        <f>-'Foglio deposito bis'!$F$90*(C2547-sezione!$AN$37)*IF(ABS(M2547)&lt;'Sollecitazioni nel paramento'!$G$58,ABS(M2547)*'Sollecitazioni nel paramento'!$G$54,'Sollecitazioni nel paramento'!$G$53)</f>
        <v>0</v>
      </c>
      <c r="H2547" s="545">
        <f>-'Foglio deposito bis'!$F$91*(C2547-sezione!$AO$37)*IF(ABS(N2547)&lt;'Sollecitazioni nel paramento'!$G$58,ABS(N2547)*'Sollecitazioni nel paramento'!$G$54,'Sollecitazioni nel paramento'!$G$53)</f>
        <v>110659006.22597618</v>
      </c>
      <c r="I2547" s="472">
        <f>-'Foglio deposito bis'!$F$92*(C2547-sezione!$AP$37)*IF(ABS(O2547)&lt;'Sollecitazioni nel paramento'!$G$58,ABS(O2547)*'Sollecitazioni nel paramento'!$G$54,'Sollecitazioni nel paramento'!$G$53)</f>
        <v>1300427352.5337048</v>
      </c>
      <c r="J2547" s="472">
        <f t="shared" si="174"/>
        <v>1385921977.6714499</v>
      </c>
      <c r="K2547" s="550">
        <f>'Sollecitazioni nel paramento'!$G$60*(sezione!$AL$37-C2547)/C2547</f>
        <v>3.8777623509480202E-4</v>
      </c>
      <c r="L2547" s="550">
        <f>'Sollecitazioni nel paramento'!$G$60*(sezione!$AM$37-C2547)/C2547</f>
        <v>2.331664352642203E-3</v>
      </c>
      <c r="M2547" s="551">
        <f>'Sollecitazioni nel paramento'!$G$60*(sezione!$AN$37-C2547)/C2547</f>
        <v>4.2755524701896036E-3</v>
      </c>
      <c r="N2547" s="551">
        <f>'Sollecitazioni nel paramento'!$G$60*(sezione!$AO$37-C2547)/C2547</f>
        <v>1.2051104940379207E-2</v>
      </c>
      <c r="O2547" s="551">
        <f>'Sollecitazioni nel paramento'!$G$60*(sezione!$AP$37-C2547)/C2547</f>
        <v>7.6047707635872971E-2</v>
      </c>
      <c r="P2547" s="545">
        <f>-'Sollecitazioni nel paramento'!$G$47*'Sollecitazioni nel paramento'!$G$41*IF(DATI!$G$211="dx",DATI!$E$61,DATI!$E$64*DATI!$E$63)*1000*C2547*sezione!$AD$5</f>
        <v>-1371884.5112159448</v>
      </c>
      <c r="Q2547" s="545">
        <f>'Foglio deposito bis'!$F$88*IF(ABS(K2547)&lt;'Sollecitazioni nel paramento'!$G$58,ABS(K2547)*'Sollecitazioni nel paramento'!$G$54,'Sollecitazioni nel paramento'!$G$53)*IF(K2547&lt;0,-1,1)</f>
        <v>0</v>
      </c>
      <c r="R2547" s="545">
        <f>'Foglio deposito bis'!$F$89*IF(ABS(L2547)&lt;'Sollecitazioni nel paramento'!$G$58,ABS(L2547)*'Sollecitazioni nel paramento'!$G$54,'Sollecitazioni nel paramento'!$G$53)*IF(L2547&lt;0,-1,1)</f>
        <v>153664.85805602249</v>
      </c>
      <c r="S2547" s="545">
        <f>'Foglio deposito bis'!$F$90*IF(ABS(M2547)&lt;'Sollecitazioni nel paramento'!$G$58,ABS(M2547)*'Sollecitazioni nel paramento'!$G$54,'Sollecitazioni nel paramento'!$G$53)*IF(M2547&lt;0,-1,1)</f>
        <v>0</v>
      </c>
      <c r="T2547" s="545">
        <f>'Foglio deposito bis'!$F$91*IF(ABS(N2547)&lt;'Sollecitazioni nel paramento'!$G$58,ABS(N2547)*'Sollecitazioni nel paramento'!$G$54,'Sollecitazioni nel paramento'!$G$53)*IF(N2547&lt;0,-1,1)</f>
        <v>892485.49558937876</v>
      </c>
      <c r="U2547" s="545">
        <f>'Foglio deposito bis'!$F$92*IF(ABS(O2547)&lt;'Sollecitazioni nel paramento'!$G$58,ABS(O2547)*'Sollecitazioni nel paramento'!$G$54,'Sollecitazioni nel paramento'!$G$53)*IF(O2547&lt;0,-1,1)</f>
        <v>1662039.1047339395</v>
      </c>
      <c r="V2547" s="472">
        <f t="shared" si="176"/>
        <v>1336304.947163396</v>
      </c>
      <c r="W2547" s="551"/>
      <c r="X2547" s="551"/>
    </row>
    <row r="2548" spans="1:24" x14ac:dyDescent="0.25">
      <c r="A2548" s="545">
        <f t="shared" si="175"/>
        <v>1314177.7776276548</v>
      </c>
      <c r="B2548" s="3">
        <f t="shared" si="177"/>
        <v>3.1499999999999968</v>
      </c>
      <c r="C2548" s="545">
        <f>'Foglio deposito bis'!$E$163/sezione!$B$247*B2548</f>
        <v>36.591114280696281</v>
      </c>
      <c r="D2548" s="603">
        <f>-'Sollecitazioni nel paramento'!$G$47*'Sollecitazioni nel paramento'!$G$41*IF(DATI!$G$211="dx",DATI!$E$61,DATI!$E$64*DATI!$E$63)*1000*C2548^2*sezione!$AD$5*(1-sezione!$AD$6)</f>
        <v>-29788929.379902102</v>
      </c>
      <c r="E2548" s="545">
        <f>-'Foglio deposito bis'!$F$88*(C2548-sezione!$AL$37)*IF(ABS(K2548)&lt;'Sollecitazioni nel paramento'!$G$58,ABS(K2548)*'Sollecitazioni nel paramento'!$G$54,'Sollecitazioni nel paramento'!$G$53)</f>
        <v>0</v>
      </c>
      <c r="F2548" s="545">
        <f>-'Foglio deposito bis'!$F$89*(C2548-sezione!$AM$37)*IF(ABS(L2548)&lt;'Sollecitazioni nel paramento'!$G$58,ABS(L2548)*'Sollecitazioni nel paramento'!$G$54,'Sollecitazioni nel paramento'!$G$53)</f>
        <v>3597123.1013064575</v>
      </c>
      <c r="G2548" s="545">
        <f>-'Foglio deposito bis'!$F$90*(C2548-sezione!$AN$37)*IF(ABS(M2548)&lt;'Sollecitazioni nel paramento'!$G$58,ABS(M2548)*'Sollecitazioni nel paramento'!$G$54,'Sollecitazioni nel paramento'!$G$53)</f>
        <v>0</v>
      </c>
      <c r="H2548" s="545">
        <f>-'Foglio deposito bis'!$F$91*(C2548-sezione!$AO$37)*IF(ABS(N2548)&lt;'Sollecitazioni nel paramento'!$G$58,ABS(N2548)*'Sollecitazioni nel paramento'!$G$54,'Sollecitazioni nel paramento'!$G$53)</f>
        <v>110140640.5313258</v>
      </c>
      <c r="I2548" s="472">
        <f>-'Foglio deposito bis'!$F$92*(C2548-sezione!$AP$37)*IF(ABS(O2548)&lt;'Sollecitazioni nel paramento'!$G$58,ABS(O2548)*'Sollecitazioni nel paramento'!$G$54,'Sollecitazioni nel paramento'!$G$53)</f>
        <v>1299462021.3778269</v>
      </c>
      <c r="J2548" s="472">
        <f t="shared" si="174"/>
        <v>1383410855.6305571</v>
      </c>
      <c r="K2548" s="550">
        <f>'Sollecitazioni nel paramento'!$G$60*(sezione!$AL$37-C2548)/C2548</f>
        <v>3.2606550120440833E-4</v>
      </c>
      <c r="L2548" s="550">
        <f>'Sollecitazioni nel paramento'!$G$60*(sezione!$AM$37-C2548)/C2548</f>
        <v>2.2390982518066126E-3</v>
      </c>
      <c r="M2548" s="551">
        <f>'Sollecitazioni nel paramento'!$G$60*(sezione!$AN$37-C2548)/C2548</f>
        <v>4.1521310024088169E-3</v>
      </c>
      <c r="N2548" s="551">
        <f>'Sollecitazioni nel paramento'!$G$60*(sezione!$AO$37-C2548)/C2548</f>
        <v>1.1804262004817635E-2</v>
      </c>
      <c r="O2548" s="551">
        <f>'Sollecitazioni nel paramento'!$G$60*(sezione!$AP$37-C2548)/C2548</f>
        <v>7.4785045609906731E-2</v>
      </c>
      <c r="P2548" s="545">
        <f>-'Sollecitazioni nel paramento'!$G$47*'Sollecitazioni nel paramento'!$G$41*IF(DATI!$G$211="dx",DATI!$E$61,DATI!$E$64*DATI!$E$63)*1000*C2548*sezione!$AD$5</f>
        <v>-1394011.680751686</v>
      </c>
      <c r="Q2548" s="545">
        <f>'Foglio deposito bis'!$F$88*IF(ABS(K2548)&lt;'Sollecitazioni nel paramento'!$G$58,ABS(K2548)*'Sollecitazioni nel paramento'!$G$54,'Sollecitazioni nel paramento'!$G$53)*IF(K2548&lt;0,-1,1)</f>
        <v>0</v>
      </c>
      <c r="R2548" s="545">
        <f>'Foglio deposito bis'!$F$89*IF(ABS(L2548)&lt;'Sollecitazioni nel paramento'!$G$58,ABS(L2548)*'Sollecitazioni nel paramento'!$G$54,'Sollecitazioni nel paramento'!$G$53)*IF(L2548&lt;0,-1,1)</f>
        <v>153664.85805602249</v>
      </c>
      <c r="S2548" s="545">
        <f>'Foglio deposito bis'!$F$90*IF(ABS(M2548)&lt;'Sollecitazioni nel paramento'!$G$58,ABS(M2548)*'Sollecitazioni nel paramento'!$G$54,'Sollecitazioni nel paramento'!$G$53)*IF(M2548&lt;0,-1,1)</f>
        <v>0</v>
      </c>
      <c r="T2548" s="545">
        <f>'Foglio deposito bis'!$F$91*IF(ABS(N2548)&lt;'Sollecitazioni nel paramento'!$G$58,ABS(N2548)*'Sollecitazioni nel paramento'!$G$54,'Sollecitazioni nel paramento'!$G$53)*IF(N2548&lt;0,-1,1)</f>
        <v>892485.49558937876</v>
      </c>
      <c r="U2548" s="545">
        <f>'Foglio deposito bis'!$F$92*IF(ABS(O2548)&lt;'Sollecitazioni nel paramento'!$G$58,ABS(O2548)*'Sollecitazioni nel paramento'!$G$54,'Sollecitazioni nel paramento'!$G$53)*IF(O2548&lt;0,-1,1)</f>
        <v>1662039.1047339395</v>
      </c>
      <c r="V2548" s="472">
        <f t="shared" si="176"/>
        <v>1314177.7776276548</v>
      </c>
      <c r="W2548" s="551"/>
      <c r="X2548" s="551"/>
    </row>
    <row r="2549" spans="1:24" x14ac:dyDescent="0.25">
      <c r="A2549" s="545">
        <f t="shared" si="175"/>
        <v>1292050.6080919141</v>
      </c>
      <c r="B2549" s="3">
        <f t="shared" si="177"/>
        <v>3.1999999999999966</v>
      </c>
      <c r="C2549" s="545">
        <f>'Foglio deposito bis'!$E$163/sezione!$B$247*B2549</f>
        <v>37.171925618485105</v>
      </c>
      <c r="D2549" s="603">
        <f>-'Sollecitazioni nel paramento'!$G$47*'Sollecitazioni nel paramento'!$G$41*IF(DATI!$G$211="dx",DATI!$E$61,DATI!$E$64*DATI!$E$63)*1000*C2549^2*sezione!$AD$5*(1-sezione!$AD$6)</f>
        <v>-30742115.076865453</v>
      </c>
      <c r="E2549" s="545">
        <f>-'Foglio deposito bis'!$F$88*(C2549-sezione!$AL$37)*IF(ABS(K2549)&lt;'Sollecitazioni nel paramento'!$G$58,ABS(K2549)*'Sollecitazioni nel paramento'!$G$54,'Sollecitazioni nel paramento'!$G$53)</f>
        <v>0</v>
      </c>
      <c r="F2549" s="545">
        <f>-'Foglio deposito bis'!$F$89*(C2549-sezione!$AM$37)*IF(ABS(L2549)&lt;'Sollecitazioni nel paramento'!$G$58,ABS(L2549)*'Sollecitazioni nel paramento'!$G$54,'Sollecitazioni nel paramento'!$G$53)</f>
        <v>3507872.8095278102</v>
      </c>
      <c r="G2549" s="545">
        <f>-'Foglio deposito bis'!$F$90*(C2549-sezione!$AN$37)*IF(ABS(M2549)&lt;'Sollecitazioni nel paramento'!$G$58,ABS(M2549)*'Sollecitazioni nel paramento'!$G$54,'Sollecitazioni nel paramento'!$G$53)</f>
        <v>0</v>
      </c>
      <c r="H2549" s="545">
        <f>-'Foglio deposito bis'!$F$91*(C2549-sezione!$AO$37)*IF(ABS(N2549)&lt;'Sollecitazioni nel paramento'!$G$58,ABS(N2549)*'Sollecitazioni nel paramento'!$G$54,'Sollecitazioni nel paramento'!$G$53)</f>
        <v>109622274.83667541</v>
      </c>
      <c r="I2549" s="472">
        <f>-'Foglio deposito bis'!$F$92*(C2549-sezione!$AP$37)*IF(ABS(O2549)&lt;'Sollecitazioni nel paramento'!$G$58,ABS(O2549)*'Sollecitazioni nel paramento'!$G$54,'Sollecitazioni nel paramento'!$G$53)</f>
        <v>1298496690.2219491</v>
      </c>
      <c r="J2549" s="472">
        <f t="shared" ref="J2549:J2612" si="178">D2549+E2549+F2549+G2549+H2549+I2549</f>
        <v>1380884722.7912869</v>
      </c>
      <c r="K2549" s="550">
        <f>'Sollecitazioni nel paramento'!$G$60*(sezione!$AL$37-C2549)/C2549</f>
        <v>2.6628322774809011E-4</v>
      </c>
      <c r="L2549" s="550">
        <f>'Sollecitazioni nel paramento'!$G$60*(sezione!$AM$37-C2549)/C2549</f>
        <v>2.1494248416221349E-3</v>
      </c>
      <c r="M2549" s="551">
        <f>'Sollecitazioni nel paramento'!$G$60*(sezione!$AN$37-C2549)/C2549</f>
        <v>4.0325664554961803E-3</v>
      </c>
      <c r="N2549" s="551">
        <f>'Sollecitazioni nel paramento'!$G$60*(sezione!$AO$37-C2549)/C2549</f>
        <v>1.156513291099236E-2</v>
      </c>
      <c r="O2549" s="551">
        <f>'Sollecitazioni nel paramento'!$G$60*(sezione!$AP$37-C2549)/C2549</f>
        <v>7.356184177225196E-2</v>
      </c>
      <c r="P2549" s="545">
        <f>-'Sollecitazioni nel paramento'!$G$47*'Sollecitazioni nel paramento'!$G$41*IF(DATI!$G$211="dx",DATI!$E$61,DATI!$E$64*DATI!$E$63)*1000*C2549*sezione!$AD$5</f>
        <v>-1416138.8502874267</v>
      </c>
      <c r="Q2549" s="545">
        <f>'Foglio deposito bis'!$F$88*IF(ABS(K2549)&lt;'Sollecitazioni nel paramento'!$G$58,ABS(K2549)*'Sollecitazioni nel paramento'!$G$54,'Sollecitazioni nel paramento'!$G$53)*IF(K2549&lt;0,-1,1)</f>
        <v>0</v>
      </c>
      <c r="R2549" s="545">
        <f>'Foglio deposito bis'!$F$89*IF(ABS(L2549)&lt;'Sollecitazioni nel paramento'!$G$58,ABS(L2549)*'Sollecitazioni nel paramento'!$G$54,'Sollecitazioni nel paramento'!$G$53)*IF(L2549&lt;0,-1,1)</f>
        <v>153664.85805602249</v>
      </c>
      <c r="S2549" s="545">
        <f>'Foglio deposito bis'!$F$90*IF(ABS(M2549)&lt;'Sollecitazioni nel paramento'!$G$58,ABS(M2549)*'Sollecitazioni nel paramento'!$G$54,'Sollecitazioni nel paramento'!$G$53)*IF(M2549&lt;0,-1,1)</f>
        <v>0</v>
      </c>
      <c r="T2549" s="545">
        <f>'Foglio deposito bis'!$F$91*IF(ABS(N2549)&lt;'Sollecitazioni nel paramento'!$G$58,ABS(N2549)*'Sollecitazioni nel paramento'!$G$54,'Sollecitazioni nel paramento'!$G$53)*IF(N2549&lt;0,-1,1)</f>
        <v>892485.49558937876</v>
      </c>
      <c r="U2549" s="545">
        <f>'Foglio deposito bis'!$F$92*IF(ABS(O2549)&lt;'Sollecitazioni nel paramento'!$G$58,ABS(O2549)*'Sollecitazioni nel paramento'!$G$54,'Sollecitazioni nel paramento'!$G$53)*IF(O2549&lt;0,-1,1)</f>
        <v>1662039.1047339395</v>
      </c>
      <c r="V2549" s="472">
        <f t="shared" si="176"/>
        <v>1292050.6080919141</v>
      </c>
      <c r="W2549" s="551"/>
      <c r="X2549" s="551"/>
    </row>
    <row r="2550" spans="1:24" x14ac:dyDescent="0.25">
      <c r="A2550" s="545">
        <f t="shared" ref="A2550:A2613" si="179">ABS(V2550)</f>
        <v>1269923.4385561729</v>
      </c>
      <c r="B2550" s="3">
        <f t="shared" si="177"/>
        <v>3.2499999999999964</v>
      </c>
      <c r="C2550" s="545">
        <f>'Foglio deposito bis'!$E$163/sezione!$B$247*B2550</f>
        <v>37.752736956273935</v>
      </c>
      <c r="D2550" s="603">
        <f>-'Sollecitazioni nel paramento'!$G$47*'Sollecitazioni nel paramento'!$G$41*IF(DATI!$G$211="dx",DATI!$E$61,DATI!$E$64*DATI!$E$63)*1000*C2550^2*sezione!$AD$5*(1-sezione!$AD$6)</f>
        <v>-31710311.572206188</v>
      </c>
      <c r="E2550" s="545">
        <f>-'Foglio deposito bis'!$F$88*(C2550-sezione!$AL$37)*IF(ABS(K2550)&lt;'Sollecitazioni nel paramento'!$G$58,ABS(K2550)*'Sollecitazioni nel paramento'!$G$54,'Sollecitazioni nel paramento'!$G$53)</f>
        <v>0</v>
      </c>
      <c r="F2550" s="545">
        <f>-'Foglio deposito bis'!$F$89*(C2550-sezione!$AM$37)*IF(ABS(L2550)&lt;'Sollecitazioni nel paramento'!$G$58,ABS(L2550)*'Sollecitazioni nel paramento'!$G$54,'Sollecitazioni nel paramento'!$G$53)</f>
        <v>3418622.517749161</v>
      </c>
      <c r="G2550" s="545">
        <f>-'Foglio deposito bis'!$F$90*(C2550-sezione!$AN$37)*IF(ABS(M2550)&lt;'Sollecitazioni nel paramento'!$G$58,ABS(M2550)*'Sollecitazioni nel paramento'!$G$54,'Sollecitazioni nel paramento'!$G$53)</f>
        <v>0</v>
      </c>
      <c r="H2550" s="545">
        <f>-'Foglio deposito bis'!$F$91*(C2550-sezione!$AO$37)*IF(ABS(N2550)&lt;'Sollecitazioni nel paramento'!$G$58,ABS(N2550)*'Sollecitazioni nel paramento'!$G$54,'Sollecitazioni nel paramento'!$G$53)</f>
        <v>109103909.14202501</v>
      </c>
      <c r="I2550" s="472">
        <f>-'Foglio deposito bis'!$F$92*(C2550-sezione!$AP$37)*IF(ABS(O2550)&lt;'Sollecitazioni nel paramento'!$G$58,ABS(O2550)*'Sollecitazioni nel paramento'!$G$54,'Sollecitazioni nel paramento'!$G$53)</f>
        <v>1297531359.066071</v>
      </c>
      <c r="J2550" s="472">
        <f t="shared" si="178"/>
        <v>1378343579.1536391</v>
      </c>
      <c r="K2550" s="550">
        <f>'Sollecitazioni nel paramento'!$G$60*(sezione!$AL$37-C2550)/C2550</f>
        <v>2.0834040885965786E-4</v>
      </c>
      <c r="L2550" s="550">
        <f>'Sollecitazioni nel paramento'!$G$60*(sezione!$AM$37-C2550)/C2550</f>
        <v>2.0625106132894865E-3</v>
      </c>
      <c r="M2550" s="551">
        <f>'Sollecitazioni nel paramento'!$G$60*(sezione!$AN$37-C2550)/C2550</f>
        <v>3.9166808177193155E-3</v>
      </c>
      <c r="N2550" s="551">
        <f>'Sollecitazioni nel paramento'!$G$60*(sezione!$AO$37-C2550)/C2550</f>
        <v>1.1333361635438631E-2</v>
      </c>
      <c r="O2550" s="551">
        <f>'Sollecitazioni nel paramento'!$G$60*(sezione!$AP$37-C2550)/C2550</f>
        <v>7.2376274975755772E-2</v>
      </c>
      <c r="P2550" s="545">
        <f>-'Sollecitazioni nel paramento'!$G$47*'Sollecitazioni nel paramento'!$G$41*IF(DATI!$G$211="dx",DATI!$E$61,DATI!$E$64*DATI!$E$63)*1000*C2550*sezione!$AD$5</f>
        <v>-1438266.0198231679</v>
      </c>
      <c r="Q2550" s="545">
        <f>'Foglio deposito bis'!$F$88*IF(ABS(K2550)&lt;'Sollecitazioni nel paramento'!$G$58,ABS(K2550)*'Sollecitazioni nel paramento'!$G$54,'Sollecitazioni nel paramento'!$G$53)*IF(K2550&lt;0,-1,1)</f>
        <v>0</v>
      </c>
      <c r="R2550" s="545">
        <f>'Foglio deposito bis'!$F$89*IF(ABS(L2550)&lt;'Sollecitazioni nel paramento'!$G$58,ABS(L2550)*'Sollecitazioni nel paramento'!$G$54,'Sollecitazioni nel paramento'!$G$53)*IF(L2550&lt;0,-1,1)</f>
        <v>153664.85805602249</v>
      </c>
      <c r="S2550" s="545">
        <f>'Foglio deposito bis'!$F$90*IF(ABS(M2550)&lt;'Sollecitazioni nel paramento'!$G$58,ABS(M2550)*'Sollecitazioni nel paramento'!$G$54,'Sollecitazioni nel paramento'!$G$53)*IF(M2550&lt;0,-1,1)</f>
        <v>0</v>
      </c>
      <c r="T2550" s="545">
        <f>'Foglio deposito bis'!$F$91*IF(ABS(N2550)&lt;'Sollecitazioni nel paramento'!$G$58,ABS(N2550)*'Sollecitazioni nel paramento'!$G$54,'Sollecitazioni nel paramento'!$G$53)*IF(N2550&lt;0,-1,1)</f>
        <v>892485.49558937876</v>
      </c>
      <c r="U2550" s="545">
        <f>'Foglio deposito bis'!$F$92*IF(ABS(O2550)&lt;'Sollecitazioni nel paramento'!$G$58,ABS(O2550)*'Sollecitazioni nel paramento'!$G$54,'Sollecitazioni nel paramento'!$G$53)*IF(O2550&lt;0,-1,1)</f>
        <v>1662039.1047339395</v>
      </c>
      <c r="V2550" s="472">
        <f t="shared" ref="V2550:V2613" si="180">P2550+Q2550+R2550+S2550+T2550+U2550</f>
        <v>1269923.4385561729</v>
      </c>
      <c r="W2550" s="551"/>
      <c r="X2550" s="551"/>
    </row>
    <row r="2551" spans="1:24" x14ac:dyDescent="0.25">
      <c r="A2551" s="545">
        <f t="shared" si="179"/>
        <v>1247796.2690204319</v>
      </c>
      <c r="B2551" s="3">
        <f t="shared" ref="B2551:B2587" si="181">B2550+0.05</f>
        <v>3.2999999999999963</v>
      </c>
      <c r="C2551" s="545">
        <f>'Foglio deposito bis'!$E$163/sezione!$B$247*B2551</f>
        <v>38.333548294062766</v>
      </c>
      <c r="D2551" s="603">
        <f>-'Sollecitazioni nel paramento'!$G$47*'Sollecitazioni nel paramento'!$G$41*IF(DATI!$G$211="dx",DATI!$E$61,DATI!$E$64*DATI!$E$63)*1000*C2551^2*sezione!$AD$5*(1-sezione!$AD$6)</f>
        <v>-32693518.865924291</v>
      </c>
      <c r="E2551" s="545">
        <f>-'Foglio deposito bis'!$F$88*(C2551-sezione!$AL$37)*IF(ABS(K2551)&lt;'Sollecitazioni nel paramento'!$G$58,ABS(K2551)*'Sollecitazioni nel paramento'!$G$54,'Sollecitazioni nel paramento'!$G$53)</f>
        <v>0</v>
      </c>
      <c r="F2551" s="545">
        <f>-'Foglio deposito bis'!$F$89*(C2551-sezione!$AM$37)*IF(ABS(L2551)&lt;'Sollecitazioni nel paramento'!$G$58,ABS(L2551)*'Sollecitazioni nel paramento'!$G$54,'Sollecitazioni nel paramento'!$G$53)</f>
        <v>3329372.2259705118</v>
      </c>
      <c r="G2551" s="545">
        <f>-'Foglio deposito bis'!$F$90*(C2551-sezione!$AN$37)*IF(ABS(M2551)&lt;'Sollecitazioni nel paramento'!$G$58,ABS(M2551)*'Sollecitazioni nel paramento'!$G$54,'Sollecitazioni nel paramento'!$G$53)</f>
        <v>0</v>
      </c>
      <c r="H2551" s="545">
        <f>-'Foglio deposito bis'!$F$91*(C2551-sezione!$AO$37)*IF(ABS(N2551)&lt;'Sollecitazioni nel paramento'!$G$58,ABS(N2551)*'Sollecitazioni nel paramento'!$G$54,'Sollecitazioni nel paramento'!$G$53)</f>
        <v>108585543.44737461</v>
      </c>
      <c r="I2551" s="472">
        <f>-'Foglio deposito bis'!$F$92*(C2551-sezione!$AP$37)*IF(ABS(O2551)&lt;'Sollecitazioni nel paramento'!$G$58,ABS(O2551)*'Sollecitazioni nel paramento'!$G$54,'Sollecitazioni nel paramento'!$G$53)</f>
        <v>1296566027.9101932</v>
      </c>
      <c r="J2551" s="472">
        <f t="shared" si="178"/>
        <v>1375787424.7176139</v>
      </c>
      <c r="K2551" s="550">
        <f>'Sollecitazioni nel paramento'!$G$60*(sezione!$AL$37-C2551)/C2551</f>
        <v>1.521534329678448E-4</v>
      </c>
      <c r="L2551" s="550">
        <f>'Sollecitazioni nel paramento'!$G$60*(sezione!$AM$37-C2551)/C2551</f>
        <v>1.9782301494517675E-3</v>
      </c>
      <c r="M2551" s="551">
        <f>'Sollecitazioni nel paramento'!$G$60*(sezione!$AN$37-C2551)/C2551</f>
        <v>3.8043068659356898E-3</v>
      </c>
      <c r="N2551" s="551">
        <f>'Sollecitazioni nel paramento'!$G$60*(sezione!$AO$37-C2551)/C2551</f>
        <v>1.1108613731871379E-2</v>
      </c>
      <c r="O2551" s="551">
        <f>'Sollecitazioni nel paramento'!$G$60*(sezione!$AP$37-C2551)/C2551</f>
        <v>7.1226634445820072E-2</v>
      </c>
      <c r="P2551" s="545">
        <f>-'Sollecitazioni nel paramento'!$G$47*'Sollecitazioni nel paramento'!$G$41*IF(DATI!$G$211="dx",DATI!$E$61,DATI!$E$64*DATI!$E$63)*1000*C2551*sezione!$AD$5</f>
        <v>-1460393.1893589089</v>
      </c>
      <c r="Q2551" s="545">
        <f>'Foglio deposito bis'!$F$88*IF(ABS(K2551)&lt;'Sollecitazioni nel paramento'!$G$58,ABS(K2551)*'Sollecitazioni nel paramento'!$G$54,'Sollecitazioni nel paramento'!$G$53)*IF(K2551&lt;0,-1,1)</f>
        <v>0</v>
      </c>
      <c r="R2551" s="545">
        <f>'Foglio deposito bis'!$F$89*IF(ABS(L2551)&lt;'Sollecitazioni nel paramento'!$G$58,ABS(L2551)*'Sollecitazioni nel paramento'!$G$54,'Sollecitazioni nel paramento'!$G$53)*IF(L2551&lt;0,-1,1)</f>
        <v>153664.85805602249</v>
      </c>
      <c r="S2551" s="545">
        <f>'Foglio deposito bis'!$F$90*IF(ABS(M2551)&lt;'Sollecitazioni nel paramento'!$G$58,ABS(M2551)*'Sollecitazioni nel paramento'!$G$54,'Sollecitazioni nel paramento'!$G$53)*IF(M2551&lt;0,-1,1)</f>
        <v>0</v>
      </c>
      <c r="T2551" s="545">
        <f>'Foglio deposito bis'!$F$91*IF(ABS(N2551)&lt;'Sollecitazioni nel paramento'!$G$58,ABS(N2551)*'Sollecitazioni nel paramento'!$G$54,'Sollecitazioni nel paramento'!$G$53)*IF(N2551&lt;0,-1,1)</f>
        <v>892485.49558937876</v>
      </c>
      <c r="U2551" s="545">
        <f>'Foglio deposito bis'!$F$92*IF(ABS(O2551)&lt;'Sollecitazioni nel paramento'!$G$58,ABS(O2551)*'Sollecitazioni nel paramento'!$G$54,'Sollecitazioni nel paramento'!$G$53)*IF(O2551&lt;0,-1,1)</f>
        <v>1662039.1047339395</v>
      </c>
      <c r="V2551" s="472">
        <f t="shared" si="180"/>
        <v>1247796.2690204319</v>
      </c>
      <c r="W2551" s="551"/>
      <c r="X2551" s="551"/>
    </row>
    <row r="2552" spans="1:24" x14ac:dyDescent="0.25">
      <c r="A2552" s="545">
        <f t="shared" si="179"/>
        <v>1225669.0994846909</v>
      </c>
      <c r="B2552" s="3">
        <f t="shared" si="181"/>
        <v>3.3499999999999961</v>
      </c>
      <c r="C2552" s="545">
        <f>'Foglio deposito bis'!$E$163/sezione!$B$247*B2552</f>
        <v>38.914359631851596</v>
      </c>
      <c r="D2552" s="603">
        <f>-'Sollecitazioni nel paramento'!$G$47*'Sollecitazioni nel paramento'!$G$41*IF(DATI!$G$211="dx",DATI!$E$61,DATI!$E$64*DATI!$E$63)*1000*C2552^2*sezione!$AD$5*(1-sezione!$AD$6)</f>
        <v>-33691736.958019778</v>
      </c>
      <c r="E2552" s="545">
        <f>-'Foglio deposito bis'!$F$88*(C2552-sezione!$AL$37)*IF(ABS(K2552)&lt;'Sollecitazioni nel paramento'!$G$58,ABS(K2552)*'Sollecitazioni nel paramento'!$G$54,'Sollecitazioni nel paramento'!$G$53)</f>
        <v>0</v>
      </c>
      <c r="F2552" s="545">
        <f>-'Foglio deposito bis'!$F$89*(C2552-sezione!$AM$37)*IF(ABS(L2552)&lt;'Sollecitazioni nel paramento'!$G$58,ABS(L2552)*'Sollecitazioni nel paramento'!$G$54,'Sollecitazioni nel paramento'!$G$53)</f>
        <v>3240121.9341918626</v>
      </c>
      <c r="G2552" s="545">
        <f>-'Foglio deposito bis'!$F$90*(C2552-sezione!$AN$37)*IF(ABS(M2552)&lt;'Sollecitazioni nel paramento'!$G$58,ABS(M2552)*'Sollecitazioni nel paramento'!$G$54,'Sollecitazioni nel paramento'!$G$53)</f>
        <v>0</v>
      </c>
      <c r="H2552" s="545">
        <f>-'Foglio deposito bis'!$F$91*(C2552-sezione!$AO$37)*IF(ABS(N2552)&lt;'Sollecitazioni nel paramento'!$G$58,ABS(N2552)*'Sollecitazioni nel paramento'!$G$54,'Sollecitazioni nel paramento'!$G$53)</f>
        <v>108067177.75272422</v>
      </c>
      <c r="I2552" s="472">
        <f>-'Foglio deposito bis'!$F$92*(C2552-sezione!$AP$37)*IF(ABS(O2552)&lt;'Sollecitazioni nel paramento'!$G$58,ABS(O2552)*'Sollecitazioni nel paramento'!$G$54,'Sollecitazioni nel paramento'!$G$53)</f>
        <v>1295600696.7543151</v>
      </c>
      <c r="J2552" s="472">
        <f t="shared" si="178"/>
        <v>1373216259.4832115</v>
      </c>
      <c r="K2552" s="550">
        <f>'Sollecitazioni nel paramento'!$G$60*(sezione!$AL$37-C2552)/C2552</f>
        <v>9.7643680236981381E-5</v>
      </c>
      <c r="L2552" s="550">
        <f>'Sollecitazioni nel paramento'!$G$60*(sezione!$AM$37-C2552)/C2552</f>
        <v>1.8964655203554722E-3</v>
      </c>
      <c r="M2552" s="551">
        <f>'Sollecitazioni nel paramento'!$G$60*(sezione!$AN$37-C2552)/C2552</f>
        <v>3.6952873604739625E-3</v>
      </c>
      <c r="N2552" s="551">
        <f>'Sollecitazioni nel paramento'!$G$60*(sezione!$AO$37-C2552)/C2552</f>
        <v>1.0890574720947926E-2</v>
      </c>
      <c r="O2552" s="551">
        <f>'Sollecitazioni nel paramento'!$G$60*(sezione!$AP$37-C2552)/C2552</f>
        <v>7.011131154364364E-2</v>
      </c>
      <c r="P2552" s="545">
        <f>-'Sollecitazioni nel paramento'!$G$47*'Sollecitazioni nel paramento'!$G$41*IF(DATI!$G$211="dx",DATI!$E$61,DATI!$E$64*DATI!$E$63)*1000*C2552*sezione!$AD$5</f>
        <v>-1482520.3588946499</v>
      </c>
      <c r="Q2552" s="545">
        <f>'Foglio deposito bis'!$F$88*IF(ABS(K2552)&lt;'Sollecitazioni nel paramento'!$G$58,ABS(K2552)*'Sollecitazioni nel paramento'!$G$54,'Sollecitazioni nel paramento'!$G$53)*IF(K2552&lt;0,-1,1)</f>
        <v>0</v>
      </c>
      <c r="R2552" s="545">
        <f>'Foglio deposito bis'!$F$89*IF(ABS(L2552)&lt;'Sollecitazioni nel paramento'!$G$58,ABS(L2552)*'Sollecitazioni nel paramento'!$G$54,'Sollecitazioni nel paramento'!$G$53)*IF(L2552&lt;0,-1,1)</f>
        <v>153664.85805602249</v>
      </c>
      <c r="S2552" s="545">
        <f>'Foglio deposito bis'!$F$90*IF(ABS(M2552)&lt;'Sollecitazioni nel paramento'!$G$58,ABS(M2552)*'Sollecitazioni nel paramento'!$G$54,'Sollecitazioni nel paramento'!$G$53)*IF(M2552&lt;0,-1,1)</f>
        <v>0</v>
      </c>
      <c r="T2552" s="545">
        <f>'Foglio deposito bis'!$F$91*IF(ABS(N2552)&lt;'Sollecitazioni nel paramento'!$G$58,ABS(N2552)*'Sollecitazioni nel paramento'!$G$54,'Sollecitazioni nel paramento'!$G$53)*IF(N2552&lt;0,-1,1)</f>
        <v>892485.49558937876</v>
      </c>
      <c r="U2552" s="545">
        <f>'Foglio deposito bis'!$F$92*IF(ABS(O2552)&lt;'Sollecitazioni nel paramento'!$G$58,ABS(O2552)*'Sollecitazioni nel paramento'!$G$54,'Sollecitazioni nel paramento'!$G$53)*IF(O2552&lt;0,-1,1)</f>
        <v>1662039.1047339395</v>
      </c>
      <c r="V2552" s="472">
        <f t="shared" si="180"/>
        <v>1225669.0994846909</v>
      </c>
      <c r="W2552" s="551"/>
      <c r="X2552" s="551"/>
    </row>
    <row r="2553" spans="1:24" x14ac:dyDescent="0.25">
      <c r="A2553" s="545">
        <f t="shared" si="179"/>
        <v>1196873.6769724111</v>
      </c>
      <c r="B2553" s="3">
        <f t="shared" si="181"/>
        <v>3.3999999999999959</v>
      </c>
      <c r="C2553" s="545">
        <f>'Foglio deposito bis'!$E$163/sezione!$B$247*B2553</f>
        <v>39.495170969640419</v>
      </c>
      <c r="D2553" s="603">
        <f>-'Sollecitazioni nel paramento'!$G$47*'Sollecitazioni nel paramento'!$G$41*IF(DATI!$G$211="dx",DATI!$E$61,DATI!$E$64*DATI!$E$63)*1000*C2553^2*sezione!$AD$5*(1-sezione!$AD$6)</f>
        <v>-34704965.848492637</v>
      </c>
      <c r="E2553" s="545">
        <f>-'Foglio deposito bis'!$F$88*(C2553-sezione!$AL$37)*IF(ABS(K2553)&lt;'Sollecitazioni nel paramento'!$G$58,ABS(K2553)*'Sollecitazioni nel paramento'!$G$54,'Sollecitazioni nel paramento'!$G$53)</f>
        <v>0</v>
      </c>
      <c r="F2553" s="545">
        <f>-'Foglio deposito bis'!$F$89*(C2553-sezione!$AM$37)*IF(ABS(L2553)&lt;'Sollecitazioni nel paramento'!$G$58,ABS(L2553)*'Sollecitazioni nel paramento'!$G$54,'Sollecitazioni nel paramento'!$G$53)</f>
        <v>3014140.255198102</v>
      </c>
      <c r="G2553" s="545">
        <f>-'Foglio deposito bis'!$F$90*(C2553-sezione!$AN$37)*IF(ABS(M2553)&lt;'Sollecitazioni nel paramento'!$G$58,ABS(M2553)*'Sollecitazioni nel paramento'!$G$54,'Sollecitazioni nel paramento'!$G$53)</f>
        <v>0</v>
      </c>
      <c r="H2553" s="545">
        <f>-'Foglio deposito bis'!$F$91*(C2553-sezione!$AO$37)*IF(ABS(N2553)&lt;'Sollecitazioni nel paramento'!$G$58,ABS(N2553)*'Sollecitazioni nel paramento'!$G$54,'Sollecitazioni nel paramento'!$G$53)</f>
        <v>107548812.05807383</v>
      </c>
      <c r="I2553" s="472">
        <f>-'Foglio deposito bis'!$F$92*(C2553-sezione!$AP$37)*IF(ABS(O2553)&lt;'Sollecitazioni nel paramento'!$G$58,ABS(O2553)*'Sollecitazioni nel paramento'!$G$54,'Sollecitazioni nel paramento'!$G$53)</f>
        <v>1294635365.5984375</v>
      </c>
      <c r="J2553" s="472">
        <f t="shared" si="178"/>
        <v>1370493352.0632169</v>
      </c>
      <c r="K2553" s="550">
        <f>'Sollecitazioni nel paramento'!$G$60*(sezione!$AL$37-C2553)/C2553</f>
        <v>4.4737155527614586E-5</v>
      </c>
      <c r="L2553" s="550">
        <f>'Sollecitazioni nel paramento'!$G$60*(sezione!$AM$37-C2553)/C2553</f>
        <v>1.817105733291422E-3</v>
      </c>
      <c r="M2553" s="551">
        <f>'Sollecitazioni nel paramento'!$G$60*(sezione!$AN$37-C2553)/C2553</f>
        <v>3.5894743110552294E-3</v>
      </c>
      <c r="N2553" s="551">
        <f>'Sollecitazioni nel paramento'!$G$60*(sezione!$AO$37-C2553)/C2553</f>
        <v>1.0678948622110459E-2</v>
      </c>
      <c r="O2553" s="551">
        <f>'Sollecitazioni nel paramento'!$G$60*(sezione!$AP$37-C2553)/C2553</f>
        <v>6.9028792256237148E-2</v>
      </c>
      <c r="P2553" s="545">
        <f>-'Sollecitazioni nel paramento'!$G$47*'Sollecitazioni nel paramento'!$G$41*IF(DATI!$G$211="dx",DATI!$E$61,DATI!$E$64*DATI!$E$63)*1000*C2553*sezione!$AD$5</f>
        <v>-1504647.5284303909</v>
      </c>
      <c r="Q2553" s="545">
        <f>'Foglio deposito bis'!$F$88*IF(ABS(K2553)&lt;'Sollecitazioni nel paramento'!$G$58,ABS(K2553)*'Sollecitazioni nel paramento'!$G$54,'Sollecitazioni nel paramento'!$G$53)*IF(K2553&lt;0,-1,1)</f>
        <v>0</v>
      </c>
      <c r="R2553" s="545">
        <f>'Foglio deposito bis'!$F$89*IF(ABS(L2553)&lt;'Sollecitazioni nel paramento'!$G$58,ABS(L2553)*'Sollecitazioni nel paramento'!$G$54,'Sollecitazioni nel paramento'!$G$53)*IF(L2553&lt;0,-1,1)</f>
        <v>146996.60507948379</v>
      </c>
      <c r="S2553" s="545">
        <f>'Foglio deposito bis'!$F$90*IF(ABS(M2553)&lt;'Sollecitazioni nel paramento'!$G$58,ABS(M2553)*'Sollecitazioni nel paramento'!$G$54,'Sollecitazioni nel paramento'!$G$53)*IF(M2553&lt;0,-1,1)</f>
        <v>0</v>
      </c>
      <c r="T2553" s="545">
        <f>'Foglio deposito bis'!$F$91*IF(ABS(N2553)&lt;'Sollecitazioni nel paramento'!$G$58,ABS(N2553)*'Sollecitazioni nel paramento'!$G$54,'Sollecitazioni nel paramento'!$G$53)*IF(N2553&lt;0,-1,1)</f>
        <v>892485.49558937876</v>
      </c>
      <c r="U2553" s="545">
        <f>'Foglio deposito bis'!$F$92*IF(ABS(O2553)&lt;'Sollecitazioni nel paramento'!$G$58,ABS(O2553)*'Sollecitazioni nel paramento'!$G$54,'Sollecitazioni nel paramento'!$G$53)*IF(O2553&lt;0,-1,1)</f>
        <v>1662039.1047339395</v>
      </c>
      <c r="V2553" s="472">
        <f t="shared" si="180"/>
        <v>1196873.6769724111</v>
      </c>
      <c r="W2553" s="551"/>
      <c r="X2553" s="551"/>
    </row>
    <row r="2554" spans="1:24" x14ac:dyDescent="0.25">
      <c r="A2554" s="545">
        <f t="shared" si="179"/>
        <v>1168512.7010166084</v>
      </c>
      <c r="B2554" s="3">
        <f t="shared" si="181"/>
        <v>3.4499999999999957</v>
      </c>
      <c r="C2554" s="545">
        <f>'Foglio deposito bis'!$E$163/sezione!$B$247*B2554</f>
        <v>40.07598230742925</v>
      </c>
      <c r="D2554" s="603">
        <f>-'Sollecitazioni nel paramento'!$G$47*'Sollecitazioni nel paramento'!$G$41*IF(DATI!$G$211="dx",DATI!$E$61,DATI!$E$64*DATI!$E$63)*1000*C2554^2*sezione!$AD$5*(1-sezione!$AD$6)</f>
        <v>-35733205.537342861</v>
      </c>
      <c r="E2554" s="545">
        <f>-'Foglio deposito bis'!$F$88*(C2554-sezione!$AL$37)*IF(ABS(K2554)&lt;'Sollecitazioni nel paramento'!$G$58,ABS(K2554)*'Sollecitazioni nel paramento'!$G$54,'Sollecitazioni nel paramento'!$G$53)</f>
        <v>0</v>
      </c>
      <c r="F2554" s="545">
        <f>-'Foglio deposito bis'!$F$89*(C2554-sezione!$AM$37)*IF(ABS(L2554)&lt;'Sollecitazioni nel paramento'!$G$58,ABS(L2554)*'Sollecitazioni nel paramento'!$G$54,'Sollecitazioni nel paramento'!$G$53)</f>
        <v>2804560.4909460978</v>
      </c>
      <c r="G2554" s="545">
        <f>-'Foglio deposito bis'!$F$90*(C2554-sezione!$AN$37)*IF(ABS(M2554)&lt;'Sollecitazioni nel paramento'!$G$58,ABS(M2554)*'Sollecitazioni nel paramento'!$G$54,'Sollecitazioni nel paramento'!$G$53)</f>
        <v>0</v>
      </c>
      <c r="H2554" s="545">
        <f>-'Foglio deposito bis'!$F$91*(C2554-sezione!$AO$37)*IF(ABS(N2554)&lt;'Sollecitazioni nel paramento'!$G$58,ABS(N2554)*'Sollecitazioni nel paramento'!$G$54,'Sollecitazioni nel paramento'!$G$53)</f>
        <v>107030446.36342344</v>
      </c>
      <c r="I2554" s="472">
        <f>-'Foglio deposito bis'!$F$92*(C2554-sezione!$AP$37)*IF(ABS(O2554)&lt;'Sollecitazioni nel paramento'!$G$58,ABS(O2554)*'Sollecitazioni nel paramento'!$G$54,'Sollecitazioni nel paramento'!$G$53)</f>
        <v>1293670034.4425597</v>
      </c>
      <c r="J2554" s="472">
        <f t="shared" si="178"/>
        <v>1367771835.7595863</v>
      </c>
      <c r="K2554" s="550">
        <f>'Sollecitazioni nel paramento'!$G$60*(sezione!$AL$37-C2554)/C2554</f>
        <v>-6.635846726408875E-6</v>
      </c>
      <c r="L2554" s="550">
        <f>'Sollecitazioni nel paramento'!$G$60*(sezione!$AM$37-C2554)/C2554</f>
        <v>1.7400462299103868E-3</v>
      </c>
      <c r="M2554" s="551">
        <f>'Sollecitazioni nel paramento'!$G$60*(sezione!$AN$37-C2554)/C2554</f>
        <v>3.4867283065471823E-3</v>
      </c>
      <c r="N2554" s="551">
        <f>'Sollecitazioni nel paramento'!$G$60*(sezione!$AO$37-C2554)/C2554</f>
        <v>1.0473456613094364E-2</v>
      </c>
      <c r="O2554" s="551">
        <f>'Sollecitazioni nel paramento'!$G$60*(sezione!$AP$37-C2554)/C2554</f>
        <v>6.797765033948007E-2</v>
      </c>
      <c r="P2554" s="545">
        <f>-'Sollecitazioni nel paramento'!$G$47*'Sollecitazioni nel paramento'!$G$41*IF(DATI!$G$211="dx",DATI!$E$61,DATI!$E$64*DATI!$E$63)*1000*C2554*sezione!$AD$5</f>
        <v>-1526774.6979661318</v>
      </c>
      <c r="Q2554" s="545">
        <f>'Foglio deposito bis'!$F$88*IF(ABS(K2554)&lt;'Sollecitazioni nel paramento'!$G$58,ABS(K2554)*'Sollecitazioni nel paramento'!$G$54,'Sollecitazioni nel paramento'!$G$53)*IF(K2554&lt;0,-1,1)</f>
        <v>0</v>
      </c>
      <c r="R2554" s="545">
        <f>'Foglio deposito bis'!$F$89*IF(ABS(L2554)&lt;'Sollecitazioni nel paramento'!$G$58,ABS(L2554)*'Sollecitazioni nel paramento'!$G$54,'Sollecitazioni nel paramento'!$G$53)*IF(L2554&lt;0,-1,1)</f>
        <v>140762.79865942197</v>
      </c>
      <c r="S2554" s="545">
        <f>'Foglio deposito bis'!$F$90*IF(ABS(M2554)&lt;'Sollecitazioni nel paramento'!$G$58,ABS(M2554)*'Sollecitazioni nel paramento'!$G$54,'Sollecitazioni nel paramento'!$G$53)*IF(M2554&lt;0,-1,1)</f>
        <v>0</v>
      </c>
      <c r="T2554" s="545">
        <f>'Foglio deposito bis'!$F$91*IF(ABS(N2554)&lt;'Sollecitazioni nel paramento'!$G$58,ABS(N2554)*'Sollecitazioni nel paramento'!$G$54,'Sollecitazioni nel paramento'!$G$53)*IF(N2554&lt;0,-1,1)</f>
        <v>892485.49558937876</v>
      </c>
      <c r="U2554" s="545">
        <f>'Foglio deposito bis'!$F$92*IF(ABS(O2554)&lt;'Sollecitazioni nel paramento'!$G$58,ABS(O2554)*'Sollecitazioni nel paramento'!$G$54,'Sollecitazioni nel paramento'!$G$53)*IF(O2554&lt;0,-1,1)</f>
        <v>1662039.1047339395</v>
      </c>
      <c r="V2554" s="472">
        <f t="shared" si="180"/>
        <v>1168512.7010166084</v>
      </c>
      <c r="W2554" s="551"/>
      <c r="X2554" s="551"/>
    </row>
    <row r="2555" spans="1:24" x14ac:dyDescent="0.25">
      <c r="A2555" s="545">
        <f t="shared" si="179"/>
        <v>1140329.8338156643</v>
      </c>
      <c r="B2555" s="3">
        <f t="shared" si="181"/>
        <v>3.4999999999999956</v>
      </c>
      <c r="C2555" s="545">
        <f>'Foglio deposito bis'!$E$163/sezione!$B$247*B2555</f>
        <v>40.65679364521808</v>
      </c>
      <c r="D2555" s="603">
        <f>-'Sollecitazioni nel paramento'!$G$47*'Sollecitazioni nel paramento'!$G$41*IF(DATI!$G$211="dx",DATI!$E$61,DATI!$E$64*DATI!$E$63)*1000*C2555^2*sezione!$AD$5*(1-sezione!$AD$6)</f>
        <v>-36776456.02457048</v>
      </c>
      <c r="E2555" s="545">
        <f>-'Foglio deposito bis'!$F$88*(C2555-sezione!$AL$37)*IF(ABS(K2555)&lt;'Sollecitazioni nel paramento'!$G$58,ABS(K2555)*'Sollecitazioni nel paramento'!$G$54,'Sollecitazioni nel paramento'!$G$53)</f>
        <v>0</v>
      </c>
      <c r="F2555" s="545">
        <f>-'Foglio deposito bis'!$F$89*(C2555-sezione!$AM$37)*IF(ABS(L2555)&lt;'Sollecitazioni nel paramento'!$G$58,ABS(L2555)*'Sollecitazioni nel paramento'!$G$54,'Sollecitazioni nel paramento'!$G$53)</f>
        <v>2605667.2519856286</v>
      </c>
      <c r="G2555" s="545">
        <f>-'Foglio deposito bis'!$F$90*(C2555-sezione!$AN$37)*IF(ABS(M2555)&lt;'Sollecitazioni nel paramento'!$G$58,ABS(M2555)*'Sollecitazioni nel paramento'!$G$54,'Sollecitazioni nel paramento'!$G$53)</f>
        <v>0</v>
      </c>
      <c r="H2555" s="545">
        <f>-'Foglio deposito bis'!$F$91*(C2555-sezione!$AO$37)*IF(ABS(N2555)&lt;'Sollecitazioni nel paramento'!$G$58,ABS(N2555)*'Sollecitazioni nel paramento'!$G$54,'Sollecitazioni nel paramento'!$G$53)</f>
        <v>106512080.66877304</v>
      </c>
      <c r="I2555" s="472">
        <f>-'Foglio deposito bis'!$F$92*(C2555-sezione!$AP$37)*IF(ABS(O2555)&lt;'Sollecitazioni nel paramento'!$G$58,ABS(O2555)*'Sollecitazioni nel paramento'!$G$54,'Sollecitazioni nel paramento'!$G$53)</f>
        <v>1292704703.2866819</v>
      </c>
      <c r="J2555" s="472">
        <f t="shared" si="178"/>
        <v>1365045995.1828701</v>
      </c>
      <c r="K2555" s="550">
        <f>'Sollecitazioni nel paramento'!$G$60*(sezione!$AL$37-C2555)/C2555</f>
        <v>-5.6541048916031666E-5</v>
      </c>
      <c r="L2555" s="550">
        <f>'Sollecitazioni nel paramento'!$G$60*(sezione!$AM$37-C2555)/C2555</f>
        <v>1.6651884266259524E-3</v>
      </c>
      <c r="M2555" s="551">
        <f>'Sollecitazioni nel paramento'!$G$60*(sezione!$AN$37-C2555)/C2555</f>
        <v>3.3869179021679368E-3</v>
      </c>
      <c r="N2555" s="551">
        <f>'Sollecitazioni nel paramento'!$G$60*(sezione!$AO$37-C2555)/C2555</f>
        <v>1.0273835804335874E-2</v>
      </c>
      <c r="O2555" s="551">
        <f>'Sollecitazioni nel paramento'!$G$60*(sezione!$AP$37-C2555)/C2555</f>
        <v>6.6956541048916088E-2</v>
      </c>
      <c r="P2555" s="545">
        <f>-'Sollecitazioni nel paramento'!$G$47*'Sollecitazioni nel paramento'!$G$41*IF(DATI!$G$211="dx",DATI!$E$61,DATI!$E$64*DATI!$E$63)*1000*C2555*sezione!$AD$5</f>
        <v>-1548901.8675018731</v>
      </c>
      <c r="Q2555" s="545">
        <f>'Foglio deposito bis'!$F$88*IF(ABS(K2555)&lt;'Sollecitazioni nel paramento'!$G$58,ABS(K2555)*'Sollecitazioni nel paramento'!$G$54,'Sollecitazioni nel paramento'!$G$53)*IF(K2555&lt;0,-1,1)</f>
        <v>0</v>
      </c>
      <c r="R2555" s="545">
        <f>'Foglio deposito bis'!$F$89*IF(ABS(L2555)&lt;'Sollecitazioni nel paramento'!$G$58,ABS(L2555)*'Sollecitazioni nel paramento'!$G$54,'Sollecitazioni nel paramento'!$G$53)*IF(L2555&lt;0,-1,1)</f>
        <v>134707.10099421907</v>
      </c>
      <c r="S2555" s="545">
        <f>'Foglio deposito bis'!$F$90*IF(ABS(M2555)&lt;'Sollecitazioni nel paramento'!$G$58,ABS(M2555)*'Sollecitazioni nel paramento'!$G$54,'Sollecitazioni nel paramento'!$G$53)*IF(M2555&lt;0,-1,1)</f>
        <v>0</v>
      </c>
      <c r="T2555" s="545">
        <f>'Foglio deposito bis'!$F$91*IF(ABS(N2555)&lt;'Sollecitazioni nel paramento'!$G$58,ABS(N2555)*'Sollecitazioni nel paramento'!$G$54,'Sollecitazioni nel paramento'!$G$53)*IF(N2555&lt;0,-1,1)</f>
        <v>892485.49558937876</v>
      </c>
      <c r="U2555" s="545">
        <f>'Foglio deposito bis'!$F$92*IF(ABS(O2555)&lt;'Sollecitazioni nel paramento'!$G$58,ABS(O2555)*'Sollecitazioni nel paramento'!$G$54,'Sollecitazioni nel paramento'!$G$53)*IF(O2555&lt;0,-1,1)</f>
        <v>1662039.1047339395</v>
      </c>
      <c r="V2555" s="472">
        <f t="shared" si="180"/>
        <v>1140329.8338156643</v>
      </c>
      <c r="W2555" s="551"/>
      <c r="X2555" s="551"/>
    </row>
    <row r="2556" spans="1:24" x14ac:dyDescent="0.25">
      <c r="A2556" s="545">
        <f t="shared" si="179"/>
        <v>1112317.5496475436</v>
      </c>
      <c r="B2556" s="3">
        <f t="shared" si="181"/>
        <v>3.5499999999999954</v>
      </c>
      <c r="C2556" s="545">
        <f>'Foglio deposito bis'!$E$163/sezione!$B$247*B2556</f>
        <v>41.237604983006904</v>
      </c>
      <c r="D2556" s="603">
        <f>-'Sollecitazioni nel paramento'!$G$47*'Sollecitazioni nel paramento'!$G$41*IF(DATI!$G$211="dx",DATI!$E$61,DATI!$E$64*DATI!$E$63)*1000*C2556^2*sezione!$AD$5*(1-sezione!$AD$6)</f>
        <v>-37834717.310175456</v>
      </c>
      <c r="E2556" s="545">
        <f>-'Foglio deposito bis'!$F$88*(C2556-sezione!$AL$37)*IF(ABS(K2556)&lt;'Sollecitazioni nel paramento'!$G$58,ABS(K2556)*'Sollecitazioni nel paramento'!$G$54,'Sollecitazioni nel paramento'!$G$53)</f>
        <v>0</v>
      </c>
      <c r="F2556" s="545">
        <f>-'Foglio deposito bis'!$F$89*(C2556-sezione!$AM$37)*IF(ABS(L2556)&lt;'Sollecitazioni nel paramento'!$G$58,ABS(L2556)*'Sollecitazioni nel paramento'!$G$54,'Sollecitazioni nel paramento'!$G$53)</f>
        <v>2417008.9949945183</v>
      </c>
      <c r="G2556" s="545">
        <f>-'Foglio deposito bis'!$F$90*(C2556-sezione!$AN$37)*IF(ABS(M2556)&lt;'Sollecitazioni nel paramento'!$G$58,ABS(M2556)*'Sollecitazioni nel paramento'!$G$54,'Sollecitazioni nel paramento'!$G$53)</f>
        <v>0</v>
      </c>
      <c r="H2556" s="545">
        <f>-'Foglio deposito bis'!$F$91*(C2556-sezione!$AO$37)*IF(ABS(N2556)&lt;'Sollecitazioni nel paramento'!$G$58,ABS(N2556)*'Sollecitazioni nel paramento'!$G$54,'Sollecitazioni nel paramento'!$G$53)</f>
        <v>105993714.97412266</v>
      </c>
      <c r="I2556" s="472">
        <f>-'Foglio deposito bis'!$F$92*(C2556-sezione!$AP$37)*IF(ABS(O2556)&lt;'Sollecitazioni nel paramento'!$G$58,ABS(O2556)*'Sollecitazioni nel paramento'!$G$54,'Sollecitazioni nel paramento'!$G$53)</f>
        <v>1291739372.1308038</v>
      </c>
      <c r="J2556" s="472">
        <f t="shared" si="178"/>
        <v>1362315378.7897456</v>
      </c>
      <c r="K2556" s="550">
        <f>'Sollecitazioni nel paramento'!$G$60*(sezione!$AL$37-C2556)/C2556</f>
        <v>-1.0504047076228421E-4</v>
      </c>
      <c r="L2556" s="550">
        <f>'Sollecitazioni nel paramento'!$G$60*(sezione!$AM$37-C2556)/C2556</f>
        <v>1.5924392938565736E-3</v>
      </c>
      <c r="M2556" s="551">
        <f>'Sollecitazioni nel paramento'!$G$60*(sezione!$AN$37-C2556)/C2556</f>
        <v>3.2899190584754316E-3</v>
      </c>
      <c r="N2556" s="551">
        <f>'Sollecitazioni nel paramento'!$G$60*(sezione!$AO$37-C2556)/C2556</f>
        <v>1.0079838116950863E-2</v>
      </c>
      <c r="O2556" s="551">
        <f>'Sollecitazioni nel paramento'!$G$60*(sezione!$AP$37-C2556)/C2556</f>
        <v>6.5964195400339806E-2</v>
      </c>
      <c r="P2556" s="545">
        <f>-'Sollecitazioni nel paramento'!$G$47*'Sollecitazioni nel paramento'!$G$41*IF(DATI!$G$211="dx",DATI!$E$61,DATI!$E$64*DATI!$E$63)*1000*C2556*sezione!$AD$5</f>
        <v>-1571029.0370376136</v>
      </c>
      <c r="Q2556" s="545">
        <f>'Foglio deposito bis'!$F$88*IF(ABS(K2556)&lt;'Sollecitazioni nel paramento'!$G$58,ABS(K2556)*'Sollecitazioni nel paramento'!$G$54,'Sollecitazioni nel paramento'!$G$53)*IF(K2556&lt;0,-1,1)</f>
        <v>0</v>
      </c>
      <c r="R2556" s="545">
        <f>'Foglio deposito bis'!$F$89*IF(ABS(L2556)&lt;'Sollecitazioni nel paramento'!$G$58,ABS(L2556)*'Sollecitazioni nel paramento'!$G$54,'Sollecitazioni nel paramento'!$G$53)*IF(L2556&lt;0,-1,1)</f>
        <v>128821.98636183886</v>
      </c>
      <c r="S2556" s="545">
        <f>'Foglio deposito bis'!$F$90*IF(ABS(M2556)&lt;'Sollecitazioni nel paramento'!$G$58,ABS(M2556)*'Sollecitazioni nel paramento'!$G$54,'Sollecitazioni nel paramento'!$G$53)*IF(M2556&lt;0,-1,1)</f>
        <v>0</v>
      </c>
      <c r="T2556" s="545">
        <f>'Foglio deposito bis'!$F$91*IF(ABS(N2556)&lt;'Sollecitazioni nel paramento'!$G$58,ABS(N2556)*'Sollecitazioni nel paramento'!$G$54,'Sollecitazioni nel paramento'!$G$53)*IF(N2556&lt;0,-1,1)</f>
        <v>892485.49558937876</v>
      </c>
      <c r="U2556" s="545">
        <f>'Foglio deposito bis'!$F$92*IF(ABS(O2556)&lt;'Sollecitazioni nel paramento'!$G$58,ABS(O2556)*'Sollecitazioni nel paramento'!$G$54,'Sollecitazioni nel paramento'!$G$53)*IF(O2556&lt;0,-1,1)</f>
        <v>1662039.1047339395</v>
      </c>
      <c r="V2556" s="472">
        <f t="shared" si="180"/>
        <v>1112317.5496475436</v>
      </c>
      <c r="W2556" s="551"/>
      <c r="X2556" s="551"/>
    </row>
    <row r="2557" spans="1:24" x14ac:dyDescent="0.25">
      <c r="A2557" s="545">
        <f t="shared" si="179"/>
        <v>1084468.7408858771</v>
      </c>
      <c r="B2557" s="3">
        <f t="shared" si="181"/>
        <v>3.5999999999999952</v>
      </c>
      <c r="C2557" s="545">
        <f>'Foglio deposito bis'!$E$163/sezione!$B$247*B2557</f>
        <v>41.818416320795734</v>
      </c>
      <c r="D2557" s="603">
        <f>-'Sollecitazioni nel paramento'!$G$47*'Sollecitazioni nel paramento'!$G$41*IF(DATI!$G$211="dx",DATI!$E$61,DATI!$E$64*DATI!$E$63)*1000*C2557^2*sezione!$AD$5*(1-sezione!$AD$6)</f>
        <v>-38907989.394157812</v>
      </c>
      <c r="E2557" s="545">
        <f>-'Foglio deposito bis'!$F$88*(C2557-sezione!$AL$37)*IF(ABS(K2557)&lt;'Sollecitazioni nel paramento'!$G$58,ABS(K2557)*'Sollecitazioni nel paramento'!$G$54,'Sollecitazioni nel paramento'!$G$53)</f>
        <v>0</v>
      </c>
      <c r="F2557" s="545">
        <f>-'Foglio deposito bis'!$F$89*(C2557-sezione!$AM$37)*IF(ABS(L2557)&lt;'Sollecitazioni nel paramento'!$G$58,ABS(L2557)*'Sollecitazioni nel paramento'!$G$54,'Sollecitazioni nel paramento'!$G$53)</f>
        <v>2238159.2623907062</v>
      </c>
      <c r="G2557" s="545">
        <f>-'Foglio deposito bis'!$F$90*(C2557-sezione!$AN$37)*IF(ABS(M2557)&lt;'Sollecitazioni nel paramento'!$G$58,ABS(M2557)*'Sollecitazioni nel paramento'!$G$54,'Sollecitazioni nel paramento'!$G$53)</f>
        <v>0</v>
      </c>
      <c r="H2557" s="545">
        <f>-'Foglio deposito bis'!$F$91*(C2557-sezione!$AO$37)*IF(ABS(N2557)&lt;'Sollecitazioni nel paramento'!$G$58,ABS(N2557)*'Sollecitazioni nel paramento'!$G$54,'Sollecitazioni nel paramento'!$G$53)</f>
        <v>105475349.27947226</v>
      </c>
      <c r="I2557" s="472">
        <f>-'Foglio deposito bis'!$F$92*(C2557-sezione!$AP$37)*IF(ABS(O2557)&lt;'Sollecitazioni nel paramento'!$G$58,ABS(O2557)*'Sollecitazioni nel paramento'!$G$54,'Sollecitazioni nel paramento'!$G$53)</f>
        <v>1290774040.974926</v>
      </c>
      <c r="J2557" s="472">
        <f t="shared" si="178"/>
        <v>1359579560.1226311</v>
      </c>
      <c r="K2557" s="550">
        <f>'Sollecitazioni nel paramento'!$G$60*(sezione!$AL$37-C2557)/C2557</f>
        <v>-1.5219268644614143E-4</v>
      </c>
      <c r="L2557" s="550">
        <f>'Sollecitazioni nel paramento'!$G$60*(sezione!$AM$37-C2557)/C2557</f>
        <v>1.5217109703307878E-3</v>
      </c>
      <c r="M2557" s="551">
        <f>'Sollecitazioni nel paramento'!$G$60*(sezione!$AN$37-C2557)/C2557</f>
        <v>3.1956146271077172E-3</v>
      </c>
      <c r="N2557" s="551">
        <f>'Sollecitazioni nel paramento'!$G$60*(sezione!$AO$37-C2557)/C2557</f>
        <v>9.8912292542154348E-3</v>
      </c>
      <c r="O2557" s="551">
        <f>'Sollecitazioni nel paramento'!$G$60*(sezione!$AP$37-C2557)/C2557</f>
        <v>6.499941490866841E-2</v>
      </c>
      <c r="P2557" s="545">
        <f>-'Sollecitazioni nel paramento'!$G$47*'Sollecitazioni nel paramento'!$G$41*IF(DATI!$G$211="dx",DATI!$E$61,DATI!$E$64*DATI!$E$63)*1000*C2557*sezione!$AD$5</f>
        <v>-1593156.2065733548</v>
      </c>
      <c r="Q2557" s="545">
        <f>'Foglio deposito bis'!$F$88*IF(ABS(K2557)&lt;'Sollecitazioni nel paramento'!$G$58,ABS(K2557)*'Sollecitazioni nel paramento'!$G$54,'Sollecitazioni nel paramento'!$G$53)*IF(K2557&lt;0,-1,1)</f>
        <v>0</v>
      </c>
      <c r="R2557" s="545">
        <f>'Foglio deposito bis'!$F$89*IF(ABS(L2557)&lt;'Sollecitazioni nel paramento'!$G$58,ABS(L2557)*'Sollecitazioni nel paramento'!$G$54,'Sollecitazioni nel paramento'!$G$53)*IF(L2557&lt;0,-1,1)</f>
        <v>123100.3471359136</v>
      </c>
      <c r="S2557" s="545">
        <f>'Foglio deposito bis'!$F$90*IF(ABS(M2557)&lt;'Sollecitazioni nel paramento'!$G$58,ABS(M2557)*'Sollecitazioni nel paramento'!$G$54,'Sollecitazioni nel paramento'!$G$53)*IF(M2557&lt;0,-1,1)</f>
        <v>0</v>
      </c>
      <c r="T2557" s="545">
        <f>'Foglio deposito bis'!$F$91*IF(ABS(N2557)&lt;'Sollecitazioni nel paramento'!$G$58,ABS(N2557)*'Sollecitazioni nel paramento'!$G$54,'Sollecitazioni nel paramento'!$G$53)*IF(N2557&lt;0,-1,1)</f>
        <v>892485.49558937876</v>
      </c>
      <c r="U2557" s="545">
        <f>'Foglio deposito bis'!$F$92*IF(ABS(O2557)&lt;'Sollecitazioni nel paramento'!$G$58,ABS(O2557)*'Sollecitazioni nel paramento'!$G$54,'Sollecitazioni nel paramento'!$G$53)*IF(O2557&lt;0,-1,1)</f>
        <v>1662039.1047339395</v>
      </c>
      <c r="V2557" s="472">
        <f t="shared" si="180"/>
        <v>1084468.7408858771</v>
      </c>
      <c r="W2557" s="551"/>
      <c r="X2557" s="551"/>
    </row>
    <row r="2558" spans="1:24" x14ac:dyDescent="0.25">
      <c r="A2558" s="545">
        <f t="shared" si="179"/>
        <v>1056776.6893632773</v>
      </c>
      <c r="B2558" s="3">
        <f t="shared" si="181"/>
        <v>3.649999999999995</v>
      </c>
      <c r="C2558" s="545">
        <f>'Foglio deposito bis'!$E$163/sezione!$B$247*B2558</f>
        <v>42.399227658584564</v>
      </c>
      <c r="D2558" s="603">
        <f>-'Sollecitazioni nel paramento'!$G$47*'Sollecitazioni nel paramento'!$G$41*IF(DATI!$G$211="dx",DATI!$E$61,DATI!$E$64*DATI!$E$63)*1000*C2558^2*sezione!$AD$5*(1-sezione!$AD$6)</f>
        <v>-39996272.276517548</v>
      </c>
      <c r="E2558" s="545">
        <f>-'Foglio deposito bis'!$F$88*(C2558-sezione!$AL$37)*IF(ABS(K2558)&lt;'Sollecitazioni nel paramento'!$G$58,ABS(K2558)*'Sollecitazioni nel paramento'!$G$54,'Sollecitazioni nel paramento'!$G$53)</f>
        <v>0</v>
      </c>
      <c r="F2558" s="545">
        <f>-'Foglio deposito bis'!$F$89*(C2558-sezione!$AM$37)*IF(ABS(L2558)&lt;'Sollecitazioni nel paramento'!$G$58,ABS(L2558)*'Sollecitazioni nel paramento'!$G$54,'Sollecitazioni nel paramento'!$G$53)</f>
        <v>2068714.9641308815</v>
      </c>
      <c r="G2558" s="545">
        <f>-'Foglio deposito bis'!$F$90*(C2558-sezione!$AN$37)*IF(ABS(M2558)&lt;'Sollecitazioni nel paramento'!$G$58,ABS(M2558)*'Sollecitazioni nel paramento'!$G$54,'Sollecitazioni nel paramento'!$G$53)</f>
        <v>0</v>
      </c>
      <c r="H2558" s="545">
        <f>-'Foglio deposito bis'!$F$91*(C2558-sezione!$AO$37)*IF(ABS(N2558)&lt;'Sollecitazioni nel paramento'!$G$58,ABS(N2558)*'Sollecitazioni nel paramento'!$G$54,'Sollecitazioni nel paramento'!$G$53)</f>
        <v>104956983.58482186</v>
      </c>
      <c r="I2558" s="472">
        <f>-'Foglio deposito bis'!$F$92*(C2558-sezione!$AP$37)*IF(ABS(O2558)&lt;'Sollecitazioni nel paramento'!$G$58,ABS(O2558)*'Sollecitazioni nel paramento'!$G$54,'Sollecitazioni nel paramento'!$G$53)</f>
        <v>1289808709.8190482</v>
      </c>
      <c r="J2558" s="472">
        <f t="shared" si="178"/>
        <v>1356838136.0914834</v>
      </c>
      <c r="K2558" s="550">
        <f>'Sollecitazioni nel paramento'!$G$60*(sezione!$AL$37-C2558)/C2558</f>
        <v>-1.9805306060441356E-4</v>
      </c>
      <c r="L2558" s="550">
        <f>'Sollecitazioni nel paramento'!$G$60*(sezione!$AM$37-C2558)/C2558</f>
        <v>1.4529204090933797E-3</v>
      </c>
      <c r="M2558" s="551">
        <f>'Sollecitazioni nel paramento'!$G$60*(sezione!$AN$37-C2558)/C2558</f>
        <v>3.1038938787911734E-3</v>
      </c>
      <c r="N2558" s="551">
        <f>'Sollecitazioni nel paramento'!$G$60*(sezione!$AO$37-C2558)/C2558</f>
        <v>9.7077877575823448E-3</v>
      </c>
      <c r="O2558" s="551">
        <f>'Sollecitazioni nel paramento'!$G$60*(sezione!$AP$37-C2558)/C2558</f>
        <v>6.4061066759234606E-2</v>
      </c>
      <c r="P2558" s="545">
        <f>-'Sollecitazioni nel paramento'!$G$47*'Sollecitazioni nel paramento'!$G$41*IF(DATI!$G$211="dx",DATI!$E$61,DATI!$E$64*DATI!$E$63)*1000*C2558*sezione!$AD$5</f>
        <v>-1615283.3761090958</v>
      </c>
      <c r="Q2558" s="545">
        <f>'Foglio deposito bis'!$F$88*IF(ABS(K2558)&lt;'Sollecitazioni nel paramento'!$G$58,ABS(K2558)*'Sollecitazioni nel paramento'!$G$54,'Sollecitazioni nel paramento'!$G$53)*IF(K2558&lt;0,-1,1)</f>
        <v>0</v>
      </c>
      <c r="R2558" s="545">
        <f>'Foglio deposito bis'!$F$89*IF(ABS(L2558)&lt;'Sollecitazioni nel paramento'!$G$58,ABS(L2558)*'Sollecitazioni nel paramento'!$G$54,'Sollecitazioni nel paramento'!$G$53)*IF(L2558&lt;0,-1,1)</f>
        <v>117535.4651490548</v>
      </c>
      <c r="S2558" s="545">
        <f>'Foglio deposito bis'!$F$90*IF(ABS(M2558)&lt;'Sollecitazioni nel paramento'!$G$58,ABS(M2558)*'Sollecitazioni nel paramento'!$G$54,'Sollecitazioni nel paramento'!$G$53)*IF(M2558&lt;0,-1,1)</f>
        <v>0</v>
      </c>
      <c r="T2558" s="545">
        <f>'Foglio deposito bis'!$F$91*IF(ABS(N2558)&lt;'Sollecitazioni nel paramento'!$G$58,ABS(N2558)*'Sollecitazioni nel paramento'!$G$54,'Sollecitazioni nel paramento'!$G$53)*IF(N2558&lt;0,-1,1)</f>
        <v>892485.49558937876</v>
      </c>
      <c r="U2558" s="545">
        <f>'Foglio deposito bis'!$F$92*IF(ABS(O2558)&lt;'Sollecitazioni nel paramento'!$G$58,ABS(O2558)*'Sollecitazioni nel paramento'!$G$54,'Sollecitazioni nel paramento'!$G$53)*IF(O2558&lt;0,-1,1)</f>
        <v>1662039.1047339395</v>
      </c>
      <c r="V2558" s="472">
        <f t="shared" si="180"/>
        <v>1056776.6893632773</v>
      </c>
      <c r="W2558" s="551"/>
      <c r="X2558" s="551"/>
    </row>
    <row r="2559" spans="1:24" x14ac:dyDescent="0.25">
      <c r="A2559" s="545">
        <f t="shared" si="179"/>
        <v>1029235.0400565383</v>
      </c>
      <c r="B2559" s="3">
        <f t="shared" si="181"/>
        <v>3.6999999999999948</v>
      </c>
      <c r="C2559" s="545">
        <f>'Foglio deposito bis'!$E$163/sezione!$B$247*B2559</f>
        <v>42.980038996373395</v>
      </c>
      <c r="D2559" s="603">
        <f>-'Sollecitazioni nel paramento'!$G$47*'Sollecitazioni nel paramento'!$G$41*IF(DATI!$G$211="dx",DATI!$E$61,DATI!$E$64*DATI!$E$63)*1000*C2559^2*sezione!$AD$5*(1-sezione!$AD$6)</f>
        <v>-41099565.957254671</v>
      </c>
      <c r="E2559" s="545">
        <f>-'Foglio deposito bis'!$F$88*(C2559-sezione!$AL$37)*IF(ABS(K2559)&lt;'Sollecitazioni nel paramento'!$G$58,ABS(K2559)*'Sollecitazioni nel paramento'!$G$54,'Sollecitazioni nel paramento'!$G$53)</f>
        <v>0</v>
      </c>
      <c r="F2559" s="545">
        <f>-'Foglio deposito bis'!$F$89*(C2559-sezione!$AM$37)*IF(ABS(L2559)&lt;'Sollecitazioni nel paramento'!$G$58,ABS(L2559)*'Sollecitazioni nel paramento'!$G$54,'Sollecitazioni nel paramento'!$G$53)</f>
        <v>1908294.7988227194</v>
      </c>
      <c r="G2559" s="545">
        <f>-'Foglio deposito bis'!$F$90*(C2559-sezione!$AN$37)*IF(ABS(M2559)&lt;'Sollecitazioni nel paramento'!$G$58,ABS(M2559)*'Sollecitazioni nel paramento'!$G$54,'Sollecitazioni nel paramento'!$G$53)</f>
        <v>0</v>
      </c>
      <c r="H2559" s="545">
        <f>-'Foglio deposito bis'!$F$91*(C2559-sezione!$AO$37)*IF(ABS(N2559)&lt;'Sollecitazioni nel paramento'!$G$58,ABS(N2559)*'Sollecitazioni nel paramento'!$G$54,'Sollecitazioni nel paramento'!$G$53)</f>
        <v>104438617.89017147</v>
      </c>
      <c r="I2559" s="472">
        <f>-'Foglio deposito bis'!$F$92*(C2559-sezione!$AP$37)*IF(ABS(O2559)&lt;'Sollecitazioni nel paramento'!$G$58,ABS(O2559)*'Sollecitazioni nel paramento'!$G$54,'Sollecitazioni nel paramento'!$G$53)</f>
        <v>1288843378.6631703</v>
      </c>
      <c r="J2559" s="472">
        <f t="shared" si="178"/>
        <v>1354090725.3949099</v>
      </c>
      <c r="K2559" s="550">
        <f>'Sollecitazioni nel paramento'!$G$60*(sezione!$AL$37-C2559)/C2559</f>
        <v>-2.4267396519084045E-4</v>
      </c>
      <c r="L2559" s="550">
        <f>'Sollecitazioni nel paramento'!$G$60*(sezione!$AM$37-C2559)/C2559</f>
        <v>1.3859890522137394E-3</v>
      </c>
      <c r="M2559" s="551">
        <f>'Sollecitazioni nel paramento'!$G$60*(sezione!$AN$37-C2559)/C2559</f>
        <v>3.014652069618319E-3</v>
      </c>
      <c r="N2559" s="551">
        <f>'Sollecitazioni nel paramento'!$G$60*(sezione!$AO$37-C2559)/C2559</f>
        <v>9.5293041392366384E-3</v>
      </c>
      <c r="O2559" s="551">
        <f>'Sollecitazioni nel paramento'!$G$60*(sezione!$AP$37-C2559)/C2559</f>
        <v>6.3148079370596299E-2</v>
      </c>
      <c r="P2559" s="545">
        <f>-'Sollecitazioni nel paramento'!$G$47*'Sollecitazioni nel paramento'!$G$41*IF(DATI!$G$211="dx",DATI!$E$61,DATI!$E$64*DATI!$E$63)*1000*C2559*sezione!$AD$5</f>
        <v>-1637410.545644837</v>
      </c>
      <c r="Q2559" s="545">
        <f>'Foglio deposito bis'!$F$88*IF(ABS(K2559)&lt;'Sollecitazioni nel paramento'!$G$58,ABS(K2559)*'Sollecitazioni nel paramento'!$G$54,'Sollecitazioni nel paramento'!$G$53)*IF(K2559&lt;0,-1,1)</f>
        <v>0</v>
      </c>
      <c r="R2559" s="545">
        <f>'Foglio deposito bis'!$F$89*IF(ABS(L2559)&lt;'Sollecitazioni nel paramento'!$G$58,ABS(L2559)*'Sollecitazioni nel paramento'!$G$54,'Sollecitazioni nel paramento'!$G$53)*IF(L2559&lt;0,-1,1)</f>
        <v>112120.98537805703</v>
      </c>
      <c r="S2559" s="545">
        <f>'Foglio deposito bis'!$F$90*IF(ABS(M2559)&lt;'Sollecitazioni nel paramento'!$G$58,ABS(M2559)*'Sollecitazioni nel paramento'!$G$54,'Sollecitazioni nel paramento'!$G$53)*IF(M2559&lt;0,-1,1)</f>
        <v>0</v>
      </c>
      <c r="T2559" s="545">
        <f>'Foglio deposito bis'!$F$91*IF(ABS(N2559)&lt;'Sollecitazioni nel paramento'!$G$58,ABS(N2559)*'Sollecitazioni nel paramento'!$G$54,'Sollecitazioni nel paramento'!$G$53)*IF(N2559&lt;0,-1,1)</f>
        <v>892485.49558937876</v>
      </c>
      <c r="U2559" s="545">
        <f>'Foglio deposito bis'!$F$92*IF(ABS(O2559)&lt;'Sollecitazioni nel paramento'!$G$58,ABS(O2559)*'Sollecitazioni nel paramento'!$G$54,'Sollecitazioni nel paramento'!$G$53)*IF(O2559&lt;0,-1,1)</f>
        <v>1662039.1047339395</v>
      </c>
      <c r="V2559" s="472">
        <f t="shared" si="180"/>
        <v>1029235.0400565383</v>
      </c>
      <c r="W2559" s="551"/>
      <c r="X2559" s="551"/>
    </row>
    <row r="2560" spans="1:24" x14ac:dyDescent="0.25">
      <c r="A2560" s="545">
        <f t="shared" si="179"/>
        <v>1001837.7768770265</v>
      </c>
      <c r="B2560" s="3">
        <f t="shared" si="181"/>
        <v>3.7499999999999947</v>
      </c>
      <c r="C2560" s="545">
        <f>'Foglio deposito bis'!$E$163/sezione!$B$247*B2560</f>
        <v>43.560850334162218</v>
      </c>
      <c r="D2560" s="603">
        <f>-'Sollecitazioni nel paramento'!$G$47*'Sollecitazioni nel paramento'!$G$41*IF(DATI!$G$211="dx",DATI!$E$61,DATI!$E$64*DATI!$E$63)*1000*C2560^2*sezione!$AD$5*(1-sezione!$AD$6)</f>
        <v>-42217870.436369151</v>
      </c>
      <c r="E2560" s="545">
        <f>-'Foglio deposito bis'!$F$88*(C2560-sezione!$AL$37)*IF(ABS(K2560)&lt;'Sollecitazioni nel paramento'!$G$58,ABS(K2560)*'Sollecitazioni nel paramento'!$G$54,'Sollecitazioni nel paramento'!$G$53)</f>
        <v>0</v>
      </c>
      <c r="F2560" s="545">
        <f>-'Foglio deposito bis'!$F$89*(C2560-sezione!$AM$37)*IF(ABS(L2560)&lt;'Sollecitazioni nel paramento'!$G$58,ABS(L2560)*'Sollecitazioni nel paramento'!$G$54,'Sollecitazioni nel paramento'!$G$53)</f>
        <v>1756537.801148155</v>
      </c>
      <c r="G2560" s="545">
        <f>-'Foglio deposito bis'!$F$90*(C2560-sezione!$AN$37)*IF(ABS(M2560)&lt;'Sollecitazioni nel paramento'!$G$58,ABS(M2560)*'Sollecitazioni nel paramento'!$G$54,'Sollecitazioni nel paramento'!$G$53)</f>
        <v>0</v>
      </c>
      <c r="H2560" s="545">
        <f>-'Foglio deposito bis'!$F$91*(C2560-sezione!$AO$37)*IF(ABS(N2560)&lt;'Sollecitazioni nel paramento'!$G$58,ABS(N2560)*'Sollecitazioni nel paramento'!$G$54,'Sollecitazioni nel paramento'!$G$53)</f>
        <v>103920252.19552109</v>
      </c>
      <c r="I2560" s="472">
        <f>-'Foglio deposito bis'!$F$92*(C2560-sezione!$AP$37)*IF(ABS(O2560)&lt;'Sollecitazioni nel paramento'!$G$58,ABS(O2560)*'Sollecitazioni nel paramento'!$G$54,'Sollecitazioni nel paramento'!$G$53)</f>
        <v>1287878047.5072925</v>
      </c>
      <c r="J2560" s="472">
        <f t="shared" si="178"/>
        <v>1351336967.0675926</v>
      </c>
      <c r="K2560" s="550">
        <f>'Sollecitazioni nel paramento'!$G$60*(sezione!$AL$37-C2560)/C2560</f>
        <v>-2.861049789882954E-4</v>
      </c>
      <c r="L2560" s="550">
        <f>'Sollecitazioni nel paramento'!$G$60*(sezione!$AM$37-C2560)/C2560</f>
        <v>1.3208425315175568E-3</v>
      </c>
      <c r="M2560" s="551">
        <f>'Sollecitazioni nel paramento'!$G$60*(sezione!$AN$37-C2560)/C2560</f>
        <v>2.9277900420234095E-3</v>
      </c>
      <c r="N2560" s="551">
        <f>'Sollecitazioni nel paramento'!$G$60*(sezione!$AO$37-C2560)/C2560</f>
        <v>9.3555800840468186E-3</v>
      </c>
      <c r="O2560" s="551">
        <f>'Sollecitazioni nel paramento'!$G$60*(sezione!$AP$37-C2560)/C2560</f>
        <v>6.225943831232169E-2</v>
      </c>
      <c r="P2560" s="545">
        <f>-'Sollecitazioni nel paramento'!$G$47*'Sollecitazioni nel paramento'!$G$41*IF(DATI!$G$211="dx",DATI!$E$61,DATI!$E$64*DATI!$E$63)*1000*C2560*sezione!$AD$5</f>
        <v>-1659537.7151805777</v>
      </c>
      <c r="Q2560" s="545">
        <f>'Foglio deposito bis'!$F$88*IF(ABS(K2560)&lt;'Sollecitazioni nel paramento'!$G$58,ABS(K2560)*'Sollecitazioni nel paramento'!$G$54,'Sollecitazioni nel paramento'!$G$53)*IF(K2560&lt;0,-1,1)</f>
        <v>0</v>
      </c>
      <c r="R2560" s="545">
        <f>'Foglio deposito bis'!$F$89*IF(ABS(L2560)&lt;'Sollecitazioni nel paramento'!$G$58,ABS(L2560)*'Sollecitazioni nel paramento'!$G$54,'Sollecitazioni nel paramento'!$G$53)*IF(L2560&lt;0,-1,1)</f>
        <v>106850.89173428589</v>
      </c>
      <c r="S2560" s="545">
        <f>'Foglio deposito bis'!$F$90*IF(ABS(M2560)&lt;'Sollecitazioni nel paramento'!$G$58,ABS(M2560)*'Sollecitazioni nel paramento'!$G$54,'Sollecitazioni nel paramento'!$G$53)*IF(M2560&lt;0,-1,1)</f>
        <v>0</v>
      </c>
      <c r="T2560" s="545">
        <f>'Foglio deposito bis'!$F$91*IF(ABS(N2560)&lt;'Sollecitazioni nel paramento'!$G$58,ABS(N2560)*'Sollecitazioni nel paramento'!$G$54,'Sollecitazioni nel paramento'!$G$53)*IF(N2560&lt;0,-1,1)</f>
        <v>892485.49558937876</v>
      </c>
      <c r="U2560" s="545">
        <f>'Foglio deposito bis'!$F$92*IF(ABS(O2560)&lt;'Sollecitazioni nel paramento'!$G$58,ABS(O2560)*'Sollecitazioni nel paramento'!$G$54,'Sollecitazioni nel paramento'!$G$53)*IF(O2560&lt;0,-1,1)</f>
        <v>1662039.1047339395</v>
      </c>
      <c r="V2560" s="472">
        <f t="shared" si="180"/>
        <v>1001837.7768770265</v>
      </c>
      <c r="W2560" s="551"/>
      <c r="X2560" s="551"/>
    </row>
    <row r="2561" spans="1:24" x14ac:dyDescent="0.25">
      <c r="A2561" s="545">
        <f t="shared" si="179"/>
        <v>974579.2003723504</v>
      </c>
      <c r="B2561" s="3">
        <f t="shared" si="181"/>
        <v>3.7999999999999945</v>
      </c>
      <c r="C2561" s="545">
        <f>'Foglio deposito bis'!$E$163/sezione!$B$247*B2561</f>
        <v>44.141661671951049</v>
      </c>
      <c r="D2561" s="603">
        <f>-'Sollecitazioni nel paramento'!$G$47*'Sollecitazioni nel paramento'!$G$41*IF(DATI!$G$211="dx",DATI!$E$61,DATI!$E$64*DATI!$E$63)*1000*C2561^2*sezione!$AD$5*(1-sezione!$AD$6)</f>
        <v>-43351185.713861011</v>
      </c>
      <c r="E2561" s="545">
        <f>-'Foglio deposito bis'!$F$88*(C2561-sezione!$AL$37)*IF(ABS(K2561)&lt;'Sollecitazioni nel paramento'!$G$58,ABS(K2561)*'Sollecitazioni nel paramento'!$G$54,'Sollecitazioni nel paramento'!$G$53)</f>
        <v>0</v>
      </c>
      <c r="F2561" s="545">
        <f>-'Foglio deposito bis'!$F$89*(C2561-sezione!$AM$37)*IF(ABS(L2561)&lt;'Sollecitazioni nel paramento'!$G$58,ABS(L2561)*'Sollecitazioni nel paramento'!$G$54,'Sollecitazioni nel paramento'!$G$53)</f>
        <v>1613102.0039637543</v>
      </c>
      <c r="G2561" s="545">
        <f>-'Foglio deposito bis'!$F$90*(C2561-sezione!$AN$37)*IF(ABS(M2561)&lt;'Sollecitazioni nel paramento'!$G$58,ABS(M2561)*'Sollecitazioni nel paramento'!$G$54,'Sollecitazioni nel paramento'!$G$53)</f>
        <v>0</v>
      </c>
      <c r="H2561" s="545">
        <f>-'Foglio deposito bis'!$F$91*(C2561-sezione!$AO$37)*IF(ABS(N2561)&lt;'Sollecitazioni nel paramento'!$G$58,ABS(N2561)*'Sollecitazioni nel paramento'!$G$54,'Sollecitazioni nel paramento'!$G$53)</f>
        <v>103401886.50087067</v>
      </c>
      <c r="I2561" s="472">
        <f>-'Foglio deposito bis'!$F$92*(C2561-sezione!$AP$37)*IF(ABS(O2561)&lt;'Sollecitazioni nel paramento'!$G$58,ABS(O2561)*'Sollecitazioni nel paramento'!$G$54,'Sollecitazioni nel paramento'!$G$53)</f>
        <v>1286912716.3514147</v>
      </c>
      <c r="J2561" s="472">
        <f t="shared" si="178"/>
        <v>1348576519.1423881</v>
      </c>
      <c r="K2561" s="550">
        <f>'Sollecitazioni nel paramento'!$G$60*(sezione!$AL$37-C2561)/C2561</f>
        <v>-3.2839307137002844E-4</v>
      </c>
      <c r="L2561" s="550">
        <f>'Sollecitazioni nel paramento'!$G$60*(sezione!$AM$37-C2561)/C2561</f>
        <v>1.2574103929449574E-3</v>
      </c>
      <c r="M2561" s="551">
        <f>'Sollecitazioni nel paramento'!$G$60*(sezione!$AN$37-C2561)/C2561</f>
        <v>2.843213857259943E-3</v>
      </c>
      <c r="N2561" s="551">
        <f>'Sollecitazioni nel paramento'!$G$60*(sezione!$AO$37-C2561)/C2561</f>
        <v>9.1864277145198847E-3</v>
      </c>
      <c r="O2561" s="551">
        <f>'Sollecitazioni nel paramento'!$G$60*(sezione!$AP$37-C2561)/C2561</f>
        <v>6.1394182545054299E-2</v>
      </c>
      <c r="P2561" s="545">
        <f>-'Sollecitazioni nel paramento'!$G$47*'Sollecitazioni nel paramento'!$G$41*IF(DATI!$G$211="dx",DATI!$E$61,DATI!$E$64*DATI!$E$63)*1000*C2561*sezione!$AD$5</f>
        <v>-1681664.8847163187</v>
      </c>
      <c r="Q2561" s="545">
        <f>'Foglio deposito bis'!$F$88*IF(ABS(K2561)&lt;'Sollecitazioni nel paramento'!$G$58,ABS(K2561)*'Sollecitazioni nel paramento'!$G$54,'Sollecitazioni nel paramento'!$G$53)*IF(K2561&lt;0,-1,1)</f>
        <v>0</v>
      </c>
      <c r="R2561" s="545">
        <f>'Foglio deposito bis'!$F$89*IF(ABS(L2561)&lt;'Sollecitazioni nel paramento'!$G$58,ABS(L2561)*'Sollecitazioni nel paramento'!$G$54,'Sollecitazioni nel paramento'!$G$53)*IF(L2561&lt;0,-1,1)</f>
        <v>101719.48476535082</v>
      </c>
      <c r="S2561" s="545">
        <f>'Foglio deposito bis'!$F$90*IF(ABS(M2561)&lt;'Sollecitazioni nel paramento'!$G$58,ABS(M2561)*'Sollecitazioni nel paramento'!$G$54,'Sollecitazioni nel paramento'!$G$53)*IF(M2561&lt;0,-1,1)</f>
        <v>0</v>
      </c>
      <c r="T2561" s="545">
        <f>'Foglio deposito bis'!$F$91*IF(ABS(N2561)&lt;'Sollecitazioni nel paramento'!$G$58,ABS(N2561)*'Sollecitazioni nel paramento'!$G$54,'Sollecitazioni nel paramento'!$G$53)*IF(N2561&lt;0,-1,1)</f>
        <v>892485.49558937876</v>
      </c>
      <c r="U2561" s="545">
        <f>'Foglio deposito bis'!$F$92*IF(ABS(O2561)&lt;'Sollecitazioni nel paramento'!$G$58,ABS(O2561)*'Sollecitazioni nel paramento'!$G$54,'Sollecitazioni nel paramento'!$G$53)*IF(O2561&lt;0,-1,1)</f>
        <v>1662039.1047339395</v>
      </c>
      <c r="V2561" s="472">
        <f t="shared" si="180"/>
        <v>974579.2003723504</v>
      </c>
      <c r="W2561" s="551"/>
      <c r="X2561" s="551"/>
    </row>
    <row r="2562" spans="1:24" x14ac:dyDescent="0.25">
      <c r="A2562" s="545">
        <f t="shared" si="179"/>
        <v>947453.90716556879</v>
      </c>
      <c r="B2562" s="3">
        <f t="shared" si="181"/>
        <v>3.8499999999999943</v>
      </c>
      <c r="C2562" s="545">
        <f>'Foglio deposito bis'!$E$163/sezione!$B$247*B2562</f>
        <v>44.722473009739879</v>
      </c>
      <c r="D2562" s="603">
        <f>-'Sollecitazioni nel paramento'!$G$47*'Sollecitazioni nel paramento'!$G$41*IF(DATI!$G$211="dx",DATI!$E$61,DATI!$E$64*DATI!$E$63)*1000*C2562^2*sezione!$AD$5*(1-sezione!$AD$6)</f>
        <v>-44499511.789730258</v>
      </c>
      <c r="E2562" s="545">
        <f>-'Foglio deposito bis'!$F$88*(C2562-sezione!$AL$37)*IF(ABS(K2562)&lt;'Sollecitazioni nel paramento'!$G$58,ABS(K2562)*'Sollecitazioni nel paramento'!$G$54,'Sollecitazioni nel paramento'!$G$53)</f>
        <v>0</v>
      </c>
      <c r="F2562" s="545">
        <f>-'Foglio deposito bis'!$F$89*(C2562-sezione!$AM$37)*IF(ABS(L2562)&lt;'Sollecitazioni nel paramento'!$G$58,ABS(L2562)*'Sollecitazioni nel paramento'!$G$54,'Sollecitazioni nel paramento'!$G$53)</f>
        <v>1477663.2046530186</v>
      </c>
      <c r="G2562" s="545">
        <f>-'Foglio deposito bis'!$F$90*(C2562-sezione!$AN$37)*IF(ABS(M2562)&lt;'Sollecitazioni nel paramento'!$G$58,ABS(M2562)*'Sollecitazioni nel paramento'!$G$54,'Sollecitazioni nel paramento'!$G$53)</f>
        <v>0</v>
      </c>
      <c r="H2562" s="545">
        <f>-'Foglio deposito bis'!$F$91*(C2562-sezione!$AO$37)*IF(ABS(N2562)&lt;'Sollecitazioni nel paramento'!$G$58,ABS(N2562)*'Sollecitazioni nel paramento'!$G$54,'Sollecitazioni nel paramento'!$G$53)</f>
        <v>102883520.80622029</v>
      </c>
      <c r="I2562" s="472">
        <f>-'Foglio deposito bis'!$F$92*(C2562-sezione!$AP$37)*IF(ABS(O2562)&lt;'Sollecitazioni nel paramento'!$G$58,ABS(O2562)*'Sollecitazioni nel paramento'!$G$54,'Sollecitazioni nel paramento'!$G$53)</f>
        <v>1285947385.1955366</v>
      </c>
      <c r="J2562" s="472">
        <f t="shared" si="178"/>
        <v>1345809057.4166796</v>
      </c>
      <c r="K2562" s="550">
        <f>'Sollecitazioni nel paramento'!$G$60*(sezione!$AL$37-C2562)/C2562</f>
        <v>-3.6958277174184634E-4</v>
      </c>
      <c r="L2562" s="550">
        <f>'Sollecitazioni nel paramento'!$G$60*(sezione!$AM$37-C2562)/C2562</f>
        <v>1.1956258423872306E-3</v>
      </c>
      <c r="M2562" s="551">
        <f>'Sollecitazioni nel paramento'!$G$60*(sezione!$AN$37-C2562)/C2562</f>
        <v>2.7608344565163076E-3</v>
      </c>
      <c r="N2562" s="551">
        <f>'Sollecitazioni nel paramento'!$G$60*(sezione!$AO$37-C2562)/C2562</f>
        <v>9.0216689130326148E-3</v>
      </c>
      <c r="O2562" s="551">
        <f>'Sollecitazioni nel paramento'!$G$60*(sezione!$AP$37-C2562)/C2562</f>
        <v>6.0551400953560083E-2</v>
      </c>
      <c r="P2562" s="545">
        <f>-'Sollecitazioni nel paramento'!$G$47*'Sollecitazioni nel paramento'!$G$41*IF(DATI!$G$211="dx",DATI!$E$61,DATI!$E$64*DATI!$E$63)*1000*C2562*sezione!$AD$5</f>
        <v>-1703792.0542520597</v>
      </c>
      <c r="Q2562" s="545">
        <f>'Foglio deposito bis'!$F$88*IF(ABS(K2562)&lt;'Sollecitazioni nel paramento'!$G$58,ABS(K2562)*'Sollecitazioni nel paramento'!$G$54,'Sollecitazioni nel paramento'!$G$53)*IF(K2562&lt;0,-1,1)</f>
        <v>0</v>
      </c>
      <c r="R2562" s="545">
        <f>'Foglio deposito bis'!$F$89*IF(ABS(L2562)&lt;'Sollecitazioni nel paramento'!$G$58,ABS(L2562)*'Sollecitazioni nel paramento'!$G$54,'Sollecitazioni nel paramento'!$G$53)*IF(L2562&lt;0,-1,1)</f>
        <v>96721.361094310152</v>
      </c>
      <c r="S2562" s="545">
        <f>'Foglio deposito bis'!$F$90*IF(ABS(M2562)&lt;'Sollecitazioni nel paramento'!$G$58,ABS(M2562)*'Sollecitazioni nel paramento'!$G$54,'Sollecitazioni nel paramento'!$G$53)*IF(M2562&lt;0,-1,1)</f>
        <v>0</v>
      </c>
      <c r="T2562" s="545">
        <f>'Foglio deposito bis'!$F$91*IF(ABS(N2562)&lt;'Sollecitazioni nel paramento'!$G$58,ABS(N2562)*'Sollecitazioni nel paramento'!$G$54,'Sollecitazioni nel paramento'!$G$53)*IF(N2562&lt;0,-1,1)</f>
        <v>892485.49558937876</v>
      </c>
      <c r="U2562" s="545">
        <f>'Foglio deposito bis'!$F$92*IF(ABS(O2562)&lt;'Sollecitazioni nel paramento'!$G$58,ABS(O2562)*'Sollecitazioni nel paramento'!$G$54,'Sollecitazioni nel paramento'!$G$53)*IF(O2562&lt;0,-1,1)</f>
        <v>1662039.1047339395</v>
      </c>
      <c r="V2562" s="472">
        <f t="shared" si="180"/>
        <v>947453.90716556879</v>
      </c>
      <c r="W2562" s="551"/>
      <c r="X2562" s="551"/>
    </row>
    <row r="2563" spans="1:24" x14ac:dyDescent="0.25">
      <c r="A2563" s="545">
        <f t="shared" si="179"/>
        <v>920456.77097599325</v>
      </c>
      <c r="B2563" s="3">
        <f t="shared" si="181"/>
        <v>3.8999999999999941</v>
      </c>
      <c r="C2563" s="545">
        <f>'Foglio deposito bis'!$E$163/sezione!$B$247*B2563</f>
        <v>45.303284347528702</v>
      </c>
      <c r="D2563" s="603">
        <f>-'Sollecitazioni nel paramento'!$G$47*'Sollecitazioni nel paramento'!$G$41*IF(DATI!$G$211="dx",DATI!$E$61,DATI!$E$64*DATI!$E$63)*1000*C2563^2*sezione!$AD$5*(1-sezione!$AD$6)</f>
        <v>-45662848.663976856</v>
      </c>
      <c r="E2563" s="545">
        <f>-'Foglio deposito bis'!$F$88*(C2563-sezione!$AL$37)*IF(ABS(K2563)&lt;'Sollecitazioni nel paramento'!$G$58,ABS(K2563)*'Sollecitazioni nel paramento'!$G$54,'Sollecitazioni nel paramento'!$G$53)</f>
        <v>0</v>
      </c>
      <c r="F2563" s="545">
        <f>-'Foglio deposito bis'!$F$89*(C2563-sezione!$AM$37)*IF(ABS(L2563)&lt;'Sollecitazioni nel paramento'!$G$58,ABS(L2563)*'Sollecitazioni nel paramento'!$G$54,'Sollecitazioni nel paramento'!$G$53)</f>
        <v>1349913.8263746544</v>
      </c>
      <c r="G2563" s="545">
        <f>-'Foglio deposito bis'!$F$90*(C2563-sezione!$AN$37)*IF(ABS(M2563)&lt;'Sollecitazioni nel paramento'!$G$58,ABS(M2563)*'Sollecitazioni nel paramento'!$G$54,'Sollecitazioni nel paramento'!$G$53)</f>
        <v>0</v>
      </c>
      <c r="H2563" s="545">
        <f>-'Foglio deposito bis'!$F$91*(C2563-sezione!$AO$37)*IF(ABS(N2563)&lt;'Sollecitazioni nel paramento'!$G$58,ABS(N2563)*'Sollecitazioni nel paramento'!$G$54,'Sollecitazioni nel paramento'!$G$53)</f>
        <v>102365155.11156991</v>
      </c>
      <c r="I2563" s="472">
        <f>-'Foglio deposito bis'!$F$92*(C2563-sezione!$AP$37)*IF(ABS(O2563)&lt;'Sollecitazioni nel paramento'!$G$58,ABS(O2563)*'Sollecitazioni nel paramento'!$G$54,'Sollecitazioni nel paramento'!$G$53)</f>
        <v>1284982054.0396588</v>
      </c>
      <c r="J2563" s="472">
        <f t="shared" si="178"/>
        <v>1343034274.3136265</v>
      </c>
      <c r="K2563" s="550">
        <f>'Sollecitazioni nel paramento'!$G$60*(sezione!$AL$37-C2563)/C2563</f>
        <v>-4.0971632595028376E-4</v>
      </c>
      <c r="L2563" s="550">
        <f>'Sollecitazioni nel paramento'!$G$60*(sezione!$AM$37-C2563)/C2563</f>
        <v>1.1354255110745744E-3</v>
      </c>
      <c r="M2563" s="551">
        <f>'Sollecitazioni nel paramento'!$G$60*(sezione!$AN$37-C2563)/C2563</f>
        <v>2.6805673480994325E-3</v>
      </c>
      <c r="N2563" s="551">
        <f>'Sollecitazioni nel paramento'!$G$60*(sezione!$AO$37-C2563)/C2563</f>
        <v>8.8611346961988656E-3</v>
      </c>
      <c r="O2563" s="551">
        <f>'Sollecitazioni nel paramento'!$G$60*(sezione!$AP$37-C2563)/C2563</f>
        <v>5.9730229146463171E-2</v>
      </c>
      <c r="P2563" s="545">
        <f>-'Sollecitazioni nel paramento'!$G$47*'Sollecitazioni nel paramento'!$G$41*IF(DATI!$G$211="dx",DATI!$E$61,DATI!$E$64*DATI!$E$63)*1000*C2563*sezione!$AD$5</f>
        <v>-1725919.2237878006</v>
      </c>
      <c r="Q2563" s="545">
        <f>'Foglio deposito bis'!$F$88*IF(ABS(K2563)&lt;'Sollecitazioni nel paramento'!$G$58,ABS(K2563)*'Sollecitazioni nel paramento'!$G$54,'Sollecitazioni nel paramento'!$G$53)*IF(K2563&lt;0,-1,1)</f>
        <v>0</v>
      </c>
      <c r="R2563" s="545">
        <f>'Foglio deposito bis'!$F$89*IF(ABS(L2563)&lt;'Sollecitazioni nel paramento'!$G$58,ABS(L2563)*'Sollecitazioni nel paramento'!$G$54,'Sollecitazioni nel paramento'!$G$53)*IF(L2563&lt;0,-1,1)</f>
        <v>91851.394440475706</v>
      </c>
      <c r="S2563" s="545">
        <f>'Foglio deposito bis'!$F$90*IF(ABS(M2563)&lt;'Sollecitazioni nel paramento'!$G$58,ABS(M2563)*'Sollecitazioni nel paramento'!$G$54,'Sollecitazioni nel paramento'!$G$53)*IF(M2563&lt;0,-1,1)</f>
        <v>0</v>
      </c>
      <c r="T2563" s="545">
        <f>'Foglio deposito bis'!$F$91*IF(ABS(N2563)&lt;'Sollecitazioni nel paramento'!$G$58,ABS(N2563)*'Sollecitazioni nel paramento'!$G$54,'Sollecitazioni nel paramento'!$G$53)*IF(N2563&lt;0,-1,1)</f>
        <v>892485.49558937876</v>
      </c>
      <c r="U2563" s="545">
        <f>'Foglio deposito bis'!$F$92*IF(ABS(O2563)&lt;'Sollecitazioni nel paramento'!$G$58,ABS(O2563)*'Sollecitazioni nel paramento'!$G$54,'Sollecitazioni nel paramento'!$G$53)*IF(O2563&lt;0,-1,1)</f>
        <v>1662039.1047339395</v>
      </c>
      <c r="V2563" s="472">
        <f t="shared" si="180"/>
        <v>920456.77097599325</v>
      </c>
      <c r="W2563" s="551"/>
      <c r="X2563" s="551"/>
    </row>
    <row r="2564" spans="1:24" x14ac:dyDescent="0.25">
      <c r="A2564" s="545">
        <f t="shared" si="179"/>
        <v>893582.92508145142</v>
      </c>
      <c r="B2564" s="3">
        <f t="shared" si="181"/>
        <v>3.949999999999994</v>
      </c>
      <c r="C2564" s="545">
        <f>'Foglio deposito bis'!$E$163/sezione!$B$247*B2564</f>
        <v>45.884095685317533</v>
      </c>
      <c r="D2564" s="603">
        <f>-'Sollecitazioni nel paramento'!$G$47*'Sollecitazioni nel paramento'!$G$41*IF(DATI!$G$211="dx",DATI!$E$61,DATI!$E$64*DATI!$E$63)*1000*C2564^2*sezione!$AD$5*(1-sezione!$AD$6)</f>
        <v>-46841196.336600855</v>
      </c>
      <c r="E2564" s="545">
        <f>-'Foglio deposito bis'!$F$88*(C2564-sezione!$AL$37)*IF(ABS(K2564)&lt;'Sollecitazioni nel paramento'!$G$58,ABS(K2564)*'Sollecitazioni nel paramento'!$G$54,'Sollecitazioni nel paramento'!$G$53)</f>
        <v>0</v>
      </c>
      <c r="F2564" s="545">
        <f>-'Foglio deposito bis'!$F$89*(C2564-sezione!$AM$37)*IF(ABS(L2564)&lt;'Sollecitazioni nel paramento'!$G$58,ABS(L2564)*'Sollecitazioni nel paramento'!$G$54,'Sollecitazioni nel paramento'!$G$53)</f>
        <v>1229561.865798316</v>
      </c>
      <c r="G2564" s="545">
        <f>-'Foglio deposito bis'!$F$90*(C2564-sezione!$AN$37)*IF(ABS(M2564)&lt;'Sollecitazioni nel paramento'!$G$58,ABS(M2564)*'Sollecitazioni nel paramento'!$G$54,'Sollecitazioni nel paramento'!$G$53)</f>
        <v>0</v>
      </c>
      <c r="H2564" s="545">
        <f>-'Foglio deposito bis'!$F$91*(C2564-sezione!$AO$37)*IF(ABS(N2564)&lt;'Sollecitazioni nel paramento'!$G$58,ABS(N2564)*'Sollecitazioni nel paramento'!$G$54,'Sollecitazioni nel paramento'!$G$53)</f>
        <v>101846789.41691951</v>
      </c>
      <c r="I2564" s="472">
        <f>-'Foglio deposito bis'!$F$92*(C2564-sezione!$AP$37)*IF(ABS(O2564)&lt;'Sollecitazioni nel paramento'!$G$58,ABS(O2564)*'Sollecitazioni nel paramento'!$G$54,'Sollecitazioni nel paramento'!$G$53)</f>
        <v>1284016722.883781</v>
      </c>
      <c r="J2564" s="472">
        <f t="shared" si="178"/>
        <v>1340251877.8298979</v>
      </c>
      <c r="K2564" s="550">
        <f>'Sollecitazioni nel paramento'!$G$60*(sezione!$AL$37-C2564)/C2564</f>
        <v>-4.4883384081167261E-4</v>
      </c>
      <c r="L2564" s="550">
        <f>'Sollecitazioni nel paramento'!$G$60*(sezione!$AM$37-C2564)/C2564</f>
        <v>1.0767492387824911E-3</v>
      </c>
      <c r="M2564" s="551">
        <f>'Sollecitazioni nel paramento'!$G$60*(sezione!$AN$37-C2564)/C2564</f>
        <v>2.6023323183766551E-3</v>
      </c>
      <c r="N2564" s="551">
        <f>'Sollecitazioni nel paramento'!$G$60*(sezione!$AO$37-C2564)/C2564</f>
        <v>8.7046646367533089E-3</v>
      </c>
      <c r="O2564" s="551">
        <f>'Sollecitazioni nel paramento'!$G$60*(sezione!$AP$37-C2564)/C2564</f>
        <v>5.8929846499039581E-2</v>
      </c>
      <c r="P2564" s="545">
        <f>-'Sollecitazioni nel paramento'!$G$47*'Sollecitazioni nel paramento'!$G$41*IF(DATI!$G$211="dx",DATI!$E$61,DATI!$E$64*DATI!$E$63)*1000*C2564*sezione!$AD$5</f>
        <v>-1748046.3933235419</v>
      </c>
      <c r="Q2564" s="545">
        <f>'Foglio deposito bis'!$F$88*IF(ABS(K2564)&lt;'Sollecitazioni nel paramento'!$G$58,ABS(K2564)*'Sollecitazioni nel paramento'!$G$54,'Sollecitazioni nel paramento'!$G$53)*IF(K2564&lt;0,-1,1)</f>
        <v>0</v>
      </c>
      <c r="R2564" s="545">
        <f>'Foglio deposito bis'!$F$89*IF(ABS(L2564)&lt;'Sollecitazioni nel paramento'!$G$58,ABS(L2564)*'Sollecitazioni nel paramento'!$G$54,'Sollecitazioni nel paramento'!$G$53)*IF(L2564&lt;0,-1,1)</f>
        <v>87104.718081675004</v>
      </c>
      <c r="S2564" s="545">
        <f>'Foglio deposito bis'!$F$90*IF(ABS(M2564)&lt;'Sollecitazioni nel paramento'!$G$58,ABS(M2564)*'Sollecitazioni nel paramento'!$G$54,'Sollecitazioni nel paramento'!$G$53)*IF(M2564&lt;0,-1,1)</f>
        <v>0</v>
      </c>
      <c r="T2564" s="545">
        <f>'Foglio deposito bis'!$F$91*IF(ABS(N2564)&lt;'Sollecitazioni nel paramento'!$G$58,ABS(N2564)*'Sollecitazioni nel paramento'!$G$54,'Sollecitazioni nel paramento'!$G$53)*IF(N2564&lt;0,-1,1)</f>
        <v>892485.49558937876</v>
      </c>
      <c r="U2564" s="545">
        <f>'Foglio deposito bis'!$F$92*IF(ABS(O2564)&lt;'Sollecitazioni nel paramento'!$G$58,ABS(O2564)*'Sollecitazioni nel paramento'!$G$54,'Sollecitazioni nel paramento'!$G$53)*IF(O2564&lt;0,-1,1)</f>
        <v>1662039.1047339395</v>
      </c>
      <c r="V2564" s="472">
        <f t="shared" si="180"/>
        <v>893582.92508145142</v>
      </c>
      <c r="W2564" s="551"/>
      <c r="X2564" s="551"/>
    </row>
    <row r="2565" spans="1:24" x14ac:dyDescent="0.25">
      <c r="A2565" s="545">
        <f t="shared" si="179"/>
        <v>866827.7460958797</v>
      </c>
      <c r="B2565" s="3">
        <f t="shared" si="181"/>
        <v>3.9999999999999938</v>
      </c>
      <c r="C2565" s="545">
        <f>'Foglio deposito bis'!$E$163/sezione!$B$247*B2565</f>
        <v>46.464907023106363</v>
      </c>
      <c r="D2565" s="603">
        <f>-'Sollecitazioni nel paramento'!$G$47*'Sollecitazioni nel paramento'!$G$41*IF(DATI!$G$211="dx",DATI!$E$61,DATI!$E$64*DATI!$E$63)*1000*C2565^2*sezione!$AD$5*(1-sezione!$AD$6)</f>
        <v>-48034554.807602242</v>
      </c>
      <c r="E2565" s="545">
        <f>-'Foglio deposito bis'!$F$88*(C2565-sezione!$AL$37)*IF(ABS(K2565)&lt;'Sollecitazioni nel paramento'!$G$58,ABS(K2565)*'Sollecitazioni nel paramento'!$G$54,'Sollecitazioni nel paramento'!$G$53)</f>
        <v>0</v>
      </c>
      <c r="F2565" s="545">
        <f>-'Foglio deposito bis'!$F$89*(C2565-sezione!$AM$37)*IF(ABS(L2565)&lt;'Sollecitazioni nel paramento'!$G$58,ABS(L2565)*'Sollecitazioni nel paramento'!$G$54,'Sollecitazioni nel paramento'!$G$53)</f>
        <v>1116329.9197601788</v>
      </c>
      <c r="G2565" s="545">
        <f>-'Foglio deposito bis'!$F$90*(C2565-sezione!$AN$37)*IF(ABS(M2565)&lt;'Sollecitazioni nel paramento'!$G$58,ABS(M2565)*'Sollecitazioni nel paramento'!$G$54,'Sollecitazioni nel paramento'!$G$53)</f>
        <v>0</v>
      </c>
      <c r="H2565" s="545">
        <f>-'Foglio deposito bis'!$F$91*(C2565-sezione!$AO$37)*IF(ABS(N2565)&lt;'Sollecitazioni nel paramento'!$G$58,ABS(N2565)*'Sollecitazioni nel paramento'!$G$54,'Sollecitazioni nel paramento'!$G$53)</f>
        <v>101328423.72226912</v>
      </c>
      <c r="I2565" s="472">
        <f>-'Foglio deposito bis'!$F$92*(C2565-sezione!$AP$37)*IF(ABS(O2565)&lt;'Sollecitazioni nel paramento'!$G$58,ABS(O2565)*'Sollecitazioni nel paramento'!$G$54,'Sollecitazioni nel paramento'!$G$53)</f>
        <v>1283051391.7279031</v>
      </c>
      <c r="J2565" s="472">
        <f t="shared" si="178"/>
        <v>1337461590.5623302</v>
      </c>
      <c r="K2565" s="550">
        <f>'Sollecitazioni nel paramento'!$G$60*(sezione!$AL$37-C2565)/C2565</f>
        <v>-4.8697341780152675E-4</v>
      </c>
      <c r="L2565" s="550">
        <f>'Sollecitazioni nel paramento'!$G$60*(sezione!$AM$37-C2565)/C2565</f>
        <v>1.0195398732977098E-3</v>
      </c>
      <c r="M2565" s="551">
        <f>'Sollecitazioni nel paramento'!$G$60*(sezione!$AN$37-C2565)/C2565</f>
        <v>2.5260531643969465E-3</v>
      </c>
      <c r="N2565" s="551">
        <f>'Sollecitazioni nel paramento'!$G$60*(sezione!$AO$37-C2565)/C2565</f>
        <v>8.5521063287938934E-3</v>
      </c>
      <c r="O2565" s="551">
        <f>'Sollecitazioni nel paramento'!$G$60*(sezione!$AP$37-C2565)/C2565</f>
        <v>5.8149473417801592E-2</v>
      </c>
      <c r="P2565" s="545">
        <f>-'Sollecitazioni nel paramento'!$G$47*'Sollecitazioni nel paramento'!$G$41*IF(DATI!$G$211="dx",DATI!$E$61,DATI!$E$64*DATI!$E$63)*1000*C2565*sezione!$AD$5</f>
        <v>-1770173.5628592828</v>
      </c>
      <c r="Q2565" s="545">
        <f>'Foglio deposito bis'!$F$88*IF(ABS(K2565)&lt;'Sollecitazioni nel paramento'!$G$58,ABS(K2565)*'Sollecitazioni nel paramento'!$G$54,'Sollecitazioni nel paramento'!$G$53)*IF(K2565&lt;0,-1,1)</f>
        <v>0</v>
      </c>
      <c r="R2565" s="545">
        <f>'Foglio deposito bis'!$F$89*IF(ABS(L2565)&lt;'Sollecitazioni nel paramento'!$G$58,ABS(L2565)*'Sollecitazioni nel paramento'!$G$54,'Sollecitazioni nel paramento'!$G$53)*IF(L2565&lt;0,-1,1)</f>
        <v>82476.708631844303</v>
      </c>
      <c r="S2565" s="545">
        <f>'Foglio deposito bis'!$F$90*IF(ABS(M2565)&lt;'Sollecitazioni nel paramento'!$G$58,ABS(M2565)*'Sollecitazioni nel paramento'!$G$54,'Sollecitazioni nel paramento'!$G$53)*IF(M2565&lt;0,-1,1)</f>
        <v>0</v>
      </c>
      <c r="T2565" s="545">
        <f>'Foglio deposito bis'!$F$91*IF(ABS(N2565)&lt;'Sollecitazioni nel paramento'!$G$58,ABS(N2565)*'Sollecitazioni nel paramento'!$G$54,'Sollecitazioni nel paramento'!$G$53)*IF(N2565&lt;0,-1,1)</f>
        <v>892485.49558937876</v>
      </c>
      <c r="U2565" s="545">
        <f>'Foglio deposito bis'!$F$92*IF(ABS(O2565)&lt;'Sollecitazioni nel paramento'!$G$58,ABS(O2565)*'Sollecitazioni nel paramento'!$G$54,'Sollecitazioni nel paramento'!$G$53)*IF(O2565&lt;0,-1,1)</f>
        <v>1662039.1047339395</v>
      </c>
      <c r="V2565" s="472">
        <f t="shared" si="180"/>
        <v>866827.7460958797</v>
      </c>
      <c r="W2565" s="551"/>
      <c r="X2565" s="551"/>
    </row>
    <row r="2566" spans="1:24" x14ac:dyDescent="0.25">
      <c r="A2566" s="545">
        <f t="shared" si="179"/>
        <v>840186.83894857555</v>
      </c>
      <c r="B2566" s="3">
        <f t="shared" si="181"/>
        <v>4.0499999999999936</v>
      </c>
      <c r="C2566" s="545">
        <f>'Foglio deposito bis'!$E$163/sezione!$B$247*B2566</f>
        <v>47.045718360895194</v>
      </c>
      <c r="D2566" s="603">
        <f>-'Sollecitazioni nel paramento'!$G$47*'Sollecitazioni nel paramento'!$G$41*IF(DATI!$G$211="dx",DATI!$E$61,DATI!$E$64*DATI!$E$63)*1000*C2566^2*sezione!$AD$5*(1-sezione!$AD$6)</f>
        <v>-49242924.076980971</v>
      </c>
      <c r="E2566" s="545">
        <f>-'Foglio deposito bis'!$F$88*(C2566-sezione!$AL$37)*IF(ABS(K2566)&lt;'Sollecitazioni nel paramento'!$G$58,ABS(K2566)*'Sollecitazioni nel paramento'!$G$54,'Sollecitazioni nel paramento'!$G$53)</f>
        <v>0</v>
      </c>
      <c r="F2566" s="545">
        <f>-'Foglio deposito bis'!$F$89*(C2566-sezione!$AM$37)*IF(ABS(L2566)&lt;'Sollecitazioni nel paramento'!$G$58,ABS(L2566)*'Sollecitazioni nel paramento'!$G$54,'Sollecitazioni nel paramento'!$G$53)</f>
        <v>1009954.2840180867</v>
      </c>
      <c r="G2566" s="545">
        <f>-'Foglio deposito bis'!$F$90*(C2566-sezione!$AN$37)*IF(ABS(M2566)&lt;'Sollecitazioni nel paramento'!$G$58,ABS(M2566)*'Sollecitazioni nel paramento'!$G$54,'Sollecitazioni nel paramento'!$G$53)</f>
        <v>0</v>
      </c>
      <c r="H2566" s="545">
        <f>-'Foglio deposito bis'!$F$91*(C2566-sezione!$AO$37)*IF(ABS(N2566)&lt;'Sollecitazioni nel paramento'!$G$58,ABS(N2566)*'Sollecitazioni nel paramento'!$G$54,'Sollecitazioni nel paramento'!$G$53)</f>
        <v>100810058.02761872</v>
      </c>
      <c r="I2566" s="472">
        <f>-'Foglio deposito bis'!$F$92*(C2566-sezione!$AP$37)*IF(ABS(O2566)&lt;'Sollecitazioni nel paramento'!$G$58,ABS(O2566)*'Sollecitazioni nel paramento'!$G$54,'Sollecitazioni nel paramento'!$G$53)</f>
        <v>1282086060.5720253</v>
      </c>
      <c r="J2566" s="472">
        <f t="shared" si="178"/>
        <v>1334663148.8066812</v>
      </c>
      <c r="K2566" s="550">
        <f>'Sollecitazioni nel paramento'!$G$60*(sezione!$AL$37-C2566)/C2566</f>
        <v>-5.2417127684101423E-4</v>
      </c>
      <c r="L2566" s="550">
        <f>'Sollecitazioni nel paramento'!$G$60*(sezione!$AM$37-C2566)/C2566</f>
        <v>9.637430847384788E-4</v>
      </c>
      <c r="M2566" s="551">
        <f>'Sollecitazioni nel paramento'!$G$60*(sezione!$AN$37-C2566)/C2566</f>
        <v>2.4516574463179716E-3</v>
      </c>
      <c r="N2566" s="551">
        <f>'Sollecitazioni nel paramento'!$G$60*(sezione!$AO$37-C2566)/C2566</f>
        <v>8.4033148926359446E-3</v>
      </c>
      <c r="O2566" s="551">
        <f>'Sollecitazioni nel paramento'!$G$60*(sezione!$AP$37-C2566)/C2566</f>
        <v>5.7388368807705273E-2</v>
      </c>
      <c r="P2566" s="545">
        <f>-'Sollecitazioni nel paramento'!$G$47*'Sollecitazioni nel paramento'!$G$41*IF(DATI!$G$211="dx",DATI!$E$61,DATI!$E$64*DATI!$E$63)*1000*C2566*sezione!$AD$5</f>
        <v>-1792300.7323950238</v>
      </c>
      <c r="Q2566" s="545">
        <f>'Foglio deposito bis'!$F$88*IF(ABS(K2566)&lt;'Sollecitazioni nel paramento'!$G$58,ABS(K2566)*'Sollecitazioni nel paramento'!$G$54,'Sollecitazioni nel paramento'!$G$53)*IF(K2566&lt;0,-1,1)</f>
        <v>0</v>
      </c>
      <c r="R2566" s="545">
        <f>'Foglio deposito bis'!$F$89*IF(ABS(L2566)&lt;'Sollecitazioni nel paramento'!$G$58,ABS(L2566)*'Sollecitazioni nel paramento'!$G$54,'Sollecitazioni nel paramento'!$G$53)*IF(L2566&lt;0,-1,1)</f>
        <v>77962.971020281038</v>
      </c>
      <c r="S2566" s="545">
        <f>'Foglio deposito bis'!$F$90*IF(ABS(M2566)&lt;'Sollecitazioni nel paramento'!$G$58,ABS(M2566)*'Sollecitazioni nel paramento'!$G$54,'Sollecitazioni nel paramento'!$G$53)*IF(M2566&lt;0,-1,1)</f>
        <v>0</v>
      </c>
      <c r="T2566" s="545">
        <f>'Foglio deposito bis'!$F$91*IF(ABS(N2566)&lt;'Sollecitazioni nel paramento'!$G$58,ABS(N2566)*'Sollecitazioni nel paramento'!$G$54,'Sollecitazioni nel paramento'!$G$53)*IF(N2566&lt;0,-1,1)</f>
        <v>892485.49558937876</v>
      </c>
      <c r="U2566" s="545">
        <f>'Foglio deposito bis'!$F$92*IF(ABS(O2566)&lt;'Sollecitazioni nel paramento'!$G$58,ABS(O2566)*'Sollecitazioni nel paramento'!$G$54,'Sollecitazioni nel paramento'!$G$53)*IF(O2566&lt;0,-1,1)</f>
        <v>1662039.1047339395</v>
      </c>
      <c r="V2566" s="472">
        <f t="shared" si="180"/>
        <v>840186.83894857555</v>
      </c>
      <c r="W2566" s="551"/>
      <c r="X2566" s="551"/>
    </row>
    <row r="2567" spans="1:24" x14ac:dyDescent="0.25">
      <c r="A2567" s="545">
        <f t="shared" si="179"/>
        <v>813656.02296252898</v>
      </c>
      <c r="B2567" s="3">
        <f t="shared" si="181"/>
        <v>4.0999999999999934</v>
      </c>
      <c r="C2567" s="545">
        <f>'Foglio deposito bis'!$E$163/sezione!$B$247*B2567</f>
        <v>47.626529698684017</v>
      </c>
      <c r="D2567" s="603">
        <f>-'Sollecitazioni nel paramento'!$G$47*'Sollecitazioni nel paramento'!$G$41*IF(DATI!$G$211="dx",DATI!$E$61,DATI!$E$64*DATI!$E$63)*1000*C2567^2*sezione!$AD$5*(1-sezione!$AD$6)</f>
        <v>-50466304.14473708</v>
      </c>
      <c r="E2567" s="545">
        <f>-'Foglio deposito bis'!$F$88*(C2567-sezione!$AL$37)*IF(ABS(K2567)&lt;'Sollecitazioni nel paramento'!$G$58,ABS(K2567)*'Sollecitazioni nel paramento'!$G$54,'Sollecitazioni nel paramento'!$G$53)</f>
        <v>0</v>
      </c>
      <c r="F2567" s="545">
        <f>-'Foglio deposito bis'!$F$89*(C2567-sezione!$AM$37)*IF(ABS(L2567)&lt;'Sollecitazioni nel paramento'!$G$58,ABS(L2567)*'Sollecitazioni nel paramento'!$G$54,'Sollecitazioni nel paramento'!$G$53)</f>
        <v>910184.11795145436</v>
      </c>
      <c r="G2567" s="545">
        <f>-'Foglio deposito bis'!$F$90*(C2567-sezione!$AN$37)*IF(ABS(M2567)&lt;'Sollecitazioni nel paramento'!$G$58,ABS(M2567)*'Sollecitazioni nel paramento'!$G$54,'Sollecitazioni nel paramento'!$G$53)</f>
        <v>0</v>
      </c>
      <c r="H2567" s="545">
        <f>-'Foglio deposito bis'!$F$91*(C2567-sezione!$AO$37)*IF(ABS(N2567)&lt;'Sollecitazioni nel paramento'!$G$58,ABS(N2567)*'Sollecitazioni nel paramento'!$G$54,'Sollecitazioni nel paramento'!$G$53)</f>
        <v>100291692.33296834</v>
      </c>
      <c r="I2567" s="472">
        <f>-'Foglio deposito bis'!$F$92*(C2567-sezione!$AP$37)*IF(ABS(O2567)&lt;'Sollecitazioni nel paramento'!$G$58,ABS(O2567)*'Sollecitazioni nel paramento'!$G$54,'Sollecitazioni nel paramento'!$G$53)</f>
        <v>1281120729.4161472</v>
      </c>
      <c r="J2567" s="472">
        <f t="shared" si="178"/>
        <v>1331856301.7223299</v>
      </c>
      <c r="K2567" s="550">
        <f>'Sollecitazioni nel paramento'!$G$60*(sezione!$AL$37-C2567)/C2567</f>
        <v>-5.6046187102587952E-4</v>
      </c>
      <c r="L2567" s="550">
        <f>'Sollecitazioni nel paramento'!$G$60*(sezione!$AM$37-C2567)/C2567</f>
        <v>9.0930719346118082E-4</v>
      </c>
      <c r="M2567" s="551">
        <f>'Sollecitazioni nel paramento'!$G$60*(sezione!$AN$37-C2567)/C2567</f>
        <v>2.3790762579482413E-3</v>
      </c>
      <c r="N2567" s="551">
        <f>'Sollecitazioni nel paramento'!$G$60*(sezione!$AO$37-C2567)/C2567</f>
        <v>8.258152515896483E-3</v>
      </c>
      <c r="O2567" s="551">
        <f>'Sollecitazioni nel paramento'!$G$60*(sezione!$AP$37-C2567)/C2567</f>
        <v>5.6645827724684475E-2</v>
      </c>
      <c r="P2567" s="545">
        <f>-'Sollecitazioni nel paramento'!$G$47*'Sollecitazioni nel paramento'!$G$41*IF(DATI!$G$211="dx",DATI!$E$61,DATI!$E$64*DATI!$E$63)*1000*C2567*sezione!$AD$5</f>
        <v>-1814427.9019307648</v>
      </c>
      <c r="Q2567" s="545">
        <f>'Foglio deposito bis'!$F$88*IF(ABS(K2567)&lt;'Sollecitazioni nel paramento'!$G$58,ABS(K2567)*'Sollecitazioni nel paramento'!$G$54,'Sollecitazioni nel paramento'!$G$53)*IF(K2567&lt;0,-1,1)</f>
        <v>0</v>
      </c>
      <c r="R2567" s="545">
        <f>'Foglio deposito bis'!$F$89*IF(ABS(L2567)&lt;'Sollecitazioni nel paramento'!$G$58,ABS(L2567)*'Sollecitazioni nel paramento'!$G$54,'Sollecitazioni nel paramento'!$G$53)*IF(L2567&lt;0,-1,1)</f>
        <v>73559.324569975448</v>
      </c>
      <c r="S2567" s="545">
        <f>'Foglio deposito bis'!$F$90*IF(ABS(M2567)&lt;'Sollecitazioni nel paramento'!$G$58,ABS(M2567)*'Sollecitazioni nel paramento'!$G$54,'Sollecitazioni nel paramento'!$G$53)*IF(M2567&lt;0,-1,1)</f>
        <v>0</v>
      </c>
      <c r="T2567" s="545">
        <f>'Foglio deposito bis'!$F$91*IF(ABS(N2567)&lt;'Sollecitazioni nel paramento'!$G$58,ABS(N2567)*'Sollecitazioni nel paramento'!$G$54,'Sollecitazioni nel paramento'!$G$53)*IF(N2567&lt;0,-1,1)</f>
        <v>892485.49558937876</v>
      </c>
      <c r="U2567" s="545">
        <f>'Foglio deposito bis'!$F$92*IF(ABS(O2567)&lt;'Sollecitazioni nel paramento'!$G$58,ABS(O2567)*'Sollecitazioni nel paramento'!$G$54,'Sollecitazioni nel paramento'!$G$53)*IF(O2567&lt;0,-1,1)</f>
        <v>1662039.1047339395</v>
      </c>
      <c r="V2567" s="472">
        <f t="shared" si="180"/>
        <v>813656.02296252898</v>
      </c>
      <c r="W2567" s="551"/>
      <c r="X2567" s="551"/>
    </row>
    <row r="2568" spans="1:24" x14ac:dyDescent="0.25">
      <c r="A2568" s="545">
        <f t="shared" si="179"/>
        <v>787231.3189391403</v>
      </c>
      <c r="B2568" s="3">
        <f t="shared" si="181"/>
        <v>4.1499999999999932</v>
      </c>
      <c r="C2568" s="545">
        <f>'Foglio deposito bis'!$E$163/sezione!$B$247*B2568</f>
        <v>48.207341036472847</v>
      </c>
      <c r="D2568" s="603">
        <f>-'Sollecitazioni nel paramento'!$G$47*'Sollecitazioni nel paramento'!$G$41*IF(DATI!$G$211="dx",DATI!$E$61,DATI!$E$64*DATI!$E$63)*1000*C2568^2*sezione!$AD$5*(1-sezione!$AD$6)</f>
        <v>-51704695.010870583</v>
      </c>
      <c r="E2568" s="545">
        <f>-'Foglio deposito bis'!$F$88*(C2568-sezione!$AL$37)*IF(ABS(K2568)&lt;'Sollecitazioni nel paramento'!$G$58,ABS(K2568)*'Sollecitazioni nel paramento'!$G$54,'Sollecitazioni nel paramento'!$G$53)</f>
        <v>0</v>
      </c>
      <c r="F2568" s="545">
        <f>-'Foglio deposito bis'!$F$89*(C2568-sezione!$AM$37)*IF(ABS(L2568)&lt;'Sollecitazioni nel paramento'!$G$58,ABS(L2568)*'Sollecitazioni nel paramento'!$G$54,'Sollecitazioni nel paramento'!$G$53)</f>
        <v>816780.66964429885</v>
      </c>
      <c r="G2568" s="545">
        <f>-'Foglio deposito bis'!$F$90*(C2568-sezione!$AN$37)*IF(ABS(M2568)&lt;'Sollecitazioni nel paramento'!$G$58,ABS(M2568)*'Sollecitazioni nel paramento'!$G$54,'Sollecitazioni nel paramento'!$G$53)</f>
        <v>0</v>
      </c>
      <c r="H2568" s="545">
        <f>-'Foglio deposito bis'!$F$91*(C2568-sezione!$AO$37)*IF(ABS(N2568)&lt;'Sollecitazioni nel paramento'!$G$58,ABS(N2568)*'Sollecitazioni nel paramento'!$G$54,'Sollecitazioni nel paramento'!$G$53)</f>
        <v>99773326.638317928</v>
      </c>
      <c r="I2568" s="472">
        <f>-'Foglio deposito bis'!$F$92*(C2568-sezione!$AP$37)*IF(ABS(O2568)&lt;'Sollecitazioni nel paramento'!$G$58,ABS(O2568)*'Sollecitazioni nel paramento'!$G$54,'Sollecitazioni nel paramento'!$G$53)</f>
        <v>1280155398.2602696</v>
      </c>
      <c r="J2568" s="472">
        <f t="shared" si="178"/>
        <v>1329040810.5573614</v>
      </c>
      <c r="K2568" s="550">
        <f>'Sollecitazioni nel paramento'!$G$60*(sezione!$AL$37-C2568)/C2568</f>
        <v>-5.9587799306171226E-4</v>
      </c>
      <c r="L2568" s="550">
        <f>'Sollecitazioni nel paramento'!$G$60*(sezione!$AM$37-C2568)/C2568</f>
        <v>8.5618301040743159E-4</v>
      </c>
      <c r="M2568" s="551">
        <f>'Sollecitazioni nel paramento'!$G$60*(sezione!$AN$37-C2568)/C2568</f>
        <v>2.3082440138765753E-3</v>
      </c>
      <c r="N2568" s="551">
        <f>'Sollecitazioni nel paramento'!$G$60*(sezione!$AO$37-C2568)/C2568</f>
        <v>8.1164880277531503E-3</v>
      </c>
      <c r="O2568" s="551">
        <f>'Sollecitazioni nel paramento'!$G$60*(sezione!$AP$37-C2568)/C2568</f>
        <v>5.592117919788106E-2</v>
      </c>
      <c r="P2568" s="545">
        <f>-'Sollecitazioni nel paramento'!$G$47*'Sollecitazioni nel paramento'!$G$41*IF(DATI!$G$211="dx",DATI!$E$61,DATI!$E$64*DATI!$E$63)*1000*C2568*sezione!$AD$5</f>
        <v>-1836555.0714665058</v>
      </c>
      <c r="Q2568" s="545">
        <f>'Foglio deposito bis'!$F$88*IF(ABS(K2568)&lt;'Sollecitazioni nel paramento'!$G$58,ABS(K2568)*'Sollecitazioni nel paramento'!$G$54,'Sollecitazioni nel paramento'!$G$53)*IF(K2568&lt;0,-1,1)</f>
        <v>0</v>
      </c>
      <c r="R2568" s="545">
        <f>'Foglio deposito bis'!$F$89*IF(ABS(L2568)&lt;'Sollecitazioni nel paramento'!$G$58,ABS(L2568)*'Sollecitazioni nel paramento'!$G$54,'Sollecitazioni nel paramento'!$G$53)*IF(L2568&lt;0,-1,1)</f>
        <v>69261.790082327789</v>
      </c>
      <c r="S2568" s="545">
        <f>'Foglio deposito bis'!$F$90*IF(ABS(M2568)&lt;'Sollecitazioni nel paramento'!$G$58,ABS(M2568)*'Sollecitazioni nel paramento'!$G$54,'Sollecitazioni nel paramento'!$G$53)*IF(M2568&lt;0,-1,1)</f>
        <v>0</v>
      </c>
      <c r="T2568" s="545">
        <f>'Foglio deposito bis'!$F$91*IF(ABS(N2568)&lt;'Sollecitazioni nel paramento'!$G$58,ABS(N2568)*'Sollecitazioni nel paramento'!$G$54,'Sollecitazioni nel paramento'!$G$53)*IF(N2568&lt;0,-1,1)</f>
        <v>892485.49558937876</v>
      </c>
      <c r="U2568" s="545">
        <f>'Foglio deposito bis'!$F$92*IF(ABS(O2568)&lt;'Sollecitazioni nel paramento'!$G$58,ABS(O2568)*'Sollecitazioni nel paramento'!$G$54,'Sollecitazioni nel paramento'!$G$53)*IF(O2568&lt;0,-1,1)</f>
        <v>1662039.1047339395</v>
      </c>
      <c r="V2568" s="472">
        <f t="shared" si="180"/>
        <v>787231.3189391403</v>
      </c>
      <c r="W2568" s="551"/>
      <c r="X2568" s="551"/>
    </row>
    <row r="2569" spans="1:24" x14ac:dyDescent="0.25">
      <c r="A2569" s="545">
        <f t="shared" si="179"/>
        <v>760908.93716545752</v>
      </c>
      <c r="B2569" s="3">
        <f t="shared" si="181"/>
        <v>4.1999999999999931</v>
      </c>
      <c r="C2569" s="545">
        <f>'Foglio deposito bis'!$E$163/sezione!$B$247*B2569</f>
        <v>48.788152374261678</v>
      </c>
      <c r="D2569" s="603">
        <f>-'Sollecitazioni nel paramento'!$G$47*'Sollecitazioni nel paramento'!$G$41*IF(DATI!$G$211="dx",DATI!$E$61,DATI!$E$64*DATI!$E$63)*1000*C2569^2*sezione!$AD$5*(1-sezione!$AD$6)</f>
        <v>-52958096.675381452</v>
      </c>
      <c r="E2569" s="545">
        <f>-'Foglio deposito bis'!$F$88*(C2569-sezione!$AL$37)*IF(ABS(K2569)&lt;'Sollecitazioni nel paramento'!$G$58,ABS(K2569)*'Sollecitazioni nel paramento'!$G$54,'Sollecitazioni nel paramento'!$G$53)</f>
        <v>0</v>
      </c>
      <c r="F2569" s="545">
        <f>-'Foglio deposito bis'!$F$89*(C2569-sezione!$AM$37)*IF(ABS(L2569)&lt;'Sollecitazioni nel paramento'!$G$58,ABS(L2569)*'Sollecitazioni nel paramento'!$G$54,'Sollecitazioni nel paramento'!$G$53)</f>
        <v>729516.55631949718</v>
      </c>
      <c r="G2569" s="545">
        <f>-'Foglio deposito bis'!$F$90*(C2569-sezione!$AN$37)*IF(ABS(M2569)&lt;'Sollecitazioni nel paramento'!$G$58,ABS(M2569)*'Sollecitazioni nel paramento'!$G$54,'Sollecitazioni nel paramento'!$G$53)</f>
        <v>0</v>
      </c>
      <c r="H2569" s="545">
        <f>-'Foglio deposito bis'!$F$91*(C2569-sezione!$AO$37)*IF(ABS(N2569)&lt;'Sollecitazioni nel paramento'!$G$58,ABS(N2569)*'Sollecitazioni nel paramento'!$G$54,'Sollecitazioni nel paramento'!$G$53)</f>
        <v>99254960.943667561</v>
      </c>
      <c r="I2569" s="472">
        <f>-'Foglio deposito bis'!$F$92*(C2569-sezione!$AP$37)*IF(ABS(O2569)&lt;'Sollecitazioni nel paramento'!$G$58,ABS(O2569)*'Sollecitazioni nel paramento'!$G$54,'Sollecitazioni nel paramento'!$G$53)</f>
        <v>1279190067.1043916</v>
      </c>
      <c r="J2569" s="472">
        <f t="shared" si="178"/>
        <v>1326216447.9289973</v>
      </c>
      <c r="K2569" s="550">
        <f>'Sollecitazioni nel paramento'!$G$60*(sezione!$AL$37-C2569)/C2569</f>
        <v>-6.3045087409669201E-4</v>
      </c>
      <c r="L2569" s="550">
        <f>'Sollecitazioni nel paramento'!$G$60*(sezione!$AM$37-C2569)/C2569</f>
        <v>8.0432368885496213E-4</v>
      </c>
      <c r="M2569" s="551">
        <f>'Sollecitazioni nel paramento'!$G$60*(sezione!$AN$37-C2569)/C2569</f>
        <v>2.2390982518066161E-3</v>
      </c>
      <c r="N2569" s="551">
        <f>'Sollecitazioni nel paramento'!$G$60*(sezione!$AO$37-C2569)/C2569</f>
        <v>7.9781965036132326E-3</v>
      </c>
      <c r="O2569" s="551">
        <f>'Sollecitazioni nel paramento'!$G$60*(sezione!$AP$37-C2569)/C2569</f>
        <v>5.5213784207430082E-2</v>
      </c>
      <c r="P2569" s="545">
        <f>-'Sollecitazioni nel paramento'!$G$47*'Sollecitazioni nel paramento'!$G$41*IF(DATI!$G$211="dx",DATI!$E$61,DATI!$E$64*DATI!$E$63)*1000*C2569*sezione!$AD$5</f>
        <v>-1858682.2410022467</v>
      </c>
      <c r="Q2569" s="545">
        <f>'Foglio deposito bis'!$F$88*IF(ABS(K2569)&lt;'Sollecitazioni nel paramento'!$G$58,ABS(K2569)*'Sollecitazioni nel paramento'!$G$54,'Sollecitazioni nel paramento'!$G$53)*IF(K2569&lt;0,-1,1)</f>
        <v>0</v>
      </c>
      <c r="R2569" s="545">
        <f>'Foglio deposito bis'!$F$89*IF(ABS(L2569)&lt;'Sollecitazioni nel paramento'!$G$58,ABS(L2569)*'Sollecitazioni nel paramento'!$G$54,'Sollecitazioni nel paramento'!$G$53)*IF(L2569&lt;0,-1,1)</f>
        <v>65066.577844386025</v>
      </c>
      <c r="S2569" s="545">
        <f>'Foglio deposito bis'!$F$90*IF(ABS(M2569)&lt;'Sollecitazioni nel paramento'!$G$58,ABS(M2569)*'Sollecitazioni nel paramento'!$G$54,'Sollecitazioni nel paramento'!$G$53)*IF(M2569&lt;0,-1,1)</f>
        <v>0</v>
      </c>
      <c r="T2569" s="545">
        <f>'Foglio deposito bis'!$F$91*IF(ABS(N2569)&lt;'Sollecitazioni nel paramento'!$G$58,ABS(N2569)*'Sollecitazioni nel paramento'!$G$54,'Sollecitazioni nel paramento'!$G$53)*IF(N2569&lt;0,-1,1)</f>
        <v>892485.49558937876</v>
      </c>
      <c r="U2569" s="545">
        <f>'Foglio deposito bis'!$F$92*IF(ABS(O2569)&lt;'Sollecitazioni nel paramento'!$G$58,ABS(O2569)*'Sollecitazioni nel paramento'!$G$54,'Sollecitazioni nel paramento'!$G$53)*IF(O2569&lt;0,-1,1)</f>
        <v>1662039.1047339395</v>
      </c>
      <c r="V2569" s="472">
        <f t="shared" si="180"/>
        <v>760908.93716545752</v>
      </c>
      <c r="W2569" s="551"/>
      <c r="X2569" s="551"/>
    </row>
    <row r="2570" spans="1:24" x14ac:dyDescent="0.25">
      <c r="A2570" s="545">
        <f t="shared" si="179"/>
        <v>734685.26626796206</v>
      </c>
      <c r="B2570" s="3">
        <f t="shared" si="181"/>
        <v>4.2499999999999929</v>
      </c>
      <c r="C2570" s="545">
        <f>'Foglio deposito bis'!$E$163/sezione!$B$247*B2570</f>
        <v>49.368963712050501</v>
      </c>
      <c r="D2570" s="603">
        <f>-'Sollecitazioni nel paramento'!$G$47*'Sollecitazioni nel paramento'!$G$41*IF(DATI!$G$211="dx",DATI!$E$61,DATI!$E$64*DATI!$E$63)*1000*C2570^2*sezione!$AD$5*(1-sezione!$AD$6)</f>
        <v>-54226509.138269685</v>
      </c>
      <c r="E2570" s="545">
        <f>-'Foglio deposito bis'!$F$88*(C2570-sezione!$AL$37)*IF(ABS(K2570)&lt;'Sollecitazioni nel paramento'!$G$58,ABS(K2570)*'Sollecitazioni nel paramento'!$G$54,'Sollecitazioni nel paramento'!$G$53)</f>
        <v>0</v>
      </c>
      <c r="F2570" s="545">
        <f>-'Foglio deposito bis'!$F$89*(C2570-sezione!$AM$37)*IF(ABS(L2570)&lt;'Sollecitazioni nel paramento'!$G$58,ABS(L2570)*'Sollecitazioni nel paramento'!$G$54,'Sollecitazioni nel paramento'!$G$53)</f>
        <v>648175.09556590836</v>
      </c>
      <c r="G2570" s="545">
        <f>-'Foglio deposito bis'!$F$90*(C2570-sezione!$AN$37)*IF(ABS(M2570)&lt;'Sollecitazioni nel paramento'!$G$58,ABS(M2570)*'Sollecitazioni nel paramento'!$G$54,'Sollecitazioni nel paramento'!$G$53)</f>
        <v>0</v>
      </c>
      <c r="H2570" s="545">
        <f>-'Foglio deposito bis'!$F$91*(C2570-sezione!$AO$37)*IF(ABS(N2570)&lt;'Sollecitazioni nel paramento'!$G$58,ABS(N2570)*'Sollecitazioni nel paramento'!$G$54,'Sollecitazioni nel paramento'!$G$53)</f>
        <v>98736595.249017149</v>
      </c>
      <c r="I2570" s="472">
        <f>-'Foglio deposito bis'!$F$92*(C2570-sezione!$AP$37)*IF(ABS(O2570)&lt;'Sollecitazioni nel paramento'!$G$58,ABS(O2570)*'Sollecitazioni nel paramento'!$G$54,'Sollecitazioni nel paramento'!$G$53)</f>
        <v>1278224735.9485137</v>
      </c>
      <c r="J2570" s="472">
        <f t="shared" si="178"/>
        <v>1323382997.1548271</v>
      </c>
      <c r="K2570" s="550">
        <f>'Sollecitazioni nel paramento'!$G$60*(sezione!$AL$37-C2570)/C2570</f>
        <v>-6.642102755779071E-4</v>
      </c>
      <c r="L2570" s="550">
        <f>'Sollecitazioni nel paramento'!$G$60*(sezione!$AM$37-C2570)/C2570</f>
        <v>7.5368458663313954E-4</v>
      </c>
      <c r="M2570" s="551">
        <f>'Sollecitazioni nel paramento'!$G$60*(sezione!$AN$37-C2570)/C2570</f>
        <v>2.1715794488441861E-3</v>
      </c>
      <c r="N2570" s="551">
        <f>'Sollecitazioni nel paramento'!$G$60*(sezione!$AO$37-C2570)/C2570</f>
        <v>7.8431588976883727E-3</v>
      </c>
      <c r="O2570" s="551">
        <f>'Sollecitazioni nel paramento'!$G$60*(sezione!$AP$37-C2570)/C2570</f>
        <v>5.4523033804989747E-2</v>
      </c>
      <c r="P2570" s="545">
        <f>-'Sollecitazioni nel paramento'!$G$47*'Sollecitazioni nel paramento'!$G$41*IF(DATI!$G$211="dx",DATI!$E$61,DATI!$E$64*DATI!$E$63)*1000*C2570*sezione!$AD$5</f>
        <v>-1880809.4105379875</v>
      </c>
      <c r="Q2570" s="545">
        <f>'Foglio deposito bis'!$F$88*IF(ABS(K2570)&lt;'Sollecitazioni nel paramento'!$G$58,ABS(K2570)*'Sollecitazioni nel paramento'!$G$54,'Sollecitazioni nel paramento'!$G$53)*IF(K2570&lt;0,-1,1)</f>
        <v>0</v>
      </c>
      <c r="R2570" s="545">
        <f>'Foglio deposito bis'!$F$89*IF(ABS(L2570)&lt;'Sollecitazioni nel paramento'!$G$58,ABS(L2570)*'Sollecitazioni nel paramento'!$G$54,'Sollecitazioni nel paramento'!$G$53)*IF(L2570&lt;0,-1,1)</f>
        <v>60970.076482631172</v>
      </c>
      <c r="S2570" s="545">
        <f>'Foglio deposito bis'!$F$90*IF(ABS(M2570)&lt;'Sollecitazioni nel paramento'!$G$58,ABS(M2570)*'Sollecitazioni nel paramento'!$G$54,'Sollecitazioni nel paramento'!$G$53)*IF(M2570&lt;0,-1,1)</f>
        <v>0</v>
      </c>
      <c r="T2570" s="545">
        <f>'Foglio deposito bis'!$F$91*IF(ABS(N2570)&lt;'Sollecitazioni nel paramento'!$G$58,ABS(N2570)*'Sollecitazioni nel paramento'!$G$54,'Sollecitazioni nel paramento'!$G$53)*IF(N2570&lt;0,-1,1)</f>
        <v>892485.49558937876</v>
      </c>
      <c r="U2570" s="545">
        <f>'Foglio deposito bis'!$F$92*IF(ABS(O2570)&lt;'Sollecitazioni nel paramento'!$G$58,ABS(O2570)*'Sollecitazioni nel paramento'!$G$54,'Sollecitazioni nel paramento'!$G$53)*IF(O2570&lt;0,-1,1)</f>
        <v>1662039.1047339395</v>
      </c>
      <c r="V2570" s="472">
        <f t="shared" si="180"/>
        <v>734685.26626796206</v>
      </c>
      <c r="W2570" s="551"/>
      <c r="X2570" s="551"/>
    </row>
    <row r="2571" spans="1:24" x14ac:dyDescent="0.25">
      <c r="A2571" s="545">
        <f t="shared" si="179"/>
        <v>708556.86284399522</v>
      </c>
      <c r="B2571" s="3">
        <f t="shared" si="181"/>
        <v>4.2999999999999927</v>
      </c>
      <c r="C2571" s="545">
        <f>'Foglio deposito bis'!$E$163/sezione!$B$247*B2571</f>
        <v>49.949775049839332</v>
      </c>
      <c r="D2571" s="603">
        <f>-'Sollecitazioni nel paramento'!$G$47*'Sollecitazioni nel paramento'!$G$41*IF(DATI!$G$211="dx",DATI!$E$61,DATI!$E$64*DATI!$E$63)*1000*C2571^2*sezione!$AD$5*(1-sezione!$AD$6)</f>
        <v>-55509932.399535313</v>
      </c>
      <c r="E2571" s="545">
        <f>-'Foglio deposito bis'!$F$88*(C2571-sezione!$AL$37)*IF(ABS(K2571)&lt;'Sollecitazioni nel paramento'!$G$58,ABS(K2571)*'Sollecitazioni nel paramento'!$G$54,'Sollecitazioni nel paramento'!$G$53)</f>
        <v>0</v>
      </c>
      <c r="F2571" s="545">
        <f>-'Foglio deposito bis'!$F$89*(C2571-sezione!$AM$37)*IF(ABS(L2571)&lt;'Sollecitazioni nel paramento'!$G$58,ABS(L2571)*'Sollecitazioni nel paramento'!$G$54,'Sollecitazioni nel paramento'!$G$53)</f>
        <v>572549.68322406954</v>
      </c>
      <c r="G2571" s="545">
        <f>-'Foglio deposito bis'!$F$90*(C2571-sezione!$AN$37)*IF(ABS(M2571)&lt;'Sollecitazioni nel paramento'!$G$58,ABS(M2571)*'Sollecitazioni nel paramento'!$G$54,'Sollecitazioni nel paramento'!$G$53)</f>
        <v>0</v>
      </c>
      <c r="H2571" s="545">
        <f>-'Foglio deposito bis'!$F$91*(C2571-sezione!$AO$37)*IF(ABS(N2571)&lt;'Sollecitazioni nel paramento'!$G$58,ABS(N2571)*'Sollecitazioni nel paramento'!$G$54,'Sollecitazioni nel paramento'!$G$53)</f>
        <v>98218229.554366753</v>
      </c>
      <c r="I2571" s="472">
        <f>-'Foglio deposito bis'!$F$92*(C2571-sezione!$AP$37)*IF(ABS(O2571)&lt;'Sollecitazioni nel paramento'!$G$58,ABS(O2571)*'Sollecitazioni nel paramento'!$G$54,'Sollecitazioni nel paramento'!$G$53)</f>
        <v>1277259404.7926359</v>
      </c>
      <c r="J2571" s="472">
        <f t="shared" si="178"/>
        <v>1320540251.6306915</v>
      </c>
      <c r="K2571" s="550">
        <f>'Sollecitazioni nel paramento'!$G$60*(sezione!$AL$37-C2571)/C2571</f>
        <v>-6.9718457469909419E-4</v>
      </c>
      <c r="L2571" s="550">
        <f>'Sollecitazioni nel paramento'!$G$60*(sezione!$AM$37-C2571)/C2571</f>
        <v>7.042231379513588E-4</v>
      </c>
      <c r="M2571" s="551">
        <f>'Sollecitazioni nel paramento'!$G$60*(sezione!$AN$37-C2571)/C2571</f>
        <v>2.1056308506018119E-3</v>
      </c>
      <c r="N2571" s="551">
        <f>'Sollecitazioni nel paramento'!$G$60*(sezione!$AO$37-C2571)/C2571</f>
        <v>7.7112617012036234E-3</v>
      </c>
      <c r="O2571" s="551">
        <f>'Sollecitazioni nel paramento'!$G$60*(sezione!$AP$37-C2571)/C2571</f>
        <v>5.3848347365396829E-2</v>
      </c>
      <c r="P2571" s="545">
        <f>-'Sollecitazioni nel paramento'!$G$47*'Sollecitazioni nel paramento'!$G$41*IF(DATI!$G$211="dx",DATI!$E$61,DATI!$E$64*DATI!$E$63)*1000*C2571*sezione!$AD$5</f>
        <v>-1902936.5800737285</v>
      </c>
      <c r="Q2571" s="545">
        <f>'Foglio deposito bis'!$F$88*IF(ABS(K2571)&lt;'Sollecitazioni nel paramento'!$G$58,ABS(K2571)*'Sollecitazioni nel paramento'!$G$54,'Sollecitazioni nel paramento'!$G$53)*IF(K2571&lt;0,-1,1)</f>
        <v>0</v>
      </c>
      <c r="R2571" s="545">
        <f>'Foglio deposito bis'!$F$89*IF(ABS(L2571)&lt;'Sollecitazioni nel paramento'!$G$58,ABS(L2571)*'Sollecitazioni nel paramento'!$G$54,'Sollecitazioni nel paramento'!$G$53)*IF(L2571&lt;0,-1,1)</f>
        <v>56968.842594405454</v>
      </c>
      <c r="S2571" s="545">
        <f>'Foglio deposito bis'!$F$90*IF(ABS(M2571)&lt;'Sollecitazioni nel paramento'!$G$58,ABS(M2571)*'Sollecitazioni nel paramento'!$G$54,'Sollecitazioni nel paramento'!$G$53)*IF(M2571&lt;0,-1,1)</f>
        <v>0</v>
      </c>
      <c r="T2571" s="545">
        <f>'Foglio deposito bis'!$F$91*IF(ABS(N2571)&lt;'Sollecitazioni nel paramento'!$G$58,ABS(N2571)*'Sollecitazioni nel paramento'!$G$54,'Sollecitazioni nel paramento'!$G$53)*IF(N2571&lt;0,-1,1)</f>
        <v>892485.49558937876</v>
      </c>
      <c r="U2571" s="545">
        <f>'Foglio deposito bis'!$F$92*IF(ABS(O2571)&lt;'Sollecitazioni nel paramento'!$G$58,ABS(O2571)*'Sollecitazioni nel paramento'!$G$54,'Sollecitazioni nel paramento'!$G$53)*IF(O2571&lt;0,-1,1)</f>
        <v>1662039.1047339395</v>
      </c>
      <c r="V2571" s="472">
        <f t="shared" si="180"/>
        <v>708556.86284399522</v>
      </c>
      <c r="W2571" s="551"/>
      <c r="X2571" s="551"/>
    </row>
    <row r="2572" spans="1:24" x14ac:dyDescent="0.25">
      <c r="A2572" s="545">
        <f t="shared" si="179"/>
        <v>682520.44180826307</v>
      </c>
      <c r="B2572" s="3">
        <f t="shared" si="181"/>
        <v>4.3499999999999925</v>
      </c>
      <c r="C2572" s="545">
        <f>'Foglio deposito bis'!$E$163/sezione!$B$247*B2572</f>
        <v>50.530586387628162</v>
      </c>
      <c r="D2572" s="603">
        <f>-'Sollecitazioni nel paramento'!$G$47*'Sollecitazioni nel paramento'!$G$41*IF(DATI!$G$211="dx",DATI!$E$61,DATI!$E$64*DATI!$E$63)*1000*C2572^2*sezione!$AD$5*(1-sezione!$AD$6)</f>
        <v>-56808366.459178299</v>
      </c>
      <c r="E2572" s="545">
        <f>-'Foglio deposito bis'!$F$88*(C2572-sezione!$AL$37)*IF(ABS(K2572)&lt;'Sollecitazioni nel paramento'!$G$58,ABS(K2572)*'Sollecitazioni nel paramento'!$G$54,'Sollecitazioni nel paramento'!$G$53)</f>
        <v>0</v>
      </c>
      <c r="F2572" s="545">
        <f>-'Foglio deposito bis'!$F$89*(C2572-sezione!$AM$37)*IF(ABS(L2572)&lt;'Sollecitazioni nel paramento'!$G$58,ABS(L2572)*'Sollecitazioni nel paramento'!$G$54,'Sollecitazioni nel paramento'!$G$53)</f>
        <v>502443.21417633514</v>
      </c>
      <c r="G2572" s="545">
        <f>-'Foglio deposito bis'!$F$90*(C2572-sezione!$AN$37)*IF(ABS(M2572)&lt;'Sollecitazioni nel paramento'!$G$58,ABS(M2572)*'Sollecitazioni nel paramento'!$G$54,'Sollecitazioni nel paramento'!$G$53)</f>
        <v>0</v>
      </c>
      <c r="H2572" s="545">
        <f>-'Foglio deposito bis'!$F$91*(C2572-sezione!$AO$37)*IF(ABS(N2572)&lt;'Sollecitazioni nel paramento'!$G$58,ABS(N2572)*'Sollecitazioni nel paramento'!$G$54,'Sollecitazioni nel paramento'!$G$53)</f>
        <v>97699863.859716371</v>
      </c>
      <c r="I2572" s="472">
        <f>-'Foglio deposito bis'!$F$92*(C2572-sezione!$AP$37)*IF(ABS(O2572)&lt;'Sollecitazioni nel paramento'!$G$58,ABS(O2572)*'Sollecitazioni nel paramento'!$G$54,'Sollecitazioni nel paramento'!$G$53)</f>
        <v>1276294073.6367579</v>
      </c>
      <c r="J2572" s="472">
        <f t="shared" si="178"/>
        <v>1317688014.2514722</v>
      </c>
      <c r="K2572" s="550">
        <f>'Sollecitazioni nel paramento'!$G$60*(sezione!$AL$37-C2572)/C2572</f>
        <v>-7.2940084395542654E-4</v>
      </c>
      <c r="L2572" s="550">
        <f>'Sollecitazioni nel paramento'!$G$60*(sezione!$AM$37-C2572)/C2572</f>
        <v>6.5589873406686028E-4</v>
      </c>
      <c r="M2572" s="551">
        <f>'Sollecitazioni nel paramento'!$G$60*(sezione!$AN$37-C2572)/C2572</f>
        <v>2.0411983120891472E-3</v>
      </c>
      <c r="N2572" s="551">
        <f>'Sollecitazioni nel paramento'!$G$60*(sezione!$AO$37-C2572)/C2572</f>
        <v>7.582396624178294E-3</v>
      </c>
      <c r="O2572" s="551">
        <f>'Sollecitazioni nel paramento'!$G$60*(sezione!$AP$37-C2572)/C2572</f>
        <v>5.3189170958898017E-2</v>
      </c>
      <c r="P2572" s="545">
        <f>-'Sollecitazioni nel paramento'!$G$47*'Sollecitazioni nel paramento'!$G$41*IF(DATI!$G$211="dx",DATI!$E$61,DATI!$E$64*DATI!$E$63)*1000*C2572*sezione!$AD$5</f>
        <v>-1925063.7496094699</v>
      </c>
      <c r="Q2572" s="545">
        <f>'Foglio deposito bis'!$F$88*IF(ABS(K2572)&lt;'Sollecitazioni nel paramento'!$G$58,ABS(K2572)*'Sollecitazioni nel paramento'!$G$54,'Sollecitazioni nel paramento'!$G$53)*IF(K2572&lt;0,-1,1)</f>
        <v>0</v>
      </c>
      <c r="R2572" s="545">
        <f>'Foglio deposito bis'!$F$89*IF(ABS(L2572)&lt;'Sollecitazioni nel paramento'!$G$58,ABS(L2572)*'Sollecitazioni nel paramento'!$G$54,'Sollecitazioni nel paramento'!$G$53)*IF(L2572&lt;0,-1,1)</f>
        <v>53059.591094414805</v>
      </c>
      <c r="S2572" s="545">
        <f>'Foglio deposito bis'!$F$90*IF(ABS(M2572)&lt;'Sollecitazioni nel paramento'!$G$58,ABS(M2572)*'Sollecitazioni nel paramento'!$G$54,'Sollecitazioni nel paramento'!$G$53)*IF(M2572&lt;0,-1,1)</f>
        <v>0</v>
      </c>
      <c r="T2572" s="545">
        <f>'Foglio deposito bis'!$F$91*IF(ABS(N2572)&lt;'Sollecitazioni nel paramento'!$G$58,ABS(N2572)*'Sollecitazioni nel paramento'!$G$54,'Sollecitazioni nel paramento'!$G$53)*IF(N2572&lt;0,-1,1)</f>
        <v>892485.49558937876</v>
      </c>
      <c r="U2572" s="545">
        <f>'Foglio deposito bis'!$F$92*IF(ABS(O2572)&lt;'Sollecitazioni nel paramento'!$G$58,ABS(O2572)*'Sollecitazioni nel paramento'!$G$54,'Sollecitazioni nel paramento'!$G$53)*IF(O2572&lt;0,-1,1)</f>
        <v>1662039.1047339395</v>
      </c>
      <c r="V2572" s="472">
        <f t="shared" si="180"/>
        <v>682520.44180826307</v>
      </c>
      <c r="W2572" s="551"/>
      <c r="X2572" s="551"/>
    </row>
    <row r="2573" spans="1:24" x14ac:dyDescent="0.25">
      <c r="A2573" s="545">
        <f t="shared" si="179"/>
        <v>656572.8673975314</v>
      </c>
      <c r="B2573" s="3">
        <f t="shared" si="181"/>
        <v>4.3999999999999924</v>
      </c>
      <c r="C2573" s="545">
        <f>'Foglio deposito bis'!$E$163/sezione!$B$247*B2573</f>
        <v>51.111397725416992</v>
      </c>
      <c r="D2573" s="603">
        <f>-'Sollecitazioni nel paramento'!$G$47*'Sollecitazioni nel paramento'!$G$41*IF(DATI!$G$211="dx",DATI!$E$61,DATI!$E$64*DATI!$E$63)*1000*C2573^2*sezione!$AD$5*(1-sezione!$AD$6)</f>
        <v>-58121811.317198679</v>
      </c>
      <c r="E2573" s="545">
        <f>-'Foglio deposito bis'!$F$88*(C2573-sezione!$AL$37)*IF(ABS(K2573)&lt;'Sollecitazioni nel paramento'!$G$58,ABS(K2573)*'Sollecitazioni nel paramento'!$G$54,'Sollecitazioni nel paramento'!$G$53)</f>
        <v>0</v>
      </c>
      <c r="F2573" s="545">
        <f>-'Foglio deposito bis'!$F$89*(C2573-sezione!$AM$37)*IF(ABS(L2573)&lt;'Sollecitazioni nel paramento'!$G$58,ABS(L2573)*'Sollecitazioni nel paramento'!$G$54,'Sollecitazioni nel paramento'!$G$53)</f>
        <v>437667.54262858798</v>
      </c>
      <c r="G2573" s="545">
        <f>-'Foglio deposito bis'!$F$90*(C2573-sezione!$AN$37)*IF(ABS(M2573)&lt;'Sollecitazioni nel paramento'!$G$58,ABS(M2573)*'Sollecitazioni nel paramento'!$G$54,'Sollecitazioni nel paramento'!$G$53)</f>
        <v>0</v>
      </c>
      <c r="H2573" s="545">
        <f>-'Foglio deposito bis'!$F$91*(C2573-sezione!$AO$37)*IF(ABS(N2573)&lt;'Sollecitazioni nel paramento'!$G$58,ABS(N2573)*'Sollecitazioni nel paramento'!$G$54,'Sollecitazioni nel paramento'!$G$53)</f>
        <v>97181498.165065974</v>
      </c>
      <c r="I2573" s="472">
        <f>-'Foglio deposito bis'!$F$92*(C2573-sezione!$AP$37)*IF(ABS(O2573)&lt;'Sollecitazioni nel paramento'!$G$58,ABS(O2573)*'Sollecitazioni nel paramento'!$G$54,'Sollecitazioni nel paramento'!$G$53)</f>
        <v>1275328742.4808803</v>
      </c>
      <c r="J2573" s="472">
        <f t="shared" si="178"/>
        <v>1314826096.871376</v>
      </c>
      <c r="K2573" s="550">
        <f>'Sollecitazioni nel paramento'!$G$60*(sezione!$AL$37-C2573)/C2573</f>
        <v>-7.608849252741149E-4</v>
      </c>
      <c r="L2573" s="550">
        <f>'Sollecitazioni nel paramento'!$G$60*(sezione!$AM$37-C2573)/C2573</f>
        <v>6.0867261208882764E-4</v>
      </c>
      <c r="M2573" s="551">
        <f>'Sollecitazioni nel paramento'!$G$60*(sezione!$AN$37-C2573)/C2573</f>
        <v>1.9782301494517705E-3</v>
      </c>
      <c r="N2573" s="551">
        <f>'Sollecitazioni nel paramento'!$G$60*(sezione!$AO$37-C2573)/C2573</f>
        <v>7.4564602989035406E-3</v>
      </c>
      <c r="O2573" s="551">
        <f>'Sollecitazioni nel paramento'!$G$60*(sezione!$AP$37-C2573)/C2573</f>
        <v>5.2544975834365085E-2</v>
      </c>
      <c r="P2573" s="545">
        <f>-'Sollecitazioni nel paramento'!$G$47*'Sollecitazioni nel paramento'!$G$41*IF(DATI!$G$211="dx",DATI!$E$61,DATI!$E$64*DATI!$E$63)*1000*C2573*sezione!$AD$5</f>
        <v>-1947190.9191452109</v>
      </c>
      <c r="Q2573" s="545">
        <f>'Foglio deposito bis'!$F$88*IF(ABS(K2573)&lt;'Sollecitazioni nel paramento'!$G$58,ABS(K2573)*'Sollecitazioni nel paramento'!$G$54,'Sollecitazioni nel paramento'!$G$53)*IF(K2573&lt;0,-1,1)</f>
        <v>0</v>
      </c>
      <c r="R2573" s="545">
        <f>'Foglio deposito bis'!$F$89*IF(ABS(L2573)&lt;'Sollecitazioni nel paramento'!$G$58,ABS(L2573)*'Sollecitazioni nel paramento'!$G$54,'Sollecitazioni nel paramento'!$G$53)*IF(L2573&lt;0,-1,1)</f>
        <v>49239.186219423944</v>
      </c>
      <c r="S2573" s="545">
        <f>'Foglio deposito bis'!$F$90*IF(ABS(M2573)&lt;'Sollecitazioni nel paramento'!$G$58,ABS(M2573)*'Sollecitazioni nel paramento'!$G$54,'Sollecitazioni nel paramento'!$G$53)*IF(M2573&lt;0,-1,1)</f>
        <v>0</v>
      </c>
      <c r="T2573" s="545">
        <f>'Foglio deposito bis'!$F$91*IF(ABS(N2573)&lt;'Sollecitazioni nel paramento'!$G$58,ABS(N2573)*'Sollecitazioni nel paramento'!$G$54,'Sollecitazioni nel paramento'!$G$53)*IF(N2573&lt;0,-1,1)</f>
        <v>892485.49558937876</v>
      </c>
      <c r="U2573" s="545">
        <f>'Foglio deposito bis'!$F$92*IF(ABS(O2573)&lt;'Sollecitazioni nel paramento'!$G$58,ABS(O2573)*'Sollecitazioni nel paramento'!$G$54,'Sollecitazioni nel paramento'!$G$53)*IF(O2573&lt;0,-1,1)</f>
        <v>1662039.1047339395</v>
      </c>
      <c r="V2573" s="472">
        <f t="shared" si="180"/>
        <v>656572.8673975314</v>
      </c>
      <c r="W2573" s="551"/>
      <c r="X2573" s="551"/>
    </row>
    <row r="2574" spans="1:24" x14ac:dyDescent="0.25">
      <c r="A2574" s="545">
        <f t="shared" si="179"/>
        <v>630711.14478174341</v>
      </c>
      <c r="B2574" s="3">
        <f t="shared" si="181"/>
        <v>4.4499999999999922</v>
      </c>
      <c r="C2574" s="545">
        <f>'Foglio deposito bis'!$E$163/sezione!$B$247*B2574</f>
        <v>51.692209063205816</v>
      </c>
      <c r="D2574" s="603">
        <f>-'Sollecitazioni nel paramento'!$G$47*'Sollecitazioni nel paramento'!$G$41*IF(DATI!$G$211="dx",DATI!$E$61,DATI!$E$64*DATI!$E$63)*1000*C2574^2*sezione!$AD$5*(1-sezione!$AD$6)</f>
        <v>-59450266.973596416</v>
      </c>
      <c r="E2574" s="545">
        <f>-'Foglio deposito bis'!$F$88*(C2574-sezione!$AL$37)*IF(ABS(K2574)&lt;'Sollecitazioni nel paramento'!$G$58,ABS(K2574)*'Sollecitazioni nel paramento'!$G$54,'Sollecitazioni nel paramento'!$G$53)</f>
        <v>0</v>
      </c>
      <c r="F2574" s="545">
        <f>-'Foglio deposito bis'!$F$89*(C2574-sezione!$AM$37)*IF(ABS(L2574)&lt;'Sollecitazioni nel paramento'!$G$58,ABS(L2574)*'Sollecitazioni nel paramento'!$G$54,'Sollecitazioni nel paramento'!$G$53)</f>
        <v>378042.97877745843</v>
      </c>
      <c r="G2574" s="545">
        <f>-'Foglio deposito bis'!$F$90*(C2574-sezione!$AN$37)*IF(ABS(M2574)&lt;'Sollecitazioni nel paramento'!$G$58,ABS(M2574)*'Sollecitazioni nel paramento'!$G$54,'Sollecitazioni nel paramento'!$G$53)</f>
        <v>0</v>
      </c>
      <c r="H2574" s="545">
        <f>-'Foglio deposito bis'!$F$91*(C2574-sezione!$AO$37)*IF(ABS(N2574)&lt;'Sollecitazioni nel paramento'!$G$58,ABS(N2574)*'Sollecitazioni nel paramento'!$G$54,'Sollecitazioni nel paramento'!$G$53)</f>
        <v>96663132.470415592</v>
      </c>
      <c r="I2574" s="472">
        <f>-'Foglio deposito bis'!$F$92*(C2574-sezione!$AP$37)*IF(ABS(O2574)&lt;'Sollecitazioni nel paramento'!$G$58,ABS(O2574)*'Sollecitazioni nel paramento'!$G$54,'Sollecitazioni nel paramento'!$G$53)</f>
        <v>1274363411.3250022</v>
      </c>
      <c r="J2574" s="472">
        <f t="shared" si="178"/>
        <v>1311954319.8005989</v>
      </c>
      <c r="K2574" s="550">
        <f>'Sollecitazioni nel paramento'!$G$60*(sezione!$AL$37-C2574)/C2574</f>
        <v>-7.9166149914743913E-4</v>
      </c>
      <c r="L2574" s="550">
        <f>'Sollecitazioni nel paramento'!$G$60*(sezione!$AM$37-C2574)/C2574</f>
        <v>5.6250775127884129E-4</v>
      </c>
      <c r="M2574" s="551">
        <f>'Sollecitazioni nel paramento'!$G$60*(sezione!$AN$37-C2574)/C2574</f>
        <v>1.9166770017051218E-3</v>
      </c>
      <c r="N2574" s="551">
        <f>'Sollecitazioni nel paramento'!$G$60*(sezione!$AO$37-C2574)/C2574</f>
        <v>7.3333540034102446E-3</v>
      </c>
      <c r="O2574" s="551">
        <f>'Sollecitazioni nel paramento'!$G$60*(sezione!$AP$37-C2574)/C2574</f>
        <v>5.1915257004765486E-2</v>
      </c>
      <c r="P2574" s="545">
        <f>-'Sollecitazioni nel paramento'!$G$47*'Sollecitazioni nel paramento'!$G$41*IF(DATI!$G$211="dx",DATI!$E$61,DATI!$E$64*DATI!$E$63)*1000*C2574*sezione!$AD$5</f>
        <v>-1969318.0886809516</v>
      </c>
      <c r="Q2574" s="545">
        <f>'Foglio deposito bis'!$F$88*IF(ABS(K2574)&lt;'Sollecitazioni nel paramento'!$G$58,ABS(K2574)*'Sollecitazioni nel paramento'!$G$54,'Sollecitazioni nel paramento'!$G$53)*IF(K2574&lt;0,-1,1)</f>
        <v>0</v>
      </c>
      <c r="R2574" s="545">
        <f>'Foglio deposito bis'!$F$89*IF(ABS(L2574)&lt;'Sollecitazioni nel paramento'!$G$58,ABS(L2574)*'Sollecitazioni nel paramento'!$G$54,'Sollecitazioni nel paramento'!$G$53)*IF(L2574&lt;0,-1,1)</f>
        <v>45504.633139376747</v>
      </c>
      <c r="S2574" s="545">
        <f>'Foglio deposito bis'!$F$90*IF(ABS(M2574)&lt;'Sollecitazioni nel paramento'!$G$58,ABS(M2574)*'Sollecitazioni nel paramento'!$G$54,'Sollecitazioni nel paramento'!$G$53)*IF(M2574&lt;0,-1,1)</f>
        <v>0</v>
      </c>
      <c r="T2574" s="545">
        <f>'Foglio deposito bis'!$F$91*IF(ABS(N2574)&lt;'Sollecitazioni nel paramento'!$G$58,ABS(N2574)*'Sollecitazioni nel paramento'!$G$54,'Sollecitazioni nel paramento'!$G$53)*IF(N2574&lt;0,-1,1)</f>
        <v>892485.49558937876</v>
      </c>
      <c r="U2574" s="545">
        <f>'Foglio deposito bis'!$F$92*IF(ABS(O2574)&lt;'Sollecitazioni nel paramento'!$G$58,ABS(O2574)*'Sollecitazioni nel paramento'!$G$54,'Sollecitazioni nel paramento'!$G$53)*IF(O2574&lt;0,-1,1)</f>
        <v>1662039.1047339395</v>
      </c>
      <c r="V2574" s="472">
        <f t="shared" si="180"/>
        <v>630711.14478174341</v>
      </c>
      <c r="W2574" s="551"/>
      <c r="X2574" s="551"/>
    </row>
    <row r="2575" spans="1:24" x14ac:dyDescent="0.25">
      <c r="A2575" s="545">
        <f t="shared" si="179"/>
        <v>604932.41223440063</v>
      </c>
      <c r="B2575" s="3">
        <f t="shared" si="181"/>
        <v>4.499999999999992</v>
      </c>
      <c r="C2575" s="545">
        <f>'Foglio deposito bis'!$E$163/sezione!$B$247*B2575</f>
        <v>52.273020400994646</v>
      </c>
      <c r="D2575" s="603">
        <f>-'Sollecitazioni nel paramento'!$G$47*'Sollecitazioni nel paramento'!$G$41*IF(DATI!$G$211="dx",DATI!$E$61,DATI!$E$64*DATI!$E$63)*1000*C2575^2*sezione!$AD$5*(1-sezione!$AD$6)</f>
        <v>-60793733.428371541</v>
      </c>
      <c r="E2575" s="545">
        <f>-'Foglio deposito bis'!$F$88*(C2575-sezione!$AL$37)*IF(ABS(K2575)&lt;'Sollecitazioni nel paramento'!$G$58,ABS(K2575)*'Sollecitazioni nel paramento'!$G$54,'Sollecitazioni nel paramento'!$G$53)</f>
        <v>0</v>
      </c>
      <c r="F2575" s="545">
        <f>-'Foglio deposito bis'!$F$89*(C2575-sezione!$AM$37)*IF(ABS(L2575)&lt;'Sollecitazioni nel paramento'!$G$58,ABS(L2575)*'Sollecitazioni nel paramento'!$G$54,'Sollecitazioni nel paramento'!$G$53)</f>
        <v>323397.81903305784</v>
      </c>
      <c r="G2575" s="545">
        <f>-'Foglio deposito bis'!$F$90*(C2575-sezione!$AN$37)*IF(ABS(M2575)&lt;'Sollecitazioni nel paramento'!$G$58,ABS(M2575)*'Sollecitazioni nel paramento'!$G$54,'Sollecitazioni nel paramento'!$G$53)</f>
        <v>0</v>
      </c>
      <c r="H2575" s="545">
        <f>-'Foglio deposito bis'!$F$91*(C2575-sezione!$AO$37)*IF(ABS(N2575)&lt;'Sollecitazioni nel paramento'!$G$58,ABS(N2575)*'Sollecitazioni nel paramento'!$G$54,'Sollecitazioni nel paramento'!$G$53)</f>
        <v>96144766.775765181</v>
      </c>
      <c r="I2575" s="472">
        <f>-'Foglio deposito bis'!$F$92*(C2575-sezione!$AP$37)*IF(ABS(O2575)&lt;'Sollecitazioni nel paramento'!$G$58,ABS(O2575)*'Sollecitazioni nel paramento'!$G$54,'Sollecitazioni nel paramento'!$G$53)</f>
        <v>1273398080.1691246</v>
      </c>
      <c r="J2575" s="472">
        <f t="shared" si="178"/>
        <v>1309072511.3355513</v>
      </c>
      <c r="K2575" s="550">
        <f>'Sollecitazioni nel paramento'!$G$60*(sezione!$AL$37-C2575)/C2575</f>
        <v>-8.2175414915691203E-4</v>
      </c>
      <c r="L2575" s="550">
        <f>'Sollecitazioni nel paramento'!$G$60*(sezione!$AM$37-C2575)/C2575</f>
        <v>5.1736877626463193E-4</v>
      </c>
      <c r="M2575" s="551">
        <f>'Sollecitazioni nel paramento'!$G$60*(sezione!$AN$37-C2575)/C2575</f>
        <v>1.8564917016861758E-3</v>
      </c>
      <c r="N2575" s="551">
        <f>'Sollecitazioni nel paramento'!$G$60*(sezione!$AO$37-C2575)/C2575</f>
        <v>7.2129834033723512E-3</v>
      </c>
      <c r="O2575" s="551">
        <f>'Sollecitazioni nel paramento'!$G$60*(sezione!$AP$37-C2575)/C2575</f>
        <v>5.1299531926934754E-2</v>
      </c>
      <c r="P2575" s="545">
        <f>-'Sollecitazioni nel paramento'!$G$47*'Sollecitazioni nel paramento'!$G$41*IF(DATI!$G$211="dx",DATI!$E$61,DATI!$E$64*DATI!$E$63)*1000*C2575*sezione!$AD$5</f>
        <v>-1991445.2582166926</v>
      </c>
      <c r="Q2575" s="545">
        <f>'Foglio deposito bis'!$F$88*IF(ABS(K2575)&lt;'Sollecitazioni nel paramento'!$G$58,ABS(K2575)*'Sollecitazioni nel paramento'!$G$54,'Sollecitazioni nel paramento'!$G$53)*IF(K2575&lt;0,-1,1)</f>
        <v>0</v>
      </c>
      <c r="R2575" s="545">
        <f>'Foglio deposito bis'!$F$89*IF(ABS(L2575)&lt;'Sollecitazioni nel paramento'!$G$58,ABS(L2575)*'Sollecitazioni nel paramento'!$G$54,'Sollecitazioni nel paramento'!$G$53)*IF(L2575&lt;0,-1,1)</f>
        <v>41853.070127775005</v>
      </c>
      <c r="S2575" s="545">
        <f>'Foglio deposito bis'!$F$90*IF(ABS(M2575)&lt;'Sollecitazioni nel paramento'!$G$58,ABS(M2575)*'Sollecitazioni nel paramento'!$G$54,'Sollecitazioni nel paramento'!$G$53)*IF(M2575&lt;0,-1,1)</f>
        <v>0</v>
      </c>
      <c r="T2575" s="545">
        <f>'Foglio deposito bis'!$F$91*IF(ABS(N2575)&lt;'Sollecitazioni nel paramento'!$G$58,ABS(N2575)*'Sollecitazioni nel paramento'!$G$54,'Sollecitazioni nel paramento'!$G$53)*IF(N2575&lt;0,-1,1)</f>
        <v>892485.49558937876</v>
      </c>
      <c r="U2575" s="545">
        <f>'Foglio deposito bis'!$F$92*IF(ABS(O2575)&lt;'Sollecitazioni nel paramento'!$G$58,ABS(O2575)*'Sollecitazioni nel paramento'!$G$54,'Sollecitazioni nel paramento'!$G$53)*IF(O2575&lt;0,-1,1)</f>
        <v>1662039.1047339395</v>
      </c>
      <c r="V2575" s="472">
        <f t="shared" si="180"/>
        <v>604932.41223440063</v>
      </c>
      <c r="W2575" s="551"/>
      <c r="X2575" s="551"/>
    </row>
    <row r="2576" spans="1:24" x14ac:dyDescent="0.25">
      <c r="A2576" s="545">
        <f t="shared" si="179"/>
        <v>579233.93381918105</v>
      </c>
      <c r="B2576" s="3">
        <f t="shared" si="181"/>
        <v>4.5499999999999918</v>
      </c>
      <c r="C2576" s="545">
        <f>'Foglio deposito bis'!$E$163/sezione!$B$247*B2576</f>
        <v>52.853831738783477</v>
      </c>
      <c r="D2576" s="603">
        <f>-'Sollecitazioni nel paramento'!$G$47*'Sollecitazioni nel paramento'!$G$41*IF(DATI!$G$211="dx",DATI!$E$61,DATI!$E$64*DATI!$E$63)*1000*C2576^2*sezione!$AD$5*(1-sezione!$AD$6)</f>
        <v>-62152210.681524053</v>
      </c>
      <c r="E2576" s="545">
        <f>-'Foglio deposito bis'!$F$88*(C2576-sezione!$AL$37)*IF(ABS(K2576)&lt;'Sollecitazioni nel paramento'!$G$58,ABS(K2576)*'Sollecitazioni nel paramento'!$G$54,'Sollecitazioni nel paramento'!$G$53)</f>
        <v>0</v>
      </c>
      <c r="F2576" s="545">
        <f>-'Foglio deposito bis'!$F$89*(C2576-sezione!$AM$37)*IF(ABS(L2576)&lt;'Sollecitazioni nel paramento'!$G$58,ABS(L2576)*'Sollecitazioni nel paramento'!$G$54,'Sollecitazioni nel paramento'!$G$53)</f>
        <v>273567.90721604414</v>
      </c>
      <c r="G2576" s="545">
        <f>-'Foglio deposito bis'!$F$90*(C2576-sezione!$AN$37)*IF(ABS(M2576)&lt;'Sollecitazioni nel paramento'!$G$58,ABS(M2576)*'Sollecitazioni nel paramento'!$G$54,'Sollecitazioni nel paramento'!$G$53)</f>
        <v>0</v>
      </c>
      <c r="H2576" s="545">
        <f>-'Foglio deposito bis'!$F$91*(C2576-sezione!$AO$37)*IF(ABS(N2576)&lt;'Sollecitazioni nel paramento'!$G$58,ABS(N2576)*'Sollecitazioni nel paramento'!$G$54,'Sollecitazioni nel paramento'!$G$53)</f>
        <v>95626401.081114799</v>
      </c>
      <c r="I2576" s="472">
        <f>-'Foglio deposito bis'!$F$92*(C2576-sezione!$AP$37)*IF(ABS(O2576)&lt;'Sollecitazioni nel paramento'!$G$58,ABS(O2576)*'Sollecitazioni nel paramento'!$G$54,'Sollecitazioni nel paramento'!$G$53)</f>
        <v>1272432749.0132465</v>
      </c>
      <c r="J2576" s="472">
        <f t="shared" si="178"/>
        <v>1306180507.3200533</v>
      </c>
      <c r="K2576" s="550">
        <f>'Sollecitazioni nel paramento'!$G$60*(sezione!$AL$37-C2576)/C2576</f>
        <v>-8.5118542224309993E-4</v>
      </c>
      <c r="L2576" s="550">
        <f>'Sollecitazioni nel paramento'!$G$60*(sezione!$AM$37-C2576)/C2576</f>
        <v>4.7322186663535019E-4</v>
      </c>
      <c r="M2576" s="551">
        <f>'Sollecitazioni nel paramento'!$G$60*(sezione!$AN$37-C2576)/C2576</f>
        <v>1.7976291555138002E-3</v>
      </c>
      <c r="N2576" s="551">
        <f>'Sollecitazioni nel paramento'!$G$60*(sezione!$AO$37-C2576)/C2576</f>
        <v>7.0952583110276005E-3</v>
      </c>
      <c r="O2576" s="551">
        <f>'Sollecitazioni nel paramento'!$G$60*(sezione!$AP$37-C2576)/C2576</f>
        <v>5.0697339268397014E-2</v>
      </c>
      <c r="P2576" s="545">
        <f>-'Sollecitazioni nel paramento'!$G$47*'Sollecitazioni nel paramento'!$G$41*IF(DATI!$G$211="dx",DATI!$E$61,DATI!$E$64*DATI!$E$63)*1000*C2576*sezione!$AD$5</f>
        <v>-2013572.4277524336</v>
      </c>
      <c r="Q2576" s="545">
        <f>'Foglio deposito bis'!$F$88*IF(ABS(K2576)&lt;'Sollecitazioni nel paramento'!$G$58,ABS(K2576)*'Sollecitazioni nel paramento'!$G$54,'Sollecitazioni nel paramento'!$G$53)*IF(K2576&lt;0,-1,1)</f>
        <v>0</v>
      </c>
      <c r="R2576" s="545">
        <f>'Foglio deposito bis'!$F$89*IF(ABS(L2576)&lt;'Sollecitazioni nel paramento'!$G$58,ABS(L2576)*'Sollecitazioni nel paramento'!$G$54,'Sollecitazioni nel paramento'!$G$53)*IF(L2576&lt;0,-1,1)</f>
        <v>38281.761248296367</v>
      </c>
      <c r="S2576" s="545">
        <f>'Foglio deposito bis'!$F$90*IF(ABS(M2576)&lt;'Sollecitazioni nel paramento'!$G$58,ABS(M2576)*'Sollecitazioni nel paramento'!$G$54,'Sollecitazioni nel paramento'!$G$53)*IF(M2576&lt;0,-1,1)</f>
        <v>0</v>
      </c>
      <c r="T2576" s="545">
        <f>'Foglio deposito bis'!$F$91*IF(ABS(N2576)&lt;'Sollecitazioni nel paramento'!$G$58,ABS(N2576)*'Sollecitazioni nel paramento'!$G$54,'Sollecitazioni nel paramento'!$G$53)*IF(N2576&lt;0,-1,1)</f>
        <v>892485.49558937876</v>
      </c>
      <c r="U2576" s="545">
        <f>'Foglio deposito bis'!$F$92*IF(ABS(O2576)&lt;'Sollecitazioni nel paramento'!$G$58,ABS(O2576)*'Sollecitazioni nel paramento'!$G$54,'Sollecitazioni nel paramento'!$G$53)*IF(O2576&lt;0,-1,1)</f>
        <v>1662039.1047339395</v>
      </c>
      <c r="V2576" s="472">
        <f t="shared" si="180"/>
        <v>579233.93381918105</v>
      </c>
      <c r="W2576" s="551"/>
      <c r="X2576" s="551"/>
    </row>
    <row r="2577" spans="1:24" x14ac:dyDescent="0.25">
      <c r="A2577" s="545">
        <f t="shared" si="179"/>
        <v>553613.09255351545</v>
      </c>
      <c r="B2577" s="3">
        <f t="shared" si="181"/>
        <v>4.5999999999999917</v>
      </c>
      <c r="C2577" s="545">
        <f>'Foglio deposito bis'!$E$163/sezione!$B$247*B2577</f>
        <v>53.4346430765723</v>
      </c>
      <c r="D2577" s="603">
        <f>-'Sollecitazioni nel paramento'!$G$47*'Sollecitazioni nel paramento'!$G$41*IF(DATI!$G$211="dx",DATI!$E$61,DATI!$E$64*DATI!$E$63)*1000*C2577^2*sezione!$AD$5*(1-sezione!$AD$6)</f>
        <v>-63525698.733053908</v>
      </c>
      <c r="E2577" s="545">
        <f>-'Foglio deposito bis'!$F$88*(C2577-sezione!$AL$37)*IF(ABS(K2577)&lt;'Sollecitazioni nel paramento'!$G$58,ABS(K2577)*'Sollecitazioni nel paramento'!$G$54,'Sollecitazioni nel paramento'!$G$53)</f>
        <v>0</v>
      </c>
      <c r="F2577" s="545">
        <f>-'Foglio deposito bis'!$F$89*(C2577-sezione!$AM$37)*IF(ABS(L2577)&lt;'Sollecitazioni nel paramento'!$G$58,ABS(L2577)*'Sollecitazioni nel paramento'!$G$54,'Sollecitazioni nel paramento'!$G$53)</f>
        <v>228396.22437226397</v>
      </c>
      <c r="G2577" s="545">
        <f>-'Foglio deposito bis'!$F$90*(C2577-sezione!$AN$37)*IF(ABS(M2577)&lt;'Sollecitazioni nel paramento'!$G$58,ABS(M2577)*'Sollecitazioni nel paramento'!$G$54,'Sollecitazioni nel paramento'!$G$53)</f>
        <v>0</v>
      </c>
      <c r="H2577" s="545">
        <f>-'Foglio deposito bis'!$F$91*(C2577-sezione!$AO$37)*IF(ABS(N2577)&lt;'Sollecitazioni nel paramento'!$G$58,ABS(N2577)*'Sollecitazioni nel paramento'!$G$54,'Sollecitazioni nel paramento'!$G$53)</f>
        <v>95108035.386464417</v>
      </c>
      <c r="I2577" s="472">
        <f>-'Foglio deposito bis'!$F$92*(C2577-sezione!$AP$37)*IF(ABS(O2577)&lt;'Sollecitazioni nel paramento'!$G$58,ABS(O2577)*'Sollecitazioni nel paramento'!$G$54,'Sollecitazioni nel paramento'!$G$53)</f>
        <v>1271467417.8573687</v>
      </c>
      <c r="J2577" s="472">
        <f t="shared" si="178"/>
        <v>1303278150.7351515</v>
      </c>
      <c r="K2577" s="550">
        <f>'Sollecitazioni nel paramento'!$G$60*(sezione!$AL$37-C2577)/C2577</f>
        <v>-8.79976885044805E-4</v>
      </c>
      <c r="L2577" s="550">
        <f>'Sollecitazioni nel paramento'!$G$60*(sezione!$AM$37-C2577)/C2577</f>
        <v>4.3003467243279243E-4</v>
      </c>
      <c r="M2577" s="551">
        <f>'Sollecitazioni nel paramento'!$G$60*(sezione!$AN$37-C2577)/C2577</f>
        <v>1.7400462299103899E-3</v>
      </c>
      <c r="N2577" s="551">
        <f>'Sollecitazioni nel paramento'!$G$60*(sezione!$AO$37-C2577)/C2577</f>
        <v>6.9800924598207807E-3</v>
      </c>
      <c r="O2577" s="551">
        <f>'Sollecitazioni nel paramento'!$G$60*(sezione!$AP$37-C2577)/C2577</f>
        <v>5.0108237754610097E-2</v>
      </c>
      <c r="P2577" s="545">
        <f>-'Sollecitazioni nel paramento'!$G$47*'Sollecitazioni nel paramento'!$G$41*IF(DATI!$G$211="dx",DATI!$E$61,DATI!$E$64*DATI!$E$63)*1000*C2577*sezione!$AD$5</f>
        <v>-2035699.5972881746</v>
      </c>
      <c r="Q2577" s="545">
        <f>'Foglio deposito bis'!$F$88*IF(ABS(K2577)&lt;'Sollecitazioni nel paramento'!$G$58,ABS(K2577)*'Sollecitazioni nel paramento'!$G$54,'Sollecitazioni nel paramento'!$G$53)*IF(K2577&lt;0,-1,1)</f>
        <v>0</v>
      </c>
      <c r="R2577" s="545">
        <f>'Foglio deposito bis'!$F$89*IF(ABS(L2577)&lt;'Sollecitazioni nel paramento'!$G$58,ABS(L2577)*'Sollecitazioni nel paramento'!$G$54,'Sollecitazioni nel paramento'!$G$53)*IF(L2577&lt;0,-1,1)</f>
        <v>34788.089518371657</v>
      </c>
      <c r="S2577" s="545">
        <f>'Foglio deposito bis'!$F$90*IF(ABS(M2577)&lt;'Sollecitazioni nel paramento'!$G$58,ABS(M2577)*'Sollecitazioni nel paramento'!$G$54,'Sollecitazioni nel paramento'!$G$53)*IF(M2577&lt;0,-1,1)</f>
        <v>0</v>
      </c>
      <c r="T2577" s="545">
        <f>'Foglio deposito bis'!$F$91*IF(ABS(N2577)&lt;'Sollecitazioni nel paramento'!$G$58,ABS(N2577)*'Sollecitazioni nel paramento'!$G$54,'Sollecitazioni nel paramento'!$G$53)*IF(N2577&lt;0,-1,1)</f>
        <v>892485.49558937876</v>
      </c>
      <c r="U2577" s="545">
        <f>'Foglio deposito bis'!$F$92*IF(ABS(O2577)&lt;'Sollecitazioni nel paramento'!$G$58,ABS(O2577)*'Sollecitazioni nel paramento'!$G$54,'Sollecitazioni nel paramento'!$G$53)*IF(O2577&lt;0,-1,1)</f>
        <v>1662039.1047339395</v>
      </c>
      <c r="V2577" s="472">
        <f t="shared" si="180"/>
        <v>553613.09255351545</v>
      </c>
      <c r="W2577" s="551"/>
      <c r="X2577" s="551"/>
    </row>
    <row r="2578" spans="1:24" x14ac:dyDescent="0.25">
      <c r="A2578" s="545">
        <f t="shared" si="179"/>
        <v>528067.38401322439</v>
      </c>
      <c r="B2578" s="3">
        <f t="shared" si="181"/>
        <v>4.6499999999999915</v>
      </c>
      <c r="C2578" s="545">
        <f>'Foglio deposito bis'!$E$163/sezione!$B$247*B2578</f>
        <v>54.01545441436113</v>
      </c>
      <c r="D2578" s="603">
        <f>-'Sollecitazioni nel paramento'!$G$47*'Sollecitazioni nel paramento'!$G$41*IF(DATI!$G$211="dx",DATI!$E$61,DATI!$E$64*DATI!$E$63)*1000*C2578^2*sezione!$AD$5*(1-sezione!$AD$6)</f>
        <v>-64914197.582961157</v>
      </c>
      <c r="E2578" s="545">
        <f>-'Foglio deposito bis'!$F$88*(C2578-sezione!$AL$37)*IF(ABS(K2578)&lt;'Sollecitazioni nel paramento'!$G$58,ABS(K2578)*'Sollecitazioni nel paramento'!$G$54,'Sollecitazioni nel paramento'!$G$53)</f>
        <v>0</v>
      </c>
      <c r="F2578" s="545">
        <f>-'Foglio deposito bis'!$F$89*(C2578-sezione!$AM$37)*IF(ABS(L2578)&lt;'Sollecitazioni nel paramento'!$G$58,ABS(L2578)*'Sollecitazioni nel paramento'!$G$54,'Sollecitazioni nel paramento'!$G$53)</f>
        <v>187732.50505096681</v>
      </c>
      <c r="G2578" s="545">
        <f>-'Foglio deposito bis'!$F$90*(C2578-sezione!$AN$37)*IF(ABS(M2578)&lt;'Sollecitazioni nel paramento'!$G$58,ABS(M2578)*'Sollecitazioni nel paramento'!$G$54,'Sollecitazioni nel paramento'!$G$53)</f>
        <v>0</v>
      </c>
      <c r="H2578" s="545">
        <f>-'Foglio deposito bis'!$F$91*(C2578-sezione!$AO$37)*IF(ABS(N2578)&lt;'Sollecitazioni nel paramento'!$G$58,ABS(N2578)*'Sollecitazioni nel paramento'!$G$54,'Sollecitazioni nel paramento'!$G$53)</f>
        <v>94589669.69181402</v>
      </c>
      <c r="I2578" s="472">
        <f>-'Foglio deposito bis'!$F$92*(C2578-sezione!$AP$37)*IF(ABS(O2578)&lt;'Sollecitazioni nel paramento'!$G$58,ABS(O2578)*'Sollecitazioni nel paramento'!$G$54,'Sollecitazioni nel paramento'!$G$53)</f>
        <v>1270502086.7014909</v>
      </c>
      <c r="J2578" s="472">
        <f t="shared" si="178"/>
        <v>1300365291.3153946</v>
      </c>
      <c r="K2578" s="550">
        <f>'Sollecitazioni nel paramento'!$G$60*(sezione!$AL$37-C2578)/C2578</f>
        <v>-9.081491766034631E-4</v>
      </c>
      <c r="L2578" s="550">
        <f>'Sollecitazioni nel paramento'!$G$60*(sezione!$AM$37-C2578)/C2578</f>
        <v>3.8777623509480538E-4</v>
      </c>
      <c r="M2578" s="551">
        <f>'Sollecitazioni nel paramento'!$G$60*(sezione!$AN$37-C2578)/C2578</f>
        <v>1.6837016467930736E-3</v>
      </c>
      <c r="N2578" s="551">
        <f>'Sollecitazioni nel paramento'!$G$60*(sezione!$AO$37-C2578)/C2578</f>
        <v>6.8674032935861478E-3</v>
      </c>
      <c r="O2578" s="551">
        <f>'Sollecitazioni nel paramento'!$G$60*(sezione!$AP$37-C2578)/C2578</f>
        <v>4.9531805090582026E-2</v>
      </c>
      <c r="P2578" s="545">
        <f>-'Sollecitazioni nel paramento'!$G$47*'Sollecitazioni nel paramento'!$G$41*IF(DATI!$G$211="dx",DATI!$E$61,DATI!$E$64*DATI!$E$63)*1000*C2578*sezione!$AD$5</f>
        <v>-2057826.7668239155</v>
      </c>
      <c r="Q2578" s="545">
        <f>'Foglio deposito bis'!$F$88*IF(ABS(K2578)&lt;'Sollecitazioni nel paramento'!$G$58,ABS(K2578)*'Sollecitazioni nel paramento'!$G$54,'Sollecitazioni nel paramento'!$G$53)*IF(K2578&lt;0,-1,1)</f>
        <v>0</v>
      </c>
      <c r="R2578" s="545">
        <f>'Foglio deposito bis'!$F$89*IF(ABS(L2578)&lt;'Sollecitazioni nel paramento'!$G$58,ABS(L2578)*'Sollecitazioni nel paramento'!$G$54,'Sollecitazioni nel paramento'!$G$53)*IF(L2578&lt;0,-1,1)</f>
        <v>31369.550513821639</v>
      </c>
      <c r="S2578" s="545">
        <f>'Foglio deposito bis'!$F$90*IF(ABS(M2578)&lt;'Sollecitazioni nel paramento'!$G$58,ABS(M2578)*'Sollecitazioni nel paramento'!$G$54,'Sollecitazioni nel paramento'!$G$53)*IF(M2578&lt;0,-1,1)</f>
        <v>0</v>
      </c>
      <c r="T2578" s="545">
        <f>'Foglio deposito bis'!$F$91*IF(ABS(N2578)&lt;'Sollecitazioni nel paramento'!$G$58,ABS(N2578)*'Sollecitazioni nel paramento'!$G$54,'Sollecitazioni nel paramento'!$G$53)*IF(N2578&lt;0,-1,1)</f>
        <v>892485.49558937876</v>
      </c>
      <c r="U2578" s="545">
        <f>'Foglio deposito bis'!$F$92*IF(ABS(O2578)&lt;'Sollecitazioni nel paramento'!$G$58,ABS(O2578)*'Sollecitazioni nel paramento'!$G$54,'Sollecitazioni nel paramento'!$G$53)*IF(O2578&lt;0,-1,1)</f>
        <v>1662039.1047339395</v>
      </c>
      <c r="V2578" s="472">
        <f t="shared" si="180"/>
        <v>528067.38401322439</v>
      </c>
      <c r="W2578" s="551"/>
      <c r="X2578" s="551"/>
    </row>
    <row r="2579" spans="1:24" x14ac:dyDescent="0.25">
      <c r="A2579" s="545">
        <f t="shared" si="179"/>
        <v>502594.41034537065</v>
      </c>
      <c r="B2579" s="3">
        <f t="shared" si="181"/>
        <v>4.6999999999999913</v>
      </c>
      <c r="C2579" s="545">
        <f>'Foglio deposito bis'!$E$163/sezione!$B$247*B2579</f>
        <v>54.596265752149961</v>
      </c>
      <c r="D2579" s="603">
        <f>-'Sollecitazioni nel paramento'!$G$47*'Sollecitazioni nel paramento'!$G$41*IF(DATI!$G$211="dx",DATI!$E$61,DATI!$E$64*DATI!$E$63)*1000*C2579^2*sezione!$AD$5*(1-sezione!$AD$6)</f>
        <v>-66317707.231245786</v>
      </c>
      <c r="E2579" s="545">
        <f>-'Foglio deposito bis'!$F$88*(C2579-sezione!$AL$37)*IF(ABS(K2579)&lt;'Sollecitazioni nel paramento'!$G$58,ABS(K2579)*'Sollecitazioni nel paramento'!$G$54,'Sollecitazioni nel paramento'!$G$53)</f>
        <v>0</v>
      </c>
      <c r="F2579" s="545">
        <f>-'Foglio deposito bis'!$F$89*(C2579-sezione!$AM$37)*IF(ABS(L2579)&lt;'Sollecitazioni nel paramento'!$G$58,ABS(L2579)*'Sollecitazioni nel paramento'!$G$54,'Sollecitazioni nel paramento'!$G$53)</f>
        <v>151432.87807590369</v>
      </c>
      <c r="G2579" s="545">
        <f>-'Foglio deposito bis'!$F$90*(C2579-sezione!$AN$37)*IF(ABS(M2579)&lt;'Sollecitazioni nel paramento'!$G$58,ABS(M2579)*'Sollecitazioni nel paramento'!$G$54,'Sollecitazioni nel paramento'!$G$53)</f>
        <v>0</v>
      </c>
      <c r="H2579" s="545">
        <f>-'Foglio deposito bis'!$F$91*(C2579-sezione!$AO$37)*IF(ABS(N2579)&lt;'Sollecitazioni nel paramento'!$G$58,ABS(N2579)*'Sollecitazioni nel paramento'!$G$54,'Sollecitazioni nel paramento'!$G$53)</f>
        <v>94071303.997163624</v>
      </c>
      <c r="I2579" s="472">
        <f>-'Foglio deposito bis'!$F$92*(C2579-sezione!$AP$37)*IF(ABS(O2579)&lt;'Sollecitazioni nel paramento'!$G$58,ABS(O2579)*'Sollecitazioni nel paramento'!$G$54,'Sollecitazioni nel paramento'!$G$53)</f>
        <v>1269536755.5456128</v>
      </c>
      <c r="J2579" s="472">
        <f t="shared" si="178"/>
        <v>1297441785.1896067</v>
      </c>
      <c r="K2579" s="550">
        <f>'Sollecitazioni nel paramento'!$G$60*(sezione!$AL$37-C2579)/C2579</f>
        <v>-9.3572205770342629E-4</v>
      </c>
      <c r="L2579" s="550">
        <f>'Sollecitazioni nel paramento'!$G$60*(sezione!$AM$37-C2579)/C2579</f>
        <v>3.4641691344486055E-4</v>
      </c>
      <c r="M2579" s="551">
        <f>'Sollecitazioni nel paramento'!$G$60*(sezione!$AN$37-C2579)/C2579</f>
        <v>1.6285558845931475E-3</v>
      </c>
      <c r="N2579" s="551">
        <f>'Sollecitazioni nel paramento'!$G$60*(sezione!$AO$37-C2579)/C2579</f>
        <v>6.7571117691862951E-3</v>
      </c>
      <c r="O2579" s="551">
        <f>'Sollecitazioni nel paramento'!$G$60*(sezione!$AP$37-C2579)/C2579</f>
        <v>4.8967636951320517E-2</v>
      </c>
      <c r="P2579" s="545">
        <f>-'Sollecitazioni nel paramento'!$G$47*'Sollecitazioni nel paramento'!$G$41*IF(DATI!$G$211="dx",DATI!$E$61,DATI!$E$64*DATI!$E$63)*1000*C2579*sezione!$AD$5</f>
        <v>-2079953.9363596565</v>
      </c>
      <c r="Q2579" s="545">
        <f>'Foglio deposito bis'!$F$88*IF(ABS(K2579)&lt;'Sollecitazioni nel paramento'!$G$58,ABS(K2579)*'Sollecitazioni nel paramento'!$G$54,'Sollecitazioni nel paramento'!$G$53)*IF(K2579&lt;0,-1,1)</f>
        <v>0</v>
      </c>
      <c r="R2579" s="545">
        <f>'Foglio deposito bis'!$F$89*IF(ABS(L2579)&lt;'Sollecitazioni nel paramento'!$G$58,ABS(L2579)*'Sollecitazioni nel paramento'!$G$54,'Sollecitazioni nel paramento'!$G$53)*IF(L2579&lt;0,-1,1)</f>
        <v>28023.746381708846</v>
      </c>
      <c r="S2579" s="545">
        <f>'Foglio deposito bis'!$F$90*IF(ABS(M2579)&lt;'Sollecitazioni nel paramento'!$G$58,ABS(M2579)*'Sollecitazioni nel paramento'!$G$54,'Sollecitazioni nel paramento'!$G$53)*IF(M2579&lt;0,-1,1)</f>
        <v>0</v>
      </c>
      <c r="T2579" s="545">
        <f>'Foglio deposito bis'!$F$91*IF(ABS(N2579)&lt;'Sollecitazioni nel paramento'!$G$58,ABS(N2579)*'Sollecitazioni nel paramento'!$G$54,'Sollecitazioni nel paramento'!$G$53)*IF(N2579&lt;0,-1,1)</f>
        <v>892485.49558937876</v>
      </c>
      <c r="U2579" s="545">
        <f>'Foglio deposito bis'!$F$92*IF(ABS(O2579)&lt;'Sollecitazioni nel paramento'!$G$58,ABS(O2579)*'Sollecitazioni nel paramento'!$G$54,'Sollecitazioni nel paramento'!$G$53)*IF(O2579&lt;0,-1,1)</f>
        <v>1662039.1047339395</v>
      </c>
      <c r="V2579" s="472">
        <f t="shared" si="180"/>
        <v>502594.41034537065</v>
      </c>
      <c r="W2579" s="551"/>
      <c r="X2579" s="551"/>
    </row>
    <row r="2580" spans="1:24" x14ac:dyDescent="0.25">
      <c r="A2580" s="545">
        <f t="shared" si="179"/>
        <v>477191.87465924537</v>
      </c>
      <c r="B2580" s="3">
        <f t="shared" si="181"/>
        <v>4.7499999999999911</v>
      </c>
      <c r="C2580" s="545">
        <f>'Foglio deposito bis'!$E$163/sezione!$B$247*B2580</f>
        <v>55.177077089938784</v>
      </c>
      <c r="D2580" s="603">
        <f>-'Sollecitazioni nel paramento'!$G$47*'Sollecitazioni nel paramento'!$G$41*IF(DATI!$G$211="dx",DATI!$E$61,DATI!$E$64*DATI!$E$63)*1000*C2580^2*sezione!$AD$5*(1-sezione!$AD$6)</f>
        <v>-67736227.677907765</v>
      </c>
      <c r="E2580" s="545">
        <f>-'Foglio deposito bis'!$F$88*(C2580-sezione!$AL$37)*IF(ABS(K2580)&lt;'Sollecitazioni nel paramento'!$G$58,ABS(K2580)*'Sollecitazioni nel paramento'!$G$54,'Sollecitazioni nel paramento'!$G$53)</f>
        <v>0</v>
      </c>
      <c r="F2580" s="545">
        <f>-'Foglio deposito bis'!$F$89*(C2580-sezione!$AM$37)*IF(ABS(L2580)&lt;'Sollecitazioni nel paramento'!$G$58,ABS(L2580)*'Sollecitazioni nel paramento'!$G$54,'Sollecitazioni nel paramento'!$G$53)</f>
        <v>119359.53000456242</v>
      </c>
      <c r="G2580" s="545">
        <f>-'Foglio deposito bis'!$F$90*(C2580-sezione!$AN$37)*IF(ABS(M2580)&lt;'Sollecitazioni nel paramento'!$G$58,ABS(M2580)*'Sollecitazioni nel paramento'!$G$54,'Sollecitazioni nel paramento'!$G$53)</f>
        <v>0</v>
      </c>
      <c r="H2580" s="545">
        <f>-'Foglio deposito bis'!$F$91*(C2580-sezione!$AO$37)*IF(ABS(N2580)&lt;'Sollecitazioni nel paramento'!$G$58,ABS(N2580)*'Sollecitazioni nel paramento'!$G$54,'Sollecitazioni nel paramento'!$G$53)</f>
        <v>93552938.302513227</v>
      </c>
      <c r="I2580" s="472">
        <f>-'Foglio deposito bis'!$F$92*(C2580-sezione!$AP$37)*IF(ABS(O2580)&lt;'Sollecitazioni nel paramento'!$G$58,ABS(O2580)*'Sollecitazioni nel paramento'!$G$54,'Sollecitazioni nel paramento'!$G$53)</f>
        <v>1268571424.3897352</v>
      </c>
      <c r="J2580" s="472">
        <f t="shared" si="178"/>
        <v>1294507494.5443451</v>
      </c>
      <c r="K2580" s="550">
        <f>'Sollecitazioni nel paramento'!$G$60*(sezione!$AL$37-C2580)/C2580</f>
        <v>-9.6271445709602155E-4</v>
      </c>
      <c r="L2580" s="550">
        <f>'Sollecitazioni nel paramento'!$G$60*(sezione!$AM$37-C2580)/C2580</f>
        <v>3.059283143559677E-4</v>
      </c>
      <c r="M2580" s="551">
        <f>'Sollecitazioni nel paramento'!$G$60*(sezione!$AN$37-C2580)/C2580</f>
        <v>1.574571085807957E-3</v>
      </c>
      <c r="N2580" s="551">
        <f>'Sollecitazioni nel paramento'!$G$60*(sezione!$AO$37-C2580)/C2580</f>
        <v>6.6491421716159136E-3</v>
      </c>
      <c r="O2580" s="551">
        <f>'Sollecitazioni nel paramento'!$G$60*(sezione!$AP$37-C2580)/C2580</f>
        <v>4.8415346036043465E-2</v>
      </c>
      <c r="P2580" s="545">
        <f>-'Sollecitazioni nel paramento'!$G$47*'Sollecitazioni nel paramento'!$G$41*IF(DATI!$G$211="dx",DATI!$E$61,DATI!$E$64*DATI!$E$63)*1000*C2580*sezione!$AD$5</f>
        <v>-2102081.1058953977</v>
      </c>
      <c r="Q2580" s="545">
        <f>'Foglio deposito bis'!$F$88*IF(ABS(K2580)&lt;'Sollecitazioni nel paramento'!$G$58,ABS(K2580)*'Sollecitazioni nel paramento'!$G$54,'Sollecitazioni nel paramento'!$G$53)*IF(K2580&lt;0,-1,1)</f>
        <v>0</v>
      </c>
      <c r="R2580" s="545">
        <f>'Foglio deposito bis'!$F$89*IF(ABS(L2580)&lt;'Sollecitazioni nel paramento'!$G$58,ABS(L2580)*'Sollecitazioni nel paramento'!$G$54,'Sollecitazioni nel paramento'!$G$53)*IF(L2580&lt;0,-1,1)</f>
        <v>24748.380231324787</v>
      </c>
      <c r="S2580" s="545">
        <f>'Foglio deposito bis'!$F$90*IF(ABS(M2580)&lt;'Sollecitazioni nel paramento'!$G$58,ABS(M2580)*'Sollecitazioni nel paramento'!$G$54,'Sollecitazioni nel paramento'!$G$53)*IF(M2580&lt;0,-1,1)</f>
        <v>0</v>
      </c>
      <c r="T2580" s="545">
        <f>'Foglio deposito bis'!$F$91*IF(ABS(N2580)&lt;'Sollecitazioni nel paramento'!$G$58,ABS(N2580)*'Sollecitazioni nel paramento'!$G$54,'Sollecitazioni nel paramento'!$G$53)*IF(N2580&lt;0,-1,1)</f>
        <v>892485.49558937876</v>
      </c>
      <c r="U2580" s="545">
        <f>'Foglio deposito bis'!$F$92*IF(ABS(O2580)&lt;'Sollecitazioni nel paramento'!$G$58,ABS(O2580)*'Sollecitazioni nel paramento'!$G$54,'Sollecitazioni nel paramento'!$G$53)*IF(O2580&lt;0,-1,1)</f>
        <v>1662039.1047339395</v>
      </c>
      <c r="V2580" s="472">
        <f t="shared" si="180"/>
        <v>477191.87465924537</v>
      </c>
      <c r="W2580" s="551"/>
      <c r="X2580" s="551"/>
    </row>
    <row r="2581" spans="1:24" x14ac:dyDescent="0.25">
      <c r="A2581" s="545">
        <f t="shared" si="179"/>
        <v>451857.57576792012</v>
      </c>
      <c r="B2581" s="3">
        <f t="shared" si="181"/>
        <v>4.7999999999999909</v>
      </c>
      <c r="C2581" s="545">
        <f>'Foglio deposito bis'!$E$163/sezione!$B$247*B2581</f>
        <v>55.757888427727615</v>
      </c>
      <c r="D2581" s="603">
        <f>-'Sollecitazioni nel paramento'!$G$47*'Sollecitazioni nel paramento'!$G$41*IF(DATI!$G$211="dx",DATI!$E$61,DATI!$E$64*DATI!$E$63)*1000*C2581^2*sezione!$AD$5*(1-sezione!$AD$6)</f>
        <v>-69169758.922947168</v>
      </c>
      <c r="E2581" s="545">
        <f>-'Foglio deposito bis'!$F$88*(C2581-sezione!$AL$37)*IF(ABS(K2581)&lt;'Sollecitazioni nel paramento'!$G$58,ABS(K2581)*'Sollecitazioni nel paramento'!$G$54,'Sollecitazioni nel paramento'!$G$53)</f>
        <v>0</v>
      </c>
      <c r="F2581" s="545">
        <f>-'Foglio deposito bis'!$F$89*(C2581-sezione!$AM$37)*IF(ABS(L2581)&lt;'Sollecitazioni nel paramento'!$G$58,ABS(L2581)*'Sollecitazioni nel paramento'!$G$54,'Sollecitazioni nel paramento'!$G$53)</f>
        <v>91380.389621200811</v>
      </c>
      <c r="G2581" s="545">
        <f>-'Foglio deposito bis'!$F$90*(C2581-sezione!$AN$37)*IF(ABS(M2581)&lt;'Sollecitazioni nel paramento'!$G$58,ABS(M2581)*'Sollecitazioni nel paramento'!$G$54,'Sollecitazioni nel paramento'!$G$53)</f>
        <v>0</v>
      </c>
      <c r="H2581" s="545">
        <f>-'Foglio deposito bis'!$F$91*(C2581-sezione!$AO$37)*IF(ABS(N2581)&lt;'Sollecitazioni nel paramento'!$G$58,ABS(N2581)*'Sollecitazioni nel paramento'!$G$54,'Sollecitazioni nel paramento'!$G$53)</f>
        <v>93034572.607862845</v>
      </c>
      <c r="I2581" s="472">
        <f>-'Foglio deposito bis'!$F$92*(C2581-sezione!$AP$37)*IF(ABS(O2581)&lt;'Sollecitazioni nel paramento'!$G$58,ABS(O2581)*'Sollecitazioni nel paramento'!$G$54,'Sollecitazioni nel paramento'!$G$53)</f>
        <v>1267606093.2338574</v>
      </c>
      <c r="J2581" s="472">
        <f t="shared" si="178"/>
        <v>1291562287.3083942</v>
      </c>
      <c r="K2581" s="550">
        <f>'Sollecitazioni nel paramento'!$G$60*(sezione!$AL$37-C2581)/C2581</f>
        <v>-9.8914451483460481E-4</v>
      </c>
      <c r="L2581" s="550">
        <f>'Sollecitazioni nel paramento'!$G$60*(sezione!$AM$37-C2581)/C2581</f>
        <v>2.6628322774809298E-4</v>
      </c>
      <c r="M2581" s="551">
        <f>'Sollecitazioni nel paramento'!$G$60*(sezione!$AN$37-C2581)/C2581</f>
        <v>1.5217109703307907E-3</v>
      </c>
      <c r="N2581" s="551">
        <f>'Sollecitazioni nel paramento'!$G$60*(sezione!$AO$37-C2581)/C2581</f>
        <v>6.5434219406615823E-3</v>
      </c>
      <c r="O2581" s="551">
        <f>'Sollecitazioni nel paramento'!$G$60*(sezione!$AP$37-C2581)/C2581</f>
        <v>4.7874561181501345E-2</v>
      </c>
      <c r="P2581" s="545">
        <f>-'Sollecitazioni nel paramento'!$G$47*'Sollecitazioni nel paramento'!$G$41*IF(DATI!$G$211="dx",DATI!$E$61,DATI!$E$64*DATI!$E$63)*1000*C2581*sezione!$AD$5</f>
        <v>-2124208.2754311385</v>
      </c>
      <c r="Q2581" s="545">
        <f>'Foglio deposito bis'!$F$88*IF(ABS(K2581)&lt;'Sollecitazioni nel paramento'!$G$58,ABS(K2581)*'Sollecitazioni nel paramento'!$G$54,'Sollecitazioni nel paramento'!$G$53)*IF(K2581&lt;0,-1,1)</f>
        <v>0</v>
      </c>
      <c r="R2581" s="545">
        <f>'Foglio deposito bis'!$F$89*IF(ABS(L2581)&lt;'Sollecitazioni nel paramento'!$G$58,ABS(L2581)*'Sollecitazioni nel paramento'!$G$54,'Sollecitazioni nel paramento'!$G$53)*IF(L2581&lt;0,-1,1)</f>
        <v>21541.250875740356</v>
      </c>
      <c r="S2581" s="545">
        <f>'Foglio deposito bis'!$F$90*IF(ABS(M2581)&lt;'Sollecitazioni nel paramento'!$G$58,ABS(M2581)*'Sollecitazioni nel paramento'!$G$54,'Sollecitazioni nel paramento'!$G$53)*IF(M2581&lt;0,-1,1)</f>
        <v>0</v>
      </c>
      <c r="T2581" s="545">
        <f>'Foglio deposito bis'!$F$91*IF(ABS(N2581)&lt;'Sollecitazioni nel paramento'!$G$58,ABS(N2581)*'Sollecitazioni nel paramento'!$G$54,'Sollecitazioni nel paramento'!$G$53)*IF(N2581&lt;0,-1,1)</f>
        <v>892485.49558937876</v>
      </c>
      <c r="U2581" s="545">
        <f>'Foglio deposito bis'!$F$92*IF(ABS(O2581)&lt;'Sollecitazioni nel paramento'!$G$58,ABS(O2581)*'Sollecitazioni nel paramento'!$G$54,'Sollecitazioni nel paramento'!$G$53)*IF(O2581&lt;0,-1,1)</f>
        <v>1662039.1047339395</v>
      </c>
      <c r="V2581" s="472">
        <f t="shared" si="180"/>
        <v>451857.57576792012</v>
      </c>
      <c r="W2581" s="551"/>
      <c r="X2581" s="551"/>
    </row>
    <row r="2582" spans="1:24" x14ac:dyDescent="0.25">
      <c r="A2582" s="545">
        <f t="shared" si="179"/>
        <v>426589.40325506008</v>
      </c>
      <c r="B2582" s="3">
        <f t="shared" si="181"/>
        <v>4.8499999999999908</v>
      </c>
      <c r="C2582" s="545">
        <f>'Foglio deposito bis'!$E$163/sezione!$B$247*B2582</f>
        <v>56.338699765516445</v>
      </c>
      <c r="D2582" s="603">
        <f>-'Sollecitazioni nel paramento'!$G$47*'Sollecitazioni nel paramento'!$G$41*IF(DATI!$G$211="dx",DATI!$E$61,DATI!$E$64*DATI!$E$63)*1000*C2582^2*sezione!$AD$5*(1-sezione!$AD$6)</f>
        <v>-70618300.966363922</v>
      </c>
      <c r="E2582" s="545">
        <f>-'Foglio deposito bis'!$F$88*(C2582-sezione!$AL$37)*IF(ABS(K2582)&lt;'Sollecitazioni nel paramento'!$G$58,ABS(K2582)*'Sollecitazioni nel paramento'!$G$54,'Sollecitazioni nel paramento'!$G$53)</f>
        <v>0</v>
      </c>
      <c r="F2582" s="545">
        <f>-'Foglio deposito bis'!$F$89*(C2582-sezione!$AM$37)*IF(ABS(L2582)&lt;'Sollecitazioni nel paramento'!$G$58,ABS(L2582)*'Sollecitazioni nel paramento'!$G$54,'Sollecitazioni nel paramento'!$G$53)</f>
        <v>67368.831945778729</v>
      </c>
      <c r="G2582" s="545">
        <f>-'Foglio deposito bis'!$F$90*(C2582-sezione!$AN$37)*IF(ABS(M2582)&lt;'Sollecitazioni nel paramento'!$G$58,ABS(M2582)*'Sollecitazioni nel paramento'!$G$54,'Sollecitazioni nel paramento'!$G$53)</f>
        <v>0</v>
      </c>
      <c r="H2582" s="545">
        <f>-'Foglio deposito bis'!$F$91*(C2582-sezione!$AO$37)*IF(ABS(N2582)&lt;'Sollecitazioni nel paramento'!$G$58,ABS(N2582)*'Sollecitazioni nel paramento'!$G$54,'Sollecitazioni nel paramento'!$G$53)</f>
        <v>92516206.913212433</v>
      </c>
      <c r="I2582" s="472">
        <f>-'Foglio deposito bis'!$F$92*(C2582-sezione!$AP$37)*IF(ABS(O2582)&lt;'Sollecitazioni nel paramento'!$G$58,ABS(O2582)*'Sollecitazioni nel paramento'!$G$54,'Sollecitazioni nel paramento'!$G$53)</f>
        <v>1266640762.0779793</v>
      </c>
      <c r="J2582" s="472">
        <f t="shared" si="178"/>
        <v>1288606036.8567736</v>
      </c>
      <c r="K2582" s="550">
        <f>'Sollecitazioni nel paramento'!$G$60*(sezione!$AL$37-C2582)/C2582</f>
        <v>-1.0150296229290935E-3</v>
      </c>
      <c r="L2582" s="550">
        <f>'Sollecitazioni nel paramento'!$G$60*(sezione!$AM$37-C2582)/C2582</f>
        <v>2.2745556560635995E-4</v>
      </c>
      <c r="M2582" s="551">
        <f>'Sollecitazioni nel paramento'!$G$60*(sezione!$AN$37-C2582)/C2582</f>
        <v>1.4699407541418133E-3</v>
      </c>
      <c r="N2582" s="551">
        <f>'Sollecitazioni nel paramento'!$G$60*(sezione!$AO$37-C2582)/C2582</f>
        <v>6.4398815082836259E-3</v>
      </c>
      <c r="O2582" s="551">
        <f>'Sollecitazioni nel paramento'!$G$60*(sezione!$AP$37-C2582)/C2582</f>
        <v>4.7344926530145652E-2</v>
      </c>
      <c r="P2582" s="545">
        <f>-'Sollecitazioni nel paramento'!$G$47*'Sollecitazioni nel paramento'!$G$41*IF(DATI!$G$211="dx",DATI!$E$61,DATI!$E$64*DATI!$E$63)*1000*C2582*sezione!$AD$5</f>
        <v>-2146335.4449668797</v>
      </c>
      <c r="Q2582" s="545">
        <f>'Foglio deposito bis'!$F$88*IF(ABS(K2582)&lt;'Sollecitazioni nel paramento'!$G$58,ABS(K2582)*'Sollecitazioni nel paramento'!$G$54,'Sollecitazioni nel paramento'!$G$53)*IF(K2582&lt;0,-1,1)</f>
        <v>0</v>
      </c>
      <c r="R2582" s="545">
        <f>'Foglio deposito bis'!$F$89*IF(ABS(L2582)&lt;'Sollecitazioni nel paramento'!$G$58,ABS(L2582)*'Sollecitazioni nel paramento'!$G$54,'Sollecitazioni nel paramento'!$G$53)*IF(L2582&lt;0,-1,1)</f>
        <v>18400.247898621579</v>
      </c>
      <c r="S2582" s="545">
        <f>'Foglio deposito bis'!$F$90*IF(ABS(M2582)&lt;'Sollecitazioni nel paramento'!$G$58,ABS(M2582)*'Sollecitazioni nel paramento'!$G$54,'Sollecitazioni nel paramento'!$G$53)*IF(M2582&lt;0,-1,1)</f>
        <v>0</v>
      </c>
      <c r="T2582" s="545">
        <f>'Foglio deposito bis'!$F$91*IF(ABS(N2582)&lt;'Sollecitazioni nel paramento'!$G$58,ABS(N2582)*'Sollecitazioni nel paramento'!$G$54,'Sollecitazioni nel paramento'!$G$53)*IF(N2582&lt;0,-1,1)</f>
        <v>892485.49558937876</v>
      </c>
      <c r="U2582" s="545">
        <f>'Foglio deposito bis'!$F$92*IF(ABS(O2582)&lt;'Sollecitazioni nel paramento'!$G$58,ABS(O2582)*'Sollecitazioni nel paramento'!$G$54,'Sollecitazioni nel paramento'!$G$53)*IF(O2582&lt;0,-1,1)</f>
        <v>1662039.1047339395</v>
      </c>
      <c r="V2582" s="472">
        <f t="shared" si="180"/>
        <v>426589.40325506008</v>
      </c>
      <c r="W2582" s="551"/>
      <c r="X2582" s="551"/>
    </row>
    <row r="2583" spans="1:24" x14ac:dyDescent="0.25">
      <c r="A2583" s="545">
        <f t="shared" si="179"/>
        <v>401385.33284377423</v>
      </c>
      <c r="B2583" s="3">
        <f t="shared" si="181"/>
        <v>4.8999999999999906</v>
      </c>
      <c r="C2583" s="545">
        <f>'Foglio deposito bis'!$E$163/sezione!$B$247*B2583</f>
        <v>56.919511103305275</v>
      </c>
      <c r="D2583" s="603">
        <f>-'Sollecitazioni nel paramento'!$G$47*'Sollecitazioni nel paramento'!$G$41*IF(DATI!$G$211="dx",DATI!$E$61,DATI!$E$64*DATI!$E$63)*1000*C2583^2*sezione!$AD$5*(1-sezione!$AD$6)</f>
        <v>-72081853.80815804</v>
      </c>
      <c r="E2583" s="545">
        <f>-'Foglio deposito bis'!$F$88*(C2583-sezione!$AL$37)*IF(ABS(K2583)&lt;'Sollecitazioni nel paramento'!$G$58,ABS(K2583)*'Sollecitazioni nel paramento'!$G$54,'Sollecitazioni nel paramento'!$G$53)</f>
        <v>0</v>
      </c>
      <c r="F2583" s="545">
        <f>-'Foglio deposito bis'!$F$89*(C2583-sezione!$AM$37)*IF(ABS(L2583)&lt;'Sollecitazioni nel paramento'!$G$58,ABS(L2583)*'Sollecitazioni nel paramento'!$G$54,'Sollecitazioni nel paramento'!$G$53)</f>
        <v>47203.40036478782</v>
      </c>
      <c r="G2583" s="545">
        <f>-'Foglio deposito bis'!$F$90*(C2583-sezione!$AN$37)*IF(ABS(M2583)&lt;'Sollecitazioni nel paramento'!$G$58,ABS(M2583)*'Sollecitazioni nel paramento'!$G$54,'Sollecitazioni nel paramento'!$G$53)</f>
        <v>0</v>
      </c>
      <c r="H2583" s="545">
        <f>-'Foglio deposito bis'!$F$91*(C2583-sezione!$AO$37)*IF(ABS(N2583)&lt;'Sollecitazioni nel paramento'!$G$58,ABS(N2583)*'Sollecitazioni nel paramento'!$G$54,'Sollecitazioni nel paramento'!$G$53)</f>
        <v>91997841.218562052</v>
      </c>
      <c r="I2583" s="472">
        <f>-'Foglio deposito bis'!$F$92*(C2583-sezione!$AP$37)*IF(ABS(O2583)&lt;'Sollecitazioni nel paramento'!$G$58,ABS(O2583)*'Sollecitazioni nel paramento'!$G$54,'Sollecitazioni nel paramento'!$G$53)</f>
        <v>1265675430.9221015</v>
      </c>
      <c r="J2583" s="472">
        <f t="shared" si="178"/>
        <v>1285638621.7328703</v>
      </c>
      <c r="K2583" s="550">
        <f>'Sollecitazioni nel paramento'!$G$60*(sezione!$AL$37-C2583)/C2583</f>
        <v>-1.0403864635114496E-3</v>
      </c>
      <c r="L2583" s="550">
        <f>'Sollecitazioni nel paramento'!$G$60*(sezione!$AM$37-C2583)/C2583</f>
        <v>1.8942030473282563E-4</v>
      </c>
      <c r="M2583" s="551">
        <f>'Sollecitazioni nel paramento'!$G$60*(sezione!$AN$37-C2583)/C2583</f>
        <v>1.4192270729771008E-3</v>
      </c>
      <c r="N2583" s="551">
        <f>'Sollecitazioni nel paramento'!$G$60*(sezione!$AO$37-C2583)/C2583</f>
        <v>6.3384541459542022E-3</v>
      </c>
      <c r="O2583" s="551">
        <f>'Sollecitazioni nel paramento'!$G$60*(sezione!$AP$37-C2583)/C2583</f>
        <v>4.6826100749225809E-2</v>
      </c>
      <c r="P2583" s="545">
        <f>-'Sollecitazioni nel paramento'!$G$47*'Sollecitazioni nel paramento'!$G$41*IF(DATI!$G$211="dx",DATI!$E$61,DATI!$E$64*DATI!$E$63)*1000*C2583*sezione!$AD$5</f>
        <v>-2168462.6145026209</v>
      </c>
      <c r="Q2583" s="545">
        <f>'Foglio deposito bis'!$F$88*IF(ABS(K2583)&lt;'Sollecitazioni nel paramento'!$G$58,ABS(K2583)*'Sollecitazioni nel paramento'!$G$54,'Sollecitazioni nel paramento'!$G$53)*IF(K2583&lt;0,-1,1)</f>
        <v>0</v>
      </c>
      <c r="R2583" s="545">
        <f>'Foglio deposito bis'!$F$89*IF(ABS(L2583)&lt;'Sollecitazioni nel paramento'!$G$58,ABS(L2583)*'Sollecitazioni nel paramento'!$G$54,'Sollecitazioni nel paramento'!$G$53)*IF(L2583&lt;0,-1,1)</f>
        <v>15323.34702307666</v>
      </c>
      <c r="S2583" s="545">
        <f>'Foglio deposito bis'!$F$90*IF(ABS(M2583)&lt;'Sollecitazioni nel paramento'!$G$58,ABS(M2583)*'Sollecitazioni nel paramento'!$G$54,'Sollecitazioni nel paramento'!$G$53)*IF(M2583&lt;0,-1,1)</f>
        <v>0</v>
      </c>
      <c r="T2583" s="545">
        <f>'Foglio deposito bis'!$F$91*IF(ABS(N2583)&lt;'Sollecitazioni nel paramento'!$G$58,ABS(N2583)*'Sollecitazioni nel paramento'!$G$54,'Sollecitazioni nel paramento'!$G$53)*IF(N2583&lt;0,-1,1)</f>
        <v>892485.49558937876</v>
      </c>
      <c r="U2583" s="545">
        <f>'Foglio deposito bis'!$F$92*IF(ABS(O2583)&lt;'Sollecitazioni nel paramento'!$G$58,ABS(O2583)*'Sollecitazioni nel paramento'!$G$54,'Sollecitazioni nel paramento'!$G$53)*IF(O2583&lt;0,-1,1)</f>
        <v>1662039.1047339395</v>
      </c>
      <c r="V2583" s="472">
        <f t="shared" si="180"/>
        <v>401385.33284377423</v>
      </c>
      <c r="W2583" s="551"/>
      <c r="X2583" s="551"/>
    </row>
    <row r="2584" spans="1:24" x14ac:dyDescent="0.25">
      <c r="A2584" s="545">
        <f t="shared" si="179"/>
        <v>376243.42204613634</v>
      </c>
      <c r="B2584" s="3">
        <f t="shared" si="181"/>
        <v>4.9499999999999904</v>
      </c>
      <c r="C2584" s="545">
        <f>'Foglio deposito bis'!$E$163/sezione!$B$247*B2584</f>
        <v>57.500322441094099</v>
      </c>
      <c r="D2584" s="603">
        <f>-'Sollecitazioni nel paramento'!$G$47*'Sollecitazioni nel paramento'!$G$41*IF(DATI!$G$211="dx",DATI!$E$61,DATI!$E$64*DATI!$E$63)*1000*C2584^2*sezione!$AD$5*(1-sezione!$AD$6)</f>
        <v>-73560417.448329538</v>
      </c>
      <c r="E2584" s="545">
        <f>-'Foglio deposito bis'!$F$88*(C2584-sezione!$AL$37)*IF(ABS(K2584)&lt;'Sollecitazioni nel paramento'!$G$58,ABS(K2584)*'Sollecitazioni nel paramento'!$G$54,'Sollecitazioni nel paramento'!$G$53)</f>
        <v>0</v>
      </c>
      <c r="F2584" s="545">
        <f>-'Foglio deposito bis'!$F$89*(C2584-sezione!$AM$37)*IF(ABS(L2584)&lt;'Sollecitazioni nel paramento'!$G$58,ABS(L2584)*'Sollecitazioni nel paramento'!$G$54,'Sollecitazioni nel paramento'!$G$53)</f>
        <v>30767.545602639406</v>
      </c>
      <c r="G2584" s="545">
        <f>-'Foglio deposito bis'!$F$90*(C2584-sezione!$AN$37)*IF(ABS(M2584)&lt;'Sollecitazioni nel paramento'!$G$58,ABS(M2584)*'Sollecitazioni nel paramento'!$G$54,'Sollecitazioni nel paramento'!$G$53)</f>
        <v>0</v>
      </c>
      <c r="H2584" s="545">
        <f>-'Foglio deposito bis'!$F$91*(C2584-sezione!$AO$37)*IF(ABS(N2584)&lt;'Sollecitazioni nel paramento'!$G$58,ABS(N2584)*'Sollecitazioni nel paramento'!$G$54,'Sollecitazioni nel paramento'!$G$53)</f>
        <v>91479475.523911655</v>
      </c>
      <c r="I2584" s="472">
        <f>-'Foglio deposito bis'!$F$92*(C2584-sezione!$AP$37)*IF(ABS(O2584)&lt;'Sollecitazioni nel paramento'!$G$58,ABS(O2584)*'Sollecitazioni nel paramento'!$G$54,'Sollecitazioni nel paramento'!$G$53)</f>
        <v>1264710099.7662237</v>
      </c>
      <c r="J2584" s="472">
        <f t="shared" si="178"/>
        <v>1282659925.3874085</v>
      </c>
      <c r="K2584" s="550">
        <f>'Sollecitazioni nel paramento'!$G$60*(sezione!$AL$37-C2584)/C2584</f>
        <v>-1.0652310446881013E-3</v>
      </c>
      <c r="L2584" s="550">
        <f>'Sollecitazioni nel paramento'!$G$60*(sezione!$AM$37-C2584)/C2584</f>
        <v>1.5215343296784797E-4</v>
      </c>
      <c r="M2584" s="551">
        <f>'Sollecitazioni nel paramento'!$G$60*(sezione!$AN$37-C2584)/C2584</f>
        <v>1.3695379106237974E-3</v>
      </c>
      <c r="N2584" s="551">
        <f>'Sollecitazioni nel paramento'!$G$60*(sezione!$AO$37-C2584)/C2584</f>
        <v>6.2390758212475953E-3</v>
      </c>
      <c r="O2584" s="551">
        <f>'Sollecitazioni nel paramento'!$G$60*(sezione!$AP$37-C2584)/C2584</f>
        <v>4.6317756297213422E-2</v>
      </c>
      <c r="P2584" s="545">
        <f>-'Sollecitazioni nel paramento'!$G$47*'Sollecitazioni nel paramento'!$G$41*IF(DATI!$G$211="dx",DATI!$E$61,DATI!$E$64*DATI!$E$63)*1000*C2584*sezione!$AD$5</f>
        <v>-2190589.7840383612</v>
      </c>
      <c r="Q2584" s="545">
        <f>'Foglio deposito bis'!$F$88*IF(ABS(K2584)&lt;'Sollecitazioni nel paramento'!$G$58,ABS(K2584)*'Sollecitazioni nel paramento'!$G$54,'Sollecitazioni nel paramento'!$G$53)*IF(K2584&lt;0,-1,1)</f>
        <v>0</v>
      </c>
      <c r="R2584" s="545">
        <f>'Foglio deposito bis'!$F$89*IF(ABS(L2584)&lt;'Sollecitazioni nel paramento'!$G$58,ABS(L2584)*'Sollecitazioni nel paramento'!$G$54,'Sollecitazioni nel paramento'!$G$53)*IF(L2584&lt;0,-1,1)</f>
        <v>12308.605761179148</v>
      </c>
      <c r="S2584" s="545">
        <f>'Foglio deposito bis'!$F$90*IF(ABS(M2584)&lt;'Sollecitazioni nel paramento'!$G$58,ABS(M2584)*'Sollecitazioni nel paramento'!$G$54,'Sollecitazioni nel paramento'!$G$53)*IF(M2584&lt;0,-1,1)</f>
        <v>0</v>
      </c>
      <c r="T2584" s="545">
        <f>'Foglio deposito bis'!$F$91*IF(ABS(N2584)&lt;'Sollecitazioni nel paramento'!$G$58,ABS(N2584)*'Sollecitazioni nel paramento'!$G$54,'Sollecitazioni nel paramento'!$G$53)*IF(N2584&lt;0,-1,1)</f>
        <v>892485.49558937876</v>
      </c>
      <c r="U2584" s="545">
        <f>'Foglio deposito bis'!$F$92*IF(ABS(O2584)&lt;'Sollecitazioni nel paramento'!$G$58,ABS(O2584)*'Sollecitazioni nel paramento'!$G$54,'Sollecitazioni nel paramento'!$G$53)*IF(O2584&lt;0,-1,1)</f>
        <v>1662039.1047339395</v>
      </c>
      <c r="V2584" s="472">
        <f t="shared" si="180"/>
        <v>376243.42204613634</v>
      </c>
      <c r="W2584" s="551"/>
      <c r="X2584" s="551"/>
    </row>
    <row r="2585" spans="1:24" x14ac:dyDescent="0.25">
      <c r="A2585" s="545">
        <f t="shared" si="179"/>
        <v>351161.80607373524</v>
      </c>
      <c r="B2585" s="3">
        <f t="shared" si="181"/>
        <v>4.9999999999999902</v>
      </c>
      <c r="C2585" s="545">
        <f>'Foglio deposito bis'!$E$163/sezione!$B$247*B2585</f>
        <v>58.081133778882929</v>
      </c>
      <c r="D2585" s="603">
        <f>-'Sollecitazioni nel paramento'!$G$47*'Sollecitazioni nel paramento'!$G$41*IF(DATI!$G$211="dx",DATI!$E$61,DATI!$E$64*DATI!$E$63)*1000*C2585^2*sezione!$AD$5*(1-sezione!$AD$6)</f>
        <v>-75053991.886878416</v>
      </c>
      <c r="E2585" s="545">
        <f>-'Foglio deposito bis'!$F$88*(C2585-sezione!$AL$37)*IF(ABS(K2585)&lt;'Sollecitazioni nel paramento'!$G$58,ABS(K2585)*'Sollecitazioni nel paramento'!$G$54,'Sollecitazioni nel paramento'!$G$53)</f>
        <v>0</v>
      </c>
      <c r="F2585" s="545">
        <f>-'Foglio deposito bis'!$F$89*(C2585-sezione!$AM$37)*IF(ABS(L2585)&lt;'Sollecitazioni nel paramento'!$G$58,ABS(L2585)*'Sollecitazioni nel paramento'!$G$54,'Sollecitazioni nel paramento'!$G$53)</f>
        <v>17949.38035476784</v>
      </c>
      <c r="G2585" s="545">
        <f>-'Foglio deposito bis'!$F$90*(C2585-sezione!$AN$37)*IF(ABS(M2585)&lt;'Sollecitazioni nel paramento'!$G$58,ABS(M2585)*'Sollecitazioni nel paramento'!$G$54,'Sollecitazioni nel paramento'!$G$53)</f>
        <v>0</v>
      </c>
      <c r="H2585" s="545">
        <f>-'Foglio deposito bis'!$F$91*(C2585-sezione!$AO$37)*IF(ABS(N2585)&lt;'Sollecitazioni nel paramento'!$G$58,ABS(N2585)*'Sollecitazioni nel paramento'!$G$54,'Sollecitazioni nel paramento'!$G$53)</f>
        <v>90961109.829261258</v>
      </c>
      <c r="I2585" s="472">
        <f>-'Foglio deposito bis'!$F$92*(C2585-sezione!$AP$37)*IF(ABS(O2585)&lt;'Sollecitazioni nel paramento'!$G$58,ABS(O2585)*'Sollecitazioni nel paramento'!$G$54,'Sollecitazioni nel paramento'!$G$53)</f>
        <v>1263744768.6103458</v>
      </c>
      <c r="J2585" s="472">
        <f t="shared" si="178"/>
        <v>1279669835.9330835</v>
      </c>
      <c r="K2585" s="550">
        <f>'Sollecitazioni nel paramento'!$G$60*(sezione!$AL$37-C2585)/C2585</f>
        <v>-1.0895787342412205E-3</v>
      </c>
      <c r="L2585" s="550">
        <f>'Sollecitazioni nel paramento'!$G$60*(sezione!$AM$37-C2585)/C2585</f>
        <v>1.156318986381694E-4</v>
      </c>
      <c r="M2585" s="551">
        <f>'Sollecitazioni nel paramento'!$G$60*(sezione!$AN$37-C2585)/C2585</f>
        <v>1.3208425315175592E-3</v>
      </c>
      <c r="N2585" s="551">
        <f>'Sollecitazioni nel paramento'!$G$60*(sezione!$AO$37-C2585)/C2585</f>
        <v>6.1416850630351188E-3</v>
      </c>
      <c r="O2585" s="551">
        <f>'Sollecitazioni nel paramento'!$G$60*(sezione!$AP$37-C2585)/C2585</f>
        <v>4.5819578734241292E-2</v>
      </c>
      <c r="P2585" s="545">
        <f>-'Sollecitazioni nel paramento'!$G$47*'Sollecitazioni nel paramento'!$G$41*IF(DATI!$G$211="dx",DATI!$E$61,DATI!$E$64*DATI!$E$63)*1000*C2585*sezione!$AD$5</f>
        <v>-2212716.9535741024</v>
      </c>
      <c r="Q2585" s="545">
        <f>'Foglio deposito bis'!$F$88*IF(ABS(K2585)&lt;'Sollecitazioni nel paramento'!$G$58,ABS(K2585)*'Sollecitazioni nel paramento'!$G$54,'Sollecitazioni nel paramento'!$G$53)*IF(K2585&lt;0,-1,1)</f>
        <v>0</v>
      </c>
      <c r="R2585" s="545">
        <f>'Foglio deposito bis'!$F$89*IF(ABS(L2585)&lt;'Sollecitazioni nel paramento'!$G$58,ABS(L2585)*'Sollecitazioni nel paramento'!$G$54,'Sollecitazioni nel paramento'!$G$53)*IF(L2585&lt;0,-1,1)</f>
        <v>9354.159324519549</v>
      </c>
      <c r="S2585" s="545">
        <f>'Foglio deposito bis'!$F$90*IF(ABS(M2585)&lt;'Sollecitazioni nel paramento'!$G$58,ABS(M2585)*'Sollecitazioni nel paramento'!$G$54,'Sollecitazioni nel paramento'!$G$53)*IF(M2585&lt;0,-1,1)</f>
        <v>0</v>
      </c>
      <c r="T2585" s="545">
        <f>'Foglio deposito bis'!$F$91*IF(ABS(N2585)&lt;'Sollecitazioni nel paramento'!$G$58,ABS(N2585)*'Sollecitazioni nel paramento'!$G$54,'Sollecitazioni nel paramento'!$G$53)*IF(N2585&lt;0,-1,1)</f>
        <v>892485.49558937876</v>
      </c>
      <c r="U2585" s="545">
        <f>'Foglio deposito bis'!$F$92*IF(ABS(O2585)&lt;'Sollecitazioni nel paramento'!$G$58,ABS(O2585)*'Sollecitazioni nel paramento'!$G$54,'Sollecitazioni nel paramento'!$G$53)*IF(O2585&lt;0,-1,1)</f>
        <v>1662039.1047339395</v>
      </c>
      <c r="V2585" s="472">
        <f t="shared" si="180"/>
        <v>351161.80607373524</v>
      </c>
      <c r="W2585" s="551"/>
      <c r="X2585" s="551"/>
    </row>
    <row r="2586" spans="1:24" x14ac:dyDescent="0.25">
      <c r="A2586" s="545">
        <f t="shared" si="179"/>
        <v>326138.69399116957</v>
      </c>
      <c r="B2586" s="3">
        <f t="shared" si="181"/>
        <v>5.0499999999999901</v>
      </c>
      <c r="C2586" s="545">
        <f>'Foglio deposito bis'!$E$163/sezione!$B$247*B2586</f>
        <v>58.66194511667176</v>
      </c>
      <c r="D2586" s="603">
        <f>-'Sollecitazioni nel paramento'!$G$47*'Sollecitazioni nel paramento'!$G$41*IF(DATI!$G$211="dx",DATI!$E$61,DATI!$E$64*DATI!$E$63)*1000*C2586^2*sezione!$AD$5*(1-sezione!$AD$6)</f>
        <v>-76562577.123804674</v>
      </c>
      <c r="E2586" s="545">
        <f>-'Foglio deposito bis'!$F$88*(C2586-sezione!$AL$37)*IF(ABS(K2586)&lt;'Sollecitazioni nel paramento'!$G$58,ABS(K2586)*'Sollecitazioni nel paramento'!$G$54,'Sollecitazioni nel paramento'!$G$53)</f>
        <v>0</v>
      </c>
      <c r="F2586" s="545">
        <f>-'Foglio deposito bis'!$F$89*(C2586-sezione!$AM$37)*IF(ABS(L2586)&lt;'Sollecitazioni nel paramento'!$G$58,ABS(L2586)*'Sollecitazioni nel paramento'!$G$54,'Sollecitazioni nel paramento'!$G$53)</f>
        <v>8641.4484969868936</v>
      </c>
      <c r="G2586" s="545">
        <f>-'Foglio deposito bis'!$F$90*(C2586-sezione!$AN$37)*IF(ABS(M2586)&lt;'Sollecitazioni nel paramento'!$G$58,ABS(M2586)*'Sollecitazioni nel paramento'!$G$54,'Sollecitazioni nel paramento'!$G$53)</f>
        <v>0</v>
      </c>
      <c r="H2586" s="545">
        <f>-'Foglio deposito bis'!$F$91*(C2586-sezione!$AO$37)*IF(ABS(N2586)&lt;'Sollecitazioni nel paramento'!$G$58,ABS(N2586)*'Sollecitazioni nel paramento'!$G$54,'Sollecitazioni nel paramento'!$G$53)</f>
        <v>90442744.134610876</v>
      </c>
      <c r="I2586" s="472">
        <f>-'Foglio deposito bis'!$F$92*(C2586-sezione!$AP$37)*IF(ABS(O2586)&lt;'Sollecitazioni nel paramento'!$G$58,ABS(O2586)*'Sollecitazioni nel paramento'!$G$54,'Sollecitazioni nel paramento'!$G$53)</f>
        <v>1262779437.454468</v>
      </c>
      <c r="J2586" s="472">
        <f t="shared" si="178"/>
        <v>1276668245.9137712</v>
      </c>
      <c r="K2586" s="550">
        <f>'Sollecitazioni nel paramento'!$G$60*(sezione!$AL$37-C2586)/C2586</f>
        <v>-1.113444291327941E-3</v>
      </c>
      <c r="L2586" s="550">
        <f>'Sollecitazioni nel paramento'!$G$60*(sezione!$AM$37-C2586)/C2586</f>
        <v>7.9833563008088453E-5</v>
      </c>
      <c r="M2586" s="551">
        <f>'Sollecitazioni nel paramento'!$G$60*(sezione!$AN$37-C2586)/C2586</f>
        <v>1.2731114173441178E-3</v>
      </c>
      <c r="N2586" s="551">
        <f>'Sollecitazioni nel paramento'!$G$60*(sezione!$AO$37-C2586)/C2586</f>
        <v>6.0462228346882356E-3</v>
      </c>
      <c r="O2586" s="551">
        <f>'Sollecitazioni nel paramento'!$G$60*(sezione!$AP$37-C2586)/C2586</f>
        <v>4.5331266073506224E-2</v>
      </c>
      <c r="P2586" s="545">
        <f>-'Sollecitazioni nel paramento'!$G$47*'Sollecitazioni nel paramento'!$G$41*IF(DATI!$G$211="dx",DATI!$E$61,DATI!$E$64*DATI!$E$63)*1000*C2586*sezione!$AD$5</f>
        <v>-2234844.1231098436</v>
      </c>
      <c r="Q2586" s="545">
        <f>'Foglio deposito bis'!$F$88*IF(ABS(K2586)&lt;'Sollecitazioni nel paramento'!$G$58,ABS(K2586)*'Sollecitazioni nel paramento'!$G$54,'Sollecitazioni nel paramento'!$G$53)*IF(K2586&lt;0,-1,1)</f>
        <v>0</v>
      </c>
      <c r="R2586" s="545">
        <f>'Foglio deposito bis'!$F$89*IF(ABS(L2586)&lt;'Sollecitazioni nel paramento'!$G$58,ABS(L2586)*'Sollecitazioni nel paramento'!$G$54,'Sollecitazioni nel paramento'!$G$53)*IF(L2586&lt;0,-1,1)</f>
        <v>6458.2167776947945</v>
      </c>
      <c r="S2586" s="545">
        <f>'Foglio deposito bis'!$F$90*IF(ABS(M2586)&lt;'Sollecitazioni nel paramento'!$G$58,ABS(M2586)*'Sollecitazioni nel paramento'!$G$54,'Sollecitazioni nel paramento'!$G$53)*IF(M2586&lt;0,-1,1)</f>
        <v>0</v>
      </c>
      <c r="T2586" s="545">
        <f>'Foglio deposito bis'!$F$91*IF(ABS(N2586)&lt;'Sollecitazioni nel paramento'!$G$58,ABS(N2586)*'Sollecitazioni nel paramento'!$G$54,'Sollecitazioni nel paramento'!$G$53)*IF(N2586&lt;0,-1,1)</f>
        <v>892485.49558937876</v>
      </c>
      <c r="U2586" s="545">
        <f>'Foglio deposito bis'!$F$92*IF(ABS(O2586)&lt;'Sollecitazioni nel paramento'!$G$58,ABS(O2586)*'Sollecitazioni nel paramento'!$G$54,'Sollecitazioni nel paramento'!$G$53)*IF(O2586&lt;0,-1,1)</f>
        <v>1662039.1047339395</v>
      </c>
      <c r="V2586" s="472">
        <f t="shared" si="180"/>
        <v>326138.69399116957</v>
      </c>
      <c r="W2586" s="551"/>
      <c r="X2586" s="551"/>
    </row>
    <row r="2587" spans="1:24" x14ac:dyDescent="0.25">
      <c r="A2587" s="545">
        <f t="shared" si="179"/>
        <v>301172.36509579676</v>
      </c>
      <c r="B2587" s="3">
        <f t="shared" si="181"/>
        <v>5.0999999999999899</v>
      </c>
      <c r="C2587" s="545">
        <f>'Foglio deposito bis'!$E$163/sezione!$B$247*B2587</f>
        <v>59.242756454460583</v>
      </c>
      <c r="D2587" s="603">
        <f>-'Sollecitazioni nel paramento'!$G$47*'Sollecitazioni nel paramento'!$G$41*IF(DATI!$G$211="dx",DATI!$E$61,DATI!$E$64*DATI!$E$63)*1000*C2587^2*sezione!$AD$5*(1-sezione!$AD$6)</f>
        <v>-78086173.159108296</v>
      </c>
      <c r="E2587" s="545">
        <f>-'Foglio deposito bis'!$F$88*(C2587-sezione!$AL$37)*IF(ABS(K2587)&lt;'Sollecitazioni nel paramento'!$G$58,ABS(K2587)*'Sollecitazioni nel paramento'!$G$54,'Sollecitazioni nel paramento'!$G$53)</f>
        <v>0</v>
      </c>
      <c r="F2587" s="545">
        <f>-'Foglio deposito bis'!$F$89*(C2587-sezione!$AM$37)*IF(ABS(L2587)&lt;'Sollecitazioni nel paramento'!$G$58,ABS(L2587)*'Sollecitazioni nel paramento'!$G$54,'Sollecitazioni nel paramento'!$G$53)</f>
        <v>2740.5078707645403</v>
      </c>
      <c r="G2587" s="545">
        <f>-'Foglio deposito bis'!$F$90*(C2587-sezione!$AN$37)*IF(ABS(M2587)&lt;'Sollecitazioni nel paramento'!$G$58,ABS(M2587)*'Sollecitazioni nel paramento'!$G$54,'Sollecitazioni nel paramento'!$G$53)</f>
        <v>0</v>
      </c>
      <c r="H2587" s="545">
        <f>-'Foglio deposito bis'!$F$91*(C2587-sezione!$AO$37)*IF(ABS(N2587)&lt;'Sollecitazioni nel paramento'!$G$58,ABS(N2587)*'Sollecitazioni nel paramento'!$G$54,'Sollecitazioni nel paramento'!$G$53)</f>
        <v>89924378.43996048</v>
      </c>
      <c r="I2587" s="472">
        <f>-'Foglio deposito bis'!$F$92*(C2587-sezione!$AP$37)*IF(ABS(O2587)&lt;'Sollecitazioni nel paramento'!$G$58,ABS(O2587)*'Sollecitazioni nel paramento'!$G$54,'Sollecitazioni nel paramento'!$G$53)</f>
        <v>1261814106.2985899</v>
      </c>
      <c r="J2587" s="472">
        <f t="shared" si="178"/>
        <v>1273655052.0873129</v>
      </c>
      <c r="K2587" s="550">
        <f>'Sollecitazioni nel paramento'!$G$60*(sezione!$AL$37-C2587)/C2587</f>
        <v>-1.1368418963149218E-3</v>
      </c>
      <c r="L2587" s="550">
        <f>'Sollecitazioni nel paramento'!$G$60*(sezione!$AM$37-C2587)/C2587</f>
        <v>4.4737155527617351E-5</v>
      </c>
      <c r="M2587" s="551">
        <f>'Sollecitazioni nel paramento'!$G$60*(sezione!$AN$37-C2587)/C2587</f>
        <v>1.2263162073701565E-3</v>
      </c>
      <c r="N2587" s="551">
        <f>'Sollecitazioni nel paramento'!$G$60*(sezione!$AO$37-C2587)/C2587</f>
        <v>5.9526324147403135E-3</v>
      </c>
      <c r="O2587" s="551">
        <f>'Sollecitazioni nel paramento'!$G$60*(sezione!$AP$37-C2587)/C2587</f>
        <v>4.4852528170824794E-2</v>
      </c>
      <c r="P2587" s="545">
        <f>-'Sollecitazioni nel paramento'!$G$47*'Sollecitazioni nel paramento'!$G$41*IF(DATI!$G$211="dx",DATI!$E$61,DATI!$E$64*DATI!$E$63)*1000*C2587*sezione!$AD$5</f>
        <v>-2256971.2926455843</v>
      </c>
      <c r="Q2587" s="545">
        <f>'Foglio deposito bis'!$F$88*IF(ABS(K2587)&lt;'Sollecitazioni nel paramento'!$G$58,ABS(K2587)*'Sollecitazioni nel paramento'!$G$54,'Sollecitazioni nel paramento'!$G$53)*IF(K2587&lt;0,-1,1)</f>
        <v>0</v>
      </c>
      <c r="R2587" s="545">
        <f>'Foglio deposito bis'!$F$89*IF(ABS(L2587)&lt;'Sollecitazioni nel paramento'!$G$58,ABS(L2587)*'Sollecitazioni nel paramento'!$G$54,'Sollecitazioni nel paramento'!$G$53)*IF(L2587&lt;0,-1,1)</f>
        <v>3619.0574180627168</v>
      </c>
      <c r="S2587" s="545">
        <f>'Foglio deposito bis'!$F$90*IF(ABS(M2587)&lt;'Sollecitazioni nel paramento'!$G$58,ABS(M2587)*'Sollecitazioni nel paramento'!$G$54,'Sollecitazioni nel paramento'!$G$53)*IF(M2587&lt;0,-1,1)</f>
        <v>0</v>
      </c>
      <c r="T2587" s="545">
        <f>'Foglio deposito bis'!$F$91*IF(ABS(N2587)&lt;'Sollecitazioni nel paramento'!$G$58,ABS(N2587)*'Sollecitazioni nel paramento'!$G$54,'Sollecitazioni nel paramento'!$G$53)*IF(N2587&lt;0,-1,1)</f>
        <v>892485.49558937876</v>
      </c>
      <c r="U2587" s="545">
        <f>'Foglio deposito bis'!$F$92*IF(ABS(O2587)&lt;'Sollecitazioni nel paramento'!$G$58,ABS(O2587)*'Sollecitazioni nel paramento'!$G$54,'Sollecitazioni nel paramento'!$G$53)*IF(O2587&lt;0,-1,1)</f>
        <v>1662039.1047339395</v>
      </c>
      <c r="V2587" s="472">
        <f t="shared" si="180"/>
        <v>301172.36509579676</v>
      </c>
      <c r="W2587" s="551"/>
      <c r="X2587" s="551"/>
    </row>
    <row r="2588" spans="1:24" x14ac:dyDescent="0.25">
      <c r="A2588" s="545">
        <f t="shared" si="179"/>
        <v>201842.73995951726</v>
      </c>
      <c r="B2588" s="3">
        <f>B2587+0.2</f>
        <v>5.2999999999999901</v>
      </c>
      <c r="C2588" s="545">
        <f>'Foglio deposito bis'!$E$163/sezione!$B$247*B2588</f>
        <v>61.566001805615912</v>
      </c>
      <c r="D2588" s="603">
        <f>-'Sollecitazioni nel paramento'!$G$47*'Sollecitazioni nel paramento'!$G$41*IF(DATI!$G$211="dx",DATI!$E$61,DATI!$E$64*DATI!$E$63)*1000*C2588^2*sezione!$AD$5*(1-sezione!$AD$6)</f>
        <v>-84330665.284096614</v>
      </c>
      <c r="E2588" s="545">
        <f>-'Foglio deposito bis'!$F$88*(C2588-sezione!$AL$37)*IF(ABS(K2588)&lt;'Sollecitazioni nel paramento'!$G$58,ABS(K2588)*'Sollecitazioni nel paramento'!$G$54,'Sollecitazioni nel paramento'!$G$53)</f>
        <v>0</v>
      </c>
      <c r="F2588" s="545">
        <f>-'Foglio deposito bis'!$F$89*(C2588-sezione!$AM$37)*IF(ABS(L2588)&lt;'Sollecitazioni nel paramento'!$G$58,ABS(L2588)*'Sollecitazioni nel paramento'!$G$54,'Sollecitazioni nel paramento'!$G$53)</f>
        <v>-11278.172078691292</v>
      </c>
      <c r="G2588" s="545">
        <f>-'Foglio deposito bis'!$F$90*(C2588-sezione!$AN$37)*IF(ABS(M2588)&lt;'Sollecitazioni nel paramento'!$G$58,ABS(M2588)*'Sollecitazioni nel paramento'!$G$54,'Sollecitazioni nel paramento'!$G$53)</f>
        <v>0</v>
      </c>
      <c r="H2588" s="545">
        <f>-'Foglio deposito bis'!$F$91*(C2588-sezione!$AO$37)*IF(ABS(N2588)&lt;'Sollecitazioni nel paramento'!$G$58,ABS(N2588)*'Sollecitazioni nel paramento'!$G$54,'Sollecitazioni nel paramento'!$G$53)</f>
        <v>87850915.661358908</v>
      </c>
      <c r="I2588" s="472">
        <f>-'Foglio deposito bis'!$F$92*(C2588-sezione!$AP$37)*IF(ABS(O2588)&lt;'Sollecitazioni nel paramento'!$G$58,ABS(O2588)*'Sollecitazioni nel paramento'!$G$54,'Sollecitazioni nel paramento'!$G$53)</f>
        <v>1257952781.6750786</v>
      </c>
      <c r="J2588" s="472">
        <f t="shared" si="178"/>
        <v>1261461753.8802621</v>
      </c>
      <c r="K2588" s="550">
        <f>'Sollecitazioni nel paramento'!$G$60*(sezione!$AL$37-C2588)/C2588</f>
        <v>-1.2260176738124724E-3</v>
      </c>
      <c r="L2588" s="550">
        <f>'Sollecitazioni nel paramento'!$G$60*(sezione!$AM$37-C2588)/C2588</f>
        <v>-8.9026510718708478E-5</v>
      </c>
      <c r="M2588" s="551">
        <f>'Sollecitazioni nel paramento'!$G$60*(sezione!$AN$37-C2588)/C2588</f>
        <v>1.0479646523750552E-3</v>
      </c>
      <c r="N2588" s="551">
        <f>'Sollecitazioni nel paramento'!$G$60*(sezione!$AO$37-C2588)/C2588</f>
        <v>5.5959293047501109E-3</v>
      </c>
      <c r="O2588" s="551">
        <f>'Sollecitazioni nel paramento'!$G$60*(sezione!$AP$37-C2588)/C2588</f>
        <v>4.3027904466265365E-2</v>
      </c>
      <c r="P2588" s="545">
        <f>-'Sollecitazioni nel paramento'!$G$47*'Sollecitazioni nel paramento'!$G$41*IF(DATI!$G$211="dx",DATI!$E$61,DATI!$E$64*DATI!$E$63)*1000*C2588*sezione!$AD$5</f>
        <v>-2345479.9707885487</v>
      </c>
      <c r="Q2588" s="545">
        <f>'Foglio deposito bis'!$F$88*IF(ABS(K2588)&lt;'Sollecitazioni nel paramento'!$G$58,ABS(K2588)*'Sollecitazioni nel paramento'!$G$54,'Sollecitazioni nel paramento'!$G$53)*IF(K2588&lt;0,-1,1)</f>
        <v>0</v>
      </c>
      <c r="R2588" s="545">
        <f>'Foglio deposito bis'!$F$89*IF(ABS(L2588)&lt;'Sollecitazioni nel paramento'!$G$58,ABS(L2588)*'Sollecitazioni nel paramento'!$G$54,'Sollecitazioni nel paramento'!$G$53)*IF(L2588&lt;0,-1,1)</f>
        <v>-7201.8895752521585</v>
      </c>
      <c r="S2588" s="545">
        <f>'Foglio deposito bis'!$F$90*IF(ABS(M2588)&lt;'Sollecitazioni nel paramento'!$G$58,ABS(M2588)*'Sollecitazioni nel paramento'!$G$54,'Sollecitazioni nel paramento'!$G$53)*IF(M2588&lt;0,-1,1)</f>
        <v>0</v>
      </c>
      <c r="T2588" s="545">
        <f>'Foglio deposito bis'!$F$91*IF(ABS(N2588)&lt;'Sollecitazioni nel paramento'!$G$58,ABS(N2588)*'Sollecitazioni nel paramento'!$G$54,'Sollecitazioni nel paramento'!$G$53)*IF(N2588&lt;0,-1,1)</f>
        <v>892485.49558937876</v>
      </c>
      <c r="U2588" s="545">
        <f>'Foglio deposito bis'!$F$92*IF(ABS(O2588)&lt;'Sollecitazioni nel paramento'!$G$58,ABS(O2588)*'Sollecitazioni nel paramento'!$G$54,'Sollecitazioni nel paramento'!$G$53)*IF(O2588&lt;0,-1,1)</f>
        <v>1662039.1047339395</v>
      </c>
      <c r="V2588" s="472">
        <f t="shared" si="180"/>
        <v>201842.73995951726</v>
      </c>
      <c r="W2588" s="551"/>
      <c r="X2588" s="551"/>
    </row>
    <row r="2589" spans="1:24" x14ac:dyDescent="0.25">
      <c r="A2589" s="545">
        <f t="shared" si="179"/>
        <v>103300.09278638824</v>
      </c>
      <c r="B2589" s="3">
        <f t="shared" ref="B2589:B2652" si="182">B2588+0.2</f>
        <v>5.4999999999999902</v>
      </c>
      <c r="C2589" s="545">
        <f>'Foglio deposito bis'!$E$163/sezione!$B$247*B2589</f>
        <v>63.889247156771233</v>
      </c>
      <c r="D2589" s="603">
        <f>-'Sollecitazioni nel paramento'!$G$47*'Sollecitazioni nel paramento'!$G$41*IF(DATI!$G$211="dx",DATI!$E$61,DATI!$E$64*DATI!$E$63)*1000*C2589^2*sezione!$AD$5*(1-sezione!$AD$6)</f>
        <v>-90815330.183122903</v>
      </c>
      <c r="E2589" s="545">
        <f>-'Foglio deposito bis'!$F$88*(C2589-sezione!$AL$37)*IF(ABS(K2589)&lt;'Sollecitazioni nel paramento'!$G$58,ABS(K2589)*'Sollecitazioni nel paramento'!$G$54,'Sollecitazioni nel paramento'!$G$53)</f>
        <v>0</v>
      </c>
      <c r="F2589" s="545">
        <f>-'Foglio deposito bis'!$F$89*(C2589-sezione!$AM$37)*IF(ABS(L2589)&lt;'Sollecitazioni nel paramento'!$G$58,ABS(L2589)*'Sollecitazioni nel paramento'!$G$54,'Sollecitazioni nel paramento'!$G$53)</f>
        <v>-67034.514075628394</v>
      </c>
      <c r="G2589" s="545">
        <f>-'Foglio deposito bis'!$F$90*(C2589-sezione!$AN$37)*IF(ABS(M2589)&lt;'Sollecitazioni nel paramento'!$G$58,ABS(M2589)*'Sollecitazioni nel paramento'!$G$54,'Sollecitazioni nel paramento'!$G$53)</f>
        <v>0</v>
      </c>
      <c r="H2589" s="545">
        <f>-'Foglio deposito bis'!$F$91*(C2589-sezione!$AO$37)*IF(ABS(N2589)&lt;'Sollecitazioni nel paramento'!$G$58,ABS(N2589)*'Sollecitazioni nel paramento'!$G$54,'Sollecitazioni nel paramento'!$G$53)</f>
        <v>85777452.882757321</v>
      </c>
      <c r="I2589" s="472">
        <f>-'Foglio deposito bis'!$F$92*(C2589-sezione!$AP$37)*IF(ABS(O2589)&lt;'Sollecitazioni nel paramento'!$G$58,ABS(O2589)*'Sollecitazioni nel paramento'!$G$54,'Sollecitazioni nel paramento'!$G$53)</f>
        <v>1254091457.0515671</v>
      </c>
      <c r="J2589" s="472">
        <f t="shared" si="178"/>
        <v>1248986545.2371259</v>
      </c>
      <c r="K2589" s="550">
        <f>'Sollecitazioni nel paramento'!$G$60*(sezione!$AL$37-C2589)/C2589</f>
        <v>-1.3087079402192916E-3</v>
      </c>
      <c r="L2589" s="550">
        <f>'Sollecitazioni nel paramento'!$G$60*(sezione!$AM$37-C2589)/C2589</f>
        <v>-2.1306191032893749E-4</v>
      </c>
      <c r="M2589" s="551">
        <f>'Sollecitazioni nel paramento'!$G$60*(sezione!$AN$37-C2589)/C2589</f>
        <v>8.8258411956141671E-4</v>
      </c>
      <c r="N2589" s="551">
        <f>'Sollecitazioni nel paramento'!$G$60*(sezione!$AO$37-C2589)/C2589</f>
        <v>5.2651682391228333E-3</v>
      </c>
      <c r="O2589" s="551">
        <f>'Sollecitazioni nel paramento'!$G$60*(sezione!$AP$37-C2589)/C2589</f>
        <v>4.133598066749207E-2</v>
      </c>
      <c r="P2589" s="545">
        <f>-'Sollecitazioni nel paramento'!$G$47*'Sollecitazioni nel paramento'!$G$41*IF(DATI!$G$211="dx",DATI!$E$61,DATI!$E$64*DATI!$E$63)*1000*C2589*sezione!$AD$5</f>
        <v>-2433988.6489315131</v>
      </c>
      <c r="Q2589" s="545">
        <f>'Foglio deposito bis'!$F$88*IF(ABS(K2589)&lt;'Sollecitazioni nel paramento'!$G$58,ABS(K2589)*'Sollecitazioni nel paramento'!$G$54,'Sollecitazioni nel paramento'!$G$53)*IF(K2589&lt;0,-1,1)</f>
        <v>0</v>
      </c>
      <c r="R2589" s="545">
        <f>'Foglio deposito bis'!$F$89*IF(ABS(L2589)&lt;'Sollecitazioni nel paramento'!$G$58,ABS(L2589)*'Sollecitazioni nel paramento'!$G$54,'Sollecitazioni nel paramento'!$G$53)*IF(L2589&lt;0,-1,1)</f>
        <v>-17235.858605416826</v>
      </c>
      <c r="S2589" s="545">
        <f>'Foglio deposito bis'!$F$90*IF(ABS(M2589)&lt;'Sollecitazioni nel paramento'!$G$58,ABS(M2589)*'Sollecitazioni nel paramento'!$G$54,'Sollecitazioni nel paramento'!$G$53)*IF(M2589&lt;0,-1,1)</f>
        <v>0</v>
      </c>
      <c r="T2589" s="545">
        <f>'Foglio deposito bis'!$F$91*IF(ABS(N2589)&lt;'Sollecitazioni nel paramento'!$G$58,ABS(N2589)*'Sollecitazioni nel paramento'!$G$54,'Sollecitazioni nel paramento'!$G$53)*IF(N2589&lt;0,-1,1)</f>
        <v>892485.49558937876</v>
      </c>
      <c r="U2589" s="545">
        <f>'Foglio deposito bis'!$F$92*IF(ABS(O2589)&lt;'Sollecitazioni nel paramento'!$G$58,ABS(O2589)*'Sollecitazioni nel paramento'!$G$54,'Sollecitazioni nel paramento'!$G$53)*IF(O2589&lt;0,-1,1)</f>
        <v>1662039.1047339395</v>
      </c>
      <c r="V2589" s="472">
        <f t="shared" si="180"/>
        <v>103300.09278638824</v>
      </c>
      <c r="W2589" s="551"/>
      <c r="X2589" s="551"/>
    </row>
    <row r="2590" spans="1:24" x14ac:dyDescent="0.25">
      <c r="A2590" s="545">
        <f t="shared" si="179"/>
        <v>5461.5837908147369</v>
      </c>
      <c r="B2590" s="3">
        <f t="shared" si="182"/>
        <v>5.6999999999999904</v>
      </c>
      <c r="C2590" s="545">
        <f>'Foglio deposito bis'!$E$163/sezione!$B$247*B2590</f>
        <v>66.212492507926555</v>
      </c>
      <c r="D2590" s="603">
        <f>-'Sollecitazioni nel paramento'!$G$47*'Sollecitazioni nel paramento'!$G$41*IF(DATI!$G$211="dx",DATI!$E$61,DATI!$E$64*DATI!$E$63)*1000*C2590^2*sezione!$AD$5*(1-sezione!$AD$6)</f>
        <v>-97540167.856187224</v>
      </c>
      <c r="E2590" s="545">
        <f>-'Foglio deposito bis'!$F$88*(C2590-sezione!$AL$37)*IF(ABS(K2590)&lt;'Sollecitazioni nel paramento'!$G$58,ABS(K2590)*'Sollecitazioni nel paramento'!$G$54,'Sollecitazioni nel paramento'!$G$53)</f>
        <v>0</v>
      </c>
      <c r="F2590" s="545">
        <f>-'Foglio deposito bis'!$F$89*(C2590-sezione!$AM$37)*IF(ABS(L2590)&lt;'Sollecitazioni nel paramento'!$G$58,ABS(L2590)*'Sollecitazioni nel paramento'!$G$54,'Sollecitazioni nel paramento'!$G$53)</f>
        <v>-165039.14672589049</v>
      </c>
      <c r="G2590" s="545">
        <f>-'Foglio deposito bis'!$F$90*(C2590-sezione!$AN$37)*IF(ABS(M2590)&lt;'Sollecitazioni nel paramento'!$G$58,ABS(M2590)*'Sollecitazioni nel paramento'!$G$54,'Sollecitazioni nel paramento'!$G$53)</f>
        <v>0</v>
      </c>
      <c r="H2590" s="545">
        <f>-'Foglio deposito bis'!$F$91*(C2590-sezione!$AO$37)*IF(ABS(N2590)&lt;'Sollecitazioni nel paramento'!$G$58,ABS(N2590)*'Sollecitazioni nel paramento'!$G$54,'Sollecitazioni nel paramento'!$G$53)</f>
        <v>83703990.104155749</v>
      </c>
      <c r="I2590" s="472">
        <f>-'Foglio deposito bis'!$F$92*(C2590-sezione!$AP$37)*IF(ABS(O2590)&lt;'Sollecitazioni nel paramento'!$G$58,ABS(O2590)*'Sollecitazioni nel paramento'!$G$54,'Sollecitazioni nel paramento'!$G$53)</f>
        <v>1250230132.4280555</v>
      </c>
      <c r="J2590" s="472">
        <f t="shared" si="178"/>
        <v>1236228915.5292981</v>
      </c>
      <c r="K2590" s="550">
        <f>'Sollecitazioni nel paramento'!$G$60*(sezione!$AL$37-C2590)/C2590</f>
        <v>-1.3855953809133517E-3</v>
      </c>
      <c r="L2590" s="550">
        <f>'Sollecitazioni nel paramento'!$G$60*(sezione!$AM$37-C2590)/C2590</f>
        <v>-3.2839307137002758E-4</v>
      </c>
      <c r="M2590" s="551">
        <f>'Sollecitazioni nel paramento'!$G$60*(sezione!$AN$37-C2590)/C2590</f>
        <v>7.2880923817329659E-4</v>
      </c>
      <c r="N2590" s="551">
        <f>'Sollecitazioni nel paramento'!$G$60*(sezione!$AO$37-C2590)/C2590</f>
        <v>4.9576184763465928E-3</v>
      </c>
      <c r="O2590" s="551">
        <f>'Sollecitazioni nel paramento'!$G$60*(sezione!$AP$37-C2590)/C2590</f>
        <v>3.9762788363369543E-2</v>
      </c>
      <c r="P2590" s="545">
        <f>-'Sollecitazioni nel paramento'!$G$47*'Sollecitazioni nel paramento'!$G$41*IF(DATI!$G$211="dx",DATI!$E$61,DATI!$E$64*DATI!$E$63)*1000*C2590*sezione!$AD$5</f>
        <v>-2522497.3270744774</v>
      </c>
      <c r="Q2590" s="545">
        <f>'Foglio deposito bis'!$F$88*IF(ABS(K2590)&lt;'Sollecitazioni nel paramento'!$G$58,ABS(K2590)*'Sollecitazioni nel paramento'!$G$54,'Sollecitazioni nel paramento'!$G$53)*IF(K2590&lt;0,-1,1)</f>
        <v>0</v>
      </c>
      <c r="R2590" s="545">
        <f>'Foglio deposito bis'!$F$89*IF(ABS(L2590)&lt;'Sollecitazioni nel paramento'!$G$58,ABS(L2590)*'Sollecitazioni nel paramento'!$G$54,'Sollecitazioni nel paramento'!$G$53)*IF(L2590&lt;0,-1,1)</f>
        <v>-26565.689458026078</v>
      </c>
      <c r="S2590" s="545">
        <f>'Foglio deposito bis'!$F$90*IF(ABS(M2590)&lt;'Sollecitazioni nel paramento'!$G$58,ABS(M2590)*'Sollecitazioni nel paramento'!$G$54,'Sollecitazioni nel paramento'!$G$53)*IF(M2590&lt;0,-1,1)</f>
        <v>0</v>
      </c>
      <c r="T2590" s="545">
        <f>'Foglio deposito bis'!$F$91*IF(ABS(N2590)&lt;'Sollecitazioni nel paramento'!$G$58,ABS(N2590)*'Sollecitazioni nel paramento'!$G$54,'Sollecitazioni nel paramento'!$G$53)*IF(N2590&lt;0,-1,1)</f>
        <v>892485.49558937876</v>
      </c>
      <c r="U2590" s="545">
        <f>'Foglio deposito bis'!$F$92*IF(ABS(O2590)&lt;'Sollecitazioni nel paramento'!$G$58,ABS(O2590)*'Sollecitazioni nel paramento'!$G$54,'Sollecitazioni nel paramento'!$G$53)*IF(O2590&lt;0,-1,1)</f>
        <v>1662039.1047339395</v>
      </c>
      <c r="V2590" s="472">
        <f t="shared" si="180"/>
        <v>5461.5837908147369</v>
      </c>
      <c r="W2590" s="551"/>
      <c r="X2590" s="551"/>
    </row>
    <row r="2591" spans="1:24" x14ac:dyDescent="0.25">
      <c r="A2591" s="545">
        <f t="shared" si="179"/>
        <v>91744.394299497129</v>
      </c>
      <c r="B2591" s="3">
        <f t="shared" si="182"/>
        <v>5.8999999999999906</v>
      </c>
      <c r="C2591" s="545">
        <f>'Foglio deposito bis'!$E$163/sezione!$B$247*B2591</f>
        <v>68.535737859081877</v>
      </c>
      <c r="D2591" s="603">
        <f>-'Sollecitazioni nel paramento'!$G$47*'Sollecitazioni nel paramento'!$G$41*IF(DATI!$G$211="dx",DATI!$E$61,DATI!$E$64*DATI!$E$63)*1000*C2591^2*sezione!$AD$5*(1-sezione!$AD$6)</f>
        <v>-104505178.30328958</v>
      </c>
      <c r="E2591" s="545">
        <f>-'Foglio deposito bis'!$F$88*(C2591-sezione!$AL$37)*IF(ABS(K2591)&lt;'Sollecitazioni nel paramento'!$G$58,ABS(K2591)*'Sollecitazioni nel paramento'!$G$54,'Sollecitazioni nel paramento'!$G$53)</f>
        <v>0</v>
      </c>
      <c r="F2591" s="545">
        <f>-'Foglio deposito bis'!$F$89*(C2591-sezione!$AM$37)*IF(ABS(L2591)&lt;'Sollecitazioni nel paramento'!$G$58,ABS(L2591)*'Sollecitazioni nel paramento'!$G$54,'Sollecitazioni nel paramento'!$G$53)</f>
        <v>-300995.63369185134</v>
      </c>
      <c r="G2591" s="545">
        <f>-'Foglio deposito bis'!$F$90*(C2591-sezione!$AN$37)*IF(ABS(M2591)&lt;'Sollecitazioni nel paramento'!$G$58,ABS(M2591)*'Sollecitazioni nel paramento'!$G$54,'Sollecitazioni nel paramento'!$G$53)</f>
        <v>0</v>
      </c>
      <c r="H2591" s="545">
        <f>-'Foglio deposito bis'!$F$91*(C2591-sezione!$AO$37)*IF(ABS(N2591)&lt;'Sollecitazioni nel paramento'!$G$58,ABS(N2591)*'Sollecitazioni nel paramento'!$G$54,'Sollecitazioni nel paramento'!$G$53)</f>
        <v>81630527.325554177</v>
      </c>
      <c r="I2591" s="472">
        <f>-'Foglio deposito bis'!$F$92*(C2591-sezione!$AP$37)*IF(ABS(O2591)&lt;'Sollecitazioni nel paramento'!$G$58,ABS(O2591)*'Sollecitazioni nel paramento'!$G$54,'Sollecitazioni nel paramento'!$G$53)</f>
        <v>1246368807.8045442</v>
      </c>
      <c r="J2591" s="472">
        <f t="shared" si="178"/>
        <v>1223193161.1931169</v>
      </c>
      <c r="K2591" s="550">
        <f>'Sollecitazioni nel paramento'!$G$60*(sezione!$AL$37-C2591)/C2591</f>
        <v>-1.4572701137637468E-3</v>
      </c>
      <c r="L2591" s="550">
        <f>'Sollecitazioni nel paramento'!$G$60*(sezione!$AM$37-C2591)/C2591</f>
        <v>-4.3590517064562008E-4</v>
      </c>
      <c r="M2591" s="551">
        <f>'Sollecitazioni nel paramento'!$G$60*(sezione!$AN$37-C2591)/C2591</f>
        <v>5.8545977247250662E-4</v>
      </c>
      <c r="N2591" s="551">
        <f>'Sollecitazioni nel paramento'!$G$60*(sezione!$AO$37-C2591)/C2591</f>
        <v>4.6709195449450127E-3</v>
      </c>
      <c r="O2591" s="551">
        <f>'Sollecitazioni nel paramento'!$G$60*(sezione!$AP$37-C2591)/C2591</f>
        <v>3.8296253164611244E-2</v>
      </c>
      <c r="P2591" s="545">
        <f>-'Sollecitazioni nel paramento'!$G$47*'Sollecitazioni nel paramento'!$G$41*IF(DATI!$G$211="dx",DATI!$E$61,DATI!$E$64*DATI!$E$63)*1000*C2591*sezione!$AD$5</f>
        <v>-2611006.0052174418</v>
      </c>
      <c r="Q2591" s="545">
        <f>'Foglio deposito bis'!$F$88*IF(ABS(K2591)&lt;'Sollecitazioni nel paramento'!$G$58,ABS(K2591)*'Sollecitazioni nel paramento'!$G$54,'Sollecitazioni nel paramento'!$G$53)*IF(K2591&lt;0,-1,1)</f>
        <v>0</v>
      </c>
      <c r="R2591" s="545">
        <f>'Foglio deposito bis'!$F$89*IF(ABS(L2591)&lt;'Sollecitazioni nel paramento'!$G$58,ABS(L2591)*'Sollecitazioni nel paramento'!$G$54,'Sollecitazioni nel paramento'!$G$53)*IF(L2591&lt;0,-1,1)</f>
        <v>-35262.989405373693</v>
      </c>
      <c r="S2591" s="545">
        <f>'Foglio deposito bis'!$F$90*IF(ABS(M2591)&lt;'Sollecitazioni nel paramento'!$G$58,ABS(M2591)*'Sollecitazioni nel paramento'!$G$54,'Sollecitazioni nel paramento'!$G$53)*IF(M2591&lt;0,-1,1)</f>
        <v>0</v>
      </c>
      <c r="T2591" s="545">
        <f>'Foglio deposito bis'!$F$91*IF(ABS(N2591)&lt;'Sollecitazioni nel paramento'!$G$58,ABS(N2591)*'Sollecitazioni nel paramento'!$G$54,'Sollecitazioni nel paramento'!$G$53)*IF(N2591&lt;0,-1,1)</f>
        <v>892485.49558937876</v>
      </c>
      <c r="U2591" s="545">
        <f>'Foglio deposito bis'!$F$92*IF(ABS(O2591)&lt;'Sollecitazioni nel paramento'!$G$58,ABS(O2591)*'Sollecitazioni nel paramento'!$G$54,'Sollecitazioni nel paramento'!$G$53)*IF(O2591&lt;0,-1,1)</f>
        <v>1662039.1047339395</v>
      </c>
      <c r="V2591" s="472">
        <f t="shared" si="180"/>
        <v>-91744.394299497129</v>
      </c>
      <c r="W2591" s="551"/>
      <c r="X2591" s="551"/>
    </row>
    <row r="2592" spans="1:24" x14ac:dyDescent="0.25">
      <c r="A2592" s="545">
        <f t="shared" si="179"/>
        <v>188380.05763916369</v>
      </c>
      <c r="B2592" s="3">
        <f t="shared" si="182"/>
        <v>6.0999999999999908</v>
      </c>
      <c r="C2592" s="545">
        <f>'Foglio deposito bis'!$E$163/sezione!$B$247*B2592</f>
        <v>70.858983210237199</v>
      </c>
      <c r="D2592" s="603">
        <f>-'Sollecitazioni nel paramento'!$G$47*'Sollecitazioni nel paramento'!$G$41*IF(DATI!$G$211="dx",DATI!$E$61,DATI!$E$64*DATI!$E$63)*1000*C2592^2*sezione!$AD$5*(1-sezione!$AD$6)</f>
        <v>-111710361.52442992</v>
      </c>
      <c r="E2592" s="545">
        <f>-'Foglio deposito bis'!$F$88*(C2592-sezione!$AL$37)*IF(ABS(K2592)&lt;'Sollecitazioni nel paramento'!$G$58,ABS(K2592)*'Sollecitazioni nel paramento'!$G$54,'Sollecitazioni nel paramento'!$G$53)</f>
        <v>0</v>
      </c>
      <c r="F2592" s="545">
        <f>-'Foglio deposito bis'!$F$89*(C2592-sezione!$AM$37)*IF(ABS(L2592)&lt;'Sollecitazioni nel paramento'!$G$58,ABS(L2592)*'Sollecitazioni nel paramento'!$G$54,'Sollecitazioni nel paramento'!$G$53)</f>
        <v>-471171.00569655694</v>
      </c>
      <c r="G2592" s="545">
        <f>-'Foglio deposito bis'!$F$90*(C2592-sezione!$AN$37)*IF(ABS(M2592)&lt;'Sollecitazioni nel paramento'!$G$58,ABS(M2592)*'Sollecitazioni nel paramento'!$G$54,'Sollecitazioni nel paramento'!$G$53)</f>
        <v>0</v>
      </c>
      <c r="H2592" s="545">
        <f>-'Foglio deposito bis'!$F$91*(C2592-sezione!$AO$37)*IF(ABS(N2592)&lt;'Sollecitazioni nel paramento'!$G$58,ABS(N2592)*'Sollecitazioni nel paramento'!$G$54,'Sollecitazioni nel paramento'!$G$53)</f>
        <v>79557064.54695259</v>
      </c>
      <c r="I2592" s="472">
        <f>-'Foglio deposito bis'!$F$92*(C2592-sezione!$AP$37)*IF(ABS(O2592)&lt;'Sollecitazioni nel paramento'!$G$58,ABS(O2592)*'Sollecitazioni nel paramento'!$G$54,'Sollecitazioni nel paramento'!$G$53)</f>
        <v>1242507483.1810327</v>
      </c>
      <c r="J2592" s="472">
        <f t="shared" si="178"/>
        <v>1209883015.1978588</v>
      </c>
      <c r="K2592" s="550">
        <f>'Sollecitazioni nel paramento'!$G$60*(sezione!$AL$37-C2592)/C2592</f>
        <v>-1.5242448641321486E-3</v>
      </c>
      <c r="L2592" s="550">
        <f>'Sollecitazioni nel paramento'!$G$60*(sezione!$AM$37-C2592)/C2592</f>
        <v>-5.363672961982229E-4</v>
      </c>
      <c r="M2592" s="551">
        <f>'Sollecitazioni nel paramento'!$G$60*(sezione!$AN$37-C2592)/C2592</f>
        <v>4.5151027173570281E-4</v>
      </c>
      <c r="N2592" s="551">
        <f>'Sollecitazioni nel paramento'!$G$60*(sezione!$AO$37-C2592)/C2592</f>
        <v>4.4030205434714056E-3</v>
      </c>
      <c r="O2592" s="551">
        <f>'Sollecitazioni nel paramento'!$G$60*(sezione!$AP$37-C2592)/C2592</f>
        <v>3.6925884208394488E-2</v>
      </c>
      <c r="P2592" s="545">
        <f>-'Sollecitazioni nel paramento'!$G$47*'Sollecitazioni nel paramento'!$G$41*IF(DATI!$G$211="dx",DATI!$E$61,DATI!$E$64*DATI!$E$63)*1000*C2592*sezione!$AD$5</f>
        <v>-2699514.6833604062</v>
      </c>
      <c r="Q2592" s="545">
        <f>'Foglio deposito bis'!$F$88*IF(ABS(K2592)&lt;'Sollecitazioni nel paramento'!$G$58,ABS(K2592)*'Sollecitazioni nel paramento'!$G$54,'Sollecitazioni nel paramento'!$G$53)*IF(K2592&lt;0,-1,1)</f>
        <v>0</v>
      </c>
      <c r="R2592" s="545">
        <f>'Foglio deposito bis'!$F$89*IF(ABS(L2592)&lt;'Sollecitazioni nel paramento'!$G$58,ABS(L2592)*'Sollecitazioni nel paramento'!$G$54,'Sollecitazioni nel paramento'!$G$53)*IF(L2592&lt;0,-1,1)</f>
        <v>-43389.974602075556</v>
      </c>
      <c r="S2592" s="545">
        <f>'Foglio deposito bis'!$F$90*IF(ABS(M2592)&lt;'Sollecitazioni nel paramento'!$G$58,ABS(M2592)*'Sollecitazioni nel paramento'!$G$54,'Sollecitazioni nel paramento'!$G$53)*IF(M2592&lt;0,-1,1)</f>
        <v>0</v>
      </c>
      <c r="T2592" s="545">
        <f>'Foglio deposito bis'!$F$91*IF(ABS(N2592)&lt;'Sollecitazioni nel paramento'!$G$58,ABS(N2592)*'Sollecitazioni nel paramento'!$G$54,'Sollecitazioni nel paramento'!$G$53)*IF(N2592&lt;0,-1,1)</f>
        <v>892485.49558937876</v>
      </c>
      <c r="U2592" s="545">
        <f>'Foglio deposito bis'!$F$92*IF(ABS(O2592)&lt;'Sollecitazioni nel paramento'!$G$58,ABS(O2592)*'Sollecitazioni nel paramento'!$G$54,'Sollecitazioni nel paramento'!$G$53)*IF(O2592&lt;0,-1,1)</f>
        <v>1662039.1047339395</v>
      </c>
      <c r="V2592" s="472">
        <f t="shared" si="180"/>
        <v>-188380.05763916369</v>
      </c>
      <c r="W2592" s="551"/>
      <c r="X2592" s="551"/>
    </row>
    <row r="2593" spans="1:24" x14ac:dyDescent="0.25">
      <c r="A2593" s="545">
        <f t="shared" si="179"/>
        <v>284499.72191872238</v>
      </c>
      <c r="B2593" s="3">
        <f t="shared" si="182"/>
        <v>6.2999999999999909</v>
      </c>
      <c r="C2593" s="545">
        <f>'Foglio deposito bis'!$E$163/sezione!$B$247*B2593</f>
        <v>73.182228561392535</v>
      </c>
      <c r="D2593" s="603">
        <f>-'Sollecitazioni nel paramento'!$G$47*'Sollecitazioni nel paramento'!$G$41*IF(DATI!$G$211="dx",DATI!$E$61,DATI!$E$64*DATI!$E$63)*1000*C2593^2*sezione!$AD$5*(1-sezione!$AD$6)</f>
        <v>-119155717.51960832</v>
      </c>
      <c r="E2593" s="545">
        <f>-'Foglio deposito bis'!$F$88*(C2593-sezione!$AL$37)*IF(ABS(K2593)&lt;'Sollecitazioni nel paramento'!$G$58,ABS(K2593)*'Sollecitazioni nel paramento'!$G$54,'Sollecitazioni nel paramento'!$G$53)</f>
        <v>0</v>
      </c>
      <c r="F2593" s="545">
        <f>-'Foglio deposito bis'!$F$89*(C2593-sezione!$AM$37)*IF(ABS(L2593)&lt;'Sollecitazioni nel paramento'!$G$58,ABS(L2593)*'Sollecitazioni nel paramento'!$G$54,'Sollecitazioni nel paramento'!$G$53)</f>
        <v>-672306.32130774716</v>
      </c>
      <c r="G2593" s="545">
        <f>-'Foglio deposito bis'!$F$90*(C2593-sezione!$AN$37)*IF(ABS(M2593)&lt;'Sollecitazioni nel paramento'!$G$58,ABS(M2593)*'Sollecitazioni nel paramento'!$G$54,'Sollecitazioni nel paramento'!$G$53)</f>
        <v>0</v>
      </c>
      <c r="H2593" s="545">
        <f>-'Foglio deposito bis'!$F$91*(C2593-sezione!$AO$37)*IF(ABS(N2593)&lt;'Sollecitazioni nel paramento'!$G$58,ABS(N2593)*'Sollecitazioni nel paramento'!$G$54,'Sollecitazioni nel paramento'!$G$53)</f>
        <v>77483601.768351004</v>
      </c>
      <c r="I2593" s="472">
        <f>-'Foglio deposito bis'!$F$92*(C2593-sezione!$AP$37)*IF(ABS(O2593)&lt;'Sollecitazioni nel paramento'!$G$58,ABS(O2593)*'Sollecitazioni nel paramento'!$G$54,'Sollecitazioni nel paramento'!$G$53)</f>
        <v>1238646158.5575211</v>
      </c>
      <c r="J2593" s="472">
        <f t="shared" si="178"/>
        <v>1196301736.484956</v>
      </c>
      <c r="K2593" s="550">
        <f>'Sollecitazioni nel paramento'!$G$60*(sezione!$AL$37-C2593)/C2593</f>
        <v>-1.5869672493977953E-3</v>
      </c>
      <c r="L2593" s="550">
        <f>'Sollecitazioni nel paramento'!$G$60*(sezione!$AM$37-C2593)/C2593</f>
        <v>-6.3045087409669266E-4</v>
      </c>
      <c r="M2593" s="551">
        <f>'Sollecitazioni nel paramento'!$G$60*(sezione!$AN$37-C2593)/C2593</f>
        <v>3.2606550120440979E-4</v>
      </c>
      <c r="N2593" s="551">
        <f>'Sollecitazioni nel paramento'!$G$60*(sezione!$AO$37-C2593)/C2593</f>
        <v>4.1521310024088195E-3</v>
      </c>
      <c r="O2593" s="551">
        <f>'Sollecitazioni nel paramento'!$G$60*(sezione!$AP$37-C2593)/C2593</f>
        <v>3.5642522804953385E-2</v>
      </c>
      <c r="P2593" s="545">
        <f>-'Sollecitazioni nel paramento'!$G$47*'Sollecitazioni nel paramento'!$G$41*IF(DATI!$G$211="dx",DATI!$E$61,DATI!$E$64*DATI!$E$63)*1000*C2593*sezione!$AD$5</f>
        <v>-2788023.361503371</v>
      </c>
      <c r="Q2593" s="545">
        <f>'Foglio deposito bis'!$F$88*IF(ABS(K2593)&lt;'Sollecitazioni nel paramento'!$G$58,ABS(K2593)*'Sollecitazioni nel paramento'!$G$54,'Sollecitazioni nel paramento'!$G$53)*IF(K2593&lt;0,-1,1)</f>
        <v>0</v>
      </c>
      <c r="R2593" s="545">
        <f>'Foglio deposito bis'!$F$89*IF(ABS(L2593)&lt;'Sollecitazioni nel paramento'!$G$58,ABS(L2593)*'Sollecitazioni nel paramento'!$G$54,'Sollecitazioni nel paramento'!$G$53)*IF(L2593&lt;0,-1,1)</f>
        <v>-51000.960738669412</v>
      </c>
      <c r="S2593" s="545">
        <f>'Foglio deposito bis'!$F$90*IF(ABS(M2593)&lt;'Sollecitazioni nel paramento'!$G$58,ABS(M2593)*'Sollecitazioni nel paramento'!$G$54,'Sollecitazioni nel paramento'!$G$53)*IF(M2593&lt;0,-1,1)</f>
        <v>0</v>
      </c>
      <c r="T2593" s="545">
        <f>'Foglio deposito bis'!$F$91*IF(ABS(N2593)&lt;'Sollecitazioni nel paramento'!$G$58,ABS(N2593)*'Sollecitazioni nel paramento'!$G$54,'Sollecitazioni nel paramento'!$G$53)*IF(N2593&lt;0,-1,1)</f>
        <v>892485.49558937876</v>
      </c>
      <c r="U2593" s="545">
        <f>'Foglio deposito bis'!$F$92*IF(ABS(O2593)&lt;'Sollecitazioni nel paramento'!$G$58,ABS(O2593)*'Sollecitazioni nel paramento'!$G$54,'Sollecitazioni nel paramento'!$G$53)*IF(O2593&lt;0,-1,1)</f>
        <v>1662039.1047339395</v>
      </c>
      <c r="V2593" s="472">
        <f t="shared" si="180"/>
        <v>-284499.72191872238</v>
      </c>
      <c r="W2593" s="551"/>
      <c r="X2593" s="551"/>
    </row>
    <row r="2594" spans="1:24" x14ac:dyDescent="0.25">
      <c r="A2594" s="545">
        <f t="shared" si="179"/>
        <v>380151.01782064349</v>
      </c>
      <c r="B2594" s="3">
        <f t="shared" si="182"/>
        <v>6.4999999999999911</v>
      </c>
      <c r="C2594" s="545">
        <f>'Foglio deposito bis'!$E$163/sezione!$B$247*B2594</f>
        <v>75.505473912547856</v>
      </c>
      <c r="D2594" s="603">
        <f>-'Sollecitazioni nel paramento'!$G$47*'Sollecitazioni nel paramento'!$G$41*IF(DATI!$G$211="dx",DATI!$E$61,DATI!$E$64*DATI!$E$63)*1000*C2594^2*sezione!$AD$5*(1-sezione!$AD$6)</f>
        <v>-126841246.28882468</v>
      </c>
      <c r="E2594" s="545">
        <f>-'Foglio deposito bis'!$F$88*(C2594-sezione!$AL$37)*IF(ABS(K2594)&lt;'Sollecitazioni nel paramento'!$G$58,ABS(K2594)*'Sollecitazioni nel paramento'!$G$54,'Sollecitazioni nel paramento'!$G$53)</f>
        <v>0</v>
      </c>
      <c r="F2594" s="545">
        <f>-'Foglio deposito bis'!$F$89*(C2594-sezione!$AM$37)*IF(ABS(L2594)&lt;'Sollecitazioni nel paramento'!$G$58,ABS(L2594)*'Sollecitazioni nel paramento'!$G$54,'Sollecitazioni nel paramento'!$G$53)</f>
        <v>-901543.73957712867</v>
      </c>
      <c r="G2594" s="545">
        <f>-'Foglio deposito bis'!$F$90*(C2594-sezione!$AN$37)*IF(ABS(M2594)&lt;'Sollecitazioni nel paramento'!$G$58,ABS(M2594)*'Sollecitazioni nel paramento'!$G$54,'Sollecitazioni nel paramento'!$G$53)</f>
        <v>0</v>
      </c>
      <c r="H2594" s="545">
        <f>-'Foglio deposito bis'!$F$91*(C2594-sezione!$AO$37)*IF(ABS(N2594)&lt;'Sollecitazioni nel paramento'!$G$58,ABS(N2594)*'Sollecitazioni nel paramento'!$G$54,'Sollecitazioni nel paramento'!$G$53)</f>
        <v>75410138.989749432</v>
      </c>
      <c r="I2594" s="472">
        <f>-'Foglio deposito bis'!$F$92*(C2594-sezione!$AP$37)*IF(ABS(O2594)&lt;'Sollecitazioni nel paramento'!$G$58,ABS(O2594)*'Sollecitazioni nel paramento'!$G$54,'Sollecitazioni nel paramento'!$G$53)</f>
        <v>1234784833.9340098</v>
      </c>
      <c r="J2594" s="472">
        <f t="shared" si="178"/>
        <v>1182452182.8953574</v>
      </c>
      <c r="K2594" s="550">
        <f>'Sollecitazioni nel paramento'!$G$60*(sezione!$AL$37-C2594)/C2594</f>
        <v>-1.6458297955701706E-3</v>
      </c>
      <c r="L2594" s="550">
        <f>'Sollecitazioni nel paramento'!$G$60*(sezione!$AM$37-C2594)/C2594</f>
        <v>-7.1874469335525613E-4</v>
      </c>
      <c r="M2594" s="551">
        <f>'Sollecitazioni nel paramento'!$G$60*(sezione!$AN$37-C2594)/C2594</f>
        <v>2.0834040885965853E-4</v>
      </c>
      <c r="N2594" s="551">
        <f>'Sollecitazioni nel paramento'!$G$60*(sezione!$AO$37-C2594)/C2594</f>
        <v>3.9166808177193172E-3</v>
      </c>
      <c r="O2594" s="551">
        <f>'Sollecitazioni nel paramento'!$G$60*(sezione!$AP$37-C2594)/C2594</f>
        <v>3.4438137487877891E-2</v>
      </c>
      <c r="P2594" s="545">
        <f>-'Sollecitazioni nel paramento'!$G$47*'Sollecitazioni nel paramento'!$G$41*IF(DATI!$G$211="dx",DATI!$E$61,DATI!$E$64*DATI!$E$63)*1000*C2594*sezione!$AD$5</f>
        <v>-2876532.0396463349</v>
      </c>
      <c r="Q2594" s="545">
        <f>'Foglio deposito bis'!$F$88*IF(ABS(K2594)&lt;'Sollecitazioni nel paramento'!$G$58,ABS(K2594)*'Sollecitazioni nel paramento'!$G$54,'Sollecitazioni nel paramento'!$G$53)*IF(K2594&lt;0,-1,1)</f>
        <v>0</v>
      </c>
      <c r="R2594" s="545">
        <f>'Foglio deposito bis'!$F$89*IF(ABS(L2594)&lt;'Sollecitazioni nel paramento'!$G$58,ABS(L2594)*'Sollecitazioni nel paramento'!$G$54,'Sollecitazioni nel paramento'!$G$53)*IF(L2594&lt;0,-1,1)</f>
        <v>-58143.578497626666</v>
      </c>
      <c r="S2594" s="545">
        <f>'Foglio deposito bis'!$F$90*IF(ABS(M2594)&lt;'Sollecitazioni nel paramento'!$G$58,ABS(M2594)*'Sollecitazioni nel paramento'!$G$54,'Sollecitazioni nel paramento'!$G$53)*IF(M2594&lt;0,-1,1)</f>
        <v>0</v>
      </c>
      <c r="T2594" s="545">
        <f>'Foglio deposito bis'!$F$91*IF(ABS(N2594)&lt;'Sollecitazioni nel paramento'!$G$58,ABS(N2594)*'Sollecitazioni nel paramento'!$G$54,'Sollecitazioni nel paramento'!$G$53)*IF(N2594&lt;0,-1,1)</f>
        <v>892485.49558937876</v>
      </c>
      <c r="U2594" s="545">
        <f>'Foglio deposito bis'!$F$92*IF(ABS(O2594)&lt;'Sollecitazioni nel paramento'!$G$58,ABS(O2594)*'Sollecitazioni nel paramento'!$G$54,'Sollecitazioni nel paramento'!$G$53)*IF(O2594&lt;0,-1,1)</f>
        <v>1662039.1047339395</v>
      </c>
      <c r="V2594" s="472">
        <f t="shared" si="180"/>
        <v>-380151.01782064349</v>
      </c>
      <c r="W2594" s="551"/>
      <c r="X2594" s="551"/>
    </row>
    <row r="2595" spans="1:24" x14ac:dyDescent="0.25">
      <c r="A2595" s="545">
        <f t="shared" si="179"/>
        <v>475375.88878173172</v>
      </c>
      <c r="B2595" s="3">
        <f t="shared" si="182"/>
        <v>6.6999999999999913</v>
      </c>
      <c r="C2595" s="545">
        <f>'Foglio deposito bis'!$E$163/sezione!$B$247*B2595</f>
        <v>77.828719263703178</v>
      </c>
      <c r="D2595" s="603">
        <f>-'Sollecitazioni nel paramento'!$G$47*'Sollecitazioni nel paramento'!$G$41*IF(DATI!$G$211="dx",DATI!$E$61,DATI!$E$64*DATI!$E$63)*1000*C2595^2*sezione!$AD$5*(1-sezione!$AD$6)</f>
        <v>-134766947.83207908</v>
      </c>
      <c r="E2595" s="545">
        <f>-'Foglio deposito bis'!$F$88*(C2595-sezione!$AL$37)*IF(ABS(K2595)&lt;'Sollecitazioni nel paramento'!$G$58,ABS(K2595)*'Sollecitazioni nel paramento'!$G$54,'Sollecitazioni nel paramento'!$G$53)</f>
        <v>0</v>
      </c>
      <c r="F2595" s="545">
        <f>-'Foglio deposito bis'!$F$89*(C2595-sezione!$AM$37)*IF(ABS(L2595)&lt;'Sollecitazioni nel paramento'!$G$58,ABS(L2595)*'Sollecitazioni nel paramento'!$G$54,'Sollecitazioni nel paramento'!$G$53)</f>
        <v>-1156366.6542965067</v>
      </c>
      <c r="G2595" s="545">
        <f>-'Foglio deposito bis'!$F$90*(C2595-sezione!$AN$37)*IF(ABS(M2595)&lt;'Sollecitazioni nel paramento'!$G$58,ABS(M2595)*'Sollecitazioni nel paramento'!$G$54,'Sollecitazioni nel paramento'!$G$53)</f>
        <v>0</v>
      </c>
      <c r="H2595" s="545">
        <f>-'Foglio deposito bis'!$F$91*(C2595-sezione!$AO$37)*IF(ABS(N2595)&lt;'Sollecitazioni nel paramento'!$G$58,ABS(N2595)*'Sollecitazioni nel paramento'!$G$54,'Sollecitazioni nel paramento'!$G$53)</f>
        <v>73336676.211147845</v>
      </c>
      <c r="I2595" s="472">
        <f>-'Foglio deposito bis'!$F$92*(C2595-sezione!$AP$37)*IF(ABS(O2595)&lt;'Sollecitazioni nel paramento'!$G$58,ABS(O2595)*'Sollecitazioni nel paramento'!$G$54,'Sollecitazioni nel paramento'!$G$53)</f>
        <v>1230923509.3104982</v>
      </c>
      <c r="J2595" s="472">
        <f t="shared" si="178"/>
        <v>1168336871.0352705</v>
      </c>
      <c r="K2595" s="550">
        <f>'Sollecitazioni nel paramento'!$G$60*(sezione!$AL$37-C2595)/C2595</f>
        <v>-1.7011781598815091E-3</v>
      </c>
      <c r="L2595" s="550">
        <f>'Sollecitazioni nel paramento'!$G$60*(sezione!$AM$37-C2595)/C2595</f>
        <v>-8.017672398222635E-4</v>
      </c>
      <c r="M2595" s="551">
        <f>'Sollecitazioni nel paramento'!$G$60*(sezione!$AN$37-C2595)/C2595</f>
        <v>9.7643680236982031E-5</v>
      </c>
      <c r="N2595" s="551">
        <f>'Sollecitazioni nel paramento'!$G$60*(sezione!$AO$37-C2595)/C2595</f>
        <v>3.6952873604739643E-3</v>
      </c>
      <c r="O2595" s="551">
        <f>'Sollecitazioni nel paramento'!$G$60*(sezione!$AP$37-C2595)/C2595</f>
        <v>3.3305655771821832E-2</v>
      </c>
      <c r="P2595" s="545">
        <f>-'Sollecitazioni nel paramento'!$G$47*'Sollecitazioni nel paramento'!$G$41*IF(DATI!$G$211="dx",DATI!$E$61,DATI!$E$64*DATI!$E$63)*1000*C2595*sezione!$AD$5</f>
        <v>-2965040.7177892993</v>
      </c>
      <c r="Q2595" s="545">
        <f>'Foglio deposito bis'!$F$88*IF(ABS(K2595)&lt;'Sollecitazioni nel paramento'!$G$58,ABS(K2595)*'Sollecitazioni nel paramento'!$G$54,'Sollecitazioni nel paramento'!$G$53)*IF(K2595&lt;0,-1,1)</f>
        <v>0</v>
      </c>
      <c r="R2595" s="545">
        <f>'Foglio deposito bis'!$F$89*IF(ABS(L2595)&lt;'Sollecitazioni nel paramento'!$G$58,ABS(L2595)*'Sollecitazioni nel paramento'!$G$54,'Sollecitazioni nel paramento'!$G$53)*IF(L2595&lt;0,-1,1)</f>
        <v>-64859.771315750659</v>
      </c>
      <c r="S2595" s="545">
        <f>'Foglio deposito bis'!$F$90*IF(ABS(M2595)&lt;'Sollecitazioni nel paramento'!$G$58,ABS(M2595)*'Sollecitazioni nel paramento'!$G$54,'Sollecitazioni nel paramento'!$G$53)*IF(M2595&lt;0,-1,1)</f>
        <v>0</v>
      </c>
      <c r="T2595" s="545">
        <f>'Foglio deposito bis'!$F$91*IF(ABS(N2595)&lt;'Sollecitazioni nel paramento'!$G$58,ABS(N2595)*'Sollecitazioni nel paramento'!$G$54,'Sollecitazioni nel paramento'!$G$53)*IF(N2595&lt;0,-1,1)</f>
        <v>892485.49558937876</v>
      </c>
      <c r="U2595" s="545">
        <f>'Foglio deposito bis'!$F$92*IF(ABS(O2595)&lt;'Sollecitazioni nel paramento'!$G$58,ABS(O2595)*'Sollecitazioni nel paramento'!$G$54,'Sollecitazioni nel paramento'!$G$53)*IF(O2595&lt;0,-1,1)</f>
        <v>1662039.1047339395</v>
      </c>
      <c r="V2595" s="472">
        <f t="shared" si="180"/>
        <v>-475375.88878173172</v>
      </c>
      <c r="W2595" s="551"/>
      <c r="X2595" s="551"/>
    </row>
    <row r="2596" spans="1:24" x14ac:dyDescent="0.25">
      <c r="A2596" s="545">
        <f t="shared" si="179"/>
        <v>570211.41523162439</v>
      </c>
      <c r="B2596" s="3">
        <f t="shared" si="182"/>
        <v>6.8999999999999915</v>
      </c>
      <c r="C2596" s="545">
        <f>'Foglio deposito bis'!$E$163/sezione!$B$247*B2596</f>
        <v>80.1519646148585</v>
      </c>
      <c r="D2596" s="603">
        <f>-'Sollecitazioni nel paramento'!$G$47*'Sollecitazioni nel paramento'!$G$41*IF(DATI!$G$211="dx",DATI!$E$61,DATI!$E$64*DATI!$E$63)*1000*C2596^2*sezione!$AD$5*(1-sezione!$AD$6)</f>
        <v>-142932822.14937145</v>
      </c>
      <c r="E2596" s="545">
        <f>-'Foglio deposito bis'!$F$88*(C2596-sezione!$AL$37)*IF(ABS(K2596)&lt;'Sollecitazioni nel paramento'!$G$58,ABS(K2596)*'Sollecitazioni nel paramento'!$G$54,'Sollecitazioni nel paramento'!$G$53)</f>
        <v>0</v>
      </c>
      <c r="F2596" s="545">
        <f>-'Foglio deposito bis'!$F$89*(C2596-sezione!$AM$37)*IF(ABS(L2596)&lt;'Sollecitazioni nel paramento'!$G$58,ABS(L2596)*'Sollecitazioni nel paramento'!$G$54,'Sollecitazioni nel paramento'!$G$53)</f>
        <v>-1434550.23968762</v>
      </c>
      <c r="G2596" s="545">
        <f>-'Foglio deposito bis'!$F$90*(C2596-sezione!$AN$37)*IF(ABS(M2596)&lt;'Sollecitazioni nel paramento'!$G$58,ABS(M2596)*'Sollecitazioni nel paramento'!$G$54,'Sollecitazioni nel paramento'!$G$53)</f>
        <v>0</v>
      </c>
      <c r="H2596" s="545">
        <f>-'Foglio deposito bis'!$F$91*(C2596-sezione!$AO$37)*IF(ABS(N2596)&lt;'Sollecitazioni nel paramento'!$G$58,ABS(N2596)*'Sollecitazioni nel paramento'!$G$54,'Sollecitazioni nel paramento'!$G$53)</f>
        <v>71263213.432546258</v>
      </c>
      <c r="I2596" s="472">
        <f>-'Foglio deposito bis'!$F$92*(C2596-sezione!$AP$37)*IF(ABS(O2596)&lt;'Sollecitazioni nel paramento'!$G$58,ABS(O2596)*'Sollecitazioni nel paramento'!$G$54,'Sollecitazioni nel paramento'!$G$53)</f>
        <v>1227062184.6869869</v>
      </c>
      <c r="J2596" s="472">
        <f t="shared" si="178"/>
        <v>1153958025.730474</v>
      </c>
      <c r="K2596" s="550">
        <f>'Sollecitazioni nel paramento'!$G$60*(sezione!$AL$37-C2596)/C2596</f>
        <v>-1.7533179233632044E-3</v>
      </c>
      <c r="L2596" s="550">
        <f>'Sollecitazioni nel paramento'!$G$60*(sezione!$AM$37-C2596)/C2596</f>
        <v>-8.7997688504480663E-4</v>
      </c>
      <c r="M2596" s="551">
        <f>'Sollecitazioni nel paramento'!$G$60*(sezione!$AN$37-C2596)/C2596</f>
        <v>-6.635846726408875E-6</v>
      </c>
      <c r="N2596" s="551">
        <f>'Sollecitazioni nel paramento'!$G$60*(sezione!$AO$37-C2596)/C2596</f>
        <v>3.4867283065471823E-3</v>
      </c>
      <c r="O2596" s="551">
        <f>'Sollecitazioni nel paramento'!$G$60*(sezione!$AP$37-C2596)/C2596</f>
        <v>3.223882516974004E-2</v>
      </c>
      <c r="P2596" s="545">
        <f>-'Sollecitazioni nel paramento'!$G$47*'Sollecitazioni nel paramento'!$G$41*IF(DATI!$G$211="dx",DATI!$E$61,DATI!$E$64*DATI!$E$63)*1000*C2596*sezione!$AD$5</f>
        <v>-3053549.3959322637</v>
      </c>
      <c r="Q2596" s="545">
        <f>'Foglio deposito bis'!$F$88*IF(ABS(K2596)&lt;'Sollecitazioni nel paramento'!$G$58,ABS(K2596)*'Sollecitazioni nel paramento'!$G$54,'Sollecitazioni nel paramento'!$G$53)*IF(K2596&lt;0,-1,1)</f>
        <v>0</v>
      </c>
      <c r="R2596" s="545">
        <f>'Foglio deposito bis'!$F$89*IF(ABS(L2596)&lt;'Sollecitazioni nel paramento'!$G$58,ABS(L2596)*'Sollecitazioni nel paramento'!$G$54,'Sollecitazioni nel paramento'!$G$53)*IF(L2596&lt;0,-1,1)</f>
        <v>-71186.619622679049</v>
      </c>
      <c r="S2596" s="545">
        <f>'Foglio deposito bis'!$F$90*IF(ABS(M2596)&lt;'Sollecitazioni nel paramento'!$G$58,ABS(M2596)*'Sollecitazioni nel paramento'!$G$54,'Sollecitazioni nel paramento'!$G$53)*IF(M2596&lt;0,-1,1)</f>
        <v>0</v>
      </c>
      <c r="T2596" s="545">
        <f>'Foglio deposito bis'!$F$91*IF(ABS(N2596)&lt;'Sollecitazioni nel paramento'!$G$58,ABS(N2596)*'Sollecitazioni nel paramento'!$G$54,'Sollecitazioni nel paramento'!$G$53)*IF(N2596&lt;0,-1,1)</f>
        <v>892485.49558937876</v>
      </c>
      <c r="U2596" s="545">
        <f>'Foglio deposito bis'!$F$92*IF(ABS(O2596)&lt;'Sollecitazioni nel paramento'!$G$58,ABS(O2596)*'Sollecitazioni nel paramento'!$G$54,'Sollecitazioni nel paramento'!$G$53)*IF(O2596&lt;0,-1,1)</f>
        <v>1662039.1047339395</v>
      </c>
      <c r="V2596" s="472">
        <f t="shared" si="180"/>
        <v>-570211.41523162439</v>
      </c>
      <c r="W2596" s="551"/>
      <c r="X2596" s="551"/>
    </row>
    <row r="2597" spans="1:24" x14ac:dyDescent="0.25">
      <c r="A2597" s="545">
        <f t="shared" si="179"/>
        <v>664690.49952338054</v>
      </c>
      <c r="B2597" s="3">
        <f t="shared" si="182"/>
        <v>7.0999999999999917</v>
      </c>
      <c r="C2597" s="545">
        <f>'Foglio deposito bis'!$E$163/sezione!$B$247*B2597</f>
        <v>82.475209966013821</v>
      </c>
      <c r="D2597" s="603">
        <f>-'Sollecitazioni nel paramento'!$G$47*'Sollecitazioni nel paramento'!$G$41*IF(DATI!$G$211="dx",DATI!$E$61,DATI!$E$64*DATI!$E$63)*1000*C2597^2*sezione!$AD$5*(1-sezione!$AD$6)</f>
        <v>-151338869.24070185</v>
      </c>
      <c r="E2597" s="545">
        <f>-'Foglio deposito bis'!$F$88*(C2597-sezione!$AL$37)*IF(ABS(K2597)&lt;'Sollecitazioni nel paramento'!$G$58,ABS(K2597)*'Sollecitazioni nel paramento'!$G$54,'Sollecitazioni nel paramento'!$G$53)</f>
        <v>0</v>
      </c>
      <c r="F2597" s="545">
        <f>-'Foglio deposito bis'!$F$89*(C2597-sezione!$AM$37)*IF(ABS(L2597)&lt;'Sollecitazioni nel paramento'!$G$58,ABS(L2597)*'Sollecitazioni nel paramento'!$G$54,'Sollecitazioni nel paramento'!$G$53)</f>
        <v>-1734120.354566942</v>
      </c>
      <c r="G2597" s="545">
        <f>-'Foglio deposito bis'!$F$90*(C2597-sezione!$AN$37)*IF(ABS(M2597)&lt;'Sollecitazioni nel paramento'!$G$58,ABS(M2597)*'Sollecitazioni nel paramento'!$G$54,'Sollecitazioni nel paramento'!$G$53)</f>
        <v>0</v>
      </c>
      <c r="H2597" s="545">
        <f>-'Foglio deposito bis'!$F$91*(C2597-sezione!$AO$37)*IF(ABS(N2597)&lt;'Sollecitazioni nel paramento'!$G$58,ABS(N2597)*'Sollecitazioni nel paramento'!$G$54,'Sollecitazioni nel paramento'!$G$53)</f>
        <v>69189750.653944686</v>
      </c>
      <c r="I2597" s="472">
        <f>-'Foglio deposito bis'!$F$92*(C2597-sezione!$AP$37)*IF(ABS(O2597)&lt;'Sollecitazioni nel paramento'!$G$58,ABS(O2597)*'Sollecitazioni nel paramento'!$G$54,'Sollecitazioni nel paramento'!$G$53)</f>
        <v>1223200860.0634751</v>
      </c>
      <c r="J2597" s="472">
        <f t="shared" si="178"/>
        <v>1139317621.1221511</v>
      </c>
      <c r="K2597" s="550">
        <f>'Sollecitazioni nel paramento'!$G$60*(sezione!$AL$37-C2597)/C2597</f>
        <v>-1.8025202353811425E-3</v>
      </c>
      <c r="L2597" s="550">
        <f>'Sollecitazioni nel paramento'!$G$60*(sezione!$AM$37-C2597)/C2597</f>
        <v>-9.5378035307171357E-4</v>
      </c>
      <c r="M2597" s="551">
        <f>'Sollecitazioni nel paramento'!$G$60*(sezione!$AN$37-C2597)/C2597</f>
        <v>-1.0504047076228481E-4</v>
      </c>
      <c r="N2597" s="551">
        <f>'Sollecitazioni nel paramento'!$G$60*(sezione!$AO$37-C2597)/C2597</f>
        <v>3.2899190584754303E-3</v>
      </c>
      <c r="O2597" s="551">
        <f>'Sollecitazioni nel paramento'!$G$60*(sezione!$AP$37-C2597)/C2597</f>
        <v>3.1232097700169895E-2</v>
      </c>
      <c r="P2597" s="545">
        <f>-'Sollecitazioni nel paramento'!$G$47*'Sollecitazioni nel paramento'!$G$41*IF(DATI!$G$211="dx",DATI!$E$61,DATI!$E$64*DATI!$E$63)*1000*C2597*sezione!$AD$5</f>
        <v>-3142058.0740752281</v>
      </c>
      <c r="Q2597" s="545">
        <f>'Foglio deposito bis'!$F$88*IF(ABS(K2597)&lt;'Sollecitazioni nel paramento'!$G$58,ABS(K2597)*'Sollecitazioni nel paramento'!$G$54,'Sollecitazioni nel paramento'!$G$53)*IF(K2597&lt;0,-1,1)</f>
        <v>0</v>
      </c>
      <c r="R2597" s="545">
        <f>'Foglio deposito bis'!$F$89*IF(ABS(L2597)&lt;'Sollecitazioni nel paramento'!$G$58,ABS(L2597)*'Sollecitazioni nel paramento'!$G$54,'Sollecitazioni nel paramento'!$G$53)*IF(L2597&lt;0,-1,1)</f>
        <v>-77157.025771470639</v>
      </c>
      <c r="S2597" s="545">
        <f>'Foglio deposito bis'!$F$90*IF(ABS(M2597)&lt;'Sollecitazioni nel paramento'!$G$58,ABS(M2597)*'Sollecitazioni nel paramento'!$G$54,'Sollecitazioni nel paramento'!$G$53)*IF(M2597&lt;0,-1,1)</f>
        <v>0</v>
      </c>
      <c r="T2597" s="545">
        <f>'Foglio deposito bis'!$F$91*IF(ABS(N2597)&lt;'Sollecitazioni nel paramento'!$G$58,ABS(N2597)*'Sollecitazioni nel paramento'!$G$54,'Sollecitazioni nel paramento'!$G$53)*IF(N2597&lt;0,-1,1)</f>
        <v>892485.49558937876</v>
      </c>
      <c r="U2597" s="545">
        <f>'Foglio deposito bis'!$F$92*IF(ABS(O2597)&lt;'Sollecitazioni nel paramento'!$G$58,ABS(O2597)*'Sollecitazioni nel paramento'!$G$54,'Sollecitazioni nel paramento'!$G$53)*IF(O2597&lt;0,-1,1)</f>
        <v>1662039.1047339395</v>
      </c>
      <c r="V2597" s="472">
        <f t="shared" si="180"/>
        <v>-664690.49952338054</v>
      </c>
      <c r="W2597" s="551"/>
      <c r="X2597" s="551"/>
    </row>
    <row r="2598" spans="1:24" x14ac:dyDescent="0.25">
      <c r="A2598" s="545">
        <f t="shared" si="179"/>
        <v>758842.43827273627</v>
      </c>
      <c r="B2598" s="3">
        <f t="shared" si="182"/>
        <v>7.2999999999999918</v>
      </c>
      <c r="C2598" s="545">
        <f>'Foglio deposito bis'!$E$163/sezione!$B$247*B2598</f>
        <v>84.798455317169143</v>
      </c>
      <c r="D2598" s="603">
        <f>-'Sollecitazioni nel paramento'!$G$47*'Sollecitazioni nel paramento'!$G$41*IF(DATI!$G$211="dx",DATI!$E$61,DATI!$E$64*DATI!$E$63)*1000*C2598^2*sezione!$AD$5*(1-sezione!$AD$6)</f>
        <v>-159985089.10607031</v>
      </c>
      <c r="E2598" s="545">
        <f>-'Foglio deposito bis'!$F$88*(C2598-sezione!$AL$37)*IF(ABS(K2598)&lt;'Sollecitazioni nel paramento'!$G$58,ABS(K2598)*'Sollecitazioni nel paramento'!$G$54,'Sollecitazioni nel paramento'!$G$53)</f>
        <v>0</v>
      </c>
      <c r="F2598" s="545">
        <f>-'Foglio deposito bis'!$F$89*(C2598-sezione!$AM$37)*IF(ABS(L2598)&lt;'Sollecitazioni nel paramento'!$G$58,ABS(L2598)*'Sollecitazioni nel paramento'!$G$54,'Sollecitazioni nel paramento'!$G$53)</f>
        <v>-2053319.2019902368</v>
      </c>
      <c r="G2598" s="545">
        <f>-'Foglio deposito bis'!$F$90*(C2598-sezione!$AN$37)*IF(ABS(M2598)&lt;'Sollecitazioni nel paramento'!$G$58,ABS(M2598)*'Sollecitazioni nel paramento'!$G$54,'Sollecitazioni nel paramento'!$G$53)</f>
        <v>0</v>
      </c>
      <c r="H2598" s="545">
        <f>-'Foglio deposito bis'!$F$91*(C2598-sezione!$AO$37)*IF(ABS(N2598)&lt;'Sollecitazioni nel paramento'!$G$58,ABS(N2598)*'Sollecitazioni nel paramento'!$G$54,'Sollecitazioni nel paramento'!$G$53)</f>
        <v>67116287.875343114</v>
      </c>
      <c r="I2598" s="472">
        <f>-'Foglio deposito bis'!$F$92*(C2598-sezione!$AP$37)*IF(ABS(O2598)&lt;'Sollecitazioni nel paramento'!$G$58,ABS(O2598)*'Sollecitazioni nel paramento'!$G$54,'Sollecitazioni nel paramento'!$G$53)</f>
        <v>1219339535.4399638</v>
      </c>
      <c r="J2598" s="472">
        <f t="shared" si="178"/>
        <v>1124417415.0072465</v>
      </c>
      <c r="K2598" s="550">
        <f>'Sollecitazioni nel paramento'!$G$60*(sezione!$AL$37-C2598)/C2598</f>
        <v>-1.8490265303022072E-3</v>
      </c>
      <c r="L2598" s="550">
        <f>'Sollecitazioni nel paramento'!$G$60*(sezione!$AM$37-C2598)/C2598</f>
        <v>-1.0235397954533106E-3</v>
      </c>
      <c r="M2598" s="551">
        <f>'Sollecitazioni nel paramento'!$G$60*(sezione!$AN$37-C2598)/C2598</f>
        <v>-1.980530606044141E-4</v>
      </c>
      <c r="N2598" s="551">
        <f>'Sollecitazioni nel paramento'!$G$60*(sezione!$AO$37-C2598)/C2598</f>
        <v>3.1038938787911721E-3</v>
      </c>
      <c r="O2598" s="551">
        <f>'Sollecitazioni nel paramento'!$G$60*(sezione!$AP$37-C2598)/C2598</f>
        <v>3.0280533379617294E-2</v>
      </c>
      <c r="P2598" s="545">
        <f>-'Sollecitazioni nel paramento'!$G$47*'Sollecitazioni nel paramento'!$G$41*IF(DATI!$G$211="dx",DATI!$E$61,DATI!$E$64*DATI!$E$63)*1000*C2598*sezione!$AD$5</f>
        <v>-3230566.752218192</v>
      </c>
      <c r="Q2598" s="545">
        <f>'Foglio deposito bis'!$F$88*IF(ABS(K2598)&lt;'Sollecitazioni nel paramento'!$G$58,ABS(K2598)*'Sollecitazioni nel paramento'!$G$54,'Sollecitazioni nel paramento'!$G$53)*IF(K2598&lt;0,-1,1)</f>
        <v>0</v>
      </c>
      <c r="R2598" s="545">
        <f>'Foglio deposito bis'!$F$89*IF(ABS(L2598)&lt;'Sollecitazioni nel paramento'!$G$58,ABS(L2598)*'Sollecitazioni nel paramento'!$G$54,'Sollecitazioni nel paramento'!$G$53)*IF(L2598&lt;0,-1,1)</f>
        <v>-82800.286377862692</v>
      </c>
      <c r="S2598" s="545">
        <f>'Foglio deposito bis'!$F$90*IF(ABS(M2598)&lt;'Sollecitazioni nel paramento'!$G$58,ABS(M2598)*'Sollecitazioni nel paramento'!$G$54,'Sollecitazioni nel paramento'!$G$53)*IF(M2598&lt;0,-1,1)</f>
        <v>0</v>
      </c>
      <c r="T2598" s="545">
        <f>'Foglio deposito bis'!$F$91*IF(ABS(N2598)&lt;'Sollecitazioni nel paramento'!$G$58,ABS(N2598)*'Sollecitazioni nel paramento'!$G$54,'Sollecitazioni nel paramento'!$G$53)*IF(N2598&lt;0,-1,1)</f>
        <v>892485.49558937876</v>
      </c>
      <c r="U2598" s="545">
        <f>'Foglio deposito bis'!$F$92*IF(ABS(O2598)&lt;'Sollecitazioni nel paramento'!$G$58,ABS(O2598)*'Sollecitazioni nel paramento'!$G$54,'Sollecitazioni nel paramento'!$G$53)*IF(O2598&lt;0,-1,1)</f>
        <v>1662039.1047339395</v>
      </c>
      <c r="V2598" s="472">
        <f t="shared" si="180"/>
        <v>-758842.43827273627</v>
      </c>
      <c r="W2598" s="551"/>
      <c r="X2598" s="551"/>
    </row>
    <row r="2599" spans="1:24" x14ac:dyDescent="0.25">
      <c r="A2599" s="545">
        <f t="shared" si="179"/>
        <v>852693.40312308515</v>
      </c>
      <c r="B2599" s="3">
        <f t="shared" si="182"/>
        <v>7.499999999999992</v>
      </c>
      <c r="C2599" s="545">
        <f>'Foglio deposito bis'!$E$163/sezione!$B$247*B2599</f>
        <v>87.121700668324465</v>
      </c>
      <c r="D2599" s="603">
        <f>-'Sollecitazioni nel paramento'!$G$47*'Sollecitazioni nel paramento'!$G$41*IF(DATI!$G$211="dx",DATI!$E$61,DATI!$E$64*DATI!$E$63)*1000*C2599^2*sezione!$AD$5*(1-sezione!$AD$6)</f>
        <v>-168871481.74547669</v>
      </c>
      <c r="E2599" s="545">
        <f>-'Foglio deposito bis'!$F$88*(C2599-sezione!$AL$37)*IF(ABS(K2599)&lt;'Sollecitazioni nel paramento'!$G$58,ABS(K2599)*'Sollecitazioni nel paramento'!$G$54,'Sollecitazioni nel paramento'!$G$53)</f>
        <v>0</v>
      </c>
      <c r="F2599" s="545">
        <f>-'Foglio deposito bis'!$F$89*(C2599-sezione!$AM$37)*IF(ABS(L2599)&lt;'Sollecitazioni nel paramento'!$G$58,ABS(L2599)*'Sollecitazioni nel paramento'!$G$54,'Sollecitazioni nel paramento'!$G$53)</f>
        <v>-2390576.4833539859</v>
      </c>
      <c r="G2599" s="545">
        <f>-'Foglio deposito bis'!$F$90*(C2599-sezione!$AN$37)*IF(ABS(M2599)&lt;'Sollecitazioni nel paramento'!$G$58,ABS(M2599)*'Sollecitazioni nel paramento'!$G$54,'Sollecitazioni nel paramento'!$G$53)</f>
        <v>0</v>
      </c>
      <c r="H2599" s="545">
        <f>-'Foglio deposito bis'!$F$91*(C2599-sezione!$AO$37)*IF(ABS(N2599)&lt;'Sollecitazioni nel paramento'!$G$58,ABS(N2599)*'Sollecitazioni nel paramento'!$G$54,'Sollecitazioni nel paramento'!$G$53)</f>
        <v>65042825.096741527</v>
      </c>
      <c r="I2599" s="472">
        <f>-'Foglio deposito bis'!$F$92*(C2599-sezione!$AP$37)*IF(ABS(O2599)&lt;'Sollecitazioni nel paramento'!$G$58,ABS(O2599)*'Sollecitazioni nel paramento'!$G$54,'Sollecitazioni nel paramento'!$G$53)</f>
        <v>1215478210.8164523</v>
      </c>
      <c r="J2599" s="472">
        <f t="shared" si="178"/>
        <v>1109258977.6843631</v>
      </c>
      <c r="K2599" s="550">
        <f>'Sollecitazioni nel paramento'!$G$60*(sezione!$AL$37-C2599)/C2599</f>
        <v>-1.8930524894941482E-3</v>
      </c>
      <c r="L2599" s="550">
        <f>'Sollecitazioni nel paramento'!$G$60*(sezione!$AM$37-C2599)/C2599</f>
        <v>-1.0895787342412224E-3</v>
      </c>
      <c r="M2599" s="551">
        <f>'Sollecitazioni nel paramento'!$G$60*(sezione!$AN$37-C2599)/C2599</f>
        <v>-2.8610497898829649E-4</v>
      </c>
      <c r="N2599" s="551">
        <f>'Sollecitazioni nel paramento'!$G$60*(sezione!$AO$37-C2599)/C2599</f>
        <v>2.9277900420234073E-3</v>
      </c>
      <c r="O2599" s="551">
        <f>'Sollecitazioni nel paramento'!$G$60*(sezione!$AP$37-C2599)/C2599</f>
        <v>2.9379719156160833E-2</v>
      </c>
      <c r="P2599" s="545">
        <f>-'Sollecitazioni nel paramento'!$G$47*'Sollecitazioni nel paramento'!$G$41*IF(DATI!$G$211="dx",DATI!$E$61,DATI!$E$64*DATI!$E$63)*1000*C2599*sezione!$AD$5</f>
        <v>-3319075.4303611564</v>
      </c>
      <c r="Q2599" s="545">
        <f>'Foglio deposito bis'!$F$88*IF(ABS(K2599)&lt;'Sollecitazioni nel paramento'!$G$58,ABS(K2599)*'Sollecitazioni nel paramento'!$G$54,'Sollecitazioni nel paramento'!$G$53)*IF(K2599&lt;0,-1,1)</f>
        <v>0</v>
      </c>
      <c r="R2599" s="545">
        <f>'Foglio deposito bis'!$F$89*IF(ABS(L2599)&lt;'Sollecitazioni nel paramento'!$G$58,ABS(L2599)*'Sollecitazioni nel paramento'!$G$54,'Sollecitazioni nel paramento'!$G$53)*IF(L2599&lt;0,-1,1)</f>
        <v>-88142.573085247161</v>
      </c>
      <c r="S2599" s="545">
        <f>'Foglio deposito bis'!$F$90*IF(ABS(M2599)&lt;'Sollecitazioni nel paramento'!$G$58,ABS(M2599)*'Sollecitazioni nel paramento'!$G$54,'Sollecitazioni nel paramento'!$G$53)*IF(M2599&lt;0,-1,1)</f>
        <v>0</v>
      </c>
      <c r="T2599" s="545">
        <f>'Foglio deposito bis'!$F$91*IF(ABS(N2599)&lt;'Sollecitazioni nel paramento'!$G$58,ABS(N2599)*'Sollecitazioni nel paramento'!$G$54,'Sollecitazioni nel paramento'!$G$53)*IF(N2599&lt;0,-1,1)</f>
        <v>892485.49558937876</v>
      </c>
      <c r="U2599" s="545">
        <f>'Foglio deposito bis'!$F$92*IF(ABS(O2599)&lt;'Sollecitazioni nel paramento'!$G$58,ABS(O2599)*'Sollecitazioni nel paramento'!$G$54,'Sollecitazioni nel paramento'!$G$53)*IF(O2599&lt;0,-1,1)</f>
        <v>1662039.1047339395</v>
      </c>
      <c r="V2599" s="472">
        <f t="shared" si="180"/>
        <v>-852693.40312308515</v>
      </c>
      <c r="W2599" s="551"/>
      <c r="X2599" s="551"/>
    </row>
    <row r="2600" spans="1:24" x14ac:dyDescent="0.25">
      <c r="A2600" s="545">
        <f t="shared" si="179"/>
        <v>946266.84658603813</v>
      </c>
      <c r="B2600" s="3">
        <f t="shared" si="182"/>
        <v>7.6999999999999922</v>
      </c>
      <c r="C2600" s="545">
        <f>'Foglio deposito bis'!$E$163/sezione!$B$247*B2600</f>
        <v>89.444946019479801</v>
      </c>
      <c r="D2600" s="603">
        <f>-'Sollecitazioni nel paramento'!$G$47*'Sollecitazioni nel paramento'!$G$41*IF(DATI!$G$211="dx",DATI!$E$61,DATI!$E$64*DATI!$E$63)*1000*C2600^2*sezione!$AD$5*(1-sezione!$AD$6)</f>
        <v>-177998047.15892121</v>
      </c>
      <c r="E2600" s="545">
        <f>-'Foglio deposito bis'!$F$88*(C2600-sezione!$AL$37)*IF(ABS(K2600)&lt;'Sollecitazioni nel paramento'!$G$58,ABS(K2600)*'Sollecitazioni nel paramento'!$G$54,'Sollecitazioni nel paramento'!$G$53)</f>
        <v>0</v>
      </c>
      <c r="F2600" s="545">
        <f>-'Foglio deposito bis'!$F$89*(C2600-sezione!$AM$37)*IF(ABS(L2600)&lt;'Sollecitazioni nel paramento'!$G$58,ABS(L2600)*'Sollecitazioni nel paramento'!$G$54,'Sollecitazioni nel paramento'!$G$53)</f>
        <v>-2744485.0479615331</v>
      </c>
      <c r="G2600" s="545">
        <f>-'Foglio deposito bis'!$F$90*(C2600-sezione!$AN$37)*IF(ABS(M2600)&lt;'Sollecitazioni nel paramento'!$G$58,ABS(M2600)*'Sollecitazioni nel paramento'!$G$54,'Sollecitazioni nel paramento'!$G$53)</f>
        <v>0</v>
      </c>
      <c r="H2600" s="545">
        <f>-'Foglio deposito bis'!$F$91*(C2600-sezione!$AO$37)*IF(ABS(N2600)&lt;'Sollecitazioni nel paramento'!$G$58,ABS(N2600)*'Sollecitazioni nel paramento'!$G$54,'Sollecitazioni nel paramento'!$G$53)</f>
        <v>62969362.318139948</v>
      </c>
      <c r="I2600" s="472">
        <f>-'Foglio deposito bis'!$F$92*(C2600-sezione!$AP$37)*IF(ABS(O2600)&lt;'Sollecitazioni nel paramento'!$G$58,ABS(O2600)*'Sollecitazioni nel paramento'!$G$54,'Sollecitazioni nel paramento'!$G$53)</f>
        <v>1211616886.192941</v>
      </c>
      <c r="J2600" s="472">
        <f t="shared" si="178"/>
        <v>1093843716.3041983</v>
      </c>
      <c r="K2600" s="550">
        <f>'Sollecitazioni nel paramento'!$G$60*(sezione!$AL$37-C2600)/C2600</f>
        <v>-1.9347913858709241E-3</v>
      </c>
      <c r="L2600" s="550">
        <f>'Sollecitazioni nel paramento'!$G$60*(sezione!$AM$37-C2600)/C2600</f>
        <v>-1.1521870788063859E-3</v>
      </c>
      <c r="M2600" s="551">
        <f>'Sollecitazioni nel paramento'!$G$60*(sezione!$AN$37-C2600)/C2600</f>
        <v>-3.6958277174184781E-4</v>
      </c>
      <c r="N2600" s="551">
        <f>'Sollecitazioni nel paramento'!$G$60*(sezione!$AO$37-C2600)/C2600</f>
        <v>2.7608344565163046E-3</v>
      </c>
      <c r="O2600" s="551">
        <f>'Sollecitazioni nel paramento'!$G$60*(sezione!$AP$37-C2600)/C2600</f>
        <v>2.852570047678003E-2</v>
      </c>
      <c r="P2600" s="545">
        <f>-'Sollecitazioni nel paramento'!$G$47*'Sollecitazioni nel paramento'!$G$41*IF(DATI!$G$211="dx",DATI!$E$61,DATI!$E$64*DATI!$E$63)*1000*C2600*sezione!$AD$5</f>
        <v>-3407584.1085041212</v>
      </c>
      <c r="Q2600" s="545">
        <f>'Foglio deposito bis'!$F$88*IF(ABS(K2600)&lt;'Sollecitazioni nel paramento'!$G$58,ABS(K2600)*'Sollecitazioni nel paramento'!$G$54,'Sollecitazioni nel paramento'!$G$53)*IF(K2600&lt;0,-1,1)</f>
        <v>0</v>
      </c>
      <c r="R2600" s="545">
        <f>'Foglio deposito bis'!$F$89*IF(ABS(L2600)&lt;'Sollecitazioni nel paramento'!$G$58,ABS(L2600)*'Sollecitazioni nel paramento'!$G$54,'Sollecitazioni nel paramento'!$G$53)*IF(L2600&lt;0,-1,1)</f>
        <v>-93207.338405235059</v>
      </c>
      <c r="S2600" s="545">
        <f>'Foglio deposito bis'!$F$90*IF(ABS(M2600)&lt;'Sollecitazioni nel paramento'!$G$58,ABS(M2600)*'Sollecitazioni nel paramento'!$G$54,'Sollecitazioni nel paramento'!$G$53)*IF(M2600&lt;0,-1,1)</f>
        <v>0</v>
      </c>
      <c r="T2600" s="545">
        <f>'Foglio deposito bis'!$F$91*IF(ABS(N2600)&lt;'Sollecitazioni nel paramento'!$G$58,ABS(N2600)*'Sollecitazioni nel paramento'!$G$54,'Sollecitazioni nel paramento'!$G$53)*IF(N2600&lt;0,-1,1)</f>
        <v>892485.49558937876</v>
      </c>
      <c r="U2600" s="545">
        <f>'Foglio deposito bis'!$F$92*IF(ABS(O2600)&lt;'Sollecitazioni nel paramento'!$G$58,ABS(O2600)*'Sollecitazioni nel paramento'!$G$54,'Sollecitazioni nel paramento'!$G$53)*IF(O2600&lt;0,-1,1)</f>
        <v>1662039.1047339395</v>
      </c>
      <c r="V2600" s="472">
        <f t="shared" si="180"/>
        <v>-946266.84658603813</v>
      </c>
      <c r="W2600" s="551"/>
      <c r="X2600" s="551"/>
    </row>
    <row r="2601" spans="1:24" x14ac:dyDescent="0.25">
      <c r="A2601" s="545">
        <f t="shared" si="179"/>
        <v>1039583.8462353197</v>
      </c>
      <c r="B2601" s="3">
        <f t="shared" si="182"/>
        <v>7.8999999999999924</v>
      </c>
      <c r="C2601" s="545">
        <f>'Foglio deposito bis'!$E$163/sezione!$B$247*B2601</f>
        <v>91.768191370635122</v>
      </c>
      <c r="D2601" s="603">
        <f>-'Sollecitazioni nel paramento'!$G$47*'Sollecitazioni nel paramento'!$G$41*IF(DATI!$G$211="dx",DATI!$E$61,DATI!$E$64*DATI!$E$63)*1000*C2601^2*sezione!$AD$5*(1-sezione!$AD$6)</f>
        <v>-187364785.34640366</v>
      </c>
      <c r="E2601" s="545">
        <f>-'Foglio deposito bis'!$F$88*(C2601-sezione!$AL$37)*IF(ABS(K2601)&lt;'Sollecitazioni nel paramento'!$G$58,ABS(K2601)*'Sollecitazioni nel paramento'!$G$54,'Sollecitazioni nel paramento'!$G$53)</f>
        <v>0</v>
      </c>
      <c r="F2601" s="545">
        <f>-'Foglio deposito bis'!$F$89*(C2601-sezione!$AM$37)*IF(ABS(L2601)&lt;'Sollecitazioni nel paramento'!$G$58,ABS(L2601)*'Sollecitazioni nel paramento'!$G$54,'Sollecitazioni nel paramento'!$G$53)</f>
        <v>-3113780.2413892942</v>
      </c>
      <c r="G2601" s="545">
        <f>-'Foglio deposito bis'!$F$90*(C2601-sezione!$AN$37)*IF(ABS(M2601)&lt;'Sollecitazioni nel paramento'!$G$58,ABS(M2601)*'Sollecitazioni nel paramento'!$G$54,'Sollecitazioni nel paramento'!$G$53)</f>
        <v>0</v>
      </c>
      <c r="H2601" s="545">
        <f>-'Foglio deposito bis'!$F$91*(C2601-sezione!$AO$37)*IF(ABS(N2601)&lt;'Sollecitazioni nel paramento'!$G$58,ABS(N2601)*'Sollecitazioni nel paramento'!$G$54,'Sollecitazioni nel paramento'!$G$53)</f>
        <v>60895899.539538369</v>
      </c>
      <c r="I2601" s="472">
        <f>-'Foglio deposito bis'!$F$92*(C2601-sezione!$AP$37)*IF(ABS(O2601)&lt;'Sollecitazioni nel paramento'!$G$58,ABS(O2601)*'Sollecitazioni nel paramento'!$G$54,'Sollecitazioni nel paramento'!$G$53)</f>
        <v>1207755561.5694294</v>
      </c>
      <c r="J2601" s="472">
        <f t="shared" si="178"/>
        <v>1078172895.5211749</v>
      </c>
      <c r="K2601" s="550">
        <f>'Sollecitazioni nel paramento'!$G$60*(sezione!$AL$37-C2601)/C2601</f>
        <v>-1.9744169204058372E-3</v>
      </c>
      <c r="L2601" s="550">
        <f>'Sollecitazioni nel paramento'!$G$60*(sezione!$AM$37-C2601)/C2601</f>
        <v>-1.2116253806087559E-3</v>
      </c>
      <c r="M2601" s="551">
        <f>'Sollecitazioni nel paramento'!$G$60*(sezione!$AN$37-C2601)/C2601</f>
        <v>-4.4883384081167456E-4</v>
      </c>
      <c r="N2601" s="551">
        <f>'Sollecitazioni nel paramento'!$G$60*(sezione!$AO$37-C2601)/C2601</f>
        <v>2.6023323183766512E-3</v>
      </c>
      <c r="O2601" s="551">
        <f>'Sollecitazioni nel paramento'!$G$60*(sezione!$AP$37-C2601)/C2601</f>
        <v>2.7714923249519772E-2</v>
      </c>
      <c r="P2601" s="545">
        <f>-'Sollecitazioni nel paramento'!$G$47*'Sollecitazioni nel paramento'!$G$41*IF(DATI!$G$211="dx",DATI!$E$61,DATI!$E$64*DATI!$E$63)*1000*C2601*sezione!$AD$5</f>
        <v>-3496092.7866470856</v>
      </c>
      <c r="Q2601" s="545">
        <f>'Foglio deposito bis'!$F$88*IF(ABS(K2601)&lt;'Sollecitazioni nel paramento'!$G$58,ABS(K2601)*'Sollecitazioni nel paramento'!$G$54,'Sollecitazioni nel paramento'!$G$53)*IF(K2601&lt;0,-1,1)</f>
        <v>0</v>
      </c>
      <c r="R2601" s="545">
        <f>'Foglio deposito bis'!$F$89*IF(ABS(L2601)&lt;'Sollecitazioni nel paramento'!$G$58,ABS(L2601)*'Sollecitazioni nel paramento'!$G$54,'Sollecitazioni nel paramento'!$G$53)*IF(L2601&lt;0,-1,1)</f>
        <v>-98015.659911552662</v>
      </c>
      <c r="S2601" s="545">
        <f>'Foglio deposito bis'!$F$90*IF(ABS(M2601)&lt;'Sollecitazioni nel paramento'!$G$58,ABS(M2601)*'Sollecitazioni nel paramento'!$G$54,'Sollecitazioni nel paramento'!$G$53)*IF(M2601&lt;0,-1,1)</f>
        <v>0</v>
      </c>
      <c r="T2601" s="545">
        <f>'Foglio deposito bis'!$F$91*IF(ABS(N2601)&lt;'Sollecitazioni nel paramento'!$G$58,ABS(N2601)*'Sollecitazioni nel paramento'!$G$54,'Sollecitazioni nel paramento'!$G$53)*IF(N2601&lt;0,-1,1)</f>
        <v>892485.49558937876</v>
      </c>
      <c r="U2601" s="545">
        <f>'Foglio deposito bis'!$F$92*IF(ABS(O2601)&lt;'Sollecitazioni nel paramento'!$G$58,ABS(O2601)*'Sollecitazioni nel paramento'!$G$54,'Sollecitazioni nel paramento'!$G$53)*IF(O2601&lt;0,-1,1)</f>
        <v>1662039.1047339395</v>
      </c>
      <c r="V2601" s="472">
        <f t="shared" si="180"/>
        <v>-1039583.8462353197</v>
      </c>
      <c r="W2601" s="551"/>
      <c r="X2601" s="551"/>
    </row>
    <row r="2602" spans="1:24" x14ac:dyDescent="0.25">
      <c r="A2602" s="545">
        <f t="shared" si="179"/>
        <v>1132663.3979089812</v>
      </c>
      <c r="B2602" s="3">
        <f t="shared" si="182"/>
        <v>8.0999999999999925</v>
      </c>
      <c r="C2602" s="545">
        <f>'Foglio deposito bis'!$E$163/sezione!$B$247*B2602</f>
        <v>94.091436721790444</v>
      </c>
      <c r="D2602" s="603">
        <f>-'Sollecitazioni nel paramento'!$G$47*'Sollecitazioni nel paramento'!$G$41*IF(DATI!$G$211="dx",DATI!$E$61,DATI!$E$64*DATI!$E$63)*1000*C2602^2*sezione!$AD$5*(1-sezione!$AD$6)</f>
        <v>-196971696.30792412</v>
      </c>
      <c r="E2602" s="545">
        <f>-'Foglio deposito bis'!$F$88*(C2602-sezione!$AL$37)*IF(ABS(K2602)&lt;'Sollecitazioni nel paramento'!$G$58,ABS(K2602)*'Sollecitazioni nel paramento'!$G$54,'Sollecitazioni nel paramento'!$G$53)</f>
        <v>0</v>
      </c>
      <c r="F2602" s="545">
        <f>-'Foglio deposito bis'!$F$89*(C2602-sezione!$AM$37)*IF(ABS(L2602)&lt;'Sollecitazioni nel paramento'!$G$58,ABS(L2602)*'Sollecitazioni nel paramento'!$G$54,'Sollecitazioni nel paramento'!$G$53)</f>
        <v>-3497322.3133542924</v>
      </c>
      <c r="G2602" s="545">
        <f>-'Foglio deposito bis'!$F$90*(C2602-sezione!$AN$37)*IF(ABS(M2602)&lt;'Sollecitazioni nel paramento'!$G$58,ABS(M2602)*'Sollecitazioni nel paramento'!$G$54,'Sollecitazioni nel paramento'!$G$53)</f>
        <v>0</v>
      </c>
      <c r="H2602" s="545">
        <f>-'Foglio deposito bis'!$F$91*(C2602-sezione!$AO$37)*IF(ABS(N2602)&lt;'Sollecitazioni nel paramento'!$G$58,ABS(N2602)*'Sollecitazioni nel paramento'!$G$54,'Sollecitazioni nel paramento'!$G$53)</f>
        <v>58822436.760936782</v>
      </c>
      <c r="I2602" s="472">
        <f>-'Foglio deposito bis'!$F$92*(C2602-sezione!$AP$37)*IF(ABS(O2602)&lt;'Sollecitazioni nel paramento'!$G$58,ABS(O2602)*'Sollecitazioni nel paramento'!$G$54,'Sollecitazioni nel paramento'!$G$53)</f>
        <v>1203894236.9459178</v>
      </c>
      <c r="J2602" s="472">
        <f t="shared" si="178"/>
        <v>1062247655.0855763</v>
      </c>
      <c r="K2602" s="550">
        <f>'Sollecitazioni nel paramento'!$G$60*(sezione!$AL$37-C2602)/C2602</f>
        <v>-2.0120856384205081E-3</v>
      </c>
      <c r="L2602" s="550">
        <f>'Sollecitazioni nel paramento'!$G$60*(sezione!$AM$37-C2602)/C2602</f>
        <v>-1.2681284576307619E-3</v>
      </c>
      <c r="M2602" s="551">
        <f>'Sollecitazioni nel paramento'!$G$60*(sezione!$AN$37-C2602)/C2602</f>
        <v>-5.2417127684101597E-4</v>
      </c>
      <c r="N2602" s="551">
        <f>'Sollecitazioni nel paramento'!$G$60*(sezione!$AO$37-C2602)/C2602</f>
        <v>2.4516574463179681E-3</v>
      </c>
      <c r="O2602" s="551">
        <f>'Sollecitazioni nel paramento'!$G$60*(sezione!$AP$37-C2602)/C2602</f>
        <v>2.6944184403852614E-2</v>
      </c>
      <c r="P2602" s="545">
        <f>-'Sollecitazioni nel paramento'!$G$47*'Sollecitazioni nel paramento'!$G$41*IF(DATI!$G$211="dx",DATI!$E$61,DATI!$E$64*DATI!$E$63)*1000*C2602*sezione!$AD$5</f>
        <v>-3584601.4647900499</v>
      </c>
      <c r="Q2602" s="545">
        <f>'Foglio deposito bis'!$F$88*IF(ABS(K2602)&lt;'Sollecitazioni nel paramento'!$G$58,ABS(K2602)*'Sollecitazioni nel paramento'!$G$54,'Sollecitazioni nel paramento'!$G$53)*IF(K2602&lt;0,-1,1)</f>
        <v>0</v>
      </c>
      <c r="R2602" s="545">
        <f>'Foglio deposito bis'!$F$89*IF(ABS(L2602)&lt;'Sollecitazioni nel paramento'!$G$58,ABS(L2602)*'Sollecitazioni nel paramento'!$G$54,'Sollecitazioni nel paramento'!$G$53)*IF(L2602&lt;0,-1,1)</f>
        <v>-102586.53344224962</v>
      </c>
      <c r="S2602" s="545">
        <f>'Foglio deposito bis'!$F$90*IF(ABS(M2602)&lt;'Sollecitazioni nel paramento'!$G$58,ABS(M2602)*'Sollecitazioni nel paramento'!$G$54,'Sollecitazioni nel paramento'!$G$53)*IF(M2602&lt;0,-1,1)</f>
        <v>0</v>
      </c>
      <c r="T2602" s="545">
        <f>'Foglio deposito bis'!$F$91*IF(ABS(N2602)&lt;'Sollecitazioni nel paramento'!$G$58,ABS(N2602)*'Sollecitazioni nel paramento'!$G$54,'Sollecitazioni nel paramento'!$G$53)*IF(N2602&lt;0,-1,1)</f>
        <v>892485.49558937876</v>
      </c>
      <c r="U2602" s="545">
        <f>'Foglio deposito bis'!$F$92*IF(ABS(O2602)&lt;'Sollecitazioni nel paramento'!$G$58,ABS(O2602)*'Sollecitazioni nel paramento'!$G$54,'Sollecitazioni nel paramento'!$G$53)*IF(O2602&lt;0,-1,1)</f>
        <v>1662039.1047339395</v>
      </c>
      <c r="V2602" s="472">
        <f t="shared" si="180"/>
        <v>-1132663.3979089812</v>
      </c>
      <c r="W2602" s="551"/>
      <c r="X2602" s="551"/>
    </row>
    <row r="2603" spans="1:24" x14ac:dyDescent="0.25">
      <c r="A2603" s="545">
        <f t="shared" si="179"/>
        <v>1225522.6665209217</v>
      </c>
      <c r="B2603" s="3">
        <f t="shared" si="182"/>
        <v>8.2999999999999918</v>
      </c>
      <c r="C2603" s="545">
        <f>'Foglio deposito bis'!$E$163/sezione!$B$247*B2603</f>
        <v>96.414682072945752</v>
      </c>
      <c r="D2603" s="603">
        <f>-'Sollecitazioni nel paramento'!$G$47*'Sollecitazioni nel paramento'!$G$41*IF(DATI!$G$211="dx",DATI!$E$61,DATI!$E$64*DATI!$E$63)*1000*C2603^2*sezione!$AD$5*(1-sezione!$AD$6)</f>
        <v>-206818780.04348257</v>
      </c>
      <c r="E2603" s="545">
        <f>-'Foglio deposito bis'!$F$88*(C2603-sezione!$AL$37)*IF(ABS(K2603)&lt;'Sollecitazioni nel paramento'!$G$58,ABS(K2603)*'Sollecitazioni nel paramento'!$G$54,'Sollecitazioni nel paramento'!$G$53)</f>
        <v>0</v>
      </c>
      <c r="F2603" s="545">
        <f>-'Foglio deposito bis'!$F$89*(C2603-sezione!$AM$37)*IF(ABS(L2603)&lt;'Sollecitazioni nel paramento'!$G$58,ABS(L2603)*'Sollecitazioni nel paramento'!$G$54,'Sollecitazioni nel paramento'!$G$53)</f>
        <v>-3894081.3690225091</v>
      </c>
      <c r="G2603" s="545">
        <f>-'Foglio deposito bis'!$F$90*(C2603-sezione!$AN$37)*IF(ABS(M2603)&lt;'Sollecitazioni nel paramento'!$G$58,ABS(M2603)*'Sollecitazioni nel paramento'!$G$54,'Sollecitazioni nel paramento'!$G$53)</f>
        <v>0</v>
      </c>
      <c r="H2603" s="545">
        <f>-'Foglio deposito bis'!$F$91*(C2603-sezione!$AO$37)*IF(ABS(N2603)&lt;'Sollecitazioni nel paramento'!$G$58,ABS(N2603)*'Sollecitazioni nel paramento'!$G$54,'Sollecitazioni nel paramento'!$G$53)</f>
        <v>56748973.982335225</v>
      </c>
      <c r="I2603" s="472">
        <f>-'Foglio deposito bis'!$F$92*(C2603-sezione!$AP$37)*IF(ABS(O2603)&lt;'Sollecitazioni nel paramento'!$G$58,ABS(O2603)*'Sollecitazioni nel paramento'!$G$54,'Sollecitazioni nel paramento'!$G$53)</f>
        <v>1200032912.3224063</v>
      </c>
      <c r="J2603" s="472">
        <f t="shared" si="178"/>
        <v>1046069024.8922365</v>
      </c>
      <c r="K2603" s="550">
        <f>'Sollecitazioni nel paramento'!$G$60*(sezione!$AL$37-C2603)/C2603</f>
        <v>-2.047938996530857E-3</v>
      </c>
      <c r="L2603" s="550">
        <f>'Sollecitazioni nel paramento'!$G$60*(sezione!$AM$37-C2603)/C2603</f>
        <v>-1.3219084947962854E-3</v>
      </c>
      <c r="M2603" s="551">
        <f>'Sollecitazioni nel paramento'!$G$60*(sezione!$AN$37-C2603)/C2603</f>
        <v>-5.95877993061714E-4</v>
      </c>
      <c r="N2603" s="551">
        <f>'Sollecitazioni nel paramento'!$G$60*(sezione!$AO$37-C2603)/C2603</f>
        <v>2.3082440138765719E-3</v>
      </c>
      <c r="O2603" s="551">
        <f>'Sollecitazioni nel paramento'!$G$60*(sezione!$AP$37-C2603)/C2603</f>
        <v>2.6210589598940508E-2</v>
      </c>
      <c r="P2603" s="545">
        <f>-'Sollecitazioni nel paramento'!$G$47*'Sollecitazioni nel paramento'!$G$41*IF(DATI!$G$211="dx",DATI!$E$61,DATI!$E$64*DATI!$E$63)*1000*C2603*sezione!$AD$5</f>
        <v>-3673110.1429330138</v>
      </c>
      <c r="Q2603" s="545">
        <f>'Foglio deposito bis'!$F$88*IF(ABS(K2603)&lt;'Sollecitazioni nel paramento'!$G$58,ABS(K2603)*'Sollecitazioni nel paramento'!$G$54,'Sollecitazioni nel paramento'!$G$53)*IF(K2603&lt;0,-1,1)</f>
        <v>0</v>
      </c>
      <c r="R2603" s="545">
        <f>'Foglio deposito bis'!$F$89*IF(ABS(L2603)&lt;'Sollecitazioni nel paramento'!$G$58,ABS(L2603)*'Sollecitazioni nel paramento'!$G$54,'Sollecitazioni nel paramento'!$G$53)*IF(L2603&lt;0,-1,1)</f>
        <v>-106937.12391122626</v>
      </c>
      <c r="S2603" s="545">
        <f>'Foglio deposito bis'!$F$90*IF(ABS(M2603)&lt;'Sollecitazioni nel paramento'!$G$58,ABS(M2603)*'Sollecitazioni nel paramento'!$G$54,'Sollecitazioni nel paramento'!$G$53)*IF(M2603&lt;0,-1,1)</f>
        <v>0</v>
      </c>
      <c r="T2603" s="545">
        <f>'Foglio deposito bis'!$F$91*IF(ABS(N2603)&lt;'Sollecitazioni nel paramento'!$G$58,ABS(N2603)*'Sollecitazioni nel paramento'!$G$54,'Sollecitazioni nel paramento'!$G$53)*IF(N2603&lt;0,-1,1)</f>
        <v>892485.49558937876</v>
      </c>
      <c r="U2603" s="545">
        <f>'Foglio deposito bis'!$F$92*IF(ABS(O2603)&lt;'Sollecitazioni nel paramento'!$G$58,ABS(O2603)*'Sollecitazioni nel paramento'!$G$54,'Sollecitazioni nel paramento'!$G$53)*IF(O2603&lt;0,-1,1)</f>
        <v>1662039.1047339395</v>
      </c>
      <c r="V2603" s="472">
        <f t="shared" si="180"/>
        <v>-1225522.6665209217</v>
      </c>
      <c r="W2603" s="551"/>
      <c r="X2603" s="551"/>
    </row>
    <row r="2604" spans="1:24" x14ac:dyDescent="0.25">
      <c r="A2604" s="545">
        <f t="shared" si="179"/>
        <v>1318177.201463734</v>
      </c>
      <c r="B2604" s="3">
        <f t="shared" si="182"/>
        <v>8.4999999999999911</v>
      </c>
      <c r="C2604" s="545">
        <f>'Foglio deposito bis'!$E$163/sezione!$B$247*B2604</f>
        <v>98.737927424101073</v>
      </c>
      <c r="D2604" s="603">
        <f>-'Sollecitazioni nel paramento'!$G$47*'Sollecitazioni nel paramento'!$G$41*IF(DATI!$G$211="dx",DATI!$E$61,DATI!$E$64*DATI!$E$63)*1000*C2604^2*sezione!$AD$5*(1-sezione!$AD$6)</f>
        <v>-216906036.55307901</v>
      </c>
      <c r="E2604" s="545">
        <f>-'Foglio deposito bis'!$F$88*(C2604-sezione!$AL$37)*IF(ABS(K2604)&lt;'Sollecitazioni nel paramento'!$G$58,ABS(K2604)*'Sollecitazioni nel paramento'!$G$54,'Sollecitazioni nel paramento'!$G$53)</f>
        <v>0</v>
      </c>
      <c r="F2604" s="545">
        <f>-'Foglio deposito bis'!$F$89*(C2604-sezione!$AM$37)*IF(ABS(L2604)&lt;'Sollecitazioni nel paramento'!$G$58,ABS(L2604)*'Sollecitazioni nel paramento'!$G$54,'Sollecitazioni nel paramento'!$G$53)</f>
        <v>-4303124.444838427</v>
      </c>
      <c r="G2604" s="545">
        <f>-'Foglio deposito bis'!$F$90*(C2604-sezione!$AN$37)*IF(ABS(M2604)&lt;'Sollecitazioni nel paramento'!$G$58,ABS(M2604)*'Sollecitazioni nel paramento'!$G$54,'Sollecitazioni nel paramento'!$G$53)</f>
        <v>0</v>
      </c>
      <c r="H2604" s="545">
        <f>-'Foglio deposito bis'!$F$91*(C2604-sezione!$AO$37)*IF(ABS(N2604)&lt;'Sollecitazioni nel paramento'!$G$58,ABS(N2604)*'Sollecitazioni nel paramento'!$G$54,'Sollecitazioni nel paramento'!$G$53)</f>
        <v>54675511.203733645</v>
      </c>
      <c r="I2604" s="472">
        <f>-'Foglio deposito bis'!$F$92*(C2604-sezione!$AP$37)*IF(ABS(O2604)&lt;'Sollecitazioni nel paramento'!$G$58,ABS(O2604)*'Sollecitazioni nel paramento'!$G$54,'Sollecitazioni nel paramento'!$G$53)</f>
        <v>1196171587.698895</v>
      </c>
      <c r="J2604" s="472">
        <f t="shared" si="178"/>
        <v>1029637937.9047112</v>
      </c>
      <c r="K2604" s="550">
        <f>'Sollecitazioni nel paramento'!$G$60*(sezione!$AL$37-C2604)/C2604</f>
        <v>-2.0821051377889546E-3</v>
      </c>
      <c r="L2604" s="550">
        <f>'Sollecitazioni nel paramento'!$G$60*(sezione!$AM$37-C2604)/C2604</f>
        <v>-1.3731577066834319E-3</v>
      </c>
      <c r="M2604" s="551">
        <f>'Sollecitazioni nel paramento'!$G$60*(sezione!$AN$37-C2604)/C2604</f>
        <v>-6.6421027557790906E-4</v>
      </c>
      <c r="N2604" s="551">
        <f>'Sollecitazioni nel paramento'!$G$60*(sezione!$AO$37-C2604)/C2604</f>
        <v>2.1715794488441817E-3</v>
      </c>
      <c r="O2604" s="551">
        <f>'Sollecitazioni nel paramento'!$G$60*(sezione!$AP$37-C2604)/C2604</f>
        <v>2.5511516902494848E-2</v>
      </c>
      <c r="P2604" s="545">
        <f>-'Sollecitazioni nel paramento'!$G$47*'Sollecitazioni nel paramento'!$G$41*IF(DATI!$G$211="dx",DATI!$E$61,DATI!$E$64*DATI!$E$63)*1000*C2604*sezione!$AD$5</f>
        <v>-3761618.8210759778</v>
      </c>
      <c r="Q2604" s="545">
        <f>'Foglio deposito bis'!$F$88*IF(ABS(K2604)&lt;'Sollecitazioni nel paramento'!$G$58,ABS(K2604)*'Sollecitazioni nel paramento'!$G$54,'Sollecitazioni nel paramento'!$G$53)*IF(K2604&lt;0,-1,1)</f>
        <v>0</v>
      </c>
      <c r="R2604" s="545">
        <f>'Foglio deposito bis'!$F$89*IF(ABS(L2604)&lt;'Sollecitazioni nel paramento'!$G$58,ABS(L2604)*'Sollecitazioni nel paramento'!$G$54,'Sollecitazioni nel paramento'!$G$53)*IF(L2604&lt;0,-1,1)</f>
        <v>-111082.98071107459</v>
      </c>
      <c r="S2604" s="545">
        <f>'Foglio deposito bis'!$F$90*IF(ABS(M2604)&lt;'Sollecitazioni nel paramento'!$G$58,ABS(M2604)*'Sollecitazioni nel paramento'!$G$54,'Sollecitazioni nel paramento'!$G$53)*IF(M2604&lt;0,-1,1)</f>
        <v>0</v>
      </c>
      <c r="T2604" s="545">
        <f>'Foglio deposito bis'!$F$91*IF(ABS(N2604)&lt;'Sollecitazioni nel paramento'!$G$58,ABS(N2604)*'Sollecitazioni nel paramento'!$G$54,'Sollecitazioni nel paramento'!$G$53)*IF(N2604&lt;0,-1,1)</f>
        <v>892485.49558937876</v>
      </c>
      <c r="U2604" s="545">
        <f>'Foglio deposito bis'!$F$92*IF(ABS(O2604)&lt;'Sollecitazioni nel paramento'!$G$58,ABS(O2604)*'Sollecitazioni nel paramento'!$G$54,'Sollecitazioni nel paramento'!$G$53)*IF(O2604&lt;0,-1,1)</f>
        <v>1662039.1047339395</v>
      </c>
      <c r="V2604" s="472">
        <f t="shared" si="180"/>
        <v>-1318177.201463734</v>
      </c>
      <c r="W2604" s="551"/>
      <c r="X2604" s="551"/>
    </row>
    <row r="2605" spans="1:24" x14ac:dyDescent="0.25">
      <c r="A2605" s="545">
        <f t="shared" si="179"/>
        <v>1410641.1223008058</v>
      </c>
      <c r="B2605" s="3">
        <f t="shared" si="182"/>
        <v>8.6999999999999904</v>
      </c>
      <c r="C2605" s="545">
        <f>'Foglio deposito bis'!$E$163/sezione!$B$247*B2605</f>
        <v>101.06117277525638</v>
      </c>
      <c r="D2605" s="603">
        <f>-'Sollecitazioni nel paramento'!$G$47*'Sollecitazioni nel paramento'!$G$41*IF(DATI!$G$211="dx",DATI!$E$61,DATI!$E$64*DATI!$E$63)*1000*C2605^2*sezione!$AD$5*(1-sezione!$AD$6)</f>
        <v>-227233465.83671349</v>
      </c>
      <c r="E2605" s="545">
        <f>-'Foglio deposito bis'!$F$88*(C2605-sezione!$AL$37)*IF(ABS(K2605)&lt;'Sollecitazioni nel paramento'!$G$58,ABS(K2605)*'Sollecitazioni nel paramento'!$G$54,'Sollecitazioni nel paramento'!$G$53)</f>
        <v>0</v>
      </c>
      <c r="F2605" s="545">
        <f>-'Foglio deposito bis'!$F$89*(C2605-sezione!$AM$37)*IF(ABS(L2605)&lt;'Sollecitazioni nel paramento'!$G$58,ABS(L2605)*'Sollecitazioni nel paramento'!$G$54,'Sollecitazioni nel paramento'!$G$53)</f>
        <v>-4723604.3669987498</v>
      </c>
      <c r="G2605" s="545">
        <f>-'Foglio deposito bis'!$F$90*(C2605-sezione!$AN$37)*IF(ABS(M2605)&lt;'Sollecitazioni nel paramento'!$G$58,ABS(M2605)*'Sollecitazioni nel paramento'!$G$54,'Sollecitazioni nel paramento'!$G$53)</f>
        <v>0</v>
      </c>
      <c r="H2605" s="545">
        <f>-'Foglio deposito bis'!$F$91*(C2605-sezione!$AO$37)*IF(ABS(N2605)&lt;'Sollecitazioni nel paramento'!$G$58,ABS(N2605)*'Sollecitazioni nel paramento'!$G$54,'Sollecitazioni nel paramento'!$G$53)</f>
        <v>52602048.425132081</v>
      </c>
      <c r="I2605" s="472">
        <f>-'Foglio deposito bis'!$F$92*(C2605-sezione!$AP$37)*IF(ABS(O2605)&lt;'Sollecitazioni nel paramento'!$G$58,ABS(O2605)*'Sollecitazioni nel paramento'!$G$54,'Sollecitazioni nel paramento'!$G$53)</f>
        <v>1192310263.0753834</v>
      </c>
      <c r="J2605" s="472">
        <f t="shared" si="178"/>
        <v>1012955241.2968032</v>
      </c>
      <c r="K2605" s="550">
        <f>'Sollecitazioni nel paramento'!$G$60*(sezione!$AL$37-C2605)/C2605</f>
        <v>-2.1147004219777138E-3</v>
      </c>
      <c r="L2605" s="550">
        <f>'Sollecitazioni nel paramento'!$G$60*(sezione!$AM$37-C2605)/C2605</f>
        <v>-1.4220506329665709E-3</v>
      </c>
      <c r="M2605" s="551">
        <f>'Sollecitazioni nel paramento'!$G$60*(sezione!$AN$37-C2605)/C2605</f>
        <v>-7.2940084395542806E-4</v>
      </c>
      <c r="N2605" s="551">
        <f>'Sollecitazioni nel paramento'!$G$60*(sezione!$AO$37-C2605)/C2605</f>
        <v>2.0411983120891442E-3</v>
      </c>
      <c r="O2605" s="551">
        <f>'Sollecitazioni nel paramento'!$G$60*(sezione!$AP$37-C2605)/C2605</f>
        <v>2.4844585479448993E-2</v>
      </c>
      <c r="P2605" s="545">
        <f>-'Sollecitazioni nel paramento'!$G$47*'Sollecitazioni nel paramento'!$G$41*IF(DATI!$G$211="dx",DATI!$E$61,DATI!$E$64*DATI!$E$63)*1000*C2605*sezione!$AD$5</f>
        <v>-3850127.4992189412</v>
      </c>
      <c r="Q2605" s="545">
        <f>'Foglio deposito bis'!$F$88*IF(ABS(K2605)&lt;'Sollecitazioni nel paramento'!$G$58,ABS(K2605)*'Sollecitazioni nel paramento'!$G$54,'Sollecitazioni nel paramento'!$G$53)*IF(K2605&lt;0,-1,1)</f>
        <v>0</v>
      </c>
      <c r="R2605" s="545">
        <f>'Foglio deposito bis'!$F$89*IF(ABS(L2605)&lt;'Sollecitazioni nel paramento'!$G$58,ABS(L2605)*'Sollecitazioni nel paramento'!$G$54,'Sollecitazioni nel paramento'!$G$53)*IF(L2605&lt;0,-1,1)</f>
        <v>-115038.22340518271</v>
      </c>
      <c r="S2605" s="545">
        <f>'Foglio deposito bis'!$F$90*IF(ABS(M2605)&lt;'Sollecitazioni nel paramento'!$G$58,ABS(M2605)*'Sollecitazioni nel paramento'!$G$54,'Sollecitazioni nel paramento'!$G$53)*IF(M2605&lt;0,-1,1)</f>
        <v>0</v>
      </c>
      <c r="T2605" s="545">
        <f>'Foglio deposito bis'!$F$91*IF(ABS(N2605)&lt;'Sollecitazioni nel paramento'!$G$58,ABS(N2605)*'Sollecitazioni nel paramento'!$G$54,'Sollecitazioni nel paramento'!$G$53)*IF(N2605&lt;0,-1,1)</f>
        <v>892485.49558937876</v>
      </c>
      <c r="U2605" s="545">
        <f>'Foglio deposito bis'!$F$92*IF(ABS(O2605)&lt;'Sollecitazioni nel paramento'!$G$58,ABS(O2605)*'Sollecitazioni nel paramento'!$G$54,'Sollecitazioni nel paramento'!$G$53)*IF(O2605&lt;0,-1,1)</f>
        <v>1662039.1047339395</v>
      </c>
      <c r="V2605" s="472">
        <f t="shared" si="180"/>
        <v>-1410641.1223008058</v>
      </c>
      <c r="W2605" s="551"/>
      <c r="X2605" s="551"/>
    </row>
    <row r="2606" spans="1:24" x14ac:dyDescent="0.25">
      <c r="A2606" s="545">
        <f t="shared" si="179"/>
        <v>1502927.2794212897</v>
      </c>
      <c r="B2606" s="3">
        <f t="shared" si="182"/>
        <v>8.8999999999999897</v>
      </c>
      <c r="C2606" s="545">
        <f>'Foglio deposito bis'!$E$163/sezione!$B$247*B2606</f>
        <v>103.3844181264117</v>
      </c>
      <c r="D2606" s="603">
        <f>-'Sollecitazioni nel paramento'!$G$47*'Sollecitazioni nel paramento'!$G$41*IF(DATI!$G$211="dx",DATI!$E$61,DATI!$E$64*DATI!$E$63)*1000*C2606^2*sezione!$AD$5*(1-sezione!$AD$6)</f>
        <v>-237801067.89438596</v>
      </c>
      <c r="E2606" s="545">
        <f>-'Foglio deposito bis'!$F$88*(C2606-sezione!$AL$37)*IF(ABS(K2606)&lt;'Sollecitazioni nel paramento'!$G$58,ABS(K2606)*'Sollecitazioni nel paramento'!$G$54,'Sollecitazioni nel paramento'!$G$53)</f>
        <v>0</v>
      </c>
      <c r="F2606" s="545">
        <f>-'Foglio deposito bis'!$F$89*(C2606-sezione!$AM$37)*IF(ABS(L2606)&lt;'Sollecitazioni nel paramento'!$G$58,ABS(L2606)*'Sollecitazioni nel paramento'!$G$54,'Sollecitazioni nel paramento'!$G$53)</f>
        <v>-5154750.1121544261</v>
      </c>
      <c r="G2606" s="545">
        <f>-'Foglio deposito bis'!$F$90*(C2606-sezione!$AN$37)*IF(ABS(M2606)&lt;'Sollecitazioni nel paramento'!$G$58,ABS(M2606)*'Sollecitazioni nel paramento'!$G$54,'Sollecitazioni nel paramento'!$G$53)</f>
        <v>0</v>
      </c>
      <c r="H2606" s="545">
        <f>-'Foglio deposito bis'!$F$91*(C2606-sezione!$AO$37)*IF(ABS(N2606)&lt;'Sollecitazioni nel paramento'!$G$58,ABS(N2606)*'Sollecitazioni nel paramento'!$G$54,'Sollecitazioni nel paramento'!$G$53)</f>
        <v>50528585.646530502</v>
      </c>
      <c r="I2606" s="472">
        <f>-'Foglio deposito bis'!$F$92*(C2606-sezione!$AP$37)*IF(ABS(O2606)&lt;'Sollecitazioni nel paramento'!$G$58,ABS(O2606)*'Sollecitazioni nel paramento'!$G$54,'Sollecitazioni nel paramento'!$G$53)</f>
        <v>1188448938.4518721</v>
      </c>
      <c r="J2606" s="472">
        <f t="shared" si="178"/>
        <v>996021706.0918622</v>
      </c>
      <c r="K2606" s="550">
        <f>'Sollecitazioni nel paramento'!$G$60*(sezione!$AL$37-C2606)/C2606</f>
        <v>-2.1458307495737204E-3</v>
      </c>
      <c r="L2606" s="550">
        <f>'Sollecitazioni nel paramento'!$G$60*(sezione!$AM$37-C2606)/C2606</f>
        <v>-1.4687461243605808E-3</v>
      </c>
      <c r="M2606" s="551">
        <f>'Sollecitazioni nel paramento'!$G$60*(sezione!$AN$37-C2606)/C2606</f>
        <v>-7.9166149914744108E-4</v>
      </c>
      <c r="N2606" s="551">
        <f>'Sollecitazioni nel paramento'!$G$60*(sezione!$AO$37-C2606)/C2606</f>
        <v>1.9166770017051181E-3</v>
      </c>
      <c r="O2606" s="551">
        <f>'Sollecitazioni nel paramento'!$G$60*(sezione!$AP$37-C2606)/C2606</f>
        <v>2.4207628502382728E-2</v>
      </c>
      <c r="P2606" s="545">
        <f>-'Sollecitazioni nel paramento'!$G$47*'Sollecitazioni nel paramento'!$G$41*IF(DATI!$G$211="dx",DATI!$E$61,DATI!$E$64*DATI!$E$63)*1000*C2606*sezione!$AD$5</f>
        <v>-3938636.177361906</v>
      </c>
      <c r="Q2606" s="545">
        <f>'Foglio deposito bis'!$F$88*IF(ABS(K2606)&lt;'Sollecitazioni nel paramento'!$G$58,ABS(K2606)*'Sollecitazioni nel paramento'!$G$54,'Sollecitazioni nel paramento'!$G$53)*IF(K2606&lt;0,-1,1)</f>
        <v>0</v>
      </c>
      <c r="R2606" s="545">
        <f>'Foglio deposito bis'!$F$89*IF(ABS(L2606)&lt;'Sollecitazioni nel paramento'!$G$58,ABS(L2606)*'Sollecitazioni nel paramento'!$G$54,'Sollecitazioni nel paramento'!$G$53)*IF(L2606&lt;0,-1,1)</f>
        <v>-118815.70238270178</v>
      </c>
      <c r="S2606" s="545">
        <f>'Foglio deposito bis'!$F$90*IF(ABS(M2606)&lt;'Sollecitazioni nel paramento'!$G$58,ABS(M2606)*'Sollecitazioni nel paramento'!$G$54,'Sollecitazioni nel paramento'!$G$53)*IF(M2606&lt;0,-1,1)</f>
        <v>0</v>
      </c>
      <c r="T2606" s="545">
        <f>'Foglio deposito bis'!$F$91*IF(ABS(N2606)&lt;'Sollecitazioni nel paramento'!$G$58,ABS(N2606)*'Sollecitazioni nel paramento'!$G$54,'Sollecitazioni nel paramento'!$G$53)*IF(N2606&lt;0,-1,1)</f>
        <v>892485.49558937876</v>
      </c>
      <c r="U2606" s="545">
        <f>'Foglio deposito bis'!$F$92*IF(ABS(O2606)&lt;'Sollecitazioni nel paramento'!$G$58,ABS(O2606)*'Sollecitazioni nel paramento'!$G$54,'Sollecitazioni nel paramento'!$G$53)*IF(O2606&lt;0,-1,1)</f>
        <v>1662039.1047339395</v>
      </c>
      <c r="V2606" s="472">
        <f t="shared" si="180"/>
        <v>-1502927.2794212897</v>
      </c>
      <c r="W2606" s="551"/>
      <c r="X2606" s="551"/>
    </row>
    <row r="2607" spans="1:24" x14ac:dyDescent="0.25">
      <c r="A2607" s="545">
        <f t="shared" si="179"/>
        <v>1642927.5606087118</v>
      </c>
      <c r="B2607" s="3">
        <f t="shared" si="182"/>
        <v>9.099999999999989</v>
      </c>
      <c r="C2607" s="545">
        <f>'Foglio deposito bis'!$E$163/sezione!$B$247*B2607</f>
        <v>105.70766347756701</v>
      </c>
      <c r="D2607" s="603">
        <f>-'Sollecitazioni nel paramento'!$G$47*'Sollecitazioni nel paramento'!$G$41*IF(DATI!$G$211="dx",DATI!$E$61,DATI!$E$64*DATI!$E$63)*1000*C2607^2*sezione!$AD$5*(1-sezione!$AD$6)</f>
        <v>-248608842.72609642</v>
      </c>
      <c r="E2607" s="545">
        <f>-'Foglio deposito bis'!$F$88*(C2607-sezione!$AL$37)*IF(ABS(K2607)&lt;'Sollecitazioni nel paramento'!$G$58,ABS(K2607)*'Sollecitazioni nel paramento'!$G$54,'Sollecitazioni nel paramento'!$G$53)</f>
        <v>0</v>
      </c>
      <c r="F2607" s="545">
        <f>-'Foglio deposito bis'!$F$89*(C2607-sezione!$AM$37)*IF(ABS(L2607)&lt;'Sollecitazioni nel paramento'!$G$58,ABS(L2607)*'Sollecitazioni nel paramento'!$G$54,'Sollecitazioni nel paramento'!$G$53)</f>
        <v>-5595858.439228829</v>
      </c>
      <c r="G2607" s="545">
        <f>-'Foglio deposito bis'!$F$90*(C2607-sezione!$AN$37)*IF(ABS(M2607)&lt;'Sollecitazioni nel paramento'!$G$58,ABS(M2607)*'Sollecitazioni nel paramento'!$G$54,'Sollecitazioni nel paramento'!$G$53)</f>
        <v>0</v>
      </c>
      <c r="H2607" s="545">
        <f>-'Foglio deposito bis'!$F$91*(C2607-sezione!$AO$37)*IF(ABS(N2607)&lt;'Sollecitazioni nel paramento'!$G$58,ABS(N2607)*'Sollecitazioni nel paramento'!$G$54,'Sollecitazioni nel paramento'!$G$53)</f>
        <v>45855596.72304412</v>
      </c>
      <c r="I2607" s="472">
        <f>-'Foglio deposito bis'!$F$92*(C2607-sezione!$AP$37)*IF(ABS(O2607)&lt;'Sollecitazioni nel paramento'!$G$58,ABS(O2607)*'Sollecitazioni nel paramento'!$G$54,'Sollecitazioni nel paramento'!$G$53)</f>
        <v>1184587613.8283606</v>
      </c>
      <c r="J2607" s="472">
        <f t="shared" si="178"/>
        <v>976238509.38607943</v>
      </c>
      <c r="K2607" s="550">
        <f>'Sollecitazioni nel paramento'!$G$60*(sezione!$AL$37-C2607)/C2607</f>
        <v>-2.1755927111215506E-3</v>
      </c>
      <c r="L2607" s="550">
        <f>'Sollecitazioni nel paramento'!$G$60*(sezione!$AM$37-C2607)/C2607</f>
        <v>-1.5133890666823261E-3</v>
      </c>
      <c r="M2607" s="551">
        <f>'Sollecitazioni nel paramento'!$G$60*(sezione!$AN$37-C2607)/C2607</f>
        <v>-8.5118542224310134E-4</v>
      </c>
      <c r="N2607" s="551">
        <f>'Sollecitazioni nel paramento'!$G$60*(sezione!$AO$37-C2607)/C2607</f>
        <v>1.7976291555137974E-3</v>
      </c>
      <c r="O2607" s="551">
        <f>'Sollecitazioni nel paramento'!$G$60*(sezione!$AP$37-C2607)/C2607</f>
        <v>2.3598669634198492E-2</v>
      </c>
      <c r="P2607" s="545">
        <f>-'Sollecitazioni nel paramento'!$G$47*'Sollecitazioni nel paramento'!$G$41*IF(DATI!$G$211="dx",DATI!$E$61,DATI!$E$64*DATI!$E$63)*1000*C2607*sezione!$AD$5</f>
        <v>-4027144.8555048695</v>
      </c>
      <c r="Q2607" s="545">
        <f>'Foglio deposito bis'!$F$88*IF(ABS(K2607)&lt;'Sollecitazioni nel paramento'!$G$58,ABS(K2607)*'Sollecitazioni nel paramento'!$G$54,'Sollecitazioni nel paramento'!$G$53)*IF(K2607&lt;0,-1,1)</f>
        <v>0</v>
      </c>
      <c r="R2607" s="545">
        <f>'Foglio deposito bis'!$F$89*IF(ABS(L2607)&lt;'Sollecitazioni nel paramento'!$G$58,ABS(L2607)*'Sollecitazioni nel paramento'!$G$54,'Sollecitazioni nel paramento'!$G$53)*IF(L2607&lt;0,-1,1)</f>
        <v>-122427.13832824196</v>
      </c>
      <c r="S2607" s="545">
        <f>'Foglio deposito bis'!$F$90*IF(ABS(M2607)&lt;'Sollecitazioni nel paramento'!$G$58,ABS(M2607)*'Sollecitazioni nel paramento'!$G$54,'Sollecitazioni nel paramento'!$G$53)*IF(M2607&lt;0,-1,1)</f>
        <v>0</v>
      </c>
      <c r="T2607" s="545">
        <f>'Foglio deposito bis'!$F$91*IF(ABS(N2607)&lt;'Sollecitazioni nel paramento'!$G$58,ABS(N2607)*'Sollecitazioni nel paramento'!$G$54,'Sollecitazioni nel paramento'!$G$53)*IF(N2607&lt;0,-1,1)</f>
        <v>844605.32849046018</v>
      </c>
      <c r="U2607" s="545">
        <f>'Foglio deposito bis'!$F$92*IF(ABS(O2607)&lt;'Sollecitazioni nel paramento'!$G$58,ABS(O2607)*'Sollecitazioni nel paramento'!$G$54,'Sollecitazioni nel paramento'!$G$53)*IF(O2607&lt;0,-1,1)</f>
        <v>1662039.1047339395</v>
      </c>
      <c r="V2607" s="472">
        <f t="shared" si="180"/>
        <v>-1642927.5606087118</v>
      </c>
      <c r="W2607" s="551"/>
      <c r="X2607" s="551"/>
    </row>
    <row r="2608" spans="1:24" x14ac:dyDescent="0.25">
      <c r="A2608" s="545">
        <f t="shared" si="179"/>
        <v>1788420.5040466848</v>
      </c>
      <c r="B2608" s="3">
        <f t="shared" si="182"/>
        <v>9.2999999999999883</v>
      </c>
      <c r="C2608" s="545">
        <f>'Foglio deposito bis'!$E$163/sezione!$B$247*B2608</f>
        <v>108.03090882872232</v>
      </c>
      <c r="D2608" s="603">
        <f>-'Sollecitazioni nel paramento'!$G$47*'Sollecitazioni nel paramento'!$G$41*IF(DATI!$G$211="dx",DATI!$E$61,DATI!$E$64*DATI!$E$63)*1000*C2608^2*sezione!$AD$5*(1-sezione!$AD$6)</f>
        <v>-259656790.3318449</v>
      </c>
      <c r="E2608" s="545">
        <f>-'Foglio deposito bis'!$F$88*(C2608-sezione!$AL$37)*IF(ABS(K2608)&lt;'Sollecitazioni nel paramento'!$G$58,ABS(K2608)*'Sollecitazioni nel paramento'!$G$54,'Sollecitazioni nel paramento'!$G$53)</f>
        <v>0</v>
      </c>
      <c r="F2608" s="545">
        <f>-'Foglio deposito bis'!$F$89*(C2608-sezione!$AM$37)*IF(ABS(L2608)&lt;'Sollecitazioni nel paramento'!$G$58,ABS(L2608)*'Sollecitazioni nel paramento'!$G$54,'Sollecitazioni nel paramento'!$G$53)</f>
        <v>-6046286.6010014014</v>
      </c>
      <c r="G2608" s="545">
        <f>-'Foglio deposito bis'!$F$90*(C2608-sezione!$AN$37)*IF(ABS(M2608)&lt;'Sollecitazioni nel paramento'!$G$58,ABS(M2608)*'Sollecitazioni nel paramento'!$G$54,'Sollecitazioni nel paramento'!$G$53)</f>
        <v>0</v>
      </c>
      <c r="H2608" s="545">
        <f>-'Foglio deposito bis'!$F$91*(C2608-sezione!$AO$37)*IF(ABS(N2608)&lt;'Sollecitazioni nel paramento'!$G$58,ABS(N2608)*'Sollecitazioni nel paramento'!$G$54,'Sollecitazioni nel paramento'!$G$53)</f>
        <v>41111561.496550523</v>
      </c>
      <c r="I2608" s="472">
        <f>-'Foglio deposito bis'!$F$92*(C2608-sezione!$AP$37)*IF(ABS(O2608)&lt;'Sollecitazioni nel paramento'!$G$58,ABS(O2608)*'Sollecitazioni nel paramento'!$G$54,'Sollecitazioni nel paramento'!$G$53)</f>
        <v>1180726289.204849</v>
      </c>
      <c r="J2608" s="472">
        <f t="shared" si="178"/>
        <v>956134773.76855326</v>
      </c>
      <c r="K2608" s="550">
        <f>'Sollecitazioni nel paramento'!$G$60*(sezione!$AL$37-C2608)/C2608</f>
        <v>-2.2040745883017323E-3</v>
      </c>
      <c r="L2608" s="550">
        <f>'Sollecitazioni nel paramento'!$G$60*(sezione!$AM$37-C2608)/C2608</f>
        <v>-1.5561118824525984E-3</v>
      </c>
      <c r="M2608" s="551">
        <f>'Sollecitazioni nel paramento'!$G$60*(sezione!$AN$37-C2608)/C2608</f>
        <v>-9.0814917660346451E-4</v>
      </c>
      <c r="N2608" s="551">
        <f>'Sollecitazioni nel paramento'!$G$60*(sezione!$AO$37-C2608)/C2608</f>
        <v>1.683701646793071E-3</v>
      </c>
      <c r="O2608" s="551">
        <f>'Sollecitazioni nel paramento'!$G$60*(sezione!$AP$37-C2608)/C2608</f>
        <v>2.3015902545290998E-2</v>
      </c>
      <c r="P2608" s="545">
        <f>-'Sollecitazioni nel paramento'!$G$47*'Sollecitazioni nel paramento'!$G$41*IF(DATI!$G$211="dx",DATI!$E$61,DATI!$E$64*DATI!$E$63)*1000*C2608*sezione!$AD$5</f>
        <v>-4115653.5336478334</v>
      </c>
      <c r="Q2608" s="545">
        <f>'Foglio deposito bis'!$F$88*IF(ABS(K2608)&lt;'Sollecitazioni nel paramento'!$G$58,ABS(K2608)*'Sollecitazioni nel paramento'!$G$54,'Sollecitazioni nel paramento'!$G$53)*IF(K2608&lt;0,-1,1)</f>
        <v>0</v>
      </c>
      <c r="R2608" s="545">
        <f>'Foglio deposito bis'!$F$89*IF(ABS(L2608)&lt;'Sollecitazioni nel paramento'!$G$58,ABS(L2608)*'Sollecitazioni nel paramento'!$G$54,'Sollecitazioni nel paramento'!$G$53)*IF(L2608&lt;0,-1,1)</f>
        <v>-125883.24369547932</v>
      </c>
      <c r="S2608" s="545">
        <f>'Foglio deposito bis'!$F$90*IF(ABS(M2608)&lt;'Sollecitazioni nel paramento'!$G$58,ABS(M2608)*'Sollecitazioni nel paramento'!$G$54,'Sollecitazioni nel paramento'!$G$53)*IF(M2608&lt;0,-1,1)</f>
        <v>0</v>
      </c>
      <c r="T2608" s="545">
        <f>'Foglio deposito bis'!$F$91*IF(ABS(N2608)&lt;'Sollecitazioni nel paramento'!$G$58,ABS(N2608)*'Sollecitazioni nel paramento'!$G$54,'Sollecitazioni nel paramento'!$G$53)*IF(N2608&lt;0,-1,1)</f>
        <v>791077.16856268782</v>
      </c>
      <c r="U2608" s="545">
        <f>'Foglio deposito bis'!$F$92*IF(ABS(O2608)&lt;'Sollecitazioni nel paramento'!$G$58,ABS(O2608)*'Sollecitazioni nel paramento'!$G$54,'Sollecitazioni nel paramento'!$G$53)*IF(O2608&lt;0,-1,1)</f>
        <v>1662039.1047339395</v>
      </c>
      <c r="V2608" s="472">
        <f t="shared" si="180"/>
        <v>-1788420.5040466848</v>
      </c>
      <c r="W2608" s="551"/>
      <c r="X2608" s="551"/>
    </row>
    <row r="2609" spans="1:24" x14ac:dyDescent="0.25">
      <c r="A2609" s="545">
        <f t="shared" si="179"/>
        <v>1931514.1099985538</v>
      </c>
      <c r="B2609" s="3">
        <f t="shared" si="182"/>
        <v>9.4999999999999876</v>
      </c>
      <c r="C2609" s="545">
        <f>'Foglio deposito bis'!$E$163/sezione!$B$247*B2609</f>
        <v>110.35415417987764</v>
      </c>
      <c r="D2609" s="603">
        <f>-'Sollecitazioni nel paramento'!$G$47*'Sollecitazioni nel paramento'!$G$41*IF(DATI!$G$211="dx",DATI!$E$61,DATI!$E$64*DATI!$E$63)*1000*C2609^2*sezione!$AD$5*(1-sezione!$AD$6)</f>
        <v>-270944910.71163148</v>
      </c>
      <c r="E2609" s="545">
        <f>-'Foglio deposito bis'!$F$88*(C2609-sezione!$AL$37)*IF(ABS(K2609)&lt;'Sollecitazioni nel paramento'!$G$58,ABS(K2609)*'Sollecitazioni nel paramento'!$G$54,'Sollecitazioni nel paramento'!$G$53)</f>
        <v>0</v>
      </c>
      <c r="F2609" s="545">
        <f>-'Foglio deposito bis'!$F$89*(C2609-sezione!$AM$37)*IF(ABS(L2609)&lt;'Sollecitazioni nel paramento'!$G$58,ABS(L2609)*'Sollecitazioni nel paramento'!$G$54,'Sollecitazioni nel paramento'!$G$53)</f>
        <v>-6505445.9763333118</v>
      </c>
      <c r="G2609" s="545">
        <f>-'Foglio deposito bis'!$F$90*(C2609-sezione!$AN$37)*IF(ABS(M2609)&lt;'Sollecitazioni nel paramento'!$G$58,ABS(M2609)*'Sollecitazioni nel paramento'!$G$54,'Sollecitazioni nel paramento'!$G$53)</f>
        <v>0</v>
      </c>
      <c r="H2609" s="545">
        <f>-'Foglio deposito bis'!$F$91*(C2609-sezione!$AO$37)*IF(ABS(N2609)&lt;'Sollecitazioni nel paramento'!$G$58,ABS(N2609)*'Sollecitazioni nel paramento'!$G$54,'Sollecitazioni nel paramento'!$G$53)</f>
        <v>36728137.031675585</v>
      </c>
      <c r="I2609" s="472">
        <f>-'Foglio deposito bis'!$F$92*(C2609-sezione!$AP$37)*IF(ABS(O2609)&lt;'Sollecitazioni nel paramento'!$G$58,ABS(O2609)*'Sollecitazioni nel paramento'!$G$54,'Sollecitazioni nel paramento'!$G$53)</f>
        <v>1176864964.5813377</v>
      </c>
      <c r="J2609" s="472">
        <f t="shared" si="178"/>
        <v>936142744.92504847</v>
      </c>
      <c r="K2609" s="550">
        <f>'Sollecitazioni nel paramento'!$G$60*(sezione!$AL$37-C2609)/C2609</f>
        <v>-2.2313572285480115E-3</v>
      </c>
      <c r="L2609" s="550">
        <f>'Sollecitazioni nel paramento'!$G$60*(sezione!$AM$37-C2609)/C2609</f>
        <v>-1.5970358428220174E-3</v>
      </c>
      <c r="M2609" s="551">
        <f>'Sollecitazioni nel paramento'!$G$60*(sezione!$AN$37-C2609)/C2609</f>
        <v>-9.6271445709602318E-4</v>
      </c>
      <c r="N2609" s="551">
        <f>'Sollecitazioni nel paramento'!$G$60*(sezione!$AO$37-C2609)/C2609</f>
        <v>1.5745710858079537E-3</v>
      </c>
      <c r="O2609" s="551">
        <f>'Sollecitazioni nel paramento'!$G$60*(sezione!$AP$37-C2609)/C2609</f>
        <v>2.2457673018021717E-2</v>
      </c>
      <c r="P2609" s="545">
        <f>-'Sollecitazioni nel paramento'!$G$47*'Sollecitazioni nel paramento'!$G$41*IF(DATI!$G$211="dx",DATI!$E$61,DATI!$E$64*DATI!$E$63)*1000*C2609*sezione!$AD$5</f>
        <v>-4204162.2117907973</v>
      </c>
      <c r="Q2609" s="545">
        <f>'Foglio deposito bis'!$F$88*IF(ABS(K2609)&lt;'Sollecitazioni nel paramento'!$G$58,ABS(K2609)*'Sollecitazioni nel paramento'!$G$54,'Sollecitazioni nel paramento'!$G$53)*IF(K2609&lt;0,-1,1)</f>
        <v>0</v>
      </c>
      <c r="R2609" s="545">
        <f>'Foglio deposito bis'!$F$89*IF(ABS(L2609)&lt;'Sollecitazioni nel paramento'!$G$58,ABS(L2609)*'Sollecitazioni nel paramento'!$G$54,'Sollecitazioni nel paramento'!$G$53)*IF(L2609&lt;0,-1,1)</f>
        <v>-129193.82883672776</v>
      </c>
      <c r="S2609" s="545">
        <f>'Foglio deposito bis'!$F$90*IF(ABS(M2609)&lt;'Sollecitazioni nel paramento'!$G$58,ABS(M2609)*'Sollecitazioni nel paramento'!$G$54,'Sollecitazioni nel paramento'!$G$53)*IF(M2609&lt;0,-1,1)</f>
        <v>0</v>
      </c>
      <c r="T2609" s="545">
        <f>'Foglio deposito bis'!$F$91*IF(ABS(N2609)&lt;'Sollecitazioni nel paramento'!$G$58,ABS(N2609)*'Sollecitazioni nel paramento'!$G$54,'Sollecitazioni nel paramento'!$G$53)*IF(N2609&lt;0,-1,1)</f>
        <v>739802.82589503203</v>
      </c>
      <c r="U2609" s="545">
        <f>'Foglio deposito bis'!$F$92*IF(ABS(O2609)&lt;'Sollecitazioni nel paramento'!$G$58,ABS(O2609)*'Sollecitazioni nel paramento'!$G$54,'Sollecitazioni nel paramento'!$G$53)*IF(O2609&lt;0,-1,1)</f>
        <v>1662039.1047339395</v>
      </c>
      <c r="V2609" s="472">
        <f t="shared" si="180"/>
        <v>-1931514.1099985538</v>
      </c>
      <c r="W2609" s="551"/>
      <c r="X2609" s="551"/>
    </row>
    <row r="2610" spans="1:24" x14ac:dyDescent="0.25">
      <c r="A2610" s="545">
        <f t="shared" si="179"/>
        <v>2072356.7910923224</v>
      </c>
      <c r="B2610" s="3">
        <f t="shared" si="182"/>
        <v>9.6999999999999869</v>
      </c>
      <c r="C2610" s="545">
        <f>'Foglio deposito bis'!$E$163/sezione!$B$247*B2610</f>
        <v>112.67739953103295</v>
      </c>
      <c r="D2610" s="603">
        <f>-'Sollecitazioni nel paramento'!$G$47*'Sollecitazioni nel paramento'!$G$41*IF(DATI!$G$211="dx",DATI!$E$61,DATI!$E$64*DATI!$E$63)*1000*C2610^2*sezione!$AD$5*(1-sezione!$AD$6)</f>
        <v>-282473203.86545599</v>
      </c>
      <c r="E2610" s="545">
        <f>-'Foglio deposito bis'!$F$88*(C2610-sezione!$AL$37)*IF(ABS(K2610)&lt;'Sollecitazioni nel paramento'!$G$58,ABS(K2610)*'Sollecitazioni nel paramento'!$G$54,'Sollecitazioni nel paramento'!$G$53)</f>
        <v>0</v>
      </c>
      <c r="F2610" s="545">
        <f>-'Foglio deposito bis'!$F$89*(C2610-sezione!$AM$37)*IF(ABS(L2610)&lt;'Sollecitazioni nel paramento'!$G$58,ABS(L2610)*'Sollecitazioni nel paramento'!$G$54,'Sollecitazioni nel paramento'!$G$53)</f>
        <v>-6972796.4901590291</v>
      </c>
      <c r="G2610" s="545">
        <f>-'Foglio deposito bis'!$F$90*(C2610-sezione!$AN$37)*IF(ABS(M2610)&lt;'Sollecitazioni nel paramento'!$G$58,ABS(M2610)*'Sollecitazioni nel paramento'!$G$54,'Sollecitazioni nel paramento'!$G$53)</f>
        <v>0</v>
      </c>
      <c r="H2610" s="545">
        <f>-'Foglio deposito bis'!$F$91*(C2610-sezione!$AO$37)*IF(ABS(N2610)&lt;'Sollecitazioni nel paramento'!$G$58,ABS(N2610)*'Sollecitazioni nel paramento'!$G$54,'Sollecitazioni nel paramento'!$G$53)</f>
        <v>32683017.508113038</v>
      </c>
      <c r="I2610" s="472">
        <f>-'Foglio deposito bis'!$F$92*(C2610-sezione!$AP$37)*IF(ABS(O2610)&lt;'Sollecitazioni nel paramento'!$G$58,ABS(O2610)*'Sollecitazioni nel paramento'!$G$54,'Sollecitazioni nel paramento'!$G$53)</f>
        <v>1173003639.9578261</v>
      </c>
      <c r="J2610" s="472">
        <f t="shared" si="178"/>
        <v>916240657.11032414</v>
      </c>
      <c r="K2610" s="550">
        <f>'Sollecitazioni nel paramento'!$G$60*(sezione!$AL$37-C2610)/C2610</f>
        <v>-2.2575148114645474E-3</v>
      </c>
      <c r="L2610" s="550">
        <f>'Sollecitazioni nel paramento'!$G$60*(sezione!$AM$37-C2610)/C2610</f>
        <v>-1.6362722171968209E-3</v>
      </c>
      <c r="M2610" s="551">
        <f>'Sollecitazioni nel paramento'!$G$60*(sezione!$AN$37-C2610)/C2610</f>
        <v>-1.0150296229290946E-3</v>
      </c>
      <c r="N2610" s="551">
        <f>'Sollecitazioni nel paramento'!$G$60*(sezione!$AO$37-C2610)/C2610</f>
        <v>1.4699407541418109E-3</v>
      </c>
      <c r="O2610" s="551">
        <f>'Sollecitazioni nel paramento'!$G$60*(sezione!$AP$37-C2610)/C2610</f>
        <v>2.1922463265072814E-2</v>
      </c>
      <c r="P2610" s="545">
        <f>-'Sollecitazioni nel paramento'!$G$47*'Sollecitazioni nel paramento'!$G$41*IF(DATI!$G$211="dx",DATI!$E$61,DATI!$E$64*DATI!$E$63)*1000*C2610*sezione!$AD$5</f>
        <v>-4292670.8899337612</v>
      </c>
      <c r="Q2610" s="545">
        <f>'Foglio deposito bis'!$F$88*IF(ABS(K2610)&lt;'Sollecitazioni nel paramento'!$G$58,ABS(K2610)*'Sollecitazioni nel paramento'!$G$54,'Sollecitazioni nel paramento'!$G$53)*IF(K2610&lt;0,-1,1)</f>
        <v>0</v>
      </c>
      <c r="R2610" s="545">
        <f>'Foglio deposito bis'!$F$89*IF(ABS(L2610)&lt;'Sollecitazioni nel paramento'!$G$58,ABS(L2610)*'Sollecitazioni nel paramento'!$G$54,'Sollecitazioni nel paramento'!$G$53)*IF(L2610&lt;0,-1,1)</f>
        <v>-132367.89500307932</v>
      </c>
      <c r="S2610" s="545">
        <f>'Foglio deposito bis'!$F$90*IF(ABS(M2610)&lt;'Sollecitazioni nel paramento'!$G$58,ABS(M2610)*'Sollecitazioni nel paramento'!$G$54,'Sollecitazioni nel paramento'!$G$53)*IF(M2610&lt;0,-1,1)</f>
        <v>0</v>
      </c>
      <c r="T2610" s="545">
        <f>'Foglio deposito bis'!$F$91*IF(ABS(N2610)&lt;'Sollecitazioni nel paramento'!$G$58,ABS(N2610)*'Sollecitazioni nel paramento'!$G$54,'Sollecitazioni nel paramento'!$G$53)*IF(N2610&lt;0,-1,1)</f>
        <v>690642.88911057881</v>
      </c>
      <c r="U2610" s="545">
        <f>'Foglio deposito bis'!$F$92*IF(ABS(O2610)&lt;'Sollecitazioni nel paramento'!$G$58,ABS(O2610)*'Sollecitazioni nel paramento'!$G$54,'Sollecitazioni nel paramento'!$G$53)*IF(O2610&lt;0,-1,1)</f>
        <v>1662039.1047339395</v>
      </c>
      <c r="V2610" s="472">
        <f t="shared" si="180"/>
        <v>-2072356.7910923224</v>
      </c>
      <c r="W2610" s="551"/>
      <c r="X2610" s="551"/>
    </row>
    <row r="2611" spans="1:24" x14ac:dyDescent="0.25">
      <c r="A2611" s="545">
        <f t="shared" si="179"/>
        <v>2211084.9670163626</v>
      </c>
      <c r="B2611" s="3">
        <f t="shared" si="182"/>
        <v>9.8999999999999861</v>
      </c>
      <c r="C2611" s="545">
        <f>'Foglio deposito bis'!$E$163/sezione!$B$247*B2611</f>
        <v>115.00064488218827</v>
      </c>
      <c r="D2611" s="603">
        <f>-'Sollecitazioni nel paramento'!$G$47*'Sollecitazioni nel paramento'!$G$41*IF(DATI!$G$211="dx",DATI!$E$61,DATI!$E$64*DATI!$E$63)*1000*C2611^2*sezione!$AD$5*(1-sezione!$AD$6)</f>
        <v>-294241669.79331851</v>
      </c>
      <c r="E2611" s="545">
        <f>-'Foglio deposito bis'!$F$88*(C2611-sezione!$AL$37)*IF(ABS(K2611)&lt;'Sollecitazioni nel paramento'!$G$58,ABS(K2611)*'Sollecitazioni nel paramento'!$G$54,'Sollecitazioni nel paramento'!$G$53)</f>
        <v>0</v>
      </c>
      <c r="F2611" s="545">
        <f>-'Foglio deposito bis'!$F$89*(C2611-sezione!$AM$37)*IF(ABS(L2611)&lt;'Sollecitazioni nel paramento'!$G$58,ABS(L2611)*'Sollecitazioni nel paramento'!$G$54,'Sollecitazioni nel paramento'!$G$53)</f>
        <v>-7447841.7098425739</v>
      </c>
      <c r="G2611" s="545">
        <f>-'Foglio deposito bis'!$F$90*(C2611-sezione!$AN$37)*IF(ABS(M2611)&lt;'Sollecitazioni nel paramento'!$G$58,ABS(M2611)*'Sollecitazioni nel paramento'!$G$54,'Sollecitazioni nel paramento'!$G$53)</f>
        <v>0</v>
      </c>
      <c r="H2611" s="545">
        <f>-'Foglio deposito bis'!$F$91*(C2611-sezione!$AO$37)*IF(ABS(N2611)&lt;'Sollecitazioni nel paramento'!$G$58,ABS(N2611)*'Sollecitazioni nel paramento'!$G$54,'Sollecitazioni nel paramento'!$G$53)</f>
        <v>28955699.59608632</v>
      </c>
      <c r="I2611" s="472">
        <f>-'Foglio deposito bis'!$F$92*(C2611-sezione!$AP$37)*IF(ABS(O2611)&lt;'Sollecitazioni nel paramento'!$G$58,ABS(O2611)*'Sollecitazioni nel paramento'!$G$54,'Sollecitazioni nel paramento'!$G$53)</f>
        <v>1169142315.3343146</v>
      </c>
      <c r="J2611" s="472">
        <f t="shared" si="178"/>
        <v>896408503.42723989</v>
      </c>
      <c r="K2611" s="550">
        <f>'Sollecitazioni nel paramento'!$G$60*(sezione!$AL$37-C2611)/C2611</f>
        <v>-2.2826155223440517E-3</v>
      </c>
      <c r="L2611" s="550">
        <f>'Sollecitazioni nel paramento'!$G$60*(sezione!$AM$37-C2611)/C2611</f>
        <v>-1.6739232835160773E-3</v>
      </c>
      <c r="M2611" s="551">
        <f>'Sollecitazioni nel paramento'!$G$60*(sezione!$AN$37-C2611)/C2611</f>
        <v>-1.0652310446881029E-3</v>
      </c>
      <c r="N2611" s="551">
        <f>'Sollecitazioni nel paramento'!$G$60*(sezione!$AO$37-C2611)/C2611</f>
        <v>1.3695379106237944E-3</v>
      </c>
      <c r="O2611" s="551">
        <f>'Sollecitazioni nel paramento'!$G$60*(sezione!$AP$37-C2611)/C2611</f>
        <v>2.1408878148606696E-2</v>
      </c>
      <c r="P2611" s="545">
        <f>-'Sollecitazioni nel paramento'!$G$47*'Sollecitazioni nel paramento'!$G$41*IF(DATI!$G$211="dx",DATI!$E$61,DATI!$E$64*DATI!$E$63)*1000*C2611*sezione!$AD$5</f>
        <v>-4381179.568076726</v>
      </c>
      <c r="Q2611" s="545">
        <f>'Foglio deposito bis'!$F$88*IF(ABS(K2611)&lt;'Sollecitazioni nel paramento'!$G$58,ABS(K2611)*'Sollecitazioni nel paramento'!$G$54,'Sollecitazioni nel paramento'!$G$53)*IF(K2611&lt;0,-1,1)</f>
        <v>0</v>
      </c>
      <c r="R2611" s="545">
        <f>'Foglio deposito bis'!$F$89*IF(ABS(L2611)&lt;'Sollecitazioni nel paramento'!$G$58,ABS(L2611)*'Sollecitazioni nel paramento'!$G$54,'Sollecitazioni nel paramento'!$G$53)*IF(L2611&lt;0,-1,1)</f>
        <v>-135413.71607180059</v>
      </c>
      <c r="S2611" s="545">
        <f>'Foglio deposito bis'!$F$90*IF(ABS(M2611)&lt;'Sollecitazioni nel paramento'!$G$58,ABS(M2611)*'Sollecitazioni nel paramento'!$G$54,'Sollecitazioni nel paramento'!$G$53)*IF(M2611&lt;0,-1,1)</f>
        <v>0</v>
      </c>
      <c r="T2611" s="545">
        <f>'Foglio deposito bis'!$F$91*IF(ABS(N2611)&lt;'Sollecitazioni nel paramento'!$G$58,ABS(N2611)*'Sollecitazioni nel paramento'!$G$54,'Sollecitazioni nel paramento'!$G$53)*IF(N2611&lt;0,-1,1)</f>
        <v>643469.21239822428</v>
      </c>
      <c r="U2611" s="545">
        <f>'Foglio deposito bis'!$F$92*IF(ABS(O2611)&lt;'Sollecitazioni nel paramento'!$G$58,ABS(O2611)*'Sollecitazioni nel paramento'!$G$54,'Sollecitazioni nel paramento'!$G$53)*IF(O2611&lt;0,-1,1)</f>
        <v>1662039.1047339395</v>
      </c>
      <c r="V2611" s="472">
        <f t="shared" si="180"/>
        <v>-2211084.9670163626</v>
      </c>
      <c r="W2611" s="551"/>
      <c r="X2611" s="551"/>
    </row>
    <row r="2612" spans="1:24" x14ac:dyDescent="0.25">
      <c r="A2612" s="545">
        <f t="shared" si="179"/>
        <v>2347824.251939171</v>
      </c>
      <c r="B2612" s="3">
        <f t="shared" si="182"/>
        <v>10.099999999999985</v>
      </c>
      <c r="C2612" s="545">
        <f>'Foglio deposito bis'!$E$163/sezione!$B$247*B2612</f>
        <v>117.32389023334358</v>
      </c>
      <c r="D2612" s="603">
        <f>-'Sollecitazioni nel paramento'!$G$47*'Sollecitazioni nel paramento'!$G$41*IF(DATI!$G$211="dx",DATI!$E$61,DATI!$E$64*DATI!$E$63)*1000*C2612^2*sezione!$AD$5*(1-sezione!$AD$6)</f>
        <v>-306250308.49521899</v>
      </c>
      <c r="E2612" s="545">
        <f>-'Foglio deposito bis'!$F$88*(C2612-sezione!$AL$37)*IF(ABS(K2612)&lt;'Sollecitazioni nel paramento'!$G$58,ABS(K2612)*'Sollecitazioni nel paramento'!$G$54,'Sollecitazioni nel paramento'!$G$53)</f>
        <v>0</v>
      </c>
      <c r="F2612" s="545">
        <f>-'Foglio deposito bis'!$F$89*(C2612-sezione!$AM$37)*IF(ABS(L2612)&lt;'Sollecitazioni nel paramento'!$G$58,ABS(L2612)*'Sollecitazioni nel paramento'!$G$54,'Sollecitazioni nel paramento'!$G$53)</f>
        <v>-7930124.5241448572</v>
      </c>
      <c r="G2612" s="545">
        <f>-'Foglio deposito bis'!$F$90*(C2612-sezione!$AN$37)*IF(ABS(M2612)&lt;'Sollecitazioni nel paramento'!$G$58,ABS(M2612)*'Sollecitazioni nel paramento'!$G$54,'Sollecitazioni nel paramento'!$G$53)</f>
        <v>0</v>
      </c>
      <c r="H2612" s="545">
        <f>-'Foglio deposito bis'!$F$91*(C2612-sezione!$AO$37)*IF(ABS(N2612)&lt;'Sollecitazioni nel paramento'!$G$58,ABS(N2612)*'Sollecitazioni nel paramento'!$G$54,'Sollecitazioni nel paramento'!$G$53)</f>
        <v>25527303.991939887</v>
      </c>
      <c r="I2612" s="472">
        <f>-'Foglio deposito bis'!$F$92*(C2612-sezione!$AP$37)*IF(ABS(O2612)&lt;'Sollecitazioni nel paramento'!$G$58,ABS(O2612)*'Sollecitazioni nel paramento'!$G$54,'Sollecitazioni nel paramento'!$G$53)</f>
        <v>1165280990.7108033</v>
      </c>
      <c r="J2612" s="472">
        <f t="shared" si="178"/>
        <v>876627861.68337941</v>
      </c>
      <c r="K2612" s="550">
        <f>'Sollecitazioni nel paramento'!$G$60*(sezione!$AL$37-C2612)/C2612</f>
        <v>-2.3067221456639711E-3</v>
      </c>
      <c r="L2612" s="550">
        <f>'Sollecitazioni nel paramento'!$G$60*(sezione!$AM$37-C2612)/C2612</f>
        <v>-1.7100832184959568E-3</v>
      </c>
      <c r="M2612" s="551">
        <f>'Sollecitazioni nel paramento'!$G$60*(sezione!$AN$37-C2612)/C2612</f>
        <v>-1.1134442913279421E-3</v>
      </c>
      <c r="N2612" s="551">
        <f>'Sollecitazioni nel paramento'!$G$60*(sezione!$AO$37-C2612)/C2612</f>
        <v>1.2731114173441156E-3</v>
      </c>
      <c r="O2612" s="551">
        <f>'Sollecitazioni nel paramento'!$G$60*(sezione!$AP$37-C2612)/C2612</f>
        <v>2.0915633036753103E-2</v>
      </c>
      <c r="P2612" s="545">
        <f>-'Sollecitazioni nel paramento'!$G$47*'Sollecitazioni nel paramento'!$G$41*IF(DATI!$G$211="dx",DATI!$E$61,DATI!$E$64*DATI!$E$63)*1000*C2612*sezione!$AD$5</f>
        <v>-4469688.24621969</v>
      </c>
      <c r="Q2612" s="545">
        <f>'Foglio deposito bis'!$F$88*IF(ABS(K2612)&lt;'Sollecitazioni nel paramento'!$G$58,ABS(K2612)*'Sollecitazioni nel paramento'!$G$54,'Sollecitazioni nel paramento'!$G$53)*IF(K2612&lt;0,-1,1)</f>
        <v>0</v>
      </c>
      <c r="R2612" s="545">
        <f>'Foglio deposito bis'!$F$89*IF(ABS(L2612)&lt;'Sollecitazioni nel paramento'!$G$58,ABS(L2612)*'Sollecitazioni nel paramento'!$G$54,'Sollecitazioni nel paramento'!$G$53)*IF(L2612&lt;0,-1,1)</f>
        <v>-138338.91056354274</v>
      </c>
      <c r="S2612" s="545">
        <f>'Foglio deposito bis'!$F$90*IF(ABS(M2612)&lt;'Sollecitazioni nel paramento'!$G$58,ABS(M2612)*'Sollecitazioni nel paramento'!$G$54,'Sollecitazioni nel paramento'!$G$53)*IF(M2612&lt;0,-1,1)</f>
        <v>0</v>
      </c>
      <c r="T2612" s="545">
        <f>'Foglio deposito bis'!$F$91*IF(ABS(N2612)&lt;'Sollecitazioni nel paramento'!$G$58,ABS(N2612)*'Sollecitazioni nel paramento'!$G$54,'Sollecitazioni nel paramento'!$G$53)*IF(N2612&lt;0,-1,1)</f>
        <v>598163.80011012172</v>
      </c>
      <c r="U2612" s="545">
        <f>'Foglio deposito bis'!$F$92*IF(ABS(O2612)&lt;'Sollecitazioni nel paramento'!$G$58,ABS(O2612)*'Sollecitazioni nel paramento'!$G$54,'Sollecitazioni nel paramento'!$G$53)*IF(O2612&lt;0,-1,1)</f>
        <v>1662039.1047339395</v>
      </c>
      <c r="V2612" s="472">
        <f t="shared" si="180"/>
        <v>-2347824.251939171</v>
      </c>
      <c r="W2612" s="551"/>
      <c r="X2612" s="551"/>
    </row>
    <row r="2613" spans="1:24" x14ac:dyDescent="0.25">
      <c r="A2613" s="545">
        <f t="shared" si="179"/>
        <v>2482690.5035889763</v>
      </c>
      <c r="B2613" s="3">
        <f t="shared" si="182"/>
        <v>10.299999999999985</v>
      </c>
      <c r="C2613" s="545">
        <f>'Foglio deposito bis'!$E$163/sezione!$B$247*B2613</f>
        <v>119.6471355844989</v>
      </c>
      <c r="D2613" s="603">
        <f>-'Sollecitazioni nel paramento'!$G$47*'Sollecitazioni nel paramento'!$G$41*IF(DATI!$G$211="dx",DATI!$E$61,DATI!$E$64*DATI!$E$63)*1000*C2613^2*sezione!$AD$5*(1-sezione!$AD$6)</f>
        <v>-318499119.97115761</v>
      </c>
      <c r="E2613" s="545">
        <f>-'Foglio deposito bis'!$F$88*(C2613-sezione!$AL$37)*IF(ABS(K2613)&lt;'Sollecitazioni nel paramento'!$G$58,ABS(K2613)*'Sollecitazioni nel paramento'!$G$54,'Sollecitazioni nel paramento'!$G$53)</f>
        <v>0</v>
      </c>
      <c r="F2613" s="545">
        <f>-'Foglio deposito bis'!$F$89*(C2613-sezione!$AM$37)*IF(ABS(L2613)&lt;'Sollecitazioni nel paramento'!$G$58,ABS(L2613)*'Sollecitazioni nel paramento'!$G$54,'Sollecitazioni nel paramento'!$G$53)</f>
        <v>-8419223.3256123681</v>
      </c>
      <c r="G2613" s="545">
        <f>-'Foglio deposito bis'!$F$90*(C2613-sezione!$AN$37)*IF(ABS(M2613)&lt;'Sollecitazioni nel paramento'!$G$58,ABS(M2613)*'Sollecitazioni nel paramento'!$G$54,'Sollecitazioni nel paramento'!$G$53)</f>
        <v>0</v>
      </c>
      <c r="H2613" s="545">
        <f>-'Foglio deposito bis'!$F$91*(C2613-sezione!$AO$37)*IF(ABS(N2613)&lt;'Sollecitazioni nel paramento'!$G$58,ABS(N2613)*'Sollecitazioni nel paramento'!$G$54,'Sollecitazioni nel paramento'!$G$53)</f>
        <v>22380417.745700099</v>
      </c>
      <c r="I2613" s="472">
        <f>-'Foglio deposito bis'!$F$92*(C2613-sezione!$AP$37)*IF(ABS(O2613)&lt;'Sollecitazioni nel paramento'!$G$58,ABS(O2613)*'Sollecitazioni nel paramento'!$G$54,'Sollecitazioni nel paramento'!$G$53)</f>
        <v>1161419666.0872917</v>
      </c>
      <c r="J2613" s="472">
        <f t="shared" ref="J2613:J2676" si="183">D2613+E2613+F2613+G2613+H2613+I2613</f>
        <v>856881740.53622186</v>
      </c>
      <c r="K2613" s="550">
        <f>'Sollecitazioni nel paramento'!$G$60*(sezione!$AL$37-C2613)/C2613</f>
        <v>-2.3298925894374863E-3</v>
      </c>
      <c r="L2613" s="550">
        <f>'Sollecitazioni nel paramento'!$G$60*(sezione!$AM$37-C2613)/C2613</f>
        <v>-1.7448388841562294E-3</v>
      </c>
      <c r="M2613" s="551">
        <f>'Sollecitazioni nel paramento'!$G$60*(sezione!$AN$37-C2613)/C2613</f>
        <v>-1.1597851788749725E-3</v>
      </c>
      <c r="N2613" s="551">
        <f>'Sollecitazioni nel paramento'!$G$60*(sezione!$AO$37-C2613)/C2613</f>
        <v>1.1804296422500552E-3</v>
      </c>
      <c r="O2613" s="551">
        <f>'Sollecitazioni nel paramento'!$G$60*(sezione!$AP$37-C2613)/C2613</f>
        <v>2.0441543074874401E-2</v>
      </c>
      <c r="P2613" s="545">
        <f>-'Sollecitazioni nel paramento'!$G$47*'Sollecitazioni nel paramento'!$G$41*IF(DATI!$G$211="dx",DATI!$E$61,DATI!$E$64*DATI!$E$63)*1000*C2613*sezione!$AD$5</f>
        <v>-4558196.9243626539</v>
      </c>
      <c r="Q2613" s="545">
        <f>'Foglio deposito bis'!$F$88*IF(ABS(K2613)&lt;'Sollecitazioni nel paramento'!$G$58,ABS(K2613)*'Sollecitazioni nel paramento'!$G$54,'Sollecitazioni nel paramento'!$G$53)*IF(K2613&lt;0,-1,1)</f>
        <v>0</v>
      </c>
      <c r="R2613" s="545">
        <f>'Foglio deposito bis'!$F$89*IF(ABS(L2613)&lt;'Sollecitazioni nel paramento'!$G$58,ABS(L2613)*'Sollecitazioni nel paramento'!$G$54,'Sollecitazioni nel paramento'!$G$53)*IF(L2613&lt;0,-1,1)</f>
        <v>-141150.50526919783</v>
      </c>
      <c r="S2613" s="545">
        <f>'Foglio deposito bis'!$F$90*IF(ABS(M2613)&lt;'Sollecitazioni nel paramento'!$G$58,ABS(M2613)*'Sollecitazioni nel paramento'!$G$54,'Sollecitazioni nel paramento'!$G$53)*IF(M2613&lt;0,-1,1)</f>
        <v>0</v>
      </c>
      <c r="T2613" s="545">
        <f>'Foglio deposito bis'!$F$91*IF(ABS(N2613)&lt;'Sollecitazioni nel paramento'!$G$58,ABS(N2613)*'Sollecitazioni nel paramento'!$G$54,'Sollecitazioni nel paramento'!$G$53)*IF(N2613&lt;0,-1,1)</f>
        <v>554617.82130893564</v>
      </c>
      <c r="U2613" s="545">
        <f>'Foglio deposito bis'!$F$92*IF(ABS(O2613)&lt;'Sollecitazioni nel paramento'!$G$58,ABS(O2613)*'Sollecitazioni nel paramento'!$G$54,'Sollecitazioni nel paramento'!$G$53)*IF(O2613&lt;0,-1,1)</f>
        <v>1662039.1047339395</v>
      </c>
      <c r="V2613" s="472">
        <f t="shared" si="180"/>
        <v>-2482690.5035889763</v>
      </c>
      <c r="W2613" s="551"/>
      <c r="X2613" s="551"/>
    </row>
    <row r="2614" spans="1:24" x14ac:dyDescent="0.25">
      <c r="A2614" s="545">
        <f t="shared" ref="A2614:A2677" si="184">ABS(V2614)</f>
        <v>2615790.7524385201</v>
      </c>
      <c r="B2614" s="3">
        <f t="shared" si="182"/>
        <v>10.499999999999984</v>
      </c>
      <c r="C2614" s="545">
        <f>'Foglio deposito bis'!$E$163/sezione!$B$247*B2614</f>
        <v>121.97038093565421</v>
      </c>
      <c r="D2614" s="603">
        <f>-'Sollecitazioni nel paramento'!$G$47*'Sollecitazioni nel paramento'!$G$41*IF(DATI!$G$211="dx",DATI!$E$61,DATI!$E$64*DATI!$E$63)*1000*C2614^2*sezione!$AD$5*(1-sezione!$AD$6)</f>
        <v>-330988104.22113407</v>
      </c>
      <c r="E2614" s="545">
        <f>-'Foglio deposito bis'!$F$88*(C2614-sezione!$AL$37)*IF(ABS(K2614)&lt;'Sollecitazioni nel paramento'!$G$58,ABS(K2614)*'Sollecitazioni nel paramento'!$G$54,'Sollecitazioni nel paramento'!$G$53)</f>
        <v>0</v>
      </c>
      <c r="F2614" s="545">
        <f>-'Foglio deposito bis'!$F$89*(C2614-sezione!$AM$37)*IF(ABS(L2614)&lt;'Sollecitazioni nel paramento'!$G$58,ABS(L2614)*'Sollecitazioni nel paramento'!$G$54,'Sollecitazioni nel paramento'!$G$53)</f>
        <v>-8914748.6292642318</v>
      </c>
      <c r="G2614" s="545">
        <f>-'Foglio deposito bis'!$F$90*(C2614-sezione!$AN$37)*IF(ABS(M2614)&lt;'Sollecitazioni nel paramento'!$G$58,ABS(M2614)*'Sollecitazioni nel paramento'!$G$54,'Sollecitazioni nel paramento'!$G$53)</f>
        <v>0</v>
      </c>
      <c r="H2614" s="545">
        <f>-'Foglio deposito bis'!$F$91*(C2614-sezione!$AO$37)*IF(ABS(N2614)&lt;'Sollecitazioni nel paramento'!$G$58,ABS(N2614)*'Sollecitazioni nel paramento'!$G$54,'Sollecitazioni nel paramento'!$G$53)</f>
        <v>19498954.608343743</v>
      </c>
      <c r="I2614" s="472">
        <f>-'Foglio deposito bis'!$F$92*(C2614-sezione!$AP$37)*IF(ABS(O2614)&lt;'Sollecitazioni nel paramento'!$G$58,ABS(O2614)*'Sollecitazioni nel paramento'!$G$54,'Sollecitazioni nel paramento'!$G$53)</f>
        <v>1157558341.4637802</v>
      </c>
      <c r="J2614" s="472">
        <f t="shared" si="183"/>
        <v>837154443.22172558</v>
      </c>
      <c r="K2614" s="550">
        <f>'Sollecitazioni nel paramento'!$G$60*(sezione!$AL$37-C2614)/C2614</f>
        <v>-2.3521803496386771E-3</v>
      </c>
      <c r="L2614" s="550">
        <f>'Sollecitazioni nel paramento'!$G$60*(sezione!$AM$37-C2614)/C2614</f>
        <v>-1.7782705244580154E-3</v>
      </c>
      <c r="M2614" s="551">
        <f>'Sollecitazioni nel paramento'!$G$60*(sezione!$AN$37-C2614)/C2614</f>
        <v>-1.2043606992773537E-3</v>
      </c>
      <c r="N2614" s="551">
        <f>'Sollecitazioni nel paramento'!$G$60*(sezione!$AO$37-C2614)/C2614</f>
        <v>1.0912786014452924E-3</v>
      </c>
      <c r="O2614" s="551">
        <f>'Sollecitazioni nel paramento'!$G$60*(sezione!$AP$37-C2614)/C2614</f>
        <v>1.9985513682972033E-2</v>
      </c>
      <c r="P2614" s="545">
        <f>-'Sollecitazioni nel paramento'!$G$47*'Sollecitazioni nel paramento'!$G$41*IF(DATI!$G$211="dx",DATI!$E$61,DATI!$E$64*DATI!$E$63)*1000*C2614*sezione!$AD$5</f>
        <v>-4646705.6025056168</v>
      </c>
      <c r="Q2614" s="545">
        <f>'Foglio deposito bis'!$F$88*IF(ABS(K2614)&lt;'Sollecitazioni nel paramento'!$G$58,ABS(K2614)*'Sollecitazioni nel paramento'!$G$54,'Sollecitazioni nel paramento'!$G$53)*IF(K2614&lt;0,-1,1)</f>
        <v>0</v>
      </c>
      <c r="R2614" s="545">
        <f>'Foglio deposito bis'!$F$89*IF(ABS(L2614)&lt;'Sollecitazioni nel paramento'!$G$58,ABS(L2614)*'Sollecitazioni nel paramento'!$G$54,'Sollecitazioni nel paramento'!$G$53)*IF(L2614&lt;0,-1,1)</f>
        <v>-143854.99160511367</v>
      </c>
      <c r="S2614" s="545">
        <f>'Foglio deposito bis'!$F$90*IF(ABS(M2614)&lt;'Sollecitazioni nel paramento'!$G$58,ABS(M2614)*'Sollecitazioni nel paramento'!$G$54,'Sollecitazioni nel paramento'!$G$53)*IF(M2614&lt;0,-1,1)</f>
        <v>0</v>
      </c>
      <c r="T2614" s="545">
        <f>'Foglio deposito bis'!$F$91*IF(ABS(N2614)&lt;'Sollecitazioni nel paramento'!$G$58,ABS(N2614)*'Sollecitazioni nel paramento'!$G$54,'Sollecitazioni nel paramento'!$G$53)*IF(N2614&lt;0,-1,1)</f>
        <v>512730.73693827103</v>
      </c>
      <c r="U2614" s="545">
        <f>'Foglio deposito bis'!$F$92*IF(ABS(O2614)&lt;'Sollecitazioni nel paramento'!$G$58,ABS(O2614)*'Sollecitazioni nel paramento'!$G$54,'Sollecitazioni nel paramento'!$G$53)*IF(O2614&lt;0,-1,1)</f>
        <v>1662039.1047339395</v>
      </c>
      <c r="V2614" s="472">
        <f t="shared" ref="V2614:V2677" si="185">P2614+Q2614+R2614+S2614+T2614+U2614</f>
        <v>-2615790.7524385201</v>
      </c>
      <c r="W2614" s="551"/>
      <c r="X2614" s="551"/>
    </row>
    <row r="2615" spans="1:24" x14ac:dyDescent="0.25">
      <c r="A2615" s="545">
        <f t="shared" si="184"/>
        <v>2747224.0266822111</v>
      </c>
      <c r="B2615" s="3">
        <f t="shared" si="182"/>
        <v>10.699999999999983</v>
      </c>
      <c r="C2615" s="545">
        <f>'Foglio deposito bis'!$E$163/sezione!$B$247*B2615</f>
        <v>124.29362628680951</v>
      </c>
      <c r="D2615" s="603">
        <f>-'Sollecitazioni nel paramento'!$G$47*'Sollecitazioni nel paramento'!$G$41*IF(DATI!$G$211="dx",DATI!$E$61,DATI!$E$64*DATI!$E$63)*1000*C2615^2*sezione!$AD$5*(1-sezione!$AD$6)</f>
        <v>-343717261.2451486</v>
      </c>
      <c r="E2615" s="545">
        <f>-'Foglio deposito bis'!$F$88*(C2615-sezione!$AL$37)*IF(ABS(K2615)&lt;'Sollecitazioni nel paramento'!$G$58,ABS(K2615)*'Sollecitazioni nel paramento'!$G$54,'Sollecitazioni nel paramento'!$G$53)</f>
        <v>0</v>
      </c>
      <c r="F2615" s="545">
        <f>-'Foglio deposito bis'!$F$89*(C2615-sezione!$AM$37)*IF(ABS(L2615)&lt;'Sollecitazioni nel paramento'!$G$58,ABS(L2615)*'Sollecitazioni nel paramento'!$G$54,'Sollecitazioni nel paramento'!$G$53)</f>
        <v>-9416340.0704919789</v>
      </c>
      <c r="G2615" s="545">
        <f>-'Foglio deposito bis'!$F$90*(C2615-sezione!$AN$37)*IF(ABS(M2615)&lt;'Sollecitazioni nel paramento'!$G$58,ABS(M2615)*'Sollecitazioni nel paramento'!$G$54,'Sollecitazioni nel paramento'!$G$53)</f>
        <v>0</v>
      </c>
      <c r="H2615" s="545">
        <f>-'Foglio deposito bis'!$F$91*(C2615-sezione!$AO$37)*IF(ABS(N2615)&lt;'Sollecitazioni nel paramento'!$G$58,ABS(N2615)*'Sollecitazioni nel paramento'!$G$54,'Sollecitazioni nel paramento'!$G$53)</f>
        <v>16868031.041054908</v>
      </c>
      <c r="I2615" s="472">
        <f>-'Foglio deposito bis'!$F$92*(C2615-sezione!$AP$37)*IF(ABS(O2615)&lt;'Sollecitazioni nel paramento'!$G$58,ABS(O2615)*'Sollecitazioni nel paramento'!$G$54,'Sollecitazioni nel paramento'!$G$53)</f>
        <v>1153697016.8402689</v>
      </c>
      <c r="J2615" s="472">
        <f t="shared" si="183"/>
        <v>817431446.56568313</v>
      </c>
      <c r="K2615" s="550">
        <f>'Sollecitazioni nel paramento'!$G$60*(sezione!$AL$37-C2615)/C2615</f>
        <v>-2.3736349225426264E-3</v>
      </c>
      <c r="L2615" s="550">
        <f>'Sollecitazioni nel paramento'!$G$60*(sezione!$AM$37-C2615)/C2615</f>
        <v>-1.8104523838139402E-3</v>
      </c>
      <c r="M2615" s="551">
        <f>'Sollecitazioni nel paramento'!$G$60*(sezione!$AN$37-C2615)/C2615</f>
        <v>-1.2472698450852534E-3</v>
      </c>
      <c r="N2615" s="551">
        <f>'Sollecitazioni nel paramento'!$G$60*(sezione!$AO$37-C2615)/C2615</f>
        <v>1.0054603098294929E-3</v>
      </c>
      <c r="O2615" s="551">
        <f>'Sollecitazioni nel paramento'!$G$60*(sezione!$AP$37-C2615)/C2615</f>
        <v>1.9546532118804333E-2</v>
      </c>
      <c r="P2615" s="545">
        <f>-'Sollecitazioni nel paramento'!$G$47*'Sollecitazioni nel paramento'!$G$41*IF(DATI!$G$211="dx",DATI!$E$61,DATI!$E$64*DATI!$E$63)*1000*C2615*sezione!$AD$5</f>
        <v>-4735214.2806485808</v>
      </c>
      <c r="Q2615" s="545">
        <f>'Foglio deposito bis'!$F$88*IF(ABS(K2615)&lt;'Sollecitazioni nel paramento'!$G$58,ABS(K2615)*'Sollecitazioni nel paramento'!$G$54,'Sollecitazioni nel paramento'!$G$53)*IF(K2615&lt;0,-1,1)</f>
        <v>0</v>
      </c>
      <c r="R2615" s="545">
        <f>'Foglio deposito bis'!$F$89*IF(ABS(L2615)&lt;'Sollecitazioni nel paramento'!$G$58,ABS(L2615)*'Sollecitazioni nel paramento'!$G$54,'Sollecitazioni nel paramento'!$G$53)*IF(L2615&lt;0,-1,1)</f>
        <v>-146458.37564809807</v>
      </c>
      <c r="S2615" s="545">
        <f>'Foglio deposito bis'!$F$90*IF(ABS(M2615)&lt;'Sollecitazioni nel paramento'!$G$58,ABS(M2615)*'Sollecitazioni nel paramento'!$G$54,'Sollecitazioni nel paramento'!$G$53)*IF(M2615&lt;0,-1,1)</f>
        <v>0</v>
      </c>
      <c r="T2615" s="545">
        <f>'Foglio deposito bis'!$F$91*IF(ABS(N2615)&lt;'Sollecitazioni nel paramento'!$G$58,ABS(N2615)*'Sollecitazioni nel paramento'!$G$54,'Sollecitazioni nel paramento'!$G$53)*IF(N2615&lt;0,-1,1)</f>
        <v>472409.52488052845</v>
      </c>
      <c r="U2615" s="545">
        <f>'Foglio deposito bis'!$F$92*IF(ABS(O2615)&lt;'Sollecitazioni nel paramento'!$G$58,ABS(O2615)*'Sollecitazioni nel paramento'!$G$54,'Sollecitazioni nel paramento'!$G$53)*IF(O2615&lt;0,-1,1)</f>
        <v>1662039.1047339395</v>
      </c>
      <c r="V2615" s="472">
        <f t="shared" si="185"/>
        <v>-2747224.0266822111</v>
      </c>
      <c r="W2615" s="551"/>
      <c r="X2615" s="551"/>
    </row>
    <row r="2616" spans="1:24" x14ac:dyDescent="0.25">
      <c r="A2616" s="545">
        <f t="shared" si="184"/>
        <v>2877082.0863900967</v>
      </c>
      <c r="B2616" s="3">
        <f t="shared" si="182"/>
        <v>10.899999999999983</v>
      </c>
      <c r="C2616" s="545">
        <f>'Foglio deposito bis'!$E$163/sezione!$B$247*B2616</f>
        <v>126.61687163796483</v>
      </c>
      <c r="D2616" s="603">
        <f>-'Sollecitazioni nel paramento'!$G$47*'Sollecitazioni nel paramento'!$G$41*IF(DATI!$G$211="dx",DATI!$E$61,DATI!$E$64*DATI!$E$63)*1000*C2616^2*sezione!$AD$5*(1-sezione!$AD$6)</f>
        <v>-356686591.04320121</v>
      </c>
      <c r="E2616" s="545">
        <f>-'Foglio deposito bis'!$F$88*(C2616-sezione!$AL$37)*IF(ABS(K2616)&lt;'Sollecitazioni nel paramento'!$G$58,ABS(K2616)*'Sollecitazioni nel paramento'!$G$54,'Sollecitazioni nel paramento'!$G$53)</f>
        <v>0</v>
      </c>
      <c r="F2616" s="545">
        <f>-'Foglio deposito bis'!$F$89*(C2616-sezione!$AM$37)*IF(ABS(L2616)&lt;'Sollecitazioni nel paramento'!$G$58,ABS(L2616)*'Sollecitazioni nel paramento'!$G$54,'Sollecitazioni nel paramento'!$G$53)</f>
        <v>-9923663.7334657535</v>
      </c>
      <c r="G2616" s="545">
        <f>-'Foglio deposito bis'!$F$90*(C2616-sezione!$AN$37)*IF(ABS(M2616)&lt;'Sollecitazioni nel paramento'!$G$58,ABS(M2616)*'Sollecitazioni nel paramento'!$G$54,'Sollecitazioni nel paramento'!$G$53)</f>
        <v>0</v>
      </c>
      <c r="H2616" s="545">
        <f>-'Foglio deposito bis'!$F$91*(C2616-sezione!$AO$37)*IF(ABS(N2616)&lt;'Sollecitazioni nel paramento'!$G$58,ABS(N2616)*'Sollecitazioni nel paramento'!$G$54,'Sollecitazioni nel paramento'!$G$53)</f>
        <v>14473855.874839053</v>
      </c>
      <c r="I2616" s="472">
        <f>-'Foglio deposito bis'!$F$92*(C2616-sezione!$AP$37)*IF(ABS(O2616)&lt;'Sollecitazioni nel paramento'!$G$58,ABS(O2616)*'Sollecitazioni nel paramento'!$G$54,'Sollecitazioni nel paramento'!$G$53)</f>
        <v>1149835692.2167571</v>
      </c>
      <c r="J2616" s="472">
        <f t="shared" si="183"/>
        <v>797699293.31492925</v>
      </c>
      <c r="K2616" s="550">
        <f>'Sollecitazioni nel paramento'!$G$60*(sezione!$AL$37-C2616)/C2616</f>
        <v>-2.3943021716702848E-3</v>
      </c>
      <c r="L2616" s="550">
        <f>'Sollecitazioni nel paramento'!$G$60*(sezione!$AM$37-C2616)/C2616</f>
        <v>-1.8414532575054276E-3</v>
      </c>
      <c r="M2616" s="551">
        <f>'Sollecitazioni nel paramento'!$G$60*(sezione!$AN$37-C2616)/C2616</f>
        <v>-1.28860434334057E-3</v>
      </c>
      <c r="N2616" s="551">
        <f>'Sollecitazioni nel paramento'!$G$60*(sezione!$AO$37-C2616)/C2616</f>
        <v>9.2279131331885996E-4</v>
      </c>
      <c r="O2616" s="551">
        <f>'Sollecitazioni nel paramento'!$G$60*(sezione!$AP$37-C2616)/C2616</f>
        <v>1.9123659969835442E-2</v>
      </c>
      <c r="P2616" s="545">
        <f>-'Sollecitazioni nel paramento'!$G$47*'Sollecitazioni nel paramento'!$G$41*IF(DATI!$G$211="dx",DATI!$E$61,DATI!$E$64*DATI!$E$63)*1000*C2616*sezione!$AD$5</f>
        <v>-4823722.9587915456</v>
      </c>
      <c r="Q2616" s="545">
        <f>'Foglio deposito bis'!$F$88*IF(ABS(K2616)&lt;'Sollecitazioni nel paramento'!$G$58,ABS(K2616)*'Sollecitazioni nel paramento'!$G$54,'Sollecitazioni nel paramento'!$G$53)*IF(K2616&lt;0,-1,1)</f>
        <v>0</v>
      </c>
      <c r="R2616" s="545">
        <f>'Foglio deposito bis'!$F$89*IF(ABS(L2616)&lt;'Sollecitazioni nel paramento'!$G$58,ABS(L2616)*'Sollecitazioni nel paramento'!$G$54,'Sollecitazioni nel paramento'!$G$53)*IF(L2616&lt;0,-1,1)</f>
        <v>-148966.22266198214</v>
      </c>
      <c r="S2616" s="545">
        <f>'Foglio deposito bis'!$F$90*IF(ABS(M2616)&lt;'Sollecitazioni nel paramento'!$G$58,ABS(M2616)*'Sollecitazioni nel paramento'!$G$54,'Sollecitazioni nel paramento'!$G$53)*IF(M2616&lt;0,-1,1)</f>
        <v>0</v>
      </c>
      <c r="T2616" s="545">
        <f>'Foglio deposito bis'!$F$91*IF(ABS(N2616)&lt;'Sollecitazioni nel paramento'!$G$58,ABS(N2616)*'Sollecitazioni nel paramento'!$G$54,'Sollecitazioni nel paramento'!$G$53)*IF(N2616&lt;0,-1,1)</f>
        <v>433567.99032949196</v>
      </c>
      <c r="U2616" s="545">
        <f>'Foglio deposito bis'!$F$92*IF(ABS(O2616)&lt;'Sollecitazioni nel paramento'!$G$58,ABS(O2616)*'Sollecitazioni nel paramento'!$G$54,'Sollecitazioni nel paramento'!$G$53)*IF(O2616&lt;0,-1,1)</f>
        <v>1662039.1047339395</v>
      </c>
      <c r="V2616" s="472">
        <f t="shared" si="185"/>
        <v>-2877082.0863900967</v>
      </c>
      <c r="W2616" s="551"/>
      <c r="X2616" s="551"/>
    </row>
    <row r="2617" spans="1:24" x14ac:dyDescent="0.25">
      <c r="A2617" s="545">
        <f t="shared" si="184"/>
        <v>3007731.2395393616</v>
      </c>
      <c r="B2617" s="3">
        <f t="shared" si="182"/>
        <v>11.099999999999982</v>
      </c>
      <c r="C2617" s="545">
        <f>'Foglio deposito bis'!$E$163/sezione!$B$247*B2617</f>
        <v>128.94011698912016</v>
      </c>
      <c r="D2617" s="603">
        <f>-'Sollecitazioni nel paramento'!$G$47*'Sollecitazioni nel paramento'!$G$41*IF(DATI!$G$211="dx",DATI!$E$61,DATI!$E$64*DATI!$E$63)*1000*C2617^2*sezione!$AD$5*(1-sezione!$AD$6)</f>
        <v>-369896093.61529195</v>
      </c>
      <c r="E2617" s="545">
        <f>-'Foglio deposito bis'!$F$88*(C2617-sezione!$AL$37)*IF(ABS(K2617)&lt;'Sollecitazioni nel paramento'!$G$58,ABS(K2617)*'Sollecitazioni nel paramento'!$G$54,'Sollecitazioni nel paramento'!$G$53)</f>
        <v>0</v>
      </c>
      <c r="F2617" s="545">
        <f>-'Foglio deposito bis'!$F$89*(C2617-sezione!$AM$37)*IF(ABS(L2617)&lt;'Sollecitazioni nel paramento'!$G$58,ABS(L2617)*'Sollecitazioni nel paramento'!$G$54,'Sollecitazioni nel paramento'!$G$53)</f>
        <v>-10593673.291498734</v>
      </c>
      <c r="G2617" s="545">
        <f>-'Foglio deposito bis'!$F$90*(C2617-sezione!$AN$37)*IF(ABS(M2617)&lt;'Sollecitazioni nel paramento'!$G$58,ABS(M2617)*'Sollecitazioni nel paramento'!$G$54,'Sollecitazioni nel paramento'!$G$53)</f>
        <v>0</v>
      </c>
      <c r="H2617" s="545">
        <f>-'Foglio deposito bis'!$F$91*(C2617-sezione!$AO$37)*IF(ABS(N2617)&lt;'Sollecitazioni nel paramento'!$G$58,ABS(N2617)*'Sollecitazioni nel paramento'!$G$54,'Sollecitazioni nel paramento'!$G$53)</f>
        <v>12303631.898827365</v>
      </c>
      <c r="I2617" s="472">
        <f>-'Foglio deposito bis'!$F$92*(C2617-sezione!$AP$37)*IF(ABS(O2617)&lt;'Sollecitazioni nel paramento'!$G$58,ABS(O2617)*'Sollecitazioni nel paramento'!$G$54,'Sollecitazioni nel paramento'!$G$53)</f>
        <v>1145974367.593246</v>
      </c>
      <c r="J2617" s="472">
        <f t="shared" si="183"/>
        <v>777788232.58528268</v>
      </c>
      <c r="K2617" s="550">
        <f>'Sollecitazioni nel paramento'!$G$60*(sezione!$AL$37-C2617)/C2617</f>
        <v>-2.4142246550636131E-3</v>
      </c>
      <c r="L2617" s="550">
        <f>'Sollecitazioni nel paramento'!$G$60*(sezione!$AM$37-C2617)/C2617</f>
        <v>-1.8713369825954199E-3</v>
      </c>
      <c r="M2617" s="551">
        <f>'Sollecitazioni nel paramento'!$G$60*(sezione!$AN$37-C2617)/C2617</f>
        <v>-1.3284493101272266E-3</v>
      </c>
      <c r="N2617" s="551">
        <f>'Sollecitazioni nel paramento'!$G$60*(sezione!$AO$37-C2617)/C2617</f>
        <v>8.4310137974554704E-4</v>
      </c>
      <c r="O2617" s="551">
        <f>'Sollecitazioni nel paramento'!$G$60*(sezione!$AP$37-C2617)/C2617</f>
        <v>1.8716026456865435E-2</v>
      </c>
      <c r="P2617" s="545">
        <f>-'Sollecitazioni nel paramento'!$G$47*'Sollecitazioni nel paramento'!$G$41*IF(DATI!$G$211="dx",DATI!$E$61,DATI!$E$64*DATI!$E$63)*1000*C2617*sezione!$AD$5</f>
        <v>-4912231.6369345095</v>
      </c>
      <c r="Q2617" s="545">
        <f>'Foglio deposito bis'!$F$88*IF(ABS(K2617)&lt;'Sollecitazioni nel paramento'!$G$58,ABS(K2617)*'Sollecitazioni nel paramento'!$G$54,'Sollecitazioni nel paramento'!$G$53)*IF(K2617&lt;0,-1,1)</f>
        <v>0</v>
      </c>
      <c r="R2617" s="545">
        <f>'Foglio deposito bis'!$F$89*IF(ABS(L2617)&lt;'Sollecitazioni nel paramento'!$G$58,ABS(L2617)*'Sollecitazioni nel paramento'!$G$54,'Sollecitazioni nel paramento'!$G$53)*IF(L2617&lt;0,-1,1)</f>
        <v>-153664.85805602249</v>
      </c>
      <c r="S2617" s="545">
        <f>'Foglio deposito bis'!$F$90*IF(ABS(M2617)&lt;'Sollecitazioni nel paramento'!$G$58,ABS(M2617)*'Sollecitazioni nel paramento'!$G$54,'Sollecitazioni nel paramento'!$G$53)*IF(M2617&lt;0,-1,1)</f>
        <v>0</v>
      </c>
      <c r="T2617" s="545">
        <f>'Foglio deposito bis'!$F$91*IF(ABS(N2617)&lt;'Sollecitazioni nel paramento'!$G$58,ABS(N2617)*'Sollecitazioni nel paramento'!$G$54,'Sollecitazioni nel paramento'!$G$53)*IF(N2617&lt;0,-1,1)</f>
        <v>396126.15071723145</v>
      </c>
      <c r="U2617" s="545">
        <f>'Foglio deposito bis'!$F$92*IF(ABS(O2617)&lt;'Sollecitazioni nel paramento'!$G$58,ABS(O2617)*'Sollecitazioni nel paramento'!$G$54,'Sollecitazioni nel paramento'!$G$53)*IF(O2617&lt;0,-1,1)</f>
        <v>1662039.1047339395</v>
      </c>
      <c r="V2617" s="472">
        <f t="shared" si="185"/>
        <v>-3007731.2395393616</v>
      </c>
      <c r="W2617" s="551"/>
      <c r="X2617" s="551"/>
    </row>
    <row r="2618" spans="1:24" x14ac:dyDescent="0.25">
      <c r="A2618" s="545">
        <f t="shared" si="184"/>
        <v>3132356.3824410532</v>
      </c>
      <c r="B2618" s="3">
        <f t="shared" si="182"/>
        <v>11.299999999999981</v>
      </c>
      <c r="C2618" s="545">
        <f>'Foglio deposito bis'!$E$163/sezione!$B$247*B2618</f>
        <v>131.26336234027545</v>
      </c>
      <c r="D2618" s="603">
        <f>-'Sollecitazioni nel paramento'!$G$47*'Sollecitazioni nel paramento'!$G$41*IF(DATI!$G$211="dx",DATI!$E$61,DATI!$E$64*DATI!$E$63)*1000*C2618^2*sezione!$AD$5*(1-sezione!$AD$6)</f>
        <v>-383345768.96142036</v>
      </c>
      <c r="E2618" s="545">
        <f>-'Foglio deposito bis'!$F$88*(C2618-sezione!$AL$37)*IF(ABS(K2618)&lt;'Sollecitazioni nel paramento'!$G$58,ABS(K2618)*'Sollecitazioni nel paramento'!$G$54,'Sollecitazioni nel paramento'!$G$53)</f>
        <v>0</v>
      </c>
      <c r="F2618" s="545">
        <f>-'Foglio deposito bis'!$F$89*(C2618-sezione!$AM$37)*IF(ABS(L2618)&lt;'Sollecitazioni nel paramento'!$G$58,ABS(L2618)*'Sollecitazioni nel paramento'!$G$54,'Sollecitazioni nel paramento'!$G$53)</f>
        <v>-10950674.458613325</v>
      </c>
      <c r="G2618" s="545">
        <f>-'Foglio deposito bis'!$F$90*(C2618-sezione!$AN$37)*IF(ABS(M2618)&lt;'Sollecitazioni nel paramento'!$G$58,ABS(M2618)*'Sollecitazioni nel paramento'!$G$54,'Sollecitazioni nel paramento'!$G$53)</f>
        <v>0</v>
      </c>
      <c r="H2618" s="545">
        <f>-'Foglio deposito bis'!$F$91*(C2618-sezione!$AO$37)*IF(ABS(N2618)&lt;'Sollecitazioni nel paramento'!$G$58,ABS(N2618)*'Sollecitazioni nel paramento'!$G$54,'Sollecitazioni nel paramento'!$G$53)</f>
        <v>10345467.899380717</v>
      </c>
      <c r="I2618" s="472">
        <f>-'Foglio deposito bis'!$F$92*(C2618-sezione!$AP$37)*IF(ABS(O2618)&lt;'Sollecitazioni nel paramento'!$G$58,ABS(O2618)*'Sollecitazioni nel paramento'!$G$54,'Sollecitazioni nel paramento'!$G$53)</f>
        <v>1142113042.9697344</v>
      </c>
      <c r="J2618" s="472">
        <f t="shared" si="183"/>
        <v>758162067.44908142</v>
      </c>
      <c r="K2618" s="550">
        <f>'Sollecitazioni nel paramento'!$G$60*(sezione!$AL$37-C2618)/C2618</f>
        <v>-2.4334419178058501E-3</v>
      </c>
      <c r="L2618" s="550">
        <f>'Sollecitazioni nel paramento'!$G$60*(sezione!$AM$37-C2618)/C2618</f>
        <v>-1.900162876708775E-3</v>
      </c>
      <c r="M2618" s="551">
        <f>'Sollecitazioni nel paramento'!$G$60*(sezione!$AN$37-C2618)/C2618</f>
        <v>-1.3668838356117E-3</v>
      </c>
      <c r="N2618" s="551">
        <f>'Sollecitazioni nel paramento'!$G$60*(sezione!$AO$37-C2618)/C2618</f>
        <v>7.6623232877660007E-4</v>
      </c>
      <c r="O2618" s="551">
        <f>'Sollecitazioni nel paramento'!$G$60*(sezione!$AP$37-C2618)/C2618</f>
        <v>1.8322822448779325E-2</v>
      </c>
      <c r="P2618" s="545">
        <f>-'Sollecitazioni nel paramento'!$G$47*'Sollecitazioni nel paramento'!$G$41*IF(DATI!$G$211="dx",DATI!$E$61,DATI!$E$64*DATI!$E$63)*1000*C2618*sezione!$AD$5</f>
        <v>-5000740.3150774725</v>
      </c>
      <c r="Q2618" s="545">
        <f>'Foglio deposito bis'!$F$88*IF(ABS(K2618)&lt;'Sollecitazioni nel paramento'!$G$58,ABS(K2618)*'Sollecitazioni nel paramento'!$G$54,'Sollecitazioni nel paramento'!$G$53)*IF(K2618&lt;0,-1,1)</f>
        <v>0</v>
      </c>
      <c r="R2618" s="545">
        <f>'Foglio deposito bis'!$F$89*IF(ABS(L2618)&lt;'Sollecitazioni nel paramento'!$G$58,ABS(L2618)*'Sollecitazioni nel paramento'!$G$54,'Sollecitazioni nel paramento'!$G$53)*IF(L2618&lt;0,-1,1)</f>
        <v>-153664.85805602249</v>
      </c>
      <c r="S2618" s="545">
        <f>'Foglio deposito bis'!$F$90*IF(ABS(M2618)&lt;'Sollecitazioni nel paramento'!$G$58,ABS(M2618)*'Sollecitazioni nel paramento'!$G$54,'Sollecitazioni nel paramento'!$G$53)*IF(M2618&lt;0,-1,1)</f>
        <v>0</v>
      </c>
      <c r="T2618" s="545">
        <f>'Foglio deposito bis'!$F$91*IF(ABS(N2618)&lt;'Sollecitazioni nel paramento'!$G$58,ABS(N2618)*'Sollecitazioni nel paramento'!$G$54,'Sollecitazioni nel paramento'!$G$53)*IF(N2618&lt;0,-1,1)</f>
        <v>360009.68595850264</v>
      </c>
      <c r="U2618" s="545">
        <f>'Foglio deposito bis'!$F$92*IF(ABS(O2618)&lt;'Sollecitazioni nel paramento'!$G$58,ABS(O2618)*'Sollecitazioni nel paramento'!$G$54,'Sollecitazioni nel paramento'!$G$53)*IF(O2618&lt;0,-1,1)</f>
        <v>1662039.1047339395</v>
      </c>
      <c r="V2618" s="472">
        <f t="shared" si="185"/>
        <v>-3132356.3824410532</v>
      </c>
      <c r="W2618" s="551"/>
      <c r="X2618" s="551"/>
    </row>
    <row r="2619" spans="1:24" x14ac:dyDescent="0.25">
      <c r="A2619" s="545">
        <f t="shared" si="184"/>
        <v>3255725.3004815737</v>
      </c>
      <c r="B2619" s="3">
        <f t="shared" si="182"/>
        <v>11.49999999999998</v>
      </c>
      <c r="C2619" s="545">
        <f>'Foglio deposito bis'!$E$163/sezione!$B$247*B2619</f>
        <v>133.58660769143077</v>
      </c>
      <c r="D2619" s="603">
        <f>-'Sollecitazioni nel paramento'!$G$47*'Sollecitazioni nel paramento'!$G$41*IF(DATI!$G$211="dx",DATI!$E$61,DATI!$E$64*DATI!$E$63)*1000*C2619^2*sezione!$AD$5*(1-sezione!$AD$6)</f>
        <v>-397035617.08158696</v>
      </c>
      <c r="E2619" s="545">
        <f>-'Foglio deposito bis'!$F$88*(C2619-sezione!$AL$37)*IF(ABS(K2619)&lt;'Sollecitazioni nel paramento'!$G$58,ABS(K2619)*'Sollecitazioni nel paramento'!$G$54,'Sollecitazioni nel paramento'!$G$53)</f>
        <v>0</v>
      </c>
      <c r="F2619" s="545">
        <f>-'Foglio deposito bis'!$F$89*(C2619-sezione!$AM$37)*IF(ABS(L2619)&lt;'Sollecitazioni nel paramento'!$G$58,ABS(L2619)*'Sollecitazioni nel paramento'!$G$54,'Sollecitazioni nel paramento'!$G$53)</f>
        <v>-11307675.625727922</v>
      </c>
      <c r="G2619" s="545">
        <f>-'Foglio deposito bis'!$F$90*(C2619-sezione!$AN$37)*IF(ABS(M2619)&lt;'Sollecitazioni nel paramento'!$G$58,ABS(M2619)*'Sollecitazioni nel paramento'!$G$54,'Sollecitazioni nel paramento'!$G$53)</f>
        <v>0</v>
      </c>
      <c r="H2619" s="545">
        <f>-'Foglio deposito bis'!$F$91*(C2619-sezione!$AO$37)*IF(ABS(N2619)&lt;'Sollecitazioni nel paramento'!$G$58,ABS(N2619)*'Sollecitazioni nel paramento'!$G$54,'Sollecitazioni nel paramento'!$G$53)</f>
        <v>8588299.8777217548</v>
      </c>
      <c r="I2619" s="472">
        <f>-'Foglio deposito bis'!$F$92*(C2619-sezione!$AP$37)*IF(ABS(O2619)&lt;'Sollecitazioni nel paramento'!$G$58,ABS(O2619)*'Sollecitazioni nel paramento'!$G$54,'Sollecitazioni nel paramento'!$G$53)</f>
        <v>1138251718.3462229</v>
      </c>
      <c r="J2619" s="472">
        <f t="shared" si="183"/>
        <v>738496725.5166297</v>
      </c>
      <c r="K2619" s="550">
        <f>'Sollecitazioni nel paramento'!$G$60*(sezione!$AL$37-C2619)/C2619</f>
        <v>-2.4519907540179221E-3</v>
      </c>
      <c r="L2619" s="550">
        <f>'Sollecitazioni nel paramento'!$G$60*(sezione!$AM$37-C2619)/C2619</f>
        <v>-1.9279861310268834E-3</v>
      </c>
      <c r="M2619" s="551">
        <f>'Sollecitazioni nel paramento'!$G$60*(sezione!$AN$37-C2619)/C2619</f>
        <v>-1.4039815080358444E-3</v>
      </c>
      <c r="N2619" s="551">
        <f>'Sollecitazioni nel paramento'!$G$60*(sezione!$AO$37-C2619)/C2619</f>
        <v>6.9203698392831126E-4</v>
      </c>
      <c r="O2619" s="551">
        <f>'Sollecitazioni nel paramento'!$G$60*(sezione!$AP$37-C2619)/C2619</f>
        <v>1.7943295101844035E-2</v>
      </c>
      <c r="P2619" s="545">
        <f>-'Sollecitazioni nel paramento'!$G$47*'Sollecitazioni nel paramento'!$G$41*IF(DATI!$G$211="dx",DATI!$E$61,DATI!$E$64*DATI!$E$63)*1000*C2619*sezione!$AD$5</f>
        <v>-5089248.9932204373</v>
      </c>
      <c r="Q2619" s="545">
        <f>'Foglio deposito bis'!$F$88*IF(ABS(K2619)&lt;'Sollecitazioni nel paramento'!$G$58,ABS(K2619)*'Sollecitazioni nel paramento'!$G$54,'Sollecitazioni nel paramento'!$G$53)*IF(K2619&lt;0,-1,1)</f>
        <v>0</v>
      </c>
      <c r="R2619" s="545">
        <f>'Foglio deposito bis'!$F$89*IF(ABS(L2619)&lt;'Sollecitazioni nel paramento'!$G$58,ABS(L2619)*'Sollecitazioni nel paramento'!$G$54,'Sollecitazioni nel paramento'!$G$53)*IF(L2619&lt;0,-1,1)</f>
        <v>-153664.85805602249</v>
      </c>
      <c r="S2619" s="545">
        <f>'Foglio deposito bis'!$F$90*IF(ABS(M2619)&lt;'Sollecitazioni nel paramento'!$G$58,ABS(M2619)*'Sollecitazioni nel paramento'!$G$54,'Sollecitazioni nel paramento'!$G$53)*IF(M2619&lt;0,-1,1)</f>
        <v>0</v>
      </c>
      <c r="T2619" s="545">
        <f>'Foglio deposito bis'!$F$91*IF(ABS(N2619)&lt;'Sollecitazioni nel paramento'!$G$58,ABS(N2619)*'Sollecitazioni nel paramento'!$G$54,'Sollecitazioni nel paramento'!$G$53)*IF(N2619&lt;0,-1,1)</f>
        <v>325149.44606094668</v>
      </c>
      <c r="U2619" s="545">
        <f>'Foglio deposito bis'!$F$92*IF(ABS(O2619)&lt;'Sollecitazioni nel paramento'!$G$58,ABS(O2619)*'Sollecitazioni nel paramento'!$G$54,'Sollecitazioni nel paramento'!$G$53)*IF(O2619&lt;0,-1,1)</f>
        <v>1662039.1047339395</v>
      </c>
      <c r="V2619" s="472">
        <f t="shared" si="185"/>
        <v>-3255725.3004815737</v>
      </c>
      <c r="W2619" s="551"/>
      <c r="X2619" s="551"/>
    </row>
    <row r="2620" spans="1:24" x14ac:dyDescent="0.25">
      <c r="A2620" s="545">
        <f t="shared" si="184"/>
        <v>3377902.4154486731</v>
      </c>
      <c r="B2620" s="3">
        <f t="shared" si="182"/>
        <v>11.69999999999998</v>
      </c>
      <c r="C2620" s="545">
        <f>'Foglio deposito bis'!$E$163/sezione!$B$247*B2620</f>
        <v>135.90985304258609</v>
      </c>
      <c r="D2620" s="603">
        <f>-'Sollecitazioni nel paramento'!$G$47*'Sollecitazioni nel paramento'!$G$41*IF(DATI!$G$211="dx",DATI!$E$61,DATI!$E$64*DATI!$E$63)*1000*C2620^2*sezione!$AD$5*(1-sezione!$AD$6)</f>
        <v>-410965637.97579169</v>
      </c>
      <c r="E2620" s="545">
        <f>-'Foglio deposito bis'!$F$88*(C2620-sezione!$AL$37)*IF(ABS(K2620)&lt;'Sollecitazioni nel paramento'!$G$58,ABS(K2620)*'Sollecitazioni nel paramento'!$G$54,'Sollecitazioni nel paramento'!$G$53)</f>
        <v>0</v>
      </c>
      <c r="F2620" s="545">
        <f>-'Foglio deposito bis'!$F$89*(C2620-sezione!$AM$37)*IF(ABS(L2620)&lt;'Sollecitazioni nel paramento'!$G$58,ABS(L2620)*'Sollecitazioni nel paramento'!$G$54,'Sollecitazioni nel paramento'!$G$53)</f>
        <v>-11664676.792842519</v>
      </c>
      <c r="G2620" s="545">
        <f>-'Foglio deposito bis'!$F$90*(C2620-sezione!$AN$37)*IF(ABS(M2620)&lt;'Sollecitazioni nel paramento'!$G$58,ABS(M2620)*'Sollecitazioni nel paramento'!$G$54,'Sollecitazioni nel paramento'!$G$53)</f>
        <v>0</v>
      </c>
      <c r="H2620" s="545">
        <f>-'Foglio deposito bis'!$F$91*(C2620-sezione!$AO$37)*IF(ABS(N2620)&lt;'Sollecitazioni nel paramento'!$G$58,ABS(N2620)*'Sollecitazioni nel paramento'!$G$54,'Sollecitazioni nel paramento'!$G$53)</f>
        <v>7021820.3478101082</v>
      </c>
      <c r="I2620" s="472">
        <f>-'Foglio deposito bis'!$F$92*(C2620-sezione!$AP$37)*IF(ABS(O2620)&lt;'Sollecitazioni nel paramento'!$G$58,ABS(O2620)*'Sollecitazioni nel paramento'!$G$54,'Sollecitazioni nel paramento'!$G$53)</f>
        <v>1134390393.7227116</v>
      </c>
      <c r="J2620" s="472">
        <f t="shared" si="183"/>
        <v>718781899.30188751</v>
      </c>
      <c r="K2620" s="550">
        <f>'Sollecitazioni nel paramento'!$G$60*(sezione!$AL$37-C2620)/C2620</f>
        <v>-2.4699054419834278E-3</v>
      </c>
      <c r="L2620" s="550">
        <f>'Sollecitazioni nel paramento'!$G$60*(sezione!$AM$37-C2620)/C2620</f>
        <v>-1.9548581629751419E-3</v>
      </c>
      <c r="M2620" s="551">
        <f>'Sollecitazioni nel paramento'!$G$60*(sezione!$AN$37-C2620)/C2620</f>
        <v>-1.4398108839668556E-3</v>
      </c>
      <c r="N2620" s="551">
        <f>'Sollecitazioni nel paramento'!$G$60*(sezione!$AO$37-C2620)/C2620</f>
        <v>6.2037823206628881E-4</v>
      </c>
      <c r="O2620" s="551">
        <f>'Sollecitazioni nel paramento'!$G$60*(sezione!$AP$37-C2620)/C2620</f>
        <v>1.7576743048821061E-2</v>
      </c>
      <c r="P2620" s="545">
        <f>-'Sollecitazioni nel paramento'!$G$47*'Sollecitazioni nel paramento'!$G$41*IF(DATI!$G$211="dx",DATI!$E$61,DATI!$E$64*DATI!$E$63)*1000*C2620*sezione!$AD$5</f>
        <v>-5177757.6713634012</v>
      </c>
      <c r="Q2620" s="545">
        <f>'Foglio deposito bis'!$F$88*IF(ABS(K2620)&lt;'Sollecitazioni nel paramento'!$G$58,ABS(K2620)*'Sollecitazioni nel paramento'!$G$54,'Sollecitazioni nel paramento'!$G$53)*IF(K2620&lt;0,-1,1)</f>
        <v>0</v>
      </c>
      <c r="R2620" s="545">
        <f>'Foglio deposito bis'!$F$89*IF(ABS(L2620)&lt;'Sollecitazioni nel paramento'!$G$58,ABS(L2620)*'Sollecitazioni nel paramento'!$G$54,'Sollecitazioni nel paramento'!$G$53)*IF(L2620&lt;0,-1,1)</f>
        <v>-153664.85805602249</v>
      </c>
      <c r="S2620" s="545">
        <f>'Foglio deposito bis'!$F$90*IF(ABS(M2620)&lt;'Sollecitazioni nel paramento'!$G$58,ABS(M2620)*'Sollecitazioni nel paramento'!$G$54,'Sollecitazioni nel paramento'!$G$53)*IF(M2620&lt;0,-1,1)</f>
        <v>0</v>
      </c>
      <c r="T2620" s="545">
        <f>'Foglio deposito bis'!$F$91*IF(ABS(N2620)&lt;'Sollecitazioni nel paramento'!$G$58,ABS(N2620)*'Sollecitazioni nel paramento'!$G$54,'Sollecitazioni nel paramento'!$G$53)*IF(N2620&lt;0,-1,1)</f>
        <v>291481.00923681149</v>
      </c>
      <c r="U2620" s="545">
        <f>'Foglio deposito bis'!$F$92*IF(ABS(O2620)&lt;'Sollecitazioni nel paramento'!$G$58,ABS(O2620)*'Sollecitazioni nel paramento'!$G$54,'Sollecitazioni nel paramento'!$G$53)*IF(O2620&lt;0,-1,1)</f>
        <v>1662039.1047339395</v>
      </c>
      <c r="V2620" s="472">
        <f t="shared" si="185"/>
        <v>-3377902.4154486731</v>
      </c>
      <c r="W2620" s="551"/>
      <c r="X2620" s="551"/>
    </row>
    <row r="2621" spans="1:24" x14ac:dyDescent="0.25">
      <c r="A2621" s="545">
        <f t="shared" si="184"/>
        <v>3498947.8182536159</v>
      </c>
      <c r="B2621" s="3">
        <f t="shared" si="182"/>
        <v>11.899999999999979</v>
      </c>
      <c r="C2621" s="545">
        <f>'Foglio deposito bis'!$E$163/sezione!$B$247*B2621</f>
        <v>138.23309839374139</v>
      </c>
      <c r="D2621" s="603">
        <f>-'Sollecitazioni nel paramento'!$G$47*'Sollecitazioni nel paramento'!$G$41*IF(DATI!$G$211="dx",DATI!$E$61,DATI!$E$64*DATI!$E$63)*1000*C2621^2*sezione!$AD$5*(1-sezione!$AD$6)</f>
        <v>-425135831.64403421</v>
      </c>
      <c r="E2621" s="545">
        <f>-'Foglio deposito bis'!$F$88*(C2621-sezione!$AL$37)*IF(ABS(K2621)&lt;'Sollecitazioni nel paramento'!$G$58,ABS(K2621)*'Sollecitazioni nel paramento'!$G$54,'Sollecitazioni nel paramento'!$G$53)</f>
        <v>0</v>
      </c>
      <c r="F2621" s="545">
        <f>-'Foglio deposito bis'!$F$89*(C2621-sezione!$AM$37)*IF(ABS(L2621)&lt;'Sollecitazioni nel paramento'!$G$58,ABS(L2621)*'Sollecitazioni nel paramento'!$G$54,'Sollecitazioni nel paramento'!$G$53)</f>
        <v>-12021677.959957112</v>
      </c>
      <c r="G2621" s="545">
        <f>-'Foglio deposito bis'!$F$90*(C2621-sezione!$AN$37)*IF(ABS(M2621)&lt;'Sollecitazioni nel paramento'!$G$58,ABS(M2621)*'Sollecitazioni nel paramento'!$G$54,'Sollecitazioni nel paramento'!$G$53)</f>
        <v>0</v>
      </c>
      <c r="H2621" s="545">
        <f>-'Foglio deposito bis'!$F$91*(C2621-sezione!$AO$37)*IF(ABS(N2621)&lt;'Sollecitazioni nel paramento'!$G$58,ABS(N2621)*'Sollecitazioni nel paramento'!$G$54,'Sollecitazioni nel paramento'!$G$53)</f>
        <v>5636414.763843406</v>
      </c>
      <c r="I2621" s="472">
        <f>-'Foglio deposito bis'!$F$92*(C2621-sezione!$AP$37)*IF(ABS(O2621)&lt;'Sollecitazioni nel paramento'!$G$58,ABS(O2621)*'Sollecitazioni nel paramento'!$G$54,'Sollecitazioni nel paramento'!$G$53)</f>
        <v>1130529069.0991998</v>
      </c>
      <c r="J2621" s="472">
        <f t="shared" si="183"/>
        <v>699007974.2590518</v>
      </c>
      <c r="K2621" s="550">
        <f>'Sollecitazioni nel paramento'!$G$60*(sezione!$AL$37-C2621)/C2621</f>
        <v>-2.4872179555635384E-3</v>
      </c>
      <c r="L2621" s="550">
        <f>'Sollecitazioni nel paramento'!$G$60*(sezione!$AM$37-C2621)/C2621</f>
        <v>-1.9808269333453071E-3</v>
      </c>
      <c r="M2621" s="551">
        <f>'Sollecitazioni nel paramento'!$G$60*(sezione!$AN$37-C2621)/C2621</f>
        <v>-1.4744359111270762E-3</v>
      </c>
      <c r="N2621" s="551">
        <f>'Sollecitazioni nel paramento'!$G$60*(sezione!$AO$37-C2621)/C2621</f>
        <v>5.5112817774584768E-4</v>
      </c>
      <c r="O2621" s="551">
        <f>'Sollecitazioni nel paramento'!$G$60*(sezione!$AP$37-C2621)/C2621</f>
        <v>1.7222512073210624E-2</v>
      </c>
      <c r="P2621" s="545">
        <f>-'Sollecitazioni nel paramento'!$G$47*'Sollecitazioni nel paramento'!$G$41*IF(DATI!$G$211="dx",DATI!$E$61,DATI!$E$64*DATI!$E$63)*1000*C2621*sezione!$AD$5</f>
        <v>-5266266.3495063651</v>
      </c>
      <c r="Q2621" s="545">
        <f>'Foglio deposito bis'!$F$88*IF(ABS(K2621)&lt;'Sollecitazioni nel paramento'!$G$58,ABS(K2621)*'Sollecitazioni nel paramento'!$G$54,'Sollecitazioni nel paramento'!$G$53)*IF(K2621&lt;0,-1,1)</f>
        <v>0</v>
      </c>
      <c r="R2621" s="545">
        <f>'Foglio deposito bis'!$F$89*IF(ABS(L2621)&lt;'Sollecitazioni nel paramento'!$G$58,ABS(L2621)*'Sollecitazioni nel paramento'!$G$54,'Sollecitazioni nel paramento'!$G$53)*IF(L2621&lt;0,-1,1)</f>
        <v>-153664.85805602249</v>
      </c>
      <c r="S2621" s="545">
        <f>'Foglio deposito bis'!$F$90*IF(ABS(M2621)&lt;'Sollecitazioni nel paramento'!$G$58,ABS(M2621)*'Sollecitazioni nel paramento'!$G$54,'Sollecitazioni nel paramento'!$G$53)*IF(M2621&lt;0,-1,1)</f>
        <v>0</v>
      </c>
      <c r="T2621" s="545">
        <f>'Foglio deposito bis'!$F$91*IF(ABS(N2621)&lt;'Sollecitazioni nel paramento'!$G$58,ABS(N2621)*'Sollecitazioni nel paramento'!$G$54,'Sollecitazioni nel paramento'!$G$53)*IF(N2621&lt;0,-1,1)</f>
        <v>258944.28457483239</v>
      </c>
      <c r="U2621" s="545">
        <f>'Foglio deposito bis'!$F$92*IF(ABS(O2621)&lt;'Sollecitazioni nel paramento'!$G$58,ABS(O2621)*'Sollecitazioni nel paramento'!$G$54,'Sollecitazioni nel paramento'!$G$53)*IF(O2621&lt;0,-1,1)</f>
        <v>1662039.1047339395</v>
      </c>
      <c r="V2621" s="472">
        <f t="shared" si="185"/>
        <v>-3498947.8182536159</v>
      </c>
      <c r="W2621" s="551"/>
      <c r="X2621" s="551"/>
    </row>
    <row r="2622" spans="1:24" x14ac:dyDescent="0.25">
      <c r="A2622" s="545">
        <f t="shared" si="184"/>
        <v>3618917.6268548574</v>
      </c>
      <c r="B2622" s="3">
        <f t="shared" si="182"/>
        <v>12.099999999999978</v>
      </c>
      <c r="C2622" s="545">
        <f>'Foglio deposito bis'!$E$163/sezione!$B$247*B2622</f>
        <v>140.55634374489671</v>
      </c>
      <c r="D2622" s="603">
        <f>-'Sollecitazioni nel paramento'!$G$47*'Sollecitazioni nel paramento'!$G$41*IF(DATI!$G$211="dx",DATI!$E$61,DATI!$E$64*DATI!$E$63)*1000*C2622^2*sezione!$AD$5*(1-sezione!$AD$6)</f>
        <v>-439546198.08631486</v>
      </c>
      <c r="E2622" s="545">
        <f>-'Foglio deposito bis'!$F$88*(C2622-sezione!$AL$37)*IF(ABS(K2622)&lt;'Sollecitazioni nel paramento'!$G$58,ABS(K2622)*'Sollecitazioni nel paramento'!$G$54,'Sollecitazioni nel paramento'!$G$53)</f>
        <v>0</v>
      </c>
      <c r="F2622" s="545">
        <f>-'Foglio deposito bis'!$F$89*(C2622-sezione!$AM$37)*IF(ABS(L2622)&lt;'Sollecitazioni nel paramento'!$G$58,ABS(L2622)*'Sollecitazioni nel paramento'!$G$54,'Sollecitazioni nel paramento'!$G$53)</f>
        <v>-12378679.127071708</v>
      </c>
      <c r="G2622" s="545">
        <f>-'Foglio deposito bis'!$F$90*(C2622-sezione!$AN$37)*IF(ABS(M2622)&lt;'Sollecitazioni nel paramento'!$G$58,ABS(M2622)*'Sollecitazioni nel paramento'!$G$54,'Sollecitazioni nel paramento'!$G$53)</f>
        <v>0</v>
      </c>
      <c r="H2622" s="545">
        <f>-'Foglio deposito bis'!$F$91*(C2622-sezione!$AO$37)*IF(ABS(N2622)&lt;'Sollecitazioni nel paramento'!$G$58,ABS(N2622)*'Sollecitazioni nel paramento'!$G$54,'Sollecitazioni nel paramento'!$G$53)</f>
        <v>4423104.2524689753</v>
      </c>
      <c r="I2622" s="472">
        <f>-'Foglio deposito bis'!$F$92*(C2622-sezione!$AP$37)*IF(ABS(O2622)&lt;'Sollecitazioni nel paramento'!$G$58,ABS(O2622)*'Sollecitazioni nel paramento'!$G$54,'Sollecitazioni nel paramento'!$G$53)</f>
        <v>1126667744.4756887</v>
      </c>
      <c r="J2622" s="472">
        <f t="shared" si="183"/>
        <v>679165971.51477122</v>
      </c>
      <c r="K2622" s="550">
        <f>'Sollecitazioni nel paramento'!$G$60*(sezione!$AL$37-C2622)/C2622</f>
        <v>-2.5039581546451328E-3</v>
      </c>
      <c r="L2622" s="550">
        <f>'Sollecitazioni nel paramento'!$G$60*(sezione!$AM$37-C2622)/C2622</f>
        <v>-2.0059372319676991E-3</v>
      </c>
      <c r="M2622" s="551">
        <f>'Sollecitazioni nel paramento'!$G$60*(sezione!$AN$37-C2622)/C2622</f>
        <v>-1.5079163092902653E-3</v>
      </c>
      <c r="N2622" s="551">
        <f>'Sollecitazioni nel paramento'!$G$60*(sezione!$AO$37-C2622)/C2622</f>
        <v>4.8416738141946988E-4</v>
      </c>
      <c r="O2622" s="551">
        <f>'Sollecitazioni nel paramento'!$G$60*(sezione!$AP$37-C2622)/C2622</f>
        <v>1.6879991212496399E-2</v>
      </c>
      <c r="P2622" s="545">
        <f>-'Sollecitazioni nel paramento'!$G$47*'Sollecitazioni nel paramento'!$G$41*IF(DATI!$G$211="dx",DATI!$E$61,DATI!$E$64*DATI!$E$63)*1000*C2622*sezione!$AD$5</f>
        <v>-5354775.027649329</v>
      </c>
      <c r="Q2622" s="545">
        <f>'Foglio deposito bis'!$F$88*IF(ABS(K2622)&lt;'Sollecitazioni nel paramento'!$G$58,ABS(K2622)*'Sollecitazioni nel paramento'!$G$54,'Sollecitazioni nel paramento'!$G$53)*IF(K2622&lt;0,-1,1)</f>
        <v>0</v>
      </c>
      <c r="R2622" s="545">
        <f>'Foglio deposito bis'!$F$89*IF(ABS(L2622)&lt;'Sollecitazioni nel paramento'!$G$58,ABS(L2622)*'Sollecitazioni nel paramento'!$G$54,'Sollecitazioni nel paramento'!$G$53)*IF(L2622&lt;0,-1,1)</f>
        <v>-153664.85805602249</v>
      </c>
      <c r="S2622" s="545">
        <f>'Foglio deposito bis'!$F$90*IF(ABS(M2622)&lt;'Sollecitazioni nel paramento'!$G$58,ABS(M2622)*'Sollecitazioni nel paramento'!$G$54,'Sollecitazioni nel paramento'!$G$53)*IF(M2622&lt;0,-1,1)</f>
        <v>0</v>
      </c>
      <c r="T2622" s="545">
        <f>'Foglio deposito bis'!$F$91*IF(ABS(N2622)&lt;'Sollecitazioni nel paramento'!$G$58,ABS(N2622)*'Sollecitazioni nel paramento'!$G$54,'Sollecitazioni nel paramento'!$G$53)*IF(N2622&lt;0,-1,1)</f>
        <v>227483.15411655471</v>
      </c>
      <c r="U2622" s="545">
        <f>'Foglio deposito bis'!$F$92*IF(ABS(O2622)&lt;'Sollecitazioni nel paramento'!$G$58,ABS(O2622)*'Sollecitazioni nel paramento'!$G$54,'Sollecitazioni nel paramento'!$G$53)*IF(O2622&lt;0,-1,1)</f>
        <v>1662039.1047339395</v>
      </c>
      <c r="V2622" s="472">
        <f t="shared" si="185"/>
        <v>-3618917.6268548574</v>
      </c>
      <c r="W2622" s="551"/>
      <c r="X2622" s="551"/>
    </row>
    <row r="2623" spans="1:24" x14ac:dyDescent="0.25">
      <c r="A2623" s="545">
        <f t="shared" si="184"/>
        <v>3737864.3092623344</v>
      </c>
      <c r="B2623" s="3">
        <f t="shared" si="182"/>
        <v>12.299999999999978</v>
      </c>
      <c r="C2623" s="545">
        <f>'Foglio deposito bis'!$E$163/sezione!$B$247*B2623</f>
        <v>142.87958909605203</v>
      </c>
      <c r="D2623" s="603">
        <f>-'Sollecitazioni nel paramento'!$G$47*'Sollecitazioni nel paramento'!$G$41*IF(DATI!$G$211="dx",DATI!$E$61,DATI!$E$64*DATI!$E$63)*1000*C2623^2*sezione!$AD$5*(1-sezione!$AD$6)</f>
        <v>-454196737.30263352</v>
      </c>
      <c r="E2623" s="545">
        <f>-'Foglio deposito bis'!$F$88*(C2623-sezione!$AL$37)*IF(ABS(K2623)&lt;'Sollecitazioni nel paramento'!$G$58,ABS(K2623)*'Sollecitazioni nel paramento'!$G$54,'Sollecitazioni nel paramento'!$G$53)</f>
        <v>0</v>
      </c>
      <c r="F2623" s="545">
        <f>-'Foglio deposito bis'!$F$89*(C2623-sezione!$AM$37)*IF(ABS(L2623)&lt;'Sollecitazioni nel paramento'!$G$58,ABS(L2623)*'Sollecitazioni nel paramento'!$G$54,'Sollecitazioni nel paramento'!$G$53)</f>
        <v>-12735680.294186305</v>
      </c>
      <c r="G2623" s="545">
        <f>-'Foglio deposito bis'!$F$90*(C2623-sezione!$AN$37)*IF(ABS(M2623)&lt;'Sollecitazioni nel paramento'!$G$58,ABS(M2623)*'Sollecitazioni nel paramento'!$G$54,'Sollecitazioni nel paramento'!$G$53)</f>
        <v>0</v>
      </c>
      <c r="H2623" s="545">
        <f>-'Foglio deposito bis'!$F$91*(C2623-sezione!$AO$37)*IF(ABS(N2623)&lt;'Sollecitazioni nel paramento'!$G$58,ABS(N2623)*'Sollecitazioni nel paramento'!$G$54,'Sollecitazioni nel paramento'!$G$53)</f>
        <v>3373493.9320969647</v>
      </c>
      <c r="I2623" s="472">
        <f>-'Foglio deposito bis'!$F$92*(C2623-sezione!$AP$37)*IF(ABS(O2623)&lt;'Sollecitazioni nel paramento'!$G$58,ABS(O2623)*'Sollecitazioni nel paramento'!$G$54,'Sollecitazioni nel paramento'!$G$53)</f>
        <v>1122806419.8521771</v>
      </c>
      <c r="J2623" s="472">
        <f t="shared" si="183"/>
        <v>659247496.18745422</v>
      </c>
      <c r="K2623" s="550">
        <f>'Sollecitazioni nel paramento'!$G$60*(sezione!$AL$37-C2623)/C2623</f>
        <v>-2.5201539570086262E-3</v>
      </c>
      <c r="L2623" s="550">
        <f>'Sollecitazioni nel paramento'!$G$60*(sezione!$AM$37-C2623)/C2623</f>
        <v>-2.0302309355129397E-3</v>
      </c>
      <c r="M2623" s="551">
        <f>'Sollecitazioni nel paramento'!$G$60*(sezione!$AN$37-C2623)/C2623</f>
        <v>-1.5403079140172526E-3</v>
      </c>
      <c r="N2623" s="551">
        <f>'Sollecitazioni nel paramento'!$G$60*(sezione!$AO$37-C2623)/C2623</f>
        <v>4.1938417196549465E-4</v>
      </c>
      <c r="O2623" s="551">
        <f>'Sollecitazioni nel paramento'!$G$60*(sezione!$AP$37-C2623)/C2623</f>
        <v>1.6548609241561499E-2</v>
      </c>
      <c r="P2623" s="545">
        <f>-'Sollecitazioni nel paramento'!$G$47*'Sollecitazioni nel paramento'!$G$41*IF(DATI!$G$211="dx",DATI!$E$61,DATI!$E$64*DATI!$E$63)*1000*C2623*sezione!$AD$5</f>
        <v>-5443283.705792293</v>
      </c>
      <c r="Q2623" s="545">
        <f>'Foglio deposito bis'!$F$88*IF(ABS(K2623)&lt;'Sollecitazioni nel paramento'!$G$58,ABS(K2623)*'Sollecitazioni nel paramento'!$G$54,'Sollecitazioni nel paramento'!$G$53)*IF(K2623&lt;0,-1,1)</f>
        <v>0</v>
      </c>
      <c r="R2623" s="545">
        <f>'Foglio deposito bis'!$F$89*IF(ABS(L2623)&lt;'Sollecitazioni nel paramento'!$G$58,ABS(L2623)*'Sollecitazioni nel paramento'!$G$54,'Sollecitazioni nel paramento'!$G$53)*IF(L2623&lt;0,-1,1)</f>
        <v>-153664.85805602249</v>
      </c>
      <c r="S2623" s="545">
        <f>'Foglio deposito bis'!$F$90*IF(ABS(M2623)&lt;'Sollecitazioni nel paramento'!$G$58,ABS(M2623)*'Sollecitazioni nel paramento'!$G$54,'Sollecitazioni nel paramento'!$G$53)*IF(M2623&lt;0,-1,1)</f>
        <v>0</v>
      </c>
      <c r="T2623" s="545">
        <f>'Foglio deposito bis'!$F$91*IF(ABS(N2623)&lt;'Sollecitazioni nel paramento'!$G$58,ABS(N2623)*'Sollecitazioni nel paramento'!$G$54,'Sollecitazioni nel paramento'!$G$53)*IF(N2623&lt;0,-1,1)</f>
        <v>197045.14985204217</v>
      </c>
      <c r="U2623" s="545">
        <f>'Foglio deposito bis'!$F$92*IF(ABS(O2623)&lt;'Sollecitazioni nel paramento'!$G$58,ABS(O2623)*'Sollecitazioni nel paramento'!$G$54,'Sollecitazioni nel paramento'!$G$53)*IF(O2623&lt;0,-1,1)</f>
        <v>1662039.1047339395</v>
      </c>
      <c r="V2623" s="472">
        <f t="shared" si="185"/>
        <v>-3737864.3092623344</v>
      </c>
      <c r="W2623" s="551"/>
      <c r="X2623" s="551"/>
    </row>
    <row r="2624" spans="1:24" x14ac:dyDescent="0.25">
      <c r="A2624" s="545">
        <f t="shared" si="184"/>
        <v>3855836.9755333476</v>
      </c>
      <c r="B2624" s="3">
        <f t="shared" si="182"/>
        <v>12.499999999999977</v>
      </c>
      <c r="C2624" s="545">
        <f>'Foglio deposito bis'!$E$163/sezione!$B$247*B2624</f>
        <v>145.20283444720735</v>
      </c>
      <c r="D2624" s="603">
        <f>-'Sollecitazioni nel paramento'!$G$47*'Sollecitazioni nel paramento'!$G$41*IF(DATI!$G$211="dx",DATI!$E$61,DATI!$E$64*DATI!$E$63)*1000*C2624^2*sezione!$AD$5*(1-sezione!$AD$6)</f>
        <v>-469087449.29299027</v>
      </c>
      <c r="E2624" s="545">
        <f>-'Foglio deposito bis'!$F$88*(C2624-sezione!$AL$37)*IF(ABS(K2624)&lt;'Sollecitazioni nel paramento'!$G$58,ABS(K2624)*'Sollecitazioni nel paramento'!$G$54,'Sollecitazioni nel paramento'!$G$53)</f>
        <v>0</v>
      </c>
      <c r="F2624" s="545">
        <f>-'Foglio deposito bis'!$F$89*(C2624-sezione!$AM$37)*IF(ABS(L2624)&lt;'Sollecitazioni nel paramento'!$G$58,ABS(L2624)*'Sollecitazioni nel paramento'!$G$54,'Sollecitazioni nel paramento'!$G$53)</f>
        <v>-13092681.461300902</v>
      </c>
      <c r="G2624" s="545">
        <f>-'Foglio deposito bis'!$F$90*(C2624-sezione!$AN$37)*IF(ABS(M2624)&lt;'Sollecitazioni nel paramento'!$G$58,ABS(M2624)*'Sollecitazioni nel paramento'!$G$54,'Sollecitazioni nel paramento'!$G$53)</f>
        <v>0</v>
      </c>
      <c r="H2624" s="545">
        <f>-'Foglio deposito bis'!$F$91*(C2624-sezione!$AO$37)*IF(ABS(N2624)&lt;'Sollecitazioni nel paramento'!$G$58,ABS(N2624)*'Sollecitazioni nel paramento'!$G$54,'Sollecitazioni nel paramento'!$G$53)</f>
        <v>2479726.1935592582</v>
      </c>
      <c r="I2624" s="472">
        <f>-'Foglio deposito bis'!$F$92*(C2624-sezione!$AP$37)*IF(ABS(O2624)&lt;'Sollecitazioni nel paramento'!$G$58,ABS(O2624)*'Sollecitazioni nel paramento'!$G$54,'Sollecitazioni nel paramento'!$G$53)</f>
        <v>1118945095.2286656</v>
      </c>
      <c r="J2624" s="472">
        <f t="shared" si="183"/>
        <v>639244690.6679337</v>
      </c>
      <c r="K2624" s="550">
        <f>'Sollecitazioni nel paramento'!$G$60*(sezione!$AL$37-C2624)/C2624</f>
        <v>-2.5358314936964883E-3</v>
      </c>
      <c r="L2624" s="550">
        <f>'Sollecitazioni nel paramento'!$G$60*(sezione!$AM$37-C2624)/C2624</f>
        <v>-2.0537472405447324E-3</v>
      </c>
      <c r="M2624" s="551">
        <f>'Sollecitazioni nel paramento'!$G$60*(sezione!$AN$37-C2624)/C2624</f>
        <v>-1.5716629873929768E-3</v>
      </c>
      <c r="N2624" s="551">
        <f>'Sollecitazioni nel paramento'!$G$60*(sezione!$AO$37-C2624)/C2624</f>
        <v>3.5667402521404658E-4</v>
      </c>
      <c r="O2624" s="551">
        <f>'Sollecitazioni nel paramento'!$G$60*(sezione!$AP$37-C2624)/C2624</f>
        <v>1.6227831493696512E-2</v>
      </c>
      <c r="P2624" s="545">
        <f>-'Sollecitazioni nel paramento'!$G$47*'Sollecitazioni nel paramento'!$G$41*IF(DATI!$G$211="dx",DATI!$E$61,DATI!$E$64*DATI!$E$63)*1000*C2624*sezione!$AD$5</f>
        <v>-5531792.3839352578</v>
      </c>
      <c r="Q2624" s="545">
        <f>'Foglio deposito bis'!$F$88*IF(ABS(K2624)&lt;'Sollecitazioni nel paramento'!$G$58,ABS(K2624)*'Sollecitazioni nel paramento'!$G$54,'Sollecitazioni nel paramento'!$G$53)*IF(K2624&lt;0,-1,1)</f>
        <v>0</v>
      </c>
      <c r="R2624" s="545">
        <f>'Foglio deposito bis'!$F$89*IF(ABS(L2624)&lt;'Sollecitazioni nel paramento'!$G$58,ABS(L2624)*'Sollecitazioni nel paramento'!$G$54,'Sollecitazioni nel paramento'!$G$53)*IF(L2624&lt;0,-1,1)</f>
        <v>-153664.85805602249</v>
      </c>
      <c r="S2624" s="545">
        <f>'Foglio deposito bis'!$F$90*IF(ABS(M2624)&lt;'Sollecitazioni nel paramento'!$G$58,ABS(M2624)*'Sollecitazioni nel paramento'!$G$54,'Sollecitazioni nel paramento'!$G$53)*IF(M2624&lt;0,-1,1)</f>
        <v>0</v>
      </c>
      <c r="T2624" s="545">
        <f>'Foglio deposito bis'!$F$91*IF(ABS(N2624)&lt;'Sollecitazioni nel paramento'!$G$58,ABS(N2624)*'Sollecitazioni nel paramento'!$G$54,'Sollecitazioni nel paramento'!$G$53)*IF(N2624&lt;0,-1,1)</f>
        <v>167581.16172399401</v>
      </c>
      <c r="U2624" s="545">
        <f>'Foglio deposito bis'!$F$92*IF(ABS(O2624)&lt;'Sollecitazioni nel paramento'!$G$58,ABS(O2624)*'Sollecitazioni nel paramento'!$G$54,'Sollecitazioni nel paramento'!$G$53)*IF(O2624&lt;0,-1,1)</f>
        <v>1662039.1047339395</v>
      </c>
      <c r="V2624" s="472">
        <f t="shared" si="185"/>
        <v>-3855836.9755333476</v>
      </c>
      <c r="W2624" s="551"/>
      <c r="X2624" s="551"/>
    </row>
    <row r="2625" spans="1:24" x14ac:dyDescent="0.25">
      <c r="A2625" s="545">
        <f t="shared" si="184"/>
        <v>3972881.6421782766</v>
      </c>
      <c r="B2625" s="3">
        <f t="shared" si="182"/>
        <v>12.699999999999976</v>
      </c>
      <c r="C2625" s="545">
        <f>'Foglio deposito bis'!$E$163/sezione!$B$247*B2625</f>
        <v>147.52607979836264</v>
      </c>
      <c r="D2625" s="603">
        <f>-'Sollecitazioni nel paramento'!$G$47*'Sollecitazioni nel paramento'!$G$41*IF(DATI!$G$211="dx",DATI!$E$61,DATI!$E$64*DATI!$E$63)*1000*C2625^2*sezione!$AD$5*(1-sezione!$AD$6)</f>
        <v>-484218334.05738485</v>
      </c>
      <c r="E2625" s="545">
        <f>-'Foglio deposito bis'!$F$88*(C2625-sezione!$AL$37)*IF(ABS(K2625)&lt;'Sollecitazioni nel paramento'!$G$58,ABS(K2625)*'Sollecitazioni nel paramento'!$G$54,'Sollecitazioni nel paramento'!$G$53)</f>
        <v>0</v>
      </c>
      <c r="F2625" s="545">
        <f>-'Foglio deposito bis'!$F$89*(C2625-sezione!$AM$37)*IF(ABS(L2625)&lt;'Sollecitazioni nel paramento'!$G$58,ABS(L2625)*'Sollecitazioni nel paramento'!$G$54,'Sollecitazioni nel paramento'!$G$53)</f>
        <v>-13449682.628415493</v>
      </c>
      <c r="G2625" s="545">
        <f>-'Foglio deposito bis'!$F$90*(C2625-sezione!$AN$37)*IF(ABS(M2625)&lt;'Sollecitazioni nel paramento'!$G$58,ABS(M2625)*'Sollecitazioni nel paramento'!$G$54,'Sollecitazioni nel paramento'!$G$53)</f>
        <v>0</v>
      </c>
      <c r="H2625" s="545">
        <f>-'Foglio deposito bis'!$F$91*(C2625-sezione!$AO$37)*IF(ABS(N2625)&lt;'Sollecitazioni nel paramento'!$G$58,ABS(N2625)*'Sollecitazioni nel paramento'!$G$54,'Sollecitazioni nel paramento'!$G$53)</f>
        <v>1734438.3951944015</v>
      </c>
      <c r="I2625" s="472">
        <f>-'Foglio deposito bis'!$F$92*(C2625-sezione!$AP$37)*IF(ABS(O2625)&lt;'Sollecitazioni nel paramento'!$G$58,ABS(O2625)*'Sollecitazioni nel paramento'!$G$54,'Sollecitazioni nel paramento'!$G$53)</f>
        <v>1115083770.6051543</v>
      </c>
      <c r="J2625" s="472">
        <f t="shared" si="183"/>
        <v>619150192.31454837</v>
      </c>
      <c r="K2625" s="550">
        <f>'Sollecitazioni nel paramento'!$G$60*(sezione!$AL$37-C2625)/C2625</f>
        <v>-2.5510152497012677E-3</v>
      </c>
      <c r="L2625" s="550">
        <f>'Sollecitazioni nel paramento'!$G$60*(sezione!$AM$37-C2625)/C2625</f>
        <v>-2.0765228745519017E-3</v>
      </c>
      <c r="M2625" s="551">
        <f>'Sollecitazioni nel paramento'!$G$60*(sezione!$AN$37-C2625)/C2625</f>
        <v>-1.6020304994025358E-3</v>
      </c>
      <c r="N2625" s="551">
        <f>'Sollecitazioni nel paramento'!$G$60*(sezione!$AO$37-C2625)/C2625</f>
        <v>2.9593900119492838E-4</v>
      </c>
      <c r="O2625" s="551">
        <f>'Sollecitazioni nel paramento'!$G$60*(sezione!$AP$37-C2625)/C2625</f>
        <v>1.5917156981984759E-2</v>
      </c>
      <c r="P2625" s="545">
        <f>-'Sollecitazioni nel paramento'!$G$47*'Sollecitazioni nel paramento'!$G$41*IF(DATI!$G$211="dx",DATI!$E$61,DATI!$E$64*DATI!$E$63)*1000*C2625*sezione!$AD$5</f>
        <v>-5620301.0620782198</v>
      </c>
      <c r="Q2625" s="545">
        <f>'Foglio deposito bis'!$F$88*IF(ABS(K2625)&lt;'Sollecitazioni nel paramento'!$G$58,ABS(K2625)*'Sollecitazioni nel paramento'!$G$54,'Sollecitazioni nel paramento'!$G$53)*IF(K2625&lt;0,-1,1)</f>
        <v>0</v>
      </c>
      <c r="R2625" s="545">
        <f>'Foglio deposito bis'!$F$89*IF(ABS(L2625)&lt;'Sollecitazioni nel paramento'!$G$58,ABS(L2625)*'Sollecitazioni nel paramento'!$G$54,'Sollecitazioni nel paramento'!$G$53)*IF(L2625&lt;0,-1,1)</f>
        <v>-153664.85805602249</v>
      </c>
      <c r="S2625" s="545">
        <f>'Foglio deposito bis'!$F$90*IF(ABS(M2625)&lt;'Sollecitazioni nel paramento'!$G$58,ABS(M2625)*'Sollecitazioni nel paramento'!$G$54,'Sollecitazioni nel paramento'!$G$53)*IF(M2625&lt;0,-1,1)</f>
        <v>0</v>
      </c>
      <c r="T2625" s="545">
        <f>'Foglio deposito bis'!$F$91*IF(ABS(N2625)&lt;'Sollecitazioni nel paramento'!$G$58,ABS(N2625)*'Sollecitazioni nel paramento'!$G$54,'Sollecitazioni nel paramento'!$G$53)*IF(N2625&lt;0,-1,1)</f>
        <v>139045.1732220265</v>
      </c>
      <c r="U2625" s="545">
        <f>'Foglio deposito bis'!$F$92*IF(ABS(O2625)&lt;'Sollecitazioni nel paramento'!$G$58,ABS(O2625)*'Sollecitazioni nel paramento'!$G$54,'Sollecitazioni nel paramento'!$G$53)*IF(O2625&lt;0,-1,1)</f>
        <v>1662039.1047339395</v>
      </c>
      <c r="V2625" s="472">
        <f t="shared" si="185"/>
        <v>-3972881.6421782766</v>
      </c>
      <c r="W2625" s="551"/>
      <c r="X2625" s="551"/>
    </row>
    <row r="2626" spans="1:24" x14ac:dyDescent="0.25">
      <c r="A2626" s="545">
        <f t="shared" si="184"/>
        <v>4089041.4719704352</v>
      </c>
      <c r="B2626" s="3">
        <f t="shared" si="182"/>
        <v>12.899999999999975</v>
      </c>
      <c r="C2626" s="545">
        <f>'Foglio deposito bis'!$E$163/sezione!$B$247*B2626</f>
        <v>149.84932514951797</v>
      </c>
      <c r="D2626" s="603">
        <f>-'Sollecitazioni nel paramento'!$G$47*'Sollecitazioni nel paramento'!$G$41*IF(DATI!$G$211="dx",DATI!$E$61,DATI!$E$64*DATI!$E$63)*1000*C2626^2*sezione!$AD$5*(1-sezione!$AD$6)</f>
        <v>-499589391.59581751</v>
      </c>
      <c r="E2626" s="545">
        <f>-'Foglio deposito bis'!$F$88*(C2626-sezione!$AL$37)*IF(ABS(K2626)&lt;'Sollecitazioni nel paramento'!$G$58,ABS(K2626)*'Sollecitazioni nel paramento'!$G$54,'Sollecitazioni nel paramento'!$G$53)</f>
        <v>0</v>
      </c>
      <c r="F2626" s="545">
        <f>-'Foglio deposito bis'!$F$89*(C2626-sezione!$AM$37)*IF(ABS(L2626)&lt;'Sollecitazioni nel paramento'!$G$58,ABS(L2626)*'Sollecitazioni nel paramento'!$G$54,'Sollecitazioni nel paramento'!$G$53)</f>
        <v>-13806683.79553009</v>
      </c>
      <c r="G2626" s="545">
        <f>-'Foglio deposito bis'!$F$90*(C2626-sezione!$AN$37)*IF(ABS(M2626)&lt;'Sollecitazioni nel paramento'!$G$58,ABS(M2626)*'Sollecitazioni nel paramento'!$G$54,'Sollecitazioni nel paramento'!$G$53)</f>
        <v>0</v>
      </c>
      <c r="H2626" s="545">
        <f>-'Foglio deposito bis'!$F$91*(C2626-sezione!$AO$37)*IF(ABS(N2626)&lt;'Sollecitazioni nel paramento'!$G$58,ABS(N2626)*'Sollecitazioni nel paramento'!$G$54,'Sollecitazioni nel paramento'!$G$53)</f>
        <v>1130724.4932734072</v>
      </c>
      <c r="I2626" s="472">
        <f>-'Foglio deposito bis'!$F$92*(C2626-sezione!$AP$37)*IF(ABS(O2626)&lt;'Sollecitazioni nel paramento'!$G$58,ABS(O2626)*'Sollecitazioni nel paramento'!$G$54,'Sollecitazioni nel paramento'!$G$53)</f>
        <v>1111222445.9816427</v>
      </c>
      <c r="J2626" s="472">
        <f t="shared" si="183"/>
        <v>598957095.08356857</v>
      </c>
      <c r="K2626" s="550">
        <f>'Sollecitazioni nel paramento'!$G$60*(sezione!$AL$37-C2626)/C2626</f>
        <v>-2.5657281915663645E-3</v>
      </c>
      <c r="L2626" s="550">
        <f>'Sollecitazioni nel paramento'!$G$60*(sezione!$AM$37-C2626)/C2626</f>
        <v>-2.0985922873495468E-3</v>
      </c>
      <c r="M2626" s="551">
        <f>'Sollecitazioni nel paramento'!$G$60*(sezione!$AN$37-C2626)/C2626</f>
        <v>-1.6314563831327292E-3</v>
      </c>
      <c r="N2626" s="551">
        <f>'Sollecitazioni nel paramento'!$G$60*(sezione!$AO$37-C2626)/C2626</f>
        <v>2.3708723373454181E-4</v>
      </c>
      <c r="O2626" s="551">
        <f>'Sollecitazioni nel paramento'!$G$60*(sezione!$AP$37-C2626)/C2626</f>
        <v>1.5616115788465616E-2</v>
      </c>
      <c r="P2626" s="545">
        <f>-'Sollecitazioni nel paramento'!$G$47*'Sollecitazioni nel paramento'!$G$41*IF(DATI!$G$211="dx",DATI!$E$61,DATI!$E$64*DATI!$E$63)*1000*C2626*sezione!$AD$5</f>
        <v>-5708809.7402211847</v>
      </c>
      <c r="Q2626" s="545">
        <f>'Foglio deposito bis'!$F$88*IF(ABS(K2626)&lt;'Sollecitazioni nel paramento'!$G$58,ABS(K2626)*'Sollecitazioni nel paramento'!$G$54,'Sollecitazioni nel paramento'!$G$53)*IF(K2626&lt;0,-1,1)</f>
        <v>0</v>
      </c>
      <c r="R2626" s="545">
        <f>'Foglio deposito bis'!$F$89*IF(ABS(L2626)&lt;'Sollecitazioni nel paramento'!$G$58,ABS(L2626)*'Sollecitazioni nel paramento'!$G$54,'Sollecitazioni nel paramento'!$G$53)*IF(L2626&lt;0,-1,1)</f>
        <v>-153664.85805602249</v>
      </c>
      <c r="S2626" s="545">
        <f>'Foglio deposito bis'!$F$90*IF(ABS(M2626)&lt;'Sollecitazioni nel paramento'!$G$58,ABS(M2626)*'Sollecitazioni nel paramento'!$G$54,'Sollecitazioni nel paramento'!$G$53)*IF(M2626&lt;0,-1,1)</f>
        <v>0</v>
      </c>
      <c r="T2626" s="545">
        <f>'Foglio deposito bis'!$F$91*IF(ABS(N2626)&lt;'Sollecitazioni nel paramento'!$G$58,ABS(N2626)*'Sollecitazioni nel paramento'!$G$54,'Sollecitazioni nel paramento'!$G$53)*IF(N2626&lt;0,-1,1)</f>
        <v>111394.02157283282</v>
      </c>
      <c r="U2626" s="545">
        <f>'Foglio deposito bis'!$F$92*IF(ABS(O2626)&lt;'Sollecitazioni nel paramento'!$G$58,ABS(O2626)*'Sollecitazioni nel paramento'!$G$54,'Sollecitazioni nel paramento'!$G$53)*IF(O2626&lt;0,-1,1)</f>
        <v>1662039.1047339395</v>
      </c>
      <c r="V2626" s="472">
        <f t="shared" si="185"/>
        <v>-4089041.4719704352</v>
      </c>
      <c r="W2626" s="551"/>
      <c r="X2626" s="551"/>
    </row>
    <row r="2627" spans="1:24" x14ac:dyDescent="0.25">
      <c r="A2627" s="545">
        <f t="shared" si="184"/>
        <v>4204356.9917885726</v>
      </c>
      <c r="B2627" s="3">
        <f t="shared" si="182"/>
        <v>13.099999999999975</v>
      </c>
      <c r="C2627" s="545">
        <f>'Foglio deposito bis'!$E$163/sezione!$B$247*B2627</f>
        <v>152.17257050067329</v>
      </c>
      <c r="D2627" s="603">
        <f>-'Sollecitazioni nel paramento'!$G$47*'Sollecitazioni nel paramento'!$G$41*IF(DATI!$G$211="dx",DATI!$E$61,DATI!$E$64*DATI!$E$63)*1000*C2627^2*sezione!$AD$5*(1-sezione!$AD$6)</f>
        <v>-515200621.9082883</v>
      </c>
      <c r="E2627" s="545">
        <f>-'Foglio deposito bis'!$F$88*(C2627-sezione!$AL$37)*IF(ABS(K2627)&lt;'Sollecitazioni nel paramento'!$G$58,ABS(K2627)*'Sollecitazioni nel paramento'!$G$54,'Sollecitazioni nel paramento'!$G$53)</f>
        <v>0</v>
      </c>
      <c r="F2627" s="545">
        <f>-'Foglio deposito bis'!$F$89*(C2627-sezione!$AM$37)*IF(ABS(L2627)&lt;'Sollecitazioni nel paramento'!$G$58,ABS(L2627)*'Sollecitazioni nel paramento'!$G$54,'Sollecitazioni nel paramento'!$G$53)</f>
        <v>-14163684.962644687</v>
      </c>
      <c r="G2627" s="545">
        <f>-'Foglio deposito bis'!$F$90*(C2627-sezione!$AN$37)*IF(ABS(M2627)&lt;'Sollecitazioni nel paramento'!$G$58,ABS(M2627)*'Sollecitazioni nel paramento'!$G$54,'Sollecitazioni nel paramento'!$G$53)</f>
        <v>0</v>
      </c>
      <c r="H2627" s="545">
        <f>-'Foglio deposito bis'!$F$91*(C2627-sezione!$AO$37)*IF(ABS(N2627)&lt;'Sollecitazioni nel paramento'!$G$58,ABS(N2627)*'Sollecitazioni nel paramento'!$G$54,'Sollecitazioni nel paramento'!$G$53)</f>
        <v>662100.18719580164</v>
      </c>
      <c r="I2627" s="472">
        <f>-'Foglio deposito bis'!$F$92*(C2627-sezione!$AP$37)*IF(ABS(O2627)&lt;'Sollecitazioni nel paramento'!$G$58,ABS(O2627)*'Sollecitazioni nel paramento'!$G$54,'Sollecitazioni nel paramento'!$G$53)</f>
        <v>1107361121.3581314</v>
      </c>
      <c r="J2627" s="472">
        <f t="shared" si="183"/>
        <v>578658914.67439413</v>
      </c>
      <c r="K2627" s="550">
        <f>'Sollecitazioni nel paramento'!$G$60*(sezione!$AL$37-C2627)/C2627</f>
        <v>-2.5799918832981757E-3</v>
      </c>
      <c r="L2627" s="550">
        <f>'Sollecitazioni nel paramento'!$G$60*(sezione!$AM$37-C2627)/C2627</f>
        <v>-2.1199878249472635E-3</v>
      </c>
      <c r="M2627" s="551">
        <f>'Sollecitazioni nel paramento'!$G$60*(sezione!$AN$37-C2627)/C2627</f>
        <v>-1.6599837665963516E-3</v>
      </c>
      <c r="N2627" s="551">
        <f>'Sollecitazioni nel paramento'!$G$60*(sezione!$AO$37-C2627)/C2627</f>
        <v>1.8003246680729676E-4</v>
      </c>
      <c r="O2627" s="551">
        <f>'Sollecitazioni nel paramento'!$G$60*(sezione!$AP$37-C2627)/C2627</f>
        <v>1.5324266692458509E-2</v>
      </c>
      <c r="P2627" s="545">
        <f>-'Sollecitazioni nel paramento'!$G$47*'Sollecitazioni nel paramento'!$G$41*IF(DATI!$G$211="dx",DATI!$E$61,DATI!$E$64*DATI!$E$63)*1000*C2627*sezione!$AD$5</f>
        <v>-5797318.4183641495</v>
      </c>
      <c r="Q2627" s="545">
        <f>'Foglio deposito bis'!$F$88*IF(ABS(K2627)&lt;'Sollecitazioni nel paramento'!$G$58,ABS(K2627)*'Sollecitazioni nel paramento'!$G$54,'Sollecitazioni nel paramento'!$G$53)*IF(K2627&lt;0,-1,1)</f>
        <v>0</v>
      </c>
      <c r="R2627" s="545">
        <f>'Foglio deposito bis'!$F$89*IF(ABS(L2627)&lt;'Sollecitazioni nel paramento'!$G$58,ABS(L2627)*'Sollecitazioni nel paramento'!$G$54,'Sollecitazioni nel paramento'!$G$53)*IF(L2627&lt;0,-1,1)</f>
        <v>-153664.85805602249</v>
      </c>
      <c r="S2627" s="545">
        <f>'Foglio deposito bis'!$F$90*IF(ABS(M2627)&lt;'Sollecitazioni nel paramento'!$G$58,ABS(M2627)*'Sollecitazioni nel paramento'!$G$54,'Sollecitazioni nel paramento'!$G$53)*IF(M2627&lt;0,-1,1)</f>
        <v>0</v>
      </c>
      <c r="T2627" s="545">
        <f>'Foglio deposito bis'!$F$91*IF(ABS(N2627)&lt;'Sollecitazioni nel paramento'!$G$58,ABS(N2627)*'Sollecitazioni nel paramento'!$G$54,'Sollecitazioni nel paramento'!$G$53)*IF(N2627&lt;0,-1,1)</f>
        <v>84587.179897660302</v>
      </c>
      <c r="U2627" s="545">
        <f>'Foglio deposito bis'!$F$92*IF(ABS(O2627)&lt;'Sollecitazioni nel paramento'!$G$58,ABS(O2627)*'Sollecitazioni nel paramento'!$G$54,'Sollecitazioni nel paramento'!$G$53)*IF(O2627&lt;0,-1,1)</f>
        <v>1662039.1047339395</v>
      </c>
      <c r="V2627" s="472">
        <f t="shared" si="185"/>
        <v>-4204356.9917885726</v>
      </c>
      <c r="W2627" s="551"/>
      <c r="X2627" s="551"/>
    </row>
    <row r="2628" spans="1:24" x14ac:dyDescent="0.25">
      <c r="A2628" s="545">
        <f t="shared" si="184"/>
        <v>4318866.2908044467</v>
      </c>
      <c r="B2628" s="3">
        <f t="shared" si="182"/>
        <v>13.299999999999974</v>
      </c>
      <c r="C2628" s="545">
        <f>'Foglio deposito bis'!$E$163/sezione!$B$247*B2628</f>
        <v>154.49581585182858</v>
      </c>
      <c r="D2628" s="603">
        <f>-'Sollecitazioni nel paramento'!$G$47*'Sollecitazioni nel paramento'!$G$41*IF(DATI!$G$211="dx",DATI!$E$61,DATI!$E$64*DATI!$E$63)*1000*C2628^2*sezione!$AD$5*(1-sezione!$AD$6)</f>
        <v>-531052024.99479693</v>
      </c>
      <c r="E2628" s="545">
        <f>-'Foglio deposito bis'!$F$88*(C2628-sezione!$AL$37)*IF(ABS(K2628)&lt;'Sollecitazioni nel paramento'!$G$58,ABS(K2628)*'Sollecitazioni nel paramento'!$G$54,'Sollecitazioni nel paramento'!$G$53)</f>
        <v>0</v>
      </c>
      <c r="F2628" s="545">
        <f>-'Foglio deposito bis'!$F$89*(C2628-sezione!$AM$37)*IF(ABS(L2628)&lt;'Sollecitazioni nel paramento'!$G$58,ABS(L2628)*'Sollecitazioni nel paramento'!$G$54,'Sollecitazioni nel paramento'!$G$53)</f>
        <v>-14520686.12975928</v>
      </c>
      <c r="G2628" s="545">
        <f>-'Foglio deposito bis'!$F$90*(C2628-sezione!$AN$37)*IF(ABS(M2628)&lt;'Sollecitazioni nel paramento'!$G$58,ABS(M2628)*'Sollecitazioni nel paramento'!$G$54,'Sollecitazioni nel paramento'!$G$53)</f>
        <v>0</v>
      </c>
      <c r="H2628" s="545">
        <f>-'Foglio deposito bis'!$F$91*(C2628-sezione!$AO$37)*IF(ABS(N2628)&lt;'Sollecitazioni nel paramento'!$G$58,ABS(N2628)*'Sollecitazioni nel paramento'!$G$54,'Sollecitazioni nel paramento'!$G$53)</f>
        <v>322471.20947993227</v>
      </c>
      <c r="I2628" s="472">
        <f>-'Foglio deposito bis'!$F$92*(C2628-sezione!$AP$37)*IF(ABS(O2628)&lt;'Sollecitazioni nel paramento'!$G$58,ABS(O2628)*'Sollecitazioni nel paramento'!$G$54,'Sollecitazioni nel paramento'!$G$53)</f>
        <v>1103499796.7346199</v>
      </c>
      <c r="J2628" s="472">
        <f t="shared" si="183"/>
        <v>558249556.8195436</v>
      </c>
      <c r="K2628" s="550">
        <f>'Sollecitazioni nel paramento'!$G$60*(sezione!$AL$37-C2628)/C2628</f>
        <v>-2.5938265918200075E-3</v>
      </c>
      <c r="L2628" s="550">
        <f>'Sollecitazioni nel paramento'!$G$60*(sezione!$AM$37-C2628)/C2628</f>
        <v>-2.1407398877300115E-3</v>
      </c>
      <c r="M2628" s="551">
        <f>'Sollecitazioni nel paramento'!$G$60*(sezione!$AN$37-C2628)/C2628</f>
        <v>-1.6876531836400152E-3</v>
      </c>
      <c r="N2628" s="551">
        <f>'Sollecitazioni nel paramento'!$G$60*(sezione!$AO$37-C2628)/C2628</f>
        <v>1.2469363271996956E-4</v>
      </c>
      <c r="O2628" s="551">
        <f>'Sollecitazioni nel paramento'!$G$60*(sezione!$AP$37-C2628)/C2628</f>
        <v>1.5041195012872668E-2</v>
      </c>
      <c r="P2628" s="545">
        <f>-'Sollecitazioni nel paramento'!$G$47*'Sollecitazioni nel paramento'!$G$41*IF(DATI!$G$211="dx",DATI!$E$61,DATI!$E$64*DATI!$E$63)*1000*C2628*sezione!$AD$5</f>
        <v>-5885827.0965071125</v>
      </c>
      <c r="Q2628" s="545">
        <f>'Foglio deposito bis'!$F$88*IF(ABS(K2628)&lt;'Sollecitazioni nel paramento'!$G$58,ABS(K2628)*'Sollecitazioni nel paramento'!$G$54,'Sollecitazioni nel paramento'!$G$53)*IF(K2628&lt;0,-1,1)</f>
        <v>0</v>
      </c>
      <c r="R2628" s="545">
        <f>'Foglio deposito bis'!$F$89*IF(ABS(L2628)&lt;'Sollecitazioni nel paramento'!$G$58,ABS(L2628)*'Sollecitazioni nel paramento'!$G$54,'Sollecitazioni nel paramento'!$G$53)*IF(L2628&lt;0,-1,1)</f>
        <v>-153664.85805602249</v>
      </c>
      <c r="S2628" s="545">
        <f>'Foglio deposito bis'!$F$90*IF(ABS(M2628)&lt;'Sollecitazioni nel paramento'!$G$58,ABS(M2628)*'Sollecitazioni nel paramento'!$G$54,'Sollecitazioni nel paramento'!$G$53)*IF(M2628&lt;0,-1,1)</f>
        <v>0</v>
      </c>
      <c r="T2628" s="545">
        <f>'Foglio deposito bis'!$F$91*IF(ABS(N2628)&lt;'Sollecitazioni nel paramento'!$G$58,ABS(N2628)*'Sollecitazioni nel paramento'!$G$54,'Sollecitazioni nel paramento'!$G$53)*IF(N2628&lt;0,-1,1)</f>
        <v>58586.559024748938</v>
      </c>
      <c r="U2628" s="545">
        <f>'Foglio deposito bis'!$F$92*IF(ABS(O2628)&lt;'Sollecitazioni nel paramento'!$G$58,ABS(O2628)*'Sollecitazioni nel paramento'!$G$54,'Sollecitazioni nel paramento'!$G$53)*IF(O2628&lt;0,-1,1)</f>
        <v>1662039.1047339395</v>
      </c>
      <c r="V2628" s="472">
        <f t="shared" si="185"/>
        <v>-4318866.2908044467</v>
      </c>
      <c r="W2628" s="551"/>
      <c r="X2628" s="551"/>
    </row>
    <row r="2629" spans="1:24" x14ac:dyDescent="0.25">
      <c r="A2629" s="545">
        <f t="shared" si="184"/>
        <v>4432605.2010537181</v>
      </c>
      <c r="B2629" s="3">
        <f t="shared" si="182"/>
        <v>13.499999999999973</v>
      </c>
      <c r="C2629" s="545">
        <f>'Foglio deposito bis'!$E$163/sezione!$B$247*B2629</f>
        <v>156.8190612029839</v>
      </c>
      <c r="D2629" s="603">
        <f>-'Sollecitazioni nel paramento'!$G$47*'Sollecitazioni nel paramento'!$G$41*IF(DATI!$G$211="dx",DATI!$E$61,DATI!$E$64*DATI!$E$63)*1000*C2629^2*sezione!$AD$5*(1-sezione!$AD$6)</f>
        <v>-547143600.8553437</v>
      </c>
      <c r="E2629" s="545">
        <f>-'Foglio deposito bis'!$F$88*(C2629-sezione!$AL$37)*IF(ABS(K2629)&lt;'Sollecitazioni nel paramento'!$G$58,ABS(K2629)*'Sollecitazioni nel paramento'!$G$54,'Sollecitazioni nel paramento'!$G$53)</f>
        <v>0</v>
      </c>
      <c r="F2629" s="545">
        <f>-'Foglio deposito bis'!$F$89*(C2629-sezione!$AM$37)*IF(ABS(L2629)&lt;'Sollecitazioni nel paramento'!$G$58,ABS(L2629)*'Sollecitazioni nel paramento'!$G$54,'Sollecitazioni nel paramento'!$G$53)</f>
        <v>-14877687.296873877</v>
      </c>
      <c r="G2629" s="545">
        <f>-'Foglio deposito bis'!$F$90*(C2629-sezione!$AN$37)*IF(ABS(M2629)&lt;'Sollecitazioni nel paramento'!$G$58,ABS(M2629)*'Sollecitazioni nel paramento'!$G$54,'Sollecitazioni nel paramento'!$G$53)</f>
        <v>0</v>
      </c>
      <c r="H2629" s="545">
        <f>-'Foglio deposito bis'!$F$91*(C2629-sezione!$AO$37)*IF(ABS(N2629)&lt;'Sollecitazioni nel paramento'!$G$58,ABS(N2629)*'Sollecitazioni nel paramento'!$G$54,'Sollecitazioni nel paramento'!$G$53)</f>
        <v>106104.43442082471</v>
      </c>
      <c r="I2629" s="472">
        <f>-'Foglio deposito bis'!$F$92*(C2629-sezione!$AP$37)*IF(ABS(O2629)&lt;'Sollecitazioni nel paramento'!$G$58,ABS(O2629)*'Sollecitazioni nel paramento'!$G$54,'Sollecitazioni nel paramento'!$G$53)</f>
        <v>1099638472.1111083</v>
      </c>
      <c r="J2629" s="472">
        <f t="shared" si="183"/>
        <v>537723288.3933115</v>
      </c>
      <c r="K2629" s="550">
        <f>'Sollecitazioni nel paramento'!$G$60*(sezione!$AL$37-C2629)/C2629</f>
        <v>-2.607251383052304E-3</v>
      </c>
      <c r="L2629" s="550">
        <f>'Sollecitazioni nel paramento'!$G$60*(sezione!$AM$37-C2629)/C2629</f>
        <v>-2.1608770745784557E-3</v>
      </c>
      <c r="M2629" s="551">
        <f>'Sollecitazioni nel paramento'!$G$60*(sezione!$AN$37-C2629)/C2629</f>
        <v>-1.7145027661046076E-3</v>
      </c>
      <c r="N2629" s="551">
        <f>'Sollecitazioni nel paramento'!$G$60*(sezione!$AO$37-C2629)/C2629</f>
        <v>7.0994467790784738E-5</v>
      </c>
      <c r="O2629" s="551">
        <f>'Sollecitazioni nel paramento'!$G$60*(sezione!$AP$37-C2629)/C2629</f>
        <v>1.4766510642311589E-2</v>
      </c>
      <c r="P2629" s="545">
        <f>-'Sollecitazioni nel paramento'!$G$47*'Sollecitazioni nel paramento'!$G$41*IF(DATI!$G$211="dx",DATI!$E$61,DATI!$E$64*DATI!$E$63)*1000*C2629*sezione!$AD$5</f>
        <v>-5974335.7746500764</v>
      </c>
      <c r="Q2629" s="545">
        <f>'Foglio deposito bis'!$F$88*IF(ABS(K2629)&lt;'Sollecitazioni nel paramento'!$G$58,ABS(K2629)*'Sollecitazioni nel paramento'!$G$54,'Sollecitazioni nel paramento'!$G$53)*IF(K2629&lt;0,-1,1)</f>
        <v>0</v>
      </c>
      <c r="R2629" s="545">
        <f>'Foglio deposito bis'!$F$89*IF(ABS(L2629)&lt;'Sollecitazioni nel paramento'!$G$58,ABS(L2629)*'Sollecitazioni nel paramento'!$G$54,'Sollecitazioni nel paramento'!$G$53)*IF(L2629&lt;0,-1,1)</f>
        <v>-153664.85805602249</v>
      </c>
      <c r="S2629" s="545">
        <f>'Foglio deposito bis'!$F$90*IF(ABS(M2629)&lt;'Sollecitazioni nel paramento'!$G$58,ABS(M2629)*'Sollecitazioni nel paramento'!$G$54,'Sollecitazioni nel paramento'!$G$53)*IF(M2629&lt;0,-1,1)</f>
        <v>0</v>
      </c>
      <c r="T2629" s="545">
        <f>'Foglio deposito bis'!$F$91*IF(ABS(N2629)&lt;'Sollecitazioni nel paramento'!$G$58,ABS(N2629)*'Sollecitazioni nel paramento'!$G$54,'Sollecitazioni nel paramento'!$G$53)*IF(N2629&lt;0,-1,1)</f>
        <v>33356.32691844205</v>
      </c>
      <c r="U2629" s="545">
        <f>'Foglio deposito bis'!$F$92*IF(ABS(O2629)&lt;'Sollecitazioni nel paramento'!$G$58,ABS(O2629)*'Sollecitazioni nel paramento'!$G$54,'Sollecitazioni nel paramento'!$G$53)*IF(O2629&lt;0,-1,1)</f>
        <v>1662039.1047339395</v>
      </c>
      <c r="V2629" s="472">
        <f t="shared" si="185"/>
        <v>-4432605.2010537181</v>
      </c>
      <c r="W2629" s="551"/>
      <c r="X2629" s="551"/>
    </row>
    <row r="2630" spans="1:24" x14ac:dyDescent="0.25">
      <c r="A2630" s="545">
        <f t="shared" si="184"/>
        <v>4545607.4621903962</v>
      </c>
      <c r="B2630" s="3">
        <f t="shared" si="182"/>
        <v>13.699999999999973</v>
      </c>
      <c r="C2630" s="545">
        <f>'Foglio deposito bis'!$E$163/sezione!$B$247*B2630</f>
        <v>159.14230655413922</v>
      </c>
      <c r="D2630" s="603">
        <f>-'Sollecitazioni nel paramento'!$G$47*'Sollecitazioni nel paramento'!$G$41*IF(DATI!$G$211="dx",DATI!$E$61,DATI!$E$64*DATI!$E$63)*1000*C2630^2*sezione!$AD$5*(1-sezione!$AD$6)</f>
        <v>-563475349.48992848</v>
      </c>
      <c r="E2630" s="545">
        <f>-'Foglio deposito bis'!$F$88*(C2630-sezione!$AL$37)*IF(ABS(K2630)&lt;'Sollecitazioni nel paramento'!$G$58,ABS(K2630)*'Sollecitazioni nel paramento'!$G$54,'Sollecitazioni nel paramento'!$G$53)</f>
        <v>0</v>
      </c>
      <c r="F2630" s="545">
        <f>-'Foglio deposito bis'!$F$89*(C2630-sezione!$AM$37)*IF(ABS(L2630)&lt;'Sollecitazioni nel paramento'!$G$58,ABS(L2630)*'Sollecitazioni nel paramento'!$G$54,'Sollecitazioni nel paramento'!$G$53)</f>
        <v>-15234688.463988474</v>
      </c>
      <c r="G2630" s="545">
        <f>-'Foglio deposito bis'!$F$90*(C2630-sezione!$AN$37)*IF(ABS(M2630)&lt;'Sollecitazioni nel paramento'!$G$58,ABS(M2630)*'Sollecitazioni nel paramento'!$G$54,'Sollecitazioni nel paramento'!$G$53)</f>
        <v>0</v>
      </c>
      <c r="H2630" s="545">
        <f>-'Foglio deposito bis'!$F$91*(C2630-sezione!$AO$37)*IF(ABS(N2630)&lt;'Sollecitazioni nel paramento'!$G$58,ABS(N2630)*'Sollecitazioni nel paramento'!$G$54,'Sollecitazioni nel paramento'!$G$53)</f>
        <v>7601.5173765816589</v>
      </c>
      <c r="I2630" s="472">
        <f>-'Foglio deposito bis'!$F$92*(C2630-sezione!$AP$37)*IF(ABS(O2630)&lt;'Sollecitazioni nel paramento'!$G$58,ABS(O2630)*'Sollecitazioni nel paramento'!$G$54,'Sollecitazioni nel paramento'!$G$53)</f>
        <v>1095777147.4875968</v>
      </c>
      <c r="J2630" s="472">
        <f t="shared" si="183"/>
        <v>517074711.05105639</v>
      </c>
      <c r="K2630" s="550">
        <f>'Sollecitazioni nel paramento'!$G$60*(sezione!$AL$37-C2630)/C2630</f>
        <v>-2.620284209577088E-3</v>
      </c>
      <c r="L2630" s="550">
        <f>'Sollecitazioni nel paramento'!$G$60*(sezione!$AM$37-C2630)/C2630</f>
        <v>-2.1804263143656317E-3</v>
      </c>
      <c r="M2630" s="551">
        <f>'Sollecitazioni nel paramento'!$G$60*(sezione!$AN$37-C2630)/C2630</f>
        <v>-1.7405684191541756E-3</v>
      </c>
      <c r="N2630" s="551">
        <f>'Sollecitazioni nel paramento'!$G$60*(sezione!$AO$37-C2630)/C2630</f>
        <v>1.8863161691649082E-5</v>
      </c>
      <c r="O2630" s="551">
        <f>'Sollecitazioni nel paramento'!$G$60*(sezione!$AP$37-C2630)/C2630</f>
        <v>1.4499846253372733E-2</v>
      </c>
      <c r="P2630" s="545">
        <f>-'Sollecitazioni nel paramento'!$G$47*'Sollecitazioni nel paramento'!$G$41*IF(DATI!$G$211="dx",DATI!$E$61,DATI!$E$64*DATI!$E$63)*1000*C2630*sezione!$AD$5</f>
        <v>-6062844.4527930403</v>
      </c>
      <c r="Q2630" s="545">
        <f>'Foglio deposito bis'!$F$88*IF(ABS(K2630)&lt;'Sollecitazioni nel paramento'!$G$58,ABS(K2630)*'Sollecitazioni nel paramento'!$G$54,'Sollecitazioni nel paramento'!$G$53)*IF(K2630&lt;0,-1,1)</f>
        <v>0</v>
      </c>
      <c r="R2630" s="545">
        <f>'Foglio deposito bis'!$F$89*IF(ABS(L2630)&lt;'Sollecitazioni nel paramento'!$G$58,ABS(L2630)*'Sollecitazioni nel paramento'!$G$54,'Sollecitazioni nel paramento'!$G$53)*IF(L2630&lt;0,-1,1)</f>
        <v>-153664.85805602249</v>
      </c>
      <c r="S2630" s="545">
        <f>'Foglio deposito bis'!$F$90*IF(ABS(M2630)&lt;'Sollecitazioni nel paramento'!$G$58,ABS(M2630)*'Sollecitazioni nel paramento'!$G$54,'Sollecitazioni nel paramento'!$G$53)*IF(M2630&lt;0,-1,1)</f>
        <v>0</v>
      </c>
      <c r="T2630" s="545">
        <f>'Foglio deposito bis'!$F$91*IF(ABS(N2630)&lt;'Sollecitazioni nel paramento'!$G$58,ABS(N2630)*'Sollecitazioni nel paramento'!$G$54,'Sollecitazioni nel paramento'!$G$53)*IF(N2630&lt;0,-1,1)</f>
        <v>8862.7439247280581</v>
      </c>
      <c r="U2630" s="545">
        <f>'Foglio deposito bis'!$F$92*IF(ABS(O2630)&lt;'Sollecitazioni nel paramento'!$G$58,ABS(O2630)*'Sollecitazioni nel paramento'!$G$54,'Sollecitazioni nel paramento'!$G$53)*IF(O2630&lt;0,-1,1)</f>
        <v>1662039.1047339395</v>
      </c>
      <c r="V2630" s="472">
        <f t="shared" si="185"/>
        <v>-4545607.4621903962</v>
      </c>
      <c r="W2630" s="551"/>
      <c r="X2630" s="551"/>
    </row>
    <row r="2631" spans="1:24" x14ac:dyDescent="0.25">
      <c r="A2631" s="545">
        <f t="shared" si="184"/>
        <v>4657904.8720179033</v>
      </c>
      <c r="B2631" s="3">
        <f t="shared" si="182"/>
        <v>13.899999999999972</v>
      </c>
      <c r="C2631" s="545">
        <f>'Foglio deposito bis'!$E$163/sezione!$B$247*B2631</f>
        <v>161.46555190529455</v>
      </c>
      <c r="D2631" s="603">
        <f>-'Sollecitazioni nel paramento'!$G$47*'Sollecitazioni nel paramento'!$G$41*IF(DATI!$G$211="dx",DATI!$E$61,DATI!$E$64*DATI!$E$63)*1000*C2631^2*sezione!$AD$5*(1-sezione!$AD$6)</f>
        <v>-580047270.89855111</v>
      </c>
      <c r="E2631" s="545">
        <f>-'Foglio deposito bis'!$F$88*(C2631-sezione!$AL$37)*IF(ABS(K2631)&lt;'Sollecitazioni nel paramento'!$G$58,ABS(K2631)*'Sollecitazioni nel paramento'!$G$54,'Sollecitazioni nel paramento'!$G$53)</f>
        <v>0</v>
      </c>
      <c r="F2631" s="545">
        <f>-'Foglio deposito bis'!$F$89*(C2631-sezione!$AM$37)*IF(ABS(L2631)&lt;'Sollecitazioni nel paramento'!$G$58,ABS(L2631)*'Sollecitazioni nel paramento'!$G$54,'Sollecitazioni nel paramento'!$G$53)</f>
        <v>-15591689.63110307</v>
      </c>
      <c r="G2631" s="545">
        <f>-'Foglio deposito bis'!$F$90*(C2631-sezione!$AN$37)*IF(ABS(M2631)&lt;'Sollecitazioni nel paramento'!$G$58,ABS(M2631)*'Sollecitazioni nel paramento'!$G$54,'Sollecitazioni nel paramento'!$G$53)</f>
        <v>0</v>
      </c>
      <c r="H2631" s="545">
        <f>-'Foglio deposito bis'!$F$91*(C2631-sezione!$AO$37)*IF(ABS(N2631)&lt;'Sollecitazioni nel paramento'!$G$58,ABS(N2631)*'Sollecitazioni nel paramento'!$G$54,'Sollecitazioni nel paramento'!$G$53)</f>
        <v>-21874.809799798943</v>
      </c>
      <c r="I2631" s="472">
        <f>-'Foglio deposito bis'!$F$92*(C2631-sezione!$AP$37)*IF(ABS(O2631)&lt;'Sollecitazioni nel paramento'!$G$58,ABS(O2631)*'Sollecitazioni nel paramento'!$G$54,'Sollecitazioni nel paramento'!$G$53)</f>
        <v>1091915822.8640854</v>
      </c>
      <c r="J2631" s="472">
        <f t="shared" si="183"/>
        <v>496254987.5246315</v>
      </c>
      <c r="K2631" s="550">
        <f>'Sollecitazioni nel paramento'!$G$60*(sezione!$AL$37-C2631)/C2631</f>
        <v>-2.6329419907342518E-3</v>
      </c>
      <c r="L2631" s="550">
        <f>'Sollecitazioni nel paramento'!$G$60*(sezione!$AM$37-C2631)/C2631</f>
        <v>-2.1994129861013776E-3</v>
      </c>
      <c r="M2631" s="551">
        <f>'Sollecitazioni nel paramento'!$G$60*(sezione!$AN$37-C2631)/C2631</f>
        <v>-1.7658839814685041E-3</v>
      </c>
      <c r="N2631" s="551">
        <f>'Sollecitazioni nel paramento'!$G$60*(sezione!$AO$37-C2631)/C2631</f>
        <v>-3.1767962937007844E-5</v>
      </c>
      <c r="O2631" s="551">
        <f>'Sollecitazioni nel paramento'!$G$60*(sezione!$AP$37-C2631)/C2631</f>
        <v>1.4240855659799025E-2</v>
      </c>
      <c r="P2631" s="545">
        <f>-'Sollecitazioni nel paramento'!$G$47*'Sollecitazioni nel paramento'!$G$41*IF(DATI!$G$211="dx",DATI!$E$61,DATI!$E$64*DATI!$E$63)*1000*C2631*sezione!$AD$5</f>
        <v>-6151353.1309360052</v>
      </c>
      <c r="Q2631" s="545">
        <f>'Foglio deposito bis'!$F$88*IF(ABS(K2631)&lt;'Sollecitazioni nel paramento'!$G$58,ABS(K2631)*'Sollecitazioni nel paramento'!$G$54,'Sollecitazioni nel paramento'!$G$53)*IF(K2631&lt;0,-1,1)</f>
        <v>0</v>
      </c>
      <c r="R2631" s="545">
        <f>'Foglio deposito bis'!$F$89*IF(ABS(L2631)&lt;'Sollecitazioni nel paramento'!$G$58,ABS(L2631)*'Sollecitazioni nel paramento'!$G$54,'Sollecitazioni nel paramento'!$G$53)*IF(L2631&lt;0,-1,1)</f>
        <v>-153664.85805602249</v>
      </c>
      <c r="S2631" s="545">
        <f>'Foglio deposito bis'!$F$90*IF(ABS(M2631)&lt;'Sollecitazioni nel paramento'!$G$58,ABS(M2631)*'Sollecitazioni nel paramento'!$G$54,'Sollecitazioni nel paramento'!$G$53)*IF(M2631&lt;0,-1,1)</f>
        <v>0</v>
      </c>
      <c r="T2631" s="545">
        <f>'Foglio deposito bis'!$F$91*IF(ABS(N2631)&lt;'Sollecitazioni nel paramento'!$G$58,ABS(N2631)*'Sollecitazioni nel paramento'!$G$54,'Sollecitazioni nel paramento'!$G$53)*IF(N2631&lt;0,-1,1)</f>
        <v>-14925.987759814308</v>
      </c>
      <c r="U2631" s="545">
        <f>'Foglio deposito bis'!$F$92*IF(ABS(O2631)&lt;'Sollecitazioni nel paramento'!$G$58,ABS(O2631)*'Sollecitazioni nel paramento'!$G$54,'Sollecitazioni nel paramento'!$G$53)*IF(O2631&lt;0,-1,1)</f>
        <v>1662039.1047339395</v>
      </c>
      <c r="V2631" s="472">
        <f t="shared" si="185"/>
        <v>-4657904.8720179033</v>
      </c>
      <c r="W2631" s="551"/>
      <c r="X2631" s="551"/>
    </row>
    <row r="2632" spans="1:24" x14ac:dyDescent="0.25">
      <c r="A2632" s="545">
        <f t="shared" si="184"/>
        <v>4769527.424208967</v>
      </c>
      <c r="B2632" s="3">
        <f t="shared" si="182"/>
        <v>14.099999999999971</v>
      </c>
      <c r="C2632" s="545">
        <f>'Foglio deposito bis'!$E$163/sezione!$B$247*B2632</f>
        <v>163.78879725644984</v>
      </c>
      <c r="D2632" s="603">
        <f>-'Sollecitazioni nel paramento'!$G$47*'Sollecitazioni nel paramento'!$G$41*IF(DATI!$G$211="dx",DATI!$E$61,DATI!$E$64*DATI!$E$63)*1000*C2632^2*sezione!$AD$5*(1-sezione!$AD$6)</f>
        <v>-596859365.08121181</v>
      </c>
      <c r="E2632" s="545">
        <f>-'Foglio deposito bis'!$F$88*(C2632-sezione!$AL$37)*IF(ABS(K2632)&lt;'Sollecitazioni nel paramento'!$G$58,ABS(K2632)*'Sollecitazioni nel paramento'!$G$54,'Sollecitazioni nel paramento'!$G$53)</f>
        <v>0</v>
      </c>
      <c r="F2632" s="545">
        <f>-'Foglio deposito bis'!$F$89*(C2632-sezione!$AM$37)*IF(ABS(L2632)&lt;'Sollecitazioni nel paramento'!$G$58,ABS(L2632)*'Sollecitazioni nel paramento'!$G$54,'Sollecitazioni nel paramento'!$G$53)</f>
        <v>-15948690.798217662</v>
      </c>
      <c r="G2632" s="545">
        <f>-'Foglio deposito bis'!$F$90*(C2632-sezione!$AN$37)*IF(ABS(M2632)&lt;'Sollecitazioni nel paramento'!$G$58,ABS(M2632)*'Sollecitazioni nel paramento'!$G$54,'Sollecitazioni nel paramento'!$G$53)</f>
        <v>0</v>
      </c>
      <c r="H2632" s="545">
        <f>-'Foglio deposito bis'!$F$91*(C2632-sezione!$AO$37)*IF(ABS(N2632)&lt;'Sollecitazioni nel paramento'!$G$58,ABS(N2632)*'Sollecitazioni nel paramento'!$G$54,'Sollecitazioni nel paramento'!$G$53)</f>
        <v>-144125.3240535612</v>
      </c>
      <c r="I2632" s="472">
        <f>-'Foglio deposito bis'!$F$92*(C2632-sezione!$AP$37)*IF(ABS(O2632)&lt;'Sollecitazioni nel paramento'!$G$58,ABS(O2632)*'Sollecitazioni nel paramento'!$G$54,'Sollecitazioni nel paramento'!$G$53)</f>
        <v>1088054498.2405741</v>
      </c>
      <c r="J2632" s="472">
        <f t="shared" si="183"/>
        <v>475102317.03709114</v>
      </c>
      <c r="K2632" s="550">
        <f>'Sollecitazioni nel paramento'!$G$60*(sezione!$AL$37-C2632)/C2632</f>
        <v>-2.645240685901142E-3</v>
      </c>
      <c r="L2632" s="550">
        <f>'Sollecitazioni nel paramento'!$G$60*(sezione!$AM$37-C2632)/C2632</f>
        <v>-2.2178610288517129E-3</v>
      </c>
      <c r="M2632" s="551">
        <f>'Sollecitazioni nel paramento'!$G$60*(sezione!$AN$37-C2632)/C2632</f>
        <v>-1.7904813718022839E-3</v>
      </c>
      <c r="N2632" s="551">
        <f>'Sollecitazioni nel paramento'!$G$60*(sezione!$AO$37-C2632)/C2632</f>
        <v>-8.0962743604567517E-5</v>
      </c>
      <c r="O2632" s="551">
        <f>'Sollecitazioni nel paramento'!$G$60*(sezione!$AP$37-C2632)/C2632</f>
        <v>1.3989212317106842E-2</v>
      </c>
      <c r="P2632" s="545">
        <f>-'Sollecitazioni nel paramento'!$G$47*'Sollecitazioni nel paramento'!$G$41*IF(DATI!$G$211="dx",DATI!$E$61,DATI!$E$64*DATI!$E$63)*1000*C2632*sezione!$AD$5</f>
        <v>-6239861.8090789681</v>
      </c>
      <c r="Q2632" s="545">
        <f>'Foglio deposito bis'!$F$88*IF(ABS(K2632)&lt;'Sollecitazioni nel paramento'!$G$58,ABS(K2632)*'Sollecitazioni nel paramento'!$G$54,'Sollecitazioni nel paramento'!$G$53)*IF(K2632&lt;0,-1,1)</f>
        <v>0</v>
      </c>
      <c r="R2632" s="545">
        <f>'Foglio deposito bis'!$F$89*IF(ABS(L2632)&lt;'Sollecitazioni nel paramento'!$G$58,ABS(L2632)*'Sollecitazioni nel paramento'!$G$54,'Sollecitazioni nel paramento'!$G$53)*IF(L2632&lt;0,-1,1)</f>
        <v>-153664.85805602249</v>
      </c>
      <c r="S2632" s="545">
        <f>'Foglio deposito bis'!$F$90*IF(ABS(M2632)&lt;'Sollecitazioni nel paramento'!$G$58,ABS(M2632)*'Sollecitazioni nel paramento'!$G$54,'Sollecitazioni nel paramento'!$G$53)*IF(M2632&lt;0,-1,1)</f>
        <v>0</v>
      </c>
      <c r="T2632" s="545">
        <f>'Foglio deposito bis'!$F$91*IF(ABS(N2632)&lt;'Sollecitazioni nel paramento'!$G$58,ABS(N2632)*'Sollecitazioni nel paramento'!$G$54,'Sollecitazioni nel paramento'!$G$53)*IF(N2632&lt;0,-1,1)</f>
        <v>-38039.861807915477</v>
      </c>
      <c r="U2632" s="545">
        <f>'Foglio deposito bis'!$F$92*IF(ABS(O2632)&lt;'Sollecitazioni nel paramento'!$G$58,ABS(O2632)*'Sollecitazioni nel paramento'!$G$54,'Sollecitazioni nel paramento'!$G$53)*IF(O2632&lt;0,-1,1)</f>
        <v>1662039.1047339395</v>
      </c>
      <c r="V2632" s="472">
        <f t="shared" si="185"/>
        <v>-4769527.424208967</v>
      </c>
      <c r="W2632" s="551"/>
      <c r="X2632" s="551"/>
    </row>
    <row r="2633" spans="1:24" x14ac:dyDescent="0.25">
      <c r="A2633" s="545">
        <f t="shared" si="184"/>
        <v>4880503.4344686177</v>
      </c>
      <c r="B2633" s="3">
        <f t="shared" si="182"/>
        <v>14.299999999999971</v>
      </c>
      <c r="C2633" s="545">
        <f>'Foglio deposito bis'!$E$163/sezione!$B$247*B2633</f>
        <v>166.11204260760516</v>
      </c>
      <c r="D2633" s="603">
        <f>-'Sollecitazioni nel paramento'!$G$47*'Sollecitazioni nel paramento'!$G$41*IF(DATI!$G$211="dx",DATI!$E$61,DATI!$E$64*DATI!$E$63)*1000*C2633^2*sezione!$AD$5*(1-sezione!$AD$6)</f>
        <v>-613911632.03791058</v>
      </c>
      <c r="E2633" s="545">
        <f>-'Foglio deposito bis'!$F$88*(C2633-sezione!$AL$37)*IF(ABS(K2633)&lt;'Sollecitazioni nel paramento'!$G$58,ABS(K2633)*'Sollecitazioni nel paramento'!$G$54,'Sollecitazioni nel paramento'!$G$53)</f>
        <v>0</v>
      </c>
      <c r="F2633" s="545">
        <f>-'Foglio deposito bis'!$F$89*(C2633-sezione!$AM$37)*IF(ABS(L2633)&lt;'Sollecitazioni nel paramento'!$G$58,ABS(L2633)*'Sollecitazioni nel paramento'!$G$54,'Sollecitazioni nel paramento'!$G$53)</f>
        <v>-16305691.965332258</v>
      </c>
      <c r="G2633" s="545">
        <f>-'Foglio deposito bis'!$F$90*(C2633-sezione!$AN$37)*IF(ABS(M2633)&lt;'Sollecitazioni nel paramento'!$G$58,ABS(M2633)*'Sollecitazioni nel paramento'!$G$54,'Sollecitazioni nel paramento'!$G$53)</f>
        <v>0</v>
      </c>
      <c r="H2633" s="545">
        <f>-'Foglio deposito bis'!$F$91*(C2633-sezione!$AO$37)*IF(ABS(N2633)&lt;'Sollecitazioni nel paramento'!$G$58,ABS(N2633)*'Sollecitazioni nel paramento'!$G$54,'Sollecitazioni nel paramento'!$G$53)</f>
        <v>-369822.54733379261</v>
      </c>
      <c r="I2633" s="472">
        <f>-'Foglio deposito bis'!$F$92*(C2633-sezione!$AP$37)*IF(ABS(O2633)&lt;'Sollecitazioni nel paramento'!$G$58,ABS(O2633)*'Sollecitazioni nel paramento'!$G$54,'Sollecitazioni nel paramento'!$G$53)</f>
        <v>1084193173.6170623</v>
      </c>
      <c r="J2633" s="472">
        <f t="shared" si="183"/>
        <v>453606027.06648564</v>
      </c>
      <c r="K2633" s="550">
        <f>'Sollecitazioni nel paramento'!$G$60*(sezione!$AL$37-C2633)/C2633</f>
        <v>-2.6571953616228044E-3</v>
      </c>
      <c r="L2633" s="550">
        <f>'Sollecitazioni nel paramento'!$G$60*(sezione!$AM$37-C2633)/C2633</f>
        <v>-2.2357930424342061E-3</v>
      </c>
      <c r="M2633" s="551">
        <f>'Sollecitazioni nel paramento'!$G$60*(sezione!$AN$37-C2633)/C2633</f>
        <v>-1.8143907232456083E-3</v>
      </c>
      <c r="N2633" s="551">
        <f>'Sollecitazioni nel paramento'!$G$60*(sezione!$AO$37-C2633)/C2633</f>
        <v>-1.2878144649121703E-4</v>
      </c>
      <c r="O2633" s="551">
        <f>'Sollecitazioni nel paramento'!$G$60*(sezione!$AP$37-C2633)/C2633</f>
        <v>1.3744607949035415E-2</v>
      </c>
      <c r="P2633" s="545">
        <f>-'Sollecitazioni nel paramento'!$G$47*'Sollecitazioni nel paramento'!$G$41*IF(DATI!$G$211="dx",DATI!$E$61,DATI!$E$64*DATI!$E$63)*1000*C2633*sezione!$AD$5</f>
        <v>-6328370.487221933</v>
      </c>
      <c r="Q2633" s="545">
        <f>'Foglio deposito bis'!$F$88*IF(ABS(K2633)&lt;'Sollecitazioni nel paramento'!$G$58,ABS(K2633)*'Sollecitazioni nel paramento'!$G$54,'Sollecitazioni nel paramento'!$G$53)*IF(K2633&lt;0,-1,1)</f>
        <v>0</v>
      </c>
      <c r="R2633" s="545">
        <f>'Foglio deposito bis'!$F$89*IF(ABS(L2633)&lt;'Sollecitazioni nel paramento'!$G$58,ABS(L2633)*'Sollecitazioni nel paramento'!$G$54,'Sollecitazioni nel paramento'!$G$53)*IF(L2633&lt;0,-1,1)</f>
        <v>-153664.85805602249</v>
      </c>
      <c r="S2633" s="545">
        <f>'Foglio deposito bis'!$F$90*IF(ABS(M2633)&lt;'Sollecitazioni nel paramento'!$G$58,ABS(M2633)*'Sollecitazioni nel paramento'!$G$54,'Sollecitazioni nel paramento'!$G$53)*IF(M2633&lt;0,-1,1)</f>
        <v>0</v>
      </c>
      <c r="T2633" s="545">
        <f>'Foglio deposito bis'!$F$91*IF(ABS(N2633)&lt;'Sollecitazioni nel paramento'!$G$58,ABS(N2633)*'Sollecitazioni nel paramento'!$G$54,'Sollecitazioni nel paramento'!$G$53)*IF(N2633&lt;0,-1,1)</f>
        <v>-60507.19392460151</v>
      </c>
      <c r="U2633" s="545">
        <f>'Foglio deposito bis'!$F$92*IF(ABS(O2633)&lt;'Sollecitazioni nel paramento'!$G$58,ABS(O2633)*'Sollecitazioni nel paramento'!$G$54,'Sollecitazioni nel paramento'!$G$53)*IF(O2633&lt;0,-1,1)</f>
        <v>1662039.1047339395</v>
      </c>
      <c r="V2633" s="472">
        <f t="shared" si="185"/>
        <v>-4880503.4344686177</v>
      </c>
      <c r="W2633" s="551"/>
      <c r="X2633" s="551"/>
    </row>
    <row r="2634" spans="1:24" x14ac:dyDescent="0.25">
      <c r="A2634" s="545">
        <f t="shared" si="184"/>
        <v>4990859.6562560834</v>
      </c>
      <c r="B2634" s="3">
        <f t="shared" si="182"/>
        <v>14.49999999999997</v>
      </c>
      <c r="C2634" s="545">
        <f>'Foglio deposito bis'!$E$163/sezione!$B$247*B2634</f>
        <v>168.43528795876048</v>
      </c>
      <c r="D2634" s="603">
        <f>-'Sollecitazioni nel paramento'!$G$47*'Sollecitazioni nel paramento'!$G$41*IF(DATI!$G$211="dx",DATI!$E$61,DATI!$E$64*DATI!$E$63)*1000*C2634^2*sezione!$AD$5*(1-sezione!$AD$6)</f>
        <v>-631204071.76864731</v>
      </c>
      <c r="E2634" s="545">
        <f>-'Foglio deposito bis'!$F$88*(C2634-sezione!$AL$37)*IF(ABS(K2634)&lt;'Sollecitazioni nel paramento'!$G$58,ABS(K2634)*'Sollecitazioni nel paramento'!$G$54,'Sollecitazioni nel paramento'!$G$53)</f>
        <v>0</v>
      </c>
      <c r="F2634" s="545">
        <f>-'Foglio deposito bis'!$F$89*(C2634-sezione!$AM$37)*IF(ABS(L2634)&lt;'Sollecitazioni nel paramento'!$G$58,ABS(L2634)*'Sollecitazioni nel paramento'!$G$54,'Sollecitazioni nel paramento'!$G$53)</f>
        <v>-16662693.132446855</v>
      </c>
      <c r="G2634" s="545">
        <f>-'Foglio deposito bis'!$F$90*(C2634-sezione!$AN$37)*IF(ABS(M2634)&lt;'Sollecitazioni nel paramento'!$G$58,ABS(M2634)*'Sollecitazioni nel paramento'!$G$54,'Sollecitazioni nel paramento'!$G$53)</f>
        <v>0</v>
      </c>
      <c r="H2634" s="545">
        <f>-'Foglio deposito bis'!$F$91*(C2634-sezione!$AO$37)*IF(ABS(N2634)&lt;'Sollecitazioni nel paramento'!$G$58,ABS(N2634)*'Sollecitazioni nel paramento'!$G$54,'Sollecitazioni nel paramento'!$G$53)</f>
        <v>-694685.92616353487</v>
      </c>
      <c r="I2634" s="472">
        <f>-'Foglio deposito bis'!$F$92*(C2634-sezione!$AP$37)*IF(ABS(O2634)&lt;'Sollecitazioni nel paramento'!$G$58,ABS(O2634)*'Sollecitazioni nel paramento'!$G$54,'Sollecitazioni nel paramento'!$G$53)</f>
        <v>1080331848.993551</v>
      </c>
      <c r="J2634" s="472">
        <f t="shared" si="183"/>
        <v>431770398.16629326</v>
      </c>
      <c r="K2634" s="550">
        <f>'Sollecitazioni nel paramento'!$G$60*(sezione!$AL$37-C2634)/C2634</f>
        <v>-2.6688202531866276E-3</v>
      </c>
      <c r="L2634" s="550">
        <f>'Sollecitazioni nel paramento'!$G$60*(sezione!$AM$37-C2634)/C2634</f>
        <v>-2.2532303797799416E-3</v>
      </c>
      <c r="M2634" s="551">
        <f>'Sollecitazioni nel paramento'!$G$60*(sezione!$AN$37-C2634)/C2634</f>
        <v>-1.8376405063732554E-3</v>
      </c>
      <c r="N2634" s="551">
        <f>'Sollecitazioni nel paramento'!$G$60*(sezione!$AO$37-C2634)/C2634</f>
        <v>-1.7528101274651067E-4</v>
      </c>
      <c r="O2634" s="551">
        <f>'Sollecitazioni nel paramento'!$G$60*(sezione!$AP$37-C2634)/C2634</f>
        <v>1.3506751287669413E-2</v>
      </c>
      <c r="P2634" s="545">
        <f>-'Sollecitazioni nel paramento'!$G$47*'Sollecitazioni nel paramento'!$G$41*IF(DATI!$G$211="dx",DATI!$E$61,DATI!$E$64*DATI!$E$63)*1000*C2634*sezione!$AD$5</f>
        <v>-6416879.1653648969</v>
      </c>
      <c r="Q2634" s="545">
        <f>'Foglio deposito bis'!$F$88*IF(ABS(K2634)&lt;'Sollecitazioni nel paramento'!$G$58,ABS(K2634)*'Sollecitazioni nel paramento'!$G$54,'Sollecitazioni nel paramento'!$G$53)*IF(K2634&lt;0,-1,1)</f>
        <v>0</v>
      </c>
      <c r="R2634" s="545">
        <f>'Foglio deposito bis'!$F$89*IF(ABS(L2634)&lt;'Sollecitazioni nel paramento'!$G$58,ABS(L2634)*'Sollecitazioni nel paramento'!$G$54,'Sollecitazioni nel paramento'!$G$53)*IF(L2634&lt;0,-1,1)</f>
        <v>-153664.85805602249</v>
      </c>
      <c r="S2634" s="545">
        <f>'Foglio deposito bis'!$F$90*IF(ABS(M2634)&lt;'Sollecitazioni nel paramento'!$G$58,ABS(M2634)*'Sollecitazioni nel paramento'!$G$54,'Sollecitazioni nel paramento'!$G$53)*IF(M2634&lt;0,-1,1)</f>
        <v>0</v>
      </c>
      <c r="T2634" s="545">
        <f>'Foglio deposito bis'!$F$91*IF(ABS(N2634)&lt;'Sollecitazioni nel paramento'!$G$58,ABS(N2634)*'Sollecitazioni nel paramento'!$G$54,'Sollecitazioni nel paramento'!$G$53)*IF(N2634&lt;0,-1,1)</f>
        <v>-82354.73756910309</v>
      </c>
      <c r="U2634" s="545">
        <f>'Foglio deposito bis'!$F$92*IF(ABS(O2634)&lt;'Sollecitazioni nel paramento'!$G$58,ABS(O2634)*'Sollecitazioni nel paramento'!$G$54,'Sollecitazioni nel paramento'!$G$53)*IF(O2634&lt;0,-1,1)</f>
        <v>1662039.1047339395</v>
      </c>
      <c r="V2634" s="472">
        <f t="shared" si="185"/>
        <v>-4990859.6562560834</v>
      </c>
      <c r="W2634" s="551"/>
      <c r="X2634" s="551"/>
    </row>
    <row r="2635" spans="1:24" x14ac:dyDescent="0.25">
      <c r="A2635" s="545">
        <f t="shared" si="184"/>
        <v>5100621.3870600238</v>
      </c>
      <c r="B2635" s="3">
        <f t="shared" si="182"/>
        <v>14.699999999999969</v>
      </c>
      <c r="C2635" s="545">
        <f>'Foglio deposito bis'!$E$163/sezione!$B$247*B2635</f>
        <v>170.75853330991578</v>
      </c>
      <c r="D2635" s="603">
        <f>-'Sollecitazioni nel paramento'!$G$47*'Sollecitazioni nel paramento'!$G$41*IF(DATI!$G$211="dx",DATI!$E$61,DATI!$E$64*DATI!$E$63)*1000*C2635^2*sezione!$AD$5*(1-sezione!$AD$6)</f>
        <v>-648736684.27342212</v>
      </c>
      <c r="E2635" s="545">
        <f>-'Foglio deposito bis'!$F$88*(C2635-sezione!$AL$37)*IF(ABS(K2635)&lt;'Sollecitazioni nel paramento'!$G$58,ABS(K2635)*'Sollecitazioni nel paramento'!$G$54,'Sollecitazioni nel paramento'!$G$53)</f>
        <v>0</v>
      </c>
      <c r="F2635" s="545">
        <f>-'Foglio deposito bis'!$F$89*(C2635-sezione!$AM$37)*IF(ABS(L2635)&lt;'Sollecitazioni nel paramento'!$G$58,ABS(L2635)*'Sollecitazioni nel paramento'!$G$54,'Sollecitazioni nel paramento'!$G$53)</f>
        <v>-17019694.299561448</v>
      </c>
      <c r="G2635" s="545">
        <f>-'Foglio deposito bis'!$F$90*(C2635-sezione!$AN$37)*IF(ABS(M2635)&lt;'Sollecitazioni nel paramento'!$G$58,ABS(M2635)*'Sollecitazioni nel paramento'!$G$54,'Sollecitazioni nel paramento'!$G$53)</f>
        <v>0</v>
      </c>
      <c r="H2635" s="545">
        <f>-'Foglio deposito bis'!$F$91*(C2635-sezione!$AO$37)*IF(ABS(N2635)&lt;'Sollecitazioni nel paramento'!$G$58,ABS(N2635)*'Sollecitazioni nel paramento'!$G$54,'Sollecitazioni nel paramento'!$G$53)</f>
        <v>-1114667.8623570879</v>
      </c>
      <c r="I2635" s="472">
        <f>-'Foglio deposito bis'!$F$92*(C2635-sezione!$AP$37)*IF(ABS(O2635)&lt;'Sollecitazioni nel paramento'!$G$58,ABS(O2635)*'Sollecitazioni nel paramento'!$G$54,'Sollecitazioni nel paramento'!$G$53)</f>
        <v>1076470524.3700395</v>
      </c>
      <c r="J2635" s="472">
        <f t="shared" si="183"/>
        <v>409599477.9346987</v>
      </c>
      <c r="K2635" s="550">
        <f>'Sollecitazioni nel paramento'!$G$60*(sezione!$AL$37-C2635)/C2635</f>
        <v>-2.6801288211704831E-3</v>
      </c>
      <c r="L2635" s="550">
        <f>'Sollecitazioni nel paramento'!$G$60*(sezione!$AM$37-C2635)/C2635</f>
        <v>-2.2701932317557246E-3</v>
      </c>
      <c r="M2635" s="551">
        <f>'Sollecitazioni nel paramento'!$G$60*(sezione!$AN$37-C2635)/C2635</f>
        <v>-1.8602576423409659E-3</v>
      </c>
      <c r="N2635" s="551">
        <f>'Sollecitazioni nel paramento'!$G$60*(sezione!$AO$37-C2635)/C2635</f>
        <v>-2.2051528468193182E-4</v>
      </c>
      <c r="O2635" s="551">
        <f>'Sollecitazioni nel paramento'!$G$60*(sezione!$AP$37-C2635)/C2635</f>
        <v>1.3275366916408605E-2</v>
      </c>
      <c r="P2635" s="545">
        <f>-'Sollecitazioni nel paramento'!$G$47*'Sollecitazioni nel paramento'!$G$41*IF(DATI!$G$211="dx",DATI!$E$61,DATI!$E$64*DATI!$E$63)*1000*C2635*sezione!$AD$5</f>
        <v>-6505387.8435078599</v>
      </c>
      <c r="Q2635" s="545">
        <f>'Foglio deposito bis'!$F$88*IF(ABS(K2635)&lt;'Sollecitazioni nel paramento'!$G$58,ABS(K2635)*'Sollecitazioni nel paramento'!$G$54,'Sollecitazioni nel paramento'!$G$53)*IF(K2635&lt;0,-1,1)</f>
        <v>0</v>
      </c>
      <c r="R2635" s="545">
        <f>'Foglio deposito bis'!$F$89*IF(ABS(L2635)&lt;'Sollecitazioni nel paramento'!$G$58,ABS(L2635)*'Sollecitazioni nel paramento'!$G$54,'Sollecitazioni nel paramento'!$G$53)*IF(L2635&lt;0,-1,1)</f>
        <v>-153664.85805602249</v>
      </c>
      <c r="S2635" s="545">
        <f>'Foglio deposito bis'!$F$90*IF(ABS(M2635)&lt;'Sollecitazioni nel paramento'!$G$58,ABS(M2635)*'Sollecitazioni nel paramento'!$G$54,'Sollecitazioni nel paramento'!$G$53)*IF(M2635&lt;0,-1,1)</f>
        <v>0</v>
      </c>
      <c r="T2635" s="545">
        <f>'Foglio deposito bis'!$F$91*IF(ABS(N2635)&lt;'Sollecitazioni nel paramento'!$G$58,ABS(N2635)*'Sollecitazioni nel paramento'!$G$54,'Sollecitazioni nel paramento'!$G$53)*IF(N2635&lt;0,-1,1)</f>
        <v>-103607.79023008054</v>
      </c>
      <c r="U2635" s="545">
        <f>'Foglio deposito bis'!$F$92*IF(ABS(O2635)&lt;'Sollecitazioni nel paramento'!$G$58,ABS(O2635)*'Sollecitazioni nel paramento'!$G$54,'Sollecitazioni nel paramento'!$G$53)*IF(O2635&lt;0,-1,1)</f>
        <v>1662039.1047339395</v>
      </c>
      <c r="V2635" s="472">
        <f t="shared" si="185"/>
        <v>-5100621.3870600238</v>
      </c>
      <c r="W2635" s="551"/>
      <c r="X2635" s="551"/>
    </row>
    <row r="2636" spans="1:24" x14ac:dyDescent="0.25">
      <c r="A2636" s="545">
        <f t="shared" si="184"/>
        <v>5209812.566114678</v>
      </c>
      <c r="B2636" s="3">
        <f t="shared" si="182"/>
        <v>14.899999999999968</v>
      </c>
      <c r="C2636" s="545">
        <f>'Foglio deposito bis'!$E$163/sezione!$B$247*B2636</f>
        <v>173.0817786610711</v>
      </c>
      <c r="D2636" s="603">
        <f>-'Sollecitazioni nel paramento'!$G$47*'Sollecitazioni nel paramento'!$G$41*IF(DATI!$G$211="dx",DATI!$E$61,DATI!$E$64*DATI!$E$63)*1000*C2636^2*sezione!$AD$5*(1-sezione!$AD$6)</f>
        <v>-666509469.55223489</v>
      </c>
      <c r="E2636" s="545">
        <f>-'Foglio deposito bis'!$F$88*(C2636-sezione!$AL$37)*IF(ABS(K2636)&lt;'Sollecitazioni nel paramento'!$G$58,ABS(K2636)*'Sollecitazioni nel paramento'!$G$54,'Sollecitazioni nel paramento'!$G$53)</f>
        <v>0</v>
      </c>
      <c r="F2636" s="545">
        <f>-'Foglio deposito bis'!$F$89*(C2636-sezione!$AM$37)*IF(ABS(L2636)&lt;'Sollecitazioni nel paramento'!$G$58,ABS(L2636)*'Sollecitazioni nel paramento'!$G$54,'Sollecitazioni nel paramento'!$G$53)</f>
        <v>-17376695.466676045</v>
      </c>
      <c r="G2636" s="545">
        <f>-'Foglio deposito bis'!$F$90*(C2636-sezione!$AN$37)*IF(ABS(M2636)&lt;'Sollecitazioni nel paramento'!$G$58,ABS(M2636)*'Sollecitazioni nel paramento'!$G$54,'Sollecitazioni nel paramento'!$G$53)</f>
        <v>0</v>
      </c>
      <c r="H2636" s="545">
        <f>-'Foglio deposito bis'!$F$91*(C2636-sezione!$AO$37)*IF(ABS(N2636)&lt;'Sollecitazioni nel paramento'!$G$58,ABS(N2636)*'Sollecitazioni nel paramento'!$G$54,'Sollecitazioni nel paramento'!$G$53)</f>
        <v>-1625938.0784367248</v>
      </c>
      <c r="I2636" s="472">
        <f>-'Foglio deposito bis'!$F$92*(C2636-sezione!$AP$37)*IF(ABS(O2636)&lt;'Sollecitazioni nel paramento'!$G$58,ABS(O2636)*'Sollecitazioni nel paramento'!$G$54,'Sollecitazioni nel paramento'!$G$53)</f>
        <v>1072609199.746528</v>
      </c>
      <c r="J2636" s="472">
        <f t="shared" si="183"/>
        <v>387097096.64918041</v>
      </c>
      <c r="K2636" s="550">
        <f>'Sollecitazioni nel paramento'!$G$60*(sezione!$AL$37-C2636)/C2636</f>
        <v>-2.691133803436651E-3</v>
      </c>
      <c r="L2636" s="550">
        <f>'Sollecitazioni nel paramento'!$G$60*(sezione!$AM$37-C2636)/C2636</f>
        <v>-2.2867007051549765E-3</v>
      </c>
      <c r="M2636" s="551">
        <f>'Sollecitazioni nel paramento'!$G$60*(sezione!$AN$37-C2636)/C2636</f>
        <v>-1.882267606873302E-3</v>
      </c>
      <c r="N2636" s="551">
        <f>'Sollecitazioni nel paramento'!$G$60*(sezione!$AO$37-C2636)/C2636</f>
        <v>-2.6453521374660401E-4</v>
      </c>
      <c r="O2636" s="551">
        <f>'Sollecitazioni nel paramento'!$G$60*(sezione!$AP$37-C2636)/C2636</f>
        <v>1.3050194206121241E-2</v>
      </c>
      <c r="P2636" s="545">
        <f>-'Sollecitazioni nel paramento'!$G$47*'Sollecitazioni nel paramento'!$G$41*IF(DATI!$G$211="dx",DATI!$E$61,DATI!$E$64*DATI!$E$63)*1000*C2636*sezione!$AD$5</f>
        <v>-6593896.5216508247</v>
      </c>
      <c r="Q2636" s="545">
        <f>'Foglio deposito bis'!$F$88*IF(ABS(K2636)&lt;'Sollecitazioni nel paramento'!$G$58,ABS(K2636)*'Sollecitazioni nel paramento'!$G$54,'Sollecitazioni nel paramento'!$G$53)*IF(K2636&lt;0,-1,1)</f>
        <v>0</v>
      </c>
      <c r="R2636" s="545">
        <f>'Foglio deposito bis'!$F$89*IF(ABS(L2636)&lt;'Sollecitazioni nel paramento'!$G$58,ABS(L2636)*'Sollecitazioni nel paramento'!$G$54,'Sollecitazioni nel paramento'!$G$53)*IF(L2636&lt;0,-1,1)</f>
        <v>-153664.85805602249</v>
      </c>
      <c r="S2636" s="545">
        <f>'Foglio deposito bis'!$F$90*IF(ABS(M2636)&lt;'Sollecitazioni nel paramento'!$G$58,ABS(M2636)*'Sollecitazioni nel paramento'!$G$54,'Sollecitazioni nel paramento'!$G$53)*IF(M2636&lt;0,-1,1)</f>
        <v>0</v>
      </c>
      <c r="T2636" s="545">
        <f>'Foglio deposito bis'!$F$91*IF(ABS(N2636)&lt;'Sollecitazioni nel paramento'!$G$58,ABS(N2636)*'Sollecitazioni nel paramento'!$G$54,'Sollecitazioni nel paramento'!$G$53)*IF(N2636&lt;0,-1,1)</f>
        <v>-124290.2911417703</v>
      </c>
      <c r="U2636" s="545">
        <f>'Foglio deposito bis'!$F$92*IF(ABS(O2636)&lt;'Sollecitazioni nel paramento'!$G$58,ABS(O2636)*'Sollecitazioni nel paramento'!$G$54,'Sollecitazioni nel paramento'!$G$53)*IF(O2636&lt;0,-1,1)</f>
        <v>1662039.1047339395</v>
      </c>
      <c r="V2636" s="472">
        <f t="shared" si="185"/>
        <v>-5209812.566114678</v>
      </c>
      <c r="W2636" s="551"/>
      <c r="X2636" s="551"/>
    </row>
    <row r="2637" spans="1:24" x14ac:dyDescent="0.25">
      <c r="A2637" s="545">
        <f t="shared" si="184"/>
        <v>5318455.8643504791</v>
      </c>
      <c r="B2637" s="3">
        <f t="shared" si="182"/>
        <v>15.099999999999968</v>
      </c>
      <c r="C2637" s="545">
        <f>'Foglio deposito bis'!$E$163/sezione!$B$247*B2637</f>
        <v>175.40502401222642</v>
      </c>
      <c r="D2637" s="603">
        <f>-'Sollecitazioni nel paramento'!$G$47*'Sollecitazioni nel paramento'!$G$41*IF(DATI!$G$211="dx",DATI!$E$61,DATI!$E$64*DATI!$E$63)*1000*C2637^2*sezione!$AD$5*(1-sezione!$AD$6)</f>
        <v>-684522427.60508561</v>
      </c>
      <c r="E2637" s="545">
        <f>-'Foglio deposito bis'!$F$88*(C2637-sezione!$AL$37)*IF(ABS(K2637)&lt;'Sollecitazioni nel paramento'!$G$58,ABS(K2637)*'Sollecitazioni nel paramento'!$G$54,'Sollecitazioni nel paramento'!$G$53)</f>
        <v>0</v>
      </c>
      <c r="F2637" s="545">
        <f>-'Foglio deposito bis'!$F$89*(C2637-sezione!$AM$37)*IF(ABS(L2637)&lt;'Sollecitazioni nel paramento'!$G$58,ABS(L2637)*'Sollecitazioni nel paramento'!$G$54,'Sollecitazioni nel paramento'!$G$53)</f>
        <v>-17733696.633790642</v>
      </c>
      <c r="G2637" s="545">
        <f>-'Foglio deposito bis'!$F$90*(C2637-sezione!$AN$37)*IF(ABS(M2637)&lt;'Sollecitazioni nel paramento'!$G$58,ABS(M2637)*'Sollecitazioni nel paramento'!$G$54,'Sollecitazioni nel paramento'!$G$53)</f>
        <v>0</v>
      </c>
      <c r="H2637" s="545">
        <f>-'Foglio deposito bis'!$F$91*(C2637-sezione!$AO$37)*IF(ABS(N2637)&lt;'Sollecitazioni nel paramento'!$G$58,ABS(N2637)*'Sollecitazioni nel paramento'!$G$54,'Sollecitazioni nel paramento'!$G$53)</f>
        <v>-2224869.2255327953</v>
      </c>
      <c r="I2637" s="472">
        <f>-'Foglio deposito bis'!$F$92*(C2637-sezione!$AP$37)*IF(ABS(O2637)&lt;'Sollecitazioni nel paramento'!$G$58,ABS(O2637)*'Sollecitazioni nel paramento'!$G$54,'Sollecitazioni nel paramento'!$G$53)</f>
        <v>1068747875.1230167</v>
      </c>
      <c r="J2637" s="472">
        <f t="shared" si="183"/>
        <v>364266881.65860772</v>
      </c>
      <c r="K2637" s="550">
        <f>'Sollecitazioni nel paramento'!$G$60*(sezione!$AL$37-C2637)/C2637</f>
        <v>-2.7018472629937815E-3</v>
      </c>
      <c r="L2637" s="550">
        <f>'Sollecitazioni nel paramento'!$G$60*(sezione!$AM$37-C2637)/C2637</f>
        <v>-2.3027708944906725E-3</v>
      </c>
      <c r="M2637" s="551">
        <f>'Sollecitazioni nel paramento'!$G$60*(sezione!$AN$37-C2637)/C2637</f>
        <v>-1.903694525987563E-3</v>
      </c>
      <c r="N2637" s="551">
        <f>'Sollecitazioni nel paramento'!$G$60*(sezione!$AO$37-C2637)/C2637</f>
        <v>-3.073890519751259E-4</v>
      </c>
      <c r="O2637" s="551">
        <f>'Sollecitazioni nel paramento'!$G$60*(sezione!$AP$37-C2637)/C2637</f>
        <v>1.2830986335841491E-2</v>
      </c>
      <c r="P2637" s="545">
        <f>-'Sollecitazioni nel paramento'!$G$47*'Sollecitazioni nel paramento'!$G$41*IF(DATI!$G$211="dx",DATI!$E$61,DATI!$E$64*DATI!$E$63)*1000*C2637*sezione!$AD$5</f>
        <v>-6682405.1997937886</v>
      </c>
      <c r="Q2637" s="545">
        <f>'Foglio deposito bis'!$F$88*IF(ABS(K2637)&lt;'Sollecitazioni nel paramento'!$G$58,ABS(K2637)*'Sollecitazioni nel paramento'!$G$54,'Sollecitazioni nel paramento'!$G$53)*IF(K2637&lt;0,-1,1)</f>
        <v>0</v>
      </c>
      <c r="R2637" s="545">
        <f>'Foglio deposito bis'!$F$89*IF(ABS(L2637)&lt;'Sollecitazioni nel paramento'!$G$58,ABS(L2637)*'Sollecitazioni nel paramento'!$G$54,'Sollecitazioni nel paramento'!$G$53)*IF(L2637&lt;0,-1,1)</f>
        <v>-153664.85805602249</v>
      </c>
      <c r="S2637" s="545">
        <f>'Foglio deposito bis'!$F$90*IF(ABS(M2637)&lt;'Sollecitazioni nel paramento'!$G$58,ABS(M2637)*'Sollecitazioni nel paramento'!$G$54,'Sollecitazioni nel paramento'!$G$53)*IF(M2637&lt;0,-1,1)</f>
        <v>0</v>
      </c>
      <c r="T2637" s="545">
        <f>'Foglio deposito bis'!$F$91*IF(ABS(N2637)&lt;'Sollecitazioni nel paramento'!$G$58,ABS(N2637)*'Sollecitazioni nel paramento'!$G$54,'Sollecitazioni nel paramento'!$G$53)*IF(N2637&lt;0,-1,1)</f>
        <v>-144424.91123460734</v>
      </c>
      <c r="U2637" s="545">
        <f>'Foglio deposito bis'!$F$92*IF(ABS(O2637)&lt;'Sollecitazioni nel paramento'!$G$58,ABS(O2637)*'Sollecitazioni nel paramento'!$G$54,'Sollecitazioni nel paramento'!$G$53)*IF(O2637&lt;0,-1,1)</f>
        <v>1662039.1047339395</v>
      </c>
      <c r="V2637" s="472">
        <f t="shared" si="185"/>
        <v>-5318455.8643504791</v>
      </c>
      <c r="W2637" s="551"/>
      <c r="X2637" s="551"/>
    </row>
    <row r="2638" spans="1:24" x14ac:dyDescent="0.25">
      <c r="A2638" s="545">
        <f t="shared" si="184"/>
        <v>5426572.7672897344</v>
      </c>
      <c r="B2638" s="3">
        <f t="shared" si="182"/>
        <v>15.299999999999967</v>
      </c>
      <c r="C2638" s="545">
        <f>'Foglio deposito bis'!$E$163/sezione!$B$247*B2638</f>
        <v>177.72826936338171</v>
      </c>
      <c r="D2638" s="603">
        <f>-'Sollecitazioni nel paramento'!$G$47*'Sollecitazioni nel paramento'!$G$41*IF(DATI!$G$211="dx",DATI!$E$61,DATI!$E$64*DATI!$E$63)*1000*C2638^2*sezione!$AD$5*(1-sezione!$AD$6)</f>
        <v>-702775558.43197441</v>
      </c>
      <c r="E2638" s="545">
        <f>-'Foglio deposito bis'!$F$88*(C2638-sezione!$AL$37)*IF(ABS(K2638)&lt;'Sollecitazioni nel paramento'!$G$58,ABS(K2638)*'Sollecitazioni nel paramento'!$G$54,'Sollecitazioni nel paramento'!$G$53)</f>
        <v>0</v>
      </c>
      <c r="F2638" s="545">
        <f>-'Foglio deposito bis'!$F$89*(C2638-sezione!$AM$37)*IF(ABS(L2638)&lt;'Sollecitazioni nel paramento'!$G$58,ABS(L2638)*'Sollecitazioni nel paramento'!$G$54,'Sollecitazioni nel paramento'!$G$53)</f>
        <v>-18090697.800905231</v>
      </c>
      <c r="G2638" s="545">
        <f>-'Foglio deposito bis'!$F$90*(C2638-sezione!$AN$37)*IF(ABS(M2638)&lt;'Sollecitazioni nel paramento'!$G$58,ABS(M2638)*'Sollecitazioni nel paramento'!$G$54,'Sollecitazioni nel paramento'!$G$53)</f>
        <v>0</v>
      </c>
      <c r="H2638" s="545">
        <f>-'Foglio deposito bis'!$F$91*(C2638-sezione!$AO$37)*IF(ABS(N2638)&lt;'Sollecitazioni nel paramento'!$G$58,ABS(N2638)*'Sollecitazioni nel paramento'!$G$54,'Sollecitazioni nel paramento'!$G$53)</f>
        <v>-2908023.6200760179</v>
      </c>
      <c r="I2638" s="472">
        <f>-'Foglio deposito bis'!$F$92*(C2638-sezione!$AP$37)*IF(ABS(O2638)&lt;'Sollecitazioni nel paramento'!$G$58,ABS(O2638)*'Sollecitazioni nel paramento'!$G$54,'Sollecitazioni nel paramento'!$G$53)</f>
        <v>1064886550.4995052</v>
      </c>
      <c r="J2638" s="472">
        <f t="shared" si="183"/>
        <v>341112270.64654946</v>
      </c>
      <c r="K2638" s="550">
        <f>'Sollecitazioni nel paramento'!$G$60*(sezione!$AL$37-C2638)/C2638</f>
        <v>-2.7122806321049739E-3</v>
      </c>
      <c r="L2638" s="550">
        <f>'Sollecitazioni nel paramento'!$G$60*(sezione!$AM$37-C2638)/C2638</f>
        <v>-2.3184209481574608E-3</v>
      </c>
      <c r="M2638" s="551">
        <f>'Sollecitazioni nel paramento'!$G$60*(sezione!$AN$37-C2638)/C2638</f>
        <v>-1.9245612642099475E-3</v>
      </c>
      <c r="N2638" s="551">
        <f>'Sollecitazioni nel paramento'!$G$60*(sezione!$AO$37-C2638)/C2638</f>
        <v>-3.4912252841989508E-4</v>
      </c>
      <c r="O2638" s="551">
        <f>'Sollecitazioni nel paramento'!$G$60*(sezione!$AP$37-C2638)/C2638</f>
        <v>1.2617509390274935E-2</v>
      </c>
      <c r="P2638" s="545">
        <f>-'Sollecitazioni nel paramento'!$G$47*'Sollecitazioni nel paramento'!$G$41*IF(DATI!$G$211="dx",DATI!$E$61,DATI!$E$64*DATI!$E$63)*1000*C2638*sezione!$AD$5</f>
        <v>-6770913.8779367516</v>
      </c>
      <c r="Q2638" s="545">
        <f>'Foglio deposito bis'!$F$88*IF(ABS(K2638)&lt;'Sollecitazioni nel paramento'!$G$58,ABS(K2638)*'Sollecitazioni nel paramento'!$G$54,'Sollecitazioni nel paramento'!$G$53)*IF(K2638&lt;0,-1,1)</f>
        <v>0</v>
      </c>
      <c r="R2638" s="545">
        <f>'Foglio deposito bis'!$F$89*IF(ABS(L2638)&lt;'Sollecitazioni nel paramento'!$G$58,ABS(L2638)*'Sollecitazioni nel paramento'!$G$54,'Sollecitazioni nel paramento'!$G$53)*IF(L2638&lt;0,-1,1)</f>
        <v>-153664.85805602249</v>
      </c>
      <c r="S2638" s="545">
        <f>'Foglio deposito bis'!$F$90*IF(ABS(M2638)&lt;'Sollecitazioni nel paramento'!$G$58,ABS(M2638)*'Sollecitazioni nel paramento'!$G$54,'Sollecitazioni nel paramento'!$G$53)*IF(M2638&lt;0,-1,1)</f>
        <v>0</v>
      </c>
      <c r="T2638" s="545">
        <f>'Foglio deposito bis'!$F$91*IF(ABS(N2638)&lt;'Sollecitazioni nel paramento'!$G$58,ABS(N2638)*'Sollecitazioni nel paramento'!$G$54,'Sollecitazioni nel paramento'!$G$53)*IF(N2638&lt;0,-1,1)</f>
        <v>-164033.13603089936</v>
      </c>
      <c r="U2638" s="545">
        <f>'Foglio deposito bis'!$F$92*IF(ABS(O2638)&lt;'Sollecitazioni nel paramento'!$G$58,ABS(O2638)*'Sollecitazioni nel paramento'!$G$54,'Sollecitazioni nel paramento'!$G$53)*IF(O2638&lt;0,-1,1)</f>
        <v>1662039.1047339395</v>
      </c>
      <c r="V2638" s="472">
        <f t="shared" si="185"/>
        <v>-5426572.7672897344</v>
      </c>
      <c r="W2638" s="551"/>
      <c r="X2638" s="551"/>
    </row>
    <row r="2639" spans="1:24" x14ac:dyDescent="0.25">
      <c r="A2639" s="545">
        <f t="shared" si="184"/>
        <v>5534183.6515245708</v>
      </c>
      <c r="B2639" s="3">
        <f t="shared" si="182"/>
        <v>15.499999999999966</v>
      </c>
      <c r="C2639" s="545">
        <f>'Foglio deposito bis'!$E$163/sezione!$B$247*B2639</f>
        <v>180.05151471453703</v>
      </c>
      <c r="D2639" s="603">
        <f>-'Sollecitazioni nel paramento'!$G$47*'Sollecitazioni nel paramento'!$G$41*IF(DATI!$G$211="dx",DATI!$E$61,DATI!$E$64*DATI!$E$63)*1000*C2639^2*sezione!$AD$5*(1-sezione!$AD$6)</f>
        <v>-721268862.03290117</v>
      </c>
      <c r="E2639" s="545">
        <f>-'Foglio deposito bis'!$F$88*(C2639-sezione!$AL$37)*IF(ABS(K2639)&lt;'Sollecitazioni nel paramento'!$G$58,ABS(K2639)*'Sollecitazioni nel paramento'!$G$54,'Sollecitazioni nel paramento'!$G$53)</f>
        <v>0</v>
      </c>
      <c r="F2639" s="545">
        <f>-'Foglio deposito bis'!$F$89*(C2639-sezione!$AM$37)*IF(ABS(L2639)&lt;'Sollecitazioni nel paramento'!$G$58,ABS(L2639)*'Sollecitazioni nel paramento'!$G$54,'Sollecitazioni nel paramento'!$G$53)</f>
        <v>-18447698.968019828</v>
      </c>
      <c r="G2639" s="545">
        <f>-'Foglio deposito bis'!$F$90*(C2639-sezione!$AN$37)*IF(ABS(M2639)&lt;'Sollecitazioni nel paramento'!$G$58,ABS(M2639)*'Sollecitazioni nel paramento'!$G$54,'Sollecitazioni nel paramento'!$G$53)</f>
        <v>0</v>
      </c>
      <c r="H2639" s="545">
        <f>-'Foglio deposito bis'!$F$91*(C2639-sezione!$AO$37)*IF(ABS(N2639)&lt;'Sollecitazioni nel paramento'!$G$58,ABS(N2639)*'Sollecitazioni nel paramento'!$G$54,'Sollecitazioni nel paramento'!$G$53)</f>
        <v>-3672141.007326521</v>
      </c>
      <c r="I2639" s="472">
        <f>-'Foglio deposito bis'!$F$92*(C2639-sezione!$AP$37)*IF(ABS(O2639)&lt;'Sollecitazioni nel paramento'!$G$58,ABS(O2639)*'Sollecitazioni nel paramento'!$G$54,'Sollecitazioni nel paramento'!$G$53)</f>
        <v>1061025225.8759937</v>
      </c>
      <c r="J2639" s="472">
        <f t="shared" si="183"/>
        <v>317636523.86774623</v>
      </c>
      <c r="K2639" s="550">
        <f>'Sollecitazioni nel paramento'!$G$60*(sezione!$AL$37-C2639)/C2639</f>
        <v>-2.7224447529810387E-3</v>
      </c>
      <c r="L2639" s="550">
        <f>'Sollecitazioni nel paramento'!$G$60*(sezione!$AM$37-C2639)/C2639</f>
        <v>-2.3336671294715582E-3</v>
      </c>
      <c r="M2639" s="551">
        <f>'Sollecitazioni nel paramento'!$G$60*(sezione!$AN$37-C2639)/C2639</f>
        <v>-1.9448895059620773E-3</v>
      </c>
      <c r="N2639" s="551">
        <f>'Sollecitazioni nel paramento'!$G$60*(sezione!$AO$37-C2639)/C2639</f>
        <v>-3.8977901192415463E-4</v>
      </c>
      <c r="O2639" s="551">
        <f>'Sollecitazioni nel paramento'!$G$60*(sezione!$AP$37-C2639)/C2639</f>
        <v>1.2409541527174614E-2</v>
      </c>
      <c r="P2639" s="545">
        <f>-'Sollecitazioni nel paramento'!$G$47*'Sollecitazioni nel paramento'!$G$41*IF(DATI!$G$211="dx",DATI!$E$61,DATI!$E$64*DATI!$E$63)*1000*C2639*sezione!$AD$5</f>
        <v>-6859422.5560797164</v>
      </c>
      <c r="Q2639" s="545">
        <f>'Foglio deposito bis'!$F$88*IF(ABS(K2639)&lt;'Sollecitazioni nel paramento'!$G$58,ABS(K2639)*'Sollecitazioni nel paramento'!$G$54,'Sollecitazioni nel paramento'!$G$53)*IF(K2639&lt;0,-1,1)</f>
        <v>0</v>
      </c>
      <c r="R2639" s="545">
        <f>'Foglio deposito bis'!$F$89*IF(ABS(L2639)&lt;'Sollecitazioni nel paramento'!$G$58,ABS(L2639)*'Sollecitazioni nel paramento'!$G$54,'Sollecitazioni nel paramento'!$G$53)*IF(L2639&lt;0,-1,1)</f>
        <v>-153664.85805602249</v>
      </c>
      <c r="S2639" s="545">
        <f>'Foglio deposito bis'!$F$90*IF(ABS(M2639)&lt;'Sollecitazioni nel paramento'!$G$58,ABS(M2639)*'Sollecitazioni nel paramento'!$G$54,'Sollecitazioni nel paramento'!$G$53)*IF(M2639&lt;0,-1,1)</f>
        <v>0</v>
      </c>
      <c r="T2639" s="545">
        <f>'Foglio deposito bis'!$F$91*IF(ABS(N2639)&lt;'Sollecitazioni nel paramento'!$G$58,ABS(N2639)*'Sollecitazioni nel paramento'!$G$54,'Sollecitazioni nel paramento'!$G$53)*IF(N2639&lt;0,-1,1)</f>
        <v>-183135.3421227712</v>
      </c>
      <c r="U2639" s="545">
        <f>'Foglio deposito bis'!$F$92*IF(ABS(O2639)&lt;'Sollecitazioni nel paramento'!$G$58,ABS(O2639)*'Sollecitazioni nel paramento'!$G$54,'Sollecitazioni nel paramento'!$G$53)*IF(O2639&lt;0,-1,1)</f>
        <v>1662039.1047339395</v>
      </c>
      <c r="V2639" s="472">
        <f t="shared" si="185"/>
        <v>-5534183.6515245708</v>
      </c>
      <c r="W2639" s="551"/>
      <c r="X2639" s="551"/>
    </row>
    <row r="2640" spans="1:24" x14ac:dyDescent="0.25">
      <c r="A2640" s="545">
        <f t="shared" si="184"/>
        <v>5641307.8553494224</v>
      </c>
      <c r="B2640" s="3">
        <f t="shared" si="182"/>
        <v>15.699999999999966</v>
      </c>
      <c r="C2640" s="545">
        <f>'Foglio deposito bis'!$E$163/sezione!$B$247*B2640</f>
        <v>182.37476006569236</v>
      </c>
      <c r="D2640" s="603">
        <f>-'Sollecitazioni nel paramento'!$G$47*'Sollecitazioni nel paramento'!$G$41*IF(DATI!$G$211="dx",DATI!$E$61,DATI!$E$64*DATI!$E$63)*1000*C2640^2*sezione!$AD$5*(1-sezione!$AD$6)</f>
        <v>-740002338.40786588</v>
      </c>
      <c r="E2640" s="545">
        <f>-'Foglio deposito bis'!$F$88*(C2640-sezione!$AL$37)*IF(ABS(K2640)&lt;'Sollecitazioni nel paramento'!$G$58,ABS(K2640)*'Sollecitazioni nel paramento'!$G$54,'Sollecitazioni nel paramento'!$G$53)</f>
        <v>0</v>
      </c>
      <c r="F2640" s="545">
        <f>-'Foglio deposito bis'!$F$89*(C2640-sezione!$AM$37)*IF(ABS(L2640)&lt;'Sollecitazioni nel paramento'!$G$58,ABS(L2640)*'Sollecitazioni nel paramento'!$G$54,'Sollecitazioni nel paramento'!$G$53)</f>
        <v>-18804700.135134425</v>
      </c>
      <c r="G2640" s="545">
        <f>-'Foglio deposito bis'!$F$90*(C2640-sezione!$AN$37)*IF(ABS(M2640)&lt;'Sollecitazioni nel paramento'!$G$58,ABS(M2640)*'Sollecitazioni nel paramento'!$G$54,'Sollecitazioni nel paramento'!$G$53)</f>
        <v>0</v>
      </c>
      <c r="H2640" s="545">
        <f>-'Foglio deposito bis'!$F$91*(C2640-sezione!$AO$37)*IF(ABS(N2640)&lt;'Sollecitazioni nel paramento'!$G$58,ABS(N2640)*'Sollecitazioni nel paramento'!$G$54,'Sollecitazioni nel paramento'!$G$53)</f>
        <v>-4514127.2601744616</v>
      </c>
      <c r="I2640" s="472">
        <f>-'Foglio deposito bis'!$F$92*(C2640-sezione!$AP$37)*IF(ABS(O2640)&lt;'Sollecitazioni nel paramento'!$G$58,ABS(O2640)*'Sollecitazioni nel paramento'!$G$54,'Sollecitazioni nel paramento'!$G$53)</f>
        <v>1057163901.2524822</v>
      </c>
      <c r="J2640" s="472">
        <f t="shared" si="183"/>
        <v>293842735.44930732</v>
      </c>
      <c r="K2640" s="550">
        <f>'Sollecitazioni nel paramento'!$G$60*(sezione!$AL$37-C2640)/C2640</f>
        <v>-2.7323499153634459E-3</v>
      </c>
      <c r="L2640" s="550">
        <f>'Sollecitazioni nel paramento'!$G$60*(sezione!$AM$37-C2640)/C2640</f>
        <v>-2.3485248730451685E-3</v>
      </c>
      <c r="M2640" s="551">
        <f>'Sollecitazioni nel paramento'!$G$60*(sezione!$AN$37-C2640)/C2640</f>
        <v>-1.9646998307268917E-3</v>
      </c>
      <c r="N2640" s="551">
        <f>'Sollecitazioni nel paramento'!$G$60*(sezione!$AO$37-C2640)/C2640</f>
        <v>-4.2939966145378325E-4</v>
      </c>
      <c r="O2640" s="551">
        <f>'Sollecitazioni nel paramento'!$G$60*(sezione!$AP$37-C2640)/C2640</f>
        <v>1.2206872208357101E-2</v>
      </c>
      <c r="P2640" s="545">
        <f>-'Sollecitazioni nel paramento'!$G$47*'Sollecitazioni nel paramento'!$G$41*IF(DATI!$G$211="dx",DATI!$E$61,DATI!$E$64*DATI!$E$63)*1000*C2640*sezione!$AD$5</f>
        <v>-6947931.2342226803</v>
      </c>
      <c r="Q2640" s="545">
        <f>'Foglio deposito bis'!$F$88*IF(ABS(K2640)&lt;'Sollecitazioni nel paramento'!$G$58,ABS(K2640)*'Sollecitazioni nel paramento'!$G$54,'Sollecitazioni nel paramento'!$G$53)*IF(K2640&lt;0,-1,1)</f>
        <v>0</v>
      </c>
      <c r="R2640" s="545">
        <f>'Foglio deposito bis'!$F$89*IF(ABS(L2640)&lt;'Sollecitazioni nel paramento'!$G$58,ABS(L2640)*'Sollecitazioni nel paramento'!$G$54,'Sollecitazioni nel paramento'!$G$53)*IF(L2640&lt;0,-1,1)</f>
        <v>-153664.85805602249</v>
      </c>
      <c r="S2640" s="545">
        <f>'Foglio deposito bis'!$F$90*IF(ABS(M2640)&lt;'Sollecitazioni nel paramento'!$G$58,ABS(M2640)*'Sollecitazioni nel paramento'!$G$54,'Sollecitazioni nel paramento'!$G$53)*IF(M2640&lt;0,-1,1)</f>
        <v>0</v>
      </c>
      <c r="T2640" s="545">
        <f>'Foglio deposito bis'!$F$91*IF(ABS(N2640)&lt;'Sollecitazioni nel paramento'!$G$58,ABS(N2640)*'Sollecitazioni nel paramento'!$G$54,'Sollecitazioni nel paramento'!$G$53)*IF(N2640&lt;0,-1,1)</f>
        <v>-201750.86780465901</v>
      </c>
      <c r="U2640" s="545">
        <f>'Foglio deposito bis'!$F$92*IF(ABS(O2640)&lt;'Sollecitazioni nel paramento'!$G$58,ABS(O2640)*'Sollecitazioni nel paramento'!$G$54,'Sollecitazioni nel paramento'!$G$53)*IF(O2640&lt;0,-1,1)</f>
        <v>1662039.1047339395</v>
      </c>
      <c r="V2640" s="472">
        <f t="shared" si="185"/>
        <v>-5641307.8553494224</v>
      </c>
      <c r="W2640" s="551"/>
      <c r="X2640" s="551"/>
    </row>
    <row r="2641" spans="1:24" x14ac:dyDescent="0.25">
      <c r="A2641" s="545">
        <f t="shared" si="184"/>
        <v>5747963.7440627804</v>
      </c>
      <c r="B2641" s="3">
        <f t="shared" si="182"/>
        <v>15.899999999999965</v>
      </c>
      <c r="C2641" s="545">
        <f>'Foglio deposito bis'!$E$163/sezione!$B$247*B2641</f>
        <v>184.69800541684768</v>
      </c>
      <c r="D2641" s="603">
        <f>-'Sollecitazioni nel paramento'!$G$47*'Sollecitazioni nel paramento'!$G$41*IF(DATI!$G$211="dx",DATI!$E$61,DATI!$E$64*DATI!$E$63)*1000*C2641^2*sezione!$AD$5*(1-sezione!$AD$6)</f>
        <v>-758975987.55686891</v>
      </c>
      <c r="E2641" s="545">
        <f>-'Foglio deposito bis'!$F$88*(C2641-sezione!$AL$37)*IF(ABS(K2641)&lt;'Sollecitazioni nel paramento'!$G$58,ABS(K2641)*'Sollecitazioni nel paramento'!$G$54,'Sollecitazioni nel paramento'!$G$53)</f>
        <v>0</v>
      </c>
      <c r="F2641" s="545">
        <f>-'Foglio deposito bis'!$F$89*(C2641-sezione!$AM$37)*IF(ABS(L2641)&lt;'Sollecitazioni nel paramento'!$G$58,ABS(L2641)*'Sollecitazioni nel paramento'!$G$54,'Sollecitazioni nel paramento'!$G$53)</f>
        <v>-19161701.302249022</v>
      </c>
      <c r="G2641" s="545">
        <f>-'Foglio deposito bis'!$F$90*(C2641-sezione!$AN$37)*IF(ABS(M2641)&lt;'Sollecitazioni nel paramento'!$G$58,ABS(M2641)*'Sollecitazioni nel paramento'!$G$54,'Sollecitazioni nel paramento'!$G$53)</f>
        <v>0</v>
      </c>
      <c r="H2641" s="545">
        <f>-'Foglio deposito bis'!$F$91*(C2641-sezione!$AO$37)*IF(ABS(N2641)&lt;'Sollecitazioni nel paramento'!$G$58,ABS(N2641)*'Sollecitazioni nel paramento'!$G$54,'Sollecitazioni nel paramento'!$G$53)</f>
        <v>-5431043.9308614498</v>
      </c>
      <c r="I2641" s="472">
        <f>-'Foglio deposito bis'!$F$92*(C2641-sezione!$AP$37)*IF(ABS(O2641)&lt;'Sollecitazioni nel paramento'!$G$58,ABS(O2641)*'Sollecitazioni nel paramento'!$G$54,'Sollecitazioni nel paramento'!$G$53)</f>
        <v>1053302576.6289707</v>
      </c>
      <c r="J2641" s="472">
        <f t="shared" si="183"/>
        <v>269733843.83899128</v>
      </c>
      <c r="K2641" s="550">
        <f>'Sollecitazioni nel paramento'!$G$60*(sezione!$AL$37-C2641)/C2641</f>
        <v>-2.7420058912708241E-3</v>
      </c>
      <c r="L2641" s="550">
        <f>'Sollecitazioni nel paramento'!$G$60*(sezione!$AM$37-C2641)/C2641</f>
        <v>-2.3630088369062359E-3</v>
      </c>
      <c r="M2641" s="551">
        <f>'Sollecitazioni nel paramento'!$G$60*(sezione!$AN$37-C2641)/C2641</f>
        <v>-1.9840117825416477E-3</v>
      </c>
      <c r="N2641" s="551">
        <f>'Sollecitazioni nel paramento'!$G$60*(sezione!$AO$37-C2641)/C2641</f>
        <v>-4.6802356508329551E-4</v>
      </c>
      <c r="O2641" s="551">
        <f>'Sollecitazioni nel paramento'!$G$60*(sezione!$AP$37-C2641)/C2641</f>
        <v>1.2009301488755127E-2</v>
      </c>
      <c r="P2641" s="545">
        <f>-'Sollecitazioni nel paramento'!$G$47*'Sollecitazioni nel paramento'!$G$41*IF(DATI!$G$211="dx",DATI!$E$61,DATI!$E$64*DATI!$E$63)*1000*C2641*sezione!$AD$5</f>
        <v>-7036439.9123656442</v>
      </c>
      <c r="Q2641" s="545">
        <f>'Foglio deposito bis'!$F$88*IF(ABS(K2641)&lt;'Sollecitazioni nel paramento'!$G$58,ABS(K2641)*'Sollecitazioni nel paramento'!$G$54,'Sollecitazioni nel paramento'!$G$53)*IF(K2641&lt;0,-1,1)</f>
        <v>0</v>
      </c>
      <c r="R2641" s="545">
        <f>'Foglio deposito bis'!$F$89*IF(ABS(L2641)&lt;'Sollecitazioni nel paramento'!$G$58,ABS(L2641)*'Sollecitazioni nel paramento'!$G$54,'Sollecitazioni nel paramento'!$G$53)*IF(L2641&lt;0,-1,1)</f>
        <v>-153664.85805602249</v>
      </c>
      <c r="S2641" s="545">
        <f>'Foglio deposito bis'!$F$90*IF(ABS(M2641)&lt;'Sollecitazioni nel paramento'!$G$58,ABS(M2641)*'Sollecitazioni nel paramento'!$G$54,'Sollecitazioni nel paramento'!$G$53)*IF(M2641&lt;0,-1,1)</f>
        <v>0</v>
      </c>
      <c r="T2641" s="545">
        <f>'Foglio deposito bis'!$F$91*IF(ABS(N2641)&lt;'Sollecitazioni nel paramento'!$G$58,ABS(N2641)*'Sollecitazioni nel paramento'!$G$54,'Sollecitazioni nel paramento'!$G$53)*IF(N2641&lt;0,-1,1)</f>
        <v>-219898.07837505284</v>
      </c>
      <c r="U2641" s="545">
        <f>'Foglio deposito bis'!$F$92*IF(ABS(O2641)&lt;'Sollecitazioni nel paramento'!$G$58,ABS(O2641)*'Sollecitazioni nel paramento'!$G$54,'Sollecitazioni nel paramento'!$G$53)*IF(O2641&lt;0,-1,1)</f>
        <v>1662039.1047339395</v>
      </c>
      <c r="V2641" s="472">
        <f t="shared" si="185"/>
        <v>-5747963.7440627804</v>
      </c>
      <c r="W2641" s="551"/>
      <c r="X2641" s="551"/>
    </row>
    <row r="2642" spans="1:24" x14ac:dyDescent="0.25">
      <c r="A2642" s="545">
        <f t="shared" si="184"/>
        <v>5854168.770401719</v>
      </c>
      <c r="B2642" s="3">
        <f t="shared" si="182"/>
        <v>16.099999999999966</v>
      </c>
      <c r="C2642" s="545">
        <f>'Foglio deposito bis'!$E$163/sezione!$B$247*B2642</f>
        <v>187.021250768003</v>
      </c>
      <c r="D2642" s="603">
        <f>-'Sollecitazioni nel paramento'!$G$47*'Sollecitazioni nel paramento'!$G$41*IF(DATI!$G$211="dx",DATI!$E$61,DATI!$E$64*DATI!$E$63)*1000*C2642^2*sezione!$AD$5*(1-sezione!$AD$6)</f>
        <v>-778189809.4799099</v>
      </c>
      <c r="E2642" s="545">
        <f>-'Foglio deposito bis'!$F$88*(C2642-sezione!$AL$37)*IF(ABS(K2642)&lt;'Sollecitazioni nel paramento'!$G$58,ABS(K2642)*'Sollecitazioni nel paramento'!$G$54,'Sollecitazioni nel paramento'!$G$53)</f>
        <v>0</v>
      </c>
      <c r="F2642" s="545">
        <f>-'Foglio deposito bis'!$F$89*(C2642-sezione!$AM$37)*IF(ABS(L2642)&lt;'Sollecitazioni nel paramento'!$G$58,ABS(L2642)*'Sollecitazioni nel paramento'!$G$54,'Sollecitazioni nel paramento'!$G$53)</f>
        <v>-19518702.469363619</v>
      </c>
      <c r="G2642" s="545">
        <f>-'Foglio deposito bis'!$F$90*(C2642-sezione!$AN$37)*IF(ABS(M2642)&lt;'Sollecitazioni nel paramento'!$G$58,ABS(M2642)*'Sollecitazioni nel paramento'!$G$54,'Sollecitazioni nel paramento'!$G$53)</f>
        <v>0</v>
      </c>
      <c r="H2642" s="545">
        <f>-'Foglio deposito bis'!$F$91*(C2642-sezione!$AO$37)*IF(ABS(N2642)&lt;'Sollecitazioni nel paramento'!$G$58,ABS(N2642)*'Sollecitazioni nel paramento'!$G$54,'Sollecitazioni nel paramento'!$G$53)</f>
        <v>-6420098.581455593</v>
      </c>
      <c r="I2642" s="472">
        <f>-'Foglio deposito bis'!$F$92*(C2642-sezione!$AP$37)*IF(ABS(O2642)&lt;'Sollecitazioni nel paramento'!$G$58,ABS(O2642)*'Sollecitazioni nel paramento'!$G$54,'Sollecitazioni nel paramento'!$G$53)</f>
        <v>1049441252.0054591</v>
      </c>
      <c r="J2642" s="472">
        <f t="shared" si="183"/>
        <v>245312641.47473001</v>
      </c>
      <c r="K2642" s="550">
        <f>'Sollecitazioni nel paramento'!$G$60*(sezione!$AL$37-C2642)/C2642</f>
        <v>-2.7514219671556585E-3</v>
      </c>
      <c r="L2642" s="550">
        <f>'Sollecitazioni nel paramento'!$G$60*(sezione!$AM$37-C2642)/C2642</f>
        <v>-2.3771329507334877E-3</v>
      </c>
      <c r="M2642" s="551">
        <f>'Sollecitazioni nel paramento'!$G$60*(sezione!$AN$37-C2642)/C2642</f>
        <v>-2.0028439343113169E-3</v>
      </c>
      <c r="N2642" s="551">
        <f>'Sollecitazioni nel paramento'!$G$60*(sezione!$AO$37-C2642)/C2642</f>
        <v>-5.0568786862263345E-4</v>
      </c>
      <c r="O2642" s="551">
        <f>'Sollecitazioni nel paramento'!$G$60*(sezione!$AP$37-C2642)/C2642</f>
        <v>1.1816639358460031E-2</v>
      </c>
      <c r="P2642" s="545">
        <f>-'Sollecitazioni nel paramento'!$G$47*'Sollecitazioni nel paramento'!$G$41*IF(DATI!$G$211="dx",DATI!$E$61,DATI!$E$64*DATI!$E$63)*1000*C2642*sezione!$AD$5</f>
        <v>-7124948.5905086091</v>
      </c>
      <c r="Q2642" s="545">
        <f>'Foglio deposito bis'!$F$88*IF(ABS(K2642)&lt;'Sollecitazioni nel paramento'!$G$58,ABS(K2642)*'Sollecitazioni nel paramento'!$G$54,'Sollecitazioni nel paramento'!$G$53)*IF(K2642&lt;0,-1,1)</f>
        <v>0</v>
      </c>
      <c r="R2642" s="545">
        <f>'Foglio deposito bis'!$F$89*IF(ABS(L2642)&lt;'Sollecitazioni nel paramento'!$G$58,ABS(L2642)*'Sollecitazioni nel paramento'!$G$54,'Sollecitazioni nel paramento'!$G$53)*IF(L2642&lt;0,-1,1)</f>
        <v>-153664.85805602249</v>
      </c>
      <c r="S2642" s="545">
        <f>'Foglio deposito bis'!$F$90*IF(ABS(M2642)&lt;'Sollecitazioni nel paramento'!$G$58,ABS(M2642)*'Sollecitazioni nel paramento'!$G$54,'Sollecitazioni nel paramento'!$G$53)*IF(M2642&lt;0,-1,1)</f>
        <v>0</v>
      </c>
      <c r="T2642" s="545">
        <f>'Foglio deposito bis'!$F$91*IF(ABS(N2642)&lt;'Sollecitazioni nel paramento'!$G$58,ABS(N2642)*'Sollecitazioni nel paramento'!$G$54,'Sollecitazioni nel paramento'!$G$53)*IF(N2642&lt;0,-1,1)</f>
        <v>-237594.42657102688</v>
      </c>
      <c r="U2642" s="545">
        <f>'Foglio deposito bis'!$F$92*IF(ABS(O2642)&lt;'Sollecitazioni nel paramento'!$G$58,ABS(O2642)*'Sollecitazioni nel paramento'!$G$54,'Sollecitazioni nel paramento'!$G$53)*IF(O2642&lt;0,-1,1)</f>
        <v>1662039.1047339395</v>
      </c>
      <c r="V2642" s="472">
        <f t="shared" si="185"/>
        <v>-5854168.770401719</v>
      </c>
      <c r="W2642" s="551"/>
      <c r="X2642" s="551"/>
    </row>
    <row r="2643" spans="1:24" x14ac:dyDescent="0.25">
      <c r="A2643" s="545">
        <f t="shared" si="184"/>
        <v>5959939.5305272592</v>
      </c>
      <c r="B2643" s="3">
        <f t="shared" si="182"/>
        <v>16.299999999999965</v>
      </c>
      <c r="C2643" s="545">
        <f>'Foglio deposito bis'!$E$163/sezione!$B$247*B2643</f>
        <v>189.34449611915832</v>
      </c>
      <c r="D2643" s="603">
        <f>-'Sollecitazioni nel paramento'!$G$47*'Sollecitazioni nel paramento'!$G$41*IF(DATI!$G$211="dx",DATI!$E$61,DATI!$E$64*DATI!$E$63)*1000*C2643^2*sezione!$AD$5*(1-sezione!$AD$6)</f>
        <v>-797643804.17698884</v>
      </c>
      <c r="E2643" s="545">
        <f>-'Foglio deposito bis'!$F$88*(C2643-sezione!$AL$37)*IF(ABS(K2643)&lt;'Sollecitazioni nel paramento'!$G$58,ABS(K2643)*'Sollecitazioni nel paramento'!$G$54,'Sollecitazioni nel paramento'!$G$53)</f>
        <v>0</v>
      </c>
      <c r="F2643" s="545">
        <f>-'Foglio deposito bis'!$F$89*(C2643-sezione!$AM$37)*IF(ABS(L2643)&lt;'Sollecitazioni nel paramento'!$G$58,ABS(L2643)*'Sollecitazioni nel paramento'!$G$54,'Sollecitazioni nel paramento'!$G$53)</f>
        <v>-19875703.636478215</v>
      </c>
      <c r="G2643" s="545">
        <f>-'Foglio deposito bis'!$F$90*(C2643-sezione!$AN$37)*IF(ABS(M2643)&lt;'Sollecitazioni nel paramento'!$G$58,ABS(M2643)*'Sollecitazioni nel paramento'!$G$54,'Sollecitazioni nel paramento'!$G$53)</f>
        <v>0</v>
      </c>
      <c r="H2643" s="545">
        <f>-'Foglio deposito bis'!$F$91*(C2643-sezione!$AO$37)*IF(ABS(N2643)&lt;'Sollecitazioni nel paramento'!$G$58,ABS(N2643)*'Sollecitazioni nel paramento'!$G$54,'Sollecitazioni nel paramento'!$G$53)</f>
        <v>-7478635.8261934388</v>
      </c>
      <c r="I2643" s="472">
        <f>-'Foglio deposito bis'!$F$92*(C2643-sezione!$AP$37)*IF(ABS(O2643)&lt;'Sollecitazioni nel paramento'!$G$58,ABS(O2643)*'Sollecitazioni nel paramento'!$G$54,'Sollecitazioni nel paramento'!$G$53)</f>
        <v>1045579927.3819479</v>
      </c>
      <c r="J2643" s="472">
        <f t="shared" si="183"/>
        <v>220581783.7422874</v>
      </c>
      <c r="K2643" s="550">
        <f>'Sollecitazioni nel paramento'!$G$60*(sezione!$AL$37-C2643)/C2643</f>
        <v>-2.7606069736936254E-3</v>
      </c>
      <c r="L2643" s="550">
        <f>'Sollecitazioni nel paramento'!$G$60*(sezione!$AM$37-C2643)/C2643</f>
        <v>-2.3909104605404387E-3</v>
      </c>
      <c r="M2643" s="551">
        <f>'Sollecitazioni nel paramento'!$G$60*(sezione!$AN$37-C2643)/C2643</f>
        <v>-2.0212139473872516E-3</v>
      </c>
      <c r="N2643" s="551">
        <f>'Sollecitazioni nel paramento'!$G$60*(sezione!$AO$37-C2643)/C2643</f>
        <v>-5.4242789477450314E-4</v>
      </c>
      <c r="O2643" s="551">
        <f>'Sollecitazioni nel paramento'!$G$60*(sezione!$AP$37-C2643)/C2643</f>
        <v>1.1628705133202853E-2</v>
      </c>
      <c r="P2643" s="545">
        <f>-'Sollecitazioni nel paramento'!$G$47*'Sollecitazioni nel paramento'!$G$41*IF(DATI!$G$211="dx",DATI!$E$61,DATI!$E$64*DATI!$E$63)*1000*C2643*sezione!$AD$5</f>
        <v>-7213457.268651573</v>
      </c>
      <c r="Q2643" s="545">
        <f>'Foglio deposito bis'!$F$88*IF(ABS(K2643)&lt;'Sollecitazioni nel paramento'!$G$58,ABS(K2643)*'Sollecitazioni nel paramento'!$G$54,'Sollecitazioni nel paramento'!$G$53)*IF(K2643&lt;0,-1,1)</f>
        <v>0</v>
      </c>
      <c r="R2643" s="545">
        <f>'Foglio deposito bis'!$F$89*IF(ABS(L2643)&lt;'Sollecitazioni nel paramento'!$G$58,ABS(L2643)*'Sollecitazioni nel paramento'!$G$54,'Sollecitazioni nel paramento'!$G$53)*IF(L2643&lt;0,-1,1)</f>
        <v>-153664.85805602249</v>
      </c>
      <c r="S2643" s="545">
        <f>'Foglio deposito bis'!$F$90*IF(ABS(M2643)&lt;'Sollecitazioni nel paramento'!$G$58,ABS(M2643)*'Sollecitazioni nel paramento'!$G$54,'Sollecitazioni nel paramento'!$G$53)*IF(M2643&lt;0,-1,1)</f>
        <v>0</v>
      </c>
      <c r="T2643" s="545">
        <f>'Foglio deposito bis'!$F$91*IF(ABS(N2643)&lt;'Sollecitazioni nel paramento'!$G$58,ABS(N2643)*'Sollecitazioni nel paramento'!$G$54,'Sollecitazioni nel paramento'!$G$53)*IF(N2643&lt;0,-1,1)</f>
        <v>-254856.50855360285</v>
      </c>
      <c r="U2643" s="545">
        <f>'Foglio deposito bis'!$F$92*IF(ABS(O2643)&lt;'Sollecitazioni nel paramento'!$G$58,ABS(O2643)*'Sollecitazioni nel paramento'!$G$54,'Sollecitazioni nel paramento'!$G$53)*IF(O2643&lt;0,-1,1)</f>
        <v>1662039.1047339395</v>
      </c>
      <c r="V2643" s="472">
        <f t="shared" si="185"/>
        <v>-5959939.5305272592</v>
      </c>
      <c r="W2643" s="551"/>
      <c r="X2643" s="551"/>
    </row>
    <row r="2644" spans="1:24" x14ac:dyDescent="0.25">
      <c r="A2644" s="545">
        <f t="shared" si="184"/>
        <v>6065291.8159380695</v>
      </c>
      <c r="B2644" s="3">
        <f t="shared" si="182"/>
        <v>16.499999999999964</v>
      </c>
      <c r="C2644" s="545">
        <f>'Foglio deposito bis'!$E$163/sezione!$B$247*B2644</f>
        <v>191.66774147031362</v>
      </c>
      <c r="D2644" s="603">
        <f>-'Sollecitazioni nel paramento'!$G$47*'Sollecitazioni nel paramento'!$G$41*IF(DATI!$G$211="dx",DATI!$E$61,DATI!$E$64*DATI!$E$63)*1000*C2644^2*sezione!$AD$5*(1-sezione!$AD$6)</f>
        <v>-817337971.6481055</v>
      </c>
      <c r="E2644" s="545">
        <f>-'Foglio deposito bis'!$F$88*(C2644-sezione!$AL$37)*IF(ABS(K2644)&lt;'Sollecitazioni nel paramento'!$G$58,ABS(K2644)*'Sollecitazioni nel paramento'!$G$54,'Sollecitazioni nel paramento'!$G$53)</f>
        <v>0</v>
      </c>
      <c r="F2644" s="545">
        <f>-'Foglio deposito bis'!$F$89*(C2644-sezione!$AM$37)*IF(ABS(L2644)&lt;'Sollecitazioni nel paramento'!$G$58,ABS(L2644)*'Sollecitazioni nel paramento'!$G$54,'Sollecitazioni nel paramento'!$G$53)</f>
        <v>-20232704.803592809</v>
      </c>
      <c r="G2644" s="545">
        <f>-'Foglio deposito bis'!$F$90*(C2644-sezione!$AN$37)*IF(ABS(M2644)&lt;'Sollecitazioni nel paramento'!$G$58,ABS(M2644)*'Sollecitazioni nel paramento'!$G$54,'Sollecitazioni nel paramento'!$G$53)</f>
        <v>0</v>
      </c>
      <c r="H2644" s="545">
        <f>-'Foglio deposito bis'!$F$91*(C2644-sezione!$AO$37)*IF(ABS(N2644)&lt;'Sollecitazioni nel paramento'!$G$58,ABS(N2644)*'Sollecitazioni nel paramento'!$G$54,'Sollecitazioni nel paramento'!$G$53)</f>
        <v>-8604129.0252879281</v>
      </c>
      <c r="I2644" s="472">
        <f>-'Foglio deposito bis'!$F$92*(C2644-sezione!$AP$37)*IF(ABS(O2644)&lt;'Sollecitazioni nel paramento'!$G$58,ABS(O2644)*'Sollecitazioni nel paramento'!$G$54,'Sollecitazioni nel paramento'!$G$53)</f>
        <v>1041718602.7584362</v>
      </c>
      <c r="J2644" s="472">
        <f t="shared" si="183"/>
        <v>195543797.28144991</v>
      </c>
      <c r="K2644" s="550">
        <f>'Sollecitazioni nel paramento'!$G$60*(sezione!$AL$37-C2644)/C2644</f>
        <v>-2.7695693134064305E-3</v>
      </c>
      <c r="L2644" s="550">
        <f>'Sollecitazioni nel paramento'!$G$60*(sezione!$AM$37-C2644)/C2644</f>
        <v>-2.4043539701096455E-3</v>
      </c>
      <c r="M2644" s="551">
        <f>'Sollecitazioni nel paramento'!$G$60*(sezione!$AN$37-C2644)/C2644</f>
        <v>-2.0391386268128605E-3</v>
      </c>
      <c r="N2644" s="551">
        <f>'Sollecitazioni nel paramento'!$G$60*(sezione!$AO$37-C2644)/C2644</f>
        <v>-5.7827725362572099E-4</v>
      </c>
      <c r="O2644" s="551">
        <f>'Sollecitazioni nel paramento'!$G$60*(sezione!$AP$37-C2644)/C2644</f>
        <v>1.1445326889164029E-2</v>
      </c>
      <c r="P2644" s="545">
        <f>-'Sollecitazioni nel paramento'!$G$47*'Sollecitazioni nel paramento'!$G$41*IF(DATI!$G$211="dx",DATI!$E$61,DATI!$E$64*DATI!$E$63)*1000*C2644*sezione!$AD$5</f>
        <v>-7301965.9467945369</v>
      </c>
      <c r="Q2644" s="545">
        <f>'Foglio deposito bis'!$F$88*IF(ABS(K2644)&lt;'Sollecitazioni nel paramento'!$G$58,ABS(K2644)*'Sollecitazioni nel paramento'!$G$54,'Sollecitazioni nel paramento'!$G$53)*IF(K2644&lt;0,-1,1)</f>
        <v>0</v>
      </c>
      <c r="R2644" s="545">
        <f>'Foglio deposito bis'!$F$89*IF(ABS(L2644)&lt;'Sollecitazioni nel paramento'!$G$58,ABS(L2644)*'Sollecitazioni nel paramento'!$G$54,'Sollecitazioni nel paramento'!$G$53)*IF(L2644&lt;0,-1,1)</f>
        <v>-153664.85805602249</v>
      </c>
      <c r="S2644" s="545">
        <f>'Foglio deposito bis'!$F$90*IF(ABS(M2644)&lt;'Sollecitazioni nel paramento'!$G$58,ABS(M2644)*'Sollecitazioni nel paramento'!$G$54,'Sollecitazioni nel paramento'!$G$53)*IF(M2644&lt;0,-1,1)</f>
        <v>0</v>
      </c>
      <c r="T2644" s="545">
        <f>'Foglio deposito bis'!$F$91*IF(ABS(N2644)&lt;'Sollecitazioni nel paramento'!$G$58,ABS(N2644)*'Sollecitazioni nel paramento'!$G$54,'Sollecitazioni nel paramento'!$G$53)*IF(N2644&lt;0,-1,1)</f>
        <v>-271700.11582144949</v>
      </c>
      <c r="U2644" s="545">
        <f>'Foglio deposito bis'!$F$92*IF(ABS(O2644)&lt;'Sollecitazioni nel paramento'!$G$58,ABS(O2644)*'Sollecitazioni nel paramento'!$G$54,'Sollecitazioni nel paramento'!$G$53)*IF(O2644&lt;0,-1,1)</f>
        <v>1662039.1047339395</v>
      </c>
      <c r="V2644" s="472">
        <f t="shared" si="185"/>
        <v>-6065291.8159380695</v>
      </c>
      <c r="W2644" s="551"/>
      <c r="X2644" s="551"/>
    </row>
    <row r="2645" spans="1:24" x14ac:dyDescent="0.25">
      <c r="A2645" s="545">
        <f t="shared" si="184"/>
        <v>6170240.6616538418</v>
      </c>
      <c r="B2645" s="3">
        <f t="shared" si="182"/>
        <v>16.699999999999964</v>
      </c>
      <c r="C2645" s="545">
        <f>'Foglio deposito bis'!$E$163/sezione!$B$247*B2645</f>
        <v>193.99098682146894</v>
      </c>
      <c r="D2645" s="603">
        <f>-'Sollecitazioni nel paramento'!$G$47*'Sollecitazioni nel paramento'!$G$41*IF(DATI!$G$211="dx",DATI!$E$61,DATI!$E$64*DATI!$E$63)*1000*C2645^2*sezione!$AD$5*(1-sezione!$AD$6)</f>
        <v>-837272311.89326036</v>
      </c>
      <c r="E2645" s="545">
        <f>-'Foglio deposito bis'!$F$88*(C2645-sezione!$AL$37)*IF(ABS(K2645)&lt;'Sollecitazioni nel paramento'!$G$58,ABS(K2645)*'Sollecitazioni nel paramento'!$G$54,'Sollecitazioni nel paramento'!$G$53)</f>
        <v>0</v>
      </c>
      <c r="F2645" s="545">
        <f>-'Foglio deposito bis'!$F$89*(C2645-sezione!$AM$37)*IF(ABS(L2645)&lt;'Sollecitazioni nel paramento'!$G$58,ABS(L2645)*'Sollecitazioni nel paramento'!$G$54,'Sollecitazioni nel paramento'!$G$53)</f>
        <v>-20589705.970707405</v>
      </c>
      <c r="G2645" s="545">
        <f>-'Foglio deposito bis'!$F$90*(C2645-sezione!$AN$37)*IF(ABS(M2645)&lt;'Sollecitazioni nel paramento'!$G$58,ABS(M2645)*'Sollecitazioni nel paramento'!$G$54,'Sollecitazioni nel paramento'!$G$53)</f>
        <v>0</v>
      </c>
      <c r="H2645" s="545">
        <f>-'Foglio deposito bis'!$F$91*(C2645-sezione!$AO$37)*IF(ABS(N2645)&lt;'Sollecitazioni nel paramento'!$G$58,ABS(N2645)*'Sollecitazioni nel paramento'!$G$54,'Sollecitazioni nel paramento'!$G$53)</f>
        <v>-9794172.5755885504</v>
      </c>
      <c r="I2645" s="472">
        <f>-'Foglio deposito bis'!$F$92*(C2645-sezione!$AP$37)*IF(ABS(O2645)&lt;'Sollecitazioni nel paramento'!$G$58,ABS(O2645)*'Sollecitazioni nel paramento'!$G$54,'Sollecitazioni nel paramento'!$G$53)</f>
        <v>1037857278.1349249</v>
      </c>
      <c r="J2645" s="472">
        <f t="shared" si="183"/>
        <v>170201087.69536853</v>
      </c>
      <c r="K2645" s="550">
        <f>'Sollecitazioni nel paramento'!$G$60*(sezione!$AL$37-C2645)/C2645</f>
        <v>-2.7783169862997661E-3</v>
      </c>
      <c r="L2645" s="550">
        <f>'Sollecitazioni nel paramento'!$G$60*(sezione!$AM$37-C2645)/C2645</f>
        <v>-2.4174754794496498E-3</v>
      </c>
      <c r="M2645" s="551">
        <f>'Sollecitazioni nel paramento'!$G$60*(sezione!$AN$37-C2645)/C2645</f>
        <v>-2.056633972599533E-3</v>
      </c>
      <c r="N2645" s="551">
        <f>'Sollecitazioni nel paramento'!$G$60*(sezione!$AO$37-C2645)/C2645</f>
        <v>-6.1326794519906563E-4</v>
      </c>
      <c r="O2645" s="551">
        <f>'Sollecitazioni nel paramento'!$G$60*(sezione!$AP$37-C2645)/C2645</f>
        <v>1.1266340938395599E-2</v>
      </c>
      <c r="P2645" s="545">
        <f>-'Sollecitazioni nel paramento'!$G$47*'Sollecitazioni nel paramento'!$G$41*IF(DATI!$G$211="dx",DATI!$E$61,DATI!$E$64*DATI!$E$63)*1000*C2645*sezione!$AD$5</f>
        <v>-7390474.6249375008</v>
      </c>
      <c r="Q2645" s="545">
        <f>'Foglio deposito bis'!$F$88*IF(ABS(K2645)&lt;'Sollecitazioni nel paramento'!$G$58,ABS(K2645)*'Sollecitazioni nel paramento'!$G$54,'Sollecitazioni nel paramento'!$G$53)*IF(K2645&lt;0,-1,1)</f>
        <v>0</v>
      </c>
      <c r="R2645" s="545">
        <f>'Foglio deposito bis'!$F$89*IF(ABS(L2645)&lt;'Sollecitazioni nel paramento'!$G$58,ABS(L2645)*'Sollecitazioni nel paramento'!$G$54,'Sollecitazioni nel paramento'!$G$53)*IF(L2645&lt;0,-1,1)</f>
        <v>-153664.85805602249</v>
      </c>
      <c r="S2645" s="545">
        <f>'Foglio deposito bis'!$F$90*IF(ABS(M2645)&lt;'Sollecitazioni nel paramento'!$G$58,ABS(M2645)*'Sollecitazioni nel paramento'!$G$54,'Sollecitazioni nel paramento'!$G$53)*IF(M2645&lt;0,-1,1)</f>
        <v>0</v>
      </c>
      <c r="T2645" s="545">
        <f>'Foglio deposito bis'!$F$91*IF(ABS(N2645)&lt;'Sollecitazioni nel paramento'!$G$58,ABS(N2645)*'Sollecitazioni nel paramento'!$G$54,'Sollecitazioni nel paramento'!$G$53)*IF(N2645&lt;0,-1,1)</f>
        <v>-288140.283394258</v>
      </c>
      <c r="U2645" s="545">
        <f>'Foglio deposito bis'!$F$92*IF(ABS(O2645)&lt;'Sollecitazioni nel paramento'!$G$58,ABS(O2645)*'Sollecitazioni nel paramento'!$G$54,'Sollecitazioni nel paramento'!$G$53)*IF(O2645&lt;0,-1,1)</f>
        <v>1662039.1047339395</v>
      </c>
      <c r="V2645" s="472">
        <f t="shared" si="185"/>
        <v>-6170240.6616538418</v>
      </c>
      <c r="W2645" s="551"/>
      <c r="X2645" s="551"/>
    </row>
    <row r="2646" spans="1:24" x14ac:dyDescent="0.25">
      <c r="A2646" s="545">
        <f t="shared" si="184"/>
        <v>6274800.3909773594</v>
      </c>
      <c r="B2646" s="3">
        <f t="shared" si="182"/>
        <v>16.899999999999963</v>
      </c>
      <c r="C2646" s="545">
        <f>'Foglio deposito bis'!$E$163/sezione!$B$247*B2646</f>
        <v>196.31423217262426</v>
      </c>
      <c r="D2646" s="603">
        <f>-'Sollecitazioni nel paramento'!$G$47*'Sollecitazioni nel paramento'!$G$41*IF(DATI!$G$211="dx",DATI!$E$61,DATI!$E$64*DATI!$E$63)*1000*C2646^2*sezione!$AD$5*(1-sezione!$AD$6)</f>
        <v>-857446824.91245341</v>
      </c>
      <c r="E2646" s="545">
        <f>-'Foglio deposito bis'!$F$88*(C2646-sezione!$AL$37)*IF(ABS(K2646)&lt;'Sollecitazioni nel paramento'!$G$58,ABS(K2646)*'Sollecitazioni nel paramento'!$G$54,'Sollecitazioni nel paramento'!$G$53)</f>
        <v>0</v>
      </c>
      <c r="F2646" s="545">
        <f>-'Foglio deposito bis'!$F$89*(C2646-sezione!$AM$37)*IF(ABS(L2646)&lt;'Sollecitazioni nel paramento'!$G$58,ABS(L2646)*'Sollecitazioni nel paramento'!$G$54,'Sollecitazioni nel paramento'!$G$53)</f>
        <v>-20946707.137822002</v>
      </c>
      <c r="G2646" s="545">
        <f>-'Foglio deposito bis'!$F$90*(C2646-sezione!$AN$37)*IF(ABS(M2646)&lt;'Sollecitazioni nel paramento'!$G$58,ABS(M2646)*'Sollecitazioni nel paramento'!$G$54,'Sollecitazioni nel paramento'!$G$53)</f>
        <v>0</v>
      </c>
      <c r="H2646" s="545">
        <f>-'Foglio deposito bis'!$F$91*(C2646-sezione!$AO$37)*IF(ABS(N2646)&lt;'Sollecitazioni nel paramento'!$G$58,ABS(N2646)*'Sollecitazioni nel paramento'!$G$54,'Sollecitazioni nel paramento'!$G$53)</f>
        <v>-11046474.748650104</v>
      </c>
      <c r="I2646" s="472">
        <f>-'Foglio deposito bis'!$F$92*(C2646-sezione!$AP$37)*IF(ABS(O2646)&lt;'Sollecitazioni nel paramento'!$G$58,ABS(O2646)*'Sollecitazioni nel paramento'!$G$54,'Sollecitazioni nel paramento'!$G$53)</f>
        <v>1033995953.5114135</v>
      </c>
      <c r="J2646" s="472">
        <f t="shared" si="183"/>
        <v>144555946.71248794</v>
      </c>
      <c r="K2646" s="550">
        <f>'Sollecitazioni nel paramento'!$G$60*(sezione!$AL$37-C2646)/C2646</f>
        <v>-2.7868576136808347E-3</v>
      </c>
      <c r="L2646" s="550">
        <f>'Sollecitazioni nel paramento'!$G$60*(sezione!$AM$37-C2646)/C2646</f>
        <v>-2.4302864205212518E-3</v>
      </c>
      <c r="M2646" s="551">
        <f>'Sollecitazioni nel paramento'!$G$60*(sezione!$AN$37-C2646)/C2646</f>
        <v>-2.0737152273616688E-3</v>
      </c>
      <c r="N2646" s="551">
        <f>'Sollecitazioni nel paramento'!$G$60*(sezione!$AO$37-C2646)/C2646</f>
        <v>-6.4743045472333716E-4</v>
      </c>
      <c r="O2646" s="551">
        <f>'Sollecitazioni nel paramento'!$G$60*(sezione!$AP$37-C2646)/C2646</f>
        <v>1.109159134149151E-2</v>
      </c>
      <c r="P2646" s="545">
        <f>-'Sollecitazioni nel paramento'!$G$47*'Sollecitazioni nel paramento'!$G$41*IF(DATI!$G$211="dx",DATI!$E$61,DATI!$E$64*DATI!$E$63)*1000*C2646*sezione!$AD$5</f>
        <v>-7478983.3030804647</v>
      </c>
      <c r="Q2646" s="545">
        <f>'Foglio deposito bis'!$F$88*IF(ABS(K2646)&lt;'Sollecitazioni nel paramento'!$G$58,ABS(K2646)*'Sollecitazioni nel paramento'!$G$54,'Sollecitazioni nel paramento'!$G$53)*IF(K2646&lt;0,-1,1)</f>
        <v>0</v>
      </c>
      <c r="R2646" s="545">
        <f>'Foglio deposito bis'!$F$89*IF(ABS(L2646)&lt;'Sollecitazioni nel paramento'!$G$58,ABS(L2646)*'Sollecitazioni nel paramento'!$G$54,'Sollecitazioni nel paramento'!$G$53)*IF(L2646&lt;0,-1,1)</f>
        <v>-153664.85805602249</v>
      </c>
      <c r="S2646" s="545">
        <f>'Foglio deposito bis'!$F$90*IF(ABS(M2646)&lt;'Sollecitazioni nel paramento'!$G$58,ABS(M2646)*'Sollecitazioni nel paramento'!$G$54,'Sollecitazioni nel paramento'!$G$53)*IF(M2646&lt;0,-1,1)</f>
        <v>0</v>
      </c>
      <c r="T2646" s="545">
        <f>'Foglio deposito bis'!$F$91*IF(ABS(N2646)&lt;'Sollecitazioni nel paramento'!$G$58,ABS(N2646)*'Sollecitazioni nel paramento'!$G$54,'Sollecitazioni nel paramento'!$G$53)*IF(N2646&lt;0,-1,1)</f>
        <v>-304191.33457481081</v>
      </c>
      <c r="U2646" s="545">
        <f>'Foglio deposito bis'!$F$92*IF(ABS(O2646)&lt;'Sollecitazioni nel paramento'!$G$58,ABS(O2646)*'Sollecitazioni nel paramento'!$G$54,'Sollecitazioni nel paramento'!$G$53)*IF(O2646&lt;0,-1,1)</f>
        <v>1662039.1047339395</v>
      </c>
      <c r="V2646" s="472">
        <f t="shared" si="185"/>
        <v>-6274800.3909773594</v>
      </c>
      <c r="W2646" s="551"/>
      <c r="X2646" s="551"/>
    </row>
    <row r="2647" spans="1:24" x14ac:dyDescent="0.25">
      <c r="A2647" s="545">
        <f t="shared" si="184"/>
        <v>6378984.6571153654</v>
      </c>
      <c r="B2647" s="3">
        <f t="shared" si="182"/>
        <v>17.099999999999962</v>
      </c>
      <c r="C2647" s="545">
        <f>'Foglio deposito bis'!$E$163/sezione!$B$247*B2647</f>
        <v>198.63747752377958</v>
      </c>
      <c r="D2647" s="603">
        <f>-'Sollecitazioni nel paramento'!$G$47*'Sollecitazioni nel paramento'!$G$41*IF(DATI!$G$211="dx",DATI!$E$61,DATI!$E$64*DATI!$E$63)*1000*C2647^2*sezione!$AD$5*(1-sezione!$AD$6)</f>
        <v>-877861510.70568442</v>
      </c>
      <c r="E2647" s="545">
        <f>-'Foglio deposito bis'!$F$88*(C2647-sezione!$AL$37)*IF(ABS(K2647)&lt;'Sollecitazioni nel paramento'!$G$58,ABS(K2647)*'Sollecitazioni nel paramento'!$G$54,'Sollecitazioni nel paramento'!$G$53)</f>
        <v>0</v>
      </c>
      <c r="F2647" s="545">
        <f>-'Foglio deposito bis'!$F$89*(C2647-sezione!$AM$37)*IF(ABS(L2647)&lt;'Sollecitazioni nel paramento'!$G$58,ABS(L2647)*'Sollecitazioni nel paramento'!$G$54,'Sollecitazioni nel paramento'!$G$53)</f>
        <v>-21303708.304936599</v>
      </c>
      <c r="G2647" s="545">
        <f>-'Foglio deposito bis'!$F$90*(C2647-sezione!$AN$37)*IF(ABS(M2647)&lt;'Sollecitazioni nel paramento'!$G$58,ABS(M2647)*'Sollecitazioni nel paramento'!$G$54,'Sollecitazioni nel paramento'!$G$53)</f>
        <v>0</v>
      </c>
      <c r="H2647" s="545">
        <f>-'Foglio deposito bis'!$F$91*(C2647-sezione!$AO$37)*IF(ABS(N2647)&lt;'Sollecitazioni nel paramento'!$G$58,ABS(N2647)*'Sollecitazioni nel paramento'!$G$54,'Sollecitazioni nel paramento'!$G$53)</f>
        <v>-12358851.03139326</v>
      </c>
      <c r="I2647" s="472">
        <f>-'Foglio deposito bis'!$F$92*(C2647-sezione!$AP$37)*IF(ABS(O2647)&lt;'Sollecitazioni nel paramento'!$G$58,ABS(O2647)*'Sollecitazioni nel paramento'!$G$54,'Sollecitazioni nel paramento'!$G$53)</f>
        <v>1030134628.8879018</v>
      </c>
      <c r="J2647" s="472">
        <f t="shared" si="183"/>
        <v>118610558.84588742</v>
      </c>
      <c r="K2647" s="550">
        <f>'Sollecitazioni nel paramento'!$G$60*(sezione!$AL$37-C2647)/C2647</f>
        <v>-2.7951984603044504E-3</v>
      </c>
      <c r="L2647" s="550">
        <f>'Sollecitazioni nel paramento'!$G$60*(sezione!$AM$37-C2647)/C2647</f>
        <v>-2.4427976904566754E-3</v>
      </c>
      <c r="M2647" s="551">
        <f>'Sollecitazioni nel paramento'!$G$60*(sezione!$AN$37-C2647)/C2647</f>
        <v>-2.0903969206089008E-3</v>
      </c>
      <c r="N2647" s="551">
        <f>'Sollecitazioni nel paramento'!$G$60*(sezione!$AO$37-C2647)/C2647</f>
        <v>-6.807938412178011E-4</v>
      </c>
      <c r="O2647" s="551">
        <f>'Sollecitazioni nel paramento'!$G$60*(sezione!$AP$37-C2647)/C2647</f>
        <v>1.0920929454456519E-2</v>
      </c>
      <c r="P2647" s="545">
        <f>-'Sollecitazioni nel paramento'!$G$47*'Sollecitazioni nel paramento'!$G$41*IF(DATI!$G$211="dx",DATI!$E$61,DATI!$E$64*DATI!$E$63)*1000*C2647*sezione!$AD$5</f>
        <v>-7567491.9812234286</v>
      </c>
      <c r="Q2647" s="545">
        <f>'Foglio deposito bis'!$F$88*IF(ABS(K2647)&lt;'Sollecitazioni nel paramento'!$G$58,ABS(K2647)*'Sollecitazioni nel paramento'!$G$54,'Sollecitazioni nel paramento'!$G$53)*IF(K2647&lt;0,-1,1)</f>
        <v>0</v>
      </c>
      <c r="R2647" s="545">
        <f>'Foglio deposito bis'!$F$89*IF(ABS(L2647)&lt;'Sollecitazioni nel paramento'!$G$58,ABS(L2647)*'Sollecitazioni nel paramento'!$G$54,'Sollecitazioni nel paramento'!$G$53)*IF(L2647&lt;0,-1,1)</f>
        <v>-153664.85805602249</v>
      </c>
      <c r="S2647" s="545">
        <f>'Foglio deposito bis'!$F$90*IF(ABS(M2647)&lt;'Sollecitazioni nel paramento'!$G$58,ABS(M2647)*'Sollecitazioni nel paramento'!$G$54,'Sollecitazioni nel paramento'!$G$53)*IF(M2647&lt;0,-1,1)</f>
        <v>0</v>
      </c>
      <c r="T2647" s="545">
        <f>'Foglio deposito bis'!$F$91*IF(ABS(N2647)&lt;'Sollecitazioni nel paramento'!$G$58,ABS(N2647)*'Sollecitazioni nel paramento'!$G$54,'Sollecitazioni nel paramento'!$G$53)*IF(N2647&lt;0,-1,1)</f>
        <v>-319866.92256985354</v>
      </c>
      <c r="U2647" s="545">
        <f>'Foglio deposito bis'!$F$92*IF(ABS(O2647)&lt;'Sollecitazioni nel paramento'!$G$58,ABS(O2647)*'Sollecitazioni nel paramento'!$G$54,'Sollecitazioni nel paramento'!$G$53)*IF(O2647&lt;0,-1,1)</f>
        <v>1662039.1047339395</v>
      </c>
      <c r="V2647" s="472">
        <f t="shared" si="185"/>
        <v>-6378984.6571153654</v>
      </c>
      <c r="W2647" s="551"/>
      <c r="X2647" s="551"/>
    </row>
    <row r="2648" spans="1:24" x14ac:dyDescent="0.25">
      <c r="A2648" s="545">
        <f t="shared" si="184"/>
        <v>6482806.4819124471</v>
      </c>
      <c r="B2648" s="3">
        <f t="shared" si="182"/>
        <v>17.299999999999962</v>
      </c>
      <c r="C2648" s="545">
        <f>'Foglio deposito bis'!$E$163/sezione!$B$247*B2648</f>
        <v>200.96072287493487</v>
      </c>
      <c r="D2648" s="603">
        <f>-'Sollecitazioni nel paramento'!$G$47*'Sollecitazioni nel paramento'!$G$41*IF(DATI!$G$211="dx",DATI!$E$61,DATI!$E$64*DATI!$E$63)*1000*C2648^2*sezione!$AD$5*(1-sezione!$AD$6)</f>
        <v>-898516369.27295303</v>
      </c>
      <c r="E2648" s="545">
        <f>-'Foglio deposito bis'!$F$88*(C2648-sezione!$AL$37)*IF(ABS(K2648)&lt;'Sollecitazioni nel paramento'!$G$58,ABS(K2648)*'Sollecitazioni nel paramento'!$G$54,'Sollecitazioni nel paramento'!$G$53)</f>
        <v>0</v>
      </c>
      <c r="F2648" s="545">
        <f>-'Foglio deposito bis'!$F$89*(C2648-sezione!$AM$37)*IF(ABS(L2648)&lt;'Sollecitazioni nel paramento'!$G$58,ABS(L2648)*'Sollecitazioni nel paramento'!$G$54,'Sollecitazioni nel paramento'!$G$53)</f>
        <v>-21660709.472051192</v>
      </c>
      <c r="G2648" s="545">
        <f>-'Foglio deposito bis'!$F$90*(C2648-sezione!$AN$37)*IF(ABS(M2648)&lt;'Sollecitazioni nel paramento'!$G$58,ABS(M2648)*'Sollecitazioni nel paramento'!$G$54,'Sollecitazioni nel paramento'!$G$53)</f>
        <v>0</v>
      </c>
      <c r="H2648" s="545">
        <f>-'Foglio deposito bis'!$F$91*(C2648-sezione!$AO$37)*IF(ABS(N2648)&lt;'Sollecitazioni nel paramento'!$G$58,ABS(N2648)*'Sollecitazioni nel paramento'!$G$54,'Sollecitazioni nel paramento'!$G$53)</f>
        <v>-13729217.928684535</v>
      </c>
      <c r="I2648" s="472">
        <f>-'Foglio deposito bis'!$F$92*(C2648-sezione!$AP$37)*IF(ABS(O2648)&lt;'Sollecitazioni nel paramento'!$G$58,ABS(O2648)*'Sollecitazioni nel paramento'!$G$54,'Sollecitazioni nel paramento'!$G$53)</f>
        <v>1026273304.2643906</v>
      </c>
      <c r="J2648" s="472">
        <f t="shared" si="183"/>
        <v>92367007.590701818</v>
      </c>
      <c r="K2648" s="550">
        <f>'Sollecitazioni nel paramento'!$G$60*(sezione!$AL$37-C2648)/C2648</f>
        <v>-2.8033464549830117E-3</v>
      </c>
      <c r="L2648" s="550">
        <f>'Sollecitazioni nel paramento'!$G$60*(sezione!$AM$37-C2648)/C2648</f>
        <v>-2.4550196824745171E-3</v>
      </c>
      <c r="M2648" s="551">
        <f>'Sollecitazioni nel paramento'!$G$60*(sezione!$AN$37-C2648)/C2648</f>
        <v>-2.106692909966023E-3</v>
      </c>
      <c r="N2648" s="551">
        <f>'Sollecitazioni nel paramento'!$G$60*(sezione!$AO$37-C2648)/C2648</f>
        <v>-7.1338581993204584E-4</v>
      </c>
      <c r="O2648" s="551">
        <f>'Sollecitazioni nel paramento'!$G$60*(sezione!$AP$37-C2648)/C2648</f>
        <v>1.075421350700616E-2</v>
      </c>
      <c r="P2648" s="545">
        <f>-'Sollecitazioni nel paramento'!$G$47*'Sollecitazioni nel paramento'!$G$41*IF(DATI!$G$211="dx",DATI!$E$61,DATI!$E$64*DATI!$E$63)*1000*C2648*sezione!$AD$5</f>
        <v>-7656000.6593663935</v>
      </c>
      <c r="Q2648" s="545">
        <f>'Foglio deposito bis'!$F$88*IF(ABS(K2648)&lt;'Sollecitazioni nel paramento'!$G$58,ABS(K2648)*'Sollecitazioni nel paramento'!$G$54,'Sollecitazioni nel paramento'!$G$53)*IF(K2648&lt;0,-1,1)</f>
        <v>0</v>
      </c>
      <c r="R2648" s="545">
        <f>'Foglio deposito bis'!$F$89*IF(ABS(L2648)&lt;'Sollecitazioni nel paramento'!$G$58,ABS(L2648)*'Sollecitazioni nel paramento'!$G$54,'Sollecitazioni nel paramento'!$G$53)*IF(L2648&lt;0,-1,1)</f>
        <v>-153664.85805602249</v>
      </c>
      <c r="S2648" s="545">
        <f>'Foglio deposito bis'!$F$90*IF(ABS(M2648)&lt;'Sollecitazioni nel paramento'!$G$58,ABS(M2648)*'Sollecitazioni nel paramento'!$G$54,'Sollecitazioni nel paramento'!$G$53)*IF(M2648&lt;0,-1,1)</f>
        <v>0</v>
      </c>
      <c r="T2648" s="545">
        <f>'Foglio deposito bis'!$F$91*IF(ABS(N2648)&lt;'Sollecitazioni nel paramento'!$G$58,ABS(N2648)*'Sollecitazioni nel paramento'!$G$54,'Sollecitazioni nel paramento'!$G$53)*IF(N2648&lt;0,-1,1)</f>
        <v>-335180.06922397029</v>
      </c>
      <c r="U2648" s="545">
        <f>'Foglio deposito bis'!$F$92*IF(ABS(O2648)&lt;'Sollecitazioni nel paramento'!$G$58,ABS(O2648)*'Sollecitazioni nel paramento'!$G$54,'Sollecitazioni nel paramento'!$G$53)*IF(O2648&lt;0,-1,1)</f>
        <v>1662039.1047339395</v>
      </c>
      <c r="V2648" s="472">
        <f t="shared" si="185"/>
        <v>-6482806.4819124471</v>
      </c>
      <c r="W2648" s="551"/>
      <c r="X2648" s="551"/>
    </row>
    <row r="2649" spans="1:24" x14ac:dyDescent="0.25">
      <c r="A2649" s="545">
        <f t="shared" si="184"/>
        <v>6586278.2919288622</v>
      </c>
      <c r="B2649" s="3">
        <f t="shared" si="182"/>
        <v>17.499999999999961</v>
      </c>
      <c r="C2649" s="545">
        <f>'Foglio deposito bis'!$E$163/sezione!$B$247*B2649</f>
        <v>203.2839682260902</v>
      </c>
      <c r="D2649" s="603">
        <f>-'Sollecitazioni nel paramento'!$G$47*'Sollecitazioni nel paramento'!$G$41*IF(DATI!$G$211="dx",DATI!$E$61,DATI!$E$64*DATI!$E$63)*1000*C2649^2*sezione!$AD$5*(1-sezione!$AD$6)</f>
        <v>-919411400.6142602</v>
      </c>
      <c r="E2649" s="545">
        <f>-'Foglio deposito bis'!$F$88*(C2649-sezione!$AL$37)*IF(ABS(K2649)&lt;'Sollecitazioni nel paramento'!$G$58,ABS(K2649)*'Sollecitazioni nel paramento'!$G$54,'Sollecitazioni nel paramento'!$G$53)</f>
        <v>0</v>
      </c>
      <c r="F2649" s="545">
        <f>-'Foglio deposito bis'!$F$89*(C2649-sezione!$AM$37)*IF(ABS(L2649)&lt;'Sollecitazioni nel paramento'!$G$58,ABS(L2649)*'Sollecitazioni nel paramento'!$G$54,'Sollecitazioni nel paramento'!$G$53)</f>
        <v>-22017710.639165789</v>
      </c>
      <c r="G2649" s="545">
        <f>-'Foglio deposito bis'!$F$90*(C2649-sezione!$AN$37)*IF(ABS(M2649)&lt;'Sollecitazioni nel paramento'!$G$58,ABS(M2649)*'Sollecitazioni nel paramento'!$G$54,'Sollecitazioni nel paramento'!$G$53)</f>
        <v>0</v>
      </c>
      <c r="H2649" s="545">
        <f>-'Foglio deposito bis'!$F$91*(C2649-sezione!$AO$37)*IF(ABS(N2649)&lt;'Sollecitazioni nel paramento'!$G$58,ABS(N2649)*'Sollecitazioni nel paramento'!$G$54,'Sollecitazioni nel paramento'!$G$53)</f>
        <v>-15155587.190882307</v>
      </c>
      <c r="I2649" s="472">
        <f>-'Foglio deposito bis'!$F$92*(C2649-sezione!$AP$37)*IF(ABS(O2649)&lt;'Sollecitazioni nel paramento'!$G$58,ABS(O2649)*'Sollecitazioni nel paramento'!$G$54,'Sollecitazioni nel paramento'!$G$53)</f>
        <v>1022411979.6408789</v>
      </c>
      <c r="J2649" s="472">
        <f t="shared" si="183"/>
        <v>65827281.196570635</v>
      </c>
      <c r="K2649" s="550">
        <f>'Sollecitazioni nel paramento'!$G$60*(sezione!$AL$37-C2649)/C2649</f>
        <v>-2.8113082097832058E-3</v>
      </c>
      <c r="L2649" s="550">
        <f>'Sollecitazioni nel paramento'!$G$60*(sezione!$AM$37-C2649)/C2649</f>
        <v>-2.4669623146748088E-3</v>
      </c>
      <c r="M2649" s="551">
        <f>'Sollecitazioni nel paramento'!$G$60*(sezione!$AN$37-C2649)/C2649</f>
        <v>-2.122616419566411E-3</v>
      </c>
      <c r="N2649" s="551">
        <f>'Sollecitazioni nel paramento'!$G$60*(sezione!$AO$37-C2649)/C2649</f>
        <v>-7.4523283913282244E-4</v>
      </c>
      <c r="O2649" s="551">
        <f>'Sollecitazioni nel paramento'!$G$60*(sezione!$AP$37-C2649)/C2649</f>
        <v>1.059130820978323E-2</v>
      </c>
      <c r="P2649" s="545">
        <f>-'Sollecitazioni nel paramento'!$G$47*'Sollecitazioni nel paramento'!$G$41*IF(DATI!$G$211="dx",DATI!$E$61,DATI!$E$64*DATI!$E$63)*1000*C2649*sezione!$AD$5</f>
        <v>-7744509.3375093574</v>
      </c>
      <c r="Q2649" s="545">
        <f>'Foglio deposito bis'!$F$88*IF(ABS(K2649)&lt;'Sollecitazioni nel paramento'!$G$58,ABS(K2649)*'Sollecitazioni nel paramento'!$G$54,'Sollecitazioni nel paramento'!$G$53)*IF(K2649&lt;0,-1,1)</f>
        <v>0</v>
      </c>
      <c r="R2649" s="545">
        <f>'Foglio deposito bis'!$F$89*IF(ABS(L2649)&lt;'Sollecitazioni nel paramento'!$G$58,ABS(L2649)*'Sollecitazioni nel paramento'!$G$54,'Sollecitazioni nel paramento'!$G$53)*IF(L2649&lt;0,-1,1)</f>
        <v>-153664.85805602249</v>
      </c>
      <c r="S2649" s="545">
        <f>'Foglio deposito bis'!$F$90*IF(ABS(M2649)&lt;'Sollecitazioni nel paramento'!$G$58,ABS(M2649)*'Sollecitazioni nel paramento'!$G$54,'Sollecitazioni nel paramento'!$G$53)*IF(M2649&lt;0,-1,1)</f>
        <v>0</v>
      </c>
      <c r="T2649" s="545">
        <f>'Foglio deposito bis'!$F$91*IF(ABS(N2649)&lt;'Sollecitazioni nel paramento'!$G$58,ABS(N2649)*'Sollecitazioni nel paramento'!$G$54,'Sollecitazioni nel paramento'!$G$53)*IF(N2649&lt;0,-1,1)</f>
        <v>-350143.20109742164</v>
      </c>
      <c r="U2649" s="545">
        <f>'Foglio deposito bis'!$F$92*IF(ABS(O2649)&lt;'Sollecitazioni nel paramento'!$G$58,ABS(O2649)*'Sollecitazioni nel paramento'!$G$54,'Sollecitazioni nel paramento'!$G$53)*IF(O2649&lt;0,-1,1)</f>
        <v>1662039.1047339395</v>
      </c>
      <c r="V2649" s="472">
        <f t="shared" si="185"/>
        <v>-6586278.2919288622</v>
      </c>
      <c r="W2649" s="551"/>
      <c r="X2649" s="551"/>
    </row>
    <row r="2650" spans="1:24" x14ac:dyDescent="0.25">
      <c r="A2650" s="545">
        <f t="shared" si="184"/>
        <v>6689411.9520724313</v>
      </c>
      <c r="B2650" s="3">
        <f t="shared" si="182"/>
        <v>17.69999999999996</v>
      </c>
      <c r="C2650" s="545">
        <f>'Foglio deposito bis'!$E$163/sezione!$B$247*B2650</f>
        <v>205.60721357724552</v>
      </c>
      <c r="D2650" s="603">
        <f>-'Sollecitazioni nel paramento'!$G$47*'Sollecitazioni nel paramento'!$G$41*IF(DATI!$G$211="dx",DATI!$E$61,DATI!$E$64*DATI!$E$63)*1000*C2650^2*sezione!$AD$5*(1-sezione!$AD$6)</f>
        <v>-940546604.72960508</v>
      </c>
      <c r="E2650" s="545">
        <f>-'Foglio deposito bis'!$F$88*(C2650-sezione!$AL$37)*IF(ABS(K2650)&lt;'Sollecitazioni nel paramento'!$G$58,ABS(K2650)*'Sollecitazioni nel paramento'!$G$54,'Sollecitazioni nel paramento'!$G$53)</f>
        <v>0</v>
      </c>
      <c r="F2650" s="545">
        <f>-'Foglio deposito bis'!$F$89*(C2650-sezione!$AM$37)*IF(ABS(L2650)&lt;'Sollecitazioni nel paramento'!$G$58,ABS(L2650)*'Sollecitazioni nel paramento'!$G$54,'Sollecitazioni nel paramento'!$G$53)</f>
        <v>-22374711.806280382</v>
      </c>
      <c r="G2650" s="545">
        <f>-'Foglio deposito bis'!$F$90*(C2650-sezione!$AN$37)*IF(ABS(M2650)&lt;'Sollecitazioni nel paramento'!$G$58,ABS(M2650)*'Sollecitazioni nel paramento'!$G$54,'Sollecitazioni nel paramento'!$G$53)</f>
        <v>0</v>
      </c>
      <c r="H2650" s="545">
        <f>-'Foglio deposito bis'!$F$91*(C2650-sezione!$AO$37)*IF(ABS(N2650)&lt;'Sollecitazioni nel paramento'!$G$58,ABS(N2650)*'Sollecitazioni nel paramento'!$G$54,'Sollecitazioni nel paramento'!$G$53)</f>
        <v>-16636060.432735501</v>
      </c>
      <c r="I2650" s="472">
        <f>-'Foglio deposito bis'!$F$92*(C2650-sezione!$AP$37)*IF(ABS(O2650)&lt;'Sollecitazioni nel paramento'!$G$58,ABS(O2650)*'Sollecitazioni nel paramento'!$G$54,'Sollecitazioni nel paramento'!$G$53)</f>
        <v>1018550655.0173676</v>
      </c>
      <c r="J2650" s="472">
        <f t="shared" si="183"/>
        <v>38993278.048746705</v>
      </c>
      <c r="K2650" s="550">
        <f>'Sollecitazioni nel paramento'!$G$60*(sezione!$AL$37-C2650)/C2650</f>
        <v>-2.8190900379212488E-3</v>
      </c>
      <c r="L2650" s="550">
        <f>'Sollecitazioni nel paramento'!$G$60*(sezione!$AM$37-C2650)/C2650</f>
        <v>-2.4786350568818728E-3</v>
      </c>
      <c r="M2650" s="551">
        <f>'Sollecitazioni nel paramento'!$G$60*(sezione!$AN$37-C2650)/C2650</f>
        <v>-2.1381800758424972E-3</v>
      </c>
      <c r="N2650" s="551">
        <f>'Sollecitazioni nel paramento'!$G$60*(sezione!$AO$37-C2650)/C2650</f>
        <v>-7.7636015168499413E-4</v>
      </c>
      <c r="O2650" s="551">
        <f>'Sollecitazioni nel paramento'!$G$60*(sezione!$AP$37-C2650)/C2650</f>
        <v>1.0432084388203759E-2</v>
      </c>
      <c r="P2650" s="545">
        <f>-'Sollecitazioni nel paramento'!$G$47*'Sollecitazioni nel paramento'!$G$41*IF(DATI!$G$211="dx",DATI!$E$61,DATI!$E$64*DATI!$E$63)*1000*C2650*sezione!$AD$5</f>
        <v>-7833018.0156523213</v>
      </c>
      <c r="Q2650" s="545">
        <f>'Foglio deposito bis'!$F$88*IF(ABS(K2650)&lt;'Sollecitazioni nel paramento'!$G$58,ABS(K2650)*'Sollecitazioni nel paramento'!$G$54,'Sollecitazioni nel paramento'!$G$53)*IF(K2650&lt;0,-1,1)</f>
        <v>0</v>
      </c>
      <c r="R2650" s="545">
        <f>'Foglio deposito bis'!$F$89*IF(ABS(L2650)&lt;'Sollecitazioni nel paramento'!$G$58,ABS(L2650)*'Sollecitazioni nel paramento'!$G$54,'Sollecitazioni nel paramento'!$G$53)*IF(L2650&lt;0,-1,1)</f>
        <v>-153664.85805602249</v>
      </c>
      <c r="S2650" s="545">
        <f>'Foglio deposito bis'!$F$90*IF(ABS(M2650)&lt;'Sollecitazioni nel paramento'!$G$58,ABS(M2650)*'Sollecitazioni nel paramento'!$G$54,'Sollecitazioni nel paramento'!$G$53)*IF(M2650&lt;0,-1,1)</f>
        <v>0</v>
      </c>
      <c r="T2650" s="545">
        <f>'Foglio deposito bis'!$F$91*IF(ABS(N2650)&lt;'Sollecitazioni nel paramento'!$G$58,ABS(N2650)*'Sollecitazioni nel paramento'!$G$54,'Sollecitazioni nel paramento'!$G$53)*IF(N2650&lt;0,-1,1)</f>
        <v>-364768.18309802667</v>
      </c>
      <c r="U2650" s="545">
        <f>'Foglio deposito bis'!$F$92*IF(ABS(O2650)&lt;'Sollecitazioni nel paramento'!$G$58,ABS(O2650)*'Sollecitazioni nel paramento'!$G$54,'Sollecitazioni nel paramento'!$G$53)*IF(O2650&lt;0,-1,1)</f>
        <v>1662039.1047339395</v>
      </c>
      <c r="V2650" s="472">
        <f t="shared" si="185"/>
        <v>-6689411.9520724313</v>
      </c>
      <c r="W2650" s="551"/>
      <c r="X2650" s="551"/>
    </row>
    <row r="2651" spans="1:24" x14ac:dyDescent="0.25">
      <c r="A2651" s="545">
        <f t="shared" si="184"/>
        <v>6792218.7969757607</v>
      </c>
      <c r="B2651" s="3">
        <f t="shared" si="182"/>
        <v>17.899999999999959</v>
      </c>
      <c r="C2651" s="545">
        <f>'Foglio deposito bis'!$E$163/sezione!$B$247*B2651</f>
        <v>207.93045892840081</v>
      </c>
      <c r="D2651" s="603">
        <f>-'Sollecitazioni nel paramento'!$G$47*'Sollecitazioni nel paramento'!$G$41*IF(DATI!$G$211="dx",DATI!$E$61,DATI!$E$64*DATI!$E$63)*1000*C2651^2*sezione!$AD$5*(1-sezione!$AD$6)</f>
        <v>-961921981.6189878</v>
      </c>
      <c r="E2651" s="545">
        <f>-'Foglio deposito bis'!$F$88*(C2651-sezione!$AL$37)*IF(ABS(K2651)&lt;'Sollecitazioni nel paramento'!$G$58,ABS(K2651)*'Sollecitazioni nel paramento'!$G$54,'Sollecitazioni nel paramento'!$G$53)</f>
        <v>0</v>
      </c>
      <c r="F2651" s="545">
        <f>-'Foglio deposito bis'!$F$89*(C2651-sezione!$AM$37)*IF(ABS(L2651)&lt;'Sollecitazioni nel paramento'!$G$58,ABS(L2651)*'Sollecitazioni nel paramento'!$G$54,'Sollecitazioni nel paramento'!$G$53)</f>
        <v>-22731712.973394975</v>
      </c>
      <c r="G2651" s="545">
        <f>-'Foglio deposito bis'!$F$90*(C2651-sezione!$AN$37)*IF(ABS(M2651)&lt;'Sollecitazioni nel paramento'!$G$58,ABS(M2651)*'Sollecitazioni nel paramento'!$G$54,'Sollecitazioni nel paramento'!$G$53)</f>
        <v>0</v>
      </c>
      <c r="H2651" s="545">
        <f>-'Foglio deposito bis'!$F$91*(C2651-sezione!$AO$37)*IF(ABS(N2651)&lt;'Sollecitazioni nel paramento'!$G$58,ABS(N2651)*'Sollecitazioni nel paramento'!$G$54,'Sollecitazioni nel paramento'!$G$53)</f>
        <v>-18168824.113026589</v>
      </c>
      <c r="I2651" s="472">
        <f>-'Foglio deposito bis'!$F$92*(C2651-sezione!$AP$37)*IF(ABS(O2651)&lt;'Sollecitazioni nel paramento'!$G$58,ABS(O2651)*'Sollecitazioni nel paramento'!$G$54,'Sollecitazioni nel paramento'!$G$53)</f>
        <v>1014689330.3938562</v>
      </c>
      <c r="J2651" s="472">
        <f t="shared" si="183"/>
        <v>11866811.68844676</v>
      </c>
      <c r="K2651" s="550">
        <f>'Sollecitazioni nel paramento'!$G$60*(sezione!$AL$37-C2651)/C2651</f>
        <v>-2.8266979704584414E-3</v>
      </c>
      <c r="L2651" s="550">
        <f>'Sollecitazioni nel paramento'!$G$60*(sezione!$AM$37-C2651)/C2651</f>
        <v>-2.4900469556876619E-3</v>
      </c>
      <c r="M2651" s="551">
        <f>'Sollecitazioni nel paramento'!$G$60*(sezione!$AN$37-C2651)/C2651</f>
        <v>-2.1533959409168824E-3</v>
      </c>
      <c r="N2651" s="551">
        <f>'Sollecitazioni nel paramento'!$G$60*(sezione!$AO$37-C2651)/C2651</f>
        <v>-8.0679188183376482E-4</v>
      </c>
      <c r="O2651" s="551">
        <f>'Sollecitazioni nel paramento'!$G$60*(sezione!$AP$37-C2651)/C2651</f>
        <v>1.0276418640849529E-2</v>
      </c>
      <c r="P2651" s="545">
        <f>-'Sollecitazioni nel paramento'!$G$47*'Sollecitazioni nel paramento'!$G$41*IF(DATI!$G$211="dx",DATI!$E$61,DATI!$E$64*DATI!$E$63)*1000*C2651*sezione!$AD$5</f>
        <v>-7921526.6937952833</v>
      </c>
      <c r="Q2651" s="545">
        <f>'Foglio deposito bis'!$F$88*IF(ABS(K2651)&lt;'Sollecitazioni nel paramento'!$G$58,ABS(K2651)*'Sollecitazioni nel paramento'!$G$54,'Sollecitazioni nel paramento'!$G$53)*IF(K2651&lt;0,-1,1)</f>
        <v>0</v>
      </c>
      <c r="R2651" s="545">
        <f>'Foglio deposito bis'!$F$89*IF(ABS(L2651)&lt;'Sollecitazioni nel paramento'!$G$58,ABS(L2651)*'Sollecitazioni nel paramento'!$G$54,'Sollecitazioni nel paramento'!$G$53)*IF(L2651&lt;0,-1,1)</f>
        <v>-153664.85805602249</v>
      </c>
      <c r="S2651" s="545">
        <f>'Foglio deposito bis'!$F$90*IF(ABS(M2651)&lt;'Sollecitazioni nel paramento'!$G$58,ABS(M2651)*'Sollecitazioni nel paramento'!$G$54,'Sollecitazioni nel paramento'!$G$53)*IF(M2651&lt;0,-1,1)</f>
        <v>0</v>
      </c>
      <c r="T2651" s="545">
        <f>'Foglio deposito bis'!$F$91*IF(ABS(N2651)&lt;'Sollecitazioni nel paramento'!$G$58,ABS(N2651)*'Sollecitazioni nel paramento'!$G$54,'Sollecitazioni nel paramento'!$G$53)*IF(N2651&lt;0,-1,1)</f>
        <v>-379066.34985839453</v>
      </c>
      <c r="U2651" s="545">
        <f>'Foglio deposito bis'!$F$92*IF(ABS(O2651)&lt;'Sollecitazioni nel paramento'!$G$58,ABS(O2651)*'Sollecitazioni nel paramento'!$G$54,'Sollecitazioni nel paramento'!$G$53)*IF(O2651&lt;0,-1,1)</f>
        <v>1662039.1047339395</v>
      </c>
      <c r="V2651" s="472">
        <f t="shared" si="185"/>
        <v>-6792218.7969757607</v>
      </c>
      <c r="W2651" s="551"/>
      <c r="X2651" s="551"/>
    </row>
    <row r="2652" spans="1:24" x14ac:dyDescent="0.25">
      <c r="A2652" s="545">
        <f t="shared" si="184"/>
        <v>6894709.6602932299</v>
      </c>
      <c r="B2652" s="3">
        <f t="shared" si="182"/>
        <v>18.099999999999959</v>
      </c>
      <c r="C2652" s="545">
        <f>'Foglio deposito bis'!$E$163/sezione!$B$247*B2652</f>
        <v>210.25370427955613</v>
      </c>
      <c r="D2652" s="603">
        <f>-'Sollecitazioni nel paramento'!$G$47*'Sollecitazioni nel paramento'!$G$41*IF(DATI!$G$211="dx",DATI!$E$61,DATI!$E$64*DATI!$E$63)*1000*C2652^2*sezione!$AD$5*(1-sezione!$AD$6)</f>
        <v>-983537531.28240883</v>
      </c>
      <c r="E2652" s="545">
        <f>-'Foglio deposito bis'!$F$88*(C2652-sezione!$AL$37)*IF(ABS(K2652)&lt;'Sollecitazioni nel paramento'!$G$58,ABS(K2652)*'Sollecitazioni nel paramento'!$G$54,'Sollecitazioni nel paramento'!$G$53)</f>
        <v>0</v>
      </c>
      <c r="F2652" s="545">
        <f>-'Foglio deposito bis'!$F$89*(C2652-sezione!$AM$37)*IF(ABS(L2652)&lt;'Sollecitazioni nel paramento'!$G$58,ABS(L2652)*'Sollecitazioni nel paramento'!$G$54,'Sollecitazioni nel paramento'!$G$53)</f>
        <v>-23088714.140509572</v>
      </c>
      <c r="G2652" s="545">
        <f>-'Foglio deposito bis'!$F$90*(C2652-sezione!$AN$37)*IF(ABS(M2652)&lt;'Sollecitazioni nel paramento'!$G$58,ABS(M2652)*'Sollecitazioni nel paramento'!$G$54,'Sollecitazioni nel paramento'!$G$53)</f>
        <v>0</v>
      </c>
      <c r="H2652" s="545">
        <f>-'Foglio deposito bis'!$F$91*(C2652-sezione!$AO$37)*IF(ABS(N2652)&lt;'Sollecitazioni nel paramento'!$G$58,ABS(N2652)*'Sollecitazioni nel paramento'!$G$54,'Sollecitazioni nel paramento'!$G$53)</f>
        <v>-19752144.84705602</v>
      </c>
      <c r="I2652" s="472">
        <f>-'Foglio deposito bis'!$F$92*(C2652-sezione!$AP$37)*IF(ABS(O2652)&lt;'Sollecitazioni nel paramento'!$G$58,ABS(O2652)*'Sollecitazioni nel paramento'!$G$54,'Sollecitazioni nel paramento'!$G$53)</f>
        <v>1010828005.7703445</v>
      </c>
      <c r="J2652" s="472">
        <f t="shared" si="183"/>
        <v>-15550384.499629974</v>
      </c>
      <c r="K2652" s="550">
        <f>'Sollecitazioni nel paramento'!$G$60*(sezione!$AL$37-C2652)/C2652</f>
        <v>-2.8341377718898394E-3</v>
      </c>
      <c r="L2652" s="550">
        <f>'Sollecitazioni nel paramento'!$G$60*(sezione!$AM$37-C2652)/C2652</f>
        <v>-2.5012066578347595E-3</v>
      </c>
      <c r="M2652" s="551">
        <f>'Sollecitazioni nel paramento'!$G$60*(sezione!$AN$37-C2652)/C2652</f>
        <v>-2.1682755437796792E-3</v>
      </c>
      <c r="N2652" s="551">
        <f>'Sollecitazioni nel paramento'!$G$60*(sezione!$AO$37-C2652)/C2652</f>
        <v>-8.3655108755935868E-4</v>
      </c>
      <c r="O2652" s="551">
        <f>'Sollecitazioni nel paramento'!$G$60*(sezione!$AP$37-C2652)/C2652</f>
        <v>1.0124193020508649E-2</v>
      </c>
      <c r="P2652" s="545">
        <f>-'Sollecitazioni nel paramento'!$G$47*'Sollecitazioni nel paramento'!$G$41*IF(DATI!$G$211="dx",DATI!$E$61,DATI!$E$64*DATI!$E$63)*1000*C2652*sezione!$AD$5</f>
        <v>-8010035.3719382482</v>
      </c>
      <c r="Q2652" s="545">
        <f>'Foglio deposito bis'!$F$88*IF(ABS(K2652)&lt;'Sollecitazioni nel paramento'!$G$58,ABS(K2652)*'Sollecitazioni nel paramento'!$G$54,'Sollecitazioni nel paramento'!$G$53)*IF(K2652&lt;0,-1,1)</f>
        <v>0</v>
      </c>
      <c r="R2652" s="545">
        <f>'Foglio deposito bis'!$F$89*IF(ABS(L2652)&lt;'Sollecitazioni nel paramento'!$G$58,ABS(L2652)*'Sollecitazioni nel paramento'!$G$54,'Sollecitazioni nel paramento'!$G$53)*IF(L2652&lt;0,-1,1)</f>
        <v>-153664.85805602249</v>
      </c>
      <c r="S2652" s="545">
        <f>'Foglio deposito bis'!$F$90*IF(ABS(M2652)&lt;'Sollecitazioni nel paramento'!$G$58,ABS(M2652)*'Sollecitazioni nel paramento'!$G$54,'Sollecitazioni nel paramento'!$G$53)*IF(M2652&lt;0,-1,1)</f>
        <v>0</v>
      </c>
      <c r="T2652" s="545">
        <f>'Foglio deposito bis'!$F$91*IF(ABS(N2652)&lt;'Sollecitazioni nel paramento'!$G$58,ABS(N2652)*'Sollecitazioni nel paramento'!$G$54,'Sollecitazioni nel paramento'!$G$53)*IF(N2652&lt;0,-1,1)</f>
        <v>-393048.53503289807</v>
      </c>
      <c r="U2652" s="545">
        <f>'Foglio deposito bis'!$F$92*IF(ABS(O2652)&lt;'Sollecitazioni nel paramento'!$G$58,ABS(O2652)*'Sollecitazioni nel paramento'!$G$54,'Sollecitazioni nel paramento'!$G$53)*IF(O2652&lt;0,-1,1)</f>
        <v>1662039.1047339395</v>
      </c>
      <c r="V2652" s="472">
        <f t="shared" si="185"/>
        <v>-6894709.6602932299</v>
      </c>
      <c r="W2652" s="551"/>
      <c r="X2652" s="551"/>
    </row>
    <row r="2653" spans="1:24" x14ac:dyDescent="0.25">
      <c r="A2653" s="545">
        <f t="shared" si="184"/>
        <v>6996894.9020768302</v>
      </c>
      <c r="B2653" s="3">
        <f t="shared" ref="B2653:B2676" si="186">B2652+0.2</f>
        <v>18.299999999999958</v>
      </c>
      <c r="C2653" s="545">
        <f>'Foglio deposito bis'!$E$163/sezione!$B$247*B2653</f>
        <v>212.57694963071145</v>
      </c>
      <c r="D2653" s="603">
        <f>-'Sollecitazioni nel paramento'!$G$47*'Sollecitazioni nel paramento'!$G$41*IF(DATI!$G$211="dx",DATI!$E$61,DATI!$E$64*DATI!$E$63)*1000*C2653^2*sezione!$AD$5*(1-sezione!$AD$6)</f>
        <v>-1005393253.7198678</v>
      </c>
      <c r="E2653" s="545">
        <f>-'Foglio deposito bis'!$F$88*(C2653-sezione!$AL$37)*IF(ABS(K2653)&lt;'Sollecitazioni nel paramento'!$G$58,ABS(K2653)*'Sollecitazioni nel paramento'!$G$54,'Sollecitazioni nel paramento'!$G$53)</f>
        <v>0</v>
      </c>
      <c r="F2653" s="545">
        <f>-'Foglio deposito bis'!$F$89*(C2653-sezione!$AM$37)*IF(ABS(L2653)&lt;'Sollecitazioni nel paramento'!$G$58,ABS(L2653)*'Sollecitazioni nel paramento'!$G$54,'Sollecitazioni nel paramento'!$G$53)</f>
        <v>-23445715.307624169</v>
      </c>
      <c r="G2653" s="545">
        <f>-'Foglio deposito bis'!$F$90*(C2653-sezione!$AN$37)*IF(ABS(M2653)&lt;'Sollecitazioni nel paramento'!$G$58,ABS(M2653)*'Sollecitazioni nel paramento'!$G$54,'Sollecitazioni nel paramento'!$G$53)</f>
        <v>0</v>
      </c>
      <c r="H2653" s="545">
        <f>-'Foglio deposito bis'!$F$91*(C2653-sezione!$AO$37)*IF(ABS(N2653)&lt;'Sollecitazioni nel paramento'!$G$58,ABS(N2653)*'Sollecitazioni nel paramento'!$G$54,'Sollecitazioni nel paramento'!$G$53)</f>
        <v>-21384365.026504476</v>
      </c>
      <c r="I2653" s="472">
        <f>-'Foglio deposito bis'!$F$92*(C2653-sezione!$AP$37)*IF(ABS(O2653)&lt;'Sollecitazioni nel paramento'!$G$58,ABS(O2653)*'Sollecitazioni nel paramento'!$G$54,'Sollecitazioni nel paramento'!$G$53)</f>
        <v>1006966681.1468331</v>
      </c>
      <c r="J2653" s="472">
        <f t="shared" si="183"/>
        <v>-43256652.907163501</v>
      </c>
      <c r="K2653" s="550">
        <f>'Sollecitazioni nel paramento'!$G$60*(sezione!$AL$37-C2653)/C2653</f>
        <v>-2.8414149547107159E-3</v>
      </c>
      <c r="L2653" s="550">
        <f>'Sollecitazioni nel paramento'!$G$60*(sezione!$AM$37-C2653)/C2653</f>
        <v>-2.5121224320660733E-3</v>
      </c>
      <c r="M2653" s="551">
        <f>'Sollecitazioni nel paramento'!$G$60*(sezione!$AN$37-C2653)/C2653</f>
        <v>-2.1828299094214317E-3</v>
      </c>
      <c r="N2653" s="551">
        <f>'Sollecitazioni nel paramento'!$G$60*(sezione!$AO$37-C2653)/C2653</f>
        <v>-8.6565981884286294E-4</v>
      </c>
      <c r="O2653" s="551">
        <f>'Sollecitazioni nel paramento'!$G$60*(sezione!$AP$37-C2653)/C2653</f>
        <v>9.9752947361315021E-3</v>
      </c>
      <c r="P2653" s="545">
        <f>-'Sollecitazioni nel paramento'!$G$47*'Sollecitazioni nel paramento'!$G$41*IF(DATI!$G$211="dx",DATI!$E$61,DATI!$E$64*DATI!$E$63)*1000*C2653*sezione!$AD$5</f>
        <v>-8098544.050081213</v>
      </c>
      <c r="Q2653" s="545">
        <f>'Foglio deposito bis'!$F$88*IF(ABS(K2653)&lt;'Sollecitazioni nel paramento'!$G$58,ABS(K2653)*'Sollecitazioni nel paramento'!$G$54,'Sollecitazioni nel paramento'!$G$53)*IF(K2653&lt;0,-1,1)</f>
        <v>0</v>
      </c>
      <c r="R2653" s="545">
        <f>'Foglio deposito bis'!$F$89*IF(ABS(L2653)&lt;'Sollecitazioni nel paramento'!$G$58,ABS(L2653)*'Sollecitazioni nel paramento'!$G$54,'Sollecitazioni nel paramento'!$G$53)*IF(L2653&lt;0,-1,1)</f>
        <v>-153664.85805602249</v>
      </c>
      <c r="S2653" s="545">
        <f>'Foglio deposito bis'!$F$90*IF(ABS(M2653)&lt;'Sollecitazioni nel paramento'!$G$58,ABS(M2653)*'Sollecitazioni nel paramento'!$G$54,'Sollecitazioni nel paramento'!$G$53)*IF(M2653&lt;0,-1,1)</f>
        <v>0</v>
      </c>
      <c r="T2653" s="545">
        <f>'Foglio deposito bis'!$F$91*IF(ABS(N2653)&lt;'Sollecitazioni nel paramento'!$G$58,ABS(N2653)*'Sollecitazioni nel paramento'!$G$54,'Sollecitazioni nel paramento'!$G$53)*IF(N2653&lt;0,-1,1)</f>
        <v>-406725.09867353272</v>
      </c>
      <c r="U2653" s="545">
        <f>'Foglio deposito bis'!$F$92*IF(ABS(O2653)&lt;'Sollecitazioni nel paramento'!$G$58,ABS(O2653)*'Sollecitazioni nel paramento'!$G$54,'Sollecitazioni nel paramento'!$G$53)*IF(O2653&lt;0,-1,1)</f>
        <v>1662039.1047339395</v>
      </c>
      <c r="V2653" s="472">
        <f t="shared" si="185"/>
        <v>-6996894.9020768302</v>
      </c>
      <c r="W2653" s="551"/>
      <c r="X2653" s="551"/>
    </row>
    <row r="2654" spans="1:24" x14ac:dyDescent="0.25">
      <c r="A2654" s="545">
        <f t="shared" si="184"/>
        <v>7098784.4343763059</v>
      </c>
      <c r="B2654" s="3">
        <f t="shared" si="186"/>
        <v>18.499999999999957</v>
      </c>
      <c r="C2654" s="545">
        <f>'Foglio deposito bis'!$E$163/sezione!$B$247*B2654</f>
        <v>214.90019498186678</v>
      </c>
      <c r="D2654" s="603">
        <f>-'Sollecitazioni nel paramento'!$G$47*'Sollecitazioni nel paramento'!$G$41*IF(DATI!$G$211="dx",DATI!$E$61,DATI!$E$64*DATI!$E$63)*1000*C2654^2*sezione!$AD$5*(1-sezione!$AD$6)</f>
        <v>-1027489148.9313649</v>
      </c>
      <c r="E2654" s="545">
        <f>-'Foglio deposito bis'!$F$88*(C2654-sezione!$AL$37)*IF(ABS(K2654)&lt;'Sollecitazioni nel paramento'!$G$58,ABS(K2654)*'Sollecitazioni nel paramento'!$G$54,'Sollecitazioni nel paramento'!$G$53)</f>
        <v>0</v>
      </c>
      <c r="F2654" s="545">
        <f>-'Foglio deposito bis'!$F$89*(C2654-sezione!$AM$37)*IF(ABS(L2654)&lt;'Sollecitazioni nel paramento'!$G$58,ABS(L2654)*'Sollecitazioni nel paramento'!$G$54,'Sollecitazioni nel paramento'!$G$53)</f>
        <v>-23802716.474738766</v>
      </c>
      <c r="G2654" s="545">
        <f>-'Foglio deposito bis'!$F$90*(C2654-sezione!$AN$37)*IF(ABS(M2654)&lt;'Sollecitazioni nel paramento'!$G$58,ABS(M2654)*'Sollecitazioni nel paramento'!$G$54,'Sollecitazioni nel paramento'!$G$53)</f>
        <v>0</v>
      </c>
      <c r="H2654" s="545">
        <f>-'Foglio deposito bis'!$F$91*(C2654-sezione!$AO$37)*IF(ABS(N2654)&lt;'Sollecitazioni nel paramento'!$G$58,ABS(N2654)*'Sollecitazioni nel paramento'!$G$54,'Sollecitazioni nel paramento'!$G$53)</f>
        <v>-23063898.723412421</v>
      </c>
      <c r="I2654" s="472">
        <f>-'Foglio deposito bis'!$F$92*(C2654-sezione!$AP$37)*IF(ABS(O2654)&lt;'Sollecitazioni nel paramento'!$G$58,ABS(O2654)*'Sollecitazioni nel paramento'!$G$54,'Sollecitazioni nel paramento'!$G$53)</f>
        <v>1003105356.5233216</v>
      </c>
      <c r="J2654" s="472">
        <f t="shared" si="183"/>
        <v>-71250407.606194496</v>
      </c>
      <c r="K2654" s="550">
        <f>'Sollecitazioni nel paramento'!$G$60*(sezione!$AL$37-C2654)/C2654</f>
        <v>-2.8485347930381675E-3</v>
      </c>
      <c r="L2654" s="550">
        <f>'Sollecitazioni nel paramento'!$G$60*(sezione!$AM$37-C2654)/C2654</f>
        <v>-2.5228021895572512E-3</v>
      </c>
      <c r="M2654" s="551">
        <f>'Sollecitazioni nel paramento'!$G$60*(sezione!$AN$37-C2654)/C2654</f>
        <v>-2.1970695860763353E-3</v>
      </c>
      <c r="N2654" s="551">
        <f>'Sollecitazioni nel paramento'!$G$60*(sezione!$AO$37-C2654)/C2654</f>
        <v>-8.941391721526699E-4</v>
      </c>
      <c r="O2654" s="551">
        <f>'Sollecitazioni nel paramento'!$G$60*(sezione!$AP$37-C2654)/C2654</f>
        <v>9.8296158741192699E-3</v>
      </c>
      <c r="P2654" s="545">
        <f>-'Sollecitazioni nel paramento'!$G$47*'Sollecitazioni nel paramento'!$G$41*IF(DATI!$G$211="dx",DATI!$E$61,DATI!$E$64*DATI!$E$63)*1000*C2654*sezione!$AD$5</f>
        <v>-8187052.7282241769</v>
      </c>
      <c r="Q2654" s="545">
        <f>'Foglio deposito bis'!$F$88*IF(ABS(K2654)&lt;'Sollecitazioni nel paramento'!$G$58,ABS(K2654)*'Sollecitazioni nel paramento'!$G$54,'Sollecitazioni nel paramento'!$G$53)*IF(K2654&lt;0,-1,1)</f>
        <v>0</v>
      </c>
      <c r="R2654" s="545">
        <f>'Foglio deposito bis'!$F$89*IF(ABS(L2654)&lt;'Sollecitazioni nel paramento'!$G$58,ABS(L2654)*'Sollecitazioni nel paramento'!$G$54,'Sollecitazioni nel paramento'!$G$53)*IF(L2654&lt;0,-1,1)</f>
        <v>-153664.85805602249</v>
      </c>
      <c r="S2654" s="545">
        <f>'Foglio deposito bis'!$F$90*IF(ABS(M2654)&lt;'Sollecitazioni nel paramento'!$G$58,ABS(M2654)*'Sollecitazioni nel paramento'!$G$54,'Sollecitazioni nel paramento'!$G$53)*IF(M2654&lt;0,-1,1)</f>
        <v>0</v>
      </c>
      <c r="T2654" s="545">
        <f>'Foglio deposito bis'!$F$91*IF(ABS(N2654)&lt;'Sollecitazioni nel paramento'!$G$58,ABS(N2654)*'Sollecitazioni nel paramento'!$G$54,'Sollecitazioni nel paramento'!$G$53)*IF(N2654&lt;0,-1,1)</f>
        <v>-420105.95283004543</v>
      </c>
      <c r="U2654" s="545">
        <f>'Foglio deposito bis'!$F$92*IF(ABS(O2654)&lt;'Sollecitazioni nel paramento'!$G$58,ABS(O2654)*'Sollecitazioni nel paramento'!$G$54,'Sollecitazioni nel paramento'!$G$53)*IF(O2654&lt;0,-1,1)</f>
        <v>1662039.1047339395</v>
      </c>
      <c r="V2654" s="472">
        <f t="shared" si="185"/>
        <v>-7098784.4343763059</v>
      </c>
      <c r="W2654" s="551"/>
      <c r="X2654" s="551"/>
    </row>
    <row r="2655" spans="1:24" x14ac:dyDescent="0.25">
      <c r="A2655" s="545">
        <f t="shared" si="184"/>
        <v>7200387.7451964961</v>
      </c>
      <c r="B2655" s="3">
        <f t="shared" si="186"/>
        <v>18.699999999999957</v>
      </c>
      <c r="C2655" s="545">
        <f>'Foglio deposito bis'!$E$163/sezione!$B$247*B2655</f>
        <v>217.22344033302207</v>
      </c>
      <c r="D2655" s="603">
        <f>-'Sollecitazioni nel paramento'!$G$47*'Sollecitazioni nel paramento'!$G$41*IF(DATI!$G$211="dx",DATI!$E$61,DATI!$E$64*DATI!$E$63)*1000*C2655^2*sezione!$AD$5*(1-sezione!$AD$6)</f>
        <v>-1049825216.9168996</v>
      </c>
      <c r="E2655" s="545">
        <f>-'Foglio deposito bis'!$F$88*(C2655-sezione!$AL$37)*IF(ABS(K2655)&lt;'Sollecitazioni nel paramento'!$G$58,ABS(K2655)*'Sollecitazioni nel paramento'!$G$54,'Sollecitazioni nel paramento'!$G$53)</f>
        <v>0</v>
      </c>
      <c r="F2655" s="545">
        <f>-'Foglio deposito bis'!$F$89*(C2655-sezione!$AM$37)*IF(ABS(L2655)&lt;'Sollecitazioni nel paramento'!$G$58,ABS(L2655)*'Sollecitazioni nel paramento'!$G$54,'Sollecitazioni nel paramento'!$G$53)</f>
        <v>-24159717.641853359</v>
      </c>
      <c r="G2655" s="545">
        <f>-'Foglio deposito bis'!$F$90*(C2655-sezione!$AN$37)*IF(ABS(M2655)&lt;'Sollecitazioni nel paramento'!$G$58,ABS(M2655)*'Sollecitazioni nel paramento'!$G$54,'Sollecitazioni nel paramento'!$G$53)</f>
        <v>0</v>
      </c>
      <c r="H2655" s="545">
        <f>-'Foglio deposito bis'!$F$91*(C2655-sezione!$AO$37)*IF(ABS(N2655)&lt;'Sollecitazioni nel paramento'!$G$58,ABS(N2655)*'Sollecitazioni nel paramento'!$G$54,'Sollecitazioni nel paramento'!$G$53)</f>
        <v>-24789227.857005741</v>
      </c>
      <c r="I2655" s="472">
        <f>-'Foglio deposito bis'!$F$92*(C2655-sezione!$AP$37)*IF(ABS(O2655)&lt;'Sollecitazioni nel paramento'!$G$58,ABS(O2655)*'Sollecitazioni nel paramento'!$G$54,'Sollecitazioni nel paramento'!$G$53)</f>
        <v>999244031.89981031</v>
      </c>
      <c r="J2655" s="472">
        <f t="shared" si="183"/>
        <v>-99530130.515948534</v>
      </c>
      <c r="K2655" s="550">
        <f>'Sollecitazioni nel paramento'!$G$60*(sezione!$AL$37-C2655)/C2655</f>
        <v>-2.8555023353586152E-3</v>
      </c>
      <c r="L2655" s="550">
        <f>'Sollecitazioni nel paramento'!$G$60*(sezione!$AM$37-C2655)/C2655</f>
        <v>-2.5332535030379221E-3</v>
      </c>
      <c r="M2655" s="551">
        <f>'Sollecitazioni nel paramento'!$G$60*(sezione!$AN$37-C2655)/C2655</f>
        <v>-2.2110046707172299E-3</v>
      </c>
      <c r="N2655" s="551">
        <f>'Sollecitazioni nel paramento'!$G$60*(sezione!$AO$37-C2655)/C2655</f>
        <v>-9.2200934143445927E-4</v>
      </c>
      <c r="O2655" s="551">
        <f>'Sollecitazioni nel paramento'!$G$60*(sezione!$AP$37-C2655)/C2655</f>
        <v>9.6870531374976775E-3</v>
      </c>
      <c r="P2655" s="545">
        <f>-'Sollecitazioni nel paramento'!$G$47*'Sollecitazioni nel paramento'!$G$41*IF(DATI!$G$211="dx",DATI!$E$61,DATI!$E$64*DATI!$E$63)*1000*C2655*sezione!$AD$5</f>
        <v>-8275561.4063671399</v>
      </c>
      <c r="Q2655" s="545">
        <f>'Foglio deposito bis'!$F$88*IF(ABS(K2655)&lt;'Sollecitazioni nel paramento'!$G$58,ABS(K2655)*'Sollecitazioni nel paramento'!$G$54,'Sollecitazioni nel paramento'!$G$53)*IF(K2655&lt;0,-1,1)</f>
        <v>0</v>
      </c>
      <c r="R2655" s="545">
        <f>'Foglio deposito bis'!$F$89*IF(ABS(L2655)&lt;'Sollecitazioni nel paramento'!$G$58,ABS(L2655)*'Sollecitazioni nel paramento'!$G$54,'Sollecitazioni nel paramento'!$G$53)*IF(L2655&lt;0,-1,1)</f>
        <v>-153664.85805602249</v>
      </c>
      <c r="S2655" s="545">
        <f>'Foglio deposito bis'!$F$90*IF(ABS(M2655)&lt;'Sollecitazioni nel paramento'!$G$58,ABS(M2655)*'Sollecitazioni nel paramento'!$G$54,'Sollecitazioni nel paramento'!$G$53)*IF(M2655&lt;0,-1,1)</f>
        <v>0</v>
      </c>
      <c r="T2655" s="545">
        <f>'Foglio deposito bis'!$F$91*IF(ABS(N2655)&lt;'Sollecitazioni nel paramento'!$G$58,ABS(N2655)*'Sollecitazioni nel paramento'!$G$54,'Sollecitazioni nel paramento'!$G$53)*IF(N2655&lt;0,-1,1)</f>
        <v>-433200.58550727437</v>
      </c>
      <c r="U2655" s="545">
        <f>'Foglio deposito bis'!$F$92*IF(ABS(O2655)&lt;'Sollecitazioni nel paramento'!$G$58,ABS(O2655)*'Sollecitazioni nel paramento'!$G$54,'Sollecitazioni nel paramento'!$G$53)*IF(O2655&lt;0,-1,1)</f>
        <v>1662039.1047339395</v>
      </c>
      <c r="V2655" s="472">
        <f t="shared" si="185"/>
        <v>-7200387.7451964961</v>
      </c>
      <c r="W2655" s="551"/>
      <c r="X2655" s="551"/>
    </row>
    <row r="2656" spans="1:24" x14ac:dyDescent="0.25">
      <c r="A2656" s="545">
        <f t="shared" si="184"/>
        <v>7301713.9209335754</v>
      </c>
      <c r="B2656" s="3">
        <f t="shared" si="186"/>
        <v>18.899999999999956</v>
      </c>
      <c r="C2656" s="545">
        <f>'Foglio deposito bis'!$E$163/sezione!$B$247*B2656</f>
        <v>219.54668568417739</v>
      </c>
      <c r="D2656" s="603">
        <f>-'Sollecitazioni nel paramento'!$G$47*'Sollecitazioni nel paramento'!$G$41*IF(DATI!$G$211="dx",DATI!$E$61,DATI!$E$64*DATI!$E$63)*1000*C2656^2*sezione!$AD$5*(1-sezione!$AD$6)</f>
        <v>-1072401457.6764727</v>
      </c>
      <c r="E2656" s="545">
        <f>-'Foglio deposito bis'!$F$88*(C2656-sezione!$AL$37)*IF(ABS(K2656)&lt;'Sollecitazioni nel paramento'!$G$58,ABS(K2656)*'Sollecitazioni nel paramento'!$G$54,'Sollecitazioni nel paramento'!$G$53)</f>
        <v>0</v>
      </c>
      <c r="F2656" s="545">
        <f>-'Foglio deposito bis'!$F$89*(C2656-sezione!$AM$37)*IF(ABS(L2656)&lt;'Sollecitazioni nel paramento'!$G$58,ABS(L2656)*'Sollecitazioni nel paramento'!$G$54,'Sollecitazioni nel paramento'!$G$53)</f>
        <v>-24516718.808967955</v>
      </c>
      <c r="G2656" s="545">
        <f>-'Foglio deposito bis'!$F$90*(C2656-sezione!$AN$37)*IF(ABS(M2656)&lt;'Sollecitazioni nel paramento'!$G$58,ABS(M2656)*'Sollecitazioni nel paramento'!$G$54,'Sollecitazioni nel paramento'!$G$53)</f>
        <v>0</v>
      </c>
      <c r="H2656" s="545">
        <f>-'Foglio deposito bis'!$F$91*(C2656-sezione!$AO$37)*IF(ABS(N2656)&lt;'Sollecitazioni nel paramento'!$G$58,ABS(N2656)*'Sollecitazioni nel paramento'!$G$54,'Sollecitazioni nel paramento'!$G$53)</f>
        <v>-26558898.603897642</v>
      </c>
      <c r="I2656" s="472">
        <f>-'Foglio deposito bis'!$F$92*(C2656-sezione!$AP$37)*IF(ABS(O2656)&lt;'Sollecitazioni nel paramento'!$G$58,ABS(O2656)*'Sollecitazioni nel paramento'!$G$54,'Sollecitazioni nel paramento'!$G$53)</f>
        <v>995382707.27629876</v>
      </c>
      <c r="J2656" s="472">
        <f t="shared" si="183"/>
        <v>-128094367.81303954</v>
      </c>
      <c r="K2656" s="550">
        <f>'Sollecitazioni nel paramento'!$G$60*(sezione!$AL$37-C2656)/C2656</f>
        <v>-2.8623224164659312E-3</v>
      </c>
      <c r="L2656" s="550">
        <f>'Sollecitazioni nel paramento'!$G$60*(sezione!$AM$37-C2656)/C2656</f>
        <v>-2.5434836246988968E-3</v>
      </c>
      <c r="M2656" s="551">
        <f>'Sollecitazioni nel paramento'!$G$60*(sezione!$AN$37-C2656)/C2656</f>
        <v>-2.2246448329318624E-3</v>
      </c>
      <c r="N2656" s="551">
        <f>'Sollecitazioni nel paramento'!$G$60*(sezione!$AO$37-C2656)/C2656</f>
        <v>-9.4928966586372437E-4</v>
      </c>
      <c r="O2656" s="551">
        <f>'Sollecitazioni nel paramento'!$G$60*(sezione!$AP$37-C2656)/C2656</f>
        <v>9.5475076016511406E-3</v>
      </c>
      <c r="P2656" s="545">
        <f>-'Sollecitazioni nel paramento'!$G$47*'Sollecitazioni nel paramento'!$G$41*IF(DATI!$G$211="dx",DATI!$E$61,DATI!$E$64*DATI!$E$63)*1000*C2656*sezione!$AD$5</f>
        <v>-8364070.0845101038</v>
      </c>
      <c r="Q2656" s="545">
        <f>'Foglio deposito bis'!$F$88*IF(ABS(K2656)&lt;'Sollecitazioni nel paramento'!$G$58,ABS(K2656)*'Sollecitazioni nel paramento'!$G$54,'Sollecitazioni nel paramento'!$G$53)*IF(K2656&lt;0,-1,1)</f>
        <v>0</v>
      </c>
      <c r="R2656" s="545">
        <f>'Foglio deposito bis'!$F$89*IF(ABS(L2656)&lt;'Sollecitazioni nel paramento'!$G$58,ABS(L2656)*'Sollecitazioni nel paramento'!$G$54,'Sollecitazioni nel paramento'!$G$53)*IF(L2656&lt;0,-1,1)</f>
        <v>-153664.85805602249</v>
      </c>
      <c r="S2656" s="545">
        <f>'Foglio deposito bis'!$F$90*IF(ABS(M2656)&lt;'Sollecitazioni nel paramento'!$G$58,ABS(M2656)*'Sollecitazioni nel paramento'!$G$54,'Sollecitazioni nel paramento'!$G$53)*IF(M2656&lt;0,-1,1)</f>
        <v>0</v>
      </c>
      <c r="T2656" s="545">
        <f>'Foglio deposito bis'!$F$91*IF(ABS(N2656)&lt;'Sollecitazioni nel paramento'!$G$58,ABS(N2656)*'Sollecitazioni nel paramento'!$G$54,'Sollecitazioni nel paramento'!$G$53)*IF(N2656&lt;0,-1,1)</f>
        <v>-446018.0831013876</v>
      </c>
      <c r="U2656" s="545">
        <f>'Foglio deposito bis'!$F$92*IF(ABS(O2656)&lt;'Sollecitazioni nel paramento'!$G$58,ABS(O2656)*'Sollecitazioni nel paramento'!$G$54,'Sollecitazioni nel paramento'!$G$53)*IF(O2656&lt;0,-1,1)</f>
        <v>1662039.1047339395</v>
      </c>
      <c r="V2656" s="472">
        <f t="shared" si="185"/>
        <v>-7301713.9209335754</v>
      </c>
      <c r="W2656" s="551"/>
      <c r="X2656" s="551"/>
    </row>
    <row r="2657" spans="1:24" x14ac:dyDescent="0.25">
      <c r="A2657" s="545">
        <f t="shared" si="184"/>
        <v>7402771.6674016649</v>
      </c>
      <c r="B2657" s="3">
        <f t="shared" si="186"/>
        <v>19.099999999999955</v>
      </c>
      <c r="C2657" s="545">
        <f>'Foglio deposito bis'!$E$163/sezione!$B$247*B2657</f>
        <v>221.86993103533271</v>
      </c>
      <c r="D2657" s="603">
        <f>-'Sollecitazioni nel paramento'!$G$47*'Sollecitazioni nel paramento'!$G$41*IF(DATI!$G$211="dx",DATI!$E$61,DATI!$E$64*DATI!$E$63)*1000*C2657^2*sezione!$AD$5*(1-sezione!$AD$6)</f>
        <v>-1095217871.210084</v>
      </c>
      <c r="E2657" s="545">
        <f>-'Foglio deposito bis'!$F$88*(C2657-sezione!$AL$37)*IF(ABS(K2657)&lt;'Sollecitazioni nel paramento'!$G$58,ABS(K2657)*'Sollecitazioni nel paramento'!$G$54,'Sollecitazioni nel paramento'!$G$53)</f>
        <v>0</v>
      </c>
      <c r="F2657" s="545">
        <f>-'Foglio deposito bis'!$F$89*(C2657-sezione!$AM$37)*IF(ABS(L2657)&lt;'Sollecitazioni nel paramento'!$G$58,ABS(L2657)*'Sollecitazioni nel paramento'!$G$54,'Sollecitazioni nel paramento'!$G$53)</f>
        <v>-24873719.976082552</v>
      </c>
      <c r="G2657" s="545">
        <f>-'Foglio deposito bis'!$F$90*(C2657-sezione!$AN$37)*IF(ABS(M2657)&lt;'Sollecitazioni nel paramento'!$G$58,ABS(M2657)*'Sollecitazioni nel paramento'!$G$54,'Sollecitazioni nel paramento'!$G$53)</f>
        <v>0</v>
      </c>
      <c r="H2657" s="545">
        <f>-'Foglio deposito bis'!$F$91*(C2657-sezione!$AO$37)*IF(ABS(N2657)&lt;'Sollecitazioni nel paramento'!$G$58,ABS(N2657)*'Sollecitazioni nel paramento'!$G$54,'Sollecitazioni nel paramento'!$G$53)</f>
        <v>-28371518.033827394</v>
      </c>
      <c r="I2657" s="472">
        <f>-'Foglio deposito bis'!$F$92*(C2657-sezione!$AP$37)*IF(ABS(O2657)&lt;'Sollecitazioni nel paramento'!$G$58,ABS(O2657)*'Sollecitazioni nel paramento'!$G$54,'Sollecitazioni nel paramento'!$G$53)</f>
        <v>991521382.65278721</v>
      </c>
      <c r="J2657" s="472">
        <f t="shared" si="183"/>
        <v>-156941726.56720662</v>
      </c>
      <c r="K2657" s="550">
        <f>'Sollecitazioni nel paramento'!$G$60*(sezione!$AL$37-C2657)/C2657</f>
        <v>-2.8689996686495343E-3</v>
      </c>
      <c r="L2657" s="550">
        <f>'Sollecitazioni nel paramento'!$G$60*(sezione!$AM$37-C2657)/C2657</f>
        <v>-2.553499502974301E-3</v>
      </c>
      <c r="M2657" s="551">
        <f>'Sollecitazioni nel paramento'!$G$60*(sezione!$AN$37-C2657)/C2657</f>
        <v>-2.2379993372990676E-3</v>
      </c>
      <c r="N2657" s="551">
        <f>'Sollecitazioni nel paramento'!$G$60*(sezione!$AO$37-C2657)/C2657</f>
        <v>-9.7599867459813566E-4</v>
      </c>
      <c r="O2657" s="551">
        <f>'Sollecitazioni nel paramento'!$G$60*(sezione!$AP$37-C2657)/C2657</f>
        <v>9.4108844854034843E-3</v>
      </c>
      <c r="P2657" s="545">
        <f>-'Sollecitazioni nel paramento'!$G$47*'Sollecitazioni nel paramento'!$G$41*IF(DATI!$G$211="dx",DATI!$E$61,DATI!$E$64*DATI!$E$63)*1000*C2657*sezione!$AD$5</f>
        <v>-8452578.7626530677</v>
      </c>
      <c r="Q2657" s="545">
        <f>'Foglio deposito bis'!$F$88*IF(ABS(K2657)&lt;'Sollecitazioni nel paramento'!$G$58,ABS(K2657)*'Sollecitazioni nel paramento'!$G$54,'Sollecitazioni nel paramento'!$G$53)*IF(K2657&lt;0,-1,1)</f>
        <v>0</v>
      </c>
      <c r="R2657" s="545">
        <f>'Foglio deposito bis'!$F$89*IF(ABS(L2657)&lt;'Sollecitazioni nel paramento'!$G$58,ABS(L2657)*'Sollecitazioni nel paramento'!$G$54,'Sollecitazioni nel paramento'!$G$53)*IF(L2657&lt;0,-1,1)</f>
        <v>-153664.85805602249</v>
      </c>
      <c r="S2657" s="545">
        <f>'Foglio deposito bis'!$F$90*IF(ABS(M2657)&lt;'Sollecitazioni nel paramento'!$G$58,ABS(M2657)*'Sollecitazioni nel paramento'!$G$54,'Sollecitazioni nel paramento'!$G$53)*IF(M2657&lt;0,-1,1)</f>
        <v>0</v>
      </c>
      <c r="T2657" s="545">
        <f>'Foglio deposito bis'!$F$91*IF(ABS(N2657)&lt;'Sollecitazioni nel paramento'!$G$58,ABS(N2657)*'Sollecitazioni nel paramento'!$G$54,'Sollecitazioni nel paramento'!$G$53)*IF(N2657&lt;0,-1,1)</f>
        <v>-458567.15142651403</v>
      </c>
      <c r="U2657" s="545">
        <f>'Foglio deposito bis'!$F$92*IF(ABS(O2657)&lt;'Sollecitazioni nel paramento'!$G$58,ABS(O2657)*'Sollecitazioni nel paramento'!$G$54,'Sollecitazioni nel paramento'!$G$53)*IF(O2657&lt;0,-1,1)</f>
        <v>1662039.1047339395</v>
      </c>
      <c r="V2657" s="472">
        <f t="shared" si="185"/>
        <v>-7402771.6674016649</v>
      </c>
      <c r="W2657" s="551"/>
      <c r="X2657" s="551"/>
    </row>
    <row r="2658" spans="1:24" x14ac:dyDescent="0.25">
      <c r="A2658" s="545">
        <f t="shared" si="184"/>
        <v>7503569.3295521354</v>
      </c>
      <c r="B2658" s="3">
        <f t="shared" si="186"/>
        <v>19.299999999999955</v>
      </c>
      <c r="C2658" s="545">
        <f>'Foglio deposito bis'!$E$163/sezione!$B$247*B2658</f>
        <v>224.19317638648801</v>
      </c>
      <c r="D2658" s="603">
        <f>-'Sollecitazioni nel paramento'!$G$47*'Sollecitazioni nel paramento'!$G$41*IF(DATI!$G$211="dx",DATI!$E$61,DATI!$E$64*DATI!$E$63)*1000*C2658^2*sezione!$AD$5*(1-sezione!$AD$6)</f>
        <v>-1118274457.5177329</v>
      </c>
      <c r="E2658" s="545">
        <f>-'Foglio deposito bis'!$F$88*(C2658-sezione!$AL$37)*IF(ABS(K2658)&lt;'Sollecitazioni nel paramento'!$G$58,ABS(K2658)*'Sollecitazioni nel paramento'!$G$54,'Sollecitazioni nel paramento'!$G$53)</f>
        <v>0</v>
      </c>
      <c r="F2658" s="545">
        <f>-'Foglio deposito bis'!$F$89*(C2658-sezione!$AM$37)*IF(ABS(L2658)&lt;'Sollecitazioni nel paramento'!$G$58,ABS(L2658)*'Sollecitazioni nel paramento'!$G$54,'Sollecitazioni nel paramento'!$G$53)</f>
        <v>-25230721.143197142</v>
      </c>
      <c r="G2658" s="545">
        <f>-'Foglio deposito bis'!$F$90*(C2658-sezione!$AN$37)*IF(ABS(M2658)&lt;'Sollecitazioni nel paramento'!$G$58,ABS(M2658)*'Sollecitazioni nel paramento'!$G$54,'Sollecitazioni nel paramento'!$G$53)</f>
        <v>0</v>
      </c>
      <c r="H2658" s="545">
        <f>-'Foglio deposito bis'!$F$91*(C2658-sezione!$AO$37)*IF(ABS(N2658)&lt;'Sollecitazioni nel paramento'!$G$58,ABS(N2658)*'Sollecitazioni nel paramento'!$G$54,'Sollecitazioni nel paramento'!$G$53)</f>
        <v>-30225750.954576202</v>
      </c>
      <c r="I2658" s="472">
        <f>-'Foglio deposito bis'!$F$92*(C2658-sezione!$AP$37)*IF(ABS(O2658)&lt;'Sollecitazioni nel paramento'!$G$58,ABS(O2658)*'Sollecitazioni nel paramento'!$G$54,'Sollecitazioni nel paramento'!$G$53)</f>
        <v>987660058.02927577</v>
      </c>
      <c r="J2658" s="472">
        <f t="shared" si="183"/>
        <v>-186070871.5862304</v>
      </c>
      <c r="K2658" s="550">
        <f>'Sollecitazioni nel paramento'!$G$60*(sezione!$AL$37-C2658)/C2658</f>
        <v>-2.8755385321868445E-3</v>
      </c>
      <c r="L2658" s="550">
        <f>'Sollecitazioni nel paramento'!$G$60*(sezione!$AM$37-C2658)/C2658</f>
        <v>-2.5633077982802669E-3</v>
      </c>
      <c r="M2658" s="551">
        <f>'Sollecitazioni nel paramento'!$G$60*(sezione!$AN$37-C2658)/C2658</f>
        <v>-2.2510770643736889E-3</v>
      </c>
      <c r="N2658" s="551">
        <f>'Sollecitazioni nel paramento'!$G$60*(sezione!$AO$37-C2658)/C2658</f>
        <v>-1.0021541287473775E-3</v>
      </c>
      <c r="O2658" s="551">
        <f>'Sollecitazioni nel paramento'!$G$60*(sezione!$AP$37-C2658)/C2658</f>
        <v>9.2770929363319449E-3</v>
      </c>
      <c r="P2658" s="545">
        <f>-'Sollecitazioni nel paramento'!$G$47*'Sollecitazioni nel paramento'!$G$41*IF(DATI!$G$211="dx",DATI!$E$61,DATI!$E$64*DATI!$E$63)*1000*C2658*sezione!$AD$5</f>
        <v>-8541087.4407960325</v>
      </c>
      <c r="Q2658" s="545">
        <f>'Foglio deposito bis'!$F$88*IF(ABS(K2658)&lt;'Sollecitazioni nel paramento'!$G$58,ABS(K2658)*'Sollecitazioni nel paramento'!$G$54,'Sollecitazioni nel paramento'!$G$53)*IF(K2658&lt;0,-1,1)</f>
        <v>0</v>
      </c>
      <c r="R2658" s="545">
        <f>'Foglio deposito bis'!$F$89*IF(ABS(L2658)&lt;'Sollecitazioni nel paramento'!$G$58,ABS(L2658)*'Sollecitazioni nel paramento'!$G$54,'Sollecitazioni nel paramento'!$G$53)*IF(L2658&lt;0,-1,1)</f>
        <v>-153664.85805602249</v>
      </c>
      <c r="S2658" s="545">
        <f>'Foglio deposito bis'!$F$90*IF(ABS(M2658)&lt;'Sollecitazioni nel paramento'!$G$58,ABS(M2658)*'Sollecitazioni nel paramento'!$G$54,'Sollecitazioni nel paramento'!$G$53)*IF(M2658&lt;0,-1,1)</f>
        <v>0</v>
      </c>
      <c r="T2658" s="545">
        <f>'Foglio deposito bis'!$F$91*IF(ABS(N2658)&lt;'Sollecitazioni nel paramento'!$G$58,ABS(N2658)*'Sollecitazioni nel paramento'!$G$54,'Sollecitazioni nel paramento'!$G$53)*IF(N2658&lt;0,-1,1)</f>
        <v>-470856.13543402113</v>
      </c>
      <c r="U2658" s="545">
        <f>'Foglio deposito bis'!$F$92*IF(ABS(O2658)&lt;'Sollecitazioni nel paramento'!$G$58,ABS(O2658)*'Sollecitazioni nel paramento'!$G$54,'Sollecitazioni nel paramento'!$G$53)*IF(O2658&lt;0,-1,1)</f>
        <v>1662039.1047339395</v>
      </c>
      <c r="V2658" s="472">
        <f t="shared" si="185"/>
        <v>-7503569.3295521354</v>
      </c>
      <c r="W2658" s="551"/>
      <c r="X2658" s="551"/>
    </row>
    <row r="2659" spans="1:24" x14ac:dyDescent="0.25">
      <c r="A2659" s="545">
        <f t="shared" si="184"/>
        <v>7604114.909979376</v>
      </c>
      <c r="B2659" s="3">
        <f t="shared" si="186"/>
        <v>19.499999999999954</v>
      </c>
      <c r="C2659" s="545">
        <f>'Foglio deposito bis'!$E$163/sezione!$B$247*B2659</f>
        <v>226.51642173764333</v>
      </c>
      <c r="D2659" s="603">
        <f>-'Sollecitazioni nel paramento'!$G$47*'Sollecitazioni nel paramento'!$G$41*IF(DATI!$G$211="dx",DATI!$E$61,DATI!$E$64*DATI!$E$63)*1000*C2659^2*sezione!$AD$5*(1-sezione!$AD$6)</f>
        <v>-1141571216.5994198</v>
      </c>
      <c r="E2659" s="545">
        <f>-'Foglio deposito bis'!$F$88*(C2659-sezione!$AL$37)*IF(ABS(K2659)&lt;'Sollecitazioni nel paramento'!$G$58,ABS(K2659)*'Sollecitazioni nel paramento'!$G$54,'Sollecitazioni nel paramento'!$G$53)</f>
        <v>0</v>
      </c>
      <c r="F2659" s="545">
        <f>-'Foglio deposito bis'!$F$89*(C2659-sezione!$AM$37)*IF(ABS(L2659)&lt;'Sollecitazioni nel paramento'!$G$58,ABS(L2659)*'Sollecitazioni nel paramento'!$G$54,'Sollecitazioni nel paramento'!$G$53)</f>
        <v>-25587722.310311738</v>
      </c>
      <c r="G2659" s="545">
        <f>-'Foglio deposito bis'!$F$90*(C2659-sezione!$AN$37)*IF(ABS(M2659)&lt;'Sollecitazioni nel paramento'!$G$58,ABS(M2659)*'Sollecitazioni nel paramento'!$G$54,'Sollecitazioni nel paramento'!$G$53)</f>
        <v>0</v>
      </c>
      <c r="H2659" s="545">
        <f>-'Foglio deposito bis'!$F$91*(C2659-sezione!$AO$37)*IF(ABS(N2659)&lt;'Sollecitazioni nel paramento'!$G$58,ABS(N2659)*'Sollecitazioni nel paramento'!$G$54,'Sollecitazioni nel paramento'!$G$53)</f>
        <v>-32120316.951041982</v>
      </c>
      <c r="I2659" s="472">
        <f>-'Foglio deposito bis'!$F$92*(C2659-sezione!$AP$37)*IF(ABS(O2659)&lt;'Sollecitazioni nel paramento'!$G$58,ABS(O2659)*'Sollecitazioni nel paramento'!$G$54,'Sollecitazioni nel paramento'!$G$53)</f>
        <v>983798733.40576434</v>
      </c>
      <c r="J2659" s="472">
        <f t="shared" si="183"/>
        <v>-215480522.45500922</v>
      </c>
      <c r="K2659" s="550">
        <f>'Sollecitazioni nel paramento'!$G$60*(sezione!$AL$37-C2659)/C2659</f>
        <v>-2.8819432651900562E-3</v>
      </c>
      <c r="L2659" s="550">
        <f>'Sollecitazioni nel paramento'!$G$60*(sezione!$AM$37-C2659)/C2659</f>
        <v>-2.5729148977850845E-3</v>
      </c>
      <c r="M2659" s="551">
        <f>'Sollecitazioni nel paramento'!$G$60*(sezione!$AN$37-C2659)/C2659</f>
        <v>-2.2638865303801128E-3</v>
      </c>
      <c r="N2659" s="551">
        <f>'Sollecitazioni nel paramento'!$G$60*(sezione!$AO$37-C2659)/C2659</f>
        <v>-1.027773060760225E-3</v>
      </c>
      <c r="O2659" s="551">
        <f>'Sollecitazioni nel paramento'!$G$60*(sezione!$AP$37-C2659)/C2659</f>
        <v>9.1460458292926435E-3</v>
      </c>
      <c r="P2659" s="545">
        <f>-'Sollecitazioni nel paramento'!$G$47*'Sollecitazioni nel paramento'!$G$41*IF(DATI!$G$211="dx",DATI!$E$61,DATI!$E$64*DATI!$E$63)*1000*C2659*sezione!$AD$5</f>
        <v>-8629596.1189389955</v>
      </c>
      <c r="Q2659" s="545">
        <f>'Foglio deposito bis'!$F$88*IF(ABS(K2659)&lt;'Sollecitazioni nel paramento'!$G$58,ABS(K2659)*'Sollecitazioni nel paramento'!$G$54,'Sollecitazioni nel paramento'!$G$53)*IF(K2659&lt;0,-1,1)</f>
        <v>0</v>
      </c>
      <c r="R2659" s="545">
        <f>'Foglio deposito bis'!$F$89*IF(ABS(L2659)&lt;'Sollecitazioni nel paramento'!$G$58,ABS(L2659)*'Sollecitazioni nel paramento'!$G$54,'Sollecitazioni nel paramento'!$G$53)*IF(L2659&lt;0,-1,1)</f>
        <v>-153664.85805602249</v>
      </c>
      <c r="S2659" s="545">
        <f>'Foglio deposito bis'!$F$90*IF(ABS(M2659)&lt;'Sollecitazioni nel paramento'!$G$58,ABS(M2659)*'Sollecitazioni nel paramento'!$G$54,'Sollecitazioni nel paramento'!$G$53)*IF(M2659&lt;0,-1,1)</f>
        <v>0</v>
      </c>
      <c r="T2659" s="545">
        <f>'Foglio deposito bis'!$F$91*IF(ABS(N2659)&lt;'Sollecitazioni nel paramento'!$G$58,ABS(N2659)*'Sollecitazioni nel paramento'!$G$54,'Sollecitazioni nel paramento'!$G$53)*IF(N2659&lt;0,-1,1)</f>
        <v>-482893.03771829751</v>
      </c>
      <c r="U2659" s="545">
        <f>'Foglio deposito bis'!$F$92*IF(ABS(O2659)&lt;'Sollecitazioni nel paramento'!$G$58,ABS(O2659)*'Sollecitazioni nel paramento'!$G$54,'Sollecitazioni nel paramento'!$G$53)*IF(O2659&lt;0,-1,1)</f>
        <v>1662039.1047339395</v>
      </c>
      <c r="V2659" s="472">
        <f t="shared" si="185"/>
        <v>-7604114.909979376</v>
      </c>
      <c r="W2659" s="551"/>
      <c r="X2659" s="551"/>
    </row>
    <row r="2660" spans="1:24" x14ac:dyDescent="0.25">
      <c r="A2660" s="545">
        <f t="shared" si="184"/>
        <v>7704416.0862993216</v>
      </c>
      <c r="B2660" s="3">
        <f t="shared" si="186"/>
        <v>19.699999999999953</v>
      </c>
      <c r="C2660" s="545">
        <f>'Foglio deposito bis'!$E$163/sezione!$B$247*B2660</f>
        <v>228.83966708879865</v>
      </c>
      <c r="D2660" s="603">
        <f>-'Sollecitazioni nel paramento'!$G$47*'Sollecitazioni nel paramento'!$G$41*IF(DATI!$G$211="dx",DATI!$E$61,DATI!$E$64*DATI!$E$63)*1000*C2660^2*sezione!$AD$5*(1-sezione!$AD$6)</f>
        <v>-1165108148.4551449</v>
      </c>
      <c r="E2660" s="545">
        <f>-'Foglio deposito bis'!$F$88*(C2660-sezione!$AL$37)*IF(ABS(K2660)&lt;'Sollecitazioni nel paramento'!$G$58,ABS(K2660)*'Sollecitazioni nel paramento'!$G$54,'Sollecitazioni nel paramento'!$G$53)</f>
        <v>0</v>
      </c>
      <c r="F2660" s="545">
        <f>-'Foglio deposito bis'!$F$89*(C2660-sezione!$AM$37)*IF(ABS(L2660)&lt;'Sollecitazioni nel paramento'!$G$58,ABS(L2660)*'Sollecitazioni nel paramento'!$G$54,'Sollecitazioni nel paramento'!$G$53)</f>
        <v>-25944723.477426339</v>
      </c>
      <c r="G2660" s="545">
        <f>-'Foglio deposito bis'!$F$90*(C2660-sezione!$AN$37)*IF(ABS(M2660)&lt;'Sollecitazioni nel paramento'!$G$58,ABS(M2660)*'Sollecitazioni nel paramento'!$G$54,'Sollecitazioni nel paramento'!$G$53)</f>
        <v>0</v>
      </c>
      <c r="H2660" s="545">
        <f>-'Foglio deposito bis'!$F$91*(C2660-sezione!$AO$37)*IF(ABS(N2660)&lt;'Sollecitazioni nel paramento'!$G$58,ABS(N2660)*'Sollecitazioni nel paramento'!$G$54,'Sollecitazioni nel paramento'!$G$53)</f>
        <v>-34053987.604674958</v>
      </c>
      <c r="I2660" s="472">
        <f>-'Foglio deposito bis'!$F$92*(C2660-sezione!$AP$37)*IF(ABS(O2660)&lt;'Sollecitazioni nel paramento'!$G$58,ABS(O2660)*'Sollecitazioni nel paramento'!$G$54,'Sollecitazioni nel paramento'!$G$53)</f>
        <v>979937408.78225291</v>
      </c>
      <c r="J2660" s="472">
        <f t="shared" si="183"/>
        <v>-245169450.75499332</v>
      </c>
      <c r="K2660" s="550">
        <f>'Sollecitazioni nel paramento'!$G$60*(sezione!$AL$37-C2660)/C2660</f>
        <v>-2.8882179528531013E-3</v>
      </c>
      <c r="L2660" s="550">
        <f>'Sollecitazioni nel paramento'!$G$60*(sezione!$AM$37-C2660)/C2660</f>
        <v>-2.5823269292796517E-3</v>
      </c>
      <c r="M2660" s="551">
        <f>'Sollecitazioni nel paramento'!$G$60*(sezione!$AN$37-C2660)/C2660</f>
        <v>-2.276435905706203E-3</v>
      </c>
      <c r="N2660" s="551">
        <f>'Sollecitazioni nel paramento'!$G$60*(sezione!$AO$37-C2660)/C2660</f>
        <v>-1.0528718114124055E-3</v>
      </c>
      <c r="O2660" s="551">
        <f>'Sollecitazioni nel paramento'!$G$60*(sezione!$AP$37-C2660)/C2660</f>
        <v>9.017659577218607E-3</v>
      </c>
      <c r="P2660" s="545">
        <f>-'Sollecitazioni nel paramento'!$G$47*'Sollecitazioni nel paramento'!$G$41*IF(DATI!$G$211="dx",DATI!$E$61,DATI!$E$64*DATI!$E$63)*1000*C2660*sezione!$AD$5</f>
        <v>-8718104.7970819604</v>
      </c>
      <c r="Q2660" s="545">
        <f>'Foglio deposito bis'!$F$88*IF(ABS(K2660)&lt;'Sollecitazioni nel paramento'!$G$58,ABS(K2660)*'Sollecitazioni nel paramento'!$G$54,'Sollecitazioni nel paramento'!$G$53)*IF(K2660&lt;0,-1,1)</f>
        <v>0</v>
      </c>
      <c r="R2660" s="545">
        <f>'Foglio deposito bis'!$F$89*IF(ABS(L2660)&lt;'Sollecitazioni nel paramento'!$G$58,ABS(L2660)*'Sollecitazioni nel paramento'!$G$54,'Sollecitazioni nel paramento'!$G$53)*IF(L2660&lt;0,-1,1)</f>
        <v>-153664.85805602249</v>
      </c>
      <c r="S2660" s="545">
        <f>'Foglio deposito bis'!$F$90*IF(ABS(M2660)&lt;'Sollecitazioni nel paramento'!$G$58,ABS(M2660)*'Sollecitazioni nel paramento'!$G$54,'Sollecitazioni nel paramento'!$G$53)*IF(M2660&lt;0,-1,1)</f>
        <v>0</v>
      </c>
      <c r="T2660" s="545">
        <f>'Foglio deposito bis'!$F$91*IF(ABS(N2660)&lt;'Sollecitazioni nel paramento'!$G$58,ABS(N2660)*'Sollecitazioni nel paramento'!$G$54,'Sollecitazioni nel paramento'!$G$53)*IF(N2660&lt;0,-1,1)</f>
        <v>-494685.53589527891</v>
      </c>
      <c r="U2660" s="545">
        <f>'Foglio deposito bis'!$F$92*IF(ABS(O2660)&lt;'Sollecitazioni nel paramento'!$G$58,ABS(O2660)*'Sollecitazioni nel paramento'!$G$54,'Sollecitazioni nel paramento'!$G$53)*IF(O2660&lt;0,-1,1)</f>
        <v>1662039.1047339395</v>
      </c>
      <c r="V2660" s="472">
        <f t="shared" si="185"/>
        <v>-7704416.0862993216</v>
      </c>
      <c r="W2660" s="551"/>
      <c r="X2660" s="551"/>
    </row>
    <row r="2661" spans="1:24" x14ac:dyDescent="0.25">
      <c r="A2661" s="545">
        <f t="shared" si="184"/>
        <v>7804480.2274800325</v>
      </c>
      <c r="B2661" s="3">
        <f t="shared" si="186"/>
        <v>19.899999999999952</v>
      </c>
      <c r="C2661" s="545">
        <f>'Foglio deposito bis'!$E$163/sezione!$B$247*B2661</f>
        <v>231.16291243995397</v>
      </c>
      <c r="D2661" s="603">
        <f>-'Sollecitazioni nel paramento'!$G$47*'Sollecitazioni nel paramento'!$G$41*IF(DATI!$G$211="dx",DATI!$E$61,DATI!$E$64*DATI!$E$63)*1000*C2661^2*sezione!$AD$5*(1-sezione!$AD$6)</f>
        <v>-1188885253.084908</v>
      </c>
      <c r="E2661" s="545">
        <f>-'Foglio deposito bis'!$F$88*(C2661-sezione!$AL$37)*IF(ABS(K2661)&lt;'Sollecitazioni nel paramento'!$G$58,ABS(K2661)*'Sollecitazioni nel paramento'!$G$54,'Sollecitazioni nel paramento'!$G$53)</f>
        <v>0</v>
      </c>
      <c r="F2661" s="545">
        <f>-'Foglio deposito bis'!$F$89*(C2661-sezione!$AM$37)*IF(ABS(L2661)&lt;'Sollecitazioni nel paramento'!$G$58,ABS(L2661)*'Sollecitazioni nel paramento'!$G$54,'Sollecitazioni nel paramento'!$G$53)</f>
        <v>-26301724.644540932</v>
      </c>
      <c r="G2661" s="545">
        <f>-'Foglio deposito bis'!$F$90*(C2661-sezione!$AN$37)*IF(ABS(M2661)&lt;'Sollecitazioni nel paramento'!$G$58,ABS(M2661)*'Sollecitazioni nel paramento'!$G$54,'Sollecitazioni nel paramento'!$G$53)</f>
        <v>0</v>
      </c>
      <c r="H2661" s="545">
        <f>-'Foglio deposito bis'!$F$91*(C2661-sezione!$AO$37)*IF(ABS(N2661)&lt;'Sollecitazioni nel paramento'!$G$58,ABS(N2661)*'Sollecitazioni nel paramento'!$G$54,'Sollecitazioni nel paramento'!$G$53)</f>
        <v>-36025583.880585656</v>
      </c>
      <c r="I2661" s="472">
        <f>-'Foglio deposito bis'!$F$92*(C2661-sezione!$AP$37)*IF(ABS(O2661)&lt;'Sollecitazioni nel paramento'!$G$58,ABS(O2661)*'Sollecitazioni nel paramento'!$G$54,'Sollecitazioni nel paramento'!$G$53)</f>
        <v>976076084.15874147</v>
      </c>
      <c r="J2661" s="472">
        <f t="shared" si="183"/>
        <v>-275136477.45129323</v>
      </c>
      <c r="K2661" s="550">
        <f>'Sollecitazioni nel paramento'!$G$60*(sezione!$AL$37-C2661)/C2661</f>
        <v>-2.8943665161410099E-3</v>
      </c>
      <c r="L2661" s="550">
        <f>'Sollecitazioni nel paramento'!$G$60*(sezione!$AM$37-C2661)/C2661</f>
        <v>-2.5915497742115151E-3</v>
      </c>
      <c r="M2661" s="551">
        <f>'Sollecitazioni nel paramento'!$G$60*(sezione!$AN$37-C2661)/C2661</f>
        <v>-2.2887330322820198E-3</v>
      </c>
      <c r="N2661" s="551">
        <f>'Sollecitazioni nel paramento'!$G$60*(sezione!$AO$37-C2661)/C2661</f>
        <v>-1.0774660645640397E-3</v>
      </c>
      <c r="O2661" s="551">
        <f>'Sollecitazioni nel paramento'!$G$60*(sezione!$AP$37-C2661)/C2661</f>
        <v>8.8918539533269607E-3</v>
      </c>
      <c r="P2661" s="545">
        <f>-'Sollecitazioni nel paramento'!$G$47*'Sollecitazioni nel paramento'!$G$41*IF(DATI!$G$211="dx",DATI!$E$61,DATI!$E$64*DATI!$E$63)*1000*C2661*sezione!$AD$5</f>
        <v>-8806613.4752249252</v>
      </c>
      <c r="Q2661" s="545">
        <f>'Foglio deposito bis'!$F$88*IF(ABS(K2661)&lt;'Sollecitazioni nel paramento'!$G$58,ABS(K2661)*'Sollecitazioni nel paramento'!$G$54,'Sollecitazioni nel paramento'!$G$53)*IF(K2661&lt;0,-1,1)</f>
        <v>0</v>
      </c>
      <c r="R2661" s="545">
        <f>'Foglio deposito bis'!$F$89*IF(ABS(L2661)&lt;'Sollecitazioni nel paramento'!$G$58,ABS(L2661)*'Sollecitazioni nel paramento'!$G$54,'Sollecitazioni nel paramento'!$G$53)*IF(L2661&lt;0,-1,1)</f>
        <v>-153664.85805602249</v>
      </c>
      <c r="S2661" s="545">
        <f>'Foglio deposito bis'!$F$90*IF(ABS(M2661)&lt;'Sollecitazioni nel paramento'!$G$58,ABS(M2661)*'Sollecitazioni nel paramento'!$G$54,'Sollecitazioni nel paramento'!$G$53)*IF(M2661&lt;0,-1,1)</f>
        <v>0</v>
      </c>
      <c r="T2661" s="545">
        <f>'Foglio deposito bis'!$F$91*IF(ABS(N2661)&lt;'Sollecitazioni nel paramento'!$G$58,ABS(N2661)*'Sollecitazioni nel paramento'!$G$54,'Sollecitazioni nel paramento'!$G$53)*IF(N2661&lt;0,-1,1)</f>
        <v>-506240.99893302453</v>
      </c>
      <c r="U2661" s="545">
        <f>'Foglio deposito bis'!$F$92*IF(ABS(O2661)&lt;'Sollecitazioni nel paramento'!$G$58,ABS(O2661)*'Sollecitazioni nel paramento'!$G$54,'Sollecitazioni nel paramento'!$G$53)*IF(O2661&lt;0,-1,1)</f>
        <v>1662039.1047339395</v>
      </c>
      <c r="V2661" s="472">
        <f t="shared" si="185"/>
        <v>-7804480.2274800325</v>
      </c>
      <c r="W2661" s="551"/>
      <c r="X2661" s="551"/>
    </row>
    <row r="2662" spans="1:24" x14ac:dyDescent="0.25">
      <c r="A2662" s="545">
        <f t="shared" si="184"/>
        <v>7904314.4091973035</v>
      </c>
      <c r="B2662" s="3">
        <f t="shared" si="186"/>
        <v>20.099999999999952</v>
      </c>
      <c r="C2662" s="545">
        <f>'Foglio deposito bis'!$E$163/sezione!$B$247*B2662</f>
        <v>233.48615779110926</v>
      </c>
      <c r="D2662" s="603">
        <f>-'Sollecitazioni nel paramento'!$G$47*'Sollecitazioni nel paramento'!$G$41*IF(DATI!$G$211="dx",DATI!$E$61,DATI!$E$64*DATI!$E$63)*1000*C2662^2*sezione!$AD$5*(1-sezione!$AD$6)</f>
        <v>-1212902530.4887087</v>
      </c>
      <c r="E2662" s="545">
        <f>-'Foglio deposito bis'!$F$88*(C2662-sezione!$AL$37)*IF(ABS(K2662)&lt;'Sollecitazioni nel paramento'!$G$58,ABS(K2662)*'Sollecitazioni nel paramento'!$G$54,'Sollecitazioni nel paramento'!$G$53)</f>
        <v>0</v>
      </c>
      <c r="F2662" s="545">
        <f>-'Foglio deposito bis'!$F$89*(C2662-sezione!$AM$37)*IF(ABS(L2662)&lt;'Sollecitazioni nel paramento'!$G$58,ABS(L2662)*'Sollecitazioni nel paramento'!$G$54,'Sollecitazioni nel paramento'!$G$53)</f>
        <v>-26658725.811655525</v>
      </c>
      <c r="G2662" s="545">
        <f>-'Foglio deposito bis'!$F$90*(C2662-sezione!$AN$37)*IF(ABS(M2662)&lt;'Sollecitazioni nel paramento'!$G$58,ABS(M2662)*'Sollecitazioni nel paramento'!$G$54,'Sollecitazioni nel paramento'!$G$53)</f>
        <v>0</v>
      </c>
      <c r="H2662" s="545">
        <f>-'Foglio deposito bis'!$F$91*(C2662-sezione!$AO$37)*IF(ABS(N2662)&lt;'Sollecitazioni nel paramento'!$G$58,ABS(N2662)*'Sollecitazioni nel paramento'!$G$54,'Sollecitazioni nel paramento'!$G$53)</f>
        <v>-38033973.670646362</v>
      </c>
      <c r="I2662" s="472">
        <f>-'Foglio deposito bis'!$F$92*(C2662-sezione!$AP$37)*IF(ABS(O2662)&lt;'Sollecitazioni nel paramento'!$G$58,ABS(O2662)*'Sollecitazioni nel paramento'!$G$54,'Sollecitazioni nel paramento'!$G$53)</f>
        <v>972214759.53523004</v>
      </c>
      <c r="J2662" s="472">
        <f t="shared" si="183"/>
        <v>-305380470.43578064</v>
      </c>
      <c r="K2662" s="550">
        <f>'Sollecitazioni nel paramento'!$G$60*(sezione!$AL$37-C2662)/C2662</f>
        <v>-2.9003927199605026E-3</v>
      </c>
      <c r="L2662" s="550">
        <f>'Sollecitazioni nel paramento'!$G$60*(sezione!$AM$37-C2662)/C2662</f>
        <v>-2.6005890799407532E-3</v>
      </c>
      <c r="M2662" s="551">
        <f>'Sollecitazioni nel paramento'!$G$60*(sezione!$AN$37-C2662)/C2662</f>
        <v>-2.3007854399210046E-3</v>
      </c>
      <c r="N2662" s="551">
        <f>'Sollecitazioni nel paramento'!$G$60*(sezione!$AO$37-C2662)/C2662</f>
        <v>-1.1015708798420092E-3</v>
      </c>
      <c r="O2662" s="551">
        <f>'Sollecitazioni nel paramento'!$G$60*(sezione!$AP$37-C2662)/C2662</f>
        <v>8.7685519239406266E-3</v>
      </c>
      <c r="P2662" s="545">
        <f>-'Sollecitazioni nel paramento'!$G$47*'Sollecitazioni nel paramento'!$G$41*IF(DATI!$G$211="dx",DATI!$E$61,DATI!$E$64*DATI!$E$63)*1000*C2662*sezione!$AD$5</f>
        <v>-8895122.1533678882</v>
      </c>
      <c r="Q2662" s="545">
        <f>'Foglio deposito bis'!$F$88*IF(ABS(K2662)&lt;'Sollecitazioni nel paramento'!$G$58,ABS(K2662)*'Sollecitazioni nel paramento'!$G$54,'Sollecitazioni nel paramento'!$G$53)*IF(K2662&lt;0,-1,1)</f>
        <v>0</v>
      </c>
      <c r="R2662" s="545">
        <f>'Foglio deposito bis'!$F$89*IF(ABS(L2662)&lt;'Sollecitazioni nel paramento'!$G$58,ABS(L2662)*'Sollecitazioni nel paramento'!$G$54,'Sollecitazioni nel paramento'!$G$53)*IF(L2662&lt;0,-1,1)</f>
        <v>-153664.85805602249</v>
      </c>
      <c r="S2662" s="545">
        <f>'Foglio deposito bis'!$F$90*IF(ABS(M2662)&lt;'Sollecitazioni nel paramento'!$G$58,ABS(M2662)*'Sollecitazioni nel paramento'!$G$54,'Sollecitazioni nel paramento'!$G$53)*IF(M2662&lt;0,-1,1)</f>
        <v>0</v>
      </c>
      <c r="T2662" s="545">
        <f>'Foglio deposito bis'!$F$91*IF(ABS(N2662)&lt;'Sollecitazioni nel paramento'!$G$58,ABS(N2662)*'Sollecitazioni nel paramento'!$G$54,'Sollecitazioni nel paramento'!$G$53)*IF(N2662&lt;0,-1,1)</f>
        <v>-517566.50250733225</v>
      </c>
      <c r="U2662" s="545">
        <f>'Foglio deposito bis'!$F$92*IF(ABS(O2662)&lt;'Sollecitazioni nel paramento'!$G$58,ABS(O2662)*'Sollecitazioni nel paramento'!$G$54,'Sollecitazioni nel paramento'!$G$53)*IF(O2662&lt;0,-1,1)</f>
        <v>1662039.1047339395</v>
      </c>
      <c r="V2662" s="472">
        <f t="shared" si="185"/>
        <v>-7904314.4091973035</v>
      </c>
      <c r="W2662" s="551"/>
      <c r="X2662" s="551"/>
    </row>
    <row r="2663" spans="1:24" x14ac:dyDescent="0.25">
      <c r="A2663" s="545">
        <f t="shared" si="184"/>
        <v>8003925.4282825692</v>
      </c>
      <c r="B2663" s="3">
        <f t="shared" si="186"/>
        <v>20.299999999999951</v>
      </c>
      <c r="C2663" s="545">
        <f>'Foglio deposito bis'!$E$163/sezione!$B$247*B2663</f>
        <v>235.80940314226459</v>
      </c>
      <c r="D2663" s="603">
        <f>-'Sollecitazioni nel paramento'!$G$47*'Sollecitazioni nel paramento'!$G$41*IF(DATI!$G$211="dx",DATI!$E$61,DATI!$E$64*DATI!$E$63)*1000*C2663^2*sezione!$AD$5*(1-sezione!$AD$6)</f>
        <v>-1237159980.666548</v>
      </c>
      <c r="E2663" s="545">
        <f>-'Foglio deposito bis'!$F$88*(C2663-sezione!$AL$37)*IF(ABS(K2663)&lt;'Sollecitazioni nel paramento'!$G$58,ABS(K2663)*'Sollecitazioni nel paramento'!$G$54,'Sollecitazioni nel paramento'!$G$53)</f>
        <v>0</v>
      </c>
      <c r="F2663" s="545">
        <f>-'Foglio deposito bis'!$F$89*(C2663-sezione!$AM$37)*IF(ABS(L2663)&lt;'Sollecitazioni nel paramento'!$G$58,ABS(L2663)*'Sollecitazioni nel paramento'!$G$54,'Sollecitazioni nel paramento'!$G$53)</f>
        <v>-27015726.978770122</v>
      </c>
      <c r="G2663" s="545">
        <f>-'Foglio deposito bis'!$F$90*(C2663-sezione!$AN$37)*IF(ABS(M2663)&lt;'Sollecitazioni nel paramento'!$G$58,ABS(M2663)*'Sollecitazioni nel paramento'!$G$54,'Sollecitazioni nel paramento'!$G$53)</f>
        <v>0</v>
      </c>
      <c r="H2663" s="545">
        <f>-'Foglio deposito bis'!$F$91*(C2663-sezione!$AO$37)*IF(ABS(N2663)&lt;'Sollecitazioni nel paramento'!$G$58,ABS(N2663)*'Sollecitazioni nel paramento'!$G$54,'Sollecitazioni nel paramento'!$G$53)</f>
        <v>-40078069.481828079</v>
      </c>
      <c r="I2663" s="472">
        <f>-'Foglio deposito bis'!$F$92*(C2663-sezione!$AP$37)*IF(ABS(O2663)&lt;'Sollecitazioni nel paramento'!$G$58,ABS(O2663)*'Sollecitazioni nel paramento'!$G$54,'Sollecitazioni nel paramento'!$G$53)</f>
        <v>968353434.91171849</v>
      </c>
      <c r="J2663" s="472">
        <f t="shared" si="183"/>
        <v>-335900342.21542752</v>
      </c>
      <c r="K2663" s="550">
        <f>'Sollecitazioni nel paramento'!$G$60*(sezione!$AL$37-C2663)/C2663</f>
        <v>-2.9063001808475909E-3</v>
      </c>
      <c r="L2663" s="550">
        <f>'Sollecitazioni nel paramento'!$G$60*(sezione!$AM$37-C2663)/C2663</f>
        <v>-2.6094502712713866E-3</v>
      </c>
      <c r="M2663" s="551">
        <f>'Sollecitazioni nel paramento'!$G$60*(sezione!$AN$37-C2663)/C2663</f>
        <v>-2.3126003616951818E-3</v>
      </c>
      <c r="N2663" s="551">
        <f>'Sollecitazioni nel paramento'!$G$60*(sezione!$AO$37-C2663)/C2663</f>
        <v>-1.1252007233903639E-3</v>
      </c>
      <c r="O2663" s="551">
        <f>'Sollecitazioni nel paramento'!$G$60*(sezione!$AP$37-C2663)/C2663</f>
        <v>8.647679491192441E-3</v>
      </c>
      <c r="P2663" s="545">
        <f>-'Sollecitazioni nel paramento'!$G$47*'Sollecitazioni nel paramento'!$G$41*IF(DATI!$G$211="dx",DATI!$E$61,DATI!$E$64*DATI!$E$63)*1000*C2663*sezione!$AD$5</f>
        <v>-8983630.831510853</v>
      </c>
      <c r="Q2663" s="545">
        <f>'Foglio deposito bis'!$F$88*IF(ABS(K2663)&lt;'Sollecitazioni nel paramento'!$G$58,ABS(K2663)*'Sollecitazioni nel paramento'!$G$54,'Sollecitazioni nel paramento'!$G$53)*IF(K2663&lt;0,-1,1)</f>
        <v>0</v>
      </c>
      <c r="R2663" s="545">
        <f>'Foglio deposito bis'!$F$89*IF(ABS(L2663)&lt;'Sollecitazioni nel paramento'!$G$58,ABS(L2663)*'Sollecitazioni nel paramento'!$G$54,'Sollecitazioni nel paramento'!$G$53)*IF(L2663&lt;0,-1,1)</f>
        <v>-153664.85805602249</v>
      </c>
      <c r="S2663" s="545">
        <f>'Foglio deposito bis'!$F$90*IF(ABS(M2663)&lt;'Sollecitazioni nel paramento'!$G$58,ABS(M2663)*'Sollecitazioni nel paramento'!$G$54,'Sollecitazioni nel paramento'!$G$53)*IF(M2663&lt;0,-1,1)</f>
        <v>0</v>
      </c>
      <c r="T2663" s="545">
        <f>'Foglio deposito bis'!$F$91*IF(ABS(N2663)&lt;'Sollecitazioni nel paramento'!$G$58,ABS(N2663)*'Sollecitazioni nel paramento'!$G$54,'Sollecitazioni nel paramento'!$G$53)*IF(N2663&lt;0,-1,1)</f>
        <v>-528668.84344963403</v>
      </c>
      <c r="U2663" s="545">
        <f>'Foglio deposito bis'!$F$92*IF(ABS(O2663)&lt;'Sollecitazioni nel paramento'!$G$58,ABS(O2663)*'Sollecitazioni nel paramento'!$G$54,'Sollecitazioni nel paramento'!$G$53)*IF(O2663&lt;0,-1,1)</f>
        <v>1662039.1047339395</v>
      </c>
      <c r="V2663" s="472">
        <f t="shared" si="185"/>
        <v>-8003925.4282825692</v>
      </c>
      <c r="W2663" s="551"/>
      <c r="X2663" s="551"/>
    </row>
    <row r="2664" spans="1:24" x14ac:dyDescent="0.25">
      <c r="A2664" s="545">
        <f t="shared" si="184"/>
        <v>8103319.8163250582</v>
      </c>
      <c r="B2664" s="3">
        <f t="shared" si="186"/>
        <v>20.49999999999995</v>
      </c>
      <c r="C2664" s="545">
        <f>'Foglio deposito bis'!$E$163/sezione!$B$247*B2664</f>
        <v>238.13264849341991</v>
      </c>
      <c r="D2664" s="603">
        <f>-'Sollecitazioni nel paramento'!$G$47*'Sollecitazioni nel paramento'!$G$41*IF(DATI!$G$211="dx",DATI!$E$61,DATI!$E$64*DATI!$E$63)*1000*C2664^2*sezione!$AD$5*(1-sezione!$AD$6)</f>
        <v>-1261657603.6184254</v>
      </c>
      <c r="E2664" s="545">
        <f>-'Foglio deposito bis'!$F$88*(C2664-sezione!$AL$37)*IF(ABS(K2664)&lt;'Sollecitazioni nel paramento'!$G$58,ABS(K2664)*'Sollecitazioni nel paramento'!$G$54,'Sollecitazioni nel paramento'!$G$53)</f>
        <v>0</v>
      </c>
      <c r="F2664" s="545">
        <f>-'Foglio deposito bis'!$F$89*(C2664-sezione!$AM$37)*IF(ABS(L2664)&lt;'Sollecitazioni nel paramento'!$G$58,ABS(L2664)*'Sollecitazioni nel paramento'!$G$54,'Sollecitazioni nel paramento'!$G$53)</f>
        <v>-27372728.145884719</v>
      </c>
      <c r="G2664" s="545">
        <f>-'Foglio deposito bis'!$F$90*(C2664-sezione!$AN$37)*IF(ABS(M2664)&lt;'Sollecitazioni nel paramento'!$G$58,ABS(M2664)*'Sollecitazioni nel paramento'!$G$54,'Sollecitazioni nel paramento'!$G$53)</f>
        <v>0</v>
      </c>
      <c r="H2664" s="545">
        <f>-'Foglio deposito bis'!$F$91*(C2664-sezione!$AO$37)*IF(ABS(N2664)&lt;'Sollecitazioni nel paramento'!$G$58,ABS(N2664)*'Sollecitazioni nel paramento'!$G$54,'Sollecitazioni nel paramento'!$G$53)</f>
        <v>-42156826.259854041</v>
      </c>
      <c r="I2664" s="472">
        <f>-'Foglio deposito bis'!$F$92*(C2664-sezione!$AP$37)*IF(ABS(O2664)&lt;'Sollecitazioni nel paramento'!$G$58,ABS(O2664)*'Sollecitazioni nel paramento'!$G$54,'Sollecitazioni nel paramento'!$G$53)</f>
        <v>964492110.28820705</v>
      </c>
      <c r="J2664" s="472">
        <f t="shared" si="183"/>
        <v>-366695047.73595715</v>
      </c>
      <c r="K2664" s="550">
        <f>'Sollecitazioni nel paramento'!$G$60*(sezione!$AL$37-C2664)/C2664</f>
        <v>-2.9120923742051758E-3</v>
      </c>
      <c r="L2664" s="550">
        <f>'Sollecitazioni nel paramento'!$G$60*(sezione!$AM$37-C2664)/C2664</f>
        <v>-2.6181385613077632E-3</v>
      </c>
      <c r="M2664" s="551">
        <f>'Sollecitazioni nel paramento'!$G$60*(sezione!$AN$37-C2664)/C2664</f>
        <v>-2.324184748410351E-3</v>
      </c>
      <c r="N2664" s="551">
        <f>'Sollecitazioni nel paramento'!$G$60*(sezione!$AO$37-C2664)/C2664</f>
        <v>-1.148369496820702E-3</v>
      </c>
      <c r="O2664" s="551">
        <f>'Sollecitazioni nel paramento'!$G$60*(sezione!$AP$37-C2664)/C2664</f>
        <v>8.5291655449369064E-3</v>
      </c>
      <c r="P2664" s="545">
        <f>-'Sollecitazioni nel paramento'!$G$47*'Sollecitazioni nel paramento'!$G$41*IF(DATI!$G$211="dx",DATI!$E$61,DATI!$E$64*DATI!$E$63)*1000*C2664*sezione!$AD$5</f>
        <v>-9072139.509653816</v>
      </c>
      <c r="Q2664" s="545">
        <f>'Foglio deposito bis'!$F$88*IF(ABS(K2664)&lt;'Sollecitazioni nel paramento'!$G$58,ABS(K2664)*'Sollecitazioni nel paramento'!$G$54,'Sollecitazioni nel paramento'!$G$53)*IF(K2664&lt;0,-1,1)</f>
        <v>0</v>
      </c>
      <c r="R2664" s="545">
        <f>'Foglio deposito bis'!$F$89*IF(ABS(L2664)&lt;'Sollecitazioni nel paramento'!$G$58,ABS(L2664)*'Sollecitazioni nel paramento'!$G$54,'Sollecitazioni nel paramento'!$G$53)*IF(L2664&lt;0,-1,1)</f>
        <v>-153664.85805602249</v>
      </c>
      <c r="S2664" s="545">
        <f>'Foglio deposito bis'!$F$90*IF(ABS(M2664)&lt;'Sollecitazioni nel paramento'!$G$58,ABS(M2664)*'Sollecitazioni nel paramento'!$G$54,'Sollecitazioni nel paramento'!$G$53)*IF(M2664&lt;0,-1,1)</f>
        <v>0</v>
      </c>
      <c r="T2664" s="545">
        <f>'Foglio deposito bis'!$F$91*IF(ABS(N2664)&lt;'Sollecitazioni nel paramento'!$G$58,ABS(N2664)*'Sollecitazioni nel paramento'!$G$54,'Sollecitazioni nel paramento'!$G$53)*IF(N2664&lt;0,-1,1)</f>
        <v>-539554.55334915931</v>
      </c>
      <c r="U2664" s="545">
        <f>'Foglio deposito bis'!$F$92*IF(ABS(O2664)&lt;'Sollecitazioni nel paramento'!$G$58,ABS(O2664)*'Sollecitazioni nel paramento'!$G$54,'Sollecitazioni nel paramento'!$G$53)*IF(O2664&lt;0,-1,1)</f>
        <v>1662039.1047339395</v>
      </c>
      <c r="V2664" s="472">
        <f t="shared" si="185"/>
        <v>-8103319.8163250582</v>
      </c>
      <c r="W2664" s="551"/>
      <c r="X2664" s="551"/>
    </row>
    <row r="2665" spans="1:24" x14ac:dyDescent="0.25">
      <c r="A2665" s="545">
        <f t="shared" si="184"/>
        <v>8202503.8524854286</v>
      </c>
      <c r="B2665" s="3">
        <f t="shared" si="186"/>
        <v>20.69999999999995</v>
      </c>
      <c r="C2665" s="545">
        <f>'Foglio deposito bis'!$E$163/sezione!$B$247*B2665</f>
        <v>240.4558938445752</v>
      </c>
      <c r="D2665" s="603">
        <f>-'Sollecitazioni nel paramento'!$G$47*'Sollecitazioni nel paramento'!$G$41*IF(DATI!$G$211="dx",DATI!$E$61,DATI!$E$64*DATI!$E$63)*1000*C2665^2*sezione!$AD$5*(1-sezione!$AD$6)</f>
        <v>-1286395399.3443398</v>
      </c>
      <c r="E2665" s="545">
        <f>-'Foglio deposito bis'!$F$88*(C2665-sezione!$AL$37)*IF(ABS(K2665)&lt;'Sollecitazioni nel paramento'!$G$58,ABS(K2665)*'Sollecitazioni nel paramento'!$G$54,'Sollecitazioni nel paramento'!$G$53)</f>
        <v>0</v>
      </c>
      <c r="F2665" s="545">
        <f>-'Foglio deposito bis'!$F$89*(C2665-sezione!$AM$37)*IF(ABS(L2665)&lt;'Sollecitazioni nel paramento'!$G$58,ABS(L2665)*'Sollecitazioni nel paramento'!$G$54,'Sollecitazioni nel paramento'!$G$53)</f>
        <v>-27729729.312999312</v>
      </c>
      <c r="G2665" s="545">
        <f>-'Foglio deposito bis'!$F$90*(C2665-sezione!$AN$37)*IF(ABS(M2665)&lt;'Sollecitazioni nel paramento'!$G$58,ABS(M2665)*'Sollecitazioni nel paramento'!$G$54,'Sollecitazioni nel paramento'!$G$53)</f>
        <v>0</v>
      </c>
      <c r="H2665" s="545">
        <f>-'Foglio deposito bis'!$F$91*(C2665-sezione!$AO$37)*IF(ABS(N2665)&lt;'Sollecitazioni nel paramento'!$G$58,ABS(N2665)*'Sollecitazioni nel paramento'!$G$54,'Sollecitazioni nel paramento'!$G$53)</f>
        <v>-44269239.339018606</v>
      </c>
      <c r="I2665" s="472">
        <f>-'Foglio deposito bis'!$F$92*(C2665-sezione!$AP$37)*IF(ABS(O2665)&lt;'Sollecitazioni nel paramento'!$G$58,ABS(O2665)*'Sollecitazioni nel paramento'!$G$54,'Sollecitazioni nel paramento'!$G$53)</f>
        <v>960630785.66469562</v>
      </c>
      <c r="J2665" s="472">
        <f t="shared" si="183"/>
        <v>-397763582.33166206</v>
      </c>
      <c r="K2665" s="550">
        <f>'Sollecitazioni nel paramento'!$G$60*(sezione!$AL$37-C2665)/C2665</f>
        <v>-2.9177726411210676E-3</v>
      </c>
      <c r="L2665" s="550">
        <f>'Sollecitazioni nel paramento'!$G$60*(sezione!$AM$37-C2665)/C2665</f>
        <v>-2.6266589616816011E-3</v>
      </c>
      <c r="M2665" s="551">
        <f>'Sollecitazioni nel paramento'!$G$60*(sezione!$AN$37-C2665)/C2665</f>
        <v>-2.3355452822421347E-3</v>
      </c>
      <c r="N2665" s="551">
        <f>'Sollecitazioni nel paramento'!$G$60*(sezione!$AO$37-C2665)/C2665</f>
        <v>-1.1710905644842697E-3</v>
      </c>
      <c r="O2665" s="551">
        <f>'Sollecitazioni nel paramento'!$G$60*(sezione!$AP$37-C2665)/C2665</f>
        <v>8.4129417232466953E-3</v>
      </c>
      <c r="P2665" s="545">
        <f>-'Sollecitazioni nel paramento'!$G$47*'Sollecitazioni nel paramento'!$G$41*IF(DATI!$G$211="dx",DATI!$E$61,DATI!$E$64*DATI!$E$63)*1000*C2665*sezione!$AD$5</f>
        <v>-9160648.187796779</v>
      </c>
      <c r="Q2665" s="545">
        <f>'Foglio deposito bis'!$F$88*IF(ABS(K2665)&lt;'Sollecitazioni nel paramento'!$G$58,ABS(K2665)*'Sollecitazioni nel paramento'!$G$54,'Sollecitazioni nel paramento'!$G$53)*IF(K2665&lt;0,-1,1)</f>
        <v>0</v>
      </c>
      <c r="R2665" s="545">
        <f>'Foglio deposito bis'!$F$89*IF(ABS(L2665)&lt;'Sollecitazioni nel paramento'!$G$58,ABS(L2665)*'Sollecitazioni nel paramento'!$G$54,'Sollecitazioni nel paramento'!$G$53)*IF(L2665&lt;0,-1,1)</f>
        <v>-153664.85805602249</v>
      </c>
      <c r="S2665" s="545">
        <f>'Foglio deposito bis'!$F$90*IF(ABS(M2665)&lt;'Sollecitazioni nel paramento'!$G$58,ABS(M2665)*'Sollecitazioni nel paramento'!$G$54,'Sollecitazioni nel paramento'!$G$53)*IF(M2665&lt;0,-1,1)</f>
        <v>0</v>
      </c>
      <c r="T2665" s="545">
        <f>'Foglio deposito bis'!$F$91*IF(ABS(N2665)&lt;'Sollecitazioni nel paramento'!$G$58,ABS(N2665)*'Sollecitazioni nel paramento'!$G$54,'Sollecitazioni nel paramento'!$G$53)*IF(N2665&lt;0,-1,1)</f>
        <v>-550229.91136656783</v>
      </c>
      <c r="U2665" s="545">
        <f>'Foglio deposito bis'!$F$92*IF(ABS(O2665)&lt;'Sollecitazioni nel paramento'!$G$58,ABS(O2665)*'Sollecitazioni nel paramento'!$G$54,'Sollecitazioni nel paramento'!$G$53)*IF(O2665&lt;0,-1,1)</f>
        <v>1662039.1047339395</v>
      </c>
      <c r="V2665" s="472">
        <f t="shared" si="185"/>
        <v>-8202503.8524854286</v>
      </c>
      <c r="W2665" s="551"/>
      <c r="X2665" s="551"/>
    </row>
    <row r="2666" spans="1:24" x14ac:dyDescent="0.25">
      <c r="A2666" s="545">
        <f t="shared" si="184"/>
        <v>8301483.5755737005</v>
      </c>
      <c r="B2666" s="3">
        <f t="shared" si="186"/>
        <v>20.899999999999949</v>
      </c>
      <c r="C2666" s="545">
        <f>'Foglio deposito bis'!$E$163/sezione!$B$247*B2666</f>
        <v>242.77913919573052</v>
      </c>
      <c r="D2666" s="603">
        <f>-'Sollecitazioni nel paramento'!$G$47*'Sollecitazioni nel paramento'!$G$41*IF(DATI!$G$211="dx",DATI!$E$61,DATI!$E$64*DATI!$E$63)*1000*C2666^2*sezione!$AD$5*(1-sezione!$AD$6)</f>
        <v>-1311373367.8442931</v>
      </c>
      <c r="E2666" s="545">
        <f>-'Foglio deposito bis'!$F$88*(C2666-sezione!$AL$37)*IF(ABS(K2666)&lt;'Sollecitazioni nel paramento'!$G$58,ABS(K2666)*'Sollecitazioni nel paramento'!$G$54,'Sollecitazioni nel paramento'!$G$53)</f>
        <v>0</v>
      </c>
      <c r="F2666" s="545">
        <f>-'Foglio deposito bis'!$F$89*(C2666-sezione!$AM$37)*IF(ABS(L2666)&lt;'Sollecitazioni nel paramento'!$G$58,ABS(L2666)*'Sollecitazioni nel paramento'!$G$54,'Sollecitazioni nel paramento'!$G$53)</f>
        <v>-28086730.480113909</v>
      </c>
      <c r="G2666" s="545">
        <f>-'Foglio deposito bis'!$F$90*(C2666-sezione!$AN$37)*IF(ABS(M2666)&lt;'Sollecitazioni nel paramento'!$G$58,ABS(M2666)*'Sollecitazioni nel paramento'!$G$54,'Sollecitazioni nel paramento'!$G$53)</f>
        <v>0</v>
      </c>
      <c r="H2666" s="545">
        <f>-'Foglio deposito bis'!$F$91*(C2666-sezione!$AO$37)*IF(ABS(N2666)&lt;'Sollecitazioni nel paramento'!$G$58,ABS(N2666)*'Sollecitazioni nel paramento'!$G$54,'Sollecitazioni nel paramento'!$G$53)</f>
        <v>-46414342.509719767</v>
      </c>
      <c r="I2666" s="472">
        <f>-'Foglio deposito bis'!$F$92*(C2666-sezione!$AP$37)*IF(ABS(O2666)&lt;'Sollecitazioni nel paramento'!$G$58,ABS(O2666)*'Sollecitazioni nel paramento'!$G$54,'Sollecitazioni nel paramento'!$G$53)</f>
        <v>956769461.04118419</v>
      </c>
      <c r="J2666" s="472">
        <f t="shared" si="183"/>
        <v>-429104979.79294276</v>
      </c>
      <c r="K2666" s="550">
        <f>'Sollecitazioni nel paramento'!$G$60*(sezione!$AL$37-C2666)/C2666</f>
        <v>-2.9233441947945503E-3</v>
      </c>
      <c r="L2666" s="550">
        <f>'Sollecitazioni nel paramento'!$G$60*(sezione!$AM$37-C2666)/C2666</f>
        <v>-2.635016292191825E-3</v>
      </c>
      <c r="M2666" s="551">
        <f>'Sollecitazioni nel paramento'!$G$60*(sezione!$AN$37-C2666)/C2666</f>
        <v>-2.3466883895891001E-3</v>
      </c>
      <c r="N2666" s="551">
        <f>'Sollecitazioni nel paramento'!$G$60*(sezione!$AO$37-C2666)/C2666</f>
        <v>-1.1933767791782004E-3</v>
      </c>
      <c r="O2666" s="551">
        <f>'Sollecitazioni nel paramento'!$G$60*(sezione!$AP$37-C2666)/C2666</f>
        <v>8.298942280918974E-3</v>
      </c>
      <c r="P2666" s="545">
        <f>-'Sollecitazioni nel paramento'!$G$47*'Sollecitazioni nel paramento'!$G$41*IF(DATI!$G$211="dx",DATI!$E$61,DATI!$E$64*DATI!$E$63)*1000*C2666*sezione!$AD$5</f>
        <v>-9249156.8659397438</v>
      </c>
      <c r="Q2666" s="545">
        <f>'Foglio deposito bis'!$F$88*IF(ABS(K2666)&lt;'Sollecitazioni nel paramento'!$G$58,ABS(K2666)*'Sollecitazioni nel paramento'!$G$54,'Sollecitazioni nel paramento'!$G$53)*IF(K2666&lt;0,-1,1)</f>
        <v>0</v>
      </c>
      <c r="R2666" s="545">
        <f>'Foglio deposito bis'!$F$89*IF(ABS(L2666)&lt;'Sollecitazioni nel paramento'!$G$58,ABS(L2666)*'Sollecitazioni nel paramento'!$G$54,'Sollecitazioni nel paramento'!$G$53)*IF(L2666&lt;0,-1,1)</f>
        <v>-153664.85805602249</v>
      </c>
      <c r="S2666" s="545">
        <f>'Foglio deposito bis'!$F$90*IF(ABS(M2666)&lt;'Sollecitazioni nel paramento'!$G$58,ABS(M2666)*'Sollecitazioni nel paramento'!$G$54,'Sollecitazioni nel paramento'!$G$53)*IF(M2666&lt;0,-1,1)</f>
        <v>0</v>
      </c>
      <c r="T2666" s="545">
        <f>'Foglio deposito bis'!$F$91*IF(ABS(N2666)&lt;'Sollecitazioni nel paramento'!$G$58,ABS(N2666)*'Sollecitazioni nel paramento'!$G$54,'Sollecitazioni nel paramento'!$G$53)*IF(N2666&lt;0,-1,1)</f>
        <v>-560700.95631187328</v>
      </c>
      <c r="U2666" s="545">
        <f>'Foglio deposito bis'!$F$92*IF(ABS(O2666)&lt;'Sollecitazioni nel paramento'!$G$58,ABS(O2666)*'Sollecitazioni nel paramento'!$G$54,'Sollecitazioni nel paramento'!$G$53)*IF(O2666&lt;0,-1,1)</f>
        <v>1662039.1047339395</v>
      </c>
      <c r="V2666" s="472">
        <f t="shared" si="185"/>
        <v>-8301483.5755737005</v>
      </c>
      <c r="W2666" s="551"/>
      <c r="X2666" s="551"/>
    </row>
    <row r="2667" spans="1:24" x14ac:dyDescent="0.25">
      <c r="A2667" s="545">
        <f t="shared" si="184"/>
        <v>8400264.7954402566</v>
      </c>
      <c r="B2667" s="3">
        <f t="shared" si="186"/>
        <v>21.099999999999948</v>
      </c>
      <c r="C2667" s="545">
        <f>'Foglio deposito bis'!$E$163/sezione!$B$247*B2667</f>
        <v>245.10238454688584</v>
      </c>
      <c r="D2667" s="603">
        <f>-'Sollecitazioni nel paramento'!$G$47*'Sollecitazioni nel paramento'!$G$41*IF(DATI!$G$211="dx",DATI!$E$61,DATI!$E$64*DATI!$E$63)*1000*C2667^2*sezione!$AD$5*(1-sezione!$AD$6)</f>
        <v>-1336591509.1182842</v>
      </c>
      <c r="E2667" s="545">
        <f>-'Foglio deposito bis'!$F$88*(C2667-sezione!$AL$37)*IF(ABS(K2667)&lt;'Sollecitazioni nel paramento'!$G$58,ABS(K2667)*'Sollecitazioni nel paramento'!$G$54,'Sollecitazioni nel paramento'!$G$53)</f>
        <v>0</v>
      </c>
      <c r="F2667" s="545">
        <f>-'Foglio deposito bis'!$F$89*(C2667-sezione!$AM$37)*IF(ABS(L2667)&lt;'Sollecitazioni nel paramento'!$G$58,ABS(L2667)*'Sollecitazioni nel paramento'!$G$54,'Sollecitazioni nel paramento'!$G$53)</f>
        <v>-28443731.647228505</v>
      </c>
      <c r="G2667" s="545">
        <f>-'Foglio deposito bis'!$F$90*(C2667-sezione!$AN$37)*IF(ABS(M2667)&lt;'Sollecitazioni nel paramento'!$G$58,ABS(M2667)*'Sollecitazioni nel paramento'!$G$54,'Sollecitazioni nel paramento'!$G$53)</f>
        <v>0</v>
      </c>
      <c r="H2667" s="545">
        <f>-'Foglio deposito bis'!$F$91*(C2667-sezione!$AO$37)*IF(ABS(N2667)&lt;'Sollecitazioni nel paramento'!$G$58,ABS(N2667)*'Sollecitazioni nel paramento'!$G$54,'Sollecitazioni nel paramento'!$G$53)</f>
        <v>-48591206.195894837</v>
      </c>
      <c r="I2667" s="472">
        <f>-'Foglio deposito bis'!$F$92*(C2667-sezione!$AP$37)*IF(ABS(O2667)&lt;'Sollecitazioni nel paramento'!$G$58,ABS(O2667)*'Sollecitazioni nel paramento'!$G$54,'Sollecitazioni nel paramento'!$G$53)</f>
        <v>952908136.41767251</v>
      </c>
      <c r="J2667" s="472">
        <f t="shared" si="183"/>
        <v>-460718310.54373515</v>
      </c>
      <c r="K2667" s="550">
        <f>'Sollecitazioni nel paramento'!$G$60*(sezione!$AL$37-C2667)/C2667</f>
        <v>-2.9288101265974452E-3</v>
      </c>
      <c r="L2667" s="550">
        <f>'Sollecitazioni nel paramento'!$G$60*(sezione!$AM$37-C2667)/C2667</f>
        <v>-2.6432151898961682E-3</v>
      </c>
      <c r="M2667" s="551">
        <f>'Sollecitazioni nel paramento'!$G$60*(sezione!$AN$37-C2667)/C2667</f>
        <v>-2.3576202531948908E-3</v>
      </c>
      <c r="N2667" s="551">
        <f>'Sollecitazioni nel paramento'!$G$60*(sezione!$AO$37-C2667)/C2667</f>
        <v>-1.2152405063897815E-3</v>
      </c>
      <c r="O2667" s="551">
        <f>'Sollecitazioni nel paramento'!$G$60*(sezione!$AP$37-C2667)/C2667</f>
        <v>8.1871039654600256E-3</v>
      </c>
      <c r="P2667" s="545">
        <f>-'Sollecitazioni nel paramento'!$G$47*'Sollecitazioni nel paramento'!$G$41*IF(DATI!$G$211="dx",DATI!$E$61,DATI!$E$64*DATI!$E$63)*1000*C2667*sezione!$AD$5</f>
        <v>-9337665.5440827087</v>
      </c>
      <c r="Q2667" s="545">
        <f>'Foglio deposito bis'!$F$88*IF(ABS(K2667)&lt;'Sollecitazioni nel paramento'!$G$58,ABS(K2667)*'Sollecitazioni nel paramento'!$G$54,'Sollecitazioni nel paramento'!$G$53)*IF(K2667&lt;0,-1,1)</f>
        <v>0</v>
      </c>
      <c r="R2667" s="545">
        <f>'Foglio deposito bis'!$F$89*IF(ABS(L2667)&lt;'Sollecitazioni nel paramento'!$G$58,ABS(L2667)*'Sollecitazioni nel paramento'!$G$54,'Sollecitazioni nel paramento'!$G$53)*IF(L2667&lt;0,-1,1)</f>
        <v>-153664.85805602249</v>
      </c>
      <c r="S2667" s="545">
        <f>'Foglio deposito bis'!$F$90*IF(ABS(M2667)&lt;'Sollecitazioni nel paramento'!$G$58,ABS(M2667)*'Sollecitazioni nel paramento'!$G$54,'Sollecitazioni nel paramento'!$G$53)*IF(M2667&lt;0,-1,1)</f>
        <v>0</v>
      </c>
      <c r="T2667" s="545">
        <f>'Foglio deposito bis'!$F$91*IF(ABS(N2667)&lt;'Sollecitazioni nel paramento'!$G$58,ABS(N2667)*'Sollecitazioni nel paramento'!$G$54,'Sollecitazioni nel paramento'!$G$53)*IF(N2667&lt;0,-1,1)</f>
        <v>-570973.49803546653</v>
      </c>
      <c r="U2667" s="545">
        <f>'Foglio deposito bis'!$F$92*IF(ABS(O2667)&lt;'Sollecitazioni nel paramento'!$G$58,ABS(O2667)*'Sollecitazioni nel paramento'!$G$54,'Sollecitazioni nel paramento'!$G$53)*IF(O2667&lt;0,-1,1)</f>
        <v>1662039.1047339395</v>
      </c>
      <c r="V2667" s="472">
        <f t="shared" si="185"/>
        <v>-8400264.7954402566</v>
      </c>
      <c r="W2667" s="551"/>
      <c r="X2667" s="551"/>
    </row>
    <row r="2668" spans="1:24" x14ac:dyDescent="0.25">
      <c r="A2668" s="545">
        <f t="shared" si="184"/>
        <v>8498853.1037251502</v>
      </c>
      <c r="B2668" s="3">
        <f t="shared" si="186"/>
        <v>21.299999999999947</v>
      </c>
      <c r="C2668" s="545">
        <f>'Foglio deposito bis'!$E$163/sezione!$B$247*B2668</f>
        <v>247.42562989804117</v>
      </c>
      <c r="D2668" s="603">
        <f>-'Sollecitazioni nel paramento'!$G$47*'Sollecitazioni nel paramento'!$G$41*IF(DATI!$G$211="dx",DATI!$E$61,DATI!$E$64*DATI!$E$63)*1000*C2668^2*sezione!$AD$5*(1-sezione!$AD$6)</f>
        <v>-1362049823.1663132</v>
      </c>
      <c r="E2668" s="545">
        <f>-'Foglio deposito bis'!$F$88*(C2668-sezione!$AL$37)*IF(ABS(K2668)&lt;'Sollecitazioni nel paramento'!$G$58,ABS(K2668)*'Sollecitazioni nel paramento'!$G$54,'Sollecitazioni nel paramento'!$G$53)</f>
        <v>0</v>
      </c>
      <c r="F2668" s="545">
        <f>-'Foglio deposito bis'!$F$89*(C2668-sezione!$AM$37)*IF(ABS(L2668)&lt;'Sollecitazioni nel paramento'!$G$58,ABS(L2668)*'Sollecitazioni nel paramento'!$G$54,'Sollecitazioni nel paramento'!$G$53)</f>
        <v>-28800732.814343102</v>
      </c>
      <c r="G2668" s="545">
        <f>-'Foglio deposito bis'!$F$90*(C2668-sezione!$AN$37)*IF(ABS(M2668)&lt;'Sollecitazioni nel paramento'!$G$58,ABS(M2668)*'Sollecitazioni nel paramento'!$G$54,'Sollecitazioni nel paramento'!$G$53)</f>
        <v>0</v>
      </c>
      <c r="H2668" s="545">
        <f>-'Foglio deposito bis'!$F$91*(C2668-sezione!$AO$37)*IF(ABS(N2668)&lt;'Sollecitazioni nel paramento'!$G$58,ABS(N2668)*'Sollecitazioni nel paramento'!$G$54,'Sollecitazioni nel paramento'!$G$53)</f>
        <v>-50798935.735136092</v>
      </c>
      <c r="I2668" s="472">
        <f>-'Foglio deposito bis'!$F$92*(C2668-sezione!$AP$37)*IF(ABS(O2668)&lt;'Sollecitazioni nel paramento'!$G$58,ABS(O2668)*'Sollecitazioni nel paramento'!$G$54,'Sollecitazioni nel paramento'!$G$53)</f>
        <v>949046811.7941612</v>
      </c>
      <c r="J2668" s="472">
        <f t="shared" si="183"/>
        <v>-492602679.92163122</v>
      </c>
      <c r="K2668" s="550">
        <f>'Sollecitazioni nel paramento'!$G$60*(sezione!$AL$37-C2668)/C2668</f>
        <v>-2.9341734117937133E-3</v>
      </c>
      <c r="L2668" s="550">
        <f>'Sollecitazioni nel paramento'!$G$60*(sezione!$AM$37-C2668)/C2668</f>
        <v>-2.6512601176905703E-3</v>
      </c>
      <c r="M2668" s="551">
        <f>'Sollecitazioni nel paramento'!$G$60*(sezione!$AN$37-C2668)/C2668</f>
        <v>-2.3683468235874269E-3</v>
      </c>
      <c r="N2668" s="551">
        <f>'Sollecitazioni nel paramento'!$G$60*(sezione!$AO$37-C2668)/C2668</f>
        <v>-1.2366936471748537E-3</v>
      </c>
      <c r="O2668" s="551">
        <f>'Sollecitazioni nel paramento'!$G$60*(sezione!$AP$37-C2668)/C2668</f>
        <v>8.0773659000566468E-3</v>
      </c>
      <c r="P2668" s="545">
        <f>-'Sollecitazioni nel paramento'!$G$47*'Sollecitazioni nel paramento'!$G$41*IF(DATI!$G$211="dx",DATI!$E$61,DATI!$E$64*DATI!$E$63)*1000*C2668*sezione!$AD$5</f>
        <v>-9426174.2222256735</v>
      </c>
      <c r="Q2668" s="545">
        <f>'Foglio deposito bis'!$F$88*IF(ABS(K2668)&lt;'Sollecitazioni nel paramento'!$G$58,ABS(K2668)*'Sollecitazioni nel paramento'!$G$54,'Sollecitazioni nel paramento'!$G$53)*IF(K2668&lt;0,-1,1)</f>
        <v>0</v>
      </c>
      <c r="R2668" s="545">
        <f>'Foglio deposito bis'!$F$89*IF(ABS(L2668)&lt;'Sollecitazioni nel paramento'!$G$58,ABS(L2668)*'Sollecitazioni nel paramento'!$G$54,'Sollecitazioni nel paramento'!$G$53)*IF(L2668&lt;0,-1,1)</f>
        <v>-153664.85805602249</v>
      </c>
      <c r="S2668" s="545">
        <f>'Foglio deposito bis'!$F$90*IF(ABS(M2668)&lt;'Sollecitazioni nel paramento'!$G$58,ABS(M2668)*'Sollecitazioni nel paramento'!$G$54,'Sollecitazioni nel paramento'!$G$53)*IF(M2668&lt;0,-1,1)</f>
        <v>0</v>
      </c>
      <c r="T2668" s="545">
        <f>'Foglio deposito bis'!$F$91*IF(ABS(N2668)&lt;'Sollecitazioni nel paramento'!$G$58,ABS(N2668)*'Sollecitazioni nel paramento'!$G$54,'Sollecitazioni nel paramento'!$G$53)*IF(N2668&lt;0,-1,1)</f>
        <v>-581053.12817739591</v>
      </c>
      <c r="U2668" s="545">
        <f>'Foglio deposito bis'!$F$92*IF(ABS(O2668)&lt;'Sollecitazioni nel paramento'!$G$58,ABS(O2668)*'Sollecitazioni nel paramento'!$G$54,'Sollecitazioni nel paramento'!$G$53)*IF(O2668&lt;0,-1,1)</f>
        <v>1662039.1047339395</v>
      </c>
      <c r="V2668" s="472">
        <f t="shared" si="185"/>
        <v>-8498853.1037251502</v>
      </c>
      <c r="W2668" s="551"/>
      <c r="X2668" s="551"/>
    </row>
    <row r="2669" spans="1:24" x14ac:dyDescent="0.25">
      <c r="A2669" s="545">
        <f t="shared" si="184"/>
        <v>8597253.8840074018</v>
      </c>
      <c r="B2669" s="3">
        <f t="shared" si="186"/>
        <v>21.499999999999947</v>
      </c>
      <c r="C2669" s="545">
        <f>'Foglio deposito bis'!$E$163/sezione!$B$247*B2669</f>
        <v>249.74887524919646</v>
      </c>
      <c r="D2669" s="603">
        <f>-'Sollecitazioni nel paramento'!$G$47*'Sollecitazioni nel paramento'!$G$41*IF(DATI!$G$211="dx",DATI!$E$61,DATI!$E$64*DATI!$E$63)*1000*C2669^2*sezione!$AD$5*(1-sezione!$AD$6)</f>
        <v>-1387748309.9883804</v>
      </c>
      <c r="E2669" s="545">
        <f>-'Foglio deposito bis'!$F$88*(C2669-sezione!$AL$37)*IF(ABS(K2669)&lt;'Sollecitazioni nel paramento'!$G$58,ABS(K2669)*'Sollecitazioni nel paramento'!$G$54,'Sollecitazioni nel paramento'!$G$53)</f>
        <v>0</v>
      </c>
      <c r="F2669" s="545">
        <f>-'Foglio deposito bis'!$F$89*(C2669-sezione!$AM$37)*IF(ABS(L2669)&lt;'Sollecitazioni nel paramento'!$G$58,ABS(L2669)*'Sollecitazioni nel paramento'!$G$54,'Sollecitazioni nel paramento'!$G$53)</f>
        <v>-29157733.981457695</v>
      </c>
      <c r="G2669" s="545">
        <f>-'Foglio deposito bis'!$F$90*(C2669-sezione!$AN$37)*IF(ABS(M2669)&lt;'Sollecitazioni nel paramento'!$G$58,ABS(M2669)*'Sollecitazioni nel paramento'!$G$54,'Sollecitazioni nel paramento'!$G$53)</f>
        <v>0</v>
      </c>
      <c r="H2669" s="545">
        <f>-'Foglio deposito bis'!$F$91*(C2669-sezione!$AO$37)*IF(ABS(N2669)&lt;'Sollecitazioni nel paramento'!$G$58,ABS(N2669)*'Sollecitazioni nel paramento'!$G$54,'Sollecitazioni nel paramento'!$G$53)</f>
        <v>-53036669.75479982</v>
      </c>
      <c r="I2669" s="472">
        <f>-'Foglio deposito bis'!$F$92*(C2669-sezione!$AP$37)*IF(ABS(O2669)&lt;'Sollecitazioni nel paramento'!$G$58,ABS(O2669)*'Sollecitazioni nel paramento'!$G$54,'Sollecitazioni nel paramento'!$G$53)</f>
        <v>945185487.17064977</v>
      </c>
      <c r="J2669" s="472">
        <f t="shared" si="183"/>
        <v>-524757226.55398822</v>
      </c>
      <c r="K2669" s="550">
        <f>'Sollecitazioni nel paramento'!$G$60*(sezione!$AL$37-C2669)/C2669</f>
        <v>-2.9394369149398185E-3</v>
      </c>
      <c r="L2669" s="550">
        <f>'Sollecitazioni nel paramento'!$G$60*(sezione!$AM$37-C2669)/C2669</f>
        <v>-2.6591553724097275E-3</v>
      </c>
      <c r="M2669" s="551">
        <f>'Sollecitazioni nel paramento'!$G$60*(sezione!$AN$37-C2669)/C2669</f>
        <v>-2.3788738298796369E-3</v>
      </c>
      <c r="N2669" s="551">
        <f>'Sollecitazioni nel paramento'!$G$60*(sezione!$AO$37-C2669)/C2669</f>
        <v>-1.2577476597592735E-3</v>
      </c>
      <c r="O2669" s="551">
        <f>'Sollecitazioni nel paramento'!$G$60*(sezione!$AP$37-C2669)/C2669</f>
        <v>7.9696694730793764E-3</v>
      </c>
      <c r="P2669" s="545">
        <f>-'Sollecitazioni nel paramento'!$G$47*'Sollecitazioni nel paramento'!$G$41*IF(DATI!$G$211="dx",DATI!$E$61,DATI!$E$64*DATI!$E$63)*1000*C2669*sezione!$AD$5</f>
        <v>-9514682.9003686346</v>
      </c>
      <c r="Q2669" s="545">
        <f>'Foglio deposito bis'!$F$88*IF(ABS(K2669)&lt;'Sollecitazioni nel paramento'!$G$58,ABS(K2669)*'Sollecitazioni nel paramento'!$G$54,'Sollecitazioni nel paramento'!$G$53)*IF(K2669&lt;0,-1,1)</f>
        <v>0</v>
      </c>
      <c r="R2669" s="545">
        <f>'Foglio deposito bis'!$F$89*IF(ABS(L2669)&lt;'Sollecitazioni nel paramento'!$G$58,ABS(L2669)*'Sollecitazioni nel paramento'!$G$54,'Sollecitazioni nel paramento'!$G$53)*IF(L2669&lt;0,-1,1)</f>
        <v>-153664.85805602249</v>
      </c>
      <c r="S2669" s="545">
        <f>'Foglio deposito bis'!$F$90*IF(ABS(M2669)&lt;'Sollecitazioni nel paramento'!$G$58,ABS(M2669)*'Sollecitazioni nel paramento'!$G$54,'Sollecitazioni nel paramento'!$G$53)*IF(M2669&lt;0,-1,1)</f>
        <v>0</v>
      </c>
      <c r="T2669" s="545">
        <f>'Foglio deposito bis'!$F$91*IF(ABS(N2669)&lt;'Sollecitazioni nel paramento'!$G$58,ABS(N2669)*'Sollecitazioni nel paramento'!$G$54,'Sollecitazioni nel paramento'!$G$53)*IF(N2669&lt;0,-1,1)</f>
        <v>-590945.23031668493</v>
      </c>
      <c r="U2669" s="545">
        <f>'Foglio deposito bis'!$F$92*IF(ABS(O2669)&lt;'Sollecitazioni nel paramento'!$G$58,ABS(O2669)*'Sollecitazioni nel paramento'!$G$54,'Sollecitazioni nel paramento'!$G$53)*IF(O2669&lt;0,-1,1)</f>
        <v>1662039.1047339395</v>
      </c>
      <c r="V2669" s="472">
        <f t="shared" si="185"/>
        <v>-8597253.8840074018</v>
      </c>
      <c r="W2669" s="551"/>
      <c r="X2669" s="551"/>
    </row>
    <row r="2670" spans="1:24" x14ac:dyDescent="0.25">
      <c r="A2670" s="545">
        <f t="shared" si="184"/>
        <v>8695472.3213930782</v>
      </c>
      <c r="B2670" s="3">
        <f t="shared" si="186"/>
        <v>21.699999999999946</v>
      </c>
      <c r="C2670" s="545">
        <f>'Foglio deposito bis'!$E$163/sezione!$B$247*B2670</f>
        <v>252.07212060035178</v>
      </c>
      <c r="D2670" s="603">
        <f>-'Sollecitazioni nel paramento'!$G$47*'Sollecitazioni nel paramento'!$G$41*IF(DATI!$G$211="dx",DATI!$E$61,DATI!$E$64*DATI!$E$63)*1000*C2670^2*sezione!$AD$5*(1-sezione!$AD$6)</f>
        <v>-1413686969.584486</v>
      </c>
      <c r="E2670" s="545">
        <f>-'Foglio deposito bis'!$F$88*(C2670-sezione!$AL$37)*IF(ABS(K2670)&lt;'Sollecitazioni nel paramento'!$G$58,ABS(K2670)*'Sollecitazioni nel paramento'!$G$54,'Sollecitazioni nel paramento'!$G$53)</f>
        <v>0</v>
      </c>
      <c r="F2670" s="545">
        <f>-'Foglio deposito bis'!$F$89*(C2670-sezione!$AM$37)*IF(ABS(L2670)&lt;'Sollecitazioni nel paramento'!$G$58,ABS(L2670)*'Sollecitazioni nel paramento'!$G$54,'Sollecitazioni nel paramento'!$G$53)</f>
        <v>-29514735.148572288</v>
      </c>
      <c r="G2670" s="545">
        <f>-'Foglio deposito bis'!$F$90*(C2670-sezione!$AN$37)*IF(ABS(M2670)&lt;'Sollecitazioni nel paramento'!$G$58,ABS(M2670)*'Sollecitazioni nel paramento'!$G$54,'Sollecitazioni nel paramento'!$G$53)</f>
        <v>0</v>
      </c>
      <c r="H2670" s="545">
        <f>-'Foglio deposito bis'!$F$91*(C2670-sezione!$AO$37)*IF(ABS(N2670)&lt;'Sollecitazioni nel paramento'!$G$58,ABS(N2670)*'Sollecitazioni nel paramento'!$G$54,'Sollecitazioni nel paramento'!$G$53)</f>
        <v>-55303578.637915857</v>
      </c>
      <c r="I2670" s="472">
        <f>-'Foglio deposito bis'!$F$92*(C2670-sezione!$AP$37)*IF(ABS(O2670)&lt;'Sollecitazioni nel paramento'!$G$58,ABS(O2670)*'Sollecitazioni nel paramento'!$G$54,'Sollecitazioni nel paramento'!$G$53)</f>
        <v>941324162.54713809</v>
      </c>
      <c r="J2670" s="472">
        <f t="shared" si="183"/>
        <v>-557181120.82383597</v>
      </c>
      <c r="K2670" s="550">
        <f>'Sollecitazioni nel paramento'!$G$60*(sezione!$AL$37-C2670)/C2670</f>
        <v>-2.9446033949864559E-3</v>
      </c>
      <c r="L2670" s="550">
        <f>'Sollecitazioni nel paramento'!$G$60*(sezione!$AM$37-C2670)/C2670</f>
        <v>-2.6669050924796843E-3</v>
      </c>
      <c r="M2670" s="551">
        <f>'Sollecitazioni nel paramento'!$G$60*(sezione!$AN$37-C2670)/C2670</f>
        <v>-2.3892067899729118E-3</v>
      </c>
      <c r="N2670" s="551">
        <f>'Sollecitazioni nel paramento'!$G$60*(sezione!$AO$37-C2670)/C2670</f>
        <v>-1.2784135799458242E-3</v>
      </c>
      <c r="O2670" s="551">
        <f>'Sollecitazioni nel paramento'!$G$60*(sezione!$AP$37-C2670)/C2670</f>
        <v>7.8639582336961552E-3</v>
      </c>
      <c r="P2670" s="545">
        <f>-'Sollecitazioni nel paramento'!$G$47*'Sollecitazioni nel paramento'!$G$41*IF(DATI!$G$211="dx",DATI!$E$61,DATI!$E$64*DATI!$E$63)*1000*C2670*sezione!$AD$5</f>
        <v>-9603191.5785115995</v>
      </c>
      <c r="Q2670" s="545">
        <f>'Foglio deposito bis'!$F$88*IF(ABS(K2670)&lt;'Sollecitazioni nel paramento'!$G$58,ABS(K2670)*'Sollecitazioni nel paramento'!$G$54,'Sollecitazioni nel paramento'!$G$53)*IF(K2670&lt;0,-1,1)</f>
        <v>0</v>
      </c>
      <c r="R2670" s="545">
        <f>'Foglio deposito bis'!$F$89*IF(ABS(L2670)&lt;'Sollecitazioni nel paramento'!$G$58,ABS(L2670)*'Sollecitazioni nel paramento'!$G$54,'Sollecitazioni nel paramento'!$G$53)*IF(L2670&lt;0,-1,1)</f>
        <v>-153664.85805602249</v>
      </c>
      <c r="S2670" s="545">
        <f>'Foglio deposito bis'!$F$90*IF(ABS(M2670)&lt;'Sollecitazioni nel paramento'!$G$58,ABS(M2670)*'Sollecitazioni nel paramento'!$G$54,'Sollecitazioni nel paramento'!$G$53)*IF(M2670&lt;0,-1,1)</f>
        <v>0</v>
      </c>
      <c r="T2670" s="545">
        <f>'Foglio deposito bis'!$F$91*IF(ABS(N2670)&lt;'Sollecitazioni nel paramento'!$G$58,ABS(N2670)*'Sollecitazioni nel paramento'!$G$54,'Sollecitazioni nel paramento'!$G$53)*IF(N2670&lt;0,-1,1)</f>
        <v>-600654.9895593971</v>
      </c>
      <c r="U2670" s="545">
        <f>'Foglio deposito bis'!$F$92*IF(ABS(O2670)&lt;'Sollecitazioni nel paramento'!$G$58,ABS(O2670)*'Sollecitazioni nel paramento'!$G$54,'Sollecitazioni nel paramento'!$G$53)*IF(O2670&lt;0,-1,1)</f>
        <v>1662039.1047339395</v>
      </c>
      <c r="V2670" s="472">
        <f t="shared" si="185"/>
        <v>-8695472.3213930782</v>
      </c>
      <c r="W2670" s="551"/>
      <c r="X2670" s="551"/>
    </row>
    <row r="2671" spans="1:24" x14ac:dyDescent="0.25">
      <c r="A2671" s="545">
        <f t="shared" si="184"/>
        <v>8793513.4115779754</v>
      </c>
      <c r="B2671" s="3">
        <f t="shared" si="186"/>
        <v>21.899999999999945</v>
      </c>
      <c r="C2671" s="545">
        <f>'Foglio deposito bis'!$E$163/sezione!$B$247*B2671</f>
        <v>254.3953659515071</v>
      </c>
      <c r="D2671" s="603">
        <f>-'Sollecitazioni nel paramento'!$G$47*'Sollecitazioni nel paramento'!$G$41*IF(DATI!$G$211="dx",DATI!$E$61,DATI!$E$64*DATI!$E$63)*1000*C2671^2*sezione!$AD$5*(1-sezione!$AD$6)</f>
        <v>-1439865801.9546289</v>
      </c>
      <c r="E2671" s="545">
        <f>-'Foglio deposito bis'!$F$88*(C2671-sezione!$AL$37)*IF(ABS(K2671)&lt;'Sollecitazioni nel paramento'!$G$58,ABS(K2671)*'Sollecitazioni nel paramento'!$G$54,'Sollecitazioni nel paramento'!$G$53)</f>
        <v>0</v>
      </c>
      <c r="F2671" s="545">
        <f>-'Foglio deposito bis'!$F$89*(C2671-sezione!$AM$37)*IF(ABS(L2671)&lt;'Sollecitazioni nel paramento'!$G$58,ABS(L2671)*'Sollecitazioni nel paramento'!$G$54,'Sollecitazioni nel paramento'!$G$53)</f>
        <v>-29871736.315686889</v>
      </c>
      <c r="G2671" s="545">
        <f>-'Foglio deposito bis'!$F$90*(C2671-sezione!$AN$37)*IF(ABS(M2671)&lt;'Sollecitazioni nel paramento'!$G$58,ABS(M2671)*'Sollecitazioni nel paramento'!$G$54,'Sollecitazioni nel paramento'!$G$53)</f>
        <v>0</v>
      </c>
      <c r="H2671" s="545">
        <f>-'Foglio deposito bis'!$F$91*(C2671-sezione!$AO$37)*IF(ABS(N2671)&lt;'Sollecitazioni nel paramento'!$G$58,ABS(N2671)*'Sollecitazioni nel paramento'!$G$54,'Sollecitazioni nel paramento'!$G$53)</f>
        <v>-57598863.073156707</v>
      </c>
      <c r="I2671" s="472">
        <f>-'Foglio deposito bis'!$F$92*(C2671-sezione!$AP$37)*IF(ABS(O2671)&lt;'Sollecitazioni nel paramento'!$G$58,ABS(O2671)*'Sollecitazioni nel paramento'!$G$54,'Sollecitazioni nel paramento'!$G$53)</f>
        <v>937462837.9236269</v>
      </c>
      <c r="J2671" s="472">
        <f t="shared" si="183"/>
        <v>-589873563.41984558</v>
      </c>
      <c r="K2671" s="550">
        <f>'Sollecitazioni nel paramento'!$G$60*(sezione!$AL$37-C2671)/C2671</f>
        <v>-2.9496755101007352E-3</v>
      </c>
      <c r="L2671" s="550">
        <f>'Sollecitazioni nel paramento'!$G$60*(sezione!$AM$37-C2671)/C2671</f>
        <v>-2.6745132651511024E-3</v>
      </c>
      <c r="M2671" s="551">
        <f>'Sollecitazioni nel paramento'!$G$60*(sezione!$AN$37-C2671)/C2671</f>
        <v>-2.3993510202014699E-3</v>
      </c>
      <c r="N2671" s="551">
        <f>'Sollecitazioni nel paramento'!$G$60*(sezione!$AO$37-C2671)/C2671</f>
        <v>-1.29870204040294E-3</v>
      </c>
      <c r="O2671" s="551">
        <f>'Sollecitazioni nel paramento'!$G$60*(sezione!$AP$37-C2671)/C2671</f>
        <v>7.7601777932057806E-3</v>
      </c>
      <c r="P2671" s="545">
        <f>-'Sollecitazioni nel paramento'!$G$47*'Sollecitazioni nel paramento'!$G$41*IF(DATI!$G$211="dx",DATI!$E$61,DATI!$E$64*DATI!$E$63)*1000*C2671*sezione!$AD$5</f>
        <v>-9691700.2566545643</v>
      </c>
      <c r="Q2671" s="545">
        <f>'Foglio deposito bis'!$F$88*IF(ABS(K2671)&lt;'Sollecitazioni nel paramento'!$G$58,ABS(K2671)*'Sollecitazioni nel paramento'!$G$54,'Sollecitazioni nel paramento'!$G$53)*IF(K2671&lt;0,-1,1)</f>
        <v>0</v>
      </c>
      <c r="R2671" s="545">
        <f>'Foglio deposito bis'!$F$89*IF(ABS(L2671)&lt;'Sollecitazioni nel paramento'!$G$58,ABS(L2671)*'Sollecitazioni nel paramento'!$G$54,'Sollecitazioni nel paramento'!$G$53)*IF(L2671&lt;0,-1,1)</f>
        <v>-153664.85805602249</v>
      </c>
      <c r="S2671" s="545">
        <f>'Foglio deposito bis'!$F$90*IF(ABS(M2671)&lt;'Sollecitazioni nel paramento'!$G$58,ABS(M2671)*'Sollecitazioni nel paramento'!$G$54,'Sollecitazioni nel paramento'!$G$53)*IF(M2671&lt;0,-1,1)</f>
        <v>0</v>
      </c>
      <c r="T2671" s="545">
        <f>'Foglio deposito bis'!$F$91*IF(ABS(N2671)&lt;'Sollecitazioni nel paramento'!$G$58,ABS(N2671)*'Sollecitazioni nel paramento'!$G$54,'Sollecitazioni nel paramento'!$G$53)*IF(N2671&lt;0,-1,1)</f>
        <v>-610187.40160132933</v>
      </c>
      <c r="U2671" s="545">
        <f>'Foglio deposito bis'!$F$92*IF(ABS(O2671)&lt;'Sollecitazioni nel paramento'!$G$58,ABS(O2671)*'Sollecitazioni nel paramento'!$G$54,'Sollecitazioni nel paramento'!$G$53)*IF(O2671&lt;0,-1,1)</f>
        <v>1662039.1047339395</v>
      </c>
      <c r="V2671" s="472">
        <f t="shared" si="185"/>
        <v>-8793513.4115779754</v>
      </c>
      <c r="W2671" s="551"/>
      <c r="X2671" s="551"/>
    </row>
    <row r="2672" spans="1:24" x14ac:dyDescent="0.25">
      <c r="A2672" s="545">
        <f t="shared" si="184"/>
        <v>8891381.9694182202</v>
      </c>
      <c r="B2672" s="3">
        <f t="shared" si="186"/>
        <v>22.099999999999945</v>
      </c>
      <c r="C2672" s="545">
        <f>'Foglio deposito bis'!$E$163/sezione!$B$247*B2672</f>
        <v>256.7186113026624</v>
      </c>
      <c r="D2672" s="603">
        <f>-'Sollecitazioni nel paramento'!$G$47*'Sollecitazioni nel paramento'!$G$41*IF(DATI!$G$211="dx",DATI!$E$61,DATI!$E$64*DATI!$E$63)*1000*C2672^2*sezione!$AD$5*(1-sezione!$AD$6)</f>
        <v>-1466284807.0988097</v>
      </c>
      <c r="E2672" s="545">
        <f>-'Foglio deposito bis'!$F$88*(C2672-sezione!$AL$37)*IF(ABS(K2672)&lt;'Sollecitazioni nel paramento'!$G$58,ABS(K2672)*'Sollecitazioni nel paramento'!$G$54,'Sollecitazioni nel paramento'!$G$53)</f>
        <v>0</v>
      </c>
      <c r="F2672" s="545">
        <f>-'Foglio deposito bis'!$F$89*(C2672-sezione!$AM$37)*IF(ABS(L2672)&lt;'Sollecitazioni nel paramento'!$G$58,ABS(L2672)*'Sollecitazioni nel paramento'!$G$54,'Sollecitazioni nel paramento'!$G$53)</f>
        <v>-30228737.482801482</v>
      </c>
      <c r="G2672" s="545">
        <f>-'Foglio deposito bis'!$F$90*(C2672-sezione!$AN$37)*IF(ABS(M2672)&lt;'Sollecitazioni nel paramento'!$G$58,ABS(M2672)*'Sollecitazioni nel paramento'!$G$54,'Sollecitazioni nel paramento'!$G$53)</f>
        <v>0</v>
      </c>
      <c r="H2672" s="545">
        <f>-'Foglio deposito bis'!$F$91*(C2672-sezione!$AO$37)*IF(ABS(N2672)&lt;'Sollecitazioni nel paramento'!$G$58,ABS(N2672)*'Sollecitazioni nel paramento'!$G$54,'Sollecitazioni nel paramento'!$G$53)</f>
        <v>-59921752.683541603</v>
      </c>
      <c r="I2672" s="472">
        <f>-'Foglio deposito bis'!$F$92*(C2672-sezione!$AP$37)*IF(ABS(O2672)&lt;'Sollecitazioni nel paramento'!$G$58,ABS(O2672)*'Sollecitazioni nel paramento'!$G$54,'Sollecitazioni nel paramento'!$G$53)</f>
        <v>933601513.30011523</v>
      </c>
      <c r="J2672" s="472">
        <f t="shared" si="183"/>
        <v>-622833783.96503747</v>
      </c>
      <c r="K2672" s="550">
        <f>'Sollecitazioni nel paramento'!$G$60*(sezione!$AL$37-C2672)/C2672</f>
        <v>-2.95465582222652E-3</v>
      </c>
      <c r="L2672" s="550">
        <f>'Sollecitazioni nel paramento'!$G$60*(sezione!$AM$37-C2672)/C2672</f>
        <v>-2.6819837333397802E-3</v>
      </c>
      <c r="M2672" s="551">
        <f>'Sollecitazioni nel paramento'!$G$60*(sezione!$AN$37-C2672)/C2672</f>
        <v>-2.4093116444530403E-3</v>
      </c>
      <c r="N2672" s="551">
        <f>'Sollecitazioni nel paramento'!$G$60*(sezione!$AO$37-C2672)/C2672</f>
        <v>-1.3186232889060806E-3</v>
      </c>
      <c r="O2672" s="551">
        <f>'Sollecitazioni nel paramento'!$G$60*(sezione!$AP$37-C2672)/C2672</f>
        <v>7.6582757317288043E-3</v>
      </c>
      <c r="P2672" s="545">
        <f>-'Sollecitazioni nel paramento'!$G$47*'Sollecitazioni nel paramento'!$G$41*IF(DATI!$G$211="dx",DATI!$E$61,DATI!$E$64*DATI!$E$63)*1000*C2672*sezione!$AD$5</f>
        <v>-9780208.9347975273</v>
      </c>
      <c r="Q2672" s="545">
        <f>'Foglio deposito bis'!$F$88*IF(ABS(K2672)&lt;'Sollecitazioni nel paramento'!$G$58,ABS(K2672)*'Sollecitazioni nel paramento'!$G$54,'Sollecitazioni nel paramento'!$G$53)*IF(K2672&lt;0,-1,1)</f>
        <v>0</v>
      </c>
      <c r="R2672" s="545">
        <f>'Foglio deposito bis'!$F$89*IF(ABS(L2672)&lt;'Sollecitazioni nel paramento'!$G$58,ABS(L2672)*'Sollecitazioni nel paramento'!$G$54,'Sollecitazioni nel paramento'!$G$53)*IF(L2672&lt;0,-1,1)</f>
        <v>-153664.85805602249</v>
      </c>
      <c r="S2672" s="545">
        <f>'Foglio deposito bis'!$F$90*IF(ABS(M2672)&lt;'Sollecitazioni nel paramento'!$G$58,ABS(M2672)*'Sollecitazioni nel paramento'!$G$54,'Sollecitazioni nel paramento'!$G$53)*IF(M2672&lt;0,-1,1)</f>
        <v>0</v>
      </c>
      <c r="T2672" s="545">
        <f>'Foglio deposito bis'!$F$91*IF(ABS(N2672)&lt;'Sollecitazioni nel paramento'!$G$58,ABS(N2672)*'Sollecitazioni nel paramento'!$G$54,'Sollecitazioni nel paramento'!$G$53)*IF(N2672&lt;0,-1,1)</f>
        <v>-619547.28129861108</v>
      </c>
      <c r="U2672" s="545">
        <f>'Foglio deposito bis'!$F$92*IF(ABS(O2672)&lt;'Sollecitazioni nel paramento'!$G$58,ABS(O2672)*'Sollecitazioni nel paramento'!$G$54,'Sollecitazioni nel paramento'!$G$53)*IF(O2672&lt;0,-1,1)</f>
        <v>1662039.1047339395</v>
      </c>
      <c r="V2672" s="472">
        <f t="shared" si="185"/>
        <v>-8891381.9694182202</v>
      </c>
      <c r="W2672" s="551"/>
      <c r="X2672" s="551"/>
    </row>
    <row r="2673" spans="1:24" x14ac:dyDescent="0.25">
      <c r="A2673" s="545">
        <f t="shared" si="184"/>
        <v>8989082.6370396819</v>
      </c>
      <c r="B2673" s="3">
        <f t="shared" si="186"/>
        <v>22.299999999999944</v>
      </c>
      <c r="C2673" s="545">
        <f>'Foglio deposito bis'!$E$163/sezione!$B$247*B2673</f>
        <v>259.04185665381772</v>
      </c>
      <c r="D2673" s="603">
        <f>-'Sollecitazioni nel paramento'!$G$47*'Sollecitazioni nel paramento'!$G$41*IF(DATI!$G$211="dx",DATI!$E$61,DATI!$E$64*DATI!$E$63)*1000*C2673^2*sezione!$AD$5*(1-sezione!$AD$6)</f>
        <v>-1492943985.0170288</v>
      </c>
      <c r="E2673" s="545">
        <f>-'Foglio deposito bis'!$F$88*(C2673-sezione!$AL$37)*IF(ABS(K2673)&lt;'Sollecitazioni nel paramento'!$G$58,ABS(K2673)*'Sollecitazioni nel paramento'!$G$54,'Sollecitazioni nel paramento'!$G$53)</f>
        <v>0</v>
      </c>
      <c r="F2673" s="545">
        <f>-'Foglio deposito bis'!$F$89*(C2673-sezione!$AM$37)*IF(ABS(L2673)&lt;'Sollecitazioni nel paramento'!$G$58,ABS(L2673)*'Sollecitazioni nel paramento'!$G$54,'Sollecitazioni nel paramento'!$G$53)</f>
        <v>-30585738.649916075</v>
      </c>
      <c r="G2673" s="545">
        <f>-'Foglio deposito bis'!$F$90*(C2673-sezione!$AN$37)*IF(ABS(M2673)&lt;'Sollecitazioni nel paramento'!$G$58,ABS(M2673)*'Sollecitazioni nel paramento'!$G$54,'Sollecitazioni nel paramento'!$G$53)</f>
        <v>0</v>
      </c>
      <c r="H2673" s="545">
        <f>-'Foglio deposito bis'!$F$91*(C2673-sezione!$AO$37)*IF(ABS(N2673)&lt;'Sollecitazioni nel paramento'!$G$58,ABS(N2673)*'Sollecitazioni nel paramento'!$G$54,'Sollecitazioni nel paramento'!$G$53)</f>
        <v>-62271504.728932142</v>
      </c>
      <c r="I2673" s="472">
        <f>-'Foglio deposito bis'!$F$92*(C2673-sezione!$AP$37)*IF(ABS(O2673)&lt;'Sollecitazioni nel paramento'!$G$58,ABS(O2673)*'Sollecitazioni nel paramento'!$G$54,'Sollecitazioni nel paramento'!$G$53)</f>
        <v>929740188.67660379</v>
      </c>
      <c r="J2673" s="472">
        <f t="shared" si="183"/>
        <v>-656061039.71927333</v>
      </c>
      <c r="K2673" s="550">
        <f>'Sollecitazioni nel paramento'!$G$60*(sezione!$AL$37-C2673)/C2673</f>
        <v>-2.9595468013993765E-3</v>
      </c>
      <c r="L2673" s="550">
        <f>'Sollecitazioni nel paramento'!$G$60*(sezione!$AM$37-C2673)/C2673</f>
        <v>-2.6893202020990647E-3</v>
      </c>
      <c r="M2673" s="551">
        <f>'Sollecitazioni nel paramento'!$G$60*(sezione!$AN$37-C2673)/C2673</f>
        <v>-2.419093602798753E-3</v>
      </c>
      <c r="N2673" s="551">
        <f>'Sollecitazioni nel paramento'!$G$60*(sezione!$AO$37-C2673)/C2673</f>
        <v>-1.3381872055975058E-3</v>
      </c>
      <c r="O2673" s="551">
        <f>'Sollecitazioni nel paramento'!$G$60*(sezione!$AP$37-C2673)/C2673</f>
        <v>7.5582015099195776E-3</v>
      </c>
      <c r="P2673" s="545">
        <f>-'Sollecitazioni nel paramento'!$G$47*'Sollecitazioni nel paramento'!$G$41*IF(DATI!$G$211="dx",DATI!$E$61,DATI!$E$64*DATI!$E$63)*1000*C2673*sezione!$AD$5</f>
        <v>-9868717.6129404921</v>
      </c>
      <c r="Q2673" s="545">
        <f>'Foglio deposito bis'!$F$88*IF(ABS(K2673)&lt;'Sollecitazioni nel paramento'!$G$58,ABS(K2673)*'Sollecitazioni nel paramento'!$G$54,'Sollecitazioni nel paramento'!$G$53)*IF(K2673&lt;0,-1,1)</f>
        <v>0</v>
      </c>
      <c r="R2673" s="545">
        <f>'Foglio deposito bis'!$F$89*IF(ABS(L2673)&lt;'Sollecitazioni nel paramento'!$G$58,ABS(L2673)*'Sollecitazioni nel paramento'!$G$54,'Sollecitazioni nel paramento'!$G$53)*IF(L2673&lt;0,-1,1)</f>
        <v>-153664.85805602249</v>
      </c>
      <c r="S2673" s="545">
        <f>'Foglio deposito bis'!$F$90*IF(ABS(M2673)&lt;'Sollecitazioni nel paramento'!$G$58,ABS(M2673)*'Sollecitazioni nel paramento'!$G$54,'Sollecitazioni nel paramento'!$G$53)*IF(M2673&lt;0,-1,1)</f>
        <v>0</v>
      </c>
      <c r="T2673" s="545">
        <f>'Foglio deposito bis'!$F$91*IF(ABS(N2673)&lt;'Sollecitazioni nel paramento'!$G$58,ABS(N2673)*'Sollecitazioni nel paramento'!$G$54,'Sollecitazioni nel paramento'!$G$53)*IF(N2673&lt;0,-1,1)</f>
        <v>-628739.27077710733</v>
      </c>
      <c r="U2673" s="545">
        <f>'Foglio deposito bis'!$F$92*IF(ABS(O2673)&lt;'Sollecitazioni nel paramento'!$G$58,ABS(O2673)*'Sollecitazioni nel paramento'!$G$54,'Sollecitazioni nel paramento'!$G$53)*IF(O2673&lt;0,-1,1)</f>
        <v>1662039.1047339395</v>
      </c>
      <c r="V2673" s="472">
        <f t="shared" si="185"/>
        <v>-8989082.6370396819</v>
      </c>
      <c r="W2673" s="551"/>
      <c r="X2673" s="551"/>
    </row>
    <row r="2674" spans="1:24" x14ac:dyDescent="0.25">
      <c r="A2674" s="545">
        <f t="shared" si="184"/>
        <v>9086619.8915148564</v>
      </c>
      <c r="B2674" s="3">
        <f t="shared" si="186"/>
        <v>22.499999999999943</v>
      </c>
      <c r="C2674" s="545">
        <f>'Foglio deposito bis'!$E$163/sezione!$B$247*B2674</f>
        <v>261.36510200497304</v>
      </c>
      <c r="D2674" s="603">
        <f>-'Sollecitazioni nel paramento'!$G$47*'Sollecitazioni nel paramento'!$G$41*IF(DATI!$G$211="dx",DATI!$E$61,DATI!$E$64*DATI!$E$63)*1000*C2674^2*sezione!$AD$5*(1-sezione!$AD$6)</f>
        <v>-1519843335.7092862</v>
      </c>
      <c r="E2674" s="545">
        <f>-'Foglio deposito bis'!$F$88*(C2674-sezione!$AL$37)*IF(ABS(K2674)&lt;'Sollecitazioni nel paramento'!$G$58,ABS(K2674)*'Sollecitazioni nel paramento'!$G$54,'Sollecitazioni nel paramento'!$G$53)</f>
        <v>0</v>
      </c>
      <c r="F2674" s="545">
        <f>-'Foglio deposito bis'!$F$89*(C2674-sezione!$AM$37)*IF(ABS(L2674)&lt;'Sollecitazioni nel paramento'!$G$58,ABS(L2674)*'Sollecitazioni nel paramento'!$G$54,'Sollecitazioni nel paramento'!$G$53)</f>
        <v>-30942739.817030676</v>
      </c>
      <c r="G2674" s="545">
        <f>-'Foglio deposito bis'!$F$90*(C2674-sezione!$AN$37)*IF(ABS(M2674)&lt;'Sollecitazioni nel paramento'!$G$58,ABS(M2674)*'Sollecitazioni nel paramento'!$G$54,'Sollecitazioni nel paramento'!$G$53)</f>
        <v>0</v>
      </c>
      <c r="H2674" s="545">
        <f>-'Foglio deposito bis'!$F$91*(C2674-sezione!$AO$37)*IF(ABS(N2674)&lt;'Sollecitazioni nel paramento'!$G$58,ABS(N2674)*'Sollecitazioni nel paramento'!$G$54,'Sollecitazioni nel paramento'!$G$53)</f>
        <v>-64647402.877728216</v>
      </c>
      <c r="I2674" s="472">
        <f>-'Foglio deposito bis'!$F$92*(C2674-sezione!$AP$37)*IF(ABS(O2674)&lt;'Sollecitazioni nel paramento'!$G$58,ABS(O2674)*'Sollecitazioni nel paramento'!$G$54,'Sollecitazioni nel paramento'!$G$53)</f>
        <v>925878864.05309248</v>
      </c>
      <c r="J2674" s="472">
        <f t="shared" si="183"/>
        <v>-689554614.35095263</v>
      </c>
      <c r="K2674" s="550">
        <f>'Sollecitazioni nel paramento'!$G$60*(sezione!$AL$37-C2674)/C2674</f>
        <v>-2.9643508298313821E-3</v>
      </c>
      <c r="L2674" s="550">
        <f>'Sollecitazioni nel paramento'!$G$60*(sezione!$AM$37-C2674)/C2674</f>
        <v>-2.6965262447470732E-3</v>
      </c>
      <c r="M2674" s="551">
        <f>'Sollecitazioni nel paramento'!$G$60*(sezione!$AN$37-C2674)/C2674</f>
        <v>-2.4287016596627642E-3</v>
      </c>
      <c r="N2674" s="551">
        <f>'Sollecitazioni nel paramento'!$G$60*(sezione!$AO$37-C2674)/C2674</f>
        <v>-1.3574033193255281E-3</v>
      </c>
      <c r="O2674" s="551">
        <f>'Sollecitazioni nel paramento'!$G$60*(sezione!$AP$37-C2674)/C2674</f>
        <v>7.4599063853869598E-3</v>
      </c>
      <c r="P2674" s="545">
        <f>-'Sollecitazioni nel paramento'!$G$47*'Sollecitazioni nel paramento'!$G$41*IF(DATI!$G$211="dx",DATI!$E$61,DATI!$E$64*DATI!$E$63)*1000*C2674*sezione!$AD$5</f>
        <v>-9957226.2910834551</v>
      </c>
      <c r="Q2674" s="545">
        <f>'Foglio deposito bis'!$F$88*IF(ABS(K2674)&lt;'Sollecitazioni nel paramento'!$G$58,ABS(K2674)*'Sollecitazioni nel paramento'!$G$54,'Sollecitazioni nel paramento'!$G$53)*IF(K2674&lt;0,-1,1)</f>
        <v>0</v>
      </c>
      <c r="R2674" s="545">
        <f>'Foglio deposito bis'!$F$89*IF(ABS(L2674)&lt;'Sollecitazioni nel paramento'!$G$58,ABS(L2674)*'Sollecitazioni nel paramento'!$G$54,'Sollecitazioni nel paramento'!$G$53)*IF(L2674&lt;0,-1,1)</f>
        <v>-153664.85805602249</v>
      </c>
      <c r="S2674" s="545">
        <f>'Foglio deposito bis'!$F$90*IF(ABS(M2674)&lt;'Sollecitazioni nel paramento'!$G$58,ABS(M2674)*'Sollecitazioni nel paramento'!$G$54,'Sollecitazioni nel paramento'!$G$53)*IF(M2674&lt;0,-1,1)</f>
        <v>0</v>
      </c>
      <c r="T2674" s="545">
        <f>'Foglio deposito bis'!$F$91*IF(ABS(N2674)&lt;'Sollecitazioni nel paramento'!$G$58,ABS(N2674)*'Sollecitazioni nel paramento'!$G$54,'Sollecitazioni nel paramento'!$G$53)*IF(N2674&lt;0,-1,1)</f>
        <v>-637767.84710931941</v>
      </c>
      <c r="U2674" s="545">
        <f>'Foglio deposito bis'!$F$92*IF(ABS(O2674)&lt;'Sollecitazioni nel paramento'!$G$58,ABS(O2674)*'Sollecitazioni nel paramento'!$G$54,'Sollecitazioni nel paramento'!$G$53)*IF(O2674&lt;0,-1,1)</f>
        <v>1662039.1047339395</v>
      </c>
      <c r="V2674" s="472">
        <f t="shared" si="185"/>
        <v>-9086619.8915148564</v>
      </c>
      <c r="W2674" s="551"/>
      <c r="X2674" s="551"/>
    </row>
    <row r="2675" spans="1:24" x14ac:dyDescent="0.25">
      <c r="A2675" s="545">
        <f t="shared" si="184"/>
        <v>9183998.0521339588</v>
      </c>
      <c r="B2675" s="3">
        <f t="shared" si="186"/>
        <v>22.699999999999942</v>
      </c>
      <c r="C2675" s="545">
        <f>'Foglio deposito bis'!$E$163/sezione!$B$247*B2675</f>
        <v>263.68834735612836</v>
      </c>
      <c r="D2675" s="603">
        <f>-'Sollecitazioni nel paramento'!$G$47*'Sollecitazioni nel paramento'!$G$41*IF(DATI!$G$211="dx",DATI!$E$61,DATI!$E$64*DATI!$E$63)*1000*C2675^2*sezione!$AD$5*(1-sezione!$AD$6)</f>
        <v>-1546982859.1755817</v>
      </c>
      <c r="E2675" s="545">
        <f>-'Foglio deposito bis'!$F$88*(C2675-sezione!$AL$37)*IF(ABS(K2675)&lt;'Sollecitazioni nel paramento'!$G$58,ABS(K2675)*'Sollecitazioni nel paramento'!$G$54,'Sollecitazioni nel paramento'!$G$53)</f>
        <v>0</v>
      </c>
      <c r="F2675" s="545">
        <f>-'Foglio deposito bis'!$F$89*(C2675-sezione!$AM$37)*IF(ABS(L2675)&lt;'Sollecitazioni nel paramento'!$G$58,ABS(L2675)*'Sollecitazioni nel paramento'!$G$54,'Sollecitazioni nel paramento'!$G$53)</f>
        <v>-31299740.984145269</v>
      </c>
      <c r="G2675" s="545">
        <f>-'Foglio deposito bis'!$F$90*(C2675-sezione!$AN$37)*IF(ABS(M2675)&lt;'Sollecitazioni nel paramento'!$G$58,ABS(M2675)*'Sollecitazioni nel paramento'!$G$54,'Sollecitazioni nel paramento'!$G$53)</f>
        <v>0</v>
      </c>
      <c r="H2675" s="545">
        <f>-'Foglio deposito bis'!$F$91*(C2675-sezione!$AO$37)*IF(ABS(N2675)&lt;'Sollecitazioni nel paramento'!$G$58,ABS(N2675)*'Sollecitazioni nel paramento'!$G$54,'Sollecitazioni nel paramento'!$G$53)</f>
        <v>-67048756.043496154</v>
      </c>
      <c r="I2675" s="472">
        <f>-'Foglio deposito bis'!$F$92*(C2675-sezione!$AP$37)*IF(ABS(O2675)&lt;'Sollecitazioni nel paramento'!$G$58,ABS(O2675)*'Sollecitazioni nel paramento'!$G$54,'Sollecitazioni nel paramento'!$G$53)</f>
        <v>922017539.42958081</v>
      </c>
      <c r="J2675" s="472">
        <f t="shared" si="183"/>
        <v>-723313816.77364218</v>
      </c>
      <c r="K2675" s="550">
        <f>'Sollecitazioni nel paramento'!$G$60*(sezione!$AL$37-C2675)/C2675</f>
        <v>-2.969070205780004E-3</v>
      </c>
      <c r="L2675" s="550">
        <f>'Sollecitazioni nel paramento'!$G$60*(sezione!$AM$37-C2675)/C2675</f>
        <v>-2.7036053086700062E-3</v>
      </c>
      <c r="M2675" s="551">
        <f>'Sollecitazioni nel paramento'!$G$60*(sezione!$AN$37-C2675)/C2675</f>
        <v>-2.4381404115600088E-3</v>
      </c>
      <c r="N2675" s="551">
        <f>'Sollecitazioni nel paramento'!$G$60*(sezione!$AO$37-C2675)/C2675</f>
        <v>-1.3762808231200167E-3</v>
      </c>
      <c r="O2675" s="551">
        <f>'Sollecitazioni nel paramento'!$G$60*(sezione!$AP$37-C2675)/C2675</f>
        <v>7.3633433335333299E-3</v>
      </c>
      <c r="P2675" s="545">
        <f>-'Sollecitazioni nel paramento'!$G$47*'Sollecitazioni nel paramento'!$G$41*IF(DATI!$G$211="dx",DATI!$E$61,DATI!$E$64*DATI!$E$63)*1000*C2675*sezione!$AD$5</f>
        <v>-10045734.96922642</v>
      </c>
      <c r="Q2675" s="545">
        <f>'Foglio deposito bis'!$F$88*IF(ABS(K2675)&lt;'Sollecitazioni nel paramento'!$G$58,ABS(K2675)*'Sollecitazioni nel paramento'!$G$54,'Sollecitazioni nel paramento'!$G$53)*IF(K2675&lt;0,-1,1)</f>
        <v>0</v>
      </c>
      <c r="R2675" s="545">
        <f>'Foglio deposito bis'!$F$89*IF(ABS(L2675)&lt;'Sollecitazioni nel paramento'!$G$58,ABS(L2675)*'Sollecitazioni nel paramento'!$G$54,'Sollecitazioni nel paramento'!$G$53)*IF(L2675&lt;0,-1,1)</f>
        <v>-153664.85805602249</v>
      </c>
      <c r="S2675" s="545">
        <f>'Foglio deposito bis'!$F$90*IF(ABS(M2675)&lt;'Sollecitazioni nel paramento'!$G$58,ABS(M2675)*'Sollecitazioni nel paramento'!$G$54,'Sollecitazioni nel paramento'!$G$53)*IF(M2675&lt;0,-1,1)</f>
        <v>0</v>
      </c>
      <c r="T2675" s="545">
        <f>'Foglio deposito bis'!$F$91*IF(ABS(N2675)&lt;'Sollecitazioni nel paramento'!$G$58,ABS(N2675)*'Sollecitazioni nel paramento'!$G$54,'Sollecitazioni nel paramento'!$G$53)*IF(N2675&lt;0,-1,1)</f>
        <v>-646637.32958545734</v>
      </c>
      <c r="U2675" s="545">
        <f>'Foglio deposito bis'!$F$92*IF(ABS(O2675)&lt;'Sollecitazioni nel paramento'!$G$58,ABS(O2675)*'Sollecitazioni nel paramento'!$G$54,'Sollecitazioni nel paramento'!$G$53)*IF(O2675&lt;0,-1,1)</f>
        <v>1662039.1047339395</v>
      </c>
      <c r="V2675" s="472">
        <f t="shared" si="185"/>
        <v>-9183998.0521339588</v>
      </c>
      <c r="W2675" s="551"/>
      <c r="X2675" s="551"/>
    </row>
    <row r="2676" spans="1:24" x14ac:dyDescent="0.25">
      <c r="A2676" s="545">
        <f t="shared" si="184"/>
        <v>9281221.2872949615</v>
      </c>
      <c r="B2676" s="3">
        <f t="shared" si="186"/>
        <v>22.899999999999942</v>
      </c>
      <c r="C2676" s="545">
        <f>'Foglio deposito bis'!$E$163/sezione!$B$247*B2676</f>
        <v>266.01159270728368</v>
      </c>
      <c r="D2676" s="603">
        <f>-'Sollecitazioni nel paramento'!$G$47*'Sollecitazioni nel paramento'!$G$41*IF(DATI!$G$211="dx",DATI!$E$61,DATI!$E$64*DATI!$E$63)*1000*C2676^2*sezione!$AD$5*(1-sezione!$AD$6)</f>
        <v>-1574362555.4159148</v>
      </c>
      <c r="E2676" s="545">
        <f>-'Foglio deposito bis'!$F$88*(C2676-sezione!$AL$37)*IF(ABS(K2676)&lt;'Sollecitazioni nel paramento'!$G$58,ABS(K2676)*'Sollecitazioni nel paramento'!$G$54,'Sollecitazioni nel paramento'!$G$53)</f>
        <v>0</v>
      </c>
      <c r="F2676" s="545">
        <f>-'Foglio deposito bis'!$F$89*(C2676-sezione!$AM$37)*IF(ABS(L2676)&lt;'Sollecitazioni nel paramento'!$G$58,ABS(L2676)*'Sollecitazioni nel paramento'!$G$54,'Sollecitazioni nel paramento'!$G$53)</f>
        <v>-31656742.151259869</v>
      </c>
      <c r="G2676" s="545">
        <f>-'Foglio deposito bis'!$F$90*(C2676-sezione!$AN$37)*IF(ABS(M2676)&lt;'Sollecitazioni nel paramento'!$G$58,ABS(M2676)*'Sollecitazioni nel paramento'!$G$54,'Sollecitazioni nel paramento'!$G$53)</f>
        <v>0</v>
      </c>
      <c r="H2676" s="545">
        <f>-'Foglio deposito bis'!$F$91*(C2676-sezione!$AO$37)*IF(ABS(N2676)&lt;'Sollecitazioni nel paramento'!$G$58,ABS(N2676)*'Sollecitazioni nel paramento'!$G$54,'Sollecitazioni nel paramento'!$G$53)</f>
        <v>-69474897.282559842</v>
      </c>
      <c r="I2676" s="472">
        <f>-'Foglio deposito bis'!$F$92*(C2676-sezione!$AP$37)*IF(ABS(O2676)&lt;'Sollecitazioni nel paramento'!$G$58,ABS(O2676)*'Sollecitazioni nel paramento'!$G$54,'Sollecitazioni nel paramento'!$G$53)</f>
        <v>918156214.80606937</v>
      </c>
      <c r="J2676" s="472">
        <f t="shared" si="183"/>
        <v>-757337980.04366517</v>
      </c>
      <c r="K2676" s="550">
        <f>'Sollecitazioni nel paramento'!$G$60*(sezione!$AL$37-C2676)/C2676</f>
        <v>-2.9737071472142403E-3</v>
      </c>
      <c r="L2676" s="550">
        <f>'Sollecitazioni nel paramento'!$G$60*(sezione!$AM$37-C2676)/C2676</f>
        <v>-2.7105607208213599E-3</v>
      </c>
      <c r="M2676" s="551">
        <f>'Sollecitazioni nel paramento'!$G$60*(sezione!$AN$37-C2676)/C2676</f>
        <v>-2.44741429442848E-3</v>
      </c>
      <c r="N2676" s="551">
        <f>'Sollecitazioni nel paramento'!$G$60*(sezione!$AO$37-C2676)/C2676</f>
        <v>-1.39482858885696E-3</v>
      </c>
      <c r="O2676" s="551">
        <f>'Sollecitazioni nel paramento'!$G$60*(sezione!$AP$37-C2676)/C2676</f>
        <v>7.2684669725417705E-3</v>
      </c>
      <c r="P2676" s="545">
        <f>-'Sollecitazioni nel paramento'!$G$47*'Sollecitazioni nel paramento'!$G$41*IF(DATI!$G$211="dx",DATI!$E$61,DATI!$E$64*DATI!$E$63)*1000*C2676*sezione!$AD$5</f>
        <v>-10134243.647369383</v>
      </c>
      <c r="Q2676" s="545">
        <f>'Foglio deposito bis'!$F$88*IF(ABS(K2676)&lt;'Sollecitazioni nel paramento'!$G$58,ABS(K2676)*'Sollecitazioni nel paramento'!$G$54,'Sollecitazioni nel paramento'!$G$53)*IF(K2676&lt;0,-1,1)</f>
        <v>0</v>
      </c>
      <c r="R2676" s="545">
        <f>'Foglio deposito bis'!$F$89*IF(ABS(L2676)&lt;'Sollecitazioni nel paramento'!$G$58,ABS(L2676)*'Sollecitazioni nel paramento'!$G$54,'Sollecitazioni nel paramento'!$G$53)*IF(L2676&lt;0,-1,1)</f>
        <v>-153664.85805602249</v>
      </c>
      <c r="S2676" s="545">
        <f>'Foglio deposito bis'!$F$90*IF(ABS(M2676)&lt;'Sollecitazioni nel paramento'!$G$58,ABS(M2676)*'Sollecitazioni nel paramento'!$G$54,'Sollecitazioni nel paramento'!$G$53)*IF(M2676&lt;0,-1,1)</f>
        <v>0</v>
      </c>
      <c r="T2676" s="545">
        <f>'Foglio deposito bis'!$F$91*IF(ABS(N2676)&lt;'Sollecitazioni nel paramento'!$G$58,ABS(N2676)*'Sollecitazioni nel paramento'!$G$54,'Sollecitazioni nel paramento'!$G$53)*IF(N2676&lt;0,-1,1)</f>
        <v>-655351.88660349662</v>
      </c>
      <c r="U2676" s="545">
        <f>'Foglio deposito bis'!$F$92*IF(ABS(O2676)&lt;'Sollecitazioni nel paramento'!$G$58,ABS(O2676)*'Sollecitazioni nel paramento'!$G$54,'Sollecitazioni nel paramento'!$G$53)*IF(O2676&lt;0,-1,1)</f>
        <v>1662039.1047339395</v>
      </c>
      <c r="V2676" s="472">
        <f t="shared" si="185"/>
        <v>-9281221.2872949615</v>
      </c>
      <c r="W2676" s="551"/>
      <c r="X2676" s="551"/>
    </row>
    <row r="2677" spans="1:24" x14ac:dyDescent="0.25">
      <c r="A2677" s="545">
        <f t="shared" si="184"/>
        <v>9765149.7082000542</v>
      </c>
      <c r="B2677" s="3">
        <f t="shared" ref="B2677:B2727" si="187">B2676+1</f>
        <v>23.899999999999942</v>
      </c>
      <c r="C2677" s="545">
        <f>'Foglio deposito bis'!$E$163/sezione!$B$247*B2677</f>
        <v>277.62781946306029</v>
      </c>
      <c r="D2677" s="603">
        <f>-'Sollecitazioni nel paramento'!$G$47*'Sollecitazioni nel paramento'!$G$41*IF(DATI!$G$211="dx",DATI!$E$61,DATI!$E$64*DATI!$E$63)*1000*C2677^2*sezione!$AD$5*(1-sezione!$AD$6)</f>
        <v>-1714863628.2281513</v>
      </c>
      <c r="E2677" s="545">
        <f>-'Foglio deposito bis'!$F$88*(C2677-sezione!$AL$37)*IF(ABS(K2677)&lt;'Sollecitazioni nel paramento'!$G$58,ABS(K2677)*'Sollecitazioni nel paramento'!$G$54,'Sollecitazioni nel paramento'!$G$53)</f>
        <v>0</v>
      </c>
      <c r="F2677" s="545">
        <f>-'Foglio deposito bis'!$F$89*(C2677-sezione!$AM$37)*IF(ABS(L2677)&lt;'Sollecitazioni nel paramento'!$G$58,ABS(L2677)*'Sollecitazioni nel paramento'!$G$54,'Sollecitazioni nel paramento'!$G$53)</f>
        <v>-33441747.98683285</v>
      </c>
      <c r="G2677" s="545">
        <f>-'Foglio deposito bis'!$F$90*(C2677-sezione!$AN$37)*IF(ABS(M2677)&lt;'Sollecitazioni nel paramento'!$G$58,ABS(M2677)*'Sollecitazioni nel paramento'!$G$54,'Sollecitazioni nel paramento'!$G$53)</f>
        <v>0</v>
      </c>
      <c r="H2677" s="545">
        <f>-'Foglio deposito bis'!$F$91*(C2677-sezione!$AO$37)*IF(ABS(N2677)&lt;'Sollecitazioni nel paramento'!$G$58,ABS(N2677)*'Sollecitazioni nel paramento'!$G$54,'Sollecitazioni nel paramento'!$G$53)</f>
        <v>-81955644.261866525</v>
      </c>
      <c r="I2677" s="472">
        <f>-'Foglio deposito bis'!$F$92*(C2677-sezione!$AP$37)*IF(ABS(O2677)&lt;'Sollecitazioni nel paramento'!$G$58,ABS(O2677)*'Sollecitazioni nel paramento'!$G$54,'Sollecitazioni nel paramento'!$G$53)</f>
        <v>898849591.68851209</v>
      </c>
      <c r="J2677" s="472">
        <f t="shared" ref="J2677:J2727" si="188">D2677+E2677+F2677+G2677+H2677+I2677</f>
        <v>-931411428.78833866</v>
      </c>
      <c r="K2677" s="550">
        <f>'Sollecitazioni nel paramento'!$G$60*(sezione!$AL$37-C2677)/C2677</f>
        <v>-2.9957277686697113E-3</v>
      </c>
      <c r="L2677" s="550">
        <f>'Sollecitazioni nel paramento'!$G$60*(sezione!$AM$37-C2677)/C2677</f>
        <v>-2.7435916530045667E-3</v>
      </c>
      <c r="M2677" s="551">
        <f>'Sollecitazioni nel paramento'!$G$60*(sezione!$AN$37-C2677)/C2677</f>
        <v>-2.4914555373394226E-3</v>
      </c>
      <c r="N2677" s="551">
        <f>'Sollecitazioni nel paramento'!$G$60*(sezione!$AO$37-C2677)/C2677</f>
        <v>-1.4829110746788447E-3</v>
      </c>
      <c r="O2677" s="551">
        <f>'Sollecitazioni nel paramento'!$G$60*(sezione!$AP$37-C2677)/C2677</f>
        <v>6.817903500887304E-3</v>
      </c>
      <c r="P2677" s="545">
        <f>-'Sollecitazioni nel paramento'!$G$47*'Sollecitazioni nel paramento'!$G$41*IF(DATI!$G$211="dx",DATI!$E$61,DATI!$E$64*DATI!$E$63)*1000*C2677*sezione!$AD$5</f>
        <v>-10576787.038084205</v>
      </c>
      <c r="Q2677" s="545">
        <f>'Foglio deposito bis'!$F$88*IF(ABS(K2677)&lt;'Sollecitazioni nel paramento'!$G$58,ABS(K2677)*'Sollecitazioni nel paramento'!$G$54,'Sollecitazioni nel paramento'!$G$53)*IF(K2677&lt;0,-1,1)</f>
        <v>0</v>
      </c>
      <c r="R2677" s="545">
        <f>'Foglio deposito bis'!$F$89*IF(ABS(L2677)&lt;'Sollecitazioni nel paramento'!$G$58,ABS(L2677)*'Sollecitazioni nel paramento'!$G$54,'Sollecitazioni nel paramento'!$G$53)*IF(L2677&lt;0,-1,1)</f>
        <v>-153664.85805602249</v>
      </c>
      <c r="S2677" s="545">
        <f>'Foglio deposito bis'!$F$90*IF(ABS(M2677)&lt;'Sollecitazioni nel paramento'!$G$58,ABS(M2677)*'Sollecitazioni nel paramento'!$G$54,'Sollecitazioni nel paramento'!$G$53)*IF(M2677&lt;0,-1,1)</f>
        <v>0</v>
      </c>
      <c r="T2677" s="545">
        <f>'Foglio deposito bis'!$F$91*IF(ABS(N2677)&lt;'Sollecitazioni nel paramento'!$G$58,ABS(N2677)*'Sollecitazioni nel paramento'!$G$54,'Sollecitazioni nel paramento'!$G$53)*IF(N2677&lt;0,-1,1)</f>
        <v>-696736.91679376725</v>
      </c>
      <c r="U2677" s="545">
        <f>'Foglio deposito bis'!$F$92*IF(ABS(O2677)&lt;'Sollecitazioni nel paramento'!$G$58,ABS(O2677)*'Sollecitazioni nel paramento'!$G$54,'Sollecitazioni nel paramento'!$G$53)*IF(O2677&lt;0,-1,1)</f>
        <v>1662039.1047339395</v>
      </c>
      <c r="V2677" s="472">
        <f t="shared" si="185"/>
        <v>-9765149.7082000542</v>
      </c>
      <c r="W2677" s="551"/>
      <c r="X2677" s="551"/>
    </row>
    <row r="2678" spans="1:24" x14ac:dyDescent="0.25">
      <c r="A2678" s="545">
        <f t="shared" ref="A2678:A2727" si="189">ABS(V2678)</f>
        <v>10245754.030294683</v>
      </c>
      <c r="B2678" s="3">
        <f t="shared" si="187"/>
        <v>24.899999999999942</v>
      </c>
      <c r="C2678" s="545">
        <f>'Foglio deposito bis'!$E$163/sezione!$B$247*B2678</f>
        <v>289.2440462188369</v>
      </c>
      <c r="D2678" s="603">
        <f>-'Sollecitazioni nel paramento'!$G$47*'Sollecitazioni nel paramento'!$G$41*IF(DATI!$G$211="dx",DATI!$E$61,DATI!$E$64*DATI!$E$63)*1000*C2678^2*sezione!$AD$5*(1-sezione!$AD$6)</f>
        <v>-1861369020.3913383</v>
      </c>
      <c r="E2678" s="545">
        <f>-'Foglio deposito bis'!$F$88*(C2678-sezione!$AL$37)*IF(ABS(K2678)&lt;'Sollecitazioni nel paramento'!$G$58,ABS(K2678)*'Sollecitazioni nel paramento'!$G$54,'Sollecitazioni nel paramento'!$G$53)</f>
        <v>0</v>
      </c>
      <c r="F2678" s="545">
        <f>-'Foglio deposito bis'!$F$89*(C2678-sezione!$AM$37)*IF(ABS(L2678)&lt;'Sollecitazioni nel paramento'!$G$58,ABS(L2678)*'Sollecitazioni nel paramento'!$G$54,'Sollecitazioni nel paramento'!$G$53)</f>
        <v>-35226753.822405837</v>
      </c>
      <c r="G2678" s="545">
        <f>-'Foglio deposito bis'!$F$90*(C2678-sezione!$AN$37)*IF(ABS(M2678)&lt;'Sollecitazioni nel paramento'!$G$58,ABS(M2678)*'Sollecitazioni nel paramento'!$G$54,'Sollecitazioni nel paramento'!$G$53)</f>
        <v>0</v>
      </c>
      <c r="H2678" s="545">
        <f>-'Foglio deposito bis'!$F$91*(C2678-sezione!$AO$37)*IF(ABS(N2678)&lt;'Sollecitazioni nel paramento'!$G$58,ABS(N2678)*'Sollecitazioni nel paramento'!$G$54,'Sollecitazioni nel paramento'!$G$53)</f>
        <v>-94968247.050847366</v>
      </c>
      <c r="I2678" s="472">
        <f>-'Foglio deposito bis'!$F$92*(C2678-sezione!$AP$37)*IF(ABS(O2678)&lt;'Sollecitazioni nel paramento'!$G$58,ABS(O2678)*'Sollecitazioni nel paramento'!$G$54,'Sollecitazioni nel paramento'!$G$53)</f>
        <v>879542968.57095468</v>
      </c>
      <c r="J2678" s="472">
        <f t="shared" si="188"/>
        <v>-1112021052.6936369</v>
      </c>
      <c r="K2678" s="550">
        <f>'Sollecitazioni nel paramento'!$G$60*(sezione!$AL$37-C2678)/C2678</f>
        <v>-3.0159796655102851E-3</v>
      </c>
      <c r="L2678" s="550">
        <f>'Sollecitazioni nel paramento'!$G$60*(sezione!$AM$37-C2678)/C2678</f>
        <v>-2.7739694982654279E-3</v>
      </c>
      <c r="M2678" s="551">
        <f>'Sollecitazioni nel paramento'!$G$60*(sezione!$AN$37-C2678)/C2678</f>
        <v>-2.5319593310205702E-3</v>
      </c>
      <c r="N2678" s="551">
        <f>'Sollecitazioni nel paramento'!$G$60*(sezione!$AO$37-C2678)/C2678</f>
        <v>-1.5639186620411405E-3</v>
      </c>
      <c r="O2678" s="551">
        <f>'Sollecitazioni nel paramento'!$G$60*(sezione!$AP$37-C2678)/C2678</f>
        <v>6.4035298663135155E-3</v>
      </c>
      <c r="P2678" s="545">
        <f>-'Sollecitazioni nel paramento'!$G$47*'Sollecitazioni nel paramento'!$G$41*IF(DATI!$G$211="dx",DATI!$E$61,DATI!$E$64*DATI!$E$63)*1000*C2678*sezione!$AD$5</f>
        <v>-11019330.428799028</v>
      </c>
      <c r="Q2678" s="545">
        <f>'Foglio deposito bis'!$F$88*IF(ABS(K2678)&lt;'Sollecitazioni nel paramento'!$G$58,ABS(K2678)*'Sollecitazioni nel paramento'!$G$54,'Sollecitazioni nel paramento'!$G$53)*IF(K2678&lt;0,-1,1)</f>
        <v>0</v>
      </c>
      <c r="R2678" s="545">
        <f>'Foglio deposito bis'!$F$89*IF(ABS(L2678)&lt;'Sollecitazioni nel paramento'!$G$58,ABS(L2678)*'Sollecitazioni nel paramento'!$G$54,'Sollecitazioni nel paramento'!$G$53)*IF(L2678&lt;0,-1,1)</f>
        <v>-153664.85805602249</v>
      </c>
      <c r="S2678" s="545">
        <f>'Foglio deposito bis'!$F$90*IF(ABS(M2678)&lt;'Sollecitazioni nel paramento'!$G$58,ABS(M2678)*'Sollecitazioni nel paramento'!$G$54,'Sollecitazioni nel paramento'!$G$53)*IF(M2678&lt;0,-1,1)</f>
        <v>0</v>
      </c>
      <c r="T2678" s="545">
        <f>'Foglio deposito bis'!$F$91*IF(ABS(N2678)&lt;'Sollecitazioni nel paramento'!$G$58,ABS(N2678)*'Sollecitazioni nel paramento'!$G$54,'Sollecitazioni nel paramento'!$G$53)*IF(N2678&lt;0,-1,1)</f>
        <v>-734797.84817357454</v>
      </c>
      <c r="U2678" s="545">
        <f>'Foglio deposito bis'!$F$92*IF(ABS(O2678)&lt;'Sollecitazioni nel paramento'!$G$58,ABS(O2678)*'Sollecitazioni nel paramento'!$G$54,'Sollecitazioni nel paramento'!$G$53)*IF(O2678&lt;0,-1,1)</f>
        <v>1662039.1047339395</v>
      </c>
      <c r="V2678" s="472">
        <f t="shared" ref="V2678:V2727" si="190">P2678+Q2678+R2678+S2678+T2678+U2678</f>
        <v>-10245754.030294683</v>
      </c>
      <c r="W2678" s="551"/>
      <c r="X2678" s="551"/>
    </row>
    <row r="2679" spans="1:24" x14ac:dyDescent="0.25">
      <c r="A2679" s="545">
        <f t="shared" si="189"/>
        <v>10723419.284329096</v>
      </c>
      <c r="B2679" s="3">
        <f t="shared" si="187"/>
        <v>25.899999999999942</v>
      </c>
      <c r="C2679" s="545">
        <f>'Foglio deposito bis'!$E$163/sezione!$B$247*B2679</f>
        <v>300.86027297461351</v>
      </c>
      <c r="D2679" s="603">
        <f>-'Sollecitazioni nel paramento'!$G$47*'Sollecitazioni nel paramento'!$G$41*IF(DATI!$G$211="dx",DATI!$E$61,DATI!$E$64*DATI!$E$63)*1000*C2679^2*sezione!$AD$5*(1-sezione!$AD$6)</f>
        <v>-2013878731.9054756</v>
      </c>
      <c r="E2679" s="545">
        <f>-'Foglio deposito bis'!$F$88*(C2679-sezione!$AL$37)*IF(ABS(K2679)&lt;'Sollecitazioni nel paramento'!$G$58,ABS(K2679)*'Sollecitazioni nel paramento'!$G$54,'Sollecitazioni nel paramento'!$G$53)</f>
        <v>0</v>
      </c>
      <c r="F2679" s="545">
        <f>-'Foglio deposito bis'!$F$89*(C2679-sezione!$AM$37)*IF(ABS(L2679)&lt;'Sollecitazioni nel paramento'!$G$58,ABS(L2679)*'Sollecitazioni nel paramento'!$G$54,'Sollecitazioni nel paramento'!$G$53)</f>
        <v>-37011759.657978818</v>
      </c>
      <c r="G2679" s="545">
        <f>-'Foglio deposito bis'!$F$90*(C2679-sezione!$AN$37)*IF(ABS(M2679)&lt;'Sollecitazioni nel paramento'!$G$58,ABS(M2679)*'Sollecitazioni nel paramento'!$G$54,'Sollecitazioni nel paramento'!$G$53)</f>
        <v>0</v>
      </c>
      <c r="H2679" s="545">
        <f>-'Foglio deposito bis'!$F$91*(C2679-sezione!$AO$37)*IF(ABS(N2679)&lt;'Sollecitazioni nel paramento'!$G$58,ABS(N2679)*'Sollecitazioni nel paramento'!$G$54,'Sollecitazioni nel paramento'!$G$53)</f>
        <v>-108451100.72946288</v>
      </c>
      <c r="I2679" s="472">
        <f>-'Foglio deposito bis'!$F$92*(C2679-sezione!$AP$37)*IF(ABS(O2679)&lt;'Sollecitazioni nel paramento'!$G$58,ABS(O2679)*'Sollecitazioni nel paramento'!$G$54,'Sollecitazioni nel paramento'!$G$53)</f>
        <v>860236345.45339715</v>
      </c>
      <c r="J2679" s="472">
        <f t="shared" si="188"/>
        <v>-1299105246.83952</v>
      </c>
      <c r="K2679" s="550">
        <f>'Sollecitazioni nel paramento'!$G$60*(sezione!$AL$37-C2679)/C2679</f>
        <v>-3.0346677093129769E-3</v>
      </c>
      <c r="L2679" s="550">
        <f>'Sollecitazioni nel paramento'!$G$60*(sezione!$AM$37-C2679)/C2679</f>
        <v>-2.8020015639694655E-3</v>
      </c>
      <c r="M2679" s="551">
        <f>'Sollecitazioni nel paramento'!$G$60*(sezione!$AN$37-C2679)/C2679</f>
        <v>-2.5693354186259536E-3</v>
      </c>
      <c r="N2679" s="551">
        <f>'Sollecitazioni nel paramento'!$G$60*(sezione!$AO$37-C2679)/C2679</f>
        <v>-1.6386708372519074E-3</v>
      </c>
      <c r="O2679" s="551">
        <f>'Sollecitazioni nel paramento'!$G$60*(sezione!$AP$37-C2679)/C2679</f>
        <v>6.0211541957994781E-3</v>
      </c>
      <c r="P2679" s="545">
        <f>-'Sollecitazioni nel paramento'!$G$47*'Sollecitazioni nel paramento'!$G$41*IF(DATI!$G$211="dx",DATI!$E$61,DATI!$E$64*DATI!$E$63)*1000*C2679*sezione!$AD$5</f>
        <v>-11461873.81951385</v>
      </c>
      <c r="Q2679" s="545">
        <f>'Foglio deposito bis'!$F$88*IF(ABS(K2679)&lt;'Sollecitazioni nel paramento'!$G$58,ABS(K2679)*'Sollecitazioni nel paramento'!$G$54,'Sollecitazioni nel paramento'!$G$53)*IF(K2679&lt;0,-1,1)</f>
        <v>0</v>
      </c>
      <c r="R2679" s="545">
        <f>'Foglio deposito bis'!$F$89*IF(ABS(L2679)&lt;'Sollecitazioni nel paramento'!$G$58,ABS(L2679)*'Sollecitazioni nel paramento'!$G$54,'Sollecitazioni nel paramento'!$G$53)*IF(L2679&lt;0,-1,1)</f>
        <v>-153664.85805602249</v>
      </c>
      <c r="S2679" s="545">
        <f>'Foglio deposito bis'!$F$90*IF(ABS(M2679)&lt;'Sollecitazioni nel paramento'!$G$58,ABS(M2679)*'Sollecitazioni nel paramento'!$G$54,'Sollecitazioni nel paramento'!$G$53)*IF(M2679&lt;0,-1,1)</f>
        <v>0</v>
      </c>
      <c r="T2679" s="545">
        <f>'Foglio deposito bis'!$F$91*IF(ABS(N2679)&lt;'Sollecitazioni nel paramento'!$G$58,ABS(N2679)*'Sollecitazioni nel paramento'!$G$54,'Sollecitazioni nel paramento'!$G$53)*IF(N2679&lt;0,-1,1)</f>
        <v>-769919.71149316488</v>
      </c>
      <c r="U2679" s="545">
        <f>'Foglio deposito bis'!$F$92*IF(ABS(O2679)&lt;'Sollecitazioni nel paramento'!$G$58,ABS(O2679)*'Sollecitazioni nel paramento'!$G$54,'Sollecitazioni nel paramento'!$G$53)*IF(O2679&lt;0,-1,1)</f>
        <v>1662039.1047339395</v>
      </c>
      <c r="V2679" s="472">
        <f t="shared" si="190"/>
        <v>-10723419.284329096</v>
      </c>
      <c r="W2679" s="551"/>
      <c r="X2679" s="551"/>
    </row>
    <row r="2680" spans="1:24" x14ac:dyDescent="0.25">
      <c r="A2680" s="545">
        <f t="shared" si="189"/>
        <v>11198473.247410377</v>
      </c>
      <c r="B2680" s="3">
        <f t="shared" si="187"/>
        <v>26.899999999999942</v>
      </c>
      <c r="C2680" s="545">
        <f>'Foglio deposito bis'!$E$163/sezione!$B$247*B2680</f>
        <v>312.47649973039012</v>
      </c>
      <c r="D2680" s="603">
        <f>-'Sollecitazioni nel paramento'!$G$47*'Sollecitazioni nel paramento'!$G$41*IF(DATI!$G$211="dx",DATI!$E$61,DATI!$E$64*DATI!$E$63)*1000*C2680^2*sezione!$AD$5*(1-sezione!$AD$6)</f>
        <v>-2172392762.7705631</v>
      </c>
      <c r="E2680" s="545">
        <f>-'Foglio deposito bis'!$F$88*(C2680-sezione!$AL$37)*IF(ABS(K2680)&lt;'Sollecitazioni nel paramento'!$G$58,ABS(K2680)*'Sollecitazioni nel paramento'!$G$54,'Sollecitazioni nel paramento'!$G$53)</f>
        <v>0</v>
      </c>
      <c r="F2680" s="545">
        <f>-'Foglio deposito bis'!$F$89*(C2680-sezione!$AM$37)*IF(ABS(L2680)&lt;'Sollecitazioni nel paramento'!$G$58,ABS(L2680)*'Sollecitazioni nel paramento'!$G$54,'Sollecitazioni nel paramento'!$G$53)</f>
        <v>-38796765.493551798</v>
      </c>
      <c r="G2680" s="545">
        <f>-'Foglio deposito bis'!$F$90*(C2680-sezione!$AN$37)*IF(ABS(M2680)&lt;'Sollecitazioni nel paramento'!$G$58,ABS(M2680)*'Sollecitazioni nel paramento'!$G$54,'Sollecitazioni nel paramento'!$G$53)</f>
        <v>0</v>
      </c>
      <c r="H2680" s="545">
        <f>-'Foglio deposito bis'!$F$91*(C2680-sezione!$AO$37)*IF(ABS(N2680)&lt;'Sollecitazioni nel paramento'!$G$58,ABS(N2680)*'Sollecitazioni nel paramento'!$G$54,'Sollecitazioni nel paramento'!$G$53)</f>
        <v>-122351760.96057911</v>
      </c>
      <c r="I2680" s="472">
        <f>-'Foglio deposito bis'!$F$92*(C2680-sezione!$AP$37)*IF(ABS(O2680)&lt;'Sollecitazioni nel paramento'!$G$58,ABS(O2680)*'Sollecitazioni nel paramento'!$G$54,'Sollecitazioni nel paramento'!$G$53)</f>
        <v>840929722.33583987</v>
      </c>
      <c r="J2680" s="472">
        <f t="shared" si="188"/>
        <v>-1492611566.888854</v>
      </c>
      <c r="K2680" s="550">
        <f>'Sollecitazioni nel paramento'!$G$60*(sezione!$AL$37-C2680)/C2680</f>
        <v>-3.0519663074797809E-3</v>
      </c>
      <c r="L2680" s="550">
        <f>'Sollecitazioni nel paramento'!$G$60*(sezione!$AM$37-C2680)/C2680</f>
        <v>-2.8279494612196711E-3</v>
      </c>
      <c r="M2680" s="551">
        <f>'Sollecitazioni nel paramento'!$G$60*(sezione!$AN$37-C2680)/C2680</f>
        <v>-2.6039326149595613E-3</v>
      </c>
      <c r="N2680" s="551">
        <f>'Sollecitazioni nel paramento'!$G$60*(sezione!$AO$37-C2680)/C2680</f>
        <v>-1.7078652299191226E-3</v>
      </c>
      <c r="O2680" s="551">
        <f>'Sollecitazioni nel paramento'!$G$60*(sezione!$AP$37-C2680)/C2680</f>
        <v>5.6672079431675272E-3</v>
      </c>
      <c r="P2680" s="545">
        <f>-'Sollecitazioni nel paramento'!$G$47*'Sollecitazioni nel paramento'!$G$41*IF(DATI!$G$211="dx",DATI!$E$61,DATI!$E$64*DATI!$E$63)*1000*C2680*sezione!$AD$5</f>
        <v>-11904417.21022867</v>
      </c>
      <c r="Q2680" s="545">
        <f>'Foglio deposito bis'!$F$88*IF(ABS(K2680)&lt;'Sollecitazioni nel paramento'!$G$58,ABS(K2680)*'Sollecitazioni nel paramento'!$G$54,'Sollecitazioni nel paramento'!$G$53)*IF(K2680&lt;0,-1,1)</f>
        <v>0</v>
      </c>
      <c r="R2680" s="545">
        <f>'Foglio deposito bis'!$F$89*IF(ABS(L2680)&lt;'Sollecitazioni nel paramento'!$G$58,ABS(L2680)*'Sollecitazioni nel paramento'!$G$54,'Sollecitazioni nel paramento'!$G$53)*IF(L2680&lt;0,-1,1)</f>
        <v>-153664.85805602249</v>
      </c>
      <c r="S2680" s="545">
        <f>'Foglio deposito bis'!$F$90*IF(ABS(M2680)&lt;'Sollecitazioni nel paramento'!$G$58,ABS(M2680)*'Sollecitazioni nel paramento'!$G$54,'Sollecitazioni nel paramento'!$G$53)*IF(M2680&lt;0,-1,1)</f>
        <v>0</v>
      </c>
      <c r="T2680" s="545">
        <f>'Foglio deposito bis'!$F$91*IF(ABS(N2680)&lt;'Sollecitazioni nel paramento'!$G$58,ABS(N2680)*'Sollecitazioni nel paramento'!$G$54,'Sollecitazioni nel paramento'!$G$53)*IF(N2680&lt;0,-1,1)</f>
        <v>-802430.28385962581</v>
      </c>
      <c r="U2680" s="545">
        <f>'Foglio deposito bis'!$F$92*IF(ABS(O2680)&lt;'Sollecitazioni nel paramento'!$G$58,ABS(O2680)*'Sollecitazioni nel paramento'!$G$54,'Sollecitazioni nel paramento'!$G$53)*IF(O2680&lt;0,-1,1)</f>
        <v>1662039.1047339395</v>
      </c>
      <c r="V2680" s="472">
        <f t="shared" si="190"/>
        <v>-11198473.247410377</v>
      </c>
      <c r="W2680" s="551"/>
      <c r="X2680" s="551"/>
    </row>
    <row r="2681" spans="1:24" x14ac:dyDescent="0.25">
      <c r="A2681" s="545">
        <f t="shared" si="189"/>
        <v>11671196.703511985</v>
      </c>
      <c r="B2681" s="3">
        <f t="shared" si="187"/>
        <v>27.899999999999942</v>
      </c>
      <c r="C2681" s="545">
        <f>'Foglio deposito bis'!$E$163/sezione!$B$247*B2681</f>
        <v>324.09272648616673</v>
      </c>
      <c r="D2681" s="603">
        <f>-'Sollecitazioni nel paramento'!$G$47*'Sollecitazioni nel paramento'!$G$41*IF(DATI!$G$211="dx",DATI!$E$61,DATI!$E$64*DATI!$E$63)*1000*C2681^2*sezione!$AD$5*(1-sezione!$AD$6)</f>
        <v>-2336911112.9866009</v>
      </c>
      <c r="E2681" s="545">
        <f>-'Foglio deposito bis'!$F$88*(C2681-sezione!$AL$37)*IF(ABS(K2681)&lt;'Sollecitazioni nel paramento'!$G$58,ABS(K2681)*'Sollecitazioni nel paramento'!$G$54,'Sollecitazioni nel paramento'!$G$53)</f>
        <v>0</v>
      </c>
      <c r="F2681" s="545">
        <f>-'Foglio deposito bis'!$F$89*(C2681-sezione!$AM$37)*IF(ABS(L2681)&lt;'Sollecitazioni nel paramento'!$G$58,ABS(L2681)*'Sollecitazioni nel paramento'!$G$54,'Sollecitazioni nel paramento'!$G$53)</f>
        <v>-40581771.329124779</v>
      </c>
      <c r="G2681" s="545">
        <f>-'Foglio deposito bis'!$F$90*(C2681-sezione!$AN$37)*IF(ABS(M2681)&lt;'Sollecitazioni nel paramento'!$G$58,ABS(M2681)*'Sollecitazioni nel paramento'!$G$54,'Sollecitazioni nel paramento'!$G$53)</f>
        <v>0</v>
      </c>
      <c r="H2681" s="545">
        <f>-'Foglio deposito bis'!$F$91*(C2681-sezione!$AO$37)*IF(ABS(N2681)&lt;'Sollecitazioni nel paramento'!$G$58,ABS(N2681)*'Sollecitazioni nel paramento'!$G$54,'Sollecitazioni nel paramento'!$G$53)</f>
        <v>-136625302.30844325</v>
      </c>
      <c r="I2681" s="472">
        <f>-'Foglio deposito bis'!$F$92*(C2681-sezione!$AP$37)*IF(ABS(O2681)&lt;'Sollecitazioni nel paramento'!$G$58,ABS(O2681)*'Sollecitazioni nel paramento'!$G$54,'Sollecitazioni nel paramento'!$G$53)</f>
        <v>821623099.21828246</v>
      </c>
      <c r="J2681" s="472">
        <f t="shared" si="188"/>
        <v>-1692495087.4058864</v>
      </c>
      <c r="K2681" s="550">
        <f>'Sollecitazioni nel paramento'!$G$60*(sezione!$AL$37-C2681)/C2681</f>
        <v>-3.0680248627672439E-3</v>
      </c>
      <c r="L2681" s="550">
        <f>'Sollecitazioni nel paramento'!$G$60*(sezione!$AM$37-C2681)/C2681</f>
        <v>-2.852037294150866E-3</v>
      </c>
      <c r="M2681" s="551">
        <f>'Sollecitazioni nel paramento'!$G$60*(sezione!$AN$37-C2681)/C2681</f>
        <v>-2.6360497255344876E-3</v>
      </c>
      <c r="N2681" s="551">
        <f>'Sollecitazioni nel paramento'!$G$60*(sezione!$AO$37-C2681)/C2681</f>
        <v>-1.772099451068975E-3</v>
      </c>
      <c r="O2681" s="551">
        <f>'Sollecitazioni nel paramento'!$G$60*(sezione!$AP$37-C2681)/C2681</f>
        <v>5.3386341817636719E-3</v>
      </c>
      <c r="P2681" s="545">
        <f>-'Sollecitazioni nel paramento'!$G$47*'Sollecitazioni nel paramento'!$G$41*IF(DATI!$G$211="dx",DATI!$E$61,DATI!$E$64*DATI!$E$63)*1000*C2681*sezione!$AD$5</f>
        <v>-12346960.600943491</v>
      </c>
      <c r="Q2681" s="545">
        <f>'Foglio deposito bis'!$F$88*IF(ABS(K2681)&lt;'Sollecitazioni nel paramento'!$G$58,ABS(K2681)*'Sollecitazioni nel paramento'!$G$54,'Sollecitazioni nel paramento'!$G$53)*IF(K2681&lt;0,-1,1)</f>
        <v>0</v>
      </c>
      <c r="R2681" s="545">
        <f>'Foglio deposito bis'!$F$89*IF(ABS(L2681)&lt;'Sollecitazioni nel paramento'!$G$58,ABS(L2681)*'Sollecitazioni nel paramento'!$G$54,'Sollecitazioni nel paramento'!$G$53)*IF(L2681&lt;0,-1,1)</f>
        <v>-153664.85805602249</v>
      </c>
      <c r="S2681" s="545">
        <f>'Foglio deposito bis'!$F$90*IF(ABS(M2681)&lt;'Sollecitazioni nel paramento'!$G$58,ABS(M2681)*'Sollecitazioni nel paramento'!$G$54,'Sollecitazioni nel paramento'!$G$53)*IF(M2681&lt;0,-1,1)</f>
        <v>0</v>
      </c>
      <c r="T2681" s="545">
        <f>'Foglio deposito bis'!$F$91*IF(ABS(N2681)&lt;'Sollecitazioni nel paramento'!$G$58,ABS(N2681)*'Sollecitazioni nel paramento'!$G$54,'Sollecitazioni nel paramento'!$G$53)*IF(N2681&lt;0,-1,1)</f>
        <v>-832610.34924641205</v>
      </c>
      <c r="U2681" s="545">
        <f>'Foglio deposito bis'!$F$92*IF(ABS(O2681)&lt;'Sollecitazioni nel paramento'!$G$58,ABS(O2681)*'Sollecitazioni nel paramento'!$G$54,'Sollecitazioni nel paramento'!$G$53)*IF(O2681&lt;0,-1,1)</f>
        <v>1662039.1047339395</v>
      </c>
      <c r="V2681" s="472">
        <f t="shared" si="190"/>
        <v>-11671196.703511985</v>
      </c>
      <c r="W2681" s="551"/>
      <c r="X2681" s="551"/>
    </row>
    <row r="2682" spans="1:24" x14ac:dyDescent="0.25">
      <c r="A2682" s="545">
        <f t="shared" si="189"/>
        <v>12141831.573773677</v>
      </c>
      <c r="B2682" s="3">
        <f t="shared" si="187"/>
        <v>28.899999999999942</v>
      </c>
      <c r="C2682" s="545">
        <f>'Foglio deposito bis'!$E$163/sezione!$B$247*B2682</f>
        <v>335.70895324194333</v>
      </c>
      <c r="D2682" s="603">
        <f>-'Sollecitazioni nel paramento'!$G$47*'Sollecitazioni nel paramento'!$G$41*IF(DATI!$G$211="dx",DATI!$E$61,DATI!$E$64*DATI!$E$63)*1000*C2682^2*sezione!$AD$5*(1-sezione!$AD$6)</f>
        <v>-2507433782.5535889</v>
      </c>
      <c r="E2682" s="545">
        <f>-'Foglio deposito bis'!$F$88*(C2682-sezione!$AL$37)*IF(ABS(K2682)&lt;'Sollecitazioni nel paramento'!$G$58,ABS(K2682)*'Sollecitazioni nel paramento'!$G$54,'Sollecitazioni nel paramento'!$G$53)</f>
        <v>0</v>
      </c>
      <c r="F2682" s="545">
        <f>-'Foglio deposito bis'!$F$89*(C2682-sezione!$AM$37)*IF(ABS(L2682)&lt;'Sollecitazioni nel paramento'!$G$58,ABS(L2682)*'Sollecitazioni nel paramento'!$G$54,'Sollecitazioni nel paramento'!$G$53)</f>
        <v>-42366777.164697766</v>
      </c>
      <c r="G2682" s="545">
        <f>-'Foglio deposito bis'!$F$90*(C2682-sezione!$AN$37)*IF(ABS(M2682)&lt;'Sollecitazioni nel paramento'!$G$58,ABS(M2682)*'Sollecitazioni nel paramento'!$G$54,'Sollecitazioni nel paramento'!$G$53)</f>
        <v>0</v>
      </c>
      <c r="H2682" s="545">
        <f>-'Foglio deposito bis'!$F$91*(C2682-sezione!$AO$37)*IF(ABS(N2682)&lt;'Sollecitazioni nel paramento'!$G$58,ABS(N2682)*'Sollecitazioni nel paramento'!$G$54,'Sollecitazioni nel paramento'!$G$53)</f>
        <v>-151233017.39069399</v>
      </c>
      <c r="I2682" s="472">
        <f>-'Foglio deposito bis'!$F$92*(C2682-sezione!$AP$37)*IF(ABS(O2682)&lt;'Sollecitazioni nel paramento'!$G$58,ABS(O2682)*'Sollecitazioni nel paramento'!$G$54,'Sollecitazioni nel paramento'!$G$53)</f>
        <v>802316476.10072505</v>
      </c>
      <c r="J2682" s="472">
        <f t="shared" si="188"/>
        <v>-1898717101.0082555</v>
      </c>
      <c r="K2682" s="550">
        <f>'Sollecitazioni nel paramento'!$G$60*(sezione!$AL$37-C2682)/C2682</f>
        <v>-3.0829720993496923E-3</v>
      </c>
      <c r="L2682" s="550">
        <f>'Sollecitazioni nel paramento'!$G$60*(sezione!$AM$37-C2682)/C2682</f>
        <v>-2.8744581490245382E-3</v>
      </c>
      <c r="M2682" s="551">
        <f>'Sollecitazioni nel paramento'!$G$60*(sezione!$AN$37-C2682)/C2682</f>
        <v>-2.6659441986993842E-3</v>
      </c>
      <c r="N2682" s="551">
        <f>'Sollecitazioni nel paramento'!$G$60*(sezione!$AO$37-C2682)/C2682</f>
        <v>-1.8318883973987685E-3</v>
      </c>
      <c r="O2682" s="551">
        <f>'Sollecitazioni nel paramento'!$G$60*(sezione!$AP$37-C2682)/C2682</f>
        <v>5.0327990889690814E-3</v>
      </c>
      <c r="P2682" s="545">
        <f>-'Sollecitazioni nel paramento'!$G$47*'Sollecitazioni nel paramento'!$G$41*IF(DATI!$G$211="dx",DATI!$E$61,DATI!$E$64*DATI!$E$63)*1000*C2682*sezione!$AD$5</f>
        <v>-12789503.991658313</v>
      </c>
      <c r="Q2682" s="545">
        <f>'Foglio deposito bis'!$F$88*IF(ABS(K2682)&lt;'Sollecitazioni nel paramento'!$G$58,ABS(K2682)*'Sollecitazioni nel paramento'!$G$54,'Sollecitazioni nel paramento'!$G$53)*IF(K2682&lt;0,-1,1)</f>
        <v>0</v>
      </c>
      <c r="R2682" s="545">
        <f>'Foglio deposito bis'!$F$89*IF(ABS(L2682)&lt;'Sollecitazioni nel paramento'!$G$58,ABS(L2682)*'Sollecitazioni nel paramento'!$G$54,'Sollecitazioni nel paramento'!$G$53)*IF(L2682&lt;0,-1,1)</f>
        <v>-153664.85805602249</v>
      </c>
      <c r="S2682" s="545">
        <f>'Foglio deposito bis'!$F$90*IF(ABS(M2682)&lt;'Sollecitazioni nel paramento'!$G$58,ABS(M2682)*'Sollecitazioni nel paramento'!$G$54,'Sollecitazioni nel paramento'!$G$53)*IF(M2682&lt;0,-1,1)</f>
        <v>0</v>
      </c>
      <c r="T2682" s="545">
        <f>'Foglio deposito bis'!$F$91*IF(ABS(N2682)&lt;'Sollecitazioni nel paramento'!$G$58,ABS(N2682)*'Sollecitazioni nel paramento'!$G$54,'Sollecitazioni nel paramento'!$G$53)*IF(N2682&lt;0,-1,1)</f>
        <v>-860701.82879328239</v>
      </c>
      <c r="U2682" s="545">
        <f>'Foglio deposito bis'!$F$92*IF(ABS(O2682)&lt;'Sollecitazioni nel paramento'!$G$58,ABS(O2682)*'Sollecitazioni nel paramento'!$G$54,'Sollecitazioni nel paramento'!$G$53)*IF(O2682&lt;0,-1,1)</f>
        <v>1662039.1047339395</v>
      </c>
      <c r="V2682" s="472">
        <f t="shared" si="190"/>
        <v>-12141831.573773677</v>
      </c>
      <c r="W2682" s="551"/>
      <c r="X2682" s="551"/>
    </row>
    <row r="2683" spans="1:24" x14ac:dyDescent="0.25">
      <c r="A2683" s="545">
        <f t="shared" si="189"/>
        <v>12616158.631284595</v>
      </c>
      <c r="B2683" s="3">
        <f t="shared" si="187"/>
        <v>29.899999999999942</v>
      </c>
      <c r="C2683" s="545">
        <f>'Foglio deposito bis'!$E$163/sezione!$B$247*B2683</f>
        <v>347.32517999771994</v>
      </c>
      <c r="D2683" s="603">
        <f>-'Sollecitazioni nel paramento'!$G$47*'Sollecitazioni nel paramento'!$G$41*IF(DATI!$G$211="dx",DATI!$E$61,DATI!$E$64*DATI!$E$63)*1000*C2683^2*sezione!$AD$5*(1-sezione!$AD$6)</f>
        <v>-2683960771.4715271</v>
      </c>
      <c r="E2683" s="545">
        <f>-'Foglio deposito bis'!$F$88*(C2683-sezione!$AL$37)*IF(ABS(K2683)&lt;'Sollecitazioni nel paramento'!$G$58,ABS(K2683)*'Sollecitazioni nel paramento'!$G$54,'Sollecitazioni nel paramento'!$G$53)</f>
        <v>0</v>
      </c>
      <c r="F2683" s="545">
        <f>-'Foglio deposito bis'!$F$89*(C2683-sezione!$AM$37)*IF(ABS(L2683)&lt;'Sollecitazioni nel paramento'!$G$58,ABS(L2683)*'Sollecitazioni nel paramento'!$G$54,'Sollecitazioni nel paramento'!$G$53)</f>
        <v>-44151783.000270747</v>
      </c>
      <c r="G2683" s="545">
        <f>-'Foglio deposito bis'!$F$90*(C2683-sezione!$AN$37)*IF(ABS(M2683)&lt;'Sollecitazioni nel paramento'!$G$58,ABS(M2683)*'Sollecitazioni nel paramento'!$G$54,'Sollecitazioni nel paramento'!$G$53)</f>
        <v>0</v>
      </c>
      <c r="H2683" s="545">
        <f>-'Foglio deposito bis'!$F$91*(C2683-sezione!$AO$37)*IF(ABS(N2683)&lt;'Sollecitazioni nel paramento'!$G$58,ABS(N2683)*'Sollecitazioni nel paramento'!$G$54,'Sollecitazioni nel paramento'!$G$53)</f>
        <v>-167185006.10663468</v>
      </c>
      <c r="I2683" s="472">
        <f>-'Foglio deposito bis'!$F$92*(C2683-sezione!$AP$37)*IF(ABS(O2683)&lt;'Sollecitazioni nel paramento'!$G$58,ABS(O2683)*'Sollecitazioni nel paramento'!$G$54,'Sollecitazioni nel paramento'!$G$53)</f>
        <v>783009852.98316765</v>
      </c>
      <c r="J2683" s="472">
        <f t="shared" si="188"/>
        <v>-2112287707.5952649</v>
      </c>
      <c r="K2683" s="550">
        <f>'Sollecitazioni nel paramento'!$G$60*(sezione!$AL$37-C2683)/C2683</f>
        <v>-3.0969195207761241E-3</v>
      </c>
      <c r="L2683" s="550">
        <f>'Sollecitazioni nel paramento'!$G$60*(sezione!$AM$37-C2683)/C2683</f>
        <v>-2.8953792811641857E-3</v>
      </c>
      <c r="M2683" s="551">
        <f>'Sollecitazioni nel paramento'!$G$60*(sezione!$AN$37-C2683)/C2683</f>
        <v>-2.6938390415522477E-3</v>
      </c>
      <c r="N2683" s="551">
        <f>'Sollecitazioni nel paramento'!$G$60*(sezione!$AO$37-C2683)/C2683</f>
        <v>-1.8876780831044953E-3</v>
      </c>
      <c r="O2683" s="551">
        <f>'Sollecitazioni nel paramento'!$G$60*(sezione!$AP$37-C2683)/C2683</f>
        <v>4.7474211930169374E-3</v>
      </c>
      <c r="P2683" s="545">
        <f>-'Sollecitazioni nel paramento'!$G$47*'Sollecitazioni nel paramento'!$G$41*IF(DATI!$G$211="dx",DATI!$E$61,DATI!$E$64*DATI!$E$63)*1000*C2683*sezione!$AD$5</f>
        <v>-13232047.382373134</v>
      </c>
      <c r="Q2683" s="545">
        <f>'Foglio deposito bis'!$F$88*IF(ABS(K2683)&lt;'Sollecitazioni nel paramento'!$G$58,ABS(K2683)*'Sollecitazioni nel paramento'!$G$54,'Sollecitazioni nel paramento'!$G$53)*IF(K2683&lt;0,-1,1)</f>
        <v>0</v>
      </c>
      <c r="R2683" s="545">
        <f>'Foglio deposito bis'!$F$89*IF(ABS(L2683)&lt;'Sollecitazioni nel paramento'!$G$58,ABS(L2683)*'Sollecitazioni nel paramento'!$G$54,'Sollecitazioni nel paramento'!$G$53)*IF(L2683&lt;0,-1,1)</f>
        <v>-153664.85805602249</v>
      </c>
      <c r="S2683" s="545">
        <f>'Foglio deposito bis'!$F$90*IF(ABS(M2683)&lt;'Sollecitazioni nel paramento'!$G$58,ABS(M2683)*'Sollecitazioni nel paramento'!$G$54,'Sollecitazioni nel paramento'!$G$53)*IF(M2683&lt;0,-1,1)</f>
        <v>0</v>
      </c>
      <c r="T2683" s="545">
        <f>'Foglio deposito bis'!$F$91*IF(ABS(N2683)&lt;'Sollecitazioni nel paramento'!$G$58,ABS(N2683)*'Sollecitazioni nel paramento'!$G$54,'Sollecitazioni nel paramento'!$G$53)*IF(N2683&lt;0,-1,1)</f>
        <v>-892485.49558937876</v>
      </c>
      <c r="U2683" s="545">
        <f>'Foglio deposito bis'!$F$92*IF(ABS(O2683)&lt;'Sollecitazioni nel paramento'!$G$58,ABS(O2683)*'Sollecitazioni nel paramento'!$G$54,'Sollecitazioni nel paramento'!$G$53)*IF(O2683&lt;0,-1,1)</f>
        <v>1662039.1047339395</v>
      </c>
      <c r="V2683" s="472">
        <f t="shared" si="190"/>
        <v>-12616158.631284595</v>
      </c>
      <c r="W2683" s="551"/>
      <c r="X2683" s="551"/>
    </row>
    <row r="2684" spans="1:24" x14ac:dyDescent="0.25">
      <c r="A2684" s="545">
        <f t="shared" si="189"/>
        <v>13058702.021999417</v>
      </c>
      <c r="B2684" s="3">
        <f t="shared" si="187"/>
        <v>30.899999999999942</v>
      </c>
      <c r="C2684" s="545">
        <f>'Foglio deposito bis'!$E$163/sezione!$B$247*B2684</f>
        <v>358.94140675349655</v>
      </c>
      <c r="D2684" s="603">
        <f>-'Sollecitazioni nel paramento'!$G$47*'Sollecitazioni nel paramento'!$G$41*IF(DATI!$G$211="dx",DATI!$E$61,DATI!$E$64*DATI!$E$63)*1000*C2684^2*sezione!$AD$5*(1-sezione!$AD$6)</f>
        <v>-2866492079.7404156</v>
      </c>
      <c r="E2684" s="545">
        <f>-'Foglio deposito bis'!$F$88*(C2684-sezione!$AL$37)*IF(ABS(K2684)&lt;'Sollecitazioni nel paramento'!$G$58,ABS(K2684)*'Sollecitazioni nel paramento'!$G$54,'Sollecitazioni nel paramento'!$G$53)</f>
        <v>0</v>
      </c>
      <c r="F2684" s="545">
        <f>-'Foglio deposito bis'!$F$89*(C2684-sezione!$AM$37)*IF(ABS(L2684)&lt;'Sollecitazioni nel paramento'!$G$58,ABS(L2684)*'Sollecitazioni nel paramento'!$G$54,'Sollecitazioni nel paramento'!$G$53)</f>
        <v>-45936788.835843734</v>
      </c>
      <c r="G2684" s="545">
        <f>-'Foglio deposito bis'!$F$90*(C2684-sezione!$AN$37)*IF(ABS(M2684)&lt;'Sollecitazioni nel paramento'!$G$58,ABS(M2684)*'Sollecitazioni nel paramento'!$G$54,'Sollecitazioni nel paramento'!$G$53)</f>
        <v>0</v>
      </c>
      <c r="H2684" s="545">
        <f>-'Foglio deposito bis'!$F$91*(C2684-sezione!$AO$37)*IF(ABS(N2684)&lt;'Sollecitazioni nel paramento'!$G$58,ABS(N2684)*'Sollecitazioni nel paramento'!$G$54,'Sollecitazioni nel paramento'!$G$53)</f>
        <v>-177552319.99964255</v>
      </c>
      <c r="I2684" s="472">
        <f>-'Foglio deposito bis'!$F$92*(C2684-sezione!$AP$37)*IF(ABS(O2684)&lt;'Sollecitazioni nel paramento'!$G$58,ABS(O2684)*'Sollecitazioni nel paramento'!$G$54,'Sollecitazioni nel paramento'!$G$53)</f>
        <v>763703229.86561036</v>
      </c>
      <c r="J2684" s="472">
        <f t="shared" si="188"/>
        <v>-2326277958.7102909</v>
      </c>
      <c r="K2684" s="550">
        <f>'Sollecitazioni nel paramento'!$G$60*(sezione!$AL$37-C2684)/C2684</f>
        <v>-3.1099641964791617E-3</v>
      </c>
      <c r="L2684" s="550">
        <f>'Sollecitazioni nel paramento'!$G$60*(sezione!$AM$37-C2684)/C2684</f>
        <v>-2.9149462947187428E-3</v>
      </c>
      <c r="M2684" s="551">
        <f>'Sollecitazioni nel paramento'!$G$60*(sezione!$AN$37-C2684)/C2684</f>
        <v>-2.7199283929583238E-3</v>
      </c>
      <c r="N2684" s="551">
        <f>'Sollecitazioni nel paramento'!$G$60*(sezione!$AO$37-C2684)/C2684</f>
        <v>-1.939856785916648E-3</v>
      </c>
      <c r="O2684" s="551">
        <f>'Sollecitazioni nel paramento'!$G$60*(sezione!$AP$37-C2684)/C2684</f>
        <v>4.48051435829147E-3</v>
      </c>
      <c r="P2684" s="545">
        <f>-'Sollecitazioni nel paramento'!$G$47*'Sollecitazioni nel paramento'!$G$41*IF(DATI!$G$211="dx",DATI!$E$61,DATI!$E$64*DATI!$E$63)*1000*C2684*sezione!$AD$5</f>
        <v>-13674590.773087956</v>
      </c>
      <c r="Q2684" s="545">
        <f>'Foglio deposito bis'!$F$88*IF(ABS(K2684)&lt;'Sollecitazioni nel paramento'!$G$58,ABS(K2684)*'Sollecitazioni nel paramento'!$G$54,'Sollecitazioni nel paramento'!$G$53)*IF(K2684&lt;0,-1,1)</f>
        <v>0</v>
      </c>
      <c r="R2684" s="545">
        <f>'Foglio deposito bis'!$F$89*IF(ABS(L2684)&lt;'Sollecitazioni nel paramento'!$G$58,ABS(L2684)*'Sollecitazioni nel paramento'!$G$54,'Sollecitazioni nel paramento'!$G$53)*IF(L2684&lt;0,-1,1)</f>
        <v>-153664.85805602249</v>
      </c>
      <c r="S2684" s="545">
        <f>'Foglio deposito bis'!$F$90*IF(ABS(M2684)&lt;'Sollecitazioni nel paramento'!$G$58,ABS(M2684)*'Sollecitazioni nel paramento'!$G$54,'Sollecitazioni nel paramento'!$G$53)*IF(M2684&lt;0,-1,1)</f>
        <v>0</v>
      </c>
      <c r="T2684" s="545">
        <f>'Foglio deposito bis'!$F$91*IF(ABS(N2684)&lt;'Sollecitazioni nel paramento'!$G$58,ABS(N2684)*'Sollecitazioni nel paramento'!$G$54,'Sollecitazioni nel paramento'!$G$53)*IF(N2684&lt;0,-1,1)</f>
        <v>-892485.49558937876</v>
      </c>
      <c r="U2684" s="545">
        <f>'Foglio deposito bis'!$F$92*IF(ABS(O2684)&lt;'Sollecitazioni nel paramento'!$G$58,ABS(O2684)*'Sollecitazioni nel paramento'!$G$54,'Sollecitazioni nel paramento'!$G$53)*IF(O2684&lt;0,-1,1)</f>
        <v>1662039.1047339395</v>
      </c>
      <c r="V2684" s="472">
        <f t="shared" si="190"/>
        <v>-13058702.021999417</v>
      </c>
      <c r="W2684" s="551"/>
      <c r="X2684" s="551"/>
    </row>
    <row r="2685" spans="1:24" x14ac:dyDescent="0.25">
      <c r="A2685" s="545">
        <f t="shared" si="189"/>
        <v>13501245.412714237</v>
      </c>
      <c r="B2685" s="3">
        <f t="shared" si="187"/>
        <v>31.899999999999942</v>
      </c>
      <c r="C2685" s="545">
        <f>'Foglio deposito bis'!$E$163/sezione!$B$247*B2685</f>
        <v>370.55763350927316</v>
      </c>
      <c r="D2685" s="603">
        <f>-'Sollecitazioni nel paramento'!$G$47*'Sollecitazioni nel paramento'!$G$41*IF(DATI!$G$211="dx",DATI!$E$61,DATI!$E$64*DATI!$E$63)*1000*C2685^2*sezione!$AD$5*(1-sezione!$AD$6)</f>
        <v>-3055027707.3602552</v>
      </c>
      <c r="E2685" s="545">
        <f>-'Foglio deposito bis'!$F$88*(C2685-sezione!$AL$37)*IF(ABS(K2685)&lt;'Sollecitazioni nel paramento'!$G$58,ABS(K2685)*'Sollecitazioni nel paramento'!$G$54,'Sollecitazioni nel paramento'!$G$53)</f>
        <v>0</v>
      </c>
      <c r="F2685" s="545">
        <f>-'Foglio deposito bis'!$F$89*(C2685-sezione!$AM$37)*IF(ABS(L2685)&lt;'Sollecitazioni nel paramento'!$G$58,ABS(L2685)*'Sollecitazioni nel paramento'!$G$54,'Sollecitazioni nel paramento'!$G$53)</f>
        <v>-47721794.671416715</v>
      </c>
      <c r="G2685" s="545">
        <f>-'Foglio deposito bis'!$F$90*(C2685-sezione!$AN$37)*IF(ABS(M2685)&lt;'Sollecitazioni nel paramento'!$G$58,ABS(M2685)*'Sollecitazioni nel paramento'!$G$54,'Sollecitazioni nel paramento'!$G$53)</f>
        <v>0</v>
      </c>
      <c r="H2685" s="545">
        <f>-'Foglio deposito bis'!$F$91*(C2685-sezione!$AO$37)*IF(ABS(N2685)&lt;'Sollecitazioni nel paramento'!$G$58,ABS(N2685)*'Sollecitazioni nel paramento'!$G$54,'Sollecitazioni nel paramento'!$G$53)</f>
        <v>-187919633.89265043</v>
      </c>
      <c r="I2685" s="472">
        <f>-'Foglio deposito bis'!$F$92*(C2685-sezione!$AP$37)*IF(ABS(O2685)&lt;'Sollecitazioni nel paramento'!$G$58,ABS(O2685)*'Sollecitazioni nel paramento'!$G$54,'Sollecitazioni nel paramento'!$G$53)</f>
        <v>744396606.74805295</v>
      </c>
      <c r="J2685" s="472">
        <f t="shared" si="188"/>
        <v>-2546272529.1762695</v>
      </c>
      <c r="K2685" s="550">
        <f>'Sollecitazioni nel paramento'!$G$60*(sezione!$AL$37-C2685)/C2685</f>
        <v>-3.1221910241757403E-3</v>
      </c>
      <c r="L2685" s="550">
        <f>'Sollecitazioni nel paramento'!$G$60*(sezione!$AM$37-C2685)/C2685</f>
        <v>-2.9332865362636101E-3</v>
      </c>
      <c r="M2685" s="551">
        <f>'Sollecitazioni nel paramento'!$G$60*(sezione!$AN$37-C2685)/C2685</f>
        <v>-2.74438204835148E-3</v>
      </c>
      <c r="N2685" s="551">
        <f>'Sollecitazioni nel paramento'!$G$60*(sezione!$AO$37-C2685)/C2685</f>
        <v>-1.9887640967029599E-3</v>
      </c>
      <c r="O2685" s="551">
        <f>'Sollecitazioni nel paramento'!$G$60*(sezione!$AP$37-C2685)/C2685</f>
        <v>4.2303414943951848E-3</v>
      </c>
      <c r="P2685" s="545">
        <f>-'Sollecitazioni nel paramento'!$G$47*'Sollecitazioni nel paramento'!$G$41*IF(DATI!$G$211="dx",DATI!$E$61,DATI!$E$64*DATI!$E$63)*1000*C2685*sezione!$AD$5</f>
        <v>-14117134.163802776</v>
      </c>
      <c r="Q2685" s="545">
        <f>'Foglio deposito bis'!$F$88*IF(ABS(K2685)&lt;'Sollecitazioni nel paramento'!$G$58,ABS(K2685)*'Sollecitazioni nel paramento'!$G$54,'Sollecitazioni nel paramento'!$G$53)*IF(K2685&lt;0,-1,1)</f>
        <v>0</v>
      </c>
      <c r="R2685" s="545">
        <f>'Foglio deposito bis'!$F$89*IF(ABS(L2685)&lt;'Sollecitazioni nel paramento'!$G$58,ABS(L2685)*'Sollecitazioni nel paramento'!$G$54,'Sollecitazioni nel paramento'!$G$53)*IF(L2685&lt;0,-1,1)</f>
        <v>-153664.85805602249</v>
      </c>
      <c r="S2685" s="545">
        <f>'Foglio deposito bis'!$F$90*IF(ABS(M2685)&lt;'Sollecitazioni nel paramento'!$G$58,ABS(M2685)*'Sollecitazioni nel paramento'!$G$54,'Sollecitazioni nel paramento'!$G$53)*IF(M2685&lt;0,-1,1)</f>
        <v>0</v>
      </c>
      <c r="T2685" s="545">
        <f>'Foglio deposito bis'!$F$91*IF(ABS(N2685)&lt;'Sollecitazioni nel paramento'!$G$58,ABS(N2685)*'Sollecitazioni nel paramento'!$G$54,'Sollecitazioni nel paramento'!$G$53)*IF(N2685&lt;0,-1,1)</f>
        <v>-892485.49558937876</v>
      </c>
      <c r="U2685" s="545">
        <f>'Foglio deposito bis'!$F$92*IF(ABS(O2685)&lt;'Sollecitazioni nel paramento'!$G$58,ABS(O2685)*'Sollecitazioni nel paramento'!$G$54,'Sollecitazioni nel paramento'!$G$53)*IF(O2685&lt;0,-1,1)</f>
        <v>1662039.1047339395</v>
      </c>
      <c r="V2685" s="472">
        <f t="shared" si="190"/>
        <v>-13501245.412714237</v>
      </c>
      <c r="W2685" s="551"/>
      <c r="X2685" s="551"/>
    </row>
    <row r="2686" spans="1:24" x14ac:dyDescent="0.25">
      <c r="A2686" s="545">
        <f t="shared" si="189"/>
        <v>13943788.80342906</v>
      </c>
      <c r="B2686" s="3">
        <f t="shared" si="187"/>
        <v>32.899999999999942</v>
      </c>
      <c r="C2686" s="545">
        <f>'Foglio deposito bis'!$E$163/sezione!$B$247*B2686</f>
        <v>382.17386026504977</v>
      </c>
      <c r="D2686" s="603">
        <f>-'Sollecitazioni nel paramento'!$G$47*'Sollecitazioni nel paramento'!$G$41*IF(DATI!$G$211="dx",DATI!$E$61,DATI!$E$64*DATI!$E$63)*1000*C2686^2*sezione!$AD$5*(1-sezione!$AD$6)</f>
        <v>-3249567654.3310442</v>
      </c>
      <c r="E2686" s="545">
        <f>-'Foglio deposito bis'!$F$88*(C2686-sezione!$AL$37)*IF(ABS(K2686)&lt;'Sollecitazioni nel paramento'!$G$58,ABS(K2686)*'Sollecitazioni nel paramento'!$G$54,'Sollecitazioni nel paramento'!$G$53)</f>
        <v>0</v>
      </c>
      <c r="F2686" s="545">
        <f>-'Foglio deposito bis'!$F$89*(C2686-sezione!$AM$37)*IF(ABS(L2686)&lt;'Sollecitazioni nel paramento'!$G$58,ABS(L2686)*'Sollecitazioni nel paramento'!$G$54,'Sollecitazioni nel paramento'!$G$53)</f>
        <v>-49506800.506989703</v>
      </c>
      <c r="G2686" s="545">
        <f>-'Foglio deposito bis'!$F$90*(C2686-sezione!$AN$37)*IF(ABS(M2686)&lt;'Sollecitazioni nel paramento'!$G$58,ABS(M2686)*'Sollecitazioni nel paramento'!$G$54,'Sollecitazioni nel paramento'!$G$53)</f>
        <v>0</v>
      </c>
      <c r="H2686" s="545">
        <f>-'Foglio deposito bis'!$F$91*(C2686-sezione!$AO$37)*IF(ABS(N2686)&lt;'Sollecitazioni nel paramento'!$G$58,ABS(N2686)*'Sollecitazioni nel paramento'!$G$54,'Sollecitazioni nel paramento'!$G$53)</f>
        <v>-198286947.78565833</v>
      </c>
      <c r="I2686" s="472">
        <f>-'Foglio deposito bis'!$F$92*(C2686-sezione!$AP$37)*IF(ABS(O2686)&lt;'Sollecitazioni nel paramento'!$G$58,ABS(O2686)*'Sollecitazioni nel paramento'!$G$54,'Sollecitazioni nel paramento'!$G$53)</f>
        <v>725089983.63049555</v>
      </c>
      <c r="J2686" s="472">
        <f t="shared" si="188"/>
        <v>-2772271418.9931965</v>
      </c>
      <c r="K2686" s="550">
        <f>'Sollecitazioni nel paramento'!$G$60*(sezione!$AL$37-C2686)/C2686</f>
        <v>-3.133674579671918E-3</v>
      </c>
      <c r="L2686" s="550">
        <f>'Sollecitazioni nel paramento'!$G$60*(sezione!$AM$37-C2686)/C2686</f>
        <v>-2.950511869507877E-3</v>
      </c>
      <c r="M2686" s="551">
        <f>'Sollecitazioni nel paramento'!$G$60*(sezione!$AN$37-C2686)/C2686</f>
        <v>-2.7673491593438364E-3</v>
      </c>
      <c r="N2686" s="551">
        <f>'Sollecitazioni nel paramento'!$G$60*(sezione!$AO$37-C2686)/C2686</f>
        <v>-2.0346983186876723E-3</v>
      </c>
      <c r="O2686" s="551">
        <f>'Sollecitazioni nel paramento'!$G$60*(sezione!$AP$37-C2686)/C2686</f>
        <v>3.9953767073315017E-3</v>
      </c>
      <c r="P2686" s="545">
        <f>-'Sollecitazioni nel paramento'!$G$47*'Sollecitazioni nel paramento'!$G$41*IF(DATI!$G$211="dx",DATI!$E$61,DATI!$E$64*DATI!$E$63)*1000*C2686*sezione!$AD$5</f>
        <v>-14559677.554517599</v>
      </c>
      <c r="Q2686" s="545">
        <f>'Foglio deposito bis'!$F$88*IF(ABS(K2686)&lt;'Sollecitazioni nel paramento'!$G$58,ABS(K2686)*'Sollecitazioni nel paramento'!$G$54,'Sollecitazioni nel paramento'!$G$53)*IF(K2686&lt;0,-1,1)</f>
        <v>0</v>
      </c>
      <c r="R2686" s="545">
        <f>'Foglio deposito bis'!$F$89*IF(ABS(L2686)&lt;'Sollecitazioni nel paramento'!$G$58,ABS(L2686)*'Sollecitazioni nel paramento'!$G$54,'Sollecitazioni nel paramento'!$G$53)*IF(L2686&lt;0,-1,1)</f>
        <v>-153664.85805602249</v>
      </c>
      <c r="S2686" s="545">
        <f>'Foglio deposito bis'!$F$90*IF(ABS(M2686)&lt;'Sollecitazioni nel paramento'!$G$58,ABS(M2686)*'Sollecitazioni nel paramento'!$G$54,'Sollecitazioni nel paramento'!$G$53)*IF(M2686&lt;0,-1,1)</f>
        <v>0</v>
      </c>
      <c r="T2686" s="545">
        <f>'Foglio deposito bis'!$F$91*IF(ABS(N2686)&lt;'Sollecitazioni nel paramento'!$G$58,ABS(N2686)*'Sollecitazioni nel paramento'!$G$54,'Sollecitazioni nel paramento'!$G$53)*IF(N2686&lt;0,-1,1)</f>
        <v>-892485.49558937876</v>
      </c>
      <c r="U2686" s="545">
        <f>'Foglio deposito bis'!$F$92*IF(ABS(O2686)&lt;'Sollecitazioni nel paramento'!$G$58,ABS(O2686)*'Sollecitazioni nel paramento'!$G$54,'Sollecitazioni nel paramento'!$G$53)*IF(O2686&lt;0,-1,1)</f>
        <v>1662039.1047339395</v>
      </c>
      <c r="V2686" s="472">
        <f t="shared" si="190"/>
        <v>-13943788.80342906</v>
      </c>
      <c r="W2686" s="551"/>
      <c r="X2686" s="551"/>
    </row>
    <row r="2687" spans="1:24" x14ac:dyDescent="0.25">
      <c r="A2687" s="545">
        <f t="shared" si="189"/>
        <v>14386332.19414388</v>
      </c>
      <c r="B2687" s="3">
        <f t="shared" si="187"/>
        <v>33.899999999999942</v>
      </c>
      <c r="C2687" s="545">
        <f>'Foglio deposito bis'!$E$163/sezione!$B$247*B2687</f>
        <v>393.79008702082638</v>
      </c>
      <c r="D2687" s="603">
        <f>-'Sollecitazioni nel paramento'!$G$47*'Sollecitazioni nel paramento'!$G$41*IF(DATI!$G$211="dx",DATI!$E$61,DATI!$E$64*DATI!$E$63)*1000*C2687^2*sezione!$AD$5*(1-sezione!$AD$6)</f>
        <v>-3450111920.6527839</v>
      </c>
      <c r="E2687" s="545">
        <f>-'Foglio deposito bis'!$F$88*(C2687-sezione!$AL$37)*IF(ABS(K2687)&lt;'Sollecitazioni nel paramento'!$G$58,ABS(K2687)*'Sollecitazioni nel paramento'!$G$54,'Sollecitazioni nel paramento'!$G$53)</f>
        <v>0</v>
      </c>
      <c r="F2687" s="545">
        <f>-'Foglio deposito bis'!$F$89*(C2687-sezione!$AM$37)*IF(ABS(L2687)&lt;'Sollecitazioni nel paramento'!$G$58,ABS(L2687)*'Sollecitazioni nel paramento'!$G$54,'Sollecitazioni nel paramento'!$G$53)</f>
        <v>-51291806.342562683</v>
      </c>
      <c r="G2687" s="545">
        <f>-'Foglio deposito bis'!$F$90*(C2687-sezione!$AN$37)*IF(ABS(M2687)&lt;'Sollecitazioni nel paramento'!$G$58,ABS(M2687)*'Sollecitazioni nel paramento'!$G$54,'Sollecitazioni nel paramento'!$G$53)</f>
        <v>0</v>
      </c>
      <c r="H2687" s="545">
        <f>-'Foglio deposito bis'!$F$91*(C2687-sezione!$AO$37)*IF(ABS(N2687)&lt;'Sollecitazioni nel paramento'!$G$58,ABS(N2687)*'Sollecitazioni nel paramento'!$G$54,'Sollecitazioni nel paramento'!$G$53)</f>
        <v>-208654261.67866623</v>
      </c>
      <c r="I2687" s="472">
        <f>-'Foglio deposito bis'!$F$92*(C2687-sezione!$AP$37)*IF(ABS(O2687)&lt;'Sollecitazioni nel paramento'!$G$58,ABS(O2687)*'Sollecitazioni nel paramento'!$G$54,'Sollecitazioni nel paramento'!$G$53)</f>
        <v>705783360.51293814</v>
      </c>
      <c r="J2687" s="472">
        <f t="shared" si="188"/>
        <v>-3004274628.1610746</v>
      </c>
      <c r="K2687" s="550">
        <f>'Sollecitazioni nel paramento'!$G$60*(sezione!$AL$37-C2687)/C2687</f>
        <v>-3.1444806392686171E-3</v>
      </c>
      <c r="L2687" s="550">
        <f>'Sollecitazioni nel paramento'!$G$60*(sezione!$AM$37-C2687)/C2687</f>
        <v>-2.9667209589029249E-3</v>
      </c>
      <c r="M2687" s="551">
        <f>'Sollecitazioni nel paramento'!$G$60*(sezione!$AN$37-C2687)/C2687</f>
        <v>-2.7889612785372332E-3</v>
      </c>
      <c r="N2687" s="551">
        <f>'Sollecitazioni nel paramento'!$G$60*(sezione!$AO$37-C2687)/C2687</f>
        <v>-2.0779225570744667E-3</v>
      </c>
      <c r="O2687" s="551">
        <f>'Sollecitazioni nel paramento'!$G$60*(sezione!$AP$37-C2687)/C2687</f>
        <v>3.7742741495931081E-3</v>
      </c>
      <c r="P2687" s="545">
        <f>-'Sollecitazioni nel paramento'!$G$47*'Sollecitazioni nel paramento'!$G$41*IF(DATI!$G$211="dx",DATI!$E$61,DATI!$E$64*DATI!$E$63)*1000*C2687*sezione!$AD$5</f>
        <v>-15002220.945232419</v>
      </c>
      <c r="Q2687" s="545">
        <f>'Foglio deposito bis'!$F$88*IF(ABS(K2687)&lt;'Sollecitazioni nel paramento'!$G$58,ABS(K2687)*'Sollecitazioni nel paramento'!$G$54,'Sollecitazioni nel paramento'!$G$53)*IF(K2687&lt;0,-1,1)</f>
        <v>0</v>
      </c>
      <c r="R2687" s="545">
        <f>'Foglio deposito bis'!$F$89*IF(ABS(L2687)&lt;'Sollecitazioni nel paramento'!$G$58,ABS(L2687)*'Sollecitazioni nel paramento'!$G$54,'Sollecitazioni nel paramento'!$G$53)*IF(L2687&lt;0,-1,1)</f>
        <v>-153664.85805602249</v>
      </c>
      <c r="S2687" s="545">
        <f>'Foglio deposito bis'!$F$90*IF(ABS(M2687)&lt;'Sollecitazioni nel paramento'!$G$58,ABS(M2687)*'Sollecitazioni nel paramento'!$G$54,'Sollecitazioni nel paramento'!$G$53)*IF(M2687&lt;0,-1,1)</f>
        <v>0</v>
      </c>
      <c r="T2687" s="545">
        <f>'Foglio deposito bis'!$F$91*IF(ABS(N2687)&lt;'Sollecitazioni nel paramento'!$G$58,ABS(N2687)*'Sollecitazioni nel paramento'!$G$54,'Sollecitazioni nel paramento'!$G$53)*IF(N2687&lt;0,-1,1)</f>
        <v>-892485.49558937876</v>
      </c>
      <c r="U2687" s="545">
        <f>'Foglio deposito bis'!$F$92*IF(ABS(O2687)&lt;'Sollecitazioni nel paramento'!$G$58,ABS(O2687)*'Sollecitazioni nel paramento'!$G$54,'Sollecitazioni nel paramento'!$G$53)*IF(O2687&lt;0,-1,1)</f>
        <v>1662039.1047339395</v>
      </c>
      <c r="V2687" s="472">
        <f t="shared" si="190"/>
        <v>-14386332.19414388</v>
      </c>
      <c r="W2687" s="551"/>
      <c r="X2687" s="551"/>
    </row>
    <row r="2688" spans="1:24" x14ac:dyDescent="0.25">
      <c r="A2688" s="545">
        <f t="shared" si="189"/>
        <v>14828875.584858701</v>
      </c>
      <c r="B2688" s="3">
        <f t="shared" si="187"/>
        <v>34.899999999999942</v>
      </c>
      <c r="C2688" s="545">
        <f>'Foglio deposito bis'!$E$163/sezione!$B$247*B2688</f>
        <v>405.40631377660299</v>
      </c>
      <c r="D2688" s="603">
        <f>-'Sollecitazioni nel paramento'!$G$47*'Sollecitazioni nel paramento'!$G$41*IF(DATI!$G$211="dx",DATI!$E$61,DATI!$E$64*DATI!$E$63)*1000*C2688^2*sezione!$AD$5*(1-sezione!$AD$6)</f>
        <v>-3656660506.3254738</v>
      </c>
      <c r="E2688" s="545">
        <f>-'Foglio deposito bis'!$F$88*(C2688-sezione!$AL$37)*IF(ABS(K2688)&lt;'Sollecitazioni nel paramento'!$G$58,ABS(K2688)*'Sollecitazioni nel paramento'!$G$54,'Sollecitazioni nel paramento'!$G$53)</f>
        <v>0</v>
      </c>
      <c r="F2688" s="545">
        <f>-'Foglio deposito bis'!$F$89*(C2688-sezione!$AM$37)*IF(ABS(L2688)&lt;'Sollecitazioni nel paramento'!$G$58,ABS(L2688)*'Sollecitazioni nel paramento'!$G$54,'Sollecitazioni nel paramento'!$G$53)</f>
        <v>-53076812.178135663</v>
      </c>
      <c r="G2688" s="545">
        <f>-'Foglio deposito bis'!$F$90*(C2688-sezione!$AN$37)*IF(ABS(M2688)&lt;'Sollecitazioni nel paramento'!$G$58,ABS(M2688)*'Sollecitazioni nel paramento'!$G$54,'Sollecitazioni nel paramento'!$G$53)</f>
        <v>0</v>
      </c>
      <c r="H2688" s="545">
        <f>-'Foglio deposito bis'!$F$91*(C2688-sezione!$AO$37)*IF(ABS(N2688)&lt;'Sollecitazioni nel paramento'!$G$58,ABS(N2688)*'Sollecitazioni nel paramento'!$G$54,'Sollecitazioni nel paramento'!$G$53)</f>
        <v>-219021575.57167411</v>
      </c>
      <c r="I2688" s="472">
        <f>-'Foglio deposito bis'!$F$92*(C2688-sezione!$AP$37)*IF(ABS(O2688)&lt;'Sollecitazioni nel paramento'!$G$58,ABS(O2688)*'Sollecitazioni nel paramento'!$G$54,'Sollecitazioni nel paramento'!$G$53)</f>
        <v>686476737.39538074</v>
      </c>
      <c r="J2688" s="472">
        <f t="shared" si="188"/>
        <v>-3242282156.679903</v>
      </c>
      <c r="K2688" s="550">
        <f>'Sollecitazioni nel paramento'!$G$60*(sezione!$AL$37-C2688)/C2688</f>
        <v>-3.1546674404357052E-3</v>
      </c>
      <c r="L2688" s="550">
        <f>'Sollecitazioni nel paramento'!$G$60*(sezione!$AM$37-C2688)/C2688</f>
        <v>-2.9820011606535575E-3</v>
      </c>
      <c r="M2688" s="551">
        <f>'Sollecitazioni nel paramento'!$G$60*(sezione!$AN$37-C2688)/C2688</f>
        <v>-2.8093348808714102E-3</v>
      </c>
      <c r="N2688" s="551">
        <f>'Sollecitazioni nel paramento'!$G$60*(sezione!$AO$37-C2688)/C2688</f>
        <v>-2.1186697617428204E-3</v>
      </c>
      <c r="O2688" s="551">
        <f>'Sollecitazioni nel paramento'!$G$60*(sezione!$AP$37-C2688)/C2688</f>
        <v>3.5658422255359992E-3</v>
      </c>
      <c r="P2688" s="545">
        <f>-'Sollecitazioni nel paramento'!$G$47*'Sollecitazioni nel paramento'!$G$41*IF(DATI!$G$211="dx",DATI!$E$61,DATI!$E$64*DATI!$E$63)*1000*C2688*sezione!$AD$5</f>
        <v>-15444764.33594724</v>
      </c>
      <c r="Q2688" s="545">
        <f>'Foglio deposito bis'!$F$88*IF(ABS(K2688)&lt;'Sollecitazioni nel paramento'!$G$58,ABS(K2688)*'Sollecitazioni nel paramento'!$G$54,'Sollecitazioni nel paramento'!$G$53)*IF(K2688&lt;0,-1,1)</f>
        <v>0</v>
      </c>
      <c r="R2688" s="545">
        <f>'Foglio deposito bis'!$F$89*IF(ABS(L2688)&lt;'Sollecitazioni nel paramento'!$G$58,ABS(L2688)*'Sollecitazioni nel paramento'!$G$54,'Sollecitazioni nel paramento'!$G$53)*IF(L2688&lt;0,-1,1)</f>
        <v>-153664.85805602249</v>
      </c>
      <c r="S2688" s="545">
        <f>'Foglio deposito bis'!$F$90*IF(ABS(M2688)&lt;'Sollecitazioni nel paramento'!$G$58,ABS(M2688)*'Sollecitazioni nel paramento'!$G$54,'Sollecitazioni nel paramento'!$G$53)*IF(M2688&lt;0,-1,1)</f>
        <v>0</v>
      </c>
      <c r="T2688" s="545">
        <f>'Foglio deposito bis'!$F$91*IF(ABS(N2688)&lt;'Sollecitazioni nel paramento'!$G$58,ABS(N2688)*'Sollecitazioni nel paramento'!$G$54,'Sollecitazioni nel paramento'!$G$53)*IF(N2688&lt;0,-1,1)</f>
        <v>-892485.49558937876</v>
      </c>
      <c r="U2688" s="545">
        <f>'Foglio deposito bis'!$F$92*IF(ABS(O2688)&lt;'Sollecitazioni nel paramento'!$G$58,ABS(O2688)*'Sollecitazioni nel paramento'!$G$54,'Sollecitazioni nel paramento'!$G$53)*IF(O2688&lt;0,-1,1)</f>
        <v>1662039.1047339395</v>
      </c>
      <c r="V2688" s="472">
        <f t="shared" si="190"/>
        <v>-14828875.584858701</v>
      </c>
      <c r="W2688" s="551"/>
      <c r="X2688" s="551"/>
    </row>
    <row r="2689" spans="1:24" x14ac:dyDescent="0.25">
      <c r="A2689" s="545">
        <f t="shared" si="189"/>
        <v>15271418.975573521</v>
      </c>
      <c r="B2689" s="3">
        <f t="shared" si="187"/>
        <v>35.899999999999942</v>
      </c>
      <c r="C2689" s="545">
        <f>'Foglio deposito bis'!$E$163/sezione!$B$247*B2689</f>
        <v>417.02254053237959</v>
      </c>
      <c r="D2689" s="603">
        <f>-'Sollecitazioni nel paramento'!$G$47*'Sollecitazioni nel paramento'!$G$41*IF(DATI!$G$211="dx",DATI!$E$61,DATI!$E$64*DATI!$E$63)*1000*C2689^2*sezione!$AD$5*(1-sezione!$AD$6)</f>
        <v>-3869213411.3491135</v>
      </c>
      <c r="E2689" s="545">
        <f>-'Foglio deposito bis'!$F$88*(C2689-sezione!$AL$37)*IF(ABS(K2689)&lt;'Sollecitazioni nel paramento'!$G$58,ABS(K2689)*'Sollecitazioni nel paramento'!$G$54,'Sollecitazioni nel paramento'!$G$53)</f>
        <v>0</v>
      </c>
      <c r="F2689" s="545">
        <f>-'Foglio deposito bis'!$F$89*(C2689-sezione!$AM$37)*IF(ABS(L2689)&lt;'Sollecitazioni nel paramento'!$G$58,ABS(L2689)*'Sollecitazioni nel paramento'!$G$54,'Sollecitazioni nel paramento'!$G$53)</f>
        <v>-54861818.013708644</v>
      </c>
      <c r="G2689" s="545">
        <f>-'Foglio deposito bis'!$F$90*(C2689-sezione!$AN$37)*IF(ABS(M2689)&lt;'Sollecitazioni nel paramento'!$G$58,ABS(M2689)*'Sollecitazioni nel paramento'!$G$54,'Sollecitazioni nel paramento'!$G$53)</f>
        <v>0</v>
      </c>
      <c r="H2689" s="545">
        <f>-'Foglio deposito bis'!$F$91*(C2689-sezione!$AO$37)*IF(ABS(N2689)&lt;'Sollecitazioni nel paramento'!$G$58,ABS(N2689)*'Sollecitazioni nel paramento'!$G$54,'Sollecitazioni nel paramento'!$G$53)</f>
        <v>-229388889.46468198</v>
      </c>
      <c r="I2689" s="472">
        <f>-'Foglio deposito bis'!$F$92*(C2689-sezione!$AP$37)*IF(ABS(O2689)&lt;'Sollecitazioni nel paramento'!$G$58,ABS(O2689)*'Sollecitazioni nel paramento'!$G$54,'Sollecitazioni nel paramento'!$G$53)</f>
        <v>667170114.27782333</v>
      </c>
      <c r="J2689" s="472">
        <f t="shared" si="188"/>
        <v>-3486294004.5496807</v>
      </c>
      <c r="K2689" s="550">
        <f>'Sollecitazioni nel paramento'!$G$60*(sezione!$AL$37-C2689)/C2689</f>
        <v>-3.1642867317884711E-3</v>
      </c>
      <c r="L2689" s="550">
        <f>'Sollecitazioni nel paramento'!$G$60*(sezione!$AM$37-C2689)/C2689</f>
        <v>-2.9964300976827066E-3</v>
      </c>
      <c r="M2689" s="551">
        <f>'Sollecitazioni nel paramento'!$G$60*(sezione!$AN$37-C2689)/C2689</f>
        <v>-2.8285734635769416E-3</v>
      </c>
      <c r="N2689" s="551">
        <f>'Sollecitazioni nel paramento'!$G$60*(sezione!$AO$37-C2689)/C2689</f>
        <v>-2.157146927153884E-3</v>
      </c>
      <c r="O2689" s="551">
        <f>'Sollecitazioni nel paramento'!$G$60*(sezione!$AP$37-C2689)/C2689</f>
        <v>3.369022107833046E-3</v>
      </c>
      <c r="P2689" s="545">
        <f>-'Sollecitazioni nel paramento'!$G$47*'Sollecitazioni nel paramento'!$G$41*IF(DATI!$G$211="dx",DATI!$E$61,DATI!$E$64*DATI!$E$63)*1000*C2689*sezione!$AD$5</f>
        <v>-15887307.726662062</v>
      </c>
      <c r="Q2689" s="545">
        <f>'Foglio deposito bis'!$F$88*IF(ABS(K2689)&lt;'Sollecitazioni nel paramento'!$G$58,ABS(K2689)*'Sollecitazioni nel paramento'!$G$54,'Sollecitazioni nel paramento'!$G$53)*IF(K2689&lt;0,-1,1)</f>
        <v>0</v>
      </c>
      <c r="R2689" s="545">
        <f>'Foglio deposito bis'!$F$89*IF(ABS(L2689)&lt;'Sollecitazioni nel paramento'!$G$58,ABS(L2689)*'Sollecitazioni nel paramento'!$G$54,'Sollecitazioni nel paramento'!$G$53)*IF(L2689&lt;0,-1,1)</f>
        <v>-153664.85805602249</v>
      </c>
      <c r="S2689" s="545">
        <f>'Foglio deposito bis'!$F$90*IF(ABS(M2689)&lt;'Sollecitazioni nel paramento'!$G$58,ABS(M2689)*'Sollecitazioni nel paramento'!$G$54,'Sollecitazioni nel paramento'!$G$53)*IF(M2689&lt;0,-1,1)</f>
        <v>0</v>
      </c>
      <c r="T2689" s="545">
        <f>'Foglio deposito bis'!$F$91*IF(ABS(N2689)&lt;'Sollecitazioni nel paramento'!$G$58,ABS(N2689)*'Sollecitazioni nel paramento'!$G$54,'Sollecitazioni nel paramento'!$G$53)*IF(N2689&lt;0,-1,1)</f>
        <v>-892485.49558937876</v>
      </c>
      <c r="U2689" s="545">
        <f>'Foglio deposito bis'!$F$92*IF(ABS(O2689)&lt;'Sollecitazioni nel paramento'!$G$58,ABS(O2689)*'Sollecitazioni nel paramento'!$G$54,'Sollecitazioni nel paramento'!$G$53)*IF(O2689&lt;0,-1,1)</f>
        <v>1662039.1047339395</v>
      </c>
      <c r="V2689" s="472">
        <f t="shared" si="190"/>
        <v>-15271418.975573521</v>
      </c>
      <c r="W2689" s="551"/>
      <c r="X2689" s="551"/>
    </row>
    <row r="2690" spans="1:24" x14ac:dyDescent="0.25">
      <c r="A2690" s="545">
        <f t="shared" si="189"/>
        <v>15713962.366288342</v>
      </c>
      <c r="B2690" s="3">
        <f t="shared" si="187"/>
        <v>36.899999999999942</v>
      </c>
      <c r="C2690" s="545">
        <f>'Foglio deposito bis'!$E$163/sezione!$B$247*B2690</f>
        <v>428.6387672881562</v>
      </c>
      <c r="D2690" s="603">
        <f>-'Sollecitazioni nel paramento'!$G$47*'Sollecitazioni nel paramento'!$G$41*IF(DATI!$G$211="dx",DATI!$E$61,DATI!$E$64*DATI!$E$63)*1000*C2690^2*sezione!$AD$5*(1-sezione!$AD$6)</f>
        <v>-4087770635.7237043</v>
      </c>
      <c r="E2690" s="545">
        <f>-'Foglio deposito bis'!$F$88*(C2690-sezione!$AL$37)*IF(ABS(K2690)&lt;'Sollecitazioni nel paramento'!$G$58,ABS(K2690)*'Sollecitazioni nel paramento'!$G$54,'Sollecitazioni nel paramento'!$G$53)</f>
        <v>0</v>
      </c>
      <c r="F2690" s="545">
        <f>-'Foglio deposito bis'!$F$89*(C2690-sezione!$AM$37)*IF(ABS(L2690)&lt;'Sollecitazioni nel paramento'!$G$58,ABS(L2690)*'Sollecitazioni nel paramento'!$G$54,'Sollecitazioni nel paramento'!$G$53)</f>
        <v>-56646823.849281624</v>
      </c>
      <c r="G2690" s="545">
        <f>-'Foglio deposito bis'!$F$90*(C2690-sezione!$AN$37)*IF(ABS(M2690)&lt;'Sollecitazioni nel paramento'!$G$58,ABS(M2690)*'Sollecitazioni nel paramento'!$G$54,'Sollecitazioni nel paramento'!$G$53)</f>
        <v>0</v>
      </c>
      <c r="H2690" s="545">
        <f>-'Foglio deposito bis'!$F$91*(C2690-sezione!$AO$37)*IF(ABS(N2690)&lt;'Sollecitazioni nel paramento'!$G$58,ABS(N2690)*'Sollecitazioni nel paramento'!$G$54,'Sollecitazioni nel paramento'!$G$53)</f>
        <v>-239756203.35768989</v>
      </c>
      <c r="I2690" s="472">
        <f>-'Foglio deposito bis'!$F$92*(C2690-sezione!$AP$37)*IF(ABS(O2690)&lt;'Sollecitazioni nel paramento'!$G$58,ABS(O2690)*'Sollecitazioni nel paramento'!$G$54,'Sollecitazioni nel paramento'!$G$53)</f>
        <v>647863491.16026604</v>
      </c>
      <c r="J2690" s="472">
        <f t="shared" si="188"/>
        <v>-3736310171.7704105</v>
      </c>
      <c r="K2690" s="550">
        <f>'Sollecitazioni nel paramento'!$G$60*(sezione!$AL$37-C2690)/C2690</f>
        <v>-3.1733846523362089E-3</v>
      </c>
      <c r="L2690" s="550">
        <f>'Sollecitazioni nel paramento'!$G$60*(sezione!$AM$37-C2690)/C2690</f>
        <v>-3.0100769785043136E-3</v>
      </c>
      <c r="M2690" s="551">
        <f>'Sollecitazioni nel paramento'!$G$60*(sezione!$AN$37-C2690)/C2690</f>
        <v>-2.8467693046724178E-3</v>
      </c>
      <c r="N2690" s="551">
        <f>'Sollecitazioni nel paramento'!$G$60*(sezione!$AO$37-C2690)/C2690</f>
        <v>-2.1935386093448355E-3</v>
      </c>
      <c r="O2690" s="551">
        <f>'Sollecitazioni nel paramento'!$G$60*(sezione!$AP$37-C2690)/C2690</f>
        <v>3.1828697471871638E-3</v>
      </c>
      <c r="P2690" s="545">
        <f>-'Sollecitazioni nel paramento'!$G$47*'Sollecitazioni nel paramento'!$G$41*IF(DATI!$G$211="dx",DATI!$E$61,DATI!$E$64*DATI!$E$63)*1000*C2690*sezione!$AD$5</f>
        <v>-16329851.117376883</v>
      </c>
      <c r="Q2690" s="545">
        <f>'Foglio deposito bis'!$F$88*IF(ABS(K2690)&lt;'Sollecitazioni nel paramento'!$G$58,ABS(K2690)*'Sollecitazioni nel paramento'!$G$54,'Sollecitazioni nel paramento'!$G$53)*IF(K2690&lt;0,-1,1)</f>
        <v>0</v>
      </c>
      <c r="R2690" s="545">
        <f>'Foglio deposito bis'!$F$89*IF(ABS(L2690)&lt;'Sollecitazioni nel paramento'!$G$58,ABS(L2690)*'Sollecitazioni nel paramento'!$G$54,'Sollecitazioni nel paramento'!$G$53)*IF(L2690&lt;0,-1,1)</f>
        <v>-153664.85805602249</v>
      </c>
      <c r="S2690" s="545">
        <f>'Foglio deposito bis'!$F$90*IF(ABS(M2690)&lt;'Sollecitazioni nel paramento'!$G$58,ABS(M2690)*'Sollecitazioni nel paramento'!$G$54,'Sollecitazioni nel paramento'!$G$53)*IF(M2690&lt;0,-1,1)</f>
        <v>0</v>
      </c>
      <c r="T2690" s="545">
        <f>'Foglio deposito bis'!$F$91*IF(ABS(N2690)&lt;'Sollecitazioni nel paramento'!$G$58,ABS(N2690)*'Sollecitazioni nel paramento'!$G$54,'Sollecitazioni nel paramento'!$G$53)*IF(N2690&lt;0,-1,1)</f>
        <v>-892485.49558937876</v>
      </c>
      <c r="U2690" s="545">
        <f>'Foglio deposito bis'!$F$92*IF(ABS(O2690)&lt;'Sollecitazioni nel paramento'!$G$58,ABS(O2690)*'Sollecitazioni nel paramento'!$G$54,'Sollecitazioni nel paramento'!$G$53)*IF(O2690&lt;0,-1,1)</f>
        <v>1662039.1047339395</v>
      </c>
      <c r="V2690" s="472">
        <f t="shared" si="190"/>
        <v>-15713962.366288342</v>
      </c>
      <c r="W2690" s="551"/>
      <c r="X2690" s="551"/>
    </row>
    <row r="2691" spans="1:24" x14ac:dyDescent="0.25">
      <c r="A2691" s="545">
        <f t="shared" si="189"/>
        <v>16156505.757003166</v>
      </c>
      <c r="B2691" s="3">
        <f t="shared" si="187"/>
        <v>37.899999999999942</v>
      </c>
      <c r="C2691" s="545">
        <f>'Foglio deposito bis'!$E$163/sezione!$B$247*B2691</f>
        <v>440.25499404393281</v>
      </c>
      <c r="D2691" s="603">
        <f>-'Sollecitazioni nel paramento'!$G$47*'Sollecitazioni nel paramento'!$G$41*IF(DATI!$G$211="dx",DATI!$E$61,DATI!$E$64*DATI!$E$63)*1000*C2691^2*sezione!$AD$5*(1-sezione!$AD$6)</f>
        <v>-4312332179.4492445</v>
      </c>
      <c r="E2691" s="545">
        <f>-'Foglio deposito bis'!$F$88*(C2691-sezione!$AL$37)*IF(ABS(K2691)&lt;'Sollecitazioni nel paramento'!$G$58,ABS(K2691)*'Sollecitazioni nel paramento'!$G$54,'Sollecitazioni nel paramento'!$G$53)</f>
        <v>0</v>
      </c>
      <c r="F2691" s="545">
        <f>-'Foglio deposito bis'!$F$89*(C2691-sezione!$AM$37)*IF(ABS(L2691)&lt;'Sollecitazioni nel paramento'!$G$58,ABS(L2691)*'Sollecitazioni nel paramento'!$G$54,'Sollecitazioni nel paramento'!$G$53)</f>
        <v>-58431829.684854619</v>
      </c>
      <c r="G2691" s="545">
        <f>-'Foglio deposito bis'!$F$90*(C2691-sezione!$AN$37)*IF(ABS(M2691)&lt;'Sollecitazioni nel paramento'!$G$58,ABS(M2691)*'Sollecitazioni nel paramento'!$G$54,'Sollecitazioni nel paramento'!$G$53)</f>
        <v>0</v>
      </c>
      <c r="H2691" s="545">
        <f>-'Foglio deposito bis'!$F$91*(C2691-sezione!$AO$37)*IF(ABS(N2691)&lt;'Sollecitazioni nel paramento'!$G$58,ABS(N2691)*'Sollecitazioni nel paramento'!$G$54,'Sollecitazioni nel paramento'!$G$53)</f>
        <v>-250123517.25069776</v>
      </c>
      <c r="I2691" s="472">
        <f>-'Foglio deposito bis'!$F$92*(C2691-sezione!$AP$37)*IF(ABS(O2691)&lt;'Sollecitazioni nel paramento'!$G$58,ABS(O2691)*'Sollecitazioni nel paramento'!$G$54,'Sollecitazioni nel paramento'!$G$53)</f>
        <v>628556868.04270864</v>
      </c>
      <c r="J2691" s="472">
        <f t="shared" si="188"/>
        <v>-3992330658.3420887</v>
      </c>
      <c r="K2691" s="550">
        <f>'Sollecitazioni nel paramento'!$G$60*(sezione!$AL$37-C2691)/C2691</f>
        <v>-3.1820024715357815E-3</v>
      </c>
      <c r="L2691" s="550">
        <f>'Sollecitazioni nel paramento'!$G$60*(sezione!$AM$37-C2691)/C2691</f>
        <v>-3.023003707303672E-3</v>
      </c>
      <c r="M2691" s="551">
        <f>'Sollecitazioni nel paramento'!$G$60*(sezione!$AN$37-C2691)/C2691</f>
        <v>-2.8640049430715621E-3</v>
      </c>
      <c r="N2691" s="551">
        <f>'Sollecitazioni nel paramento'!$G$60*(sezione!$AO$37-C2691)/C2691</f>
        <v>-2.228009886143125E-3</v>
      </c>
      <c r="O2691" s="551">
        <f>'Sollecitazioni nel paramento'!$G$60*(sezione!$AP$37-C2691)/C2691</f>
        <v>3.0065407301109849E-3</v>
      </c>
      <c r="P2691" s="545">
        <f>-'Sollecitazioni nel paramento'!$G$47*'Sollecitazioni nel paramento'!$G$41*IF(DATI!$G$211="dx",DATI!$E$61,DATI!$E$64*DATI!$E$63)*1000*C2691*sezione!$AD$5</f>
        <v>-16772394.508091703</v>
      </c>
      <c r="Q2691" s="545">
        <f>'Foglio deposito bis'!$F$88*IF(ABS(K2691)&lt;'Sollecitazioni nel paramento'!$G$58,ABS(K2691)*'Sollecitazioni nel paramento'!$G$54,'Sollecitazioni nel paramento'!$G$53)*IF(K2691&lt;0,-1,1)</f>
        <v>0</v>
      </c>
      <c r="R2691" s="545">
        <f>'Foglio deposito bis'!$F$89*IF(ABS(L2691)&lt;'Sollecitazioni nel paramento'!$G$58,ABS(L2691)*'Sollecitazioni nel paramento'!$G$54,'Sollecitazioni nel paramento'!$G$53)*IF(L2691&lt;0,-1,1)</f>
        <v>-153664.85805602249</v>
      </c>
      <c r="S2691" s="545">
        <f>'Foglio deposito bis'!$F$90*IF(ABS(M2691)&lt;'Sollecitazioni nel paramento'!$G$58,ABS(M2691)*'Sollecitazioni nel paramento'!$G$54,'Sollecitazioni nel paramento'!$G$53)*IF(M2691&lt;0,-1,1)</f>
        <v>0</v>
      </c>
      <c r="T2691" s="545">
        <f>'Foglio deposito bis'!$F$91*IF(ABS(N2691)&lt;'Sollecitazioni nel paramento'!$G$58,ABS(N2691)*'Sollecitazioni nel paramento'!$G$54,'Sollecitazioni nel paramento'!$G$53)*IF(N2691&lt;0,-1,1)</f>
        <v>-892485.49558937876</v>
      </c>
      <c r="U2691" s="545">
        <f>'Foglio deposito bis'!$F$92*IF(ABS(O2691)&lt;'Sollecitazioni nel paramento'!$G$58,ABS(O2691)*'Sollecitazioni nel paramento'!$G$54,'Sollecitazioni nel paramento'!$G$53)*IF(O2691&lt;0,-1,1)</f>
        <v>1662039.1047339395</v>
      </c>
      <c r="V2691" s="472">
        <f t="shared" si="190"/>
        <v>-16156505.757003166</v>
      </c>
      <c r="W2691" s="551"/>
      <c r="X2691" s="551"/>
    </row>
    <row r="2692" spans="1:24" x14ac:dyDescent="0.25">
      <c r="A2692" s="545">
        <f t="shared" si="189"/>
        <v>16599049.14771799</v>
      </c>
      <c r="B2692" s="3">
        <f t="shared" si="187"/>
        <v>38.899999999999942</v>
      </c>
      <c r="C2692" s="545">
        <f>'Foglio deposito bis'!$E$163/sezione!$B$247*B2692</f>
        <v>451.87122079970942</v>
      </c>
      <c r="D2692" s="603">
        <f>-'Sollecitazioni nel paramento'!$G$47*'Sollecitazioni nel paramento'!$G$41*IF(DATI!$G$211="dx",DATI!$E$61,DATI!$E$64*DATI!$E$63)*1000*C2692^2*sezione!$AD$5*(1-sezione!$AD$6)</f>
        <v>-4542898042.5257359</v>
      </c>
      <c r="E2692" s="545">
        <f>-'Foglio deposito bis'!$F$88*(C2692-sezione!$AL$37)*IF(ABS(K2692)&lt;'Sollecitazioni nel paramento'!$G$58,ABS(K2692)*'Sollecitazioni nel paramento'!$G$54,'Sollecitazioni nel paramento'!$G$53)</f>
        <v>0</v>
      </c>
      <c r="F2692" s="545">
        <f>-'Foglio deposito bis'!$F$89*(C2692-sezione!$AM$37)*IF(ABS(L2692)&lt;'Sollecitazioni nel paramento'!$G$58,ABS(L2692)*'Sollecitazioni nel paramento'!$G$54,'Sollecitazioni nel paramento'!$G$53)</f>
        <v>-60216835.5204276</v>
      </c>
      <c r="G2692" s="545">
        <f>-'Foglio deposito bis'!$F$90*(C2692-sezione!$AN$37)*IF(ABS(M2692)&lt;'Sollecitazioni nel paramento'!$G$58,ABS(M2692)*'Sollecitazioni nel paramento'!$G$54,'Sollecitazioni nel paramento'!$G$53)</f>
        <v>0</v>
      </c>
      <c r="H2692" s="545">
        <f>-'Foglio deposito bis'!$F$91*(C2692-sezione!$AO$37)*IF(ABS(N2692)&lt;'Sollecitazioni nel paramento'!$G$58,ABS(N2692)*'Sollecitazioni nel paramento'!$G$54,'Sollecitazioni nel paramento'!$G$53)</f>
        <v>-260490831.14370564</v>
      </c>
      <c r="I2692" s="472">
        <f>-'Foglio deposito bis'!$F$92*(C2692-sezione!$AP$37)*IF(ABS(O2692)&lt;'Sollecitazioni nel paramento'!$G$58,ABS(O2692)*'Sollecitazioni nel paramento'!$G$54,'Sollecitazioni nel paramento'!$G$53)</f>
        <v>609250244.92515123</v>
      </c>
      <c r="J2692" s="472">
        <f t="shared" si="188"/>
        <v>-4254355464.2647176</v>
      </c>
      <c r="K2692" s="550">
        <f>'Sollecitazioni nel paramento'!$G$60*(sezione!$AL$37-C2692)/C2692</f>
        <v>-3.1901772151981004E-3</v>
      </c>
      <c r="L2692" s="550">
        <f>'Sollecitazioni nel paramento'!$G$60*(sezione!$AM$37-C2692)/C2692</f>
        <v>-3.0352658227971508E-3</v>
      </c>
      <c r="M2692" s="551">
        <f>'Sollecitazioni nel paramento'!$G$60*(sezione!$AN$37-C2692)/C2692</f>
        <v>-2.8803544303962012E-3</v>
      </c>
      <c r="N2692" s="551">
        <f>'Sollecitazioni nel paramento'!$G$60*(sezione!$AO$37-C2692)/C2692</f>
        <v>-2.2607088607924019E-3</v>
      </c>
      <c r="O2692" s="551">
        <f>'Sollecitazioni nel paramento'!$G$60*(sezione!$AP$37-C2692)/C2692</f>
        <v>2.8392774722675149E-3</v>
      </c>
      <c r="P2692" s="545">
        <f>-'Sollecitazioni nel paramento'!$G$47*'Sollecitazioni nel paramento'!$G$41*IF(DATI!$G$211="dx",DATI!$E$61,DATI!$E$64*DATI!$E$63)*1000*C2692*sezione!$AD$5</f>
        <v>-17214937.898806527</v>
      </c>
      <c r="Q2692" s="545">
        <f>'Foglio deposito bis'!$F$88*IF(ABS(K2692)&lt;'Sollecitazioni nel paramento'!$G$58,ABS(K2692)*'Sollecitazioni nel paramento'!$G$54,'Sollecitazioni nel paramento'!$G$53)*IF(K2692&lt;0,-1,1)</f>
        <v>0</v>
      </c>
      <c r="R2692" s="545">
        <f>'Foglio deposito bis'!$F$89*IF(ABS(L2692)&lt;'Sollecitazioni nel paramento'!$G$58,ABS(L2692)*'Sollecitazioni nel paramento'!$G$54,'Sollecitazioni nel paramento'!$G$53)*IF(L2692&lt;0,-1,1)</f>
        <v>-153664.85805602249</v>
      </c>
      <c r="S2692" s="545">
        <f>'Foglio deposito bis'!$F$90*IF(ABS(M2692)&lt;'Sollecitazioni nel paramento'!$G$58,ABS(M2692)*'Sollecitazioni nel paramento'!$G$54,'Sollecitazioni nel paramento'!$G$53)*IF(M2692&lt;0,-1,1)</f>
        <v>0</v>
      </c>
      <c r="T2692" s="545">
        <f>'Foglio deposito bis'!$F$91*IF(ABS(N2692)&lt;'Sollecitazioni nel paramento'!$G$58,ABS(N2692)*'Sollecitazioni nel paramento'!$G$54,'Sollecitazioni nel paramento'!$G$53)*IF(N2692&lt;0,-1,1)</f>
        <v>-892485.49558937876</v>
      </c>
      <c r="U2692" s="545">
        <f>'Foglio deposito bis'!$F$92*IF(ABS(O2692)&lt;'Sollecitazioni nel paramento'!$G$58,ABS(O2692)*'Sollecitazioni nel paramento'!$G$54,'Sollecitazioni nel paramento'!$G$53)*IF(O2692&lt;0,-1,1)</f>
        <v>1662039.1047339395</v>
      </c>
      <c r="V2692" s="472">
        <f t="shared" si="190"/>
        <v>-16599049.14771799</v>
      </c>
      <c r="W2692" s="551"/>
      <c r="X2692" s="551"/>
    </row>
    <row r="2693" spans="1:24" x14ac:dyDescent="0.25">
      <c r="A2693" s="545">
        <f t="shared" si="189"/>
        <v>17041592.53843281</v>
      </c>
      <c r="B2693" s="3">
        <f t="shared" si="187"/>
        <v>39.899999999999942</v>
      </c>
      <c r="C2693" s="545">
        <f>'Foglio deposito bis'!$E$163/sezione!$B$247*B2693</f>
        <v>463.48744755548603</v>
      </c>
      <c r="D2693" s="603">
        <f>-'Sollecitazioni nel paramento'!$G$47*'Sollecitazioni nel paramento'!$G$41*IF(DATI!$G$211="dx",DATI!$E$61,DATI!$E$64*DATI!$E$63)*1000*C2693^2*sezione!$AD$5*(1-sezione!$AD$6)</f>
        <v>-4779468224.9531775</v>
      </c>
      <c r="E2693" s="545">
        <f>-'Foglio deposito bis'!$F$88*(C2693-sezione!$AL$37)*IF(ABS(K2693)&lt;'Sollecitazioni nel paramento'!$G$58,ABS(K2693)*'Sollecitazioni nel paramento'!$G$54,'Sollecitazioni nel paramento'!$G$53)</f>
        <v>0</v>
      </c>
      <c r="F2693" s="545">
        <f>-'Foglio deposito bis'!$F$89*(C2693-sezione!$AM$37)*IF(ABS(L2693)&lt;'Sollecitazioni nel paramento'!$G$58,ABS(L2693)*'Sollecitazioni nel paramento'!$G$54,'Sollecitazioni nel paramento'!$G$53)</f>
        <v>-62001841.35600058</v>
      </c>
      <c r="G2693" s="545">
        <f>-'Foglio deposito bis'!$F$90*(C2693-sezione!$AN$37)*IF(ABS(M2693)&lt;'Sollecitazioni nel paramento'!$G$58,ABS(M2693)*'Sollecitazioni nel paramento'!$G$54,'Sollecitazioni nel paramento'!$G$53)</f>
        <v>0</v>
      </c>
      <c r="H2693" s="545">
        <f>-'Foglio deposito bis'!$F$91*(C2693-sezione!$AO$37)*IF(ABS(N2693)&lt;'Sollecitazioni nel paramento'!$G$58,ABS(N2693)*'Sollecitazioni nel paramento'!$G$54,'Sollecitazioni nel paramento'!$G$53)</f>
        <v>-270858145.0367136</v>
      </c>
      <c r="I2693" s="472">
        <f>-'Foglio deposito bis'!$F$92*(C2693-sezione!$AP$37)*IF(ABS(O2693)&lt;'Sollecitazioni nel paramento'!$G$58,ABS(O2693)*'Sollecitazioni nel paramento'!$G$54,'Sollecitazioni nel paramento'!$G$53)</f>
        <v>589943621.80759382</v>
      </c>
      <c r="J2693" s="472">
        <f t="shared" si="188"/>
        <v>-4522384589.5382977</v>
      </c>
      <c r="K2693" s="550">
        <f>'Sollecitazioni nel paramento'!$G$60*(sezione!$AL$37-C2693)/C2693</f>
        <v>-3.1979421972733362E-3</v>
      </c>
      <c r="L2693" s="550">
        <f>'Sollecitazioni nel paramento'!$G$60*(sezione!$AM$37-C2693)/C2693</f>
        <v>-3.046913295910004E-3</v>
      </c>
      <c r="M2693" s="551">
        <f>'Sollecitazioni nel paramento'!$G$60*(sezione!$AN$37-C2693)/C2693</f>
        <v>-2.8958843945466719E-3</v>
      </c>
      <c r="N2693" s="551">
        <f>'Sollecitazioni nel paramento'!$G$60*(sezione!$AO$37-C2693)/C2693</f>
        <v>-2.2917687890933441E-3</v>
      </c>
      <c r="O2693" s="551">
        <f>'Sollecitazioni nel paramento'!$G$60*(sezione!$AP$37-C2693)/C2693</f>
        <v>2.6803983376242181E-3</v>
      </c>
      <c r="P2693" s="545">
        <f>-'Sollecitazioni nel paramento'!$G$47*'Sollecitazioni nel paramento'!$G$41*IF(DATI!$G$211="dx",DATI!$E$61,DATI!$E$64*DATI!$E$63)*1000*C2693*sezione!$AD$5</f>
        <v>-17657481.289521348</v>
      </c>
      <c r="Q2693" s="545">
        <f>'Foglio deposito bis'!$F$88*IF(ABS(K2693)&lt;'Sollecitazioni nel paramento'!$G$58,ABS(K2693)*'Sollecitazioni nel paramento'!$G$54,'Sollecitazioni nel paramento'!$G$53)*IF(K2693&lt;0,-1,1)</f>
        <v>0</v>
      </c>
      <c r="R2693" s="545">
        <f>'Foglio deposito bis'!$F$89*IF(ABS(L2693)&lt;'Sollecitazioni nel paramento'!$G$58,ABS(L2693)*'Sollecitazioni nel paramento'!$G$54,'Sollecitazioni nel paramento'!$G$53)*IF(L2693&lt;0,-1,1)</f>
        <v>-153664.85805602249</v>
      </c>
      <c r="S2693" s="545">
        <f>'Foglio deposito bis'!$F$90*IF(ABS(M2693)&lt;'Sollecitazioni nel paramento'!$G$58,ABS(M2693)*'Sollecitazioni nel paramento'!$G$54,'Sollecitazioni nel paramento'!$G$53)*IF(M2693&lt;0,-1,1)</f>
        <v>0</v>
      </c>
      <c r="T2693" s="545">
        <f>'Foglio deposito bis'!$F$91*IF(ABS(N2693)&lt;'Sollecitazioni nel paramento'!$G$58,ABS(N2693)*'Sollecitazioni nel paramento'!$G$54,'Sollecitazioni nel paramento'!$G$53)*IF(N2693&lt;0,-1,1)</f>
        <v>-892485.49558937876</v>
      </c>
      <c r="U2693" s="545">
        <f>'Foglio deposito bis'!$F$92*IF(ABS(O2693)&lt;'Sollecitazioni nel paramento'!$G$58,ABS(O2693)*'Sollecitazioni nel paramento'!$G$54,'Sollecitazioni nel paramento'!$G$53)*IF(O2693&lt;0,-1,1)</f>
        <v>1662039.1047339395</v>
      </c>
      <c r="V2693" s="472">
        <f t="shared" si="190"/>
        <v>-17041592.53843281</v>
      </c>
      <c r="W2693" s="551"/>
      <c r="X2693" s="551"/>
    </row>
    <row r="2694" spans="1:24" x14ac:dyDescent="0.25">
      <c r="A2694" s="545">
        <f t="shared" si="189"/>
        <v>17484135.929147635</v>
      </c>
      <c r="B2694" s="3">
        <f t="shared" si="187"/>
        <v>40.899999999999942</v>
      </c>
      <c r="C2694" s="545">
        <f>'Foglio deposito bis'!$E$163/sezione!$B$247*B2694</f>
        <v>475.10367431126264</v>
      </c>
      <c r="D2694" s="603">
        <f>-'Sollecitazioni nel paramento'!$G$47*'Sollecitazioni nel paramento'!$G$41*IF(DATI!$G$211="dx",DATI!$E$61,DATI!$E$64*DATI!$E$63)*1000*C2694^2*sezione!$AD$5*(1-sezione!$AD$6)</f>
        <v>-5022042726.7315693</v>
      </c>
      <c r="E2694" s="545">
        <f>-'Foglio deposito bis'!$F$88*(C2694-sezione!$AL$37)*IF(ABS(K2694)&lt;'Sollecitazioni nel paramento'!$G$58,ABS(K2694)*'Sollecitazioni nel paramento'!$G$54,'Sollecitazioni nel paramento'!$G$53)</f>
        <v>0</v>
      </c>
      <c r="F2694" s="545">
        <f>-'Foglio deposito bis'!$F$89*(C2694-sezione!$AM$37)*IF(ABS(L2694)&lt;'Sollecitazioni nel paramento'!$G$58,ABS(L2694)*'Sollecitazioni nel paramento'!$G$54,'Sollecitazioni nel paramento'!$G$53)</f>
        <v>-63786847.19157356</v>
      </c>
      <c r="G2694" s="545">
        <f>-'Foglio deposito bis'!$F$90*(C2694-sezione!$AN$37)*IF(ABS(M2694)&lt;'Sollecitazioni nel paramento'!$G$58,ABS(M2694)*'Sollecitazioni nel paramento'!$G$54,'Sollecitazioni nel paramento'!$G$53)</f>
        <v>0</v>
      </c>
      <c r="H2694" s="545">
        <f>-'Foglio deposito bis'!$F$91*(C2694-sezione!$AO$37)*IF(ABS(N2694)&lt;'Sollecitazioni nel paramento'!$G$58,ABS(N2694)*'Sollecitazioni nel paramento'!$G$54,'Sollecitazioni nel paramento'!$G$53)</f>
        <v>-281225458.92972147</v>
      </c>
      <c r="I2694" s="472">
        <f>-'Foglio deposito bis'!$F$92*(C2694-sezione!$AP$37)*IF(ABS(O2694)&lt;'Sollecitazioni nel paramento'!$G$58,ABS(O2694)*'Sollecitazioni nel paramento'!$G$54,'Sollecitazioni nel paramento'!$G$53)</f>
        <v>570636998.69003642</v>
      </c>
      <c r="J2694" s="472">
        <f t="shared" si="188"/>
        <v>-4796418034.1628275</v>
      </c>
      <c r="K2694" s="550">
        <f>'Sollecitazioni nel paramento'!$G$60*(sezione!$AL$37-C2694)/C2694</f>
        <v>-3.2053274736236212E-3</v>
      </c>
      <c r="L2694" s="550">
        <f>'Sollecitazioni nel paramento'!$G$60*(sezione!$AM$37-C2694)/C2694</f>
        <v>-3.057991210435432E-3</v>
      </c>
      <c r="M2694" s="551">
        <f>'Sollecitazioni nel paramento'!$G$60*(sezione!$AN$37-C2694)/C2694</f>
        <v>-2.9106549472472424E-3</v>
      </c>
      <c r="N2694" s="551">
        <f>'Sollecitazioni nel paramento'!$G$60*(sezione!$AO$37-C2694)/C2694</f>
        <v>-2.3213098944944851E-3</v>
      </c>
      <c r="O2694" s="551">
        <f>'Sollecitazioni nel paramento'!$G$60*(sezione!$AP$37-C2694)/C2694</f>
        <v>2.5292883538192254E-3</v>
      </c>
      <c r="P2694" s="545">
        <f>-'Sollecitazioni nel paramento'!$G$47*'Sollecitazioni nel paramento'!$G$41*IF(DATI!$G$211="dx",DATI!$E$61,DATI!$E$64*DATI!$E$63)*1000*C2694*sezione!$AD$5</f>
        <v>-18100024.680236172</v>
      </c>
      <c r="Q2694" s="545">
        <f>'Foglio deposito bis'!$F$88*IF(ABS(K2694)&lt;'Sollecitazioni nel paramento'!$G$58,ABS(K2694)*'Sollecitazioni nel paramento'!$G$54,'Sollecitazioni nel paramento'!$G$53)*IF(K2694&lt;0,-1,1)</f>
        <v>0</v>
      </c>
      <c r="R2694" s="545">
        <f>'Foglio deposito bis'!$F$89*IF(ABS(L2694)&lt;'Sollecitazioni nel paramento'!$G$58,ABS(L2694)*'Sollecitazioni nel paramento'!$G$54,'Sollecitazioni nel paramento'!$G$53)*IF(L2694&lt;0,-1,1)</f>
        <v>-153664.85805602249</v>
      </c>
      <c r="S2694" s="545">
        <f>'Foglio deposito bis'!$F$90*IF(ABS(M2694)&lt;'Sollecitazioni nel paramento'!$G$58,ABS(M2694)*'Sollecitazioni nel paramento'!$G$54,'Sollecitazioni nel paramento'!$G$53)*IF(M2694&lt;0,-1,1)</f>
        <v>0</v>
      </c>
      <c r="T2694" s="545">
        <f>'Foglio deposito bis'!$F$91*IF(ABS(N2694)&lt;'Sollecitazioni nel paramento'!$G$58,ABS(N2694)*'Sollecitazioni nel paramento'!$G$54,'Sollecitazioni nel paramento'!$G$53)*IF(N2694&lt;0,-1,1)</f>
        <v>-892485.49558937876</v>
      </c>
      <c r="U2694" s="545">
        <f>'Foglio deposito bis'!$F$92*IF(ABS(O2694)&lt;'Sollecitazioni nel paramento'!$G$58,ABS(O2694)*'Sollecitazioni nel paramento'!$G$54,'Sollecitazioni nel paramento'!$G$53)*IF(O2694&lt;0,-1,1)</f>
        <v>1662039.1047339395</v>
      </c>
      <c r="V2694" s="472">
        <f t="shared" si="190"/>
        <v>-17484135.929147635</v>
      </c>
      <c r="W2694" s="551"/>
      <c r="X2694" s="551"/>
    </row>
    <row r="2695" spans="1:24" x14ac:dyDescent="0.25">
      <c r="A2695" s="545">
        <f t="shared" si="189"/>
        <v>17926679.319862455</v>
      </c>
      <c r="B2695" s="3">
        <f t="shared" si="187"/>
        <v>41.899999999999942</v>
      </c>
      <c r="C2695" s="545">
        <f>'Foglio deposito bis'!$E$163/sezione!$B$247*B2695</f>
        <v>486.71990106703925</v>
      </c>
      <c r="D2695" s="603">
        <f>-'Sollecitazioni nel paramento'!$G$47*'Sollecitazioni nel paramento'!$G$41*IF(DATI!$G$211="dx",DATI!$E$61,DATI!$E$64*DATI!$E$63)*1000*C2695^2*sezione!$AD$5*(1-sezione!$AD$6)</f>
        <v>-5270621547.8609114</v>
      </c>
      <c r="E2695" s="545">
        <f>-'Foglio deposito bis'!$F$88*(C2695-sezione!$AL$37)*IF(ABS(K2695)&lt;'Sollecitazioni nel paramento'!$G$58,ABS(K2695)*'Sollecitazioni nel paramento'!$G$54,'Sollecitazioni nel paramento'!$G$53)</f>
        <v>0</v>
      </c>
      <c r="F2695" s="545">
        <f>-'Foglio deposito bis'!$F$89*(C2695-sezione!$AM$37)*IF(ABS(L2695)&lt;'Sollecitazioni nel paramento'!$G$58,ABS(L2695)*'Sollecitazioni nel paramento'!$G$54,'Sollecitazioni nel paramento'!$G$53)</f>
        <v>-65571853.027146548</v>
      </c>
      <c r="G2695" s="545">
        <f>-'Foglio deposito bis'!$F$90*(C2695-sezione!$AN$37)*IF(ABS(M2695)&lt;'Sollecitazioni nel paramento'!$G$58,ABS(M2695)*'Sollecitazioni nel paramento'!$G$54,'Sollecitazioni nel paramento'!$G$53)</f>
        <v>0</v>
      </c>
      <c r="H2695" s="545">
        <f>-'Foglio deposito bis'!$F$91*(C2695-sezione!$AO$37)*IF(ABS(N2695)&lt;'Sollecitazioni nel paramento'!$G$58,ABS(N2695)*'Sollecitazioni nel paramento'!$G$54,'Sollecitazioni nel paramento'!$G$53)</f>
        <v>-291592772.82272935</v>
      </c>
      <c r="I2695" s="472">
        <f>-'Foglio deposito bis'!$F$92*(C2695-sezione!$AP$37)*IF(ABS(O2695)&lt;'Sollecitazioni nel paramento'!$G$58,ABS(O2695)*'Sollecitazioni nel paramento'!$G$54,'Sollecitazioni nel paramento'!$G$53)</f>
        <v>551330375.57247901</v>
      </c>
      <c r="J2695" s="472">
        <f t="shared" si="188"/>
        <v>-5076455798.1383076</v>
      </c>
      <c r="K2695" s="550">
        <f>'Sollecitazioni nel paramento'!$G$60*(sezione!$AL$37-C2695)/C2695</f>
        <v>-3.2123602308163752E-3</v>
      </c>
      <c r="L2695" s="550">
        <f>'Sollecitazioni nel paramento'!$G$60*(sezione!$AM$37-C2695)/C2695</f>
        <v>-3.0685403462245623E-3</v>
      </c>
      <c r="M2695" s="551">
        <f>'Sollecitazioni nel paramento'!$G$60*(sezione!$AN$37-C2695)/C2695</f>
        <v>-2.9247204616327498E-3</v>
      </c>
      <c r="N2695" s="551">
        <f>'Sollecitazioni nel paramento'!$G$60*(sezione!$AO$37-C2695)/C2695</f>
        <v>-2.3494409232655E-3</v>
      </c>
      <c r="O2695" s="551">
        <f>'Sollecitazioni nel paramento'!$G$60*(sezione!$AP$37-C2695)/C2695</f>
        <v>2.3853912570693625E-3</v>
      </c>
      <c r="P2695" s="545">
        <f>-'Sollecitazioni nel paramento'!$G$47*'Sollecitazioni nel paramento'!$G$41*IF(DATI!$G$211="dx",DATI!$E$61,DATI!$E$64*DATI!$E$63)*1000*C2695*sezione!$AD$5</f>
        <v>-18542568.070950992</v>
      </c>
      <c r="Q2695" s="545">
        <f>'Foglio deposito bis'!$F$88*IF(ABS(K2695)&lt;'Sollecitazioni nel paramento'!$G$58,ABS(K2695)*'Sollecitazioni nel paramento'!$G$54,'Sollecitazioni nel paramento'!$G$53)*IF(K2695&lt;0,-1,1)</f>
        <v>0</v>
      </c>
      <c r="R2695" s="545">
        <f>'Foglio deposito bis'!$F$89*IF(ABS(L2695)&lt;'Sollecitazioni nel paramento'!$G$58,ABS(L2695)*'Sollecitazioni nel paramento'!$G$54,'Sollecitazioni nel paramento'!$G$53)*IF(L2695&lt;0,-1,1)</f>
        <v>-153664.85805602249</v>
      </c>
      <c r="S2695" s="545">
        <f>'Foglio deposito bis'!$F$90*IF(ABS(M2695)&lt;'Sollecitazioni nel paramento'!$G$58,ABS(M2695)*'Sollecitazioni nel paramento'!$G$54,'Sollecitazioni nel paramento'!$G$53)*IF(M2695&lt;0,-1,1)</f>
        <v>0</v>
      </c>
      <c r="T2695" s="545">
        <f>'Foglio deposito bis'!$F$91*IF(ABS(N2695)&lt;'Sollecitazioni nel paramento'!$G$58,ABS(N2695)*'Sollecitazioni nel paramento'!$G$54,'Sollecitazioni nel paramento'!$G$53)*IF(N2695&lt;0,-1,1)</f>
        <v>-892485.49558937876</v>
      </c>
      <c r="U2695" s="545">
        <f>'Foglio deposito bis'!$F$92*IF(ABS(O2695)&lt;'Sollecitazioni nel paramento'!$G$58,ABS(O2695)*'Sollecitazioni nel paramento'!$G$54,'Sollecitazioni nel paramento'!$G$53)*IF(O2695&lt;0,-1,1)</f>
        <v>1662039.1047339395</v>
      </c>
      <c r="V2695" s="472">
        <f t="shared" si="190"/>
        <v>-17926679.319862455</v>
      </c>
      <c r="W2695" s="551"/>
      <c r="X2695" s="551"/>
    </row>
    <row r="2696" spans="1:24" x14ac:dyDescent="0.25">
      <c r="A2696" s="545">
        <f t="shared" si="189"/>
        <v>18369222.710577276</v>
      </c>
      <c r="B2696" s="3">
        <f t="shared" si="187"/>
        <v>42.899999999999942</v>
      </c>
      <c r="C2696" s="545">
        <f>'Foglio deposito bis'!$E$163/sezione!$B$247*B2696</f>
        <v>498.33612782281585</v>
      </c>
      <c r="D2696" s="603">
        <f>-'Sollecitazioni nel paramento'!$G$47*'Sollecitazioni nel paramento'!$G$41*IF(DATI!$G$211="dx",DATI!$E$61,DATI!$E$64*DATI!$E$63)*1000*C2696^2*sezione!$AD$5*(1-sezione!$AD$6)</f>
        <v>-5525204688.3412037</v>
      </c>
      <c r="E2696" s="545">
        <f>-'Foglio deposito bis'!$F$88*(C2696-sezione!$AL$37)*IF(ABS(K2696)&lt;'Sollecitazioni nel paramento'!$G$58,ABS(K2696)*'Sollecitazioni nel paramento'!$G$54,'Sollecitazioni nel paramento'!$G$53)</f>
        <v>0</v>
      </c>
      <c r="F2696" s="545">
        <f>-'Foglio deposito bis'!$F$89*(C2696-sezione!$AM$37)*IF(ABS(L2696)&lt;'Sollecitazioni nel paramento'!$G$58,ABS(L2696)*'Sollecitazioni nel paramento'!$G$54,'Sollecitazioni nel paramento'!$G$53)</f>
        <v>-67356858.862719536</v>
      </c>
      <c r="G2696" s="545">
        <f>-'Foglio deposito bis'!$F$90*(C2696-sezione!$AN$37)*IF(ABS(M2696)&lt;'Sollecitazioni nel paramento'!$G$58,ABS(M2696)*'Sollecitazioni nel paramento'!$G$54,'Sollecitazioni nel paramento'!$G$53)</f>
        <v>0</v>
      </c>
      <c r="H2696" s="545">
        <f>-'Foglio deposito bis'!$F$91*(C2696-sezione!$AO$37)*IF(ABS(N2696)&lt;'Sollecitazioni nel paramento'!$G$58,ABS(N2696)*'Sollecitazioni nel paramento'!$G$54,'Sollecitazioni nel paramento'!$G$53)</f>
        <v>-301960086.71573722</v>
      </c>
      <c r="I2696" s="472">
        <f>-'Foglio deposito bis'!$F$92*(C2696-sezione!$AP$37)*IF(ABS(O2696)&lt;'Sollecitazioni nel paramento'!$G$58,ABS(O2696)*'Sollecitazioni nel paramento'!$G$54,'Sollecitazioni nel paramento'!$G$53)</f>
        <v>532023752.45492166</v>
      </c>
      <c r="J2696" s="472">
        <f t="shared" si="188"/>
        <v>-5362497881.4647388</v>
      </c>
      <c r="K2696" s="550">
        <f>'Sollecitazioni nel paramento'!$G$60*(sezione!$AL$37-C2696)/C2696</f>
        <v>-3.219065120540935E-3</v>
      </c>
      <c r="L2696" s="550">
        <f>'Sollecitazioni nel paramento'!$G$60*(sezione!$AM$37-C2696)/C2696</f>
        <v>-3.0785976808114027E-3</v>
      </c>
      <c r="M2696" s="551">
        <f>'Sollecitazioni nel paramento'!$G$60*(sezione!$AN$37-C2696)/C2696</f>
        <v>-2.9381302410818699E-3</v>
      </c>
      <c r="N2696" s="551">
        <f>'Sollecitazioni nel paramento'!$G$60*(sezione!$AO$37-C2696)/C2696</f>
        <v>-2.3762604821637398E-3</v>
      </c>
      <c r="O2696" s="551">
        <f>'Sollecitazioni nel paramento'!$G$60*(sezione!$AP$37-C2696)/C2696</f>
        <v>2.2482026496784685E-3</v>
      </c>
      <c r="P2696" s="545">
        <f>-'Sollecitazioni nel paramento'!$G$47*'Sollecitazioni nel paramento'!$G$41*IF(DATI!$G$211="dx",DATI!$E$61,DATI!$E$64*DATI!$E$63)*1000*C2696*sezione!$AD$5</f>
        <v>-18985111.461665813</v>
      </c>
      <c r="Q2696" s="545">
        <f>'Foglio deposito bis'!$F$88*IF(ABS(K2696)&lt;'Sollecitazioni nel paramento'!$G$58,ABS(K2696)*'Sollecitazioni nel paramento'!$G$54,'Sollecitazioni nel paramento'!$G$53)*IF(K2696&lt;0,-1,1)</f>
        <v>0</v>
      </c>
      <c r="R2696" s="545">
        <f>'Foglio deposito bis'!$F$89*IF(ABS(L2696)&lt;'Sollecitazioni nel paramento'!$G$58,ABS(L2696)*'Sollecitazioni nel paramento'!$G$54,'Sollecitazioni nel paramento'!$G$53)*IF(L2696&lt;0,-1,1)</f>
        <v>-153664.85805602249</v>
      </c>
      <c r="S2696" s="545">
        <f>'Foglio deposito bis'!$F$90*IF(ABS(M2696)&lt;'Sollecitazioni nel paramento'!$G$58,ABS(M2696)*'Sollecitazioni nel paramento'!$G$54,'Sollecitazioni nel paramento'!$G$53)*IF(M2696&lt;0,-1,1)</f>
        <v>0</v>
      </c>
      <c r="T2696" s="545">
        <f>'Foglio deposito bis'!$F$91*IF(ABS(N2696)&lt;'Sollecitazioni nel paramento'!$G$58,ABS(N2696)*'Sollecitazioni nel paramento'!$G$54,'Sollecitazioni nel paramento'!$G$53)*IF(N2696&lt;0,-1,1)</f>
        <v>-892485.49558937876</v>
      </c>
      <c r="U2696" s="545">
        <f>'Foglio deposito bis'!$F$92*IF(ABS(O2696)&lt;'Sollecitazioni nel paramento'!$G$58,ABS(O2696)*'Sollecitazioni nel paramento'!$G$54,'Sollecitazioni nel paramento'!$G$53)*IF(O2696&lt;0,-1,1)</f>
        <v>1662039.1047339395</v>
      </c>
      <c r="V2696" s="472">
        <f t="shared" si="190"/>
        <v>-18369222.710577276</v>
      </c>
      <c r="W2696" s="551"/>
      <c r="X2696" s="551"/>
    </row>
    <row r="2697" spans="1:24" x14ac:dyDescent="0.25">
      <c r="A2697" s="545">
        <f t="shared" si="189"/>
        <v>18811766.101292096</v>
      </c>
      <c r="B2697" s="3">
        <f t="shared" si="187"/>
        <v>43.899999999999942</v>
      </c>
      <c r="C2697" s="545">
        <f>'Foglio deposito bis'!$E$163/sezione!$B$247*B2697</f>
        <v>509.95235457859246</v>
      </c>
      <c r="D2697" s="603">
        <f>-'Sollecitazioni nel paramento'!$G$47*'Sollecitazioni nel paramento'!$G$41*IF(DATI!$G$211="dx",DATI!$E$61,DATI!$E$64*DATI!$E$63)*1000*C2697^2*sezione!$AD$5*(1-sezione!$AD$6)</f>
        <v>-5785792148.1724453</v>
      </c>
      <c r="E2697" s="545">
        <f>-'Foglio deposito bis'!$F$88*(C2697-sezione!$AL$37)*IF(ABS(K2697)&lt;'Sollecitazioni nel paramento'!$G$58,ABS(K2697)*'Sollecitazioni nel paramento'!$G$54,'Sollecitazioni nel paramento'!$G$53)</f>
        <v>0</v>
      </c>
      <c r="F2697" s="545">
        <f>-'Foglio deposito bis'!$F$89*(C2697-sezione!$AM$37)*IF(ABS(L2697)&lt;'Sollecitazioni nel paramento'!$G$58,ABS(L2697)*'Sollecitazioni nel paramento'!$G$54,'Sollecitazioni nel paramento'!$G$53)</f>
        <v>-69141864.698292509</v>
      </c>
      <c r="G2697" s="545">
        <f>-'Foglio deposito bis'!$F$90*(C2697-sezione!$AN$37)*IF(ABS(M2697)&lt;'Sollecitazioni nel paramento'!$G$58,ABS(M2697)*'Sollecitazioni nel paramento'!$G$54,'Sollecitazioni nel paramento'!$G$53)</f>
        <v>0</v>
      </c>
      <c r="H2697" s="545">
        <f>-'Foglio deposito bis'!$F$91*(C2697-sezione!$AO$37)*IF(ABS(N2697)&lt;'Sollecitazioni nel paramento'!$G$58,ABS(N2697)*'Sollecitazioni nel paramento'!$G$54,'Sollecitazioni nel paramento'!$G$53)</f>
        <v>-312327400.6087451</v>
      </c>
      <c r="I2697" s="472">
        <f>-'Foglio deposito bis'!$F$92*(C2697-sezione!$AP$37)*IF(ABS(O2697)&lt;'Sollecitazioni nel paramento'!$G$58,ABS(O2697)*'Sollecitazioni nel paramento'!$G$54,'Sollecitazioni nel paramento'!$G$53)</f>
        <v>512717129.33736426</v>
      </c>
      <c r="J2697" s="472">
        <f t="shared" si="188"/>
        <v>-5654544284.1421185</v>
      </c>
      <c r="K2697" s="550">
        <f>'Sollecitazioni nel paramento'!$G$60*(sezione!$AL$37-C2697)/C2697</f>
        <v>-3.2254645483190459E-3</v>
      </c>
      <c r="L2697" s="550">
        <f>'Sollecitazioni nel paramento'!$G$60*(sezione!$AM$37-C2697)/C2697</f>
        <v>-3.0881968224785688E-3</v>
      </c>
      <c r="M2697" s="551">
        <f>'Sollecitazioni nel paramento'!$G$60*(sezione!$AN$37-C2697)/C2697</f>
        <v>-2.9509290966380913E-3</v>
      </c>
      <c r="N2697" s="551">
        <f>'Sollecitazioni nel paramento'!$G$60*(sezione!$AO$37-C2697)/C2697</f>
        <v>-2.4018581932761835E-3</v>
      </c>
      <c r="O2697" s="551">
        <f>'Sollecitazioni nel paramento'!$G$60*(sezione!$AP$37-C2697)/C2697</f>
        <v>2.1172640927381841E-3</v>
      </c>
      <c r="P2697" s="545">
        <f>-'Sollecitazioni nel paramento'!$G$47*'Sollecitazioni nel paramento'!$G$41*IF(DATI!$G$211="dx",DATI!$E$61,DATI!$E$64*DATI!$E$63)*1000*C2697*sezione!$AD$5</f>
        <v>-19427654.852380633</v>
      </c>
      <c r="Q2697" s="545">
        <f>'Foglio deposito bis'!$F$88*IF(ABS(K2697)&lt;'Sollecitazioni nel paramento'!$G$58,ABS(K2697)*'Sollecitazioni nel paramento'!$G$54,'Sollecitazioni nel paramento'!$G$53)*IF(K2697&lt;0,-1,1)</f>
        <v>0</v>
      </c>
      <c r="R2697" s="545">
        <f>'Foglio deposito bis'!$F$89*IF(ABS(L2697)&lt;'Sollecitazioni nel paramento'!$G$58,ABS(L2697)*'Sollecitazioni nel paramento'!$G$54,'Sollecitazioni nel paramento'!$G$53)*IF(L2697&lt;0,-1,1)</f>
        <v>-153664.85805602249</v>
      </c>
      <c r="S2697" s="545">
        <f>'Foglio deposito bis'!$F$90*IF(ABS(M2697)&lt;'Sollecitazioni nel paramento'!$G$58,ABS(M2697)*'Sollecitazioni nel paramento'!$G$54,'Sollecitazioni nel paramento'!$G$53)*IF(M2697&lt;0,-1,1)</f>
        <v>0</v>
      </c>
      <c r="T2697" s="545">
        <f>'Foglio deposito bis'!$F$91*IF(ABS(N2697)&lt;'Sollecitazioni nel paramento'!$G$58,ABS(N2697)*'Sollecitazioni nel paramento'!$G$54,'Sollecitazioni nel paramento'!$G$53)*IF(N2697&lt;0,-1,1)</f>
        <v>-892485.49558937876</v>
      </c>
      <c r="U2697" s="545">
        <f>'Foglio deposito bis'!$F$92*IF(ABS(O2697)&lt;'Sollecitazioni nel paramento'!$G$58,ABS(O2697)*'Sollecitazioni nel paramento'!$G$54,'Sollecitazioni nel paramento'!$G$53)*IF(O2697&lt;0,-1,1)</f>
        <v>1662039.1047339395</v>
      </c>
      <c r="V2697" s="472">
        <f t="shared" si="190"/>
        <v>-18811766.101292096</v>
      </c>
      <c r="W2697" s="551"/>
      <c r="X2697" s="551"/>
    </row>
    <row r="2698" spans="1:24" x14ac:dyDescent="0.25">
      <c r="A2698" s="545">
        <f t="shared" si="189"/>
        <v>19254309.492006913</v>
      </c>
      <c r="B2698" s="3">
        <f t="shared" si="187"/>
        <v>44.899999999999942</v>
      </c>
      <c r="C2698" s="545">
        <f>'Foglio deposito bis'!$E$163/sezione!$B$247*B2698</f>
        <v>521.56858133436901</v>
      </c>
      <c r="D2698" s="603">
        <f>-'Sollecitazioni nel paramento'!$G$47*'Sollecitazioni nel paramento'!$G$41*IF(DATI!$G$211="dx",DATI!$E$61,DATI!$E$64*DATI!$E$63)*1000*C2698^2*sezione!$AD$5*(1-sezione!$AD$6)</f>
        <v>-6052383927.3546371</v>
      </c>
      <c r="E2698" s="545">
        <f>-'Foglio deposito bis'!$F$88*(C2698-sezione!$AL$37)*IF(ABS(K2698)&lt;'Sollecitazioni nel paramento'!$G$58,ABS(K2698)*'Sollecitazioni nel paramento'!$G$54,'Sollecitazioni nel paramento'!$G$53)</f>
        <v>0</v>
      </c>
      <c r="F2698" s="545">
        <f>-'Foglio deposito bis'!$F$89*(C2698-sezione!$AM$37)*IF(ABS(L2698)&lt;'Sollecitazioni nel paramento'!$G$58,ABS(L2698)*'Sollecitazioni nel paramento'!$G$54,'Sollecitazioni nel paramento'!$G$53)</f>
        <v>-70926870.533865497</v>
      </c>
      <c r="G2698" s="545">
        <f>-'Foglio deposito bis'!$F$90*(C2698-sezione!$AN$37)*IF(ABS(M2698)&lt;'Sollecitazioni nel paramento'!$G$58,ABS(M2698)*'Sollecitazioni nel paramento'!$G$54,'Sollecitazioni nel paramento'!$G$53)</f>
        <v>0</v>
      </c>
      <c r="H2698" s="545">
        <f>-'Foglio deposito bis'!$F$91*(C2698-sezione!$AO$37)*IF(ABS(N2698)&lt;'Sollecitazioni nel paramento'!$G$58,ABS(N2698)*'Sollecitazioni nel paramento'!$G$54,'Sollecitazioni nel paramento'!$G$53)</f>
        <v>-322694714.50175297</v>
      </c>
      <c r="I2698" s="472">
        <f>-'Foglio deposito bis'!$F$92*(C2698-sezione!$AP$37)*IF(ABS(O2698)&lt;'Sollecitazioni nel paramento'!$G$58,ABS(O2698)*'Sollecitazioni nel paramento'!$G$54,'Sollecitazioni nel paramento'!$G$53)</f>
        <v>493410506.21980697</v>
      </c>
      <c r="J2698" s="472">
        <f t="shared" si="188"/>
        <v>-5952595006.1704493</v>
      </c>
      <c r="K2698" s="550">
        <f>'Sollecitazioni nel paramento'!$G$60*(sezione!$AL$37-C2698)/C2698</f>
        <v>-3.2315789236348801E-3</v>
      </c>
      <c r="L2698" s="550">
        <f>'Sollecitazioni nel paramento'!$G$60*(sezione!$AM$37-C2698)/C2698</f>
        <v>-3.0973683854523199E-3</v>
      </c>
      <c r="M2698" s="551">
        <f>'Sollecitazioni nel paramento'!$G$60*(sezione!$AN$37-C2698)/C2698</f>
        <v>-2.9631578472697597E-3</v>
      </c>
      <c r="N2698" s="551">
        <f>'Sollecitazioni nel paramento'!$G$60*(sezione!$AO$37-C2698)/C2698</f>
        <v>-2.4263156945395197E-3</v>
      </c>
      <c r="O2698" s="551">
        <f>'Sollecitazioni nel paramento'!$G$60*(sezione!$AP$37-C2698)/C2698</f>
        <v>1.9921579882228573E-3</v>
      </c>
      <c r="P2698" s="545">
        <f>-'Sollecitazioni nel paramento'!$G$47*'Sollecitazioni nel paramento'!$G$41*IF(DATI!$G$211="dx",DATI!$E$61,DATI!$E$64*DATI!$E$63)*1000*C2698*sezione!$AD$5</f>
        <v>-19870198.24309545</v>
      </c>
      <c r="Q2698" s="545">
        <f>'Foglio deposito bis'!$F$88*IF(ABS(K2698)&lt;'Sollecitazioni nel paramento'!$G$58,ABS(K2698)*'Sollecitazioni nel paramento'!$G$54,'Sollecitazioni nel paramento'!$G$53)*IF(K2698&lt;0,-1,1)</f>
        <v>0</v>
      </c>
      <c r="R2698" s="545">
        <f>'Foglio deposito bis'!$F$89*IF(ABS(L2698)&lt;'Sollecitazioni nel paramento'!$G$58,ABS(L2698)*'Sollecitazioni nel paramento'!$G$54,'Sollecitazioni nel paramento'!$G$53)*IF(L2698&lt;0,-1,1)</f>
        <v>-153664.85805602249</v>
      </c>
      <c r="S2698" s="545">
        <f>'Foglio deposito bis'!$F$90*IF(ABS(M2698)&lt;'Sollecitazioni nel paramento'!$G$58,ABS(M2698)*'Sollecitazioni nel paramento'!$G$54,'Sollecitazioni nel paramento'!$G$53)*IF(M2698&lt;0,-1,1)</f>
        <v>0</v>
      </c>
      <c r="T2698" s="545">
        <f>'Foglio deposito bis'!$F$91*IF(ABS(N2698)&lt;'Sollecitazioni nel paramento'!$G$58,ABS(N2698)*'Sollecitazioni nel paramento'!$G$54,'Sollecitazioni nel paramento'!$G$53)*IF(N2698&lt;0,-1,1)</f>
        <v>-892485.49558937876</v>
      </c>
      <c r="U2698" s="545">
        <f>'Foglio deposito bis'!$F$92*IF(ABS(O2698)&lt;'Sollecitazioni nel paramento'!$G$58,ABS(O2698)*'Sollecitazioni nel paramento'!$G$54,'Sollecitazioni nel paramento'!$G$53)*IF(O2698&lt;0,-1,1)</f>
        <v>1662039.1047339395</v>
      </c>
      <c r="V2698" s="472">
        <f t="shared" si="190"/>
        <v>-19254309.492006913</v>
      </c>
      <c r="W2698" s="551"/>
      <c r="X2698" s="551"/>
    </row>
    <row r="2699" spans="1:24" x14ac:dyDescent="0.25">
      <c r="A2699" s="545">
        <f t="shared" si="189"/>
        <v>19696852.882721737</v>
      </c>
      <c r="B2699" s="3">
        <f t="shared" si="187"/>
        <v>45.899999999999942</v>
      </c>
      <c r="C2699" s="545">
        <f>'Foglio deposito bis'!$E$163/sezione!$B$247*B2699</f>
        <v>533.18480809014568</v>
      </c>
      <c r="D2699" s="603">
        <f>-'Sollecitazioni nel paramento'!$G$47*'Sollecitazioni nel paramento'!$G$41*IF(DATI!$G$211="dx",DATI!$E$61,DATI!$E$64*DATI!$E$63)*1000*C2699^2*sezione!$AD$5*(1-sezione!$AD$6)</f>
        <v>-6324980025.8877811</v>
      </c>
      <c r="E2699" s="545">
        <f>-'Foglio deposito bis'!$F$88*(C2699-sezione!$AL$37)*IF(ABS(K2699)&lt;'Sollecitazioni nel paramento'!$G$58,ABS(K2699)*'Sollecitazioni nel paramento'!$G$54,'Sollecitazioni nel paramento'!$G$53)</f>
        <v>0</v>
      </c>
      <c r="F2699" s="545">
        <f>-'Foglio deposito bis'!$F$89*(C2699-sezione!$AM$37)*IF(ABS(L2699)&lt;'Sollecitazioni nel paramento'!$G$58,ABS(L2699)*'Sollecitazioni nel paramento'!$G$54,'Sollecitazioni nel paramento'!$G$53)</f>
        <v>-72711876.369438484</v>
      </c>
      <c r="G2699" s="545">
        <f>-'Foglio deposito bis'!$F$90*(C2699-sezione!$AN$37)*IF(ABS(M2699)&lt;'Sollecitazioni nel paramento'!$G$58,ABS(M2699)*'Sollecitazioni nel paramento'!$G$54,'Sollecitazioni nel paramento'!$G$53)</f>
        <v>0</v>
      </c>
      <c r="H2699" s="545">
        <f>-'Foglio deposito bis'!$F$91*(C2699-sezione!$AO$37)*IF(ABS(N2699)&lt;'Sollecitazioni nel paramento'!$G$58,ABS(N2699)*'Sollecitazioni nel paramento'!$G$54,'Sollecitazioni nel paramento'!$G$53)</f>
        <v>-333062028.39476085</v>
      </c>
      <c r="I2699" s="472">
        <f>-'Foglio deposito bis'!$F$92*(C2699-sezione!$AP$37)*IF(ABS(O2699)&lt;'Sollecitazioni nel paramento'!$G$58,ABS(O2699)*'Sollecitazioni nel paramento'!$G$54,'Sollecitazioni nel paramento'!$G$53)</f>
        <v>474103883.1022495</v>
      </c>
      <c r="J2699" s="472">
        <f t="shared" si="188"/>
        <v>-6256650047.5497313</v>
      </c>
      <c r="K2699" s="550">
        <f>'Sollecitazioni nel paramento'!$G$60*(sezione!$AL$37-C2699)/C2699</f>
        <v>-3.237426877368325E-3</v>
      </c>
      <c r="L2699" s="550">
        <f>'Sollecitazioni nel paramento'!$G$60*(sezione!$AM$37-C2699)/C2699</f>
        <v>-3.1061403160524874E-3</v>
      </c>
      <c r="M2699" s="551">
        <f>'Sollecitazioni nel paramento'!$G$60*(sezione!$AN$37-C2699)/C2699</f>
        <v>-2.9748537547366499E-3</v>
      </c>
      <c r="N2699" s="551">
        <f>'Sollecitazioni nel paramento'!$G$60*(sezione!$AO$37-C2699)/C2699</f>
        <v>-2.4497075094732997E-3</v>
      </c>
      <c r="O2699" s="551">
        <f>'Sollecitazioni nel paramento'!$G$60*(sezione!$AP$37-C2699)/C2699</f>
        <v>1.8725031300916399E-3</v>
      </c>
      <c r="P2699" s="545">
        <f>-'Sollecitazioni nel paramento'!$G$47*'Sollecitazioni nel paramento'!$G$41*IF(DATI!$G$211="dx",DATI!$E$61,DATI!$E$64*DATI!$E$63)*1000*C2699*sezione!$AD$5</f>
        <v>-20312741.633810274</v>
      </c>
      <c r="Q2699" s="545">
        <f>'Foglio deposito bis'!$F$88*IF(ABS(K2699)&lt;'Sollecitazioni nel paramento'!$G$58,ABS(K2699)*'Sollecitazioni nel paramento'!$G$54,'Sollecitazioni nel paramento'!$G$53)*IF(K2699&lt;0,-1,1)</f>
        <v>0</v>
      </c>
      <c r="R2699" s="545">
        <f>'Foglio deposito bis'!$F$89*IF(ABS(L2699)&lt;'Sollecitazioni nel paramento'!$G$58,ABS(L2699)*'Sollecitazioni nel paramento'!$G$54,'Sollecitazioni nel paramento'!$G$53)*IF(L2699&lt;0,-1,1)</f>
        <v>-153664.85805602249</v>
      </c>
      <c r="S2699" s="545">
        <f>'Foglio deposito bis'!$F$90*IF(ABS(M2699)&lt;'Sollecitazioni nel paramento'!$G$58,ABS(M2699)*'Sollecitazioni nel paramento'!$G$54,'Sollecitazioni nel paramento'!$G$53)*IF(M2699&lt;0,-1,1)</f>
        <v>0</v>
      </c>
      <c r="T2699" s="545">
        <f>'Foglio deposito bis'!$F$91*IF(ABS(N2699)&lt;'Sollecitazioni nel paramento'!$G$58,ABS(N2699)*'Sollecitazioni nel paramento'!$G$54,'Sollecitazioni nel paramento'!$G$53)*IF(N2699&lt;0,-1,1)</f>
        <v>-892485.49558937876</v>
      </c>
      <c r="U2699" s="545">
        <f>'Foglio deposito bis'!$F$92*IF(ABS(O2699)&lt;'Sollecitazioni nel paramento'!$G$58,ABS(O2699)*'Sollecitazioni nel paramento'!$G$54,'Sollecitazioni nel paramento'!$G$53)*IF(O2699&lt;0,-1,1)</f>
        <v>1662039.1047339395</v>
      </c>
      <c r="V2699" s="472">
        <f t="shared" si="190"/>
        <v>-19696852.882721737</v>
      </c>
      <c r="W2699" s="551"/>
      <c r="X2699" s="551"/>
    </row>
    <row r="2700" spans="1:24" x14ac:dyDescent="0.25">
      <c r="A2700" s="545">
        <f t="shared" si="189"/>
        <v>20263278.942264985</v>
      </c>
      <c r="B2700" s="3">
        <f t="shared" si="187"/>
        <v>46.899999999999942</v>
      </c>
      <c r="C2700" s="545">
        <f>'Foglio deposito bis'!$E$163/sezione!$B$247*B2700</f>
        <v>544.80103484592223</v>
      </c>
      <c r="D2700" s="603">
        <f>-'Sollecitazioni nel paramento'!$G$47*'Sollecitazioni nel paramento'!$G$41*IF(DATI!$G$211="dx",DATI!$E$61,DATI!$E$64*DATI!$E$63)*1000*C2700^2*sezione!$AD$5*(1-sezione!$AD$6)</f>
        <v>-6603580443.7718744</v>
      </c>
      <c r="E2700" s="545">
        <f>-'Foglio deposito bis'!$F$88*(C2700-sezione!$AL$37)*IF(ABS(K2700)&lt;'Sollecitazioni nel paramento'!$G$58,ABS(K2700)*'Sollecitazioni nel paramento'!$G$54,'Sollecitazioni nel paramento'!$G$53)</f>
        <v>0</v>
      </c>
      <c r="F2700" s="545">
        <f>-'Foglio deposito bis'!$F$89*(C2700-sezione!$AM$37)*IF(ABS(L2700)&lt;'Sollecitazioni nel paramento'!$G$58,ABS(L2700)*'Sollecitazioni nel paramento'!$G$54,'Sollecitazioni nel paramento'!$G$53)</f>
        <v>-74496882.205011457</v>
      </c>
      <c r="G2700" s="545">
        <f>-'Foglio deposito bis'!$F$90*(C2700-sezione!$AN$37)*IF(ABS(M2700)&lt;'Sollecitazioni nel paramento'!$G$58,ABS(M2700)*'Sollecitazioni nel paramento'!$G$54,'Sollecitazioni nel paramento'!$G$53)</f>
        <v>0</v>
      </c>
      <c r="H2700" s="545">
        <f>-'Foglio deposito bis'!$F$91*(C2700-sezione!$AO$37)*IF(ABS(N2700)&lt;'Sollecitazioni nel paramento'!$G$58,ABS(N2700)*'Sollecitazioni nel paramento'!$G$54,'Sollecitazioni nel paramento'!$G$53)</f>
        <v>-343429342.28776872</v>
      </c>
      <c r="I2700" s="472">
        <f>-'Foglio deposito bis'!$F$92*(C2700-sezione!$AP$37)*IF(ABS(O2700)&lt;'Sollecitazioni nel paramento'!$G$58,ABS(O2700)*'Sollecitazioni nel paramento'!$G$54,'Sollecitazioni nel paramento'!$G$53)</f>
        <v>420898239.08784121</v>
      </c>
      <c r="J2700" s="472">
        <f t="shared" si="188"/>
        <v>-6600608429.1768131</v>
      </c>
      <c r="K2700" s="550">
        <f>'Sollecitazioni nel paramento'!$G$60*(sezione!$AL$37-C2700)/C2700</f>
        <v>-3.2430254514116442E-3</v>
      </c>
      <c r="L2700" s="550">
        <f>'Sollecitazioni nel paramento'!$G$60*(sezione!$AM$37-C2700)/C2700</f>
        <v>-3.1145381771174661E-3</v>
      </c>
      <c r="M2700" s="551">
        <f>'Sollecitazioni nel paramento'!$G$60*(sezione!$AN$37-C2700)/C2700</f>
        <v>-2.9860509028232884E-3</v>
      </c>
      <c r="N2700" s="551">
        <f>'Sollecitazioni nel paramento'!$G$60*(sezione!$AO$37-C2700)/C2700</f>
        <v>-2.4721018056465763E-3</v>
      </c>
      <c r="O2700" s="551">
        <f>'Sollecitazioni nel paramento'!$G$60*(sezione!$AP$37-C2700)/C2700</f>
        <v>1.7579508245459763E-3</v>
      </c>
      <c r="P2700" s="545">
        <f>-'Sollecitazioni nel paramento'!$G$47*'Sollecitazioni nel paramento'!$G$41*IF(DATI!$G$211="dx",DATI!$E$61,DATI!$E$64*DATI!$E$63)*1000*C2700*sezione!$AD$5</f>
        <v>-20755285.024525095</v>
      </c>
      <c r="Q2700" s="545">
        <f>'Foglio deposito bis'!$F$88*IF(ABS(K2700)&lt;'Sollecitazioni nel paramento'!$G$58,ABS(K2700)*'Sollecitazioni nel paramento'!$G$54,'Sollecitazioni nel paramento'!$G$53)*IF(K2700&lt;0,-1,1)</f>
        <v>0</v>
      </c>
      <c r="R2700" s="545">
        <f>'Foglio deposito bis'!$F$89*IF(ABS(L2700)&lt;'Sollecitazioni nel paramento'!$G$58,ABS(L2700)*'Sollecitazioni nel paramento'!$G$54,'Sollecitazioni nel paramento'!$G$53)*IF(L2700&lt;0,-1,1)</f>
        <v>-153664.85805602249</v>
      </c>
      <c r="S2700" s="545">
        <f>'Foglio deposito bis'!$F$90*IF(ABS(M2700)&lt;'Sollecitazioni nel paramento'!$G$58,ABS(M2700)*'Sollecitazioni nel paramento'!$G$54,'Sollecitazioni nel paramento'!$G$53)*IF(M2700&lt;0,-1,1)</f>
        <v>0</v>
      </c>
      <c r="T2700" s="545">
        <f>'Foglio deposito bis'!$F$91*IF(ABS(N2700)&lt;'Sollecitazioni nel paramento'!$G$58,ABS(N2700)*'Sollecitazioni nel paramento'!$G$54,'Sollecitazioni nel paramento'!$G$53)*IF(N2700&lt;0,-1,1)</f>
        <v>-892485.49558937876</v>
      </c>
      <c r="U2700" s="545">
        <f>'Foglio deposito bis'!$F$92*IF(ABS(O2700)&lt;'Sollecitazioni nel paramento'!$G$58,ABS(O2700)*'Sollecitazioni nel paramento'!$G$54,'Sollecitazioni nel paramento'!$G$53)*IF(O2700&lt;0,-1,1)</f>
        <v>1538156.4359055131</v>
      </c>
      <c r="V2700" s="472">
        <f t="shared" si="190"/>
        <v>-20263278.942264985</v>
      </c>
      <c r="W2700" s="551"/>
      <c r="X2700" s="551"/>
    </row>
    <row r="2701" spans="1:24" x14ac:dyDescent="0.25">
      <c r="A2701" s="545">
        <f t="shared" si="189"/>
        <v>20801867.339699719</v>
      </c>
      <c r="B2701" s="3">
        <f t="shared" si="187"/>
        <v>47.899999999999942</v>
      </c>
      <c r="C2701" s="545">
        <f>'Foglio deposito bis'!$E$163/sezione!$B$247*B2701</f>
        <v>556.4172616016989</v>
      </c>
      <c r="D2701" s="603">
        <f>-'Sollecitazioni nel paramento'!$G$47*'Sollecitazioni nel paramento'!$G$41*IF(DATI!$G$211="dx",DATI!$E$61,DATI!$E$64*DATI!$E$63)*1000*C2701^2*sezione!$AD$5*(1-sezione!$AD$6)</f>
        <v>-6888185181.0069189</v>
      </c>
      <c r="E2701" s="545">
        <f>-'Foglio deposito bis'!$F$88*(C2701-sezione!$AL$37)*IF(ABS(K2701)&lt;'Sollecitazioni nel paramento'!$G$58,ABS(K2701)*'Sollecitazioni nel paramento'!$G$54,'Sollecitazioni nel paramento'!$G$53)</f>
        <v>0</v>
      </c>
      <c r="F2701" s="545">
        <f>-'Foglio deposito bis'!$F$89*(C2701-sezione!$AM$37)*IF(ABS(L2701)&lt;'Sollecitazioni nel paramento'!$G$58,ABS(L2701)*'Sollecitazioni nel paramento'!$G$54,'Sollecitazioni nel paramento'!$G$53)</f>
        <v>-76281888.040584445</v>
      </c>
      <c r="G2701" s="545">
        <f>-'Foglio deposito bis'!$F$90*(C2701-sezione!$AN$37)*IF(ABS(M2701)&lt;'Sollecitazioni nel paramento'!$G$58,ABS(M2701)*'Sollecitazioni nel paramento'!$G$54,'Sollecitazioni nel paramento'!$G$53)</f>
        <v>0</v>
      </c>
      <c r="H2701" s="545">
        <f>-'Foglio deposito bis'!$F$91*(C2701-sezione!$AO$37)*IF(ABS(N2701)&lt;'Sollecitazioni nel paramento'!$G$58,ABS(N2701)*'Sollecitazioni nel paramento'!$G$54,'Sollecitazioni nel paramento'!$G$53)</f>
        <v>-353796656.18077666</v>
      </c>
      <c r="I2701" s="472">
        <f>-'Foglio deposito bis'!$F$92*(C2701-sezione!$AP$37)*IF(ABS(O2701)&lt;'Sollecitazioni nel paramento'!$G$58,ABS(O2701)*'Sollecitazioni nel paramento'!$G$54,'Sollecitazioni nel paramento'!$G$53)</f>
        <v>377864770.41401941</v>
      </c>
      <c r="J2701" s="472">
        <f t="shared" si="188"/>
        <v>-6940398954.8142605</v>
      </c>
      <c r="K2701" s="550">
        <f>'Sollecitazioni nel paramento'!$G$60*(sezione!$AL$37-C2701)/C2701</f>
        <v>-3.2483902645345742E-3</v>
      </c>
      <c r="L2701" s="550">
        <f>'Sollecitazioni nel paramento'!$G$60*(sezione!$AM$37-C2701)/C2701</f>
        <v>-3.1225853968018615E-3</v>
      </c>
      <c r="M2701" s="551">
        <f>'Sollecitazioni nel paramento'!$G$60*(sezione!$AN$37-C2701)/C2701</f>
        <v>-2.9967805290691488E-3</v>
      </c>
      <c r="N2701" s="551">
        <f>'Sollecitazioni nel paramento'!$G$60*(sezione!$AO$37-C2701)/C2701</f>
        <v>-2.4935610581382976E-3</v>
      </c>
      <c r="O2701" s="551">
        <f>'Sollecitazioni nel paramento'!$G$60*(sezione!$AP$37-C2701)/C2701</f>
        <v>1.6481814962673539E-3</v>
      </c>
      <c r="P2701" s="545">
        <f>-'Sollecitazioni nel paramento'!$G$47*'Sollecitazioni nel paramento'!$G$41*IF(DATI!$G$211="dx",DATI!$E$61,DATI!$E$64*DATI!$E$63)*1000*C2701*sezione!$AD$5</f>
        <v>-21197828.415239919</v>
      </c>
      <c r="Q2701" s="545">
        <f>'Foglio deposito bis'!$F$88*IF(ABS(K2701)&lt;'Sollecitazioni nel paramento'!$G$58,ABS(K2701)*'Sollecitazioni nel paramento'!$G$54,'Sollecitazioni nel paramento'!$G$53)*IF(K2701&lt;0,-1,1)</f>
        <v>0</v>
      </c>
      <c r="R2701" s="545">
        <f>'Foglio deposito bis'!$F$89*IF(ABS(L2701)&lt;'Sollecitazioni nel paramento'!$G$58,ABS(L2701)*'Sollecitazioni nel paramento'!$G$54,'Sollecitazioni nel paramento'!$G$53)*IF(L2701&lt;0,-1,1)</f>
        <v>-153664.85805602249</v>
      </c>
      <c r="S2701" s="545">
        <f>'Foglio deposito bis'!$F$90*IF(ABS(M2701)&lt;'Sollecitazioni nel paramento'!$G$58,ABS(M2701)*'Sollecitazioni nel paramento'!$G$54,'Sollecitazioni nel paramento'!$G$53)*IF(M2701&lt;0,-1,1)</f>
        <v>0</v>
      </c>
      <c r="T2701" s="545">
        <f>'Foglio deposito bis'!$F$91*IF(ABS(N2701)&lt;'Sollecitazioni nel paramento'!$G$58,ABS(N2701)*'Sollecitazioni nel paramento'!$G$54,'Sollecitazioni nel paramento'!$G$53)*IF(N2701&lt;0,-1,1)</f>
        <v>-892485.49558937876</v>
      </c>
      <c r="U2701" s="545">
        <f>'Foglio deposito bis'!$F$92*IF(ABS(O2701)&lt;'Sollecitazioni nel paramento'!$G$58,ABS(O2701)*'Sollecitazioni nel paramento'!$G$54,'Sollecitazioni nel paramento'!$G$53)*IF(O2701&lt;0,-1,1)</f>
        <v>1442111.4291856037</v>
      </c>
      <c r="V2701" s="472">
        <f t="shared" si="190"/>
        <v>-20801867.339699719</v>
      </c>
      <c r="W2701" s="551"/>
      <c r="X2701" s="551"/>
    </row>
    <row r="2702" spans="1:24" x14ac:dyDescent="0.25">
      <c r="A2702" s="545">
        <f t="shared" si="189"/>
        <v>21336527.516000707</v>
      </c>
      <c r="B2702" s="3">
        <f t="shared" si="187"/>
        <v>48.899999999999942</v>
      </c>
      <c r="C2702" s="545">
        <f>'Foglio deposito bis'!$E$163/sezione!$B$247*B2702</f>
        <v>568.03348835747545</v>
      </c>
      <c r="D2702" s="603">
        <f>-'Sollecitazioni nel paramento'!$G$47*'Sollecitazioni nel paramento'!$G$41*IF(DATI!$G$211="dx",DATI!$E$61,DATI!$E$64*DATI!$E$63)*1000*C2702^2*sezione!$AD$5*(1-sezione!$AD$6)</f>
        <v>-7178794237.5929117</v>
      </c>
      <c r="E2702" s="545">
        <f>-'Foglio deposito bis'!$F$88*(C2702-sezione!$AL$37)*IF(ABS(K2702)&lt;'Sollecitazioni nel paramento'!$G$58,ABS(K2702)*'Sollecitazioni nel paramento'!$G$54,'Sollecitazioni nel paramento'!$G$53)</f>
        <v>0</v>
      </c>
      <c r="F2702" s="545">
        <f>-'Foglio deposito bis'!$F$89*(C2702-sezione!$AM$37)*IF(ABS(L2702)&lt;'Sollecitazioni nel paramento'!$G$58,ABS(L2702)*'Sollecitazioni nel paramento'!$G$54,'Sollecitazioni nel paramento'!$G$53)</f>
        <v>-78066893.876157433</v>
      </c>
      <c r="G2702" s="545">
        <f>-'Foglio deposito bis'!$F$90*(C2702-sezione!$AN$37)*IF(ABS(M2702)&lt;'Sollecitazioni nel paramento'!$G$58,ABS(M2702)*'Sollecitazioni nel paramento'!$G$54,'Sollecitazioni nel paramento'!$G$53)</f>
        <v>0</v>
      </c>
      <c r="H2702" s="545">
        <f>-'Foglio deposito bis'!$F$91*(C2702-sezione!$AO$37)*IF(ABS(N2702)&lt;'Sollecitazioni nel paramento'!$G$58,ABS(N2702)*'Sollecitazioni nel paramento'!$G$54,'Sollecitazioni nel paramento'!$G$53)</f>
        <v>-364163970.07378447</v>
      </c>
      <c r="I2702" s="472">
        <f>-'Foglio deposito bis'!$F$92*(C2702-sezione!$AP$37)*IF(ABS(O2702)&lt;'Sollecitazioni nel paramento'!$G$58,ABS(O2702)*'Sollecitazioni nel paramento'!$G$54,'Sollecitazioni nel paramento'!$G$53)</f>
        <v>338046311.73439425</v>
      </c>
      <c r="J2702" s="472">
        <f t="shared" si="188"/>
        <v>-7282978789.8084602</v>
      </c>
      <c r="K2702" s="550">
        <f>'Sollecitazioni nel paramento'!$G$60*(sezione!$AL$37-C2702)/C2702</f>
        <v>-3.2535356578978756E-3</v>
      </c>
      <c r="L2702" s="550">
        <f>'Sollecitazioni nel paramento'!$G$60*(sezione!$AM$37-C2702)/C2702</f>
        <v>-3.1303034868468134E-3</v>
      </c>
      <c r="M2702" s="551">
        <f>'Sollecitazioni nel paramento'!$G$60*(sezione!$AN$37-C2702)/C2702</f>
        <v>-3.0070713157957507E-3</v>
      </c>
      <c r="N2702" s="551">
        <f>'Sollecitazioni nel paramento'!$G$60*(sezione!$AO$37-C2702)/C2702</f>
        <v>-2.5141426315915018E-3</v>
      </c>
      <c r="O2702" s="551">
        <f>'Sollecitazioni nel paramento'!$G$60*(sezione!$AP$37-C2702)/C2702</f>
        <v>1.5429017110676129E-3</v>
      </c>
      <c r="P2702" s="545">
        <f>-'Sollecitazioni nel paramento'!$G$47*'Sollecitazioni nel paramento'!$G$41*IF(DATI!$G$211="dx",DATI!$E$61,DATI!$E$64*DATI!$E$63)*1000*C2702*sezione!$AD$5</f>
        <v>-21640371.805954739</v>
      </c>
      <c r="Q2702" s="545">
        <f>'Foglio deposito bis'!$F$88*IF(ABS(K2702)&lt;'Sollecitazioni nel paramento'!$G$58,ABS(K2702)*'Sollecitazioni nel paramento'!$G$54,'Sollecitazioni nel paramento'!$G$53)*IF(K2702&lt;0,-1,1)</f>
        <v>0</v>
      </c>
      <c r="R2702" s="545">
        <f>'Foglio deposito bis'!$F$89*IF(ABS(L2702)&lt;'Sollecitazioni nel paramento'!$G$58,ABS(L2702)*'Sollecitazioni nel paramento'!$G$54,'Sollecitazioni nel paramento'!$G$53)*IF(L2702&lt;0,-1,1)</f>
        <v>-153664.85805602249</v>
      </c>
      <c r="S2702" s="545">
        <f>'Foglio deposito bis'!$F$90*IF(ABS(M2702)&lt;'Sollecitazioni nel paramento'!$G$58,ABS(M2702)*'Sollecitazioni nel paramento'!$G$54,'Sollecitazioni nel paramento'!$G$53)*IF(M2702&lt;0,-1,1)</f>
        <v>0</v>
      </c>
      <c r="T2702" s="545">
        <f>'Foglio deposito bis'!$F$91*IF(ABS(N2702)&lt;'Sollecitazioni nel paramento'!$G$58,ABS(N2702)*'Sollecitazioni nel paramento'!$G$54,'Sollecitazioni nel paramento'!$G$53)*IF(N2702&lt;0,-1,1)</f>
        <v>-892485.49558937876</v>
      </c>
      <c r="U2702" s="545">
        <f>'Foglio deposito bis'!$F$92*IF(ABS(O2702)&lt;'Sollecitazioni nel paramento'!$G$58,ABS(O2702)*'Sollecitazioni nel paramento'!$G$54,'Sollecitazioni nel paramento'!$G$53)*IF(O2702&lt;0,-1,1)</f>
        <v>1349994.6435994345</v>
      </c>
      <c r="V2702" s="472">
        <f t="shared" si="190"/>
        <v>-21336527.516000707</v>
      </c>
      <c r="W2702" s="551"/>
      <c r="X2702" s="551"/>
    </row>
    <row r="2703" spans="1:24" x14ac:dyDescent="0.25">
      <c r="A2703" s="545">
        <f t="shared" si="189"/>
        <v>21867495.636767186</v>
      </c>
      <c r="B2703" s="3">
        <f t="shared" si="187"/>
        <v>49.899999999999942</v>
      </c>
      <c r="C2703" s="545">
        <f>'Foglio deposito bis'!$E$163/sezione!$B$247*B2703</f>
        <v>579.64971511325211</v>
      </c>
      <c r="D2703" s="603">
        <f>-'Sollecitazioni nel paramento'!$G$47*'Sollecitazioni nel paramento'!$G$41*IF(DATI!$G$211="dx",DATI!$E$61,DATI!$E$64*DATI!$E$63)*1000*C2703^2*sezione!$AD$5*(1-sezione!$AD$6)</f>
        <v>-7475407613.5298576</v>
      </c>
      <c r="E2703" s="545">
        <f>-'Foglio deposito bis'!$F$88*(C2703-sezione!$AL$37)*IF(ABS(K2703)&lt;'Sollecitazioni nel paramento'!$G$58,ABS(K2703)*'Sollecitazioni nel paramento'!$G$54,'Sollecitazioni nel paramento'!$G$53)</f>
        <v>0</v>
      </c>
      <c r="F2703" s="545">
        <f>-'Foglio deposito bis'!$F$89*(C2703-sezione!$AM$37)*IF(ABS(L2703)&lt;'Sollecitazioni nel paramento'!$G$58,ABS(L2703)*'Sollecitazioni nel paramento'!$G$54,'Sollecitazioni nel paramento'!$G$53)</f>
        <v>-79851899.711730421</v>
      </c>
      <c r="G2703" s="545">
        <f>-'Foglio deposito bis'!$F$90*(C2703-sezione!$AN$37)*IF(ABS(M2703)&lt;'Sollecitazioni nel paramento'!$G$58,ABS(M2703)*'Sollecitazioni nel paramento'!$G$54,'Sollecitazioni nel paramento'!$G$53)</f>
        <v>0</v>
      </c>
      <c r="H2703" s="545">
        <f>-'Foglio deposito bis'!$F$91*(C2703-sezione!$AO$37)*IF(ABS(N2703)&lt;'Sollecitazioni nel paramento'!$G$58,ABS(N2703)*'Sollecitazioni nel paramento'!$G$54,'Sollecitazioni nel paramento'!$G$53)</f>
        <v>-374531283.96679246</v>
      </c>
      <c r="I2703" s="472">
        <f>-'Foglio deposito bis'!$F$92*(C2703-sezione!$AP$37)*IF(ABS(O2703)&lt;'Sollecitazioni nel paramento'!$G$58,ABS(O2703)*'Sollecitazioni nel paramento'!$G$54,'Sollecitazioni nel paramento'!$G$53)</f>
        <v>301249575.87496507</v>
      </c>
      <c r="J2703" s="472">
        <f t="shared" si="188"/>
        <v>-7628541221.333415</v>
      </c>
      <c r="K2703" s="550">
        <f>'Sollecitazioni nel paramento'!$G$60*(sezione!$AL$37-C2703)/C2703</f>
        <v>-3.2584748230702629E-3</v>
      </c>
      <c r="L2703" s="550">
        <f>'Sollecitazioni nel paramento'!$G$60*(sezione!$AM$37-C2703)/C2703</f>
        <v>-3.1377122346053941E-3</v>
      </c>
      <c r="M2703" s="551">
        <f>'Sollecitazioni nel paramento'!$G$60*(sezione!$AN$37-C2703)/C2703</f>
        <v>-3.0169496461405257E-3</v>
      </c>
      <c r="N2703" s="551">
        <f>'Sollecitazioni nel paramento'!$G$60*(sezione!$AO$37-C2703)/C2703</f>
        <v>-2.5338992922810514E-3</v>
      </c>
      <c r="O2703" s="551">
        <f>'Sollecitazioni nel paramento'!$G$60*(sezione!$AP$37-C2703)/C2703</f>
        <v>1.4418415565371993E-3</v>
      </c>
      <c r="P2703" s="545">
        <f>-'Sollecitazioni nel paramento'!$G$47*'Sollecitazioni nel paramento'!$G$41*IF(DATI!$G$211="dx",DATI!$E$61,DATI!$E$64*DATI!$E$63)*1000*C2703*sezione!$AD$5</f>
        <v>-22082915.196669564</v>
      </c>
      <c r="Q2703" s="545">
        <f>'Foglio deposito bis'!$F$88*IF(ABS(K2703)&lt;'Sollecitazioni nel paramento'!$G$58,ABS(K2703)*'Sollecitazioni nel paramento'!$G$54,'Sollecitazioni nel paramento'!$G$53)*IF(K2703&lt;0,-1,1)</f>
        <v>0</v>
      </c>
      <c r="R2703" s="545">
        <f>'Foglio deposito bis'!$F$89*IF(ABS(L2703)&lt;'Sollecitazioni nel paramento'!$G$58,ABS(L2703)*'Sollecitazioni nel paramento'!$G$54,'Sollecitazioni nel paramento'!$G$53)*IF(L2703&lt;0,-1,1)</f>
        <v>-153664.85805602249</v>
      </c>
      <c r="S2703" s="545">
        <f>'Foglio deposito bis'!$F$90*IF(ABS(M2703)&lt;'Sollecitazioni nel paramento'!$G$58,ABS(M2703)*'Sollecitazioni nel paramento'!$G$54,'Sollecitazioni nel paramento'!$G$53)*IF(M2703&lt;0,-1,1)</f>
        <v>0</v>
      </c>
      <c r="T2703" s="545">
        <f>'Foglio deposito bis'!$F$91*IF(ABS(N2703)&lt;'Sollecitazioni nel paramento'!$G$58,ABS(N2703)*'Sollecitazioni nel paramento'!$G$54,'Sollecitazioni nel paramento'!$G$53)*IF(N2703&lt;0,-1,1)</f>
        <v>-892485.49558937876</v>
      </c>
      <c r="U2703" s="545">
        <f>'Foglio deposito bis'!$F$92*IF(ABS(O2703)&lt;'Sollecitazioni nel paramento'!$G$58,ABS(O2703)*'Sollecitazioni nel paramento'!$G$54,'Sollecitazioni nel paramento'!$G$53)*IF(O2703&lt;0,-1,1)</f>
        <v>1261569.9135477799</v>
      </c>
      <c r="V2703" s="472">
        <f t="shared" si="190"/>
        <v>-21867495.636767186</v>
      </c>
      <c r="W2703" s="551"/>
      <c r="X2703" s="551"/>
    </row>
    <row r="2704" spans="1:24" x14ac:dyDescent="0.25">
      <c r="A2704" s="545">
        <f t="shared" si="189"/>
        <v>22394989.308415715</v>
      </c>
      <c r="B2704" s="3">
        <f t="shared" si="187"/>
        <v>50.899999999999942</v>
      </c>
      <c r="C2704" s="545">
        <f>'Foglio deposito bis'!$E$163/sezione!$B$247*B2704</f>
        <v>591.26594186902867</v>
      </c>
      <c r="D2704" s="603">
        <f>-'Sollecitazioni nel paramento'!$G$47*'Sollecitazioni nel paramento'!$G$41*IF(DATI!$G$211="dx",DATI!$E$61,DATI!$E$64*DATI!$E$63)*1000*C2704^2*sezione!$AD$5*(1-sezione!$AD$6)</f>
        <v>-7778025308.8177509</v>
      </c>
      <c r="E2704" s="545">
        <f>-'Foglio deposito bis'!$F$88*(C2704-sezione!$AL$37)*IF(ABS(K2704)&lt;'Sollecitazioni nel paramento'!$G$58,ABS(K2704)*'Sollecitazioni nel paramento'!$G$54,'Sollecitazioni nel paramento'!$G$53)</f>
        <v>0</v>
      </c>
      <c r="F2704" s="545">
        <f>-'Foglio deposito bis'!$F$89*(C2704-sezione!$AM$37)*IF(ABS(L2704)&lt;'Sollecitazioni nel paramento'!$G$58,ABS(L2704)*'Sollecitazioni nel paramento'!$G$54,'Sollecitazioni nel paramento'!$G$53)</f>
        <v>-81636905.547303393</v>
      </c>
      <c r="G2704" s="545">
        <f>-'Foglio deposito bis'!$F$90*(C2704-sezione!$AN$37)*IF(ABS(M2704)&lt;'Sollecitazioni nel paramento'!$G$58,ABS(M2704)*'Sollecitazioni nel paramento'!$G$54,'Sollecitazioni nel paramento'!$G$53)</f>
        <v>0</v>
      </c>
      <c r="H2704" s="545">
        <f>-'Foglio deposito bis'!$F$91*(C2704-sezione!$AO$37)*IF(ABS(N2704)&lt;'Sollecitazioni nel paramento'!$G$58,ABS(N2704)*'Sollecitazioni nel paramento'!$G$54,'Sollecitazioni nel paramento'!$G$53)</f>
        <v>-384898597.85980028</v>
      </c>
      <c r="I2704" s="472">
        <f>-'Foglio deposito bis'!$F$92*(C2704-sezione!$AP$37)*IF(ABS(O2704)&lt;'Sollecitazioni nel paramento'!$G$58,ABS(O2704)*'Sollecitazioni nel paramento'!$G$54,'Sollecitazioni nel paramento'!$G$53)</f>
        <v>267296465.2235401</v>
      </c>
      <c r="J2704" s="472">
        <f t="shared" si="188"/>
        <v>-7977264347.0013142</v>
      </c>
      <c r="K2704" s="550">
        <f>'Sollecitazioni nel paramento'!$G$60*(sezione!$AL$37-C2704)/C2704</f>
        <v>-3.2632199149549338E-3</v>
      </c>
      <c r="L2704" s="550">
        <f>'Sollecitazioni nel paramento'!$G$60*(sezione!$AM$37-C2704)/C2704</f>
        <v>-3.1448298724324002E-3</v>
      </c>
      <c r="M2704" s="551">
        <f>'Sollecitazioni nel paramento'!$G$60*(sezione!$AN$37-C2704)/C2704</f>
        <v>-3.0264398299098666E-3</v>
      </c>
      <c r="N2704" s="551">
        <f>'Sollecitazioni nel paramento'!$G$60*(sezione!$AO$37-C2704)/C2704</f>
        <v>-2.5528796598197337E-3</v>
      </c>
      <c r="O2704" s="551">
        <f>'Sollecitazioni nel paramento'!$G$60*(sezione!$AP$37-C2704)/C2704</f>
        <v>1.3447523314578833E-3</v>
      </c>
      <c r="P2704" s="545">
        <f>-'Sollecitazioni nel paramento'!$G$47*'Sollecitazioni nel paramento'!$G$41*IF(DATI!$G$211="dx",DATI!$E$61,DATI!$E$64*DATI!$E$63)*1000*C2704*sezione!$AD$5</f>
        <v>-22525458.58738438</v>
      </c>
      <c r="Q2704" s="545">
        <f>'Foglio deposito bis'!$F$88*IF(ABS(K2704)&lt;'Sollecitazioni nel paramento'!$G$58,ABS(K2704)*'Sollecitazioni nel paramento'!$G$54,'Sollecitazioni nel paramento'!$G$53)*IF(K2704&lt;0,-1,1)</f>
        <v>0</v>
      </c>
      <c r="R2704" s="545">
        <f>'Foglio deposito bis'!$F$89*IF(ABS(L2704)&lt;'Sollecitazioni nel paramento'!$G$58,ABS(L2704)*'Sollecitazioni nel paramento'!$G$54,'Sollecitazioni nel paramento'!$G$53)*IF(L2704&lt;0,-1,1)</f>
        <v>-153664.85805602249</v>
      </c>
      <c r="S2704" s="545">
        <f>'Foglio deposito bis'!$F$90*IF(ABS(M2704)&lt;'Sollecitazioni nel paramento'!$G$58,ABS(M2704)*'Sollecitazioni nel paramento'!$G$54,'Sollecitazioni nel paramento'!$G$53)*IF(M2704&lt;0,-1,1)</f>
        <v>0</v>
      </c>
      <c r="T2704" s="545">
        <f>'Foglio deposito bis'!$F$91*IF(ABS(N2704)&lt;'Sollecitazioni nel paramento'!$G$58,ABS(N2704)*'Sollecitazioni nel paramento'!$G$54,'Sollecitazioni nel paramento'!$G$53)*IF(N2704&lt;0,-1,1)</f>
        <v>-892485.49558937876</v>
      </c>
      <c r="U2704" s="545">
        <f>'Foglio deposito bis'!$F$92*IF(ABS(O2704)&lt;'Sollecitazioni nel paramento'!$G$58,ABS(O2704)*'Sollecitazioni nel paramento'!$G$54,'Sollecitazioni nel paramento'!$G$53)*IF(O2704&lt;0,-1,1)</f>
        <v>1176619.6326140692</v>
      </c>
      <c r="V2704" s="472">
        <f t="shared" si="190"/>
        <v>-22394989.308415715</v>
      </c>
      <c r="W2704" s="551"/>
      <c r="X2704" s="551"/>
    </row>
    <row r="2705" spans="1:24" x14ac:dyDescent="0.25">
      <c r="A2705" s="545">
        <f t="shared" si="189"/>
        <v>22919209.366155434</v>
      </c>
      <c r="B2705" s="3">
        <f t="shared" si="187"/>
        <v>51.899999999999942</v>
      </c>
      <c r="C2705" s="545">
        <f>'Foglio deposito bis'!$E$163/sezione!$B$247*B2705</f>
        <v>602.88216862480533</v>
      </c>
      <c r="D2705" s="603">
        <f>-'Sollecitazioni nel paramento'!$G$47*'Sollecitazioni nel paramento'!$G$41*IF(DATI!$G$211="dx",DATI!$E$61,DATI!$E$64*DATI!$E$63)*1000*C2705^2*sezione!$AD$5*(1-sezione!$AD$6)</f>
        <v>-8086647323.4565954</v>
      </c>
      <c r="E2705" s="545">
        <f>-'Foglio deposito bis'!$F$88*(C2705-sezione!$AL$37)*IF(ABS(K2705)&lt;'Sollecitazioni nel paramento'!$G$58,ABS(K2705)*'Sollecitazioni nel paramento'!$G$54,'Sollecitazioni nel paramento'!$G$53)</f>
        <v>0</v>
      </c>
      <c r="F2705" s="545">
        <f>-'Foglio deposito bis'!$F$89*(C2705-sezione!$AM$37)*IF(ABS(L2705)&lt;'Sollecitazioni nel paramento'!$G$58,ABS(L2705)*'Sollecitazioni nel paramento'!$G$54,'Sollecitazioni nel paramento'!$G$53)</f>
        <v>-83421911.382876381</v>
      </c>
      <c r="G2705" s="545">
        <f>-'Foglio deposito bis'!$F$90*(C2705-sezione!$AN$37)*IF(ABS(M2705)&lt;'Sollecitazioni nel paramento'!$G$58,ABS(M2705)*'Sollecitazioni nel paramento'!$G$54,'Sollecitazioni nel paramento'!$G$53)</f>
        <v>0</v>
      </c>
      <c r="H2705" s="545">
        <f>-'Foglio deposito bis'!$F$91*(C2705-sezione!$AO$37)*IF(ABS(N2705)&lt;'Sollecitazioni nel paramento'!$G$58,ABS(N2705)*'Sollecitazioni nel paramento'!$G$54,'Sollecitazioni nel paramento'!$G$53)</f>
        <v>-395265911.75280821</v>
      </c>
      <c r="I2705" s="472">
        <f>-'Foglio deposito bis'!$F$92*(C2705-sezione!$AP$37)*IF(ABS(O2705)&lt;'Sollecitazioni nel paramento'!$G$58,ABS(O2705)*'Sollecitazioni nel paramento'!$G$54,'Sollecitazioni nel paramento'!$G$53)</f>
        <v>236022608.38081229</v>
      </c>
      <c r="J2705" s="472">
        <f t="shared" si="188"/>
        <v>-8329312538.2114677</v>
      </c>
      <c r="K2705" s="550">
        <f>'Sollecitazioni nel paramento'!$G$60*(sezione!$AL$37-C2705)/C2705</f>
        <v>-3.267782151661004E-3</v>
      </c>
      <c r="L2705" s="550">
        <f>'Sollecitazioni nel paramento'!$G$60*(sezione!$AM$37-C2705)/C2705</f>
        <v>-3.1516732274915059E-3</v>
      </c>
      <c r="M2705" s="551">
        <f>'Sollecitazioni nel paramento'!$G$60*(sezione!$AN$37-C2705)/C2705</f>
        <v>-3.0355643033220083E-3</v>
      </c>
      <c r="N2705" s="551">
        <f>'Sollecitazioni nel paramento'!$G$60*(sezione!$AO$37-C2705)/C2705</f>
        <v>-2.5711286066440165E-3</v>
      </c>
      <c r="O2705" s="551">
        <f>'Sollecitazioni nel paramento'!$G$60*(sezione!$AP$37-C2705)/C2705</f>
        <v>1.2514045023353803E-3</v>
      </c>
      <c r="P2705" s="545">
        <f>-'Sollecitazioni nel paramento'!$G$47*'Sollecitazioni nel paramento'!$G$41*IF(DATI!$G$211="dx",DATI!$E$61,DATI!$E$64*DATI!$E$63)*1000*C2705*sezione!$AD$5</f>
        <v>-22968001.978099205</v>
      </c>
      <c r="Q2705" s="545">
        <f>'Foglio deposito bis'!$F$88*IF(ABS(K2705)&lt;'Sollecitazioni nel paramento'!$G$58,ABS(K2705)*'Sollecitazioni nel paramento'!$G$54,'Sollecitazioni nel paramento'!$G$53)*IF(K2705&lt;0,-1,1)</f>
        <v>0</v>
      </c>
      <c r="R2705" s="545">
        <f>'Foglio deposito bis'!$F$89*IF(ABS(L2705)&lt;'Sollecitazioni nel paramento'!$G$58,ABS(L2705)*'Sollecitazioni nel paramento'!$G$54,'Sollecitazioni nel paramento'!$G$53)*IF(L2705&lt;0,-1,1)</f>
        <v>-153664.85805602249</v>
      </c>
      <c r="S2705" s="545">
        <f>'Foglio deposito bis'!$F$90*IF(ABS(M2705)&lt;'Sollecitazioni nel paramento'!$G$58,ABS(M2705)*'Sollecitazioni nel paramento'!$G$54,'Sollecitazioni nel paramento'!$G$53)*IF(M2705&lt;0,-1,1)</f>
        <v>0</v>
      </c>
      <c r="T2705" s="545">
        <f>'Foglio deposito bis'!$F$91*IF(ABS(N2705)&lt;'Sollecitazioni nel paramento'!$G$58,ABS(N2705)*'Sollecitazioni nel paramento'!$G$54,'Sollecitazioni nel paramento'!$G$53)*IF(N2705&lt;0,-1,1)</f>
        <v>-892485.49558937876</v>
      </c>
      <c r="U2705" s="545">
        <f>'Foglio deposito bis'!$F$92*IF(ABS(O2705)&lt;'Sollecitazioni nel paramento'!$G$58,ABS(O2705)*'Sollecitazioni nel paramento'!$G$54,'Sollecitazioni nel paramento'!$G$53)*IF(O2705&lt;0,-1,1)</f>
        <v>1094942.9655891715</v>
      </c>
      <c r="V2705" s="472">
        <f t="shared" si="190"/>
        <v>-22919209.366155434</v>
      </c>
      <c r="W2705" s="551"/>
      <c r="X2705" s="551"/>
    </row>
    <row r="2706" spans="1:24" x14ac:dyDescent="0.25">
      <c r="A2706" s="545">
        <f t="shared" si="189"/>
        <v>23440341.459168315</v>
      </c>
      <c r="B2706" s="3">
        <f t="shared" si="187"/>
        <v>52.899999999999942</v>
      </c>
      <c r="C2706" s="545">
        <f>'Foglio deposito bis'!$E$163/sezione!$B$247*B2706</f>
        <v>614.49839538058188</v>
      </c>
      <c r="D2706" s="603">
        <f>-'Sollecitazioni nel paramento'!$G$47*'Sollecitazioni nel paramento'!$G$41*IF(DATI!$G$211="dx",DATI!$E$61,DATI!$E$64*DATI!$E$63)*1000*C2706^2*sezione!$AD$5*(1-sezione!$AD$6)</f>
        <v>-8401273657.4463911</v>
      </c>
      <c r="E2706" s="545">
        <f>-'Foglio deposito bis'!$F$88*(C2706-sezione!$AL$37)*IF(ABS(K2706)&lt;'Sollecitazioni nel paramento'!$G$58,ABS(K2706)*'Sollecitazioni nel paramento'!$G$54,'Sollecitazioni nel paramento'!$G$53)</f>
        <v>0</v>
      </c>
      <c r="F2706" s="545">
        <f>-'Foglio deposito bis'!$F$89*(C2706-sezione!$AM$37)*IF(ABS(L2706)&lt;'Sollecitazioni nel paramento'!$G$58,ABS(L2706)*'Sollecitazioni nel paramento'!$G$54,'Sollecitazioni nel paramento'!$G$53)</f>
        <v>-85206917.218449354</v>
      </c>
      <c r="G2706" s="545">
        <f>-'Foglio deposito bis'!$F$90*(C2706-sezione!$AN$37)*IF(ABS(M2706)&lt;'Sollecitazioni nel paramento'!$G$58,ABS(M2706)*'Sollecitazioni nel paramento'!$G$54,'Sollecitazioni nel paramento'!$G$53)</f>
        <v>0</v>
      </c>
      <c r="H2706" s="545">
        <f>-'Foglio deposito bis'!$F$91*(C2706-sezione!$AO$37)*IF(ABS(N2706)&lt;'Sollecitazioni nel paramento'!$G$58,ABS(N2706)*'Sollecitazioni nel paramento'!$G$54,'Sollecitazioni nel paramento'!$G$53)</f>
        <v>-405633225.64581603</v>
      </c>
      <c r="I2706" s="472">
        <f>-'Foglio deposito bis'!$F$92*(C2706-sezione!$AP$37)*IF(ABS(O2706)&lt;'Sollecitazioni nel paramento'!$G$58,ABS(O2706)*'Sollecitazioni nel paramento'!$G$54,'Sollecitazioni nel paramento'!$G$53)</f>
        <v>207276062.78674263</v>
      </c>
      <c r="J2706" s="472">
        <f t="shared" si="188"/>
        <v>-8684837737.5239143</v>
      </c>
      <c r="K2706" s="550">
        <f>'Sollecitazioni nel paramento'!$G$60*(sezione!$AL$37-C2706)/C2706</f>
        <v>-3.2721719030473747E-3</v>
      </c>
      <c r="L2706" s="550">
        <f>'Sollecitazioni nel paramento'!$G$60*(sezione!$AM$37-C2706)/C2706</f>
        <v>-3.1582578545710617E-3</v>
      </c>
      <c r="M2706" s="551">
        <f>'Sollecitazioni nel paramento'!$G$60*(sezione!$AN$37-C2706)/C2706</f>
        <v>-3.0443438060947488E-3</v>
      </c>
      <c r="N2706" s="551">
        <f>'Sollecitazioni nel paramento'!$G$60*(sezione!$AO$37-C2706)/C2706</f>
        <v>-2.588687612189498E-3</v>
      </c>
      <c r="O2706" s="551">
        <f>'Sollecitazioni nel paramento'!$G$60*(sezione!$AP$37-C2706)/C2706</f>
        <v>1.1615858917052219E-3</v>
      </c>
      <c r="P2706" s="545">
        <f>-'Sollecitazioni nel paramento'!$G$47*'Sollecitazioni nel paramento'!$G$41*IF(DATI!$G$211="dx",DATI!$E$61,DATI!$E$64*DATI!$E$63)*1000*C2706*sezione!$AD$5</f>
        <v>-23410545.368814025</v>
      </c>
      <c r="Q2706" s="545">
        <f>'Foglio deposito bis'!$F$88*IF(ABS(K2706)&lt;'Sollecitazioni nel paramento'!$G$58,ABS(K2706)*'Sollecitazioni nel paramento'!$G$54,'Sollecitazioni nel paramento'!$G$53)*IF(K2706&lt;0,-1,1)</f>
        <v>0</v>
      </c>
      <c r="R2706" s="545">
        <f>'Foglio deposito bis'!$F$89*IF(ABS(L2706)&lt;'Sollecitazioni nel paramento'!$G$58,ABS(L2706)*'Sollecitazioni nel paramento'!$G$54,'Sollecitazioni nel paramento'!$G$53)*IF(L2706&lt;0,-1,1)</f>
        <v>-153664.85805602249</v>
      </c>
      <c r="S2706" s="545">
        <f>'Foglio deposito bis'!$F$90*IF(ABS(M2706)&lt;'Sollecitazioni nel paramento'!$G$58,ABS(M2706)*'Sollecitazioni nel paramento'!$G$54,'Sollecitazioni nel paramento'!$G$53)*IF(M2706&lt;0,-1,1)</f>
        <v>0</v>
      </c>
      <c r="T2706" s="545">
        <f>'Foglio deposito bis'!$F$91*IF(ABS(N2706)&lt;'Sollecitazioni nel paramento'!$G$58,ABS(N2706)*'Sollecitazioni nel paramento'!$G$54,'Sollecitazioni nel paramento'!$G$53)*IF(N2706&lt;0,-1,1)</f>
        <v>-892485.49558937876</v>
      </c>
      <c r="U2706" s="545">
        <f>'Foglio deposito bis'!$F$92*IF(ABS(O2706)&lt;'Sollecitazioni nel paramento'!$G$58,ABS(O2706)*'Sollecitazioni nel paramento'!$G$54,'Sollecitazioni nel paramento'!$G$53)*IF(O2706&lt;0,-1,1)</f>
        <v>1016354.2632911135</v>
      </c>
      <c r="V2706" s="472">
        <f t="shared" si="190"/>
        <v>-23440341.459168315</v>
      </c>
      <c r="W2706" s="551"/>
      <c r="X2706" s="551"/>
    </row>
    <row r="2707" spans="1:24" x14ac:dyDescent="0.25">
      <c r="A2707" s="545">
        <f t="shared" si="189"/>
        <v>23958557.459331542</v>
      </c>
      <c r="B2707" s="3">
        <f t="shared" si="187"/>
        <v>53.899999999999942</v>
      </c>
      <c r="C2707" s="545">
        <f>'Foglio deposito bis'!$E$163/sezione!$B$247*B2707</f>
        <v>626.11462213635855</v>
      </c>
      <c r="D2707" s="603">
        <f>-'Sollecitazioni nel paramento'!$G$47*'Sollecitazioni nel paramento'!$G$41*IF(DATI!$G$211="dx",DATI!$E$61,DATI!$E$64*DATI!$E$63)*1000*C2707^2*sezione!$AD$5*(1-sezione!$AD$6)</f>
        <v>-8721904310.7871361</v>
      </c>
      <c r="E2707" s="545">
        <f>-'Foglio deposito bis'!$F$88*(C2707-sezione!$AL$37)*IF(ABS(K2707)&lt;'Sollecitazioni nel paramento'!$G$58,ABS(K2707)*'Sollecitazioni nel paramento'!$G$54,'Sollecitazioni nel paramento'!$G$53)</f>
        <v>0</v>
      </c>
      <c r="F2707" s="545">
        <f>-'Foglio deposito bis'!$F$89*(C2707-sezione!$AM$37)*IF(ABS(L2707)&lt;'Sollecitazioni nel paramento'!$G$58,ABS(L2707)*'Sollecitazioni nel paramento'!$G$54,'Sollecitazioni nel paramento'!$G$53)</f>
        <v>-86991923.054022357</v>
      </c>
      <c r="G2707" s="545">
        <f>-'Foglio deposito bis'!$F$90*(C2707-sezione!$AN$37)*IF(ABS(M2707)&lt;'Sollecitazioni nel paramento'!$G$58,ABS(M2707)*'Sollecitazioni nel paramento'!$G$54,'Sollecitazioni nel paramento'!$G$53)</f>
        <v>0</v>
      </c>
      <c r="H2707" s="545">
        <f>-'Foglio deposito bis'!$F$91*(C2707-sezione!$AO$37)*IF(ABS(N2707)&lt;'Sollecitazioni nel paramento'!$G$58,ABS(N2707)*'Sollecitazioni nel paramento'!$G$54,'Sollecitazioni nel paramento'!$G$53)</f>
        <v>-416000539.53882402</v>
      </c>
      <c r="I2707" s="472">
        <f>-'Foglio deposito bis'!$F$92*(C2707-sezione!$AP$37)*IF(ABS(O2707)&lt;'Sollecitazioni nel paramento'!$G$58,ABS(O2707)*'Sollecitazioni nel paramento'!$G$54,'Sollecitazioni nel paramento'!$G$53)</f>
        <v>180916161.76700827</v>
      </c>
      <c r="J2707" s="472">
        <f t="shared" si="188"/>
        <v>-9043980611.6129742</v>
      </c>
      <c r="K2707" s="550">
        <f>'Sollecitazioni nel paramento'!$G$60*(sezione!$AL$37-C2707)/C2707</f>
        <v>-3.2763987694101318E-3</v>
      </c>
      <c r="L2707" s="550">
        <f>'Sollecitazioni nel paramento'!$G$60*(sezione!$AM$37-C2707)/C2707</f>
        <v>-3.1645981541151978E-3</v>
      </c>
      <c r="M2707" s="551">
        <f>'Sollecitazioni nel paramento'!$G$60*(sezione!$AN$37-C2707)/C2707</f>
        <v>-3.0527975388202639E-3</v>
      </c>
      <c r="N2707" s="551">
        <f>'Sollecitazioni nel paramento'!$G$60*(sezione!$AO$37-C2707)/C2707</f>
        <v>-2.6055950776405282E-3</v>
      </c>
      <c r="O2707" s="551">
        <f>'Sollecitazioni nel paramento'!$G$60*(sezione!$AP$37-C2707)/C2707</f>
        <v>1.0751000681114328E-3</v>
      </c>
      <c r="P2707" s="545">
        <f>-'Sollecitazioni nel paramento'!$G$47*'Sollecitazioni nel paramento'!$G$41*IF(DATI!$G$211="dx",DATI!$E$61,DATI!$E$64*DATI!$E$63)*1000*C2707*sezione!$AD$5</f>
        <v>-23853088.759528846</v>
      </c>
      <c r="Q2707" s="545">
        <f>'Foglio deposito bis'!$F$88*IF(ABS(K2707)&lt;'Sollecitazioni nel paramento'!$G$58,ABS(K2707)*'Sollecitazioni nel paramento'!$G$54,'Sollecitazioni nel paramento'!$G$53)*IF(K2707&lt;0,-1,1)</f>
        <v>0</v>
      </c>
      <c r="R2707" s="545">
        <f>'Foglio deposito bis'!$F$89*IF(ABS(L2707)&lt;'Sollecitazioni nel paramento'!$G$58,ABS(L2707)*'Sollecitazioni nel paramento'!$G$54,'Sollecitazioni nel paramento'!$G$53)*IF(L2707&lt;0,-1,1)</f>
        <v>-153664.85805602249</v>
      </c>
      <c r="S2707" s="545">
        <f>'Foglio deposito bis'!$F$90*IF(ABS(M2707)&lt;'Sollecitazioni nel paramento'!$G$58,ABS(M2707)*'Sollecitazioni nel paramento'!$G$54,'Sollecitazioni nel paramento'!$G$53)*IF(M2707&lt;0,-1,1)</f>
        <v>0</v>
      </c>
      <c r="T2707" s="545">
        <f>'Foglio deposito bis'!$F$91*IF(ABS(N2707)&lt;'Sollecitazioni nel paramento'!$G$58,ABS(N2707)*'Sollecitazioni nel paramento'!$G$54,'Sollecitazioni nel paramento'!$G$53)*IF(N2707&lt;0,-1,1)</f>
        <v>-892485.49558937876</v>
      </c>
      <c r="U2707" s="545">
        <f>'Foglio deposito bis'!$F$92*IF(ABS(O2707)&lt;'Sollecitazioni nel paramento'!$G$58,ABS(O2707)*'Sollecitazioni nel paramento'!$G$54,'Sollecitazioni nel paramento'!$G$53)*IF(O2707&lt;0,-1,1)</f>
        <v>940681.65384270484</v>
      </c>
      <c r="V2707" s="472">
        <f t="shared" si="190"/>
        <v>-23958557.459331542</v>
      </c>
      <c r="W2707" s="551"/>
      <c r="X2707" s="551"/>
    </row>
    <row r="2708" spans="1:24" x14ac:dyDescent="0.25">
      <c r="A2708" s="545">
        <f t="shared" si="189"/>
        <v>24474016.715981171</v>
      </c>
      <c r="B2708" s="3">
        <f t="shared" si="187"/>
        <v>54.899999999999942</v>
      </c>
      <c r="C2708" s="545">
        <f>'Foglio deposito bis'!$E$163/sezione!$B$247*B2708</f>
        <v>637.7308488921351</v>
      </c>
      <c r="D2708" s="603">
        <f>-'Sollecitazioni nel paramento'!$G$47*'Sollecitazioni nel paramento'!$G$41*IF(DATI!$G$211="dx",DATI!$E$61,DATI!$E$64*DATI!$E$63)*1000*C2708^2*sezione!$AD$5*(1-sezione!$AD$6)</f>
        <v>-9048539283.4788322</v>
      </c>
      <c r="E2708" s="545">
        <f>-'Foglio deposito bis'!$F$88*(C2708-sezione!$AL$37)*IF(ABS(K2708)&lt;'Sollecitazioni nel paramento'!$G$58,ABS(K2708)*'Sollecitazioni nel paramento'!$G$54,'Sollecitazioni nel paramento'!$G$53)</f>
        <v>0</v>
      </c>
      <c r="F2708" s="545">
        <f>-'Foglio deposito bis'!$F$89*(C2708-sezione!$AM$37)*IF(ABS(L2708)&lt;'Sollecitazioni nel paramento'!$G$58,ABS(L2708)*'Sollecitazioni nel paramento'!$G$54,'Sollecitazioni nel paramento'!$G$53)</f>
        <v>-88776928.889595315</v>
      </c>
      <c r="G2708" s="545">
        <f>-'Foglio deposito bis'!$F$90*(C2708-sezione!$AN$37)*IF(ABS(M2708)&lt;'Sollecitazioni nel paramento'!$G$58,ABS(M2708)*'Sollecitazioni nel paramento'!$G$54,'Sollecitazioni nel paramento'!$G$53)</f>
        <v>0</v>
      </c>
      <c r="H2708" s="545">
        <f>-'Foglio deposito bis'!$F$91*(C2708-sezione!$AO$37)*IF(ABS(N2708)&lt;'Sollecitazioni nel paramento'!$G$58,ABS(N2708)*'Sollecitazioni nel paramento'!$G$54,'Sollecitazioni nel paramento'!$G$53)</f>
        <v>-426367853.43183178</v>
      </c>
      <c r="I2708" s="472">
        <f>-'Foglio deposito bis'!$F$92*(C2708-sezione!$AP$37)*IF(ABS(O2708)&lt;'Sollecitazioni nel paramento'!$G$58,ABS(O2708)*'Sollecitazioni nel paramento'!$G$54,'Sollecitazioni nel paramento'!$G$53)</f>
        <v>156812487.58530715</v>
      </c>
      <c r="J2708" s="472">
        <f t="shared" si="188"/>
        <v>-9406871578.2149506</v>
      </c>
      <c r="K2708" s="550">
        <f>'Sollecitazioni nel paramento'!$G$60*(sezione!$AL$37-C2708)/C2708</f>
        <v>-3.2804716515702388E-3</v>
      </c>
      <c r="L2708" s="550">
        <f>'Sollecitazioni nel paramento'!$G$60*(sezione!$AM$37-C2708)/C2708</f>
        <v>-3.1707074773553584E-3</v>
      </c>
      <c r="M2708" s="551">
        <f>'Sollecitazioni nel paramento'!$G$60*(sezione!$AN$37-C2708)/C2708</f>
        <v>-3.0609433031404776E-3</v>
      </c>
      <c r="N2708" s="551">
        <f>'Sollecitazioni nel paramento'!$G$60*(sezione!$AO$37-C2708)/C2708</f>
        <v>-2.621886606280955E-3</v>
      </c>
      <c r="O2708" s="551">
        <f>'Sollecitazioni nel paramento'!$G$60*(sezione!$AP$37-C2708)/C2708</f>
        <v>9.9176491204382936E-4</v>
      </c>
      <c r="P2708" s="545">
        <f>-'Sollecitazioni nel paramento'!$G$47*'Sollecitazioni nel paramento'!$G$41*IF(DATI!$G$211="dx",DATI!$E$61,DATI!$E$64*DATI!$E$63)*1000*C2708*sezione!$AD$5</f>
        <v>-24295632.150243666</v>
      </c>
      <c r="Q2708" s="545">
        <f>'Foglio deposito bis'!$F$88*IF(ABS(K2708)&lt;'Sollecitazioni nel paramento'!$G$58,ABS(K2708)*'Sollecitazioni nel paramento'!$G$54,'Sollecitazioni nel paramento'!$G$53)*IF(K2708&lt;0,-1,1)</f>
        <v>0</v>
      </c>
      <c r="R2708" s="545">
        <f>'Foglio deposito bis'!$F$89*IF(ABS(L2708)&lt;'Sollecitazioni nel paramento'!$G$58,ABS(L2708)*'Sollecitazioni nel paramento'!$G$54,'Sollecitazioni nel paramento'!$G$53)*IF(L2708&lt;0,-1,1)</f>
        <v>-153664.85805602249</v>
      </c>
      <c r="S2708" s="545">
        <f>'Foglio deposito bis'!$F$90*IF(ABS(M2708)&lt;'Sollecitazioni nel paramento'!$G$58,ABS(M2708)*'Sollecitazioni nel paramento'!$G$54,'Sollecitazioni nel paramento'!$G$53)*IF(M2708&lt;0,-1,1)</f>
        <v>0</v>
      </c>
      <c r="T2708" s="545">
        <f>'Foglio deposito bis'!$F$91*IF(ABS(N2708)&lt;'Sollecitazioni nel paramento'!$G$58,ABS(N2708)*'Sollecitazioni nel paramento'!$G$54,'Sollecitazioni nel paramento'!$G$53)*IF(N2708&lt;0,-1,1)</f>
        <v>-892485.49558937876</v>
      </c>
      <c r="U2708" s="545">
        <f>'Foglio deposito bis'!$F$92*IF(ABS(O2708)&lt;'Sollecitazioni nel paramento'!$G$58,ABS(O2708)*'Sollecitazioni nel paramento'!$G$54,'Sollecitazioni nel paramento'!$G$53)*IF(O2708&lt;0,-1,1)</f>
        <v>867765.78790789982</v>
      </c>
      <c r="V2708" s="472">
        <f t="shared" si="190"/>
        <v>-24474016.715981171</v>
      </c>
      <c r="W2708" s="551"/>
      <c r="X2708" s="551"/>
    </row>
    <row r="2709" spans="1:24" x14ac:dyDescent="0.25">
      <c r="A2709" s="545">
        <f t="shared" si="189"/>
        <v>24986867.175996281</v>
      </c>
      <c r="B2709" s="3">
        <f t="shared" si="187"/>
        <v>55.899999999999942</v>
      </c>
      <c r="C2709" s="545">
        <f>'Foglio deposito bis'!$E$163/sezione!$B$247*B2709</f>
        <v>649.34707564791177</v>
      </c>
      <c r="D2709" s="603">
        <f>-'Sollecitazioni nel paramento'!$G$47*'Sollecitazioni nel paramento'!$G$41*IF(DATI!$G$211="dx",DATI!$E$61,DATI!$E$64*DATI!$E$63)*1000*C2709^2*sezione!$AD$5*(1-sezione!$AD$6)</f>
        <v>-9381178575.5214787</v>
      </c>
      <c r="E2709" s="545">
        <f>-'Foglio deposito bis'!$F$88*(C2709-sezione!$AL$37)*IF(ABS(K2709)&lt;'Sollecitazioni nel paramento'!$G$58,ABS(K2709)*'Sollecitazioni nel paramento'!$G$54,'Sollecitazioni nel paramento'!$G$53)</f>
        <v>0</v>
      </c>
      <c r="F2709" s="545">
        <f>-'Foglio deposito bis'!$F$89*(C2709-sezione!$AM$37)*IF(ABS(L2709)&lt;'Sollecitazioni nel paramento'!$G$58,ABS(L2709)*'Sollecitazioni nel paramento'!$G$54,'Sollecitazioni nel paramento'!$G$53)</f>
        <v>-90561934.725168318</v>
      </c>
      <c r="G2709" s="545">
        <f>-'Foglio deposito bis'!$F$90*(C2709-sezione!$AN$37)*IF(ABS(M2709)&lt;'Sollecitazioni nel paramento'!$G$58,ABS(M2709)*'Sollecitazioni nel paramento'!$G$54,'Sollecitazioni nel paramento'!$G$53)</f>
        <v>0</v>
      </c>
      <c r="H2709" s="545">
        <f>-'Foglio deposito bis'!$F$91*(C2709-sezione!$AO$37)*IF(ABS(N2709)&lt;'Sollecitazioni nel paramento'!$G$58,ABS(N2709)*'Sollecitazioni nel paramento'!$G$54,'Sollecitazioni nel paramento'!$G$53)</f>
        <v>-436735167.32483977</v>
      </c>
      <c r="I2709" s="472">
        <f>-'Foglio deposito bis'!$F$92*(C2709-sezione!$AP$37)*IF(ABS(O2709)&lt;'Sollecitazioni nel paramento'!$G$58,ABS(O2709)*'Sollecitazioni nel paramento'!$G$54,'Sollecitazioni nel paramento'!$G$53)</f>
        <v>134843954.72260314</v>
      </c>
      <c r="J2709" s="472">
        <f t="shared" si="188"/>
        <v>-9773631722.8488846</v>
      </c>
      <c r="K2709" s="550">
        <f>'Sollecitazioni nel paramento'!$G$60*(sezione!$AL$37-C2709)/C2709</f>
        <v>-3.2843988134383922E-3</v>
      </c>
      <c r="L2709" s="550">
        <f>'Sollecitazioni nel paramento'!$G$60*(sezione!$AM$37-C2709)/C2709</f>
        <v>-3.176598220157588E-3</v>
      </c>
      <c r="M2709" s="551">
        <f>'Sollecitazioni nel paramento'!$G$60*(sezione!$AN$37-C2709)/C2709</f>
        <v>-3.0687976268767843E-3</v>
      </c>
      <c r="N2709" s="551">
        <f>'Sollecitazioni nel paramento'!$G$60*(sezione!$AO$37-C2709)/C2709</f>
        <v>-2.637595253753568E-3</v>
      </c>
      <c r="O2709" s="551">
        <f>'Sollecitazioni nel paramento'!$G$60*(sezione!$AP$37-C2709)/C2709</f>
        <v>9.1141133579975345E-4</v>
      </c>
      <c r="P2709" s="545">
        <f>-'Sollecitazioni nel paramento'!$G$47*'Sollecitazioni nel paramento'!$G$41*IF(DATI!$G$211="dx",DATI!$E$61,DATI!$E$64*DATI!$E$63)*1000*C2709*sezione!$AD$5</f>
        <v>-24738175.54095849</v>
      </c>
      <c r="Q2709" s="545">
        <f>'Foglio deposito bis'!$F$88*IF(ABS(K2709)&lt;'Sollecitazioni nel paramento'!$G$58,ABS(K2709)*'Sollecitazioni nel paramento'!$G$54,'Sollecitazioni nel paramento'!$G$53)*IF(K2709&lt;0,-1,1)</f>
        <v>0</v>
      </c>
      <c r="R2709" s="545">
        <f>'Foglio deposito bis'!$F$89*IF(ABS(L2709)&lt;'Sollecitazioni nel paramento'!$G$58,ABS(L2709)*'Sollecitazioni nel paramento'!$G$54,'Sollecitazioni nel paramento'!$G$53)*IF(L2709&lt;0,-1,1)</f>
        <v>-153664.85805602249</v>
      </c>
      <c r="S2709" s="545">
        <f>'Foglio deposito bis'!$F$90*IF(ABS(M2709)&lt;'Sollecitazioni nel paramento'!$G$58,ABS(M2709)*'Sollecitazioni nel paramento'!$G$54,'Sollecitazioni nel paramento'!$G$53)*IF(M2709&lt;0,-1,1)</f>
        <v>0</v>
      </c>
      <c r="T2709" s="545">
        <f>'Foglio deposito bis'!$F$91*IF(ABS(N2709)&lt;'Sollecitazioni nel paramento'!$G$58,ABS(N2709)*'Sollecitazioni nel paramento'!$G$54,'Sollecitazioni nel paramento'!$G$53)*IF(N2709&lt;0,-1,1)</f>
        <v>-892485.49558937876</v>
      </c>
      <c r="U2709" s="545">
        <f>'Foglio deposito bis'!$F$92*IF(ABS(O2709)&lt;'Sollecitazioni nel paramento'!$G$58,ABS(O2709)*'Sollecitazioni nel paramento'!$G$54,'Sollecitazioni nel paramento'!$G$53)*IF(O2709&lt;0,-1,1)</f>
        <v>797458.71860761335</v>
      </c>
      <c r="V2709" s="472">
        <f t="shared" si="190"/>
        <v>-24986867.175996281</v>
      </c>
      <c r="W2709" s="551"/>
      <c r="X2709" s="551"/>
    </row>
    <row r="2710" spans="1:24" x14ac:dyDescent="0.25">
      <c r="A2710" s="545">
        <f t="shared" si="189"/>
        <v>25497246.385772359</v>
      </c>
      <c r="B2710" s="3">
        <f t="shared" si="187"/>
        <v>56.899999999999942</v>
      </c>
      <c r="C2710" s="545">
        <f>'Foglio deposito bis'!$E$163/sezione!$B$247*B2710</f>
        <v>660.96330240368832</v>
      </c>
      <c r="D2710" s="603">
        <f>-'Sollecitazioni nel paramento'!$G$47*'Sollecitazioni nel paramento'!$G$41*IF(DATI!$G$211="dx",DATI!$E$61,DATI!$E$64*DATI!$E$63)*1000*C2710^2*sezione!$AD$5*(1-sezione!$AD$6)</f>
        <v>-9719822186.9150753</v>
      </c>
      <c r="E2710" s="545">
        <f>-'Foglio deposito bis'!$F$88*(C2710-sezione!$AL$37)*IF(ABS(K2710)&lt;'Sollecitazioni nel paramento'!$G$58,ABS(K2710)*'Sollecitazioni nel paramento'!$G$54,'Sollecitazioni nel paramento'!$G$53)</f>
        <v>0</v>
      </c>
      <c r="F2710" s="545">
        <f>-'Foglio deposito bis'!$F$89*(C2710-sezione!$AM$37)*IF(ABS(L2710)&lt;'Sollecitazioni nel paramento'!$G$58,ABS(L2710)*'Sollecitazioni nel paramento'!$G$54,'Sollecitazioni nel paramento'!$G$53)</f>
        <v>-92346940.56074129</v>
      </c>
      <c r="G2710" s="545">
        <f>-'Foglio deposito bis'!$F$90*(C2710-sezione!$AN$37)*IF(ABS(M2710)&lt;'Sollecitazioni nel paramento'!$G$58,ABS(M2710)*'Sollecitazioni nel paramento'!$G$54,'Sollecitazioni nel paramento'!$G$53)</f>
        <v>0</v>
      </c>
      <c r="H2710" s="545">
        <f>-'Foglio deposito bis'!$F$91*(C2710-sezione!$AO$37)*IF(ABS(N2710)&lt;'Sollecitazioni nel paramento'!$G$58,ABS(N2710)*'Sollecitazioni nel paramento'!$G$54,'Sollecitazioni nel paramento'!$G$53)</f>
        <v>-447102481.21784765</v>
      </c>
      <c r="I2710" s="472">
        <f>-'Foglio deposito bis'!$F$92*(C2710-sezione!$AP$37)*IF(ABS(O2710)&lt;'Sollecitazioni nel paramento'!$G$58,ABS(O2710)*'Sollecitazioni nel paramento'!$G$54,'Sollecitazioni nel paramento'!$G$53)</f>
        <v>114897989.82288614</v>
      </c>
      <c r="J2710" s="472">
        <f t="shared" si="188"/>
        <v>-10144373618.870779</v>
      </c>
      <c r="K2710" s="550">
        <f>'Sollecitazioni nel paramento'!$G$60*(sezione!$AL$37-C2710)/C2710</f>
        <v>-3.2881879379825329E-3</v>
      </c>
      <c r="L2710" s="550">
        <f>'Sollecitazioni nel paramento'!$G$60*(sezione!$AM$37-C2710)/C2710</f>
        <v>-3.1822819069737994E-3</v>
      </c>
      <c r="M2710" s="551">
        <f>'Sollecitazioni nel paramento'!$G$60*(sezione!$AN$37-C2710)/C2710</f>
        <v>-3.0763758759650654E-3</v>
      </c>
      <c r="N2710" s="551">
        <f>'Sollecitazioni nel paramento'!$G$60*(sezione!$AO$37-C2710)/C2710</f>
        <v>-2.6527517519301306E-3</v>
      </c>
      <c r="O2710" s="551">
        <f>'Sollecitazioni nel paramento'!$G$60*(sezione!$AP$37-C2710)/C2710</f>
        <v>8.3388213833402857E-4</v>
      </c>
      <c r="P2710" s="545">
        <f>-'Sollecitazioni nel paramento'!$G$47*'Sollecitazioni nel paramento'!$G$41*IF(DATI!$G$211="dx",DATI!$E$61,DATI!$E$64*DATI!$E$63)*1000*C2710*sezione!$AD$5</f>
        <v>-25180718.931673307</v>
      </c>
      <c r="Q2710" s="545">
        <f>'Foglio deposito bis'!$F$88*IF(ABS(K2710)&lt;'Sollecitazioni nel paramento'!$G$58,ABS(K2710)*'Sollecitazioni nel paramento'!$G$54,'Sollecitazioni nel paramento'!$G$53)*IF(K2710&lt;0,-1,1)</f>
        <v>0</v>
      </c>
      <c r="R2710" s="545">
        <f>'Foglio deposito bis'!$F$89*IF(ABS(L2710)&lt;'Sollecitazioni nel paramento'!$G$58,ABS(L2710)*'Sollecitazioni nel paramento'!$G$54,'Sollecitazioni nel paramento'!$G$53)*IF(L2710&lt;0,-1,1)</f>
        <v>-153664.85805602249</v>
      </c>
      <c r="S2710" s="545">
        <f>'Foglio deposito bis'!$F$90*IF(ABS(M2710)&lt;'Sollecitazioni nel paramento'!$G$58,ABS(M2710)*'Sollecitazioni nel paramento'!$G$54,'Sollecitazioni nel paramento'!$G$53)*IF(M2710&lt;0,-1,1)</f>
        <v>0</v>
      </c>
      <c r="T2710" s="545">
        <f>'Foglio deposito bis'!$F$91*IF(ABS(N2710)&lt;'Sollecitazioni nel paramento'!$G$58,ABS(N2710)*'Sollecitazioni nel paramento'!$G$54,'Sollecitazioni nel paramento'!$G$53)*IF(N2710&lt;0,-1,1)</f>
        <v>-892485.49558937876</v>
      </c>
      <c r="U2710" s="545">
        <f>'Foglio deposito bis'!$F$92*IF(ABS(O2710)&lt;'Sollecitazioni nel paramento'!$G$58,ABS(O2710)*'Sollecitazioni nel paramento'!$G$54,'Sollecitazioni nel paramento'!$G$53)*IF(O2710&lt;0,-1,1)</f>
        <v>729622.89954635303</v>
      </c>
      <c r="V2710" s="472">
        <f t="shared" si="190"/>
        <v>-25497246.385772359</v>
      </c>
      <c r="W2710" s="551"/>
      <c r="X2710" s="551"/>
    </row>
    <row r="2711" spans="1:24" x14ac:dyDescent="0.25">
      <c r="A2711" s="545">
        <f t="shared" si="189"/>
        <v>26005282.389363252</v>
      </c>
      <c r="B2711" s="3">
        <f t="shared" si="187"/>
        <v>57.899999999999942</v>
      </c>
      <c r="C2711" s="545">
        <f>'Foglio deposito bis'!$E$163/sezione!$B$247*B2711</f>
        <v>672.57952915946498</v>
      </c>
      <c r="D2711" s="603">
        <f>-'Sollecitazioni nel paramento'!$G$47*'Sollecitazioni nel paramento'!$G$41*IF(DATI!$G$211="dx",DATI!$E$61,DATI!$E$64*DATI!$E$63)*1000*C2711^2*sezione!$AD$5*(1-sezione!$AD$6)</f>
        <v>-10064470117.659622</v>
      </c>
      <c r="E2711" s="545">
        <f>-'Foglio deposito bis'!$F$88*(C2711-sezione!$AL$37)*IF(ABS(K2711)&lt;'Sollecitazioni nel paramento'!$G$58,ABS(K2711)*'Sollecitazioni nel paramento'!$G$54,'Sollecitazioni nel paramento'!$G$53)</f>
        <v>0</v>
      </c>
      <c r="F2711" s="545">
        <f>-'Foglio deposito bis'!$F$89*(C2711-sezione!$AM$37)*IF(ABS(L2711)&lt;'Sollecitazioni nel paramento'!$G$58,ABS(L2711)*'Sollecitazioni nel paramento'!$G$54,'Sollecitazioni nel paramento'!$G$53)</f>
        <v>-94131946.396314278</v>
      </c>
      <c r="G2711" s="545">
        <f>-'Foglio deposito bis'!$F$90*(C2711-sezione!$AN$37)*IF(ABS(M2711)&lt;'Sollecitazioni nel paramento'!$G$58,ABS(M2711)*'Sollecitazioni nel paramento'!$G$54,'Sollecitazioni nel paramento'!$G$53)</f>
        <v>0</v>
      </c>
      <c r="H2711" s="545">
        <f>-'Foglio deposito bis'!$F$91*(C2711-sezione!$AO$37)*IF(ABS(N2711)&lt;'Sollecitazioni nel paramento'!$G$58,ABS(N2711)*'Sollecitazioni nel paramento'!$G$54,'Sollecitazioni nel paramento'!$G$53)</f>
        <v>-457469795.11085552</v>
      </c>
      <c r="I2711" s="472">
        <f>-'Foglio deposito bis'!$F$92*(C2711-sezione!$AP$37)*IF(ABS(O2711)&lt;'Sollecitazioni nel paramento'!$G$58,ABS(O2711)*'Sollecitazioni nel paramento'!$G$54,'Sollecitazioni nel paramento'!$G$53)</f>
        <v>96869796.618643597</v>
      </c>
      <c r="J2711" s="472">
        <f t="shared" si="188"/>
        <v>-10519202062.548149</v>
      </c>
      <c r="K2711" s="550">
        <f>'Sollecitazioni nel paramento'!$G$60*(sezione!$AL$37-C2711)/C2711</f>
        <v>-3.2918461773956149E-3</v>
      </c>
      <c r="L2711" s="550">
        <f>'Sollecitazioni nel paramento'!$G$60*(sezione!$AM$37-C2711)/C2711</f>
        <v>-3.1877692660934229E-3</v>
      </c>
      <c r="M2711" s="551">
        <f>'Sollecitazioni nel paramento'!$G$60*(sezione!$AN$37-C2711)/C2711</f>
        <v>-3.0836923547912301E-3</v>
      </c>
      <c r="N2711" s="551">
        <f>'Sollecitazioni nel paramento'!$G$60*(sezione!$AO$37-C2711)/C2711</f>
        <v>-2.6673847095824606E-3</v>
      </c>
      <c r="O2711" s="551">
        <f>'Sollecitazioni nel paramento'!$G$60*(sezione!$AP$37-C2711)/C2711</f>
        <v>7.5903097877730915E-4</v>
      </c>
      <c r="P2711" s="545">
        <f>-'Sollecitazioni nel paramento'!$G$47*'Sollecitazioni nel paramento'!$G$41*IF(DATI!$G$211="dx",DATI!$E$61,DATI!$E$64*DATI!$E$63)*1000*C2711*sezione!$AD$5</f>
        <v>-25623262.322388131</v>
      </c>
      <c r="Q2711" s="545">
        <f>'Foglio deposito bis'!$F$88*IF(ABS(K2711)&lt;'Sollecitazioni nel paramento'!$G$58,ABS(K2711)*'Sollecitazioni nel paramento'!$G$54,'Sollecitazioni nel paramento'!$G$53)*IF(K2711&lt;0,-1,1)</f>
        <v>0</v>
      </c>
      <c r="R2711" s="545">
        <f>'Foglio deposito bis'!$F$89*IF(ABS(L2711)&lt;'Sollecitazioni nel paramento'!$G$58,ABS(L2711)*'Sollecitazioni nel paramento'!$G$54,'Sollecitazioni nel paramento'!$G$53)*IF(L2711&lt;0,-1,1)</f>
        <v>-153664.85805602249</v>
      </c>
      <c r="S2711" s="545">
        <f>'Foglio deposito bis'!$F$90*IF(ABS(M2711)&lt;'Sollecitazioni nel paramento'!$G$58,ABS(M2711)*'Sollecitazioni nel paramento'!$G$54,'Sollecitazioni nel paramento'!$G$53)*IF(M2711&lt;0,-1,1)</f>
        <v>0</v>
      </c>
      <c r="T2711" s="545">
        <f>'Foglio deposito bis'!$F$91*IF(ABS(N2711)&lt;'Sollecitazioni nel paramento'!$G$58,ABS(N2711)*'Sollecitazioni nel paramento'!$G$54,'Sollecitazioni nel paramento'!$G$53)*IF(N2711&lt;0,-1,1)</f>
        <v>-892485.49558937876</v>
      </c>
      <c r="U2711" s="545">
        <f>'Foglio deposito bis'!$F$92*IF(ABS(O2711)&lt;'Sollecitazioni nel paramento'!$G$58,ABS(O2711)*'Sollecitazioni nel paramento'!$G$54,'Sollecitazioni nel paramento'!$G$53)*IF(O2711&lt;0,-1,1)</f>
        <v>664130.2866702826</v>
      </c>
      <c r="V2711" s="472">
        <f t="shared" si="190"/>
        <v>-26005282.389363252</v>
      </c>
      <c r="W2711" s="551"/>
      <c r="X2711" s="551"/>
    </row>
    <row r="2712" spans="1:24" x14ac:dyDescent="0.25">
      <c r="A2712" s="545">
        <f t="shared" si="189"/>
        <v>26511094.535131525</v>
      </c>
      <c r="B2712" s="3">
        <f t="shared" si="187"/>
        <v>58.899999999999942</v>
      </c>
      <c r="C2712" s="545">
        <f>'Foglio deposito bis'!$E$163/sezione!$B$247*B2712</f>
        <v>684.19575591524153</v>
      </c>
      <c r="D2712" s="603">
        <f>-'Sollecitazioni nel paramento'!$G$47*'Sollecitazioni nel paramento'!$G$41*IF(DATI!$G$211="dx",DATI!$E$61,DATI!$E$64*DATI!$E$63)*1000*C2712^2*sezione!$AD$5*(1-sezione!$AD$6)</f>
        <v>-10415122367.755117</v>
      </c>
      <c r="E2712" s="545">
        <f>-'Foglio deposito bis'!$F$88*(C2712-sezione!$AL$37)*IF(ABS(K2712)&lt;'Sollecitazioni nel paramento'!$G$58,ABS(K2712)*'Sollecitazioni nel paramento'!$G$54,'Sollecitazioni nel paramento'!$G$53)</f>
        <v>0</v>
      </c>
      <c r="F2712" s="545">
        <f>-'Foglio deposito bis'!$F$89*(C2712-sezione!$AM$37)*IF(ABS(L2712)&lt;'Sollecitazioni nel paramento'!$G$58,ABS(L2712)*'Sollecitazioni nel paramento'!$G$54,'Sollecitazioni nel paramento'!$G$53)</f>
        <v>-95916952.231887251</v>
      </c>
      <c r="G2712" s="545">
        <f>-'Foglio deposito bis'!$F$90*(C2712-sezione!$AN$37)*IF(ABS(M2712)&lt;'Sollecitazioni nel paramento'!$G$58,ABS(M2712)*'Sollecitazioni nel paramento'!$G$54,'Sollecitazioni nel paramento'!$G$53)</f>
        <v>0</v>
      </c>
      <c r="H2712" s="545">
        <f>-'Foglio deposito bis'!$F$91*(C2712-sezione!$AO$37)*IF(ABS(N2712)&lt;'Sollecitazioni nel paramento'!$G$58,ABS(N2712)*'Sollecitazioni nel paramento'!$G$54,'Sollecitazioni nel paramento'!$G$53)</f>
        <v>-467837109.00386339</v>
      </c>
      <c r="I2712" s="472">
        <f>-'Foglio deposito bis'!$F$92*(C2712-sezione!$AP$37)*IF(ABS(O2712)&lt;'Sollecitazioni nel paramento'!$G$58,ABS(O2712)*'Sollecitazioni nel paramento'!$G$54,'Sollecitazioni nel paramento'!$G$53)</f>
        <v>80661695.736591876</v>
      </c>
      <c r="J2712" s="472">
        <f t="shared" si="188"/>
        <v>-10898214733.254278</v>
      </c>
      <c r="K2712" s="550">
        <f>'Sollecitazioni nel paramento'!$G$60*(sezione!$AL$37-C2712)/C2712</f>
        <v>-3.2953801981529048E-3</v>
      </c>
      <c r="L2712" s="550">
        <f>'Sollecitazioni nel paramento'!$G$60*(sezione!$AM$37-C2712)/C2712</f>
        <v>-3.1930702972293576E-3</v>
      </c>
      <c r="M2712" s="551">
        <f>'Sollecitazioni nel paramento'!$G$60*(sezione!$AN$37-C2712)/C2712</f>
        <v>-3.0907603963058103E-3</v>
      </c>
      <c r="N2712" s="551">
        <f>'Sollecitazioni nel paramento'!$G$60*(sezione!$AO$37-C2712)/C2712</f>
        <v>-2.6815207926116206E-3</v>
      </c>
      <c r="O2712" s="551">
        <f>'Sollecitazioni nel paramento'!$G$60*(sezione!$AP$37-C2712)/C2712</f>
        <v>6.8672145451963021E-4</v>
      </c>
      <c r="P2712" s="545">
        <f>-'Sollecitazioni nel paramento'!$G$47*'Sollecitazioni nel paramento'!$G$41*IF(DATI!$G$211="dx",DATI!$E$61,DATI!$E$64*DATI!$E$63)*1000*C2712*sezione!$AD$5</f>
        <v>-26065805.713102952</v>
      </c>
      <c r="Q2712" s="545">
        <f>'Foglio deposito bis'!$F$88*IF(ABS(K2712)&lt;'Sollecitazioni nel paramento'!$G$58,ABS(K2712)*'Sollecitazioni nel paramento'!$G$54,'Sollecitazioni nel paramento'!$G$53)*IF(K2712&lt;0,-1,1)</f>
        <v>0</v>
      </c>
      <c r="R2712" s="545">
        <f>'Foglio deposito bis'!$F$89*IF(ABS(L2712)&lt;'Sollecitazioni nel paramento'!$G$58,ABS(L2712)*'Sollecitazioni nel paramento'!$G$54,'Sollecitazioni nel paramento'!$G$53)*IF(L2712&lt;0,-1,1)</f>
        <v>-153664.85805602249</v>
      </c>
      <c r="S2712" s="545">
        <f>'Foglio deposito bis'!$F$90*IF(ABS(M2712)&lt;'Sollecitazioni nel paramento'!$G$58,ABS(M2712)*'Sollecitazioni nel paramento'!$G$54,'Sollecitazioni nel paramento'!$G$53)*IF(M2712&lt;0,-1,1)</f>
        <v>0</v>
      </c>
      <c r="T2712" s="545">
        <f>'Foglio deposito bis'!$F$91*IF(ABS(N2712)&lt;'Sollecitazioni nel paramento'!$G$58,ABS(N2712)*'Sollecitazioni nel paramento'!$G$54,'Sollecitazioni nel paramento'!$G$53)*IF(N2712&lt;0,-1,1)</f>
        <v>-892485.49558937876</v>
      </c>
      <c r="U2712" s="545">
        <f>'Foglio deposito bis'!$F$92*IF(ABS(O2712)&lt;'Sollecitazioni nel paramento'!$G$58,ABS(O2712)*'Sollecitazioni nel paramento'!$G$54,'Sollecitazioni nel paramento'!$G$53)*IF(O2712&lt;0,-1,1)</f>
        <v>600861.53161682992</v>
      </c>
      <c r="V2712" s="472">
        <f t="shared" si="190"/>
        <v>-26511094.535131525</v>
      </c>
      <c r="W2712" s="551"/>
      <c r="X2712" s="551"/>
    </row>
    <row r="2713" spans="1:24" x14ac:dyDescent="0.25">
      <c r="A2713" s="545">
        <f t="shared" si="189"/>
        <v>27014794.201599184</v>
      </c>
      <c r="B2713" s="3">
        <f t="shared" si="187"/>
        <v>59.899999999999942</v>
      </c>
      <c r="C2713" s="545">
        <f>'Foglio deposito bis'!$E$163/sezione!$B$247*B2713</f>
        <v>695.8119826710182</v>
      </c>
      <c r="D2713" s="603">
        <f>-'Sollecitazioni nel paramento'!$G$47*'Sollecitazioni nel paramento'!$G$41*IF(DATI!$G$211="dx",DATI!$E$61,DATI!$E$64*DATI!$E$63)*1000*C2713^2*sezione!$AD$5*(1-sezione!$AD$6)</f>
        <v>-10771778937.201567</v>
      </c>
      <c r="E2713" s="545">
        <f>-'Foglio deposito bis'!$F$88*(C2713-sezione!$AL$37)*IF(ABS(K2713)&lt;'Sollecitazioni nel paramento'!$G$58,ABS(K2713)*'Sollecitazioni nel paramento'!$G$54,'Sollecitazioni nel paramento'!$G$53)</f>
        <v>0</v>
      </c>
      <c r="F2713" s="545">
        <f>-'Foglio deposito bis'!$F$89*(C2713-sezione!$AM$37)*IF(ABS(L2713)&lt;'Sollecitazioni nel paramento'!$G$58,ABS(L2713)*'Sollecitazioni nel paramento'!$G$54,'Sollecitazioni nel paramento'!$G$53)</f>
        <v>-97701958.067460239</v>
      </c>
      <c r="G2713" s="545">
        <f>-'Foglio deposito bis'!$F$90*(C2713-sezione!$AN$37)*IF(ABS(M2713)&lt;'Sollecitazioni nel paramento'!$G$58,ABS(M2713)*'Sollecitazioni nel paramento'!$G$54,'Sollecitazioni nel paramento'!$G$53)</f>
        <v>0</v>
      </c>
      <c r="H2713" s="545">
        <f>-'Foglio deposito bis'!$F$91*(C2713-sezione!$AO$37)*IF(ABS(N2713)&lt;'Sollecitazioni nel paramento'!$G$58,ABS(N2713)*'Sollecitazioni nel paramento'!$G$54,'Sollecitazioni nel paramento'!$G$53)</f>
        <v>-478204422.89687133</v>
      </c>
      <c r="I2713" s="472">
        <f>-'Foglio deposito bis'!$F$92*(C2713-sezione!$AP$37)*IF(ABS(O2713)&lt;'Sollecitazioni nel paramento'!$G$58,ABS(O2713)*'Sollecitazioni nel paramento'!$G$54,'Sollecitazioni nel paramento'!$G$53)</f>
        <v>66182530.633048356</v>
      </c>
      <c r="J2713" s="472">
        <f t="shared" si="188"/>
        <v>-11281502787.53285</v>
      </c>
      <c r="K2713" s="550">
        <f>'Sollecitazioni nel paramento'!$G$60*(sezione!$AL$37-C2713)/C2713</f>
        <v>-3.2987962215560288E-3</v>
      </c>
      <c r="L2713" s="550">
        <f>'Sollecitazioni nel paramento'!$G$60*(sezione!$AM$37-C2713)/C2713</f>
        <v>-3.1981943323340428E-3</v>
      </c>
      <c r="M2713" s="551">
        <f>'Sollecitazioni nel paramento'!$G$60*(sezione!$AN$37-C2713)/C2713</f>
        <v>-3.0975924431120572E-3</v>
      </c>
      <c r="N2713" s="551">
        <f>'Sollecitazioni nel paramento'!$G$60*(sezione!$AO$37-C2713)/C2713</f>
        <v>-2.6951848862241147E-3</v>
      </c>
      <c r="O2713" s="551">
        <f>'Sollecitazioni nel paramento'!$G$60*(sezione!$AP$37-C2713)/C2713</f>
        <v>6.1682627163950246E-4</v>
      </c>
      <c r="P2713" s="545">
        <f>-'Sollecitazioni nel paramento'!$G$47*'Sollecitazioni nel paramento'!$G$41*IF(DATI!$G$211="dx",DATI!$E$61,DATI!$E$64*DATI!$E$63)*1000*C2713*sezione!$AD$5</f>
        <v>-26508349.103817776</v>
      </c>
      <c r="Q2713" s="545">
        <f>'Foglio deposito bis'!$F$88*IF(ABS(K2713)&lt;'Sollecitazioni nel paramento'!$G$58,ABS(K2713)*'Sollecitazioni nel paramento'!$G$54,'Sollecitazioni nel paramento'!$G$53)*IF(K2713&lt;0,-1,1)</f>
        <v>0</v>
      </c>
      <c r="R2713" s="545">
        <f>'Foglio deposito bis'!$F$89*IF(ABS(L2713)&lt;'Sollecitazioni nel paramento'!$G$58,ABS(L2713)*'Sollecitazioni nel paramento'!$G$54,'Sollecitazioni nel paramento'!$G$53)*IF(L2713&lt;0,-1,1)</f>
        <v>-153664.85805602249</v>
      </c>
      <c r="S2713" s="545">
        <f>'Foglio deposito bis'!$F$90*IF(ABS(M2713)&lt;'Sollecitazioni nel paramento'!$G$58,ABS(M2713)*'Sollecitazioni nel paramento'!$G$54,'Sollecitazioni nel paramento'!$G$53)*IF(M2713&lt;0,-1,1)</f>
        <v>0</v>
      </c>
      <c r="T2713" s="545">
        <f>'Foglio deposito bis'!$F$91*IF(ABS(N2713)&lt;'Sollecitazioni nel paramento'!$G$58,ABS(N2713)*'Sollecitazioni nel paramento'!$G$54,'Sollecitazioni nel paramento'!$G$53)*IF(N2713&lt;0,-1,1)</f>
        <v>-892485.49558937876</v>
      </c>
      <c r="U2713" s="545">
        <f>'Foglio deposito bis'!$F$92*IF(ABS(O2713)&lt;'Sollecitazioni nel paramento'!$G$58,ABS(O2713)*'Sollecitazioni nel paramento'!$G$54,'Sollecitazioni nel paramento'!$G$53)*IF(O2713&lt;0,-1,1)</f>
        <v>539705.25586399261</v>
      </c>
      <c r="V2713" s="472">
        <f t="shared" si="190"/>
        <v>-27014794.201599184</v>
      </c>
      <c r="W2713" s="551"/>
      <c r="X2713" s="551"/>
    </row>
    <row r="2714" spans="1:24" x14ac:dyDescent="0.25">
      <c r="A2714" s="545">
        <f t="shared" si="189"/>
        <v>27516485.451785963</v>
      </c>
      <c r="B2714" s="3">
        <f t="shared" si="187"/>
        <v>60.899999999999942</v>
      </c>
      <c r="C2714" s="545">
        <f>'Foglio deposito bis'!$E$163/sezione!$B$247*B2714</f>
        <v>707.42820942679475</v>
      </c>
      <c r="D2714" s="603">
        <f>-'Sollecitazioni nel paramento'!$G$47*'Sollecitazioni nel paramento'!$G$41*IF(DATI!$G$211="dx",DATI!$E$61,DATI!$E$64*DATI!$E$63)*1000*C2714^2*sezione!$AD$5*(1-sezione!$AD$6)</f>
        <v>-11134439825.998964</v>
      </c>
      <c r="E2714" s="545">
        <f>-'Foglio deposito bis'!$F$88*(C2714-sezione!$AL$37)*IF(ABS(K2714)&lt;'Sollecitazioni nel paramento'!$G$58,ABS(K2714)*'Sollecitazioni nel paramento'!$G$54,'Sollecitazioni nel paramento'!$G$53)</f>
        <v>0</v>
      </c>
      <c r="F2714" s="545">
        <f>-'Foglio deposito bis'!$F$89*(C2714-sezione!$AM$37)*IF(ABS(L2714)&lt;'Sollecitazioni nel paramento'!$G$58,ABS(L2714)*'Sollecitazioni nel paramento'!$G$54,'Sollecitazioni nel paramento'!$G$53)</f>
        <v>-99486963.903033227</v>
      </c>
      <c r="G2714" s="545">
        <f>-'Foglio deposito bis'!$F$90*(C2714-sezione!$AN$37)*IF(ABS(M2714)&lt;'Sollecitazioni nel paramento'!$G$58,ABS(M2714)*'Sollecitazioni nel paramento'!$G$54,'Sollecitazioni nel paramento'!$G$53)</f>
        <v>0</v>
      </c>
      <c r="H2714" s="545">
        <f>-'Foglio deposito bis'!$F$91*(C2714-sezione!$AO$37)*IF(ABS(N2714)&lt;'Sollecitazioni nel paramento'!$G$58,ABS(N2714)*'Sollecitazioni nel paramento'!$G$54,'Sollecitazioni nel paramento'!$G$53)</f>
        <v>-488571736.78987914</v>
      </c>
      <c r="I2714" s="472">
        <f>-'Foglio deposito bis'!$F$92*(C2714-sezione!$AP$37)*IF(ABS(O2714)&lt;'Sollecitazioni nel paramento'!$G$58,ABS(O2714)*'Sollecitazioni nel paramento'!$G$54,'Sollecitazioni nel paramento'!$G$53)</f>
        <v>53347132.057840459</v>
      </c>
      <c r="J2714" s="472">
        <f t="shared" si="188"/>
        <v>-11669151394.634035</v>
      </c>
      <c r="K2714" s="550">
        <f>'Sollecitazioni nel paramento'!$G$60*(sezione!$AL$37-C2714)/C2714</f>
        <v>-3.3021000602825308E-3</v>
      </c>
      <c r="L2714" s="550">
        <f>'Sollecitazioni nel paramento'!$G$60*(sezione!$AM$37-C2714)/C2714</f>
        <v>-3.2031500904237961E-3</v>
      </c>
      <c r="M2714" s="551">
        <f>'Sollecitazioni nel paramento'!$G$60*(sezione!$AN$37-C2714)/C2714</f>
        <v>-3.1042001205650611E-3</v>
      </c>
      <c r="N2714" s="551">
        <f>'Sollecitazioni nel paramento'!$G$60*(sezione!$AO$37-C2714)/C2714</f>
        <v>-2.7084002411301225E-3</v>
      </c>
      <c r="O2714" s="551">
        <f>'Sollecitazioni nel paramento'!$G$60*(sezione!$AP$37-C2714)/C2714</f>
        <v>5.4922649706414136E-4</v>
      </c>
      <c r="P2714" s="545">
        <f>-'Sollecitazioni nel paramento'!$G$47*'Sollecitazioni nel paramento'!$G$41*IF(DATI!$G$211="dx",DATI!$E$61,DATI!$E$64*DATI!$E$63)*1000*C2714*sezione!$AD$5</f>
        <v>-26950892.494532596</v>
      </c>
      <c r="Q2714" s="545">
        <f>'Foglio deposito bis'!$F$88*IF(ABS(K2714)&lt;'Sollecitazioni nel paramento'!$G$58,ABS(K2714)*'Sollecitazioni nel paramento'!$G$54,'Sollecitazioni nel paramento'!$G$53)*IF(K2714&lt;0,-1,1)</f>
        <v>0</v>
      </c>
      <c r="R2714" s="545">
        <f>'Foglio deposito bis'!$F$89*IF(ABS(L2714)&lt;'Sollecitazioni nel paramento'!$G$58,ABS(L2714)*'Sollecitazioni nel paramento'!$G$54,'Sollecitazioni nel paramento'!$G$53)*IF(L2714&lt;0,-1,1)</f>
        <v>-153664.85805602249</v>
      </c>
      <c r="S2714" s="545">
        <f>'Foglio deposito bis'!$F$90*IF(ABS(M2714)&lt;'Sollecitazioni nel paramento'!$G$58,ABS(M2714)*'Sollecitazioni nel paramento'!$G$54,'Sollecitazioni nel paramento'!$G$53)*IF(M2714&lt;0,-1,1)</f>
        <v>0</v>
      </c>
      <c r="T2714" s="545">
        <f>'Foglio deposito bis'!$F$91*IF(ABS(N2714)&lt;'Sollecitazioni nel paramento'!$G$58,ABS(N2714)*'Sollecitazioni nel paramento'!$G$54,'Sollecitazioni nel paramento'!$G$53)*IF(N2714&lt;0,-1,1)</f>
        <v>-892485.49558937876</v>
      </c>
      <c r="U2714" s="545">
        <f>'Foglio deposito bis'!$F$92*IF(ABS(O2714)&lt;'Sollecitazioni nel paramento'!$G$58,ABS(O2714)*'Sollecitazioni nel paramento'!$G$54,'Sollecitazioni nel paramento'!$G$53)*IF(O2714&lt;0,-1,1)</f>
        <v>480557.39639203722</v>
      </c>
      <c r="V2714" s="472">
        <f t="shared" si="190"/>
        <v>-27516485.451785963</v>
      </c>
      <c r="W2714" s="551"/>
      <c r="X2714" s="551"/>
    </row>
    <row r="2715" spans="1:24" x14ac:dyDescent="0.25">
      <c r="A2715" s="545">
        <f t="shared" si="189"/>
        <v>28016265.624122273</v>
      </c>
      <c r="B2715" s="3">
        <f t="shared" si="187"/>
        <v>61.899999999999942</v>
      </c>
      <c r="C2715" s="545">
        <f>'Foglio deposito bis'!$E$163/sezione!$B$247*B2715</f>
        <v>719.04443618257142</v>
      </c>
      <c r="D2715" s="603">
        <f>-'Sollecitazioni nel paramento'!$G$47*'Sollecitazioni nel paramento'!$G$41*IF(DATI!$G$211="dx",DATI!$E$61,DATI!$E$64*DATI!$E$63)*1000*C2715^2*sezione!$AD$5*(1-sezione!$AD$6)</f>
        <v>-11503105034.147312</v>
      </c>
      <c r="E2715" s="545">
        <f>-'Foglio deposito bis'!$F$88*(C2715-sezione!$AL$37)*IF(ABS(K2715)&lt;'Sollecitazioni nel paramento'!$G$58,ABS(K2715)*'Sollecitazioni nel paramento'!$G$54,'Sollecitazioni nel paramento'!$G$53)</f>
        <v>0</v>
      </c>
      <c r="F2715" s="545">
        <f>-'Foglio deposito bis'!$F$89*(C2715-sezione!$AM$37)*IF(ABS(L2715)&lt;'Sollecitazioni nel paramento'!$G$58,ABS(L2715)*'Sollecitazioni nel paramento'!$G$54,'Sollecitazioni nel paramento'!$G$53)</f>
        <v>-101271969.73860621</v>
      </c>
      <c r="G2715" s="545">
        <f>-'Foglio deposito bis'!$F$90*(C2715-sezione!$AN$37)*IF(ABS(M2715)&lt;'Sollecitazioni nel paramento'!$G$58,ABS(M2715)*'Sollecitazioni nel paramento'!$G$54,'Sollecitazioni nel paramento'!$G$53)</f>
        <v>0</v>
      </c>
      <c r="H2715" s="545">
        <f>-'Foglio deposito bis'!$F$91*(C2715-sezione!$AO$37)*IF(ABS(N2715)&lt;'Sollecitazioni nel paramento'!$G$58,ABS(N2715)*'Sollecitazioni nel paramento'!$G$54,'Sollecitazioni nel paramento'!$G$53)</f>
        <v>-498939050.68288708</v>
      </c>
      <c r="I2715" s="472">
        <f>-'Foglio deposito bis'!$F$92*(C2715-sezione!$AP$37)*IF(ABS(O2715)&lt;'Sollecitazioni nel paramento'!$G$58,ABS(O2715)*'Sollecitazioni nel paramento'!$G$54,'Sollecitazioni nel paramento'!$G$53)</f>
        <v>42075834.42801147</v>
      </c>
      <c r="J2715" s="472">
        <f t="shared" si="188"/>
        <v>-12061240220.140795</v>
      </c>
      <c r="K2715" s="550">
        <f>'Sollecitazioni nel paramento'!$G$60*(sezione!$AL$37-C2715)/C2715</f>
        <v>-3.3052971513926675E-3</v>
      </c>
      <c r="L2715" s="550">
        <f>'Sollecitazioni nel paramento'!$G$60*(sezione!$AM$37-C2715)/C2715</f>
        <v>-3.2079457270890012E-3</v>
      </c>
      <c r="M2715" s="551">
        <f>'Sollecitazioni nel paramento'!$G$60*(sezione!$AN$37-C2715)/C2715</f>
        <v>-3.1105943027853345E-3</v>
      </c>
      <c r="N2715" s="551">
        <f>'Sollecitazioni nel paramento'!$G$60*(sezione!$AO$37-C2715)/C2715</f>
        <v>-2.7211886055706698E-3</v>
      </c>
      <c r="O2715" s="551">
        <f>'Sollecitazioni nel paramento'!$G$60*(sezione!$AP$37-C2715)/C2715</f>
        <v>4.8381088321819361E-4</v>
      </c>
      <c r="P2715" s="545">
        <f>-'Sollecitazioni nel paramento'!$G$47*'Sollecitazioni nel paramento'!$G$41*IF(DATI!$G$211="dx",DATI!$E$61,DATI!$E$64*DATI!$E$63)*1000*C2715*sezione!$AD$5</f>
        <v>-27393435.885247417</v>
      </c>
      <c r="Q2715" s="545">
        <f>'Foglio deposito bis'!$F$88*IF(ABS(K2715)&lt;'Sollecitazioni nel paramento'!$G$58,ABS(K2715)*'Sollecitazioni nel paramento'!$G$54,'Sollecitazioni nel paramento'!$G$53)*IF(K2715&lt;0,-1,1)</f>
        <v>0</v>
      </c>
      <c r="R2715" s="545">
        <f>'Foglio deposito bis'!$F$89*IF(ABS(L2715)&lt;'Sollecitazioni nel paramento'!$G$58,ABS(L2715)*'Sollecitazioni nel paramento'!$G$54,'Sollecitazioni nel paramento'!$G$53)*IF(L2715&lt;0,-1,1)</f>
        <v>-153664.85805602249</v>
      </c>
      <c r="S2715" s="545">
        <f>'Foglio deposito bis'!$F$90*IF(ABS(M2715)&lt;'Sollecitazioni nel paramento'!$G$58,ABS(M2715)*'Sollecitazioni nel paramento'!$G$54,'Sollecitazioni nel paramento'!$G$53)*IF(M2715&lt;0,-1,1)</f>
        <v>0</v>
      </c>
      <c r="T2715" s="545">
        <f>'Foglio deposito bis'!$F$91*IF(ABS(N2715)&lt;'Sollecitazioni nel paramento'!$G$58,ABS(N2715)*'Sollecitazioni nel paramento'!$G$54,'Sollecitazioni nel paramento'!$G$53)*IF(N2715&lt;0,-1,1)</f>
        <v>-892485.49558937876</v>
      </c>
      <c r="U2715" s="545">
        <f>'Foglio deposito bis'!$F$92*IF(ABS(O2715)&lt;'Sollecitazioni nel paramento'!$G$58,ABS(O2715)*'Sollecitazioni nel paramento'!$G$54,'Sollecitazioni nel paramento'!$G$53)*IF(O2715&lt;0,-1,1)</f>
        <v>423320.6147705483</v>
      </c>
      <c r="V2715" s="472">
        <f t="shared" si="190"/>
        <v>-28016265.624122273</v>
      </c>
      <c r="W2715" s="551"/>
      <c r="X2715" s="551"/>
    </row>
    <row r="2716" spans="1:24" x14ac:dyDescent="0.25">
      <c r="A2716" s="545">
        <f t="shared" si="189"/>
        <v>28514225.866995256</v>
      </c>
      <c r="B2716" s="3">
        <f t="shared" si="187"/>
        <v>62.899999999999942</v>
      </c>
      <c r="C2716" s="545">
        <f>'Foglio deposito bis'!$E$163/sezione!$B$247*B2716</f>
        <v>730.66066293834797</v>
      </c>
      <c r="D2716" s="603">
        <f>-'Sollecitazioni nel paramento'!$G$47*'Sollecitazioni nel paramento'!$G$41*IF(DATI!$G$211="dx",DATI!$E$61,DATI!$E$64*DATI!$E$63)*1000*C2716^2*sezione!$AD$5*(1-sezione!$AD$6)</f>
        <v>-11877774561.646608</v>
      </c>
      <c r="E2716" s="545">
        <f>-'Foglio deposito bis'!$F$88*(C2716-sezione!$AL$37)*IF(ABS(K2716)&lt;'Sollecitazioni nel paramento'!$G$58,ABS(K2716)*'Sollecitazioni nel paramento'!$G$54,'Sollecitazioni nel paramento'!$G$53)</f>
        <v>0</v>
      </c>
      <c r="F2716" s="545">
        <f>-'Foglio deposito bis'!$F$89*(C2716-sezione!$AM$37)*IF(ABS(L2716)&lt;'Sollecitazioni nel paramento'!$G$58,ABS(L2716)*'Sollecitazioni nel paramento'!$G$54,'Sollecitazioni nel paramento'!$G$53)</f>
        <v>-103056975.5741792</v>
      </c>
      <c r="G2716" s="545">
        <f>-'Foglio deposito bis'!$F$90*(C2716-sezione!$AN$37)*IF(ABS(M2716)&lt;'Sollecitazioni nel paramento'!$G$58,ABS(M2716)*'Sollecitazioni nel paramento'!$G$54,'Sollecitazioni nel paramento'!$G$53)</f>
        <v>0</v>
      </c>
      <c r="H2716" s="545">
        <f>-'Foglio deposito bis'!$F$91*(C2716-sezione!$AO$37)*IF(ABS(N2716)&lt;'Sollecitazioni nel paramento'!$G$58,ABS(N2716)*'Sollecitazioni nel paramento'!$G$54,'Sollecitazioni nel paramento'!$G$53)</f>
        <v>-509306364.57589495</v>
      </c>
      <c r="I2716" s="472">
        <f>-'Foglio deposito bis'!$F$92*(C2716-sezione!$AP$37)*IF(ABS(O2716)&lt;'Sollecitazioni nel paramento'!$G$58,ABS(O2716)*'Sollecitazioni nel paramento'!$G$54,'Sollecitazioni nel paramento'!$G$53)</f>
        <v>32294038.334402036</v>
      </c>
      <c r="J2716" s="472">
        <f t="shared" si="188"/>
        <v>-12457843863.46228</v>
      </c>
      <c r="K2716" s="550">
        <f>'Sollecitazioni nel paramento'!$G$60*(sezione!$AL$37-C2716)/C2716</f>
        <v>-3.3083925861876963E-3</v>
      </c>
      <c r="L2716" s="550">
        <f>'Sollecitazioni nel paramento'!$G$60*(sezione!$AM$37-C2716)/C2716</f>
        <v>-3.2125888792815449E-3</v>
      </c>
      <c r="M2716" s="551">
        <f>'Sollecitazioni nel paramento'!$G$60*(sezione!$AN$37-C2716)/C2716</f>
        <v>-3.1167851723753934E-3</v>
      </c>
      <c r="N2716" s="551">
        <f>'Sollecitazioni nel paramento'!$G$60*(sezione!$AO$37-C2716)/C2716</f>
        <v>-2.7335703447507863E-3</v>
      </c>
      <c r="O2716" s="551">
        <f>'Sollecitazioni nel paramento'!$G$60*(sezione!$AP$37-C2716)/C2716</f>
        <v>4.2047525709389832E-4</v>
      </c>
      <c r="P2716" s="545">
        <f>-'Sollecitazioni nel paramento'!$G$47*'Sollecitazioni nel paramento'!$G$41*IF(DATI!$G$211="dx",DATI!$E$61,DATI!$E$64*DATI!$E$63)*1000*C2716*sezione!$AD$5</f>
        <v>-27835979.275962237</v>
      </c>
      <c r="Q2716" s="545">
        <f>'Foglio deposito bis'!$F$88*IF(ABS(K2716)&lt;'Sollecitazioni nel paramento'!$G$58,ABS(K2716)*'Sollecitazioni nel paramento'!$G$54,'Sollecitazioni nel paramento'!$G$53)*IF(K2716&lt;0,-1,1)</f>
        <v>0</v>
      </c>
      <c r="R2716" s="545">
        <f>'Foglio deposito bis'!$F$89*IF(ABS(L2716)&lt;'Sollecitazioni nel paramento'!$G$58,ABS(L2716)*'Sollecitazioni nel paramento'!$G$54,'Sollecitazioni nel paramento'!$G$53)*IF(L2716&lt;0,-1,1)</f>
        <v>-153664.85805602249</v>
      </c>
      <c r="S2716" s="545">
        <f>'Foglio deposito bis'!$F$90*IF(ABS(M2716)&lt;'Sollecitazioni nel paramento'!$G$58,ABS(M2716)*'Sollecitazioni nel paramento'!$G$54,'Sollecitazioni nel paramento'!$G$53)*IF(M2716&lt;0,-1,1)</f>
        <v>0</v>
      </c>
      <c r="T2716" s="545">
        <f>'Foglio deposito bis'!$F$91*IF(ABS(N2716)&lt;'Sollecitazioni nel paramento'!$G$58,ABS(N2716)*'Sollecitazioni nel paramento'!$G$54,'Sollecitazioni nel paramento'!$G$53)*IF(N2716&lt;0,-1,1)</f>
        <v>-892485.49558937876</v>
      </c>
      <c r="U2716" s="545">
        <f>'Foglio deposito bis'!$F$92*IF(ABS(O2716)&lt;'Sollecitazioni nel paramento'!$G$58,ABS(O2716)*'Sollecitazioni nel paramento'!$G$54,'Sollecitazioni nel paramento'!$G$53)*IF(O2716&lt;0,-1,1)</f>
        <v>367903.76261238247</v>
      </c>
      <c r="V2716" s="472">
        <f t="shared" si="190"/>
        <v>-28514225.866995256</v>
      </c>
      <c r="W2716" s="551"/>
      <c r="X2716" s="551"/>
    </row>
    <row r="2717" spans="1:24" x14ac:dyDescent="0.25">
      <c r="A2717" s="545">
        <f t="shared" si="189"/>
        <v>29010451.623102732</v>
      </c>
      <c r="B2717" s="3">
        <f t="shared" si="187"/>
        <v>63.899999999999942</v>
      </c>
      <c r="C2717" s="545">
        <f>'Foglio deposito bis'!$E$163/sezione!$B$247*B2717</f>
        <v>742.27688969412463</v>
      </c>
      <c r="D2717" s="603">
        <f>-'Sollecitazioni nel paramento'!$G$47*'Sollecitazioni nel paramento'!$G$41*IF(DATI!$G$211="dx",DATI!$E$61,DATI!$E$64*DATI!$E$63)*1000*C2717^2*sezione!$AD$5*(1-sezione!$AD$6)</f>
        <v>-12258448408.496859</v>
      </c>
      <c r="E2717" s="545">
        <f>-'Foglio deposito bis'!$F$88*(C2717-sezione!$AL$37)*IF(ABS(K2717)&lt;'Sollecitazioni nel paramento'!$G$58,ABS(K2717)*'Sollecitazioni nel paramento'!$G$54,'Sollecitazioni nel paramento'!$G$53)</f>
        <v>0</v>
      </c>
      <c r="F2717" s="545">
        <f>-'Foglio deposito bis'!$F$89*(C2717-sezione!$AM$37)*IF(ABS(L2717)&lt;'Sollecitazioni nel paramento'!$G$58,ABS(L2717)*'Sollecitazioni nel paramento'!$G$54,'Sollecitazioni nel paramento'!$G$53)</f>
        <v>-104841981.40975219</v>
      </c>
      <c r="G2717" s="545">
        <f>-'Foglio deposito bis'!$F$90*(C2717-sezione!$AN$37)*IF(ABS(M2717)&lt;'Sollecitazioni nel paramento'!$G$58,ABS(M2717)*'Sollecitazioni nel paramento'!$G$54,'Sollecitazioni nel paramento'!$G$53)</f>
        <v>0</v>
      </c>
      <c r="H2717" s="545">
        <f>-'Foglio deposito bis'!$F$91*(C2717-sezione!$AO$37)*IF(ABS(N2717)&lt;'Sollecitazioni nel paramento'!$G$58,ABS(N2717)*'Sollecitazioni nel paramento'!$G$54,'Sollecitazioni nel paramento'!$G$53)</f>
        <v>-519673678.46890283</v>
      </c>
      <c r="I2717" s="472">
        <f>-'Foglio deposito bis'!$F$92*(C2717-sezione!$AP$37)*IF(ABS(O2717)&lt;'Sollecitazioni nel paramento'!$G$58,ABS(O2717)*'Sollecitazioni nel paramento'!$G$54,'Sollecitazioni nel paramento'!$G$53)</f>
        <v>23931814.127424192</v>
      </c>
      <c r="J2717" s="472">
        <f t="shared" si="188"/>
        <v>-12859032254.248089</v>
      </c>
      <c r="K2717" s="550">
        <f>'Sollecitazioni nel paramento'!$G$60*(sezione!$AL$37-C2717)/C2717</f>
        <v>-3.3113911372645716E-3</v>
      </c>
      <c r="L2717" s="550">
        <f>'Sollecitazioni nel paramento'!$G$60*(sezione!$AM$37-C2717)/C2717</f>
        <v>-3.2170867058968571E-3</v>
      </c>
      <c r="M2717" s="551">
        <f>'Sollecitazioni nel paramento'!$G$60*(sezione!$AN$37-C2717)/C2717</f>
        <v>-3.1227822745291431E-3</v>
      </c>
      <c r="N2717" s="551">
        <f>'Sollecitazioni nel paramento'!$G$60*(sezione!$AO$37-C2717)/C2717</f>
        <v>-2.7455645490582861E-3</v>
      </c>
      <c r="O2717" s="551">
        <f>'Sollecitazioni nel paramento'!$G$60*(sezione!$AP$37-C2717)/C2717</f>
        <v>3.5912196668554271E-4</v>
      </c>
      <c r="P2717" s="545">
        <f>-'Sollecitazioni nel paramento'!$G$47*'Sollecitazioni nel paramento'!$G$41*IF(DATI!$G$211="dx",DATI!$E$61,DATI!$E$64*DATI!$E$63)*1000*C2717*sezione!$AD$5</f>
        <v>-28278522.666677058</v>
      </c>
      <c r="Q2717" s="545">
        <f>'Foglio deposito bis'!$F$88*IF(ABS(K2717)&lt;'Sollecitazioni nel paramento'!$G$58,ABS(K2717)*'Sollecitazioni nel paramento'!$G$54,'Sollecitazioni nel paramento'!$G$53)*IF(K2717&lt;0,-1,1)</f>
        <v>0</v>
      </c>
      <c r="R2717" s="545">
        <f>'Foglio deposito bis'!$F$89*IF(ABS(L2717)&lt;'Sollecitazioni nel paramento'!$G$58,ABS(L2717)*'Sollecitazioni nel paramento'!$G$54,'Sollecitazioni nel paramento'!$G$53)*IF(L2717&lt;0,-1,1)</f>
        <v>-153664.85805602249</v>
      </c>
      <c r="S2717" s="545">
        <f>'Foglio deposito bis'!$F$90*IF(ABS(M2717)&lt;'Sollecitazioni nel paramento'!$G$58,ABS(M2717)*'Sollecitazioni nel paramento'!$G$54,'Sollecitazioni nel paramento'!$G$53)*IF(M2717&lt;0,-1,1)</f>
        <v>0</v>
      </c>
      <c r="T2717" s="545">
        <f>'Foglio deposito bis'!$F$91*IF(ABS(N2717)&lt;'Sollecitazioni nel paramento'!$G$58,ABS(N2717)*'Sollecitazioni nel paramento'!$G$54,'Sollecitazioni nel paramento'!$G$53)*IF(N2717&lt;0,-1,1)</f>
        <v>-892485.49558937876</v>
      </c>
      <c r="U2717" s="545">
        <f>'Foglio deposito bis'!$F$92*IF(ABS(O2717)&lt;'Sollecitazioni nel paramento'!$G$58,ABS(O2717)*'Sollecitazioni nel paramento'!$G$54,'Sollecitazioni nel paramento'!$G$53)*IF(O2717&lt;0,-1,1)</f>
        <v>314221.39721972978</v>
      </c>
      <c r="V2717" s="472">
        <f t="shared" si="190"/>
        <v>-29010451.623102732</v>
      </c>
      <c r="W2717" s="551"/>
      <c r="X2717" s="551"/>
    </row>
    <row r="2718" spans="1:24" x14ac:dyDescent="0.25">
      <c r="A2718" s="545">
        <f t="shared" si="189"/>
        <v>29505023.069028616</v>
      </c>
      <c r="B2718" s="3">
        <f t="shared" si="187"/>
        <v>64.899999999999949</v>
      </c>
      <c r="C2718" s="545">
        <f>'Foglio deposito bis'!$E$163/sezione!$B$247*B2718</f>
        <v>753.8931164499013</v>
      </c>
      <c r="D2718" s="603">
        <f>-'Sollecitazioni nel paramento'!$G$47*'Sollecitazioni nel paramento'!$G$41*IF(DATI!$G$211="dx",DATI!$E$61,DATI!$E$64*DATI!$E$63)*1000*C2718^2*sezione!$AD$5*(1-sezione!$AD$6)</f>
        <v>-12645126574.698061</v>
      </c>
      <c r="E2718" s="545">
        <f>-'Foglio deposito bis'!$F$88*(C2718-sezione!$AL$37)*IF(ABS(K2718)&lt;'Sollecitazioni nel paramento'!$G$58,ABS(K2718)*'Sollecitazioni nel paramento'!$G$54,'Sollecitazioni nel paramento'!$G$53)</f>
        <v>0</v>
      </c>
      <c r="F2718" s="545">
        <f>-'Foglio deposito bis'!$F$89*(C2718-sezione!$AM$37)*IF(ABS(L2718)&lt;'Sollecitazioni nel paramento'!$G$58,ABS(L2718)*'Sollecitazioni nel paramento'!$G$54,'Sollecitazioni nel paramento'!$G$53)</f>
        <v>-106626987.24532518</v>
      </c>
      <c r="G2718" s="545">
        <f>-'Foglio deposito bis'!$F$90*(C2718-sezione!$AN$37)*IF(ABS(M2718)&lt;'Sollecitazioni nel paramento'!$G$58,ABS(M2718)*'Sollecitazioni nel paramento'!$G$54,'Sollecitazioni nel paramento'!$G$53)</f>
        <v>0</v>
      </c>
      <c r="H2718" s="545">
        <f>-'Foglio deposito bis'!$F$91*(C2718-sezione!$AO$37)*IF(ABS(N2718)&lt;'Sollecitazioni nel paramento'!$G$58,ABS(N2718)*'Sollecitazioni nel paramento'!$G$54,'Sollecitazioni nel paramento'!$G$53)</f>
        <v>-530040992.36191082</v>
      </c>
      <c r="I2718" s="472">
        <f>-'Foglio deposito bis'!$F$92*(C2718-sezione!$AP$37)*IF(ABS(O2718)&lt;'Sollecitazioni nel paramento'!$G$58,ABS(O2718)*'Sollecitazioni nel paramento'!$G$54,'Sollecitazioni nel paramento'!$G$53)</f>
        <v>16923542.151301544</v>
      </c>
      <c r="J2718" s="472">
        <f t="shared" si="188"/>
        <v>-13264871012.153996</v>
      </c>
      <c r="K2718" s="550">
        <f>'Sollecitazioni nel paramento'!$G$60*(sezione!$AL$37-C2718)/C2718</f>
        <v>-3.3142972830694319E-3</v>
      </c>
      <c r="L2718" s="550">
        <f>'Sollecitazioni nel paramento'!$G$60*(sezione!$AM$37-C2718)/C2718</f>
        <v>-3.2214459246041479E-3</v>
      </c>
      <c r="M2718" s="551">
        <f>'Sollecitazioni nel paramento'!$G$60*(sezione!$AN$37-C2718)/C2718</f>
        <v>-3.1285945661388634E-3</v>
      </c>
      <c r="N2718" s="551">
        <f>'Sollecitazioni nel paramento'!$G$60*(sezione!$AO$37-C2718)/C2718</f>
        <v>-2.7571891322777271E-3</v>
      </c>
      <c r="O2718" s="551">
        <f>'Sollecitazioni nel paramento'!$G$60*(sezione!$AP$37-C2718)/C2718</f>
        <v>2.9965937860101938E-4</v>
      </c>
      <c r="P2718" s="545">
        <f>-'Sollecitazioni nel paramento'!$G$47*'Sollecitazioni nel paramento'!$G$41*IF(DATI!$G$211="dx",DATI!$E$61,DATI!$E$64*DATI!$E$63)*1000*C2718*sezione!$AD$5</f>
        <v>-28721066.057391882</v>
      </c>
      <c r="Q2718" s="545">
        <f>'Foglio deposito bis'!$F$88*IF(ABS(K2718)&lt;'Sollecitazioni nel paramento'!$G$58,ABS(K2718)*'Sollecitazioni nel paramento'!$G$54,'Sollecitazioni nel paramento'!$G$53)*IF(K2718&lt;0,-1,1)</f>
        <v>0</v>
      </c>
      <c r="R2718" s="545">
        <f>'Foglio deposito bis'!$F$89*IF(ABS(L2718)&lt;'Sollecitazioni nel paramento'!$G$58,ABS(L2718)*'Sollecitazioni nel paramento'!$G$54,'Sollecitazioni nel paramento'!$G$53)*IF(L2718&lt;0,-1,1)</f>
        <v>-153664.85805602249</v>
      </c>
      <c r="S2718" s="545">
        <f>'Foglio deposito bis'!$F$90*IF(ABS(M2718)&lt;'Sollecitazioni nel paramento'!$G$58,ABS(M2718)*'Sollecitazioni nel paramento'!$G$54,'Sollecitazioni nel paramento'!$G$53)*IF(M2718&lt;0,-1,1)</f>
        <v>0</v>
      </c>
      <c r="T2718" s="545">
        <f>'Foglio deposito bis'!$F$91*IF(ABS(N2718)&lt;'Sollecitazioni nel paramento'!$G$58,ABS(N2718)*'Sollecitazioni nel paramento'!$G$54,'Sollecitazioni nel paramento'!$G$53)*IF(N2718&lt;0,-1,1)</f>
        <v>-892485.49558937876</v>
      </c>
      <c r="U2718" s="545">
        <f>'Foglio deposito bis'!$F$92*IF(ABS(O2718)&lt;'Sollecitazioni nel paramento'!$G$58,ABS(O2718)*'Sollecitazioni nel paramento'!$G$54,'Sollecitazioni nel paramento'!$G$53)*IF(O2718&lt;0,-1,1)</f>
        <v>262193.34200866893</v>
      </c>
      <c r="V2718" s="472">
        <f t="shared" si="190"/>
        <v>-29505023.069028616</v>
      </c>
      <c r="W2718" s="551"/>
      <c r="X2718" s="551"/>
    </row>
    <row r="2719" spans="1:24" x14ac:dyDescent="0.25">
      <c r="A2719" s="545">
        <f t="shared" si="189"/>
        <v>29998015.51479635</v>
      </c>
      <c r="B2719" s="3">
        <f t="shared" si="187"/>
        <v>65.899999999999949</v>
      </c>
      <c r="C2719" s="545">
        <f>'Foglio deposito bis'!$E$163/sezione!$B$247*B2719</f>
        <v>765.50934320567796</v>
      </c>
      <c r="D2719" s="603">
        <f>-'Sollecitazioni nel paramento'!$G$47*'Sollecitazioni nel paramento'!$G$41*IF(DATI!$G$211="dx",DATI!$E$61,DATI!$E$64*DATI!$E$63)*1000*C2719^2*sezione!$AD$5*(1-sezione!$AD$6)</f>
        <v>-13037809060.250212</v>
      </c>
      <c r="E2719" s="545">
        <f>-'Foglio deposito bis'!$F$88*(C2719-sezione!$AL$37)*IF(ABS(K2719)&lt;'Sollecitazioni nel paramento'!$G$58,ABS(K2719)*'Sollecitazioni nel paramento'!$G$54,'Sollecitazioni nel paramento'!$G$53)</f>
        <v>0</v>
      </c>
      <c r="F2719" s="545">
        <f>-'Foglio deposito bis'!$F$89*(C2719-sezione!$AM$37)*IF(ABS(L2719)&lt;'Sollecitazioni nel paramento'!$G$58,ABS(L2719)*'Sollecitazioni nel paramento'!$G$54,'Sollecitazioni nel paramento'!$G$53)</f>
        <v>-108411993.08089817</v>
      </c>
      <c r="G2719" s="545">
        <f>-'Foglio deposito bis'!$F$90*(C2719-sezione!$AN$37)*IF(ABS(M2719)&lt;'Sollecitazioni nel paramento'!$G$58,ABS(M2719)*'Sollecitazioni nel paramento'!$G$54,'Sollecitazioni nel paramento'!$G$53)</f>
        <v>0</v>
      </c>
      <c r="H2719" s="545">
        <f>-'Foglio deposito bis'!$F$91*(C2719-sezione!$AO$37)*IF(ABS(N2719)&lt;'Sollecitazioni nel paramento'!$G$58,ABS(N2719)*'Sollecitazioni nel paramento'!$G$54,'Sollecitazioni nel paramento'!$G$53)</f>
        <v>-540408306.25491881</v>
      </c>
      <c r="I2719" s="472">
        <f>-'Foglio deposito bis'!$F$92*(C2719-sezione!$AP$37)*IF(ABS(O2719)&lt;'Sollecitazioni nel paramento'!$G$58,ABS(O2719)*'Sollecitazioni nel paramento'!$G$54,'Sollecitazioni nel paramento'!$G$53)</f>
        <v>11207585.733916244</v>
      </c>
      <c r="J2719" s="472">
        <f t="shared" si="188"/>
        <v>-13675421773.852114</v>
      </c>
      <c r="K2719" s="550">
        <f>'Sollecitazioni nel paramento'!$G$60*(sezione!$AL$37-C2719)/C2719</f>
        <v>-3.3171152302155708E-3</v>
      </c>
      <c r="L2719" s="550">
        <f>'Sollecitazioni nel paramento'!$G$60*(sezione!$AM$37-C2719)/C2719</f>
        <v>-3.2256728453233566E-3</v>
      </c>
      <c r="M2719" s="551">
        <f>'Sollecitazioni nel paramento'!$G$60*(sezione!$AN$37-C2719)/C2719</f>
        <v>-3.1342304604311416E-3</v>
      </c>
      <c r="N2719" s="551">
        <f>'Sollecitazioni nel paramento'!$G$60*(sezione!$AO$37-C2719)/C2719</f>
        <v>-2.7684609208622835E-3</v>
      </c>
      <c r="O2719" s="551">
        <f>'Sollecitazioni nel paramento'!$G$60*(sezione!$AP$37-C2719)/C2719</f>
        <v>2.4200142141435718E-4</v>
      </c>
      <c r="P2719" s="545">
        <f>-'Sollecitazioni nel paramento'!$G$47*'Sollecitazioni nel paramento'!$G$41*IF(DATI!$G$211="dx",DATI!$E$61,DATI!$E$64*DATI!$E$63)*1000*C2719*sezione!$AD$5</f>
        <v>-29163609.448106706</v>
      </c>
      <c r="Q2719" s="545">
        <f>'Foglio deposito bis'!$F$88*IF(ABS(K2719)&lt;'Sollecitazioni nel paramento'!$G$58,ABS(K2719)*'Sollecitazioni nel paramento'!$G$54,'Sollecitazioni nel paramento'!$G$53)*IF(K2719&lt;0,-1,1)</f>
        <v>0</v>
      </c>
      <c r="R2719" s="545">
        <f>'Foglio deposito bis'!$F$89*IF(ABS(L2719)&lt;'Sollecitazioni nel paramento'!$G$58,ABS(L2719)*'Sollecitazioni nel paramento'!$G$54,'Sollecitazioni nel paramento'!$G$53)*IF(L2719&lt;0,-1,1)</f>
        <v>-153664.85805602249</v>
      </c>
      <c r="S2719" s="545">
        <f>'Foglio deposito bis'!$F$90*IF(ABS(M2719)&lt;'Sollecitazioni nel paramento'!$G$58,ABS(M2719)*'Sollecitazioni nel paramento'!$G$54,'Sollecitazioni nel paramento'!$G$53)*IF(M2719&lt;0,-1,1)</f>
        <v>0</v>
      </c>
      <c r="T2719" s="545">
        <f>'Foglio deposito bis'!$F$91*IF(ABS(N2719)&lt;'Sollecitazioni nel paramento'!$G$58,ABS(N2719)*'Sollecitazioni nel paramento'!$G$54,'Sollecitazioni nel paramento'!$G$53)*IF(N2719&lt;0,-1,1)</f>
        <v>-892485.49558937876</v>
      </c>
      <c r="U2719" s="545">
        <f>'Foglio deposito bis'!$F$92*IF(ABS(O2719)&lt;'Sollecitazioni nel paramento'!$G$58,ABS(O2719)*'Sollecitazioni nel paramento'!$G$54,'Sollecitazioni nel paramento'!$G$53)*IF(O2719&lt;0,-1,1)</f>
        <v>211744.28695575864</v>
      </c>
      <c r="V2719" s="472">
        <f t="shared" si="190"/>
        <v>-29998015.51479635</v>
      </c>
      <c r="W2719" s="551"/>
      <c r="X2719" s="551"/>
    </row>
    <row r="2720" spans="1:24" x14ac:dyDescent="0.25">
      <c r="A2720" s="545">
        <f t="shared" si="189"/>
        <v>30489499.767587915</v>
      </c>
      <c r="B2720" s="3">
        <f t="shared" si="187"/>
        <v>66.899999999999949</v>
      </c>
      <c r="C2720" s="545">
        <f>'Foglio deposito bis'!$E$163/sezione!$B$247*B2720</f>
        <v>777.12556996145452</v>
      </c>
      <c r="D2720" s="603">
        <f>-'Sollecitazioni nel paramento'!$G$47*'Sollecitazioni nel paramento'!$G$41*IF(DATI!$G$211="dx",DATI!$E$61,DATI!$E$64*DATI!$E$63)*1000*C2720^2*sezione!$AD$5*(1-sezione!$AD$6)</f>
        <v>-13436495865.153309</v>
      </c>
      <c r="E2720" s="545">
        <f>-'Foglio deposito bis'!$F$88*(C2720-sezione!$AL$37)*IF(ABS(K2720)&lt;'Sollecitazioni nel paramento'!$G$58,ABS(K2720)*'Sollecitazioni nel paramento'!$G$54,'Sollecitazioni nel paramento'!$G$53)</f>
        <v>0</v>
      </c>
      <c r="F2720" s="545">
        <f>-'Foglio deposito bis'!$F$89*(C2720-sezione!$AM$37)*IF(ABS(L2720)&lt;'Sollecitazioni nel paramento'!$G$58,ABS(L2720)*'Sollecitazioni nel paramento'!$G$54,'Sollecitazioni nel paramento'!$G$53)</f>
        <v>-110196998.91647114</v>
      </c>
      <c r="G2720" s="545">
        <f>-'Foglio deposito bis'!$F$90*(C2720-sezione!$AN$37)*IF(ABS(M2720)&lt;'Sollecitazioni nel paramento'!$G$58,ABS(M2720)*'Sollecitazioni nel paramento'!$G$54,'Sollecitazioni nel paramento'!$G$53)</f>
        <v>0</v>
      </c>
      <c r="H2720" s="545">
        <f>-'Foglio deposito bis'!$F$91*(C2720-sezione!$AO$37)*IF(ABS(N2720)&lt;'Sollecitazioni nel paramento'!$G$58,ABS(N2720)*'Sollecitazioni nel paramento'!$G$54,'Sollecitazioni nel paramento'!$G$53)</f>
        <v>-550775620.14792657</v>
      </c>
      <c r="I2720" s="472">
        <f>-'Foglio deposito bis'!$F$92*(C2720-sezione!$AP$37)*IF(ABS(O2720)&lt;'Sollecitazioni nel paramento'!$G$58,ABS(O2720)*'Sollecitazioni nel paramento'!$G$54,'Sollecitazioni nel paramento'!$G$53)</f>
        <v>6725993.5049213655</v>
      </c>
      <c r="J2720" s="472">
        <f t="shared" si="188"/>
        <v>-14090742490.712786</v>
      </c>
      <c r="K2720" s="550">
        <f>'Sollecitazioni nel paramento'!$G$60*(sezione!$AL$37-C2720)/C2720</f>
        <v>-3.3198489337997921E-3</v>
      </c>
      <c r="L2720" s="550">
        <f>'Sollecitazioni nel paramento'!$G$60*(sezione!$AM$37-C2720)/C2720</f>
        <v>-3.2297734006996887E-3</v>
      </c>
      <c r="M2720" s="551">
        <f>'Sollecitazioni nel paramento'!$G$60*(sezione!$AN$37-C2720)/C2720</f>
        <v>-3.1396978675995854E-3</v>
      </c>
      <c r="N2720" s="551">
        <f>'Sollecitazioni nel paramento'!$G$60*(sezione!$AO$37-C2720)/C2720</f>
        <v>-2.7793957351991698E-3</v>
      </c>
      <c r="O2720" s="551">
        <f>'Sollecitazioni nel paramento'!$G$60*(sezione!$AP$37-C2720)/C2720</f>
        <v>1.8606716997318615E-4</v>
      </c>
      <c r="P2720" s="545">
        <f>-'Sollecitazioni nel paramento'!$G$47*'Sollecitazioni nel paramento'!$G$41*IF(DATI!$G$211="dx",DATI!$E$61,DATI!$E$64*DATI!$E$63)*1000*C2720*sezione!$AD$5</f>
        <v>-29606152.83882153</v>
      </c>
      <c r="Q2720" s="545">
        <f>'Foglio deposito bis'!$F$88*IF(ABS(K2720)&lt;'Sollecitazioni nel paramento'!$G$58,ABS(K2720)*'Sollecitazioni nel paramento'!$G$54,'Sollecitazioni nel paramento'!$G$53)*IF(K2720&lt;0,-1,1)</f>
        <v>0</v>
      </c>
      <c r="R2720" s="545">
        <f>'Foglio deposito bis'!$F$89*IF(ABS(L2720)&lt;'Sollecitazioni nel paramento'!$G$58,ABS(L2720)*'Sollecitazioni nel paramento'!$G$54,'Sollecitazioni nel paramento'!$G$53)*IF(L2720&lt;0,-1,1)</f>
        <v>-153664.85805602249</v>
      </c>
      <c r="S2720" s="545">
        <f>'Foglio deposito bis'!$F$90*IF(ABS(M2720)&lt;'Sollecitazioni nel paramento'!$G$58,ABS(M2720)*'Sollecitazioni nel paramento'!$G$54,'Sollecitazioni nel paramento'!$G$53)*IF(M2720&lt;0,-1,1)</f>
        <v>0</v>
      </c>
      <c r="T2720" s="545">
        <f>'Foglio deposito bis'!$F$91*IF(ABS(N2720)&lt;'Sollecitazioni nel paramento'!$G$58,ABS(N2720)*'Sollecitazioni nel paramento'!$G$54,'Sollecitazioni nel paramento'!$G$53)*IF(N2720&lt;0,-1,1)</f>
        <v>-892485.49558937876</v>
      </c>
      <c r="U2720" s="545">
        <f>'Foglio deposito bis'!$F$92*IF(ABS(O2720)&lt;'Sollecitazioni nel paramento'!$G$58,ABS(O2720)*'Sollecitazioni nel paramento'!$G$54,'Sollecitazioni nel paramento'!$G$53)*IF(O2720&lt;0,-1,1)</f>
        <v>162803.42487901953</v>
      </c>
      <c r="V2720" s="472">
        <f t="shared" si="190"/>
        <v>-30489499.767587915</v>
      </c>
      <c r="W2720" s="551"/>
      <c r="X2720" s="551"/>
    </row>
    <row r="2721" spans="1:24" x14ac:dyDescent="0.25">
      <c r="A2721" s="545">
        <f t="shared" si="189"/>
        <v>30979542.463322721</v>
      </c>
      <c r="B2721" s="3">
        <f t="shared" si="187"/>
        <v>67.899999999999949</v>
      </c>
      <c r="C2721" s="545">
        <f>'Foglio deposito bis'!$E$163/sezione!$B$247*B2721</f>
        <v>788.74179671723118</v>
      </c>
      <c r="D2721" s="603">
        <f>-'Sollecitazioni nel paramento'!$G$47*'Sollecitazioni nel paramento'!$G$41*IF(DATI!$G$211="dx",DATI!$E$61,DATI!$E$64*DATI!$E$63)*1000*C2721^2*sezione!$AD$5*(1-sezione!$AD$6)</f>
        <v>-13841186989.40736</v>
      </c>
      <c r="E2721" s="545">
        <f>-'Foglio deposito bis'!$F$88*(C2721-sezione!$AL$37)*IF(ABS(K2721)&lt;'Sollecitazioni nel paramento'!$G$58,ABS(K2721)*'Sollecitazioni nel paramento'!$G$54,'Sollecitazioni nel paramento'!$G$53)</f>
        <v>0</v>
      </c>
      <c r="F2721" s="545">
        <f>-'Foglio deposito bis'!$F$89*(C2721-sezione!$AM$37)*IF(ABS(L2721)&lt;'Sollecitazioni nel paramento'!$G$58,ABS(L2721)*'Sollecitazioni nel paramento'!$G$54,'Sollecitazioni nel paramento'!$G$53)</f>
        <v>-111982004.75204413</v>
      </c>
      <c r="G2721" s="545">
        <f>-'Foglio deposito bis'!$F$90*(C2721-sezione!$AN$37)*IF(ABS(M2721)&lt;'Sollecitazioni nel paramento'!$G$58,ABS(M2721)*'Sollecitazioni nel paramento'!$G$54,'Sollecitazioni nel paramento'!$G$53)</f>
        <v>0</v>
      </c>
      <c r="H2721" s="545">
        <f>-'Foglio deposito bis'!$F$91*(C2721-sezione!$AO$37)*IF(ABS(N2721)&lt;'Sollecitazioni nel paramento'!$G$58,ABS(N2721)*'Sollecitazioni nel paramento'!$G$54,'Sollecitazioni nel paramento'!$G$53)</f>
        <v>-561142934.04093456</v>
      </c>
      <c r="I2721" s="472">
        <f>-'Foglio deposito bis'!$F$92*(C2721-sezione!$AP$37)*IF(ABS(O2721)&lt;'Sollecitazioni nel paramento'!$G$58,ABS(O2721)*'Sollecitazioni nel paramento'!$G$54,'Sollecitazioni nel paramento'!$G$53)</f>
        <v>3424228.0185852889</v>
      </c>
      <c r="J2721" s="472">
        <f t="shared" si="188"/>
        <v>-14510887700.181755</v>
      </c>
      <c r="K2721" s="550">
        <f>'Sollecitazioni nel paramento'!$G$60*(sezione!$AL$37-C2721)/C2721</f>
        <v>-3.3225021159235071E-3</v>
      </c>
      <c r="L2721" s="550">
        <f>'Sollecitazioni nel paramento'!$G$60*(sezione!$AM$37-C2721)/C2721</f>
        <v>-3.2337531738852602E-3</v>
      </c>
      <c r="M2721" s="551">
        <f>'Sollecitazioni nel paramento'!$G$60*(sezione!$AN$37-C2721)/C2721</f>
        <v>-3.1450042318470137E-3</v>
      </c>
      <c r="N2721" s="551">
        <f>'Sollecitazioni nel paramento'!$G$60*(sezione!$AO$37-C2721)/C2721</f>
        <v>-2.7900084636940273E-3</v>
      </c>
      <c r="O2721" s="551">
        <f>'Sollecitazioni nel paramento'!$G$60*(sezione!$AP$37-C2721)/C2721</f>
        <v>1.3178046643897101E-4</v>
      </c>
      <c r="P2721" s="545">
        <f>-'Sollecitazioni nel paramento'!$G$47*'Sollecitazioni nel paramento'!$G$41*IF(DATI!$G$211="dx",DATI!$E$61,DATI!$E$64*DATI!$E$63)*1000*C2721*sezione!$AD$5</f>
        <v>-30048696.229536351</v>
      </c>
      <c r="Q2721" s="545">
        <f>'Foglio deposito bis'!$F$88*IF(ABS(K2721)&lt;'Sollecitazioni nel paramento'!$G$58,ABS(K2721)*'Sollecitazioni nel paramento'!$G$54,'Sollecitazioni nel paramento'!$G$53)*IF(K2721&lt;0,-1,1)</f>
        <v>0</v>
      </c>
      <c r="R2721" s="545">
        <f>'Foglio deposito bis'!$F$89*IF(ABS(L2721)&lt;'Sollecitazioni nel paramento'!$G$58,ABS(L2721)*'Sollecitazioni nel paramento'!$G$54,'Sollecitazioni nel paramento'!$G$53)*IF(L2721&lt;0,-1,1)</f>
        <v>-153664.85805602249</v>
      </c>
      <c r="S2721" s="545">
        <f>'Foglio deposito bis'!$F$90*IF(ABS(M2721)&lt;'Sollecitazioni nel paramento'!$G$58,ABS(M2721)*'Sollecitazioni nel paramento'!$G$54,'Sollecitazioni nel paramento'!$G$53)*IF(M2721&lt;0,-1,1)</f>
        <v>0</v>
      </c>
      <c r="T2721" s="545">
        <f>'Foglio deposito bis'!$F$91*IF(ABS(N2721)&lt;'Sollecitazioni nel paramento'!$G$58,ABS(N2721)*'Sollecitazioni nel paramento'!$G$54,'Sollecitazioni nel paramento'!$G$53)*IF(N2721&lt;0,-1,1)</f>
        <v>-892485.49558937876</v>
      </c>
      <c r="U2721" s="545">
        <f>'Foglio deposito bis'!$F$92*IF(ABS(O2721)&lt;'Sollecitazioni nel paramento'!$G$58,ABS(O2721)*'Sollecitazioni nel paramento'!$G$54,'Sollecitazioni nel paramento'!$G$53)*IF(O2721&lt;0,-1,1)</f>
        <v>115304.1198590322</v>
      </c>
      <c r="V2721" s="472">
        <f t="shared" si="190"/>
        <v>-30979542.463322721</v>
      </c>
      <c r="W2721" s="551"/>
      <c r="X2721" s="551"/>
    </row>
    <row r="2722" spans="1:24" x14ac:dyDescent="0.25">
      <c r="A2722" s="545">
        <f t="shared" si="189"/>
        <v>31468206.36936174</v>
      </c>
      <c r="B2722" s="3">
        <f t="shared" si="187"/>
        <v>68.899999999999949</v>
      </c>
      <c r="C2722" s="545">
        <f>'Foglio deposito bis'!$E$163/sezione!$B$247*B2722</f>
        <v>800.35802347300773</v>
      </c>
      <c r="D2722" s="603">
        <f>-'Sollecitazioni nel paramento'!$G$47*'Sollecitazioni nel paramento'!$G$41*IF(DATI!$G$211="dx",DATI!$E$61,DATI!$E$64*DATI!$E$63)*1000*C2722^2*sezione!$AD$5*(1-sezione!$AD$6)</f>
        <v>-14251882433.012356</v>
      </c>
      <c r="E2722" s="545">
        <f>-'Foglio deposito bis'!$F$88*(C2722-sezione!$AL$37)*IF(ABS(K2722)&lt;'Sollecitazioni nel paramento'!$G$58,ABS(K2722)*'Sollecitazioni nel paramento'!$G$54,'Sollecitazioni nel paramento'!$G$53)</f>
        <v>0</v>
      </c>
      <c r="F2722" s="545">
        <f>-'Foglio deposito bis'!$F$89*(C2722-sezione!$AM$37)*IF(ABS(L2722)&lt;'Sollecitazioni nel paramento'!$G$58,ABS(L2722)*'Sollecitazioni nel paramento'!$G$54,'Sollecitazioni nel paramento'!$G$53)</f>
        <v>-113767010.5876171</v>
      </c>
      <c r="G2722" s="545">
        <f>-'Foglio deposito bis'!$F$90*(C2722-sezione!$AN$37)*IF(ABS(M2722)&lt;'Sollecitazioni nel paramento'!$G$58,ABS(M2722)*'Sollecitazioni nel paramento'!$G$54,'Sollecitazioni nel paramento'!$G$53)</f>
        <v>0</v>
      </c>
      <c r="H2722" s="545">
        <f>-'Foglio deposito bis'!$F$91*(C2722-sezione!$AO$37)*IF(ABS(N2722)&lt;'Sollecitazioni nel paramento'!$G$58,ABS(N2722)*'Sollecitazioni nel paramento'!$G$54,'Sollecitazioni nel paramento'!$G$53)</f>
        <v>-571510247.93394244</v>
      </c>
      <c r="I2722" s="472">
        <f>-'Foglio deposito bis'!$F$92*(C2722-sezione!$AP$37)*IF(ABS(O2722)&lt;'Sollecitazioni nel paramento'!$G$58,ABS(O2722)*'Sollecitazioni nel paramento'!$G$54,'Sollecitazioni nel paramento'!$G$53)</f>
        <v>1250918.0088997122</v>
      </c>
      <c r="J2722" s="472">
        <f t="shared" si="188"/>
        <v>-14935908773.525017</v>
      </c>
      <c r="K2722" s="550">
        <f>'Sollecitazioni nel paramento'!$G$60*(sezione!$AL$37-C2722)/C2722</f>
        <v>-3.3250782826009595E-3</v>
      </c>
      <c r="L2722" s="550">
        <f>'Sollecitazioni nel paramento'!$G$60*(sezione!$AM$37-C2722)/C2722</f>
        <v>-3.2376174239014395E-3</v>
      </c>
      <c r="M2722" s="551">
        <f>'Sollecitazioni nel paramento'!$G$60*(sezione!$AN$37-C2722)/C2722</f>
        <v>-3.150156565201919E-3</v>
      </c>
      <c r="N2722" s="551">
        <f>'Sollecitazioni nel paramento'!$G$60*(sezione!$AO$37-C2722)/C2722</f>
        <v>-2.8003131304038388E-3</v>
      </c>
      <c r="O2722" s="551">
        <f>'Sollecitazioni nel paramento'!$G$60*(sezione!$AP$37-C2722)/C2722</f>
        <v>7.9069574328100823E-5</v>
      </c>
      <c r="P2722" s="545">
        <f>-'Sollecitazioni nel paramento'!$G$47*'Sollecitazioni nel paramento'!$G$41*IF(DATI!$G$211="dx",DATI!$E$61,DATI!$E$64*DATI!$E$63)*1000*C2722*sezione!$AD$5</f>
        <v>-30491239.620251171</v>
      </c>
      <c r="Q2722" s="545">
        <f>'Foglio deposito bis'!$F$88*IF(ABS(K2722)&lt;'Sollecitazioni nel paramento'!$G$58,ABS(K2722)*'Sollecitazioni nel paramento'!$G$54,'Sollecitazioni nel paramento'!$G$53)*IF(K2722&lt;0,-1,1)</f>
        <v>0</v>
      </c>
      <c r="R2722" s="545">
        <f>'Foglio deposito bis'!$F$89*IF(ABS(L2722)&lt;'Sollecitazioni nel paramento'!$G$58,ABS(L2722)*'Sollecitazioni nel paramento'!$G$54,'Sollecitazioni nel paramento'!$G$53)*IF(L2722&lt;0,-1,1)</f>
        <v>-153664.85805602249</v>
      </c>
      <c r="S2722" s="545">
        <f>'Foglio deposito bis'!$F$90*IF(ABS(M2722)&lt;'Sollecitazioni nel paramento'!$G$58,ABS(M2722)*'Sollecitazioni nel paramento'!$G$54,'Sollecitazioni nel paramento'!$G$53)*IF(M2722&lt;0,-1,1)</f>
        <v>0</v>
      </c>
      <c r="T2722" s="545">
        <f>'Foglio deposito bis'!$F$91*IF(ABS(N2722)&lt;'Sollecitazioni nel paramento'!$G$58,ABS(N2722)*'Sollecitazioni nel paramento'!$G$54,'Sollecitazioni nel paramento'!$G$53)*IF(N2722&lt;0,-1,1)</f>
        <v>-892485.49558937876</v>
      </c>
      <c r="U2722" s="545">
        <f>'Foglio deposito bis'!$F$92*IF(ABS(O2722)&lt;'Sollecitazioni nel paramento'!$G$58,ABS(O2722)*'Sollecitazioni nel paramento'!$G$54,'Sollecitazioni nel paramento'!$G$53)*IF(O2722&lt;0,-1,1)</f>
        <v>69183.604534835948</v>
      </c>
      <c r="V2722" s="472">
        <f t="shared" si="190"/>
        <v>-31468206.36936174</v>
      </c>
      <c r="W2722" s="551"/>
      <c r="X2722" s="551"/>
    </row>
    <row r="2723" spans="1:24" x14ac:dyDescent="0.25">
      <c r="A2723" s="545">
        <f t="shared" si="189"/>
        <v>31955550.661228389</v>
      </c>
      <c r="B2723" s="3">
        <f t="shared" si="187"/>
        <v>69.899999999999949</v>
      </c>
      <c r="C2723" s="545">
        <f>'Foglio deposito bis'!$E$163/sezione!$B$247*B2723</f>
        <v>811.9742502287844</v>
      </c>
      <c r="D2723" s="603">
        <f>-'Sollecitazioni nel paramento'!$G$47*'Sollecitazioni nel paramento'!$G$41*IF(DATI!$G$211="dx",DATI!$E$61,DATI!$E$64*DATI!$E$63)*1000*C2723^2*sezione!$AD$5*(1-sezione!$AD$6)</f>
        <v>-14668582195.968311</v>
      </c>
      <c r="E2723" s="545">
        <f>-'Foglio deposito bis'!$F$88*(C2723-sezione!$AL$37)*IF(ABS(K2723)&lt;'Sollecitazioni nel paramento'!$G$58,ABS(K2723)*'Sollecitazioni nel paramento'!$G$54,'Sollecitazioni nel paramento'!$G$53)</f>
        <v>0</v>
      </c>
      <c r="F2723" s="545">
        <f>-'Foglio deposito bis'!$F$89*(C2723-sezione!$AM$37)*IF(ABS(L2723)&lt;'Sollecitazioni nel paramento'!$G$58,ABS(L2723)*'Sollecitazioni nel paramento'!$G$54,'Sollecitazioni nel paramento'!$G$53)</f>
        <v>-115552016.42319009</v>
      </c>
      <c r="G2723" s="545">
        <f>-'Foglio deposito bis'!$F$90*(C2723-sezione!$AN$37)*IF(ABS(M2723)&lt;'Sollecitazioni nel paramento'!$G$58,ABS(M2723)*'Sollecitazioni nel paramento'!$G$54,'Sollecitazioni nel paramento'!$G$53)</f>
        <v>0</v>
      </c>
      <c r="H2723" s="545">
        <f>-'Foglio deposito bis'!$F$91*(C2723-sezione!$AO$37)*IF(ABS(N2723)&lt;'Sollecitazioni nel paramento'!$G$58,ABS(N2723)*'Sollecitazioni nel paramento'!$G$54,'Sollecitazioni nel paramento'!$G$53)</f>
        <v>-581877561.82695031</v>
      </c>
      <c r="I2723" s="472">
        <f>-'Foglio deposito bis'!$F$92*(C2723-sezione!$AP$37)*IF(ABS(O2723)&lt;'Sollecitazioni nel paramento'!$G$58,ABS(O2723)*'Sollecitazioni nel paramento'!$G$54,'Sollecitazioni nel paramento'!$G$53)</f>
        <v>157631.91034311269</v>
      </c>
      <c r="J2723" s="472">
        <f t="shared" si="188"/>
        <v>-15365854142.308107</v>
      </c>
      <c r="K2723" s="550">
        <f>'Sollecitazioni nel paramento'!$G$60*(sezione!$AL$37-C2723)/C2723</f>
        <v>-3.3275807392161103E-3</v>
      </c>
      <c r="L2723" s="550">
        <f>'Sollecitazioni nel paramento'!$G$60*(sezione!$AM$37-C2723)/C2723</f>
        <v>-3.2413711088241657E-3</v>
      </c>
      <c r="M2723" s="551">
        <f>'Sollecitazioni nel paramento'!$G$60*(sezione!$AN$37-C2723)/C2723</f>
        <v>-3.1551614784322206E-3</v>
      </c>
      <c r="N2723" s="551">
        <f>'Sollecitazioni nel paramento'!$G$60*(sezione!$AO$37-C2723)/C2723</f>
        <v>-2.8103229568644415E-3</v>
      </c>
      <c r="O2723" s="551">
        <f>'Sollecitazioni nel paramento'!$G$60*(sezione!$AP$37-C2723)/C2723</f>
        <v>2.7866862249014691E-5</v>
      </c>
      <c r="P2723" s="545">
        <f>-'Sollecitazioni nel paramento'!$G$47*'Sollecitazioni nel paramento'!$G$41*IF(DATI!$G$211="dx",DATI!$E$61,DATI!$E$64*DATI!$E$63)*1000*C2723*sezione!$AD$5</f>
        <v>-30933783.010965992</v>
      </c>
      <c r="Q2723" s="545">
        <f>'Foglio deposito bis'!$F$88*IF(ABS(K2723)&lt;'Sollecitazioni nel paramento'!$G$58,ABS(K2723)*'Sollecitazioni nel paramento'!$G$54,'Sollecitazioni nel paramento'!$G$53)*IF(K2723&lt;0,-1,1)</f>
        <v>0</v>
      </c>
      <c r="R2723" s="545">
        <f>'Foglio deposito bis'!$F$89*IF(ABS(L2723)&lt;'Sollecitazioni nel paramento'!$G$58,ABS(L2723)*'Sollecitazioni nel paramento'!$G$54,'Sollecitazioni nel paramento'!$G$53)*IF(L2723&lt;0,-1,1)</f>
        <v>-153664.85805602249</v>
      </c>
      <c r="S2723" s="545">
        <f>'Foglio deposito bis'!$F$90*IF(ABS(M2723)&lt;'Sollecitazioni nel paramento'!$G$58,ABS(M2723)*'Sollecitazioni nel paramento'!$G$54,'Sollecitazioni nel paramento'!$G$53)*IF(M2723&lt;0,-1,1)</f>
        <v>0</v>
      </c>
      <c r="T2723" s="545">
        <f>'Foglio deposito bis'!$F$91*IF(ABS(N2723)&lt;'Sollecitazioni nel paramento'!$G$58,ABS(N2723)*'Sollecitazioni nel paramento'!$G$54,'Sollecitazioni nel paramento'!$G$53)*IF(N2723&lt;0,-1,1)</f>
        <v>-892485.49558937876</v>
      </c>
      <c r="U2723" s="545">
        <f>'Foglio deposito bis'!$F$92*IF(ABS(O2723)&lt;'Sollecitazioni nel paramento'!$G$58,ABS(O2723)*'Sollecitazioni nel paramento'!$G$54,'Sollecitazioni nel paramento'!$G$53)*IF(O2723&lt;0,-1,1)</f>
        <v>24382.70338300541</v>
      </c>
      <c r="V2723" s="472">
        <f t="shared" si="190"/>
        <v>-31955550.661228389</v>
      </c>
      <c r="W2723" s="551"/>
      <c r="X2723" s="551"/>
    </row>
    <row r="2724" spans="1:24" x14ac:dyDescent="0.25">
      <c r="A2724" s="545">
        <f t="shared" si="189"/>
        <v>32441631.175911628</v>
      </c>
      <c r="B2724" s="3">
        <f t="shared" si="187"/>
        <v>70.899999999999949</v>
      </c>
      <c r="C2724" s="545">
        <f>'Foglio deposito bis'!$E$163/sezione!$B$247*B2724</f>
        <v>823.59047698456095</v>
      </c>
      <c r="D2724" s="603">
        <f>-'Sollecitazioni nel paramento'!$G$47*'Sollecitazioni nel paramento'!$G$41*IF(DATI!$G$211="dx",DATI!$E$61,DATI!$E$64*DATI!$E$63)*1000*C2724^2*sezione!$AD$5*(1-sezione!$AD$6)</f>
        <v>-15091286278.275209</v>
      </c>
      <c r="E2724" s="545">
        <f>-'Foglio deposito bis'!$F$88*(C2724-sezione!$AL$37)*IF(ABS(K2724)&lt;'Sollecitazioni nel paramento'!$G$58,ABS(K2724)*'Sollecitazioni nel paramento'!$G$54,'Sollecitazioni nel paramento'!$G$53)</f>
        <v>0</v>
      </c>
      <c r="F2724" s="545">
        <f>-'Foglio deposito bis'!$F$89*(C2724-sezione!$AM$37)*IF(ABS(L2724)&lt;'Sollecitazioni nel paramento'!$G$58,ABS(L2724)*'Sollecitazioni nel paramento'!$G$54,'Sollecitazioni nel paramento'!$G$53)</f>
        <v>-117337022.25876306</v>
      </c>
      <c r="G2724" s="545">
        <f>-'Foglio deposito bis'!$F$90*(C2724-sezione!$AN$37)*IF(ABS(M2724)&lt;'Sollecitazioni nel paramento'!$G$58,ABS(M2724)*'Sollecitazioni nel paramento'!$G$54,'Sollecitazioni nel paramento'!$G$53)</f>
        <v>0</v>
      </c>
      <c r="H2724" s="545">
        <f>-'Foglio deposito bis'!$F$91*(C2724-sezione!$AO$37)*IF(ABS(N2724)&lt;'Sollecitazioni nel paramento'!$G$58,ABS(N2724)*'Sollecitazioni nel paramento'!$G$54,'Sollecitazioni nel paramento'!$G$53)</f>
        <v>-592244875.71995819</v>
      </c>
      <c r="I2724" s="472">
        <f>-'Foglio deposito bis'!$F$92*(C2724-sezione!$AP$37)*IF(ABS(O2724)&lt;'Sollecitazioni nel paramento'!$G$58,ABS(O2724)*'Sollecitazioni nel paramento'!$G$54,'Sollecitazioni nel paramento'!$G$53)</f>
        <v>-98670.544729517336</v>
      </c>
      <c r="J2724" s="472">
        <f t="shared" si="188"/>
        <v>-15800966846.798658</v>
      </c>
      <c r="K2724" s="550">
        <f>'Sollecitazioni nel paramento'!$G$60*(sezione!$AL$37-C2724)/C2724</f>
        <v>-3.3300126046714542E-3</v>
      </c>
      <c r="L2724" s="550">
        <f>'Sollecitazioni nel paramento'!$G$60*(sezione!$AM$37-C2724)/C2724</f>
        <v>-3.2450189070071817E-3</v>
      </c>
      <c r="M2724" s="551">
        <f>'Sollecitazioni nel paramento'!$G$60*(sezione!$AN$37-C2724)/C2724</f>
        <v>-3.1600252093429088E-3</v>
      </c>
      <c r="N2724" s="551">
        <f>'Sollecitazioni nel paramento'!$G$60*(sezione!$AO$37-C2724)/C2724</f>
        <v>-2.8200504186858175E-3</v>
      </c>
      <c r="O2724" s="551">
        <f>'Sollecitazioni nel paramento'!$G$60*(sezione!$AP$37-C2724)/C2724</f>
        <v>-2.1891485596528328E-5</v>
      </c>
      <c r="P2724" s="545">
        <f>-'Sollecitazioni nel paramento'!$G$47*'Sollecitazioni nel paramento'!$G$41*IF(DATI!$G$211="dx",DATI!$E$61,DATI!$E$64*DATI!$E$63)*1000*C2724*sezione!$AD$5</f>
        <v>-31376326.401680809</v>
      </c>
      <c r="Q2724" s="545">
        <f>'Foglio deposito bis'!$F$88*IF(ABS(K2724)&lt;'Sollecitazioni nel paramento'!$G$58,ABS(K2724)*'Sollecitazioni nel paramento'!$G$54,'Sollecitazioni nel paramento'!$G$53)*IF(K2724&lt;0,-1,1)</f>
        <v>0</v>
      </c>
      <c r="R2724" s="545">
        <f>'Foglio deposito bis'!$F$89*IF(ABS(L2724)&lt;'Sollecitazioni nel paramento'!$G$58,ABS(L2724)*'Sollecitazioni nel paramento'!$G$54,'Sollecitazioni nel paramento'!$G$53)*IF(L2724&lt;0,-1,1)</f>
        <v>-153664.85805602249</v>
      </c>
      <c r="S2724" s="545">
        <f>'Foglio deposito bis'!$F$90*IF(ABS(M2724)&lt;'Sollecitazioni nel paramento'!$G$58,ABS(M2724)*'Sollecitazioni nel paramento'!$G$54,'Sollecitazioni nel paramento'!$G$53)*IF(M2724&lt;0,-1,1)</f>
        <v>0</v>
      </c>
      <c r="T2724" s="545">
        <f>'Foglio deposito bis'!$F$91*IF(ABS(N2724)&lt;'Sollecitazioni nel paramento'!$G$58,ABS(N2724)*'Sollecitazioni nel paramento'!$G$54,'Sollecitazioni nel paramento'!$G$53)*IF(N2724&lt;0,-1,1)</f>
        <v>-892485.49558937876</v>
      </c>
      <c r="U2724" s="545">
        <f>'Foglio deposito bis'!$F$92*IF(ABS(O2724)&lt;'Sollecitazioni nel paramento'!$G$58,ABS(O2724)*'Sollecitazioni nel paramento'!$G$54,'Sollecitazioni nel paramento'!$G$53)*IF(O2724&lt;0,-1,1)</f>
        <v>-19154.420585416232</v>
      </c>
      <c r="V2724" s="472">
        <f t="shared" si="190"/>
        <v>-32441631.175911628</v>
      </c>
      <c r="W2724" s="551"/>
      <c r="X2724" s="551"/>
    </row>
    <row r="2725" spans="1:24" x14ac:dyDescent="0.25">
      <c r="A2725" s="545">
        <f t="shared" si="189"/>
        <v>32926500.644031078</v>
      </c>
      <c r="B2725" s="3">
        <f t="shared" si="187"/>
        <v>71.899999999999949</v>
      </c>
      <c r="C2725" s="545">
        <f>'Foglio deposito bis'!$E$163/sezione!$B$247*B2725</f>
        <v>835.20670374033762</v>
      </c>
      <c r="D2725" s="603">
        <f>-'Sollecitazioni nel paramento'!$G$47*'Sollecitazioni nel paramento'!$G$41*IF(DATI!$G$211="dx",DATI!$E$61,DATI!$E$64*DATI!$E$63)*1000*C2725^2*sezione!$AD$5*(1-sezione!$AD$6)</f>
        <v>-15519994679.933062</v>
      </c>
      <c r="E2725" s="545">
        <f>-'Foglio deposito bis'!$F$88*(C2725-sezione!$AL$37)*IF(ABS(K2725)&lt;'Sollecitazioni nel paramento'!$G$58,ABS(K2725)*'Sollecitazioni nel paramento'!$G$54,'Sollecitazioni nel paramento'!$G$53)</f>
        <v>0</v>
      </c>
      <c r="F2725" s="545">
        <f>-'Foglio deposito bis'!$F$89*(C2725-sezione!$AM$37)*IF(ABS(L2725)&lt;'Sollecitazioni nel paramento'!$G$58,ABS(L2725)*'Sollecitazioni nel paramento'!$G$54,'Sollecitazioni nel paramento'!$G$53)</f>
        <v>-119122028.09433605</v>
      </c>
      <c r="G2725" s="545">
        <f>-'Foglio deposito bis'!$F$90*(C2725-sezione!$AN$37)*IF(ABS(M2725)&lt;'Sollecitazioni nel paramento'!$G$58,ABS(M2725)*'Sollecitazioni nel paramento'!$G$54,'Sollecitazioni nel paramento'!$G$53)</f>
        <v>0</v>
      </c>
      <c r="H2725" s="545">
        <f>-'Foglio deposito bis'!$F$91*(C2725-sezione!$AO$37)*IF(ABS(N2725)&lt;'Sollecitazioni nel paramento'!$G$58,ABS(N2725)*'Sollecitazioni nel paramento'!$G$54,'Sollecitazioni nel paramento'!$G$53)</f>
        <v>-602612189.61296606</v>
      </c>
      <c r="I2725" s="472">
        <f>-'Foglio deposito bis'!$F$92*(C2725-sezione!$AP$37)*IF(ABS(O2725)&lt;'Sollecitazioni nel paramento'!$G$58,ABS(O2725)*'Sollecitazioni nel paramento'!$G$54,'Sollecitazioni nel paramento'!$G$53)</f>
        <v>-1030877.1081809141</v>
      </c>
      <c r="J2725" s="472">
        <f t="shared" si="188"/>
        <v>-16242759774.748545</v>
      </c>
      <c r="K2725" s="550">
        <f>'Sollecitazioni nel paramento'!$G$60*(sezione!$AL$37-C2725)/C2725</f>
        <v>-3.3323768243561352E-3</v>
      </c>
      <c r="L2725" s="550">
        <f>'Sollecitazioni nel paramento'!$G$60*(sezione!$AM$37-C2725)/C2725</f>
        <v>-3.2485652365342025E-3</v>
      </c>
      <c r="M2725" s="551">
        <f>'Sollecitazioni nel paramento'!$G$60*(sezione!$AN$37-C2725)/C2725</f>
        <v>-3.1647536487122703E-3</v>
      </c>
      <c r="N2725" s="551">
        <f>'Sollecitazioni nel paramento'!$G$60*(sezione!$AO$37-C2725)/C2725</f>
        <v>-2.8295072974245409E-3</v>
      </c>
      <c r="O2725" s="551">
        <f>'Sollecitazioni nel paramento'!$G$60*(sezione!$AP$37-C2725)/C2725</f>
        <v>-7.0265734753739614E-5</v>
      </c>
      <c r="P2725" s="545">
        <f>-'Sollecitazioni nel paramento'!$G$47*'Sollecitazioni nel paramento'!$G$41*IF(DATI!$G$211="dx",DATI!$E$61,DATI!$E$64*DATI!$E$63)*1000*C2725*sezione!$AD$5</f>
        <v>-31818869.792395633</v>
      </c>
      <c r="Q2725" s="545">
        <f>'Foglio deposito bis'!$F$88*IF(ABS(K2725)&lt;'Sollecitazioni nel paramento'!$G$58,ABS(K2725)*'Sollecitazioni nel paramento'!$G$54,'Sollecitazioni nel paramento'!$G$53)*IF(K2725&lt;0,-1,1)</f>
        <v>0</v>
      </c>
      <c r="R2725" s="545">
        <f>'Foglio deposito bis'!$F$89*IF(ABS(L2725)&lt;'Sollecitazioni nel paramento'!$G$58,ABS(L2725)*'Sollecitazioni nel paramento'!$G$54,'Sollecitazioni nel paramento'!$G$53)*IF(L2725&lt;0,-1,1)</f>
        <v>-153664.85805602249</v>
      </c>
      <c r="S2725" s="545">
        <f>'Foglio deposito bis'!$F$90*IF(ABS(M2725)&lt;'Sollecitazioni nel paramento'!$G$58,ABS(M2725)*'Sollecitazioni nel paramento'!$G$54,'Sollecitazioni nel paramento'!$G$53)*IF(M2725&lt;0,-1,1)</f>
        <v>0</v>
      </c>
      <c r="T2725" s="545">
        <f>'Foglio deposito bis'!$F$91*IF(ABS(N2725)&lt;'Sollecitazioni nel paramento'!$G$58,ABS(N2725)*'Sollecitazioni nel paramento'!$G$54,'Sollecitazioni nel paramento'!$G$53)*IF(N2725&lt;0,-1,1)</f>
        <v>-892485.49558937876</v>
      </c>
      <c r="U2725" s="545">
        <f>'Foglio deposito bis'!$F$92*IF(ABS(O2725)&lt;'Sollecitazioni nel paramento'!$G$58,ABS(O2725)*'Sollecitazioni nel paramento'!$G$54,'Sollecitazioni nel paramento'!$G$53)*IF(O2725&lt;0,-1,1)</f>
        <v>-61480.497990043536</v>
      </c>
      <c r="V2725" s="472">
        <f t="shared" si="190"/>
        <v>-32926500.644031078</v>
      </c>
      <c r="W2725" s="551"/>
      <c r="X2725" s="551"/>
    </row>
    <row r="2726" spans="1:24" x14ac:dyDescent="0.25">
      <c r="A2726" s="545">
        <f t="shared" si="189"/>
        <v>33410208.902893886</v>
      </c>
      <c r="B2726" s="3">
        <f t="shared" si="187"/>
        <v>72.899999999999949</v>
      </c>
      <c r="C2726" s="545">
        <f>'Foglio deposito bis'!$E$163/sezione!$B$247*B2726</f>
        <v>846.82293049611417</v>
      </c>
      <c r="D2726" s="603">
        <f>-'Sollecitazioni nel paramento'!$G$47*'Sollecitazioni nel paramento'!$G$41*IF(DATI!$G$211="dx",DATI!$E$61,DATI!$E$64*DATI!$E$63)*1000*C2726^2*sezione!$AD$5*(1-sezione!$AD$6)</f>
        <v>-15954707400.941862</v>
      </c>
      <c r="E2726" s="545">
        <f>-'Foglio deposito bis'!$F$88*(C2726-sezione!$AL$37)*IF(ABS(K2726)&lt;'Sollecitazioni nel paramento'!$G$58,ABS(K2726)*'Sollecitazioni nel paramento'!$G$54,'Sollecitazioni nel paramento'!$G$53)</f>
        <v>0</v>
      </c>
      <c r="F2726" s="545">
        <f>-'Foglio deposito bis'!$F$89*(C2726-sezione!$AM$37)*IF(ABS(L2726)&lt;'Sollecitazioni nel paramento'!$G$58,ABS(L2726)*'Sollecitazioni nel paramento'!$G$54,'Sollecitazioni nel paramento'!$G$53)</f>
        <v>-120907033.92990905</v>
      </c>
      <c r="G2726" s="545">
        <f>-'Foglio deposito bis'!$F$90*(C2726-sezione!$AN$37)*IF(ABS(M2726)&lt;'Sollecitazioni nel paramento'!$G$58,ABS(M2726)*'Sollecitazioni nel paramento'!$G$54,'Sollecitazioni nel paramento'!$G$53)</f>
        <v>0</v>
      </c>
      <c r="H2726" s="545">
        <f>-'Foglio deposito bis'!$F$91*(C2726-sezione!$AO$37)*IF(ABS(N2726)&lt;'Sollecitazioni nel paramento'!$G$58,ABS(N2726)*'Sollecitazioni nel paramento'!$G$54,'Sollecitazioni nel paramento'!$G$53)</f>
        <v>-612979503.50597394</v>
      </c>
      <c r="I2726" s="472">
        <f>-'Foglio deposito bis'!$F$92*(C2726-sezione!$AP$37)*IF(ABS(O2726)&lt;'Sollecitazioni nel paramento'!$G$58,ABS(O2726)*'Sollecitazioni nel paramento'!$G$54,'Sollecitazioni nel paramento'!$G$53)</f>
        <v>-2913462.7970320582</v>
      </c>
      <c r="J2726" s="472">
        <f t="shared" si="188"/>
        <v>-16691507401.174776</v>
      </c>
      <c r="K2726" s="550">
        <f>'Sollecitazioni nel paramento'!$G$60*(sezione!$AL$37-C2726)/C2726</f>
        <v>-3.3346761820467231E-3</v>
      </c>
      <c r="L2726" s="550">
        <f>'Sollecitazioni nel paramento'!$G$60*(sezione!$AM$37-C2726)/C2726</f>
        <v>-3.2520142730700849E-3</v>
      </c>
      <c r="M2726" s="551">
        <f>'Sollecitazioni nel paramento'!$G$60*(sezione!$AN$37-C2726)/C2726</f>
        <v>-3.1693523640934462E-3</v>
      </c>
      <c r="N2726" s="551">
        <f>'Sollecitazioni nel paramento'!$G$60*(sezione!$AO$37-C2726)/C2726</f>
        <v>-2.8387047281868928E-3</v>
      </c>
      <c r="O2726" s="551">
        <f>'Sollecitazioni nel paramento'!$G$60*(sezione!$AP$37-C2726)/C2726</f>
        <v>-1.1731284401637673E-4</v>
      </c>
      <c r="P2726" s="545">
        <f>-'Sollecitazioni nel paramento'!$G$47*'Sollecitazioni nel paramento'!$G$41*IF(DATI!$G$211="dx",DATI!$E$61,DATI!$E$64*DATI!$E$63)*1000*C2726*sezione!$AD$5</f>
        <v>-32261413.183110457</v>
      </c>
      <c r="Q2726" s="545">
        <f>'Foglio deposito bis'!$F$88*IF(ABS(K2726)&lt;'Sollecitazioni nel paramento'!$G$58,ABS(K2726)*'Sollecitazioni nel paramento'!$G$54,'Sollecitazioni nel paramento'!$G$53)*IF(K2726&lt;0,-1,1)</f>
        <v>0</v>
      </c>
      <c r="R2726" s="545">
        <f>'Foglio deposito bis'!$F$89*IF(ABS(L2726)&lt;'Sollecitazioni nel paramento'!$G$58,ABS(L2726)*'Sollecitazioni nel paramento'!$G$54,'Sollecitazioni nel paramento'!$G$53)*IF(L2726&lt;0,-1,1)</f>
        <v>-153664.85805602249</v>
      </c>
      <c r="S2726" s="545">
        <f>'Foglio deposito bis'!$F$90*IF(ABS(M2726)&lt;'Sollecitazioni nel paramento'!$G$58,ABS(M2726)*'Sollecitazioni nel paramento'!$G$54,'Sollecitazioni nel paramento'!$G$53)*IF(M2726&lt;0,-1,1)</f>
        <v>0</v>
      </c>
      <c r="T2726" s="545">
        <f>'Foglio deposito bis'!$F$91*IF(ABS(N2726)&lt;'Sollecitazioni nel paramento'!$G$58,ABS(N2726)*'Sollecitazioni nel paramento'!$G$54,'Sollecitazioni nel paramento'!$G$53)*IF(N2726&lt;0,-1,1)</f>
        <v>-892485.49558937876</v>
      </c>
      <c r="U2726" s="545">
        <f>'Foglio deposito bis'!$F$92*IF(ABS(O2726)&lt;'Sollecitazioni nel paramento'!$G$58,ABS(O2726)*'Sollecitazioni nel paramento'!$G$54,'Sollecitazioni nel paramento'!$G$53)*IF(O2726&lt;0,-1,1)</f>
        <v>-102645.36613802769</v>
      </c>
      <c r="V2726" s="472">
        <f t="shared" si="190"/>
        <v>-33410208.902893886</v>
      </c>
      <c r="W2726" s="551"/>
      <c r="X2726" s="551"/>
    </row>
    <row r="2727" spans="1:24" x14ac:dyDescent="0.25">
      <c r="A2727" s="545">
        <f t="shared" si="189"/>
        <v>33892803.092253365</v>
      </c>
      <c r="B2727" s="3">
        <f t="shared" si="187"/>
        <v>73.899999999999949</v>
      </c>
      <c r="C2727" s="545">
        <f>'Foglio deposito bis'!$E$163/sezione!$B$247*B2727</f>
        <v>858.43915725189083</v>
      </c>
      <c r="D2727" s="603">
        <f>-'Sollecitazioni nel paramento'!$G$47*'Sollecitazioni nel paramento'!$G$41*IF(DATI!$G$211="dx",DATI!$E$61,DATI!$E$64*DATI!$E$63)*1000*C2727^2*sezione!$AD$5*(1-sezione!$AD$6)</f>
        <v>-16395424441.301615</v>
      </c>
      <c r="E2727" s="545">
        <f>-'Foglio deposito bis'!$F$88*(C2727-sezione!$AL$37)*IF(ABS(K2727)&lt;'Sollecitazioni nel paramento'!$G$58,ABS(K2727)*'Sollecitazioni nel paramento'!$G$54,'Sollecitazioni nel paramento'!$G$53)</f>
        <v>0</v>
      </c>
      <c r="F2727" s="545">
        <f>-'Foglio deposito bis'!$F$89*(C2727-sezione!$AM$37)*IF(ABS(L2727)&lt;'Sollecitazioni nel paramento'!$G$58,ABS(L2727)*'Sollecitazioni nel paramento'!$G$54,'Sollecitazioni nel paramento'!$G$53)</f>
        <v>-122692039.76548204</v>
      </c>
      <c r="G2727" s="545">
        <f>-'Foglio deposito bis'!$F$90*(C2727-sezione!$AN$37)*IF(ABS(M2727)&lt;'Sollecitazioni nel paramento'!$G$58,ABS(M2727)*'Sollecitazioni nel paramento'!$G$54,'Sollecitazioni nel paramento'!$G$53)</f>
        <v>0</v>
      </c>
      <c r="H2727" s="545">
        <f>-'Foglio deposito bis'!$F$91*(C2727-sezione!$AO$37)*IF(ABS(N2727)&lt;'Sollecitazioni nel paramento'!$G$58,ABS(N2727)*'Sollecitazioni nel paramento'!$G$54,'Sollecitazioni nel paramento'!$G$53)</f>
        <v>-623346817.39898181</v>
      </c>
      <c r="I2727" s="472">
        <f>-'Foglio deposito bis'!$F$92*(C2727-sezione!$AP$37)*IF(ABS(O2727)&lt;'Sollecitazioni nel paramento'!$G$58,ABS(O2727)*'Sollecitazioni nel paramento'!$G$54,'Sollecitazioni nel paramento'!$G$53)</f>
        <v>-5707846.5913073542</v>
      </c>
      <c r="J2727" s="472">
        <f t="shared" si="188"/>
        <v>-17147171145.057384</v>
      </c>
      <c r="K2727" s="550">
        <f>'Sollecitazioni nel paramento'!$G$60*(sezione!$AL$37-C2727)/C2727</f>
        <v>-3.3369133108417607E-3</v>
      </c>
      <c r="L2727" s="550">
        <f>'Sollecitazioni nel paramento'!$G$60*(sezione!$AM$37-C2727)/C2727</f>
        <v>-3.2553699662626412E-3</v>
      </c>
      <c r="M2727" s="551">
        <f>'Sollecitazioni nel paramento'!$G$60*(sezione!$AN$37-C2727)/C2727</f>
        <v>-3.1738266216835213E-3</v>
      </c>
      <c r="N2727" s="551">
        <f>'Sollecitazioni nel paramento'!$G$60*(sezione!$AO$37-C2727)/C2727</f>
        <v>-2.847653243367043E-3</v>
      </c>
      <c r="O2727" s="551">
        <f>'Sollecitazioni nel paramento'!$G$60*(sezione!$AP$37-C2727)/C2727</f>
        <v>-1.630866891582393E-4</v>
      </c>
      <c r="P2727" s="545">
        <f>-'Sollecitazioni nel paramento'!$G$47*'Sollecitazioni nel paramento'!$G$41*IF(DATI!$G$211="dx",DATI!$E$61,DATI!$E$64*DATI!$E$63)*1000*C2727*sezione!$AD$5</f>
        <v>-32703956.573825281</v>
      </c>
      <c r="Q2727" s="545">
        <f>'Foglio deposito bis'!$F$88*IF(ABS(K2727)&lt;'Sollecitazioni nel paramento'!$G$58,ABS(K2727)*'Sollecitazioni nel paramento'!$G$54,'Sollecitazioni nel paramento'!$G$53)*IF(K2727&lt;0,-1,1)</f>
        <v>0</v>
      </c>
      <c r="R2727" s="545">
        <f>'Foglio deposito bis'!$F$89*IF(ABS(L2727)&lt;'Sollecitazioni nel paramento'!$G$58,ABS(L2727)*'Sollecitazioni nel paramento'!$G$54,'Sollecitazioni nel paramento'!$G$53)*IF(L2727&lt;0,-1,1)</f>
        <v>-153664.85805602249</v>
      </c>
      <c r="S2727" s="545">
        <f>'Foglio deposito bis'!$F$90*IF(ABS(M2727)&lt;'Sollecitazioni nel paramento'!$G$58,ABS(M2727)*'Sollecitazioni nel paramento'!$G$54,'Sollecitazioni nel paramento'!$G$53)*IF(M2727&lt;0,-1,1)</f>
        <v>0</v>
      </c>
      <c r="T2727" s="545">
        <f>'Foglio deposito bis'!$F$91*IF(ABS(N2727)&lt;'Sollecitazioni nel paramento'!$G$58,ABS(N2727)*'Sollecitazioni nel paramento'!$G$54,'Sollecitazioni nel paramento'!$G$53)*IF(N2727&lt;0,-1,1)</f>
        <v>-892485.49558937876</v>
      </c>
      <c r="U2727" s="545">
        <f>'Foglio deposito bis'!$F$92*IF(ABS(O2727)&lt;'Sollecitazioni nel paramento'!$G$58,ABS(O2727)*'Sollecitazioni nel paramento'!$G$54,'Sollecitazioni nel paramento'!$G$53)*IF(O2727&lt;0,-1,1)</f>
        <v>-142696.16478268386</v>
      </c>
      <c r="V2727" s="472">
        <f t="shared" si="190"/>
        <v>-33892803.092253365</v>
      </c>
      <c r="W2727" s="551"/>
      <c r="X2727" s="551"/>
    </row>
    <row r="2728" spans="1:24" x14ac:dyDescent="0.25">
      <c r="P2728" s="545"/>
      <c r="Q2728" s="545"/>
      <c r="R2728" s="545"/>
      <c r="S2728" s="545"/>
      <c r="T2728" s="545"/>
      <c r="U2728" s="545"/>
      <c r="V2728" s="472"/>
    </row>
    <row r="2729" spans="1:24" x14ac:dyDescent="0.25">
      <c r="P2729" s="545"/>
      <c r="Q2729" s="545"/>
      <c r="R2729" s="545"/>
      <c r="S2729" s="545"/>
      <c r="T2729" s="545"/>
      <c r="U2729" s="545"/>
      <c r="V2729" s="472"/>
    </row>
    <row r="2730" spans="1:24" x14ac:dyDescent="0.25">
      <c r="P2730" s="545"/>
      <c r="Q2730" s="545"/>
      <c r="R2730" s="545"/>
      <c r="S2730" s="545"/>
      <c r="T2730" s="545"/>
      <c r="U2730" s="545"/>
      <c r="V2730" s="472"/>
    </row>
    <row r="2731" spans="1:24" x14ac:dyDescent="0.25">
      <c r="P2731" s="545"/>
      <c r="Q2731" s="545"/>
      <c r="R2731" s="545"/>
      <c r="S2731" s="545"/>
      <c r="T2731" s="545"/>
      <c r="U2731" s="545"/>
      <c r="V2731" s="472"/>
    </row>
    <row r="2732" spans="1:24" x14ac:dyDescent="0.25">
      <c r="P2732" s="545"/>
      <c r="Q2732" s="545"/>
      <c r="R2732" s="545"/>
      <c r="S2732" s="545"/>
      <c r="T2732" s="545"/>
      <c r="U2732" s="545"/>
      <c r="V2732" s="472"/>
    </row>
    <row r="2733" spans="1:24" x14ac:dyDescent="0.25">
      <c r="P2733" s="545"/>
      <c r="Q2733" s="545"/>
      <c r="R2733" s="545"/>
      <c r="S2733" s="545"/>
      <c r="T2733" s="545"/>
      <c r="U2733" s="545"/>
      <c r="V2733" s="472"/>
    </row>
    <row r="2734" spans="1:24" x14ac:dyDescent="0.25">
      <c r="P2734" s="545"/>
      <c r="Q2734" s="545"/>
      <c r="R2734" s="545"/>
      <c r="S2734" s="545"/>
      <c r="T2734" s="545"/>
      <c r="U2734" s="545"/>
      <c r="V2734" s="472"/>
    </row>
    <row r="2735" spans="1:24" x14ac:dyDescent="0.25">
      <c r="P2735" s="545"/>
      <c r="Q2735" s="545"/>
      <c r="R2735" s="545"/>
      <c r="S2735" s="545"/>
      <c r="T2735" s="545"/>
      <c r="U2735" s="545"/>
      <c r="V2735" s="472"/>
    </row>
    <row r="2736" spans="1:24" x14ac:dyDescent="0.25">
      <c r="P2736" s="545"/>
      <c r="Q2736" s="545"/>
      <c r="R2736" s="545"/>
      <c r="S2736" s="545"/>
      <c r="T2736" s="545"/>
      <c r="U2736" s="545"/>
      <c r="V2736" s="472"/>
    </row>
    <row r="2737" spans="16:22" x14ac:dyDescent="0.25">
      <c r="P2737" s="545"/>
      <c r="Q2737" s="545"/>
      <c r="R2737" s="545"/>
      <c r="S2737" s="545"/>
      <c r="T2737" s="545"/>
      <c r="U2737" s="545"/>
      <c r="V2737" s="472"/>
    </row>
    <row r="2738" spans="16:22" x14ac:dyDescent="0.25">
      <c r="P2738" s="545"/>
      <c r="Q2738" s="545"/>
      <c r="R2738" s="545"/>
      <c r="S2738" s="545"/>
      <c r="T2738" s="545"/>
      <c r="U2738" s="545"/>
      <c r="V2738" s="472"/>
    </row>
    <row r="2739" spans="16:22" x14ac:dyDescent="0.25">
      <c r="P2739" s="545"/>
      <c r="Q2739" s="545"/>
      <c r="R2739" s="545"/>
      <c r="S2739" s="545"/>
      <c r="T2739" s="545"/>
      <c r="U2739" s="545"/>
      <c r="V2739" s="472"/>
    </row>
  </sheetData>
  <customSheetViews>
    <customSheetView guid="{101D851C-E4EE-4443-B6A9-9040ACB2A650}" state="hidden" topLeftCell="AC1">
      <selection activeCell="Z18" sqref="Z18"/>
      <pageMargins left="0.7" right="0.7" top="0.75" bottom="0.75" header="0.3" footer="0.3"/>
    </customSheetView>
  </customSheetViews>
  <mergeCells count="55">
    <mergeCell ref="Z45:Z46"/>
    <mergeCell ref="AA45:AA46"/>
    <mergeCell ref="AB45:AD45"/>
    <mergeCell ref="AG45:AG46"/>
    <mergeCell ref="AN5:AN6"/>
    <mergeCell ref="Z25:AA25"/>
    <mergeCell ref="Z29:AA29"/>
    <mergeCell ref="Z34:AA34"/>
    <mergeCell ref="AC34:AD34"/>
    <mergeCell ref="AC39:AD39"/>
    <mergeCell ref="AI25:AI26"/>
    <mergeCell ref="AJ25:AJ26"/>
    <mergeCell ref="AH2:AN4"/>
    <mergeCell ref="AP5:AP6"/>
    <mergeCell ref="AQ5:AQ6"/>
    <mergeCell ref="AP2:AV4"/>
    <mergeCell ref="AR5:AR6"/>
    <mergeCell ref="AS5:AS6"/>
    <mergeCell ref="AT5:AT6"/>
    <mergeCell ref="AU5:AU6"/>
    <mergeCell ref="AV5:AV6"/>
    <mergeCell ref="AH5:AH6"/>
    <mergeCell ref="AI5:AI6"/>
    <mergeCell ref="AJ5:AJ6"/>
    <mergeCell ref="AK5:AK6"/>
    <mergeCell ref="AL5:AL6"/>
    <mergeCell ref="AM5:AM6"/>
    <mergeCell ref="AB2:AB3"/>
    <mergeCell ref="AC17:AD17"/>
    <mergeCell ref="AC21:AD21"/>
    <mergeCell ref="AC25:AD25"/>
    <mergeCell ref="AC29:AD29"/>
    <mergeCell ref="A1738:O1738"/>
    <mergeCell ref="A1986:O1986"/>
    <mergeCell ref="A2482:O2482"/>
    <mergeCell ref="A2234:O2234"/>
    <mergeCell ref="AA2:AA3"/>
    <mergeCell ref="Z2:Z3"/>
    <mergeCell ref="A1242:O1242"/>
    <mergeCell ref="A1490:O1490"/>
    <mergeCell ref="A2:O2"/>
    <mergeCell ref="A250:O250"/>
    <mergeCell ref="A498:O498"/>
    <mergeCell ref="A746:O746"/>
    <mergeCell ref="A994:O994"/>
    <mergeCell ref="Z39:AA39"/>
    <mergeCell ref="Z17:AA17"/>
    <mergeCell ref="Z21:AA21"/>
    <mergeCell ref="AO25:AO26"/>
    <mergeCell ref="AP25:AP26"/>
    <mergeCell ref="AH25:AH26"/>
    <mergeCell ref="AK25:AK26"/>
    <mergeCell ref="AL25:AL26"/>
    <mergeCell ref="AM25:AM26"/>
    <mergeCell ref="AN25:AN2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G341"/>
  <sheetViews>
    <sheetView showGridLines="0" showRowColHeaders="0" zoomScale="90" zoomScaleNormal="90" workbookViewId="0">
      <selection activeCell="G46" sqref="G46:I46"/>
    </sheetView>
  </sheetViews>
  <sheetFormatPr defaultRowHeight="15" x14ac:dyDescent="0.25"/>
  <cols>
    <col min="1" max="1" width="3.42578125" customWidth="1"/>
    <col min="2" max="2" width="15.42578125" customWidth="1"/>
    <col min="3" max="3" width="16.42578125" customWidth="1"/>
    <col min="4" max="4" width="15.42578125" customWidth="1"/>
    <col min="5" max="5" width="14.140625" customWidth="1"/>
    <col min="6" max="6" width="15.42578125" customWidth="1"/>
    <col min="7" max="7" width="15.28515625" customWidth="1"/>
  </cols>
  <sheetData>
    <row r="2" spans="2:7" ht="21" x14ac:dyDescent="0.35">
      <c r="B2" s="456" t="s">
        <v>1105</v>
      </c>
      <c r="C2" s="628"/>
      <c r="D2" s="629"/>
      <c r="E2" s="629"/>
      <c r="F2" s="629"/>
      <c r="G2" s="632"/>
    </row>
    <row r="3" spans="2:7" ht="12" customHeight="1" x14ac:dyDescent="0.3">
      <c r="B3" s="429"/>
      <c r="C3" s="628"/>
      <c r="D3" s="629"/>
      <c r="E3" s="629"/>
      <c r="F3" s="629"/>
      <c r="G3" s="632"/>
    </row>
    <row r="4" spans="2:7" ht="15.75" x14ac:dyDescent="0.25">
      <c r="B4" s="14" t="s">
        <v>788</v>
      </c>
      <c r="C4" s="628"/>
      <c r="D4" s="629"/>
      <c r="E4" s="629"/>
      <c r="F4" s="629"/>
      <c r="G4" s="632"/>
    </row>
    <row r="5" spans="2:7" x14ac:dyDescent="0.25">
      <c r="B5" s="628"/>
      <c r="C5" s="628"/>
      <c r="D5" s="629"/>
      <c r="E5" s="629"/>
      <c r="F5" s="629"/>
      <c r="G5" s="632"/>
    </row>
    <row r="6" spans="2:7" x14ac:dyDescent="0.25">
      <c r="B6" s="944" t="s">
        <v>331</v>
      </c>
      <c r="C6" s="944"/>
      <c r="D6" s="945" t="str">
        <f>IF('FOGLIO DEPOSITO'!I72='FOGLIO DEPOSITO'!I73,"SISMICA",'FOGLIO DEPOSITO'!B222)</f>
        <v>SISMICA</v>
      </c>
      <c r="E6" s="953"/>
      <c r="F6" s="23"/>
      <c r="G6" s="422"/>
    </row>
    <row r="7" spans="2:7" ht="15" customHeight="1" x14ac:dyDescent="0.25">
      <c r="B7" s="944" t="s">
        <v>473</v>
      </c>
      <c r="C7" s="944"/>
      <c r="D7" s="425" t="str">
        <f>DATI!C260</f>
        <v>APPROCCIO 1 --- Combinazione (A1+M1+R1)</v>
      </c>
      <c r="E7" s="316"/>
      <c r="F7" s="23"/>
      <c r="G7" s="422"/>
    </row>
    <row r="8" spans="2:7" x14ac:dyDescent="0.25">
      <c r="B8" s="422"/>
      <c r="C8" s="422"/>
      <c r="D8" s="422"/>
      <c r="E8" s="422"/>
      <c r="F8" s="422"/>
      <c r="G8" s="422"/>
    </row>
    <row r="9" spans="2:7" x14ac:dyDescent="0.25">
      <c r="B9" s="422"/>
      <c r="C9" s="422"/>
      <c r="D9" s="422"/>
      <c r="E9" s="438" t="s">
        <v>467</v>
      </c>
      <c r="F9" s="623" t="s">
        <v>25</v>
      </c>
      <c r="G9" s="422"/>
    </row>
    <row r="10" spans="2:7" x14ac:dyDescent="0.25">
      <c r="B10" s="422"/>
      <c r="C10" s="422"/>
      <c r="D10" s="422"/>
      <c r="E10" s="623" t="s">
        <v>539</v>
      </c>
      <c r="F10" s="625">
        <f>DATI!E263</f>
        <v>1</v>
      </c>
      <c r="G10" s="422"/>
    </row>
    <row r="11" spans="2:7" x14ac:dyDescent="0.25">
      <c r="B11" s="422"/>
      <c r="C11" s="23"/>
      <c r="D11" s="23"/>
      <c r="E11" s="623" t="s">
        <v>556</v>
      </c>
      <c r="F11" s="625">
        <f>DATI!E264</f>
        <v>1</v>
      </c>
      <c r="G11" s="422"/>
    </row>
    <row r="12" spans="2:7" x14ac:dyDescent="0.25">
      <c r="B12" s="422"/>
      <c r="C12" s="23"/>
      <c r="D12" s="23"/>
      <c r="E12" s="623" t="s">
        <v>557</v>
      </c>
      <c r="F12" s="625">
        <f>DATI!E265</f>
        <v>1</v>
      </c>
      <c r="G12" s="422"/>
    </row>
    <row r="13" spans="2:7" x14ac:dyDescent="0.25">
      <c r="B13" s="422"/>
      <c r="C13" s="23"/>
      <c r="D13" s="23"/>
      <c r="E13" s="628"/>
      <c r="F13" s="628"/>
      <c r="G13" s="422"/>
    </row>
    <row r="14" spans="2:7" x14ac:dyDescent="0.25">
      <c r="B14" s="422"/>
      <c r="C14" s="23"/>
      <c r="D14" s="23"/>
      <c r="E14" s="438" t="s">
        <v>468</v>
      </c>
      <c r="F14" s="623" t="s">
        <v>469</v>
      </c>
      <c r="G14" s="422"/>
    </row>
    <row r="15" spans="2:7" x14ac:dyDescent="0.25">
      <c r="B15" s="422"/>
      <c r="C15" s="23"/>
      <c r="D15" s="23"/>
      <c r="E15" s="623" t="s">
        <v>201</v>
      </c>
      <c r="F15" s="625">
        <f>DATI!E268</f>
        <v>1</v>
      </c>
      <c r="G15" s="422"/>
    </row>
    <row r="16" spans="2:7" x14ac:dyDescent="0.25">
      <c r="B16" s="422"/>
      <c r="C16" s="23"/>
      <c r="D16" s="23"/>
      <c r="E16" s="623" t="s">
        <v>202</v>
      </c>
      <c r="F16" s="625">
        <f>DATI!E269</f>
        <v>1</v>
      </c>
      <c r="G16" s="422"/>
    </row>
    <row r="17" spans="2:7" s="421" customFormat="1" x14ac:dyDescent="0.25">
      <c r="B17" s="422"/>
      <c r="C17" s="23"/>
      <c r="D17" s="23"/>
      <c r="E17" s="623" t="s">
        <v>204</v>
      </c>
      <c r="F17" s="625">
        <f>DATI!E270</f>
        <v>1</v>
      </c>
      <c r="G17" s="422"/>
    </row>
    <row r="18" spans="2:7" s="421" customFormat="1" x14ac:dyDescent="0.25">
      <c r="B18" s="422"/>
      <c r="C18" s="23"/>
      <c r="D18" s="23"/>
      <c r="E18" s="636" t="s">
        <v>205</v>
      </c>
      <c r="F18" s="625">
        <f>DATI!E271</f>
        <v>1</v>
      </c>
      <c r="G18" s="422"/>
    </row>
    <row r="19" spans="2:7" x14ac:dyDescent="0.25">
      <c r="B19" s="23"/>
      <c r="C19" s="23"/>
      <c r="D19" s="640"/>
      <c r="E19" s="422"/>
      <c r="F19" s="632"/>
      <c r="G19" s="422"/>
    </row>
    <row r="20" spans="2:7" s="421" customFormat="1" ht="18" x14ac:dyDescent="0.25">
      <c r="B20" s="422" t="s">
        <v>363</v>
      </c>
      <c r="C20" s="422"/>
      <c r="D20" s="422"/>
      <c r="E20" s="624" t="s">
        <v>364</v>
      </c>
      <c r="F20" s="646">
        <f>SPINTE!D21</f>
        <v>2.5554000000000001</v>
      </c>
      <c r="G20" s="422"/>
    </row>
    <row r="21" spans="2:7" s="421" customFormat="1" ht="18" x14ac:dyDescent="0.25">
      <c r="B21" s="422" t="s">
        <v>365</v>
      </c>
      <c r="C21" s="422"/>
      <c r="D21" s="422"/>
      <c r="E21" s="624" t="s">
        <v>366</v>
      </c>
      <c r="F21" s="643">
        <f>SPINTE!D22</f>
        <v>2.3653</v>
      </c>
      <c r="G21" s="422"/>
    </row>
    <row r="22" spans="2:7" s="421" customFormat="1" ht="18" x14ac:dyDescent="0.25">
      <c r="B22" s="422" t="s">
        <v>367</v>
      </c>
      <c r="C22" s="422"/>
      <c r="D22" s="422"/>
      <c r="E22" s="624" t="s">
        <v>368</v>
      </c>
      <c r="F22" s="647">
        <f>SPINTE!D23</f>
        <v>0.3468</v>
      </c>
      <c r="G22" s="422"/>
    </row>
    <row r="23" spans="2:7" s="421" customFormat="1" x14ac:dyDescent="0.25">
      <c r="B23" s="422" t="s">
        <v>369</v>
      </c>
      <c r="C23" s="422"/>
      <c r="D23" s="422"/>
      <c r="E23" s="422"/>
      <c r="F23" s="643" t="str">
        <f>SPINTE!D24</f>
        <v>E</v>
      </c>
      <c r="G23" s="422"/>
    </row>
    <row r="24" spans="2:7" s="421" customFormat="1" x14ac:dyDescent="0.25">
      <c r="B24" s="422" t="s">
        <v>370</v>
      </c>
      <c r="C24" s="422"/>
      <c r="D24" s="422"/>
      <c r="E24" s="422"/>
      <c r="F24" s="643" t="str">
        <f>SPINTE!D25</f>
        <v>T2</v>
      </c>
      <c r="G24" s="422"/>
    </row>
    <row r="25" spans="2:7" s="421" customFormat="1" x14ac:dyDescent="0.25">
      <c r="B25" s="422" t="s">
        <v>782</v>
      </c>
      <c r="C25" s="422"/>
      <c r="D25" s="422"/>
      <c r="E25" s="376" t="s">
        <v>395</v>
      </c>
      <c r="F25" s="638">
        <f>SPINTE!D26</f>
        <v>0.31</v>
      </c>
      <c r="G25" s="422"/>
    </row>
    <row r="26" spans="2:7" s="421" customFormat="1" x14ac:dyDescent="0.25">
      <c r="B26" s="422" t="s">
        <v>396</v>
      </c>
      <c r="C26" s="422"/>
      <c r="D26" s="422"/>
      <c r="E26" s="621" t="s">
        <v>281</v>
      </c>
      <c r="F26" s="638">
        <f>SPINTE!D27</f>
        <v>0.12815426831174012</v>
      </c>
      <c r="G26" s="422"/>
    </row>
    <row r="27" spans="2:7" s="421" customFormat="1" x14ac:dyDescent="0.25">
      <c r="B27" s="422" t="s">
        <v>397</v>
      </c>
      <c r="C27" s="422"/>
      <c r="D27" s="422"/>
      <c r="E27" s="621" t="s">
        <v>282</v>
      </c>
      <c r="F27" s="638">
        <f>SPINTE!D28</f>
        <v>6.4077134155870061E-2</v>
      </c>
      <c r="G27" s="422"/>
    </row>
    <row r="28" spans="2:7" s="421" customFormat="1" x14ac:dyDescent="0.25">
      <c r="B28" s="422"/>
      <c r="C28" s="422"/>
      <c r="D28" s="422"/>
      <c r="E28" s="422"/>
      <c r="F28" s="620"/>
      <c r="G28" s="300"/>
    </row>
    <row r="29" spans="2:7" s="421" customFormat="1" x14ac:dyDescent="0.25">
      <c r="B29" s="422"/>
      <c r="C29" s="422"/>
      <c r="D29" s="422"/>
      <c r="E29" s="422"/>
      <c r="F29" s="620"/>
      <c r="G29" s="300"/>
    </row>
    <row r="30" spans="2:7" s="421" customFormat="1" ht="15.75" x14ac:dyDescent="0.25">
      <c r="B30" s="14" t="s">
        <v>889</v>
      </c>
      <c r="C30" s="422"/>
      <c r="D30" s="422"/>
      <c r="E30" s="422"/>
      <c r="F30" s="422"/>
      <c r="G30" s="422"/>
    </row>
    <row r="31" spans="2:7" s="421" customFormat="1" x14ac:dyDescent="0.25">
      <c r="B31" s="1" t="s">
        <v>335</v>
      </c>
      <c r="C31" s="422"/>
      <c r="D31" s="422"/>
      <c r="E31" s="422"/>
      <c r="F31" s="422"/>
      <c r="G31" s="422"/>
    </row>
    <row r="32" spans="2:7" s="421" customFormat="1" x14ac:dyDescent="0.25">
      <c r="B32" s="1"/>
      <c r="C32" s="422"/>
      <c r="D32" s="422"/>
      <c r="E32" s="422"/>
      <c r="F32" s="422"/>
      <c r="G32" s="422"/>
    </row>
    <row r="33" spans="2:7" s="421" customFormat="1" x14ac:dyDescent="0.25">
      <c r="B33" s="422" t="s">
        <v>336</v>
      </c>
      <c r="C33" s="422"/>
      <c r="D33" s="422"/>
      <c r="E33" s="422"/>
      <c r="F33" s="643" t="str">
        <f>'Sollecitazioni nel paramento'!G34</f>
        <v>C32/40</v>
      </c>
      <c r="G33" s="422"/>
    </row>
    <row r="34" spans="2:7" s="421" customFormat="1" ht="18" x14ac:dyDescent="0.25">
      <c r="B34" s="422" t="s">
        <v>337</v>
      </c>
      <c r="C34" s="422"/>
      <c r="D34" s="422"/>
      <c r="E34" s="67" t="s">
        <v>338</v>
      </c>
      <c r="F34" s="648">
        <f>'Sollecitazioni nel paramento'!G35</f>
        <v>25</v>
      </c>
      <c r="G34" s="422"/>
    </row>
    <row r="35" spans="2:7" s="421" customFormat="1" x14ac:dyDescent="0.25">
      <c r="B35" s="422" t="s">
        <v>339</v>
      </c>
      <c r="C35" s="422"/>
      <c r="D35" s="422"/>
      <c r="E35" s="624" t="s">
        <v>340</v>
      </c>
      <c r="F35" s="535">
        <f>'Sollecitazioni nel paramento'!G36</f>
        <v>0.1</v>
      </c>
      <c r="G35" s="422"/>
    </row>
    <row r="36" spans="2:7" s="421" customFormat="1" x14ac:dyDescent="0.25">
      <c r="B36" s="422"/>
      <c r="C36" s="422"/>
      <c r="D36" s="422"/>
      <c r="E36" s="624"/>
      <c r="F36" s="649"/>
      <c r="G36" s="422"/>
    </row>
    <row r="37" spans="2:7" s="421" customFormat="1" x14ac:dyDescent="0.25">
      <c r="B37" s="422" t="s">
        <v>341</v>
      </c>
      <c r="C37" s="422"/>
      <c r="D37" s="422"/>
      <c r="E37" s="621" t="s">
        <v>342</v>
      </c>
      <c r="F37" s="372">
        <f>'Sollecitazioni nel paramento'!G38</f>
        <v>40</v>
      </c>
      <c r="G37" s="422"/>
    </row>
    <row r="38" spans="2:7" s="421" customFormat="1" x14ac:dyDescent="0.25">
      <c r="B38" s="422" t="s">
        <v>343</v>
      </c>
      <c r="C38" s="422"/>
      <c r="D38" s="422"/>
      <c r="E38" s="621" t="s">
        <v>344</v>
      </c>
      <c r="F38" s="372">
        <f>'Sollecitazioni nel paramento'!G39</f>
        <v>41.199999999999996</v>
      </c>
      <c r="G38" s="422"/>
    </row>
    <row r="39" spans="2:7" s="421" customFormat="1" x14ac:dyDescent="0.25">
      <c r="B39" s="422" t="s">
        <v>345</v>
      </c>
      <c r="C39" s="422"/>
      <c r="D39" s="422"/>
      <c r="E39" s="621" t="s">
        <v>346</v>
      </c>
      <c r="F39" s="372">
        <f>'Sollecitazioni nel paramento'!G40</f>
        <v>33.199999999999996</v>
      </c>
      <c r="G39" s="422"/>
    </row>
    <row r="40" spans="2:7" s="421" customFormat="1" x14ac:dyDescent="0.25">
      <c r="B40" s="422" t="s">
        <v>347</v>
      </c>
      <c r="C40" s="422"/>
      <c r="D40" s="422"/>
      <c r="E40" s="621" t="s">
        <v>348</v>
      </c>
      <c r="F40" s="372">
        <f>'Sollecitazioni nel paramento'!G41</f>
        <v>22.133333333333329</v>
      </c>
      <c r="G40" s="422"/>
    </row>
    <row r="41" spans="2:7" s="421" customFormat="1" x14ac:dyDescent="0.25">
      <c r="B41" s="422" t="s">
        <v>349</v>
      </c>
      <c r="C41" s="422"/>
      <c r="D41" s="422"/>
      <c r="E41" s="78" t="s">
        <v>350</v>
      </c>
      <c r="F41" s="372">
        <f>'Sollecitazioni nel paramento'!G42</f>
        <v>3.098941018792384</v>
      </c>
      <c r="G41" s="422"/>
    </row>
    <row r="42" spans="2:7" s="421" customFormat="1" x14ac:dyDescent="0.25">
      <c r="B42" s="422" t="s">
        <v>351</v>
      </c>
      <c r="C42" s="422"/>
      <c r="D42" s="422"/>
      <c r="E42" s="621" t="s">
        <v>352</v>
      </c>
      <c r="F42" s="372">
        <f>'Sollecitazioni nel paramento'!G43</f>
        <v>2.1692587131546688</v>
      </c>
      <c r="G42" s="422"/>
    </row>
    <row r="43" spans="2:7" s="421" customFormat="1" x14ac:dyDescent="0.25">
      <c r="B43" s="422" t="s">
        <v>353</v>
      </c>
      <c r="C43" s="422"/>
      <c r="D43" s="422"/>
      <c r="E43" s="621" t="s">
        <v>354</v>
      </c>
      <c r="F43" s="372">
        <f>'Sollecitazioni nel paramento'!G44</f>
        <v>1.4461724754364458</v>
      </c>
      <c r="G43" s="422"/>
    </row>
    <row r="44" spans="2:7" s="421" customFormat="1" x14ac:dyDescent="0.25">
      <c r="B44" s="422" t="s">
        <v>355</v>
      </c>
      <c r="C44" s="422"/>
      <c r="D44" s="422"/>
      <c r="E44" s="621" t="s">
        <v>356</v>
      </c>
      <c r="F44" s="372">
        <f>'Sollecitazioni nel paramento'!G45</f>
        <v>3.2538880697320032</v>
      </c>
      <c r="G44" s="422"/>
    </row>
    <row r="45" spans="2:7" s="421" customFormat="1" x14ac:dyDescent="0.25">
      <c r="B45" s="422" t="s">
        <v>357</v>
      </c>
      <c r="C45" s="422"/>
      <c r="D45" s="422"/>
      <c r="E45" s="621" t="s">
        <v>358</v>
      </c>
      <c r="F45" s="373">
        <f>'Sollecitazioni nel paramento'!G46</f>
        <v>33642.777677364676</v>
      </c>
      <c r="G45" s="422"/>
    </row>
    <row r="46" spans="2:7" s="421" customFormat="1" x14ac:dyDescent="0.25">
      <c r="B46" s="422"/>
      <c r="C46" s="422"/>
      <c r="D46" s="422"/>
      <c r="E46" s="422"/>
      <c r="F46" s="422"/>
      <c r="G46" s="422"/>
    </row>
    <row r="47" spans="2:7" s="421" customFormat="1" x14ac:dyDescent="0.25">
      <c r="B47" s="1" t="s">
        <v>359</v>
      </c>
      <c r="C47" s="422"/>
      <c r="D47" s="422"/>
      <c r="E47" s="624"/>
      <c r="F47" s="649"/>
      <c r="G47" s="422"/>
    </row>
    <row r="48" spans="2:7" s="421" customFormat="1" x14ac:dyDescent="0.25">
      <c r="B48" s="422"/>
      <c r="C48" s="422"/>
      <c r="D48" s="422"/>
      <c r="E48" s="624"/>
      <c r="F48" s="649"/>
      <c r="G48" s="422"/>
    </row>
    <row r="49" spans="2:7" s="421" customFormat="1" x14ac:dyDescent="0.25">
      <c r="B49" s="422" t="s">
        <v>360</v>
      </c>
      <c r="C49" s="422"/>
      <c r="D49" s="422"/>
      <c r="E49" s="422"/>
      <c r="F49" s="643" t="str">
        <f>'Sollecitazioni nel paramento'!G51</f>
        <v>Fe B450C</v>
      </c>
      <c r="G49" s="422"/>
    </row>
    <row r="50" spans="2:7" s="421" customFormat="1" x14ac:dyDescent="0.25">
      <c r="B50" s="422"/>
      <c r="C50" s="422"/>
      <c r="D50" s="422"/>
      <c r="E50" s="624"/>
      <c r="F50" s="649"/>
      <c r="G50" s="422"/>
    </row>
    <row r="51" spans="2:7" s="421" customFormat="1" x14ac:dyDescent="0.25">
      <c r="B51" s="422" t="s">
        <v>353</v>
      </c>
      <c r="C51" s="422"/>
      <c r="D51" s="422"/>
      <c r="E51" s="621" t="s">
        <v>361</v>
      </c>
      <c r="F51" s="371">
        <f>'Sollecitazioni nel paramento'!G53</f>
        <v>391.304347826087</v>
      </c>
      <c r="G51" s="422"/>
    </row>
    <row r="52" spans="2:7" x14ac:dyDescent="0.25">
      <c r="B52" s="422" t="s">
        <v>357</v>
      </c>
      <c r="C52" s="422"/>
      <c r="D52" s="422"/>
      <c r="E52" s="621" t="s">
        <v>358</v>
      </c>
      <c r="F52" s="373">
        <f>'Sollecitazioni nel paramento'!G54</f>
        <v>206000</v>
      </c>
      <c r="G52" s="422"/>
    </row>
    <row r="53" spans="2:7" s="421" customFormat="1" x14ac:dyDescent="0.25">
      <c r="B53" s="422"/>
      <c r="C53" s="422"/>
      <c r="D53" s="422"/>
      <c r="E53" s="422"/>
      <c r="F53" s="620"/>
      <c r="G53" s="530"/>
    </row>
    <row r="54" spans="2:7" s="421" customFormat="1" x14ac:dyDescent="0.25">
      <c r="B54" s="422"/>
      <c r="C54" s="422"/>
      <c r="D54" s="422"/>
      <c r="E54" s="422"/>
      <c r="F54" s="620"/>
      <c r="G54" s="530"/>
    </row>
    <row r="55" spans="2:7" ht="15.75" x14ac:dyDescent="0.25">
      <c r="B55" s="14" t="s">
        <v>1093</v>
      </c>
      <c r="C55" s="640"/>
      <c r="D55" s="640"/>
      <c r="E55" s="91"/>
      <c r="F55" s="632"/>
      <c r="G55" s="632"/>
    </row>
    <row r="56" spans="2:7" x14ac:dyDescent="0.25">
      <c r="B56" s="355"/>
      <c r="C56" s="58"/>
      <c r="D56" s="640"/>
      <c r="E56" s="91"/>
      <c r="F56" s="632"/>
      <c r="G56" s="632"/>
    </row>
    <row r="57" spans="2:7" x14ac:dyDescent="0.25">
      <c r="B57" s="938" t="s">
        <v>558</v>
      </c>
      <c r="C57" s="938"/>
      <c r="D57" s="422"/>
      <c r="E57" s="422"/>
      <c r="F57" s="437"/>
      <c r="G57" s="422"/>
    </row>
    <row r="58" spans="2:7" x14ac:dyDescent="0.25">
      <c r="B58" s="422"/>
      <c r="C58" s="422"/>
      <c r="D58" s="422"/>
      <c r="E58" s="422"/>
      <c r="F58" s="199"/>
      <c r="G58" s="422"/>
    </row>
    <row r="59" spans="2:7" x14ac:dyDescent="0.25">
      <c r="B59" s="422"/>
      <c r="C59" s="422"/>
      <c r="D59" s="322"/>
      <c r="E59" s="321"/>
      <c r="F59" s="351" t="s">
        <v>559</v>
      </c>
      <c r="G59" s="321" t="s">
        <v>560</v>
      </c>
    </row>
    <row r="60" spans="2:7" x14ac:dyDescent="0.25">
      <c r="B60" s="348" t="s">
        <v>561</v>
      </c>
      <c r="C60" s="348"/>
      <c r="D60" s="58"/>
      <c r="E60" s="349"/>
      <c r="F60" s="650">
        <f>MAXA(SPINTE!H87,SPINTE!H93)</f>
        <v>367.76933278733725</v>
      </c>
      <c r="G60" s="349">
        <f>MAXA(SPINTE!H88,SPINTE!H94)</f>
        <v>673.73630342786589</v>
      </c>
    </row>
    <row r="61" spans="2:7" x14ac:dyDescent="0.25">
      <c r="B61" s="52"/>
      <c r="C61" s="52"/>
      <c r="D61" s="52"/>
      <c r="E61" s="52"/>
      <c r="F61" s="70" t="s">
        <v>542</v>
      </c>
      <c r="G61" s="93">
        <f>SUM(G60:G60)</f>
        <v>673.73630342786589</v>
      </c>
    </row>
    <row r="62" spans="2:7" x14ac:dyDescent="0.25">
      <c r="B62" s="23"/>
      <c r="C62" s="23"/>
      <c r="D62" s="23"/>
      <c r="E62" s="422"/>
      <c r="F62" s="70"/>
      <c r="G62" s="640"/>
    </row>
    <row r="63" spans="2:7" x14ac:dyDescent="0.25">
      <c r="B63" s="933" t="s">
        <v>562</v>
      </c>
      <c r="C63" s="933"/>
      <c r="D63" s="23"/>
      <c r="E63" s="23"/>
      <c r="F63" s="70"/>
      <c r="G63" s="640"/>
    </row>
    <row r="64" spans="2:7" x14ac:dyDescent="0.25">
      <c r="B64" s="422"/>
      <c r="C64" s="422"/>
      <c r="D64" s="422"/>
      <c r="E64" s="422"/>
      <c r="F64" s="201"/>
      <c r="G64" s="632"/>
    </row>
    <row r="65" spans="2:7" x14ac:dyDescent="0.25">
      <c r="B65" s="422"/>
      <c r="C65" s="624" t="s">
        <v>544</v>
      </c>
      <c r="D65" s="634" t="s">
        <v>545</v>
      </c>
      <c r="E65" s="634" t="s">
        <v>546</v>
      </c>
      <c r="F65" s="62" t="s">
        <v>547</v>
      </c>
      <c r="G65" s="634" t="s">
        <v>548</v>
      </c>
    </row>
    <row r="66" spans="2:7" x14ac:dyDescent="0.25">
      <c r="B66" s="92" t="s">
        <v>549</v>
      </c>
      <c r="C66" s="651">
        <f>'VER. EQU COND. NON DRENATE'!C47</f>
        <v>177.29217199999999</v>
      </c>
      <c r="D66" s="3">
        <f>DATI!E263</f>
        <v>1</v>
      </c>
      <c r="E66" s="651">
        <f>C66*D66</f>
        <v>177.29217199999999</v>
      </c>
      <c r="F66" s="200">
        <f>'VER. EQU COND. NON DRENATE'!C49</f>
        <v>1.6326655274280244</v>
      </c>
      <c r="G66" s="349">
        <f>E66*F66</f>
        <v>289.45881750723998</v>
      </c>
    </row>
    <row r="67" spans="2:7" x14ac:dyDescent="0.25">
      <c r="B67" s="92" t="s">
        <v>550</v>
      </c>
      <c r="C67" s="651">
        <f>'VER. EQU COND. NON DRENATE'!C71</f>
        <v>510.2311280694592</v>
      </c>
      <c r="D67" s="640">
        <f>DATI!E263</f>
        <v>1</v>
      </c>
      <c r="E67" s="651">
        <f>C67*D67</f>
        <v>510.2311280694592</v>
      </c>
      <c r="F67" s="358">
        <f>'VER. EQU COND. NON DRENATE'!C73</f>
        <v>2.0483562999253735</v>
      </c>
      <c r="G67" s="359">
        <f>E67*F67</f>
        <v>1045.1351455991069</v>
      </c>
    </row>
    <row r="68" spans="2:7" x14ac:dyDescent="0.25">
      <c r="B68" s="92" t="s">
        <v>551</v>
      </c>
      <c r="C68" s="651">
        <f>DATI!E155*DATI!E61*IF(DATI!G211="SX",DATI!E75,'FOGLIO DEPOSITO'!D212)</f>
        <v>4.7249750000000006</v>
      </c>
      <c r="D68" s="3">
        <f>DATI!E264</f>
        <v>1</v>
      </c>
      <c r="E68" s="651">
        <f>C68*D68</f>
        <v>4.7249750000000006</v>
      </c>
      <c r="F68" s="200">
        <f>IF(DATI!G211="dx",'FOGLIO DEPOSITO'!D212+'FOGLIO DEPOSITO'!D211+DATI!E75/2,DATI!E75/2+'FOGLIO DEPOSITO'!D211+'FOGLIO DEPOSITO'!D212)</f>
        <v>3.0750000000000002</v>
      </c>
      <c r="G68" s="349">
        <f>E68*F68</f>
        <v>14.529298125000002</v>
      </c>
    </row>
    <row r="69" spans="2:7" x14ac:dyDescent="0.25">
      <c r="B69" s="92" t="s">
        <v>552</v>
      </c>
      <c r="C69" s="651">
        <f>DATI!E154*DATI!E61*IF(DATI!G211="SX",DATI!E75,'FOGLIO DEPOSITO'!D212)</f>
        <v>4.7249750000000006</v>
      </c>
      <c r="D69" s="640">
        <f>DATI!E265</f>
        <v>1</v>
      </c>
      <c r="E69" s="651">
        <f>C69*D69</f>
        <v>4.7249750000000006</v>
      </c>
      <c r="F69" s="358">
        <f>IF(DATI!G211="dx",'FOGLIO DEPOSITO'!D212+'FOGLIO DEPOSITO'!D211+DATI!E75/2,DATI!E75/2+'FOGLIO DEPOSITO'!D211+'FOGLIO DEPOSITO'!D212)</f>
        <v>3.0750000000000002</v>
      </c>
      <c r="G69" s="359">
        <f>E69*F69</f>
        <v>14.529298125000002</v>
      </c>
    </row>
    <row r="70" spans="2:7" x14ac:dyDescent="0.25">
      <c r="B70" s="94" t="s">
        <v>895</v>
      </c>
      <c r="C70" s="651">
        <f>MAXA('ANALISI DELLE SPINTE'!K46,'ANALISI DELLE SPINTE'!K110)</f>
        <v>158.47021515283168</v>
      </c>
      <c r="D70" s="640">
        <v>1</v>
      </c>
      <c r="E70" s="652">
        <f>C70*D70</f>
        <v>158.47021515283168</v>
      </c>
      <c r="F70" s="358">
        <f>IF(DATI!G211="sx",DATI!E75,'FOGLIO DEPOSITO'!D212+'FOGLIO DEPOSITO'!D210)</f>
        <v>2.63</v>
      </c>
      <c r="G70" s="359">
        <f>E70*F70</f>
        <v>416.77666585194731</v>
      </c>
    </row>
    <row r="71" spans="2:7" x14ac:dyDescent="0.25">
      <c r="B71" s="531" t="str">
        <f>IF(SPINTE!C75='FOGLIO DEPOSITO'!N184," Kv x Wtot  ",IF(SPINTE!C75='FOGLIO DEPOSITO'!N181," Kv x Wtot  ",IF(SPINTE!C75='FOGLIO DEPOSITO'!N182,"Kv x Wtot  ","")))</f>
        <v xml:space="preserve"> Kv x Wtot  </v>
      </c>
      <c r="C71" s="650">
        <f>IF(SPINTE!C75='FOGLIO DEPOSITO'!N184,'ANALISI DELLE SPINTE'!E59/DATI!E263,IF(SPINTE!C75='FOGLIO DEPOSITO'!N181,'ANALISI DELLE SPINTE'!E59/DATI!E263,IF(SPINTE!C75='FOGLIO DEPOSITO'!N182,'ANALISI DELLE SPINTE'!E59/DATI!E263,"")))</f>
        <v>44.054522733837246</v>
      </c>
      <c r="D71" s="58">
        <f>IF(SPINTE!C75='FOGLIO DEPOSITO'!N184,DATI!E263,IF(SPINTE!C75='FOGLIO DEPOSITO'!N181,DATI!E263,IF(SPINTE!C75='FOGLIO DEPOSITO'!N182,DATI!E263,"")))</f>
        <v>1</v>
      </c>
      <c r="E71" s="653">
        <f>IF(SPINTE!C75='FOGLIO DEPOSITO'!N184,'VER. EQU COND. NON DRENATE'!C121*'VER. EQU COND. NON DRENATE'!D121,IF(SPINTE!C75='FOGLIO DEPOSITO'!N181,'VER. EQU COND. NON DRENATE'!C121*'VER. EQU COND. NON DRENATE'!D121,IF(SPINTE!C75='FOGLIO DEPOSITO'!N182,'VER. EQU COND. NON DRENATE'!C121*'VER. EQU COND. NON DRENATE'!D121,"")))</f>
        <v>44.054522733837246</v>
      </c>
      <c r="F71" s="420">
        <f>IF(SPINTE!C75='FOGLIO DEPOSITO'!N184,'VER. EQU COND. NON DRENATE'!C79,IF(SPINTE!C75='FOGLIO DEPOSITO'!N181,'VER. EQU COND. NON DRENATE'!C79,IF(SPINTE!C75='FOGLIO DEPOSITO'!N182,'VER. EQU COND. NON DRENATE'!C79,"")))</f>
        <v>1.9461947151714729</v>
      </c>
      <c r="G71" s="350">
        <f>IF(SPINTE!C75='FOGLIO DEPOSITO'!N184,'VER. EQU COND. NON DRENATE'!E121*'VER. EQU COND. NON DRENATE'!F121,IF(SPINTE!C75='FOGLIO DEPOSITO'!N181,'VER. EQU COND. NON DRENATE'!E121*'VER. EQU COND. NON DRENATE'!F121,IF(SPINTE!C75='FOGLIO DEPOSITO'!N182,'VER. EQU COND. NON DRENATE'!E121*'VER. EQU COND. NON DRENATE'!F121,"")))</f>
        <v>85.738679323995555</v>
      </c>
    </row>
    <row r="72" spans="2:7" x14ac:dyDescent="0.25">
      <c r="B72" s="23"/>
      <c r="C72" s="651">
        <f>SUM(C66:C71)</f>
        <v>899.4979879561281</v>
      </c>
      <c r="D72" s="23"/>
      <c r="E72" s="651">
        <f>SUM(E66:E71)</f>
        <v>899.4979879561281</v>
      </c>
      <c r="F72" s="70"/>
      <c r="G72" s="349">
        <f>SUM(G66:G71)</f>
        <v>1866.1679045322896</v>
      </c>
    </row>
    <row r="73" spans="2:7" x14ac:dyDescent="0.25">
      <c r="B73" s="23"/>
      <c r="C73" s="651"/>
      <c r="D73" s="23"/>
      <c r="E73" s="651"/>
      <c r="F73" s="422"/>
      <c r="G73" s="422"/>
    </row>
    <row r="74" spans="2:7" x14ac:dyDescent="0.25">
      <c r="B74" s="792" t="s">
        <v>1094</v>
      </c>
      <c r="C74" s="422"/>
      <c r="D74" s="422"/>
      <c r="E74" s="422"/>
      <c r="F74" s="632"/>
      <c r="G74" s="422"/>
    </row>
    <row r="75" spans="2:7" x14ac:dyDescent="0.25">
      <c r="B75" s="352" t="s">
        <v>563</v>
      </c>
      <c r="C75" s="352" t="s">
        <v>540</v>
      </c>
      <c r="D75" s="439" t="s">
        <v>548</v>
      </c>
      <c r="E75" s="356"/>
      <c r="F75" s="422"/>
      <c r="G75" s="422"/>
    </row>
    <row r="76" spans="2:7" x14ac:dyDescent="0.25">
      <c r="B76" s="353">
        <f>F60</f>
        <v>367.76933278733725</v>
      </c>
      <c r="C76" s="354">
        <f>G61</f>
        <v>673.73630342786589</v>
      </c>
      <c r="D76" s="354">
        <f>G72/DATI!E274</f>
        <v>1866.1679045322896</v>
      </c>
      <c r="E76" s="357"/>
      <c r="F76" s="422"/>
      <c r="G76" s="422"/>
    </row>
    <row r="77" spans="2:7" x14ac:dyDescent="0.25">
      <c r="B77" s="422"/>
      <c r="C77" s="422"/>
      <c r="D77" s="422"/>
      <c r="E77" s="422"/>
      <c r="F77" s="632"/>
      <c r="G77" s="632"/>
    </row>
    <row r="78" spans="2:7" ht="15.75" x14ac:dyDescent="0.25">
      <c r="B78" s="14" t="s">
        <v>564</v>
      </c>
      <c r="C78" s="422"/>
      <c r="D78" s="422"/>
      <c r="E78" s="422"/>
      <c r="F78" s="422"/>
      <c r="G78" s="632"/>
    </row>
    <row r="79" spans="2:7" x14ac:dyDescent="0.25">
      <c r="B79" s="422"/>
      <c r="C79" s="422"/>
      <c r="D79" s="422"/>
      <c r="E79" s="23"/>
      <c r="F79" s="23"/>
      <c r="G79" s="19"/>
    </row>
    <row r="80" spans="2:7" x14ac:dyDescent="0.25">
      <c r="B80" s="422"/>
      <c r="C80" s="422"/>
      <c r="D80" s="422"/>
      <c r="E80" s="23"/>
      <c r="F80" s="23"/>
      <c r="G80" s="23"/>
    </row>
    <row r="81" spans="2:7" x14ac:dyDescent="0.25">
      <c r="B81" s="422"/>
      <c r="C81" s="422"/>
      <c r="D81" s="422"/>
      <c r="E81" s="23"/>
      <c r="F81" s="23"/>
      <c r="G81" s="23"/>
    </row>
    <row r="82" spans="2:7" x14ac:dyDescent="0.25">
      <c r="B82" s="422"/>
      <c r="C82" s="124"/>
      <c r="D82" s="422"/>
      <c r="E82" s="23"/>
      <c r="F82" s="23"/>
      <c r="G82" s="23"/>
    </row>
    <row r="83" spans="2:7" x14ac:dyDescent="0.25">
      <c r="B83" s="422"/>
      <c r="C83" s="422"/>
      <c r="D83" s="422"/>
      <c r="E83" s="23"/>
      <c r="F83" s="23"/>
      <c r="G83" s="19"/>
    </row>
    <row r="84" spans="2:7" x14ac:dyDescent="0.25">
      <c r="B84" s="422"/>
      <c r="C84" s="422"/>
      <c r="D84" s="635"/>
      <c r="E84" s="23"/>
      <c r="F84" s="23"/>
      <c r="G84" s="19"/>
    </row>
    <row r="85" spans="2:7" x14ac:dyDescent="0.25">
      <c r="B85" s="422"/>
      <c r="C85" s="422"/>
      <c r="D85" s="635"/>
      <c r="E85" s="23"/>
      <c r="F85" s="19"/>
      <c r="G85" s="19"/>
    </row>
    <row r="86" spans="2:7" x14ac:dyDescent="0.25">
      <c r="B86" s="422"/>
      <c r="C86" s="422"/>
      <c r="D86" s="423"/>
      <c r="E86" s="23"/>
      <c r="F86" s="23"/>
      <c r="G86" s="23"/>
    </row>
    <row r="87" spans="2:7" x14ac:dyDescent="0.25">
      <c r="B87" s="422"/>
      <c r="C87" s="422"/>
      <c r="D87" s="422"/>
      <c r="E87" s="23"/>
      <c r="F87" s="23"/>
      <c r="G87" s="23"/>
    </row>
    <row r="88" spans="2:7" x14ac:dyDescent="0.25">
      <c r="B88" s="422"/>
      <c r="C88" s="422"/>
      <c r="D88" s="422"/>
      <c r="E88" s="23"/>
      <c r="F88" s="19"/>
      <c r="G88" s="19"/>
    </row>
    <row r="89" spans="2:7" x14ac:dyDescent="0.25">
      <c r="B89" s="422"/>
      <c r="C89" s="422"/>
      <c r="D89" s="422"/>
      <c r="E89" s="23"/>
      <c r="F89" s="23"/>
      <c r="G89" s="23"/>
    </row>
    <row r="90" spans="2:7" x14ac:dyDescent="0.25">
      <c r="B90" s="422"/>
      <c r="C90" s="422"/>
      <c r="D90" s="422"/>
      <c r="E90" s="23"/>
      <c r="F90" s="23"/>
      <c r="G90" s="23"/>
    </row>
    <row r="91" spans="2:7" x14ac:dyDescent="0.25">
      <c r="B91" s="422"/>
      <c r="C91" s="422"/>
      <c r="D91" s="422"/>
      <c r="E91" s="422"/>
      <c r="F91" s="422"/>
      <c r="G91" s="422"/>
    </row>
    <row r="92" spans="2:7" x14ac:dyDescent="0.25">
      <c r="B92" s="422"/>
      <c r="C92" s="422"/>
      <c r="D92" s="422"/>
      <c r="E92" s="422"/>
      <c r="F92" s="422"/>
      <c r="G92" s="422"/>
    </row>
    <row r="93" spans="2:7" x14ac:dyDescent="0.25">
      <c r="B93" s="422"/>
      <c r="C93" s="422"/>
      <c r="D93" s="422"/>
      <c r="E93" s="422"/>
      <c r="F93" s="73"/>
      <c r="G93" s="422"/>
    </row>
    <row r="94" spans="2:7" x14ac:dyDescent="0.25">
      <c r="B94" s="422"/>
      <c r="C94" s="422"/>
      <c r="D94" s="422"/>
      <c r="E94" s="422"/>
      <c r="F94" s="73"/>
      <c r="G94" s="422"/>
    </row>
    <row r="95" spans="2:7" x14ac:dyDescent="0.25">
      <c r="B95" s="422"/>
      <c r="C95" s="422"/>
      <c r="D95" s="422"/>
      <c r="E95" s="422"/>
      <c r="F95" s="73"/>
      <c r="G95" s="422"/>
    </row>
    <row r="96" spans="2:7" x14ac:dyDescent="0.25">
      <c r="B96" s="422"/>
      <c r="C96" s="422"/>
      <c r="D96" s="422"/>
      <c r="E96" s="422"/>
      <c r="F96" s="422"/>
      <c r="G96" s="422"/>
    </row>
    <row r="97" spans="2:7" x14ac:dyDescent="0.25">
      <c r="B97" s="422"/>
      <c r="C97" s="422"/>
      <c r="D97" s="422"/>
      <c r="E97" s="422"/>
      <c r="F97" s="422"/>
      <c r="G97" s="422"/>
    </row>
    <row r="98" spans="2:7" x14ac:dyDescent="0.25">
      <c r="B98" s="422"/>
      <c r="C98" s="422"/>
      <c r="D98" s="422"/>
      <c r="E98" s="422"/>
      <c r="F98" s="422"/>
      <c r="G98" s="422"/>
    </row>
    <row r="99" spans="2:7" x14ac:dyDescent="0.25">
      <c r="B99" s="422"/>
      <c r="C99" s="422"/>
      <c r="D99" s="422"/>
      <c r="E99" s="422"/>
      <c r="F99" s="422"/>
      <c r="G99" s="422"/>
    </row>
    <row r="100" spans="2:7" x14ac:dyDescent="0.25">
      <c r="B100" s="422"/>
      <c r="C100" s="422"/>
      <c r="D100" s="422"/>
      <c r="E100" s="422"/>
      <c r="F100" s="422"/>
      <c r="G100" s="422"/>
    </row>
    <row r="101" spans="2:7" x14ac:dyDescent="0.25">
      <c r="B101" s="422"/>
      <c r="C101" s="67"/>
      <c r="D101" s="422"/>
      <c r="E101" s="422"/>
      <c r="F101" s="422"/>
      <c r="G101" s="422"/>
    </row>
    <row r="102" spans="2:7" x14ac:dyDescent="0.25">
      <c r="B102" s="422"/>
      <c r="C102" s="422"/>
      <c r="D102" s="422"/>
      <c r="E102" s="422"/>
      <c r="F102" s="422"/>
      <c r="G102" s="422"/>
    </row>
    <row r="103" spans="2:7" x14ac:dyDescent="0.25">
      <c r="B103" s="422"/>
      <c r="C103" s="422"/>
      <c r="D103" s="422"/>
      <c r="E103" s="422"/>
      <c r="F103" s="422"/>
      <c r="G103" s="632"/>
    </row>
    <row r="104" spans="2:7" x14ac:dyDescent="0.25">
      <c r="B104" s="422"/>
      <c r="C104" s="422"/>
      <c r="D104" s="422"/>
      <c r="E104" s="422"/>
      <c r="F104" s="422"/>
      <c r="G104" s="632"/>
    </row>
    <row r="105" spans="2:7" x14ac:dyDescent="0.25">
      <c r="B105" s="422"/>
      <c r="C105" s="422"/>
      <c r="D105" s="422"/>
      <c r="E105" s="422"/>
      <c r="F105" s="422"/>
      <c r="G105" s="632"/>
    </row>
    <row r="106" spans="2:7" x14ac:dyDescent="0.25">
      <c r="B106" s="422"/>
      <c r="C106" s="422"/>
      <c r="D106" s="422"/>
      <c r="E106" s="422"/>
      <c r="F106" s="422"/>
      <c r="G106" s="632"/>
    </row>
    <row r="107" spans="2:7" x14ac:dyDescent="0.25">
      <c r="B107" s="422"/>
      <c r="C107" s="422"/>
      <c r="D107" s="422"/>
      <c r="E107" s="422"/>
      <c r="F107" s="422"/>
      <c r="G107" s="632"/>
    </row>
    <row r="108" spans="2:7" s="421" customFormat="1" x14ac:dyDescent="0.25">
      <c r="B108" s="422"/>
      <c r="C108" s="422"/>
      <c r="D108" s="422"/>
      <c r="E108" s="422"/>
      <c r="F108" s="422"/>
      <c r="G108" s="781"/>
    </row>
    <row r="109" spans="2:7" s="421" customFormat="1" x14ac:dyDescent="0.25">
      <c r="B109" s="422"/>
      <c r="C109" s="422"/>
      <c r="D109" s="422"/>
      <c r="E109" s="422"/>
      <c r="F109" s="422"/>
      <c r="G109" s="781"/>
    </row>
    <row r="110" spans="2:7" s="421" customFormat="1" x14ac:dyDescent="0.25">
      <c r="B110" s="422"/>
      <c r="C110" s="422"/>
      <c r="D110" s="422"/>
      <c r="E110" s="422"/>
      <c r="F110" s="422"/>
      <c r="G110" s="781"/>
    </row>
    <row r="111" spans="2:7" x14ac:dyDescent="0.25">
      <c r="B111" s="424" t="s">
        <v>565</v>
      </c>
      <c r="C111" s="422"/>
      <c r="D111" s="422"/>
      <c r="E111" s="422"/>
      <c r="F111" s="422"/>
      <c r="G111" s="632"/>
    </row>
    <row r="112" spans="2:7" x14ac:dyDescent="0.25">
      <c r="B112" s="422"/>
      <c r="C112" s="422"/>
      <c r="D112" s="422"/>
      <c r="E112" s="632"/>
      <c r="F112" s="634" t="s">
        <v>545</v>
      </c>
      <c r="G112" s="632"/>
    </row>
    <row r="113" spans="2:7" ht="18.75" x14ac:dyDescent="0.25">
      <c r="B113" s="363" t="s">
        <v>566</v>
      </c>
      <c r="C113" s="363"/>
      <c r="D113" s="362" t="s">
        <v>567</v>
      </c>
      <c r="E113" s="361">
        <f>DATI!E155</f>
        <v>1</v>
      </c>
      <c r="F113" s="3">
        <f>F12</f>
        <v>1</v>
      </c>
      <c r="G113" s="361">
        <f>DATI!E155*F113</f>
        <v>1</v>
      </c>
    </row>
    <row r="114" spans="2:7" ht="18.75" x14ac:dyDescent="0.25">
      <c r="B114" s="363" t="s">
        <v>568</v>
      </c>
      <c r="C114" s="363"/>
      <c r="D114" s="362" t="s">
        <v>569</v>
      </c>
      <c r="E114" s="361">
        <f>DATI!E154</f>
        <v>1</v>
      </c>
      <c r="F114" s="3">
        <f>F11</f>
        <v>1</v>
      </c>
      <c r="G114" s="361">
        <f>DATI!E154*F114</f>
        <v>1</v>
      </c>
    </row>
    <row r="115" spans="2:7" ht="18.75" x14ac:dyDescent="0.25">
      <c r="B115" s="363" t="s">
        <v>570</v>
      </c>
      <c r="C115" s="363"/>
      <c r="D115" s="362" t="s">
        <v>868</v>
      </c>
      <c r="E115" s="361">
        <f>('VER. EQU COND. NON DRENATE'!C71-'geom masse muro+tensioni'!H21*'geom masse muro+tensioni'!Q32)/('FOGLIO DEPOSITO'!D120*DATI!E61)</f>
        <v>70.340729974300245</v>
      </c>
      <c r="F115" s="3">
        <f>F10</f>
        <v>1</v>
      </c>
      <c r="G115" s="361">
        <f>'VER. EQU COND. NON DRENATE'!C71/('FOGLIO DEPOSITO'!D120*DATI!E61)*F115</f>
        <v>72.630765561488857</v>
      </c>
    </row>
    <row r="116" spans="2:7" s="421" customFormat="1" ht="18.75" x14ac:dyDescent="0.25">
      <c r="B116" s="363" t="s">
        <v>867</v>
      </c>
      <c r="C116" s="363"/>
      <c r="D116" s="362" t="s">
        <v>869</v>
      </c>
      <c r="E116" s="361">
        <f>('geom masse muro+tensioni'!H21*'geom masse muro+tensioni'!Q32)/('FOGLIO DEPOSITO'!D120*DATI!E61)</f>
        <v>2.2900355871886124</v>
      </c>
      <c r="F116" s="3">
        <f>F10</f>
        <v>1</v>
      </c>
      <c r="G116" s="361">
        <f>E116*F116</f>
        <v>2.2900355871886124</v>
      </c>
    </row>
    <row r="117" spans="2:7" ht="18.75" x14ac:dyDescent="0.25">
      <c r="B117" s="363" t="s">
        <v>571</v>
      </c>
      <c r="C117" s="363"/>
      <c r="D117" s="362" t="s">
        <v>572</v>
      </c>
      <c r="E117" s="361">
        <f>'VER. EQU COND. NON DRENATE'!F63/(('FOGLIO DEPOSITO'!D119+'FOGLIO DEPOSITO'!D120)*DATI!E61)+'VER. EQU COND. NON DRENATE'!F62/(('FOGLIO DEPOSITO'!D119+'FOGLIO DEPOSITO'!D120)*DATI!E61)</f>
        <v>17.419564999999999</v>
      </c>
      <c r="F117" s="3">
        <f>F10</f>
        <v>1</v>
      </c>
      <c r="G117" s="368">
        <f>('VER. EQU COND. NON DRENATE'!F63/(('FOGLIO DEPOSITO'!D119+'FOGLIO DEPOSITO'!D120)*DATI!E61)+'VER. EQU COND. NON DRENATE'!F62/(('FOGLIO DEPOSITO'!D119+'FOGLIO DEPOSITO'!D120)*DATI!E61))*F117</f>
        <v>17.419564999999999</v>
      </c>
    </row>
    <row r="118" spans="2:7" x14ac:dyDescent="0.25">
      <c r="B118" s="422"/>
      <c r="C118" s="422"/>
      <c r="D118" s="422"/>
      <c r="E118" s="422"/>
      <c r="F118" s="422"/>
      <c r="G118" s="422"/>
    </row>
    <row r="119" spans="2:7" x14ac:dyDescent="0.25">
      <c r="B119" s="424" t="s">
        <v>573</v>
      </c>
      <c r="C119" s="422"/>
      <c r="D119" s="422"/>
      <c r="E119" s="422"/>
      <c r="F119" s="422"/>
      <c r="G119" s="422"/>
    </row>
    <row r="120" spans="2:7" s="421" customFormat="1" x14ac:dyDescent="0.25">
      <c r="B120" s="424"/>
      <c r="C120" s="422"/>
      <c r="D120" s="422"/>
      <c r="E120" s="422"/>
      <c r="F120" s="422"/>
      <c r="G120" s="422"/>
    </row>
    <row r="121" spans="2:7" s="421" customFormat="1" x14ac:dyDescent="0.25">
      <c r="B121" s="422" t="s">
        <v>238</v>
      </c>
      <c r="C121" s="422"/>
      <c r="D121" s="422"/>
      <c r="E121" s="422"/>
      <c r="F121" s="423" t="s">
        <v>239</v>
      </c>
      <c r="G121" s="361">
        <f>E72/G133</f>
        <v>105.82329270072096</v>
      </c>
    </row>
    <row r="122" spans="2:7" s="421" customFormat="1" x14ac:dyDescent="0.25">
      <c r="B122" s="422" t="s">
        <v>240</v>
      </c>
      <c r="C122" s="422"/>
      <c r="D122" s="422"/>
      <c r="E122" s="422"/>
      <c r="F122" s="423" t="s">
        <v>243</v>
      </c>
      <c r="G122" s="361">
        <f>(1+6*G128/G131)*G121</f>
        <v>175.72951659435293</v>
      </c>
    </row>
    <row r="123" spans="2:7" s="421" customFormat="1" x14ac:dyDescent="0.25">
      <c r="B123" s="422" t="s">
        <v>242</v>
      </c>
      <c r="C123" s="422"/>
      <c r="D123" s="422"/>
      <c r="E123" s="422"/>
      <c r="F123" s="423" t="s">
        <v>241</v>
      </c>
      <c r="G123" s="361">
        <f>(1-6*G128/G131)*G121</f>
        <v>35.917068807088988</v>
      </c>
    </row>
    <row r="124" spans="2:7" s="421" customFormat="1" x14ac:dyDescent="0.25">
      <c r="B124" s="422" t="s">
        <v>834</v>
      </c>
      <c r="C124" s="422"/>
      <c r="D124" s="422"/>
      <c r="E124" s="422"/>
      <c r="F124" s="423" t="s">
        <v>833</v>
      </c>
      <c r="G124" s="361">
        <f>'FOGLIO DEPOSITO'!D129</f>
        <v>146.53338779171841</v>
      </c>
    </row>
    <row r="125" spans="2:7" s="421" customFormat="1" x14ac:dyDescent="0.25">
      <c r="B125" s="422" t="str">
        <f>IF(ABS(G128)&gt;G129,"L'asse neutro taglia la sezione","L'asse neutro cade fuori dalla sezione")</f>
        <v>L'asse neutro cade fuori dalla sezione</v>
      </c>
      <c r="C125" s="422"/>
      <c r="D125" s="422"/>
      <c r="E125" s="422"/>
      <c r="F125" s="423"/>
      <c r="G125" s="361"/>
    </row>
    <row r="126" spans="2:7" s="421" customFormat="1" x14ac:dyDescent="0.25">
      <c r="B126" s="422" t="s">
        <v>798</v>
      </c>
      <c r="C126" s="422"/>
      <c r="D126" s="422"/>
      <c r="E126" s="422"/>
      <c r="F126" s="624" t="s">
        <v>799</v>
      </c>
      <c r="G126" s="320">
        <f>'FOGLIO DEPOSITO'!I140</f>
        <v>-4.2734417848825244</v>
      </c>
    </row>
    <row r="127" spans="2:7" s="421" customFormat="1" x14ac:dyDescent="0.25">
      <c r="B127" s="422" t="s">
        <v>574</v>
      </c>
      <c r="C127" s="422"/>
      <c r="D127" s="422"/>
      <c r="E127" s="422"/>
      <c r="F127" s="432" t="s">
        <v>575</v>
      </c>
      <c r="G127" s="320">
        <f>(D76-C76)/E72</f>
        <v>1.3256634445774693</v>
      </c>
    </row>
    <row r="128" spans="2:7" s="421" customFormat="1" x14ac:dyDescent="0.25">
      <c r="B128" s="422" t="s">
        <v>576</v>
      </c>
      <c r="C128" s="422"/>
      <c r="D128" s="422"/>
      <c r="E128" s="422"/>
      <c r="F128" s="67" t="s">
        <v>577</v>
      </c>
      <c r="G128" s="320">
        <f>G131/2-G127</f>
        <v>0.37433655542253064</v>
      </c>
    </row>
    <row r="129" spans="2:7" x14ac:dyDescent="0.25">
      <c r="B129" s="422" t="s">
        <v>578</v>
      </c>
      <c r="C129" s="422"/>
      <c r="D129" s="422"/>
      <c r="E129" s="422"/>
      <c r="F129" s="624" t="s">
        <v>579</v>
      </c>
      <c r="G129" s="176">
        <f>G131/6</f>
        <v>0.56666666666666665</v>
      </c>
    </row>
    <row r="130" spans="2:7" x14ac:dyDescent="0.25">
      <c r="B130" s="422"/>
      <c r="C130" s="422"/>
      <c r="D130" s="422"/>
      <c r="E130" s="422"/>
      <c r="F130" s="624"/>
      <c r="G130" s="176"/>
    </row>
    <row r="131" spans="2:7" x14ac:dyDescent="0.25">
      <c r="B131" s="422" t="s">
        <v>580</v>
      </c>
      <c r="C131" s="422"/>
      <c r="D131" s="422"/>
      <c r="E131" s="422"/>
      <c r="F131" s="624" t="s">
        <v>581</v>
      </c>
      <c r="G131" s="320">
        <f>'FOGLIO DEPOSITO'!D211+'FOGLIO DEPOSITO'!D212+'geom masse muro+tensioni'!S58</f>
        <v>3.4</v>
      </c>
    </row>
    <row r="132" spans="2:7" x14ac:dyDescent="0.25">
      <c r="B132" s="422" t="s">
        <v>582</v>
      </c>
      <c r="C132" s="422"/>
      <c r="D132" s="422"/>
      <c r="E132" s="422"/>
      <c r="F132" s="624" t="s">
        <v>583</v>
      </c>
      <c r="G132" s="320">
        <f>DATI!E61</f>
        <v>2.5</v>
      </c>
    </row>
    <row r="133" spans="2:7" x14ac:dyDescent="0.25">
      <c r="B133" s="422" t="s">
        <v>584</v>
      </c>
      <c r="C133" s="422"/>
      <c r="D133" s="422"/>
      <c r="E133" s="422"/>
      <c r="F133" s="624" t="s">
        <v>585</v>
      </c>
      <c r="G133" s="632">
        <f>(DATI!E75+'FOGLIO DEPOSITO'!D212+'FOGLIO DEPOSITO'!D211)*DATI!E61</f>
        <v>8.5</v>
      </c>
    </row>
    <row r="134" spans="2:7" x14ac:dyDescent="0.25">
      <c r="B134" s="422"/>
      <c r="C134" s="422"/>
      <c r="D134" s="422"/>
      <c r="E134" s="422"/>
      <c r="F134" s="422"/>
      <c r="G134" s="422"/>
    </row>
    <row r="135" spans="2:7" x14ac:dyDescent="0.25">
      <c r="B135" s="422"/>
      <c r="C135" s="422"/>
      <c r="D135" s="422"/>
      <c r="E135" s="422"/>
      <c r="F135" s="422"/>
      <c r="G135" s="422"/>
    </row>
    <row r="136" spans="2:7" ht="15.75" x14ac:dyDescent="0.25">
      <c r="B136" s="14" t="s">
        <v>586</v>
      </c>
      <c r="C136" s="422"/>
      <c r="D136" s="422"/>
      <c r="E136" s="422"/>
      <c r="F136" s="422"/>
      <c r="G136" s="422"/>
    </row>
    <row r="137" spans="2:7" x14ac:dyDescent="0.25">
      <c r="B137" s="422"/>
      <c r="C137" s="422"/>
      <c r="D137" s="422"/>
      <c r="E137" s="422"/>
      <c r="F137" s="422"/>
      <c r="G137" s="422"/>
    </row>
    <row r="138" spans="2:7" x14ac:dyDescent="0.25">
      <c r="B138" s="422"/>
      <c r="C138" s="422"/>
      <c r="D138" s="422"/>
      <c r="E138" s="422"/>
      <c r="F138" s="422"/>
      <c r="G138" s="422"/>
    </row>
    <row r="139" spans="2:7" x14ac:dyDescent="0.25">
      <c r="B139" s="422"/>
      <c r="C139" s="422"/>
      <c r="D139" s="422"/>
      <c r="E139" s="422"/>
      <c r="F139" s="422"/>
      <c r="G139" s="422"/>
    </row>
    <row r="140" spans="2:7" x14ac:dyDescent="0.25">
      <c r="B140" s="422"/>
      <c r="C140" s="422"/>
      <c r="D140" s="422"/>
      <c r="E140" s="422"/>
      <c r="F140" s="422"/>
      <c r="G140" s="422"/>
    </row>
    <row r="141" spans="2:7" x14ac:dyDescent="0.25">
      <c r="B141" s="422"/>
      <c r="C141" s="422"/>
      <c r="D141" s="422"/>
      <c r="E141" s="422"/>
      <c r="F141" s="422"/>
      <c r="G141" s="422"/>
    </row>
    <row r="142" spans="2:7" x14ac:dyDescent="0.25">
      <c r="B142" s="422"/>
      <c r="C142" s="422"/>
      <c r="D142" s="422"/>
      <c r="E142" s="422"/>
      <c r="F142" s="422"/>
      <c r="G142" s="422"/>
    </row>
    <row r="143" spans="2:7" x14ac:dyDescent="0.25">
      <c r="B143" s="422"/>
      <c r="C143" s="422"/>
      <c r="D143" s="422"/>
      <c r="E143" s="422"/>
      <c r="F143" s="23"/>
      <c r="G143" s="23"/>
    </row>
    <row r="144" spans="2:7" x14ac:dyDescent="0.25">
      <c r="B144" s="422"/>
      <c r="C144" s="422"/>
      <c r="D144" s="422"/>
      <c r="E144" s="23"/>
      <c r="F144" s="640"/>
      <c r="G144" s="23"/>
    </row>
    <row r="145" spans="1:7" x14ac:dyDescent="0.25">
      <c r="B145" s="422"/>
      <c r="C145" s="422"/>
      <c r="D145" s="422"/>
      <c r="E145" s="23"/>
      <c r="F145" s="640"/>
      <c r="G145" s="23"/>
    </row>
    <row r="146" spans="1:7" x14ac:dyDescent="0.25">
      <c r="B146" s="422"/>
      <c r="C146" s="422"/>
      <c r="D146" s="422"/>
      <c r="E146" s="422"/>
      <c r="F146" s="23"/>
      <c r="G146" s="23"/>
    </row>
    <row r="147" spans="1:7" x14ac:dyDescent="0.25">
      <c r="B147" s="422"/>
      <c r="C147" s="422"/>
      <c r="D147" s="422"/>
      <c r="E147" s="422"/>
      <c r="F147" s="23"/>
      <c r="G147" s="23"/>
    </row>
    <row r="148" spans="1:7" x14ac:dyDescent="0.25">
      <c r="A148" s="2"/>
      <c r="B148" s="422"/>
      <c r="C148" s="422"/>
      <c r="D148" s="422"/>
      <c r="E148" s="422"/>
      <c r="F148" s="422"/>
      <c r="G148" s="422"/>
    </row>
    <row r="149" spans="1:7" x14ac:dyDescent="0.25">
      <c r="A149" s="2"/>
      <c r="B149" s="422"/>
      <c r="C149" s="422"/>
      <c r="D149" s="422"/>
      <c r="E149" s="422"/>
      <c r="F149" s="422"/>
      <c r="G149" s="422"/>
    </row>
    <row r="150" spans="1:7" x14ac:dyDescent="0.25">
      <c r="A150" s="2"/>
      <c r="B150" s="422"/>
      <c r="C150" s="422"/>
      <c r="D150" s="422"/>
      <c r="E150" s="422"/>
      <c r="F150" s="422"/>
      <c r="G150" s="422"/>
    </row>
    <row r="151" spans="1:7" x14ac:dyDescent="0.25">
      <c r="A151" s="2"/>
      <c r="B151" s="422"/>
      <c r="C151" s="422"/>
      <c r="D151" s="422"/>
      <c r="E151" s="422"/>
      <c r="F151" s="422"/>
      <c r="G151" s="422"/>
    </row>
    <row r="152" spans="1:7" x14ac:dyDescent="0.25">
      <c r="A152" s="2"/>
      <c r="B152" s="422"/>
      <c r="C152" s="422"/>
      <c r="D152" s="422"/>
      <c r="E152" s="422"/>
      <c r="F152" s="422"/>
      <c r="G152" s="422"/>
    </row>
    <row r="153" spans="1:7" x14ac:dyDescent="0.25">
      <c r="A153" s="2"/>
      <c r="B153" s="422"/>
      <c r="C153" s="422"/>
      <c r="D153" s="422"/>
      <c r="E153" s="422"/>
      <c r="F153" s="422"/>
      <c r="G153" s="422"/>
    </row>
    <row r="154" spans="1:7" x14ac:dyDescent="0.25">
      <c r="A154" s="2"/>
      <c r="B154" s="422"/>
      <c r="C154" s="422"/>
      <c r="D154" s="422"/>
      <c r="E154" s="422"/>
      <c r="F154" s="422"/>
      <c r="G154" s="422"/>
    </row>
    <row r="155" spans="1:7" x14ac:dyDescent="0.25">
      <c r="A155" s="2"/>
      <c r="B155" s="422"/>
      <c r="C155" s="422"/>
      <c r="D155" s="422"/>
      <c r="E155" s="422"/>
      <c r="F155" s="422"/>
      <c r="G155" s="422"/>
    </row>
    <row r="156" spans="1:7" x14ac:dyDescent="0.25">
      <c r="A156" s="2"/>
      <c r="B156" s="422"/>
      <c r="C156" s="422"/>
      <c r="D156" s="422"/>
      <c r="E156" s="422"/>
      <c r="F156" s="422"/>
      <c r="G156" s="422"/>
    </row>
    <row r="157" spans="1:7" x14ac:dyDescent="0.25">
      <c r="A157" s="2"/>
      <c r="B157" s="422"/>
      <c r="C157" s="422"/>
      <c r="D157" s="422"/>
      <c r="E157" s="422"/>
      <c r="F157" s="422"/>
      <c r="G157" s="422"/>
    </row>
    <row r="158" spans="1:7" x14ac:dyDescent="0.25">
      <c r="A158" s="2"/>
      <c r="B158" s="422"/>
      <c r="C158" s="422"/>
      <c r="D158" s="422"/>
      <c r="E158" s="422"/>
      <c r="F158" s="422"/>
      <c r="G158" s="422"/>
    </row>
    <row r="159" spans="1:7" x14ac:dyDescent="0.25">
      <c r="A159" s="2"/>
      <c r="B159" s="422"/>
      <c r="C159" s="422"/>
      <c r="D159" s="422"/>
      <c r="E159" s="422"/>
      <c r="F159" s="422"/>
      <c r="G159" s="422"/>
    </row>
    <row r="160" spans="1:7" x14ac:dyDescent="0.25">
      <c r="A160" s="2"/>
      <c r="B160" s="422"/>
      <c r="C160" s="422"/>
      <c r="D160" s="422"/>
      <c r="E160" s="422"/>
      <c r="F160" s="422"/>
      <c r="G160" s="422"/>
    </row>
    <row r="161" spans="1:7" x14ac:dyDescent="0.25">
      <c r="A161" s="2"/>
      <c r="B161" s="422"/>
      <c r="C161" s="422"/>
      <c r="D161" s="422"/>
      <c r="E161" s="422"/>
      <c r="F161" s="422"/>
      <c r="G161" s="422"/>
    </row>
    <row r="162" spans="1:7" x14ac:dyDescent="0.25">
      <c r="A162" s="2"/>
      <c r="B162" s="422"/>
      <c r="C162" s="422"/>
      <c r="D162" s="422"/>
      <c r="E162" s="422"/>
      <c r="F162" s="422"/>
      <c r="G162" s="422"/>
    </row>
    <row r="163" spans="1:7" x14ac:dyDescent="0.25">
      <c r="A163" s="2"/>
      <c r="B163" s="422"/>
      <c r="C163" s="422"/>
      <c r="D163" s="422"/>
      <c r="E163" s="422"/>
      <c r="F163" s="422"/>
      <c r="G163" s="422"/>
    </row>
    <row r="164" spans="1:7" s="421" customFormat="1" x14ac:dyDescent="0.25">
      <c r="A164" s="422"/>
      <c r="B164" s="422"/>
      <c r="C164" s="422"/>
      <c r="D164" s="422"/>
      <c r="E164" s="422"/>
      <c r="F164" s="422"/>
      <c r="G164" s="422"/>
    </row>
    <row r="165" spans="1:7" s="421" customFormat="1" x14ac:dyDescent="0.25">
      <c r="A165" s="422"/>
      <c r="B165" s="424" t="s">
        <v>1089</v>
      </c>
      <c r="C165" s="422"/>
      <c r="D165" s="422"/>
      <c r="E165" s="422"/>
      <c r="F165" s="422"/>
      <c r="G165" s="422"/>
    </row>
    <row r="166" spans="1:7" s="421" customFormat="1" x14ac:dyDescent="0.25">
      <c r="A166" s="422"/>
      <c r="B166" s="422"/>
      <c r="C166" s="422"/>
      <c r="D166" s="422"/>
      <c r="E166" s="422"/>
      <c r="F166" s="422"/>
      <c r="G166" s="422"/>
    </row>
    <row r="167" spans="1:7" s="421" customFormat="1" x14ac:dyDescent="0.25">
      <c r="A167" s="422"/>
      <c r="B167" s="780" t="str">
        <f>IF(DATI!G211="SX","LATO TERRENO","LATO VALLE")</f>
        <v>LATO VALLE</v>
      </c>
      <c r="C167" s="780" t="str">
        <f>IF(DATI!G211="DX","LATO TERRENO","LATO VALLE")</f>
        <v>LATO TERRENO</v>
      </c>
      <c r="D167" s="422"/>
      <c r="E167" s="422"/>
      <c r="F167" s="422"/>
      <c r="G167" s="422"/>
    </row>
    <row r="168" spans="1:7" s="421" customFormat="1" x14ac:dyDescent="0.25">
      <c r="A168" s="422"/>
      <c r="B168" s="780" t="s">
        <v>1086</v>
      </c>
      <c r="C168" s="780" t="s">
        <v>1087</v>
      </c>
      <c r="D168" s="422"/>
      <c r="E168" s="422"/>
      <c r="F168" s="422"/>
      <c r="G168" s="422"/>
    </row>
    <row r="169" spans="1:7" s="421" customFormat="1" x14ac:dyDescent="0.25">
      <c r="A169" s="422"/>
      <c r="B169" s="790">
        <f>DATI!E75+DATI!E62/2</f>
        <v>0.71</v>
      </c>
      <c r="C169" s="790">
        <f>G131-B169</f>
        <v>2.69</v>
      </c>
      <c r="D169" s="422"/>
      <c r="E169" s="422"/>
      <c r="F169" s="422"/>
      <c r="G169" s="422"/>
    </row>
    <row r="170" spans="1:7" s="421" customFormat="1" x14ac:dyDescent="0.25">
      <c r="A170" s="422"/>
      <c r="B170" s="422"/>
      <c r="C170" s="422"/>
      <c r="D170" s="422"/>
      <c r="E170" s="422"/>
      <c r="F170" s="422"/>
      <c r="G170" s="422"/>
    </row>
    <row r="171" spans="1:7" s="421" customFormat="1" x14ac:dyDescent="0.25">
      <c r="A171" s="422"/>
      <c r="B171" s="424" t="s">
        <v>1090</v>
      </c>
      <c r="C171" s="422"/>
      <c r="D171" s="422"/>
      <c r="E171" s="422"/>
      <c r="F171" s="422"/>
      <c r="G171" s="422"/>
    </row>
    <row r="172" spans="1:7" s="421" customFormat="1" x14ac:dyDescent="0.25">
      <c r="A172" s="422"/>
      <c r="B172" s="422"/>
      <c r="C172" s="422"/>
      <c r="D172" s="422"/>
      <c r="E172" s="422"/>
      <c r="F172" s="422"/>
      <c r="G172" s="422"/>
    </row>
    <row r="173" spans="1:7" s="421" customFormat="1" x14ac:dyDescent="0.25">
      <c r="A173" s="422"/>
      <c r="B173" s="881" t="str">
        <f>IF(DATI!G211="DX","LATO TERRENO","LATO VALLE")</f>
        <v>LATO TERRENO</v>
      </c>
      <c r="C173" s="623" t="s">
        <v>587</v>
      </c>
      <c r="D173" s="367">
        <f>'FOGLIO DEPOSITO'!F157</f>
        <v>-102.98447529171841</v>
      </c>
      <c r="E173" s="422"/>
      <c r="F173" s="422"/>
      <c r="G173" s="422"/>
    </row>
    <row r="174" spans="1:7" s="421" customFormat="1" x14ac:dyDescent="0.25">
      <c r="A174" s="422"/>
      <c r="B174" s="881"/>
      <c r="C174" s="623" t="s">
        <v>588</v>
      </c>
      <c r="D174" s="367">
        <f>'FOGLIO DEPOSITO'!C159</f>
        <v>-194.20875759663315</v>
      </c>
      <c r="E174" s="422"/>
      <c r="F174" s="422"/>
      <c r="G174" s="422"/>
    </row>
    <row r="175" spans="1:7" s="421" customFormat="1" x14ac:dyDescent="0.25">
      <c r="A175" s="422"/>
      <c r="B175" s="10"/>
      <c r="C175" s="632"/>
      <c r="D175" s="632"/>
      <c r="E175" s="422"/>
      <c r="F175" s="422"/>
      <c r="G175" s="422"/>
    </row>
    <row r="176" spans="1:7" x14ac:dyDescent="0.25">
      <c r="A176" s="2"/>
      <c r="B176" s="881" t="str">
        <f>IF(DATI!G211="SX","LATO TERRENO","LATO VALLE")</f>
        <v>LATO VALLE</v>
      </c>
      <c r="C176" s="623" t="s">
        <v>587</v>
      </c>
      <c r="D176" s="367">
        <f>'FOGLIO DEPOSITO'!E152</f>
        <v>83.592438612003718</v>
      </c>
      <c r="E176" s="422"/>
      <c r="F176" s="422"/>
      <c r="G176" s="422"/>
    </row>
    <row r="177" spans="1:7" x14ac:dyDescent="0.25">
      <c r="A177" s="2"/>
      <c r="B177" s="881"/>
      <c r="C177" s="623" t="s">
        <v>588</v>
      </c>
      <c r="D177" s="367">
        <f>'FOGLIO DEPOSITO'!G150</f>
        <v>126.4555151263814</v>
      </c>
      <c r="E177" s="422"/>
      <c r="F177" s="422"/>
      <c r="G177" s="422"/>
    </row>
    <row r="178" spans="1:7" x14ac:dyDescent="0.25">
      <c r="A178" s="2"/>
      <c r="E178" s="423"/>
    </row>
    <row r="179" spans="1:7" x14ac:dyDescent="0.25">
      <c r="A179" s="2"/>
      <c r="E179" s="423"/>
    </row>
    <row r="180" spans="1:7" ht="15.75" x14ac:dyDescent="0.25">
      <c r="A180" s="2"/>
      <c r="B180" s="14" t="s">
        <v>1091</v>
      </c>
      <c r="E180" s="422"/>
    </row>
    <row r="181" spans="1:7" s="421" customFormat="1" ht="15.75" x14ac:dyDescent="0.25">
      <c r="A181" s="422"/>
      <c r="B181" s="14"/>
      <c r="E181" s="422"/>
      <c r="F181" s="32"/>
    </row>
    <row r="182" spans="1:7" s="421" customFormat="1" ht="15.75" x14ac:dyDescent="0.25">
      <c r="A182" s="422"/>
      <c r="B182" s="1052" t="s">
        <v>1100</v>
      </c>
      <c r="C182" s="1052"/>
      <c r="D182" s="1052"/>
      <c r="E182" s="1052"/>
      <c r="F182" s="799">
        <f>DATI!E61</f>
        <v>2.5</v>
      </c>
    </row>
    <row r="183" spans="1:7" x14ac:dyDescent="0.25">
      <c r="A183" s="2"/>
      <c r="E183" s="423"/>
      <c r="F183" s="791"/>
      <c r="G183" s="422"/>
    </row>
    <row r="184" spans="1:7" x14ac:dyDescent="0.25">
      <c r="A184" s="2"/>
      <c r="B184" s="424" t="s">
        <v>1092</v>
      </c>
      <c r="E184" s="423"/>
      <c r="F184" s="422"/>
      <c r="G184" s="632"/>
    </row>
    <row r="185" spans="1:7" x14ac:dyDescent="0.25">
      <c r="A185" s="2"/>
      <c r="B185" s="422"/>
      <c r="C185" s="422"/>
      <c r="D185" s="422"/>
      <c r="E185" s="422"/>
      <c r="F185" s="632"/>
      <c r="G185" s="632"/>
    </row>
    <row r="186" spans="1:7" s="421" customFormat="1" x14ac:dyDescent="0.25">
      <c r="A186" s="422"/>
      <c r="B186" s="881" t="str">
        <f>B173</f>
        <v>LATO TERRENO</v>
      </c>
      <c r="C186" s="782" t="s">
        <v>1082</v>
      </c>
      <c r="D186" s="1050">
        <f>MINA(ABS(D173),ABS(D174))*IF(B186=C167,C169,B169)+MAXA(ABS(D173),ABS(D174))*IF(B186=C167,C169,B169)/2</f>
        <v>538.23901750219409</v>
      </c>
      <c r="E186" s="422"/>
      <c r="F186" s="781"/>
      <c r="G186" s="781"/>
    </row>
    <row r="187" spans="1:7" x14ac:dyDescent="0.25">
      <c r="A187" s="2"/>
      <c r="B187" s="881"/>
      <c r="C187" s="783" t="s">
        <v>587</v>
      </c>
      <c r="D187" s="1051"/>
      <c r="E187" s="422"/>
      <c r="F187" s="422"/>
      <c r="G187" s="422"/>
    </row>
    <row r="188" spans="1:7" x14ac:dyDescent="0.25">
      <c r="A188" s="2"/>
      <c r="B188" s="10"/>
      <c r="C188" s="781"/>
      <c r="D188" s="781"/>
      <c r="E188" s="422"/>
      <c r="F188" s="422"/>
    </row>
    <row r="189" spans="1:7" x14ac:dyDescent="0.25">
      <c r="A189" s="2"/>
      <c r="B189" s="881" t="str">
        <f>B176</f>
        <v>LATO VALLE</v>
      </c>
      <c r="C189" s="782" t="s">
        <v>1082</v>
      </c>
      <c r="D189" s="1050">
        <f>MINA(ABS(D176),ABS(D177))*IF(B189=C167,C169,B169)+MAXA(ABS(D176),ABS(D177))*IF(B189=C167,C169,B169)/2</f>
        <v>104.24233928438804</v>
      </c>
      <c r="E189" s="422"/>
      <c r="F189" s="422"/>
    </row>
    <row r="190" spans="1:7" x14ac:dyDescent="0.25">
      <c r="A190" s="2"/>
      <c r="B190" s="881"/>
      <c r="C190" s="783" t="s">
        <v>587</v>
      </c>
      <c r="D190" s="1051"/>
      <c r="E190" s="422"/>
      <c r="F190" s="422"/>
    </row>
    <row r="191" spans="1:7" x14ac:dyDescent="0.25">
      <c r="A191" s="2"/>
      <c r="E191" s="422"/>
      <c r="F191" s="422"/>
    </row>
    <row r="192" spans="1:7" x14ac:dyDescent="0.25">
      <c r="A192" s="2"/>
      <c r="E192" s="422"/>
      <c r="F192" s="422"/>
    </row>
    <row r="193" spans="1:7" x14ac:dyDescent="0.25">
      <c r="A193" s="2"/>
      <c r="B193" s="424" t="s">
        <v>1106</v>
      </c>
      <c r="C193" s="422"/>
      <c r="D193" s="422"/>
      <c r="E193" s="422"/>
      <c r="F193" s="422"/>
      <c r="G193" s="422"/>
    </row>
    <row r="194" spans="1:7" x14ac:dyDescent="0.25">
      <c r="A194" s="2"/>
      <c r="B194" s="422"/>
      <c r="C194" s="422"/>
      <c r="D194" s="422"/>
      <c r="E194" s="422"/>
      <c r="F194" s="422"/>
      <c r="G194" s="422"/>
    </row>
    <row r="195" spans="1:7" x14ac:dyDescent="0.25">
      <c r="A195" s="2"/>
      <c r="B195" s="881" t="str">
        <f>B186</f>
        <v>LATO TERRENO</v>
      </c>
      <c r="C195" s="782" t="s">
        <v>1088</v>
      </c>
      <c r="D195" s="1048">
        <f>MINA(ABS(D173),ABS(D174))*IF(B186=C167,C169,B169)^2/2+MAXA(ABS(D173),ABS(D174))*IF(B186=C167,C169,B169)^2/6</f>
        <v>606.82197930336793</v>
      </c>
      <c r="E195" s="422"/>
      <c r="F195" s="422"/>
      <c r="G195" s="422"/>
    </row>
    <row r="196" spans="1:7" x14ac:dyDescent="0.25">
      <c r="A196" s="2"/>
      <c r="B196" s="881"/>
      <c r="C196" s="783" t="s">
        <v>587</v>
      </c>
      <c r="D196" s="1049"/>
      <c r="E196" s="422"/>
      <c r="F196" s="422"/>
      <c r="G196" s="422"/>
    </row>
    <row r="197" spans="1:7" x14ac:dyDescent="0.25">
      <c r="A197" s="2"/>
      <c r="B197" s="10"/>
      <c r="C197" s="781"/>
      <c r="D197" s="781"/>
      <c r="E197" s="422"/>
      <c r="F197" s="422"/>
      <c r="G197" s="422"/>
    </row>
    <row r="198" spans="1:7" x14ac:dyDescent="0.25">
      <c r="A198" s="2"/>
      <c r="B198" s="881" t="str">
        <f>B189</f>
        <v>LATO VALLE</v>
      </c>
      <c r="C198" s="782" t="s">
        <v>1088</v>
      </c>
      <c r="D198" s="1048">
        <f>MINA(ABS(D176),ABS(D177))*IF(B189=C167,C169,B169)^2/2+MAXA(ABS(D176),ABS(D177))*IF(B189=C167,C169,B169)^2/6</f>
        <v>31.693845014690346</v>
      </c>
      <c r="E198" s="422"/>
      <c r="F198" s="422"/>
      <c r="G198" s="422"/>
    </row>
    <row r="199" spans="1:7" x14ac:dyDescent="0.25">
      <c r="A199" s="2"/>
      <c r="B199" s="881"/>
      <c r="C199" s="783" t="s">
        <v>587</v>
      </c>
      <c r="D199" s="1049"/>
      <c r="E199" s="422"/>
      <c r="F199" s="422"/>
      <c r="G199" s="422"/>
    </row>
    <row r="200" spans="1:7" x14ac:dyDescent="0.25">
      <c r="A200" s="2"/>
      <c r="B200" s="422"/>
      <c r="C200" s="422"/>
      <c r="D200" s="422"/>
      <c r="E200" s="422"/>
      <c r="F200" s="422"/>
      <c r="G200" s="422"/>
    </row>
    <row r="201" spans="1:7" x14ac:dyDescent="0.25">
      <c r="A201" s="2"/>
      <c r="B201" s="422"/>
      <c r="C201" s="422"/>
      <c r="D201" s="422"/>
      <c r="E201" s="422"/>
      <c r="F201" s="422"/>
      <c r="G201" s="422"/>
    </row>
    <row r="202" spans="1:7" x14ac:dyDescent="0.25">
      <c r="A202" s="2"/>
      <c r="B202" s="422"/>
      <c r="C202" s="422"/>
      <c r="D202" s="422"/>
      <c r="E202" s="422"/>
      <c r="F202" s="422"/>
      <c r="G202" s="422"/>
    </row>
    <row r="203" spans="1:7" x14ac:dyDescent="0.25">
      <c r="A203" s="2"/>
      <c r="B203" s="422"/>
      <c r="C203" s="422"/>
      <c r="D203" s="422"/>
      <c r="E203" s="422"/>
      <c r="F203" s="422"/>
      <c r="G203" s="422"/>
    </row>
    <row r="204" spans="1:7" x14ac:dyDescent="0.25">
      <c r="A204" s="2"/>
      <c r="B204" s="422"/>
      <c r="C204" s="422"/>
      <c r="D204" s="422"/>
      <c r="E204" s="422"/>
      <c r="F204" s="422"/>
      <c r="G204" s="422"/>
    </row>
    <row r="205" spans="1:7" x14ac:dyDescent="0.25">
      <c r="A205" s="2"/>
      <c r="B205" s="422"/>
      <c r="C205" s="422"/>
      <c r="D205" s="422"/>
      <c r="E205" s="422"/>
      <c r="F205" s="422"/>
      <c r="G205" s="422"/>
    </row>
    <row r="206" spans="1:7" x14ac:dyDescent="0.25">
      <c r="A206" s="2"/>
      <c r="B206" s="422"/>
      <c r="C206" s="422"/>
      <c r="D206" s="422"/>
      <c r="E206" s="422"/>
      <c r="F206" s="422"/>
      <c r="G206" s="422"/>
    </row>
    <row r="207" spans="1:7" x14ac:dyDescent="0.25">
      <c r="A207" s="2"/>
      <c r="B207" s="422"/>
      <c r="C207" s="422"/>
      <c r="D207" s="422"/>
      <c r="E207" s="422"/>
      <c r="F207" s="422"/>
      <c r="G207" s="422"/>
    </row>
    <row r="208" spans="1:7" x14ac:dyDescent="0.25">
      <c r="A208" s="2"/>
      <c r="B208" s="422"/>
      <c r="C208" s="422"/>
      <c r="D208" s="422"/>
      <c r="E208" s="422"/>
      <c r="F208" s="422"/>
      <c r="G208" s="422"/>
    </row>
    <row r="209" spans="1:7" x14ac:dyDescent="0.25">
      <c r="A209" s="2"/>
      <c r="B209" s="422"/>
      <c r="C209" s="422"/>
      <c r="D209" s="422"/>
      <c r="E209" s="422"/>
      <c r="F209" s="422"/>
      <c r="G209" s="422"/>
    </row>
    <row r="210" spans="1:7" x14ac:dyDescent="0.25">
      <c r="A210" s="2"/>
      <c r="B210" s="422"/>
      <c r="C210" s="422"/>
      <c r="D210" s="422"/>
      <c r="E210" s="422"/>
      <c r="F210" s="422"/>
      <c r="G210" s="422"/>
    </row>
    <row r="211" spans="1:7" x14ac:dyDescent="0.25">
      <c r="A211" s="2"/>
      <c r="B211" s="422"/>
      <c r="C211" s="422"/>
      <c r="D211" s="422"/>
      <c r="E211" s="422"/>
      <c r="F211" s="422"/>
      <c r="G211" s="422"/>
    </row>
    <row r="212" spans="1:7" x14ac:dyDescent="0.25">
      <c r="A212" s="2"/>
      <c r="B212" s="422"/>
      <c r="C212" s="422"/>
      <c r="D212" s="422"/>
      <c r="E212" s="422"/>
      <c r="F212" s="422"/>
      <c r="G212" s="422"/>
    </row>
    <row r="213" spans="1:7" x14ac:dyDescent="0.25">
      <c r="A213" s="2"/>
      <c r="B213" s="422"/>
      <c r="C213" s="422"/>
      <c r="D213" s="422"/>
      <c r="E213" s="422"/>
      <c r="F213" s="422"/>
      <c r="G213" s="422"/>
    </row>
    <row r="214" spans="1:7" x14ac:dyDescent="0.25">
      <c r="A214" s="2"/>
      <c r="B214" s="422"/>
      <c r="C214" s="422"/>
      <c r="D214" s="422"/>
      <c r="E214" s="422"/>
      <c r="F214" s="422"/>
      <c r="G214" s="422"/>
    </row>
    <row r="215" spans="1:7" x14ac:dyDescent="0.25">
      <c r="A215" s="2"/>
      <c r="B215" s="422"/>
      <c r="C215" s="422"/>
      <c r="D215" s="422"/>
      <c r="E215" s="422"/>
      <c r="F215" s="422"/>
      <c r="G215" s="422"/>
    </row>
    <row r="216" spans="1:7" x14ac:dyDescent="0.25">
      <c r="A216" s="2"/>
      <c r="B216" s="422"/>
      <c r="C216" s="422"/>
      <c r="D216" s="422"/>
      <c r="E216" s="422"/>
      <c r="F216" s="422"/>
      <c r="G216" s="422"/>
    </row>
    <row r="217" spans="1:7" x14ac:dyDescent="0.25">
      <c r="A217" s="2"/>
      <c r="B217" s="422"/>
      <c r="C217" s="422"/>
      <c r="D217" s="422"/>
      <c r="E217" s="422"/>
      <c r="F217" s="422"/>
      <c r="G217" s="422"/>
    </row>
    <row r="218" spans="1:7" x14ac:dyDescent="0.25">
      <c r="A218" s="2"/>
      <c r="B218" s="422"/>
      <c r="C218" s="422"/>
      <c r="D218" s="422"/>
      <c r="E218" s="422"/>
      <c r="F218" s="422"/>
      <c r="G218" s="422"/>
    </row>
    <row r="219" spans="1:7" x14ac:dyDescent="0.25">
      <c r="A219" s="2"/>
      <c r="B219" s="422"/>
      <c r="C219" s="422"/>
      <c r="D219" s="422"/>
      <c r="E219" s="422"/>
      <c r="F219" s="422"/>
      <c r="G219" s="422"/>
    </row>
    <row r="220" spans="1:7" x14ac:dyDescent="0.25">
      <c r="A220" s="2"/>
      <c r="B220" s="422"/>
      <c r="C220" s="422"/>
      <c r="D220" s="422"/>
      <c r="E220" s="422"/>
      <c r="F220" s="422"/>
      <c r="G220" s="422"/>
    </row>
    <row r="221" spans="1:7" x14ac:dyDescent="0.25">
      <c r="A221" s="2"/>
    </row>
    <row r="222" spans="1:7" x14ac:dyDescent="0.25">
      <c r="A222" s="2"/>
    </row>
    <row r="223" spans="1:7" x14ac:dyDescent="0.25">
      <c r="A223" s="2"/>
    </row>
    <row r="224" spans="1:7" x14ac:dyDescent="0.25">
      <c r="A224" s="2"/>
    </row>
    <row r="225" spans="1:1" x14ac:dyDescent="0.25">
      <c r="A225" s="2"/>
    </row>
    <row r="226" spans="1:1" x14ac:dyDescent="0.25">
      <c r="A226" s="2"/>
    </row>
    <row r="227" spans="1:1" x14ac:dyDescent="0.25">
      <c r="A227" s="2"/>
    </row>
    <row r="228" spans="1:1" x14ac:dyDescent="0.25">
      <c r="A228" s="2"/>
    </row>
    <row r="229" spans="1:1" x14ac:dyDescent="0.25">
      <c r="A229" s="2"/>
    </row>
    <row r="230" spans="1:1" x14ac:dyDescent="0.25">
      <c r="A230" s="2"/>
    </row>
    <row r="231" spans="1:1" x14ac:dyDescent="0.25">
      <c r="A231" s="2"/>
    </row>
    <row r="232" spans="1:1" x14ac:dyDescent="0.25">
      <c r="A232" s="2"/>
    </row>
    <row r="233" spans="1:1" x14ac:dyDescent="0.25">
      <c r="A233" s="2"/>
    </row>
    <row r="234" spans="1:1" x14ac:dyDescent="0.25">
      <c r="A234" s="2"/>
    </row>
    <row r="235" spans="1:1" x14ac:dyDescent="0.25">
      <c r="A235" s="2"/>
    </row>
    <row r="236" spans="1:1" x14ac:dyDescent="0.25">
      <c r="A236" s="2"/>
    </row>
    <row r="237" spans="1:1" x14ac:dyDescent="0.25">
      <c r="A237" s="2"/>
    </row>
    <row r="238" spans="1:1" x14ac:dyDescent="0.25">
      <c r="A238" s="2"/>
    </row>
    <row r="239" spans="1:1" x14ac:dyDescent="0.25">
      <c r="A239" s="2"/>
    </row>
    <row r="240" spans="1:1" x14ac:dyDescent="0.25">
      <c r="A240" s="2"/>
    </row>
    <row r="241" spans="1:1" x14ac:dyDescent="0.25">
      <c r="A241" s="2"/>
    </row>
    <row r="242" spans="1:1" x14ac:dyDescent="0.25">
      <c r="A242" s="2"/>
    </row>
    <row r="243" spans="1:1" x14ac:dyDescent="0.25">
      <c r="A243" s="2"/>
    </row>
    <row r="244" spans="1:1" x14ac:dyDescent="0.25">
      <c r="A244" s="2"/>
    </row>
    <row r="245" spans="1:1" x14ac:dyDescent="0.25">
      <c r="A245" s="2"/>
    </row>
    <row r="246" spans="1:1" x14ac:dyDescent="0.25">
      <c r="A246" s="2"/>
    </row>
    <row r="247" spans="1:1" x14ac:dyDescent="0.25">
      <c r="A247" s="2"/>
    </row>
    <row r="248" spans="1:1" x14ac:dyDescent="0.25">
      <c r="A248" s="2"/>
    </row>
    <row r="249" spans="1:1" x14ac:dyDescent="0.25">
      <c r="A249" s="2"/>
    </row>
    <row r="250" spans="1:1" x14ac:dyDescent="0.25">
      <c r="A250" s="2"/>
    </row>
    <row r="251" spans="1:1" x14ac:dyDescent="0.25">
      <c r="A251" s="2"/>
    </row>
    <row r="252" spans="1:1" x14ac:dyDescent="0.25">
      <c r="A252" s="2"/>
    </row>
    <row r="253" spans="1:1" x14ac:dyDescent="0.25">
      <c r="A253" s="2"/>
    </row>
    <row r="254" spans="1:1" x14ac:dyDescent="0.25">
      <c r="A254" s="2"/>
    </row>
    <row r="255" spans="1:1" x14ac:dyDescent="0.25">
      <c r="A255" s="2"/>
    </row>
    <row r="256" spans="1:1" x14ac:dyDescent="0.25">
      <c r="A256" s="2"/>
    </row>
    <row r="257" spans="1:1" x14ac:dyDescent="0.25">
      <c r="A257" s="2"/>
    </row>
    <row r="258" spans="1:1" x14ac:dyDescent="0.25">
      <c r="A258" s="2"/>
    </row>
    <row r="259" spans="1:1" ht="16.5" customHeight="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7" x14ac:dyDescent="0.25">
      <c r="A273" s="2"/>
    </row>
    <row r="274" spans="1:7" x14ac:dyDescent="0.25">
      <c r="A274" s="2"/>
    </row>
    <row r="275" spans="1:7" x14ac:dyDescent="0.25">
      <c r="A275" s="2"/>
    </row>
    <row r="276" spans="1:7" x14ac:dyDescent="0.25">
      <c r="A276" s="2"/>
    </row>
    <row r="277" spans="1:7" x14ac:dyDescent="0.25">
      <c r="A277" s="2"/>
    </row>
    <row r="278" spans="1:7" x14ac:dyDescent="0.25">
      <c r="A278" s="2"/>
    </row>
    <row r="279" spans="1:7" x14ac:dyDescent="0.25">
      <c r="A279" s="2"/>
    </row>
    <row r="280" spans="1:7" x14ac:dyDescent="0.25">
      <c r="A280" s="2"/>
    </row>
    <row r="281" spans="1:7" x14ac:dyDescent="0.25">
      <c r="A281" s="2"/>
    </row>
    <row r="282" spans="1:7" x14ac:dyDescent="0.25">
      <c r="A282" s="2"/>
    </row>
    <row r="283" spans="1:7" x14ac:dyDescent="0.25">
      <c r="A283" s="2"/>
    </row>
    <row r="284" spans="1:7" x14ac:dyDescent="0.25">
      <c r="A284" s="2"/>
    </row>
    <row r="285" spans="1:7" x14ac:dyDescent="0.25">
      <c r="A285" s="2"/>
      <c r="B285" s="2"/>
      <c r="C285" s="2"/>
      <c r="D285" s="2"/>
      <c r="E285" s="2"/>
      <c r="F285" s="2"/>
      <c r="G285" s="2"/>
    </row>
    <row r="286" spans="1:7" x14ac:dyDescent="0.25">
      <c r="A286" s="2"/>
      <c r="B286" s="2"/>
      <c r="C286" s="2"/>
      <c r="D286" s="2"/>
      <c r="E286" s="2"/>
      <c r="F286" s="2"/>
      <c r="G286" s="2"/>
    </row>
    <row r="287" spans="1:7" x14ac:dyDescent="0.25">
      <c r="A287" s="2"/>
      <c r="B287" s="2"/>
      <c r="C287" s="2"/>
      <c r="D287" s="2"/>
      <c r="E287" s="2"/>
      <c r="F287" s="2"/>
      <c r="G287" s="2"/>
    </row>
    <row r="288" spans="1:7" x14ac:dyDescent="0.25">
      <c r="A288" s="2"/>
      <c r="B288" s="2"/>
      <c r="C288" s="2"/>
      <c r="D288" s="2"/>
      <c r="E288" s="2"/>
      <c r="F288" s="2"/>
      <c r="G288" s="2"/>
    </row>
    <row r="289" spans="1:7" x14ac:dyDescent="0.25">
      <c r="A289" s="2"/>
      <c r="B289" s="2"/>
      <c r="C289" s="2"/>
      <c r="D289" s="2"/>
      <c r="E289" s="2"/>
      <c r="F289" s="2"/>
      <c r="G289" s="2"/>
    </row>
    <row r="290" spans="1:7" x14ac:dyDescent="0.25">
      <c r="A290" s="2"/>
      <c r="B290" s="2"/>
      <c r="C290" s="2"/>
      <c r="D290" s="2"/>
      <c r="E290" s="2"/>
      <c r="F290" s="2"/>
      <c r="G290" s="2"/>
    </row>
    <row r="291" spans="1:7" x14ac:dyDescent="0.25">
      <c r="A291" s="2"/>
      <c r="B291" s="2"/>
      <c r="C291" s="2"/>
      <c r="D291" s="2"/>
      <c r="E291" s="2"/>
      <c r="F291" s="2"/>
      <c r="G291" s="2"/>
    </row>
    <row r="292" spans="1:7" x14ac:dyDescent="0.25">
      <c r="A292" s="2"/>
      <c r="B292" s="2"/>
      <c r="C292" s="2"/>
      <c r="D292" s="2"/>
      <c r="E292" s="2"/>
      <c r="F292" s="2"/>
      <c r="G292" s="2"/>
    </row>
    <row r="293" spans="1:7" x14ac:dyDescent="0.25">
      <c r="A293" s="2"/>
      <c r="B293" s="2"/>
      <c r="C293" s="2"/>
      <c r="D293" s="2"/>
      <c r="E293" s="2"/>
      <c r="F293" s="2"/>
      <c r="G293" s="2"/>
    </row>
    <row r="294" spans="1:7" x14ac:dyDescent="0.25">
      <c r="A294" s="2"/>
      <c r="B294" s="2"/>
      <c r="C294" s="2"/>
      <c r="D294" s="2"/>
      <c r="E294" s="2"/>
      <c r="F294" s="2"/>
      <c r="G294" s="2"/>
    </row>
    <row r="295" spans="1:7" x14ac:dyDescent="0.25">
      <c r="A295" s="2"/>
      <c r="B295" s="2"/>
      <c r="C295" s="2"/>
      <c r="D295" s="2"/>
      <c r="E295" s="2"/>
      <c r="F295" s="2"/>
      <c r="G295" s="2"/>
    </row>
    <row r="296" spans="1:7" x14ac:dyDescent="0.25">
      <c r="A296" s="2"/>
      <c r="B296" s="2"/>
      <c r="C296" s="2"/>
      <c r="D296" s="2"/>
      <c r="E296" s="2"/>
      <c r="F296" s="2"/>
      <c r="G296" s="2"/>
    </row>
    <row r="297" spans="1:7" x14ac:dyDescent="0.25">
      <c r="A297" s="2"/>
      <c r="B297" s="2"/>
      <c r="C297" s="2"/>
      <c r="D297" s="2"/>
      <c r="E297" s="2"/>
      <c r="F297" s="2"/>
      <c r="G297" s="2"/>
    </row>
    <row r="298" spans="1:7" x14ac:dyDescent="0.25">
      <c r="A298" s="2"/>
      <c r="B298" s="2"/>
      <c r="C298" s="2"/>
      <c r="D298" s="2"/>
      <c r="E298" s="2"/>
      <c r="F298" s="2"/>
      <c r="G298" s="2"/>
    </row>
    <row r="299" spans="1:7" x14ac:dyDescent="0.25">
      <c r="A299" s="2"/>
      <c r="B299" s="2"/>
      <c r="C299" s="2"/>
      <c r="D299" s="2"/>
      <c r="E299" s="2"/>
      <c r="F299" s="2"/>
      <c r="G299" s="2"/>
    </row>
    <row r="300" spans="1:7" x14ac:dyDescent="0.25">
      <c r="A300" s="2"/>
      <c r="B300" s="2"/>
      <c r="C300" s="2"/>
      <c r="D300" s="2"/>
      <c r="E300" s="2"/>
      <c r="F300" s="2"/>
      <c r="G300" s="2"/>
    </row>
    <row r="301" spans="1:7" x14ac:dyDescent="0.25">
      <c r="A301" s="2"/>
      <c r="B301" s="2"/>
      <c r="C301" s="2"/>
      <c r="D301" s="2"/>
      <c r="E301" s="2"/>
      <c r="F301" s="2"/>
      <c r="G301" s="2"/>
    </row>
    <row r="302" spans="1:7" x14ac:dyDescent="0.25">
      <c r="A302" s="2"/>
      <c r="B302" s="2"/>
      <c r="C302" s="2"/>
      <c r="D302" s="2"/>
      <c r="E302" s="2"/>
      <c r="F302" s="2"/>
      <c r="G302" s="2"/>
    </row>
    <row r="303" spans="1:7" x14ac:dyDescent="0.25">
      <c r="A303" s="2"/>
      <c r="B303" s="2"/>
      <c r="C303" s="2"/>
      <c r="D303" s="2"/>
      <c r="E303" s="2"/>
      <c r="F303" s="2"/>
      <c r="G303" s="2"/>
    </row>
    <row r="304" spans="1:7" x14ac:dyDescent="0.25">
      <c r="A304" s="2"/>
      <c r="B304" s="2"/>
      <c r="C304" s="2"/>
      <c r="D304" s="2"/>
      <c r="E304" s="2"/>
      <c r="F304" s="2"/>
      <c r="G304" s="2"/>
    </row>
    <row r="305" spans="1:7" x14ac:dyDescent="0.25">
      <c r="A305" s="2"/>
      <c r="B305" s="2"/>
      <c r="C305" s="2"/>
      <c r="D305" s="2"/>
      <c r="E305" s="2"/>
      <c r="F305" s="2"/>
      <c r="G305" s="2"/>
    </row>
    <row r="306" spans="1:7" x14ac:dyDescent="0.25">
      <c r="A306" s="2"/>
      <c r="B306" s="2"/>
      <c r="C306" s="2"/>
      <c r="D306" s="2"/>
      <c r="E306" s="2"/>
      <c r="F306" s="2"/>
      <c r="G306" s="2"/>
    </row>
    <row r="307" spans="1:7" x14ac:dyDescent="0.25">
      <c r="A307" s="2"/>
      <c r="B307" s="2"/>
      <c r="C307" s="2"/>
      <c r="D307" s="2"/>
      <c r="E307" s="2"/>
      <c r="F307" s="2"/>
      <c r="G307" s="2"/>
    </row>
    <row r="308" spans="1:7" x14ac:dyDescent="0.25">
      <c r="A308" s="2"/>
      <c r="B308" s="2"/>
      <c r="C308" s="2"/>
      <c r="D308" s="2"/>
      <c r="E308" s="2"/>
      <c r="F308" s="2"/>
      <c r="G308" s="2"/>
    </row>
    <row r="309" spans="1:7" x14ac:dyDescent="0.25">
      <c r="A309" s="2"/>
      <c r="B309" s="2"/>
      <c r="C309" s="2"/>
      <c r="D309" s="2"/>
      <c r="E309" s="2"/>
      <c r="F309" s="2"/>
      <c r="G309" s="2"/>
    </row>
    <row r="310" spans="1:7" x14ac:dyDescent="0.25">
      <c r="A310" s="2"/>
      <c r="B310" s="2"/>
      <c r="C310" s="2"/>
      <c r="D310" s="2"/>
      <c r="E310" s="2"/>
      <c r="F310" s="2"/>
      <c r="G310" s="2"/>
    </row>
    <row r="311" spans="1:7" x14ac:dyDescent="0.25">
      <c r="A311" s="2"/>
      <c r="B311" s="2"/>
      <c r="C311" s="2"/>
      <c r="D311" s="2"/>
      <c r="E311" s="2"/>
      <c r="F311" s="2"/>
      <c r="G311" s="2"/>
    </row>
    <row r="312" spans="1:7" x14ac:dyDescent="0.25">
      <c r="A312" s="2"/>
      <c r="B312" s="2"/>
      <c r="C312" s="2"/>
      <c r="D312" s="2"/>
      <c r="E312" s="2"/>
      <c r="F312" s="2"/>
      <c r="G312" s="2"/>
    </row>
    <row r="313" spans="1:7" x14ac:dyDescent="0.25">
      <c r="A313" s="2"/>
      <c r="B313" s="2"/>
      <c r="C313" s="2"/>
      <c r="D313" s="2"/>
      <c r="E313" s="2"/>
      <c r="F313" s="2"/>
      <c r="G313" s="2"/>
    </row>
    <row r="314" spans="1:7" x14ac:dyDescent="0.25">
      <c r="A314" s="2"/>
      <c r="B314" s="2"/>
      <c r="C314" s="2"/>
      <c r="D314" s="2"/>
      <c r="E314" s="2"/>
      <c r="F314" s="2"/>
      <c r="G314" s="2"/>
    </row>
    <row r="315" spans="1:7" x14ac:dyDescent="0.25">
      <c r="A315" s="2"/>
      <c r="B315" s="2"/>
      <c r="C315" s="2"/>
      <c r="D315" s="2"/>
      <c r="E315" s="2"/>
      <c r="F315" s="2"/>
      <c r="G315" s="2"/>
    </row>
    <row r="316" spans="1:7" x14ac:dyDescent="0.25">
      <c r="A316" s="2"/>
      <c r="B316" s="2"/>
      <c r="C316" s="2"/>
      <c r="D316" s="2"/>
      <c r="E316" s="2"/>
      <c r="F316" s="2"/>
      <c r="G316" s="2"/>
    </row>
    <row r="317" spans="1:7" x14ac:dyDescent="0.25">
      <c r="A317" s="2"/>
      <c r="B317" s="2"/>
      <c r="C317" s="2"/>
      <c r="D317" s="2"/>
      <c r="E317" s="2"/>
      <c r="F317" s="2"/>
      <c r="G317" s="2"/>
    </row>
    <row r="318" spans="1:7" x14ac:dyDescent="0.25">
      <c r="A318" s="2"/>
      <c r="B318" s="2"/>
      <c r="C318" s="2"/>
      <c r="D318" s="2"/>
      <c r="E318" s="2"/>
      <c r="F318" s="2"/>
      <c r="G318" s="2"/>
    </row>
    <row r="319" spans="1:7" x14ac:dyDescent="0.25">
      <c r="A319" s="2"/>
      <c r="B319" s="2"/>
      <c r="C319" s="2"/>
      <c r="D319" s="2"/>
      <c r="E319" s="2"/>
      <c r="F319" s="2"/>
      <c r="G319" s="2"/>
    </row>
    <row r="320" spans="1:7" x14ac:dyDescent="0.25">
      <c r="A320" s="2"/>
      <c r="B320" s="2"/>
      <c r="C320" s="2"/>
      <c r="D320" s="2"/>
      <c r="E320" s="2"/>
      <c r="F320" s="2"/>
      <c r="G320" s="2"/>
    </row>
    <row r="321" spans="1:7" x14ac:dyDescent="0.25">
      <c r="A321" s="2"/>
      <c r="B321" s="2"/>
      <c r="C321" s="2"/>
      <c r="D321" s="2"/>
      <c r="E321" s="2"/>
      <c r="F321" s="2"/>
      <c r="G321" s="2"/>
    </row>
    <row r="322" spans="1:7" x14ac:dyDescent="0.25">
      <c r="A322" s="2"/>
      <c r="B322" s="2"/>
      <c r="C322" s="2"/>
      <c r="D322" s="2"/>
      <c r="E322" s="2"/>
      <c r="F322" s="2"/>
      <c r="G322" s="2"/>
    </row>
    <row r="323" spans="1:7" x14ac:dyDescent="0.25">
      <c r="A323" s="2"/>
      <c r="B323" s="2"/>
      <c r="C323" s="2"/>
      <c r="D323" s="2"/>
      <c r="E323" s="2"/>
      <c r="F323" s="2"/>
      <c r="G323" s="2"/>
    </row>
    <row r="324" spans="1:7" x14ac:dyDescent="0.25">
      <c r="A324" s="2"/>
      <c r="B324" s="2"/>
      <c r="C324" s="2"/>
      <c r="D324" s="2"/>
      <c r="E324" s="2"/>
      <c r="F324" s="2"/>
      <c r="G324" s="2"/>
    </row>
    <row r="325" spans="1:7" x14ac:dyDescent="0.25">
      <c r="A325" s="2"/>
      <c r="B325" s="2"/>
      <c r="C325" s="2"/>
      <c r="D325" s="2"/>
      <c r="E325" s="2"/>
      <c r="F325" s="2"/>
      <c r="G325" s="2"/>
    </row>
    <row r="326" spans="1:7" x14ac:dyDescent="0.25">
      <c r="A326" s="2"/>
      <c r="B326" s="2"/>
      <c r="C326" s="2"/>
      <c r="D326" s="2"/>
      <c r="E326" s="2"/>
      <c r="F326" s="2"/>
      <c r="G326" s="2"/>
    </row>
    <row r="327" spans="1:7" x14ac:dyDescent="0.25">
      <c r="A327" s="2"/>
      <c r="B327" s="2"/>
      <c r="C327" s="2"/>
      <c r="D327" s="2"/>
      <c r="E327" s="2"/>
      <c r="F327" s="2"/>
      <c r="G327" s="2"/>
    </row>
    <row r="328" spans="1:7" x14ac:dyDescent="0.25">
      <c r="A328" s="2"/>
      <c r="B328" s="2"/>
      <c r="C328" s="2"/>
      <c r="D328" s="2"/>
      <c r="E328" s="2"/>
      <c r="F328" s="2"/>
      <c r="G328" s="2"/>
    </row>
    <row r="329" spans="1:7" x14ac:dyDescent="0.25">
      <c r="A329" s="2"/>
      <c r="B329" s="2"/>
      <c r="C329" s="2"/>
      <c r="D329" s="2"/>
      <c r="E329" s="2"/>
      <c r="F329" s="2"/>
      <c r="G329" s="2"/>
    </row>
    <row r="330" spans="1:7" x14ac:dyDescent="0.25">
      <c r="A330" s="2"/>
      <c r="B330" s="2"/>
      <c r="C330" s="2"/>
      <c r="D330" s="2"/>
      <c r="E330" s="2"/>
      <c r="F330" s="2"/>
      <c r="G330" s="2"/>
    </row>
    <row r="331" spans="1:7" x14ac:dyDescent="0.25">
      <c r="A331" s="2"/>
      <c r="B331" s="2"/>
      <c r="C331" s="2"/>
      <c r="D331" s="2"/>
      <c r="E331" s="2"/>
      <c r="F331" s="2"/>
      <c r="G331" s="2"/>
    </row>
    <row r="332" spans="1:7" x14ac:dyDescent="0.25">
      <c r="A332" s="2"/>
      <c r="B332" s="2"/>
      <c r="C332" s="2"/>
      <c r="D332" s="2"/>
      <c r="E332" s="2"/>
      <c r="F332" s="2"/>
      <c r="G332" s="2"/>
    </row>
    <row r="333" spans="1:7" x14ac:dyDescent="0.25">
      <c r="A333" s="2"/>
      <c r="B333" s="2"/>
      <c r="C333" s="2"/>
      <c r="D333" s="2"/>
      <c r="E333" s="2"/>
      <c r="F333" s="2"/>
      <c r="G333" s="2"/>
    </row>
    <row r="334" spans="1:7" x14ac:dyDescent="0.25">
      <c r="A334" s="2"/>
      <c r="B334" s="2"/>
      <c r="C334" s="2"/>
      <c r="D334" s="2"/>
      <c r="E334" s="2"/>
      <c r="F334" s="2"/>
      <c r="G334" s="2"/>
    </row>
    <row r="335" spans="1:7" x14ac:dyDescent="0.25">
      <c r="A335" s="2"/>
      <c r="B335" s="2"/>
      <c r="C335" s="2"/>
      <c r="D335" s="2"/>
      <c r="E335" s="2"/>
      <c r="F335" s="2"/>
      <c r="G335" s="2"/>
    </row>
    <row r="336" spans="1:7" x14ac:dyDescent="0.25">
      <c r="A336" s="2"/>
      <c r="B336" s="2"/>
      <c r="C336" s="2"/>
      <c r="D336" s="2"/>
      <c r="E336" s="2"/>
      <c r="F336" s="2"/>
      <c r="G336" s="2"/>
    </row>
    <row r="337" spans="1:7" x14ac:dyDescent="0.25">
      <c r="A337" s="2"/>
      <c r="B337" s="2"/>
      <c r="C337" s="2"/>
      <c r="D337" s="2"/>
      <c r="E337" s="2"/>
      <c r="F337" s="2"/>
      <c r="G337" s="2"/>
    </row>
    <row r="338" spans="1:7" x14ac:dyDescent="0.25">
      <c r="A338" s="2"/>
      <c r="B338" s="2"/>
      <c r="C338" s="2"/>
      <c r="D338" s="2"/>
      <c r="E338" s="2"/>
      <c r="F338" s="2"/>
      <c r="G338" s="2"/>
    </row>
    <row r="339" spans="1:7" x14ac:dyDescent="0.25">
      <c r="A339" s="2"/>
      <c r="B339" s="2"/>
      <c r="C339" s="2"/>
      <c r="D339" s="2"/>
      <c r="E339" s="2"/>
      <c r="F339" s="2"/>
      <c r="G339" s="2"/>
    </row>
    <row r="340" spans="1:7" x14ac:dyDescent="0.25">
      <c r="A340" s="2"/>
      <c r="B340" s="2"/>
      <c r="C340" s="2"/>
      <c r="D340" s="2"/>
      <c r="E340" s="2"/>
      <c r="F340" s="2"/>
      <c r="G340" s="2"/>
    </row>
    <row r="341" spans="1:7" x14ac:dyDescent="0.25">
      <c r="A341" s="2"/>
      <c r="B341" s="2"/>
      <c r="C341" s="2"/>
      <c r="D341" s="2"/>
      <c r="E341" s="2"/>
      <c r="F341" s="2"/>
      <c r="G341" s="2"/>
    </row>
  </sheetData>
  <sheetProtection algorithmName="SHA-512" hashValue="FeqLIyR93uCSdd/ZBFcC1u8yRLt+ID5kPq4JBC6p9Z5vTlRxUBAsIyh5PxZ/QN9axHQrCmzOwqVKGyB7jly7+Q==" saltValue="HLTitQtsT1VL8l5I+JakpA==" spinCount="100000" sheet="1" objects="1" scenarios="1" selectLockedCells="1" selectUnlockedCells="1"/>
  <protectedRanges>
    <protectedRange sqref="F47:F48 F50 F35:F36" name="Intervallo1_5_1"/>
  </protectedRanges>
  <customSheetViews>
    <customSheetView guid="{101D851C-E4EE-4443-B6A9-9040ACB2A650}" scale="90" showGridLines="0" showRowCol="0" fitToPage="1">
      <selection activeCell="G46" sqref="G46:I46"/>
      <pageMargins left="0.7" right="0.7" top="0.75" bottom="0.75" header="0.3" footer="0.3"/>
      <pageSetup paperSize="9" scale="91" fitToHeight="0" orientation="portrait" r:id="rId1"/>
    </customSheetView>
  </customSheetViews>
  <mergeCells count="16">
    <mergeCell ref="B182:E182"/>
    <mergeCell ref="D6:E6"/>
    <mergeCell ref="B173:B174"/>
    <mergeCell ref="B176:B177"/>
    <mergeCell ref="B7:C7"/>
    <mergeCell ref="B57:C57"/>
    <mergeCell ref="B63:C63"/>
    <mergeCell ref="B6:C6"/>
    <mergeCell ref="B198:B199"/>
    <mergeCell ref="D198:D199"/>
    <mergeCell ref="D189:D190"/>
    <mergeCell ref="B186:B187"/>
    <mergeCell ref="B189:B190"/>
    <mergeCell ref="D186:D187"/>
    <mergeCell ref="B195:B196"/>
    <mergeCell ref="D195:D196"/>
  </mergeCells>
  <pageMargins left="0.7" right="0.7" top="0.75" bottom="0.75" header="0.3" footer="0.3"/>
  <pageSetup paperSize="9" scale="91" fitToHeight="0"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621"/>
  <sheetViews>
    <sheetView showGridLines="0" showRowColHeaders="0" workbookViewId="0">
      <selection activeCell="G46" sqref="G46:I46"/>
    </sheetView>
  </sheetViews>
  <sheetFormatPr defaultRowHeight="15" x14ac:dyDescent="0.25"/>
  <cols>
    <col min="7" max="7" width="11.140625" customWidth="1"/>
    <col min="8" max="8" width="17.5703125" customWidth="1"/>
    <col min="9" max="9" width="10.5703125" customWidth="1"/>
  </cols>
  <sheetData>
    <row r="1" spans="1:19" x14ac:dyDescent="0.25">
      <c r="A1" s="422"/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</row>
    <row r="2" spans="1:19" x14ac:dyDescent="0.25">
      <c r="A2" s="422"/>
      <c r="B2" s="1055" t="s">
        <v>703</v>
      </c>
      <c r="C2" s="1055"/>
      <c r="D2" s="641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</row>
    <row r="3" spans="1:19" x14ac:dyDescent="0.25">
      <c r="A3" s="422"/>
      <c r="B3" s="299" t="s">
        <v>704</v>
      </c>
      <c r="C3" s="623" t="s">
        <v>705</v>
      </c>
      <c r="D3" s="19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</row>
    <row r="4" spans="1:19" x14ac:dyDescent="0.25">
      <c r="A4" s="422"/>
      <c r="B4" s="299" t="s">
        <v>706</v>
      </c>
      <c r="C4" s="623" t="s">
        <v>707</v>
      </c>
      <c r="D4" s="19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</row>
    <row r="5" spans="1:19" x14ac:dyDescent="0.25">
      <c r="A5" s="422"/>
      <c r="B5" s="625">
        <v>0</v>
      </c>
      <c r="C5" s="638">
        <f>1/DATI!$E$38*IF(B5&lt;DATI!$E$45,DATI!$E$32*DATI!$E$42*DATI!$E$49*DATI!$E$33*(B5/DATI!$E$45+1/(DATI!$E$49*DATI!$E$33)*(1-B5/DATI!$E$45)),IF(B5&lt;DATI!$E$46,DATI!$E$32*DATI!$E$42*DATI!$E$49*DATI!$E$33,IF(B5&lt;DATI!$E$47,DATI!$E$32*DATI!$E$42*DATI!$E$49*DATI!$E$33*(DATI!$E$46/B5),DATI!$E$32*DATI!$E$42*DATI!$E$49*DATI!$E$33*((DATI!$E$46*DATI!$E$47)/B5^2))))</f>
        <v>0.41340086552174221</v>
      </c>
      <c r="D5" s="300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</row>
    <row r="6" spans="1:19" x14ac:dyDescent="0.25">
      <c r="A6" s="422"/>
      <c r="B6" s="625">
        <f t="shared" ref="B6:B69" si="0">0.01+B5</f>
        <v>0.01</v>
      </c>
      <c r="C6" s="638">
        <f>1/DATI!$E$38*IF(B6&lt;DATI!$E$45,DATI!$E$32*DATI!$E$42*DATI!$E$49*DATI!$E$33*(B6/DATI!$E$45+1/(DATI!$E$49*DATI!$E$33)*(1-B6/DATI!$E$45)),IF(B6&lt;DATI!$E$46,DATI!$E$32*DATI!$E$42*DATI!$E$49*DATI!$E$33,IF(B6&lt;DATI!$E$47,DATI!$E$32*DATI!$E$42*DATI!$E$49*DATI!$E$33*(DATI!$E$46/B6),DATI!$E$32*DATI!$E$42*DATI!$E$49*DATI!$E$33*((DATI!$E$46*DATI!$E$47)/B6^2))))</f>
        <v>0.44119642581803903</v>
      </c>
      <c r="D6" s="300"/>
      <c r="E6" s="422"/>
      <c r="F6" s="422"/>
      <c r="G6" s="422"/>
      <c r="H6" s="422"/>
      <c r="I6" s="422"/>
      <c r="J6" s="422"/>
      <c r="K6" s="422"/>
      <c r="L6" s="422"/>
      <c r="M6" s="422"/>
      <c r="N6" s="422"/>
      <c r="O6" s="422"/>
      <c r="P6" s="422"/>
      <c r="Q6" s="422"/>
      <c r="R6" s="422"/>
      <c r="S6" s="422"/>
    </row>
    <row r="7" spans="1:19" x14ac:dyDescent="0.25">
      <c r="A7" s="422"/>
      <c r="B7" s="625">
        <f t="shared" si="0"/>
        <v>0.02</v>
      </c>
      <c r="C7" s="638">
        <f>1/DATI!$E$38*IF(B7&lt;DATI!$E$45,DATI!$E$32*DATI!$E$42*DATI!$E$49*DATI!$E$33*(B7/DATI!$E$45+1/(DATI!$E$49*DATI!$E$33)*(1-B7/DATI!$E$45)),IF(B7&lt;DATI!$E$46,DATI!$E$32*DATI!$E$42*DATI!$E$49*DATI!$E$33,IF(B7&lt;DATI!$E$47,DATI!$E$32*DATI!$E$42*DATI!$E$49*DATI!$E$33*(DATI!$E$46/B7),DATI!$E$32*DATI!$E$42*DATI!$E$49*DATI!$E$33*((DATI!$E$46*DATI!$E$47)/B7^2))))</f>
        <v>0.46899198611433596</v>
      </c>
      <c r="D7" s="300"/>
      <c r="E7" s="422"/>
      <c r="F7" s="422"/>
      <c r="G7" s="422"/>
      <c r="H7" s="422"/>
      <c r="I7" s="422"/>
      <c r="J7" s="422"/>
      <c r="K7" s="422"/>
      <c r="L7" s="422"/>
      <c r="M7" s="422"/>
      <c r="N7" s="422"/>
      <c r="O7" s="422"/>
      <c r="P7" s="422"/>
      <c r="Q7" s="422"/>
      <c r="R7" s="422"/>
      <c r="S7" s="422"/>
    </row>
    <row r="8" spans="1:19" x14ac:dyDescent="0.25">
      <c r="A8" s="422"/>
      <c r="B8" s="625">
        <f t="shared" si="0"/>
        <v>0.03</v>
      </c>
      <c r="C8" s="638">
        <f>1/DATI!$E$38*IF(B8&lt;DATI!$E$45,DATI!$E$32*DATI!$E$42*DATI!$E$49*DATI!$E$33*(B8/DATI!$E$45+1/(DATI!$E$49*DATI!$E$33)*(1-B8/DATI!$E$45)),IF(B8&lt;DATI!$E$46,DATI!$E$32*DATI!$E$42*DATI!$E$49*DATI!$E$33,IF(B8&lt;DATI!$E$47,DATI!$E$32*DATI!$E$42*DATI!$E$49*DATI!$E$33*(DATI!$E$46/B8),DATI!$E$32*DATI!$E$42*DATI!$E$49*DATI!$E$33*((DATI!$E$46*DATI!$E$47)/B8^2))))</f>
        <v>0.49678754641063272</v>
      </c>
      <c r="D8" s="300"/>
      <c r="E8" s="23"/>
      <c r="F8" s="422"/>
      <c r="G8" s="422"/>
      <c r="H8" s="422"/>
      <c r="I8" s="422"/>
      <c r="J8" s="422"/>
      <c r="K8" s="422"/>
      <c r="L8" s="422"/>
      <c r="M8" s="422"/>
      <c r="N8" s="422"/>
      <c r="O8" s="422"/>
      <c r="P8" s="422"/>
      <c r="Q8" s="422"/>
      <c r="R8" s="422"/>
      <c r="S8" s="422"/>
    </row>
    <row r="9" spans="1:19" x14ac:dyDescent="0.25">
      <c r="A9" s="422"/>
      <c r="B9" s="625">
        <f t="shared" si="0"/>
        <v>0.04</v>
      </c>
      <c r="C9" s="638">
        <f>1/DATI!$E$38*IF(B9&lt;DATI!$E$45,DATI!$E$32*DATI!$E$42*DATI!$E$49*DATI!$E$33*(B9/DATI!$E$45+1/(DATI!$E$49*DATI!$E$33)*(1-B9/DATI!$E$45)),IF(B9&lt;DATI!$E$46,DATI!$E$32*DATI!$E$42*DATI!$E$49*DATI!$E$33,IF(B9&lt;DATI!$E$47,DATI!$E$32*DATI!$E$42*DATI!$E$49*DATI!$E$33*(DATI!$E$46/B9),DATI!$E$32*DATI!$E$42*DATI!$E$49*DATI!$E$33*((DATI!$E$46*DATI!$E$47)/B9^2))))</f>
        <v>0.52458310670692965</v>
      </c>
      <c r="D9" s="300"/>
      <c r="E9" s="422"/>
      <c r="F9" s="422"/>
      <c r="G9" s="422"/>
      <c r="H9" s="422"/>
      <c r="I9" s="422"/>
      <c r="J9" s="422"/>
      <c r="K9" s="422"/>
      <c r="L9" s="422"/>
      <c r="M9" s="422"/>
      <c r="N9" s="422"/>
      <c r="O9" s="422"/>
      <c r="P9" s="422"/>
      <c r="Q9" s="422"/>
      <c r="R9" s="422"/>
      <c r="S9" s="422"/>
    </row>
    <row r="10" spans="1:19" x14ac:dyDescent="0.25">
      <c r="A10" s="422"/>
      <c r="B10" s="625">
        <f t="shared" si="0"/>
        <v>0.05</v>
      </c>
      <c r="C10" s="638">
        <f>1/DATI!$E$38*IF(B10&lt;DATI!$E$45,DATI!$E$32*DATI!$E$42*DATI!$E$49*DATI!$E$33*(B10/DATI!$E$45+1/(DATI!$E$49*DATI!$E$33)*(1-B10/DATI!$E$45)),IF(B10&lt;DATI!$E$46,DATI!$E$32*DATI!$E$42*DATI!$E$49*DATI!$E$33,IF(B10&lt;DATI!$E$47,DATI!$E$32*DATI!$E$42*DATI!$E$49*DATI!$E$33*(DATI!$E$46/B10),DATI!$E$32*DATI!$E$42*DATI!$E$49*DATI!$E$33*((DATI!$E$46*DATI!$E$47)/B10^2))))</f>
        <v>0.55237866700322658</v>
      </c>
      <c r="D10" s="300"/>
      <c r="E10" s="422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</row>
    <row r="11" spans="1:19" x14ac:dyDescent="0.25">
      <c r="A11" s="422"/>
      <c r="B11" s="625">
        <f t="shared" si="0"/>
        <v>6.0000000000000005E-2</v>
      </c>
      <c r="C11" s="638">
        <f>1/DATI!$E$38*IF(B11&lt;DATI!$E$45,DATI!$E$32*DATI!$E$42*DATI!$E$49*DATI!$E$33*(B11/DATI!$E$45+1/(DATI!$E$49*DATI!$E$33)*(1-B11/DATI!$E$45)),IF(B11&lt;DATI!$E$46,DATI!$E$32*DATI!$E$42*DATI!$E$49*DATI!$E$33,IF(B11&lt;DATI!$E$47,DATI!$E$32*DATI!$E$42*DATI!$E$49*DATI!$E$33*(DATI!$E$46/B11),DATI!$E$32*DATI!$E$42*DATI!$E$49*DATI!$E$33*((DATI!$E$46*DATI!$E$47)/B11^2))))</f>
        <v>0.58017422729952328</v>
      </c>
      <c r="D11" s="300"/>
      <c r="E11" s="422"/>
      <c r="F11" s="422"/>
      <c r="G11" s="422"/>
      <c r="H11" s="422"/>
      <c r="I11" s="422"/>
      <c r="J11" s="422"/>
      <c r="K11" s="422"/>
      <c r="L11" s="422"/>
      <c r="M11" s="422"/>
      <c r="N11" s="422"/>
      <c r="O11" s="422"/>
      <c r="P11" s="422"/>
      <c r="Q11" s="422"/>
      <c r="R11" s="422"/>
      <c r="S11" s="422"/>
    </row>
    <row r="12" spans="1:19" x14ac:dyDescent="0.25">
      <c r="A12" s="422"/>
      <c r="B12" s="625">
        <f t="shared" si="0"/>
        <v>7.0000000000000007E-2</v>
      </c>
      <c r="C12" s="638">
        <f>1/DATI!$E$38*IF(B12&lt;DATI!$E$45,DATI!$E$32*DATI!$E$42*DATI!$E$49*DATI!$E$33*(B12/DATI!$E$45+1/(DATI!$E$49*DATI!$E$33)*(1-B12/DATI!$E$45)),IF(B12&lt;DATI!$E$46,DATI!$E$32*DATI!$E$42*DATI!$E$49*DATI!$E$33,IF(B12&lt;DATI!$E$47,DATI!$E$32*DATI!$E$42*DATI!$E$49*DATI!$E$33*(DATI!$E$46/B12),DATI!$E$32*DATI!$E$42*DATI!$E$49*DATI!$E$33*((DATI!$E$46*DATI!$E$47)/B12^2))))</f>
        <v>0.60796978759582021</v>
      </c>
      <c r="D12" s="300"/>
      <c r="E12" s="422"/>
      <c r="F12" s="422"/>
      <c r="G12" s="422"/>
      <c r="H12" s="422"/>
      <c r="I12" s="422"/>
      <c r="J12" s="422"/>
      <c r="K12" s="422"/>
      <c r="L12" s="422"/>
      <c r="M12" s="422"/>
      <c r="N12" s="422"/>
      <c r="O12" s="422"/>
      <c r="P12" s="422"/>
      <c r="Q12" s="422"/>
      <c r="R12" s="422"/>
      <c r="S12" s="422"/>
    </row>
    <row r="13" spans="1:19" x14ac:dyDescent="0.25">
      <c r="A13" s="422"/>
      <c r="B13" s="625">
        <f t="shared" si="0"/>
        <v>0.08</v>
      </c>
      <c r="C13" s="638">
        <f>1/DATI!$E$38*IF(B13&lt;DATI!$E$45,DATI!$E$32*DATI!$E$42*DATI!$E$49*DATI!$E$33*(B13/DATI!$E$45+1/(DATI!$E$49*DATI!$E$33)*(1-B13/DATI!$E$45)),IF(B13&lt;DATI!$E$46,DATI!$E$32*DATI!$E$42*DATI!$E$49*DATI!$E$33,IF(B13&lt;DATI!$E$47,DATI!$E$32*DATI!$E$42*DATI!$E$49*DATI!$E$33*(DATI!$E$46/B13),DATI!$E$32*DATI!$E$42*DATI!$E$49*DATI!$E$33*((DATI!$E$46*DATI!$E$47)/B13^2))))</f>
        <v>0.63576534789211714</v>
      </c>
      <c r="D13" s="300"/>
      <c r="E13" s="422"/>
      <c r="F13" s="422"/>
      <c r="G13" s="422"/>
      <c r="H13" s="422"/>
      <c r="I13" s="422"/>
      <c r="J13" s="422"/>
      <c r="K13" s="422"/>
      <c r="L13" s="422"/>
      <c r="M13" s="422"/>
      <c r="N13" s="422"/>
      <c r="O13" s="422"/>
      <c r="P13" s="422"/>
      <c r="Q13" s="422"/>
      <c r="R13" s="422"/>
      <c r="S13" s="422"/>
    </row>
    <row r="14" spans="1:19" x14ac:dyDescent="0.25">
      <c r="A14" s="422"/>
      <c r="B14" s="625">
        <f t="shared" si="0"/>
        <v>0.09</v>
      </c>
      <c r="C14" s="638">
        <f>1/DATI!$E$38*IF(B14&lt;DATI!$E$45,DATI!$E$32*DATI!$E$42*DATI!$E$49*DATI!$E$33*(B14/DATI!$E$45+1/(DATI!$E$49*DATI!$E$33)*(1-B14/DATI!$E$45)),IF(B14&lt;DATI!$E$46,DATI!$E$32*DATI!$E$42*DATI!$E$49*DATI!$E$33,IF(B14&lt;DATI!$E$47,DATI!$E$32*DATI!$E$42*DATI!$E$49*DATI!$E$33*(DATI!$E$46/B14),DATI!$E$32*DATI!$E$42*DATI!$E$49*DATI!$E$33*((DATI!$E$46*DATI!$E$47)/B14^2))))</f>
        <v>0.66356090818841384</v>
      </c>
      <c r="D14" s="300"/>
      <c r="E14" s="422"/>
      <c r="F14" s="422"/>
      <c r="G14" s="422"/>
      <c r="H14" s="422"/>
      <c r="I14" s="422"/>
      <c r="J14" s="422"/>
      <c r="K14" s="422"/>
      <c r="L14" s="422"/>
      <c r="M14" s="422"/>
      <c r="N14" s="422"/>
      <c r="O14" s="422"/>
      <c r="P14" s="422"/>
      <c r="Q14" s="422"/>
      <c r="R14" s="422"/>
      <c r="S14" s="422"/>
    </row>
    <row r="15" spans="1:19" x14ac:dyDescent="0.25">
      <c r="A15" s="422"/>
      <c r="B15" s="625">
        <f t="shared" si="0"/>
        <v>9.9999999999999992E-2</v>
      </c>
      <c r="C15" s="638">
        <f>1/DATI!$E$38*IF(B15&lt;DATI!$E$45,DATI!$E$32*DATI!$E$42*DATI!$E$49*DATI!$E$33*(B15/DATI!$E$45+1/(DATI!$E$49*DATI!$E$33)*(1-B15/DATI!$E$45)),IF(B15&lt;DATI!$E$46,DATI!$E$32*DATI!$E$42*DATI!$E$49*DATI!$E$33,IF(B15&lt;DATI!$E$47,DATI!$E$32*DATI!$E$42*DATI!$E$49*DATI!$E$33*(DATI!$E$46/B15),DATI!$E$32*DATI!$E$42*DATI!$E$49*DATI!$E$33*((DATI!$E$46*DATI!$E$47)/B15^2))))</f>
        <v>0.69135646848471077</v>
      </c>
      <c r="D15" s="300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422"/>
      <c r="Q15" s="422"/>
      <c r="R15" s="422"/>
      <c r="S15" s="422"/>
    </row>
    <row r="16" spans="1:19" x14ac:dyDescent="0.25">
      <c r="A16" s="422"/>
      <c r="B16" s="625">
        <f t="shared" si="0"/>
        <v>0.10999999999999999</v>
      </c>
      <c r="C16" s="638">
        <f>1/DATI!$E$38*IF(B16&lt;DATI!$E$45,DATI!$E$32*DATI!$E$42*DATI!$E$49*DATI!$E$33*(B16/DATI!$E$45+1/(DATI!$E$49*DATI!$E$33)*(1-B16/DATI!$E$45)),IF(B16&lt;DATI!$E$46,DATI!$E$32*DATI!$E$42*DATI!$E$49*DATI!$E$33,IF(B16&lt;DATI!$E$47,DATI!$E$32*DATI!$E$42*DATI!$E$49*DATI!$E$33*(DATI!$E$46/B16),DATI!$E$32*DATI!$E$42*DATI!$E$49*DATI!$E$33*((DATI!$E$46*DATI!$E$47)/B16^2))))</f>
        <v>0.71915202878100759</v>
      </c>
      <c r="D16" s="300"/>
      <c r="E16" s="422"/>
      <c r="F16" s="422"/>
      <c r="G16" s="422"/>
      <c r="H16" s="422"/>
      <c r="I16" s="422"/>
      <c r="J16" s="422"/>
      <c r="K16" s="422"/>
      <c r="L16" s="422"/>
      <c r="M16" s="422"/>
      <c r="N16" s="422"/>
      <c r="O16" s="422"/>
      <c r="P16" s="422"/>
      <c r="Q16" s="422"/>
      <c r="R16" s="422"/>
      <c r="S16" s="422"/>
    </row>
    <row r="17" spans="1:19" x14ac:dyDescent="0.25">
      <c r="A17" s="422"/>
      <c r="B17" s="625">
        <f t="shared" si="0"/>
        <v>0.11999999999999998</v>
      </c>
      <c r="C17" s="638">
        <f>1/DATI!$E$38*IF(B17&lt;DATI!$E$45,DATI!$E$32*DATI!$E$42*DATI!$E$49*DATI!$E$33*(B17/DATI!$E$45+1/(DATI!$E$49*DATI!$E$33)*(1-B17/DATI!$E$45)),IF(B17&lt;DATI!$E$46,DATI!$E$32*DATI!$E$42*DATI!$E$49*DATI!$E$33,IF(B17&lt;DATI!$E$47,DATI!$E$32*DATI!$E$42*DATI!$E$49*DATI!$E$33*(DATI!$E$46/B17),DATI!$E$32*DATI!$E$42*DATI!$E$49*DATI!$E$33*((DATI!$E$46*DATI!$E$47)/B17^2))))</f>
        <v>0.74694758907730452</v>
      </c>
      <c r="D17" s="300"/>
      <c r="E17" s="422"/>
      <c r="F17" s="422"/>
      <c r="G17" s="422"/>
      <c r="H17" s="422"/>
      <c r="I17" s="422"/>
      <c r="J17" s="422"/>
      <c r="K17" s="422"/>
      <c r="L17" s="422"/>
      <c r="M17" s="422"/>
      <c r="N17" s="422"/>
      <c r="O17" s="422"/>
      <c r="P17" s="422"/>
      <c r="Q17" s="422"/>
      <c r="R17" s="422"/>
      <c r="S17" s="422"/>
    </row>
    <row r="18" spans="1:19" x14ac:dyDescent="0.25">
      <c r="A18" s="422"/>
      <c r="B18" s="625">
        <f t="shared" si="0"/>
        <v>0.12999999999999998</v>
      </c>
      <c r="C18" s="638">
        <f>1/DATI!$E$38*IF(B18&lt;DATI!$E$45,DATI!$E$32*DATI!$E$42*DATI!$E$49*DATI!$E$33*(B18/DATI!$E$45+1/(DATI!$E$49*DATI!$E$33)*(1-B18/DATI!$E$45)),IF(B18&lt;DATI!$E$46,DATI!$E$32*DATI!$E$42*DATI!$E$49*DATI!$E$33,IF(B18&lt;DATI!$E$47,DATI!$E$32*DATI!$E$42*DATI!$E$49*DATI!$E$33*(DATI!$E$46/B18),DATI!$E$32*DATI!$E$42*DATI!$E$49*DATI!$E$33*((DATI!$E$46*DATI!$E$47)/B18^2))))</f>
        <v>0.77474314937360134</v>
      </c>
      <c r="D18" s="300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</row>
    <row r="19" spans="1:19" x14ac:dyDescent="0.25">
      <c r="A19" s="422"/>
      <c r="B19" s="625">
        <f t="shared" si="0"/>
        <v>0.13999999999999999</v>
      </c>
      <c r="C19" s="638">
        <f>1/DATI!$E$38*IF(B19&lt;DATI!$E$45,DATI!$E$32*DATI!$E$42*DATI!$E$49*DATI!$E$33*(B19/DATI!$E$45+1/(DATI!$E$49*DATI!$E$33)*(1-B19/DATI!$E$45)),IF(B19&lt;DATI!$E$46,DATI!$E$32*DATI!$E$42*DATI!$E$49*DATI!$E$33,IF(B19&lt;DATI!$E$47,DATI!$E$32*DATI!$E$42*DATI!$E$49*DATI!$E$33*(DATI!$E$46/B19),DATI!$E$32*DATI!$E$42*DATI!$E$49*DATI!$E$33*((DATI!$E$46*DATI!$E$47)/B19^2))))</f>
        <v>0.80253870966989815</v>
      </c>
      <c r="D19" s="300"/>
      <c r="E19" s="422"/>
      <c r="F19" s="422"/>
      <c r="G19" s="422"/>
      <c r="H19" s="422"/>
      <c r="I19" s="422"/>
      <c r="J19" s="422"/>
      <c r="K19" s="422"/>
      <c r="L19" s="422"/>
      <c r="M19" s="422"/>
      <c r="N19" s="422"/>
      <c r="O19" s="422"/>
      <c r="P19" s="422"/>
      <c r="Q19" s="422"/>
      <c r="R19" s="422"/>
      <c r="S19" s="422"/>
    </row>
    <row r="20" spans="1:19" x14ac:dyDescent="0.25">
      <c r="A20" s="422"/>
      <c r="B20" s="625">
        <f t="shared" si="0"/>
        <v>0.15</v>
      </c>
      <c r="C20" s="638">
        <f>1/DATI!$E$38*IF(B20&lt;DATI!$E$45,DATI!$E$32*DATI!$E$42*DATI!$E$49*DATI!$E$33*(B20/DATI!$E$45+1/(DATI!$E$49*DATI!$E$33)*(1-B20/DATI!$E$45)),IF(B20&lt;DATI!$E$46,DATI!$E$32*DATI!$E$42*DATI!$E$49*DATI!$E$33,IF(B20&lt;DATI!$E$47,DATI!$E$32*DATI!$E$42*DATI!$E$49*DATI!$E$33*(DATI!$E$46/B20),DATI!$E$32*DATI!$E$42*DATI!$E$49*DATI!$E$33*((DATI!$E$46*DATI!$E$47)/B20^2))))</f>
        <v>0.83033426996619519</v>
      </c>
      <c r="D20" s="300"/>
      <c r="E20" s="422"/>
      <c r="F20" s="422"/>
      <c r="G20" s="422"/>
      <c r="H20" s="422"/>
      <c r="I20" s="422"/>
      <c r="J20" s="422"/>
      <c r="K20" s="422"/>
      <c r="L20" s="422"/>
      <c r="M20" s="422"/>
      <c r="N20" s="422"/>
      <c r="O20" s="422"/>
      <c r="P20" s="422"/>
      <c r="Q20" s="422"/>
      <c r="R20" s="422"/>
      <c r="S20" s="422"/>
    </row>
    <row r="21" spans="1:19" x14ac:dyDescent="0.25">
      <c r="A21" s="422"/>
      <c r="B21" s="625">
        <f t="shared" si="0"/>
        <v>0.16</v>
      </c>
      <c r="C21" s="638">
        <f>1/DATI!$E$38*IF(B21&lt;DATI!$E$45,DATI!$E$32*DATI!$E$42*DATI!$E$49*DATI!$E$33*(B21/DATI!$E$45+1/(DATI!$E$49*DATI!$E$33)*(1-B21/DATI!$E$45)),IF(B21&lt;DATI!$E$46,DATI!$E$32*DATI!$E$42*DATI!$E$49*DATI!$E$33,IF(B21&lt;DATI!$E$47,DATI!$E$32*DATI!$E$42*DATI!$E$49*DATI!$E$33*(DATI!$E$46/B21),DATI!$E$32*DATI!$E$42*DATI!$E$49*DATI!$E$33*((DATI!$E$46*DATI!$E$47)/B21^2))))</f>
        <v>0.8581298302624919</v>
      </c>
      <c r="D21" s="300"/>
      <c r="E21" s="422"/>
      <c r="F21" s="422"/>
      <c r="G21" s="422"/>
      <c r="H21" s="422"/>
      <c r="I21" s="422"/>
      <c r="J21" s="422"/>
      <c r="K21" s="422"/>
      <c r="L21" s="422"/>
      <c r="M21" s="422"/>
      <c r="N21" s="422"/>
      <c r="O21" s="422"/>
      <c r="P21" s="422"/>
      <c r="Q21" s="422"/>
      <c r="R21" s="422"/>
      <c r="S21" s="422"/>
    </row>
    <row r="22" spans="1:19" x14ac:dyDescent="0.25">
      <c r="A22" s="422"/>
      <c r="B22" s="625">
        <f t="shared" si="0"/>
        <v>0.17</v>
      </c>
      <c r="C22" s="638">
        <f>1/DATI!$E$38*IF(B22&lt;DATI!$E$45,DATI!$E$32*DATI!$E$42*DATI!$E$49*DATI!$E$33*(B22/DATI!$E$45+1/(DATI!$E$49*DATI!$E$33)*(1-B22/DATI!$E$45)),IF(B22&lt;DATI!$E$46,DATI!$E$32*DATI!$E$42*DATI!$E$49*DATI!$E$33,IF(B22&lt;DATI!$E$47,DATI!$E$32*DATI!$E$42*DATI!$E$49*DATI!$E$33*(DATI!$E$46/B22),DATI!$E$32*DATI!$E$42*DATI!$E$49*DATI!$E$33*((DATI!$E$46*DATI!$E$47)/B22^2))))</f>
        <v>0.88592539055878883</v>
      </c>
      <c r="D22" s="300"/>
      <c r="E22" s="422"/>
      <c r="F22" s="422"/>
      <c r="G22" s="422"/>
      <c r="H22" s="422"/>
      <c r="I22" s="422"/>
      <c r="J22" s="422"/>
      <c r="K22" s="422"/>
      <c r="L22" s="422"/>
      <c r="M22" s="422"/>
      <c r="N22" s="422"/>
      <c r="O22" s="422"/>
      <c r="P22" s="422"/>
      <c r="Q22" s="422"/>
      <c r="R22" s="422"/>
      <c r="S22" s="422"/>
    </row>
    <row r="23" spans="1:19" x14ac:dyDescent="0.25">
      <c r="A23" s="422"/>
      <c r="B23" s="625">
        <f t="shared" si="0"/>
        <v>0.18000000000000002</v>
      </c>
      <c r="C23" s="638">
        <f>1/DATI!$E$38*IF(B23&lt;DATI!$E$45,DATI!$E$32*DATI!$E$42*DATI!$E$49*DATI!$E$33*(B23/DATI!$E$45+1/(DATI!$E$49*DATI!$E$33)*(1-B23/DATI!$E$45)),IF(B23&lt;DATI!$E$46,DATI!$E$32*DATI!$E$42*DATI!$E$49*DATI!$E$33,IF(B23&lt;DATI!$E$47,DATI!$E$32*DATI!$E$42*DATI!$E$49*DATI!$E$33*(DATI!$E$46/B23),DATI!$E$32*DATI!$E$42*DATI!$E$49*DATI!$E$33*((DATI!$E$46*DATI!$E$47)/B23^2))))</f>
        <v>0.91372095085508576</v>
      </c>
      <c r="D23" s="300"/>
      <c r="E23" s="422"/>
      <c r="F23" s="422"/>
      <c r="G23" s="422"/>
      <c r="H23" s="422"/>
      <c r="I23" s="422"/>
      <c r="J23" s="422"/>
      <c r="K23" s="422"/>
      <c r="L23" s="422"/>
      <c r="M23" s="422"/>
      <c r="N23" s="422"/>
      <c r="O23" s="422"/>
      <c r="P23" s="422"/>
      <c r="Q23" s="422"/>
      <c r="R23" s="422"/>
      <c r="S23" s="422"/>
    </row>
    <row r="24" spans="1:19" x14ac:dyDescent="0.25">
      <c r="A24" s="422"/>
      <c r="B24" s="625">
        <f t="shared" si="0"/>
        <v>0.19000000000000003</v>
      </c>
      <c r="C24" s="638">
        <f>1/DATI!$E$38*IF(B24&lt;DATI!$E$45,DATI!$E$32*DATI!$E$42*DATI!$E$49*DATI!$E$33*(B24/DATI!$E$45+1/(DATI!$E$49*DATI!$E$33)*(1-B24/DATI!$E$45)),IF(B24&lt;DATI!$E$46,DATI!$E$32*DATI!$E$42*DATI!$E$49*DATI!$E$33,IF(B24&lt;DATI!$E$47,DATI!$E$32*DATI!$E$42*DATI!$E$49*DATI!$E$33*(DATI!$E$46/B24),DATI!$E$32*DATI!$E$42*DATI!$E$49*DATI!$E$33*((DATI!$E$46*DATI!$E$47)/B24^2))))</f>
        <v>0.94151651115138268</v>
      </c>
      <c r="D24" s="300"/>
      <c r="E24" s="422"/>
      <c r="F24" s="422"/>
      <c r="G24" s="422"/>
      <c r="H24" s="422"/>
      <c r="I24" s="422"/>
      <c r="J24" s="422"/>
      <c r="K24" s="422"/>
      <c r="L24" s="422"/>
      <c r="M24" s="422"/>
      <c r="N24" s="422"/>
      <c r="O24" s="422"/>
      <c r="P24" s="422"/>
      <c r="Q24" s="422"/>
      <c r="R24" s="422"/>
      <c r="S24" s="422"/>
    </row>
    <row r="25" spans="1:19" x14ac:dyDescent="0.25">
      <c r="A25" s="422"/>
      <c r="B25" s="625">
        <f t="shared" si="0"/>
        <v>0.20000000000000004</v>
      </c>
      <c r="C25" s="638">
        <f>1/DATI!$E$38*IF(B25&lt;DATI!$E$45,DATI!$E$32*DATI!$E$42*DATI!$E$49*DATI!$E$33*(B25/DATI!$E$45+1/(DATI!$E$49*DATI!$E$33)*(1-B25/DATI!$E$45)),IF(B25&lt;DATI!$E$46,DATI!$E$32*DATI!$E$42*DATI!$E$49*DATI!$E$33,IF(B25&lt;DATI!$E$47,DATI!$E$32*DATI!$E$42*DATI!$E$49*DATI!$E$33*(DATI!$E$46/B25),DATI!$E$32*DATI!$E$42*DATI!$E$49*DATI!$E$33*((DATI!$E$46*DATI!$E$47)/B25^2))))</f>
        <v>0.96931207144767939</v>
      </c>
      <c r="D25" s="300"/>
      <c r="E25" s="422"/>
      <c r="F25" s="422"/>
      <c r="G25" s="422"/>
      <c r="H25" s="422"/>
      <c r="I25" s="422"/>
      <c r="J25" s="422"/>
      <c r="K25" s="422"/>
      <c r="L25" s="422"/>
      <c r="M25" s="422"/>
      <c r="N25" s="422"/>
      <c r="O25" s="422"/>
      <c r="P25" s="422"/>
      <c r="Q25" s="422"/>
      <c r="R25" s="422"/>
      <c r="S25" s="422"/>
    </row>
    <row r="26" spans="1:19" x14ac:dyDescent="0.25">
      <c r="A26" s="422"/>
      <c r="B26" s="625">
        <f t="shared" si="0"/>
        <v>0.21000000000000005</v>
      </c>
      <c r="C26" s="638">
        <f>1/DATI!$E$38*IF(B26&lt;DATI!$E$45,DATI!$E$32*DATI!$E$42*DATI!$E$49*DATI!$E$33*(B26/DATI!$E$45+1/(DATI!$E$49*DATI!$E$33)*(1-B26/DATI!$E$45)),IF(B26&lt;DATI!$E$46,DATI!$E$32*DATI!$E$42*DATI!$E$49*DATI!$E$33,IF(B26&lt;DATI!$E$47,DATI!$E$32*DATI!$E$42*DATI!$E$49*DATI!$E$33*(DATI!$E$46/B26),DATI!$E$32*DATI!$E$42*DATI!$E$49*DATI!$E$33*((DATI!$E$46*DATI!$E$47)/B26^2))))</f>
        <v>0.97781706721857686</v>
      </c>
      <c r="D26" s="300"/>
      <c r="E26" s="422"/>
      <c r="F26" s="422"/>
      <c r="G26" s="422"/>
      <c r="H26" s="422"/>
      <c r="I26" s="422"/>
      <c r="J26" s="422"/>
      <c r="K26" s="422"/>
      <c r="L26" s="422"/>
      <c r="M26" s="422"/>
      <c r="N26" s="422"/>
      <c r="O26" s="422"/>
      <c r="P26" s="422"/>
      <c r="Q26" s="422"/>
      <c r="R26" s="422"/>
      <c r="S26" s="422"/>
    </row>
    <row r="27" spans="1:19" x14ac:dyDescent="0.25">
      <c r="A27" s="422"/>
      <c r="B27" s="625">
        <f t="shared" si="0"/>
        <v>0.22000000000000006</v>
      </c>
      <c r="C27" s="638">
        <f>1/DATI!$E$38*IF(B27&lt;DATI!$E$45,DATI!$E$32*DATI!$E$42*DATI!$E$49*DATI!$E$33*(B27/DATI!$E$45+1/(DATI!$E$49*DATI!$E$33)*(1-B27/DATI!$E$45)),IF(B27&lt;DATI!$E$46,DATI!$E$32*DATI!$E$42*DATI!$E$49*DATI!$E$33,IF(B27&lt;DATI!$E$47,DATI!$E$32*DATI!$E$42*DATI!$E$49*DATI!$E$33*(DATI!$E$46/B27),DATI!$E$32*DATI!$E$42*DATI!$E$49*DATI!$E$33*((DATI!$E$46*DATI!$E$47)/B27^2))))</f>
        <v>0.97781706721857686</v>
      </c>
      <c r="D27" s="300"/>
      <c r="E27" s="422"/>
      <c r="F27" s="422"/>
      <c r="G27" s="422"/>
      <c r="H27" s="422"/>
      <c r="I27" s="422"/>
      <c r="J27" s="422"/>
      <c r="K27" s="422"/>
      <c r="L27" s="422"/>
      <c r="M27" s="422"/>
      <c r="N27" s="422"/>
      <c r="O27" s="422"/>
      <c r="P27" s="422"/>
      <c r="Q27" s="422"/>
      <c r="R27" s="422"/>
      <c r="S27" s="422"/>
    </row>
    <row r="28" spans="1:19" x14ac:dyDescent="0.25">
      <c r="A28" s="422"/>
      <c r="B28" s="625">
        <f t="shared" si="0"/>
        <v>0.23000000000000007</v>
      </c>
      <c r="C28" s="638">
        <f>1/DATI!$E$38*IF(B28&lt;DATI!$E$45,DATI!$E$32*DATI!$E$42*DATI!$E$49*DATI!$E$33*(B28/DATI!$E$45+1/(DATI!$E$49*DATI!$E$33)*(1-B28/DATI!$E$45)),IF(B28&lt;DATI!$E$46,DATI!$E$32*DATI!$E$42*DATI!$E$49*DATI!$E$33,IF(B28&lt;DATI!$E$47,DATI!$E$32*DATI!$E$42*DATI!$E$49*DATI!$E$33*(DATI!$E$46/B28),DATI!$E$32*DATI!$E$42*DATI!$E$49*DATI!$E$33*((DATI!$E$46*DATI!$E$47)/B28^2))))</f>
        <v>0.97781706721857686</v>
      </c>
      <c r="D28" s="300"/>
      <c r="E28" s="422"/>
      <c r="F28" s="422"/>
      <c r="G28" s="422"/>
      <c r="H28" s="422"/>
      <c r="I28" s="422"/>
      <c r="J28" s="422"/>
      <c r="K28" s="422"/>
      <c r="L28" s="422"/>
      <c r="M28" s="422"/>
      <c r="N28" s="422"/>
      <c r="O28" s="422"/>
      <c r="P28" s="422"/>
      <c r="Q28" s="422"/>
      <c r="R28" s="422"/>
      <c r="S28" s="422"/>
    </row>
    <row r="29" spans="1:19" x14ac:dyDescent="0.25">
      <c r="A29" s="422"/>
      <c r="B29" s="625">
        <f t="shared" si="0"/>
        <v>0.24000000000000007</v>
      </c>
      <c r="C29" s="638">
        <f>1/DATI!$E$38*IF(B29&lt;DATI!$E$45,DATI!$E$32*DATI!$E$42*DATI!$E$49*DATI!$E$33*(B29/DATI!$E$45+1/(DATI!$E$49*DATI!$E$33)*(1-B29/DATI!$E$45)),IF(B29&lt;DATI!$E$46,DATI!$E$32*DATI!$E$42*DATI!$E$49*DATI!$E$33,IF(B29&lt;DATI!$E$47,DATI!$E$32*DATI!$E$42*DATI!$E$49*DATI!$E$33*(DATI!$E$46/B29),DATI!$E$32*DATI!$E$42*DATI!$E$49*DATI!$E$33*((DATI!$E$46*DATI!$E$47)/B29^2))))</f>
        <v>0.97781706721857686</v>
      </c>
      <c r="D29" s="300"/>
      <c r="E29" s="422"/>
      <c r="F29" s="422"/>
      <c r="G29" s="422"/>
      <c r="H29" s="422"/>
      <c r="I29" s="422"/>
      <c r="J29" s="422"/>
      <c r="K29" s="422"/>
      <c r="L29" s="422"/>
      <c r="M29" s="422"/>
      <c r="N29" s="422"/>
      <c r="O29" s="422"/>
      <c r="P29" s="422"/>
      <c r="Q29" s="422"/>
      <c r="R29" s="422"/>
      <c r="S29" s="422"/>
    </row>
    <row r="30" spans="1:19" x14ac:dyDescent="0.25">
      <c r="A30" s="422"/>
      <c r="B30" s="625">
        <f t="shared" si="0"/>
        <v>0.25000000000000006</v>
      </c>
      <c r="C30" s="638">
        <f>1/DATI!$E$38*IF(B30&lt;DATI!$E$45,DATI!$E$32*DATI!$E$42*DATI!$E$49*DATI!$E$33*(B30/DATI!$E$45+1/(DATI!$E$49*DATI!$E$33)*(1-B30/DATI!$E$45)),IF(B30&lt;DATI!$E$46,DATI!$E$32*DATI!$E$42*DATI!$E$49*DATI!$E$33,IF(B30&lt;DATI!$E$47,DATI!$E$32*DATI!$E$42*DATI!$E$49*DATI!$E$33*(DATI!$E$46/B30),DATI!$E$32*DATI!$E$42*DATI!$E$49*DATI!$E$33*((DATI!$E$46*DATI!$E$47)/B30^2))))</f>
        <v>0.97781706721857686</v>
      </c>
      <c r="D30" s="300"/>
      <c r="E30" s="1055" t="s">
        <v>708</v>
      </c>
      <c r="F30" s="1055"/>
      <c r="G30" s="1056"/>
      <c r="H30" s="422"/>
      <c r="I30" s="1055" t="s">
        <v>709</v>
      </c>
      <c r="J30" s="1056"/>
      <c r="K30" s="422"/>
      <c r="L30" s="422"/>
      <c r="M30" s="422"/>
      <c r="N30" s="422"/>
      <c r="O30" s="422"/>
      <c r="P30" s="422"/>
      <c r="Q30" s="422"/>
      <c r="R30" s="422"/>
      <c r="S30" s="422"/>
    </row>
    <row r="31" spans="1:19" ht="18" x14ac:dyDescent="0.25">
      <c r="A31" s="422"/>
      <c r="B31" s="625">
        <f t="shared" si="0"/>
        <v>0.26000000000000006</v>
      </c>
      <c r="C31" s="638">
        <f>1/DATI!$E$38*IF(B31&lt;DATI!$E$45,DATI!$E$32*DATI!$E$42*DATI!$E$49*DATI!$E$33*(B31/DATI!$E$45+1/(DATI!$E$49*DATI!$E$33)*(1-B31/DATI!$E$45)),IF(B31&lt;DATI!$E$46,DATI!$E$32*DATI!$E$42*DATI!$E$49*DATI!$E$33,IF(B31&lt;DATI!$E$47,DATI!$E$32*DATI!$E$42*DATI!$E$49*DATI!$E$33*(DATI!$E$46/B31),DATI!$E$32*DATI!$E$42*DATI!$E$49*DATI!$E$33*((DATI!$E$46*DATI!$E$47)/B31^2))))</f>
        <v>0.97781706721857686</v>
      </c>
      <c r="D31" s="300"/>
      <c r="E31" s="1053" t="s">
        <v>710</v>
      </c>
      <c r="F31" s="1054"/>
      <c r="G31" s="646">
        <f>1/DATI!$E$38*IF(J31&lt;DATI!$E$45,DATI!$E$32*DATI!$E$42*DATI!$E$49*DATI!$E$33*(J31/DATI!$E$45+1/(DATI!$E$49*DATI!$E$33)*(1-J31/DATI!$E$45)),IF(J31&lt;DATI!$E$46,DATI!$E$32*DATI!$E$42*DATI!$E$49*DATI!$E$33,IF(J31&lt;DATI!$E$47,DATI!$E$32*DATI!$E$42*DATI!$E$49*DATI!$E$33*(DATI!$E$46/J31),DATI!$E$32*DATI!$E$42*DATI!$E$49*DATI!$E$33*((DATI!$E$46*DATI!$E$47)/J31^2))))</f>
        <v>0.41340086552174221</v>
      </c>
      <c r="H31" s="422"/>
      <c r="I31" s="622" t="s">
        <v>711</v>
      </c>
      <c r="J31" s="647">
        <v>0</v>
      </c>
      <c r="K31" s="422"/>
      <c r="L31" s="422"/>
      <c r="M31" s="422"/>
      <c r="N31" s="422"/>
      <c r="O31" s="422"/>
      <c r="P31" s="422"/>
      <c r="Q31" s="422"/>
      <c r="R31" s="422"/>
      <c r="S31" s="422"/>
    </row>
    <row r="32" spans="1:19" ht="18" x14ac:dyDescent="0.25">
      <c r="A32" s="422"/>
      <c r="B32" s="625">
        <f t="shared" si="0"/>
        <v>0.27000000000000007</v>
      </c>
      <c r="C32" s="638">
        <f>1/DATI!$E$38*IF(B32&lt;DATI!$E$45,DATI!$E$32*DATI!$E$42*DATI!$E$49*DATI!$E$33*(B32/DATI!$E$45+1/(DATI!$E$49*DATI!$E$33)*(1-B32/DATI!$E$45)),IF(B32&lt;DATI!$E$46,DATI!$E$32*DATI!$E$42*DATI!$E$49*DATI!$E$33,IF(B32&lt;DATI!$E$47,DATI!$E$32*DATI!$E$42*DATI!$E$49*DATI!$E$33*(DATI!$E$46/B32),DATI!$E$32*DATI!$E$42*DATI!$E$49*DATI!$E$33*((DATI!$E$46*DATI!$E$47)/B32^2))))</f>
        <v>0.97781706721857686</v>
      </c>
      <c r="D32" s="300"/>
      <c r="E32" s="1053" t="s">
        <v>712</v>
      </c>
      <c r="F32" s="1054"/>
      <c r="G32" s="646">
        <f>1/DATI!$E$38*IF(J32&lt;DATI!$E$45,DATI!$E$32*DATI!$E$42*DATI!$E$49*DATI!$E$33*(J32/DATI!$E$45+1/(DATI!$E$49*DATI!$E$33)*(1-J32/DATI!$E$45)),IF(J32&lt;DATI!$E$46,DATI!$E$32*DATI!$E$42*DATI!$E$49*DATI!$E$33,IF(J32&lt;DATI!$E$47,DATI!$E$32*DATI!$E$42*DATI!$E$49*DATI!$E$33*(DATI!$E$46/J32),DATI!$E$32*DATI!$E$42*DATI!$E$49*DATI!$E$33*((DATI!$E$46*DATI!$E$47)/J32^2))))</f>
        <v>0.97781706721857686</v>
      </c>
      <c r="H32" s="422"/>
      <c r="I32" s="622" t="s">
        <v>386</v>
      </c>
      <c r="J32" s="647">
        <f>DATI!E45</f>
        <v>0.20305983965792931</v>
      </c>
      <c r="K32" s="422"/>
      <c r="L32" s="422"/>
      <c r="M32" s="422"/>
      <c r="N32" s="422"/>
      <c r="O32" s="422"/>
      <c r="P32" s="422"/>
      <c r="Q32" s="422"/>
      <c r="R32" s="422"/>
      <c r="S32" s="422"/>
    </row>
    <row r="33" spans="1:19" ht="18" x14ac:dyDescent="0.25">
      <c r="A33" s="422"/>
      <c r="B33" s="625">
        <f t="shared" si="0"/>
        <v>0.28000000000000008</v>
      </c>
      <c r="C33" s="638">
        <f>1/DATI!$E$38*IF(B33&lt;DATI!$E$45,DATI!$E$32*DATI!$E$42*DATI!$E$49*DATI!$E$33*(B33/DATI!$E$45+1/(DATI!$E$49*DATI!$E$33)*(1-B33/DATI!$E$45)),IF(B33&lt;DATI!$E$46,DATI!$E$32*DATI!$E$42*DATI!$E$49*DATI!$E$33,IF(B33&lt;DATI!$E$47,DATI!$E$32*DATI!$E$42*DATI!$E$49*DATI!$E$33*(DATI!$E$46/B33),DATI!$E$32*DATI!$E$42*DATI!$E$49*DATI!$E$33*((DATI!$E$46*DATI!$E$47)/B33^2))))</f>
        <v>0.97781706721857686</v>
      </c>
      <c r="D33" s="300"/>
      <c r="E33" s="1053" t="s">
        <v>713</v>
      </c>
      <c r="F33" s="1054"/>
      <c r="G33" s="646">
        <f>1/DATI!$E$38*IF(J33&lt;DATI!$E$45,DATI!$E$32*DATI!$E$42*DATI!$E$49*DATI!$E$33*(J33/DATI!$E$45+1/(DATI!$E$49*DATI!$E$33)*(1-J33/DATI!$E$45)),IF(J33&lt;DATI!$E$46,DATI!$E$32*DATI!$E$42*DATI!$E$49*DATI!$E$33,IF(J33&lt;DATI!$E$47,DATI!$E$32*DATI!$E$42*DATI!$E$49*DATI!$E$33*(DATI!$E$46/J33),DATI!$E$32*DATI!$E$42*DATI!$E$49*DATI!$E$33*((DATI!$E$46*DATI!$E$47)/J33^2))))</f>
        <v>0.97781706721857686</v>
      </c>
      <c r="H33" s="422"/>
      <c r="I33" s="622" t="s">
        <v>388</v>
      </c>
      <c r="J33" s="647">
        <f>DATI!E46</f>
        <v>0.60917951897378797</v>
      </c>
      <c r="K33" s="422"/>
      <c r="L33" s="422"/>
      <c r="M33" s="422"/>
      <c r="N33" s="422"/>
      <c r="O33" s="422"/>
      <c r="P33" s="422"/>
      <c r="Q33" s="422"/>
      <c r="R33" s="422"/>
      <c r="S33" s="422"/>
    </row>
    <row r="34" spans="1:19" ht="18" x14ac:dyDescent="0.25">
      <c r="A34" s="422"/>
      <c r="B34" s="625">
        <f t="shared" si="0"/>
        <v>0.29000000000000009</v>
      </c>
      <c r="C34" s="638">
        <f>1/DATI!$E$38*IF(B34&lt;DATI!$E$45,DATI!$E$32*DATI!$E$42*DATI!$E$49*DATI!$E$33*(B34/DATI!$E$45+1/(DATI!$E$49*DATI!$E$33)*(1-B34/DATI!$E$45)),IF(B34&lt;DATI!$E$46,DATI!$E$32*DATI!$E$42*DATI!$E$49*DATI!$E$33,IF(B34&lt;DATI!$E$47,DATI!$E$32*DATI!$E$42*DATI!$E$49*DATI!$E$33*(DATI!$E$46/B34),DATI!$E$32*DATI!$E$42*DATI!$E$49*DATI!$E$33*((DATI!$E$46*DATI!$E$47)/B34^2))))</f>
        <v>0.97781706721857686</v>
      </c>
      <c r="D34" s="300"/>
      <c r="E34" s="1053" t="s">
        <v>714</v>
      </c>
      <c r="F34" s="1054"/>
      <c r="G34" s="646">
        <f>1/DATI!$E$38*IF(J34&lt;DATI!$E$45,DATI!$E$32*DATI!$E$42*DATI!$E$49*DATI!$E$33*(J34/DATI!$E$45+1/(DATI!$E$49*DATI!$E$33)*(1-J34/DATI!$E$45)),IF(J34&lt;DATI!$E$46,DATI!$E$32*DATI!$E$42*DATI!$E$49*DATI!$E$33,IF(J34&lt;DATI!$E$47,DATI!$E$32*DATI!$E$42*DATI!$E$49*DATI!$E$33*(DATI!$E$46/J34),DATI!$E$32*DATI!$E$42*DATI!$E$49*DATI!$E$33*((DATI!$E$46*DATI!$E$47)/J34^2))))</f>
        <v>0.22542769447880173</v>
      </c>
      <c r="H34" s="422"/>
      <c r="I34" s="622" t="s">
        <v>390</v>
      </c>
      <c r="J34" s="647">
        <f>DATI!E47</f>
        <v>2.6423822149704268</v>
      </c>
      <c r="K34" s="422"/>
      <c r="L34" s="422"/>
      <c r="M34" s="422"/>
      <c r="N34" s="422"/>
      <c r="O34" s="422"/>
      <c r="P34" s="422"/>
      <c r="Q34" s="422"/>
      <c r="R34" s="422"/>
      <c r="S34" s="422"/>
    </row>
    <row r="35" spans="1:19" x14ac:dyDescent="0.25">
      <c r="A35" s="422"/>
      <c r="B35" s="625">
        <f t="shared" si="0"/>
        <v>0.3000000000000001</v>
      </c>
      <c r="C35" s="638">
        <f>1/DATI!$E$38*IF(B35&lt;DATI!$E$45,DATI!$E$32*DATI!$E$42*DATI!$E$49*DATI!$E$33*(B35/DATI!$E$45+1/(DATI!$E$49*DATI!$E$33)*(1-B35/DATI!$E$45)),IF(B35&lt;DATI!$E$46,DATI!$E$32*DATI!$E$42*DATI!$E$49*DATI!$E$33,IF(B35&lt;DATI!$E$47,DATI!$E$32*DATI!$E$42*DATI!$E$49*DATI!$E$33*(DATI!$E$46/B35),DATI!$E$32*DATI!$E$42*DATI!$E$49*DATI!$E$33*((DATI!$E$46*DATI!$E$47)/B35^2))))</f>
        <v>0.97781706721857686</v>
      </c>
      <c r="D35" s="300"/>
      <c r="E35" s="422"/>
      <c r="F35" s="422"/>
      <c r="G35" s="422"/>
      <c r="H35" s="422"/>
      <c r="I35" s="422"/>
      <c r="J35" s="422"/>
      <c r="K35" s="422"/>
      <c r="L35" s="422"/>
      <c r="M35" s="422"/>
      <c r="N35" s="422"/>
      <c r="O35" s="422"/>
      <c r="P35" s="422"/>
      <c r="Q35" s="422"/>
      <c r="R35" s="422"/>
      <c r="S35" s="422"/>
    </row>
    <row r="36" spans="1:19" x14ac:dyDescent="0.25">
      <c r="A36" s="422"/>
      <c r="B36" s="625">
        <f t="shared" si="0"/>
        <v>0.31000000000000011</v>
      </c>
      <c r="C36" s="638">
        <f>1/DATI!$E$38*IF(B36&lt;DATI!$E$45,DATI!$E$32*DATI!$E$42*DATI!$E$49*DATI!$E$33*(B36/DATI!$E$45+1/(DATI!$E$49*DATI!$E$33)*(1-B36/DATI!$E$45)),IF(B36&lt;DATI!$E$46,DATI!$E$32*DATI!$E$42*DATI!$E$49*DATI!$E$33,IF(B36&lt;DATI!$E$47,DATI!$E$32*DATI!$E$42*DATI!$E$49*DATI!$E$33*(DATI!$E$46/B36),DATI!$E$32*DATI!$E$42*DATI!$E$49*DATI!$E$33*((DATI!$E$46*DATI!$E$47)/B36^2))))</f>
        <v>0.97781706721857686</v>
      </c>
      <c r="D36" s="300"/>
      <c r="E36" s="422"/>
      <c r="F36" s="422"/>
      <c r="G36" s="422"/>
      <c r="H36" s="422"/>
      <c r="I36" s="422"/>
      <c r="J36" s="422"/>
      <c r="K36" s="422"/>
      <c r="L36" s="422"/>
      <c r="M36" s="422"/>
      <c r="N36" s="422"/>
      <c r="O36" s="422"/>
      <c r="P36" s="422"/>
      <c r="Q36" s="422"/>
      <c r="R36" s="422"/>
      <c r="S36" s="422"/>
    </row>
    <row r="37" spans="1:19" x14ac:dyDescent="0.25">
      <c r="A37" s="422"/>
      <c r="B37" s="625">
        <f t="shared" si="0"/>
        <v>0.32000000000000012</v>
      </c>
      <c r="C37" s="638">
        <f>1/DATI!$E$38*IF(B37&lt;DATI!$E$45,DATI!$E$32*DATI!$E$42*DATI!$E$49*DATI!$E$33*(B37/DATI!$E$45+1/(DATI!$E$49*DATI!$E$33)*(1-B37/DATI!$E$45)),IF(B37&lt;DATI!$E$46,DATI!$E$32*DATI!$E$42*DATI!$E$49*DATI!$E$33,IF(B37&lt;DATI!$E$47,DATI!$E$32*DATI!$E$42*DATI!$E$49*DATI!$E$33*(DATI!$E$46/B37),DATI!$E$32*DATI!$E$42*DATI!$E$49*DATI!$E$33*((DATI!$E$46*DATI!$E$47)/B37^2))))</f>
        <v>0.97781706721857686</v>
      </c>
      <c r="D37" s="300"/>
      <c r="E37" s="422"/>
      <c r="F37" s="422"/>
      <c r="G37" s="422"/>
      <c r="H37" s="422"/>
      <c r="I37" s="422"/>
      <c r="J37" s="422"/>
      <c r="K37" s="422"/>
      <c r="L37" s="422"/>
      <c r="M37" s="422"/>
      <c r="N37" s="422"/>
      <c r="O37" s="422"/>
      <c r="P37" s="422"/>
      <c r="Q37" s="422"/>
      <c r="R37" s="422"/>
      <c r="S37" s="422"/>
    </row>
    <row r="38" spans="1:19" x14ac:dyDescent="0.25">
      <c r="A38" s="422"/>
      <c r="B38" s="625">
        <f t="shared" si="0"/>
        <v>0.33000000000000013</v>
      </c>
      <c r="C38" s="638">
        <f>1/DATI!$E$38*IF(B38&lt;DATI!$E$45,DATI!$E$32*DATI!$E$42*DATI!$E$49*DATI!$E$33*(B38/DATI!$E$45+1/(DATI!$E$49*DATI!$E$33)*(1-B38/DATI!$E$45)),IF(B38&lt;DATI!$E$46,DATI!$E$32*DATI!$E$42*DATI!$E$49*DATI!$E$33,IF(B38&lt;DATI!$E$47,DATI!$E$32*DATI!$E$42*DATI!$E$49*DATI!$E$33*(DATI!$E$46/B38),DATI!$E$32*DATI!$E$42*DATI!$E$49*DATI!$E$33*((DATI!$E$46*DATI!$E$47)/B38^2))))</f>
        <v>0.97781706721857686</v>
      </c>
      <c r="D38" s="300"/>
      <c r="E38" s="422"/>
      <c r="F38" s="422"/>
      <c r="G38" s="422"/>
      <c r="H38" s="422"/>
      <c r="I38" s="422"/>
      <c r="J38" s="422"/>
      <c r="K38" s="422"/>
      <c r="L38" s="422"/>
      <c r="M38" s="422"/>
      <c r="N38" s="422"/>
      <c r="O38" s="422"/>
      <c r="P38" s="422"/>
      <c r="Q38" s="422"/>
      <c r="R38" s="422"/>
      <c r="S38" s="422"/>
    </row>
    <row r="39" spans="1:19" x14ac:dyDescent="0.25">
      <c r="A39" s="422"/>
      <c r="B39" s="625">
        <f t="shared" si="0"/>
        <v>0.34000000000000014</v>
      </c>
      <c r="C39" s="638">
        <f>1/DATI!$E$38*IF(B39&lt;DATI!$E$45,DATI!$E$32*DATI!$E$42*DATI!$E$49*DATI!$E$33*(B39/DATI!$E$45+1/(DATI!$E$49*DATI!$E$33)*(1-B39/DATI!$E$45)),IF(B39&lt;DATI!$E$46,DATI!$E$32*DATI!$E$42*DATI!$E$49*DATI!$E$33,IF(B39&lt;DATI!$E$47,DATI!$E$32*DATI!$E$42*DATI!$E$49*DATI!$E$33*(DATI!$E$46/B39),DATI!$E$32*DATI!$E$42*DATI!$E$49*DATI!$E$33*((DATI!$E$46*DATI!$E$47)/B39^2))))</f>
        <v>0.97781706721857686</v>
      </c>
      <c r="D39" s="300"/>
      <c r="E39" s="422"/>
      <c r="F39" s="422"/>
      <c r="G39" s="422"/>
      <c r="H39" s="422"/>
      <c r="I39" s="422"/>
      <c r="J39" s="422"/>
      <c r="K39" s="422"/>
      <c r="L39" s="422"/>
      <c r="M39" s="422"/>
      <c r="N39" s="422"/>
      <c r="O39" s="422"/>
      <c r="P39" s="422"/>
      <c r="Q39" s="422"/>
      <c r="R39" s="422"/>
      <c r="S39" s="422"/>
    </row>
    <row r="40" spans="1:19" x14ac:dyDescent="0.25">
      <c r="A40" s="422"/>
      <c r="B40" s="625">
        <f t="shared" si="0"/>
        <v>0.35000000000000014</v>
      </c>
      <c r="C40" s="638">
        <f>1/DATI!$E$38*IF(B40&lt;DATI!$E$45,DATI!$E$32*DATI!$E$42*DATI!$E$49*DATI!$E$33*(B40/DATI!$E$45+1/(DATI!$E$49*DATI!$E$33)*(1-B40/DATI!$E$45)),IF(B40&lt;DATI!$E$46,DATI!$E$32*DATI!$E$42*DATI!$E$49*DATI!$E$33,IF(B40&lt;DATI!$E$47,DATI!$E$32*DATI!$E$42*DATI!$E$49*DATI!$E$33*(DATI!$E$46/B40),DATI!$E$32*DATI!$E$42*DATI!$E$49*DATI!$E$33*((DATI!$E$46*DATI!$E$47)/B40^2))))</f>
        <v>0.97781706721857686</v>
      </c>
      <c r="D40" s="300"/>
      <c r="E40" s="422"/>
      <c r="F40" s="422"/>
      <c r="G40" s="422"/>
      <c r="H40" s="422"/>
      <c r="I40" s="422"/>
      <c r="J40" s="422"/>
      <c r="K40" s="422"/>
      <c r="L40" s="422"/>
      <c r="M40" s="422"/>
      <c r="N40" s="422"/>
      <c r="O40" s="422"/>
      <c r="P40" s="422"/>
      <c r="Q40" s="422"/>
      <c r="R40" s="422"/>
      <c r="S40" s="422"/>
    </row>
    <row r="41" spans="1:19" x14ac:dyDescent="0.25">
      <c r="A41" s="422"/>
      <c r="B41" s="625">
        <f t="shared" si="0"/>
        <v>0.36000000000000015</v>
      </c>
      <c r="C41" s="638">
        <f>1/DATI!$E$38*IF(B41&lt;DATI!$E$45,DATI!$E$32*DATI!$E$42*DATI!$E$49*DATI!$E$33*(B41/DATI!$E$45+1/(DATI!$E$49*DATI!$E$33)*(1-B41/DATI!$E$45)),IF(B41&lt;DATI!$E$46,DATI!$E$32*DATI!$E$42*DATI!$E$49*DATI!$E$33,IF(B41&lt;DATI!$E$47,DATI!$E$32*DATI!$E$42*DATI!$E$49*DATI!$E$33*(DATI!$E$46/B41),DATI!$E$32*DATI!$E$42*DATI!$E$49*DATI!$E$33*((DATI!$E$46*DATI!$E$47)/B41^2))))</f>
        <v>0.97781706721857686</v>
      </c>
      <c r="D41" s="300"/>
      <c r="E41" s="422"/>
      <c r="F41" s="422"/>
      <c r="G41" s="422"/>
      <c r="H41" s="422"/>
      <c r="I41" s="422"/>
      <c r="J41" s="422"/>
      <c r="K41" s="422"/>
      <c r="L41" s="422"/>
      <c r="M41" s="422"/>
      <c r="N41" s="422"/>
      <c r="O41" s="422"/>
      <c r="P41" s="422"/>
      <c r="Q41" s="422"/>
      <c r="R41" s="422"/>
      <c r="S41" s="422"/>
    </row>
    <row r="42" spans="1:19" x14ac:dyDescent="0.25">
      <c r="A42" s="422"/>
      <c r="B42" s="625">
        <f t="shared" si="0"/>
        <v>0.37000000000000016</v>
      </c>
      <c r="C42" s="638">
        <f>1/DATI!$E$38*IF(B42&lt;DATI!$E$45,DATI!$E$32*DATI!$E$42*DATI!$E$49*DATI!$E$33*(B42/DATI!$E$45+1/(DATI!$E$49*DATI!$E$33)*(1-B42/DATI!$E$45)),IF(B42&lt;DATI!$E$46,DATI!$E$32*DATI!$E$42*DATI!$E$49*DATI!$E$33,IF(B42&lt;DATI!$E$47,DATI!$E$32*DATI!$E$42*DATI!$E$49*DATI!$E$33*(DATI!$E$46/B42),DATI!$E$32*DATI!$E$42*DATI!$E$49*DATI!$E$33*((DATI!$E$46*DATI!$E$47)/B42^2))))</f>
        <v>0.97781706721857686</v>
      </c>
      <c r="D42" s="300"/>
      <c r="E42" s="422"/>
      <c r="F42" s="422"/>
      <c r="G42" s="422"/>
      <c r="H42" s="422"/>
      <c r="I42" s="422"/>
      <c r="J42" s="422"/>
      <c r="K42" s="422"/>
      <c r="L42" s="422"/>
      <c r="M42" s="422"/>
      <c r="N42" s="422"/>
      <c r="O42" s="422"/>
      <c r="P42" s="422"/>
      <c r="Q42" s="422"/>
      <c r="R42" s="422"/>
      <c r="S42" s="422"/>
    </row>
    <row r="43" spans="1:19" x14ac:dyDescent="0.25">
      <c r="A43" s="422"/>
      <c r="B43" s="625">
        <f t="shared" si="0"/>
        <v>0.38000000000000017</v>
      </c>
      <c r="C43" s="638">
        <f>1/DATI!$E$38*IF(B43&lt;DATI!$E$45,DATI!$E$32*DATI!$E$42*DATI!$E$49*DATI!$E$33*(B43/DATI!$E$45+1/(DATI!$E$49*DATI!$E$33)*(1-B43/DATI!$E$45)),IF(B43&lt;DATI!$E$46,DATI!$E$32*DATI!$E$42*DATI!$E$49*DATI!$E$33,IF(B43&lt;DATI!$E$47,DATI!$E$32*DATI!$E$42*DATI!$E$49*DATI!$E$33*(DATI!$E$46/B43),DATI!$E$32*DATI!$E$42*DATI!$E$49*DATI!$E$33*((DATI!$E$46*DATI!$E$47)/B43^2))))</f>
        <v>0.97781706721857686</v>
      </c>
      <c r="D43" s="300"/>
      <c r="E43" s="422"/>
      <c r="F43" s="422"/>
      <c r="G43" s="422"/>
      <c r="H43" s="422"/>
      <c r="I43" s="422"/>
      <c r="J43" s="422"/>
      <c r="K43" s="422"/>
      <c r="L43" s="422"/>
      <c r="M43" s="422"/>
      <c r="N43" s="422"/>
      <c r="O43" s="422"/>
      <c r="P43" s="422"/>
      <c r="Q43" s="422"/>
      <c r="R43" s="422"/>
      <c r="S43" s="422"/>
    </row>
    <row r="44" spans="1:19" x14ac:dyDescent="0.25">
      <c r="A44" s="422"/>
      <c r="B44" s="625">
        <f t="shared" si="0"/>
        <v>0.39000000000000018</v>
      </c>
      <c r="C44" s="638">
        <f>1/DATI!$E$38*IF(B44&lt;DATI!$E$45,DATI!$E$32*DATI!$E$42*DATI!$E$49*DATI!$E$33*(B44/DATI!$E$45+1/(DATI!$E$49*DATI!$E$33)*(1-B44/DATI!$E$45)),IF(B44&lt;DATI!$E$46,DATI!$E$32*DATI!$E$42*DATI!$E$49*DATI!$E$33,IF(B44&lt;DATI!$E$47,DATI!$E$32*DATI!$E$42*DATI!$E$49*DATI!$E$33*(DATI!$E$46/B44),DATI!$E$32*DATI!$E$42*DATI!$E$49*DATI!$E$33*((DATI!$E$46*DATI!$E$47)/B44^2))))</f>
        <v>0.97781706721857686</v>
      </c>
      <c r="D44" s="300"/>
      <c r="E44" s="422"/>
      <c r="F44" s="422"/>
      <c r="G44" s="422"/>
      <c r="H44" s="422"/>
      <c r="I44" s="422"/>
      <c r="J44" s="422"/>
      <c r="K44" s="422"/>
      <c r="L44" s="422"/>
      <c r="M44" s="422"/>
      <c r="N44" s="422"/>
      <c r="O44" s="422"/>
      <c r="P44" s="422"/>
      <c r="Q44" s="422"/>
      <c r="R44" s="422"/>
      <c r="S44" s="422"/>
    </row>
    <row r="45" spans="1:19" x14ac:dyDescent="0.25">
      <c r="A45" s="422"/>
      <c r="B45" s="625">
        <f t="shared" si="0"/>
        <v>0.40000000000000019</v>
      </c>
      <c r="C45" s="638">
        <f>1/DATI!$E$38*IF(B45&lt;DATI!$E$45,DATI!$E$32*DATI!$E$42*DATI!$E$49*DATI!$E$33*(B45/DATI!$E$45+1/(DATI!$E$49*DATI!$E$33)*(1-B45/DATI!$E$45)),IF(B45&lt;DATI!$E$46,DATI!$E$32*DATI!$E$42*DATI!$E$49*DATI!$E$33,IF(B45&lt;DATI!$E$47,DATI!$E$32*DATI!$E$42*DATI!$E$49*DATI!$E$33*(DATI!$E$46/B45),DATI!$E$32*DATI!$E$42*DATI!$E$49*DATI!$E$33*((DATI!$E$46*DATI!$E$47)/B45^2))))</f>
        <v>0.97781706721857686</v>
      </c>
      <c r="D45" s="300"/>
      <c r="E45" s="422"/>
      <c r="F45" s="422"/>
      <c r="G45" s="422"/>
      <c r="H45" s="422"/>
      <c r="I45" s="422"/>
      <c r="J45" s="422"/>
      <c r="K45" s="422"/>
      <c r="L45" s="422"/>
      <c r="M45" s="422"/>
      <c r="N45" s="422"/>
      <c r="O45" s="422"/>
      <c r="P45" s="422"/>
      <c r="Q45" s="422"/>
      <c r="R45" s="422"/>
      <c r="S45" s="422"/>
    </row>
    <row r="46" spans="1:19" x14ac:dyDescent="0.25">
      <c r="A46" s="422"/>
      <c r="B46" s="625">
        <f t="shared" si="0"/>
        <v>0.4100000000000002</v>
      </c>
      <c r="C46" s="638">
        <f>1/DATI!$E$38*IF(B46&lt;DATI!$E$45,DATI!$E$32*DATI!$E$42*DATI!$E$49*DATI!$E$33*(B46/DATI!$E$45+1/(DATI!$E$49*DATI!$E$33)*(1-B46/DATI!$E$45)),IF(B46&lt;DATI!$E$46,DATI!$E$32*DATI!$E$42*DATI!$E$49*DATI!$E$33,IF(B46&lt;DATI!$E$47,DATI!$E$32*DATI!$E$42*DATI!$E$49*DATI!$E$33*(DATI!$E$46/B46),DATI!$E$32*DATI!$E$42*DATI!$E$49*DATI!$E$33*((DATI!$E$46*DATI!$E$47)/B46^2))))</f>
        <v>0.97781706721857686</v>
      </c>
      <c r="D46" s="300"/>
      <c r="E46" s="422"/>
      <c r="F46" s="422"/>
      <c r="G46" s="422"/>
      <c r="H46" s="422"/>
      <c r="I46" s="422"/>
      <c r="J46" s="422"/>
      <c r="K46" s="422"/>
      <c r="L46" s="422"/>
      <c r="M46" s="422"/>
      <c r="N46" s="422"/>
      <c r="O46" s="422"/>
      <c r="P46" s="422"/>
      <c r="Q46" s="422"/>
      <c r="R46" s="422"/>
      <c r="S46" s="422"/>
    </row>
    <row r="47" spans="1:19" x14ac:dyDescent="0.25">
      <c r="A47" s="422"/>
      <c r="B47" s="625">
        <f t="shared" si="0"/>
        <v>0.42000000000000021</v>
      </c>
      <c r="C47" s="638">
        <f>1/DATI!$E$38*IF(B47&lt;DATI!$E$45,DATI!$E$32*DATI!$E$42*DATI!$E$49*DATI!$E$33*(B47/DATI!$E$45+1/(DATI!$E$49*DATI!$E$33)*(1-B47/DATI!$E$45)),IF(B47&lt;DATI!$E$46,DATI!$E$32*DATI!$E$42*DATI!$E$49*DATI!$E$33,IF(B47&lt;DATI!$E$47,DATI!$E$32*DATI!$E$42*DATI!$E$49*DATI!$E$33*(DATI!$E$46/B47),DATI!$E$32*DATI!$E$42*DATI!$E$49*DATI!$E$33*((DATI!$E$46*DATI!$E$47)/B47^2))))</f>
        <v>0.97781706721857686</v>
      </c>
      <c r="D47" s="300"/>
      <c r="E47" s="422"/>
      <c r="F47" s="422"/>
      <c r="G47" s="422"/>
      <c r="H47" s="422"/>
      <c r="I47" s="422"/>
      <c r="J47" s="422"/>
      <c r="K47" s="422"/>
      <c r="L47" s="422"/>
      <c r="M47" s="422"/>
      <c r="N47" s="422"/>
      <c r="O47" s="422"/>
      <c r="P47" s="422"/>
      <c r="Q47" s="422"/>
      <c r="R47" s="422"/>
      <c r="S47" s="422"/>
    </row>
    <row r="48" spans="1:19" x14ac:dyDescent="0.25">
      <c r="A48" s="422"/>
      <c r="B48" s="625">
        <f t="shared" si="0"/>
        <v>0.43000000000000022</v>
      </c>
      <c r="C48" s="638">
        <f>1/DATI!$E$38*IF(B48&lt;DATI!$E$45,DATI!$E$32*DATI!$E$42*DATI!$E$49*DATI!$E$33*(B48/DATI!$E$45+1/(DATI!$E$49*DATI!$E$33)*(1-B48/DATI!$E$45)),IF(B48&lt;DATI!$E$46,DATI!$E$32*DATI!$E$42*DATI!$E$49*DATI!$E$33,IF(B48&lt;DATI!$E$47,DATI!$E$32*DATI!$E$42*DATI!$E$49*DATI!$E$33*(DATI!$E$46/B48),DATI!$E$32*DATI!$E$42*DATI!$E$49*DATI!$E$33*((DATI!$E$46*DATI!$E$47)/B48^2))))</f>
        <v>0.97781706721857686</v>
      </c>
      <c r="D48" s="300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</row>
    <row r="49" spans="1:19" x14ac:dyDescent="0.25">
      <c r="A49" s="422"/>
      <c r="B49" s="625">
        <f t="shared" si="0"/>
        <v>0.44000000000000022</v>
      </c>
      <c r="C49" s="638">
        <f>1/DATI!$E$38*IF(B49&lt;DATI!$E$45,DATI!$E$32*DATI!$E$42*DATI!$E$49*DATI!$E$33*(B49/DATI!$E$45+1/(DATI!$E$49*DATI!$E$33)*(1-B49/DATI!$E$45)),IF(B49&lt;DATI!$E$46,DATI!$E$32*DATI!$E$42*DATI!$E$49*DATI!$E$33,IF(B49&lt;DATI!$E$47,DATI!$E$32*DATI!$E$42*DATI!$E$49*DATI!$E$33*(DATI!$E$46/B49),DATI!$E$32*DATI!$E$42*DATI!$E$49*DATI!$E$33*((DATI!$E$46*DATI!$E$47)/B49^2))))</f>
        <v>0.97781706721857686</v>
      </c>
      <c r="D49" s="300"/>
      <c r="E49" s="422"/>
      <c r="F49" s="422"/>
      <c r="G49" s="422"/>
      <c r="H49" s="422"/>
      <c r="I49" s="422"/>
      <c r="J49" s="422"/>
      <c r="K49" s="422"/>
      <c r="L49" s="422"/>
      <c r="M49" s="422"/>
      <c r="N49" s="422"/>
      <c r="O49" s="422"/>
      <c r="P49" s="422"/>
      <c r="Q49" s="422"/>
      <c r="R49" s="422"/>
      <c r="S49" s="422"/>
    </row>
    <row r="50" spans="1:19" x14ac:dyDescent="0.25">
      <c r="A50" s="422"/>
      <c r="B50" s="625">
        <f t="shared" si="0"/>
        <v>0.45000000000000023</v>
      </c>
      <c r="C50" s="638">
        <f>1/DATI!$E$38*IF(B50&lt;DATI!$E$45,DATI!$E$32*DATI!$E$42*DATI!$E$49*DATI!$E$33*(B50/DATI!$E$45+1/(DATI!$E$49*DATI!$E$33)*(1-B50/DATI!$E$45)),IF(B50&lt;DATI!$E$46,DATI!$E$32*DATI!$E$42*DATI!$E$49*DATI!$E$33,IF(B50&lt;DATI!$E$47,DATI!$E$32*DATI!$E$42*DATI!$E$49*DATI!$E$33*(DATI!$E$46/B50),DATI!$E$32*DATI!$E$42*DATI!$E$49*DATI!$E$33*((DATI!$E$46*DATI!$E$47)/B50^2))))</f>
        <v>0.97781706721857686</v>
      </c>
      <c r="D50" s="300"/>
      <c r="E50" s="422"/>
      <c r="F50" s="422"/>
      <c r="G50" s="422"/>
      <c r="H50" s="422"/>
      <c r="I50" s="422"/>
      <c r="J50" s="422"/>
      <c r="K50" s="422"/>
      <c r="L50" s="422"/>
      <c r="M50" s="422"/>
      <c r="N50" s="422"/>
      <c r="O50" s="422"/>
      <c r="P50" s="422"/>
      <c r="Q50" s="422"/>
      <c r="R50" s="422"/>
      <c r="S50" s="422"/>
    </row>
    <row r="51" spans="1:19" x14ac:dyDescent="0.25">
      <c r="A51" s="422"/>
      <c r="B51" s="625">
        <f t="shared" si="0"/>
        <v>0.46000000000000024</v>
      </c>
      <c r="C51" s="638">
        <f>1/DATI!$E$38*IF(B51&lt;DATI!$E$45,DATI!$E$32*DATI!$E$42*DATI!$E$49*DATI!$E$33*(B51/DATI!$E$45+1/(DATI!$E$49*DATI!$E$33)*(1-B51/DATI!$E$45)),IF(B51&lt;DATI!$E$46,DATI!$E$32*DATI!$E$42*DATI!$E$49*DATI!$E$33,IF(B51&lt;DATI!$E$47,DATI!$E$32*DATI!$E$42*DATI!$E$49*DATI!$E$33*(DATI!$E$46/B51),DATI!$E$32*DATI!$E$42*DATI!$E$49*DATI!$E$33*((DATI!$E$46*DATI!$E$47)/B51^2))))</f>
        <v>0.97781706721857686</v>
      </c>
      <c r="D51" s="300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</row>
    <row r="52" spans="1:19" x14ac:dyDescent="0.25">
      <c r="A52" s="422"/>
      <c r="B52" s="625">
        <f t="shared" si="0"/>
        <v>0.47000000000000025</v>
      </c>
      <c r="C52" s="638">
        <f>1/DATI!$E$38*IF(B52&lt;DATI!$E$45,DATI!$E$32*DATI!$E$42*DATI!$E$49*DATI!$E$33*(B52/DATI!$E$45+1/(DATI!$E$49*DATI!$E$33)*(1-B52/DATI!$E$45)),IF(B52&lt;DATI!$E$46,DATI!$E$32*DATI!$E$42*DATI!$E$49*DATI!$E$33,IF(B52&lt;DATI!$E$47,DATI!$E$32*DATI!$E$42*DATI!$E$49*DATI!$E$33*(DATI!$E$46/B52),DATI!$E$32*DATI!$E$42*DATI!$E$49*DATI!$E$33*((DATI!$E$46*DATI!$E$47)/B52^2))))</f>
        <v>0.97781706721857686</v>
      </c>
      <c r="D52" s="300"/>
      <c r="E52" s="422"/>
      <c r="F52" s="422"/>
      <c r="G52" s="422"/>
      <c r="H52" s="422"/>
      <c r="I52" s="422"/>
      <c r="J52" s="422"/>
      <c r="K52" s="422"/>
      <c r="L52" s="422"/>
      <c r="M52" s="422"/>
      <c r="N52" s="422"/>
      <c r="O52" s="422"/>
      <c r="P52" s="422"/>
      <c r="Q52" s="422"/>
      <c r="R52" s="422"/>
      <c r="S52" s="422"/>
    </row>
    <row r="53" spans="1:19" x14ac:dyDescent="0.25">
      <c r="A53" s="422"/>
      <c r="B53" s="625">
        <f t="shared" si="0"/>
        <v>0.48000000000000026</v>
      </c>
      <c r="C53" s="638">
        <f>1/DATI!$E$38*IF(B53&lt;DATI!$E$45,DATI!$E$32*DATI!$E$42*DATI!$E$49*DATI!$E$33*(B53/DATI!$E$45+1/(DATI!$E$49*DATI!$E$33)*(1-B53/DATI!$E$45)),IF(B53&lt;DATI!$E$46,DATI!$E$32*DATI!$E$42*DATI!$E$49*DATI!$E$33,IF(B53&lt;DATI!$E$47,DATI!$E$32*DATI!$E$42*DATI!$E$49*DATI!$E$33*(DATI!$E$46/B53),DATI!$E$32*DATI!$E$42*DATI!$E$49*DATI!$E$33*((DATI!$E$46*DATI!$E$47)/B53^2))))</f>
        <v>0.97781706721857686</v>
      </c>
      <c r="D53" s="300"/>
      <c r="E53" s="422"/>
      <c r="F53" s="422"/>
      <c r="G53" s="422"/>
      <c r="H53" s="422"/>
      <c r="I53" s="422"/>
      <c r="J53" s="422"/>
      <c r="K53" s="422"/>
      <c r="L53" s="422"/>
      <c r="M53" s="422"/>
      <c r="N53" s="422"/>
      <c r="O53" s="422"/>
      <c r="P53" s="422"/>
      <c r="Q53" s="422"/>
      <c r="R53" s="422"/>
      <c r="S53" s="422"/>
    </row>
    <row r="54" spans="1:19" x14ac:dyDescent="0.25">
      <c r="A54" s="422"/>
      <c r="B54" s="625">
        <f t="shared" si="0"/>
        <v>0.49000000000000027</v>
      </c>
      <c r="C54" s="638">
        <f>1/DATI!$E$38*IF(B54&lt;DATI!$E$45,DATI!$E$32*DATI!$E$42*DATI!$E$49*DATI!$E$33*(B54/DATI!$E$45+1/(DATI!$E$49*DATI!$E$33)*(1-B54/DATI!$E$45)),IF(B54&lt;DATI!$E$46,DATI!$E$32*DATI!$E$42*DATI!$E$49*DATI!$E$33,IF(B54&lt;DATI!$E$47,DATI!$E$32*DATI!$E$42*DATI!$E$49*DATI!$E$33*(DATI!$E$46/B54),DATI!$E$32*DATI!$E$42*DATI!$E$49*DATI!$E$33*((DATI!$E$46*DATI!$E$47)/B54^2))))</f>
        <v>0.97781706721857686</v>
      </c>
      <c r="D54" s="300"/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</row>
    <row r="55" spans="1:19" x14ac:dyDescent="0.25">
      <c r="A55" s="422"/>
      <c r="B55" s="625">
        <f t="shared" si="0"/>
        <v>0.50000000000000022</v>
      </c>
      <c r="C55" s="638">
        <f>1/DATI!$E$38*IF(B55&lt;DATI!$E$45,DATI!$E$32*DATI!$E$42*DATI!$E$49*DATI!$E$33*(B55/DATI!$E$45+1/(DATI!$E$49*DATI!$E$33)*(1-B55/DATI!$E$45)),IF(B55&lt;DATI!$E$46,DATI!$E$32*DATI!$E$42*DATI!$E$49*DATI!$E$33,IF(B55&lt;DATI!$E$47,DATI!$E$32*DATI!$E$42*DATI!$E$49*DATI!$E$33*(DATI!$E$46/B55),DATI!$E$32*DATI!$E$42*DATI!$E$49*DATI!$E$33*((DATI!$E$46*DATI!$E$47)/B55^2))))</f>
        <v>0.97781706721857686</v>
      </c>
      <c r="D55" s="300"/>
      <c r="E55" s="422"/>
      <c r="F55" s="422"/>
      <c r="G55" s="422"/>
      <c r="H55" s="422"/>
      <c r="I55" s="422"/>
      <c r="J55" s="422"/>
      <c r="K55" s="422"/>
      <c r="L55" s="422"/>
      <c r="M55" s="422"/>
      <c r="N55" s="422"/>
      <c r="O55" s="422"/>
      <c r="P55" s="422"/>
      <c r="Q55" s="422"/>
      <c r="R55" s="422"/>
      <c r="S55" s="422"/>
    </row>
    <row r="56" spans="1:19" x14ac:dyDescent="0.25">
      <c r="A56" s="422"/>
      <c r="B56" s="625">
        <f t="shared" si="0"/>
        <v>0.51000000000000023</v>
      </c>
      <c r="C56" s="638">
        <f>1/DATI!$E$38*IF(B56&lt;DATI!$E$45,DATI!$E$32*DATI!$E$42*DATI!$E$49*DATI!$E$33*(B56/DATI!$E$45+1/(DATI!$E$49*DATI!$E$33)*(1-B56/DATI!$E$45)),IF(B56&lt;DATI!$E$46,DATI!$E$32*DATI!$E$42*DATI!$E$49*DATI!$E$33,IF(B56&lt;DATI!$E$47,DATI!$E$32*DATI!$E$42*DATI!$E$49*DATI!$E$33*(DATI!$E$46/B56),DATI!$E$32*DATI!$E$42*DATI!$E$49*DATI!$E$33*((DATI!$E$46*DATI!$E$47)/B56^2))))</f>
        <v>0.97781706721857686</v>
      </c>
      <c r="D56" s="300"/>
      <c r="E56" s="422"/>
      <c r="F56" s="422"/>
      <c r="G56" s="422"/>
      <c r="H56" s="422"/>
      <c r="I56" s="422"/>
      <c r="J56" s="422"/>
      <c r="K56" s="422"/>
      <c r="L56" s="422"/>
      <c r="M56" s="422"/>
      <c r="N56" s="422"/>
      <c r="O56" s="422"/>
      <c r="P56" s="422"/>
      <c r="Q56" s="422"/>
      <c r="R56" s="422"/>
      <c r="S56" s="422"/>
    </row>
    <row r="57" spans="1:19" x14ac:dyDescent="0.25">
      <c r="A57" s="422"/>
      <c r="B57" s="625">
        <f t="shared" si="0"/>
        <v>0.52000000000000024</v>
      </c>
      <c r="C57" s="638">
        <f>1/DATI!$E$38*IF(B57&lt;DATI!$E$45,DATI!$E$32*DATI!$E$42*DATI!$E$49*DATI!$E$33*(B57/DATI!$E$45+1/(DATI!$E$49*DATI!$E$33)*(1-B57/DATI!$E$45)),IF(B57&lt;DATI!$E$46,DATI!$E$32*DATI!$E$42*DATI!$E$49*DATI!$E$33,IF(B57&lt;DATI!$E$47,DATI!$E$32*DATI!$E$42*DATI!$E$49*DATI!$E$33*(DATI!$E$46/B57),DATI!$E$32*DATI!$E$42*DATI!$E$49*DATI!$E$33*((DATI!$E$46*DATI!$E$47)/B57^2))))</f>
        <v>0.97781706721857686</v>
      </c>
      <c r="D57" s="300"/>
      <c r="E57" s="422"/>
      <c r="F57" s="422"/>
      <c r="G57" s="422"/>
      <c r="H57" s="422"/>
      <c r="I57" s="422"/>
      <c r="J57" s="422"/>
      <c r="K57" s="422"/>
      <c r="L57" s="422"/>
      <c r="M57" s="422"/>
      <c r="N57" s="422"/>
      <c r="O57" s="422"/>
      <c r="P57" s="422"/>
      <c r="Q57" s="422"/>
      <c r="R57" s="422"/>
      <c r="S57" s="422"/>
    </row>
    <row r="58" spans="1:19" x14ac:dyDescent="0.25">
      <c r="A58" s="422"/>
      <c r="B58" s="625">
        <f t="shared" si="0"/>
        <v>0.53000000000000025</v>
      </c>
      <c r="C58" s="638">
        <f>1/DATI!$E$38*IF(B58&lt;DATI!$E$45,DATI!$E$32*DATI!$E$42*DATI!$E$49*DATI!$E$33*(B58/DATI!$E$45+1/(DATI!$E$49*DATI!$E$33)*(1-B58/DATI!$E$45)),IF(B58&lt;DATI!$E$46,DATI!$E$32*DATI!$E$42*DATI!$E$49*DATI!$E$33,IF(B58&lt;DATI!$E$47,DATI!$E$32*DATI!$E$42*DATI!$E$49*DATI!$E$33*(DATI!$E$46/B58),DATI!$E$32*DATI!$E$42*DATI!$E$49*DATI!$E$33*((DATI!$E$46*DATI!$E$47)/B58^2))))</f>
        <v>0.97781706721857686</v>
      </c>
      <c r="D58" s="300"/>
      <c r="E58" s="422"/>
      <c r="F58" s="422"/>
      <c r="G58" s="422"/>
      <c r="H58" s="422"/>
      <c r="I58" s="422"/>
      <c r="J58" s="422"/>
      <c r="K58" s="422"/>
      <c r="L58" s="422"/>
      <c r="M58" s="422"/>
      <c r="N58" s="422"/>
      <c r="O58" s="422"/>
      <c r="P58" s="422"/>
      <c r="Q58" s="422"/>
      <c r="R58" s="422"/>
      <c r="S58" s="422"/>
    </row>
    <row r="59" spans="1:19" x14ac:dyDescent="0.25">
      <c r="A59" s="422"/>
      <c r="B59" s="625">
        <f t="shared" si="0"/>
        <v>0.54000000000000026</v>
      </c>
      <c r="C59" s="638">
        <f>1/DATI!$E$38*IF(B59&lt;DATI!$E$45,DATI!$E$32*DATI!$E$42*DATI!$E$49*DATI!$E$33*(B59/DATI!$E$45+1/(DATI!$E$49*DATI!$E$33)*(1-B59/DATI!$E$45)),IF(B59&lt;DATI!$E$46,DATI!$E$32*DATI!$E$42*DATI!$E$49*DATI!$E$33,IF(B59&lt;DATI!$E$47,DATI!$E$32*DATI!$E$42*DATI!$E$49*DATI!$E$33*(DATI!$E$46/B59),DATI!$E$32*DATI!$E$42*DATI!$E$49*DATI!$E$33*((DATI!$E$46*DATI!$E$47)/B59^2))))</f>
        <v>0.97781706721857686</v>
      </c>
      <c r="D59" s="300"/>
      <c r="E59" s="422"/>
      <c r="F59" s="422"/>
      <c r="G59" s="422"/>
      <c r="H59" s="422"/>
      <c r="I59" s="422"/>
      <c r="J59" s="422"/>
      <c r="K59" s="422"/>
      <c r="L59" s="422"/>
      <c r="M59" s="422"/>
      <c r="N59" s="422"/>
      <c r="O59" s="422"/>
      <c r="P59" s="422"/>
      <c r="Q59" s="422"/>
      <c r="R59" s="422"/>
      <c r="S59" s="422"/>
    </row>
    <row r="60" spans="1:19" x14ac:dyDescent="0.25">
      <c r="A60" s="422"/>
      <c r="B60" s="625">
        <f t="shared" si="0"/>
        <v>0.55000000000000027</v>
      </c>
      <c r="C60" s="638">
        <f>1/DATI!$E$38*IF(B60&lt;DATI!$E$45,DATI!$E$32*DATI!$E$42*DATI!$E$49*DATI!$E$33*(B60/DATI!$E$45+1/(DATI!$E$49*DATI!$E$33)*(1-B60/DATI!$E$45)),IF(B60&lt;DATI!$E$46,DATI!$E$32*DATI!$E$42*DATI!$E$49*DATI!$E$33,IF(B60&lt;DATI!$E$47,DATI!$E$32*DATI!$E$42*DATI!$E$49*DATI!$E$33*(DATI!$E$46/B60),DATI!$E$32*DATI!$E$42*DATI!$E$49*DATI!$E$33*((DATI!$E$46*DATI!$E$47)/B60^2))))</f>
        <v>0.97781706721857686</v>
      </c>
      <c r="D60" s="300"/>
      <c r="E60" s="422"/>
      <c r="F60" s="422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  <c r="S60" s="422"/>
    </row>
    <row r="61" spans="1:19" x14ac:dyDescent="0.25">
      <c r="A61" s="422"/>
      <c r="B61" s="625">
        <f t="shared" si="0"/>
        <v>0.56000000000000028</v>
      </c>
      <c r="C61" s="638">
        <f>1/DATI!$E$38*IF(B61&lt;DATI!$E$45,DATI!$E$32*DATI!$E$42*DATI!$E$49*DATI!$E$33*(B61/DATI!$E$45+1/(DATI!$E$49*DATI!$E$33)*(1-B61/DATI!$E$45)),IF(B61&lt;DATI!$E$46,DATI!$E$32*DATI!$E$42*DATI!$E$49*DATI!$E$33,IF(B61&lt;DATI!$E$47,DATI!$E$32*DATI!$E$42*DATI!$E$49*DATI!$E$33*(DATI!$E$46/B61),DATI!$E$32*DATI!$E$42*DATI!$E$49*DATI!$E$33*((DATI!$E$46*DATI!$E$47)/B61^2))))</f>
        <v>0.97781706721857686</v>
      </c>
      <c r="D61" s="300"/>
      <c r="E61" s="422"/>
      <c r="F61" s="422"/>
      <c r="G61" s="422"/>
      <c r="H61" s="422"/>
      <c r="I61" s="422"/>
      <c r="J61" s="422"/>
      <c r="K61" s="422"/>
      <c r="L61" s="422"/>
      <c r="M61" s="422"/>
      <c r="N61" s="422"/>
      <c r="O61" s="422"/>
      <c r="P61" s="422"/>
      <c r="Q61" s="422"/>
      <c r="R61" s="422"/>
      <c r="S61" s="422"/>
    </row>
    <row r="62" spans="1:19" x14ac:dyDescent="0.25">
      <c r="A62" s="422"/>
      <c r="B62" s="625">
        <f t="shared" si="0"/>
        <v>0.57000000000000028</v>
      </c>
      <c r="C62" s="638">
        <f>1/DATI!$E$38*IF(B62&lt;DATI!$E$45,DATI!$E$32*DATI!$E$42*DATI!$E$49*DATI!$E$33*(B62/DATI!$E$45+1/(DATI!$E$49*DATI!$E$33)*(1-B62/DATI!$E$45)),IF(B62&lt;DATI!$E$46,DATI!$E$32*DATI!$E$42*DATI!$E$49*DATI!$E$33,IF(B62&lt;DATI!$E$47,DATI!$E$32*DATI!$E$42*DATI!$E$49*DATI!$E$33*(DATI!$E$46/B62),DATI!$E$32*DATI!$E$42*DATI!$E$49*DATI!$E$33*((DATI!$E$46*DATI!$E$47)/B62^2))))</f>
        <v>0.97781706721857686</v>
      </c>
      <c r="D62" s="300"/>
      <c r="E62" s="422"/>
      <c r="F62" s="422"/>
      <c r="G62" s="422"/>
      <c r="H62" s="422"/>
      <c r="I62" s="422"/>
      <c r="J62" s="422"/>
      <c r="K62" s="422"/>
      <c r="L62" s="422"/>
      <c r="M62" s="422"/>
      <c r="N62" s="422"/>
      <c r="O62" s="422"/>
      <c r="P62" s="422"/>
      <c r="Q62" s="422"/>
      <c r="R62" s="422"/>
      <c r="S62" s="422"/>
    </row>
    <row r="63" spans="1:19" x14ac:dyDescent="0.25">
      <c r="A63" s="422"/>
      <c r="B63" s="625">
        <f t="shared" si="0"/>
        <v>0.58000000000000029</v>
      </c>
      <c r="C63" s="638">
        <f>1/DATI!$E$38*IF(B63&lt;DATI!$E$45,DATI!$E$32*DATI!$E$42*DATI!$E$49*DATI!$E$33*(B63/DATI!$E$45+1/(DATI!$E$49*DATI!$E$33)*(1-B63/DATI!$E$45)),IF(B63&lt;DATI!$E$46,DATI!$E$32*DATI!$E$42*DATI!$E$49*DATI!$E$33,IF(B63&lt;DATI!$E$47,DATI!$E$32*DATI!$E$42*DATI!$E$49*DATI!$E$33*(DATI!$E$46/B63),DATI!$E$32*DATI!$E$42*DATI!$E$49*DATI!$E$33*((DATI!$E$46*DATI!$E$47)/B63^2))))</f>
        <v>0.97781706721857686</v>
      </c>
      <c r="D63" s="300"/>
      <c r="E63" s="422"/>
      <c r="F63" s="422"/>
      <c r="G63" s="422"/>
      <c r="H63" s="422"/>
      <c r="I63" s="422"/>
      <c r="J63" s="422"/>
      <c r="K63" s="422"/>
      <c r="L63" s="422"/>
      <c r="M63" s="422"/>
      <c r="N63" s="422"/>
      <c r="O63" s="422"/>
      <c r="P63" s="422"/>
      <c r="Q63" s="422"/>
      <c r="R63" s="422"/>
      <c r="S63" s="422"/>
    </row>
    <row r="64" spans="1:19" x14ac:dyDescent="0.25">
      <c r="A64" s="422"/>
      <c r="B64" s="625">
        <f t="shared" si="0"/>
        <v>0.5900000000000003</v>
      </c>
      <c r="C64" s="638">
        <f>1/DATI!$E$38*IF(B64&lt;DATI!$E$45,DATI!$E$32*DATI!$E$42*DATI!$E$49*DATI!$E$33*(B64/DATI!$E$45+1/(DATI!$E$49*DATI!$E$33)*(1-B64/DATI!$E$45)),IF(B64&lt;DATI!$E$46,DATI!$E$32*DATI!$E$42*DATI!$E$49*DATI!$E$33,IF(B64&lt;DATI!$E$47,DATI!$E$32*DATI!$E$42*DATI!$E$49*DATI!$E$33*(DATI!$E$46/B64),DATI!$E$32*DATI!$E$42*DATI!$E$49*DATI!$E$33*((DATI!$E$46*DATI!$E$47)/B64^2))))</f>
        <v>0.97781706721857686</v>
      </c>
      <c r="D64" s="300"/>
      <c r="E64" s="422"/>
      <c r="F64" s="422"/>
      <c r="G64" s="422"/>
      <c r="H64" s="422"/>
      <c r="I64" s="422"/>
      <c r="J64" s="422"/>
      <c r="K64" s="422"/>
      <c r="L64" s="422"/>
      <c r="M64" s="422"/>
      <c r="N64" s="422"/>
      <c r="O64" s="422"/>
      <c r="P64" s="422"/>
      <c r="Q64" s="422"/>
      <c r="R64" s="422"/>
      <c r="S64" s="422"/>
    </row>
    <row r="65" spans="1:19" x14ac:dyDescent="0.25">
      <c r="A65" s="422"/>
      <c r="B65" s="625">
        <f t="shared" si="0"/>
        <v>0.60000000000000031</v>
      </c>
      <c r="C65" s="638">
        <f>1/DATI!$E$38*IF(B65&lt;DATI!$E$45,DATI!$E$32*DATI!$E$42*DATI!$E$49*DATI!$E$33*(B65/DATI!$E$45+1/(DATI!$E$49*DATI!$E$33)*(1-B65/DATI!$E$45)),IF(B65&lt;DATI!$E$46,DATI!$E$32*DATI!$E$42*DATI!$E$49*DATI!$E$33,IF(B65&lt;DATI!$E$47,DATI!$E$32*DATI!$E$42*DATI!$E$49*DATI!$E$33*(DATI!$E$46/B65),DATI!$E$32*DATI!$E$42*DATI!$E$49*DATI!$E$33*((DATI!$E$46*DATI!$E$47)/B65^2))))</f>
        <v>0.97781706721857686</v>
      </c>
      <c r="D65" s="300"/>
      <c r="E65" s="422"/>
      <c r="F65" s="422"/>
      <c r="G65" s="422"/>
      <c r="H65" s="422"/>
      <c r="I65" s="422"/>
      <c r="J65" s="422"/>
      <c r="K65" s="422"/>
      <c r="L65" s="422"/>
      <c r="M65" s="422"/>
      <c r="N65" s="422"/>
      <c r="O65" s="422"/>
      <c r="P65" s="422"/>
      <c r="Q65" s="422"/>
      <c r="R65" s="422"/>
      <c r="S65" s="422"/>
    </row>
    <row r="66" spans="1:19" x14ac:dyDescent="0.25">
      <c r="A66" s="422"/>
      <c r="B66" s="625">
        <f t="shared" si="0"/>
        <v>0.61000000000000032</v>
      </c>
      <c r="C66" s="638">
        <f>1/DATI!$E$38*IF(B66&lt;DATI!$E$45,DATI!$E$32*DATI!$E$42*DATI!$E$49*DATI!$E$33*(B66/DATI!$E$45+1/(DATI!$E$49*DATI!$E$33)*(1-B66/DATI!$E$45)),IF(B66&lt;DATI!$E$46,DATI!$E$32*DATI!$E$42*DATI!$E$49*DATI!$E$33,IF(B66&lt;DATI!$E$47,DATI!$E$32*DATI!$E$42*DATI!$E$49*DATI!$E$33*(DATI!$E$46/B66),DATI!$E$32*DATI!$E$42*DATI!$E$49*DATI!$E$33*((DATI!$E$46*DATI!$E$47)/B66^2))))</f>
        <v>0.97650185352880725</v>
      </c>
      <c r="D66" s="300"/>
      <c r="E66" s="422"/>
      <c r="F66" s="422"/>
      <c r="G66" s="422"/>
      <c r="H66" s="422"/>
      <c r="I66" s="422"/>
      <c r="J66" s="422"/>
      <c r="K66" s="422"/>
      <c r="L66" s="422"/>
      <c r="M66" s="422"/>
      <c r="N66" s="422"/>
      <c r="O66" s="422"/>
      <c r="P66" s="422"/>
      <c r="Q66" s="422"/>
      <c r="R66" s="422"/>
      <c r="S66" s="422"/>
    </row>
    <row r="67" spans="1:19" x14ac:dyDescent="0.25">
      <c r="A67" s="422"/>
      <c r="B67" s="625">
        <f t="shared" si="0"/>
        <v>0.62000000000000033</v>
      </c>
      <c r="C67" s="638">
        <f>1/DATI!$E$38*IF(B67&lt;DATI!$E$45,DATI!$E$32*DATI!$E$42*DATI!$E$49*DATI!$E$33*(B67/DATI!$E$45+1/(DATI!$E$49*DATI!$E$33)*(1-B67/DATI!$E$45)),IF(B67&lt;DATI!$E$46,DATI!$E$32*DATI!$E$42*DATI!$E$49*DATI!$E$33,IF(B67&lt;DATI!$E$47,DATI!$E$32*DATI!$E$42*DATI!$E$49*DATI!$E$33*(DATI!$E$46/B67),DATI!$E$32*DATI!$E$42*DATI!$E$49*DATI!$E$33*((DATI!$E$46*DATI!$E$47)/B67^2))))</f>
        <v>0.96075182363318135</v>
      </c>
      <c r="D67" s="300"/>
      <c r="E67" s="422"/>
      <c r="F67" s="422"/>
      <c r="G67" s="422"/>
      <c r="H67" s="422"/>
      <c r="I67" s="422"/>
      <c r="J67" s="422"/>
      <c r="K67" s="422"/>
      <c r="L67" s="422"/>
      <c r="M67" s="422"/>
      <c r="N67" s="422"/>
      <c r="O67" s="422"/>
      <c r="P67" s="422"/>
      <c r="Q67" s="422"/>
      <c r="R67" s="422"/>
      <c r="S67" s="422"/>
    </row>
    <row r="68" spans="1:19" x14ac:dyDescent="0.25">
      <c r="A68" s="422"/>
      <c r="B68" s="625">
        <f t="shared" si="0"/>
        <v>0.63000000000000034</v>
      </c>
      <c r="C68" s="638">
        <f>1/DATI!$E$38*IF(B68&lt;DATI!$E$45,DATI!$E$32*DATI!$E$42*DATI!$E$49*DATI!$E$33*(B68/DATI!$E$45+1/(DATI!$E$49*DATI!$E$33)*(1-B68/DATI!$E$45)),IF(B68&lt;DATI!$E$46,DATI!$E$32*DATI!$E$42*DATI!$E$49*DATI!$E$33,IF(B68&lt;DATI!$E$47,DATI!$E$32*DATI!$E$42*DATI!$E$49*DATI!$E$33*(DATI!$E$46/B68),DATI!$E$32*DATI!$E$42*DATI!$E$49*DATI!$E$33*((DATI!$E$46*DATI!$E$47)/B68^2))))</f>
        <v>0.94550179468662277</v>
      </c>
      <c r="D68" s="300"/>
      <c r="E68" s="422"/>
      <c r="F68" s="422"/>
      <c r="G68" s="422"/>
      <c r="H68" s="422"/>
      <c r="I68" s="422"/>
      <c r="J68" s="422"/>
      <c r="K68" s="422"/>
      <c r="L68" s="422"/>
      <c r="M68" s="422"/>
      <c r="N68" s="422"/>
      <c r="O68" s="422"/>
      <c r="P68" s="422"/>
      <c r="Q68" s="422"/>
      <c r="R68" s="422"/>
      <c r="S68" s="422"/>
    </row>
    <row r="69" spans="1:19" x14ac:dyDescent="0.25">
      <c r="A69" s="422"/>
      <c r="B69" s="625">
        <f t="shared" si="0"/>
        <v>0.64000000000000035</v>
      </c>
      <c r="C69" s="638">
        <f>1/DATI!$E$38*IF(B69&lt;DATI!$E$45,DATI!$E$32*DATI!$E$42*DATI!$E$49*DATI!$E$33*(B69/DATI!$E$45+1/(DATI!$E$49*DATI!$E$33)*(1-B69/DATI!$E$45)),IF(B69&lt;DATI!$E$46,DATI!$E$32*DATI!$E$42*DATI!$E$49*DATI!$E$33,IF(B69&lt;DATI!$E$47,DATI!$E$32*DATI!$E$42*DATI!$E$49*DATI!$E$33*(DATI!$E$46/B69),DATI!$E$32*DATI!$E$42*DATI!$E$49*DATI!$E$33*((DATI!$E$46*DATI!$E$47)/B69^2))))</f>
        <v>0.93072832914464432</v>
      </c>
      <c r="D69" s="300"/>
      <c r="E69" s="422"/>
      <c r="F69" s="422"/>
      <c r="G69" s="422"/>
      <c r="H69" s="422"/>
      <c r="I69" s="422"/>
      <c r="J69" s="422"/>
      <c r="K69" s="422"/>
      <c r="L69" s="422"/>
      <c r="M69" s="422"/>
      <c r="N69" s="422"/>
      <c r="O69" s="422"/>
      <c r="P69" s="422"/>
      <c r="Q69" s="422"/>
      <c r="R69" s="422"/>
      <c r="S69" s="422"/>
    </row>
    <row r="70" spans="1:19" x14ac:dyDescent="0.25">
      <c r="A70" s="422"/>
      <c r="B70" s="625">
        <f t="shared" ref="B70:B133" si="1">0.01+B69</f>
        <v>0.65000000000000036</v>
      </c>
      <c r="C70" s="638">
        <f>1/DATI!$E$38*IF(B70&lt;DATI!$E$45,DATI!$E$32*DATI!$E$42*DATI!$E$49*DATI!$E$33*(B70/DATI!$E$45+1/(DATI!$E$49*DATI!$E$33)*(1-B70/DATI!$E$45)),IF(B70&lt;DATI!$E$46,DATI!$E$32*DATI!$E$42*DATI!$E$49*DATI!$E$33,IF(B70&lt;DATI!$E$47,DATI!$E$32*DATI!$E$42*DATI!$E$49*DATI!$E$33*(DATI!$E$46/B70),DATI!$E$32*DATI!$E$42*DATI!$E$49*DATI!$E$33*((DATI!$E$46*DATI!$E$47)/B70^2))))</f>
        <v>0.91640943177318834</v>
      </c>
      <c r="D70" s="300"/>
      <c r="E70" s="422"/>
      <c r="F70" s="422"/>
      <c r="G70" s="422"/>
      <c r="H70" s="422"/>
      <c r="I70" s="422"/>
      <c r="J70" s="422"/>
      <c r="K70" s="422"/>
      <c r="L70" s="422"/>
      <c r="M70" s="422"/>
      <c r="N70" s="422"/>
      <c r="O70" s="422"/>
      <c r="P70" s="422"/>
      <c r="Q70" s="422"/>
      <c r="R70" s="422"/>
      <c r="S70" s="422"/>
    </row>
    <row r="71" spans="1:19" x14ac:dyDescent="0.25">
      <c r="A71" s="422"/>
      <c r="B71" s="625">
        <f t="shared" si="1"/>
        <v>0.66000000000000036</v>
      </c>
      <c r="C71" s="638">
        <f>1/DATI!$E$38*IF(B71&lt;DATI!$E$45,DATI!$E$32*DATI!$E$42*DATI!$E$49*DATI!$E$33*(B71/DATI!$E$45+1/(DATI!$E$49*DATI!$E$33)*(1-B71/DATI!$E$45)),IF(B71&lt;DATI!$E$46,DATI!$E$32*DATI!$E$42*DATI!$E$49*DATI!$E$33,IF(B71&lt;DATI!$E$47,DATI!$E$32*DATI!$E$42*DATI!$E$49*DATI!$E$33*(DATI!$E$46/B71),DATI!$E$32*DATI!$E$42*DATI!$E$49*DATI!$E$33*((DATI!$E$46*DATI!$E$47)/B71^2))))</f>
        <v>0.90252444038268553</v>
      </c>
      <c r="D71" s="300"/>
      <c r="E71" s="422"/>
      <c r="F71" s="422"/>
      <c r="G71" s="422"/>
      <c r="H71" s="422"/>
      <c r="I71" s="422"/>
      <c r="J71" s="422"/>
      <c r="K71" s="422"/>
      <c r="L71" s="422"/>
      <c r="M71" s="422"/>
      <c r="N71" s="422"/>
      <c r="O71" s="422"/>
      <c r="P71" s="422"/>
      <c r="Q71" s="422"/>
      <c r="R71" s="422"/>
      <c r="S71" s="422"/>
    </row>
    <row r="72" spans="1:19" x14ac:dyDescent="0.25">
      <c r="A72" s="422"/>
      <c r="B72" s="625">
        <f t="shared" si="1"/>
        <v>0.67000000000000037</v>
      </c>
      <c r="C72" s="638">
        <f>1/DATI!$E$38*IF(B72&lt;DATI!$E$45,DATI!$E$32*DATI!$E$42*DATI!$E$49*DATI!$E$33*(B72/DATI!$E$45+1/(DATI!$E$49*DATI!$E$33)*(1-B72/DATI!$E$45)),IF(B72&lt;DATI!$E$46,DATI!$E$32*DATI!$E$42*DATI!$E$49*DATI!$E$33,IF(B72&lt;DATI!$E$47,DATI!$E$32*DATI!$E$42*DATI!$E$49*DATI!$E$33*(DATI!$E$46/B72),DATI!$E$32*DATI!$E$42*DATI!$E$49*DATI!$E$33*((DATI!$E$46*DATI!$E$47)/B72^2))))</f>
        <v>0.88905392634712299</v>
      </c>
      <c r="D72" s="300"/>
      <c r="E72" s="422"/>
      <c r="F72" s="422"/>
      <c r="G72" s="422"/>
      <c r="H72" s="422"/>
      <c r="I72" s="422"/>
      <c r="J72" s="422"/>
      <c r="K72" s="422"/>
      <c r="L72" s="422"/>
      <c r="M72" s="422"/>
      <c r="N72" s="422"/>
      <c r="O72" s="422"/>
      <c r="P72" s="422"/>
      <c r="Q72" s="422"/>
      <c r="R72" s="422"/>
      <c r="S72" s="422"/>
    </row>
    <row r="73" spans="1:19" x14ac:dyDescent="0.25">
      <c r="A73" s="422"/>
      <c r="B73" s="625">
        <f t="shared" si="1"/>
        <v>0.68000000000000038</v>
      </c>
      <c r="C73" s="638">
        <f>1/DATI!$E$38*IF(B73&lt;DATI!$E$45,DATI!$E$32*DATI!$E$42*DATI!$E$49*DATI!$E$33*(B73/DATI!$E$45+1/(DATI!$E$49*DATI!$E$33)*(1-B73/DATI!$E$45)),IF(B73&lt;DATI!$E$46,DATI!$E$32*DATI!$E$42*DATI!$E$49*DATI!$E$33,IF(B73&lt;DATI!$E$47,DATI!$E$32*DATI!$E$42*DATI!$E$49*DATI!$E$33*(DATI!$E$46/B73),DATI!$E$32*DATI!$E$42*DATI!$E$49*DATI!$E$33*((DATI!$E$46*DATI!$E$47)/B73^2))))</f>
        <v>0.87597960390084173</v>
      </c>
      <c r="D73" s="300"/>
      <c r="E73" s="422"/>
      <c r="F73" s="422"/>
      <c r="G73" s="422"/>
      <c r="H73" s="422"/>
      <c r="I73" s="422"/>
      <c r="J73" s="422"/>
      <c r="K73" s="422"/>
      <c r="L73" s="422"/>
      <c r="M73" s="422"/>
      <c r="N73" s="422"/>
      <c r="O73" s="422"/>
      <c r="P73" s="422"/>
      <c r="Q73" s="422"/>
      <c r="R73" s="422"/>
      <c r="S73" s="422"/>
    </row>
    <row r="74" spans="1:19" x14ac:dyDescent="0.25">
      <c r="A74" s="422"/>
      <c r="B74" s="625">
        <f t="shared" si="1"/>
        <v>0.69000000000000039</v>
      </c>
      <c r="C74" s="638">
        <f>1/DATI!$E$38*IF(B74&lt;DATI!$E$45,DATI!$E$32*DATI!$E$42*DATI!$E$49*DATI!$E$33*(B74/DATI!$E$45+1/(DATI!$E$49*DATI!$E$33)*(1-B74/DATI!$E$45)),IF(B74&lt;DATI!$E$46,DATI!$E$32*DATI!$E$42*DATI!$E$49*DATI!$E$33,IF(B74&lt;DATI!$E$47,DATI!$E$32*DATI!$E$42*DATI!$E$49*DATI!$E$33*(DATI!$E$46/B74),DATI!$E$32*DATI!$E$42*DATI!$E$49*DATI!$E$33*((DATI!$E$46*DATI!$E$47)/B74^2))))</f>
        <v>0.8632842473225687</v>
      </c>
      <c r="D74" s="300"/>
      <c r="E74" s="422"/>
      <c r="F74" s="422"/>
      <c r="G74" s="422"/>
      <c r="H74" s="422"/>
      <c r="I74" s="422"/>
      <c r="J74" s="422"/>
      <c r="K74" s="422"/>
      <c r="L74" s="422"/>
      <c r="M74" s="422"/>
      <c r="N74" s="422"/>
      <c r="O74" s="422"/>
      <c r="P74" s="422"/>
      <c r="Q74" s="422"/>
      <c r="R74" s="422"/>
      <c r="S74" s="422"/>
    </row>
    <row r="75" spans="1:19" x14ac:dyDescent="0.25">
      <c r="A75" s="422"/>
      <c r="B75" s="625">
        <f t="shared" si="1"/>
        <v>0.7000000000000004</v>
      </c>
      <c r="C75" s="638">
        <f>1/DATI!$E$38*IF(B75&lt;DATI!$E$45,DATI!$E$32*DATI!$E$42*DATI!$E$49*DATI!$E$33*(B75/DATI!$E$45+1/(DATI!$E$49*DATI!$E$33)*(1-B75/DATI!$E$45)),IF(B75&lt;DATI!$E$46,DATI!$E$32*DATI!$E$42*DATI!$E$49*DATI!$E$33,IF(B75&lt;DATI!$E$47,DATI!$E$32*DATI!$E$42*DATI!$E$49*DATI!$E$33*(DATI!$E$46/B75),DATI!$E$32*DATI!$E$42*DATI!$E$49*DATI!$E$33*((DATI!$E$46*DATI!$E$47)/B75^2))))</f>
        <v>0.85095161521796059</v>
      </c>
      <c r="D75" s="300"/>
      <c r="E75" s="422"/>
      <c r="F75" s="422"/>
      <c r="G75" s="422"/>
      <c r="H75" s="422"/>
      <c r="I75" s="422"/>
      <c r="J75" s="422"/>
      <c r="K75" s="422"/>
      <c r="L75" s="422"/>
      <c r="M75" s="422"/>
      <c r="N75" s="422"/>
      <c r="O75" s="422"/>
      <c r="P75" s="422"/>
      <c r="Q75" s="422"/>
      <c r="R75" s="422"/>
      <c r="S75" s="422"/>
    </row>
    <row r="76" spans="1:19" x14ac:dyDescent="0.25">
      <c r="A76" s="422"/>
      <c r="B76" s="625">
        <f t="shared" si="1"/>
        <v>0.71000000000000041</v>
      </c>
      <c r="C76" s="638">
        <f>1/DATI!$E$38*IF(B76&lt;DATI!$E$45,DATI!$E$32*DATI!$E$42*DATI!$E$49*DATI!$E$33*(B76/DATI!$E$45+1/(DATI!$E$49*DATI!$E$33)*(1-B76/DATI!$E$45)),IF(B76&lt;DATI!$E$46,DATI!$E$32*DATI!$E$42*DATI!$E$49*DATI!$E$33,IF(B76&lt;DATI!$E$47,DATI!$E$32*DATI!$E$42*DATI!$E$49*DATI!$E$33*(DATI!$E$46/B76),DATI!$E$32*DATI!$E$42*DATI!$E$49*DATI!$E$33*((DATI!$E$46*DATI!$E$47)/B76^2))))</f>
        <v>0.83896638120080624</v>
      </c>
      <c r="D76" s="300"/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</row>
    <row r="77" spans="1:19" x14ac:dyDescent="0.25">
      <c r="A77" s="422"/>
      <c r="B77" s="625">
        <f t="shared" si="1"/>
        <v>0.72000000000000042</v>
      </c>
      <c r="C77" s="638">
        <f>1/DATI!$E$38*IF(B77&lt;DATI!$E$45,DATI!$E$32*DATI!$E$42*DATI!$E$49*DATI!$E$33*(B77/DATI!$E$45+1/(DATI!$E$49*DATI!$E$33)*(1-B77/DATI!$E$45)),IF(B77&lt;DATI!$E$46,DATI!$E$32*DATI!$E$42*DATI!$E$49*DATI!$E$33,IF(B77&lt;DATI!$E$47,DATI!$E$32*DATI!$E$42*DATI!$E$49*DATI!$E$33*(DATI!$E$46/B77),DATI!$E$32*DATI!$E$42*DATI!$E$49*DATI!$E$33*((DATI!$E$46*DATI!$E$47)/B77^2))))</f>
        <v>0.82731407035079507</v>
      </c>
      <c r="D77" s="300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</row>
    <row r="78" spans="1:19" x14ac:dyDescent="0.25">
      <c r="A78" s="422"/>
      <c r="B78" s="625">
        <f t="shared" si="1"/>
        <v>0.73000000000000043</v>
      </c>
      <c r="C78" s="638">
        <f>1/DATI!$E$38*IF(B78&lt;DATI!$E$45,DATI!$E$32*DATI!$E$42*DATI!$E$49*DATI!$E$33*(B78/DATI!$E$45+1/(DATI!$E$49*DATI!$E$33)*(1-B78/DATI!$E$45)),IF(B78&lt;DATI!$E$46,DATI!$E$32*DATI!$E$42*DATI!$E$49*DATI!$E$33,IF(B78&lt;DATI!$E$47,DATI!$E$32*DATI!$E$42*DATI!$E$49*DATI!$E$33*(DATI!$E$46/B78),DATI!$E$32*DATI!$E$42*DATI!$E$49*DATI!$E$33*((DATI!$E$46*DATI!$E$47)/B78^2))))</f>
        <v>0.81598100089393477</v>
      </c>
      <c r="D78" s="300"/>
      <c r="E78" s="422"/>
      <c r="F78" s="422"/>
      <c r="G78" s="422"/>
      <c r="H78" s="422"/>
      <c r="I78" s="422"/>
      <c r="J78" s="422"/>
      <c r="K78" s="422"/>
      <c r="L78" s="422"/>
      <c r="M78" s="422"/>
      <c r="N78" s="422"/>
      <c r="O78" s="422"/>
      <c r="P78" s="422"/>
      <c r="Q78" s="422"/>
      <c r="R78" s="422"/>
      <c r="S78" s="422"/>
    </row>
    <row r="79" spans="1:19" x14ac:dyDescent="0.25">
      <c r="A79" s="422"/>
      <c r="B79" s="625">
        <f t="shared" si="1"/>
        <v>0.74000000000000044</v>
      </c>
      <c r="C79" s="638">
        <f>1/DATI!$E$38*IF(B79&lt;DATI!$E$45,DATI!$E$32*DATI!$E$42*DATI!$E$49*DATI!$E$33*(B79/DATI!$E$45+1/(DATI!$E$49*DATI!$E$33)*(1-B79/DATI!$E$45)),IF(B79&lt;DATI!$E$46,DATI!$E$32*DATI!$E$42*DATI!$E$49*DATI!$E$33,IF(B79&lt;DATI!$E$47,DATI!$E$32*DATI!$E$42*DATI!$E$49*DATI!$E$33*(DATI!$E$46/B79),DATI!$E$32*DATI!$E$42*DATI!$E$49*DATI!$E$33*((DATI!$E$46*DATI!$E$47)/B79^2))))</f>
        <v>0.80495423061158433</v>
      </c>
      <c r="D79" s="300"/>
      <c r="E79" s="422"/>
      <c r="F79" s="422"/>
      <c r="G79" s="422"/>
      <c r="H79" s="422"/>
      <c r="I79" s="422"/>
      <c r="J79" s="422"/>
      <c r="K79" s="422"/>
      <c r="L79" s="422"/>
      <c r="M79" s="422"/>
      <c r="N79" s="422"/>
      <c r="O79" s="422"/>
      <c r="P79" s="422"/>
      <c r="Q79" s="422"/>
      <c r="R79" s="422"/>
      <c r="S79" s="422"/>
    </row>
    <row r="80" spans="1:19" x14ac:dyDescent="0.25">
      <c r="A80" s="422"/>
      <c r="B80" s="625">
        <f t="shared" si="1"/>
        <v>0.75000000000000044</v>
      </c>
      <c r="C80" s="638">
        <f>1/DATI!$E$38*IF(B80&lt;DATI!$E$45,DATI!$E$32*DATI!$E$42*DATI!$E$49*DATI!$E$33*(B80/DATI!$E$45+1/(DATI!$E$49*DATI!$E$33)*(1-B80/DATI!$E$45)),IF(B80&lt;DATI!$E$46,DATI!$E$32*DATI!$E$42*DATI!$E$49*DATI!$E$33,IF(B80&lt;DATI!$E$47,DATI!$E$32*DATI!$E$42*DATI!$E$49*DATI!$E$33*(DATI!$E$46/B80),DATI!$E$32*DATI!$E$42*DATI!$E$49*DATI!$E$33*((DATI!$E$46*DATI!$E$47)/B80^2))))</f>
        <v>0.79422150753676313</v>
      </c>
      <c r="D80" s="300"/>
      <c r="E80" s="422"/>
      <c r="F80" s="422"/>
      <c r="G80" s="422"/>
      <c r="H80" s="422"/>
      <c r="I80" s="422"/>
      <c r="J80" s="422"/>
      <c r="K80" s="422"/>
      <c r="L80" s="422"/>
      <c r="M80" s="422"/>
      <c r="N80" s="422"/>
      <c r="O80" s="422"/>
      <c r="P80" s="422"/>
      <c r="Q80" s="422"/>
      <c r="R80" s="422"/>
      <c r="S80" s="422"/>
    </row>
    <row r="81" spans="1:19" x14ac:dyDescent="0.25">
      <c r="A81" s="422"/>
      <c r="B81" s="625">
        <f t="shared" si="1"/>
        <v>0.76000000000000045</v>
      </c>
      <c r="C81" s="638">
        <f>1/DATI!$E$38*IF(B81&lt;DATI!$E$45,DATI!$E$32*DATI!$E$42*DATI!$E$49*DATI!$E$33*(B81/DATI!$E$45+1/(DATI!$E$49*DATI!$E$33)*(1-B81/DATI!$E$45)),IF(B81&lt;DATI!$E$46,DATI!$E$32*DATI!$E$42*DATI!$E$49*DATI!$E$33,IF(B81&lt;DATI!$E$47,DATI!$E$32*DATI!$E$42*DATI!$E$49*DATI!$E$33*(DATI!$E$46/B81),DATI!$E$32*DATI!$E$42*DATI!$E$49*DATI!$E$33*((DATI!$E$46*DATI!$E$47)/B81^2))))</f>
        <v>0.7837712245428583</v>
      </c>
      <c r="D81" s="300"/>
      <c r="E81" s="422"/>
      <c r="F81" s="422"/>
      <c r="G81" s="422"/>
      <c r="H81" s="422"/>
      <c r="I81" s="422"/>
      <c r="J81" s="422"/>
      <c r="K81" s="422"/>
      <c r="L81" s="422"/>
      <c r="M81" s="422"/>
      <c r="N81" s="422"/>
      <c r="O81" s="422"/>
      <c r="P81" s="422"/>
      <c r="Q81" s="422"/>
      <c r="R81" s="422"/>
      <c r="S81" s="422"/>
    </row>
    <row r="82" spans="1:19" x14ac:dyDescent="0.25">
      <c r="A82" s="422"/>
      <c r="B82" s="625">
        <f t="shared" si="1"/>
        <v>0.77000000000000046</v>
      </c>
      <c r="C82" s="638">
        <f>1/DATI!$E$38*IF(B82&lt;DATI!$E$45,DATI!$E$32*DATI!$E$42*DATI!$E$49*DATI!$E$33*(B82/DATI!$E$45+1/(DATI!$E$49*DATI!$E$33)*(1-B82/DATI!$E$45)),IF(B82&lt;DATI!$E$46,DATI!$E$32*DATI!$E$42*DATI!$E$49*DATI!$E$33,IF(B82&lt;DATI!$E$47,DATI!$E$32*DATI!$E$42*DATI!$E$49*DATI!$E$33*(DATI!$E$46/B82),DATI!$E$32*DATI!$E$42*DATI!$E$49*DATI!$E$33*((DATI!$E$46*DATI!$E$47)/B82^2))))</f>
        <v>0.77359237747087317</v>
      </c>
      <c r="D82" s="300"/>
      <c r="E82" s="422"/>
      <c r="F82" s="422"/>
      <c r="G82" s="422"/>
      <c r="H82" s="422"/>
      <c r="I82" s="422"/>
      <c r="J82" s="422"/>
      <c r="K82" s="422"/>
      <c r="L82" s="422"/>
      <c r="M82" s="422"/>
      <c r="N82" s="422"/>
      <c r="O82" s="422"/>
      <c r="P82" s="422"/>
      <c r="Q82" s="422"/>
      <c r="R82" s="422"/>
      <c r="S82" s="422"/>
    </row>
    <row r="83" spans="1:19" x14ac:dyDescent="0.25">
      <c r="A83" s="422"/>
      <c r="B83" s="625">
        <f t="shared" si="1"/>
        <v>0.78000000000000047</v>
      </c>
      <c r="C83" s="638">
        <f>1/DATI!$E$38*IF(B83&lt;DATI!$E$45,DATI!$E$32*DATI!$E$42*DATI!$E$49*DATI!$E$33*(B83/DATI!$E$45+1/(DATI!$E$49*DATI!$E$33)*(1-B83/DATI!$E$45)),IF(B83&lt;DATI!$E$46,DATI!$E$32*DATI!$E$42*DATI!$E$49*DATI!$E$33,IF(B83&lt;DATI!$E$47,DATI!$E$32*DATI!$E$42*DATI!$E$49*DATI!$E$33*(DATI!$E$46/B83),DATI!$E$32*DATI!$E$42*DATI!$E$49*DATI!$E$33*((DATI!$E$46*DATI!$E$47)/B83^2))))</f>
        <v>0.76367452647765688</v>
      </c>
      <c r="D83" s="300"/>
      <c r="E83" s="422"/>
      <c r="F83" s="422"/>
      <c r="G83" s="422"/>
      <c r="H83" s="422"/>
      <c r="I83" s="422"/>
      <c r="J83" s="422"/>
      <c r="K83" s="422"/>
      <c r="L83" s="422"/>
      <c r="M83" s="422"/>
      <c r="N83" s="422"/>
      <c r="O83" s="422"/>
      <c r="P83" s="422"/>
      <c r="Q83" s="422"/>
      <c r="R83" s="422"/>
      <c r="S83" s="422"/>
    </row>
    <row r="84" spans="1:19" x14ac:dyDescent="0.25">
      <c r="A84" s="422"/>
      <c r="B84" s="625">
        <f t="shared" si="1"/>
        <v>0.79000000000000048</v>
      </c>
      <c r="C84" s="638">
        <f>1/DATI!$E$38*IF(B84&lt;DATI!$E$45,DATI!$E$32*DATI!$E$42*DATI!$E$49*DATI!$E$33*(B84/DATI!$E$45+1/(DATI!$E$49*DATI!$E$33)*(1-B84/DATI!$E$45)),IF(B84&lt;DATI!$E$46,DATI!$E$32*DATI!$E$42*DATI!$E$49*DATI!$E$33,IF(B84&lt;DATI!$E$47,DATI!$E$32*DATI!$E$42*DATI!$E$49*DATI!$E$33*(DATI!$E$46/B84),DATI!$E$32*DATI!$E$42*DATI!$E$49*DATI!$E$33*((DATI!$E$46*DATI!$E$47)/B84^2))))</f>
        <v>0.75400776031971184</v>
      </c>
      <c r="D84" s="300"/>
      <c r="E84" s="422"/>
      <c r="F84" s="422"/>
      <c r="G84" s="422"/>
      <c r="H84" s="422"/>
      <c r="I84" s="422"/>
      <c r="J84" s="422"/>
      <c r="K84" s="422"/>
      <c r="L84" s="422"/>
      <c r="M84" s="422"/>
      <c r="N84" s="422"/>
      <c r="O84" s="422"/>
      <c r="P84" s="422"/>
      <c r="Q84" s="422"/>
      <c r="R84" s="422"/>
      <c r="S84" s="422"/>
    </row>
    <row r="85" spans="1:19" x14ac:dyDescent="0.25">
      <c r="A85" s="422"/>
      <c r="B85" s="625">
        <f t="shared" si="1"/>
        <v>0.80000000000000049</v>
      </c>
      <c r="C85" s="638">
        <f>1/DATI!$E$38*IF(B85&lt;DATI!$E$45,DATI!$E$32*DATI!$E$42*DATI!$E$49*DATI!$E$33*(B85/DATI!$E$45+1/(DATI!$E$49*DATI!$E$33)*(1-B85/DATI!$E$45)),IF(B85&lt;DATI!$E$46,DATI!$E$32*DATI!$E$42*DATI!$E$49*DATI!$E$33,IF(B85&lt;DATI!$E$47,DATI!$E$32*DATI!$E$42*DATI!$E$49*DATI!$E$33*(DATI!$E$46/B85),DATI!$E$32*DATI!$E$42*DATI!$E$49*DATI!$E$33*((DATI!$E$46*DATI!$E$47)/B85^2))))</f>
        <v>0.74458266331571554</v>
      </c>
      <c r="D85" s="300"/>
      <c r="E85" s="422"/>
      <c r="F85" s="422"/>
      <c r="G85" s="422"/>
      <c r="H85" s="422"/>
      <c r="I85" s="422"/>
      <c r="J85" s="422"/>
      <c r="K85" s="422"/>
      <c r="L85" s="422"/>
      <c r="M85" s="422"/>
      <c r="N85" s="422"/>
      <c r="O85" s="422"/>
      <c r="P85" s="422"/>
      <c r="Q85" s="422"/>
      <c r="R85" s="422"/>
      <c r="S85" s="422"/>
    </row>
    <row r="86" spans="1:19" x14ac:dyDescent="0.25">
      <c r="A86" s="422"/>
      <c r="B86" s="625">
        <f t="shared" si="1"/>
        <v>0.8100000000000005</v>
      </c>
      <c r="C86" s="638">
        <f>1/DATI!$E$38*IF(B86&lt;DATI!$E$45,DATI!$E$32*DATI!$E$42*DATI!$E$49*DATI!$E$33*(B86/DATI!$E$45+1/(DATI!$E$49*DATI!$E$33)*(1-B86/DATI!$E$45)),IF(B86&lt;DATI!$E$46,DATI!$E$32*DATI!$E$42*DATI!$E$49*DATI!$E$33,IF(B86&lt;DATI!$E$47,DATI!$E$32*DATI!$E$42*DATI!$E$49*DATI!$E$33*(DATI!$E$46/B86),DATI!$E$32*DATI!$E$42*DATI!$E$49*DATI!$E$33*((DATI!$E$46*DATI!$E$47)/B86^2))))</f>
        <v>0.73539028475626211</v>
      </c>
      <c r="D86" s="300"/>
      <c r="E86" s="422"/>
      <c r="F86" s="422"/>
      <c r="G86" s="422"/>
      <c r="H86" s="422"/>
      <c r="I86" s="422"/>
      <c r="J86" s="422"/>
      <c r="K86" s="422"/>
      <c r="L86" s="422"/>
      <c r="M86" s="422"/>
      <c r="N86" s="422"/>
      <c r="O86" s="422"/>
      <c r="P86" s="422"/>
      <c r="Q86" s="422"/>
      <c r="R86" s="422"/>
      <c r="S86" s="422"/>
    </row>
    <row r="87" spans="1:19" x14ac:dyDescent="0.25">
      <c r="A87" s="422"/>
      <c r="B87" s="625">
        <f t="shared" si="1"/>
        <v>0.82000000000000051</v>
      </c>
      <c r="C87" s="638">
        <f>1/DATI!$E$38*IF(B87&lt;DATI!$E$45,DATI!$E$32*DATI!$E$42*DATI!$E$49*DATI!$E$33*(B87/DATI!$E$45+1/(DATI!$E$49*DATI!$E$33)*(1-B87/DATI!$E$45)),IF(B87&lt;DATI!$E$46,DATI!$E$32*DATI!$E$42*DATI!$E$49*DATI!$E$33,IF(B87&lt;DATI!$E$47,DATI!$E$32*DATI!$E$42*DATI!$E$49*DATI!$E$33*(DATI!$E$46/B87),DATI!$E$32*DATI!$E$42*DATI!$E$49*DATI!$E$33*((DATI!$E$46*DATI!$E$47)/B87^2))))</f>
        <v>0.72642211055191752</v>
      </c>
      <c r="D87" s="300"/>
      <c r="E87" s="422"/>
      <c r="F87" s="422"/>
      <c r="G87" s="422"/>
      <c r="H87" s="422"/>
      <c r="I87" s="422"/>
      <c r="J87" s="422"/>
      <c r="K87" s="422"/>
      <c r="L87" s="422"/>
      <c r="M87" s="422"/>
      <c r="N87" s="422"/>
      <c r="O87" s="422"/>
      <c r="P87" s="422"/>
      <c r="Q87" s="422"/>
      <c r="R87" s="422"/>
      <c r="S87" s="422"/>
    </row>
    <row r="88" spans="1:19" x14ac:dyDescent="0.25">
      <c r="A88" s="422"/>
      <c r="B88" s="625">
        <f t="shared" si="1"/>
        <v>0.83000000000000052</v>
      </c>
      <c r="C88" s="638">
        <f>1/DATI!$E$38*IF(B88&lt;DATI!$E$45,DATI!$E$32*DATI!$E$42*DATI!$E$49*DATI!$E$33*(B88/DATI!$E$45+1/(DATI!$E$49*DATI!$E$33)*(1-B88/DATI!$E$45)),IF(B88&lt;DATI!$E$46,DATI!$E$32*DATI!$E$42*DATI!$E$49*DATI!$E$33,IF(B88&lt;DATI!$E$47,DATI!$E$32*DATI!$E$42*DATI!$E$49*DATI!$E$33*(DATI!$E$46/B88),DATI!$E$32*DATI!$E$42*DATI!$E$49*DATI!$E$33*((DATI!$E$46*DATI!$E$47)/B88^2))))</f>
        <v>0.71767003693081</v>
      </c>
      <c r="D88" s="300"/>
      <c r="E88" s="422"/>
      <c r="F88" s="422"/>
      <c r="G88" s="422"/>
      <c r="H88" s="422"/>
      <c r="I88" s="422"/>
      <c r="J88" s="422"/>
      <c r="K88" s="422"/>
      <c r="L88" s="422"/>
      <c r="M88" s="422"/>
      <c r="N88" s="422"/>
      <c r="O88" s="422"/>
      <c r="P88" s="422"/>
      <c r="Q88" s="422"/>
      <c r="R88" s="422"/>
      <c r="S88" s="422"/>
    </row>
    <row r="89" spans="1:19" x14ac:dyDescent="0.25">
      <c r="A89" s="422"/>
      <c r="B89" s="625">
        <f t="shared" si="1"/>
        <v>0.84000000000000052</v>
      </c>
      <c r="C89" s="638">
        <f>1/DATI!$E$38*IF(B89&lt;DATI!$E$45,DATI!$E$32*DATI!$E$42*DATI!$E$49*DATI!$E$33*(B89/DATI!$E$45+1/(DATI!$E$49*DATI!$E$33)*(1-B89/DATI!$E$45)),IF(B89&lt;DATI!$E$46,DATI!$E$32*DATI!$E$42*DATI!$E$49*DATI!$E$33,IF(B89&lt;DATI!$E$47,DATI!$E$32*DATI!$E$42*DATI!$E$49*DATI!$E$33*(DATI!$E$46/B89),DATI!$E$32*DATI!$E$42*DATI!$E$49*DATI!$E$33*((DATI!$E$46*DATI!$E$47)/B89^2))))</f>
        <v>0.70912634601496705</v>
      </c>
      <c r="D89" s="300"/>
      <c r="E89" s="422"/>
      <c r="F89" s="422"/>
      <c r="G89" s="422"/>
      <c r="H89" s="422"/>
      <c r="I89" s="422"/>
      <c r="J89" s="422"/>
      <c r="K89" s="422"/>
      <c r="L89" s="422"/>
      <c r="M89" s="422"/>
      <c r="N89" s="422"/>
      <c r="O89" s="422"/>
      <c r="P89" s="422"/>
      <c r="Q89" s="422"/>
      <c r="R89" s="422"/>
      <c r="S89" s="422"/>
    </row>
    <row r="90" spans="1:19" x14ac:dyDescent="0.25">
      <c r="A90" s="422"/>
      <c r="B90" s="625">
        <f t="shared" si="1"/>
        <v>0.85000000000000053</v>
      </c>
      <c r="C90" s="638">
        <f>1/DATI!$E$38*IF(B90&lt;DATI!$E$45,DATI!$E$32*DATI!$E$42*DATI!$E$49*DATI!$E$33*(B90/DATI!$E$45+1/(DATI!$E$49*DATI!$E$33)*(1-B90/DATI!$E$45)),IF(B90&lt;DATI!$E$46,DATI!$E$32*DATI!$E$42*DATI!$E$49*DATI!$E$33,IF(B90&lt;DATI!$E$47,DATI!$E$32*DATI!$E$42*DATI!$E$49*DATI!$E$33*(DATI!$E$46/B90),DATI!$E$32*DATI!$E$42*DATI!$E$49*DATI!$E$33*((DATI!$E$46*DATI!$E$47)/B90^2))))</f>
        <v>0.7007836831206733</v>
      </c>
      <c r="D90" s="300"/>
      <c r="E90" s="422"/>
      <c r="F90" s="422"/>
      <c r="G90" s="422"/>
      <c r="H90" s="422"/>
      <c r="I90" s="422"/>
      <c r="J90" s="422"/>
      <c r="K90" s="422"/>
      <c r="L90" s="422"/>
      <c r="M90" s="422"/>
      <c r="N90" s="422"/>
      <c r="O90" s="422"/>
      <c r="P90" s="422"/>
      <c r="Q90" s="422"/>
      <c r="R90" s="422"/>
      <c r="S90" s="422"/>
    </row>
    <row r="91" spans="1:19" x14ac:dyDescent="0.25">
      <c r="A91" s="422"/>
      <c r="B91" s="625">
        <f t="shared" si="1"/>
        <v>0.86000000000000054</v>
      </c>
      <c r="C91" s="638">
        <f>1/DATI!$E$38*IF(B91&lt;DATI!$E$45,DATI!$E$32*DATI!$E$42*DATI!$E$49*DATI!$E$33*(B91/DATI!$E$45+1/(DATI!$E$49*DATI!$E$33)*(1-B91/DATI!$E$45)),IF(B91&lt;DATI!$E$46,DATI!$E$32*DATI!$E$42*DATI!$E$49*DATI!$E$33,IF(B91&lt;DATI!$E$47,DATI!$E$32*DATI!$E$42*DATI!$E$49*DATI!$E$33*(DATI!$E$46/B91),DATI!$E$32*DATI!$E$42*DATI!$E$49*DATI!$E$33*((DATI!$E$46*DATI!$E$47)/B91^2))))</f>
        <v>0.69263503564252604</v>
      </c>
      <c r="D91" s="300"/>
      <c r="E91" s="422"/>
      <c r="F91" s="422"/>
      <c r="G91" s="422"/>
      <c r="H91" s="422"/>
      <c r="I91" s="422"/>
      <c r="J91" s="422"/>
      <c r="K91" s="422"/>
      <c r="L91" s="422"/>
      <c r="M91" s="422"/>
      <c r="N91" s="422"/>
      <c r="O91" s="422"/>
      <c r="P91" s="422"/>
      <c r="Q91" s="422"/>
      <c r="R91" s="422"/>
      <c r="S91" s="422"/>
    </row>
    <row r="92" spans="1:19" x14ac:dyDescent="0.25">
      <c r="A92" s="422"/>
      <c r="B92" s="625">
        <f t="shared" si="1"/>
        <v>0.87000000000000055</v>
      </c>
      <c r="C92" s="638">
        <f>1/DATI!$E$38*IF(B92&lt;DATI!$E$45,DATI!$E$32*DATI!$E$42*DATI!$E$49*DATI!$E$33*(B92/DATI!$E$45+1/(DATI!$E$49*DATI!$E$33)*(1-B92/DATI!$E$45)),IF(B92&lt;DATI!$E$46,DATI!$E$32*DATI!$E$42*DATI!$E$49*DATI!$E$33,IF(B92&lt;DATI!$E$47,DATI!$E$32*DATI!$E$42*DATI!$E$49*DATI!$E$33*(DATI!$E$46/B92),DATI!$E$32*DATI!$E$42*DATI!$E$49*DATI!$E$33*((DATI!$E$46*DATI!$E$47)/B92^2))))</f>
        <v>0.68467371339376126</v>
      </c>
      <c r="D92" s="300"/>
      <c r="E92" s="422"/>
      <c r="F92" s="422"/>
      <c r="G92" s="422"/>
      <c r="H92" s="422"/>
      <c r="I92" s="422"/>
      <c r="J92" s="422"/>
      <c r="K92" s="422"/>
      <c r="L92" s="422"/>
      <c r="M92" s="422"/>
      <c r="N92" s="422"/>
      <c r="O92" s="422"/>
      <c r="P92" s="422"/>
      <c r="Q92" s="422"/>
      <c r="R92" s="422"/>
      <c r="S92" s="422"/>
    </row>
    <row r="93" spans="1:19" x14ac:dyDescent="0.25">
      <c r="A93" s="422"/>
      <c r="B93" s="625">
        <f t="shared" si="1"/>
        <v>0.88000000000000056</v>
      </c>
      <c r="C93" s="638">
        <f>1/DATI!$E$38*IF(B93&lt;DATI!$E$45,DATI!$E$32*DATI!$E$42*DATI!$E$49*DATI!$E$33*(B93/DATI!$E$45+1/(DATI!$E$49*DATI!$E$33)*(1-B93/DATI!$E$45)),IF(B93&lt;DATI!$E$46,DATI!$E$32*DATI!$E$42*DATI!$E$49*DATI!$E$33,IF(B93&lt;DATI!$E$47,DATI!$E$32*DATI!$E$42*DATI!$E$49*DATI!$E$33*(DATI!$E$46/B93),DATI!$E$32*DATI!$E$42*DATI!$E$49*DATI!$E$33*((DATI!$E$46*DATI!$E$47)/B93^2))))</f>
        <v>0.67689333028701415</v>
      </c>
      <c r="D93" s="300"/>
      <c r="E93" s="422"/>
      <c r="F93" s="422"/>
      <c r="G93" s="422"/>
      <c r="H93" s="422"/>
      <c r="I93" s="422"/>
      <c r="J93" s="422"/>
      <c r="K93" s="422"/>
      <c r="L93" s="422"/>
      <c r="M93" s="422"/>
      <c r="N93" s="422"/>
      <c r="O93" s="422"/>
      <c r="P93" s="422"/>
      <c r="Q93" s="422"/>
      <c r="R93" s="422"/>
      <c r="S93" s="422"/>
    </row>
    <row r="94" spans="1:19" x14ac:dyDescent="0.25">
      <c r="A94" s="422"/>
      <c r="B94" s="625">
        <f t="shared" si="1"/>
        <v>0.89000000000000057</v>
      </c>
      <c r="C94" s="638">
        <f>1/DATI!$E$38*IF(B94&lt;DATI!$E$45,DATI!$E$32*DATI!$E$42*DATI!$E$49*DATI!$E$33*(B94/DATI!$E$45+1/(DATI!$E$49*DATI!$E$33)*(1-B94/DATI!$E$45)),IF(B94&lt;DATI!$E$46,DATI!$E$32*DATI!$E$42*DATI!$E$49*DATI!$E$33,IF(B94&lt;DATI!$E$47,DATI!$E$32*DATI!$E$42*DATI!$E$49*DATI!$E$33*(DATI!$E$46/B94),DATI!$E$32*DATI!$E$42*DATI!$E$49*DATI!$E$33*((DATI!$E$46*DATI!$E$47)/B94^2))))</f>
        <v>0.66928778725008131</v>
      </c>
      <c r="D94" s="300"/>
      <c r="E94" s="422"/>
      <c r="F94" s="422"/>
      <c r="G94" s="422"/>
      <c r="H94" s="422"/>
      <c r="I94" s="422"/>
      <c r="J94" s="422"/>
      <c r="K94" s="422"/>
      <c r="L94" s="422"/>
      <c r="M94" s="422"/>
      <c r="N94" s="422"/>
      <c r="O94" s="422"/>
      <c r="P94" s="422"/>
      <c r="Q94" s="422"/>
      <c r="R94" s="422"/>
      <c r="S94" s="422"/>
    </row>
    <row r="95" spans="1:19" x14ac:dyDescent="0.25">
      <c r="A95" s="422"/>
      <c r="B95" s="625">
        <f t="shared" si="1"/>
        <v>0.90000000000000058</v>
      </c>
      <c r="C95" s="638">
        <f>1/DATI!$E$38*IF(B95&lt;DATI!$E$45,DATI!$E$32*DATI!$E$42*DATI!$E$49*DATI!$E$33*(B95/DATI!$E$45+1/(DATI!$E$49*DATI!$E$33)*(1-B95/DATI!$E$45)),IF(B95&lt;DATI!$E$46,DATI!$E$32*DATI!$E$42*DATI!$E$49*DATI!$E$33,IF(B95&lt;DATI!$E$47,DATI!$E$32*DATI!$E$42*DATI!$E$49*DATI!$E$33*(DATI!$E$46/B95),DATI!$E$32*DATI!$E$42*DATI!$E$49*DATI!$E$33*((DATI!$E$46*DATI!$E$47)/B95^2))))</f>
        <v>0.6618512562806359</v>
      </c>
      <c r="D95" s="300"/>
      <c r="E95" s="422"/>
      <c r="F95" s="422"/>
      <c r="G95" s="422"/>
      <c r="H95" s="422"/>
      <c r="I95" s="422"/>
      <c r="J95" s="422"/>
      <c r="K95" s="422"/>
      <c r="L95" s="422"/>
      <c r="M95" s="422"/>
      <c r="N95" s="422"/>
      <c r="O95" s="422"/>
      <c r="P95" s="422"/>
      <c r="Q95" s="422"/>
      <c r="R95" s="422"/>
      <c r="S95" s="422"/>
    </row>
    <row r="96" spans="1:19" x14ac:dyDescent="0.25">
      <c r="A96" s="422"/>
      <c r="B96" s="625">
        <f t="shared" si="1"/>
        <v>0.91000000000000059</v>
      </c>
      <c r="C96" s="638">
        <f>1/DATI!$E$38*IF(B96&lt;DATI!$E$45,DATI!$E$32*DATI!$E$42*DATI!$E$49*DATI!$E$33*(B96/DATI!$E$45+1/(DATI!$E$49*DATI!$E$33)*(1-B96/DATI!$E$45)),IF(B96&lt;DATI!$E$46,DATI!$E$32*DATI!$E$42*DATI!$E$49*DATI!$E$33,IF(B96&lt;DATI!$E$47,DATI!$E$32*DATI!$E$42*DATI!$E$49*DATI!$E$33*(DATI!$E$46/B96),DATI!$E$32*DATI!$E$42*DATI!$E$49*DATI!$E$33*((DATI!$E$46*DATI!$E$47)/B96^2))))</f>
        <v>0.65457816555227732</v>
      </c>
      <c r="D96" s="300"/>
      <c r="E96" s="422"/>
      <c r="F96" s="422"/>
      <c r="G96" s="422"/>
      <c r="H96" s="422"/>
      <c r="I96" s="422"/>
      <c r="J96" s="422"/>
      <c r="K96" s="422"/>
      <c r="L96" s="422"/>
      <c r="M96" s="422"/>
      <c r="N96" s="422"/>
      <c r="O96" s="422"/>
      <c r="P96" s="422"/>
      <c r="Q96" s="422"/>
      <c r="R96" s="422"/>
      <c r="S96" s="422"/>
    </row>
    <row r="97" spans="1:19" x14ac:dyDescent="0.25">
      <c r="A97" s="422"/>
      <c r="B97" s="625">
        <f t="shared" si="1"/>
        <v>0.9200000000000006</v>
      </c>
      <c r="C97" s="638">
        <f>1/DATI!$E$38*IF(B97&lt;DATI!$E$45,DATI!$E$32*DATI!$E$42*DATI!$E$49*DATI!$E$33*(B97/DATI!$E$45+1/(DATI!$E$49*DATI!$E$33)*(1-B97/DATI!$E$45)),IF(B97&lt;DATI!$E$46,DATI!$E$32*DATI!$E$42*DATI!$E$49*DATI!$E$33,IF(B97&lt;DATI!$E$47,DATI!$E$32*DATI!$E$42*DATI!$E$49*DATI!$E$33*(DATI!$E$46/B97),DATI!$E$32*DATI!$E$42*DATI!$E$49*DATI!$E$33*((DATI!$E$46*DATI!$E$47)/B97^2))))</f>
        <v>0.6474631854919265</v>
      </c>
      <c r="D97" s="300"/>
      <c r="E97" s="422"/>
      <c r="F97" s="422"/>
      <c r="G97" s="422"/>
      <c r="H97" s="422"/>
      <c r="I97" s="422"/>
      <c r="J97" s="422"/>
      <c r="K97" s="422"/>
      <c r="L97" s="422"/>
      <c r="M97" s="422"/>
      <c r="N97" s="422"/>
      <c r="O97" s="422"/>
      <c r="P97" s="422"/>
      <c r="Q97" s="422"/>
      <c r="R97" s="422"/>
      <c r="S97" s="422"/>
    </row>
    <row r="98" spans="1:19" x14ac:dyDescent="0.25">
      <c r="A98" s="422"/>
      <c r="B98" s="625">
        <f t="shared" si="1"/>
        <v>0.9300000000000006</v>
      </c>
      <c r="C98" s="638">
        <f>1/DATI!$E$38*IF(B98&lt;DATI!$E$45,DATI!$E$32*DATI!$E$42*DATI!$E$49*DATI!$E$33*(B98/DATI!$E$45+1/(DATI!$E$49*DATI!$E$33)*(1-B98/DATI!$E$45)),IF(B98&lt;DATI!$E$46,DATI!$E$32*DATI!$E$42*DATI!$E$49*DATI!$E$33,IF(B98&lt;DATI!$E$47,DATI!$E$32*DATI!$E$42*DATI!$E$49*DATI!$E$33*(DATI!$E$46/B98),DATI!$E$32*DATI!$E$42*DATI!$E$49*DATI!$E$33*((DATI!$E$46*DATI!$E$47)/B98^2))))</f>
        <v>0.64050121575545416</v>
      </c>
      <c r="D98" s="300"/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</row>
    <row r="99" spans="1:19" x14ac:dyDescent="0.25">
      <c r="A99" s="422"/>
      <c r="B99" s="625">
        <f t="shared" si="1"/>
        <v>0.94000000000000061</v>
      </c>
      <c r="C99" s="638">
        <f>1/DATI!$E$38*IF(B99&lt;DATI!$E$45,DATI!$E$32*DATI!$E$42*DATI!$E$49*DATI!$E$33*(B99/DATI!$E$45+1/(DATI!$E$49*DATI!$E$33)*(1-B99/DATI!$E$45)),IF(B99&lt;DATI!$E$46,DATI!$E$32*DATI!$E$42*DATI!$E$49*DATI!$E$33,IF(B99&lt;DATI!$E$47,DATI!$E$32*DATI!$E$42*DATI!$E$49*DATI!$E$33*(DATI!$E$46/B99),DATI!$E$32*DATI!$E$42*DATI!$E$49*DATI!$E$33*((DATI!$E$46*DATI!$E$47)/B99^2))))</f>
        <v>0.63368737303465139</v>
      </c>
      <c r="D99" s="300"/>
      <c r="E99" s="422"/>
      <c r="F99" s="422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422"/>
      <c r="S99" s="422"/>
    </row>
    <row r="100" spans="1:19" x14ac:dyDescent="0.25">
      <c r="A100" s="422"/>
      <c r="B100" s="625">
        <f t="shared" si="1"/>
        <v>0.95000000000000062</v>
      </c>
      <c r="C100" s="638">
        <f>1/DATI!$E$38*IF(B100&lt;DATI!$E$45,DATI!$E$32*DATI!$E$42*DATI!$E$49*DATI!$E$33*(B100/DATI!$E$45+1/(DATI!$E$49*DATI!$E$33)*(1-B100/DATI!$E$45)),IF(B100&lt;DATI!$E$46,DATI!$E$32*DATI!$E$42*DATI!$E$49*DATI!$E$33,IF(B100&lt;DATI!$E$47,DATI!$E$32*DATI!$E$42*DATI!$E$49*DATI!$E$33*(DATI!$E$46/B100),DATI!$E$32*DATI!$E$42*DATI!$E$49*DATI!$E$33*((DATI!$E$46*DATI!$E$47)/B100^2))))</f>
        <v>0.62701697963428671</v>
      </c>
      <c r="D100" s="300"/>
      <c r="E100" s="422"/>
      <c r="F100" s="422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</row>
    <row r="101" spans="1:19" x14ac:dyDescent="0.25">
      <c r="A101" s="422"/>
      <c r="B101" s="625">
        <f t="shared" si="1"/>
        <v>0.96000000000000063</v>
      </c>
      <c r="C101" s="638">
        <f>1/DATI!$E$38*IF(B101&lt;DATI!$E$45,DATI!$E$32*DATI!$E$42*DATI!$E$49*DATI!$E$33*(B101/DATI!$E$45+1/(DATI!$E$49*DATI!$E$33)*(1-B101/DATI!$E$45)),IF(B101&lt;DATI!$E$46,DATI!$E$32*DATI!$E$42*DATI!$E$49*DATI!$E$33,IF(B101&lt;DATI!$E$47,DATI!$E$32*DATI!$E$42*DATI!$E$49*DATI!$E$33*(DATI!$E$46/B101),DATI!$E$32*DATI!$E$42*DATI!$E$49*DATI!$E$33*((DATI!$E$46*DATI!$E$47)/B101^2))))</f>
        <v>0.62048555276309614</v>
      </c>
      <c r="D101" s="300"/>
      <c r="E101" s="422"/>
      <c r="F101" s="422"/>
      <c r="G101" s="422"/>
      <c r="H101" s="422"/>
      <c r="I101" s="422"/>
      <c r="J101" s="422"/>
      <c r="K101" s="422"/>
      <c r="L101" s="422"/>
      <c r="M101" s="422"/>
      <c r="N101" s="422"/>
      <c r="O101" s="422"/>
      <c r="P101" s="422"/>
      <c r="Q101" s="422"/>
      <c r="R101" s="422"/>
      <c r="S101" s="422"/>
    </row>
    <row r="102" spans="1:19" x14ac:dyDescent="0.25">
      <c r="A102" s="422"/>
      <c r="B102" s="625">
        <f t="shared" si="1"/>
        <v>0.97000000000000064</v>
      </c>
      <c r="C102" s="638">
        <f>1/DATI!$E$38*IF(B102&lt;DATI!$E$45,DATI!$E$32*DATI!$E$42*DATI!$E$49*DATI!$E$33*(B102/DATI!$E$45+1/(DATI!$E$49*DATI!$E$33)*(1-B102/DATI!$E$45)),IF(B102&lt;DATI!$E$46,DATI!$E$32*DATI!$E$42*DATI!$E$49*DATI!$E$33,IF(B102&lt;DATI!$E$47,DATI!$E$32*DATI!$E$42*DATI!$E$49*DATI!$E$33*(DATI!$E$46/B102),DATI!$E$32*DATI!$E$42*DATI!$E$49*DATI!$E$33*((DATI!$E$46*DATI!$E$47)/B102^2))))</f>
        <v>0.61408879448718801</v>
      </c>
      <c r="D102" s="300"/>
      <c r="E102" s="422"/>
      <c r="F102" s="422"/>
      <c r="G102" s="422"/>
      <c r="H102" s="422"/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2"/>
    </row>
    <row r="103" spans="1:19" x14ac:dyDescent="0.25">
      <c r="A103" s="422"/>
      <c r="B103" s="625">
        <f t="shared" si="1"/>
        <v>0.98000000000000065</v>
      </c>
      <c r="C103" s="638">
        <f>1/DATI!$E$38*IF(B103&lt;DATI!$E$45,DATI!$E$32*DATI!$E$42*DATI!$E$49*DATI!$E$33*(B103/DATI!$E$45+1/(DATI!$E$49*DATI!$E$33)*(1-B103/DATI!$E$45)),IF(B103&lt;DATI!$E$46,DATI!$E$32*DATI!$E$42*DATI!$E$49*DATI!$E$33,IF(B103&lt;DATI!$E$47,DATI!$E$32*DATI!$E$42*DATI!$E$49*DATI!$E$33*(DATI!$E$46/B103),DATI!$E$32*DATI!$E$42*DATI!$E$49*DATI!$E$33*((DATI!$E$46*DATI!$E$47)/B103^2))))</f>
        <v>0.60782258229854313</v>
      </c>
      <c r="D103" s="300"/>
      <c r="E103" s="422"/>
      <c r="F103" s="422"/>
      <c r="G103" s="422"/>
      <c r="H103" s="422"/>
      <c r="I103" s="422"/>
      <c r="J103" s="422"/>
      <c r="K103" s="422"/>
      <c r="L103" s="422"/>
      <c r="M103" s="422"/>
      <c r="N103" s="422"/>
      <c r="O103" s="422"/>
      <c r="P103" s="422"/>
      <c r="Q103" s="422"/>
      <c r="R103" s="422"/>
      <c r="S103" s="422"/>
    </row>
    <row r="104" spans="1:19" x14ac:dyDescent="0.25">
      <c r="A104" s="422"/>
      <c r="B104" s="625">
        <f t="shared" si="1"/>
        <v>0.99000000000000066</v>
      </c>
      <c r="C104" s="638">
        <f>1/DATI!$E$38*IF(B104&lt;DATI!$E$45,DATI!$E$32*DATI!$E$42*DATI!$E$49*DATI!$E$33*(B104/DATI!$E$45+1/(DATI!$E$49*DATI!$E$33)*(1-B104/DATI!$E$45)),IF(B104&lt;DATI!$E$46,DATI!$E$32*DATI!$E$42*DATI!$E$49*DATI!$E$33,IF(B104&lt;DATI!$E$47,DATI!$E$32*DATI!$E$42*DATI!$E$49*DATI!$E$33*(DATI!$E$46/B104),DATI!$E$32*DATI!$E$42*DATI!$E$49*DATI!$E$33*((DATI!$E$46*DATI!$E$47)/B104^2))))</f>
        <v>0.60168296025512347</v>
      </c>
      <c r="D104" s="300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  <c r="S104" s="422"/>
    </row>
    <row r="105" spans="1:19" x14ac:dyDescent="0.25">
      <c r="A105" s="422"/>
      <c r="B105" s="625">
        <f t="shared" si="1"/>
        <v>1.0000000000000007</v>
      </c>
      <c r="C105" s="638">
        <f>1/DATI!$E$38*IF(B105&lt;DATI!$E$45,DATI!$E$32*DATI!$E$42*DATI!$E$49*DATI!$E$33*(B105/DATI!$E$45+1/(DATI!$E$49*DATI!$E$33)*(1-B105/DATI!$E$45)),IF(B105&lt;DATI!$E$46,DATI!$E$32*DATI!$E$42*DATI!$E$49*DATI!$E$33,IF(B105&lt;DATI!$E$47,DATI!$E$32*DATI!$E$42*DATI!$E$49*DATI!$E$33*(DATI!$E$46/B105),DATI!$E$32*DATI!$E$42*DATI!$E$49*DATI!$E$33*((DATI!$E$46*DATI!$E$47)/B105^2))))</f>
        <v>0.59566613065257235</v>
      </c>
      <c r="D105" s="300"/>
      <c r="E105" s="422"/>
      <c r="F105" s="422"/>
      <c r="G105" s="422"/>
      <c r="H105" s="422"/>
      <c r="I105" s="422"/>
      <c r="J105" s="422"/>
      <c r="K105" s="422"/>
      <c r="L105" s="422"/>
      <c r="M105" s="422"/>
      <c r="N105" s="422"/>
      <c r="O105" s="422"/>
      <c r="P105" s="422"/>
      <c r="Q105" s="422"/>
      <c r="R105" s="422"/>
      <c r="S105" s="422"/>
    </row>
    <row r="106" spans="1:19" x14ac:dyDescent="0.25">
      <c r="A106" s="422"/>
      <c r="B106" s="625">
        <f t="shared" si="1"/>
        <v>1.0100000000000007</v>
      </c>
      <c r="C106" s="638">
        <f>1/DATI!$E$38*IF(B106&lt;DATI!$E$45,DATI!$E$32*DATI!$E$42*DATI!$E$49*DATI!$E$33*(B106/DATI!$E$45+1/(DATI!$E$49*DATI!$E$33)*(1-B106/DATI!$E$45)),IF(B106&lt;DATI!$E$46,DATI!$E$32*DATI!$E$42*DATI!$E$49*DATI!$E$33,IF(B106&lt;DATI!$E$47,DATI!$E$32*DATI!$E$42*DATI!$E$49*DATI!$E$33*(DATI!$E$46/B106),DATI!$E$32*DATI!$E$42*DATI!$E$49*DATI!$E$33*((DATI!$E$46*DATI!$E$47)/B106^2))))</f>
        <v>0.58976844619066571</v>
      </c>
      <c r="D106" s="300"/>
      <c r="E106" s="422"/>
      <c r="F106" s="422"/>
      <c r="G106" s="422"/>
      <c r="H106" s="422"/>
      <c r="I106" s="422"/>
      <c r="J106" s="422"/>
      <c r="K106" s="422"/>
      <c r="L106" s="422"/>
      <c r="M106" s="422"/>
      <c r="N106" s="422"/>
      <c r="O106" s="422"/>
      <c r="P106" s="422"/>
      <c r="Q106" s="422"/>
      <c r="R106" s="422"/>
      <c r="S106" s="422"/>
    </row>
    <row r="107" spans="1:19" x14ac:dyDescent="0.25">
      <c r="A107" s="422"/>
      <c r="B107" s="625">
        <f t="shared" si="1"/>
        <v>1.0200000000000007</v>
      </c>
      <c r="C107" s="638">
        <f>1/DATI!$E$38*IF(B107&lt;DATI!$E$45,DATI!$E$32*DATI!$E$42*DATI!$E$49*DATI!$E$33*(B107/DATI!$E$45+1/(DATI!$E$49*DATI!$E$33)*(1-B107/DATI!$E$45)),IF(B107&lt;DATI!$E$46,DATI!$E$32*DATI!$E$42*DATI!$E$49*DATI!$E$33,IF(B107&lt;DATI!$E$47,DATI!$E$32*DATI!$E$42*DATI!$E$49*DATI!$E$33*(DATI!$E$46/B107),DATI!$E$32*DATI!$E$42*DATI!$E$49*DATI!$E$33*((DATI!$E$46*DATI!$E$47)/B107^2))))</f>
        <v>0.58398640260056112</v>
      </c>
      <c r="D107" s="300"/>
      <c r="E107" s="422"/>
      <c r="F107" s="422"/>
      <c r="G107" s="422"/>
      <c r="H107" s="422"/>
      <c r="I107" s="422"/>
      <c r="J107" s="422"/>
      <c r="K107" s="422"/>
      <c r="L107" s="422"/>
      <c r="M107" s="422"/>
      <c r="N107" s="422"/>
      <c r="O107" s="422"/>
      <c r="P107" s="422"/>
      <c r="Q107" s="422"/>
      <c r="R107" s="422"/>
      <c r="S107" s="422"/>
    </row>
    <row r="108" spans="1:19" x14ac:dyDescent="0.25">
      <c r="A108" s="422"/>
      <c r="B108" s="625">
        <f t="shared" si="1"/>
        <v>1.0300000000000007</v>
      </c>
      <c r="C108" s="638">
        <f>1/DATI!$E$38*IF(B108&lt;DATI!$E$45,DATI!$E$32*DATI!$E$42*DATI!$E$49*DATI!$E$33*(B108/DATI!$E$45+1/(DATI!$E$49*DATI!$E$33)*(1-B108/DATI!$E$45)),IF(B108&lt;DATI!$E$46,DATI!$E$32*DATI!$E$42*DATI!$E$49*DATI!$E$33,IF(B108&lt;DATI!$E$47,DATI!$E$32*DATI!$E$42*DATI!$E$49*DATI!$E$33*(DATI!$E$46/B108),DATI!$E$32*DATI!$E$42*DATI!$E$49*DATI!$E$33*((DATI!$E$46*DATI!$E$47)/B108^2))))</f>
        <v>0.57831663170152658</v>
      </c>
      <c r="D108" s="300"/>
      <c r="E108" s="422"/>
      <c r="F108" s="422"/>
      <c r="G108" s="422"/>
      <c r="H108" s="422"/>
      <c r="I108" s="422"/>
      <c r="J108" s="422"/>
      <c r="K108" s="422"/>
      <c r="L108" s="422"/>
      <c r="M108" s="422"/>
      <c r="N108" s="422"/>
      <c r="O108" s="422"/>
      <c r="P108" s="422"/>
      <c r="Q108" s="422"/>
      <c r="R108" s="422"/>
      <c r="S108" s="422"/>
    </row>
    <row r="109" spans="1:19" x14ac:dyDescent="0.25">
      <c r="A109" s="422"/>
      <c r="B109" s="625">
        <f t="shared" si="1"/>
        <v>1.0400000000000007</v>
      </c>
      <c r="C109" s="638">
        <f>1/DATI!$E$38*IF(B109&lt;DATI!$E$45,DATI!$E$32*DATI!$E$42*DATI!$E$49*DATI!$E$33*(B109/DATI!$E$45+1/(DATI!$E$49*DATI!$E$33)*(1-B109/DATI!$E$45)),IF(B109&lt;DATI!$E$46,DATI!$E$32*DATI!$E$42*DATI!$E$49*DATI!$E$33,IF(B109&lt;DATI!$E$47,DATI!$E$32*DATI!$E$42*DATI!$E$49*DATI!$E$33*(DATI!$E$46/B109),DATI!$E$32*DATI!$E$42*DATI!$E$49*DATI!$E$33*((DATI!$E$46*DATI!$E$47)/B109^2))))</f>
        <v>0.57275589485824263</v>
      </c>
      <c r="D109" s="300"/>
      <c r="E109" s="422"/>
      <c r="F109" s="422"/>
      <c r="G109" s="422"/>
      <c r="H109" s="422"/>
      <c r="I109" s="422"/>
      <c r="J109" s="422"/>
      <c r="K109" s="422"/>
      <c r="L109" s="422"/>
      <c r="M109" s="422"/>
      <c r="N109" s="422"/>
      <c r="O109" s="422"/>
      <c r="P109" s="422"/>
      <c r="Q109" s="422"/>
      <c r="R109" s="422"/>
      <c r="S109" s="422"/>
    </row>
    <row r="110" spans="1:19" x14ac:dyDescent="0.25">
      <c r="A110" s="422"/>
      <c r="B110" s="625">
        <f t="shared" si="1"/>
        <v>1.0500000000000007</v>
      </c>
      <c r="C110" s="638">
        <f>1/DATI!$E$38*IF(B110&lt;DATI!$E$45,DATI!$E$32*DATI!$E$42*DATI!$E$49*DATI!$E$33*(B110/DATI!$E$45+1/(DATI!$E$49*DATI!$E$33)*(1-B110/DATI!$E$45)),IF(B110&lt;DATI!$E$46,DATI!$E$32*DATI!$E$42*DATI!$E$49*DATI!$E$33,IF(B110&lt;DATI!$E$47,DATI!$E$32*DATI!$E$42*DATI!$E$49*DATI!$E$33*(DATI!$E$46/B110),DATI!$E$32*DATI!$E$42*DATI!$E$49*DATI!$E$33*((DATI!$E$46*DATI!$E$47)/B110^2))))</f>
        <v>0.56730107681197361</v>
      </c>
      <c r="D110" s="300"/>
      <c r="E110" s="422"/>
      <c r="F110" s="422"/>
      <c r="G110" s="422"/>
      <c r="H110" s="422"/>
      <c r="I110" s="422"/>
      <c r="J110" s="422"/>
      <c r="K110" s="422"/>
      <c r="L110" s="422"/>
      <c r="M110" s="422"/>
      <c r="N110" s="422"/>
      <c r="O110" s="422"/>
      <c r="P110" s="422"/>
      <c r="Q110" s="422"/>
      <c r="R110" s="422"/>
      <c r="S110" s="422"/>
    </row>
    <row r="111" spans="1:19" x14ac:dyDescent="0.25">
      <c r="A111" s="422"/>
      <c r="B111" s="625">
        <f t="shared" si="1"/>
        <v>1.0600000000000007</v>
      </c>
      <c r="C111" s="638">
        <f>1/DATI!$E$38*IF(B111&lt;DATI!$E$45,DATI!$E$32*DATI!$E$42*DATI!$E$49*DATI!$E$33*(B111/DATI!$E$45+1/(DATI!$E$49*DATI!$E$33)*(1-B111/DATI!$E$45)),IF(B111&lt;DATI!$E$46,DATI!$E$32*DATI!$E$42*DATI!$E$49*DATI!$E$33,IF(B111&lt;DATI!$E$47,DATI!$E$32*DATI!$E$42*DATI!$E$49*DATI!$E$33*(DATI!$E$46/B111),DATI!$E$32*DATI!$E$42*DATI!$E$49*DATI!$E$33*((DATI!$E$46*DATI!$E$47)/B111^2))))</f>
        <v>0.5619491798609173</v>
      </c>
      <c r="D111" s="300"/>
      <c r="E111" s="422"/>
      <c r="F111" s="422"/>
      <c r="G111" s="422"/>
      <c r="H111" s="422"/>
      <c r="I111" s="422"/>
      <c r="J111" s="422"/>
      <c r="K111" s="422"/>
      <c r="L111" s="422"/>
      <c r="M111" s="422"/>
      <c r="N111" s="422"/>
      <c r="O111" s="422"/>
      <c r="P111" s="422"/>
      <c r="Q111" s="422"/>
      <c r="R111" s="422"/>
      <c r="S111" s="422"/>
    </row>
    <row r="112" spans="1:19" x14ac:dyDescent="0.25">
      <c r="A112" s="422"/>
      <c r="B112" s="625">
        <f t="shared" si="1"/>
        <v>1.0700000000000007</v>
      </c>
      <c r="C112" s="638">
        <f>1/DATI!$E$38*IF(B112&lt;DATI!$E$45,DATI!$E$32*DATI!$E$42*DATI!$E$49*DATI!$E$33*(B112/DATI!$E$45+1/(DATI!$E$49*DATI!$E$33)*(1-B112/DATI!$E$45)),IF(B112&lt;DATI!$E$46,DATI!$E$32*DATI!$E$42*DATI!$E$49*DATI!$E$33,IF(B112&lt;DATI!$E$47,DATI!$E$32*DATI!$E$42*DATI!$E$49*DATI!$E$33*(DATI!$E$46/B112),DATI!$E$32*DATI!$E$42*DATI!$E$49*DATI!$E$33*((DATI!$E$46*DATI!$E$47)/B112^2))))</f>
        <v>0.55669731836689007</v>
      </c>
      <c r="D112" s="300"/>
      <c r="E112" s="422"/>
      <c r="F112" s="422"/>
      <c r="G112" s="422"/>
      <c r="H112" s="422"/>
      <c r="I112" s="422"/>
      <c r="J112" s="422"/>
      <c r="K112" s="422"/>
      <c r="L112" s="422"/>
      <c r="M112" s="422"/>
      <c r="N112" s="422"/>
      <c r="O112" s="422"/>
      <c r="P112" s="422"/>
      <c r="Q112" s="422"/>
      <c r="R112" s="422"/>
      <c r="S112" s="422"/>
    </row>
    <row r="113" spans="1:19" x14ac:dyDescent="0.25">
      <c r="A113" s="422"/>
      <c r="B113" s="625">
        <f t="shared" si="1"/>
        <v>1.0800000000000007</v>
      </c>
      <c r="C113" s="638">
        <f>1/DATI!$E$38*IF(B113&lt;DATI!$E$45,DATI!$E$32*DATI!$E$42*DATI!$E$49*DATI!$E$33*(B113/DATI!$E$45+1/(DATI!$E$49*DATI!$E$33)*(1-B113/DATI!$E$45)),IF(B113&lt;DATI!$E$46,DATI!$E$32*DATI!$E$42*DATI!$E$49*DATI!$E$33,IF(B113&lt;DATI!$E$47,DATI!$E$32*DATI!$E$42*DATI!$E$49*DATI!$E$33*(DATI!$E$46/B113),DATI!$E$32*DATI!$E$42*DATI!$E$49*DATI!$E$33*((DATI!$E$46*DATI!$E$47)/B113^2))))</f>
        <v>0.55154271356719653</v>
      </c>
      <c r="D113" s="300"/>
      <c r="E113" s="422"/>
      <c r="F113" s="422"/>
      <c r="G113" s="422"/>
      <c r="H113" s="422"/>
      <c r="I113" s="422"/>
      <c r="J113" s="422"/>
      <c r="K113" s="422"/>
      <c r="L113" s="422"/>
      <c r="M113" s="422"/>
      <c r="N113" s="422"/>
      <c r="O113" s="422"/>
      <c r="P113" s="422"/>
      <c r="Q113" s="422"/>
      <c r="R113" s="422"/>
      <c r="S113" s="422"/>
    </row>
    <row r="114" spans="1:19" x14ac:dyDescent="0.25">
      <c r="A114" s="422"/>
      <c r="B114" s="625">
        <f t="shared" si="1"/>
        <v>1.0900000000000007</v>
      </c>
      <c r="C114" s="638">
        <f>1/DATI!$E$38*IF(B114&lt;DATI!$E$45,DATI!$E$32*DATI!$E$42*DATI!$E$49*DATI!$E$33*(B114/DATI!$E$45+1/(DATI!$E$49*DATI!$E$33)*(1-B114/DATI!$E$45)),IF(B114&lt;DATI!$E$46,DATI!$E$32*DATI!$E$42*DATI!$E$49*DATI!$E$33,IF(B114&lt;DATI!$E$47,DATI!$E$32*DATI!$E$42*DATI!$E$49*DATI!$E$33*(DATI!$E$46/B114),DATI!$E$32*DATI!$E$42*DATI!$E$49*DATI!$E$33*((DATI!$E$46*DATI!$E$47)/B114^2))))</f>
        <v>0.5464826886720846</v>
      </c>
      <c r="D114" s="300"/>
      <c r="E114" s="422"/>
      <c r="F114" s="422"/>
      <c r="G114" s="422"/>
      <c r="H114" s="422"/>
      <c r="I114" s="422"/>
      <c r="J114" s="422"/>
      <c r="K114" s="422"/>
      <c r="L114" s="422"/>
      <c r="M114" s="422"/>
      <c r="N114" s="422"/>
      <c r="O114" s="422"/>
      <c r="P114" s="422"/>
      <c r="Q114" s="422"/>
      <c r="R114" s="422"/>
      <c r="S114" s="422"/>
    </row>
    <row r="115" spans="1:19" x14ac:dyDescent="0.25">
      <c r="A115" s="422"/>
      <c r="B115" s="625">
        <f t="shared" si="1"/>
        <v>1.1000000000000008</v>
      </c>
      <c r="C115" s="638">
        <f>1/DATI!$E$38*IF(B115&lt;DATI!$E$45,DATI!$E$32*DATI!$E$42*DATI!$E$49*DATI!$E$33*(B115/DATI!$E$45+1/(DATI!$E$49*DATI!$E$33)*(1-B115/DATI!$E$45)),IF(B115&lt;DATI!$E$46,DATI!$E$32*DATI!$E$42*DATI!$E$49*DATI!$E$33,IF(B115&lt;DATI!$E$47,DATI!$E$32*DATI!$E$42*DATI!$E$49*DATI!$E$33*(DATI!$E$46/B115),DATI!$E$32*DATI!$E$42*DATI!$E$49*DATI!$E$33*((DATI!$E$46*DATI!$E$47)/B115^2))))</f>
        <v>0.54151466422961114</v>
      </c>
      <c r="D115" s="300"/>
      <c r="E115" s="422"/>
      <c r="F115" s="422"/>
      <c r="G115" s="422"/>
      <c r="H115" s="422"/>
      <c r="I115" s="422"/>
      <c r="J115" s="422"/>
      <c r="K115" s="422"/>
      <c r="L115" s="422"/>
      <c r="M115" s="422"/>
      <c r="N115" s="422"/>
      <c r="O115" s="422"/>
      <c r="P115" s="422"/>
      <c r="Q115" s="422"/>
      <c r="R115" s="422"/>
      <c r="S115" s="422"/>
    </row>
    <row r="116" spans="1:19" x14ac:dyDescent="0.25">
      <c r="A116" s="422"/>
      <c r="B116" s="625">
        <f t="shared" si="1"/>
        <v>1.1100000000000008</v>
      </c>
      <c r="C116" s="638">
        <f>1/DATI!$E$38*IF(B116&lt;DATI!$E$45,DATI!$E$32*DATI!$E$42*DATI!$E$49*DATI!$E$33*(B116/DATI!$E$45+1/(DATI!$E$49*DATI!$E$33)*(1-B116/DATI!$E$45)),IF(B116&lt;DATI!$E$46,DATI!$E$32*DATI!$E$42*DATI!$E$49*DATI!$E$33,IF(B116&lt;DATI!$E$47,DATI!$E$32*DATI!$E$42*DATI!$E$49*DATI!$E$33*(DATI!$E$46/B116),DATI!$E$32*DATI!$E$42*DATI!$E$49*DATI!$E$33*((DATI!$E$46*DATI!$E$47)/B116^2))))</f>
        <v>0.53663615374105611</v>
      </c>
      <c r="D116" s="300"/>
      <c r="E116" s="422"/>
      <c r="F116" s="422"/>
      <c r="G116" s="422"/>
      <c r="H116" s="422"/>
      <c r="I116" s="422"/>
      <c r="J116" s="422"/>
      <c r="K116" s="422"/>
      <c r="L116" s="422"/>
      <c r="M116" s="422"/>
      <c r="N116" s="422"/>
      <c r="O116" s="422"/>
      <c r="P116" s="422"/>
      <c r="Q116" s="422"/>
      <c r="R116" s="422"/>
      <c r="S116" s="422"/>
    </row>
    <row r="117" spans="1:19" x14ac:dyDescent="0.25">
      <c r="A117" s="422"/>
      <c r="B117" s="625">
        <f t="shared" si="1"/>
        <v>1.1200000000000008</v>
      </c>
      <c r="C117" s="638">
        <f>1/DATI!$E$38*IF(B117&lt;DATI!$E$45,DATI!$E$32*DATI!$E$42*DATI!$E$49*DATI!$E$33*(B117/DATI!$E$45+1/(DATI!$E$49*DATI!$E$33)*(1-B117/DATI!$E$45)),IF(B117&lt;DATI!$E$46,DATI!$E$32*DATI!$E$42*DATI!$E$49*DATI!$E$33,IF(B117&lt;DATI!$E$47,DATI!$E$32*DATI!$E$42*DATI!$E$49*DATI!$E$33*(DATI!$E$46/B117),DATI!$E$32*DATI!$E$42*DATI!$E$49*DATI!$E$33*((DATI!$E$46*DATI!$E$47)/B117^2))))</f>
        <v>0.53184475951122534</v>
      </c>
      <c r="D117" s="300"/>
      <c r="E117" s="422"/>
      <c r="F117" s="422"/>
      <c r="G117" s="422"/>
      <c r="H117" s="422"/>
      <c r="I117" s="422"/>
      <c r="J117" s="422"/>
      <c r="K117" s="422"/>
      <c r="L117" s="422"/>
      <c r="M117" s="422"/>
      <c r="N117" s="422"/>
      <c r="O117" s="422"/>
      <c r="P117" s="422"/>
      <c r="Q117" s="422"/>
      <c r="R117" s="422"/>
      <c r="S117" s="422"/>
    </row>
    <row r="118" spans="1:19" x14ac:dyDescent="0.25">
      <c r="A118" s="422"/>
      <c r="B118" s="625">
        <f t="shared" si="1"/>
        <v>1.1300000000000008</v>
      </c>
      <c r="C118" s="638">
        <f>1/DATI!$E$38*IF(B118&lt;DATI!$E$45,DATI!$E$32*DATI!$E$42*DATI!$E$49*DATI!$E$33*(B118/DATI!$E$45+1/(DATI!$E$49*DATI!$E$33)*(1-B118/DATI!$E$45)),IF(B118&lt;DATI!$E$46,DATI!$E$32*DATI!$E$42*DATI!$E$49*DATI!$E$33,IF(B118&lt;DATI!$E$47,DATI!$E$32*DATI!$E$42*DATI!$E$49*DATI!$E$33*(DATI!$E$46/B118),DATI!$E$32*DATI!$E$42*DATI!$E$49*DATI!$E$33*((DATI!$E$46*DATI!$E$47)/B118^2))))</f>
        <v>0.52713816871909058</v>
      </c>
      <c r="D118" s="300"/>
      <c r="E118" s="422"/>
      <c r="F118" s="422"/>
      <c r="G118" s="422"/>
      <c r="H118" s="422"/>
      <c r="I118" s="422"/>
      <c r="J118" s="422"/>
      <c r="K118" s="422"/>
      <c r="L118" s="422"/>
      <c r="M118" s="422"/>
      <c r="N118" s="422"/>
      <c r="O118" s="422"/>
      <c r="P118" s="422"/>
      <c r="Q118" s="422"/>
      <c r="R118" s="422"/>
      <c r="S118" s="422"/>
    </row>
    <row r="119" spans="1:19" x14ac:dyDescent="0.25">
      <c r="A119" s="422"/>
      <c r="B119" s="625">
        <f t="shared" si="1"/>
        <v>1.1400000000000008</v>
      </c>
      <c r="C119" s="638">
        <f>1/DATI!$E$38*IF(B119&lt;DATI!$E$45,DATI!$E$32*DATI!$E$42*DATI!$E$49*DATI!$E$33*(B119/DATI!$E$45+1/(DATI!$E$49*DATI!$E$33)*(1-B119/DATI!$E$45)),IF(B119&lt;DATI!$E$46,DATI!$E$32*DATI!$E$42*DATI!$E$49*DATI!$E$33,IF(B119&lt;DATI!$E$47,DATI!$E$32*DATI!$E$42*DATI!$E$49*DATI!$E$33*(DATI!$E$46/B119),DATI!$E$32*DATI!$E$42*DATI!$E$49*DATI!$E$33*((DATI!$E$46*DATI!$E$47)/B119^2))))</f>
        <v>0.52251414969523879</v>
      </c>
      <c r="D119" s="300"/>
      <c r="E119" s="422"/>
      <c r="F119" s="422"/>
      <c r="G119" s="422"/>
      <c r="H119" s="422"/>
      <c r="I119" s="422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</row>
    <row r="120" spans="1:19" x14ac:dyDescent="0.25">
      <c r="A120" s="422"/>
      <c r="B120" s="625">
        <f t="shared" si="1"/>
        <v>1.1500000000000008</v>
      </c>
      <c r="C120" s="638">
        <f>1/DATI!$E$38*IF(B120&lt;DATI!$E$45,DATI!$E$32*DATI!$E$42*DATI!$E$49*DATI!$E$33*(B120/DATI!$E$45+1/(DATI!$E$49*DATI!$E$33)*(1-B120/DATI!$E$45)),IF(B120&lt;DATI!$E$46,DATI!$E$32*DATI!$E$42*DATI!$E$49*DATI!$E$33,IF(B120&lt;DATI!$E$47,DATI!$E$32*DATI!$E$42*DATI!$E$49*DATI!$E$33*(DATI!$E$46/B120),DATI!$E$32*DATI!$E$42*DATI!$E$49*DATI!$E$33*((DATI!$E$46*DATI!$E$47)/B120^2))))</f>
        <v>0.51797054839354117</v>
      </c>
      <c r="D120" s="300"/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</row>
    <row r="121" spans="1:19" x14ac:dyDescent="0.25">
      <c r="A121" s="422"/>
      <c r="B121" s="625">
        <f t="shared" si="1"/>
        <v>1.1600000000000008</v>
      </c>
      <c r="C121" s="638">
        <f>1/DATI!$E$38*IF(B121&lt;DATI!$E$45,DATI!$E$32*DATI!$E$42*DATI!$E$49*DATI!$E$33*(B121/DATI!$E$45+1/(DATI!$E$49*DATI!$E$33)*(1-B121/DATI!$E$45)),IF(B121&lt;DATI!$E$46,DATI!$E$32*DATI!$E$42*DATI!$E$49*DATI!$E$33,IF(B121&lt;DATI!$E$47,DATI!$E$32*DATI!$E$42*DATI!$E$49*DATI!$E$33*(DATI!$E$46/B121),DATI!$E$32*DATI!$E$42*DATI!$E$49*DATI!$E$33*((DATI!$E$46*DATI!$E$47)/B121^2))))</f>
        <v>0.513505285045321</v>
      </c>
      <c r="D121" s="300"/>
      <c r="E121" s="422"/>
      <c r="F121" s="422"/>
      <c r="G121" s="422"/>
      <c r="H121" s="422"/>
      <c r="I121" s="422"/>
      <c r="J121" s="422"/>
      <c r="K121" s="422"/>
      <c r="L121" s="422"/>
      <c r="M121" s="422"/>
      <c r="N121" s="422"/>
      <c r="O121" s="422"/>
      <c r="P121" s="422"/>
      <c r="Q121" s="422"/>
      <c r="R121" s="422"/>
      <c r="S121" s="422"/>
    </row>
    <row r="122" spans="1:19" x14ac:dyDescent="0.25">
      <c r="A122" s="422"/>
      <c r="B122" s="625">
        <f t="shared" si="1"/>
        <v>1.1700000000000008</v>
      </c>
      <c r="C122" s="638">
        <f>1/DATI!$E$38*IF(B122&lt;DATI!$E$45,DATI!$E$32*DATI!$E$42*DATI!$E$49*DATI!$E$33*(B122/DATI!$E$45+1/(DATI!$E$49*DATI!$E$33)*(1-B122/DATI!$E$45)),IF(B122&lt;DATI!$E$46,DATI!$E$32*DATI!$E$42*DATI!$E$49*DATI!$E$33,IF(B122&lt;DATI!$E$47,DATI!$E$32*DATI!$E$42*DATI!$E$49*DATI!$E$33*(DATI!$E$46/B122),DATI!$E$32*DATI!$E$42*DATI!$E$49*DATI!$E$33*((DATI!$E$46*DATI!$E$47)/B122^2))))</f>
        <v>0.50911635098510455</v>
      </c>
      <c r="D122" s="300"/>
      <c r="E122" s="422"/>
      <c r="F122" s="422"/>
      <c r="G122" s="422"/>
      <c r="H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</row>
    <row r="123" spans="1:19" x14ac:dyDescent="0.25">
      <c r="A123" s="422"/>
      <c r="B123" s="625">
        <f t="shared" si="1"/>
        <v>1.1800000000000008</v>
      </c>
      <c r="C123" s="638">
        <f>1/DATI!$E$38*IF(B123&lt;DATI!$E$45,DATI!$E$32*DATI!$E$42*DATI!$E$49*DATI!$E$33*(B123/DATI!$E$45+1/(DATI!$E$49*DATI!$E$33)*(1-B123/DATI!$E$45)),IF(B123&lt;DATI!$E$46,DATI!$E$32*DATI!$E$42*DATI!$E$49*DATI!$E$33,IF(B123&lt;DATI!$E$47,DATI!$E$32*DATI!$E$42*DATI!$E$49*DATI!$E$33*(DATI!$E$46/B123),DATI!$E$32*DATI!$E$42*DATI!$E$49*DATI!$E$33*((DATI!$E$46*DATI!$E$47)/B123^2))))</f>
        <v>0.5048018056377731</v>
      </c>
      <c r="D123" s="300"/>
      <c r="E123" s="422"/>
      <c r="F123" s="422"/>
      <c r="G123" s="422"/>
      <c r="H123" s="422"/>
      <c r="I123" s="422"/>
      <c r="J123" s="422"/>
      <c r="K123" s="422"/>
      <c r="L123" s="422"/>
      <c r="M123" s="422"/>
      <c r="N123" s="422"/>
      <c r="O123" s="422"/>
      <c r="P123" s="422"/>
      <c r="Q123" s="422"/>
      <c r="R123" s="422"/>
      <c r="S123" s="422"/>
    </row>
    <row r="124" spans="1:19" x14ac:dyDescent="0.25">
      <c r="A124" s="422"/>
      <c r="B124" s="625">
        <f t="shared" si="1"/>
        <v>1.1900000000000008</v>
      </c>
      <c r="C124" s="638">
        <f>1/DATI!$E$38*IF(B124&lt;DATI!$E$45,DATI!$E$32*DATI!$E$42*DATI!$E$49*DATI!$E$33*(B124/DATI!$E$45+1/(DATI!$E$49*DATI!$E$33)*(1-B124/DATI!$E$45)),IF(B124&lt;DATI!$E$46,DATI!$E$32*DATI!$E$42*DATI!$E$49*DATI!$E$33,IF(B124&lt;DATI!$E$47,DATI!$E$32*DATI!$E$42*DATI!$E$49*DATI!$E$33*(DATI!$E$46/B124),DATI!$E$32*DATI!$E$42*DATI!$E$49*DATI!$E$33*((DATI!$E$46*DATI!$E$47)/B124^2))))</f>
        <v>0.50055977365762383</v>
      </c>
      <c r="D124" s="300"/>
      <c r="E124" s="422"/>
      <c r="F124" s="422"/>
      <c r="G124" s="422"/>
      <c r="H124" s="422"/>
      <c r="I124" s="422"/>
      <c r="J124" s="422"/>
      <c r="K124" s="422"/>
      <c r="L124" s="422"/>
      <c r="M124" s="422"/>
      <c r="N124" s="422"/>
      <c r="O124" s="422"/>
      <c r="P124" s="422"/>
      <c r="Q124" s="422"/>
      <c r="R124" s="422"/>
      <c r="S124" s="422"/>
    </row>
    <row r="125" spans="1:19" x14ac:dyDescent="0.25">
      <c r="A125" s="422"/>
      <c r="B125" s="625">
        <f t="shared" si="1"/>
        <v>1.2000000000000008</v>
      </c>
      <c r="C125" s="638">
        <f>1/DATI!$E$38*IF(B125&lt;DATI!$E$45,DATI!$E$32*DATI!$E$42*DATI!$E$49*DATI!$E$33*(B125/DATI!$E$45+1/(DATI!$E$49*DATI!$E$33)*(1-B125/DATI!$E$45)),IF(B125&lt;DATI!$E$46,DATI!$E$32*DATI!$E$42*DATI!$E$49*DATI!$E$33,IF(B125&lt;DATI!$E$47,DATI!$E$32*DATI!$E$42*DATI!$E$49*DATI!$E$33*(DATI!$E$46/B125),DATI!$E$32*DATI!$E$42*DATI!$E$49*DATI!$E$33*((DATI!$E$46*DATI!$E$47)/B125^2))))</f>
        <v>0.49638844221047695</v>
      </c>
      <c r="D125" s="300"/>
      <c r="E125" s="422"/>
      <c r="F125" s="422"/>
      <c r="G125" s="422"/>
      <c r="H125" s="422"/>
      <c r="I125" s="422"/>
      <c r="J125" s="422"/>
      <c r="K125" s="422"/>
      <c r="L125" s="422"/>
      <c r="M125" s="422"/>
      <c r="N125" s="422"/>
      <c r="O125" s="422"/>
      <c r="P125" s="422"/>
      <c r="Q125" s="422"/>
      <c r="R125" s="422"/>
      <c r="S125" s="422"/>
    </row>
    <row r="126" spans="1:19" x14ac:dyDescent="0.25">
      <c r="A126" s="422"/>
      <c r="B126" s="625">
        <f t="shared" si="1"/>
        <v>1.2100000000000009</v>
      </c>
      <c r="C126" s="638">
        <f>1/DATI!$E$38*IF(B126&lt;DATI!$E$45,DATI!$E$32*DATI!$E$42*DATI!$E$49*DATI!$E$33*(B126/DATI!$E$45+1/(DATI!$E$49*DATI!$E$33)*(1-B126/DATI!$E$45)),IF(B126&lt;DATI!$E$46,DATI!$E$32*DATI!$E$42*DATI!$E$49*DATI!$E$33,IF(B126&lt;DATI!$E$47,DATI!$E$32*DATI!$E$42*DATI!$E$49*DATI!$E$33*(DATI!$E$46/B126),DATI!$E$32*DATI!$E$42*DATI!$E$49*DATI!$E$33*((DATI!$E$46*DATI!$E$47)/B126^2))))</f>
        <v>0.49228605839055561</v>
      </c>
      <c r="D126" s="300"/>
      <c r="E126" s="422"/>
      <c r="F126" s="422"/>
      <c r="G126" s="422"/>
      <c r="H126" s="422"/>
      <c r="I126" s="422"/>
      <c r="J126" s="422"/>
      <c r="K126" s="422"/>
      <c r="L126" s="422"/>
      <c r="M126" s="422"/>
      <c r="N126" s="422"/>
      <c r="O126" s="422"/>
      <c r="P126" s="422"/>
      <c r="Q126" s="422"/>
      <c r="R126" s="422"/>
      <c r="S126" s="422"/>
    </row>
    <row r="127" spans="1:19" x14ac:dyDescent="0.25">
      <c r="A127" s="422"/>
      <c r="B127" s="625">
        <f t="shared" si="1"/>
        <v>1.2200000000000009</v>
      </c>
      <c r="C127" s="638">
        <f>1/DATI!$E$38*IF(B127&lt;DATI!$E$45,DATI!$E$32*DATI!$E$42*DATI!$E$49*DATI!$E$33*(B127/DATI!$E$45+1/(DATI!$E$49*DATI!$E$33)*(1-B127/DATI!$E$45)),IF(B127&lt;DATI!$E$46,DATI!$E$32*DATI!$E$42*DATI!$E$49*DATI!$E$33,IF(B127&lt;DATI!$E$47,DATI!$E$32*DATI!$E$42*DATI!$E$49*DATI!$E$33*(DATI!$E$46/B127),DATI!$E$32*DATI!$E$42*DATI!$E$49*DATI!$E$33*((DATI!$E$46*DATI!$E$47)/B127^2))))</f>
        <v>0.48825092676440351</v>
      </c>
      <c r="D127" s="300"/>
      <c r="E127" s="422"/>
      <c r="F127" s="422"/>
      <c r="G127" s="422"/>
      <c r="H127" s="422"/>
      <c r="I127" s="422"/>
      <c r="J127" s="422"/>
      <c r="K127" s="422"/>
      <c r="L127" s="422"/>
      <c r="M127" s="422"/>
      <c r="N127" s="422"/>
      <c r="O127" s="422"/>
      <c r="P127" s="422"/>
      <c r="Q127" s="422"/>
      <c r="R127" s="422"/>
      <c r="S127" s="422"/>
    </row>
    <row r="128" spans="1:19" x14ac:dyDescent="0.25">
      <c r="A128" s="422"/>
      <c r="B128" s="625">
        <f t="shared" si="1"/>
        <v>1.2300000000000009</v>
      </c>
      <c r="C128" s="638">
        <f>1/DATI!$E$38*IF(B128&lt;DATI!$E$45,DATI!$E$32*DATI!$E$42*DATI!$E$49*DATI!$E$33*(B128/DATI!$E$45+1/(DATI!$E$49*DATI!$E$33)*(1-B128/DATI!$E$45)),IF(B128&lt;DATI!$E$46,DATI!$E$32*DATI!$E$42*DATI!$E$49*DATI!$E$33,IF(B128&lt;DATI!$E$47,DATI!$E$32*DATI!$E$42*DATI!$E$49*DATI!$E$33*(DATI!$E$46/B128),DATI!$E$32*DATI!$E$42*DATI!$E$49*DATI!$E$33*((DATI!$E$46*DATI!$E$47)/B128^2))))</f>
        <v>0.48428140703461164</v>
      </c>
      <c r="D128" s="300"/>
      <c r="E128" s="422"/>
      <c r="F128" s="422"/>
      <c r="G128" s="422"/>
      <c r="H128" s="422"/>
      <c r="I128" s="422"/>
      <c r="J128" s="422"/>
      <c r="K128" s="422"/>
      <c r="L128" s="422"/>
      <c r="M128" s="422"/>
      <c r="N128" s="422"/>
      <c r="O128" s="422"/>
      <c r="P128" s="422"/>
      <c r="Q128" s="422"/>
      <c r="R128" s="422"/>
      <c r="S128" s="422"/>
    </row>
    <row r="129" spans="1:19" x14ac:dyDescent="0.25">
      <c r="A129" s="422"/>
      <c r="B129" s="625">
        <f t="shared" si="1"/>
        <v>1.2400000000000009</v>
      </c>
      <c r="C129" s="638">
        <f>1/DATI!$E$38*IF(B129&lt;DATI!$E$45,DATI!$E$32*DATI!$E$42*DATI!$E$49*DATI!$E$33*(B129/DATI!$E$45+1/(DATI!$E$49*DATI!$E$33)*(1-B129/DATI!$E$45)),IF(B129&lt;DATI!$E$46,DATI!$E$32*DATI!$E$42*DATI!$E$49*DATI!$E$33,IF(B129&lt;DATI!$E$47,DATI!$E$32*DATI!$E$42*DATI!$E$49*DATI!$E$33*(DATI!$E$46/B129),DATI!$E$32*DATI!$E$42*DATI!$E$49*DATI!$E$33*((DATI!$E$46*DATI!$E$47)/B129^2))))</f>
        <v>0.48037591181659062</v>
      </c>
      <c r="D129" s="300"/>
      <c r="E129" s="422"/>
      <c r="F129" s="422"/>
      <c r="G129" s="422"/>
      <c r="H129" s="422"/>
      <c r="I129" s="422"/>
      <c r="J129" s="422"/>
      <c r="K129" s="422"/>
      <c r="L129" s="422"/>
      <c r="M129" s="422"/>
      <c r="N129" s="422"/>
      <c r="O129" s="422"/>
      <c r="P129" s="422"/>
      <c r="Q129" s="422"/>
      <c r="R129" s="422"/>
      <c r="S129" s="422"/>
    </row>
    <row r="130" spans="1:19" x14ac:dyDescent="0.25">
      <c r="A130" s="422"/>
      <c r="B130" s="625">
        <f t="shared" si="1"/>
        <v>1.2500000000000009</v>
      </c>
      <c r="C130" s="638">
        <f>1/DATI!$E$38*IF(B130&lt;DATI!$E$45,DATI!$E$32*DATI!$E$42*DATI!$E$49*DATI!$E$33*(B130/DATI!$E$45+1/(DATI!$E$49*DATI!$E$33)*(1-B130/DATI!$E$45)),IF(B130&lt;DATI!$E$46,DATI!$E$32*DATI!$E$42*DATI!$E$49*DATI!$E$33,IF(B130&lt;DATI!$E$47,DATI!$E$32*DATI!$E$42*DATI!$E$49*DATI!$E$33*(DATI!$E$46/B130),DATI!$E$32*DATI!$E$42*DATI!$E$49*DATI!$E$33*((DATI!$E$46*DATI!$E$47)/B130^2))))</f>
        <v>0.47653290452205782</v>
      </c>
      <c r="D130" s="300"/>
      <c r="E130" s="422"/>
      <c r="F130" s="422"/>
      <c r="G130" s="422"/>
      <c r="H130" s="422"/>
      <c r="I130" s="422"/>
      <c r="J130" s="422"/>
      <c r="K130" s="422"/>
      <c r="L130" s="422"/>
      <c r="M130" s="422"/>
      <c r="N130" s="422"/>
      <c r="O130" s="422"/>
      <c r="P130" s="422"/>
      <c r="Q130" s="422"/>
      <c r="R130" s="422"/>
      <c r="S130" s="422"/>
    </row>
    <row r="131" spans="1:19" x14ac:dyDescent="0.25">
      <c r="A131" s="422"/>
      <c r="B131" s="625">
        <f t="shared" si="1"/>
        <v>1.2600000000000009</v>
      </c>
      <c r="C131" s="638">
        <f>1/DATI!$E$38*IF(B131&lt;DATI!$E$45,DATI!$E$32*DATI!$E$42*DATI!$E$49*DATI!$E$33*(B131/DATI!$E$45+1/(DATI!$E$49*DATI!$E$33)*(1-B131/DATI!$E$45)),IF(B131&lt;DATI!$E$46,DATI!$E$32*DATI!$E$42*DATI!$E$49*DATI!$E$33,IF(B131&lt;DATI!$E$47,DATI!$E$32*DATI!$E$42*DATI!$E$49*DATI!$E$33*(DATI!$E$46/B131),DATI!$E$32*DATI!$E$42*DATI!$E$49*DATI!$E$33*((DATI!$E$46*DATI!$E$47)/B131^2))))</f>
        <v>0.47275089734331133</v>
      </c>
      <c r="D131" s="300"/>
      <c r="E131" s="422"/>
      <c r="F131" s="422"/>
      <c r="G131" s="422"/>
      <c r="H131" s="422"/>
      <c r="I131" s="422"/>
      <c r="J131" s="422"/>
      <c r="K131" s="422"/>
      <c r="L131" s="422"/>
      <c r="M131" s="422"/>
      <c r="N131" s="422"/>
      <c r="O131" s="422"/>
      <c r="P131" s="422"/>
      <c r="Q131" s="422"/>
      <c r="R131" s="422"/>
      <c r="S131" s="422"/>
    </row>
    <row r="132" spans="1:19" x14ac:dyDescent="0.25">
      <c r="A132" s="422"/>
      <c r="B132" s="625">
        <f t="shared" si="1"/>
        <v>1.2700000000000009</v>
      </c>
      <c r="C132" s="638">
        <f>1/DATI!$E$38*IF(B132&lt;DATI!$E$45,DATI!$E$32*DATI!$E$42*DATI!$E$49*DATI!$E$33*(B132/DATI!$E$45+1/(DATI!$E$49*DATI!$E$33)*(1-B132/DATI!$E$45)),IF(B132&lt;DATI!$E$46,DATI!$E$32*DATI!$E$42*DATI!$E$49*DATI!$E$33,IF(B132&lt;DATI!$E$47,DATI!$E$32*DATI!$E$42*DATI!$E$49*DATI!$E$33*(DATI!$E$46/B132),DATI!$E$32*DATI!$E$42*DATI!$E$49*DATI!$E$33*((DATI!$E$46*DATI!$E$47)/B132^2))))</f>
        <v>0.46902844933273408</v>
      </c>
      <c r="D132" s="300"/>
      <c r="E132" s="422"/>
      <c r="F132" s="422"/>
      <c r="G132" s="422"/>
      <c r="H132" s="422"/>
      <c r="I132" s="422"/>
      <c r="J132" s="422"/>
      <c r="K132" s="422"/>
      <c r="L132" s="422"/>
      <c r="M132" s="422"/>
      <c r="N132" s="422"/>
      <c r="O132" s="422"/>
      <c r="P132" s="422"/>
      <c r="Q132" s="422"/>
      <c r="R132" s="422"/>
      <c r="S132" s="422"/>
    </row>
    <row r="133" spans="1:19" x14ac:dyDescent="0.25">
      <c r="A133" s="422"/>
      <c r="B133" s="625">
        <f t="shared" si="1"/>
        <v>1.2800000000000009</v>
      </c>
      <c r="C133" s="638">
        <f>1/DATI!$E$38*IF(B133&lt;DATI!$E$45,DATI!$E$32*DATI!$E$42*DATI!$E$49*DATI!$E$33*(B133/DATI!$E$45+1/(DATI!$E$49*DATI!$E$33)*(1-B133/DATI!$E$45)),IF(B133&lt;DATI!$E$46,DATI!$E$32*DATI!$E$42*DATI!$E$49*DATI!$E$33,IF(B133&lt;DATI!$E$47,DATI!$E$32*DATI!$E$42*DATI!$E$49*DATI!$E$33*(DATI!$E$46/B133),DATI!$E$32*DATI!$E$42*DATI!$E$49*DATI!$E$33*((DATI!$E$46*DATI!$E$47)/B133^2))))</f>
        <v>0.46536416457232216</v>
      </c>
      <c r="D133" s="300"/>
      <c r="E133" s="422"/>
      <c r="F133" s="422"/>
      <c r="G133" s="422"/>
      <c r="H133" s="422"/>
      <c r="I133" s="422"/>
      <c r="J133" s="422"/>
      <c r="K133" s="422"/>
      <c r="L133" s="422"/>
      <c r="M133" s="422"/>
      <c r="N133" s="422"/>
      <c r="O133" s="422"/>
      <c r="P133" s="422"/>
      <c r="Q133" s="422"/>
      <c r="R133" s="422"/>
      <c r="S133" s="422"/>
    </row>
    <row r="134" spans="1:19" x14ac:dyDescent="0.25">
      <c r="A134" s="422"/>
      <c r="B134" s="625">
        <f t="shared" ref="B134:B197" si="2">0.01+B133</f>
        <v>1.2900000000000009</v>
      </c>
      <c r="C134" s="638">
        <f>1/DATI!$E$38*IF(B134&lt;DATI!$E$45,DATI!$E$32*DATI!$E$42*DATI!$E$49*DATI!$E$33*(B134/DATI!$E$45+1/(DATI!$E$49*DATI!$E$33)*(1-B134/DATI!$E$45)),IF(B134&lt;DATI!$E$46,DATI!$E$32*DATI!$E$42*DATI!$E$49*DATI!$E$33,IF(B134&lt;DATI!$E$47,DATI!$E$32*DATI!$E$42*DATI!$E$49*DATI!$E$33*(DATI!$E$46/B134),DATI!$E$32*DATI!$E$42*DATI!$E$49*DATI!$E$33*((DATI!$E$46*DATI!$E$47)/B134^2))))</f>
        <v>0.46175669042835066</v>
      </c>
      <c r="D134" s="300"/>
      <c r="E134" s="422"/>
      <c r="F134" s="422"/>
      <c r="G134" s="422"/>
      <c r="H134" s="422"/>
      <c r="I134" s="422"/>
      <c r="J134" s="422"/>
      <c r="K134" s="422"/>
      <c r="L134" s="422"/>
      <c r="M134" s="422"/>
      <c r="N134" s="422"/>
      <c r="O134" s="422"/>
      <c r="P134" s="422"/>
      <c r="Q134" s="422"/>
      <c r="R134" s="422"/>
      <c r="S134" s="422"/>
    </row>
    <row r="135" spans="1:19" x14ac:dyDescent="0.25">
      <c r="A135" s="422"/>
      <c r="B135" s="625">
        <f t="shared" si="2"/>
        <v>1.3000000000000009</v>
      </c>
      <c r="C135" s="638">
        <f>1/DATI!$E$38*IF(B135&lt;DATI!$E$45,DATI!$E$32*DATI!$E$42*DATI!$E$49*DATI!$E$33*(B135/DATI!$E$45+1/(DATI!$E$49*DATI!$E$33)*(1-B135/DATI!$E$45)),IF(B135&lt;DATI!$E$46,DATI!$E$32*DATI!$E$42*DATI!$E$49*DATI!$E$33,IF(B135&lt;DATI!$E$47,DATI!$E$32*DATI!$E$42*DATI!$E$49*DATI!$E$33*(DATI!$E$46/B135),DATI!$E$32*DATI!$E$42*DATI!$E$49*DATI!$E$33*((DATI!$E$46*DATI!$E$47)/B135^2))))</f>
        <v>0.45820471588659406</v>
      </c>
      <c r="D135" s="300"/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  <c r="O135" s="422"/>
      <c r="P135" s="422"/>
      <c r="Q135" s="422"/>
      <c r="R135" s="422"/>
      <c r="S135" s="422"/>
    </row>
    <row r="136" spans="1:19" x14ac:dyDescent="0.25">
      <c r="A136" s="422"/>
      <c r="B136" s="625">
        <f t="shared" si="2"/>
        <v>1.3100000000000009</v>
      </c>
      <c r="C136" s="638">
        <f>1/DATI!$E$38*IF(B136&lt;DATI!$E$45,DATI!$E$32*DATI!$E$42*DATI!$E$49*DATI!$E$33*(B136/DATI!$E$45+1/(DATI!$E$49*DATI!$E$33)*(1-B136/DATI!$E$45)),IF(B136&lt;DATI!$E$46,DATI!$E$32*DATI!$E$42*DATI!$E$49*DATI!$E$33,IF(B136&lt;DATI!$E$47,DATI!$E$32*DATI!$E$42*DATI!$E$49*DATI!$E$33*(DATI!$E$46/B136),DATI!$E$32*DATI!$E$42*DATI!$E$49*DATI!$E$33*((DATI!$E$46*DATI!$E$47)/B136^2))))</f>
        <v>0.45470696996379567</v>
      </c>
      <c r="D136" s="300"/>
      <c r="E136" s="422"/>
      <c r="F136" s="422"/>
      <c r="G136" s="422"/>
      <c r="H136" s="422"/>
      <c r="I136" s="422"/>
      <c r="J136" s="422"/>
      <c r="K136" s="422"/>
      <c r="L136" s="422"/>
      <c r="M136" s="422"/>
      <c r="N136" s="422"/>
      <c r="O136" s="422"/>
      <c r="P136" s="422"/>
      <c r="Q136" s="422"/>
      <c r="R136" s="422"/>
      <c r="S136" s="422"/>
    </row>
    <row r="137" spans="1:19" x14ac:dyDescent="0.25">
      <c r="A137" s="422"/>
      <c r="B137" s="625">
        <f t="shared" si="2"/>
        <v>1.320000000000001</v>
      </c>
      <c r="C137" s="638">
        <f>1/DATI!$E$38*IF(B137&lt;DATI!$E$45,DATI!$E$32*DATI!$E$42*DATI!$E$49*DATI!$E$33*(B137/DATI!$E$45+1/(DATI!$E$49*DATI!$E$33)*(1-B137/DATI!$E$45)),IF(B137&lt;DATI!$E$46,DATI!$E$32*DATI!$E$42*DATI!$E$49*DATI!$E$33,IF(B137&lt;DATI!$E$47,DATI!$E$32*DATI!$E$42*DATI!$E$49*DATI!$E$33*(DATI!$E$46/B137),DATI!$E$32*DATI!$E$42*DATI!$E$49*DATI!$E$33*((DATI!$E$46*DATI!$E$47)/B137^2))))</f>
        <v>0.45126222019134266</v>
      </c>
      <c r="D137" s="300"/>
      <c r="E137" s="422"/>
      <c r="F137" s="422"/>
      <c r="G137" s="422"/>
      <c r="H137" s="422"/>
      <c r="I137" s="422"/>
      <c r="J137" s="422"/>
      <c r="K137" s="422"/>
      <c r="L137" s="422"/>
      <c r="M137" s="422"/>
      <c r="N137" s="422"/>
      <c r="O137" s="422"/>
      <c r="P137" s="422"/>
      <c r="Q137" s="422"/>
      <c r="R137" s="422"/>
      <c r="S137" s="422"/>
    </row>
    <row r="138" spans="1:19" x14ac:dyDescent="0.25">
      <c r="A138" s="422"/>
      <c r="B138" s="625">
        <f t="shared" si="2"/>
        <v>1.330000000000001</v>
      </c>
      <c r="C138" s="638">
        <f>1/DATI!$E$38*IF(B138&lt;DATI!$E$45,DATI!$E$32*DATI!$E$42*DATI!$E$49*DATI!$E$33*(B138/DATI!$E$45+1/(DATI!$E$49*DATI!$E$33)*(1-B138/DATI!$E$45)),IF(B138&lt;DATI!$E$46,DATI!$E$32*DATI!$E$42*DATI!$E$49*DATI!$E$33,IF(B138&lt;DATI!$E$47,DATI!$E$32*DATI!$E$42*DATI!$E$49*DATI!$E$33*(DATI!$E$46/B138),DATI!$E$32*DATI!$E$42*DATI!$E$49*DATI!$E$33*((DATI!$E$46*DATI!$E$47)/B138^2))))</f>
        <v>0.44786927116734759</v>
      </c>
      <c r="D138" s="300"/>
      <c r="E138" s="422"/>
      <c r="F138" s="422"/>
      <c r="G138" s="422"/>
      <c r="H138" s="422"/>
      <c r="I138" s="422"/>
      <c r="J138" s="422"/>
      <c r="K138" s="422"/>
      <c r="L138" s="422"/>
      <c r="M138" s="422"/>
      <c r="N138" s="422"/>
      <c r="O138" s="422"/>
      <c r="P138" s="422"/>
      <c r="Q138" s="422"/>
      <c r="R138" s="422"/>
      <c r="S138" s="422"/>
    </row>
    <row r="139" spans="1:19" x14ac:dyDescent="0.25">
      <c r="A139" s="422"/>
      <c r="B139" s="625">
        <f t="shared" si="2"/>
        <v>1.340000000000001</v>
      </c>
      <c r="C139" s="638">
        <f>1/DATI!$E$38*IF(B139&lt;DATI!$E$45,DATI!$E$32*DATI!$E$42*DATI!$E$49*DATI!$E$33*(B139/DATI!$E$45+1/(DATI!$E$49*DATI!$E$33)*(1-B139/DATI!$E$45)),IF(B139&lt;DATI!$E$46,DATI!$E$32*DATI!$E$42*DATI!$E$49*DATI!$E$33,IF(B139&lt;DATI!$E$47,DATI!$E$32*DATI!$E$42*DATI!$E$49*DATI!$E$33*(DATI!$E$46/B139),DATI!$E$32*DATI!$E$42*DATI!$E$49*DATI!$E$33*((DATI!$E$46*DATI!$E$47)/B139^2))))</f>
        <v>0.44452696317356138</v>
      </c>
      <c r="D139" s="300"/>
      <c r="E139" s="422"/>
      <c r="F139" s="422"/>
      <c r="G139" s="422"/>
      <c r="H139" s="422"/>
      <c r="I139" s="422"/>
      <c r="J139" s="422"/>
      <c r="K139" s="422"/>
      <c r="L139" s="422"/>
      <c r="M139" s="422"/>
      <c r="N139" s="422"/>
      <c r="O139" s="422"/>
      <c r="P139" s="422"/>
      <c r="Q139" s="422"/>
      <c r="R139" s="422"/>
      <c r="S139" s="422"/>
    </row>
    <row r="140" spans="1:19" x14ac:dyDescent="0.25">
      <c r="A140" s="422"/>
      <c r="B140" s="625">
        <f t="shared" si="2"/>
        <v>1.350000000000001</v>
      </c>
      <c r="C140" s="638">
        <f>1/DATI!$E$38*IF(B140&lt;DATI!$E$45,DATI!$E$32*DATI!$E$42*DATI!$E$49*DATI!$E$33*(B140/DATI!$E$45+1/(DATI!$E$49*DATI!$E$33)*(1-B140/DATI!$E$45)),IF(B140&lt;DATI!$E$46,DATI!$E$32*DATI!$E$42*DATI!$E$49*DATI!$E$33,IF(B140&lt;DATI!$E$47,DATI!$E$32*DATI!$E$42*DATI!$E$49*DATI!$E$33*(DATI!$E$46/B140),DATI!$E$32*DATI!$E$42*DATI!$E$49*DATI!$E$33*((DATI!$E$46*DATI!$E$47)/B140^2))))</f>
        <v>0.44123417085375732</v>
      </c>
      <c r="D140" s="300"/>
      <c r="E140" s="422"/>
      <c r="F140" s="422"/>
      <c r="G140" s="422"/>
      <c r="H140" s="422"/>
      <c r="I140" s="422"/>
      <c r="J140" s="422"/>
      <c r="K140" s="422"/>
      <c r="L140" s="422"/>
      <c r="M140" s="422"/>
      <c r="N140" s="422"/>
      <c r="O140" s="422"/>
      <c r="P140" s="422"/>
      <c r="Q140" s="422"/>
      <c r="R140" s="422"/>
      <c r="S140" s="422"/>
    </row>
    <row r="141" spans="1:19" x14ac:dyDescent="0.25">
      <c r="A141" s="422"/>
      <c r="B141" s="625">
        <f t="shared" si="2"/>
        <v>1.360000000000001</v>
      </c>
      <c r="C141" s="638">
        <f>1/DATI!$E$38*IF(B141&lt;DATI!$E$45,DATI!$E$32*DATI!$E$42*DATI!$E$49*DATI!$E$33*(B141/DATI!$E$45+1/(DATI!$E$49*DATI!$E$33)*(1-B141/DATI!$E$45)),IF(B141&lt;DATI!$E$46,DATI!$E$32*DATI!$E$42*DATI!$E$49*DATI!$E$33,IF(B141&lt;DATI!$E$47,DATI!$E$32*DATI!$E$42*DATI!$E$49*DATI!$E$33*(DATI!$E$46/B141),DATI!$E$32*DATI!$E$42*DATI!$E$49*DATI!$E$33*((DATI!$E$46*DATI!$E$47)/B141^2))))</f>
        <v>0.43798980195042081</v>
      </c>
      <c r="D141" s="300"/>
      <c r="E141" s="422"/>
      <c r="F141" s="422"/>
      <c r="G141" s="422"/>
      <c r="H141" s="422"/>
      <c r="I141" s="422"/>
      <c r="J141" s="422"/>
      <c r="K141" s="422"/>
      <c r="L141" s="422"/>
      <c r="M141" s="422"/>
      <c r="N141" s="422"/>
      <c r="O141" s="422"/>
      <c r="P141" s="422"/>
      <c r="Q141" s="422"/>
      <c r="R141" s="422"/>
      <c r="S141" s="422"/>
    </row>
    <row r="142" spans="1:19" x14ac:dyDescent="0.25">
      <c r="A142" s="422"/>
      <c r="B142" s="625">
        <f t="shared" si="2"/>
        <v>1.370000000000001</v>
      </c>
      <c r="C142" s="638">
        <f>1/DATI!$E$38*IF(B142&lt;DATI!$E$45,DATI!$E$32*DATI!$E$42*DATI!$E$49*DATI!$E$33*(B142/DATI!$E$45+1/(DATI!$E$49*DATI!$E$33)*(1-B142/DATI!$E$45)),IF(B142&lt;DATI!$E$46,DATI!$E$32*DATI!$E$42*DATI!$E$49*DATI!$E$33,IF(B142&lt;DATI!$E$47,DATI!$E$32*DATI!$E$42*DATI!$E$49*DATI!$E$33*(DATI!$E$46/B142),DATI!$E$32*DATI!$E$42*DATI!$E$49*DATI!$E$33*((DATI!$E$46*DATI!$E$47)/B142^2))))</f>
        <v>0.43479279609676813</v>
      </c>
      <c r="D142" s="300"/>
      <c r="E142" s="422"/>
      <c r="F142" s="422"/>
      <c r="G142" s="422"/>
      <c r="H142" s="422"/>
      <c r="I142" s="422"/>
      <c r="J142" s="422"/>
      <c r="K142" s="422"/>
      <c r="L142" s="422"/>
      <c r="M142" s="422"/>
      <c r="N142" s="422"/>
      <c r="O142" s="422"/>
      <c r="P142" s="422"/>
      <c r="Q142" s="422"/>
      <c r="R142" s="422"/>
      <c r="S142" s="422"/>
    </row>
    <row r="143" spans="1:19" x14ac:dyDescent="0.25">
      <c r="A143" s="422"/>
      <c r="B143" s="625">
        <f t="shared" si="2"/>
        <v>1.380000000000001</v>
      </c>
      <c r="C143" s="638">
        <f>1/DATI!$E$38*IF(B143&lt;DATI!$E$45,DATI!$E$32*DATI!$E$42*DATI!$E$49*DATI!$E$33*(B143/DATI!$E$45+1/(DATI!$E$49*DATI!$E$33)*(1-B143/DATI!$E$45)),IF(B143&lt;DATI!$E$46,DATI!$E$32*DATI!$E$42*DATI!$E$49*DATI!$E$33,IF(B143&lt;DATI!$E$47,DATI!$E$32*DATI!$E$42*DATI!$E$49*DATI!$E$33*(DATI!$E$46/B143),DATI!$E$32*DATI!$E$42*DATI!$E$49*DATI!$E$33*((DATI!$E$46*DATI!$E$47)/B143^2))))</f>
        <v>0.43164212366128424</v>
      </c>
      <c r="D143" s="300"/>
      <c r="E143" s="422"/>
      <c r="F143" s="422"/>
      <c r="G143" s="422"/>
      <c r="H143" s="422"/>
      <c r="I143" s="422"/>
      <c r="J143" s="422"/>
      <c r="K143" s="422"/>
      <c r="L143" s="422"/>
      <c r="M143" s="422"/>
      <c r="N143" s="422"/>
      <c r="O143" s="422"/>
      <c r="P143" s="422"/>
      <c r="Q143" s="422"/>
      <c r="R143" s="422"/>
      <c r="S143" s="422"/>
    </row>
    <row r="144" spans="1:19" x14ac:dyDescent="0.25">
      <c r="A144" s="422"/>
      <c r="B144" s="625">
        <f t="shared" si="2"/>
        <v>1.390000000000001</v>
      </c>
      <c r="C144" s="638">
        <f>1/DATI!$E$38*IF(B144&lt;DATI!$E$45,DATI!$E$32*DATI!$E$42*DATI!$E$49*DATI!$E$33*(B144/DATI!$E$45+1/(DATI!$E$49*DATI!$E$33)*(1-B144/DATI!$E$45)),IF(B144&lt;DATI!$E$46,DATI!$E$32*DATI!$E$42*DATI!$E$49*DATI!$E$33,IF(B144&lt;DATI!$E$47,DATI!$E$32*DATI!$E$42*DATI!$E$49*DATI!$E$33*(DATI!$E$46/B144),DATI!$E$32*DATI!$E$42*DATI!$E$49*DATI!$E$33*((DATI!$E$46*DATI!$E$47)/B144^2))))</f>
        <v>0.4285367846421384</v>
      </c>
      <c r="D144" s="300"/>
      <c r="E144" s="422"/>
      <c r="F144" s="422"/>
      <c r="G144" s="422"/>
      <c r="H144" s="422"/>
      <c r="I144" s="422"/>
      <c r="J144" s="422"/>
      <c r="K144" s="422"/>
      <c r="L144" s="422"/>
      <c r="M144" s="422"/>
      <c r="N144" s="422"/>
      <c r="O144" s="422"/>
      <c r="P144" s="422"/>
      <c r="Q144" s="422"/>
      <c r="R144" s="422"/>
      <c r="S144" s="422"/>
    </row>
    <row r="145" spans="1:19" x14ac:dyDescent="0.25">
      <c r="A145" s="422"/>
      <c r="B145" s="625">
        <f t="shared" si="2"/>
        <v>1.400000000000001</v>
      </c>
      <c r="C145" s="638">
        <f>1/DATI!$E$38*IF(B145&lt;DATI!$E$45,DATI!$E$32*DATI!$E$42*DATI!$E$49*DATI!$E$33*(B145/DATI!$E$45+1/(DATI!$E$49*DATI!$E$33)*(1-B145/DATI!$E$45)),IF(B145&lt;DATI!$E$46,DATI!$E$32*DATI!$E$42*DATI!$E$49*DATI!$E$33,IF(B145&lt;DATI!$E$47,DATI!$E$32*DATI!$E$42*DATI!$E$49*DATI!$E$33*(DATI!$E$46/B145),DATI!$E$32*DATI!$E$42*DATI!$E$49*DATI!$E$33*((DATI!$E$46*DATI!$E$47)/B145^2))))</f>
        <v>0.42547580760898018</v>
      </c>
      <c r="D145" s="300"/>
      <c r="E145" s="422"/>
      <c r="F145" s="422"/>
      <c r="G145" s="422"/>
      <c r="H145" s="422"/>
      <c r="I145" s="422"/>
      <c r="J145" s="422"/>
      <c r="K145" s="422"/>
      <c r="L145" s="422"/>
      <c r="M145" s="422"/>
      <c r="N145" s="422"/>
      <c r="O145" s="422"/>
      <c r="P145" s="422"/>
      <c r="Q145" s="422"/>
      <c r="R145" s="422"/>
      <c r="S145" s="422"/>
    </row>
    <row r="146" spans="1:19" x14ac:dyDescent="0.25">
      <c r="A146" s="422"/>
      <c r="B146" s="625">
        <f t="shared" si="2"/>
        <v>1.410000000000001</v>
      </c>
      <c r="C146" s="638">
        <f>1/DATI!$E$38*IF(B146&lt;DATI!$E$45,DATI!$E$32*DATI!$E$42*DATI!$E$49*DATI!$E$33*(B146/DATI!$E$45+1/(DATI!$E$49*DATI!$E$33)*(1-B146/DATI!$E$45)),IF(B146&lt;DATI!$E$46,DATI!$E$32*DATI!$E$42*DATI!$E$49*DATI!$E$33,IF(B146&lt;DATI!$E$47,DATI!$E$32*DATI!$E$42*DATI!$E$49*DATI!$E$33*(DATI!$E$46/B146),DATI!$E$32*DATI!$E$42*DATI!$E$49*DATI!$E$33*((DATI!$E$46*DATI!$E$47)/B146^2))))</f>
        <v>0.42245824868976756</v>
      </c>
      <c r="D146" s="300"/>
      <c r="E146" s="422"/>
      <c r="F146" s="422"/>
      <c r="G146" s="422"/>
      <c r="H146" s="422"/>
      <c r="I146" s="422"/>
      <c r="J146" s="422"/>
      <c r="K146" s="422"/>
      <c r="L146" s="422"/>
      <c r="M146" s="422"/>
      <c r="N146" s="422"/>
      <c r="O146" s="422"/>
      <c r="P146" s="422"/>
      <c r="Q146" s="422"/>
      <c r="R146" s="422"/>
      <c r="S146" s="422"/>
    </row>
    <row r="147" spans="1:19" x14ac:dyDescent="0.25">
      <c r="A147" s="422"/>
      <c r="B147" s="625">
        <f t="shared" si="2"/>
        <v>1.420000000000001</v>
      </c>
      <c r="C147" s="638">
        <f>1/DATI!$E$38*IF(B147&lt;DATI!$E$45,DATI!$E$32*DATI!$E$42*DATI!$E$49*DATI!$E$33*(B147/DATI!$E$45+1/(DATI!$E$49*DATI!$E$33)*(1-B147/DATI!$E$45)),IF(B147&lt;DATI!$E$46,DATI!$E$32*DATI!$E$42*DATI!$E$49*DATI!$E$33,IF(B147&lt;DATI!$E$47,DATI!$E$32*DATI!$E$42*DATI!$E$49*DATI!$E$33*(DATI!$E$46/B147),DATI!$E$32*DATI!$E$42*DATI!$E$49*DATI!$E$33*((DATI!$E$46*DATI!$E$47)/B147^2))))</f>
        <v>0.41948319060040301</v>
      </c>
      <c r="D147" s="300"/>
      <c r="E147" s="422"/>
      <c r="F147" s="422"/>
      <c r="G147" s="422"/>
      <c r="H147" s="422"/>
      <c r="I147" s="422"/>
      <c r="J147" s="422"/>
      <c r="K147" s="422"/>
      <c r="L147" s="422"/>
      <c r="M147" s="422"/>
      <c r="N147" s="422"/>
      <c r="O147" s="422"/>
      <c r="P147" s="422"/>
      <c r="Q147" s="422"/>
      <c r="R147" s="422"/>
      <c r="S147" s="422"/>
    </row>
    <row r="148" spans="1:19" x14ac:dyDescent="0.25">
      <c r="A148" s="422"/>
      <c r="B148" s="625">
        <f t="shared" si="2"/>
        <v>1.430000000000001</v>
      </c>
      <c r="C148" s="638">
        <f>1/DATI!$E$38*IF(B148&lt;DATI!$E$45,DATI!$E$32*DATI!$E$42*DATI!$E$49*DATI!$E$33*(B148/DATI!$E$45+1/(DATI!$E$49*DATI!$E$33)*(1-B148/DATI!$E$45)),IF(B148&lt;DATI!$E$46,DATI!$E$32*DATI!$E$42*DATI!$E$49*DATI!$E$33,IF(B148&lt;DATI!$E$47,DATI!$E$32*DATI!$E$42*DATI!$E$49*DATI!$E$33*(DATI!$E$46/B148),DATI!$E$32*DATI!$E$42*DATI!$E$49*DATI!$E$33*((DATI!$E$46*DATI!$E$47)/B148^2))))</f>
        <v>0.41654974171508546</v>
      </c>
      <c r="D148" s="300"/>
      <c r="E148" s="422"/>
      <c r="F148" s="422"/>
      <c r="G148" s="422"/>
      <c r="H148" s="422"/>
      <c r="I148" s="422"/>
      <c r="J148" s="422"/>
      <c r="K148" s="422"/>
      <c r="L148" s="422"/>
      <c r="M148" s="422"/>
      <c r="N148" s="422"/>
      <c r="O148" s="422"/>
      <c r="P148" s="422"/>
      <c r="Q148" s="422"/>
      <c r="R148" s="422"/>
      <c r="S148" s="422"/>
    </row>
    <row r="149" spans="1:19" x14ac:dyDescent="0.25">
      <c r="A149" s="422"/>
      <c r="B149" s="625">
        <f t="shared" si="2"/>
        <v>1.4400000000000011</v>
      </c>
      <c r="C149" s="638">
        <f>1/DATI!$E$38*IF(B149&lt;DATI!$E$45,DATI!$E$32*DATI!$E$42*DATI!$E$49*DATI!$E$33*(B149/DATI!$E$45+1/(DATI!$E$49*DATI!$E$33)*(1-B149/DATI!$E$45)),IF(B149&lt;DATI!$E$46,DATI!$E$32*DATI!$E$42*DATI!$E$49*DATI!$E$33,IF(B149&lt;DATI!$E$47,DATI!$E$32*DATI!$E$42*DATI!$E$49*DATI!$E$33*(DATI!$E$46/B149),DATI!$E$32*DATI!$E$42*DATI!$E$49*DATI!$E$33*((DATI!$E$46*DATI!$E$47)/B149^2))))</f>
        <v>0.41365703517539743</v>
      </c>
      <c r="D149" s="300"/>
      <c r="E149" s="422"/>
      <c r="F149" s="422"/>
      <c r="G149" s="422"/>
      <c r="H149" s="422"/>
      <c r="I149" s="422"/>
      <c r="J149" s="422"/>
      <c r="K149" s="422"/>
      <c r="L149" s="422"/>
      <c r="M149" s="422"/>
      <c r="N149" s="422"/>
      <c r="O149" s="422"/>
      <c r="P149" s="422"/>
      <c r="Q149" s="422"/>
      <c r="R149" s="422"/>
      <c r="S149" s="422"/>
    </row>
    <row r="150" spans="1:19" x14ac:dyDescent="0.25">
      <c r="A150" s="422"/>
      <c r="B150" s="625">
        <f t="shared" si="2"/>
        <v>1.4500000000000011</v>
      </c>
      <c r="C150" s="638">
        <f>1/DATI!$E$38*IF(B150&lt;DATI!$E$45,DATI!$E$32*DATI!$E$42*DATI!$E$49*DATI!$E$33*(B150/DATI!$E$45+1/(DATI!$E$49*DATI!$E$33)*(1-B150/DATI!$E$45)),IF(B150&lt;DATI!$E$46,DATI!$E$32*DATI!$E$42*DATI!$E$49*DATI!$E$33,IF(B150&lt;DATI!$E$47,DATI!$E$32*DATI!$E$42*DATI!$E$49*DATI!$E$33*(DATI!$E$46/B150),DATI!$E$32*DATI!$E$42*DATI!$E$49*DATI!$E$33*((DATI!$E$46*DATI!$E$47)/B150^2))))</f>
        <v>0.41080422803625677</v>
      </c>
      <c r="D150" s="300"/>
      <c r="E150" s="422"/>
      <c r="F150" s="422"/>
      <c r="G150" s="422"/>
      <c r="H150" s="422"/>
      <c r="I150" s="422"/>
      <c r="J150" s="422"/>
      <c r="K150" s="422"/>
      <c r="L150" s="422"/>
      <c r="M150" s="422"/>
      <c r="N150" s="422"/>
      <c r="O150" s="422"/>
      <c r="P150" s="422"/>
      <c r="Q150" s="422"/>
      <c r="R150" s="422"/>
      <c r="S150" s="422"/>
    </row>
    <row r="151" spans="1:19" x14ac:dyDescent="0.25">
      <c r="A151" s="422"/>
      <c r="B151" s="625">
        <f t="shared" si="2"/>
        <v>1.4600000000000011</v>
      </c>
      <c r="C151" s="638">
        <f>1/DATI!$E$38*IF(B151&lt;DATI!$E$45,DATI!$E$32*DATI!$E$42*DATI!$E$49*DATI!$E$33*(B151/DATI!$E$45+1/(DATI!$E$49*DATI!$E$33)*(1-B151/DATI!$E$45)),IF(B151&lt;DATI!$E$46,DATI!$E$32*DATI!$E$42*DATI!$E$49*DATI!$E$33,IF(B151&lt;DATI!$E$47,DATI!$E$32*DATI!$E$42*DATI!$E$49*DATI!$E$33*(DATI!$E$46/B151),DATI!$E$32*DATI!$E$42*DATI!$E$49*DATI!$E$33*((DATI!$E$46*DATI!$E$47)/B151^2))))</f>
        <v>0.40799050044696739</v>
      </c>
      <c r="D151" s="300"/>
      <c r="E151" s="422"/>
      <c r="F151" s="422"/>
      <c r="G151" s="422"/>
      <c r="H151" s="422"/>
      <c r="I151" s="422"/>
      <c r="J151" s="422"/>
      <c r="K151" s="422"/>
      <c r="L151" s="422"/>
      <c r="M151" s="422"/>
      <c r="N151" s="422"/>
      <c r="O151" s="422"/>
      <c r="P151" s="422"/>
      <c r="Q151" s="422"/>
      <c r="R151" s="422"/>
      <c r="S151" s="422"/>
    </row>
    <row r="152" spans="1:19" x14ac:dyDescent="0.25">
      <c r="A152" s="422"/>
      <c r="B152" s="625">
        <f t="shared" si="2"/>
        <v>1.4700000000000011</v>
      </c>
      <c r="C152" s="638">
        <f>1/DATI!$E$38*IF(B152&lt;DATI!$E$45,DATI!$E$32*DATI!$E$42*DATI!$E$49*DATI!$E$33*(B152/DATI!$E$45+1/(DATI!$E$49*DATI!$E$33)*(1-B152/DATI!$E$45)),IF(B152&lt;DATI!$E$46,DATI!$E$32*DATI!$E$42*DATI!$E$49*DATI!$E$33,IF(B152&lt;DATI!$E$47,DATI!$E$32*DATI!$E$42*DATI!$E$49*DATI!$E$33*(DATI!$E$46/B152),DATI!$E$32*DATI!$E$42*DATI!$E$49*DATI!$E$33*((DATI!$E$46*DATI!$E$47)/B152^2))))</f>
        <v>0.40521505486569542</v>
      </c>
      <c r="D152" s="300"/>
      <c r="E152" s="422"/>
      <c r="F152" s="422"/>
      <c r="G152" s="422"/>
      <c r="H152" s="422"/>
      <c r="I152" s="422"/>
      <c r="J152" s="422"/>
      <c r="K152" s="422"/>
      <c r="L152" s="422"/>
      <c r="M152" s="422"/>
      <c r="N152" s="422"/>
      <c r="O152" s="422"/>
      <c r="P152" s="422"/>
      <c r="Q152" s="422"/>
      <c r="R152" s="422"/>
      <c r="S152" s="422"/>
    </row>
    <row r="153" spans="1:19" x14ac:dyDescent="0.25">
      <c r="A153" s="422"/>
      <c r="B153" s="625">
        <f t="shared" si="2"/>
        <v>1.4800000000000011</v>
      </c>
      <c r="C153" s="638">
        <f>1/DATI!$E$38*IF(B153&lt;DATI!$E$45,DATI!$E$32*DATI!$E$42*DATI!$E$49*DATI!$E$33*(B153/DATI!$E$45+1/(DATI!$E$49*DATI!$E$33)*(1-B153/DATI!$E$45)),IF(B153&lt;DATI!$E$46,DATI!$E$32*DATI!$E$42*DATI!$E$49*DATI!$E$33,IF(B153&lt;DATI!$E$47,DATI!$E$32*DATI!$E$42*DATI!$E$49*DATI!$E$33*(DATI!$E$46/B153),DATI!$E$32*DATI!$E$42*DATI!$E$49*DATI!$E$33*((DATI!$E$46*DATI!$E$47)/B153^2))))</f>
        <v>0.40247711530579205</v>
      </c>
      <c r="D153" s="300"/>
      <c r="E153" s="422"/>
      <c r="F153" s="422"/>
      <c r="G153" s="422"/>
      <c r="H153" s="422"/>
      <c r="I153" s="422"/>
      <c r="J153" s="422"/>
      <c r="K153" s="422"/>
      <c r="L153" s="422"/>
      <c r="M153" s="422"/>
      <c r="N153" s="422"/>
      <c r="O153" s="422"/>
      <c r="P153" s="422"/>
      <c r="Q153" s="422"/>
      <c r="R153" s="422"/>
      <c r="S153" s="422"/>
    </row>
    <row r="154" spans="1:19" x14ac:dyDescent="0.25">
      <c r="A154" s="422"/>
      <c r="B154" s="625">
        <f t="shared" si="2"/>
        <v>1.4900000000000011</v>
      </c>
      <c r="C154" s="638">
        <f>1/DATI!$E$38*IF(B154&lt;DATI!$E$45,DATI!$E$32*DATI!$E$42*DATI!$E$49*DATI!$E$33*(B154/DATI!$E$45+1/(DATI!$E$49*DATI!$E$33)*(1-B154/DATI!$E$45)),IF(B154&lt;DATI!$E$46,DATI!$E$32*DATI!$E$42*DATI!$E$49*DATI!$E$33,IF(B154&lt;DATI!$E$47,DATI!$E$32*DATI!$E$42*DATI!$E$49*DATI!$E$33*(DATI!$E$46/B154),DATI!$E$32*DATI!$E$42*DATI!$E$49*DATI!$E$33*((DATI!$E$46*DATI!$E$47)/B154^2))))</f>
        <v>0.39977592661246464</v>
      </c>
      <c r="D154" s="300"/>
      <c r="E154" s="422"/>
      <c r="F154" s="422"/>
      <c r="G154" s="422"/>
      <c r="H154" s="422"/>
      <c r="I154" s="422"/>
      <c r="J154" s="422"/>
      <c r="K154" s="422"/>
      <c r="L154" s="422"/>
      <c r="M154" s="422"/>
      <c r="N154" s="422"/>
      <c r="O154" s="422"/>
      <c r="P154" s="422"/>
      <c r="Q154" s="422"/>
      <c r="R154" s="422"/>
      <c r="S154" s="422"/>
    </row>
    <row r="155" spans="1:19" x14ac:dyDescent="0.25">
      <c r="A155" s="422"/>
      <c r="B155" s="625">
        <f t="shared" si="2"/>
        <v>1.5000000000000011</v>
      </c>
      <c r="C155" s="638">
        <f>1/DATI!$E$38*IF(B155&lt;DATI!$E$45,DATI!$E$32*DATI!$E$42*DATI!$E$49*DATI!$E$33*(B155/DATI!$E$45+1/(DATI!$E$49*DATI!$E$33)*(1-B155/DATI!$E$45)),IF(B155&lt;DATI!$E$46,DATI!$E$32*DATI!$E$42*DATI!$E$49*DATI!$E$33,IF(B155&lt;DATI!$E$47,DATI!$E$32*DATI!$E$42*DATI!$E$49*DATI!$E$33*(DATI!$E$46/B155),DATI!$E$32*DATI!$E$42*DATI!$E$49*DATI!$E$33*((DATI!$E$46*DATI!$E$47)/B155^2))))</f>
        <v>0.39711075376838156</v>
      </c>
      <c r="D155" s="300"/>
      <c r="E155" s="422"/>
      <c r="F155" s="422"/>
      <c r="G155" s="422"/>
      <c r="H155" s="422"/>
      <c r="I155" s="422"/>
      <c r="J155" s="422"/>
      <c r="K155" s="422"/>
      <c r="L155" s="422"/>
      <c r="M155" s="422"/>
      <c r="N155" s="422"/>
      <c r="O155" s="422"/>
      <c r="P155" s="422"/>
      <c r="Q155" s="422"/>
      <c r="R155" s="422"/>
      <c r="S155" s="422"/>
    </row>
    <row r="156" spans="1:19" x14ac:dyDescent="0.25">
      <c r="A156" s="422"/>
      <c r="B156" s="625">
        <f t="shared" si="2"/>
        <v>1.5100000000000011</v>
      </c>
      <c r="C156" s="638">
        <f>1/DATI!$E$38*IF(B156&lt;DATI!$E$45,DATI!$E$32*DATI!$E$42*DATI!$E$49*DATI!$E$33*(B156/DATI!$E$45+1/(DATI!$E$49*DATI!$E$33)*(1-B156/DATI!$E$45)),IF(B156&lt;DATI!$E$46,DATI!$E$32*DATI!$E$42*DATI!$E$49*DATI!$E$33,IF(B156&lt;DATI!$E$47,DATI!$E$32*DATI!$E$42*DATI!$E$49*DATI!$E$33*(DATI!$E$46/B156),DATI!$E$32*DATI!$E$42*DATI!$E$49*DATI!$E$33*((DATI!$E$46*DATI!$E$47)/B156^2))))</f>
        <v>0.39448088122686903</v>
      </c>
      <c r="D156" s="300"/>
      <c r="E156" s="422"/>
      <c r="F156" s="422"/>
      <c r="G156" s="422"/>
      <c r="H156" s="422"/>
      <c r="I156" s="422"/>
      <c r="J156" s="422"/>
      <c r="K156" s="422"/>
      <c r="L156" s="422"/>
      <c r="M156" s="422"/>
      <c r="N156" s="422"/>
      <c r="O156" s="422"/>
      <c r="P156" s="422"/>
      <c r="Q156" s="422"/>
      <c r="R156" s="422"/>
      <c r="S156" s="422"/>
    </row>
    <row r="157" spans="1:19" x14ac:dyDescent="0.25">
      <c r="A157" s="422"/>
      <c r="B157" s="625">
        <f t="shared" si="2"/>
        <v>1.5200000000000011</v>
      </c>
      <c r="C157" s="638">
        <f>1/DATI!$E$38*IF(B157&lt;DATI!$E$45,DATI!$E$32*DATI!$E$42*DATI!$E$49*DATI!$E$33*(B157/DATI!$E$45+1/(DATI!$E$49*DATI!$E$33)*(1-B157/DATI!$E$45)),IF(B157&lt;DATI!$E$46,DATI!$E$32*DATI!$E$42*DATI!$E$49*DATI!$E$33,IF(B157&lt;DATI!$E$47,DATI!$E$32*DATI!$E$42*DATI!$E$49*DATI!$E$33*(DATI!$E$46/B157),DATI!$E$32*DATI!$E$42*DATI!$E$49*DATI!$E$33*((DATI!$E$46*DATI!$E$47)/B157^2))))</f>
        <v>0.3918856122714291</v>
      </c>
      <c r="D157" s="300"/>
      <c r="E157" s="422"/>
      <c r="F157" s="422"/>
      <c r="G157" s="422"/>
      <c r="H157" s="422"/>
      <c r="I157" s="422"/>
      <c r="J157" s="422"/>
      <c r="K157" s="422"/>
      <c r="L157" s="422"/>
      <c r="M157" s="422"/>
      <c r="N157" s="422"/>
      <c r="O157" s="422"/>
      <c r="P157" s="422"/>
      <c r="Q157" s="422"/>
      <c r="R157" s="422"/>
      <c r="S157" s="422"/>
    </row>
    <row r="158" spans="1:19" x14ac:dyDescent="0.25">
      <c r="A158" s="422"/>
      <c r="B158" s="625">
        <f t="shared" si="2"/>
        <v>1.5300000000000011</v>
      </c>
      <c r="C158" s="638">
        <f>1/DATI!$E$38*IF(B158&lt;DATI!$E$45,DATI!$E$32*DATI!$E$42*DATI!$E$49*DATI!$E$33*(B158/DATI!$E$45+1/(DATI!$E$49*DATI!$E$33)*(1-B158/DATI!$E$45)),IF(B158&lt;DATI!$E$46,DATI!$E$32*DATI!$E$42*DATI!$E$49*DATI!$E$33,IF(B158&lt;DATI!$E$47,DATI!$E$32*DATI!$E$42*DATI!$E$49*DATI!$E$33*(DATI!$E$46/B158),DATI!$E$32*DATI!$E$42*DATI!$E$49*DATI!$E$33*((DATI!$E$46*DATI!$E$47)/B158^2))))</f>
        <v>0.38932426840037404</v>
      </c>
      <c r="D158" s="300"/>
      <c r="E158" s="422"/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</row>
    <row r="159" spans="1:19" x14ac:dyDescent="0.25">
      <c r="A159" s="422"/>
      <c r="B159" s="625">
        <f t="shared" si="2"/>
        <v>1.5400000000000011</v>
      </c>
      <c r="C159" s="638">
        <f>1/DATI!$E$38*IF(B159&lt;DATI!$E$45,DATI!$E$32*DATI!$E$42*DATI!$E$49*DATI!$E$33*(B159/DATI!$E$45+1/(DATI!$E$49*DATI!$E$33)*(1-B159/DATI!$E$45)),IF(B159&lt;DATI!$E$46,DATI!$E$32*DATI!$E$42*DATI!$E$49*DATI!$E$33,IF(B159&lt;DATI!$E$47,DATI!$E$32*DATI!$E$42*DATI!$E$49*DATI!$E$33*(DATI!$E$46/B159),DATI!$E$32*DATI!$E$42*DATI!$E$49*DATI!$E$33*((DATI!$E$46*DATI!$E$47)/B159^2))))</f>
        <v>0.38679618873543653</v>
      </c>
      <c r="D159" s="300"/>
      <c r="E159" s="422"/>
      <c r="F159" s="422"/>
      <c r="G159" s="422"/>
      <c r="H159" s="422"/>
      <c r="I159" s="422"/>
      <c r="J159" s="422"/>
      <c r="K159" s="422"/>
      <c r="L159" s="422"/>
      <c r="M159" s="422"/>
      <c r="N159" s="422"/>
      <c r="O159" s="422"/>
      <c r="P159" s="422"/>
      <c r="Q159" s="422"/>
      <c r="R159" s="422"/>
      <c r="S159" s="422"/>
    </row>
    <row r="160" spans="1:19" x14ac:dyDescent="0.25">
      <c r="A160" s="422"/>
      <c r="B160" s="625">
        <f t="shared" si="2"/>
        <v>1.5500000000000012</v>
      </c>
      <c r="C160" s="638">
        <f>1/DATI!$E$38*IF(B160&lt;DATI!$E$45,DATI!$E$32*DATI!$E$42*DATI!$E$49*DATI!$E$33*(B160/DATI!$E$45+1/(DATI!$E$49*DATI!$E$33)*(1-B160/DATI!$E$45)),IF(B160&lt;DATI!$E$46,DATI!$E$32*DATI!$E$42*DATI!$E$49*DATI!$E$33,IF(B160&lt;DATI!$E$47,DATI!$E$32*DATI!$E$42*DATI!$E$49*DATI!$E$33*(DATI!$E$46/B160),DATI!$E$32*DATI!$E$42*DATI!$E$49*DATI!$E$33*((DATI!$E$46*DATI!$E$47)/B160^2))))</f>
        <v>0.38430072945327243</v>
      </c>
      <c r="D160" s="300"/>
      <c r="E160" s="422"/>
      <c r="F160" s="422"/>
      <c r="G160" s="422"/>
      <c r="H160" s="422"/>
      <c r="I160" s="422"/>
      <c r="J160" s="422"/>
      <c r="K160" s="422"/>
      <c r="L160" s="422"/>
      <c r="M160" s="422"/>
      <c r="N160" s="422"/>
      <c r="O160" s="422"/>
      <c r="P160" s="422"/>
      <c r="Q160" s="422"/>
      <c r="R160" s="422"/>
      <c r="S160" s="422"/>
    </row>
    <row r="161" spans="1:19" x14ac:dyDescent="0.25">
      <c r="A161" s="422"/>
      <c r="B161" s="625">
        <f t="shared" si="2"/>
        <v>1.5600000000000012</v>
      </c>
      <c r="C161" s="638">
        <f>1/DATI!$E$38*IF(B161&lt;DATI!$E$45,DATI!$E$32*DATI!$E$42*DATI!$E$49*DATI!$E$33*(B161/DATI!$E$45+1/(DATI!$E$49*DATI!$E$33)*(1-B161/DATI!$E$45)),IF(B161&lt;DATI!$E$46,DATI!$E$32*DATI!$E$42*DATI!$E$49*DATI!$E$33,IF(B161&lt;DATI!$E$47,DATI!$E$32*DATI!$E$42*DATI!$E$49*DATI!$E$33*(DATI!$E$46/B161),DATI!$E$32*DATI!$E$42*DATI!$E$49*DATI!$E$33*((DATI!$E$46*DATI!$E$47)/B161^2))))</f>
        <v>0.38183726323882838</v>
      </c>
      <c r="D161" s="300"/>
      <c r="E161" s="422"/>
      <c r="F161" s="422"/>
      <c r="G161" s="422"/>
      <c r="H161" s="422"/>
      <c r="I161" s="422"/>
      <c r="J161" s="422"/>
      <c r="K161" s="422"/>
      <c r="L161" s="422"/>
      <c r="M161" s="422"/>
      <c r="N161" s="422"/>
      <c r="O161" s="422"/>
      <c r="P161" s="422"/>
      <c r="Q161" s="422"/>
      <c r="R161" s="422"/>
      <c r="S161" s="422"/>
    </row>
    <row r="162" spans="1:19" x14ac:dyDescent="0.25">
      <c r="A162" s="422"/>
      <c r="B162" s="625">
        <f t="shared" si="2"/>
        <v>1.5700000000000012</v>
      </c>
      <c r="C162" s="638">
        <f>1/DATI!$E$38*IF(B162&lt;DATI!$E$45,DATI!$E$32*DATI!$E$42*DATI!$E$49*DATI!$E$33*(B162/DATI!$E$45+1/(DATI!$E$49*DATI!$E$33)*(1-B162/DATI!$E$45)),IF(B162&lt;DATI!$E$46,DATI!$E$32*DATI!$E$42*DATI!$E$49*DATI!$E$33,IF(B162&lt;DATI!$E$47,DATI!$E$32*DATI!$E$42*DATI!$E$49*DATI!$E$33*(DATI!$E$46/B162),DATI!$E$32*DATI!$E$42*DATI!$E$49*DATI!$E$33*((DATI!$E$46*DATI!$E$47)/B162^2))))</f>
        <v>0.37940517875960023</v>
      </c>
      <c r="D162" s="300"/>
      <c r="E162" s="422"/>
      <c r="F162" s="422"/>
      <c r="G162" s="422"/>
      <c r="H162" s="422"/>
      <c r="I162" s="422"/>
      <c r="J162" s="422"/>
      <c r="K162" s="422"/>
      <c r="L162" s="422"/>
      <c r="M162" s="422"/>
      <c r="N162" s="422"/>
      <c r="O162" s="422"/>
      <c r="P162" s="422"/>
      <c r="Q162" s="422"/>
      <c r="R162" s="422"/>
      <c r="S162" s="422"/>
    </row>
    <row r="163" spans="1:19" x14ac:dyDescent="0.25">
      <c r="A163" s="422"/>
      <c r="B163" s="625">
        <f t="shared" si="2"/>
        <v>1.5800000000000012</v>
      </c>
      <c r="C163" s="638">
        <f>1/DATI!$E$38*IF(B163&lt;DATI!$E$45,DATI!$E$32*DATI!$E$42*DATI!$E$49*DATI!$E$33*(B163/DATI!$E$45+1/(DATI!$E$49*DATI!$E$33)*(1-B163/DATI!$E$45)),IF(B163&lt;DATI!$E$46,DATI!$E$32*DATI!$E$42*DATI!$E$49*DATI!$E$33,IF(B163&lt;DATI!$E$47,DATI!$E$32*DATI!$E$42*DATI!$E$49*DATI!$E$33*(DATI!$E$46/B163),DATI!$E$32*DATI!$E$42*DATI!$E$49*DATI!$E$33*((DATI!$E$46*DATI!$E$47)/B163^2))))</f>
        <v>0.37700388015985586</v>
      </c>
      <c r="D163" s="300"/>
      <c r="E163" s="422"/>
      <c r="F163" s="422"/>
      <c r="G163" s="422"/>
      <c r="H163" s="422"/>
      <c r="I163" s="422"/>
      <c r="J163" s="422"/>
      <c r="K163" s="422"/>
      <c r="L163" s="422"/>
      <c r="M163" s="422"/>
      <c r="N163" s="422"/>
      <c r="O163" s="422"/>
      <c r="P163" s="422"/>
      <c r="Q163" s="422"/>
      <c r="R163" s="422"/>
      <c r="S163" s="422"/>
    </row>
    <row r="164" spans="1:19" x14ac:dyDescent="0.25">
      <c r="A164" s="422"/>
      <c r="B164" s="625">
        <f t="shared" si="2"/>
        <v>1.5900000000000012</v>
      </c>
      <c r="C164" s="638">
        <f>1/DATI!$E$38*IF(B164&lt;DATI!$E$45,DATI!$E$32*DATI!$E$42*DATI!$E$49*DATI!$E$33*(B164/DATI!$E$45+1/(DATI!$E$49*DATI!$E$33)*(1-B164/DATI!$E$45)),IF(B164&lt;DATI!$E$46,DATI!$E$32*DATI!$E$42*DATI!$E$49*DATI!$E$33,IF(B164&lt;DATI!$E$47,DATI!$E$32*DATI!$E$42*DATI!$E$49*DATI!$E$33*(DATI!$E$46/B164),DATI!$E$32*DATI!$E$42*DATI!$E$49*DATI!$E$33*((DATI!$E$46*DATI!$E$47)/B164^2))))</f>
        <v>0.37463278657394483</v>
      </c>
      <c r="D164" s="300"/>
      <c r="E164" s="422"/>
      <c r="F164" s="422"/>
      <c r="G164" s="422"/>
      <c r="H164" s="422"/>
      <c r="I164" s="422"/>
      <c r="J164" s="422"/>
      <c r="K164" s="422"/>
      <c r="L164" s="422"/>
      <c r="M164" s="422"/>
      <c r="N164" s="422"/>
      <c r="O164" s="422"/>
      <c r="P164" s="422"/>
      <c r="Q164" s="422"/>
      <c r="R164" s="422"/>
      <c r="S164" s="422"/>
    </row>
    <row r="165" spans="1:19" x14ac:dyDescent="0.25">
      <c r="A165" s="422"/>
      <c r="B165" s="625">
        <f t="shared" si="2"/>
        <v>1.6000000000000012</v>
      </c>
      <c r="C165" s="638">
        <f>1/DATI!$E$38*IF(B165&lt;DATI!$E$45,DATI!$E$32*DATI!$E$42*DATI!$E$49*DATI!$E$33*(B165/DATI!$E$45+1/(DATI!$E$49*DATI!$E$33)*(1-B165/DATI!$E$45)),IF(B165&lt;DATI!$E$46,DATI!$E$32*DATI!$E$42*DATI!$E$49*DATI!$E$33,IF(B165&lt;DATI!$E$47,DATI!$E$32*DATI!$E$42*DATI!$E$49*DATI!$E$33*(DATI!$E$46/B165),DATI!$E$32*DATI!$E$42*DATI!$E$49*DATI!$E$33*((DATI!$E$46*DATI!$E$47)/B165^2))))</f>
        <v>0.37229133165785772</v>
      </c>
      <c r="D165" s="300"/>
      <c r="E165" s="422"/>
      <c r="F165" s="422"/>
      <c r="G165" s="422"/>
      <c r="H165" s="422"/>
      <c r="I165" s="422"/>
      <c r="J165" s="422"/>
      <c r="K165" s="422"/>
      <c r="L165" s="422"/>
      <c r="M165" s="422"/>
      <c r="N165" s="422"/>
      <c r="O165" s="422"/>
      <c r="P165" s="422"/>
      <c r="Q165" s="422"/>
      <c r="R165" s="422"/>
      <c r="S165" s="422"/>
    </row>
    <row r="166" spans="1:19" x14ac:dyDescent="0.25">
      <c r="A166" s="422"/>
      <c r="B166" s="625">
        <f t="shared" si="2"/>
        <v>1.6100000000000012</v>
      </c>
      <c r="C166" s="638">
        <f>1/DATI!$E$38*IF(B166&lt;DATI!$E$45,DATI!$E$32*DATI!$E$42*DATI!$E$49*DATI!$E$33*(B166/DATI!$E$45+1/(DATI!$E$49*DATI!$E$33)*(1-B166/DATI!$E$45)),IF(B166&lt;DATI!$E$46,DATI!$E$32*DATI!$E$42*DATI!$E$49*DATI!$E$33,IF(B166&lt;DATI!$E$47,DATI!$E$32*DATI!$E$42*DATI!$E$49*DATI!$E$33*(DATI!$E$46/B166),DATI!$E$32*DATI!$E$42*DATI!$E$49*DATI!$E$33*((DATI!$E$46*DATI!$E$47)/B166^2))))</f>
        <v>0.36997896313824369</v>
      </c>
      <c r="D166" s="300"/>
      <c r="E166" s="422"/>
      <c r="F166" s="422"/>
      <c r="G166" s="422"/>
      <c r="H166" s="422"/>
      <c r="I166" s="422"/>
      <c r="J166" s="422"/>
      <c r="K166" s="422"/>
      <c r="L166" s="422"/>
      <c r="M166" s="422"/>
      <c r="N166" s="422"/>
      <c r="O166" s="422"/>
      <c r="P166" s="422"/>
      <c r="Q166" s="422"/>
      <c r="R166" s="422"/>
      <c r="S166" s="422"/>
    </row>
    <row r="167" spans="1:19" x14ac:dyDescent="0.25">
      <c r="A167" s="422"/>
      <c r="B167" s="625">
        <f t="shared" si="2"/>
        <v>1.6200000000000012</v>
      </c>
      <c r="C167" s="638">
        <f>1/DATI!$E$38*IF(B167&lt;DATI!$E$45,DATI!$E$32*DATI!$E$42*DATI!$E$49*DATI!$E$33*(B167/DATI!$E$45+1/(DATI!$E$49*DATI!$E$33)*(1-B167/DATI!$E$45)),IF(B167&lt;DATI!$E$46,DATI!$E$32*DATI!$E$42*DATI!$E$49*DATI!$E$33,IF(B167&lt;DATI!$E$47,DATI!$E$32*DATI!$E$42*DATI!$E$49*DATI!$E$33*(DATI!$E$46/B167),DATI!$E$32*DATI!$E$42*DATI!$E$49*DATI!$E$33*((DATI!$E$46*DATI!$E$47)/B167^2))))</f>
        <v>0.367695142378131</v>
      </c>
      <c r="D167" s="300"/>
      <c r="E167" s="422"/>
      <c r="F167" s="422"/>
      <c r="G167" s="422"/>
      <c r="H167" s="422"/>
      <c r="I167" s="422"/>
      <c r="J167" s="422"/>
      <c r="K167" s="422"/>
      <c r="L167" s="422"/>
      <c r="M167" s="422"/>
      <c r="N167" s="422"/>
      <c r="O167" s="422"/>
      <c r="P167" s="422"/>
      <c r="Q167" s="422"/>
      <c r="R167" s="422"/>
      <c r="S167" s="422"/>
    </row>
    <row r="168" spans="1:19" x14ac:dyDescent="0.25">
      <c r="A168" s="422"/>
      <c r="B168" s="625">
        <f t="shared" si="2"/>
        <v>1.6300000000000012</v>
      </c>
      <c r="C168" s="638">
        <f>1/DATI!$E$38*IF(B168&lt;DATI!$E$45,DATI!$E$32*DATI!$E$42*DATI!$E$49*DATI!$E$33*(B168/DATI!$E$45+1/(DATI!$E$49*DATI!$E$33)*(1-B168/DATI!$E$45)),IF(B168&lt;DATI!$E$46,DATI!$E$32*DATI!$E$42*DATI!$E$49*DATI!$E$33,IF(B168&lt;DATI!$E$47,DATI!$E$32*DATI!$E$42*DATI!$E$49*DATI!$E$33*(DATI!$E$46/B168),DATI!$E$32*DATI!$E$42*DATI!$E$49*DATI!$E$33*((DATI!$E$46*DATI!$E$47)/B168^2))))</f>
        <v>0.36543934395863331</v>
      </c>
      <c r="D168" s="300"/>
      <c r="E168" s="422"/>
      <c r="F168" s="422"/>
      <c r="G168" s="422"/>
      <c r="H168" s="422"/>
      <c r="I168" s="422"/>
      <c r="J168" s="422"/>
      <c r="K168" s="422"/>
      <c r="L168" s="422"/>
      <c r="M168" s="422"/>
      <c r="N168" s="422"/>
      <c r="O168" s="422"/>
      <c r="P168" s="422"/>
      <c r="Q168" s="422"/>
      <c r="R168" s="422"/>
      <c r="S168" s="422"/>
    </row>
    <row r="169" spans="1:19" x14ac:dyDescent="0.25">
      <c r="A169" s="422"/>
      <c r="B169" s="625">
        <f t="shared" si="2"/>
        <v>1.6400000000000012</v>
      </c>
      <c r="C169" s="638">
        <f>1/DATI!$E$38*IF(B169&lt;DATI!$E$45,DATI!$E$32*DATI!$E$42*DATI!$E$49*DATI!$E$33*(B169/DATI!$E$45+1/(DATI!$E$49*DATI!$E$33)*(1-B169/DATI!$E$45)),IF(B169&lt;DATI!$E$46,DATI!$E$32*DATI!$E$42*DATI!$E$49*DATI!$E$33,IF(B169&lt;DATI!$E$47,DATI!$E$32*DATI!$E$42*DATI!$E$49*DATI!$E$33*(DATI!$E$46/B169),DATI!$E$32*DATI!$E$42*DATI!$E$49*DATI!$E$33*((DATI!$E$46*DATI!$E$47)/B169^2))))</f>
        <v>0.36321105527595876</v>
      </c>
      <c r="D169" s="300"/>
      <c r="E169" s="422"/>
      <c r="F169" s="422"/>
      <c r="G169" s="422"/>
      <c r="H169" s="422"/>
      <c r="I169" s="422"/>
      <c r="J169" s="422"/>
      <c r="K169" s="422"/>
      <c r="L169" s="422"/>
      <c r="M169" s="422"/>
      <c r="N169" s="422"/>
      <c r="O169" s="422"/>
      <c r="P169" s="422"/>
      <c r="Q169" s="422"/>
      <c r="R169" s="422"/>
      <c r="S169" s="422"/>
    </row>
    <row r="170" spans="1:19" x14ac:dyDescent="0.25">
      <c r="A170" s="422"/>
      <c r="B170" s="625">
        <f t="shared" si="2"/>
        <v>1.6500000000000012</v>
      </c>
      <c r="C170" s="638">
        <f>1/DATI!$E$38*IF(B170&lt;DATI!$E$45,DATI!$E$32*DATI!$E$42*DATI!$E$49*DATI!$E$33*(B170/DATI!$E$45+1/(DATI!$E$49*DATI!$E$33)*(1-B170/DATI!$E$45)),IF(B170&lt;DATI!$E$46,DATI!$E$32*DATI!$E$42*DATI!$E$49*DATI!$E$33,IF(B170&lt;DATI!$E$47,DATI!$E$32*DATI!$E$42*DATI!$E$49*DATI!$E$33*(DATI!$E$46/B170),DATI!$E$32*DATI!$E$42*DATI!$E$49*DATI!$E$33*((DATI!$E$46*DATI!$E$47)/B170^2))))</f>
        <v>0.36100977615307411</v>
      </c>
      <c r="D170" s="300"/>
      <c r="E170" s="422"/>
      <c r="F170" s="422"/>
      <c r="G170" s="422"/>
      <c r="H170" s="422"/>
      <c r="I170" s="422"/>
      <c r="J170" s="422"/>
      <c r="K170" s="422"/>
      <c r="L170" s="422"/>
      <c r="M170" s="422"/>
      <c r="N170" s="422"/>
      <c r="O170" s="422"/>
      <c r="P170" s="422"/>
      <c r="Q170" s="422"/>
      <c r="R170" s="422"/>
      <c r="S170" s="422"/>
    </row>
    <row r="171" spans="1:19" x14ac:dyDescent="0.25">
      <c r="A171" s="422"/>
      <c r="B171" s="625">
        <f t="shared" si="2"/>
        <v>1.6600000000000013</v>
      </c>
      <c r="C171" s="638">
        <f>1/DATI!$E$38*IF(B171&lt;DATI!$E$45,DATI!$E$32*DATI!$E$42*DATI!$E$49*DATI!$E$33*(B171/DATI!$E$45+1/(DATI!$E$49*DATI!$E$33)*(1-B171/DATI!$E$45)),IF(B171&lt;DATI!$E$46,DATI!$E$32*DATI!$E$42*DATI!$E$49*DATI!$E$33,IF(B171&lt;DATI!$E$47,DATI!$E$32*DATI!$E$42*DATI!$E$49*DATI!$E$33*(DATI!$E$46/B171),DATI!$E$32*DATI!$E$42*DATI!$E$49*DATI!$E$33*((DATI!$E$46*DATI!$E$47)/B171^2))))</f>
        <v>0.35883501846540494</v>
      </c>
      <c r="D171" s="300"/>
      <c r="E171" s="422"/>
      <c r="F171" s="422"/>
      <c r="G171" s="422"/>
      <c r="H171" s="422"/>
      <c r="I171" s="422"/>
      <c r="J171" s="422"/>
      <c r="K171" s="422"/>
      <c r="L171" s="422"/>
      <c r="M171" s="422"/>
      <c r="N171" s="422"/>
      <c r="O171" s="422"/>
      <c r="P171" s="422"/>
      <c r="Q171" s="422"/>
      <c r="R171" s="422"/>
      <c r="S171" s="422"/>
    </row>
    <row r="172" spans="1:19" x14ac:dyDescent="0.25">
      <c r="A172" s="422"/>
      <c r="B172" s="625">
        <f t="shared" si="2"/>
        <v>1.6700000000000013</v>
      </c>
      <c r="C172" s="638">
        <f>1/DATI!$E$38*IF(B172&lt;DATI!$E$45,DATI!$E$32*DATI!$E$42*DATI!$E$49*DATI!$E$33*(B172/DATI!$E$45+1/(DATI!$E$49*DATI!$E$33)*(1-B172/DATI!$E$45)),IF(B172&lt;DATI!$E$46,DATI!$E$32*DATI!$E$42*DATI!$E$49*DATI!$E$33,IF(B172&lt;DATI!$E$47,DATI!$E$32*DATI!$E$42*DATI!$E$49*DATI!$E$33*(DATI!$E$46/B172),DATI!$E$32*DATI!$E$42*DATI!$E$49*DATI!$E$33*((DATI!$E$46*DATI!$E$47)/B172^2))))</f>
        <v>0.35668630577998339</v>
      </c>
      <c r="D172" s="300"/>
      <c r="E172" s="422"/>
      <c r="F172" s="422"/>
      <c r="G172" s="422"/>
      <c r="H172" s="422"/>
      <c r="I172" s="422"/>
      <c r="J172" s="422"/>
      <c r="K172" s="422"/>
      <c r="L172" s="422"/>
      <c r="M172" s="422"/>
      <c r="N172" s="422"/>
      <c r="O172" s="422"/>
      <c r="P172" s="422"/>
      <c r="Q172" s="422"/>
      <c r="R172" s="422"/>
      <c r="S172" s="422"/>
    </row>
    <row r="173" spans="1:19" x14ac:dyDescent="0.25">
      <c r="A173" s="422"/>
      <c r="B173" s="625">
        <f t="shared" si="2"/>
        <v>1.6800000000000013</v>
      </c>
      <c r="C173" s="638">
        <f>1/DATI!$E$38*IF(B173&lt;DATI!$E$45,DATI!$E$32*DATI!$E$42*DATI!$E$49*DATI!$E$33*(B173/DATI!$E$45+1/(DATI!$E$49*DATI!$E$33)*(1-B173/DATI!$E$45)),IF(B173&lt;DATI!$E$46,DATI!$E$32*DATI!$E$42*DATI!$E$49*DATI!$E$33,IF(B173&lt;DATI!$E$47,DATI!$E$32*DATI!$E$42*DATI!$E$49*DATI!$E$33*(DATI!$E$46/B173),DATI!$E$32*DATI!$E$42*DATI!$E$49*DATI!$E$33*((DATI!$E$46*DATI!$E$47)/B173^2))))</f>
        <v>0.35456317300748347</v>
      </c>
      <c r="D173" s="300"/>
      <c r="E173" s="422"/>
      <c r="F173" s="422"/>
      <c r="G173" s="422"/>
      <c r="H173" s="422"/>
      <c r="I173" s="422"/>
      <c r="J173" s="422"/>
      <c r="K173" s="422"/>
      <c r="L173" s="422"/>
      <c r="M173" s="422"/>
      <c r="N173" s="422"/>
      <c r="O173" s="422"/>
      <c r="P173" s="422"/>
      <c r="Q173" s="422"/>
      <c r="R173" s="422"/>
      <c r="S173" s="422"/>
    </row>
    <row r="174" spans="1:19" x14ac:dyDescent="0.25">
      <c r="A174" s="422"/>
      <c r="B174" s="625">
        <f t="shared" si="2"/>
        <v>1.6900000000000013</v>
      </c>
      <c r="C174" s="638">
        <f>1/DATI!$E$38*IF(B174&lt;DATI!$E$45,DATI!$E$32*DATI!$E$42*DATI!$E$49*DATI!$E$33*(B174/DATI!$E$45+1/(DATI!$E$49*DATI!$E$33)*(1-B174/DATI!$E$45)),IF(B174&lt;DATI!$E$46,DATI!$E$32*DATI!$E$42*DATI!$E$49*DATI!$E$33,IF(B174&lt;DATI!$E$47,DATI!$E$32*DATI!$E$42*DATI!$E$49*DATI!$E$33*(DATI!$E$46/B174),DATI!$E$32*DATI!$E$42*DATI!$E$49*DATI!$E$33*((DATI!$E$46*DATI!$E$47)/B174^2))))</f>
        <v>0.35246516606661077</v>
      </c>
      <c r="D174" s="300"/>
      <c r="E174" s="422"/>
      <c r="F174" s="422"/>
      <c r="G174" s="422"/>
      <c r="H174" s="422"/>
      <c r="I174" s="422"/>
      <c r="J174" s="422"/>
      <c r="K174" s="422"/>
      <c r="L174" s="422"/>
      <c r="M174" s="422"/>
      <c r="N174" s="422"/>
      <c r="O174" s="422"/>
      <c r="P174" s="422"/>
      <c r="Q174" s="422"/>
      <c r="R174" s="422"/>
      <c r="S174" s="422"/>
    </row>
    <row r="175" spans="1:19" x14ac:dyDescent="0.25">
      <c r="A175" s="422"/>
      <c r="B175" s="625">
        <f t="shared" si="2"/>
        <v>1.7000000000000013</v>
      </c>
      <c r="C175" s="638">
        <f>1/DATI!$E$38*IF(B175&lt;DATI!$E$45,DATI!$E$32*DATI!$E$42*DATI!$E$49*DATI!$E$33*(B175/DATI!$E$45+1/(DATI!$E$49*DATI!$E$33)*(1-B175/DATI!$E$45)),IF(B175&lt;DATI!$E$46,DATI!$E$32*DATI!$E$42*DATI!$E$49*DATI!$E$33,IF(B175&lt;DATI!$E$47,DATI!$E$32*DATI!$E$42*DATI!$E$49*DATI!$E$33*(DATI!$E$46/B175),DATI!$E$32*DATI!$E$42*DATI!$E$49*DATI!$E$33*((DATI!$E$46*DATI!$E$47)/B175^2))))</f>
        <v>0.35039184156033665</v>
      </c>
      <c r="D175" s="300"/>
      <c r="E175" s="422"/>
      <c r="F175" s="422"/>
      <c r="G175" s="422"/>
      <c r="H175" s="422"/>
      <c r="I175" s="422"/>
      <c r="J175" s="422"/>
      <c r="K175" s="422"/>
      <c r="L175" s="422"/>
      <c r="M175" s="422"/>
      <c r="N175" s="422"/>
      <c r="O175" s="422"/>
      <c r="P175" s="422"/>
      <c r="Q175" s="422"/>
      <c r="R175" s="422"/>
      <c r="S175" s="422"/>
    </row>
    <row r="176" spans="1:19" x14ac:dyDescent="0.25">
      <c r="A176" s="422"/>
      <c r="B176" s="625">
        <f t="shared" si="2"/>
        <v>1.7100000000000013</v>
      </c>
      <c r="C176" s="638">
        <f>1/DATI!$E$38*IF(B176&lt;DATI!$E$45,DATI!$E$32*DATI!$E$42*DATI!$E$49*DATI!$E$33*(B176/DATI!$E$45+1/(DATI!$E$49*DATI!$E$33)*(1-B176/DATI!$E$45)),IF(B176&lt;DATI!$E$46,DATI!$E$32*DATI!$E$42*DATI!$E$49*DATI!$E$33,IF(B176&lt;DATI!$E$47,DATI!$E$32*DATI!$E$42*DATI!$E$49*DATI!$E$33*(DATI!$E$46/B176),DATI!$E$32*DATI!$E$42*DATI!$E$49*DATI!$E$33*((DATI!$E$46*DATI!$E$47)/B176^2))))</f>
        <v>0.3483427664634926</v>
      </c>
      <c r="D176" s="300"/>
      <c r="E176" s="422"/>
      <c r="F176" s="422"/>
      <c r="G176" s="422"/>
      <c r="H176" s="422"/>
      <c r="I176" s="422"/>
      <c r="J176" s="422"/>
      <c r="K176" s="422"/>
      <c r="L176" s="422"/>
      <c r="M176" s="422"/>
      <c r="N176" s="422"/>
      <c r="O176" s="422"/>
      <c r="P176" s="422"/>
      <c r="Q176" s="422"/>
      <c r="R176" s="422"/>
      <c r="S176" s="422"/>
    </row>
    <row r="177" spans="1:19" x14ac:dyDescent="0.25">
      <c r="A177" s="422"/>
      <c r="B177" s="625">
        <f t="shared" si="2"/>
        <v>1.7200000000000013</v>
      </c>
      <c r="C177" s="638">
        <f>1/DATI!$E$38*IF(B177&lt;DATI!$E$45,DATI!$E$32*DATI!$E$42*DATI!$E$49*DATI!$E$33*(B177/DATI!$E$45+1/(DATI!$E$49*DATI!$E$33)*(1-B177/DATI!$E$45)),IF(B177&lt;DATI!$E$46,DATI!$E$32*DATI!$E$42*DATI!$E$49*DATI!$E$33,IF(B177&lt;DATI!$E$47,DATI!$E$32*DATI!$E$42*DATI!$E$49*DATI!$E$33*(DATI!$E$46/B177),DATI!$E$32*DATI!$E$42*DATI!$E$49*DATI!$E$33*((DATI!$E$46*DATI!$E$47)/B177^2))))</f>
        <v>0.34631751782126297</v>
      </c>
      <c r="D177" s="300"/>
      <c r="E177" s="422"/>
      <c r="F177" s="422"/>
      <c r="G177" s="422"/>
      <c r="H177" s="422"/>
      <c r="I177" s="422"/>
      <c r="J177" s="422"/>
      <c r="K177" s="422"/>
      <c r="L177" s="422"/>
      <c r="M177" s="422"/>
      <c r="N177" s="422"/>
      <c r="O177" s="422"/>
      <c r="P177" s="422"/>
      <c r="Q177" s="422"/>
      <c r="R177" s="422"/>
      <c r="S177" s="422"/>
    </row>
    <row r="178" spans="1:19" x14ac:dyDescent="0.25">
      <c r="A178" s="422"/>
      <c r="B178" s="625">
        <f t="shared" si="2"/>
        <v>1.7300000000000013</v>
      </c>
      <c r="C178" s="638">
        <f>1/DATI!$E$38*IF(B178&lt;DATI!$E$45,DATI!$E$32*DATI!$E$42*DATI!$E$49*DATI!$E$33*(B178/DATI!$E$45+1/(DATI!$E$49*DATI!$E$33)*(1-B178/DATI!$E$45)),IF(B178&lt;DATI!$E$46,DATI!$E$32*DATI!$E$42*DATI!$E$49*DATI!$E$33,IF(B178&lt;DATI!$E$47,DATI!$E$32*DATI!$E$42*DATI!$E$49*DATI!$E$33*(DATI!$E$46/B178),DATI!$E$32*DATI!$E$42*DATI!$E$49*DATI!$E$33*((DATI!$E$46*DATI!$E$47)/B178^2))))</f>
        <v>0.34431568245813426</v>
      </c>
      <c r="D178" s="300"/>
      <c r="E178" s="422"/>
      <c r="F178" s="422"/>
      <c r="G178" s="422"/>
      <c r="H178" s="422"/>
      <c r="I178" s="422"/>
      <c r="J178" s="422"/>
      <c r="K178" s="422"/>
      <c r="L178" s="422"/>
      <c r="M178" s="422"/>
      <c r="N178" s="422"/>
      <c r="O178" s="422"/>
      <c r="P178" s="422"/>
      <c r="Q178" s="422"/>
      <c r="R178" s="422"/>
      <c r="S178" s="422"/>
    </row>
    <row r="179" spans="1:19" x14ac:dyDescent="0.25">
      <c r="A179" s="422"/>
      <c r="B179" s="625">
        <f t="shared" si="2"/>
        <v>1.7400000000000013</v>
      </c>
      <c r="C179" s="638">
        <f>1/DATI!$E$38*IF(B179&lt;DATI!$E$45,DATI!$E$32*DATI!$E$42*DATI!$E$49*DATI!$E$33*(B179/DATI!$E$45+1/(DATI!$E$49*DATI!$E$33)*(1-B179/DATI!$E$45)),IF(B179&lt;DATI!$E$46,DATI!$E$32*DATI!$E$42*DATI!$E$49*DATI!$E$33,IF(B179&lt;DATI!$E$47,DATI!$E$32*DATI!$E$42*DATI!$E$49*DATI!$E$33*(DATI!$E$46/B179),DATI!$E$32*DATI!$E$42*DATI!$E$49*DATI!$E$33*((DATI!$E$46*DATI!$E$47)/B179^2))))</f>
        <v>0.34233685669688058</v>
      </c>
      <c r="D179" s="300"/>
      <c r="E179" s="422"/>
      <c r="F179" s="422"/>
      <c r="G179" s="422"/>
      <c r="H179" s="422"/>
      <c r="I179" s="422"/>
      <c r="J179" s="422"/>
      <c r="K179" s="422"/>
      <c r="L179" s="422"/>
      <c r="M179" s="422"/>
      <c r="N179" s="422"/>
      <c r="O179" s="422"/>
      <c r="P179" s="422"/>
      <c r="Q179" s="422"/>
      <c r="R179" s="422"/>
      <c r="S179" s="422"/>
    </row>
    <row r="180" spans="1:19" x14ac:dyDescent="0.25">
      <c r="A180" s="422"/>
      <c r="B180" s="625">
        <f t="shared" si="2"/>
        <v>1.7500000000000013</v>
      </c>
      <c r="C180" s="638">
        <f>1/DATI!$E$38*IF(B180&lt;DATI!$E$45,DATI!$E$32*DATI!$E$42*DATI!$E$49*DATI!$E$33*(B180/DATI!$E$45+1/(DATI!$E$49*DATI!$E$33)*(1-B180/DATI!$E$45)),IF(B180&lt;DATI!$E$46,DATI!$E$32*DATI!$E$42*DATI!$E$49*DATI!$E$33,IF(B180&lt;DATI!$E$47,DATI!$E$32*DATI!$E$42*DATI!$E$49*DATI!$E$33*(DATI!$E$46/B180),DATI!$E$32*DATI!$E$42*DATI!$E$49*DATI!$E$33*((DATI!$E$46*DATI!$E$47)/B180^2))))</f>
        <v>0.34038064608718416</v>
      </c>
      <c r="D180" s="300"/>
      <c r="E180" s="422"/>
      <c r="F180" s="422"/>
      <c r="G180" s="422"/>
      <c r="H180" s="422"/>
      <c r="I180" s="422"/>
      <c r="J180" s="422"/>
      <c r="K180" s="422"/>
      <c r="L180" s="422"/>
      <c r="M180" s="422"/>
      <c r="N180" s="422"/>
      <c r="O180" s="422"/>
      <c r="P180" s="422"/>
      <c r="Q180" s="422"/>
      <c r="R180" s="422"/>
      <c r="S180" s="422"/>
    </row>
    <row r="181" spans="1:19" x14ac:dyDescent="0.25">
      <c r="A181" s="422"/>
      <c r="B181" s="625">
        <f t="shared" si="2"/>
        <v>1.7600000000000013</v>
      </c>
      <c r="C181" s="638">
        <f>1/DATI!$E$38*IF(B181&lt;DATI!$E$45,DATI!$E$32*DATI!$E$42*DATI!$E$49*DATI!$E$33*(B181/DATI!$E$45+1/(DATI!$E$49*DATI!$E$33)*(1-B181/DATI!$E$45)),IF(B181&lt;DATI!$E$46,DATI!$E$32*DATI!$E$42*DATI!$E$49*DATI!$E$33,IF(B181&lt;DATI!$E$47,DATI!$E$32*DATI!$E$42*DATI!$E$49*DATI!$E$33*(DATI!$E$46/B181),DATI!$E$32*DATI!$E$42*DATI!$E$49*DATI!$E$33*((DATI!$E$46*DATI!$E$47)/B181^2))))</f>
        <v>0.33844666514350696</v>
      </c>
      <c r="D181" s="300"/>
      <c r="E181" s="422"/>
      <c r="F181" s="422"/>
      <c r="G181" s="422"/>
      <c r="H181" s="422"/>
      <c r="I181" s="422"/>
      <c r="J181" s="422"/>
      <c r="K181" s="422"/>
      <c r="L181" s="422"/>
      <c r="M181" s="422"/>
      <c r="N181" s="422"/>
      <c r="O181" s="422"/>
      <c r="P181" s="422"/>
      <c r="Q181" s="422"/>
      <c r="R181" s="422"/>
      <c r="S181" s="422"/>
    </row>
    <row r="182" spans="1:19" x14ac:dyDescent="0.25">
      <c r="A182" s="422"/>
      <c r="B182" s="625">
        <f t="shared" si="2"/>
        <v>1.7700000000000014</v>
      </c>
      <c r="C182" s="638">
        <f>1/DATI!$E$38*IF(B182&lt;DATI!$E$45,DATI!$E$32*DATI!$E$42*DATI!$E$49*DATI!$E$33*(B182/DATI!$E$45+1/(DATI!$E$49*DATI!$E$33)*(1-B182/DATI!$E$45)),IF(B182&lt;DATI!$E$46,DATI!$E$32*DATI!$E$42*DATI!$E$49*DATI!$E$33,IF(B182&lt;DATI!$E$47,DATI!$E$32*DATI!$E$42*DATI!$E$49*DATI!$E$33*(DATI!$E$46/B182),DATI!$E$32*DATI!$E$42*DATI!$E$49*DATI!$E$33*((DATI!$E$46*DATI!$E$47)/B182^2))))</f>
        <v>0.33653453709184877</v>
      </c>
      <c r="D182" s="300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2"/>
      <c r="Q182" s="422"/>
      <c r="R182" s="422"/>
      <c r="S182" s="422"/>
    </row>
    <row r="183" spans="1:19" x14ac:dyDescent="0.25">
      <c r="A183" s="422"/>
      <c r="B183" s="625">
        <f t="shared" si="2"/>
        <v>1.7800000000000014</v>
      </c>
      <c r="C183" s="638">
        <f>1/DATI!$E$38*IF(B183&lt;DATI!$E$45,DATI!$E$32*DATI!$E$42*DATI!$E$49*DATI!$E$33*(B183/DATI!$E$45+1/(DATI!$E$49*DATI!$E$33)*(1-B183/DATI!$E$45)),IF(B183&lt;DATI!$E$46,DATI!$E$32*DATI!$E$42*DATI!$E$49*DATI!$E$33,IF(B183&lt;DATI!$E$47,DATI!$E$32*DATI!$E$42*DATI!$E$49*DATI!$E$33*(DATI!$E$46/B183),DATI!$E$32*DATI!$E$42*DATI!$E$49*DATI!$E$33*((DATI!$E$46*DATI!$E$47)/B183^2))))</f>
        <v>0.3346438936250406</v>
      </c>
      <c r="D183" s="300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2"/>
      <c r="Q183" s="422"/>
      <c r="R183" s="422"/>
      <c r="S183" s="422"/>
    </row>
    <row r="184" spans="1:19" x14ac:dyDescent="0.25">
      <c r="A184" s="422"/>
      <c r="B184" s="625">
        <f t="shared" si="2"/>
        <v>1.7900000000000014</v>
      </c>
      <c r="C184" s="638">
        <f>1/DATI!$E$38*IF(B184&lt;DATI!$E$45,DATI!$E$32*DATI!$E$42*DATI!$E$49*DATI!$E$33*(B184/DATI!$E$45+1/(DATI!$E$49*DATI!$E$33)*(1-B184/DATI!$E$45)),IF(B184&lt;DATI!$E$46,DATI!$E$32*DATI!$E$42*DATI!$E$49*DATI!$E$33,IF(B184&lt;DATI!$E$47,DATI!$E$32*DATI!$E$42*DATI!$E$49*DATI!$E$33*(DATI!$E$46/B184),DATI!$E$32*DATI!$E$42*DATI!$E$49*DATI!$E$33*((DATI!$E$46*DATI!$E$47)/B184^2))))</f>
        <v>0.33277437466624149</v>
      </c>
      <c r="D184" s="300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2"/>
      <c r="Q184" s="422"/>
      <c r="R184" s="422"/>
      <c r="S184" s="422"/>
    </row>
    <row r="185" spans="1:19" x14ac:dyDescent="0.25">
      <c r="A185" s="422"/>
      <c r="B185" s="625">
        <f t="shared" si="2"/>
        <v>1.8000000000000014</v>
      </c>
      <c r="C185" s="638">
        <f>1/DATI!$E$38*IF(B185&lt;DATI!$E$45,DATI!$E$32*DATI!$E$42*DATI!$E$49*DATI!$E$33*(B185/DATI!$E$45+1/(DATI!$E$49*DATI!$E$33)*(1-B185/DATI!$E$45)),IF(B185&lt;DATI!$E$46,DATI!$E$32*DATI!$E$42*DATI!$E$49*DATI!$E$33,IF(B185&lt;DATI!$E$47,DATI!$E$32*DATI!$E$42*DATI!$E$49*DATI!$E$33*(DATI!$E$46/B185),DATI!$E$32*DATI!$E$42*DATI!$E$49*DATI!$E$33*((DATI!$E$46*DATI!$E$47)/B185^2))))</f>
        <v>0.33092562814031795</v>
      </c>
      <c r="D185" s="300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</row>
    <row r="186" spans="1:19" x14ac:dyDescent="0.25">
      <c r="A186" s="422"/>
      <c r="B186" s="625">
        <f t="shared" si="2"/>
        <v>1.8100000000000014</v>
      </c>
      <c r="C186" s="638">
        <f>1/DATI!$E$38*IF(B186&lt;DATI!$E$45,DATI!$E$32*DATI!$E$42*DATI!$E$49*DATI!$E$33*(B186/DATI!$E$45+1/(DATI!$E$49*DATI!$E$33)*(1-B186/DATI!$E$45)),IF(B186&lt;DATI!$E$46,DATI!$E$32*DATI!$E$42*DATI!$E$49*DATI!$E$33,IF(B186&lt;DATI!$E$47,DATI!$E$32*DATI!$E$42*DATI!$E$49*DATI!$E$33*(DATI!$E$46/B186),DATI!$E$32*DATI!$E$42*DATI!$E$49*DATI!$E$33*((DATI!$E$46*DATI!$E$47)/B186^2))))</f>
        <v>0.32909730975280238</v>
      </c>
      <c r="D186" s="300"/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422"/>
      <c r="P186" s="422"/>
      <c r="Q186" s="422"/>
      <c r="R186" s="422"/>
      <c r="S186" s="422"/>
    </row>
    <row r="187" spans="1:19" x14ac:dyDescent="0.25">
      <c r="A187" s="422"/>
      <c r="B187" s="625">
        <f t="shared" si="2"/>
        <v>1.8200000000000014</v>
      </c>
      <c r="C187" s="638">
        <f>1/DATI!$E$38*IF(B187&lt;DATI!$E$45,DATI!$E$32*DATI!$E$42*DATI!$E$49*DATI!$E$33*(B187/DATI!$E$45+1/(DATI!$E$49*DATI!$E$33)*(1-B187/DATI!$E$45)),IF(B187&lt;DATI!$E$46,DATI!$E$32*DATI!$E$42*DATI!$E$49*DATI!$E$33,IF(B187&lt;DATI!$E$47,DATI!$E$32*DATI!$E$42*DATI!$E$49*DATI!$E$33*(DATI!$E$46/B187),DATI!$E$32*DATI!$E$42*DATI!$E$49*DATI!$E$33*((DATI!$E$46*DATI!$E$47)/B187^2))))</f>
        <v>0.32728908277613861</v>
      </c>
      <c r="D187" s="300"/>
      <c r="E187" s="422"/>
      <c r="F187" s="422"/>
      <c r="G187" s="422"/>
      <c r="H187" s="422"/>
      <c r="I187" s="422"/>
      <c r="J187" s="422"/>
      <c r="K187" s="422"/>
      <c r="L187" s="422"/>
      <c r="M187" s="422"/>
      <c r="N187" s="422"/>
      <c r="O187" s="422"/>
      <c r="P187" s="422"/>
      <c r="Q187" s="422"/>
      <c r="R187" s="422"/>
      <c r="S187" s="422"/>
    </row>
    <row r="188" spans="1:19" x14ac:dyDescent="0.25">
      <c r="A188" s="422"/>
      <c r="B188" s="625">
        <f t="shared" si="2"/>
        <v>1.8300000000000014</v>
      </c>
      <c r="C188" s="638">
        <f>1/DATI!$E$38*IF(B188&lt;DATI!$E$45,DATI!$E$32*DATI!$E$42*DATI!$E$49*DATI!$E$33*(B188/DATI!$E$45+1/(DATI!$E$49*DATI!$E$33)*(1-B188/DATI!$E$45)),IF(B188&lt;DATI!$E$46,DATI!$E$32*DATI!$E$42*DATI!$E$49*DATI!$E$33,IF(B188&lt;DATI!$E$47,DATI!$E$32*DATI!$E$42*DATI!$E$49*DATI!$E$33*(DATI!$E$46/B188),DATI!$E$32*DATI!$E$42*DATI!$E$49*DATI!$E$33*((DATI!$E$46*DATI!$E$47)/B188^2))))</f>
        <v>0.32550061784293566</v>
      </c>
      <c r="D188" s="300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2"/>
      <c r="Q188" s="422"/>
      <c r="R188" s="422"/>
      <c r="S188" s="422"/>
    </row>
    <row r="189" spans="1:19" x14ac:dyDescent="0.25">
      <c r="A189" s="422"/>
      <c r="B189" s="625">
        <f t="shared" si="2"/>
        <v>1.8400000000000014</v>
      </c>
      <c r="C189" s="638">
        <f>1/DATI!$E$38*IF(B189&lt;DATI!$E$45,DATI!$E$32*DATI!$E$42*DATI!$E$49*DATI!$E$33*(B189/DATI!$E$45+1/(DATI!$E$49*DATI!$E$33)*(1-B189/DATI!$E$45)),IF(B189&lt;DATI!$E$46,DATI!$E$32*DATI!$E$42*DATI!$E$49*DATI!$E$33,IF(B189&lt;DATI!$E$47,DATI!$E$32*DATI!$E$42*DATI!$E$49*DATI!$E$33*(DATI!$E$46/B189),DATI!$E$32*DATI!$E$42*DATI!$E$49*DATI!$E$33*((DATI!$E$46*DATI!$E$47)/B189^2))))</f>
        <v>0.32373159274596314</v>
      </c>
      <c r="D189" s="300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2"/>
      <c r="Q189" s="422"/>
      <c r="R189" s="422"/>
      <c r="S189" s="422"/>
    </row>
    <row r="190" spans="1:19" x14ac:dyDescent="0.25">
      <c r="A190" s="422"/>
      <c r="B190" s="625">
        <f t="shared" si="2"/>
        <v>1.8500000000000014</v>
      </c>
      <c r="C190" s="638">
        <f>1/DATI!$E$38*IF(B190&lt;DATI!$E$45,DATI!$E$32*DATI!$E$42*DATI!$E$49*DATI!$E$33*(B190/DATI!$E$45+1/(DATI!$E$49*DATI!$E$33)*(1-B190/DATI!$E$45)),IF(B190&lt;DATI!$E$46,DATI!$E$32*DATI!$E$42*DATI!$E$49*DATI!$E$33,IF(B190&lt;DATI!$E$47,DATI!$E$32*DATI!$E$42*DATI!$E$49*DATI!$E$33*(DATI!$E$46/B190),DATI!$E$32*DATI!$E$42*DATI!$E$49*DATI!$E$33*((DATI!$E$46*DATI!$E$47)/B190^2))))</f>
        <v>0.32198169224463369</v>
      </c>
      <c r="D190" s="300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2"/>
      <c r="Q190" s="422"/>
      <c r="R190" s="422"/>
      <c r="S190" s="422"/>
    </row>
    <row r="191" spans="1:19" x14ac:dyDescent="0.25">
      <c r="A191" s="422"/>
      <c r="B191" s="625">
        <f t="shared" si="2"/>
        <v>1.8600000000000014</v>
      </c>
      <c r="C191" s="638">
        <f>1/DATI!$E$38*IF(B191&lt;DATI!$E$45,DATI!$E$32*DATI!$E$42*DATI!$E$49*DATI!$E$33*(B191/DATI!$E$45+1/(DATI!$E$49*DATI!$E$33)*(1-B191/DATI!$E$45)),IF(B191&lt;DATI!$E$46,DATI!$E$32*DATI!$E$42*DATI!$E$49*DATI!$E$33,IF(B191&lt;DATI!$E$47,DATI!$E$32*DATI!$E$42*DATI!$E$49*DATI!$E$33*(DATI!$E$46/B191),DATI!$E$32*DATI!$E$42*DATI!$E$49*DATI!$E$33*((DATI!$E$46*DATI!$E$47)/B191^2))))</f>
        <v>0.32025060787772702</v>
      </c>
      <c r="D191" s="300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2"/>
      <c r="Q191" s="422"/>
      <c r="R191" s="422"/>
      <c r="S191" s="422"/>
    </row>
    <row r="192" spans="1:19" x14ac:dyDescent="0.25">
      <c r="A192" s="422"/>
      <c r="B192" s="625">
        <f t="shared" si="2"/>
        <v>1.8700000000000014</v>
      </c>
      <c r="C192" s="638">
        <f>1/DATI!$E$38*IF(B192&lt;DATI!$E$45,DATI!$E$32*DATI!$E$42*DATI!$E$49*DATI!$E$33*(B192/DATI!$E$45+1/(DATI!$E$49*DATI!$E$33)*(1-B192/DATI!$E$45)),IF(B192&lt;DATI!$E$46,DATI!$E$32*DATI!$E$42*DATI!$E$49*DATI!$E$33,IF(B192&lt;DATI!$E$47,DATI!$E$32*DATI!$E$42*DATI!$E$49*DATI!$E$33*(DATI!$E$46/B192),DATI!$E$32*DATI!$E$42*DATI!$E$49*DATI!$E$33*((DATI!$E$46*DATI!$E$47)/B192^2))))</f>
        <v>0.31853803778212419</v>
      </c>
      <c r="D192" s="300"/>
      <c r="E192" s="422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2"/>
      <c r="Q192" s="422"/>
      <c r="R192" s="422"/>
      <c r="S192" s="422"/>
    </row>
    <row r="193" spans="1:19" x14ac:dyDescent="0.25">
      <c r="A193" s="422"/>
      <c r="B193" s="625">
        <f t="shared" si="2"/>
        <v>1.8800000000000014</v>
      </c>
      <c r="C193" s="638">
        <f>1/DATI!$E$38*IF(B193&lt;DATI!$E$45,DATI!$E$32*DATI!$E$42*DATI!$E$49*DATI!$E$33*(B193/DATI!$E$45+1/(DATI!$E$49*DATI!$E$33)*(1-B193/DATI!$E$45)),IF(B193&lt;DATI!$E$46,DATI!$E$32*DATI!$E$42*DATI!$E$49*DATI!$E$33,IF(B193&lt;DATI!$E$47,DATI!$E$32*DATI!$E$42*DATI!$E$49*DATI!$E$33*(DATI!$E$46/B193),DATI!$E$32*DATI!$E$42*DATI!$E$49*DATI!$E$33*((DATI!$E$46*DATI!$E$47)/B193^2))))</f>
        <v>0.31684368651732564</v>
      </c>
      <c r="D193" s="300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422"/>
      <c r="S193" s="422"/>
    </row>
    <row r="194" spans="1:19" x14ac:dyDescent="0.25">
      <c r="A194" s="422"/>
      <c r="B194" s="625">
        <f t="shared" si="2"/>
        <v>1.8900000000000015</v>
      </c>
      <c r="C194" s="638">
        <f>1/DATI!$E$38*IF(B194&lt;DATI!$E$45,DATI!$E$32*DATI!$E$42*DATI!$E$49*DATI!$E$33*(B194/DATI!$E$45+1/(DATI!$E$49*DATI!$E$33)*(1-B194/DATI!$E$45)),IF(B194&lt;DATI!$E$46,DATI!$E$32*DATI!$E$42*DATI!$E$49*DATI!$E$33,IF(B194&lt;DATI!$E$47,DATI!$E$32*DATI!$E$42*DATI!$E$49*DATI!$E$33*(DATI!$E$46/B194),DATI!$E$32*DATI!$E$42*DATI!$E$49*DATI!$E$33*((DATI!$E$46*DATI!$E$47)/B194^2))))</f>
        <v>0.31516726489554092</v>
      </c>
      <c r="D194" s="300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2"/>
      <c r="Q194" s="422"/>
      <c r="R194" s="422"/>
      <c r="S194" s="422"/>
    </row>
    <row r="195" spans="1:19" x14ac:dyDescent="0.25">
      <c r="A195" s="422"/>
      <c r="B195" s="625">
        <f t="shared" si="2"/>
        <v>1.9000000000000015</v>
      </c>
      <c r="C195" s="638">
        <f>1/DATI!$E$38*IF(B195&lt;DATI!$E$45,DATI!$E$32*DATI!$E$42*DATI!$E$49*DATI!$E$33*(B195/DATI!$E$45+1/(DATI!$E$49*DATI!$E$33)*(1-B195/DATI!$E$45)),IF(B195&lt;DATI!$E$46,DATI!$E$32*DATI!$E$42*DATI!$E$49*DATI!$E$33,IF(B195&lt;DATI!$E$47,DATI!$E$32*DATI!$E$42*DATI!$E$49*DATI!$E$33*(DATI!$E$46/B195),DATI!$E$32*DATI!$E$42*DATI!$E$49*DATI!$E$33*((DATI!$E$46*DATI!$E$47)/B195^2))))</f>
        <v>0.3135084898171433</v>
      </c>
      <c r="D195" s="300"/>
      <c r="E195" s="422"/>
      <c r="F195" s="422"/>
      <c r="G195" s="422"/>
      <c r="H195" s="422"/>
      <c r="I195" s="422"/>
      <c r="J195" s="422"/>
      <c r="K195" s="422"/>
      <c r="L195" s="422"/>
      <c r="M195" s="422"/>
      <c r="N195" s="422"/>
      <c r="O195" s="422"/>
      <c r="P195" s="422"/>
      <c r="Q195" s="422"/>
      <c r="R195" s="422"/>
      <c r="S195" s="422"/>
    </row>
    <row r="196" spans="1:19" x14ac:dyDescent="0.25">
      <c r="A196" s="422"/>
      <c r="B196" s="625">
        <f t="shared" si="2"/>
        <v>1.9100000000000015</v>
      </c>
      <c r="C196" s="638">
        <f>1/DATI!$E$38*IF(B196&lt;DATI!$E$45,DATI!$E$32*DATI!$E$42*DATI!$E$49*DATI!$E$33*(B196/DATI!$E$45+1/(DATI!$E$49*DATI!$E$33)*(1-B196/DATI!$E$45)),IF(B196&lt;DATI!$E$46,DATI!$E$32*DATI!$E$42*DATI!$E$49*DATI!$E$33,IF(B196&lt;DATI!$E$47,DATI!$E$32*DATI!$E$42*DATI!$E$49*DATI!$E$33*(DATI!$E$46/B196),DATI!$E$32*DATI!$E$42*DATI!$E$49*DATI!$E$33*((DATI!$E$46*DATI!$E$47)/B196^2))))</f>
        <v>0.31186708411129438</v>
      </c>
      <c r="D196" s="300"/>
      <c r="E196" s="422"/>
      <c r="F196" s="422"/>
      <c r="G196" s="422"/>
      <c r="H196" s="422"/>
      <c r="I196" s="422"/>
      <c r="J196" s="422"/>
      <c r="K196" s="422"/>
      <c r="L196" s="422"/>
      <c r="M196" s="422"/>
      <c r="N196" s="422"/>
      <c r="O196" s="422"/>
      <c r="P196" s="422"/>
      <c r="Q196" s="422"/>
      <c r="R196" s="422"/>
      <c r="S196" s="422"/>
    </row>
    <row r="197" spans="1:19" x14ac:dyDescent="0.25">
      <c r="A197" s="422"/>
      <c r="B197" s="625">
        <f t="shared" si="2"/>
        <v>1.9200000000000015</v>
      </c>
      <c r="C197" s="638">
        <f>1/DATI!$E$38*IF(B197&lt;DATI!$E$45,DATI!$E$32*DATI!$E$42*DATI!$E$49*DATI!$E$33*(B197/DATI!$E$45+1/(DATI!$E$49*DATI!$E$33)*(1-B197/DATI!$E$45)),IF(B197&lt;DATI!$E$46,DATI!$E$32*DATI!$E$42*DATI!$E$49*DATI!$E$33,IF(B197&lt;DATI!$E$47,DATI!$E$32*DATI!$E$42*DATI!$E$49*DATI!$E$33*(DATI!$E$46/B197),DATI!$E$32*DATI!$E$42*DATI!$E$49*DATI!$E$33*((DATI!$E$46*DATI!$E$47)/B197^2))))</f>
        <v>0.31024277638154807</v>
      </c>
      <c r="D197" s="300"/>
      <c r="E197" s="422"/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2"/>
      <c r="Q197" s="422"/>
      <c r="R197" s="422"/>
      <c r="S197" s="422"/>
    </row>
    <row r="198" spans="1:19" x14ac:dyDescent="0.25">
      <c r="A198" s="422"/>
      <c r="B198" s="625">
        <f t="shared" ref="B198:B261" si="3">0.01+B197</f>
        <v>1.9300000000000015</v>
      </c>
      <c r="C198" s="638">
        <f>1/DATI!$E$38*IF(B198&lt;DATI!$E$45,DATI!$E$32*DATI!$E$42*DATI!$E$49*DATI!$E$33*(B198/DATI!$E$45+1/(DATI!$E$49*DATI!$E$33)*(1-B198/DATI!$E$45)),IF(B198&lt;DATI!$E$46,DATI!$E$32*DATI!$E$42*DATI!$E$49*DATI!$E$33,IF(B198&lt;DATI!$E$47,DATI!$E$32*DATI!$E$42*DATI!$E$49*DATI!$E$33*(DATI!$E$46/B198),DATI!$E$32*DATI!$E$42*DATI!$E$49*DATI!$E$33*((DATI!$E$46*DATI!$E$47)/B198^2))))</f>
        <v>0.30863530085625507</v>
      </c>
      <c r="D198" s="300"/>
      <c r="E198" s="422"/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2"/>
      <c r="Q198" s="422"/>
      <c r="R198" s="422"/>
      <c r="S198" s="422"/>
    </row>
    <row r="199" spans="1:19" x14ac:dyDescent="0.25">
      <c r="A199" s="422"/>
      <c r="B199" s="625">
        <f t="shared" si="3"/>
        <v>1.9400000000000015</v>
      </c>
      <c r="C199" s="638">
        <f>1/DATI!$E$38*IF(B199&lt;DATI!$E$45,DATI!$E$32*DATI!$E$42*DATI!$E$49*DATI!$E$33*(B199/DATI!$E$45+1/(DATI!$E$49*DATI!$E$33)*(1-B199/DATI!$E$45)),IF(B199&lt;DATI!$E$46,DATI!$E$32*DATI!$E$42*DATI!$E$49*DATI!$E$33,IF(B199&lt;DATI!$E$47,DATI!$E$32*DATI!$E$42*DATI!$E$49*DATI!$E$33*(DATI!$E$46/B199),DATI!$E$32*DATI!$E$42*DATI!$E$49*DATI!$E$33*((DATI!$E$46*DATI!$E$47)/B199^2))))</f>
        <v>0.30704439724359395</v>
      </c>
      <c r="D199" s="300"/>
      <c r="E199" s="422"/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2"/>
      <c r="Q199" s="422"/>
      <c r="R199" s="422"/>
      <c r="S199" s="422"/>
    </row>
    <row r="200" spans="1:19" x14ac:dyDescent="0.25">
      <c r="A200" s="422"/>
      <c r="B200" s="625">
        <f t="shared" si="3"/>
        <v>1.9500000000000015</v>
      </c>
      <c r="C200" s="638">
        <f>1/DATI!$E$38*IF(B200&lt;DATI!$E$45,DATI!$E$32*DATI!$E$42*DATI!$E$49*DATI!$E$33*(B200/DATI!$E$45+1/(DATI!$E$49*DATI!$E$33)*(1-B200/DATI!$E$45)),IF(B200&lt;DATI!$E$46,DATI!$E$32*DATI!$E$42*DATI!$E$49*DATI!$E$33,IF(B200&lt;DATI!$E$47,DATI!$E$32*DATI!$E$42*DATI!$E$49*DATI!$E$33*(DATI!$E$46/B200),DATI!$E$32*DATI!$E$42*DATI!$E$49*DATI!$E$33*((DATI!$E$46*DATI!$E$47)/B200^2))))</f>
        <v>0.30546981059106271</v>
      </c>
      <c r="D200" s="300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2"/>
      <c r="Q200" s="422"/>
      <c r="R200" s="422"/>
      <c r="S200" s="422"/>
    </row>
    <row r="201" spans="1:19" x14ac:dyDescent="0.25">
      <c r="A201" s="422"/>
      <c r="B201" s="625">
        <f t="shared" si="3"/>
        <v>1.9600000000000015</v>
      </c>
      <c r="C201" s="638">
        <f>1/DATI!$E$38*IF(B201&lt;DATI!$E$45,DATI!$E$32*DATI!$E$42*DATI!$E$49*DATI!$E$33*(B201/DATI!$E$45+1/(DATI!$E$49*DATI!$E$33)*(1-B201/DATI!$E$45)),IF(B201&lt;DATI!$E$46,DATI!$E$32*DATI!$E$42*DATI!$E$49*DATI!$E$33,IF(B201&lt;DATI!$E$47,DATI!$E$32*DATI!$E$42*DATI!$E$49*DATI!$E$33*(DATI!$E$46/B201),DATI!$E$32*DATI!$E$42*DATI!$E$49*DATI!$E$33*((DATI!$E$46*DATI!$E$47)/B201^2))))</f>
        <v>0.30391129114927157</v>
      </c>
      <c r="D201" s="300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  <c r="P201" s="422"/>
      <c r="Q201" s="422"/>
      <c r="R201" s="422"/>
      <c r="S201" s="422"/>
    </row>
    <row r="202" spans="1:19" x14ac:dyDescent="0.25">
      <c r="A202" s="422"/>
      <c r="B202" s="625">
        <f t="shared" si="3"/>
        <v>1.9700000000000015</v>
      </c>
      <c r="C202" s="638">
        <f>1/DATI!$E$38*IF(B202&lt;DATI!$E$45,DATI!$E$32*DATI!$E$42*DATI!$E$49*DATI!$E$33*(B202/DATI!$E$45+1/(DATI!$E$49*DATI!$E$33)*(1-B202/DATI!$E$45)),IF(B202&lt;DATI!$E$46,DATI!$E$32*DATI!$E$42*DATI!$E$49*DATI!$E$33,IF(B202&lt;DATI!$E$47,DATI!$E$32*DATI!$E$42*DATI!$E$49*DATI!$E$33*(DATI!$E$46/B202),DATI!$E$32*DATI!$E$42*DATI!$E$49*DATI!$E$33*((DATI!$E$46*DATI!$E$47)/B202^2))))</f>
        <v>0.30236859423988444</v>
      </c>
      <c r="D202" s="300"/>
      <c r="E202" s="422"/>
      <c r="F202" s="422"/>
      <c r="G202" s="422"/>
      <c r="H202" s="422"/>
      <c r="I202" s="422"/>
      <c r="J202" s="422"/>
      <c r="K202" s="422"/>
      <c r="L202" s="422"/>
      <c r="M202" s="422"/>
      <c r="N202" s="422"/>
      <c r="O202" s="422"/>
      <c r="P202" s="422"/>
      <c r="Q202" s="422"/>
      <c r="R202" s="422"/>
      <c r="S202" s="422"/>
    </row>
    <row r="203" spans="1:19" x14ac:dyDescent="0.25">
      <c r="A203" s="422"/>
      <c r="B203" s="625">
        <f t="shared" si="3"/>
        <v>1.9800000000000015</v>
      </c>
      <c r="C203" s="638">
        <f>1/DATI!$E$38*IF(B203&lt;DATI!$E$45,DATI!$E$32*DATI!$E$42*DATI!$E$49*DATI!$E$33*(B203/DATI!$E$45+1/(DATI!$E$49*DATI!$E$33)*(1-B203/DATI!$E$45)),IF(B203&lt;DATI!$E$46,DATI!$E$32*DATI!$E$42*DATI!$E$49*DATI!$E$33,IF(B203&lt;DATI!$E$47,DATI!$E$32*DATI!$E$42*DATI!$E$49*DATI!$E$33*(DATI!$E$46/B203),DATI!$E$32*DATI!$E$42*DATI!$E$49*DATI!$E$33*((DATI!$E$46*DATI!$E$47)/B203^2))))</f>
        <v>0.30084148012756173</v>
      </c>
      <c r="D203" s="300"/>
      <c r="E203" s="422"/>
      <c r="F203" s="422"/>
      <c r="G203" s="422"/>
      <c r="H203" s="422"/>
      <c r="I203" s="422"/>
      <c r="J203" s="422"/>
      <c r="K203" s="422"/>
      <c r="L203" s="422"/>
      <c r="M203" s="422"/>
      <c r="N203" s="422"/>
      <c r="O203" s="422"/>
      <c r="P203" s="422"/>
      <c r="Q203" s="422"/>
      <c r="R203" s="422"/>
      <c r="S203" s="422"/>
    </row>
    <row r="204" spans="1:19" x14ac:dyDescent="0.25">
      <c r="A204" s="422"/>
      <c r="B204" s="625">
        <f t="shared" si="3"/>
        <v>1.9900000000000015</v>
      </c>
      <c r="C204" s="638">
        <f>1/DATI!$E$38*IF(B204&lt;DATI!$E$45,DATI!$E$32*DATI!$E$42*DATI!$E$49*DATI!$E$33*(B204/DATI!$E$45+1/(DATI!$E$49*DATI!$E$33)*(1-B204/DATI!$E$45)),IF(B204&lt;DATI!$E$46,DATI!$E$32*DATI!$E$42*DATI!$E$49*DATI!$E$33,IF(B204&lt;DATI!$E$47,DATI!$E$32*DATI!$E$42*DATI!$E$49*DATI!$E$33*(DATI!$E$46/B204),DATI!$E$32*DATI!$E$42*DATI!$E$49*DATI!$E$33*((DATI!$E$46*DATI!$E$47)/B204^2))))</f>
        <v>0.29932971389576496</v>
      </c>
      <c r="D204" s="300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2"/>
      <c r="Q204" s="422"/>
      <c r="R204" s="422"/>
      <c r="S204" s="422"/>
    </row>
    <row r="205" spans="1:19" x14ac:dyDescent="0.25">
      <c r="A205" s="422"/>
      <c r="B205" s="625">
        <f t="shared" si="3"/>
        <v>2.0000000000000013</v>
      </c>
      <c r="C205" s="638">
        <f>1/DATI!$E$38*IF(B205&lt;DATI!$E$45,DATI!$E$32*DATI!$E$42*DATI!$E$49*DATI!$E$33*(B205/DATI!$E$45+1/(DATI!$E$49*DATI!$E$33)*(1-B205/DATI!$E$45)),IF(B205&lt;DATI!$E$46,DATI!$E$32*DATI!$E$42*DATI!$E$49*DATI!$E$33,IF(B205&lt;DATI!$E$47,DATI!$E$32*DATI!$E$42*DATI!$E$49*DATI!$E$33*(DATI!$E$46/B205),DATI!$E$32*DATI!$E$42*DATI!$E$49*DATI!$E$33*((DATI!$E$46*DATI!$E$47)/B205^2))))</f>
        <v>0.29783306532628617</v>
      </c>
      <c r="D205" s="300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2"/>
      <c r="Q205" s="422"/>
      <c r="R205" s="422"/>
      <c r="S205" s="422"/>
    </row>
    <row r="206" spans="1:19" x14ac:dyDescent="0.25">
      <c r="A206" s="422"/>
      <c r="B206" s="625">
        <f t="shared" si="3"/>
        <v>2.0100000000000011</v>
      </c>
      <c r="C206" s="638">
        <f>1/DATI!$E$38*IF(B206&lt;DATI!$E$45,DATI!$E$32*DATI!$E$42*DATI!$E$49*DATI!$E$33*(B206/DATI!$E$45+1/(DATI!$E$49*DATI!$E$33)*(1-B206/DATI!$E$45)),IF(B206&lt;DATI!$E$46,DATI!$E$32*DATI!$E$42*DATI!$E$49*DATI!$E$33,IF(B206&lt;DATI!$E$47,DATI!$E$32*DATI!$E$42*DATI!$E$49*DATI!$E$33*(DATI!$E$46/B206),DATI!$E$32*DATI!$E$42*DATI!$E$49*DATI!$E$33*((DATI!$E$46*DATI!$E$47)/B206^2))))</f>
        <v>0.29635130878237431</v>
      </c>
      <c r="D206" s="300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2"/>
      <c r="Q206" s="422"/>
      <c r="R206" s="422"/>
      <c r="S206" s="422"/>
    </row>
    <row r="207" spans="1:19" x14ac:dyDescent="0.25">
      <c r="A207" s="422"/>
      <c r="B207" s="625">
        <f t="shared" si="3"/>
        <v>2.0200000000000009</v>
      </c>
      <c r="C207" s="638">
        <f>1/DATI!$E$38*IF(B207&lt;DATI!$E$45,DATI!$E$32*DATI!$E$42*DATI!$E$49*DATI!$E$33*(B207/DATI!$E$45+1/(DATI!$E$49*DATI!$E$33)*(1-B207/DATI!$E$45)),IF(B207&lt;DATI!$E$46,DATI!$E$32*DATI!$E$42*DATI!$E$49*DATI!$E$33,IF(B207&lt;DATI!$E$47,DATI!$E$32*DATI!$E$42*DATI!$E$49*DATI!$E$33*(DATI!$E$46/B207),DATI!$E$32*DATI!$E$42*DATI!$E$49*DATI!$E$33*((DATI!$E$46*DATI!$E$47)/B207^2))))</f>
        <v>0.29488422309533291</v>
      </c>
      <c r="D207" s="300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2"/>
      <c r="Q207" s="422"/>
      <c r="R207" s="422"/>
      <c r="S207" s="422"/>
    </row>
    <row r="208" spans="1:19" x14ac:dyDescent="0.25">
      <c r="A208" s="422"/>
      <c r="B208" s="625">
        <f t="shared" si="3"/>
        <v>2.0300000000000007</v>
      </c>
      <c r="C208" s="638">
        <f>1/DATI!$E$38*IF(B208&lt;DATI!$E$45,DATI!$E$32*DATI!$E$42*DATI!$E$49*DATI!$E$33*(B208/DATI!$E$45+1/(DATI!$E$49*DATI!$E$33)*(1-B208/DATI!$E$45)),IF(B208&lt;DATI!$E$46,DATI!$E$32*DATI!$E$42*DATI!$E$49*DATI!$E$33,IF(B208&lt;DATI!$E$47,DATI!$E$32*DATI!$E$42*DATI!$E$49*DATI!$E$33*(DATI!$E$46/B208),DATI!$E$32*DATI!$E$42*DATI!$E$49*DATI!$E$33*((DATI!$E$46*DATI!$E$47)/B208^2))))</f>
        <v>0.29343159145446918</v>
      </c>
      <c r="D208" s="300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2"/>
      <c r="Q208" s="422"/>
      <c r="R208" s="422"/>
      <c r="S208" s="422"/>
    </row>
    <row r="209" spans="1:19" x14ac:dyDescent="0.25">
      <c r="A209" s="422"/>
      <c r="B209" s="625">
        <f t="shared" si="3"/>
        <v>2.0400000000000005</v>
      </c>
      <c r="C209" s="638">
        <f>1/DATI!$E$38*IF(B209&lt;DATI!$E$45,DATI!$E$32*DATI!$E$42*DATI!$E$49*DATI!$E$33*(B209/DATI!$E$45+1/(DATI!$E$49*DATI!$E$33)*(1-B209/DATI!$E$45)),IF(B209&lt;DATI!$E$46,DATI!$E$32*DATI!$E$42*DATI!$E$49*DATI!$E$33,IF(B209&lt;DATI!$E$47,DATI!$E$32*DATI!$E$42*DATI!$E$49*DATI!$E$33*(DATI!$E$46/B209),DATI!$E$32*DATI!$E$42*DATI!$E$49*DATI!$E$33*((DATI!$E$46*DATI!$E$47)/B209^2))))</f>
        <v>0.29199320130028067</v>
      </c>
      <c r="D209" s="300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2"/>
      <c r="Q209" s="422"/>
      <c r="R209" s="422"/>
      <c r="S209" s="422"/>
    </row>
    <row r="210" spans="1:19" x14ac:dyDescent="0.25">
      <c r="A210" s="422"/>
      <c r="B210" s="625">
        <f t="shared" si="3"/>
        <v>2.0500000000000003</v>
      </c>
      <c r="C210" s="638">
        <f>1/DATI!$E$38*IF(B210&lt;DATI!$E$45,DATI!$E$32*DATI!$E$42*DATI!$E$49*DATI!$E$33*(B210/DATI!$E$45+1/(DATI!$E$49*DATI!$E$33)*(1-B210/DATI!$E$45)),IF(B210&lt;DATI!$E$46,DATI!$E$32*DATI!$E$42*DATI!$E$49*DATI!$E$33,IF(B210&lt;DATI!$E$47,DATI!$E$32*DATI!$E$42*DATI!$E$49*DATI!$E$33*(DATI!$E$46/B210),DATI!$E$32*DATI!$E$42*DATI!$E$49*DATI!$E$33*((DATI!$E$46*DATI!$E$47)/B210^2))))</f>
        <v>0.29056884422076712</v>
      </c>
      <c r="D210" s="300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2"/>
      <c r="Q210" s="422"/>
      <c r="R210" s="422"/>
      <c r="S210" s="422"/>
    </row>
    <row r="211" spans="1:19" x14ac:dyDescent="0.25">
      <c r="A211" s="422"/>
      <c r="B211" s="625">
        <f t="shared" si="3"/>
        <v>2.06</v>
      </c>
      <c r="C211" s="638">
        <f>1/DATI!$E$38*IF(B211&lt;DATI!$E$45,DATI!$E$32*DATI!$E$42*DATI!$E$49*DATI!$E$33*(B211/DATI!$E$45+1/(DATI!$E$49*DATI!$E$33)*(1-B211/DATI!$E$45)),IF(B211&lt;DATI!$E$46,DATI!$E$32*DATI!$E$42*DATI!$E$49*DATI!$E$33,IF(B211&lt;DATI!$E$47,DATI!$E$32*DATI!$E$42*DATI!$E$49*DATI!$E$33*(DATI!$E$46/B211),DATI!$E$32*DATI!$E$42*DATI!$E$49*DATI!$E$33*((DATI!$E$46*DATI!$E$47)/B211^2))))</f>
        <v>0.2891583158507634</v>
      </c>
      <c r="D211" s="300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2"/>
      <c r="Q211" s="422"/>
      <c r="R211" s="422"/>
      <c r="S211" s="422"/>
    </row>
    <row r="212" spans="1:19" x14ac:dyDescent="0.25">
      <c r="A212" s="422"/>
      <c r="B212" s="625">
        <f t="shared" si="3"/>
        <v>2.0699999999999998</v>
      </c>
      <c r="C212" s="638">
        <f>1/DATI!$E$38*IF(B212&lt;DATI!$E$45,DATI!$E$32*DATI!$E$42*DATI!$E$49*DATI!$E$33*(B212/DATI!$E$45+1/(DATI!$E$49*DATI!$E$33)*(1-B212/DATI!$E$45)),IF(B212&lt;DATI!$E$46,DATI!$E$32*DATI!$E$42*DATI!$E$49*DATI!$E$33,IF(B212&lt;DATI!$E$47,DATI!$E$32*DATI!$E$42*DATI!$E$49*DATI!$E$33*(DATI!$E$46/B212),DATI!$E$32*DATI!$E$42*DATI!$E$49*DATI!$E$33*((DATI!$E$46*DATI!$E$47)/B212^2))))</f>
        <v>0.28776141577418979</v>
      </c>
      <c r="D212" s="300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2"/>
      <c r="Q212" s="422"/>
      <c r="R212" s="422"/>
      <c r="S212" s="422"/>
    </row>
    <row r="213" spans="1:19" x14ac:dyDescent="0.25">
      <c r="A213" s="422"/>
      <c r="B213" s="625">
        <f t="shared" si="3"/>
        <v>2.0799999999999996</v>
      </c>
      <c r="C213" s="638">
        <f>1/DATI!$E$38*IF(B213&lt;DATI!$E$45,DATI!$E$32*DATI!$E$42*DATI!$E$49*DATI!$E$33*(B213/DATI!$E$45+1/(DATI!$E$49*DATI!$E$33)*(1-B213/DATI!$E$45)),IF(B213&lt;DATI!$E$46,DATI!$E$32*DATI!$E$42*DATI!$E$49*DATI!$E$33,IF(B213&lt;DATI!$E$47,DATI!$E$32*DATI!$E$42*DATI!$E$49*DATI!$E$33*(DATI!$E$46/B213),DATI!$E$32*DATI!$E$42*DATI!$E$49*DATI!$E$33*((DATI!$E$46*DATI!$E$47)/B213^2))))</f>
        <v>0.28637794742912154</v>
      </c>
      <c r="D213" s="300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2"/>
      <c r="Q213" s="422"/>
      <c r="R213" s="422"/>
      <c r="S213" s="422"/>
    </row>
    <row r="214" spans="1:19" x14ac:dyDescent="0.25">
      <c r="A214" s="422"/>
      <c r="B214" s="625">
        <f t="shared" si="3"/>
        <v>2.0899999999999994</v>
      </c>
      <c r="C214" s="638">
        <f>1/DATI!$E$38*IF(B214&lt;DATI!$E$45,DATI!$E$32*DATI!$E$42*DATI!$E$49*DATI!$E$33*(B214/DATI!$E$45+1/(DATI!$E$49*DATI!$E$33)*(1-B214/DATI!$E$45)),IF(B214&lt;DATI!$E$46,DATI!$E$32*DATI!$E$42*DATI!$E$49*DATI!$E$33,IF(B214&lt;DATI!$E$47,DATI!$E$32*DATI!$E$42*DATI!$E$49*DATI!$E$33*(DATI!$E$46/B214),DATI!$E$32*DATI!$E$42*DATI!$E$49*DATI!$E$33*((DATI!$E$46*DATI!$E$47)/B214^2))))</f>
        <v>0.28500771801558511</v>
      </c>
      <c r="D214" s="300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2"/>
      <c r="Q214" s="422"/>
      <c r="R214" s="422"/>
      <c r="S214" s="422"/>
    </row>
    <row r="215" spans="1:19" x14ac:dyDescent="0.25">
      <c r="A215" s="422"/>
      <c r="B215" s="625">
        <f t="shared" si="3"/>
        <v>2.0999999999999992</v>
      </c>
      <c r="C215" s="638">
        <f>1/DATI!$E$38*IF(B215&lt;DATI!$E$45,DATI!$E$32*DATI!$E$42*DATI!$E$49*DATI!$E$33*(B215/DATI!$E$45+1/(DATI!$E$49*DATI!$E$33)*(1-B215/DATI!$E$45)),IF(B215&lt;DATI!$E$46,DATI!$E$32*DATI!$E$42*DATI!$E$49*DATI!$E$33,IF(B215&lt;DATI!$E$47,DATI!$E$32*DATI!$E$42*DATI!$E$49*DATI!$E$33*(DATI!$E$46/B215),DATI!$E$32*DATI!$E$42*DATI!$E$49*DATI!$E$33*((DATI!$E$46*DATI!$E$47)/B215^2))))</f>
        <v>0.28365053840598714</v>
      </c>
      <c r="D215" s="300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2"/>
      <c r="Q215" s="422"/>
      <c r="R215" s="422"/>
      <c r="S215" s="422"/>
    </row>
    <row r="216" spans="1:19" x14ac:dyDescent="0.25">
      <c r="A216" s="422"/>
      <c r="B216" s="625">
        <f t="shared" si="3"/>
        <v>2.109999999999999</v>
      </c>
      <c r="C216" s="638">
        <f>1/DATI!$E$38*IF(B216&lt;DATI!$E$45,DATI!$E$32*DATI!$E$42*DATI!$E$49*DATI!$E$33*(B216/DATI!$E$45+1/(DATI!$E$49*DATI!$E$33)*(1-B216/DATI!$E$45)),IF(B216&lt;DATI!$E$46,DATI!$E$32*DATI!$E$42*DATI!$E$49*DATI!$E$33,IF(B216&lt;DATI!$E$47,DATI!$E$32*DATI!$E$42*DATI!$E$49*DATI!$E$33*(DATI!$E$46/B216),DATI!$E$32*DATI!$E$42*DATI!$E$49*DATI!$E$33*((DATI!$E$46*DATI!$E$47)/B216^2))))</f>
        <v>0.2823062230580915</v>
      </c>
      <c r="D216" s="300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2"/>
      <c r="Q216" s="422"/>
      <c r="R216" s="422"/>
      <c r="S216" s="422"/>
    </row>
    <row r="217" spans="1:19" x14ac:dyDescent="0.25">
      <c r="A217" s="422"/>
      <c r="B217" s="625">
        <f t="shared" si="3"/>
        <v>2.1199999999999988</v>
      </c>
      <c r="C217" s="638">
        <f>1/DATI!$E$38*IF(B217&lt;DATI!$E$45,DATI!$E$32*DATI!$E$42*DATI!$E$49*DATI!$E$33*(B217/DATI!$E$45+1/(DATI!$E$49*DATI!$E$33)*(1-B217/DATI!$E$45)),IF(B217&lt;DATI!$E$46,DATI!$E$32*DATI!$E$42*DATI!$E$49*DATI!$E$33,IF(B217&lt;DATI!$E$47,DATI!$E$32*DATI!$E$42*DATI!$E$49*DATI!$E$33*(DATI!$E$46/B217),DATI!$E$32*DATI!$E$42*DATI!$E$49*DATI!$E$33*((DATI!$E$46*DATI!$E$47)/B217^2))))</f>
        <v>0.28097458993045898</v>
      </c>
      <c r="D217" s="300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2"/>
      <c r="Q217" s="422"/>
      <c r="R217" s="422"/>
      <c r="S217" s="422"/>
    </row>
    <row r="218" spans="1:19" x14ac:dyDescent="0.25">
      <c r="A218" s="422"/>
      <c r="B218" s="625">
        <f t="shared" si="3"/>
        <v>2.1299999999999986</v>
      </c>
      <c r="C218" s="638">
        <f>1/DATI!$E$38*IF(B218&lt;DATI!$E$45,DATI!$E$32*DATI!$E$42*DATI!$E$49*DATI!$E$33*(B218/DATI!$E$45+1/(DATI!$E$49*DATI!$E$33)*(1-B218/DATI!$E$45)),IF(B218&lt;DATI!$E$46,DATI!$E$32*DATI!$E$42*DATI!$E$49*DATI!$E$33,IF(B218&lt;DATI!$E$47,DATI!$E$32*DATI!$E$42*DATI!$E$49*DATI!$E$33*(DATI!$E$46/B218),DATI!$E$32*DATI!$E$42*DATI!$E$49*DATI!$E$33*((DATI!$E$46*DATI!$E$47)/B218^2))))</f>
        <v>0.27965546040026912</v>
      </c>
      <c r="D218" s="300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2"/>
      <c r="Q218" s="422"/>
      <c r="R218" s="422"/>
      <c r="S218" s="422"/>
    </row>
    <row r="219" spans="1:19" x14ac:dyDescent="0.25">
      <c r="A219" s="422"/>
      <c r="B219" s="625">
        <f t="shared" si="3"/>
        <v>2.1399999999999983</v>
      </c>
      <c r="C219" s="638">
        <f>1/DATI!$E$38*IF(B219&lt;DATI!$E$45,DATI!$E$32*DATI!$E$42*DATI!$E$49*DATI!$E$33*(B219/DATI!$E$45+1/(DATI!$E$49*DATI!$E$33)*(1-B219/DATI!$E$45)),IF(B219&lt;DATI!$E$46,DATI!$E$32*DATI!$E$42*DATI!$E$49*DATI!$E$33,IF(B219&lt;DATI!$E$47,DATI!$E$32*DATI!$E$42*DATI!$E$49*DATI!$E$33*(DATI!$E$46/B219),DATI!$E$32*DATI!$E$42*DATI!$E$49*DATI!$E$33*((DATI!$E$46*DATI!$E$47)/B219^2))))</f>
        <v>0.27834865918344537</v>
      </c>
      <c r="D219" s="300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2"/>
      <c r="Q219" s="422"/>
      <c r="R219" s="422"/>
      <c r="S219" s="422"/>
    </row>
    <row r="220" spans="1:19" x14ac:dyDescent="0.25">
      <c r="A220" s="422"/>
      <c r="B220" s="625">
        <f t="shared" si="3"/>
        <v>2.1499999999999981</v>
      </c>
      <c r="C220" s="638">
        <f>1/DATI!$E$38*IF(B220&lt;DATI!$E$45,DATI!$E$32*DATI!$E$42*DATI!$E$49*DATI!$E$33*(B220/DATI!$E$45+1/(DATI!$E$49*DATI!$E$33)*(1-B220/DATI!$E$45)),IF(B220&lt;DATI!$E$46,DATI!$E$32*DATI!$E$42*DATI!$E$49*DATI!$E$33,IF(B220&lt;DATI!$E$47,DATI!$E$32*DATI!$E$42*DATI!$E$49*DATI!$E$33*(DATI!$E$46/B220),DATI!$E$32*DATI!$E$42*DATI!$E$49*DATI!$E$33*((DATI!$E$46*DATI!$E$47)/B220^2))))</f>
        <v>0.27705401425701082</v>
      </c>
      <c r="D220" s="300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2"/>
      <c r="Q220" s="422"/>
      <c r="R220" s="422"/>
      <c r="S220" s="422"/>
    </row>
    <row r="221" spans="1:19" x14ac:dyDescent="0.25">
      <c r="A221" s="422"/>
      <c r="B221" s="625">
        <f t="shared" si="3"/>
        <v>2.1599999999999979</v>
      </c>
      <c r="C221" s="638">
        <f>1/DATI!$E$38*IF(B221&lt;DATI!$E$45,DATI!$E$32*DATI!$E$42*DATI!$E$49*DATI!$E$33*(B221/DATI!$E$45+1/(DATI!$E$49*DATI!$E$33)*(1-B221/DATI!$E$45)),IF(B221&lt;DATI!$E$46,DATI!$E$32*DATI!$E$42*DATI!$E$49*DATI!$E$33,IF(B221&lt;DATI!$E$47,DATI!$E$32*DATI!$E$42*DATI!$E$49*DATI!$E$33*(DATI!$E$46/B221),DATI!$E$32*DATI!$E$42*DATI!$E$49*DATI!$E$33*((DATI!$E$46*DATI!$E$47)/B221^2))))</f>
        <v>0.27577135678359876</v>
      </c>
      <c r="D221" s="300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2"/>
      <c r="Q221" s="422"/>
      <c r="R221" s="422"/>
      <c r="S221" s="422"/>
    </row>
    <row r="222" spans="1:19" x14ac:dyDescent="0.25">
      <c r="A222" s="422"/>
      <c r="B222" s="625">
        <f t="shared" si="3"/>
        <v>2.1699999999999977</v>
      </c>
      <c r="C222" s="638">
        <f>1/DATI!$E$38*IF(B222&lt;DATI!$E$45,DATI!$E$32*DATI!$E$42*DATI!$E$49*DATI!$E$33*(B222/DATI!$E$45+1/(DATI!$E$49*DATI!$E$33)*(1-B222/DATI!$E$45)),IF(B222&lt;DATI!$E$46,DATI!$E$32*DATI!$E$42*DATI!$E$49*DATI!$E$33,IF(B222&lt;DATI!$E$47,DATI!$E$32*DATI!$E$42*DATI!$E$49*DATI!$E$33*(DATI!$E$46/B222),DATI!$E$32*DATI!$E$42*DATI!$E$49*DATI!$E$33*((DATI!$E$46*DATI!$E$47)/B222^2))))</f>
        <v>0.27450052103805223</v>
      </c>
      <c r="D222" s="300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2"/>
      <c r="Q222" s="422"/>
      <c r="R222" s="422"/>
      <c r="S222" s="422"/>
    </row>
    <row r="223" spans="1:19" x14ac:dyDescent="0.25">
      <c r="A223" s="422"/>
      <c r="B223" s="625">
        <f t="shared" si="3"/>
        <v>2.1799999999999975</v>
      </c>
      <c r="C223" s="638">
        <f>1/DATI!$E$38*IF(B223&lt;DATI!$E$45,DATI!$E$32*DATI!$E$42*DATI!$E$49*DATI!$E$33*(B223/DATI!$E$45+1/(DATI!$E$49*DATI!$E$33)*(1-B223/DATI!$E$45)),IF(B223&lt;DATI!$E$46,DATI!$E$32*DATI!$E$42*DATI!$E$49*DATI!$E$33,IF(B223&lt;DATI!$E$47,DATI!$E$32*DATI!$E$42*DATI!$E$49*DATI!$E$33*(DATI!$E$46/B223),DATI!$E$32*DATI!$E$42*DATI!$E$49*DATI!$E$33*((DATI!$E$46*DATI!$E$47)/B223^2))))</f>
        <v>0.27324134433604286</v>
      </c>
      <c r="D223" s="300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2"/>
      <c r="Q223" s="422"/>
      <c r="R223" s="422"/>
      <c r="S223" s="422"/>
    </row>
    <row r="224" spans="1:19" x14ac:dyDescent="0.25">
      <c r="A224" s="422"/>
      <c r="B224" s="625">
        <f t="shared" si="3"/>
        <v>2.1899999999999973</v>
      </c>
      <c r="C224" s="638">
        <f>1/DATI!$E$38*IF(B224&lt;DATI!$E$45,DATI!$E$32*DATI!$E$42*DATI!$E$49*DATI!$E$33*(B224/DATI!$E$45+1/(DATI!$E$49*DATI!$E$33)*(1-B224/DATI!$E$45)),IF(B224&lt;DATI!$E$46,DATI!$E$32*DATI!$E$42*DATI!$E$49*DATI!$E$33,IF(B224&lt;DATI!$E$47,DATI!$E$32*DATI!$E$42*DATI!$E$49*DATI!$E$33*(DATI!$E$46/B224),DATI!$E$32*DATI!$E$42*DATI!$E$49*DATI!$E$33*((DATI!$E$46*DATI!$E$47)/B224^2))))</f>
        <v>0.27199366696464544</v>
      </c>
      <c r="D224" s="300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2"/>
      <c r="Q224" s="422"/>
      <c r="R224" s="422"/>
      <c r="S224" s="422"/>
    </row>
    <row r="225" spans="1:19" x14ac:dyDescent="0.25">
      <c r="A225" s="422"/>
      <c r="B225" s="625">
        <f t="shared" si="3"/>
        <v>2.1999999999999971</v>
      </c>
      <c r="C225" s="638">
        <f>1/DATI!$E$38*IF(B225&lt;DATI!$E$45,DATI!$E$32*DATI!$E$42*DATI!$E$49*DATI!$E$33*(B225/DATI!$E$45+1/(DATI!$E$49*DATI!$E$33)*(1-B225/DATI!$E$45)),IF(B225&lt;DATI!$E$46,DATI!$E$32*DATI!$E$42*DATI!$E$49*DATI!$E$33,IF(B225&lt;DATI!$E$47,DATI!$E$32*DATI!$E$42*DATI!$E$49*DATI!$E$33*(DATI!$E$46/B225),DATI!$E$32*DATI!$E$42*DATI!$E$49*DATI!$E$33*((DATI!$E$46*DATI!$E$47)/B225^2))))</f>
        <v>0.27075733211480613</v>
      </c>
      <c r="D225" s="300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2"/>
      <c r="Q225" s="422"/>
      <c r="R225" s="422"/>
      <c r="S225" s="422"/>
    </row>
    <row r="226" spans="1:19" x14ac:dyDescent="0.25">
      <c r="A226" s="422"/>
      <c r="B226" s="625">
        <f t="shared" si="3"/>
        <v>2.2099999999999969</v>
      </c>
      <c r="C226" s="638">
        <f>1/DATI!$E$38*IF(B226&lt;DATI!$E$45,DATI!$E$32*DATI!$E$42*DATI!$E$49*DATI!$E$33*(B226/DATI!$E$45+1/(DATI!$E$49*DATI!$E$33)*(1-B226/DATI!$E$45)),IF(B226&lt;DATI!$E$46,DATI!$E$32*DATI!$E$42*DATI!$E$49*DATI!$E$33,IF(B226&lt;DATI!$E$47,DATI!$E$32*DATI!$E$42*DATI!$E$49*DATI!$E$33*(DATI!$E$46/B226),DATI!$E$32*DATI!$E$42*DATI!$E$49*DATI!$E$33*((DATI!$E$46*DATI!$E$47)/B226^2))))</f>
        <v>0.26953218581564414</v>
      </c>
      <c r="D226" s="300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2"/>
      <c r="Q226" s="422"/>
      <c r="R226" s="422"/>
      <c r="S226" s="422"/>
    </row>
    <row r="227" spans="1:19" x14ac:dyDescent="0.25">
      <c r="A227" s="422"/>
      <c r="B227" s="625">
        <f t="shared" si="3"/>
        <v>2.2199999999999966</v>
      </c>
      <c r="C227" s="638">
        <f>1/DATI!$E$38*IF(B227&lt;DATI!$E$45,DATI!$E$32*DATI!$E$42*DATI!$E$49*DATI!$E$33*(B227/DATI!$E$45+1/(DATI!$E$49*DATI!$E$33)*(1-B227/DATI!$E$45)),IF(B227&lt;DATI!$E$46,DATI!$E$32*DATI!$E$42*DATI!$E$49*DATI!$E$33,IF(B227&lt;DATI!$E$47,DATI!$E$32*DATI!$E$42*DATI!$E$49*DATI!$E$33*(DATI!$E$46/B227),DATI!$E$32*DATI!$E$42*DATI!$E$49*DATI!$E$33*((DATI!$E$46*DATI!$E$47)/B227^2))))</f>
        <v>0.26831807687052867</v>
      </c>
      <c r="D227" s="300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2"/>
      <c r="Q227" s="422"/>
      <c r="R227" s="422"/>
      <c r="S227" s="422"/>
    </row>
    <row r="228" spans="1:19" x14ac:dyDescent="0.25">
      <c r="A228" s="422"/>
      <c r="B228" s="625">
        <f t="shared" si="3"/>
        <v>2.2299999999999964</v>
      </c>
      <c r="C228" s="638">
        <f>1/DATI!$E$38*IF(B228&lt;DATI!$E$45,DATI!$E$32*DATI!$E$42*DATI!$E$49*DATI!$E$33*(B228/DATI!$E$45+1/(DATI!$E$49*DATI!$E$33)*(1-B228/DATI!$E$45)),IF(B228&lt;DATI!$E$46,DATI!$E$32*DATI!$E$42*DATI!$E$49*DATI!$E$33,IF(B228&lt;DATI!$E$47,DATI!$E$32*DATI!$E$42*DATI!$E$49*DATI!$E$33*(DATI!$E$46/B228),DATI!$E$32*DATI!$E$42*DATI!$E$49*DATI!$E$33*((DATI!$E$46*DATI!$E$47)/B228^2))))</f>
        <v>0.26711485679487607</v>
      </c>
      <c r="D228" s="300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2"/>
      <c r="Q228" s="422"/>
      <c r="R228" s="422"/>
      <c r="S228" s="422"/>
    </row>
    <row r="229" spans="1:19" x14ac:dyDescent="0.25">
      <c r="A229" s="422"/>
      <c r="B229" s="625">
        <f t="shared" si="3"/>
        <v>2.2399999999999962</v>
      </c>
      <c r="C229" s="638">
        <f>1/DATI!$E$38*IF(B229&lt;DATI!$E$45,DATI!$E$32*DATI!$E$42*DATI!$E$49*DATI!$E$33*(B229/DATI!$E$45+1/(DATI!$E$49*DATI!$E$33)*(1-B229/DATI!$E$45)),IF(B229&lt;DATI!$E$46,DATI!$E$32*DATI!$E$42*DATI!$E$49*DATI!$E$33,IF(B229&lt;DATI!$E$47,DATI!$E$32*DATI!$E$42*DATI!$E$49*DATI!$E$33*(DATI!$E$46/B229),DATI!$E$32*DATI!$E$42*DATI!$E$49*DATI!$E$33*((DATI!$E$46*DATI!$E$47)/B229^2))))</f>
        <v>0.26592237975561328</v>
      </c>
      <c r="D229" s="300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2"/>
      <c r="Q229" s="422"/>
      <c r="R229" s="422"/>
      <c r="S229" s="422"/>
    </row>
    <row r="230" spans="1:19" x14ac:dyDescent="0.25">
      <c r="A230" s="422"/>
      <c r="B230" s="625">
        <f t="shared" si="3"/>
        <v>2.249999999999996</v>
      </c>
      <c r="C230" s="638">
        <f>1/DATI!$E$38*IF(B230&lt;DATI!$E$45,DATI!$E$32*DATI!$E$42*DATI!$E$49*DATI!$E$33*(B230/DATI!$E$45+1/(DATI!$E$49*DATI!$E$33)*(1-B230/DATI!$E$45)),IF(B230&lt;DATI!$E$46,DATI!$E$32*DATI!$E$42*DATI!$E$49*DATI!$E$33,IF(B230&lt;DATI!$E$47,DATI!$E$32*DATI!$E$42*DATI!$E$49*DATI!$E$33*(DATI!$E$46/B230),DATI!$E$32*DATI!$E$42*DATI!$E$49*DATI!$E$33*((DATI!$E$46*DATI!$E$47)/B230^2))))</f>
        <v>0.26474050251225506</v>
      </c>
      <c r="D230" s="300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2"/>
      <c r="Q230" s="422"/>
      <c r="R230" s="422"/>
      <c r="S230" s="422"/>
    </row>
    <row r="231" spans="1:19" x14ac:dyDescent="0.25">
      <c r="A231" s="422"/>
      <c r="B231" s="625">
        <f t="shared" si="3"/>
        <v>2.2599999999999958</v>
      </c>
      <c r="C231" s="638">
        <f>1/DATI!$E$38*IF(B231&lt;DATI!$E$45,DATI!$E$32*DATI!$E$42*DATI!$E$49*DATI!$E$33*(B231/DATI!$E$45+1/(DATI!$E$49*DATI!$E$33)*(1-B231/DATI!$E$45)),IF(B231&lt;DATI!$E$46,DATI!$E$32*DATI!$E$42*DATI!$E$49*DATI!$E$33,IF(B231&lt;DATI!$E$47,DATI!$E$32*DATI!$E$42*DATI!$E$49*DATI!$E$33*(DATI!$E$46/B231),DATI!$E$32*DATI!$E$42*DATI!$E$49*DATI!$E$33*((DATI!$E$46*DATI!$E$47)/B231^2))))</f>
        <v>0.26356908435954596</v>
      </c>
      <c r="D231" s="300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2"/>
      <c r="Q231" s="422"/>
      <c r="R231" s="422"/>
      <c r="S231" s="422"/>
    </row>
    <row r="232" spans="1:19" x14ac:dyDescent="0.25">
      <c r="A232" s="422"/>
      <c r="B232" s="625">
        <f t="shared" si="3"/>
        <v>2.2699999999999956</v>
      </c>
      <c r="C232" s="638">
        <f>1/DATI!$E$38*IF(B232&lt;DATI!$E$45,DATI!$E$32*DATI!$E$42*DATI!$E$49*DATI!$E$33*(B232/DATI!$E$45+1/(DATI!$E$49*DATI!$E$33)*(1-B232/DATI!$E$45)),IF(B232&lt;DATI!$E$46,DATI!$E$32*DATI!$E$42*DATI!$E$49*DATI!$E$33,IF(B232&lt;DATI!$E$47,DATI!$E$32*DATI!$E$42*DATI!$E$49*DATI!$E$33*(DATI!$E$46/B232),DATI!$E$32*DATI!$E$42*DATI!$E$49*DATI!$E$33*((DATI!$E$46*DATI!$E$47)/B232^2))))</f>
        <v>0.2624079870716185</v>
      </c>
      <c r="D232" s="300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2"/>
      <c r="Q232" s="422"/>
      <c r="R232" s="422"/>
      <c r="S232" s="422"/>
    </row>
    <row r="233" spans="1:19" x14ac:dyDescent="0.25">
      <c r="A233" s="422"/>
      <c r="B233" s="625">
        <f t="shared" si="3"/>
        <v>2.2799999999999954</v>
      </c>
      <c r="C233" s="638">
        <f>1/DATI!$E$38*IF(B233&lt;DATI!$E$45,DATI!$E$32*DATI!$E$42*DATI!$E$49*DATI!$E$33*(B233/DATI!$E$45+1/(DATI!$E$49*DATI!$E$33)*(1-B233/DATI!$E$45)),IF(B233&lt;DATI!$E$46,DATI!$E$32*DATI!$E$42*DATI!$E$49*DATI!$E$33,IF(B233&lt;DATI!$E$47,DATI!$E$32*DATI!$E$42*DATI!$E$49*DATI!$E$33*(DATI!$E$46/B233),DATI!$E$32*DATI!$E$42*DATI!$E$49*DATI!$E$33*((DATI!$E$46*DATI!$E$47)/B233^2))))</f>
        <v>0.26125707484762017</v>
      </c>
      <c r="D233" s="300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2"/>
      <c r="Q233" s="422"/>
      <c r="R233" s="422"/>
      <c r="S233" s="422"/>
    </row>
    <row r="234" spans="1:19" x14ac:dyDescent="0.25">
      <c r="A234" s="422"/>
      <c r="B234" s="625">
        <f t="shared" si="3"/>
        <v>2.2899999999999952</v>
      </c>
      <c r="C234" s="638">
        <f>1/DATI!$E$38*IF(B234&lt;DATI!$E$45,DATI!$E$32*DATI!$E$42*DATI!$E$49*DATI!$E$33*(B234/DATI!$E$45+1/(DATI!$E$49*DATI!$E$33)*(1-B234/DATI!$E$45)),IF(B234&lt;DATI!$E$46,DATI!$E$32*DATI!$E$42*DATI!$E$49*DATI!$E$33,IF(B234&lt;DATI!$E$47,DATI!$E$32*DATI!$E$42*DATI!$E$49*DATI!$E$33*(DATI!$E$46/B234),DATI!$E$32*DATI!$E$42*DATI!$E$49*DATI!$E$33*((DATI!$E$46*DATI!$E$47)/B234^2))))</f>
        <v>0.26011621425876591</v>
      </c>
      <c r="D234" s="300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2"/>
      <c r="Q234" s="422"/>
      <c r="R234" s="422"/>
      <c r="S234" s="422"/>
    </row>
    <row r="235" spans="1:19" x14ac:dyDescent="0.25">
      <c r="A235" s="422"/>
      <c r="B235" s="625">
        <f t="shared" si="3"/>
        <v>2.2999999999999949</v>
      </c>
      <c r="C235" s="638">
        <f>1/DATI!$E$38*IF(B235&lt;DATI!$E$45,DATI!$E$32*DATI!$E$42*DATI!$E$49*DATI!$E$33*(B235/DATI!$E$45+1/(DATI!$E$49*DATI!$E$33)*(1-B235/DATI!$E$45)),IF(B235&lt;DATI!$E$46,DATI!$E$32*DATI!$E$42*DATI!$E$49*DATI!$E$33,IF(B235&lt;DATI!$E$47,DATI!$E$32*DATI!$E$42*DATI!$E$49*DATI!$E$33*(DATI!$E$46/B235),DATI!$E$32*DATI!$E$42*DATI!$E$49*DATI!$E$33*((DATI!$E$46*DATI!$E$47)/B235^2))))</f>
        <v>0.25898527419677136</v>
      </c>
      <c r="D235" s="300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2"/>
      <c r="Q235" s="422"/>
      <c r="R235" s="422"/>
      <c r="S235" s="422"/>
    </row>
    <row r="236" spans="1:19" x14ac:dyDescent="0.25">
      <c r="A236" s="422"/>
      <c r="B236" s="625">
        <f t="shared" si="3"/>
        <v>2.3099999999999947</v>
      </c>
      <c r="C236" s="638">
        <f>1/DATI!$E$38*IF(B236&lt;DATI!$E$45,DATI!$E$32*DATI!$E$42*DATI!$E$49*DATI!$E$33*(B236/DATI!$E$45+1/(DATI!$E$49*DATI!$E$33)*(1-B236/DATI!$E$45)),IF(B236&lt;DATI!$E$46,DATI!$E$32*DATI!$E$42*DATI!$E$49*DATI!$E$33,IF(B236&lt;DATI!$E$47,DATI!$E$32*DATI!$E$42*DATI!$E$49*DATI!$E$33*(DATI!$E$46/B236),DATI!$E$32*DATI!$E$42*DATI!$E$49*DATI!$E$33*((DATI!$E$46*DATI!$E$47)/B236^2))))</f>
        <v>0.25786412582362511</v>
      </c>
      <c r="D236" s="300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2"/>
      <c r="Q236" s="422"/>
      <c r="R236" s="422"/>
      <c r="S236" s="422"/>
    </row>
    <row r="237" spans="1:19" x14ac:dyDescent="0.25">
      <c r="A237" s="422"/>
      <c r="B237" s="625">
        <f t="shared" si="3"/>
        <v>2.3199999999999945</v>
      </c>
      <c r="C237" s="638">
        <f>1/DATI!$E$38*IF(B237&lt;DATI!$E$45,DATI!$E$32*DATI!$E$42*DATI!$E$49*DATI!$E$33*(B237/DATI!$E$45+1/(DATI!$E$49*DATI!$E$33)*(1-B237/DATI!$E$45)),IF(B237&lt;DATI!$E$46,DATI!$E$32*DATI!$E$42*DATI!$E$49*DATI!$E$33,IF(B237&lt;DATI!$E$47,DATI!$E$32*DATI!$E$42*DATI!$E$49*DATI!$E$33*(DATI!$E$46/B237),DATI!$E$32*DATI!$E$42*DATI!$E$49*DATI!$E$33*((DATI!$E$46*DATI!$E$47)/B237^2))))</f>
        <v>0.25675264252266128</v>
      </c>
      <c r="D237" s="300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2"/>
      <c r="Q237" s="422"/>
      <c r="R237" s="422"/>
      <c r="S237" s="422"/>
    </row>
    <row r="238" spans="1:19" x14ac:dyDescent="0.25">
      <c r="A238" s="422"/>
      <c r="B238" s="625">
        <f t="shared" si="3"/>
        <v>2.3299999999999943</v>
      </c>
      <c r="C238" s="638">
        <f>1/DATI!$E$38*IF(B238&lt;DATI!$E$45,DATI!$E$32*DATI!$E$42*DATI!$E$49*DATI!$E$33*(B238/DATI!$E$45+1/(DATI!$E$49*DATI!$E$33)*(1-B238/DATI!$E$45)),IF(B238&lt;DATI!$E$46,DATI!$E$32*DATI!$E$42*DATI!$E$49*DATI!$E$33,IF(B238&lt;DATI!$E$47,DATI!$E$32*DATI!$E$42*DATI!$E$49*DATI!$E$33*(DATI!$E$46/B238),DATI!$E$32*DATI!$E$42*DATI!$E$49*DATI!$E$33*((DATI!$E$46*DATI!$E$47)/B238^2))))</f>
        <v>0.25565069985089023</v>
      </c>
      <c r="D238" s="300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2"/>
      <c r="Q238" s="422"/>
      <c r="R238" s="422"/>
      <c r="S238" s="422"/>
    </row>
    <row r="239" spans="1:19" x14ac:dyDescent="0.25">
      <c r="A239" s="422"/>
      <c r="B239" s="625">
        <f t="shared" si="3"/>
        <v>2.3399999999999941</v>
      </c>
      <c r="C239" s="638">
        <f>1/DATI!$E$38*IF(B239&lt;DATI!$E$45,DATI!$E$32*DATI!$E$42*DATI!$E$49*DATI!$E$33*(B239/DATI!$E$45+1/(DATI!$E$49*DATI!$E$33)*(1-B239/DATI!$E$45)),IF(B239&lt;DATI!$E$46,DATI!$E$32*DATI!$E$42*DATI!$E$49*DATI!$E$33,IF(B239&lt;DATI!$E$47,DATI!$E$32*DATI!$E$42*DATI!$E$49*DATI!$E$33*(DATI!$E$46/B239),DATI!$E$32*DATI!$E$42*DATI!$E$49*DATI!$E$33*((DATI!$E$46*DATI!$E$47)/B239^2))))</f>
        <v>0.25455817549255311</v>
      </c>
      <c r="D239" s="300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2"/>
      <c r="Q239" s="422"/>
      <c r="R239" s="422"/>
      <c r="S239" s="422"/>
    </row>
    <row r="240" spans="1:19" x14ac:dyDescent="0.25">
      <c r="A240" s="422"/>
      <c r="B240" s="625">
        <f t="shared" si="3"/>
        <v>2.3499999999999939</v>
      </c>
      <c r="C240" s="638">
        <f>1/DATI!$E$38*IF(B240&lt;DATI!$E$45,DATI!$E$32*DATI!$E$42*DATI!$E$49*DATI!$E$33*(B240/DATI!$E$45+1/(DATI!$E$49*DATI!$E$33)*(1-B240/DATI!$E$45)),IF(B240&lt;DATI!$E$46,DATI!$E$32*DATI!$E$42*DATI!$E$49*DATI!$E$33,IF(B240&lt;DATI!$E$47,DATI!$E$32*DATI!$E$42*DATI!$E$49*DATI!$E$33*(DATI!$E$46/B240),DATI!$E$32*DATI!$E$42*DATI!$E$49*DATI!$E$33*((DATI!$E$46*DATI!$E$47)/B240^2))))</f>
        <v>0.25347494921386138</v>
      </c>
      <c r="D240" s="300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2"/>
      <c r="Q240" s="422"/>
      <c r="R240" s="422"/>
      <c r="S240" s="422"/>
    </row>
    <row r="241" spans="1:19" x14ac:dyDescent="0.25">
      <c r="A241" s="422"/>
      <c r="B241" s="625">
        <f t="shared" si="3"/>
        <v>2.3599999999999937</v>
      </c>
      <c r="C241" s="638">
        <f>1/DATI!$E$38*IF(B241&lt;DATI!$E$45,DATI!$E$32*DATI!$E$42*DATI!$E$49*DATI!$E$33*(B241/DATI!$E$45+1/(DATI!$E$49*DATI!$E$33)*(1-B241/DATI!$E$45)),IF(B241&lt;DATI!$E$46,DATI!$E$32*DATI!$E$42*DATI!$E$49*DATI!$E$33,IF(B241&lt;DATI!$E$47,DATI!$E$32*DATI!$E$42*DATI!$E$49*DATI!$E$33*(DATI!$E$46/B241),DATI!$E$32*DATI!$E$42*DATI!$E$49*DATI!$E$33*((DATI!$E$46*DATI!$E$47)/B241^2))))</f>
        <v>0.25240090281888744</v>
      </c>
      <c r="D241" s="300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422"/>
      <c r="P241" s="422"/>
      <c r="Q241" s="422"/>
      <c r="R241" s="422"/>
      <c r="S241" s="422"/>
    </row>
    <row r="242" spans="1:19" x14ac:dyDescent="0.25">
      <c r="A242" s="422"/>
      <c r="B242" s="625">
        <f t="shared" si="3"/>
        <v>2.3699999999999934</v>
      </c>
      <c r="C242" s="638">
        <f>1/DATI!$E$38*IF(B242&lt;DATI!$E$45,DATI!$E$32*DATI!$E$42*DATI!$E$49*DATI!$E$33*(B242/DATI!$E$45+1/(DATI!$E$49*DATI!$E$33)*(1-B242/DATI!$E$45)),IF(B242&lt;DATI!$E$46,DATI!$E$32*DATI!$E$42*DATI!$E$49*DATI!$E$33,IF(B242&lt;DATI!$E$47,DATI!$E$32*DATI!$E$42*DATI!$E$49*DATI!$E$33*(DATI!$E$46/B242),DATI!$E$32*DATI!$E$42*DATI!$E$49*DATI!$E$33*((DATI!$E$46*DATI!$E$47)/B242^2))))</f>
        <v>0.25133592010657146</v>
      </c>
      <c r="D242" s="300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2"/>
      <c r="Q242" s="422"/>
      <c r="R242" s="422"/>
      <c r="S242" s="422"/>
    </row>
    <row r="243" spans="1:19" x14ac:dyDescent="0.25">
      <c r="A243" s="422"/>
      <c r="B243" s="625">
        <f t="shared" si="3"/>
        <v>2.3799999999999932</v>
      </c>
      <c r="C243" s="638">
        <f>1/DATI!$E$38*IF(B243&lt;DATI!$E$45,DATI!$E$32*DATI!$E$42*DATI!$E$49*DATI!$E$33*(B243/DATI!$E$45+1/(DATI!$E$49*DATI!$E$33)*(1-B243/DATI!$E$45)),IF(B243&lt;DATI!$E$46,DATI!$E$32*DATI!$E$42*DATI!$E$49*DATI!$E$33,IF(B243&lt;DATI!$E$47,DATI!$E$32*DATI!$E$42*DATI!$E$49*DATI!$E$33*(DATI!$E$46/B243),DATI!$E$32*DATI!$E$42*DATI!$E$49*DATI!$E$33*((DATI!$E$46*DATI!$E$47)/B243^2))))</f>
        <v>0.2502798868288128</v>
      </c>
      <c r="D243" s="300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2"/>
      <c r="Q243" s="422"/>
      <c r="R243" s="422"/>
      <c r="S243" s="422"/>
    </row>
    <row r="244" spans="1:19" x14ac:dyDescent="0.25">
      <c r="A244" s="422"/>
      <c r="B244" s="625">
        <f t="shared" si="3"/>
        <v>2.389999999999993</v>
      </c>
      <c r="C244" s="638">
        <f>1/DATI!$E$38*IF(B244&lt;DATI!$E$45,DATI!$E$32*DATI!$E$42*DATI!$E$49*DATI!$E$33*(B244/DATI!$E$45+1/(DATI!$E$49*DATI!$E$33)*(1-B244/DATI!$E$45)),IF(B244&lt;DATI!$E$46,DATI!$E$32*DATI!$E$42*DATI!$E$49*DATI!$E$33,IF(B244&lt;DATI!$E$47,DATI!$E$32*DATI!$E$42*DATI!$E$49*DATI!$E$33*(DATI!$E$46/B244),DATI!$E$32*DATI!$E$42*DATI!$E$49*DATI!$E$33*((DATI!$E$46*DATI!$E$47)/B244^2))))</f>
        <v>0.24923269064961276</v>
      </c>
      <c r="D244" s="300"/>
      <c r="E244" s="422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2"/>
      <c r="Q244" s="422"/>
      <c r="R244" s="422"/>
      <c r="S244" s="422"/>
    </row>
    <row r="245" spans="1:19" x14ac:dyDescent="0.25">
      <c r="A245" s="422"/>
      <c r="B245" s="625">
        <f t="shared" si="3"/>
        <v>2.3999999999999928</v>
      </c>
      <c r="C245" s="638">
        <f>1/DATI!$E$38*IF(B245&lt;DATI!$E$45,DATI!$E$32*DATI!$E$42*DATI!$E$49*DATI!$E$33*(B245/DATI!$E$45+1/(DATI!$E$49*DATI!$E$33)*(1-B245/DATI!$E$45)),IF(B245&lt;DATI!$E$46,DATI!$E$32*DATI!$E$42*DATI!$E$49*DATI!$E$33,IF(B245&lt;DATI!$E$47,DATI!$E$32*DATI!$E$42*DATI!$E$49*DATI!$E$33*(DATI!$E$46/B245),DATI!$E$32*DATI!$E$42*DATI!$E$49*DATI!$E$33*((DATI!$E$46*DATI!$E$47)/B245^2))))</f>
        <v>0.24819422110523939</v>
      </c>
      <c r="D245" s="300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2"/>
      <c r="Q245" s="422"/>
      <c r="R245" s="422"/>
      <c r="S245" s="422"/>
    </row>
    <row r="246" spans="1:19" x14ac:dyDescent="0.25">
      <c r="A246" s="422"/>
      <c r="B246" s="625">
        <f t="shared" si="3"/>
        <v>2.4099999999999926</v>
      </c>
      <c r="C246" s="638">
        <f>1/DATI!$E$38*IF(B246&lt;DATI!$E$45,DATI!$E$32*DATI!$E$42*DATI!$E$49*DATI!$E$33*(B246/DATI!$E$45+1/(DATI!$E$49*DATI!$E$33)*(1-B246/DATI!$E$45)),IF(B246&lt;DATI!$E$46,DATI!$E$32*DATI!$E$42*DATI!$E$49*DATI!$E$33,IF(B246&lt;DATI!$E$47,DATI!$E$32*DATI!$E$42*DATI!$E$49*DATI!$E$33*(DATI!$E$46/B246),DATI!$E$32*DATI!$E$42*DATI!$E$49*DATI!$E$33*((DATI!$E$46*DATI!$E$47)/B246^2))))</f>
        <v>0.24716436956538362</v>
      </c>
      <c r="D246" s="300"/>
      <c r="E246" s="422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2"/>
      <c r="Q246" s="422"/>
      <c r="R246" s="422"/>
      <c r="S246" s="422"/>
    </row>
    <row r="247" spans="1:19" x14ac:dyDescent="0.25">
      <c r="A247" s="422"/>
      <c r="B247" s="625">
        <f t="shared" si="3"/>
        <v>2.4199999999999924</v>
      </c>
      <c r="C247" s="638">
        <f>1/DATI!$E$38*IF(B247&lt;DATI!$E$45,DATI!$E$32*DATI!$E$42*DATI!$E$49*DATI!$E$33*(B247/DATI!$E$45+1/(DATI!$E$49*DATI!$E$33)*(1-B247/DATI!$E$45)),IF(B247&lt;DATI!$E$46,DATI!$E$32*DATI!$E$42*DATI!$E$49*DATI!$E$33,IF(B247&lt;DATI!$E$47,DATI!$E$32*DATI!$E$42*DATI!$E$49*DATI!$E$33*(DATI!$E$46/B247),DATI!$E$32*DATI!$E$42*DATI!$E$49*DATI!$E$33*((DATI!$E$46*DATI!$E$47)/B247^2))))</f>
        <v>0.24614302919527881</v>
      </c>
      <c r="D247" s="300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2"/>
      <c r="Q247" s="422"/>
      <c r="R247" s="422"/>
      <c r="S247" s="422"/>
    </row>
    <row r="248" spans="1:19" x14ac:dyDescent="0.25">
      <c r="A248" s="422"/>
      <c r="B248" s="625">
        <f t="shared" si="3"/>
        <v>2.4299999999999922</v>
      </c>
      <c r="C248" s="638">
        <f>1/DATI!$E$38*IF(B248&lt;DATI!$E$45,DATI!$E$32*DATI!$E$42*DATI!$E$49*DATI!$E$33*(B248/DATI!$E$45+1/(DATI!$E$49*DATI!$E$33)*(1-B248/DATI!$E$45)),IF(B248&lt;DATI!$E$46,DATI!$E$32*DATI!$E$42*DATI!$E$49*DATI!$E$33,IF(B248&lt;DATI!$E$47,DATI!$E$32*DATI!$E$42*DATI!$E$49*DATI!$E$33*(DATI!$E$46/B248),DATI!$E$32*DATI!$E$42*DATI!$E$49*DATI!$E$33*((DATI!$E$46*DATI!$E$47)/B248^2))))</f>
        <v>0.24513009491875498</v>
      </c>
      <c r="D248" s="300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2"/>
      <c r="Q248" s="422"/>
      <c r="R248" s="422"/>
      <c r="S248" s="422"/>
    </row>
    <row r="249" spans="1:19" x14ac:dyDescent="0.25">
      <c r="A249" s="422"/>
      <c r="B249" s="625">
        <f t="shared" si="3"/>
        <v>2.439999999999992</v>
      </c>
      <c r="C249" s="638">
        <f>1/DATI!$E$38*IF(B249&lt;DATI!$E$45,DATI!$E$32*DATI!$E$42*DATI!$E$49*DATI!$E$33*(B249/DATI!$E$45+1/(DATI!$E$49*DATI!$E$33)*(1-B249/DATI!$E$45)),IF(B249&lt;DATI!$E$46,DATI!$E$32*DATI!$E$42*DATI!$E$49*DATI!$E$33,IF(B249&lt;DATI!$E$47,DATI!$E$32*DATI!$E$42*DATI!$E$49*DATI!$E$33*(DATI!$E$46/B249),DATI!$E$32*DATI!$E$42*DATI!$E$49*DATI!$E$33*((DATI!$E$46*DATI!$E$47)/B249^2))))</f>
        <v>0.24412546338220276</v>
      </c>
      <c r="D249" s="300"/>
      <c r="E249" s="422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2"/>
      <c r="Q249" s="422"/>
      <c r="R249" s="422"/>
      <c r="S249" s="422"/>
    </row>
    <row r="250" spans="1:19" x14ac:dyDescent="0.25">
      <c r="A250" s="422"/>
      <c r="B250" s="625">
        <f t="shared" si="3"/>
        <v>2.4499999999999917</v>
      </c>
      <c r="C250" s="638">
        <f>1/DATI!$E$38*IF(B250&lt;DATI!$E$45,DATI!$E$32*DATI!$E$42*DATI!$E$49*DATI!$E$33*(B250/DATI!$E$45+1/(DATI!$E$49*DATI!$E$33)*(1-B250/DATI!$E$45)),IF(B250&lt;DATI!$E$46,DATI!$E$32*DATI!$E$42*DATI!$E$49*DATI!$E$33,IF(B250&lt;DATI!$E$47,DATI!$E$32*DATI!$E$42*DATI!$E$49*DATI!$E$33*(DATI!$E$46/B250),DATI!$E$32*DATI!$E$42*DATI!$E$49*DATI!$E$33*((DATI!$E$46*DATI!$E$47)/B250^2))))</f>
        <v>0.24312903291941829</v>
      </c>
      <c r="D250" s="300"/>
      <c r="E250" s="422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2"/>
      <c r="Q250" s="422"/>
      <c r="R250" s="422"/>
      <c r="S250" s="422"/>
    </row>
    <row r="251" spans="1:19" x14ac:dyDescent="0.25">
      <c r="A251" s="422"/>
      <c r="B251" s="625">
        <f t="shared" si="3"/>
        <v>2.4599999999999915</v>
      </c>
      <c r="C251" s="638">
        <f>1/DATI!$E$38*IF(B251&lt;DATI!$E$45,DATI!$E$32*DATI!$E$42*DATI!$E$49*DATI!$E$33*(B251/DATI!$E$45+1/(DATI!$E$49*DATI!$E$33)*(1-B251/DATI!$E$45)),IF(B251&lt;DATI!$E$46,DATI!$E$32*DATI!$E$42*DATI!$E$49*DATI!$E$33,IF(B251&lt;DATI!$E$47,DATI!$E$32*DATI!$E$42*DATI!$E$49*DATI!$E$33*(DATI!$E$46/B251),DATI!$E$32*DATI!$E$42*DATI!$E$49*DATI!$E$33*((DATI!$E$46*DATI!$E$47)/B251^2))))</f>
        <v>0.24214070351730682</v>
      </c>
      <c r="D251" s="300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2"/>
      <c r="Q251" s="422"/>
      <c r="R251" s="422"/>
      <c r="S251" s="422"/>
    </row>
    <row r="252" spans="1:19" x14ac:dyDescent="0.25">
      <c r="A252" s="422"/>
      <c r="B252" s="625">
        <f t="shared" si="3"/>
        <v>2.4699999999999913</v>
      </c>
      <c r="C252" s="638">
        <f>1/DATI!$E$38*IF(B252&lt;DATI!$E$45,DATI!$E$32*DATI!$E$42*DATI!$E$49*DATI!$E$33*(B252/DATI!$E$45+1/(DATI!$E$49*DATI!$E$33)*(1-B252/DATI!$E$45)),IF(B252&lt;DATI!$E$46,DATI!$E$32*DATI!$E$42*DATI!$E$49*DATI!$E$33,IF(B252&lt;DATI!$E$47,DATI!$E$32*DATI!$E$42*DATI!$E$49*DATI!$E$33*(DATI!$E$46/B252),DATI!$E$32*DATI!$E$42*DATI!$E$49*DATI!$E$33*((DATI!$E$46*DATI!$E$47)/B252^2))))</f>
        <v>0.24116037678241894</v>
      </c>
      <c r="D252" s="300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2"/>
      <c r="Q252" s="422"/>
      <c r="R252" s="422"/>
      <c r="S252" s="422"/>
    </row>
    <row r="253" spans="1:19" x14ac:dyDescent="0.25">
      <c r="A253" s="422"/>
      <c r="B253" s="625">
        <f t="shared" si="3"/>
        <v>2.4799999999999911</v>
      </c>
      <c r="C253" s="638">
        <f>1/DATI!$E$38*IF(B253&lt;DATI!$E$45,DATI!$E$32*DATI!$E$42*DATI!$E$49*DATI!$E$33*(B253/DATI!$E$45+1/(DATI!$E$49*DATI!$E$33)*(1-B253/DATI!$E$45)),IF(B253&lt;DATI!$E$46,DATI!$E$32*DATI!$E$42*DATI!$E$49*DATI!$E$33,IF(B253&lt;DATI!$E$47,DATI!$E$32*DATI!$E$42*DATI!$E$49*DATI!$E$33*(DATI!$E$46/B253),DATI!$E$32*DATI!$E$42*DATI!$E$49*DATI!$E$33*((DATI!$E$46*DATI!$E$47)/B253^2))))</f>
        <v>0.24018795590829634</v>
      </c>
      <c r="D253" s="300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2"/>
      <c r="Q253" s="422"/>
      <c r="R253" s="422"/>
      <c r="S253" s="422"/>
    </row>
    <row r="254" spans="1:19" x14ac:dyDescent="0.25">
      <c r="A254" s="422"/>
      <c r="B254" s="625">
        <f t="shared" si="3"/>
        <v>2.4899999999999909</v>
      </c>
      <c r="C254" s="638">
        <f>1/DATI!$E$38*IF(B254&lt;DATI!$E$45,DATI!$E$32*DATI!$E$42*DATI!$E$49*DATI!$E$33*(B254/DATI!$E$45+1/(DATI!$E$49*DATI!$E$33)*(1-B254/DATI!$E$45)),IF(B254&lt;DATI!$E$46,DATI!$E$32*DATI!$E$42*DATI!$E$49*DATI!$E$33,IF(B254&lt;DATI!$E$47,DATI!$E$32*DATI!$E$42*DATI!$E$49*DATI!$E$33*(DATI!$E$46/B254),DATI!$E$32*DATI!$E$42*DATI!$E$49*DATI!$E$33*((DATI!$E$46*DATI!$E$47)/B254^2))))</f>
        <v>0.23922334564360437</v>
      </c>
      <c r="D254" s="300"/>
      <c r="E254" s="422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2"/>
      <c r="Q254" s="422"/>
      <c r="R254" s="422"/>
      <c r="S254" s="422"/>
    </row>
    <row r="255" spans="1:19" x14ac:dyDescent="0.25">
      <c r="A255" s="422"/>
      <c r="B255" s="625">
        <f t="shared" si="3"/>
        <v>2.4999999999999907</v>
      </c>
      <c r="C255" s="638">
        <f>1/DATI!$E$38*IF(B255&lt;DATI!$E$45,DATI!$E$32*DATI!$E$42*DATI!$E$49*DATI!$E$33*(B255/DATI!$E$45+1/(DATI!$E$49*DATI!$E$33)*(1-B255/DATI!$E$45)),IF(B255&lt;DATI!$E$46,DATI!$E$32*DATI!$E$42*DATI!$E$49*DATI!$E$33,IF(B255&lt;DATI!$E$47,DATI!$E$32*DATI!$E$42*DATI!$E$49*DATI!$E$33*(DATI!$E$46/B255),DATI!$E$32*DATI!$E$42*DATI!$E$49*DATI!$E$33*((DATI!$E$46*DATI!$E$47)/B255^2))))</f>
        <v>0.23826645226102997</v>
      </c>
      <c r="D255" s="300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2"/>
      <c r="Q255" s="422"/>
      <c r="R255" s="422"/>
      <c r="S255" s="422"/>
    </row>
    <row r="256" spans="1:19" x14ac:dyDescent="0.25">
      <c r="A256" s="422"/>
      <c r="B256" s="625">
        <f t="shared" si="3"/>
        <v>2.5099999999999905</v>
      </c>
      <c r="C256" s="638">
        <f>1/DATI!$E$38*IF(B256&lt;DATI!$E$45,DATI!$E$32*DATI!$E$42*DATI!$E$49*DATI!$E$33*(B256/DATI!$E$45+1/(DATI!$E$49*DATI!$E$33)*(1-B256/DATI!$E$45)),IF(B256&lt;DATI!$E$46,DATI!$E$32*DATI!$E$42*DATI!$E$49*DATI!$E$33,IF(B256&lt;DATI!$E$47,DATI!$E$32*DATI!$E$42*DATI!$E$49*DATI!$E$33*(DATI!$E$46/B256),DATI!$E$32*DATI!$E$42*DATI!$E$49*DATI!$E$33*((DATI!$E$46*DATI!$E$47)/B256^2))))</f>
        <v>0.2373171835269223</v>
      </c>
      <c r="D256" s="300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2"/>
      <c r="Q256" s="422"/>
      <c r="R256" s="422"/>
      <c r="S256" s="422"/>
    </row>
    <row r="257" spans="1:19" x14ac:dyDescent="0.25">
      <c r="A257" s="422"/>
      <c r="B257" s="625">
        <f t="shared" si="3"/>
        <v>2.5199999999999902</v>
      </c>
      <c r="C257" s="638">
        <f>1/DATI!$E$38*IF(B257&lt;DATI!$E$45,DATI!$E$32*DATI!$E$42*DATI!$E$49*DATI!$E$33*(B257/DATI!$E$45+1/(DATI!$E$49*DATI!$E$33)*(1-B257/DATI!$E$45)),IF(B257&lt;DATI!$E$46,DATI!$E$32*DATI!$E$42*DATI!$E$49*DATI!$E$33,IF(B257&lt;DATI!$E$47,DATI!$E$32*DATI!$E$42*DATI!$E$49*DATI!$E$33*(DATI!$E$46/B257),DATI!$E$32*DATI!$E$42*DATI!$E$49*DATI!$E$33*((DATI!$E$46*DATI!$E$47)/B257^2))))</f>
        <v>0.23637544867165675</v>
      </c>
      <c r="D257" s="300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2"/>
      <c r="Q257" s="422"/>
      <c r="R257" s="422"/>
      <c r="S257" s="422"/>
    </row>
    <row r="258" spans="1:19" x14ac:dyDescent="0.25">
      <c r="A258" s="422"/>
      <c r="B258" s="625">
        <f t="shared" si="3"/>
        <v>2.52999999999999</v>
      </c>
      <c r="C258" s="638">
        <f>1/DATI!$E$38*IF(B258&lt;DATI!$E$45,DATI!$E$32*DATI!$E$42*DATI!$E$49*DATI!$E$33*(B258/DATI!$E$45+1/(DATI!$E$49*DATI!$E$33)*(1-B258/DATI!$E$45)),IF(B258&lt;DATI!$E$46,DATI!$E$32*DATI!$E$42*DATI!$E$49*DATI!$E$33,IF(B258&lt;DATI!$E$47,DATI!$E$32*DATI!$E$42*DATI!$E$49*DATI!$E$33*(DATI!$E$46/B258),DATI!$E$32*DATI!$E$42*DATI!$E$49*DATI!$E$33*((DATI!$E$46*DATI!$E$47)/B258^2))))</f>
        <v>0.23544115836070165</v>
      </c>
      <c r="D258" s="300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2"/>
      <c r="Q258" s="422"/>
      <c r="R258" s="422"/>
      <c r="S258" s="422"/>
    </row>
    <row r="259" spans="1:19" x14ac:dyDescent="0.25">
      <c r="A259" s="422"/>
      <c r="B259" s="625">
        <f t="shared" si="3"/>
        <v>2.5399999999999898</v>
      </c>
      <c r="C259" s="638">
        <f>1/DATI!$E$38*IF(B259&lt;DATI!$E$45,DATI!$E$32*DATI!$E$42*DATI!$E$49*DATI!$E$33*(B259/DATI!$E$45+1/(DATI!$E$49*DATI!$E$33)*(1-B259/DATI!$E$45)),IF(B259&lt;DATI!$E$46,DATI!$E$32*DATI!$E$42*DATI!$E$49*DATI!$E$33,IF(B259&lt;DATI!$E$47,DATI!$E$32*DATI!$E$42*DATI!$E$49*DATI!$E$33*(DATI!$E$46/B259),DATI!$E$32*DATI!$E$42*DATI!$E$49*DATI!$E$33*((DATI!$E$46*DATI!$E$47)/B259^2))))</f>
        <v>0.23451422466636812</v>
      </c>
      <c r="D259" s="300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2"/>
      <c r="Q259" s="422"/>
      <c r="R259" s="422"/>
      <c r="S259" s="422"/>
    </row>
    <row r="260" spans="1:19" x14ac:dyDescent="0.25">
      <c r="A260" s="422"/>
      <c r="B260" s="625">
        <f t="shared" si="3"/>
        <v>2.5499999999999896</v>
      </c>
      <c r="C260" s="638">
        <f>1/DATI!$E$38*IF(B260&lt;DATI!$E$45,DATI!$E$32*DATI!$E$42*DATI!$E$49*DATI!$E$33*(B260/DATI!$E$45+1/(DATI!$E$49*DATI!$E$33)*(1-B260/DATI!$E$45)),IF(B260&lt;DATI!$E$46,DATI!$E$32*DATI!$E$42*DATI!$E$49*DATI!$E$33,IF(B260&lt;DATI!$E$47,DATI!$E$32*DATI!$E$42*DATI!$E$49*DATI!$E$33*(DATI!$E$46/B260),DATI!$E$32*DATI!$E$42*DATI!$E$49*DATI!$E$33*((DATI!$E$46*DATI!$E$47)/B260^2))))</f>
        <v>0.23359456104022558</v>
      </c>
      <c r="D260" s="300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2"/>
      <c r="Q260" s="422"/>
      <c r="R260" s="422"/>
      <c r="S260" s="422"/>
    </row>
    <row r="261" spans="1:19" x14ac:dyDescent="0.25">
      <c r="A261" s="422"/>
      <c r="B261" s="625">
        <f t="shared" si="3"/>
        <v>2.5599999999999894</v>
      </c>
      <c r="C261" s="638">
        <f>1/DATI!$E$38*IF(B261&lt;DATI!$E$45,DATI!$E$32*DATI!$E$42*DATI!$E$49*DATI!$E$33*(B261/DATI!$E$45+1/(DATI!$E$49*DATI!$E$33)*(1-B261/DATI!$E$45)),IF(B261&lt;DATI!$E$46,DATI!$E$32*DATI!$E$42*DATI!$E$49*DATI!$E$33,IF(B261&lt;DATI!$E$47,DATI!$E$32*DATI!$E$42*DATI!$E$49*DATI!$E$33*(DATI!$E$46/B261),DATI!$E$32*DATI!$E$42*DATI!$E$49*DATI!$E$33*((DATI!$E$46*DATI!$E$47)/B261^2))))</f>
        <v>0.23268208228616219</v>
      </c>
      <c r="D261" s="300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2"/>
      <c r="Q261" s="422"/>
      <c r="R261" s="422"/>
      <c r="S261" s="422"/>
    </row>
    <row r="262" spans="1:19" x14ac:dyDescent="0.25">
      <c r="A262" s="422"/>
      <c r="B262" s="625">
        <f t="shared" ref="B262:B325" si="4">0.01+B261</f>
        <v>2.5699999999999892</v>
      </c>
      <c r="C262" s="638">
        <f>1/DATI!$E$38*IF(B262&lt;DATI!$E$45,DATI!$E$32*DATI!$E$42*DATI!$E$49*DATI!$E$33*(B262/DATI!$E$45+1/(DATI!$E$49*DATI!$E$33)*(1-B262/DATI!$E$45)),IF(B262&lt;DATI!$E$46,DATI!$E$32*DATI!$E$42*DATI!$E$49*DATI!$E$33,IF(B262&lt;DATI!$E$47,DATI!$E$32*DATI!$E$42*DATI!$E$49*DATI!$E$33*(DATI!$E$46/B262),DATI!$E$32*DATI!$E$42*DATI!$E$49*DATI!$E$33*((DATI!$E$46*DATI!$E$47)/B262^2))))</f>
        <v>0.23177670453407598</v>
      </c>
      <c r="D262" s="300"/>
      <c r="E262" s="422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2"/>
      <c r="Q262" s="422"/>
      <c r="R262" s="422"/>
      <c r="S262" s="422"/>
    </row>
    <row r="263" spans="1:19" x14ac:dyDescent="0.25">
      <c r="A263" s="422"/>
      <c r="B263" s="625">
        <f t="shared" si="4"/>
        <v>2.579999999999989</v>
      </c>
      <c r="C263" s="638">
        <f>1/DATI!$E$38*IF(B263&lt;DATI!$E$45,DATI!$E$32*DATI!$E$42*DATI!$E$49*DATI!$E$33*(B263/DATI!$E$45+1/(DATI!$E$49*DATI!$E$33)*(1-B263/DATI!$E$45)),IF(B263&lt;DATI!$E$46,DATI!$E$32*DATI!$E$42*DATI!$E$49*DATI!$E$33,IF(B263&lt;DATI!$E$47,DATI!$E$32*DATI!$E$42*DATI!$E$49*DATI!$E$33*(DATI!$E$46/B263),DATI!$E$32*DATI!$E$42*DATI!$E$49*DATI!$E$33*((DATI!$E$46*DATI!$E$47)/B263^2))))</f>
        <v>0.23087834521417647</v>
      </c>
      <c r="D263" s="300"/>
      <c r="E263" s="422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2"/>
      <c r="Q263" s="422"/>
      <c r="R263" s="422"/>
      <c r="S263" s="422"/>
    </row>
    <row r="264" spans="1:19" x14ac:dyDescent="0.25">
      <c r="A264" s="422"/>
      <c r="B264" s="625">
        <f t="shared" si="4"/>
        <v>2.5899999999999888</v>
      </c>
      <c r="C264" s="638">
        <f>1/DATI!$E$38*IF(B264&lt;DATI!$E$45,DATI!$E$32*DATI!$E$42*DATI!$E$49*DATI!$E$33*(B264/DATI!$E$45+1/(DATI!$E$49*DATI!$E$33)*(1-B264/DATI!$E$45)),IF(B264&lt;DATI!$E$46,DATI!$E$32*DATI!$E$42*DATI!$E$49*DATI!$E$33,IF(B264&lt;DATI!$E$47,DATI!$E$32*DATI!$E$42*DATI!$E$49*DATI!$E$33*(DATI!$E$46/B264),DATI!$E$32*DATI!$E$42*DATI!$E$49*DATI!$E$33*((DATI!$E$46*DATI!$E$47)/B264^2))))</f>
        <v>0.22998692303188234</v>
      </c>
      <c r="D264" s="300"/>
      <c r="E264" s="422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2"/>
      <c r="Q264" s="422"/>
      <c r="R264" s="422"/>
      <c r="S264" s="422"/>
    </row>
    <row r="265" spans="1:19" x14ac:dyDescent="0.25">
      <c r="A265" s="422"/>
      <c r="B265" s="625">
        <f t="shared" si="4"/>
        <v>2.5999999999999885</v>
      </c>
      <c r="C265" s="638">
        <f>1/DATI!$E$38*IF(B265&lt;DATI!$E$45,DATI!$E$32*DATI!$E$42*DATI!$E$49*DATI!$E$33*(B265/DATI!$E$45+1/(DATI!$E$49*DATI!$E$33)*(1-B265/DATI!$E$45)),IF(B265&lt;DATI!$E$46,DATI!$E$32*DATI!$E$42*DATI!$E$49*DATI!$E$33,IF(B265&lt;DATI!$E$47,DATI!$E$32*DATI!$E$42*DATI!$E$49*DATI!$E$33*(DATI!$E$46/B265),DATI!$E$32*DATI!$E$42*DATI!$E$49*DATI!$E$33*((DATI!$E$46*DATI!$E$47)/B265^2))))</f>
        <v>0.2291023579432982</v>
      </c>
      <c r="D265" s="300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2"/>
      <c r="Q265" s="422"/>
      <c r="R265" s="422"/>
      <c r="S265" s="422"/>
    </row>
    <row r="266" spans="1:19" x14ac:dyDescent="0.25">
      <c r="A266" s="422"/>
      <c r="B266" s="625">
        <f t="shared" si="4"/>
        <v>2.6099999999999883</v>
      </c>
      <c r="C266" s="638">
        <f>1/DATI!$E$38*IF(B266&lt;DATI!$E$45,DATI!$E$32*DATI!$E$42*DATI!$E$49*DATI!$E$33*(B266/DATI!$E$45+1/(DATI!$E$49*DATI!$E$33)*(1-B266/DATI!$E$45)),IF(B266&lt;DATI!$E$46,DATI!$E$32*DATI!$E$42*DATI!$E$49*DATI!$E$33,IF(B266&lt;DATI!$E$47,DATI!$E$32*DATI!$E$42*DATI!$E$49*DATI!$E$33*(DATI!$E$46/B266),DATI!$E$32*DATI!$E$42*DATI!$E$49*DATI!$E$33*((DATI!$E$46*DATI!$E$47)/B266^2))))</f>
        <v>0.22822457113125494</v>
      </c>
      <c r="D266" s="300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2"/>
      <c r="Q266" s="422"/>
      <c r="R266" s="422"/>
      <c r="S266" s="422"/>
    </row>
    <row r="267" spans="1:19" x14ac:dyDescent="0.25">
      <c r="A267" s="422"/>
      <c r="B267" s="625">
        <f t="shared" si="4"/>
        <v>2.6199999999999881</v>
      </c>
      <c r="C267" s="638">
        <f>1/DATI!$E$38*IF(B267&lt;DATI!$E$45,DATI!$E$32*DATI!$E$42*DATI!$E$49*DATI!$E$33*(B267/DATI!$E$45+1/(DATI!$E$49*DATI!$E$33)*(1-B267/DATI!$E$45)),IF(B267&lt;DATI!$E$46,DATI!$E$32*DATI!$E$42*DATI!$E$49*DATI!$E$33,IF(B267&lt;DATI!$E$47,DATI!$E$32*DATI!$E$42*DATI!$E$49*DATI!$E$33*(DATI!$E$46/B267),DATI!$E$32*DATI!$E$42*DATI!$E$49*DATI!$E$33*((DATI!$E$46*DATI!$E$47)/B267^2))))</f>
        <v>0.227353484981899</v>
      </c>
      <c r="D267" s="300"/>
      <c r="E267" s="422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2"/>
      <c r="Q267" s="422"/>
      <c r="R267" s="422"/>
      <c r="S267" s="422"/>
    </row>
    <row r="268" spans="1:19" x14ac:dyDescent="0.25">
      <c r="A268" s="422"/>
      <c r="B268" s="625">
        <f t="shared" si="4"/>
        <v>2.6299999999999879</v>
      </c>
      <c r="C268" s="638">
        <f>1/DATI!$E$38*IF(B268&lt;DATI!$E$45,DATI!$E$32*DATI!$E$42*DATI!$E$49*DATI!$E$33*(B268/DATI!$E$45+1/(DATI!$E$49*DATI!$E$33)*(1-B268/DATI!$E$45)),IF(B268&lt;DATI!$E$46,DATI!$E$32*DATI!$E$42*DATI!$E$49*DATI!$E$33,IF(B268&lt;DATI!$E$47,DATI!$E$32*DATI!$E$42*DATI!$E$49*DATI!$E$33*(DATI!$E$46/B268),DATI!$E$32*DATI!$E$42*DATI!$E$49*DATI!$E$33*((DATI!$E$46*DATI!$E$47)/B268^2))))</f>
        <v>0.22648902306181576</v>
      </c>
      <c r="D268" s="300"/>
      <c r="E268" s="422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2"/>
      <c r="Q268" s="422"/>
      <c r="R268" s="422"/>
      <c r="S268" s="422"/>
    </row>
    <row r="269" spans="1:19" x14ac:dyDescent="0.25">
      <c r="A269" s="422"/>
      <c r="B269" s="625">
        <f t="shared" si="4"/>
        <v>2.6399999999999877</v>
      </c>
      <c r="C269" s="638">
        <f>1/DATI!$E$38*IF(B269&lt;DATI!$E$45,DATI!$E$32*DATI!$E$42*DATI!$E$49*DATI!$E$33*(B269/DATI!$E$45+1/(DATI!$E$49*DATI!$E$33)*(1-B269/DATI!$E$45)),IF(B269&lt;DATI!$E$46,DATI!$E$32*DATI!$E$42*DATI!$E$49*DATI!$E$33,IF(B269&lt;DATI!$E$47,DATI!$E$32*DATI!$E$42*DATI!$E$49*DATI!$E$33*(DATI!$E$46/B269),DATI!$E$32*DATI!$E$42*DATI!$E$49*DATI!$E$33*((DATI!$E$46*DATI!$E$47)/B269^2))))</f>
        <v>0.22563111009567255</v>
      </c>
      <c r="D269" s="300"/>
      <c r="E269" s="422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2"/>
      <c r="Q269" s="422"/>
      <c r="R269" s="422"/>
      <c r="S269" s="422"/>
    </row>
    <row r="270" spans="1:19" x14ac:dyDescent="0.25">
      <c r="A270" s="422"/>
      <c r="B270" s="625">
        <f t="shared" si="4"/>
        <v>2.6499999999999875</v>
      </c>
      <c r="C270" s="638">
        <f>1/DATI!$E$38*IF(B270&lt;DATI!$E$45,DATI!$E$32*DATI!$E$42*DATI!$E$49*DATI!$E$33*(B270/DATI!$E$45+1/(DATI!$E$49*DATI!$E$33)*(1-B270/DATI!$E$45)),IF(B270&lt;DATI!$E$46,DATI!$E$32*DATI!$E$42*DATI!$E$49*DATI!$E$33,IF(B270&lt;DATI!$E$47,DATI!$E$32*DATI!$E$42*DATI!$E$49*DATI!$E$33*(DATI!$E$46/B270),DATI!$E$32*DATI!$E$42*DATI!$E$49*DATI!$E$33*((DATI!$E$46*DATI!$E$47)/B270^2))))</f>
        <v>0.22413351223875028</v>
      </c>
      <c r="D270" s="300"/>
      <c r="E270" s="422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2"/>
      <c r="Q270" s="422"/>
      <c r="R270" s="422"/>
      <c r="S270" s="422"/>
    </row>
    <row r="271" spans="1:19" x14ac:dyDescent="0.25">
      <c r="A271" s="422"/>
      <c r="B271" s="625">
        <f t="shared" si="4"/>
        <v>2.6599999999999873</v>
      </c>
      <c r="C271" s="638">
        <f>1/DATI!$E$38*IF(B271&lt;DATI!$E$45,DATI!$E$32*DATI!$E$42*DATI!$E$49*DATI!$E$33*(B271/DATI!$E$45+1/(DATI!$E$49*DATI!$E$33)*(1-B271/DATI!$E$45)),IF(B271&lt;DATI!$E$46,DATI!$E$32*DATI!$E$42*DATI!$E$49*DATI!$E$33,IF(B271&lt;DATI!$E$47,DATI!$E$32*DATI!$E$42*DATI!$E$49*DATI!$E$33*(DATI!$E$46/B271),DATI!$E$32*DATI!$E$42*DATI!$E$49*DATI!$E$33*((DATI!$E$46*DATI!$E$47)/B271^2))))</f>
        <v>0.22245146555721407</v>
      </c>
      <c r="D271" s="300"/>
      <c r="E271" s="422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2"/>
      <c r="Q271" s="422"/>
      <c r="R271" s="422"/>
      <c r="S271" s="422"/>
    </row>
    <row r="272" spans="1:19" x14ac:dyDescent="0.25">
      <c r="A272" s="422"/>
      <c r="B272" s="625">
        <f t="shared" si="4"/>
        <v>2.6699999999999871</v>
      </c>
      <c r="C272" s="638">
        <f>1/DATI!$E$38*IF(B272&lt;DATI!$E$45,DATI!$E$32*DATI!$E$42*DATI!$E$49*DATI!$E$33*(B272/DATI!$E$45+1/(DATI!$E$49*DATI!$E$33)*(1-B272/DATI!$E$45)),IF(B272&lt;DATI!$E$46,DATI!$E$32*DATI!$E$42*DATI!$E$49*DATI!$E$33,IF(B272&lt;DATI!$E$47,DATI!$E$32*DATI!$E$42*DATI!$E$49*DATI!$E$33*(DATI!$E$46/B272),DATI!$E$32*DATI!$E$42*DATI!$E$49*DATI!$E$33*((DATI!$E$46*DATI!$E$47)/B272^2))))</f>
        <v>0.22078828286224017</v>
      </c>
      <c r="D272" s="300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2"/>
      <c r="Q272" s="422"/>
      <c r="R272" s="422"/>
      <c r="S272" s="422"/>
    </row>
    <row r="273" spans="1:19" x14ac:dyDescent="0.25">
      <c r="A273" s="422"/>
      <c r="B273" s="625">
        <f t="shared" si="4"/>
        <v>2.6799999999999868</v>
      </c>
      <c r="C273" s="638">
        <f>1/DATI!$E$38*IF(B273&lt;DATI!$E$45,DATI!$E$32*DATI!$E$42*DATI!$E$49*DATI!$E$33*(B273/DATI!$E$45+1/(DATI!$E$49*DATI!$E$33)*(1-B273/DATI!$E$45)),IF(B273&lt;DATI!$E$46,DATI!$E$32*DATI!$E$42*DATI!$E$49*DATI!$E$33,IF(B273&lt;DATI!$E$47,DATI!$E$32*DATI!$E$42*DATI!$E$49*DATI!$E$33*(DATI!$E$46/B273),DATI!$E$32*DATI!$E$42*DATI!$E$49*DATI!$E$33*((DATI!$E$46*DATI!$E$47)/B273^2))))</f>
        <v>0.21914368312773227</v>
      </c>
      <c r="D273" s="300"/>
      <c r="E273" s="422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2"/>
      <c r="Q273" s="422"/>
      <c r="R273" s="422"/>
      <c r="S273" s="422"/>
    </row>
    <row r="274" spans="1:19" x14ac:dyDescent="0.25">
      <c r="A274" s="422"/>
      <c r="B274" s="625">
        <f t="shared" si="4"/>
        <v>2.6899999999999866</v>
      </c>
      <c r="C274" s="638">
        <f>1/DATI!$E$38*IF(B274&lt;DATI!$E$45,DATI!$E$32*DATI!$E$42*DATI!$E$49*DATI!$E$33*(B274/DATI!$E$45+1/(DATI!$E$49*DATI!$E$33)*(1-B274/DATI!$E$45)),IF(B274&lt;DATI!$E$46,DATI!$E$32*DATI!$E$42*DATI!$E$49*DATI!$E$33,IF(B274&lt;DATI!$E$47,DATI!$E$32*DATI!$E$42*DATI!$E$49*DATI!$E$33*(DATI!$E$46/B274),DATI!$E$32*DATI!$E$42*DATI!$E$49*DATI!$E$33*((DATI!$E$46*DATI!$E$47)/B274^2))))</f>
        <v>0.21751739054139993</v>
      </c>
      <c r="D274" s="300"/>
      <c r="E274" s="422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2"/>
      <c r="Q274" s="422"/>
      <c r="R274" s="422"/>
      <c r="S274" s="422"/>
    </row>
    <row r="275" spans="1:19" x14ac:dyDescent="0.25">
      <c r="A275" s="422"/>
      <c r="B275" s="625">
        <f t="shared" si="4"/>
        <v>2.6999999999999864</v>
      </c>
      <c r="C275" s="638">
        <f>1/DATI!$E$38*IF(B275&lt;DATI!$E$45,DATI!$E$32*DATI!$E$42*DATI!$E$49*DATI!$E$33*(B275/DATI!$E$45+1/(DATI!$E$49*DATI!$E$33)*(1-B275/DATI!$E$45)),IF(B275&lt;DATI!$E$46,DATI!$E$32*DATI!$E$42*DATI!$E$49*DATI!$E$33,IF(B275&lt;DATI!$E$47,DATI!$E$32*DATI!$E$42*DATI!$E$49*DATI!$E$33*(DATI!$E$46/B275),DATI!$E$32*DATI!$E$42*DATI!$E$49*DATI!$E$33*((DATI!$E$46*DATI!$E$47)/B275^2))))</f>
        <v>0.21590913438911177</v>
      </c>
      <c r="D275" s="300"/>
      <c r="E275" s="422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2"/>
      <c r="Q275" s="422"/>
      <c r="R275" s="422"/>
      <c r="S275" s="422"/>
    </row>
    <row r="276" spans="1:19" x14ac:dyDescent="0.25">
      <c r="A276" s="422"/>
      <c r="B276" s="625">
        <f t="shared" si="4"/>
        <v>2.7099999999999862</v>
      </c>
      <c r="C276" s="638">
        <f>1/DATI!$E$38*IF(B276&lt;DATI!$E$45,DATI!$E$32*DATI!$E$42*DATI!$E$49*DATI!$E$33*(B276/DATI!$E$45+1/(DATI!$E$49*DATI!$E$33)*(1-B276/DATI!$E$45)),IF(B276&lt;DATI!$E$46,DATI!$E$32*DATI!$E$42*DATI!$E$49*DATI!$E$33,IF(B276&lt;DATI!$E$47,DATI!$E$32*DATI!$E$42*DATI!$E$49*DATI!$E$33*(DATI!$E$46/B276),DATI!$E$32*DATI!$E$42*DATI!$E$49*DATI!$E$33*((DATI!$E$46*DATI!$E$47)/B276^2))))</f>
        <v>0.21431864894222907</v>
      </c>
      <c r="D276" s="300"/>
      <c r="E276" s="422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2"/>
      <c r="Q276" s="422"/>
      <c r="R276" s="422"/>
      <c r="S276" s="422"/>
    </row>
    <row r="277" spans="1:19" x14ac:dyDescent="0.25">
      <c r="A277" s="422"/>
      <c r="B277" s="625">
        <f t="shared" si="4"/>
        <v>2.719999999999986</v>
      </c>
      <c r="C277" s="638">
        <f>1/DATI!$E$38*IF(B277&lt;DATI!$E$45,DATI!$E$32*DATI!$E$42*DATI!$E$49*DATI!$E$33*(B277/DATI!$E$45+1/(DATI!$E$49*DATI!$E$33)*(1-B277/DATI!$E$45)),IF(B277&lt;DATI!$E$46,DATI!$E$32*DATI!$E$42*DATI!$E$49*DATI!$E$33,IF(B277&lt;DATI!$E$47,DATI!$E$32*DATI!$E$42*DATI!$E$49*DATI!$E$33*(DATI!$E$46/B277),DATI!$E$32*DATI!$E$42*DATI!$E$49*DATI!$E$33*((DATI!$E$46*DATI!$E$47)/B277^2))))</f>
        <v>0.21274567334783531</v>
      </c>
      <c r="D277" s="300"/>
      <c r="E277" s="422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2"/>
      <c r="Q277" s="422"/>
      <c r="R277" s="422"/>
      <c r="S277" s="422"/>
    </row>
    <row r="278" spans="1:19" x14ac:dyDescent="0.25">
      <c r="A278" s="422"/>
      <c r="B278" s="625">
        <f t="shared" si="4"/>
        <v>2.7299999999999858</v>
      </c>
      <c r="C278" s="638">
        <f>1/DATI!$E$38*IF(B278&lt;DATI!$E$45,DATI!$E$32*DATI!$E$42*DATI!$E$49*DATI!$E$33*(B278/DATI!$E$45+1/(DATI!$E$49*DATI!$E$33)*(1-B278/DATI!$E$45)),IF(B278&lt;DATI!$E$46,DATI!$E$32*DATI!$E$42*DATI!$E$49*DATI!$E$33,IF(B278&lt;DATI!$E$47,DATI!$E$32*DATI!$E$42*DATI!$E$49*DATI!$E$33*(DATI!$E$46/B278),DATI!$E$32*DATI!$E$42*DATI!$E$49*DATI!$E$33*((DATI!$E$46*DATI!$E$47)/B278^2))))</f>
        <v>0.21118995152177344</v>
      </c>
      <c r="D278" s="300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2"/>
      <c r="Q278" s="422"/>
      <c r="R278" s="422"/>
      <c r="S278" s="422"/>
    </row>
    <row r="279" spans="1:19" x14ac:dyDescent="0.25">
      <c r="A279" s="422"/>
      <c r="B279" s="625">
        <f t="shared" si="4"/>
        <v>2.7399999999999856</v>
      </c>
      <c r="C279" s="638">
        <f>1/DATI!$E$38*IF(B279&lt;DATI!$E$45,DATI!$E$32*DATI!$E$42*DATI!$E$49*DATI!$E$33*(B279/DATI!$E$45+1/(DATI!$E$49*DATI!$E$33)*(1-B279/DATI!$E$45)),IF(B279&lt;DATI!$E$46,DATI!$E$32*DATI!$E$42*DATI!$E$49*DATI!$E$33,IF(B279&lt;DATI!$E$47,DATI!$E$32*DATI!$E$42*DATI!$E$49*DATI!$E$33*(DATI!$E$46/B279),DATI!$E$32*DATI!$E$42*DATI!$E$49*DATI!$E$33*((DATI!$E$46*DATI!$E$47)/B279^2))))</f>
        <v>0.20965123204441169</v>
      </c>
      <c r="D279" s="300"/>
      <c r="E279" s="422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2"/>
      <c r="Q279" s="422"/>
      <c r="R279" s="422"/>
      <c r="S279" s="422"/>
    </row>
    <row r="280" spans="1:19" x14ac:dyDescent="0.25">
      <c r="A280" s="422"/>
      <c r="B280" s="625">
        <f t="shared" si="4"/>
        <v>2.7499999999999853</v>
      </c>
      <c r="C280" s="638">
        <f>1/DATI!$E$38*IF(B280&lt;DATI!$E$45,DATI!$E$32*DATI!$E$42*DATI!$E$49*DATI!$E$33*(B280/DATI!$E$45+1/(DATI!$E$49*DATI!$E$33)*(1-B280/DATI!$E$45)),IF(B280&lt;DATI!$E$46,DATI!$E$32*DATI!$E$42*DATI!$E$49*DATI!$E$33,IF(B280&lt;DATI!$E$47,DATI!$E$32*DATI!$E$42*DATI!$E$49*DATI!$E$33*(DATI!$E$46/B280),DATI!$E$32*DATI!$E$42*DATI!$E$49*DATI!$E$33*((DATI!$E$46*DATI!$E$47)/B280^2))))</f>
        <v>0.20812926805905796</v>
      </c>
      <c r="D280" s="300"/>
      <c r="E280" s="422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2"/>
      <c r="Q280" s="422"/>
      <c r="R280" s="422"/>
      <c r="S280" s="422"/>
    </row>
    <row r="281" spans="1:19" x14ac:dyDescent="0.25">
      <c r="A281" s="422"/>
      <c r="B281" s="625">
        <f t="shared" si="4"/>
        <v>2.7599999999999851</v>
      </c>
      <c r="C281" s="638">
        <f>1/DATI!$E$38*IF(B281&lt;DATI!$E$45,DATI!$E$32*DATI!$E$42*DATI!$E$49*DATI!$E$33*(B281/DATI!$E$45+1/(DATI!$E$49*DATI!$E$33)*(1-B281/DATI!$E$45)),IF(B281&lt;DATI!$E$46,DATI!$E$32*DATI!$E$42*DATI!$E$49*DATI!$E$33,IF(B281&lt;DATI!$E$47,DATI!$E$32*DATI!$E$42*DATI!$E$49*DATI!$E$33*(DATI!$E$46/B281),DATI!$E$32*DATI!$E$42*DATI!$E$49*DATI!$E$33*((DATI!$E$46*DATI!$E$47)/B281^2))))</f>
        <v>0.20662381717294501</v>
      </c>
      <c r="D281" s="300"/>
      <c r="E281" s="422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2"/>
      <c r="Q281" s="422"/>
      <c r="R281" s="422"/>
      <c r="S281" s="422"/>
    </row>
    <row r="282" spans="1:19" x14ac:dyDescent="0.25">
      <c r="A282" s="422"/>
      <c r="B282" s="625">
        <f t="shared" si="4"/>
        <v>2.7699999999999849</v>
      </c>
      <c r="C282" s="638">
        <f>1/DATI!$E$38*IF(B282&lt;DATI!$E$45,DATI!$E$32*DATI!$E$42*DATI!$E$49*DATI!$E$33*(B282/DATI!$E$45+1/(DATI!$E$49*DATI!$E$33)*(1-B282/DATI!$E$45)),IF(B282&lt;DATI!$E$46,DATI!$E$32*DATI!$E$42*DATI!$E$49*DATI!$E$33,IF(B282&lt;DATI!$E$47,DATI!$E$32*DATI!$E$42*DATI!$E$49*DATI!$E$33*(DATI!$E$46/B282),DATI!$E$32*DATI!$E$42*DATI!$E$49*DATI!$E$33*((DATI!$E$46*DATI!$E$47)/B282^2))))</f>
        <v>0.20513464136071444</v>
      </c>
      <c r="D282" s="300"/>
      <c r="E282" s="422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2"/>
      <c r="Q282" s="422"/>
      <c r="R282" s="422"/>
      <c r="S282" s="422"/>
    </row>
    <row r="283" spans="1:19" x14ac:dyDescent="0.25">
      <c r="A283" s="422"/>
      <c r="B283" s="625">
        <f t="shared" si="4"/>
        <v>2.7799999999999847</v>
      </c>
      <c r="C283" s="638">
        <f>1/DATI!$E$38*IF(B283&lt;DATI!$E$45,DATI!$E$32*DATI!$E$42*DATI!$E$49*DATI!$E$33*(B283/DATI!$E$45+1/(DATI!$E$49*DATI!$E$33)*(1-B283/DATI!$E$45)),IF(B283&lt;DATI!$E$46,DATI!$E$32*DATI!$E$42*DATI!$E$49*DATI!$E$33,IF(B283&lt;DATI!$E$47,DATI!$E$32*DATI!$E$42*DATI!$E$49*DATI!$E$33*(DATI!$E$46/B283),DATI!$E$32*DATI!$E$42*DATI!$E$49*DATI!$E$33*((DATI!$E$46*DATI!$E$47)/B283^2))))</f>
        <v>0.20366150687032583</v>
      </c>
      <c r="D283" s="300"/>
      <c r="E283" s="422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2"/>
      <c r="Q283" s="422"/>
      <c r="R283" s="422"/>
      <c r="S283" s="422"/>
    </row>
    <row r="284" spans="1:19" x14ac:dyDescent="0.25">
      <c r="A284" s="422"/>
      <c r="B284" s="625">
        <f t="shared" si="4"/>
        <v>2.7899999999999845</v>
      </c>
      <c r="C284" s="638">
        <f>1/DATI!$E$38*IF(B284&lt;DATI!$E$45,DATI!$E$32*DATI!$E$42*DATI!$E$49*DATI!$E$33*(B284/DATI!$E$45+1/(DATI!$E$49*DATI!$E$33)*(1-B284/DATI!$E$45)),IF(B284&lt;DATI!$E$46,DATI!$E$32*DATI!$E$42*DATI!$E$49*DATI!$E$33,IF(B284&lt;DATI!$E$47,DATI!$E$32*DATI!$E$42*DATI!$E$49*DATI!$E$33*(DATI!$E$46/B284),DATI!$E$32*DATI!$E$42*DATI!$E$49*DATI!$E$33*((DATI!$E$46*DATI!$E$47)/B284^2))))</f>
        <v>0.20220418413132235</v>
      </c>
      <c r="D284" s="300"/>
      <c r="E284" s="422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2"/>
      <c r="Q284" s="422"/>
      <c r="R284" s="422"/>
      <c r="S284" s="422"/>
    </row>
    <row r="285" spans="1:19" x14ac:dyDescent="0.25">
      <c r="A285" s="422"/>
      <c r="B285" s="625">
        <f t="shared" si="4"/>
        <v>2.7999999999999843</v>
      </c>
      <c r="C285" s="638">
        <f>1/DATI!$E$38*IF(B285&lt;DATI!$E$45,DATI!$E$32*DATI!$E$42*DATI!$E$49*DATI!$E$33*(B285/DATI!$E$45+1/(DATI!$E$49*DATI!$E$33)*(1-B285/DATI!$E$45)),IF(B285&lt;DATI!$E$46,DATI!$E$32*DATI!$E$42*DATI!$E$49*DATI!$E$33,IF(B285&lt;DATI!$E$47,DATI!$E$32*DATI!$E$42*DATI!$E$49*DATI!$E$33*(DATI!$E$46/B285),DATI!$E$32*DATI!$E$42*DATI!$E$49*DATI!$E$33*((DATI!$E$46*DATI!$E$47)/B285^2))))</f>
        <v>0.20076244766538603</v>
      </c>
      <c r="D285" s="300"/>
      <c r="E285" s="422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2"/>
      <c r="Q285" s="422"/>
      <c r="R285" s="422"/>
      <c r="S285" s="422"/>
    </row>
    <row r="286" spans="1:19" x14ac:dyDescent="0.25">
      <c r="A286" s="422"/>
      <c r="B286" s="625">
        <f t="shared" si="4"/>
        <v>2.8099999999999841</v>
      </c>
      <c r="C286" s="638">
        <f>1/DATI!$E$38*IF(B286&lt;DATI!$E$45,DATI!$E$32*DATI!$E$42*DATI!$E$49*DATI!$E$33*(B286/DATI!$E$45+1/(DATI!$E$49*DATI!$E$33)*(1-B286/DATI!$E$45)),IF(B286&lt;DATI!$E$46,DATI!$E$32*DATI!$E$42*DATI!$E$49*DATI!$E$33,IF(B286&lt;DATI!$E$47,DATI!$E$32*DATI!$E$42*DATI!$E$49*DATI!$E$33*(DATI!$E$46/B286),DATI!$E$32*DATI!$E$42*DATI!$E$49*DATI!$E$33*((DATI!$E$46*DATI!$E$47)/B286^2))))</f>
        <v>0.19933607599911685</v>
      </c>
      <c r="D286" s="300"/>
      <c r="E286" s="422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2"/>
      <c r="Q286" s="422"/>
      <c r="R286" s="422"/>
      <c r="S286" s="422"/>
    </row>
    <row r="287" spans="1:19" x14ac:dyDescent="0.25">
      <c r="A287" s="422"/>
      <c r="B287" s="625">
        <f t="shared" si="4"/>
        <v>2.8199999999999839</v>
      </c>
      <c r="C287" s="638">
        <f>1/DATI!$E$38*IF(B287&lt;DATI!$E$45,DATI!$E$32*DATI!$E$42*DATI!$E$49*DATI!$E$33*(B287/DATI!$E$45+1/(DATI!$E$49*DATI!$E$33)*(1-B287/DATI!$E$45)),IF(B287&lt;DATI!$E$46,DATI!$E$32*DATI!$E$42*DATI!$E$49*DATI!$E$33,IF(B287&lt;DATI!$E$47,DATI!$E$32*DATI!$E$42*DATI!$E$49*DATI!$E$33*(DATI!$E$46/B287),DATI!$E$32*DATI!$E$42*DATI!$E$49*DATI!$E$33*((DATI!$E$46*DATI!$E$47)/B287^2))))</f>
        <v>0.19792485157897322</v>
      </c>
      <c r="D287" s="300"/>
      <c r="E287" s="422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2"/>
      <c r="Q287" s="422"/>
      <c r="R287" s="422"/>
      <c r="S287" s="422"/>
    </row>
    <row r="288" spans="1:19" x14ac:dyDescent="0.25">
      <c r="A288" s="422"/>
      <c r="B288" s="625">
        <f t="shared" si="4"/>
        <v>2.8299999999999836</v>
      </c>
      <c r="C288" s="638">
        <f>1/DATI!$E$38*IF(B288&lt;DATI!$E$45,DATI!$E$32*DATI!$E$42*DATI!$E$49*DATI!$E$33*(B288/DATI!$E$45+1/(DATI!$E$49*DATI!$E$33)*(1-B288/DATI!$E$45)),IF(B288&lt;DATI!$E$46,DATI!$E$32*DATI!$E$42*DATI!$E$49*DATI!$E$33,IF(B288&lt;DATI!$E$47,DATI!$E$32*DATI!$E$42*DATI!$E$49*DATI!$E$33*(DATI!$E$46/B288),DATI!$E$32*DATI!$E$42*DATI!$E$49*DATI!$E$33*((DATI!$E$46*DATI!$E$47)/B288^2))))</f>
        <v>0.19652856068831259</v>
      </c>
      <c r="D288" s="300"/>
      <c r="E288" s="422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2"/>
      <c r="Q288" s="422"/>
      <c r="R288" s="422"/>
      <c r="S288" s="422"/>
    </row>
    <row r="289" spans="1:19" x14ac:dyDescent="0.25">
      <c r="A289" s="422"/>
      <c r="B289" s="625">
        <f t="shared" si="4"/>
        <v>2.8399999999999834</v>
      </c>
      <c r="C289" s="638">
        <f>1/DATI!$E$38*IF(B289&lt;DATI!$E$45,DATI!$E$32*DATI!$E$42*DATI!$E$49*DATI!$E$33*(B289/DATI!$E$45+1/(DATI!$E$49*DATI!$E$33)*(1-B289/DATI!$E$45)),IF(B289&lt;DATI!$E$46,DATI!$E$32*DATI!$E$42*DATI!$E$49*DATI!$E$33,IF(B289&lt;DATI!$E$47,DATI!$E$32*DATI!$E$42*DATI!$E$49*DATI!$E$33*(DATI!$E$46/B289),DATI!$E$32*DATI!$E$42*DATI!$E$49*DATI!$E$33*((DATI!$E$46*DATI!$E$47)/B289^2))))</f>
        <v>0.19514699336647331</v>
      </c>
      <c r="D289" s="300"/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2"/>
      <c r="Q289" s="422"/>
      <c r="R289" s="422"/>
      <c r="S289" s="422"/>
    </row>
    <row r="290" spans="1:19" x14ac:dyDescent="0.25">
      <c r="A290" s="422"/>
      <c r="B290" s="625">
        <f t="shared" si="4"/>
        <v>2.8499999999999832</v>
      </c>
      <c r="C290" s="638">
        <f>1/DATI!$E$38*IF(B290&lt;DATI!$E$45,DATI!$E$32*DATI!$E$42*DATI!$E$49*DATI!$E$33*(B290/DATI!$E$45+1/(DATI!$E$49*DATI!$E$33)*(1-B290/DATI!$E$45)),IF(B290&lt;DATI!$E$46,DATI!$E$32*DATI!$E$42*DATI!$E$49*DATI!$E$33,IF(B290&lt;DATI!$E$47,DATI!$E$32*DATI!$E$42*DATI!$E$49*DATI!$E$33*(DATI!$E$46/B290),DATI!$E$32*DATI!$E$42*DATI!$E$49*DATI!$E$33*((DATI!$E$46*DATI!$E$47)/B290^2))))</f>
        <v>0.19377994332984022</v>
      </c>
      <c r="D290" s="300"/>
      <c r="E290" s="422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2"/>
      <c r="Q290" s="422"/>
      <c r="R290" s="422"/>
      <c r="S290" s="422"/>
    </row>
    <row r="291" spans="1:19" x14ac:dyDescent="0.25">
      <c r="A291" s="422"/>
      <c r="B291" s="625">
        <f t="shared" si="4"/>
        <v>2.859999999999983</v>
      </c>
      <c r="C291" s="638">
        <f>1/DATI!$E$38*IF(B291&lt;DATI!$E$45,DATI!$E$32*DATI!$E$42*DATI!$E$49*DATI!$E$33*(B291/DATI!$E$45+1/(DATI!$E$49*DATI!$E$33)*(1-B291/DATI!$E$45)),IF(B291&lt;DATI!$E$46,DATI!$E$32*DATI!$E$42*DATI!$E$49*DATI!$E$33,IF(B291&lt;DATI!$E$47,DATI!$E$32*DATI!$E$42*DATI!$E$49*DATI!$E$33*(DATI!$E$46/B291),DATI!$E$32*DATI!$E$42*DATI!$E$49*DATI!$E$33*((DATI!$E$46*DATI!$E$47)/B291^2))))</f>
        <v>0.1924272078948393</v>
      </c>
      <c r="D291" s="300"/>
      <c r="E291" s="422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2"/>
      <c r="Q291" s="422"/>
      <c r="R291" s="422"/>
      <c r="S291" s="422"/>
    </row>
    <row r="292" spans="1:19" x14ac:dyDescent="0.25">
      <c r="A292" s="422"/>
      <c r="B292" s="625">
        <f t="shared" si="4"/>
        <v>2.8699999999999828</v>
      </c>
      <c r="C292" s="638">
        <f>1/DATI!$E$38*IF(B292&lt;DATI!$E$45,DATI!$E$32*DATI!$E$42*DATI!$E$49*DATI!$E$33*(B292/DATI!$E$45+1/(DATI!$E$49*DATI!$E$33)*(1-B292/DATI!$E$45)),IF(B292&lt;DATI!$E$46,DATI!$E$32*DATI!$E$42*DATI!$E$49*DATI!$E$33,IF(B292&lt;DATI!$E$47,DATI!$E$32*DATI!$E$42*DATI!$E$49*DATI!$E$33*(DATI!$E$46/B292),DATI!$E$32*DATI!$E$42*DATI!$E$49*DATI!$E$33*((DATI!$E$46*DATI!$E$47)/B292^2))))</f>
        <v>0.19108858790280661</v>
      </c>
      <c r="D292" s="300"/>
      <c r="E292" s="422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2"/>
      <c r="Q292" s="422"/>
      <c r="R292" s="422"/>
      <c r="S292" s="422"/>
    </row>
    <row r="293" spans="1:19" x14ac:dyDescent="0.25">
      <c r="A293" s="422"/>
      <c r="B293" s="625">
        <f t="shared" si="4"/>
        <v>2.8799999999999826</v>
      </c>
      <c r="C293" s="638">
        <f>1/DATI!$E$38*IF(B293&lt;DATI!$E$45,DATI!$E$32*DATI!$E$42*DATI!$E$49*DATI!$E$33*(B293/DATI!$E$45+1/(DATI!$E$49*DATI!$E$33)*(1-B293/DATI!$E$45)),IF(B293&lt;DATI!$E$46,DATI!$E$32*DATI!$E$42*DATI!$E$49*DATI!$E$33,IF(B293&lt;DATI!$E$47,DATI!$E$32*DATI!$E$42*DATI!$E$49*DATI!$E$33*(DATI!$E$46/B293),DATI!$E$32*DATI!$E$42*DATI!$E$49*DATI!$E$33*((DATI!$E$46*DATI!$E$47)/B293^2))))</f>
        <v>0.18976388764668062</v>
      </c>
      <c r="D293" s="300"/>
      <c r="E293" s="422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2"/>
      <c r="Q293" s="422"/>
      <c r="R293" s="422"/>
      <c r="S293" s="422"/>
    </row>
    <row r="294" spans="1:19" x14ac:dyDescent="0.25">
      <c r="A294" s="422"/>
      <c r="B294" s="625">
        <f t="shared" si="4"/>
        <v>2.8899999999999824</v>
      </c>
      <c r="C294" s="638">
        <f>1/DATI!$E$38*IF(B294&lt;DATI!$E$45,DATI!$E$32*DATI!$E$42*DATI!$E$49*DATI!$E$33*(B294/DATI!$E$45+1/(DATI!$E$49*DATI!$E$33)*(1-B294/DATI!$E$45)),IF(B294&lt;DATI!$E$46,DATI!$E$32*DATI!$E$42*DATI!$E$49*DATI!$E$33,IF(B294&lt;DATI!$E$47,DATI!$E$32*DATI!$E$42*DATI!$E$49*DATI!$E$33*(DATI!$E$46/B294),DATI!$E$32*DATI!$E$42*DATI!$E$49*DATI!$E$33*((DATI!$E$46*DATI!$E$47)/B294^2))))</f>
        <v>0.18845291479946694</v>
      </c>
      <c r="D294" s="300"/>
      <c r="E294" s="422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2"/>
      <c r="Q294" s="422"/>
      <c r="R294" s="422"/>
      <c r="S294" s="422"/>
    </row>
    <row r="295" spans="1:19" x14ac:dyDescent="0.25">
      <c r="A295" s="422"/>
      <c r="B295" s="625">
        <f t="shared" si="4"/>
        <v>2.8999999999999821</v>
      </c>
      <c r="C295" s="638">
        <f>1/DATI!$E$38*IF(B295&lt;DATI!$E$45,DATI!$E$32*DATI!$E$42*DATI!$E$49*DATI!$E$33*(B295/DATI!$E$45+1/(DATI!$E$49*DATI!$E$33)*(1-B295/DATI!$E$45)),IF(B295&lt;DATI!$E$46,DATI!$E$32*DATI!$E$42*DATI!$E$49*DATI!$E$33,IF(B295&lt;DATI!$E$47,DATI!$E$32*DATI!$E$42*DATI!$E$49*DATI!$E$33*(DATI!$E$46/B295),DATI!$E$32*DATI!$E$42*DATI!$E$49*DATI!$E$33*((DATI!$E$46*DATI!$E$47)/B295^2))))</f>
        <v>0.18715548034442661</v>
      </c>
      <c r="D295" s="300"/>
      <c r="E295" s="422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2"/>
      <c r="Q295" s="422"/>
      <c r="R295" s="422"/>
      <c r="S295" s="422"/>
    </row>
    <row r="296" spans="1:19" x14ac:dyDescent="0.25">
      <c r="A296" s="422"/>
      <c r="B296" s="625">
        <f t="shared" si="4"/>
        <v>2.9099999999999819</v>
      </c>
      <c r="C296" s="638">
        <f>1/DATI!$E$38*IF(B296&lt;DATI!$E$45,DATI!$E$32*DATI!$E$42*DATI!$E$49*DATI!$E$33*(B296/DATI!$E$45+1/(DATI!$E$49*DATI!$E$33)*(1-B296/DATI!$E$45)),IF(B296&lt;DATI!$E$46,DATI!$E$32*DATI!$E$42*DATI!$E$49*DATI!$E$33,IF(B296&lt;DATI!$E$47,DATI!$E$32*DATI!$E$42*DATI!$E$49*DATI!$E$33*(DATI!$E$46/B296),DATI!$E$32*DATI!$E$42*DATI!$E$49*DATI!$E$33*((DATI!$E$46*DATI!$E$47)/B296^2))))</f>
        <v>0.18587139850694112</v>
      </c>
      <c r="D296" s="300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2"/>
      <c r="Q296" s="422"/>
      <c r="R296" s="422"/>
      <c r="S296" s="422"/>
    </row>
    <row r="297" spans="1:19" x14ac:dyDescent="0.25">
      <c r="A297" s="422"/>
      <c r="B297" s="625">
        <f t="shared" si="4"/>
        <v>2.9199999999999817</v>
      </c>
      <c r="C297" s="638">
        <f>1/DATI!$E$38*IF(B297&lt;DATI!$E$45,DATI!$E$32*DATI!$E$42*DATI!$E$49*DATI!$E$33*(B297/DATI!$E$45+1/(DATI!$E$49*DATI!$E$33)*(1-B297/DATI!$E$45)),IF(B297&lt;DATI!$E$46,DATI!$E$32*DATI!$E$42*DATI!$E$49*DATI!$E$33,IF(B297&lt;DATI!$E$47,DATI!$E$32*DATI!$E$42*DATI!$E$49*DATI!$E$33*(DATI!$E$46/B297),DATI!$E$32*DATI!$E$42*DATI!$E$49*DATI!$E$33*((DATI!$E$46*DATI!$E$47)/B297^2))))</f>
        <v>0.18460048668800763</v>
      </c>
      <c r="D297" s="300"/>
      <c r="E297" s="422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2"/>
      <c r="Q297" s="422"/>
      <c r="R297" s="422"/>
      <c r="S297" s="422"/>
    </row>
    <row r="298" spans="1:19" x14ac:dyDescent="0.25">
      <c r="A298" s="422"/>
      <c r="B298" s="625">
        <f t="shared" si="4"/>
        <v>2.9299999999999815</v>
      </c>
      <c r="C298" s="638">
        <f>1/DATI!$E$38*IF(B298&lt;DATI!$E$45,DATI!$E$32*DATI!$E$42*DATI!$E$49*DATI!$E$33*(B298/DATI!$E$45+1/(DATI!$E$49*DATI!$E$33)*(1-B298/DATI!$E$45)),IF(B298&lt;DATI!$E$46,DATI!$E$32*DATI!$E$42*DATI!$E$49*DATI!$E$33,IF(B298&lt;DATI!$E$47,DATI!$E$32*DATI!$E$42*DATI!$E$49*DATI!$E$33*(DATI!$E$46/B298),DATI!$E$32*DATI!$E$42*DATI!$E$49*DATI!$E$33*((DATI!$E$46*DATI!$E$47)/B298^2))))</f>
        <v>0.18334256539932076</v>
      </c>
      <c r="D298" s="300"/>
      <c r="E298" s="422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2"/>
      <c r="Q298" s="422"/>
      <c r="R298" s="422"/>
      <c r="S298" s="422"/>
    </row>
    <row r="299" spans="1:19" x14ac:dyDescent="0.25">
      <c r="A299" s="422"/>
      <c r="B299" s="625">
        <f t="shared" si="4"/>
        <v>2.9399999999999813</v>
      </c>
      <c r="C299" s="638">
        <f>1/DATI!$E$38*IF(B299&lt;DATI!$E$45,DATI!$E$32*DATI!$E$42*DATI!$E$49*DATI!$E$33*(B299/DATI!$E$45+1/(DATI!$E$49*DATI!$E$33)*(1-B299/DATI!$E$45)),IF(B299&lt;DATI!$E$46,DATI!$E$32*DATI!$E$42*DATI!$E$49*DATI!$E$33,IF(B299&lt;DATI!$E$47,DATI!$E$32*DATI!$E$42*DATI!$E$49*DATI!$E$33*(DATI!$E$46/B299),DATI!$E$32*DATI!$E$42*DATI!$E$49*DATI!$E$33*((DATI!$E$46*DATI!$E$47)/B299^2))))</f>
        <v>0.18209745819989689</v>
      </c>
      <c r="D299" s="300"/>
      <c r="E299" s="422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2"/>
      <c r="Q299" s="422"/>
      <c r="R299" s="422"/>
      <c r="S299" s="422"/>
    </row>
    <row r="300" spans="1:19" x14ac:dyDescent="0.25">
      <c r="A300" s="422"/>
      <c r="B300" s="625">
        <f t="shared" si="4"/>
        <v>2.9499999999999811</v>
      </c>
      <c r="C300" s="638">
        <f>1/DATI!$E$38*IF(B300&lt;DATI!$E$45,DATI!$E$32*DATI!$E$42*DATI!$E$49*DATI!$E$33*(B300/DATI!$E$45+1/(DATI!$E$49*DATI!$E$33)*(1-B300/DATI!$E$45)),IF(B300&lt;DATI!$E$46,DATI!$E$32*DATI!$E$42*DATI!$E$49*DATI!$E$33,IF(B300&lt;DATI!$E$47,DATI!$E$32*DATI!$E$42*DATI!$E$49*DATI!$E$33*(DATI!$E$46/B300),DATI!$E$32*DATI!$E$42*DATI!$E$49*DATI!$E$33*((DATI!$E$46*DATI!$E$47)/B300^2))))</f>
        <v>0.18086499163420039</v>
      </c>
      <c r="D300" s="300"/>
      <c r="E300" s="422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2"/>
      <c r="Q300" s="422"/>
      <c r="R300" s="422"/>
      <c r="S300" s="422"/>
    </row>
    <row r="301" spans="1:19" x14ac:dyDescent="0.25">
      <c r="A301" s="422"/>
      <c r="B301" s="625">
        <f t="shared" si="4"/>
        <v>2.9599999999999809</v>
      </c>
      <c r="C301" s="638">
        <f>1/DATI!$E$38*IF(B301&lt;DATI!$E$45,DATI!$E$32*DATI!$E$42*DATI!$E$49*DATI!$E$33*(B301/DATI!$E$45+1/(DATI!$E$49*DATI!$E$33)*(1-B301/DATI!$E$45)),IF(B301&lt;DATI!$E$46,DATI!$E$32*DATI!$E$42*DATI!$E$49*DATI!$E$33,IF(B301&lt;DATI!$E$47,DATI!$E$32*DATI!$E$42*DATI!$E$49*DATI!$E$33*(DATI!$E$46/B301),DATI!$E$32*DATI!$E$42*DATI!$E$49*DATI!$E$33*((DATI!$E$46*DATI!$E$47)/B301^2))))</f>
        <v>0.17964499517172994</v>
      </c>
      <c r="D301" s="300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2"/>
      <c r="Q301" s="422"/>
      <c r="R301" s="422"/>
      <c r="S301" s="422"/>
    </row>
    <row r="302" spans="1:19" x14ac:dyDescent="0.25">
      <c r="A302" s="422"/>
      <c r="B302" s="625">
        <f t="shared" si="4"/>
        <v>2.9699999999999807</v>
      </c>
      <c r="C302" s="638">
        <f>1/DATI!$E$38*IF(B302&lt;DATI!$E$45,DATI!$E$32*DATI!$E$42*DATI!$E$49*DATI!$E$33*(B302/DATI!$E$45+1/(DATI!$E$49*DATI!$E$33)*(1-B302/DATI!$E$45)),IF(B302&lt;DATI!$E$46,DATI!$E$32*DATI!$E$42*DATI!$E$49*DATI!$E$33,IF(B302&lt;DATI!$E$47,DATI!$E$32*DATI!$E$42*DATI!$E$49*DATI!$E$33*(DATI!$E$46/B302),DATI!$E$32*DATI!$E$42*DATI!$E$49*DATI!$E$33*((DATI!$E$46*DATI!$E$47)/B302^2))))</f>
        <v>0.17843730114802678</v>
      </c>
      <c r="D302" s="300"/>
      <c r="E302" s="422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2"/>
      <c r="Q302" s="422"/>
      <c r="R302" s="422"/>
      <c r="S302" s="422"/>
    </row>
    <row r="303" spans="1:19" x14ac:dyDescent="0.25">
      <c r="A303" s="422"/>
      <c r="B303" s="625">
        <f t="shared" si="4"/>
        <v>2.9799999999999804</v>
      </c>
      <c r="C303" s="638">
        <f>1/DATI!$E$38*IF(B303&lt;DATI!$E$45,DATI!$E$32*DATI!$E$42*DATI!$E$49*DATI!$E$33*(B303/DATI!$E$45+1/(DATI!$E$49*DATI!$E$33)*(1-B303/DATI!$E$45)),IF(B303&lt;DATI!$E$46,DATI!$E$32*DATI!$E$42*DATI!$E$49*DATI!$E$33,IF(B303&lt;DATI!$E$47,DATI!$E$32*DATI!$E$42*DATI!$E$49*DATI!$E$33*(DATI!$E$46/B303),DATI!$E$32*DATI!$E$42*DATI!$E$49*DATI!$E$33*((DATI!$E$46*DATI!$E$47)/B303^2))))</f>
        <v>0.17724174470706608</v>
      </c>
      <c r="D303" s="300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2"/>
      <c r="Q303" s="422"/>
      <c r="R303" s="422"/>
      <c r="S303" s="422"/>
    </row>
    <row r="304" spans="1:19" x14ac:dyDescent="0.25">
      <c r="A304" s="422"/>
      <c r="B304" s="625">
        <f t="shared" si="4"/>
        <v>2.9899999999999802</v>
      </c>
      <c r="C304" s="638">
        <f>1/DATI!$E$38*IF(B304&lt;DATI!$E$45,DATI!$E$32*DATI!$E$42*DATI!$E$49*DATI!$E$33*(B304/DATI!$E$45+1/(DATI!$E$49*DATI!$E$33)*(1-B304/DATI!$E$45)),IF(B304&lt;DATI!$E$46,DATI!$E$32*DATI!$E$42*DATI!$E$49*DATI!$E$33,IF(B304&lt;DATI!$E$47,DATI!$E$32*DATI!$E$42*DATI!$E$49*DATI!$E$33*(DATI!$E$46/B304),DATI!$E$32*DATI!$E$42*DATI!$E$49*DATI!$E$33*((DATI!$E$46*DATI!$E$47)/B304^2))))</f>
        <v>0.17605816374499494</v>
      </c>
      <c r="D304" s="300"/>
      <c r="E304" s="422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2"/>
      <c r="Q304" s="422"/>
      <c r="R304" s="422"/>
      <c r="S304" s="422"/>
    </row>
    <row r="305" spans="1:19" x14ac:dyDescent="0.25">
      <c r="A305" s="422"/>
      <c r="B305" s="625">
        <f t="shared" si="4"/>
        <v>2.99999999999998</v>
      </c>
      <c r="C305" s="638">
        <f>1/DATI!$E$38*IF(B305&lt;DATI!$E$45,DATI!$E$32*DATI!$E$42*DATI!$E$49*DATI!$E$33*(B305/DATI!$E$45+1/(DATI!$E$49*DATI!$E$33)*(1-B305/DATI!$E$45)),IF(B305&lt;DATI!$E$46,DATI!$E$32*DATI!$E$42*DATI!$E$49*DATI!$E$33,IF(B305&lt;DATI!$E$47,DATI!$E$32*DATI!$E$42*DATI!$E$49*DATI!$E$33*(DATI!$E$46/B305),DATI!$E$32*DATI!$E$42*DATI!$E$49*DATI!$E$33*((DATI!$E$46*DATI!$E$47)/B305^2))))</f>
        <v>0.17488639885518109</v>
      </c>
      <c r="D305" s="300"/>
      <c r="E305" s="422"/>
      <c r="F305" s="422"/>
      <c r="G305" s="422"/>
      <c r="H305" s="422"/>
      <c r="I305" s="422"/>
      <c r="J305" s="422"/>
      <c r="K305" s="422"/>
      <c r="L305" s="422"/>
      <c r="M305" s="422"/>
      <c r="N305" s="422"/>
      <c r="O305" s="422"/>
      <c r="P305" s="422"/>
      <c r="Q305" s="422"/>
      <c r="R305" s="422"/>
      <c r="S305" s="422"/>
    </row>
    <row r="306" spans="1:19" x14ac:dyDescent="0.25">
      <c r="A306" s="422"/>
      <c r="B306" s="625">
        <f t="shared" si="4"/>
        <v>3.0099999999999798</v>
      </c>
      <c r="C306" s="638">
        <f>1/DATI!$E$38*IF(B306&lt;DATI!$E$45,DATI!$E$32*DATI!$E$42*DATI!$E$49*DATI!$E$33*(B306/DATI!$E$45+1/(DATI!$E$49*DATI!$E$33)*(1-B306/DATI!$E$45)),IF(B306&lt;DATI!$E$46,DATI!$E$32*DATI!$E$42*DATI!$E$49*DATI!$E$33,IF(B306&lt;DATI!$E$47,DATI!$E$32*DATI!$E$42*DATI!$E$49*DATI!$E$33*(DATI!$E$46/B306),DATI!$E$32*DATI!$E$42*DATI!$E$49*DATI!$E$33*((DATI!$E$46*DATI!$E$47)/B306^2))))</f>
        <v>0.1737262932745367</v>
      </c>
      <c r="D306" s="300"/>
      <c r="E306" s="422"/>
      <c r="F306" s="422"/>
      <c r="G306" s="422"/>
      <c r="H306" s="422"/>
      <c r="I306" s="422"/>
      <c r="J306" s="422"/>
      <c r="K306" s="422"/>
      <c r="L306" s="422"/>
      <c r="M306" s="422"/>
      <c r="N306" s="422"/>
      <c r="O306" s="422"/>
      <c r="P306" s="422"/>
      <c r="Q306" s="422"/>
      <c r="R306" s="422"/>
      <c r="S306" s="422"/>
    </row>
    <row r="307" spans="1:19" x14ac:dyDescent="0.25">
      <c r="A307" s="422"/>
      <c r="B307" s="625">
        <f t="shared" si="4"/>
        <v>3.0199999999999796</v>
      </c>
      <c r="C307" s="638">
        <f>1/DATI!$E$38*IF(B307&lt;DATI!$E$45,DATI!$E$32*DATI!$E$42*DATI!$E$49*DATI!$E$33*(B307/DATI!$E$45+1/(DATI!$E$49*DATI!$E$33)*(1-B307/DATI!$E$45)),IF(B307&lt;DATI!$E$46,DATI!$E$32*DATI!$E$42*DATI!$E$49*DATI!$E$33,IF(B307&lt;DATI!$E$47,DATI!$E$32*DATI!$E$42*DATI!$E$49*DATI!$E$33*(DATI!$E$46/B307),DATI!$E$32*DATI!$E$42*DATI!$E$49*DATI!$E$33*((DATI!$E$46*DATI!$E$47)/B307^2))))</f>
        <v>0.17257769283108523</v>
      </c>
      <c r="D307" s="300"/>
      <c r="E307" s="422"/>
      <c r="F307" s="422"/>
      <c r="G307" s="422"/>
      <c r="H307" s="422"/>
      <c r="I307" s="422"/>
      <c r="J307" s="422"/>
      <c r="K307" s="422"/>
      <c r="L307" s="422"/>
      <c r="M307" s="422"/>
      <c r="N307" s="422"/>
      <c r="O307" s="422"/>
      <c r="P307" s="422"/>
      <c r="Q307" s="422"/>
      <c r="R307" s="422"/>
      <c r="S307" s="422"/>
    </row>
    <row r="308" spans="1:19" x14ac:dyDescent="0.25">
      <c r="A308" s="422"/>
      <c r="B308" s="625">
        <f t="shared" si="4"/>
        <v>3.0299999999999794</v>
      </c>
      <c r="C308" s="638">
        <f>1/DATI!$E$38*IF(B308&lt;DATI!$E$45,DATI!$E$32*DATI!$E$42*DATI!$E$49*DATI!$E$33*(B308/DATI!$E$45+1/(DATI!$E$49*DATI!$E$33)*(1-B308/DATI!$E$45)),IF(B308&lt;DATI!$E$46,DATI!$E$32*DATI!$E$42*DATI!$E$49*DATI!$E$33,IF(B308&lt;DATI!$E$47,DATI!$E$32*DATI!$E$42*DATI!$E$49*DATI!$E$33*(DATI!$E$46/B308),DATI!$E$32*DATI!$E$42*DATI!$E$49*DATI!$E$33*((DATI!$E$46*DATI!$E$47)/B308^2))))</f>
        <v>0.17144044589273713</v>
      </c>
      <c r="D308" s="300"/>
      <c r="E308" s="422"/>
      <c r="F308" s="422"/>
      <c r="G308" s="422"/>
      <c r="H308" s="422"/>
      <c r="I308" s="422"/>
      <c r="J308" s="422"/>
      <c r="K308" s="422"/>
      <c r="L308" s="422"/>
      <c r="M308" s="422"/>
      <c r="N308" s="422"/>
      <c r="O308" s="422"/>
      <c r="P308" s="422"/>
      <c r="Q308" s="422"/>
      <c r="R308" s="422"/>
      <c r="S308" s="422"/>
    </row>
    <row r="309" spans="1:19" x14ac:dyDescent="0.25">
      <c r="A309" s="422"/>
      <c r="B309" s="625">
        <f t="shared" si="4"/>
        <v>3.0399999999999792</v>
      </c>
      <c r="C309" s="638">
        <f>1/DATI!$E$38*IF(B309&lt;DATI!$E$45,DATI!$E$32*DATI!$E$42*DATI!$E$49*DATI!$E$33*(B309/DATI!$E$45+1/(DATI!$E$49*DATI!$E$33)*(1-B309/DATI!$E$45)),IF(B309&lt;DATI!$E$46,DATI!$E$32*DATI!$E$42*DATI!$E$49*DATI!$E$33,IF(B309&lt;DATI!$E$47,DATI!$E$32*DATI!$E$42*DATI!$E$49*DATI!$E$33*(DATI!$E$46/B309),DATI!$E$32*DATI!$E$42*DATI!$E$49*DATI!$E$33*((DATI!$E$46*DATI!$E$47)/B309^2))))</f>
        <v>0.17031440331724271</v>
      </c>
      <c r="D309" s="300"/>
      <c r="E309" s="422"/>
      <c r="F309" s="422"/>
      <c r="G309" s="422"/>
      <c r="H309" s="422"/>
      <c r="I309" s="422"/>
      <c r="J309" s="422"/>
      <c r="K309" s="422"/>
      <c r="L309" s="422"/>
      <c r="M309" s="422"/>
      <c r="N309" s="422"/>
      <c r="O309" s="422"/>
      <c r="P309" s="422"/>
      <c r="Q309" s="422"/>
      <c r="R309" s="422"/>
      <c r="S309" s="422"/>
    </row>
    <row r="310" spans="1:19" x14ac:dyDescent="0.25">
      <c r="A310" s="422"/>
      <c r="B310" s="625">
        <f t="shared" si="4"/>
        <v>3.049999999999979</v>
      </c>
      <c r="C310" s="638">
        <f>1/DATI!$E$38*IF(B310&lt;DATI!$E$45,DATI!$E$32*DATI!$E$42*DATI!$E$49*DATI!$E$33*(B310/DATI!$E$45+1/(DATI!$E$49*DATI!$E$33)*(1-B310/DATI!$E$45)),IF(B310&lt;DATI!$E$46,DATI!$E$32*DATI!$E$42*DATI!$E$49*DATI!$E$33,IF(B310&lt;DATI!$E$47,DATI!$E$32*DATI!$E$42*DATI!$E$49*DATI!$E$33*(DATI!$E$46/B310),DATI!$E$32*DATI!$E$42*DATI!$E$49*DATI!$E$33*((DATI!$E$46*DATI!$E$47)/B310^2))))</f>
        <v>0.1691994184032927</v>
      </c>
      <c r="D310" s="300"/>
      <c r="E310" s="422"/>
      <c r="F310" s="422"/>
      <c r="G310" s="422"/>
      <c r="H310" s="422"/>
      <c r="I310" s="422"/>
      <c r="J310" s="422"/>
      <c r="K310" s="422"/>
      <c r="L310" s="422"/>
      <c r="M310" s="422"/>
      <c r="N310" s="422"/>
      <c r="O310" s="422"/>
      <c r="P310" s="422"/>
      <c r="Q310" s="422"/>
      <c r="R310" s="422"/>
      <c r="S310" s="422"/>
    </row>
    <row r="311" spans="1:19" x14ac:dyDescent="0.25">
      <c r="A311" s="422"/>
      <c r="B311" s="625">
        <f t="shared" si="4"/>
        <v>3.0599999999999787</v>
      </c>
      <c r="C311" s="638">
        <f>1/DATI!$E$38*IF(B311&lt;DATI!$E$45,DATI!$E$32*DATI!$E$42*DATI!$E$49*DATI!$E$33*(B311/DATI!$E$45+1/(DATI!$E$49*DATI!$E$33)*(1-B311/DATI!$E$45)),IF(B311&lt;DATI!$E$46,DATI!$E$32*DATI!$E$42*DATI!$E$49*DATI!$E$33,IF(B311&lt;DATI!$E$47,DATI!$E$32*DATI!$E$42*DATI!$E$49*DATI!$E$33*(DATI!$E$46/B311),DATI!$E$32*DATI!$E$42*DATI!$E$49*DATI!$E$33*((DATI!$E$46*DATI!$E$47)/B311^2))))</f>
        <v>0.16809534684273469</v>
      </c>
      <c r="D311" s="300"/>
      <c r="E311" s="422"/>
      <c r="F311" s="422"/>
      <c r="G311" s="422"/>
      <c r="H311" s="422"/>
      <c r="I311" s="422"/>
      <c r="J311" s="422"/>
      <c r="K311" s="422"/>
      <c r="L311" s="422"/>
      <c r="M311" s="422"/>
      <c r="N311" s="422"/>
      <c r="O311" s="422"/>
      <c r="P311" s="422"/>
      <c r="Q311" s="422"/>
      <c r="R311" s="422"/>
      <c r="S311" s="422"/>
    </row>
    <row r="312" spans="1:19" x14ac:dyDescent="0.25">
      <c r="A312" s="422"/>
      <c r="B312" s="625">
        <f t="shared" si="4"/>
        <v>3.0699999999999785</v>
      </c>
      <c r="C312" s="638">
        <f>1/DATI!$E$38*IF(B312&lt;DATI!$E$45,DATI!$E$32*DATI!$E$42*DATI!$E$49*DATI!$E$33*(B312/DATI!$E$45+1/(DATI!$E$49*DATI!$E$33)*(1-B312/DATI!$E$45)),IF(B312&lt;DATI!$E$46,DATI!$E$32*DATI!$E$42*DATI!$E$49*DATI!$E$33,IF(B312&lt;DATI!$E$47,DATI!$E$32*DATI!$E$42*DATI!$E$49*DATI!$E$33*(DATI!$E$46/B312),DATI!$E$32*DATI!$E$42*DATI!$E$49*DATI!$E$33*((DATI!$E$46*DATI!$E$47)/B312^2))))</f>
        <v>0.1670020466738778</v>
      </c>
      <c r="D312" s="300"/>
      <c r="E312" s="422"/>
      <c r="F312" s="422"/>
      <c r="G312" s="422"/>
      <c r="H312" s="422"/>
      <c r="I312" s="422"/>
      <c r="J312" s="422"/>
      <c r="K312" s="422"/>
      <c r="L312" s="422"/>
      <c r="M312" s="422"/>
      <c r="N312" s="422"/>
      <c r="O312" s="422"/>
      <c r="P312" s="422"/>
      <c r="Q312" s="422"/>
      <c r="R312" s="422"/>
      <c r="S312" s="422"/>
    </row>
    <row r="313" spans="1:19" x14ac:dyDescent="0.25">
      <c r="A313" s="422"/>
      <c r="B313" s="625">
        <f t="shared" si="4"/>
        <v>3.0799999999999783</v>
      </c>
      <c r="C313" s="638">
        <f>1/DATI!$E$38*IF(B313&lt;DATI!$E$45,DATI!$E$32*DATI!$E$42*DATI!$E$49*DATI!$E$33*(B313/DATI!$E$45+1/(DATI!$E$49*DATI!$E$33)*(1-B313/DATI!$E$45)),IF(B313&lt;DATI!$E$46,DATI!$E$32*DATI!$E$42*DATI!$E$49*DATI!$E$33,IF(B313&lt;DATI!$E$47,DATI!$E$32*DATI!$E$42*DATI!$E$49*DATI!$E$33*(DATI!$E$46/B313),DATI!$E$32*DATI!$E$42*DATI!$E$49*DATI!$E$33*((DATI!$E$46*DATI!$E$47)/B313^2))))</f>
        <v>0.16591937823585667</v>
      </c>
      <c r="D313" s="300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/>
      <c r="P313" s="422"/>
      <c r="Q313" s="422"/>
      <c r="R313" s="422"/>
      <c r="S313" s="422"/>
    </row>
    <row r="314" spans="1:19" x14ac:dyDescent="0.25">
      <c r="A314" s="422"/>
      <c r="B314" s="625">
        <f t="shared" si="4"/>
        <v>3.0899999999999781</v>
      </c>
      <c r="C314" s="638">
        <f>1/DATI!$E$38*IF(B314&lt;DATI!$E$45,DATI!$E$32*DATI!$E$42*DATI!$E$49*DATI!$E$33*(B314/DATI!$E$45+1/(DATI!$E$49*DATI!$E$33)*(1-B314/DATI!$E$45)),IF(B314&lt;DATI!$E$46,DATI!$E$32*DATI!$E$42*DATI!$E$49*DATI!$E$33,IF(B314&lt;DATI!$E$47,DATI!$E$32*DATI!$E$42*DATI!$E$49*DATI!$E$33*(DATI!$E$46/B314),DATI!$E$32*DATI!$E$42*DATI!$E$49*DATI!$E$33*((DATI!$E$46*DATI!$E$47)/B314^2))))</f>
        <v>0.16484720412402792</v>
      </c>
      <c r="D314" s="300"/>
      <c r="E314" s="422"/>
      <c r="F314" s="422"/>
      <c r="G314" s="422"/>
      <c r="H314" s="422"/>
      <c r="I314" s="422"/>
      <c r="J314" s="422"/>
      <c r="K314" s="422"/>
      <c r="L314" s="422"/>
      <c r="M314" s="422"/>
      <c r="N314" s="422"/>
      <c r="O314" s="422"/>
      <c r="P314" s="422"/>
      <c r="Q314" s="422"/>
      <c r="R314" s="422"/>
      <c r="S314" s="422"/>
    </row>
    <row r="315" spans="1:19" x14ac:dyDescent="0.25">
      <c r="A315" s="422"/>
      <c r="B315" s="625">
        <f t="shared" si="4"/>
        <v>3.0999999999999779</v>
      </c>
      <c r="C315" s="638">
        <f>1/DATI!$E$38*IF(B315&lt;DATI!$E$45,DATI!$E$32*DATI!$E$42*DATI!$E$49*DATI!$E$33*(B315/DATI!$E$45+1/(DATI!$E$49*DATI!$E$33)*(1-B315/DATI!$E$45)),IF(B315&lt;DATI!$E$46,DATI!$E$32*DATI!$E$42*DATI!$E$49*DATI!$E$33,IF(B315&lt;DATI!$E$47,DATI!$E$32*DATI!$E$42*DATI!$E$49*DATI!$E$33*(DATI!$E$46/B315),DATI!$E$32*DATI!$E$42*DATI!$E$49*DATI!$E$33*((DATI!$E$46*DATI!$E$47)/B315^2))))</f>
        <v>0.16378538914637161</v>
      </c>
      <c r="D315" s="300"/>
      <c r="E315" s="422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2"/>
      <c r="Q315" s="422"/>
      <c r="R315" s="422"/>
      <c r="S315" s="422"/>
    </row>
    <row r="316" spans="1:19" x14ac:dyDescent="0.25">
      <c r="A316" s="422"/>
      <c r="B316" s="625">
        <f t="shared" si="4"/>
        <v>3.1099999999999777</v>
      </c>
      <c r="C316" s="638">
        <f>1/DATI!$E$38*IF(B316&lt;DATI!$E$45,DATI!$E$32*DATI!$E$42*DATI!$E$49*DATI!$E$33*(B316/DATI!$E$45+1/(DATI!$E$49*DATI!$E$33)*(1-B316/DATI!$E$45)),IF(B316&lt;DATI!$E$46,DATI!$E$32*DATI!$E$42*DATI!$E$49*DATI!$E$33,IF(B316&lt;DATI!$E$47,DATI!$E$32*DATI!$E$42*DATI!$E$49*DATI!$E$33*(DATI!$E$46/B316),DATI!$E$32*DATI!$E$42*DATI!$E$49*DATI!$E$33*((DATI!$E$46*DATI!$E$47)/B316^2))))</f>
        <v>0.16273380028087295</v>
      </c>
      <c r="D316" s="300"/>
      <c r="E316" s="422"/>
      <c r="F316" s="422"/>
      <c r="G316" s="422"/>
      <c r="H316" s="422"/>
      <c r="I316" s="422"/>
      <c r="J316" s="422"/>
      <c r="K316" s="422"/>
      <c r="L316" s="422"/>
      <c r="M316" s="422"/>
      <c r="N316" s="422"/>
      <c r="O316" s="422"/>
      <c r="P316" s="422"/>
      <c r="Q316" s="422"/>
      <c r="R316" s="422"/>
      <c r="S316" s="422"/>
    </row>
    <row r="317" spans="1:19" x14ac:dyDescent="0.25">
      <c r="A317" s="422"/>
      <c r="B317" s="625">
        <f t="shared" si="4"/>
        <v>3.1199999999999775</v>
      </c>
      <c r="C317" s="638">
        <f>1/DATI!$E$38*IF(B317&lt;DATI!$E$45,DATI!$E$32*DATI!$E$42*DATI!$E$49*DATI!$E$33*(B317/DATI!$E$45+1/(DATI!$E$49*DATI!$E$33)*(1-B317/DATI!$E$45)),IF(B317&lt;DATI!$E$46,DATI!$E$32*DATI!$E$42*DATI!$E$49*DATI!$E$33,IF(B317&lt;DATI!$E$47,DATI!$E$32*DATI!$E$42*DATI!$E$49*DATI!$E$33*(DATI!$E$46/B317),DATI!$E$32*DATI!$E$42*DATI!$E$49*DATI!$E$33*((DATI!$E$46*DATI!$E$47)/B317^2))))</f>
        <v>0.16169230663385845</v>
      </c>
      <c r="D317" s="300"/>
      <c r="E317" s="422"/>
      <c r="F317" s="422"/>
      <c r="G317" s="422"/>
      <c r="H317" s="422"/>
      <c r="I317" s="422"/>
      <c r="J317" s="422"/>
      <c r="K317" s="422"/>
      <c r="L317" s="422"/>
      <c r="M317" s="422"/>
      <c r="N317" s="422"/>
      <c r="O317" s="422"/>
      <c r="P317" s="422"/>
      <c r="Q317" s="422"/>
      <c r="R317" s="422"/>
      <c r="S317" s="422"/>
    </row>
    <row r="318" spans="1:19" x14ac:dyDescent="0.25">
      <c r="A318" s="422"/>
      <c r="B318" s="625">
        <f t="shared" si="4"/>
        <v>3.1299999999999772</v>
      </c>
      <c r="C318" s="638">
        <f>1/DATI!$E$38*IF(B318&lt;DATI!$E$45,DATI!$E$32*DATI!$E$42*DATI!$E$49*DATI!$E$33*(B318/DATI!$E$45+1/(DATI!$E$49*DATI!$E$33)*(1-B318/DATI!$E$45)),IF(B318&lt;DATI!$E$46,DATI!$E$32*DATI!$E$42*DATI!$E$49*DATI!$E$33,IF(B318&lt;DATI!$E$47,DATI!$E$32*DATI!$E$42*DATI!$E$49*DATI!$E$33*(DATI!$E$46/B318),DATI!$E$32*DATI!$E$42*DATI!$E$49*DATI!$E$33*((DATI!$E$46*DATI!$E$47)/B318^2))))</f>
        <v>0.16066077939926218</v>
      </c>
      <c r="D318" s="300"/>
      <c r="E318" s="422"/>
      <c r="F318" s="422"/>
      <c r="G318" s="422"/>
      <c r="H318" s="422"/>
      <c r="I318" s="422"/>
      <c r="J318" s="422"/>
      <c r="K318" s="422"/>
      <c r="L318" s="422"/>
      <c r="M318" s="422"/>
      <c r="N318" s="422"/>
      <c r="O318" s="422"/>
      <c r="P318" s="422"/>
      <c r="Q318" s="422"/>
      <c r="R318" s="422"/>
      <c r="S318" s="422"/>
    </row>
    <row r="319" spans="1:19" x14ac:dyDescent="0.25">
      <c r="A319" s="422"/>
      <c r="B319" s="625">
        <f t="shared" si="4"/>
        <v>3.139999999999977</v>
      </c>
      <c r="C319" s="638">
        <f>1/DATI!$E$38*IF(B319&lt;DATI!$E$45,DATI!$E$32*DATI!$E$42*DATI!$E$49*DATI!$E$33*(B319/DATI!$E$45+1/(DATI!$E$49*DATI!$E$33)*(1-B319/DATI!$E$45)),IF(B319&lt;DATI!$E$46,DATI!$E$32*DATI!$E$42*DATI!$E$49*DATI!$E$33,IF(B319&lt;DATI!$E$47,DATI!$E$32*DATI!$E$42*DATI!$E$49*DATI!$E$33*(DATI!$E$46/B319),DATI!$E$32*DATI!$E$42*DATI!$E$49*DATI!$E$33*((DATI!$E$46*DATI!$E$47)/B319^2))))</f>
        <v>0.15963909181879909</v>
      </c>
      <c r="D319" s="300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/>
      <c r="P319" s="422"/>
      <c r="Q319" s="422"/>
      <c r="R319" s="422"/>
      <c r="S319" s="422"/>
    </row>
    <row r="320" spans="1:19" x14ac:dyDescent="0.25">
      <c r="A320" s="422"/>
      <c r="B320" s="625">
        <f t="shared" si="4"/>
        <v>3.1499999999999768</v>
      </c>
      <c r="C320" s="638">
        <f>1/DATI!$E$38*IF(B320&lt;DATI!$E$45,DATI!$E$32*DATI!$E$42*DATI!$E$49*DATI!$E$33*(B320/DATI!$E$45+1/(DATI!$E$49*DATI!$E$33)*(1-B320/DATI!$E$45)),IF(B320&lt;DATI!$E$46,DATI!$E$32*DATI!$E$42*DATI!$E$49*DATI!$E$33,IF(B320&lt;DATI!$E$47,DATI!$E$32*DATI!$E$42*DATI!$E$49*DATI!$E$33*(DATI!$E$46/B320),DATI!$E$32*DATI!$E$42*DATI!$E$49*DATI!$E$33*((DATI!$E$46*DATI!$E$47)/B320^2))))</f>
        <v>0.15862711914302161</v>
      </c>
      <c r="D320" s="300"/>
      <c r="E320" s="422"/>
      <c r="F320" s="422"/>
      <c r="G320" s="422"/>
      <c r="H320" s="422"/>
      <c r="I320" s="422"/>
      <c r="J320" s="422"/>
      <c r="K320" s="422"/>
      <c r="L320" s="422"/>
      <c r="M320" s="422"/>
      <c r="N320" s="422"/>
      <c r="O320" s="422"/>
      <c r="P320" s="422"/>
      <c r="Q320" s="422"/>
      <c r="R320" s="422"/>
      <c r="S320" s="422"/>
    </row>
    <row r="321" spans="1:19" x14ac:dyDescent="0.25">
      <c r="A321" s="422"/>
      <c r="B321" s="625">
        <f t="shared" si="4"/>
        <v>3.1599999999999766</v>
      </c>
      <c r="C321" s="638">
        <f>1/DATI!$E$38*IF(B321&lt;DATI!$E$45,DATI!$E$32*DATI!$E$42*DATI!$E$49*DATI!$E$33*(B321/DATI!$E$45+1/(DATI!$E$49*DATI!$E$33)*(1-B321/DATI!$E$45)),IF(B321&lt;DATI!$E$46,DATI!$E$32*DATI!$E$42*DATI!$E$49*DATI!$E$33,IF(B321&lt;DATI!$E$47,DATI!$E$32*DATI!$E$42*DATI!$E$49*DATI!$E$33*(DATI!$E$46/B321),DATI!$E$32*DATI!$E$42*DATI!$E$49*DATI!$E$33*((DATI!$E$46*DATI!$E$47)/B321^2))))</f>
        <v>0.15762473859323747</v>
      </c>
      <c r="D321" s="300"/>
      <c r="E321" s="422"/>
      <c r="F321" s="422"/>
      <c r="G321" s="422"/>
      <c r="H321" s="422"/>
      <c r="I321" s="422"/>
      <c r="J321" s="422"/>
      <c r="K321" s="422"/>
      <c r="L321" s="422"/>
      <c r="M321" s="422"/>
      <c r="N321" s="422"/>
      <c r="O321" s="422"/>
      <c r="P321" s="422"/>
      <c r="Q321" s="422"/>
      <c r="R321" s="422"/>
      <c r="S321" s="422"/>
    </row>
    <row r="322" spans="1:19" x14ac:dyDescent="0.25">
      <c r="A322" s="422"/>
      <c r="B322" s="625">
        <f t="shared" si="4"/>
        <v>3.1699999999999764</v>
      </c>
      <c r="C322" s="638">
        <f>1/DATI!$E$38*IF(B322&lt;DATI!$E$45,DATI!$E$32*DATI!$E$42*DATI!$E$49*DATI!$E$33*(B322/DATI!$E$45+1/(DATI!$E$49*DATI!$E$33)*(1-B322/DATI!$E$45)),IF(B322&lt;DATI!$E$46,DATI!$E$32*DATI!$E$42*DATI!$E$49*DATI!$E$33,IF(B322&lt;DATI!$E$47,DATI!$E$32*DATI!$E$42*DATI!$E$49*DATI!$E$33*(DATI!$E$46/B322),DATI!$E$32*DATI!$E$42*DATI!$E$49*DATI!$E$33*((DATI!$E$46*DATI!$E$47)/B322^2))))</f>
        <v>0.15663182932426753</v>
      </c>
      <c r="D322" s="300"/>
      <c r="E322" s="422"/>
      <c r="F322" s="422"/>
      <c r="G322" s="422"/>
      <c r="H322" s="422"/>
      <c r="I322" s="422"/>
      <c r="J322" s="422"/>
      <c r="K322" s="422"/>
      <c r="L322" s="422"/>
      <c r="M322" s="422"/>
      <c r="N322" s="422"/>
      <c r="O322" s="422"/>
      <c r="P322" s="422"/>
      <c r="Q322" s="422"/>
      <c r="R322" s="422"/>
      <c r="S322" s="422"/>
    </row>
    <row r="323" spans="1:19" x14ac:dyDescent="0.25">
      <c r="A323" s="422"/>
      <c r="B323" s="625">
        <f t="shared" si="4"/>
        <v>3.1799999999999762</v>
      </c>
      <c r="C323" s="638">
        <f>1/DATI!$E$38*IF(B323&lt;DATI!$E$45,DATI!$E$32*DATI!$E$42*DATI!$E$49*DATI!$E$33*(B323/DATI!$E$45+1/(DATI!$E$49*DATI!$E$33)*(1-B323/DATI!$E$45)),IF(B323&lt;DATI!$E$46,DATI!$E$32*DATI!$E$42*DATI!$E$49*DATI!$E$33,IF(B323&lt;DATI!$E$47,DATI!$E$32*DATI!$E$42*DATI!$E$49*DATI!$E$33*(DATI!$E$46/B323),DATI!$E$32*DATI!$E$42*DATI!$E$49*DATI!$E$33*((DATI!$E$46*DATI!$E$47)/B323^2))))</f>
        <v>0.15564827238802184</v>
      </c>
      <c r="D323" s="300"/>
      <c r="E323" s="422"/>
      <c r="F323" s="422"/>
      <c r="G323" s="422"/>
      <c r="H323" s="422"/>
      <c r="I323" s="422"/>
      <c r="J323" s="422"/>
      <c r="K323" s="422"/>
      <c r="L323" s="422"/>
      <c r="M323" s="422"/>
      <c r="N323" s="422"/>
      <c r="O323" s="422"/>
      <c r="P323" s="422"/>
      <c r="Q323" s="422"/>
      <c r="R323" s="422"/>
      <c r="S323" s="422"/>
    </row>
    <row r="324" spans="1:19" x14ac:dyDescent="0.25">
      <c r="A324" s="422"/>
      <c r="B324" s="625">
        <f t="shared" si="4"/>
        <v>3.189999999999976</v>
      </c>
      <c r="C324" s="638">
        <f>1/DATI!$E$38*IF(B324&lt;DATI!$E$45,DATI!$E$32*DATI!$E$42*DATI!$E$49*DATI!$E$33*(B324/DATI!$E$45+1/(DATI!$E$49*DATI!$E$33)*(1-B324/DATI!$E$45)),IF(B324&lt;DATI!$E$46,DATI!$E$32*DATI!$E$42*DATI!$E$49*DATI!$E$33,IF(B324&lt;DATI!$E$47,DATI!$E$32*DATI!$E$42*DATI!$E$49*DATI!$E$33*(DATI!$E$46/B324),DATI!$E$32*DATI!$E$42*DATI!$E$49*DATI!$E$33*((DATI!$E$46*DATI!$E$47)/B324^2))))</f>
        <v>0.15467395069787368</v>
      </c>
      <c r="D324" s="300"/>
      <c r="E324" s="422"/>
      <c r="F324" s="422"/>
      <c r="G324" s="422"/>
      <c r="H324" s="422"/>
      <c r="I324" s="422"/>
      <c r="J324" s="422"/>
      <c r="K324" s="422"/>
      <c r="L324" s="422"/>
      <c r="M324" s="422"/>
      <c r="N324" s="422"/>
      <c r="O324" s="422"/>
      <c r="P324" s="422"/>
      <c r="Q324" s="422"/>
      <c r="R324" s="422"/>
      <c r="S324" s="422"/>
    </row>
    <row r="325" spans="1:19" x14ac:dyDescent="0.25">
      <c r="A325" s="422"/>
      <c r="B325" s="625">
        <f t="shared" si="4"/>
        <v>3.1999999999999758</v>
      </c>
      <c r="C325" s="638">
        <f>1/DATI!$E$38*IF(B325&lt;DATI!$E$45,DATI!$E$32*DATI!$E$42*DATI!$E$49*DATI!$E$33*(B325/DATI!$E$45+1/(DATI!$E$49*DATI!$E$33)*(1-B325/DATI!$E$45)),IF(B325&lt;DATI!$E$46,DATI!$E$32*DATI!$E$42*DATI!$E$49*DATI!$E$33,IF(B325&lt;DATI!$E$47,DATI!$E$32*DATI!$E$42*DATI!$E$49*DATI!$E$33*(DATI!$E$46/B325),DATI!$E$32*DATI!$E$42*DATI!$E$49*DATI!$E$33*((DATI!$E$46*DATI!$E$47)/B325^2))))</f>
        <v>0.15370874899381176</v>
      </c>
      <c r="D325" s="300"/>
      <c r="E325" s="422"/>
      <c r="F325" s="422"/>
      <c r="G325" s="422"/>
      <c r="H325" s="422"/>
      <c r="I325" s="422"/>
      <c r="J325" s="422"/>
      <c r="K325" s="422"/>
      <c r="L325" s="422"/>
      <c r="M325" s="422"/>
      <c r="N325" s="422"/>
      <c r="O325" s="422"/>
      <c r="P325" s="422"/>
      <c r="Q325" s="422"/>
      <c r="R325" s="422"/>
      <c r="S325" s="422"/>
    </row>
    <row r="326" spans="1:19" x14ac:dyDescent="0.25">
      <c r="A326" s="422"/>
      <c r="B326" s="625">
        <f t="shared" ref="B326:B389" si="5">0.01+B325</f>
        <v>3.2099999999999755</v>
      </c>
      <c r="C326" s="638">
        <f>1/DATI!$E$38*IF(B326&lt;DATI!$E$45,DATI!$E$32*DATI!$E$42*DATI!$E$49*DATI!$E$33*(B326/DATI!$E$45+1/(DATI!$E$49*DATI!$E$33)*(1-B326/DATI!$E$45)),IF(B326&lt;DATI!$E$46,DATI!$E$32*DATI!$E$42*DATI!$E$49*DATI!$E$33,IF(B326&lt;DATI!$E$47,DATI!$E$32*DATI!$E$42*DATI!$E$49*DATI!$E$33*(DATI!$E$46/B326),DATI!$E$32*DATI!$E$42*DATI!$E$49*DATI!$E$33*((DATI!$E$46*DATI!$E$47)/B326^2))))</f>
        <v>0.15275255380835129</v>
      </c>
      <c r="D326" s="300"/>
      <c r="E326" s="422"/>
      <c r="F326" s="422"/>
      <c r="G326" s="422"/>
      <c r="H326" s="422"/>
      <c r="I326" s="422"/>
      <c r="J326" s="422"/>
      <c r="K326" s="422"/>
      <c r="L326" s="422"/>
      <c r="M326" s="422"/>
      <c r="N326" s="422"/>
      <c r="O326" s="422"/>
      <c r="P326" s="422"/>
      <c r="Q326" s="422"/>
      <c r="R326" s="422"/>
      <c r="S326" s="422"/>
    </row>
    <row r="327" spans="1:19" x14ac:dyDescent="0.25">
      <c r="A327" s="422"/>
      <c r="B327" s="625">
        <f t="shared" si="5"/>
        <v>3.2199999999999753</v>
      </c>
      <c r="C327" s="638">
        <f>1/DATI!$E$38*IF(B327&lt;DATI!$E$45,DATI!$E$32*DATI!$E$42*DATI!$E$49*DATI!$E$33*(B327/DATI!$E$45+1/(DATI!$E$49*DATI!$E$33)*(1-B327/DATI!$E$45)),IF(B327&lt;DATI!$E$46,DATI!$E$32*DATI!$E$42*DATI!$E$49*DATI!$E$33,IF(B327&lt;DATI!$E$47,DATI!$E$32*DATI!$E$42*DATI!$E$49*DATI!$E$33*(DATI!$E$46/B327),DATI!$E$32*DATI!$E$42*DATI!$E$49*DATI!$E$33*((DATI!$E$46*DATI!$E$47)/B327^2))))</f>
        <v>0.15180525343318477</v>
      </c>
      <c r="D327" s="300"/>
      <c r="E327" s="422"/>
      <c r="F327" s="422"/>
      <c r="G327" s="422"/>
      <c r="H327" s="422"/>
      <c r="I327" s="422"/>
      <c r="J327" s="422"/>
      <c r="K327" s="422"/>
      <c r="L327" s="422"/>
      <c r="M327" s="422"/>
      <c r="N327" s="422"/>
      <c r="O327" s="422"/>
      <c r="P327" s="422"/>
      <c r="Q327" s="422"/>
      <c r="R327" s="422"/>
      <c r="S327" s="422"/>
    </row>
    <row r="328" spans="1:19" x14ac:dyDescent="0.25">
      <c r="A328" s="422"/>
      <c r="B328" s="625">
        <f t="shared" si="5"/>
        <v>3.2299999999999751</v>
      </c>
      <c r="C328" s="638">
        <f>1/DATI!$E$38*IF(B328&lt;DATI!$E$45,DATI!$E$32*DATI!$E$42*DATI!$E$49*DATI!$E$33*(B328/DATI!$E$45+1/(DATI!$E$49*DATI!$E$33)*(1-B328/DATI!$E$45)),IF(B328&lt;DATI!$E$46,DATI!$E$32*DATI!$E$42*DATI!$E$49*DATI!$E$33,IF(B328&lt;DATI!$E$47,DATI!$E$32*DATI!$E$42*DATI!$E$49*DATI!$E$33*(DATI!$E$46/B328),DATI!$E$32*DATI!$E$42*DATI!$E$49*DATI!$E$33*((DATI!$E$46*DATI!$E$47)/B328^2))))</f>
        <v>0.15086673788655436</v>
      </c>
      <c r="D328" s="300"/>
      <c r="E328" s="422"/>
      <c r="F328" s="422"/>
      <c r="G328" s="422"/>
      <c r="H328" s="422"/>
      <c r="I328" s="422"/>
      <c r="J328" s="422"/>
      <c r="K328" s="422"/>
      <c r="L328" s="422"/>
      <c r="M328" s="422"/>
      <c r="N328" s="422"/>
      <c r="O328" s="422"/>
      <c r="P328" s="422"/>
      <c r="Q328" s="422"/>
      <c r="R328" s="422"/>
      <c r="S328" s="422"/>
    </row>
    <row r="329" spans="1:19" x14ac:dyDescent="0.25">
      <c r="A329" s="422"/>
      <c r="B329" s="625">
        <f t="shared" si="5"/>
        <v>3.2399999999999749</v>
      </c>
      <c r="C329" s="638">
        <f>1/DATI!$E$38*IF(B329&lt;DATI!$E$45,DATI!$E$32*DATI!$E$42*DATI!$E$49*DATI!$E$33*(B329/DATI!$E$45+1/(DATI!$E$49*DATI!$E$33)*(1-B329/DATI!$E$45)),IF(B329&lt;DATI!$E$46,DATI!$E$32*DATI!$E$42*DATI!$E$49*DATI!$E$33,IF(B329&lt;DATI!$E$47,DATI!$E$32*DATI!$E$42*DATI!$E$49*DATI!$E$33*(DATI!$E$46/B329),DATI!$E$32*DATI!$E$42*DATI!$E$49*DATI!$E$33*((DATI!$E$46*DATI!$E$47)/B329^2))))</f>
        <v>0.14993689888132838</v>
      </c>
      <c r="D329" s="300"/>
      <c r="E329" s="422"/>
      <c r="F329" s="422"/>
      <c r="G329" s="422"/>
      <c r="H329" s="422"/>
      <c r="I329" s="422"/>
      <c r="J329" s="422"/>
      <c r="K329" s="422"/>
      <c r="L329" s="422"/>
      <c r="M329" s="422"/>
      <c r="N329" s="422"/>
      <c r="O329" s="422"/>
      <c r="P329" s="422"/>
      <c r="Q329" s="422"/>
      <c r="R329" s="422"/>
      <c r="S329" s="422"/>
    </row>
    <row r="330" spans="1:19" x14ac:dyDescent="0.25">
      <c r="A330" s="422"/>
      <c r="B330" s="625">
        <f t="shared" si="5"/>
        <v>3.2499999999999747</v>
      </c>
      <c r="C330" s="638">
        <f>1/DATI!$E$38*IF(B330&lt;DATI!$E$45,DATI!$E$32*DATI!$E$42*DATI!$E$49*DATI!$E$33*(B330/DATI!$E$45+1/(DATI!$E$49*DATI!$E$33)*(1-B330/DATI!$E$45)),IF(B330&lt;DATI!$E$46,DATI!$E$32*DATI!$E$42*DATI!$E$49*DATI!$E$33,IF(B330&lt;DATI!$E$47,DATI!$E$32*DATI!$E$42*DATI!$E$49*DATI!$E$33*(DATI!$E$46/B330),DATI!$E$32*DATI!$E$42*DATI!$E$49*DATI!$E$33*((DATI!$E$46*DATI!$E$47)/B330^2))))</f>
        <v>0.14901562979376409</v>
      </c>
      <c r="D330" s="300"/>
      <c r="E330" s="422"/>
      <c r="F330" s="422"/>
      <c r="G330" s="422"/>
      <c r="H330" s="422"/>
      <c r="I330" s="422"/>
      <c r="J330" s="422"/>
      <c r="K330" s="422"/>
      <c r="L330" s="422"/>
      <c r="M330" s="422"/>
      <c r="N330" s="422"/>
      <c r="O330" s="422"/>
      <c r="P330" s="422"/>
      <c r="Q330" s="422"/>
      <c r="R330" s="422"/>
      <c r="S330" s="422"/>
    </row>
    <row r="331" spans="1:19" x14ac:dyDescent="0.25">
      <c r="A331" s="422"/>
      <c r="B331" s="625">
        <f t="shared" si="5"/>
        <v>3.2599999999999745</v>
      </c>
      <c r="C331" s="638">
        <f>1/DATI!$E$38*IF(B331&lt;DATI!$E$45,DATI!$E$32*DATI!$E$42*DATI!$E$49*DATI!$E$33*(B331/DATI!$E$45+1/(DATI!$E$49*DATI!$E$33)*(1-B331/DATI!$E$45)),IF(B331&lt;DATI!$E$46,DATI!$E$32*DATI!$E$42*DATI!$E$49*DATI!$E$33,IF(B331&lt;DATI!$E$47,DATI!$E$32*DATI!$E$42*DATI!$E$49*DATI!$E$33*(DATI!$E$46/B331),DATI!$E$32*DATI!$E$42*DATI!$E$49*DATI!$E$33*((DATI!$E$46*DATI!$E$47)/B331^2))))</f>
        <v>0.14810282563294</v>
      </c>
      <c r="D331" s="300"/>
      <c r="E331" s="422"/>
      <c r="F331" s="422"/>
      <c r="G331" s="422"/>
      <c r="H331" s="422"/>
      <c r="I331" s="422"/>
      <c r="J331" s="422"/>
      <c r="K331" s="422"/>
      <c r="L331" s="422"/>
      <c r="M331" s="422"/>
      <c r="N331" s="422"/>
      <c r="O331" s="422"/>
      <c r="P331" s="422"/>
      <c r="Q331" s="422"/>
      <c r="R331" s="422"/>
      <c r="S331" s="422"/>
    </row>
    <row r="332" spans="1:19" x14ac:dyDescent="0.25">
      <c r="A332" s="422"/>
      <c r="B332" s="625">
        <f t="shared" si="5"/>
        <v>3.2699999999999743</v>
      </c>
      <c r="C332" s="638">
        <f>1/DATI!$E$38*IF(B332&lt;DATI!$E$45,DATI!$E$32*DATI!$E$42*DATI!$E$49*DATI!$E$33*(B332/DATI!$E$45+1/(DATI!$E$49*DATI!$E$33)*(1-B332/DATI!$E$45)),IF(B332&lt;DATI!$E$46,DATI!$E$32*DATI!$E$42*DATI!$E$49*DATI!$E$33,IF(B332&lt;DATI!$E$47,DATI!$E$32*DATI!$E$42*DATI!$E$49*DATI!$E$33*(DATI!$E$46/B332),DATI!$E$32*DATI!$E$42*DATI!$E$49*DATI!$E$33*((DATI!$E$46*DATI!$E$47)/B332^2))))</f>
        <v>0.14719838301084209</v>
      </c>
      <c r="D332" s="300"/>
      <c r="E332" s="422"/>
      <c r="F332" s="422"/>
      <c r="G332" s="422"/>
      <c r="H332" s="422"/>
      <c r="I332" s="422"/>
      <c r="J332" s="422"/>
      <c r="K332" s="422"/>
      <c r="L332" s="422"/>
      <c r="M332" s="422"/>
      <c r="N332" s="422"/>
      <c r="O332" s="422"/>
      <c r="P332" s="422"/>
      <c r="Q332" s="422"/>
      <c r="R332" s="422"/>
      <c r="S332" s="422"/>
    </row>
    <row r="333" spans="1:19" x14ac:dyDescent="0.25">
      <c r="A333" s="422"/>
      <c r="B333" s="625">
        <f t="shared" si="5"/>
        <v>3.279999999999974</v>
      </c>
      <c r="C333" s="638">
        <f>1/DATI!$E$38*IF(B333&lt;DATI!$E$45,DATI!$E$32*DATI!$E$42*DATI!$E$49*DATI!$E$33*(B333/DATI!$E$45+1/(DATI!$E$49*DATI!$E$33)*(1-B333/DATI!$E$45)),IF(B333&lt;DATI!$E$46,DATI!$E$32*DATI!$E$42*DATI!$E$49*DATI!$E$33,IF(B333&lt;DATI!$E$47,DATI!$E$32*DATI!$E$42*DATI!$E$49*DATI!$E$33*(DATI!$E$46/B333),DATI!$E$32*DATI!$E$42*DATI!$E$49*DATI!$E$33*((DATI!$E$46*DATI!$E$47)/B333^2))))</f>
        <v>0.14630220011308687</v>
      </c>
      <c r="D333" s="300"/>
      <c r="E333" s="422"/>
      <c r="F333" s="422"/>
      <c r="G333" s="422"/>
      <c r="H333" s="422"/>
      <c r="I333" s="422"/>
      <c r="J333" s="422"/>
      <c r="K333" s="422"/>
      <c r="L333" s="422"/>
      <c r="M333" s="422"/>
      <c r="N333" s="422"/>
      <c r="O333" s="422"/>
      <c r="P333" s="422"/>
      <c r="Q333" s="422"/>
      <c r="R333" s="422"/>
      <c r="S333" s="422"/>
    </row>
    <row r="334" spans="1:19" x14ac:dyDescent="0.25">
      <c r="A334" s="422"/>
      <c r="B334" s="625">
        <f t="shared" si="5"/>
        <v>3.2899999999999738</v>
      </c>
      <c r="C334" s="638">
        <f>1/DATI!$E$38*IF(B334&lt;DATI!$E$45,DATI!$E$32*DATI!$E$42*DATI!$E$49*DATI!$E$33*(B334/DATI!$E$45+1/(DATI!$E$49*DATI!$E$33)*(1-B334/DATI!$E$45)),IF(B334&lt;DATI!$E$46,DATI!$E$32*DATI!$E$42*DATI!$E$49*DATI!$E$33,IF(B334&lt;DATI!$E$47,DATI!$E$32*DATI!$E$42*DATI!$E$49*DATI!$E$33*(DATI!$E$46/B334),DATI!$E$32*DATI!$E$42*DATI!$E$49*DATI!$E$33*((DATI!$E$46*DATI!$E$47)/B334^2))))</f>
        <v>0.14541417667026671</v>
      </c>
      <c r="D334" s="300"/>
      <c r="E334" s="422"/>
      <c r="F334" s="422"/>
      <c r="G334" s="422"/>
      <c r="H334" s="422"/>
      <c r="I334" s="422"/>
      <c r="J334" s="422"/>
      <c r="K334" s="422"/>
      <c r="L334" s="422"/>
      <c r="M334" s="422"/>
      <c r="N334" s="422"/>
      <c r="O334" s="422"/>
      <c r="P334" s="422"/>
      <c r="Q334" s="422"/>
      <c r="R334" s="422"/>
      <c r="S334" s="422"/>
    </row>
    <row r="335" spans="1:19" x14ac:dyDescent="0.25">
      <c r="A335" s="422"/>
      <c r="B335" s="625">
        <f t="shared" si="5"/>
        <v>3.2999999999999736</v>
      </c>
      <c r="C335" s="638">
        <f>1/DATI!$E$38*IF(B335&lt;DATI!$E$45,DATI!$E$32*DATI!$E$42*DATI!$E$49*DATI!$E$33*(B335/DATI!$E$45+1/(DATI!$E$49*DATI!$E$33)*(1-B335/DATI!$E$45)),IF(B335&lt;DATI!$E$46,DATI!$E$32*DATI!$E$42*DATI!$E$49*DATI!$E$33,IF(B335&lt;DATI!$E$47,DATI!$E$32*DATI!$E$42*DATI!$E$49*DATI!$E$33*(DATI!$E$46/B335),DATI!$E$32*DATI!$E$42*DATI!$E$49*DATI!$E$33*((DATI!$E$46*DATI!$E$47)/B335^2))))</f>
        <v>0.14453421392990207</v>
      </c>
      <c r="D335" s="300"/>
      <c r="E335" s="422"/>
      <c r="F335" s="422"/>
      <c r="G335" s="422"/>
      <c r="H335" s="422"/>
      <c r="I335" s="422"/>
      <c r="J335" s="422"/>
      <c r="K335" s="422"/>
      <c r="L335" s="422"/>
      <c r="M335" s="422"/>
      <c r="N335" s="422"/>
      <c r="O335" s="422"/>
      <c r="P335" s="422"/>
      <c r="Q335" s="422"/>
      <c r="R335" s="422"/>
      <c r="S335" s="422"/>
    </row>
    <row r="336" spans="1:19" x14ac:dyDescent="0.25">
      <c r="A336" s="422"/>
      <c r="B336" s="625">
        <f t="shared" si="5"/>
        <v>3.3099999999999734</v>
      </c>
      <c r="C336" s="638">
        <f>1/DATI!$E$38*IF(B336&lt;DATI!$E$45,DATI!$E$32*DATI!$E$42*DATI!$E$49*DATI!$E$33*(B336/DATI!$E$45+1/(DATI!$E$49*DATI!$E$33)*(1-B336/DATI!$E$45)),IF(B336&lt;DATI!$E$46,DATI!$E$32*DATI!$E$42*DATI!$E$49*DATI!$E$33,IF(B336&lt;DATI!$E$47,DATI!$E$32*DATI!$E$42*DATI!$E$49*DATI!$E$33*(DATI!$E$46/B336),DATI!$E$32*DATI!$E$42*DATI!$E$49*DATI!$E$33*((DATI!$E$46*DATI!$E$47)/B336^2))))</f>
        <v>0.14366221462898604</v>
      </c>
      <c r="D336" s="300"/>
      <c r="E336" s="422"/>
      <c r="F336" s="422"/>
      <c r="G336" s="422"/>
      <c r="H336" s="422"/>
      <c r="I336" s="422"/>
      <c r="J336" s="422"/>
      <c r="K336" s="422"/>
      <c r="L336" s="422"/>
      <c r="M336" s="422"/>
      <c r="N336" s="422"/>
      <c r="O336" s="422"/>
      <c r="P336" s="422"/>
      <c r="Q336" s="422"/>
      <c r="R336" s="422"/>
      <c r="S336" s="422"/>
    </row>
    <row r="337" spans="1:19" x14ac:dyDescent="0.25">
      <c r="A337" s="422"/>
      <c r="B337" s="625">
        <f t="shared" si="5"/>
        <v>3.3199999999999732</v>
      </c>
      <c r="C337" s="638">
        <f>1/DATI!$E$38*IF(B337&lt;DATI!$E$45,DATI!$E$32*DATI!$E$42*DATI!$E$49*DATI!$E$33*(B337/DATI!$E$45+1/(DATI!$E$49*DATI!$E$33)*(1-B337/DATI!$E$45)),IF(B337&lt;DATI!$E$46,DATI!$E$32*DATI!$E$42*DATI!$E$49*DATI!$E$33,IF(B337&lt;DATI!$E$47,DATI!$E$32*DATI!$E$42*DATI!$E$49*DATI!$E$33*(DATI!$E$46/B337),DATI!$E$32*DATI!$E$42*DATI!$E$49*DATI!$E$33*((DATI!$E$46*DATI!$E$47)/B337^2))))</f>
        <v>0.14279808296710644</v>
      </c>
      <c r="D337" s="300"/>
      <c r="E337" s="422"/>
      <c r="F337" s="422"/>
      <c r="G337" s="422"/>
      <c r="H337" s="422"/>
      <c r="I337" s="422"/>
      <c r="J337" s="422"/>
      <c r="K337" s="422"/>
      <c r="L337" s="422"/>
      <c r="M337" s="422"/>
      <c r="N337" s="422"/>
      <c r="O337" s="422"/>
      <c r="P337" s="422"/>
      <c r="Q337" s="422"/>
      <c r="R337" s="422"/>
      <c r="S337" s="422"/>
    </row>
    <row r="338" spans="1:19" x14ac:dyDescent="0.25">
      <c r="A338" s="422"/>
      <c r="B338" s="625">
        <f t="shared" si="5"/>
        <v>3.329999999999973</v>
      </c>
      <c r="C338" s="638">
        <f>1/DATI!$E$38*IF(B338&lt;DATI!$E$45,DATI!$E$32*DATI!$E$42*DATI!$E$49*DATI!$E$33*(B338/DATI!$E$45+1/(DATI!$E$49*DATI!$E$33)*(1-B338/DATI!$E$45)),IF(B338&lt;DATI!$E$46,DATI!$E$32*DATI!$E$42*DATI!$E$49*DATI!$E$33,IF(B338&lt;DATI!$E$47,DATI!$E$32*DATI!$E$42*DATI!$E$49*DATI!$E$33*(DATI!$E$46/B338),DATI!$E$32*DATI!$E$42*DATI!$E$49*DATI!$E$33*((DATI!$E$46*DATI!$E$47)/B338^2))))</f>
        <v>0.14194172458013277</v>
      </c>
      <c r="D338" s="300"/>
      <c r="E338" s="422"/>
      <c r="F338" s="422"/>
      <c r="G338" s="422"/>
      <c r="H338" s="422"/>
      <c r="I338" s="422"/>
      <c r="J338" s="422"/>
      <c r="K338" s="422"/>
      <c r="L338" s="422"/>
      <c r="M338" s="422"/>
      <c r="N338" s="422"/>
      <c r="O338" s="422"/>
      <c r="P338" s="422"/>
      <c r="Q338" s="422"/>
      <c r="R338" s="422"/>
      <c r="S338" s="422"/>
    </row>
    <row r="339" spans="1:19" x14ac:dyDescent="0.25">
      <c r="A339" s="422"/>
      <c r="B339" s="625">
        <f t="shared" si="5"/>
        <v>3.3399999999999728</v>
      </c>
      <c r="C339" s="638">
        <f>1/DATI!$E$38*IF(B339&lt;DATI!$E$45,DATI!$E$32*DATI!$E$42*DATI!$E$49*DATI!$E$33*(B339/DATI!$E$45+1/(DATI!$E$49*DATI!$E$33)*(1-B339/DATI!$E$45)),IF(B339&lt;DATI!$E$46,DATI!$E$32*DATI!$E$42*DATI!$E$49*DATI!$E$33,IF(B339&lt;DATI!$E$47,DATI!$E$32*DATI!$E$42*DATI!$E$49*DATI!$E$33*(DATI!$E$46/B339),DATI!$E$32*DATI!$E$42*DATI!$E$49*DATI!$E$33*((DATI!$E$46*DATI!$E$47)/B339^2))))</f>
        <v>0.14109304651445323</v>
      </c>
      <c r="D339" s="300"/>
      <c r="E339" s="422"/>
      <c r="F339" s="422"/>
      <c r="G339" s="422"/>
      <c r="H339" s="422"/>
      <c r="I339" s="422"/>
      <c r="J339" s="422"/>
      <c r="K339" s="422"/>
      <c r="L339" s="422"/>
      <c r="M339" s="422"/>
      <c r="N339" s="422"/>
      <c r="O339" s="422"/>
      <c r="P339" s="422"/>
      <c r="Q339" s="422"/>
      <c r="R339" s="422"/>
      <c r="S339" s="422"/>
    </row>
    <row r="340" spans="1:19" x14ac:dyDescent="0.25">
      <c r="A340" s="422"/>
      <c r="B340" s="625">
        <f t="shared" si="5"/>
        <v>3.3499999999999726</v>
      </c>
      <c r="C340" s="638">
        <f>1/DATI!$E$38*IF(B340&lt;DATI!$E$45,DATI!$E$32*DATI!$E$42*DATI!$E$49*DATI!$E$33*(B340/DATI!$E$45+1/(DATI!$E$49*DATI!$E$33)*(1-B340/DATI!$E$45)),IF(B340&lt;DATI!$E$46,DATI!$E$32*DATI!$E$42*DATI!$E$49*DATI!$E$33,IF(B340&lt;DATI!$E$47,DATI!$E$32*DATI!$E$42*DATI!$E$49*DATI!$E$33*(DATI!$E$46/B340),DATI!$E$32*DATI!$E$42*DATI!$E$49*DATI!$E$33*((DATI!$E$46*DATI!$E$47)/B340^2))))</f>
        <v>0.1402519572017496</v>
      </c>
      <c r="D340" s="300"/>
      <c r="E340" s="422"/>
      <c r="F340" s="422"/>
      <c r="G340" s="422"/>
      <c r="H340" s="422"/>
      <c r="I340" s="422"/>
      <c r="J340" s="422"/>
      <c r="K340" s="422"/>
      <c r="L340" s="422"/>
      <c r="M340" s="422"/>
      <c r="N340" s="422"/>
      <c r="O340" s="422"/>
      <c r="P340" s="422"/>
      <c r="Q340" s="422"/>
      <c r="R340" s="422"/>
      <c r="S340" s="422"/>
    </row>
    <row r="341" spans="1:19" x14ac:dyDescent="0.25">
      <c r="A341" s="422"/>
      <c r="B341" s="625">
        <f t="shared" si="5"/>
        <v>3.3599999999999723</v>
      </c>
      <c r="C341" s="638">
        <f>1/DATI!$E$38*IF(B341&lt;DATI!$E$45,DATI!$E$32*DATI!$E$42*DATI!$E$49*DATI!$E$33*(B341/DATI!$E$45+1/(DATI!$E$49*DATI!$E$33)*(1-B341/DATI!$E$45)),IF(B341&lt;DATI!$E$46,DATI!$E$32*DATI!$E$42*DATI!$E$49*DATI!$E$33,IF(B341&lt;DATI!$E$47,DATI!$E$32*DATI!$E$42*DATI!$E$49*DATI!$E$33*(DATI!$E$46/B341),DATI!$E$32*DATI!$E$42*DATI!$E$49*DATI!$E$33*((DATI!$E$46*DATI!$E$47)/B341^2))))</f>
        <v>0.13941836643429659</v>
      </c>
      <c r="D341" s="300"/>
      <c r="E341" s="422"/>
      <c r="F341" s="422"/>
      <c r="G341" s="422"/>
      <c r="H341" s="422"/>
      <c r="I341" s="422"/>
      <c r="J341" s="422"/>
      <c r="K341" s="422"/>
      <c r="L341" s="422"/>
      <c r="M341" s="422"/>
      <c r="N341" s="422"/>
      <c r="O341" s="422"/>
      <c r="P341" s="422"/>
      <c r="Q341" s="422"/>
      <c r="R341" s="422"/>
      <c r="S341" s="422"/>
    </row>
    <row r="342" spans="1:19" x14ac:dyDescent="0.25">
      <c r="A342" s="422"/>
      <c r="B342" s="625">
        <f t="shared" si="5"/>
        <v>3.3699999999999721</v>
      </c>
      <c r="C342" s="638">
        <f>1/DATI!$E$38*IF(B342&lt;DATI!$E$45,DATI!$E$32*DATI!$E$42*DATI!$E$49*DATI!$E$33*(B342/DATI!$E$45+1/(DATI!$E$49*DATI!$E$33)*(1-B342/DATI!$E$45)),IF(B342&lt;DATI!$E$46,DATI!$E$32*DATI!$E$42*DATI!$E$49*DATI!$E$33,IF(B342&lt;DATI!$E$47,DATI!$E$32*DATI!$E$42*DATI!$E$49*DATI!$E$33*(DATI!$E$46/B342),DATI!$E$32*DATI!$E$42*DATI!$E$49*DATI!$E$33*((DATI!$E$46*DATI!$E$47)/B342^2))))</f>
        <v>0.13859218534077386</v>
      </c>
      <c r="D342" s="300"/>
      <c r="E342" s="422"/>
      <c r="F342" s="422"/>
      <c r="G342" s="422"/>
      <c r="H342" s="422"/>
      <c r="I342" s="422"/>
      <c r="J342" s="422"/>
      <c r="K342" s="422"/>
      <c r="L342" s="422"/>
      <c r="M342" s="422"/>
      <c r="N342" s="422"/>
      <c r="O342" s="422"/>
      <c r="P342" s="422"/>
      <c r="Q342" s="422"/>
      <c r="R342" s="422"/>
      <c r="S342" s="422"/>
    </row>
    <row r="343" spans="1:19" x14ac:dyDescent="0.25">
      <c r="A343" s="422"/>
      <c r="B343" s="625">
        <f t="shared" si="5"/>
        <v>3.3799999999999719</v>
      </c>
      <c r="C343" s="638">
        <f>1/DATI!$E$38*IF(B343&lt;DATI!$E$45,DATI!$E$32*DATI!$E$42*DATI!$E$49*DATI!$E$33*(B343/DATI!$E$45+1/(DATI!$E$49*DATI!$E$33)*(1-B343/DATI!$E$45)),IF(B343&lt;DATI!$E$46,DATI!$E$32*DATI!$E$42*DATI!$E$49*DATI!$E$33,IF(B343&lt;DATI!$E$47,DATI!$E$32*DATI!$E$42*DATI!$E$49*DATI!$E$33*(DATI!$E$46/B343),DATI!$E$32*DATI!$E$42*DATI!$E$49*DATI!$E$33*((DATI!$E$46*DATI!$E$47)/B343^2))))</f>
        <v>0.13777332636257789</v>
      </c>
      <c r="D343" s="300"/>
      <c r="E343" s="422"/>
      <c r="F343" s="422"/>
      <c r="G343" s="422"/>
      <c r="H343" s="422"/>
      <c r="I343" s="422"/>
      <c r="J343" s="422"/>
      <c r="K343" s="422"/>
      <c r="L343" s="422"/>
      <c r="M343" s="422"/>
      <c r="N343" s="422"/>
      <c r="O343" s="422"/>
      <c r="P343" s="422"/>
      <c r="Q343" s="422"/>
      <c r="R343" s="422"/>
      <c r="S343" s="422"/>
    </row>
    <row r="344" spans="1:19" x14ac:dyDescent="0.25">
      <c r="A344" s="422"/>
      <c r="B344" s="625">
        <f t="shared" si="5"/>
        <v>3.3899999999999717</v>
      </c>
      <c r="C344" s="638">
        <f>1/DATI!$E$38*IF(B344&lt;DATI!$E$45,DATI!$E$32*DATI!$E$42*DATI!$E$49*DATI!$E$33*(B344/DATI!$E$45+1/(DATI!$E$49*DATI!$E$33)*(1-B344/DATI!$E$45)),IF(B344&lt;DATI!$E$46,DATI!$E$32*DATI!$E$42*DATI!$E$49*DATI!$E$33,IF(B344&lt;DATI!$E$47,DATI!$E$32*DATI!$E$42*DATI!$E$49*DATI!$E$33*(DATI!$E$46/B344),DATI!$E$32*DATI!$E$42*DATI!$E$49*DATI!$E$33*((DATI!$E$46*DATI!$E$47)/B344^2))))</f>
        <v>0.13696170323062232</v>
      </c>
      <c r="D344" s="300"/>
      <c r="E344" s="422"/>
      <c r="F344" s="422"/>
      <c r="G344" s="422"/>
      <c r="H344" s="422"/>
      <c r="I344" s="422"/>
      <c r="J344" s="422"/>
      <c r="K344" s="422"/>
      <c r="L344" s="422"/>
      <c r="M344" s="422"/>
      <c r="N344" s="422"/>
      <c r="O344" s="422"/>
      <c r="P344" s="422"/>
      <c r="Q344" s="422"/>
      <c r="R344" s="422"/>
      <c r="S344" s="422"/>
    </row>
    <row r="345" spans="1:19" x14ac:dyDescent="0.25">
      <c r="A345" s="422"/>
      <c r="B345" s="625">
        <f t="shared" si="5"/>
        <v>3.3999999999999715</v>
      </c>
      <c r="C345" s="638">
        <f>1/DATI!$E$38*IF(B345&lt;DATI!$E$45,DATI!$E$32*DATI!$E$42*DATI!$E$49*DATI!$E$33*(B345/DATI!$E$45+1/(DATI!$E$49*DATI!$E$33)*(1-B345/DATI!$E$45)),IF(B345&lt;DATI!$E$46,DATI!$E$32*DATI!$E$42*DATI!$E$49*DATI!$E$33,IF(B345&lt;DATI!$E$47,DATI!$E$32*DATI!$E$42*DATI!$E$49*DATI!$E$33*(DATI!$E$46/B345),DATI!$E$32*DATI!$E$42*DATI!$E$49*DATI!$E$33*((DATI!$E$46*DATI!$E$47)/B345^2))))</f>
        <v>0.1361572309426155</v>
      </c>
      <c r="D345" s="300"/>
      <c r="E345" s="422"/>
      <c r="F345" s="422"/>
      <c r="G345" s="422"/>
      <c r="H345" s="422"/>
      <c r="I345" s="422"/>
      <c r="J345" s="422"/>
      <c r="K345" s="422"/>
      <c r="L345" s="422"/>
      <c r="M345" s="422"/>
      <c r="N345" s="422"/>
      <c r="O345" s="422"/>
      <c r="P345" s="422"/>
      <c r="Q345" s="422"/>
      <c r="R345" s="422"/>
      <c r="S345" s="422"/>
    </row>
    <row r="346" spans="1:19" x14ac:dyDescent="0.25">
      <c r="A346" s="422"/>
      <c r="B346" s="625">
        <f t="shared" si="5"/>
        <v>3.4099999999999713</v>
      </c>
      <c r="C346" s="638">
        <f>1/DATI!$E$38*IF(B346&lt;DATI!$E$45,DATI!$E$32*DATI!$E$42*DATI!$E$49*DATI!$E$33*(B346/DATI!$E$45+1/(DATI!$E$49*DATI!$E$33)*(1-B346/DATI!$E$45)),IF(B346&lt;DATI!$E$46,DATI!$E$32*DATI!$E$42*DATI!$E$49*DATI!$E$33,IF(B346&lt;DATI!$E$47,DATI!$E$32*DATI!$E$42*DATI!$E$49*DATI!$E$33*(DATI!$E$46/B346),DATI!$E$32*DATI!$E$42*DATI!$E$49*DATI!$E$33*((DATI!$E$46*DATI!$E$47)/B346^2))))</f>
        <v>0.13535982574080332</v>
      </c>
      <c r="D346" s="300"/>
      <c r="E346" s="422"/>
      <c r="F346" s="422"/>
      <c r="G346" s="422"/>
      <c r="H346" s="422"/>
      <c r="I346" s="422"/>
      <c r="J346" s="422"/>
      <c r="K346" s="422"/>
      <c r="L346" s="422"/>
      <c r="M346" s="422"/>
      <c r="N346" s="422"/>
      <c r="O346" s="422"/>
      <c r="P346" s="422"/>
      <c r="Q346" s="422"/>
      <c r="R346" s="422"/>
      <c r="S346" s="422"/>
    </row>
    <row r="347" spans="1:19" x14ac:dyDescent="0.25">
      <c r="A347" s="422"/>
      <c r="B347" s="625">
        <f t="shared" si="5"/>
        <v>3.4199999999999711</v>
      </c>
      <c r="C347" s="638">
        <f>1/DATI!$E$38*IF(B347&lt;DATI!$E$45,DATI!$E$32*DATI!$E$42*DATI!$E$49*DATI!$E$33*(B347/DATI!$E$45+1/(DATI!$E$49*DATI!$E$33)*(1-B347/DATI!$E$45)),IF(B347&lt;DATI!$E$46,DATI!$E$32*DATI!$E$42*DATI!$E$49*DATI!$E$33,IF(B347&lt;DATI!$E$47,DATI!$E$32*DATI!$E$42*DATI!$E$49*DATI!$E$33*(DATI!$E$46/B347),DATI!$E$32*DATI!$E$42*DATI!$E$49*DATI!$E$33*((DATI!$E$46*DATI!$E$47)/B347^2))))</f>
        <v>0.13456940509016752</v>
      </c>
      <c r="D347" s="300"/>
      <c r="E347" s="422"/>
      <c r="F347" s="422"/>
      <c r="G347" s="422"/>
      <c r="H347" s="422"/>
      <c r="I347" s="422"/>
      <c r="J347" s="422"/>
      <c r="K347" s="422"/>
      <c r="L347" s="422"/>
      <c r="M347" s="422"/>
      <c r="N347" s="422"/>
      <c r="O347" s="422"/>
      <c r="P347" s="422"/>
      <c r="Q347" s="422"/>
      <c r="R347" s="422"/>
      <c r="S347" s="422"/>
    </row>
    <row r="348" spans="1:19" x14ac:dyDescent="0.25">
      <c r="A348" s="422"/>
      <c r="B348" s="625">
        <f t="shared" si="5"/>
        <v>3.4299999999999708</v>
      </c>
      <c r="C348" s="638">
        <f>1/DATI!$E$38*IF(B348&lt;DATI!$E$45,DATI!$E$32*DATI!$E$42*DATI!$E$49*DATI!$E$33*(B348/DATI!$E$45+1/(DATI!$E$49*DATI!$E$33)*(1-B348/DATI!$E$45)),IF(B348&lt;DATI!$E$46,DATI!$E$32*DATI!$E$42*DATI!$E$49*DATI!$E$33,IF(B348&lt;DATI!$E$47,DATI!$E$32*DATI!$E$42*DATI!$E$49*DATI!$E$33*(DATI!$E$46/B348),DATI!$E$32*DATI!$E$42*DATI!$E$49*DATI!$E$33*((DATI!$E$46*DATI!$E$47)/B348^2))))</f>
        <v>0.13378588765706767</v>
      </c>
      <c r="D348" s="300"/>
      <c r="E348" s="422"/>
      <c r="F348" s="422"/>
      <c r="G348" s="422"/>
      <c r="H348" s="422"/>
      <c r="I348" s="422"/>
      <c r="J348" s="422"/>
      <c r="K348" s="422"/>
      <c r="L348" s="422"/>
      <c r="M348" s="422"/>
      <c r="N348" s="422"/>
      <c r="O348" s="422"/>
      <c r="P348" s="422"/>
      <c r="Q348" s="422"/>
      <c r="R348" s="422"/>
      <c r="S348" s="422"/>
    </row>
    <row r="349" spans="1:19" x14ac:dyDescent="0.25">
      <c r="A349" s="422"/>
      <c r="B349" s="625">
        <f t="shared" si="5"/>
        <v>3.4399999999999706</v>
      </c>
      <c r="C349" s="638">
        <f>1/DATI!$E$38*IF(B349&lt;DATI!$E$45,DATI!$E$32*DATI!$E$42*DATI!$E$49*DATI!$E$33*(B349/DATI!$E$45+1/(DATI!$E$49*DATI!$E$33)*(1-B349/DATI!$E$45)),IF(B349&lt;DATI!$E$46,DATI!$E$32*DATI!$E$42*DATI!$E$49*DATI!$E$33,IF(B349&lt;DATI!$E$47,DATI!$E$32*DATI!$E$42*DATI!$E$49*DATI!$E$33*(DATI!$E$46/B349),DATI!$E$32*DATI!$E$42*DATI!$E$49*DATI!$E$33*((DATI!$E$46*DATI!$E$47)/B349^2))))</f>
        <v>0.13300919328831765</v>
      </c>
      <c r="D349" s="300"/>
      <c r="E349" s="422"/>
      <c r="F349" s="422"/>
      <c r="G349" s="422"/>
      <c r="H349" s="422"/>
      <c r="I349" s="422"/>
      <c r="J349" s="422"/>
      <c r="K349" s="422"/>
      <c r="L349" s="422"/>
      <c r="M349" s="422"/>
      <c r="N349" s="422"/>
      <c r="O349" s="422"/>
      <c r="P349" s="422"/>
      <c r="Q349" s="422"/>
      <c r="R349" s="422"/>
      <c r="S349" s="422"/>
    </row>
    <row r="350" spans="1:19" x14ac:dyDescent="0.25">
      <c r="A350" s="422"/>
      <c r="B350" s="625">
        <f t="shared" si="5"/>
        <v>3.4499999999999704</v>
      </c>
      <c r="C350" s="638">
        <f>1/DATI!$E$38*IF(B350&lt;DATI!$E$45,DATI!$E$32*DATI!$E$42*DATI!$E$49*DATI!$E$33*(B350/DATI!$E$45+1/(DATI!$E$49*DATI!$E$33)*(1-B350/DATI!$E$45)),IF(B350&lt;DATI!$E$46,DATI!$E$32*DATI!$E$42*DATI!$E$49*DATI!$E$33,IF(B350&lt;DATI!$E$47,DATI!$E$32*DATI!$E$42*DATI!$E$49*DATI!$E$33*(DATI!$E$46/B350),DATI!$E$32*DATI!$E$42*DATI!$E$49*DATI!$E$33*((DATI!$E$46*DATI!$E$47)/B350^2))))</f>
        <v>0.13223924299068562</v>
      </c>
      <c r="D350" s="300"/>
      <c r="E350" s="422"/>
      <c r="F350" s="422"/>
      <c r="G350" s="422"/>
      <c r="H350" s="422"/>
      <c r="I350" s="422"/>
      <c r="J350" s="422"/>
      <c r="K350" s="422"/>
      <c r="L350" s="422"/>
      <c r="M350" s="422"/>
      <c r="N350" s="422"/>
      <c r="O350" s="422"/>
      <c r="P350" s="422"/>
      <c r="Q350" s="422"/>
      <c r="R350" s="422"/>
      <c r="S350" s="422"/>
    </row>
    <row r="351" spans="1:19" x14ac:dyDescent="0.25">
      <c r="A351" s="422"/>
      <c r="B351" s="625">
        <f t="shared" si="5"/>
        <v>3.4599999999999702</v>
      </c>
      <c r="C351" s="638">
        <f>1/DATI!$E$38*IF(B351&lt;DATI!$E$45,DATI!$E$32*DATI!$E$42*DATI!$E$49*DATI!$E$33*(B351/DATI!$E$45+1/(DATI!$E$49*DATI!$E$33)*(1-B351/DATI!$E$45)),IF(B351&lt;DATI!$E$46,DATI!$E$32*DATI!$E$42*DATI!$E$49*DATI!$E$33,IF(B351&lt;DATI!$E$47,DATI!$E$32*DATI!$E$42*DATI!$E$49*DATI!$E$33*(DATI!$E$46/B351),DATI!$E$32*DATI!$E$42*DATI!$E$49*DATI!$E$33*((DATI!$E$46*DATI!$E$47)/B351^2))))</f>
        <v>0.13147595891080854</v>
      </c>
      <c r="D351" s="300"/>
      <c r="E351" s="422"/>
      <c r="F351" s="422"/>
      <c r="G351" s="422"/>
      <c r="H351" s="422"/>
      <c r="I351" s="422"/>
      <c r="J351" s="422"/>
      <c r="K351" s="422"/>
      <c r="L351" s="422"/>
      <c r="M351" s="422"/>
      <c r="N351" s="422"/>
      <c r="O351" s="422"/>
      <c r="P351" s="422"/>
      <c r="Q351" s="422"/>
      <c r="R351" s="422"/>
      <c r="S351" s="422"/>
    </row>
    <row r="352" spans="1:19" x14ac:dyDescent="0.25">
      <c r="A352" s="422"/>
      <c r="B352" s="625">
        <f t="shared" si="5"/>
        <v>3.46999999999997</v>
      </c>
      <c r="C352" s="638">
        <f>1/DATI!$E$38*IF(B352&lt;DATI!$E$45,DATI!$E$32*DATI!$E$42*DATI!$E$49*DATI!$E$33*(B352/DATI!$E$45+1/(DATI!$E$49*DATI!$E$33)*(1-B352/DATI!$E$45)),IF(B352&lt;DATI!$E$46,DATI!$E$32*DATI!$E$42*DATI!$E$49*DATI!$E$33,IF(B352&lt;DATI!$E$47,DATI!$E$32*DATI!$E$42*DATI!$E$49*DATI!$E$33*(DATI!$E$46/B352),DATI!$E$32*DATI!$E$42*DATI!$E$49*DATI!$E$33*((DATI!$E$46*DATI!$E$47)/B352^2))))</f>
        <v>0.13071926431551098</v>
      </c>
      <c r="D352" s="300"/>
      <c r="E352" s="422"/>
      <c r="F352" s="422"/>
      <c r="G352" s="422"/>
      <c r="H352" s="422"/>
      <c r="I352" s="422"/>
      <c r="J352" s="422"/>
      <c r="K352" s="422"/>
      <c r="L352" s="422"/>
      <c r="M352" s="422"/>
      <c r="N352" s="422"/>
      <c r="O352" s="422"/>
      <c r="P352" s="422"/>
      <c r="Q352" s="422"/>
      <c r="R352" s="422"/>
      <c r="S352" s="422"/>
    </row>
    <row r="353" spans="1:19" x14ac:dyDescent="0.25">
      <c r="A353" s="422"/>
      <c r="B353" s="625">
        <f t="shared" si="5"/>
        <v>3.4799999999999698</v>
      </c>
      <c r="C353" s="638">
        <f>1/DATI!$E$38*IF(B353&lt;DATI!$E$45,DATI!$E$32*DATI!$E$42*DATI!$E$49*DATI!$E$33*(B353/DATI!$E$45+1/(DATI!$E$49*DATI!$E$33)*(1-B353/DATI!$E$45)),IF(B353&lt;DATI!$E$46,DATI!$E$32*DATI!$E$42*DATI!$E$49*DATI!$E$33,IF(B353&lt;DATI!$E$47,DATI!$E$32*DATI!$E$42*DATI!$E$49*DATI!$E$33*(DATI!$E$46/B353),DATI!$E$32*DATI!$E$42*DATI!$E$49*DATI!$E$33*((DATI!$E$46*DATI!$E$47)/B353^2))))</f>
        <v>0.12996908357251916</v>
      </c>
      <c r="D353" s="300"/>
      <c r="E353" s="422"/>
      <c r="F353" s="422"/>
      <c r="G353" s="422"/>
      <c r="H353" s="422"/>
      <c r="I353" s="422"/>
      <c r="J353" s="422"/>
      <c r="K353" s="422"/>
      <c r="L353" s="422"/>
      <c r="M353" s="422"/>
      <c r="N353" s="422"/>
      <c r="O353" s="422"/>
      <c r="P353" s="422"/>
      <c r="Q353" s="422"/>
      <c r="R353" s="422"/>
      <c r="S353" s="422"/>
    </row>
    <row r="354" spans="1:19" x14ac:dyDescent="0.25">
      <c r="A354" s="422"/>
      <c r="B354" s="625">
        <f t="shared" si="5"/>
        <v>3.4899999999999696</v>
      </c>
      <c r="C354" s="638">
        <f>1/DATI!$E$38*IF(B354&lt;DATI!$E$45,DATI!$E$32*DATI!$E$42*DATI!$E$49*DATI!$E$33*(B354/DATI!$E$45+1/(DATI!$E$49*DATI!$E$33)*(1-B354/DATI!$E$45)),IF(B354&lt;DATI!$E$46,DATI!$E$32*DATI!$E$42*DATI!$E$49*DATI!$E$33,IF(B354&lt;DATI!$E$47,DATI!$E$32*DATI!$E$42*DATI!$E$49*DATI!$E$33*(DATI!$E$46/B354),DATI!$E$32*DATI!$E$42*DATI!$E$49*DATI!$E$33*((DATI!$E$46*DATI!$E$47)/B354^2))))</f>
        <v>0.12922534213156181</v>
      </c>
      <c r="D354" s="300"/>
      <c r="E354" s="422"/>
      <c r="F354" s="422"/>
      <c r="G354" s="422"/>
      <c r="H354" s="422"/>
      <c r="I354" s="422"/>
      <c r="J354" s="422"/>
      <c r="K354" s="422"/>
      <c r="L354" s="422"/>
      <c r="M354" s="422"/>
      <c r="N354" s="422"/>
      <c r="O354" s="422"/>
      <c r="P354" s="422"/>
      <c r="Q354" s="422"/>
      <c r="R354" s="422"/>
      <c r="S354" s="422"/>
    </row>
    <row r="355" spans="1:19" x14ac:dyDescent="0.25">
      <c r="A355" s="422"/>
      <c r="B355" s="625">
        <f t="shared" si="5"/>
        <v>3.4999999999999694</v>
      </c>
      <c r="C355" s="638">
        <f>1/DATI!$E$38*IF(B355&lt;DATI!$E$45,DATI!$E$32*DATI!$E$42*DATI!$E$49*DATI!$E$33*(B355/DATI!$E$45+1/(DATI!$E$49*DATI!$E$33)*(1-B355/DATI!$E$45)),IF(B355&lt;DATI!$E$46,DATI!$E$32*DATI!$E$42*DATI!$E$49*DATI!$E$33,IF(B355&lt;DATI!$E$47,DATI!$E$32*DATI!$E$42*DATI!$E$49*DATI!$E$33*(DATI!$E$46/B355),DATI!$E$32*DATI!$E$42*DATI!$E$49*DATI!$E$33*((DATI!$E$46*DATI!$E$47)/B355^2))))</f>
        <v>0.12848796650584787</v>
      </c>
      <c r="D355" s="300"/>
      <c r="E355" s="422"/>
      <c r="F355" s="422"/>
      <c r="G355" s="422"/>
      <c r="H355" s="422"/>
      <c r="I355" s="422"/>
      <c r="J355" s="422"/>
      <c r="K355" s="422"/>
      <c r="L355" s="422"/>
      <c r="M355" s="422"/>
      <c r="N355" s="422"/>
      <c r="O355" s="422"/>
      <c r="P355" s="422"/>
      <c r="Q355" s="422"/>
      <c r="R355" s="422"/>
      <c r="S355" s="422"/>
    </row>
    <row r="356" spans="1:19" x14ac:dyDescent="0.25">
      <c r="A356" s="422"/>
      <c r="B356" s="625">
        <f t="shared" si="5"/>
        <v>3.5099999999999691</v>
      </c>
      <c r="C356" s="638">
        <f>1/DATI!$E$38*IF(B356&lt;DATI!$E$45,DATI!$E$32*DATI!$E$42*DATI!$E$49*DATI!$E$33*(B356/DATI!$E$45+1/(DATI!$E$49*DATI!$E$33)*(1-B356/DATI!$E$45)),IF(B356&lt;DATI!$E$46,DATI!$E$32*DATI!$E$42*DATI!$E$49*DATI!$E$33,IF(B356&lt;DATI!$E$47,DATI!$E$32*DATI!$E$42*DATI!$E$49*DATI!$E$33*(DATI!$E$46/B356),DATI!$E$32*DATI!$E$42*DATI!$E$49*DATI!$E$33*((DATI!$E$46*DATI!$E$47)/B356^2))))</f>
        <v>0.12775688425391321</v>
      </c>
      <c r="D356" s="300"/>
      <c r="E356" s="422"/>
      <c r="F356" s="422"/>
      <c r="G356" s="422"/>
      <c r="H356" s="422"/>
      <c r="I356" s="422"/>
      <c r="J356" s="422"/>
      <c r="K356" s="422"/>
      <c r="L356" s="422"/>
      <c r="M356" s="422"/>
      <c r="N356" s="422"/>
      <c r="O356" s="422"/>
      <c r="P356" s="422"/>
      <c r="Q356" s="422"/>
      <c r="R356" s="422"/>
      <c r="S356" s="422"/>
    </row>
    <row r="357" spans="1:19" x14ac:dyDescent="0.25">
      <c r="A357" s="422"/>
      <c r="B357" s="625">
        <f t="shared" si="5"/>
        <v>3.5199999999999689</v>
      </c>
      <c r="C357" s="638">
        <f>1/DATI!$E$38*IF(B357&lt;DATI!$E$45,DATI!$E$32*DATI!$E$42*DATI!$E$49*DATI!$E$33*(B357/DATI!$E$45+1/(DATI!$E$49*DATI!$E$33)*(1-B357/DATI!$E$45)),IF(B357&lt;DATI!$E$46,DATI!$E$32*DATI!$E$42*DATI!$E$49*DATI!$E$33,IF(B357&lt;DATI!$E$47,DATI!$E$32*DATI!$E$42*DATI!$E$49*DATI!$E$33*(DATI!$E$46/B357),DATI!$E$32*DATI!$E$42*DATI!$E$49*DATI!$E$33*((DATI!$E$46*DATI!$E$47)/B357^2))))</f>
        <v>0.12703202396182825</v>
      </c>
      <c r="D357" s="300"/>
      <c r="E357" s="422"/>
      <c r="F357" s="422"/>
      <c r="G357" s="422"/>
      <c r="H357" s="422"/>
      <c r="I357" s="422"/>
      <c r="J357" s="422"/>
      <c r="K357" s="422"/>
      <c r="L357" s="422"/>
      <c r="M357" s="422"/>
      <c r="N357" s="422"/>
      <c r="O357" s="422"/>
      <c r="P357" s="422"/>
      <c r="Q357" s="422"/>
      <c r="R357" s="422"/>
      <c r="S357" s="422"/>
    </row>
    <row r="358" spans="1:19" x14ac:dyDescent="0.25">
      <c r="A358" s="422"/>
      <c r="B358" s="625">
        <f t="shared" si="5"/>
        <v>3.5299999999999687</v>
      </c>
      <c r="C358" s="638">
        <f>1/DATI!$E$38*IF(B358&lt;DATI!$E$45,DATI!$E$32*DATI!$E$42*DATI!$E$49*DATI!$E$33*(B358/DATI!$E$45+1/(DATI!$E$49*DATI!$E$33)*(1-B358/DATI!$E$45)),IF(B358&lt;DATI!$E$46,DATI!$E$32*DATI!$E$42*DATI!$E$49*DATI!$E$33,IF(B358&lt;DATI!$E$47,DATI!$E$32*DATI!$E$42*DATI!$E$49*DATI!$E$33*(DATI!$E$46/B358),DATI!$E$32*DATI!$E$42*DATI!$E$49*DATI!$E$33*((DATI!$E$46*DATI!$E$47)/B358^2))))</f>
        <v>0.12631331522575712</v>
      </c>
      <c r="D358" s="300"/>
      <c r="E358" s="422"/>
      <c r="F358" s="422"/>
      <c r="G358" s="422"/>
      <c r="H358" s="422"/>
      <c r="I358" s="422"/>
      <c r="J358" s="422"/>
      <c r="K358" s="422"/>
      <c r="L358" s="422"/>
      <c r="M358" s="422"/>
      <c r="N358" s="422"/>
      <c r="O358" s="422"/>
      <c r="P358" s="422"/>
      <c r="Q358" s="422"/>
      <c r="R358" s="422"/>
      <c r="S358" s="422"/>
    </row>
    <row r="359" spans="1:19" x14ac:dyDescent="0.25">
      <c r="A359" s="422"/>
      <c r="B359" s="625">
        <f t="shared" si="5"/>
        <v>3.5399999999999685</v>
      </c>
      <c r="C359" s="638">
        <f>1/DATI!$E$38*IF(B359&lt;DATI!$E$45,DATI!$E$32*DATI!$E$42*DATI!$E$49*DATI!$E$33*(B359/DATI!$E$45+1/(DATI!$E$49*DATI!$E$33)*(1-B359/DATI!$E$45)),IF(B359&lt;DATI!$E$46,DATI!$E$32*DATI!$E$42*DATI!$E$49*DATI!$E$33,IF(B359&lt;DATI!$E$47,DATI!$E$32*DATI!$E$42*DATI!$E$49*DATI!$E$33*(DATI!$E$46/B359),DATI!$E$32*DATI!$E$42*DATI!$E$49*DATI!$E$33*((DATI!$E$46*DATI!$E$47)/B359^2))))</f>
        <v>0.12560068863486201</v>
      </c>
      <c r="D359" s="300"/>
      <c r="E359" s="422"/>
      <c r="F359" s="422"/>
      <c r="G359" s="422"/>
      <c r="H359" s="422"/>
      <c r="I359" s="422"/>
      <c r="J359" s="422"/>
      <c r="K359" s="422"/>
      <c r="L359" s="422"/>
      <c r="M359" s="422"/>
      <c r="N359" s="422"/>
      <c r="O359" s="422"/>
      <c r="P359" s="422"/>
      <c r="Q359" s="422"/>
      <c r="R359" s="422"/>
      <c r="S359" s="422"/>
    </row>
    <row r="360" spans="1:19" x14ac:dyDescent="0.25">
      <c r="A360" s="422"/>
      <c r="B360" s="625">
        <f t="shared" si="5"/>
        <v>3.5499999999999683</v>
      </c>
      <c r="C360" s="638">
        <f>1/DATI!$E$38*IF(B360&lt;DATI!$E$45,DATI!$E$32*DATI!$E$42*DATI!$E$49*DATI!$E$33*(B360/DATI!$E$45+1/(DATI!$E$49*DATI!$E$33)*(1-B360/DATI!$E$45)),IF(B360&lt;DATI!$E$46,DATI!$E$32*DATI!$E$42*DATI!$E$49*DATI!$E$33,IF(B360&lt;DATI!$E$47,DATI!$E$32*DATI!$E$42*DATI!$E$49*DATI!$E$33*(DATI!$E$46/B360),DATI!$E$32*DATI!$E$42*DATI!$E$49*DATI!$E$33*((DATI!$E$46*DATI!$E$47)/B360^2))))</f>
        <v>0.1248940757545437</v>
      </c>
      <c r="D360" s="300"/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2"/>
      <c r="Q360" s="422"/>
      <c r="R360" s="422"/>
      <c r="S360" s="422"/>
    </row>
    <row r="361" spans="1:19" x14ac:dyDescent="0.25">
      <c r="A361" s="422"/>
      <c r="B361" s="625">
        <f t="shared" si="5"/>
        <v>3.5599999999999681</v>
      </c>
      <c r="C361" s="638">
        <f>1/DATI!$E$38*IF(B361&lt;DATI!$E$45,DATI!$E$32*DATI!$E$42*DATI!$E$49*DATI!$E$33*(B361/DATI!$E$45+1/(DATI!$E$49*DATI!$E$33)*(1-B361/DATI!$E$45)),IF(B361&lt;DATI!$E$46,DATI!$E$32*DATI!$E$42*DATI!$E$49*DATI!$E$33,IF(B361&lt;DATI!$E$47,DATI!$E$32*DATI!$E$42*DATI!$E$49*DATI!$E$33*(DATI!$E$46/B361),DATI!$E$32*DATI!$E$42*DATI!$E$49*DATI!$E$33*((DATI!$E$46*DATI!$E$47)/B361^2))))</f>
        <v>0.12419340911001113</v>
      </c>
      <c r="D361" s="300"/>
      <c r="E361" s="422"/>
      <c r="F361" s="422"/>
      <c r="G361" s="422"/>
      <c r="H361" s="422"/>
      <c r="I361" s="422"/>
      <c r="J361" s="422"/>
      <c r="K361" s="422"/>
      <c r="L361" s="422"/>
      <c r="M361" s="422"/>
      <c r="N361" s="422"/>
      <c r="O361" s="422"/>
      <c r="P361" s="422"/>
      <c r="Q361" s="422"/>
      <c r="R361" s="422"/>
      <c r="S361" s="422"/>
    </row>
    <row r="362" spans="1:19" x14ac:dyDescent="0.25">
      <c r="A362" s="422"/>
      <c r="B362" s="625">
        <f t="shared" si="5"/>
        <v>3.5699999999999679</v>
      </c>
      <c r="C362" s="638">
        <f>1/DATI!$E$38*IF(B362&lt;DATI!$E$45,DATI!$E$32*DATI!$E$42*DATI!$E$49*DATI!$E$33*(B362/DATI!$E$45+1/(DATI!$E$49*DATI!$E$33)*(1-B362/DATI!$E$45)),IF(B362&lt;DATI!$E$46,DATI!$E$32*DATI!$E$42*DATI!$E$49*DATI!$E$33,IF(B362&lt;DATI!$E$47,DATI!$E$32*DATI!$E$42*DATI!$E$49*DATI!$E$33*(DATI!$E$46/B362),DATI!$E$32*DATI!$E$42*DATI!$E$49*DATI!$E$33*((DATI!$E$46*DATI!$E$47)/B362^2))))</f>
        <v>0.12349862217017292</v>
      </c>
      <c r="D362" s="300"/>
      <c r="E362" s="422"/>
      <c r="F362" s="422"/>
      <c r="G362" s="422"/>
      <c r="H362" s="422"/>
      <c r="I362" s="422"/>
      <c r="J362" s="422"/>
      <c r="K362" s="422"/>
      <c r="L362" s="422"/>
      <c r="M362" s="422"/>
      <c r="N362" s="422"/>
      <c r="O362" s="422"/>
      <c r="P362" s="422"/>
      <c r="Q362" s="422"/>
      <c r="R362" s="422"/>
      <c r="S362" s="422"/>
    </row>
    <row r="363" spans="1:19" x14ac:dyDescent="0.25">
      <c r="A363" s="422"/>
      <c r="B363" s="625">
        <f t="shared" si="5"/>
        <v>3.5799999999999677</v>
      </c>
      <c r="C363" s="638">
        <f>1/DATI!$E$38*IF(B363&lt;DATI!$E$45,DATI!$E$32*DATI!$E$42*DATI!$E$49*DATI!$E$33*(B363/DATI!$E$45+1/(DATI!$E$49*DATI!$E$33)*(1-B363/DATI!$E$45)),IF(B363&lt;DATI!$E$46,DATI!$E$32*DATI!$E$42*DATI!$E$49*DATI!$E$33,IF(B363&lt;DATI!$E$47,DATI!$E$32*DATI!$E$42*DATI!$E$49*DATI!$E$33*(DATI!$E$46/B363),DATI!$E$32*DATI!$E$42*DATI!$E$49*DATI!$E$33*((DATI!$E$46*DATI!$E$47)/B363^2))))</f>
        <v>0.12280964933184337</v>
      </c>
      <c r="D363" s="300"/>
      <c r="E363" s="422"/>
      <c r="F363" s="422"/>
      <c r="G363" s="422"/>
      <c r="H363" s="422"/>
      <c r="I363" s="422"/>
      <c r="J363" s="422"/>
      <c r="K363" s="422"/>
      <c r="L363" s="422"/>
      <c r="M363" s="422"/>
      <c r="N363" s="422"/>
      <c r="O363" s="422"/>
      <c r="P363" s="422"/>
      <c r="Q363" s="422"/>
      <c r="R363" s="422"/>
      <c r="S363" s="422"/>
    </row>
    <row r="364" spans="1:19" x14ac:dyDescent="0.25">
      <c r="A364" s="422"/>
      <c r="B364" s="625">
        <f t="shared" si="5"/>
        <v>3.5899999999999674</v>
      </c>
      <c r="C364" s="638">
        <f>1/DATI!$E$38*IF(B364&lt;DATI!$E$45,DATI!$E$32*DATI!$E$42*DATI!$E$49*DATI!$E$33*(B364/DATI!$E$45+1/(DATI!$E$49*DATI!$E$33)*(1-B364/DATI!$E$45)),IF(B364&lt;DATI!$E$46,DATI!$E$32*DATI!$E$42*DATI!$E$49*DATI!$E$33,IF(B364&lt;DATI!$E$47,DATI!$E$32*DATI!$E$42*DATI!$E$49*DATI!$E$33*(DATI!$E$46/B364),DATI!$E$32*DATI!$E$42*DATI!$E$49*DATI!$E$33*((DATI!$E$46*DATI!$E$47)/B364^2))))</f>
        <v>0.12212642590425565</v>
      </c>
      <c r="D364" s="300"/>
      <c r="E364" s="422"/>
      <c r="F364" s="422"/>
      <c r="G364" s="422"/>
      <c r="H364" s="422"/>
      <c r="I364" s="422"/>
      <c r="J364" s="422"/>
      <c r="K364" s="422"/>
      <c r="L364" s="422"/>
      <c r="M364" s="422"/>
      <c r="N364" s="422"/>
      <c r="O364" s="422"/>
      <c r="P364" s="422"/>
      <c r="Q364" s="422"/>
      <c r="R364" s="422"/>
      <c r="S364" s="422"/>
    </row>
    <row r="365" spans="1:19" x14ac:dyDescent="0.25">
      <c r="A365" s="422"/>
      <c r="B365" s="625">
        <f t="shared" si="5"/>
        <v>3.5999999999999672</v>
      </c>
      <c r="C365" s="638">
        <f>1/DATI!$E$38*IF(B365&lt;DATI!$E$45,DATI!$E$32*DATI!$E$42*DATI!$E$49*DATI!$E$33*(B365/DATI!$E$45+1/(DATI!$E$49*DATI!$E$33)*(1-B365/DATI!$E$45)),IF(B365&lt;DATI!$E$46,DATI!$E$32*DATI!$E$42*DATI!$E$49*DATI!$E$33,IF(B365&lt;DATI!$E$47,DATI!$E$32*DATI!$E$42*DATI!$E$49*DATI!$E$33*(DATI!$E$46/B365),DATI!$E$32*DATI!$E$42*DATI!$E$49*DATI!$E$33*((DATI!$E$46*DATI!$E$47)/B365^2))))</f>
        <v>0.12144888809387633</v>
      </c>
      <c r="D365" s="300"/>
      <c r="E365" s="422"/>
      <c r="F365" s="422"/>
      <c r="G365" s="422"/>
      <c r="H365" s="422"/>
      <c r="I365" s="422"/>
      <c r="J365" s="422"/>
      <c r="K365" s="422"/>
      <c r="L365" s="422"/>
      <c r="M365" s="422"/>
      <c r="N365" s="422"/>
      <c r="O365" s="422"/>
      <c r="P365" s="422"/>
      <c r="Q365" s="422"/>
      <c r="R365" s="422"/>
      <c r="S365" s="422"/>
    </row>
    <row r="366" spans="1:19" x14ac:dyDescent="0.25">
      <c r="A366" s="422"/>
      <c r="B366" s="625">
        <f t="shared" si="5"/>
        <v>3.609999999999967</v>
      </c>
      <c r="C366" s="638">
        <f>1/DATI!$E$38*IF(B366&lt;DATI!$E$45,DATI!$E$32*DATI!$E$42*DATI!$E$49*DATI!$E$33*(B366/DATI!$E$45+1/(DATI!$E$49*DATI!$E$33)*(1-B366/DATI!$E$45)),IF(B366&lt;DATI!$E$46,DATI!$E$32*DATI!$E$42*DATI!$E$49*DATI!$E$33,IF(B366&lt;DATI!$E$47,DATI!$E$32*DATI!$E$42*DATI!$E$49*DATI!$E$33*(DATI!$E$46/B366),DATI!$E$32*DATI!$E$42*DATI!$E$49*DATI!$E$33*((DATI!$E$46*DATI!$E$47)/B366^2))))</f>
        <v>0.1207769729895134</v>
      </c>
      <c r="D366" s="300"/>
      <c r="E366" s="422"/>
      <c r="F366" s="422"/>
      <c r="G366" s="422"/>
      <c r="H366" s="422"/>
      <c r="I366" s="422"/>
      <c r="J366" s="422"/>
      <c r="K366" s="422"/>
      <c r="L366" s="422"/>
      <c r="M366" s="422"/>
      <c r="N366" s="422"/>
      <c r="O366" s="422"/>
      <c r="P366" s="422"/>
      <c r="Q366" s="422"/>
      <c r="R366" s="422"/>
      <c r="S366" s="422"/>
    </row>
    <row r="367" spans="1:19" x14ac:dyDescent="0.25">
      <c r="A367" s="422"/>
      <c r="B367" s="625">
        <f t="shared" si="5"/>
        <v>3.6199999999999668</v>
      </c>
      <c r="C367" s="638">
        <f>1/DATI!$E$38*IF(B367&lt;DATI!$E$45,DATI!$E$32*DATI!$E$42*DATI!$E$49*DATI!$E$33*(B367/DATI!$E$45+1/(DATI!$E$49*DATI!$E$33)*(1-B367/DATI!$E$45)),IF(B367&lt;DATI!$E$46,DATI!$E$32*DATI!$E$42*DATI!$E$49*DATI!$E$33,IF(B367&lt;DATI!$E$47,DATI!$E$32*DATI!$E$42*DATI!$E$49*DATI!$E$33*(DATI!$E$46/B367),DATI!$E$32*DATI!$E$42*DATI!$E$49*DATI!$E$33*((DATI!$E$46*DATI!$E$47)/B367^2))))</f>
        <v>0.12011061854771204</v>
      </c>
      <c r="D367" s="300"/>
      <c r="E367" s="422"/>
      <c r="F367" s="422"/>
      <c r="G367" s="422"/>
      <c r="H367" s="422"/>
      <c r="I367" s="422"/>
      <c r="J367" s="422"/>
      <c r="K367" s="422"/>
      <c r="L367" s="422"/>
      <c r="M367" s="422"/>
      <c r="N367" s="422"/>
      <c r="O367" s="422"/>
      <c r="P367" s="422"/>
      <c r="Q367" s="422"/>
      <c r="R367" s="422"/>
      <c r="S367" s="422"/>
    </row>
    <row r="368" spans="1:19" x14ac:dyDescent="0.25">
      <c r="A368" s="422"/>
      <c r="B368" s="625">
        <f t="shared" si="5"/>
        <v>3.6299999999999666</v>
      </c>
      <c r="C368" s="638">
        <f>1/DATI!$E$38*IF(B368&lt;DATI!$E$45,DATI!$E$32*DATI!$E$42*DATI!$E$49*DATI!$E$33*(B368/DATI!$E$45+1/(DATI!$E$49*DATI!$E$33)*(1-B368/DATI!$E$45)),IF(B368&lt;DATI!$E$46,DATI!$E$32*DATI!$E$42*DATI!$E$49*DATI!$E$33,IF(B368&lt;DATI!$E$47,DATI!$E$32*DATI!$E$42*DATI!$E$49*DATI!$E$33*(DATI!$E$46/B368),DATI!$E$32*DATI!$E$42*DATI!$E$49*DATI!$E$33*((DATI!$E$46*DATI!$E$47)/B368^2))))</f>
        <v>0.11944976357843176</v>
      </c>
      <c r="D368" s="300"/>
      <c r="E368" s="422"/>
      <c r="F368" s="422"/>
      <c r="G368" s="422"/>
      <c r="H368" s="422"/>
      <c r="I368" s="422"/>
      <c r="J368" s="422"/>
      <c r="K368" s="422"/>
      <c r="L368" s="422"/>
      <c r="M368" s="422"/>
      <c r="N368" s="422"/>
      <c r="O368" s="422"/>
      <c r="P368" s="422"/>
      <c r="Q368" s="422"/>
      <c r="R368" s="422"/>
      <c r="S368" s="422"/>
    </row>
    <row r="369" spans="1:19" x14ac:dyDescent="0.25">
      <c r="A369" s="422"/>
      <c r="B369" s="625">
        <f t="shared" si="5"/>
        <v>3.6399999999999664</v>
      </c>
      <c r="C369" s="638">
        <f>1/DATI!$E$38*IF(B369&lt;DATI!$E$45,DATI!$E$32*DATI!$E$42*DATI!$E$49*DATI!$E$33*(B369/DATI!$E$45+1/(DATI!$E$49*DATI!$E$33)*(1-B369/DATI!$E$45)),IF(B369&lt;DATI!$E$46,DATI!$E$32*DATI!$E$42*DATI!$E$49*DATI!$E$33,IF(B369&lt;DATI!$E$47,DATI!$E$32*DATI!$E$42*DATI!$E$49*DATI!$E$33*(DATI!$E$46/B369),DATI!$E$32*DATI!$E$42*DATI!$E$49*DATI!$E$33*((DATI!$E$46*DATI!$E$47)/B369^2))))</f>
        <v>0.11879434773099849</v>
      </c>
      <c r="D369" s="300"/>
      <c r="E369" s="422"/>
      <c r="F369" s="422"/>
      <c r="G369" s="422"/>
      <c r="H369" s="422"/>
      <c r="I369" s="422"/>
      <c r="J369" s="422"/>
      <c r="K369" s="422"/>
      <c r="L369" s="422"/>
      <c r="M369" s="422"/>
      <c r="N369" s="422"/>
      <c r="O369" s="422"/>
      <c r="P369" s="422"/>
      <c r="Q369" s="422"/>
      <c r="R369" s="422"/>
      <c r="S369" s="422"/>
    </row>
    <row r="370" spans="1:19" x14ac:dyDescent="0.25">
      <c r="A370" s="422"/>
      <c r="B370" s="625">
        <f t="shared" si="5"/>
        <v>3.6499999999999662</v>
      </c>
      <c r="C370" s="638">
        <f>1/DATI!$E$38*IF(B370&lt;DATI!$E$45,DATI!$E$32*DATI!$E$42*DATI!$E$49*DATI!$E$33*(B370/DATI!$E$45+1/(DATI!$E$49*DATI!$E$33)*(1-B370/DATI!$E$45)),IF(B370&lt;DATI!$E$46,DATI!$E$32*DATI!$E$42*DATI!$E$49*DATI!$E$33,IF(B370&lt;DATI!$E$47,DATI!$E$32*DATI!$E$42*DATI!$E$49*DATI!$E$33*(DATI!$E$46/B370),DATI!$E$32*DATI!$E$42*DATI!$E$49*DATI!$E$33*((DATI!$E$46*DATI!$E$47)/B370^2))))</f>
        <v>0.1181443114803256</v>
      </c>
      <c r="D370" s="300"/>
      <c r="E370" s="422"/>
      <c r="F370" s="422"/>
      <c r="G370" s="422"/>
      <c r="H370" s="422"/>
      <c r="I370" s="422"/>
      <c r="J370" s="422"/>
      <c r="K370" s="422"/>
      <c r="L370" s="422"/>
      <c r="M370" s="422"/>
      <c r="N370" s="422"/>
      <c r="O370" s="422"/>
      <c r="P370" s="422"/>
      <c r="Q370" s="422"/>
      <c r="R370" s="422"/>
      <c r="S370" s="422"/>
    </row>
    <row r="371" spans="1:19" x14ac:dyDescent="0.25">
      <c r="A371" s="422"/>
      <c r="B371" s="625">
        <f t="shared" si="5"/>
        <v>3.6599999999999659</v>
      </c>
      <c r="C371" s="638">
        <f>1/DATI!$E$38*IF(B371&lt;DATI!$E$45,DATI!$E$32*DATI!$E$42*DATI!$E$49*DATI!$E$33*(B371/DATI!$E$45+1/(DATI!$E$49*DATI!$E$33)*(1-B371/DATI!$E$45)),IF(B371&lt;DATI!$E$46,DATI!$E$32*DATI!$E$42*DATI!$E$49*DATI!$E$33,IF(B371&lt;DATI!$E$47,DATI!$E$32*DATI!$E$42*DATI!$E$49*DATI!$E$33*(DATI!$E$46/B371),DATI!$E$32*DATI!$E$42*DATI!$E$49*DATI!$E$33*((DATI!$E$46*DATI!$E$47)/B371^2))))</f>
        <v>0.11749959611339827</v>
      </c>
      <c r="D371" s="300"/>
      <c r="E371" s="422"/>
      <c r="F371" s="422"/>
      <c r="G371" s="422"/>
      <c r="H371" s="422"/>
      <c r="I371" s="422"/>
      <c r="J371" s="422"/>
      <c r="K371" s="422"/>
      <c r="L371" s="422"/>
      <c r="M371" s="422"/>
      <c r="N371" s="422"/>
      <c r="O371" s="422"/>
      <c r="P371" s="422"/>
      <c r="Q371" s="422"/>
      <c r="R371" s="422"/>
      <c r="S371" s="422"/>
    </row>
    <row r="372" spans="1:19" x14ac:dyDescent="0.25">
      <c r="A372" s="422"/>
      <c r="B372" s="625">
        <f t="shared" si="5"/>
        <v>3.6699999999999657</v>
      </c>
      <c r="C372" s="638">
        <f>1/DATI!$E$38*IF(B372&lt;DATI!$E$45,DATI!$E$32*DATI!$E$42*DATI!$E$49*DATI!$E$33*(B372/DATI!$E$45+1/(DATI!$E$49*DATI!$E$33)*(1-B372/DATI!$E$45)),IF(B372&lt;DATI!$E$46,DATI!$E$32*DATI!$E$42*DATI!$E$49*DATI!$E$33,IF(B372&lt;DATI!$E$47,DATI!$E$32*DATI!$E$42*DATI!$E$49*DATI!$E$33*(DATI!$E$46/B372),DATI!$E$32*DATI!$E$42*DATI!$E$49*DATI!$E$33*((DATI!$E$46*DATI!$E$47)/B372^2))))</f>
        <v>0.11686014371601527</v>
      </c>
      <c r="D372" s="300"/>
      <c r="E372" s="422"/>
      <c r="F372" s="422"/>
      <c r="G372" s="422"/>
      <c r="H372" s="422"/>
      <c r="I372" s="422"/>
      <c r="J372" s="422"/>
      <c r="K372" s="422"/>
      <c r="L372" s="422"/>
      <c r="M372" s="422"/>
      <c r="N372" s="422"/>
      <c r="O372" s="422"/>
      <c r="P372" s="422"/>
      <c r="Q372" s="422"/>
      <c r="R372" s="422"/>
      <c r="S372" s="422"/>
    </row>
    <row r="373" spans="1:19" x14ac:dyDescent="0.25">
      <c r="A373" s="422"/>
      <c r="B373" s="625">
        <f t="shared" si="5"/>
        <v>3.6799999999999655</v>
      </c>
      <c r="C373" s="638">
        <f>1/DATI!$E$38*IF(B373&lt;DATI!$E$45,DATI!$E$32*DATI!$E$42*DATI!$E$49*DATI!$E$33*(B373/DATI!$E$45+1/(DATI!$E$49*DATI!$E$33)*(1-B373/DATI!$E$45)),IF(B373&lt;DATI!$E$46,DATI!$E$32*DATI!$E$42*DATI!$E$49*DATI!$E$33,IF(B373&lt;DATI!$E$47,DATI!$E$32*DATI!$E$42*DATI!$E$49*DATI!$E$33*(DATI!$E$46/B373),DATI!$E$32*DATI!$E$42*DATI!$E$49*DATI!$E$33*((DATI!$E$46*DATI!$E$47)/B373^2))))</f>
        <v>0.11622589715978247</v>
      </c>
      <c r="D373" s="300"/>
      <c r="E373" s="422"/>
      <c r="F373" s="422"/>
      <c r="G373" s="422"/>
      <c r="H373" s="422"/>
      <c r="I373" s="422"/>
      <c r="J373" s="422"/>
      <c r="K373" s="422"/>
      <c r="L373" s="422"/>
      <c r="M373" s="422"/>
      <c r="N373" s="422"/>
      <c r="O373" s="422"/>
      <c r="P373" s="422"/>
      <c r="Q373" s="422"/>
      <c r="R373" s="422"/>
      <c r="S373" s="422"/>
    </row>
    <row r="374" spans="1:19" x14ac:dyDescent="0.25">
      <c r="A374" s="422"/>
      <c r="B374" s="625">
        <f t="shared" si="5"/>
        <v>3.6899999999999653</v>
      </c>
      <c r="C374" s="638">
        <f>1/DATI!$E$38*IF(B374&lt;DATI!$E$45,DATI!$E$32*DATI!$E$42*DATI!$E$49*DATI!$E$33*(B374/DATI!$E$45+1/(DATI!$E$49*DATI!$E$33)*(1-B374/DATI!$E$45)),IF(B374&lt;DATI!$E$46,DATI!$E$32*DATI!$E$42*DATI!$E$49*DATI!$E$33,IF(B374&lt;DATI!$E$47,DATI!$E$32*DATI!$E$42*DATI!$E$49*DATI!$E$33*(DATI!$E$46/B374),DATI!$E$32*DATI!$E$42*DATI!$E$49*DATI!$E$33*((DATI!$E$46*DATI!$E$47)/B374^2))))</f>
        <v>0.11559680008935294</v>
      </c>
      <c r="D374" s="300"/>
      <c r="E374" s="422"/>
      <c r="F374" s="422"/>
      <c r="G374" s="422"/>
      <c r="H374" s="422"/>
      <c r="I374" s="422"/>
      <c r="J374" s="422"/>
      <c r="K374" s="422"/>
      <c r="L374" s="422"/>
      <c r="M374" s="422"/>
      <c r="N374" s="422"/>
      <c r="O374" s="422"/>
      <c r="P374" s="422"/>
      <c r="Q374" s="422"/>
      <c r="R374" s="422"/>
      <c r="S374" s="422"/>
    </row>
    <row r="375" spans="1:19" x14ac:dyDescent="0.25">
      <c r="A375" s="422"/>
      <c r="B375" s="625">
        <f t="shared" si="5"/>
        <v>3.6999999999999651</v>
      </c>
      <c r="C375" s="638">
        <f>1/DATI!$E$38*IF(B375&lt;DATI!$E$45,DATI!$E$32*DATI!$E$42*DATI!$E$49*DATI!$E$33*(B375/DATI!$E$45+1/(DATI!$E$49*DATI!$E$33)*(1-B375/DATI!$E$45)),IF(B375&lt;DATI!$E$46,DATI!$E$32*DATI!$E$42*DATI!$E$49*DATI!$E$33,IF(B375&lt;DATI!$E$47,DATI!$E$32*DATI!$E$42*DATI!$E$49*DATI!$E$33*(DATI!$E$46/B375),DATI!$E$32*DATI!$E$42*DATI!$E$49*DATI!$E$33*((DATI!$E$46*DATI!$E$47)/B375^2))))</f>
        <v>0.11497279690990783</v>
      </c>
      <c r="D375" s="300"/>
      <c r="E375" s="422"/>
      <c r="F375" s="422"/>
      <c r="G375" s="422"/>
      <c r="H375" s="422"/>
      <c r="I375" s="422"/>
      <c r="J375" s="422"/>
      <c r="K375" s="422"/>
      <c r="L375" s="422"/>
      <c r="M375" s="422"/>
      <c r="N375" s="422"/>
      <c r="O375" s="422"/>
      <c r="P375" s="422"/>
      <c r="Q375" s="422"/>
      <c r="R375" s="422"/>
      <c r="S375" s="422"/>
    </row>
    <row r="376" spans="1:19" x14ac:dyDescent="0.25">
      <c r="A376" s="422"/>
      <c r="B376" s="625">
        <f t="shared" si="5"/>
        <v>3.7099999999999649</v>
      </c>
      <c r="C376" s="638">
        <f>1/DATI!$E$38*IF(B376&lt;DATI!$E$45,DATI!$E$32*DATI!$E$42*DATI!$E$49*DATI!$E$33*(B376/DATI!$E$45+1/(DATI!$E$49*DATI!$E$33)*(1-B376/DATI!$E$45)),IF(B376&lt;DATI!$E$46,DATI!$E$32*DATI!$E$42*DATI!$E$49*DATI!$E$33,IF(B376&lt;DATI!$E$47,DATI!$E$32*DATI!$E$42*DATI!$E$49*DATI!$E$33*(DATI!$E$46/B376),DATI!$E$32*DATI!$E$42*DATI!$E$49*DATI!$E$33*((DATI!$E$46*DATI!$E$47)/B376^2))))</f>
        <v>0.11435383277487367</v>
      </c>
      <c r="D376" s="300"/>
      <c r="E376" s="422"/>
      <c r="F376" s="422"/>
      <c r="G376" s="422"/>
      <c r="H376" s="422"/>
      <c r="I376" s="422"/>
      <c r="J376" s="422"/>
      <c r="K376" s="422"/>
      <c r="L376" s="422"/>
      <c r="M376" s="422"/>
      <c r="N376" s="422"/>
      <c r="O376" s="422"/>
      <c r="P376" s="422"/>
      <c r="Q376" s="422"/>
      <c r="R376" s="422"/>
      <c r="S376" s="422"/>
    </row>
    <row r="377" spans="1:19" x14ac:dyDescent="0.25">
      <c r="A377" s="422"/>
      <c r="B377" s="625">
        <f t="shared" si="5"/>
        <v>3.7199999999999647</v>
      </c>
      <c r="C377" s="638">
        <f>1/DATI!$E$38*IF(B377&lt;DATI!$E$45,DATI!$E$32*DATI!$E$42*DATI!$E$49*DATI!$E$33*(B377/DATI!$E$45+1/(DATI!$E$49*DATI!$E$33)*(1-B377/DATI!$E$45)),IF(B377&lt;DATI!$E$46,DATI!$E$32*DATI!$E$42*DATI!$E$49*DATI!$E$33,IF(B377&lt;DATI!$E$47,DATI!$E$32*DATI!$E$42*DATI!$E$49*DATI!$E$33*(DATI!$E$46/B377),DATI!$E$32*DATI!$E$42*DATI!$E$49*DATI!$E$33*((DATI!$E$46*DATI!$E$47)/B377^2))))</f>
        <v>0.1137398535738697</v>
      </c>
      <c r="D377" s="300"/>
      <c r="E377" s="422"/>
      <c r="F377" s="422"/>
      <c r="G377" s="422"/>
      <c r="H377" s="422"/>
      <c r="I377" s="422"/>
      <c r="J377" s="422"/>
      <c r="K377" s="422"/>
      <c r="L377" s="422"/>
      <c r="M377" s="422"/>
      <c r="N377" s="422"/>
      <c r="O377" s="422"/>
      <c r="P377" s="422"/>
      <c r="Q377" s="422"/>
      <c r="R377" s="422"/>
      <c r="S377" s="422"/>
    </row>
    <row r="378" spans="1:19" x14ac:dyDescent="0.25">
      <c r="A378" s="422"/>
      <c r="B378" s="625">
        <f t="shared" si="5"/>
        <v>3.7299999999999645</v>
      </c>
      <c r="C378" s="638">
        <f>1/DATI!$E$38*IF(B378&lt;DATI!$E$45,DATI!$E$32*DATI!$E$42*DATI!$E$49*DATI!$E$33*(B378/DATI!$E$45+1/(DATI!$E$49*DATI!$E$33)*(1-B378/DATI!$E$45)),IF(B378&lt;DATI!$E$46,DATI!$E$32*DATI!$E$42*DATI!$E$49*DATI!$E$33,IF(B378&lt;DATI!$E$47,DATI!$E$32*DATI!$E$42*DATI!$E$49*DATI!$E$33*(DATI!$E$46/B378),DATI!$E$32*DATI!$E$42*DATI!$E$49*DATI!$E$33*((DATI!$E$46*DATI!$E$47)/B378^2))))</f>
        <v>0.11313080592088197</v>
      </c>
      <c r="D378" s="300"/>
      <c r="E378" s="422"/>
      <c r="F378" s="422"/>
      <c r="G378" s="422"/>
      <c r="H378" s="422"/>
      <c r="I378" s="422"/>
      <c r="J378" s="422"/>
      <c r="K378" s="422"/>
      <c r="L378" s="422"/>
      <c r="M378" s="422"/>
      <c r="N378" s="422"/>
      <c r="O378" s="422"/>
      <c r="P378" s="422"/>
      <c r="Q378" s="422"/>
      <c r="R378" s="422"/>
      <c r="S378" s="422"/>
    </row>
    <row r="379" spans="1:19" x14ac:dyDescent="0.25">
      <c r="A379" s="422"/>
      <c r="B379" s="625">
        <f t="shared" si="5"/>
        <v>3.7399999999999642</v>
      </c>
      <c r="C379" s="638">
        <f>1/DATI!$E$38*IF(B379&lt;DATI!$E$45,DATI!$E$32*DATI!$E$42*DATI!$E$49*DATI!$E$33*(B379/DATI!$E$45+1/(DATI!$E$49*DATI!$E$33)*(1-B379/DATI!$E$45)),IF(B379&lt;DATI!$E$46,DATI!$E$32*DATI!$E$42*DATI!$E$49*DATI!$E$33,IF(B379&lt;DATI!$E$47,DATI!$E$32*DATI!$E$42*DATI!$E$49*DATI!$E$33*(DATI!$E$46/B379),DATI!$E$32*DATI!$E$42*DATI!$E$49*DATI!$E$33*((DATI!$E$46*DATI!$E$47)/B379^2))))</f>
        <v>0.1125266371426577</v>
      </c>
      <c r="D379" s="300"/>
      <c r="E379" s="422"/>
      <c r="F379" s="422"/>
      <c r="G379" s="422"/>
      <c r="H379" s="422"/>
      <c r="I379" s="422"/>
      <c r="J379" s="422"/>
      <c r="K379" s="422"/>
      <c r="L379" s="422"/>
      <c r="M379" s="422"/>
      <c r="N379" s="422"/>
      <c r="O379" s="422"/>
      <c r="P379" s="422"/>
      <c r="Q379" s="422"/>
      <c r="R379" s="422"/>
      <c r="S379" s="422"/>
    </row>
    <row r="380" spans="1:19" x14ac:dyDescent="0.25">
      <c r="A380" s="422"/>
      <c r="B380" s="625">
        <f t="shared" si="5"/>
        <v>3.749999999999964</v>
      </c>
      <c r="C380" s="638">
        <f>1/DATI!$E$38*IF(B380&lt;DATI!$E$45,DATI!$E$32*DATI!$E$42*DATI!$E$49*DATI!$E$33*(B380/DATI!$E$45+1/(DATI!$E$49*DATI!$E$33)*(1-B380/DATI!$E$45)),IF(B380&lt;DATI!$E$46,DATI!$E$32*DATI!$E$42*DATI!$E$49*DATI!$E$33,IF(B380&lt;DATI!$E$47,DATI!$E$32*DATI!$E$42*DATI!$E$49*DATI!$E$33*(DATI!$E$46/B380),DATI!$E$32*DATI!$E$42*DATI!$E$49*DATI!$E$33*((DATI!$E$46*DATI!$E$47)/B380^2))))</f>
        <v>0.11192729526731657</v>
      </c>
      <c r="D380" s="300"/>
      <c r="E380" s="422"/>
      <c r="F380" s="422"/>
      <c r="G380" s="422"/>
      <c r="H380" s="422"/>
      <c r="I380" s="422"/>
      <c r="J380" s="422"/>
      <c r="K380" s="422"/>
      <c r="L380" s="422"/>
      <c r="M380" s="422"/>
      <c r="N380" s="422"/>
      <c r="O380" s="422"/>
      <c r="P380" s="422"/>
      <c r="Q380" s="422"/>
      <c r="R380" s="422"/>
      <c r="S380" s="422"/>
    </row>
    <row r="381" spans="1:19" x14ac:dyDescent="0.25">
      <c r="A381" s="422"/>
      <c r="B381" s="625">
        <f t="shared" si="5"/>
        <v>3.7599999999999638</v>
      </c>
      <c r="C381" s="638">
        <f>1/DATI!$E$38*IF(B381&lt;DATI!$E$45,DATI!$E$32*DATI!$E$42*DATI!$E$49*DATI!$E$33*(B381/DATI!$E$45+1/(DATI!$E$49*DATI!$E$33)*(1-B381/DATI!$E$45)),IF(B381&lt;DATI!$E$46,DATI!$E$32*DATI!$E$42*DATI!$E$49*DATI!$E$33,IF(B381&lt;DATI!$E$47,DATI!$E$32*DATI!$E$42*DATI!$E$49*DATI!$E$33*(DATI!$E$46/B381),DATI!$E$32*DATI!$E$42*DATI!$E$49*DATI!$E$33*((DATI!$E$46*DATI!$E$47)/B381^2))))</f>
        <v>0.11133272901317333</v>
      </c>
      <c r="D381" s="300"/>
      <c r="E381" s="422"/>
      <c r="F381" s="422"/>
      <c r="G381" s="422"/>
      <c r="H381" s="422"/>
      <c r="I381" s="422"/>
      <c r="J381" s="422"/>
      <c r="K381" s="422"/>
      <c r="L381" s="422"/>
      <c r="M381" s="422"/>
      <c r="N381" s="422"/>
      <c r="O381" s="422"/>
      <c r="P381" s="422"/>
      <c r="Q381" s="422"/>
      <c r="R381" s="422"/>
      <c r="S381" s="422"/>
    </row>
    <row r="382" spans="1:19" x14ac:dyDescent="0.25">
      <c r="A382" s="422"/>
      <c r="B382" s="625">
        <f t="shared" si="5"/>
        <v>3.7699999999999636</v>
      </c>
      <c r="C382" s="638">
        <f>1/DATI!$E$38*IF(B382&lt;DATI!$E$45,DATI!$E$32*DATI!$E$42*DATI!$E$49*DATI!$E$33*(B382/DATI!$E$45+1/(DATI!$E$49*DATI!$E$33)*(1-B382/DATI!$E$45)),IF(B382&lt;DATI!$E$46,DATI!$E$32*DATI!$E$42*DATI!$E$49*DATI!$E$33,IF(B382&lt;DATI!$E$47,DATI!$E$32*DATI!$E$42*DATI!$E$49*DATI!$E$33*(DATI!$E$46/B382),DATI!$E$32*DATI!$E$42*DATI!$E$49*DATI!$E$33*((DATI!$E$46*DATI!$E$47)/B382^2))))</f>
        <v>0.11074288777776801</v>
      </c>
      <c r="D382" s="300"/>
      <c r="E382" s="422"/>
      <c r="F382" s="422"/>
      <c r="G382" s="422"/>
      <c r="H382" s="422"/>
      <c r="I382" s="422"/>
      <c r="J382" s="422"/>
      <c r="K382" s="422"/>
      <c r="L382" s="422"/>
      <c r="M382" s="422"/>
      <c r="N382" s="422"/>
      <c r="O382" s="422"/>
      <c r="P382" s="422"/>
      <c r="Q382" s="422"/>
      <c r="R382" s="422"/>
      <c r="S382" s="422"/>
    </row>
    <row r="383" spans="1:19" x14ac:dyDescent="0.25">
      <c r="A383" s="422"/>
      <c r="B383" s="625">
        <f t="shared" si="5"/>
        <v>3.7799999999999634</v>
      </c>
      <c r="C383" s="638">
        <f>1/DATI!$E$38*IF(B383&lt;DATI!$E$45,DATI!$E$32*DATI!$E$42*DATI!$E$49*DATI!$E$33*(B383/DATI!$E$45+1/(DATI!$E$49*DATI!$E$33)*(1-B383/DATI!$E$45)),IF(B383&lt;DATI!$E$46,DATI!$E$32*DATI!$E$42*DATI!$E$49*DATI!$E$33,IF(B383&lt;DATI!$E$47,DATI!$E$32*DATI!$E$42*DATI!$E$49*DATI!$E$33*(DATI!$E$46/B383),DATI!$E$32*DATI!$E$42*DATI!$E$49*DATI!$E$33*((DATI!$E$46*DATI!$E$47)/B383^2))))</f>
        <v>0.11015772162709885</v>
      </c>
      <c r="D383" s="300"/>
      <c r="E383" s="422"/>
      <c r="F383" s="422"/>
      <c r="G383" s="422"/>
      <c r="H383" s="422"/>
      <c r="I383" s="422"/>
      <c r="J383" s="422"/>
      <c r="K383" s="422"/>
      <c r="L383" s="422"/>
      <c r="M383" s="422"/>
      <c r="N383" s="422"/>
      <c r="O383" s="422"/>
      <c r="P383" s="422"/>
      <c r="Q383" s="422"/>
      <c r="R383" s="422"/>
      <c r="S383" s="422"/>
    </row>
    <row r="384" spans="1:19" x14ac:dyDescent="0.25">
      <c r="A384" s="422"/>
      <c r="B384" s="625">
        <f t="shared" si="5"/>
        <v>3.7899999999999632</v>
      </c>
      <c r="C384" s="638">
        <f>1/DATI!$E$38*IF(B384&lt;DATI!$E$45,DATI!$E$32*DATI!$E$42*DATI!$E$49*DATI!$E$33*(B384/DATI!$E$45+1/(DATI!$E$49*DATI!$E$33)*(1-B384/DATI!$E$45)),IF(B384&lt;DATI!$E$46,DATI!$E$32*DATI!$E$42*DATI!$E$49*DATI!$E$33,IF(B384&lt;DATI!$E$47,DATI!$E$32*DATI!$E$42*DATI!$E$49*DATI!$E$33*(DATI!$E$46/B384),DATI!$E$32*DATI!$E$42*DATI!$E$49*DATI!$E$33*((DATI!$E$46*DATI!$E$47)/B384^2))))</f>
        <v>0.10957718128505364</v>
      </c>
      <c r="D384" s="300"/>
      <c r="E384" s="422"/>
      <c r="F384" s="422"/>
      <c r="G384" s="422"/>
      <c r="H384" s="422"/>
      <c r="I384" s="422"/>
      <c r="J384" s="422"/>
      <c r="K384" s="422"/>
      <c r="L384" s="422"/>
      <c r="M384" s="422"/>
      <c r="N384" s="422"/>
      <c r="O384" s="422"/>
      <c r="P384" s="422"/>
      <c r="Q384" s="422"/>
      <c r="R384" s="422"/>
      <c r="S384" s="422"/>
    </row>
    <row r="385" spans="1:19" x14ac:dyDescent="0.25">
      <c r="A385" s="422"/>
      <c r="B385" s="625">
        <f t="shared" si="5"/>
        <v>3.799999999999963</v>
      </c>
      <c r="C385" s="638">
        <f>1/DATI!$E$38*IF(B385&lt;DATI!$E$45,DATI!$E$32*DATI!$E$42*DATI!$E$49*DATI!$E$33*(B385/DATI!$E$45+1/(DATI!$E$49*DATI!$E$33)*(1-B385/DATI!$E$45)),IF(B385&lt;DATI!$E$46,DATI!$E$32*DATI!$E$42*DATI!$E$49*DATI!$E$33,IF(B385&lt;DATI!$E$47,DATI!$E$32*DATI!$E$42*DATI!$E$49*DATI!$E$33*(DATI!$E$46/B385),DATI!$E$32*DATI!$E$42*DATI!$E$49*DATI!$E$33*((DATI!$E$46*DATI!$E$47)/B385^2))))</f>
        <v>0.10900121812303597</v>
      </c>
      <c r="D385" s="300"/>
      <c r="E385" s="422"/>
      <c r="F385" s="422"/>
      <c r="G385" s="422"/>
      <c r="H385" s="422"/>
      <c r="I385" s="422"/>
      <c r="J385" s="422"/>
      <c r="K385" s="422"/>
      <c r="L385" s="422"/>
      <c r="M385" s="422"/>
      <c r="N385" s="422"/>
      <c r="O385" s="422"/>
      <c r="P385" s="422"/>
      <c r="Q385" s="422"/>
      <c r="R385" s="422"/>
      <c r="S385" s="422"/>
    </row>
    <row r="386" spans="1:19" x14ac:dyDescent="0.25">
      <c r="A386" s="422"/>
      <c r="B386" s="625">
        <f t="shared" si="5"/>
        <v>3.8099999999999627</v>
      </c>
      <c r="C386" s="638">
        <f>1/DATI!$E$38*IF(B386&lt;DATI!$E$45,DATI!$E$32*DATI!$E$42*DATI!$E$49*DATI!$E$33*(B386/DATI!$E$45+1/(DATI!$E$49*DATI!$E$33)*(1-B386/DATI!$E$45)),IF(B386&lt;DATI!$E$46,DATI!$E$32*DATI!$E$42*DATI!$E$49*DATI!$E$33,IF(B386&lt;DATI!$E$47,DATI!$E$32*DATI!$E$42*DATI!$E$49*DATI!$E$33*(DATI!$E$46/B386),DATI!$E$32*DATI!$E$42*DATI!$E$49*DATI!$E$33*((DATI!$E$46*DATI!$E$47)/B386^2))))</f>
        <v>0.10842978414978124</v>
      </c>
      <c r="D386" s="300"/>
      <c r="E386" s="422"/>
      <c r="F386" s="422"/>
      <c r="G386" s="422"/>
      <c r="H386" s="422"/>
      <c r="I386" s="422"/>
      <c r="J386" s="422"/>
      <c r="K386" s="422"/>
      <c r="L386" s="422"/>
      <c r="M386" s="422"/>
      <c r="N386" s="422"/>
      <c r="O386" s="422"/>
      <c r="P386" s="422"/>
      <c r="Q386" s="422"/>
      <c r="R386" s="422"/>
      <c r="S386" s="422"/>
    </row>
    <row r="387" spans="1:19" x14ac:dyDescent="0.25">
      <c r="A387" s="422"/>
      <c r="B387" s="625">
        <f t="shared" si="5"/>
        <v>3.8199999999999625</v>
      </c>
      <c r="C387" s="638">
        <f>1/DATI!$E$38*IF(B387&lt;DATI!$E$45,DATI!$E$32*DATI!$E$42*DATI!$E$49*DATI!$E$33*(B387/DATI!$E$45+1/(DATI!$E$49*DATI!$E$33)*(1-B387/DATI!$E$45)),IF(B387&lt;DATI!$E$46,DATI!$E$32*DATI!$E$42*DATI!$E$49*DATI!$E$33,IF(B387&lt;DATI!$E$47,DATI!$E$32*DATI!$E$42*DATI!$E$49*DATI!$E$33*(DATI!$E$46/B387),DATI!$E$32*DATI!$E$42*DATI!$E$49*DATI!$E$33*((DATI!$E$46*DATI!$E$47)/B387^2))))</f>
        <v>0.10786283200135958</v>
      </c>
      <c r="D387" s="300"/>
      <c r="E387" s="422"/>
      <c r="F387" s="422"/>
      <c r="G387" s="422"/>
      <c r="H387" s="422"/>
      <c r="I387" s="422"/>
      <c r="J387" s="422"/>
      <c r="K387" s="422"/>
      <c r="L387" s="422"/>
      <c r="M387" s="422"/>
      <c r="N387" s="422"/>
      <c r="O387" s="422"/>
      <c r="P387" s="422"/>
      <c r="Q387" s="422"/>
      <c r="R387" s="422"/>
      <c r="S387" s="422"/>
    </row>
    <row r="388" spans="1:19" x14ac:dyDescent="0.25">
      <c r="A388" s="422"/>
      <c r="B388" s="625">
        <f t="shared" si="5"/>
        <v>3.8299999999999623</v>
      </c>
      <c r="C388" s="638">
        <f>1/DATI!$E$38*IF(B388&lt;DATI!$E$45,DATI!$E$32*DATI!$E$42*DATI!$E$49*DATI!$E$33*(B388/DATI!$E$45+1/(DATI!$E$49*DATI!$E$33)*(1-B388/DATI!$E$45)),IF(B388&lt;DATI!$E$46,DATI!$E$32*DATI!$E$42*DATI!$E$49*DATI!$E$33,IF(B388&lt;DATI!$E$47,DATI!$E$32*DATI!$E$42*DATI!$E$49*DATI!$E$33*(DATI!$E$46/B388),DATI!$E$32*DATI!$E$42*DATI!$E$49*DATI!$E$33*((DATI!$E$46*DATI!$E$47)/B388^2))))</f>
        <v>0.10730031493136089</v>
      </c>
      <c r="D388" s="300"/>
      <c r="E388" s="422"/>
      <c r="F388" s="422"/>
      <c r="G388" s="422"/>
      <c r="H388" s="422"/>
      <c r="I388" s="422"/>
      <c r="J388" s="422"/>
      <c r="K388" s="422"/>
      <c r="L388" s="422"/>
      <c r="M388" s="422"/>
      <c r="N388" s="422"/>
      <c r="O388" s="422"/>
      <c r="P388" s="422"/>
      <c r="Q388" s="422"/>
      <c r="R388" s="422"/>
      <c r="S388" s="422"/>
    </row>
    <row r="389" spans="1:19" x14ac:dyDescent="0.25">
      <c r="A389" s="422"/>
      <c r="B389" s="625">
        <f t="shared" si="5"/>
        <v>3.8399999999999621</v>
      </c>
      <c r="C389" s="638">
        <f>1/DATI!$E$38*IF(B389&lt;DATI!$E$45,DATI!$E$32*DATI!$E$42*DATI!$E$49*DATI!$E$33*(B389/DATI!$E$45+1/(DATI!$E$49*DATI!$E$33)*(1-B389/DATI!$E$45)),IF(B389&lt;DATI!$E$46,DATI!$E$32*DATI!$E$42*DATI!$E$49*DATI!$E$33,IF(B389&lt;DATI!$E$47,DATI!$E$32*DATI!$E$42*DATI!$E$49*DATI!$E$33*(DATI!$E$46/B389),DATI!$E$32*DATI!$E$42*DATI!$E$49*DATI!$E$33*((DATI!$E$46*DATI!$E$47)/B389^2))))</f>
        <v>0.10674218680125867</v>
      </c>
      <c r="D389" s="300"/>
      <c r="E389" s="422"/>
      <c r="F389" s="422"/>
      <c r="G389" s="422"/>
      <c r="H389" s="422"/>
      <c r="I389" s="422"/>
      <c r="J389" s="422"/>
      <c r="K389" s="422"/>
      <c r="L389" s="422"/>
      <c r="M389" s="422"/>
      <c r="N389" s="422"/>
      <c r="O389" s="422"/>
      <c r="P389" s="422"/>
      <c r="Q389" s="422"/>
      <c r="R389" s="422"/>
      <c r="S389" s="422"/>
    </row>
    <row r="390" spans="1:19" x14ac:dyDescent="0.25">
      <c r="A390" s="422"/>
      <c r="B390" s="625">
        <f t="shared" ref="B390:B453" si="6">0.01+B389</f>
        <v>3.8499999999999619</v>
      </c>
      <c r="C390" s="638">
        <f>1/DATI!$E$38*IF(B390&lt;DATI!$E$45,DATI!$E$32*DATI!$E$42*DATI!$E$49*DATI!$E$33*(B390/DATI!$E$45+1/(DATI!$E$49*DATI!$E$33)*(1-B390/DATI!$E$45)),IF(B390&lt;DATI!$E$46,DATI!$E$32*DATI!$E$42*DATI!$E$49*DATI!$E$33,IF(B390&lt;DATI!$E$47,DATI!$E$32*DATI!$E$42*DATI!$E$49*DATI!$E$33*(DATI!$E$46/B390),DATI!$E$32*DATI!$E$42*DATI!$E$49*DATI!$E$33*((DATI!$E$46*DATI!$E$47)/B390^2))))</f>
        <v>0.10618840207094887</v>
      </c>
      <c r="D390" s="300"/>
      <c r="E390" s="422"/>
      <c r="F390" s="422"/>
      <c r="G390" s="422"/>
      <c r="H390" s="422"/>
      <c r="I390" s="422"/>
      <c r="J390" s="422"/>
      <c r="K390" s="422"/>
      <c r="L390" s="422"/>
      <c r="M390" s="422"/>
      <c r="N390" s="422"/>
      <c r="O390" s="422"/>
      <c r="P390" s="422"/>
      <c r="Q390" s="422"/>
      <c r="R390" s="422"/>
      <c r="S390" s="422"/>
    </row>
    <row r="391" spans="1:19" x14ac:dyDescent="0.25">
      <c r="A391" s="422"/>
      <c r="B391" s="625">
        <f t="shared" si="6"/>
        <v>3.8599999999999617</v>
      </c>
      <c r="C391" s="638">
        <f>1/DATI!$E$38*IF(B391&lt;DATI!$E$45,DATI!$E$32*DATI!$E$42*DATI!$E$49*DATI!$E$33*(B391/DATI!$E$45+1/(DATI!$E$49*DATI!$E$33)*(1-B391/DATI!$E$45)),IF(B391&lt;DATI!$E$46,DATI!$E$32*DATI!$E$42*DATI!$E$49*DATI!$E$33,IF(B391&lt;DATI!$E$47,DATI!$E$32*DATI!$E$42*DATI!$E$49*DATI!$E$33*(DATI!$E$46/B391),DATI!$E$32*DATI!$E$42*DATI!$E$49*DATI!$E$33*((DATI!$E$46*DATI!$E$47)/B391^2))))</f>
        <v>0.10563891578946011</v>
      </c>
      <c r="D391" s="300"/>
      <c r="E391" s="422"/>
      <c r="F391" s="422"/>
      <c r="G391" s="422"/>
      <c r="H391" s="422"/>
      <c r="I391" s="422"/>
      <c r="J391" s="422"/>
      <c r="K391" s="422"/>
      <c r="L391" s="422"/>
      <c r="M391" s="422"/>
      <c r="N391" s="422"/>
      <c r="O391" s="422"/>
      <c r="P391" s="422"/>
      <c r="Q391" s="422"/>
      <c r="R391" s="422"/>
      <c r="S391" s="422"/>
    </row>
    <row r="392" spans="1:19" x14ac:dyDescent="0.25">
      <c r="A392" s="422"/>
      <c r="B392" s="625">
        <f t="shared" si="6"/>
        <v>3.8699999999999615</v>
      </c>
      <c r="C392" s="638">
        <f>1/DATI!$E$38*IF(B392&lt;DATI!$E$45,DATI!$E$32*DATI!$E$42*DATI!$E$49*DATI!$E$33*(B392/DATI!$E$45+1/(DATI!$E$49*DATI!$E$33)*(1-B392/DATI!$E$45)),IF(B392&lt;DATI!$E$46,DATI!$E$32*DATI!$E$42*DATI!$E$49*DATI!$E$33,IF(B392&lt;DATI!$E$47,DATI!$E$32*DATI!$E$42*DATI!$E$49*DATI!$E$33*(DATI!$E$46/B392),DATI!$E$32*DATI!$E$42*DATI!$E$49*DATI!$E$33*((DATI!$E$46*DATI!$E$47)/B392^2))))</f>
        <v>0.10509368358583152</v>
      </c>
      <c r="D392" s="300"/>
      <c r="E392" s="422"/>
      <c r="F392" s="422"/>
      <c r="G392" s="422"/>
      <c r="H392" s="422"/>
      <c r="I392" s="422"/>
      <c r="J392" s="422"/>
      <c r="K392" s="422"/>
      <c r="L392" s="422"/>
      <c r="M392" s="422"/>
      <c r="N392" s="422"/>
      <c r="O392" s="422"/>
      <c r="P392" s="422"/>
      <c r="Q392" s="422"/>
      <c r="R392" s="422"/>
      <c r="S392" s="422"/>
    </row>
    <row r="393" spans="1:19" x14ac:dyDescent="0.25">
      <c r="A393" s="422"/>
      <c r="B393" s="625">
        <f t="shared" si="6"/>
        <v>3.8799999999999613</v>
      </c>
      <c r="C393" s="638">
        <f>1/DATI!$E$38*IF(B393&lt;DATI!$E$45,DATI!$E$32*DATI!$E$42*DATI!$E$49*DATI!$E$33*(B393/DATI!$E$45+1/(DATI!$E$49*DATI!$E$33)*(1-B393/DATI!$E$45)),IF(B393&lt;DATI!$E$46,DATI!$E$32*DATI!$E$42*DATI!$E$49*DATI!$E$33,IF(B393&lt;DATI!$E$47,DATI!$E$32*DATI!$E$42*DATI!$E$49*DATI!$E$33*(DATI!$E$46/B393),DATI!$E$32*DATI!$E$42*DATI!$E$49*DATI!$E$33*((DATI!$E$46*DATI!$E$47)/B393^2))))</f>
        <v>0.10455266166015519</v>
      </c>
      <c r="D393" s="300"/>
      <c r="E393" s="422"/>
      <c r="F393" s="422"/>
      <c r="G393" s="422"/>
      <c r="H393" s="422"/>
      <c r="I393" s="422"/>
      <c r="J393" s="422"/>
      <c r="K393" s="422"/>
      <c r="L393" s="422"/>
      <c r="M393" s="422"/>
      <c r="N393" s="422"/>
      <c r="O393" s="422"/>
      <c r="P393" s="422"/>
      <c r="Q393" s="422"/>
      <c r="R393" s="422"/>
      <c r="S393" s="422"/>
    </row>
    <row r="394" spans="1:19" x14ac:dyDescent="0.25">
      <c r="A394" s="422"/>
      <c r="B394" s="625">
        <f t="shared" si="6"/>
        <v>3.889999999999961</v>
      </c>
      <c r="C394" s="638">
        <f>1/DATI!$E$38*IF(B394&lt;DATI!$E$45,DATI!$E$32*DATI!$E$42*DATI!$E$49*DATI!$E$33*(B394/DATI!$E$45+1/(DATI!$E$49*DATI!$E$33)*(1-B394/DATI!$E$45)),IF(B394&lt;DATI!$E$46,DATI!$E$32*DATI!$E$42*DATI!$E$49*DATI!$E$33,IF(B394&lt;DATI!$E$47,DATI!$E$32*DATI!$E$42*DATI!$E$49*DATI!$E$33*(DATI!$E$46/B394),DATI!$E$32*DATI!$E$42*DATI!$E$49*DATI!$E$33*((DATI!$E$46*DATI!$E$47)/B394^2))))</f>
        <v>0.10401580677477947</v>
      </c>
      <c r="D394" s="300"/>
      <c r="E394" s="422"/>
      <c r="F394" s="422"/>
      <c r="G394" s="422"/>
      <c r="H394" s="422"/>
      <c r="I394" s="422"/>
      <c r="J394" s="422"/>
      <c r="K394" s="422"/>
      <c r="L394" s="422"/>
      <c r="M394" s="422"/>
      <c r="N394" s="422"/>
      <c r="O394" s="422"/>
      <c r="P394" s="422"/>
      <c r="Q394" s="422"/>
      <c r="R394" s="422"/>
      <c r="S394" s="422"/>
    </row>
    <row r="395" spans="1:19" x14ac:dyDescent="0.25">
      <c r="A395" s="422"/>
      <c r="B395" s="625">
        <f t="shared" si="6"/>
        <v>3.8999999999999608</v>
      </c>
      <c r="C395" s="638">
        <f>1/DATI!$E$38*IF(B395&lt;DATI!$E$45,DATI!$E$32*DATI!$E$42*DATI!$E$49*DATI!$E$33*(B395/DATI!$E$45+1/(DATI!$E$49*DATI!$E$33)*(1-B395/DATI!$E$45)),IF(B395&lt;DATI!$E$46,DATI!$E$32*DATI!$E$42*DATI!$E$49*DATI!$E$33,IF(B395&lt;DATI!$E$47,DATI!$E$32*DATI!$E$42*DATI!$E$49*DATI!$E$33*(DATI!$E$46/B395),DATI!$E$32*DATI!$E$42*DATI!$E$49*DATI!$E$33*((DATI!$E$46*DATI!$E$47)/B395^2))))</f>
        <v>0.10348307624566996</v>
      </c>
      <c r="D395" s="300"/>
      <c r="E395" s="422"/>
      <c r="F395" s="422"/>
      <c r="G395" s="422"/>
      <c r="H395" s="422"/>
      <c r="I395" s="422"/>
      <c r="J395" s="422"/>
      <c r="K395" s="422"/>
      <c r="L395" s="422"/>
      <c r="M395" s="422"/>
      <c r="N395" s="422"/>
      <c r="O395" s="422"/>
      <c r="P395" s="422"/>
      <c r="Q395" s="422"/>
      <c r="R395" s="422"/>
      <c r="S395" s="422"/>
    </row>
    <row r="396" spans="1:19" x14ac:dyDescent="0.25">
      <c r="A396" s="422"/>
      <c r="B396" s="625">
        <f t="shared" si="6"/>
        <v>3.9099999999999606</v>
      </c>
      <c r="C396" s="638">
        <f>1/DATI!$E$38*IF(B396&lt;DATI!$E$45,DATI!$E$32*DATI!$E$42*DATI!$E$49*DATI!$E$33*(B396/DATI!$E$45+1/(DATI!$E$49*DATI!$E$33)*(1-B396/DATI!$E$45)),IF(B396&lt;DATI!$E$46,DATI!$E$32*DATI!$E$42*DATI!$E$49*DATI!$E$33,IF(B396&lt;DATI!$E$47,DATI!$E$32*DATI!$E$42*DATI!$E$49*DATI!$E$33*(DATI!$E$46/B396),DATI!$E$32*DATI!$E$42*DATI!$E$49*DATI!$E$33*((DATI!$E$46*DATI!$E$47)/B396^2))))</f>
        <v>0.10295442793392511</v>
      </c>
      <c r="D396" s="300"/>
      <c r="E396" s="422"/>
      <c r="F396" s="422"/>
      <c r="G396" s="422"/>
      <c r="H396" s="422"/>
      <c r="I396" s="422"/>
      <c r="J396" s="422"/>
      <c r="K396" s="422"/>
      <c r="L396" s="422"/>
      <c r="M396" s="422"/>
      <c r="N396" s="422"/>
      <c r="O396" s="422"/>
      <c r="P396" s="422"/>
      <c r="Q396" s="422"/>
      <c r="R396" s="422"/>
      <c r="S396" s="422"/>
    </row>
    <row r="397" spans="1:19" x14ac:dyDescent="0.25">
      <c r="A397" s="422"/>
      <c r="B397" s="625">
        <f t="shared" si="6"/>
        <v>3.9199999999999604</v>
      </c>
      <c r="C397" s="638">
        <f>1/DATI!$E$38*IF(B397&lt;DATI!$E$45,DATI!$E$32*DATI!$E$42*DATI!$E$49*DATI!$E$33*(B397/DATI!$E$45+1/(DATI!$E$49*DATI!$E$33)*(1-B397/DATI!$E$45)),IF(B397&lt;DATI!$E$46,DATI!$E$32*DATI!$E$42*DATI!$E$49*DATI!$E$33,IF(B397&lt;DATI!$E$47,DATI!$E$32*DATI!$E$42*DATI!$E$49*DATI!$E$33*(DATI!$E$46/B397),DATI!$E$32*DATI!$E$42*DATI!$E$49*DATI!$E$33*((DATI!$E$46*DATI!$E$47)/B397^2))))</f>
        <v>0.10242982023744276</v>
      </c>
      <c r="D397" s="300"/>
      <c r="E397" s="422"/>
      <c r="F397" s="422"/>
      <c r="G397" s="422"/>
      <c r="H397" s="422"/>
      <c r="I397" s="422"/>
      <c r="J397" s="422"/>
      <c r="K397" s="422"/>
      <c r="L397" s="422"/>
      <c r="M397" s="422"/>
      <c r="N397" s="422"/>
      <c r="O397" s="422"/>
      <c r="P397" s="422"/>
      <c r="Q397" s="422"/>
      <c r="R397" s="422"/>
      <c r="S397" s="422"/>
    </row>
    <row r="398" spans="1:19" x14ac:dyDescent="0.25">
      <c r="A398" s="422"/>
      <c r="B398" s="625">
        <f t="shared" si="6"/>
        <v>3.9299999999999602</v>
      </c>
      <c r="C398" s="638">
        <f>1/DATI!$E$38*IF(B398&lt;DATI!$E$45,DATI!$E$32*DATI!$E$42*DATI!$E$49*DATI!$E$33*(B398/DATI!$E$45+1/(DATI!$E$49*DATI!$E$33)*(1-B398/DATI!$E$45)),IF(B398&lt;DATI!$E$46,DATI!$E$32*DATI!$E$42*DATI!$E$49*DATI!$E$33,IF(B398&lt;DATI!$E$47,DATI!$E$32*DATI!$E$42*DATI!$E$49*DATI!$E$33*(DATI!$E$46/B398),DATI!$E$32*DATI!$E$42*DATI!$E$49*DATI!$E$33*((DATI!$E$46*DATI!$E$47)/B398^2))))</f>
        <v>0.10190921208273543</v>
      </c>
      <c r="D398" s="300"/>
      <c r="E398" s="422"/>
      <c r="F398" s="422"/>
      <c r="G398" s="422"/>
      <c r="H398" s="422"/>
      <c r="I398" s="422"/>
      <c r="J398" s="422"/>
      <c r="K398" s="422"/>
      <c r="L398" s="422"/>
      <c r="M398" s="422"/>
      <c r="N398" s="422"/>
      <c r="O398" s="422"/>
      <c r="P398" s="422"/>
      <c r="Q398" s="422"/>
      <c r="R398" s="422"/>
      <c r="S398" s="422"/>
    </row>
    <row r="399" spans="1:19" x14ac:dyDescent="0.25">
      <c r="A399" s="422"/>
      <c r="B399" s="625">
        <f t="shared" si="6"/>
        <v>3.93999999999996</v>
      </c>
      <c r="C399" s="638">
        <f>1/DATI!$E$38*IF(B399&lt;DATI!$E$45,DATI!$E$32*DATI!$E$42*DATI!$E$49*DATI!$E$33*(B399/DATI!$E$45+1/(DATI!$E$49*DATI!$E$33)*(1-B399/DATI!$E$45)),IF(B399&lt;DATI!$E$46,DATI!$E$32*DATI!$E$42*DATI!$E$49*DATI!$E$33,IF(B399&lt;DATI!$E$47,DATI!$E$32*DATI!$E$42*DATI!$E$49*DATI!$E$33*(DATI!$E$46/B399),DATI!$E$32*DATI!$E$42*DATI!$E$49*DATI!$E$33*((DATI!$E$46*DATI!$E$47)/B399^2))))</f>
        <v>0.10139256291689046</v>
      </c>
      <c r="D399" s="300"/>
      <c r="E399" s="422"/>
      <c r="F399" s="422"/>
      <c r="G399" s="422"/>
      <c r="H399" s="422"/>
      <c r="I399" s="422"/>
      <c r="J399" s="422"/>
      <c r="K399" s="422"/>
      <c r="L399" s="422"/>
      <c r="M399" s="422"/>
      <c r="N399" s="422"/>
      <c r="O399" s="422"/>
      <c r="P399" s="422"/>
      <c r="Q399" s="422"/>
      <c r="R399" s="422"/>
      <c r="S399" s="422"/>
    </row>
    <row r="400" spans="1:19" x14ac:dyDescent="0.25">
      <c r="A400" s="422"/>
      <c r="B400" s="625">
        <f t="shared" si="6"/>
        <v>3.9499999999999598</v>
      </c>
      <c r="C400" s="638">
        <f>1/DATI!$E$38*IF(B400&lt;DATI!$E$45,DATI!$E$32*DATI!$E$42*DATI!$E$49*DATI!$E$33*(B400/DATI!$E$45+1/(DATI!$E$49*DATI!$E$33)*(1-B400/DATI!$E$45)),IF(B400&lt;DATI!$E$46,DATI!$E$32*DATI!$E$42*DATI!$E$49*DATI!$E$33,IF(B400&lt;DATI!$E$47,DATI!$E$32*DATI!$E$42*DATI!$E$49*DATI!$E$33*(DATI!$E$46/B400),DATI!$E$32*DATI!$E$42*DATI!$E$49*DATI!$E$33*((DATI!$E$46*DATI!$E$47)/B400^2))))</f>
        <v>0.10087983269967253</v>
      </c>
      <c r="D400" s="300"/>
      <c r="E400" s="422"/>
      <c r="F400" s="422"/>
      <c r="G400" s="422"/>
      <c r="H400" s="422"/>
      <c r="I400" s="422"/>
      <c r="J400" s="422"/>
      <c r="K400" s="422"/>
      <c r="L400" s="422"/>
      <c r="M400" s="422"/>
      <c r="N400" s="422"/>
      <c r="O400" s="422"/>
      <c r="P400" s="422"/>
      <c r="Q400" s="422"/>
      <c r="R400" s="422"/>
      <c r="S400" s="422"/>
    </row>
    <row r="401" spans="1:19" x14ac:dyDescent="0.25">
      <c r="A401" s="422"/>
      <c r="B401" s="625">
        <f t="shared" si="6"/>
        <v>3.9599999999999596</v>
      </c>
      <c r="C401" s="638">
        <f>1/DATI!$E$38*IF(B401&lt;DATI!$E$45,DATI!$E$32*DATI!$E$42*DATI!$E$49*DATI!$E$33*(B401/DATI!$E$45+1/(DATI!$E$49*DATI!$E$33)*(1-B401/DATI!$E$45)),IF(B401&lt;DATI!$E$46,DATI!$E$32*DATI!$E$42*DATI!$E$49*DATI!$E$33,IF(B401&lt;DATI!$E$47,DATI!$E$32*DATI!$E$42*DATI!$E$49*DATI!$E$33*(DATI!$E$46/B401),DATI!$E$32*DATI!$E$42*DATI!$E$49*DATI!$E$33*((DATI!$E$46*DATI!$E$47)/B401^2))))</f>
        <v>0.10037098189576579</v>
      </c>
      <c r="D401" s="300"/>
      <c r="E401" s="422"/>
      <c r="F401" s="422"/>
      <c r="G401" s="422"/>
      <c r="H401" s="422"/>
      <c r="I401" s="422"/>
      <c r="J401" s="422"/>
      <c r="K401" s="422"/>
      <c r="L401" s="422"/>
      <c r="M401" s="422"/>
      <c r="N401" s="422"/>
      <c r="O401" s="422"/>
      <c r="P401" s="422"/>
      <c r="Q401" s="422"/>
      <c r="R401" s="422"/>
      <c r="S401" s="422"/>
    </row>
    <row r="402" spans="1:19" x14ac:dyDescent="0.25">
      <c r="A402" s="422"/>
      <c r="B402" s="625">
        <f t="shared" si="6"/>
        <v>3.9699999999999593</v>
      </c>
      <c r="C402" s="638">
        <f>1/DATI!$E$38*IF(B402&lt;DATI!$E$45,DATI!$E$32*DATI!$E$42*DATI!$E$49*DATI!$E$33*(B402/DATI!$E$45+1/(DATI!$E$49*DATI!$E$33)*(1-B402/DATI!$E$45)),IF(B402&lt;DATI!$E$46,DATI!$E$32*DATI!$E$42*DATI!$E$49*DATI!$E$33,IF(B402&lt;DATI!$E$47,DATI!$E$32*DATI!$E$42*DATI!$E$49*DATI!$E$33*(DATI!$E$46/B402),DATI!$E$32*DATI!$E$42*DATI!$E$49*DATI!$E$33*((DATI!$E$46*DATI!$E$47)/B402^2))))</f>
        <v>9.9865971467152315E-2</v>
      </c>
      <c r="D402" s="300"/>
      <c r="E402" s="422"/>
      <c r="F402" s="422"/>
      <c r="G402" s="422"/>
      <c r="H402" s="422"/>
      <c r="I402" s="422"/>
      <c r="J402" s="422"/>
      <c r="K402" s="422"/>
      <c r="L402" s="422"/>
      <c r="M402" s="422"/>
      <c r="N402" s="422"/>
      <c r="O402" s="422"/>
      <c r="P402" s="422"/>
      <c r="Q402" s="422"/>
      <c r="R402" s="422"/>
      <c r="S402" s="422"/>
    </row>
    <row r="403" spans="1:19" x14ac:dyDescent="0.25">
      <c r="A403" s="422"/>
      <c r="B403" s="625">
        <f t="shared" si="6"/>
        <v>3.9799999999999591</v>
      </c>
      <c r="C403" s="638">
        <f>1/DATI!$E$38*IF(B403&lt;DATI!$E$45,DATI!$E$32*DATI!$E$42*DATI!$E$49*DATI!$E$33*(B403/DATI!$E$45+1/(DATI!$E$49*DATI!$E$33)*(1-B403/DATI!$E$45)),IF(B403&lt;DATI!$E$46,DATI!$E$32*DATI!$E$42*DATI!$E$49*DATI!$E$33,IF(B403&lt;DATI!$E$47,DATI!$E$32*DATI!$E$42*DATI!$E$49*DATI!$E$33*(DATI!$E$46/B403),DATI!$E$32*DATI!$E$42*DATI!$E$49*DATI!$E$33*((DATI!$E$46*DATI!$E$47)/B403^2))))</f>
        <v>9.9364762865624678E-2</v>
      </c>
      <c r="D403" s="300"/>
      <c r="E403" s="422"/>
      <c r="F403" s="422"/>
      <c r="G403" s="422"/>
      <c r="H403" s="422"/>
      <c r="I403" s="422"/>
      <c r="J403" s="422"/>
      <c r="K403" s="422"/>
      <c r="L403" s="422"/>
      <c r="M403" s="422"/>
      <c r="N403" s="422"/>
      <c r="O403" s="422"/>
      <c r="P403" s="422"/>
      <c r="Q403" s="422"/>
      <c r="R403" s="422"/>
      <c r="S403" s="422"/>
    </row>
    <row r="404" spans="1:19" x14ac:dyDescent="0.25">
      <c r="A404" s="422"/>
      <c r="B404" s="625">
        <f t="shared" si="6"/>
        <v>3.9899999999999589</v>
      </c>
      <c r="C404" s="638">
        <f>1/DATI!$E$38*IF(B404&lt;DATI!$E$45,DATI!$E$32*DATI!$E$42*DATI!$E$49*DATI!$E$33*(B404/DATI!$E$45+1/(DATI!$E$49*DATI!$E$33)*(1-B404/DATI!$E$45)),IF(B404&lt;DATI!$E$46,DATI!$E$32*DATI!$E$42*DATI!$E$49*DATI!$E$33,IF(B404&lt;DATI!$E$47,DATI!$E$32*DATI!$E$42*DATI!$E$49*DATI!$E$33*(DATI!$E$46/B404),DATI!$E$32*DATI!$E$42*DATI!$E$49*DATI!$E$33*((DATI!$E$46*DATI!$E$47)/B404^2))))</f>
        <v>9.8867318025429557E-2</v>
      </c>
      <c r="D404" s="300"/>
      <c r="E404" s="422"/>
      <c r="F404" s="422"/>
      <c r="G404" s="422"/>
      <c r="H404" s="422"/>
      <c r="I404" s="422"/>
      <c r="J404" s="422"/>
      <c r="K404" s="422"/>
      <c r="L404" s="422"/>
      <c r="M404" s="422"/>
      <c r="N404" s="422"/>
      <c r="O404" s="422"/>
      <c r="P404" s="422"/>
      <c r="Q404" s="422"/>
      <c r="R404" s="422"/>
      <c r="S404" s="422"/>
    </row>
    <row r="405" spans="1:19" x14ac:dyDescent="0.25">
      <c r="A405" s="422"/>
      <c r="B405" s="625">
        <f t="shared" si="6"/>
        <v>3.9999999999999587</v>
      </c>
      <c r="C405" s="638">
        <f>1/DATI!$E$38*IF(B405&lt;DATI!$E$45,DATI!$E$32*DATI!$E$42*DATI!$E$49*DATI!$E$33*(B405/DATI!$E$45+1/(DATI!$E$49*DATI!$E$33)*(1-B405/DATI!$E$45)),IF(B405&lt;DATI!$E$46,DATI!$E$32*DATI!$E$42*DATI!$E$49*DATI!$E$33,IF(B405&lt;DATI!$E$47,DATI!$E$32*DATI!$E$42*DATI!$E$49*DATI!$E$33*(DATI!$E$46/B405),DATI!$E$32*DATI!$E$42*DATI!$E$49*DATI!$E$33*((DATI!$E$46*DATI!$E$47)/B405^2))))</f>
        <v>9.8373599356040078E-2</v>
      </c>
      <c r="D405" s="300"/>
      <c r="E405" s="422"/>
      <c r="F405" s="422"/>
      <c r="G405" s="422"/>
      <c r="H405" s="422"/>
      <c r="I405" s="422"/>
      <c r="J405" s="422"/>
      <c r="K405" s="422"/>
      <c r="L405" s="422"/>
      <c r="M405" s="422"/>
      <c r="N405" s="422"/>
      <c r="O405" s="422"/>
      <c r="P405" s="422"/>
      <c r="Q405" s="422"/>
      <c r="R405" s="422"/>
      <c r="S405" s="422"/>
    </row>
    <row r="406" spans="1:19" x14ac:dyDescent="0.25">
      <c r="A406" s="422"/>
      <c r="B406" s="625">
        <f t="shared" si="6"/>
        <v>4.0099999999999589</v>
      </c>
      <c r="C406" s="638">
        <f>1/DATI!$E$38*IF(B406&lt;DATI!$E$45,DATI!$E$32*DATI!$E$42*DATI!$E$49*DATI!$E$33*(B406/DATI!$E$45+1/(DATI!$E$49*DATI!$E$33)*(1-B406/DATI!$E$45)),IF(B406&lt;DATI!$E$46,DATI!$E$32*DATI!$E$42*DATI!$E$49*DATI!$E$33,IF(B406&lt;DATI!$E$47,DATI!$E$32*DATI!$E$42*DATI!$E$49*DATI!$E$33*(DATI!$E$46/B406),DATI!$E$32*DATI!$E$42*DATI!$E$49*DATI!$E$33*((DATI!$E$46*DATI!$E$47)/B406^2))))</f>
        <v>9.7883569735053952E-2</v>
      </c>
      <c r="D406" s="300"/>
      <c r="E406" s="422"/>
      <c r="F406" s="422"/>
      <c r="G406" s="422"/>
      <c r="H406" s="422"/>
      <c r="I406" s="422"/>
      <c r="J406" s="422"/>
      <c r="K406" s="422"/>
      <c r="L406" s="422"/>
      <c r="M406" s="422"/>
      <c r="N406" s="422"/>
      <c r="O406" s="422"/>
      <c r="P406" s="422"/>
      <c r="Q406" s="422"/>
      <c r="R406" s="422"/>
      <c r="S406" s="422"/>
    </row>
    <row r="407" spans="1:19" x14ac:dyDescent="0.25">
      <c r="A407" s="422"/>
      <c r="B407" s="625">
        <f t="shared" si="6"/>
        <v>4.0199999999999587</v>
      </c>
      <c r="C407" s="638">
        <f>1/DATI!$E$38*IF(B407&lt;DATI!$E$45,DATI!$E$32*DATI!$E$42*DATI!$E$49*DATI!$E$33*(B407/DATI!$E$45+1/(DATI!$E$49*DATI!$E$33)*(1-B407/DATI!$E$45)),IF(B407&lt;DATI!$E$46,DATI!$E$32*DATI!$E$42*DATI!$E$49*DATI!$E$33,IF(B407&lt;DATI!$E$47,DATI!$E$32*DATI!$E$42*DATI!$E$49*DATI!$E$33*(DATI!$E$46/B407),DATI!$E$32*DATI!$E$42*DATI!$E$49*DATI!$E$33*((DATI!$E$46*DATI!$E$47)/B407^2))))</f>
        <v>9.7397192501215368E-2</v>
      </c>
      <c r="D407" s="300"/>
      <c r="E407" s="422"/>
      <c r="F407" s="422"/>
      <c r="G407" s="422"/>
      <c r="H407" s="422"/>
      <c r="I407" s="422"/>
      <c r="J407" s="422"/>
      <c r="K407" s="422"/>
      <c r="L407" s="422"/>
      <c r="M407" s="422"/>
      <c r="N407" s="422"/>
      <c r="O407" s="422"/>
      <c r="P407" s="422"/>
      <c r="Q407" s="422"/>
      <c r="R407" s="422"/>
      <c r="S407" s="422"/>
    </row>
    <row r="408" spans="1:19" x14ac:dyDescent="0.25">
      <c r="A408" s="422"/>
      <c r="B408" s="625">
        <f t="shared" si="6"/>
        <v>4.0299999999999585</v>
      </c>
      <c r="C408" s="638">
        <f>1/DATI!$E$38*IF(B408&lt;DATI!$E$45,DATI!$E$32*DATI!$E$42*DATI!$E$49*DATI!$E$33*(B408/DATI!$E$45+1/(DATI!$E$49*DATI!$E$33)*(1-B408/DATI!$E$45)),IF(B408&lt;DATI!$E$46,DATI!$E$32*DATI!$E$42*DATI!$E$49*DATI!$E$33,IF(B408&lt;DATI!$E$47,DATI!$E$32*DATI!$E$42*DATI!$E$49*DATI!$E$33*(DATI!$E$46/B408),DATI!$E$32*DATI!$E$42*DATI!$E$49*DATI!$E$33*((DATI!$E$46*DATI!$E$47)/B408^2))))</f>
        <v>9.6914431447557778E-2</v>
      </c>
      <c r="D408" s="300"/>
      <c r="E408" s="422"/>
      <c r="F408" s="422"/>
      <c r="G408" s="422"/>
      <c r="H408" s="422"/>
      <c r="I408" s="422"/>
      <c r="J408" s="422"/>
      <c r="K408" s="422"/>
      <c r="L408" s="422"/>
      <c r="M408" s="422"/>
      <c r="N408" s="422"/>
      <c r="O408" s="422"/>
      <c r="P408" s="422"/>
      <c r="Q408" s="422"/>
      <c r="R408" s="422"/>
      <c r="S408" s="422"/>
    </row>
    <row r="409" spans="1:19" x14ac:dyDescent="0.25">
      <c r="A409" s="422"/>
      <c r="B409" s="625">
        <f t="shared" si="6"/>
        <v>4.0399999999999583</v>
      </c>
      <c r="C409" s="638">
        <f>1/DATI!$E$38*IF(B409&lt;DATI!$E$45,DATI!$E$32*DATI!$E$42*DATI!$E$49*DATI!$E$33*(B409/DATI!$E$45+1/(DATI!$E$49*DATI!$E$33)*(1-B409/DATI!$E$45)),IF(B409&lt;DATI!$E$46,DATI!$E$32*DATI!$E$42*DATI!$E$49*DATI!$E$33,IF(B409&lt;DATI!$E$47,DATI!$E$32*DATI!$E$42*DATI!$E$49*DATI!$E$33*(DATI!$E$46/B409),DATI!$E$32*DATI!$E$42*DATI!$E$49*DATI!$E$33*((DATI!$E$46*DATI!$E$47)/B409^2))))</f>
        <v>9.6435250814665308E-2</v>
      </c>
      <c r="D409" s="300"/>
      <c r="E409" s="422"/>
      <c r="F409" s="422"/>
      <c r="G409" s="422"/>
      <c r="H409" s="422"/>
      <c r="I409" s="422"/>
      <c r="J409" s="422"/>
      <c r="K409" s="422"/>
      <c r="L409" s="422"/>
      <c r="M409" s="422"/>
      <c r="N409" s="422"/>
      <c r="O409" s="422"/>
      <c r="P409" s="422"/>
      <c r="Q409" s="422"/>
      <c r="R409" s="422"/>
      <c r="S409" s="422"/>
    </row>
    <row r="410" spans="1:19" x14ac:dyDescent="0.25">
      <c r="A410" s="422"/>
      <c r="B410" s="625">
        <f t="shared" si="6"/>
        <v>4.0499999999999581</v>
      </c>
      <c r="C410" s="638">
        <f>1/DATI!$E$38*IF(B410&lt;DATI!$E$45,DATI!$E$32*DATI!$E$42*DATI!$E$49*DATI!$E$33*(B410/DATI!$E$45+1/(DATI!$E$49*DATI!$E$33)*(1-B410/DATI!$E$45)),IF(B410&lt;DATI!$E$46,DATI!$E$32*DATI!$E$42*DATI!$E$49*DATI!$E$33,IF(B410&lt;DATI!$E$47,DATI!$E$32*DATI!$E$42*DATI!$E$49*DATI!$E$33*(DATI!$E$46/B410),DATI!$E$32*DATI!$E$42*DATI!$E$49*DATI!$E$33*((DATI!$E$46*DATI!$E$47)/B410^2))))</f>
        <v>9.5959615284050698E-2</v>
      </c>
      <c r="D410" s="300"/>
      <c r="E410" s="422"/>
      <c r="F410" s="422"/>
      <c r="G410" s="422"/>
      <c r="H410" s="422"/>
      <c r="I410" s="422"/>
      <c r="J410" s="422"/>
      <c r="K410" s="422"/>
      <c r="L410" s="422"/>
      <c r="M410" s="422"/>
      <c r="N410" s="422"/>
      <c r="O410" s="422"/>
      <c r="P410" s="422"/>
      <c r="Q410" s="422"/>
      <c r="R410" s="422"/>
      <c r="S410" s="422"/>
    </row>
    <row r="411" spans="1:19" x14ac:dyDescent="0.25">
      <c r="A411" s="422"/>
      <c r="B411" s="625">
        <f t="shared" si="6"/>
        <v>4.0599999999999579</v>
      </c>
      <c r="C411" s="638">
        <f>1/DATI!$E$38*IF(B411&lt;DATI!$E$45,DATI!$E$32*DATI!$E$42*DATI!$E$49*DATI!$E$33*(B411/DATI!$E$45+1/(DATI!$E$49*DATI!$E$33)*(1-B411/DATI!$E$45)),IF(B411&lt;DATI!$E$46,DATI!$E$32*DATI!$E$42*DATI!$E$49*DATI!$E$33,IF(B411&lt;DATI!$E$47,DATI!$E$32*DATI!$E$42*DATI!$E$49*DATI!$E$33*(DATI!$E$46/B411),DATI!$E$32*DATI!$E$42*DATI!$E$49*DATI!$E$33*((DATI!$E$46*DATI!$E$47)/B411^2))))</f>
        <v>9.5487489971647049E-2</v>
      </c>
      <c r="D411" s="300"/>
      <c r="E411" s="422"/>
      <c r="F411" s="422"/>
      <c r="G411" s="422"/>
      <c r="H411" s="422"/>
      <c r="I411" s="422"/>
      <c r="J411" s="422"/>
      <c r="K411" s="422"/>
      <c r="L411" s="422"/>
      <c r="M411" s="422"/>
      <c r="N411" s="422"/>
      <c r="O411" s="422"/>
      <c r="P411" s="422"/>
      <c r="Q411" s="422"/>
      <c r="R411" s="422"/>
      <c r="S411" s="422"/>
    </row>
    <row r="412" spans="1:19" x14ac:dyDescent="0.25">
      <c r="A412" s="422"/>
      <c r="B412" s="625">
        <f t="shared" si="6"/>
        <v>4.0699999999999577</v>
      </c>
      <c r="C412" s="638">
        <f>1/DATI!$E$38*IF(B412&lt;DATI!$E$45,DATI!$E$32*DATI!$E$42*DATI!$E$49*DATI!$E$33*(B412/DATI!$E$45+1/(DATI!$E$49*DATI!$E$33)*(1-B412/DATI!$E$45)),IF(B412&lt;DATI!$E$46,DATI!$E$32*DATI!$E$42*DATI!$E$49*DATI!$E$33,IF(B412&lt;DATI!$E$47,DATI!$E$32*DATI!$E$42*DATI!$E$49*DATI!$E$33*(DATI!$E$46/B412),DATI!$E$32*DATI!$E$42*DATI!$E$49*DATI!$E$33*((DATI!$E$46*DATI!$E$47)/B412^2))))</f>
        <v>9.5018840421411621E-2</v>
      </c>
      <c r="D412" s="300"/>
      <c r="E412" s="422"/>
      <c r="F412" s="422"/>
      <c r="G412" s="422"/>
      <c r="H412" s="422"/>
      <c r="I412" s="422"/>
      <c r="J412" s="422"/>
      <c r="K412" s="422"/>
      <c r="L412" s="422"/>
      <c r="M412" s="422"/>
      <c r="N412" s="422"/>
      <c r="O412" s="422"/>
      <c r="P412" s="422"/>
      <c r="Q412" s="422"/>
      <c r="R412" s="422"/>
      <c r="S412" s="422"/>
    </row>
    <row r="413" spans="1:19" x14ac:dyDescent="0.25">
      <c r="A413" s="422"/>
      <c r="B413" s="625">
        <f t="shared" si="6"/>
        <v>4.0799999999999574</v>
      </c>
      <c r="C413" s="638">
        <f>1/DATI!$E$38*IF(B413&lt;DATI!$E$45,DATI!$E$32*DATI!$E$42*DATI!$E$49*DATI!$E$33*(B413/DATI!$E$45+1/(DATI!$E$49*DATI!$E$33)*(1-B413/DATI!$E$45)),IF(B413&lt;DATI!$E$46,DATI!$E$32*DATI!$E$42*DATI!$E$49*DATI!$E$33,IF(B413&lt;DATI!$E$47,DATI!$E$32*DATI!$E$42*DATI!$E$49*DATI!$E$33*(DATI!$E$46/B413),DATI!$E$32*DATI!$E$42*DATI!$E$49*DATI!$E$33*((DATI!$E$46*DATI!$E$47)/B413^2))))</f>
        <v>9.4553632599038928E-2</v>
      </c>
      <c r="D413" s="300"/>
      <c r="E413" s="422"/>
      <c r="F413" s="422"/>
      <c r="G413" s="422"/>
      <c r="H413" s="422"/>
      <c r="I413" s="422"/>
      <c r="J413" s="422"/>
      <c r="K413" s="422"/>
      <c r="L413" s="422"/>
      <c r="M413" s="422"/>
      <c r="N413" s="422"/>
      <c r="O413" s="422"/>
      <c r="P413" s="422"/>
      <c r="Q413" s="422"/>
      <c r="R413" s="422"/>
      <c r="S413" s="422"/>
    </row>
    <row r="414" spans="1:19" x14ac:dyDescent="0.25">
      <c r="A414" s="422"/>
      <c r="B414" s="625">
        <f t="shared" si="6"/>
        <v>4.0899999999999572</v>
      </c>
      <c r="C414" s="638">
        <f>1/DATI!$E$38*IF(B414&lt;DATI!$E$45,DATI!$E$32*DATI!$E$42*DATI!$E$49*DATI!$E$33*(B414/DATI!$E$45+1/(DATI!$E$49*DATI!$E$33)*(1-B414/DATI!$E$45)),IF(B414&lt;DATI!$E$46,DATI!$E$32*DATI!$E$42*DATI!$E$49*DATI!$E$33,IF(B414&lt;DATI!$E$47,DATI!$E$32*DATI!$E$42*DATI!$E$49*DATI!$E$33*(DATI!$E$46/B414),DATI!$E$32*DATI!$E$42*DATI!$E$49*DATI!$E$33*((DATI!$E$46*DATI!$E$47)/B414^2))))</f>
        <v>9.4091832885781518E-2</v>
      </c>
      <c r="D414" s="300"/>
      <c r="E414" s="422"/>
      <c r="F414" s="422"/>
      <c r="G414" s="422"/>
      <c r="H414" s="422"/>
      <c r="I414" s="422"/>
      <c r="J414" s="422"/>
      <c r="K414" s="422"/>
      <c r="L414" s="422"/>
      <c r="M414" s="422"/>
      <c r="N414" s="422"/>
      <c r="O414" s="422"/>
      <c r="P414" s="422"/>
      <c r="Q414" s="422"/>
      <c r="R414" s="422"/>
      <c r="S414" s="422"/>
    </row>
    <row r="415" spans="1:19" x14ac:dyDescent="0.25">
      <c r="A415" s="422"/>
      <c r="B415" s="625">
        <f t="shared" si="6"/>
        <v>4.099999999999957</v>
      </c>
      <c r="C415" s="638">
        <f>1/DATI!$E$38*IF(B415&lt;DATI!$E$45,DATI!$E$32*DATI!$E$42*DATI!$E$49*DATI!$E$33*(B415/DATI!$E$45+1/(DATI!$E$49*DATI!$E$33)*(1-B415/DATI!$E$45)),IF(B415&lt;DATI!$E$46,DATI!$E$32*DATI!$E$42*DATI!$E$49*DATI!$E$33,IF(B415&lt;DATI!$E$47,DATI!$E$32*DATI!$E$42*DATI!$E$49*DATI!$E$33*(DATI!$E$46/B415),DATI!$E$32*DATI!$E$42*DATI!$E$49*DATI!$E$33*((DATI!$E$46*DATI!$E$47)/B415^2))))</f>
        <v>9.3633408072376065E-2</v>
      </c>
      <c r="D415" s="300"/>
      <c r="E415" s="422"/>
      <c r="F415" s="422"/>
      <c r="G415" s="422"/>
      <c r="H415" s="422"/>
      <c r="I415" s="422"/>
      <c r="J415" s="422"/>
      <c r="K415" s="422"/>
      <c r="L415" s="422"/>
      <c r="M415" s="422"/>
      <c r="N415" s="422"/>
      <c r="O415" s="422"/>
      <c r="P415" s="422"/>
      <c r="Q415" s="422"/>
      <c r="R415" s="422"/>
      <c r="S415" s="422"/>
    </row>
    <row r="416" spans="1:19" x14ac:dyDescent="0.25">
      <c r="A416" s="422"/>
      <c r="B416" s="625">
        <f t="shared" si="6"/>
        <v>4.1099999999999568</v>
      </c>
      <c r="C416" s="638">
        <f>1/DATI!$E$38*IF(B416&lt;DATI!$E$45,DATI!$E$32*DATI!$E$42*DATI!$E$49*DATI!$E$33*(B416/DATI!$E$45+1/(DATI!$E$49*DATI!$E$33)*(1-B416/DATI!$E$45)),IF(B416&lt;DATI!$E$46,DATI!$E$32*DATI!$E$42*DATI!$E$49*DATI!$E$33,IF(B416&lt;DATI!$E$47,DATI!$E$32*DATI!$E$42*DATI!$E$49*DATI!$E$33*(DATI!$E$46/B416),DATI!$E$32*DATI!$E$42*DATI!$E$49*DATI!$E$33*((DATI!$E$46*DATI!$E$47)/B416^2))))</f>
        <v>9.3178325353072841E-2</v>
      </c>
      <c r="D416" s="300"/>
      <c r="E416" s="422"/>
      <c r="F416" s="422"/>
      <c r="G416" s="422"/>
      <c r="H416" s="422"/>
      <c r="I416" s="422"/>
      <c r="J416" s="422"/>
      <c r="K416" s="422"/>
      <c r="L416" s="422"/>
      <c r="M416" s="422"/>
      <c r="N416" s="422"/>
      <c r="O416" s="422"/>
      <c r="P416" s="422"/>
      <c r="Q416" s="422"/>
      <c r="R416" s="422"/>
      <c r="S416" s="422"/>
    </row>
    <row r="417" spans="1:19" x14ac:dyDescent="0.25">
      <c r="A417" s="422"/>
      <c r="B417" s="625">
        <f t="shared" si="6"/>
        <v>4.1199999999999566</v>
      </c>
      <c r="C417" s="638">
        <f>1/DATI!$E$38*IF(B417&lt;DATI!$E$45,DATI!$E$32*DATI!$E$42*DATI!$E$49*DATI!$E$33*(B417/DATI!$E$45+1/(DATI!$E$49*DATI!$E$33)*(1-B417/DATI!$E$45)),IF(B417&lt;DATI!$E$46,DATI!$E$32*DATI!$E$42*DATI!$E$49*DATI!$E$33,IF(B417&lt;DATI!$E$47,DATI!$E$32*DATI!$E$42*DATI!$E$49*DATI!$E$33*(DATI!$E$46/B417),DATI!$E$32*DATI!$E$42*DATI!$E$49*DATI!$E$33*((DATI!$E$46*DATI!$E$47)/B417^2))))</f>
        <v>9.2726552319766328E-2</v>
      </c>
      <c r="D417" s="300"/>
      <c r="E417" s="422"/>
      <c r="F417" s="422"/>
      <c r="G417" s="422"/>
      <c r="H417" s="422"/>
      <c r="I417" s="422"/>
      <c r="J417" s="422"/>
      <c r="K417" s="422"/>
      <c r="L417" s="422"/>
      <c r="M417" s="422"/>
      <c r="N417" s="422"/>
      <c r="O417" s="422"/>
      <c r="P417" s="422"/>
      <c r="Q417" s="422"/>
      <c r="R417" s="422"/>
      <c r="S417" s="422"/>
    </row>
    <row r="418" spans="1:19" x14ac:dyDescent="0.25">
      <c r="A418" s="422"/>
      <c r="B418" s="625">
        <f t="shared" si="6"/>
        <v>4.1299999999999564</v>
      </c>
      <c r="C418" s="638">
        <f>1/DATI!$E$38*IF(B418&lt;DATI!$E$45,DATI!$E$32*DATI!$E$42*DATI!$E$49*DATI!$E$33*(B418/DATI!$E$45+1/(DATI!$E$49*DATI!$E$33)*(1-B418/DATI!$E$45)),IF(B418&lt;DATI!$E$46,DATI!$E$32*DATI!$E$42*DATI!$E$49*DATI!$E$33,IF(B418&lt;DATI!$E$47,DATI!$E$32*DATI!$E$42*DATI!$E$49*DATI!$E$33*(DATI!$E$46/B418),DATI!$E$32*DATI!$E$42*DATI!$E$49*DATI!$E$33*((DATI!$E$46*DATI!$E$47)/B418^2))))</f>
        <v>9.2278056956225457E-2</v>
      </c>
      <c r="D418" s="300"/>
      <c r="E418" s="422"/>
      <c r="F418" s="422"/>
      <c r="G418" s="422"/>
      <c r="H418" s="422"/>
      <c r="I418" s="422"/>
      <c r="J418" s="422"/>
      <c r="K418" s="422"/>
      <c r="L418" s="422"/>
      <c r="M418" s="422"/>
      <c r="N418" s="422"/>
      <c r="O418" s="422"/>
      <c r="P418" s="422"/>
      <c r="Q418" s="422"/>
      <c r="R418" s="422"/>
      <c r="S418" s="422"/>
    </row>
    <row r="419" spans="1:19" x14ac:dyDescent="0.25">
      <c r="A419" s="422"/>
      <c r="B419" s="625">
        <f t="shared" si="6"/>
        <v>4.1399999999999562</v>
      </c>
      <c r="C419" s="638">
        <f>1/DATI!$E$38*IF(B419&lt;DATI!$E$45,DATI!$E$32*DATI!$E$42*DATI!$E$49*DATI!$E$33*(B419/DATI!$E$45+1/(DATI!$E$49*DATI!$E$33)*(1-B419/DATI!$E$45)),IF(B419&lt;DATI!$E$46,DATI!$E$32*DATI!$E$42*DATI!$E$49*DATI!$E$33,IF(B419&lt;DATI!$E$47,DATI!$E$32*DATI!$E$42*DATI!$E$49*DATI!$E$33*(DATI!$E$46/B419),DATI!$E$32*DATI!$E$42*DATI!$E$49*DATI!$E$33*((DATI!$E$46*DATI!$E$47)/B419^2))))</f>
        <v>9.1832807632420951E-2</v>
      </c>
      <c r="D419" s="300"/>
      <c r="E419" s="422"/>
      <c r="F419" s="422"/>
      <c r="G419" s="422"/>
      <c r="H419" s="422"/>
      <c r="I419" s="422"/>
      <c r="J419" s="422"/>
      <c r="K419" s="422"/>
      <c r="L419" s="422"/>
      <c r="M419" s="422"/>
      <c r="N419" s="422"/>
      <c r="O419" s="422"/>
      <c r="P419" s="422"/>
      <c r="Q419" s="422"/>
      <c r="R419" s="422"/>
      <c r="S419" s="422"/>
    </row>
    <row r="420" spans="1:19" x14ac:dyDescent="0.25">
      <c r="A420" s="422"/>
      <c r="B420" s="625">
        <f t="shared" si="6"/>
        <v>4.1499999999999559</v>
      </c>
      <c r="C420" s="638">
        <f>1/DATI!$E$38*IF(B420&lt;DATI!$E$45,DATI!$E$32*DATI!$E$42*DATI!$E$49*DATI!$E$33*(B420/DATI!$E$45+1/(DATI!$E$49*DATI!$E$33)*(1-B420/DATI!$E$45)),IF(B420&lt;DATI!$E$46,DATI!$E$32*DATI!$E$42*DATI!$E$49*DATI!$E$33,IF(B420&lt;DATI!$E$47,DATI!$E$32*DATI!$E$42*DATI!$E$49*DATI!$E$33*(DATI!$E$46/B420),DATI!$E$32*DATI!$E$42*DATI!$E$49*DATI!$E$33*((DATI!$E$46*DATI!$E$47)/B420^2))))</f>
        <v>9.139077309894858E-2</v>
      </c>
      <c r="D420" s="300"/>
      <c r="E420" s="422"/>
      <c r="F420" s="422"/>
      <c r="G420" s="422"/>
      <c r="H420" s="422"/>
      <c r="I420" s="422"/>
      <c r="J420" s="422"/>
      <c r="K420" s="422"/>
      <c r="L420" s="422"/>
      <c r="M420" s="422"/>
      <c r="N420" s="422"/>
      <c r="O420" s="422"/>
      <c r="P420" s="422"/>
      <c r="Q420" s="422"/>
      <c r="R420" s="422"/>
      <c r="S420" s="422"/>
    </row>
    <row r="421" spans="1:19" x14ac:dyDescent="0.25">
      <c r="A421" s="422"/>
      <c r="B421" s="625">
        <f t="shared" si="6"/>
        <v>4.1599999999999557</v>
      </c>
      <c r="C421" s="638">
        <f>1/DATI!$E$38*IF(B421&lt;DATI!$E$45,DATI!$E$32*DATI!$E$42*DATI!$E$49*DATI!$E$33*(B421/DATI!$E$45+1/(DATI!$E$49*DATI!$E$33)*(1-B421/DATI!$E$45)),IF(B421&lt;DATI!$E$46,DATI!$E$32*DATI!$E$42*DATI!$E$49*DATI!$E$33,IF(B421&lt;DATI!$E$47,DATI!$E$32*DATI!$E$42*DATI!$E$49*DATI!$E$33*(DATI!$E$46/B421),DATI!$E$32*DATI!$E$42*DATI!$E$49*DATI!$E$33*((DATI!$E$46*DATI!$E$47)/B421^2))))</f>
        <v>9.0951922481545988E-2</v>
      </c>
      <c r="D421" s="300"/>
      <c r="E421" s="422"/>
      <c r="F421" s="422"/>
      <c r="G421" s="422"/>
      <c r="H421" s="422"/>
      <c r="I421" s="422"/>
      <c r="J421" s="422"/>
      <c r="K421" s="422"/>
      <c r="L421" s="422"/>
      <c r="M421" s="422"/>
      <c r="N421" s="422"/>
      <c r="O421" s="422"/>
      <c r="P421" s="422"/>
      <c r="Q421" s="422"/>
      <c r="R421" s="422"/>
      <c r="S421" s="422"/>
    </row>
    <row r="422" spans="1:19" x14ac:dyDescent="0.25">
      <c r="A422" s="422"/>
      <c r="B422" s="625">
        <f t="shared" si="6"/>
        <v>4.1699999999999555</v>
      </c>
      <c r="C422" s="638">
        <f>1/DATI!$E$38*IF(B422&lt;DATI!$E$45,DATI!$E$32*DATI!$E$42*DATI!$E$49*DATI!$E$33*(B422/DATI!$E$45+1/(DATI!$E$49*DATI!$E$33)*(1-B422/DATI!$E$45)),IF(B422&lt;DATI!$E$46,DATI!$E$32*DATI!$E$42*DATI!$E$49*DATI!$E$33,IF(B422&lt;DATI!$E$47,DATI!$E$32*DATI!$E$42*DATI!$E$49*DATI!$E$33*(DATI!$E$46/B422),DATI!$E$32*DATI!$E$42*DATI!$E$49*DATI!$E$33*((DATI!$E$46*DATI!$E$47)/B422^2))))</f>
        <v>9.0516225275701287E-2</v>
      </c>
      <c r="D422" s="300"/>
      <c r="E422" s="422"/>
      <c r="F422" s="422"/>
      <c r="G422" s="422"/>
      <c r="H422" s="422"/>
      <c r="I422" s="422"/>
      <c r="J422" s="422"/>
      <c r="K422" s="422"/>
      <c r="L422" s="422"/>
      <c r="M422" s="422"/>
      <c r="N422" s="422"/>
      <c r="O422" s="422"/>
      <c r="P422" s="422"/>
      <c r="Q422" s="422"/>
      <c r="R422" s="422"/>
      <c r="S422" s="422"/>
    </row>
    <row r="423" spans="1:19" x14ac:dyDescent="0.25">
      <c r="A423" s="422"/>
      <c r="B423" s="625">
        <f t="shared" si="6"/>
        <v>4.1799999999999553</v>
      </c>
      <c r="C423" s="638">
        <f>1/DATI!$E$38*IF(B423&lt;DATI!$E$45,DATI!$E$32*DATI!$E$42*DATI!$E$49*DATI!$E$33*(B423/DATI!$E$45+1/(DATI!$E$49*DATI!$E$33)*(1-B423/DATI!$E$45)),IF(B423&lt;DATI!$E$46,DATI!$E$32*DATI!$E$42*DATI!$E$49*DATI!$E$33,IF(B423&lt;DATI!$E$47,DATI!$E$32*DATI!$E$42*DATI!$E$49*DATI!$E$33*(DATI!$E$46/B423),DATI!$E$32*DATI!$E$42*DATI!$E$49*DATI!$E$33*((DATI!$E$46*DATI!$E$47)/B423^2))))</f>
        <v>9.0083651341352211E-2</v>
      </c>
      <c r="D423" s="300"/>
      <c r="E423" s="422"/>
      <c r="F423" s="422"/>
      <c r="G423" s="422"/>
      <c r="H423" s="422"/>
      <c r="I423" s="422"/>
      <c r="J423" s="422"/>
      <c r="K423" s="422"/>
      <c r="L423" s="422"/>
      <c r="M423" s="422"/>
      <c r="N423" s="422"/>
      <c r="O423" s="422"/>
      <c r="P423" s="422"/>
      <c r="Q423" s="422"/>
      <c r="R423" s="422"/>
      <c r="S423" s="422"/>
    </row>
    <row r="424" spans="1:19" x14ac:dyDescent="0.25">
      <c r="A424" s="422"/>
      <c r="B424" s="625">
        <f t="shared" si="6"/>
        <v>4.1899999999999551</v>
      </c>
      <c r="C424" s="638">
        <f>1/DATI!$E$38*IF(B424&lt;DATI!$E$45,DATI!$E$32*DATI!$E$42*DATI!$E$49*DATI!$E$33*(B424/DATI!$E$45+1/(DATI!$E$49*DATI!$E$33)*(1-B424/DATI!$E$45)),IF(B424&lt;DATI!$E$46,DATI!$E$32*DATI!$E$42*DATI!$E$49*DATI!$E$33,IF(B424&lt;DATI!$E$47,DATI!$E$32*DATI!$E$42*DATI!$E$49*DATI!$E$33*(DATI!$E$46/B424),DATI!$E$32*DATI!$E$42*DATI!$E$49*DATI!$E$33*((DATI!$E$46*DATI!$E$47)/B424^2))))</f>
        <v>8.9654170897673316E-2</v>
      </c>
      <c r="D424" s="300"/>
      <c r="E424" s="422"/>
      <c r="F424" s="422"/>
      <c r="G424" s="422"/>
      <c r="H424" s="422"/>
      <c r="I424" s="422"/>
      <c r="J424" s="422"/>
      <c r="K424" s="422"/>
      <c r="L424" s="422"/>
      <c r="M424" s="422"/>
      <c r="N424" s="422"/>
      <c r="O424" s="422"/>
      <c r="P424" s="422"/>
      <c r="Q424" s="422"/>
      <c r="R424" s="422"/>
      <c r="S424" s="422"/>
    </row>
    <row r="425" spans="1:19" x14ac:dyDescent="0.25">
      <c r="A425" s="422"/>
      <c r="B425" s="625">
        <f t="shared" si="6"/>
        <v>4.1999999999999549</v>
      </c>
      <c r="C425" s="638">
        <f>1/DATI!$E$38*IF(B425&lt;DATI!$E$45,DATI!$E$32*DATI!$E$42*DATI!$E$49*DATI!$E$33*(B425/DATI!$E$45+1/(DATI!$E$49*DATI!$E$33)*(1-B425/DATI!$E$45)),IF(B425&lt;DATI!$E$46,DATI!$E$32*DATI!$E$42*DATI!$E$49*DATI!$E$33,IF(B425&lt;DATI!$E$47,DATI!$E$32*DATI!$E$42*DATI!$E$49*DATI!$E$33*(DATI!$E$46/B425),DATI!$E$32*DATI!$E$42*DATI!$E$49*DATI!$E$33*((DATI!$E$46*DATI!$E$47)/B425^2))))</f>
        <v>8.9227754517950258E-2</v>
      </c>
      <c r="D425" s="300"/>
      <c r="E425" s="422"/>
      <c r="F425" s="422"/>
      <c r="G425" s="422"/>
      <c r="H425" s="422"/>
      <c r="I425" s="422"/>
      <c r="J425" s="422"/>
      <c r="K425" s="422"/>
      <c r="L425" s="422"/>
      <c r="M425" s="422"/>
      <c r="N425" s="422"/>
      <c r="O425" s="422"/>
      <c r="P425" s="422"/>
      <c r="Q425" s="422"/>
      <c r="R425" s="422"/>
      <c r="S425" s="422"/>
    </row>
    <row r="426" spans="1:19" x14ac:dyDescent="0.25">
      <c r="A426" s="422"/>
      <c r="B426" s="625">
        <f t="shared" si="6"/>
        <v>4.2099999999999547</v>
      </c>
      <c r="C426" s="638">
        <f>1/DATI!$E$38*IF(B426&lt;DATI!$E$45,DATI!$E$32*DATI!$E$42*DATI!$E$49*DATI!$E$33*(B426/DATI!$E$45+1/(DATI!$E$49*DATI!$E$33)*(1-B426/DATI!$E$45)),IF(B426&lt;DATI!$E$46,DATI!$E$32*DATI!$E$42*DATI!$E$49*DATI!$E$33,IF(B426&lt;DATI!$E$47,DATI!$E$32*DATI!$E$42*DATI!$E$49*DATI!$E$33*(DATI!$E$46/B426),DATI!$E$32*DATI!$E$42*DATI!$E$49*DATI!$E$33*((DATI!$E$46*DATI!$E$47)/B426^2))))</f>
        <v>8.8804373124539052E-2</v>
      </c>
      <c r="D426" s="300"/>
      <c r="E426" s="422"/>
      <c r="F426" s="422"/>
      <c r="G426" s="422"/>
      <c r="H426" s="422"/>
      <c r="I426" s="422"/>
      <c r="J426" s="422"/>
      <c r="K426" s="422"/>
      <c r="L426" s="422"/>
      <c r="M426" s="422"/>
      <c r="N426" s="422"/>
      <c r="O426" s="422"/>
      <c r="P426" s="422"/>
      <c r="Q426" s="422"/>
      <c r="R426" s="422"/>
      <c r="S426" s="422"/>
    </row>
    <row r="427" spans="1:19" x14ac:dyDescent="0.25">
      <c r="A427" s="422"/>
      <c r="B427" s="625">
        <f t="shared" si="6"/>
        <v>4.2199999999999545</v>
      </c>
      <c r="C427" s="638">
        <f>1/DATI!$E$38*IF(B427&lt;DATI!$E$45,DATI!$E$32*DATI!$E$42*DATI!$E$49*DATI!$E$33*(B427/DATI!$E$45+1/(DATI!$E$49*DATI!$E$33)*(1-B427/DATI!$E$45)),IF(B427&lt;DATI!$E$46,DATI!$E$32*DATI!$E$42*DATI!$E$49*DATI!$E$33,IF(B427&lt;DATI!$E$47,DATI!$E$32*DATI!$E$42*DATI!$E$49*DATI!$E$33*(DATI!$E$46/B427),DATI!$E$32*DATI!$E$42*DATI!$E$49*DATI!$E$33*((DATI!$E$46*DATI!$E$47)/B427^2))))</f>
        <v>8.8383997983908877E-2</v>
      </c>
      <c r="D427" s="300"/>
      <c r="E427" s="422"/>
      <c r="F427" s="422"/>
      <c r="G427" s="422"/>
      <c r="H427" s="422"/>
      <c r="I427" s="422"/>
      <c r="J427" s="422"/>
      <c r="K427" s="422"/>
      <c r="L427" s="422"/>
      <c r="M427" s="422"/>
      <c r="N427" s="422"/>
      <c r="O427" s="422"/>
      <c r="P427" s="422"/>
      <c r="Q427" s="422"/>
      <c r="R427" s="422"/>
      <c r="S427" s="422"/>
    </row>
    <row r="428" spans="1:19" x14ac:dyDescent="0.25">
      <c r="A428" s="422"/>
      <c r="B428" s="625">
        <f t="shared" si="6"/>
        <v>4.2299999999999542</v>
      </c>
      <c r="C428" s="638">
        <f>1/DATI!$E$38*IF(B428&lt;DATI!$E$45,DATI!$E$32*DATI!$E$42*DATI!$E$49*DATI!$E$33*(B428/DATI!$E$45+1/(DATI!$E$49*DATI!$E$33)*(1-B428/DATI!$E$45)),IF(B428&lt;DATI!$E$46,DATI!$E$32*DATI!$E$42*DATI!$E$49*DATI!$E$33,IF(B428&lt;DATI!$E$47,DATI!$E$32*DATI!$E$42*DATI!$E$49*DATI!$E$33*(DATI!$E$46/B428),DATI!$E$32*DATI!$E$42*DATI!$E$49*DATI!$E$33*((DATI!$E$46*DATI!$E$47)/B428^2))))</f>
        <v>8.7966600701766776E-2</v>
      </c>
      <c r="D428" s="300"/>
      <c r="E428" s="422"/>
      <c r="F428" s="422"/>
      <c r="G428" s="422"/>
      <c r="H428" s="422"/>
      <c r="I428" s="422"/>
      <c r="J428" s="422"/>
      <c r="K428" s="422"/>
      <c r="L428" s="422"/>
      <c r="M428" s="422"/>
      <c r="N428" s="422"/>
      <c r="O428" s="422"/>
      <c r="P428" s="422"/>
      <c r="Q428" s="422"/>
      <c r="R428" s="422"/>
      <c r="S428" s="422"/>
    </row>
    <row r="429" spans="1:19" x14ac:dyDescent="0.25">
      <c r="A429" s="422"/>
      <c r="B429" s="625">
        <f t="shared" si="6"/>
        <v>4.239999999999954</v>
      </c>
      <c r="C429" s="638">
        <f>1/DATI!$E$38*IF(B429&lt;DATI!$E$45,DATI!$E$32*DATI!$E$42*DATI!$E$49*DATI!$E$33*(B429/DATI!$E$45+1/(DATI!$E$49*DATI!$E$33)*(1-B429/DATI!$E$45)),IF(B429&lt;DATI!$E$46,DATI!$E$32*DATI!$E$42*DATI!$E$49*DATI!$E$33,IF(B429&lt;DATI!$E$47,DATI!$E$32*DATI!$E$42*DATI!$E$49*DATI!$E$33*(DATI!$E$46/B429),DATI!$E$32*DATI!$E$42*DATI!$E$49*DATI!$E$33*((DATI!$E$46*DATI!$E$47)/B429^2))))</f>
        <v>8.7552153218262874E-2</v>
      </c>
      <c r="D429" s="300"/>
      <c r="E429" s="422"/>
      <c r="F429" s="422"/>
      <c r="G429" s="422"/>
      <c r="H429" s="422"/>
      <c r="I429" s="422"/>
      <c r="J429" s="422"/>
      <c r="K429" s="422"/>
      <c r="L429" s="422"/>
      <c r="M429" s="422"/>
      <c r="N429" s="422"/>
      <c r="O429" s="422"/>
      <c r="P429" s="422"/>
      <c r="Q429" s="422"/>
      <c r="R429" s="422"/>
      <c r="S429" s="422"/>
    </row>
    <row r="430" spans="1:19" x14ac:dyDescent="0.25">
      <c r="A430" s="422"/>
      <c r="B430" s="625">
        <f t="shared" si="6"/>
        <v>4.2499999999999538</v>
      </c>
      <c r="C430" s="638">
        <f>1/DATI!$E$38*IF(B430&lt;DATI!$E$45,DATI!$E$32*DATI!$E$42*DATI!$E$49*DATI!$E$33*(B430/DATI!$E$45+1/(DATI!$E$49*DATI!$E$33)*(1-B430/DATI!$E$45)),IF(B430&lt;DATI!$E$46,DATI!$E$32*DATI!$E$42*DATI!$E$49*DATI!$E$33,IF(B430&lt;DATI!$E$47,DATI!$E$32*DATI!$E$42*DATI!$E$49*DATI!$E$33*(DATI!$E$46/B430),DATI!$E$32*DATI!$E$42*DATI!$E$49*DATI!$E$33*((DATI!$E$46*DATI!$E$47)/B430^2))))</f>
        <v>8.7140627803274334E-2</v>
      </c>
      <c r="D430" s="300"/>
      <c r="E430" s="422"/>
      <c r="F430" s="422"/>
      <c r="G430" s="422"/>
      <c r="H430" s="422"/>
      <c r="I430" s="422"/>
      <c r="J430" s="422"/>
      <c r="K430" s="422"/>
      <c r="L430" s="422"/>
      <c r="M430" s="422"/>
      <c r="N430" s="422"/>
      <c r="O430" s="422"/>
      <c r="P430" s="422"/>
      <c r="Q430" s="422"/>
      <c r="R430" s="422"/>
      <c r="S430" s="422"/>
    </row>
    <row r="431" spans="1:19" x14ac:dyDescent="0.25">
      <c r="A431" s="422"/>
      <c r="B431" s="625">
        <f t="shared" si="6"/>
        <v>4.2599999999999536</v>
      </c>
      <c r="C431" s="638">
        <f>1/DATI!$E$38*IF(B431&lt;DATI!$E$45,DATI!$E$32*DATI!$E$42*DATI!$E$49*DATI!$E$33*(B431/DATI!$E$45+1/(DATI!$E$49*DATI!$E$33)*(1-B431/DATI!$E$45)),IF(B431&lt;DATI!$E$46,DATI!$E$32*DATI!$E$42*DATI!$E$49*DATI!$E$33,IF(B431&lt;DATI!$E$47,DATI!$E$32*DATI!$E$42*DATI!$E$49*DATI!$E$33*(DATI!$E$46/B431),DATI!$E$32*DATI!$E$42*DATI!$E$49*DATI!$E$33*((DATI!$E$46*DATI!$E$47)/B431^2))))</f>
        <v>8.6731997051766777E-2</v>
      </c>
      <c r="D431" s="300"/>
      <c r="E431" s="422"/>
      <c r="F431" s="422"/>
      <c r="G431" s="422"/>
      <c r="H431" s="422"/>
      <c r="I431" s="422"/>
      <c r="J431" s="422"/>
      <c r="K431" s="422"/>
      <c r="L431" s="422"/>
      <c r="M431" s="422"/>
      <c r="N431" s="422"/>
      <c r="O431" s="422"/>
      <c r="P431" s="422"/>
      <c r="Q431" s="422"/>
      <c r="R431" s="422"/>
      <c r="S431" s="422"/>
    </row>
    <row r="432" spans="1:19" x14ac:dyDescent="0.25">
      <c r="A432" s="422"/>
      <c r="B432" s="625">
        <f t="shared" si="6"/>
        <v>4.2699999999999534</v>
      </c>
      <c r="C432" s="638">
        <f>1/DATI!$E$38*IF(B432&lt;DATI!$E$45,DATI!$E$32*DATI!$E$42*DATI!$E$49*DATI!$E$33*(B432/DATI!$E$45+1/(DATI!$E$49*DATI!$E$33)*(1-B432/DATI!$E$45)),IF(B432&lt;DATI!$E$46,DATI!$E$32*DATI!$E$42*DATI!$E$49*DATI!$E$33,IF(B432&lt;DATI!$E$47,DATI!$E$32*DATI!$E$42*DATI!$E$49*DATI!$E$33*(DATI!$E$46/B432),DATI!$E$32*DATI!$E$42*DATI!$E$49*DATI!$E$33*((DATI!$E$46*DATI!$E$47)/B432^2))))</f>
        <v>8.6326233879231662E-2</v>
      </c>
      <c r="D432" s="300"/>
      <c r="E432" s="422"/>
      <c r="F432" s="422"/>
      <c r="G432" s="422"/>
      <c r="H432" s="422"/>
      <c r="I432" s="422"/>
      <c r="J432" s="422"/>
      <c r="K432" s="422"/>
      <c r="L432" s="422"/>
      <c r="M432" s="422"/>
      <c r="N432" s="422"/>
      <c r="O432" s="422"/>
      <c r="P432" s="422"/>
      <c r="Q432" s="422"/>
      <c r="R432" s="422"/>
      <c r="S432" s="422"/>
    </row>
    <row r="433" spans="1:19" x14ac:dyDescent="0.25">
      <c r="A433" s="422"/>
      <c r="B433" s="625">
        <f t="shared" si="6"/>
        <v>4.2799999999999532</v>
      </c>
      <c r="C433" s="638">
        <f>1/DATI!$E$38*IF(B433&lt;DATI!$E$45,DATI!$E$32*DATI!$E$42*DATI!$E$49*DATI!$E$33*(B433/DATI!$E$45+1/(DATI!$E$49*DATI!$E$33)*(1-B433/DATI!$E$45)),IF(B433&lt;DATI!$E$46,DATI!$E$32*DATI!$E$42*DATI!$E$49*DATI!$E$33,IF(B433&lt;DATI!$E$47,DATI!$E$32*DATI!$E$42*DATI!$E$49*DATI!$E$33*(DATI!$E$46/B433),DATI!$E$32*DATI!$E$42*DATI!$E$49*DATI!$E$33*((DATI!$E$46*DATI!$E$47)/B433^2))))</f>
        <v>8.5923311517198175E-2</v>
      </c>
      <c r="D433" s="300"/>
      <c r="E433" s="422"/>
      <c r="F433" s="422"/>
      <c r="G433" s="422"/>
      <c r="H433" s="422"/>
      <c r="I433" s="422"/>
      <c r="J433" s="422"/>
      <c r="K433" s="422"/>
      <c r="L433" s="422"/>
      <c r="M433" s="422"/>
      <c r="N433" s="422"/>
      <c r="O433" s="422"/>
      <c r="P433" s="422"/>
      <c r="Q433" s="422"/>
      <c r="R433" s="422"/>
      <c r="S433" s="422"/>
    </row>
    <row r="434" spans="1:19" x14ac:dyDescent="0.25">
      <c r="A434" s="422"/>
      <c r="B434" s="625">
        <f t="shared" si="6"/>
        <v>4.289999999999953</v>
      </c>
      <c r="C434" s="638">
        <f>1/DATI!$E$38*IF(B434&lt;DATI!$E$45,DATI!$E$32*DATI!$E$42*DATI!$E$49*DATI!$E$33*(B434/DATI!$E$45+1/(DATI!$E$49*DATI!$E$33)*(1-B434/DATI!$E$45)),IF(B434&lt;DATI!$E$46,DATI!$E$32*DATI!$E$42*DATI!$E$49*DATI!$E$33,IF(B434&lt;DATI!$E$47,DATI!$E$32*DATI!$E$42*DATI!$E$49*DATI!$E$33*(DATI!$E$46/B434),DATI!$E$32*DATI!$E$42*DATI!$E$49*DATI!$E$33*((DATI!$E$46*DATI!$E$47)/B434^2))))</f>
        <v>8.5523203508818327E-2</v>
      </c>
      <c r="D434" s="300"/>
      <c r="E434" s="422"/>
      <c r="F434" s="422"/>
      <c r="G434" s="422"/>
      <c r="H434" s="422"/>
      <c r="I434" s="422"/>
      <c r="J434" s="422"/>
      <c r="K434" s="422"/>
      <c r="L434" s="422"/>
      <c r="M434" s="422"/>
      <c r="N434" s="422"/>
      <c r="O434" s="422"/>
      <c r="P434" s="422"/>
      <c r="Q434" s="422"/>
      <c r="R434" s="422"/>
      <c r="S434" s="422"/>
    </row>
    <row r="435" spans="1:19" x14ac:dyDescent="0.25">
      <c r="A435" s="422"/>
      <c r="B435" s="625">
        <f t="shared" si="6"/>
        <v>4.2999999999999527</v>
      </c>
      <c r="C435" s="638">
        <f>1/DATI!$E$38*IF(B435&lt;DATI!$E$45,DATI!$E$32*DATI!$E$42*DATI!$E$49*DATI!$E$33*(B435/DATI!$E$45+1/(DATI!$E$49*DATI!$E$33)*(1-B435/DATI!$E$45)),IF(B435&lt;DATI!$E$46,DATI!$E$32*DATI!$E$42*DATI!$E$49*DATI!$E$33,IF(B435&lt;DATI!$E$47,DATI!$E$32*DATI!$E$42*DATI!$E$49*DATI!$E$33*(DATI!$E$46/B435),DATI!$E$32*DATI!$E$42*DATI!$E$49*DATI!$E$33*((DATI!$E$46*DATI!$E$47)/B435^2))))</f>
        <v>8.5125883704523717E-2</v>
      </c>
      <c r="D435" s="300"/>
      <c r="E435" s="422"/>
      <c r="F435" s="422"/>
      <c r="G435" s="422"/>
      <c r="H435" s="422"/>
      <c r="I435" s="422"/>
      <c r="J435" s="422"/>
      <c r="K435" s="422"/>
      <c r="L435" s="422"/>
      <c r="M435" s="422"/>
      <c r="N435" s="422"/>
      <c r="O435" s="422"/>
      <c r="P435" s="422"/>
      <c r="Q435" s="422"/>
      <c r="R435" s="422"/>
      <c r="S435" s="422"/>
    </row>
    <row r="436" spans="1:19" x14ac:dyDescent="0.25">
      <c r="A436" s="422"/>
      <c r="B436" s="625">
        <f t="shared" si="6"/>
        <v>4.3099999999999525</v>
      </c>
      <c r="C436" s="638">
        <f>1/DATI!$E$38*IF(B436&lt;DATI!$E$45,DATI!$E$32*DATI!$E$42*DATI!$E$49*DATI!$E$33*(B436/DATI!$E$45+1/(DATI!$E$49*DATI!$E$33)*(1-B436/DATI!$E$45)),IF(B436&lt;DATI!$E$46,DATI!$E$32*DATI!$E$42*DATI!$E$49*DATI!$E$33,IF(B436&lt;DATI!$E$47,DATI!$E$32*DATI!$E$42*DATI!$E$49*DATI!$E$33*(DATI!$E$46/B436),DATI!$E$32*DATI!$E$42*DATI!$E$49*DATI!$E$33*((DATI!$E$46*DATI!$E$47)/B436^2))))</f>
        <v>8.4731326257752898E-2</v>
      </c>
      <c r="D436" s="300"/>
      <c r="E436" s="422"/>
      <c r="F436" s="422"/>
      <c r="G436" s="422"/>
      <c r="H436" s="422"/>
      <c r="I436" s="422"/>
      <c r="J436" s="422"/>
      <c r="K436" s="422"/>
      <c r="L436" s="422"/>
      <c r="M436" s="422"/>
      <c r="N436" s="422"/>
      <c r="O436" s="422"/>
      <c r="P436" s="422"/>
      <c r="Q436" s="422"/>
      <c r="R436" s="422"/>
      <c r="S436" s="422"/>
    </row>
    <row r="437" spans="1:19" x14ac:dyDescent="0.25">
      <c r="A437" s="422"/>
      <c r="B437" s="625">
        <f t="shared" si="6"/>
        <v>4.3199999999999523</v>
      </c>
      <c r="C437" s="638">
        <f>1/DATI!$E$38*IF(B437&lt;DATI!$E$45,DATI!$E$32*DATI!$E$42*DATI!$E$49*DATI!$E$33*(B437/DATI!$E$45+1/(DATI!$E$49*DATI!$E$33)*(1-B437/DATI!$E$45)),IF(B437&lt;DATI!$E$46,DATI!$E$32*DATI!$E$42*DATI!$E$49*DATI!$E$33,IF(B437&lt;DATI!$E$47,DATI!$E$32*DATI!$E$42*DATI!$E$49*DATI!$E$33*(DATI!$E$46/B437),DATI!$E$32*DATI!$E$42*DATI!$E$49*DATI!$E$33*((DATI!$E$46*DATI!$E$47)/B437^2))))</f>
        <v>8.4339505620747782E-2</v>
      </c>
      <c r="D437" s="300"/>
      <c r="E437" s="422"/>
      <c r="F437" s="422"/>
      <c r="G437" s="422"/>
      <c r="H437" s="422"/>
      <c r="I437" s="422"/>
      <c r="J437" s="422"/>
      <c r="K437" s="422"/>
      <c r="L437" s="422"/>
      <c r="M437" s="422"/>
      <c r="N437" s="422"/>
      <c r="O437" s="422"/>
      <c r="P437" s="422"/>
      <c r="Q437" s="422"/>
      <c r="R437" s="422"/>
      <c r="S437" s="422"/>
    </row>
    <row r="438" spans="1:19" x14ac:dyDescent="0.25">
      <c r="A438" s="422"/>
      <c r="B438" s="625">
        <f t="shared" si="6"/>
        <v>4.3299999999999521</v>
      </c>
      <c r="C438" s="638">
        <f>1/DATI!$E$38*IF(B438&lt;DATI!$E$45,DATI!$E$32*DATI!$E$42*DATI!$E$49*DATI!$E$33*(B438/DATI!$E$45+1/(DATI!$E$49*DATI!$E$33)*(1-B438/DATI!$E$45)),IF(B438&lt;DATI!$E$46,DATI!$E$32*DATI!$E$42*DATI!$E$49*DATI!$E$33,IF(B438&lt;DATI!$E$47,DATI!$E$32*DATI!$E$42*DATI!$E$49*DATI!$E$33*(DATI!$E$46/B438),DATI!$E$32*DATI!$E$42*DATI!$E$49*DATI!$E$33*((DATI!$E$46*DATI!$E$47)/B438^2))))</f>
        <v>8.3950396540418026E-2</v>
      </c>
      <c r="D438" s="300"/>
      <c r="E438" s="422"/>
      <c r="F438" s="422"/>
      <c r="G438" s="422"/>
      <c r="H438" s="422"/>
      <c r="I438" s="422"/>
      <c r="J438" s="422"/>
      <c r="K438" s="422"/>
      <c r="L438" s="422"/>
      <c r="M438" s="422"/>
      <c r="N438" s="422"/>
      <c r="O438" s="422"/>
      <c r="P438" s="422"/>
      <c r="Q438" s="422"/>
      <c r="R438" s="422"/>
      <c r="S438" s="422"/>
    </row>
    <row r="439" spans="1:19" x14ac:dyDescent="0.25">
      <c r="A439" s="422"/>
      <c r="B439" s="625">
        <f t="shared" si="6"/>
        <v>4.3399999999999519</v>
      </c>
      <c r="C439" s="638">
        <f>1/DATI!$E$38*IF(B439&lt;DATI!$E$45,DATI!$E$32*DATI!$E$42*DATI!$E$49*DATI!$E$33*(B439/DATI!$E$45+1/(DATI!$E$49*DATI!$E$33)*(1-B439/DATI!$E$45)),IF(B439&lt;DATI!$E$46,DATI!$E$32*DATI!$E$42*DATI!$E$49*DATI!$E$33,IF(B439&lt;DATI!$E$47,DATI!$E$32*DATI!$E$42*DATI!$E$49*DATI!$E$33*(DATI!$E$46/B439),DATI!$E$32*DATI!$E$42*DATI!$E$49*DATI!$E$33*((DATI!$E$46*DATI!$E$47)/B439^2))))</f>
        <v>8.3563974054271878E-2</v>
      </c>
      <c r="D439" s="300"/>
      <c r="E439" s="422"/>
      <c r="F439" s="422"/>
      <c r="G439" s="422"/>
      <c r="H439" s="422"/>
      <c r="I439" s="422"/>
      <c r="J439" s="422"/>
      <c r="K439" s="422"/>
      <c r="L439" s="422"/>
      <c r="M439" s="422"/>
      <c r="N439" s="422"/>
      <c r="O439" s="422"/>
      <c r="P439" s="422"/>
      <c r="Q439" s="422"/>
      <c r="R439" s="422"/>
      <c r="S439" s="422"/>
    </row>
    <row r="440" spans="1:19" x14ac:dyDescent="0.25">
      <c r="A440" s="422"/>
      <c r="B440" s="625">
        <f t="shared" si="6"/>
        <v>4.3499999999999517</v>
      </c>
      <c r="C440" s="638">
        <f>1/DATI!$E$38*IF(B440&lt;DATI!$E$45,DATI!$E$32*DATI!$E$42*DATI!$E$49*DATI!$E$33*(B440/DATI!$E$45+1/(DATI!$E$49*DATI!$E$33)*(1-B440/DATI!$E$45)),IF(B440&lt;DATI!$E$46,DATI!$E$32*DATI!$E$42*DATI!$E$49*DATI!$E$33,IF(B440&lt;DATI!$E$47,DATI!$E$32*DATI!$E$42*DATI!$E$49*DATI!$E$33*(DATI!$E$46/B440),DATI!$E$32*DATI!$E$42*DATI!$E$49*DATI!$E$33*((DATI!$E$46*DATI!$E$47)/B440^2))))</f>
        <v>8.3180213486412663E-2</v>
      </c>
      <c r="D440" s="300"/>
      <c r="E440" s="422"/>
      <c r="F440" s="422"/>
      <c r="G440" s="422"/>
      <c r="H440" s="422"/>
      <c r="I440" s="422"/>
      <c r="J440" s="422"/>
      <c r="K440" s="422"/>
      <c r="L440" s="422"/>
      <c r="M440" s="422"/>
      <c r="N440" s="422"/>
      <c r="O440" s="422"/>
      <c r="P440" s="422"/>
      <c r="Q440" s="422"/>
      <c r="R440" s="422"/>
      <c r="S440" s="422"/>
    </row>
    <row r="441" spans="1:19" x14ac:dyDescent="0.25">
      <c r="A441" s="422"/>
      <c r="B441" s="625">
        <f t="shared" si="6"/>
        <v>4.3599999999999515</v>
      </c>
      <c r="C441" s="638">
        <f>1/DATI!$E$38*IF(B441&lt;DATI!$E$45,DATI!$E$32*DATI!$E$42*DATI!$E$49*DATI!$E$33*(B441/DATI!$E$45+1/(DATI!$E$49*DATI!$E$33)*(1-B441/DATI!$E$45)),IF(B441&lt;DATI!$E$46,DATI!$E$32*DATI!$E$42*DATI!$E$49*DATI!$E$33,IF(B441&lt;DATI!$E$47,DATI!$E$32*DATI!$E$42*DATI!$E$49*DATI!$E$33*(DATI!$E$46/B441),DATI!$E$32*DATI!$E$42*DATI!$E$49*DATI!$E$33*((DATI!$E$46*DATI!$E$47)/B441^2))))</f>
        <v>8.2799090443599219E-2</v>
      </c>
      <c r="D441" s="300"/>
      <c r="E441" s="422"/>
      <c r="F441" s="422"/>
      <c r="G441" s="422"/>
      <c r="H441" s="422"/>
      <c r="I441" s="422"/>
      <c r="J441" s="422"/>
      <c r="K441" s="422"/>
      <c r="L441" s="422"/>
      <c r="M441" s="422"/>
      <c r="N441" s="422"/>
      <c r="O441" s="422"/>
      <c r="P441" s="422"/>
      <c r="Q441" s="422"/>
      <c r="R441" s="422"/>
      <c r="S441" s="422"/>
    </row>
    <row r="442" spans="1:19" x14ac:dyDescent="0.25">
      <c r="A442" s="422"/>
      <c r="B442" s="625">
        <f t="shared" si="6"/>
        <v>4.3699999999999513</v>
      </c>
      <c r="C442" s="638">
        <f>1/DATI!$E$38*IF(B442&lt;DATI!$E$45,DATI!$E$32*DATI!$E$42*DATI!$E$49*DATI!$E$33*(B442/DATI!$E$45+1/(DATI!$E$49*DATI!$E$33)*(1-B442/DATI!$E$45)),IF(B442&lt;DATI!$E$46,DATI!$E$32*DATI!$E$42*DATI!$E$49*DATI!$E$33,IF(B442&lt;DATI!$E$47,DATI!$E$32*DATI!$E$42*DATI!$E$49*DATI!$E$33*(DATI!$E$46/B442),DATI!$E$32*DATI!$E$42*DATI!$E$49*DATI!$E$33*((DATI!$E$46*DATI!$E$47)/B442^2))))</f>
        <v>8.2420580811369576E-2</v>
      </c>
      <c r="D442" s="300"/>
      <c r="E442" s="422"/>
      <c r="F442" s="422"/>
      <c r="G442" s="422"/>
      <c r="H442" s="422"/>
      <c r="I442" s="422"/>
      <c r="J442" s="422"/>
      <c r="K442" s="422"/>
      <c r="L442" s="422"/>
      <c r="M442" s="422"/>
      <c r="N442" s="422"/>
      <c r="O442" s="422"/>
      <c r="P442" s="422"/>
      <c r="Q442" s="422"/>
      <c r="R442" s="422"/>
      <c r="S442" s="422"/>
    </row>
    <row r="443" spans="1:19" x14ac:dyDescent="0.25">
      <c r="A443" s="422"/>
      <c r="B443" s="625">
        <f t="shared" si="6"/>
        <v>4.379999999999951</v>
      </c>
      <c r="C443" s="638">
        <f>1/DATI!$E$38*IF(B443&lt;DATI!$E$45,DATI!$E$32*DATI!$E$42*DATI!$E$49*DATI!$E$33*(B443/DATI!$E$45+1/(DATI!$E$49*DATI!$E$33)*(1-B443/DATI!$E$45)),IF(B443&lt;DATI!$E$46,DATI!$E$32*DATI!$E$42*DATI!$E$49*DATI!$E$33,IF(B443&lt;DATI!$E$47,DATI!$E$32*DATI!$E$42*DATI!$E$49*DATI!$E$33*(DATI!$E$46/B443),DATI!$E$32*DATI!$E$42*DATI!$E$49*DATI!$E$33*((DATI!$E$46*DATI!$E$47)/B443^2))))</f>
        <v>8.2044660750226442E-2</v>
      </c>
      <c r="D443" s="300"/>
      <c r="E443" s="422"/>
      <c r="F443" s="422"/>
      <c r="G443" s="422"/>
      <c r="H443" s="422"/>
      <c r="I443" s="422"/>
      <c r="J443" s="422"/>
      <c r="K443" s="422"/>
      <c r="L443" s="422"/>
      <c r="M443" s="422"/>
      <c r="N443" s="422"/>
      <c r="O443" s="422"/>
      <c r="P443" s="422"/>
      <c r="Q443" s="422"/>
      <c r="R443" s="422"/>
      <c r="S443" s="422"/>
    </row>
    <row r="444" spans="1:19" x14ac:dyDescent="0.25">
      <c r="A444" s="422"/>
      <c r="B444" s="625">
        <f t="shared" si="6"/>
        <v>4.3899999999999508</v>
      </c>
      <c r="C444" s="638">
        <f>1/DATI!$E$38*IF(B444&lt;DATI!$E$45,DATI!$E$32*DATI!$E$42*DATI!$E$49*DATI!$E$33*(B444/DATI!$E$45+1/(DATI!$E$49*DATI!$E$33)*(1-B444/DATI!$E$45)),IF(B444&lt;DATI!$E$46,DATI!$E$32*DATI!$E$42*DATI!$E$49*DATI!$E$33,IF(B444&lt;DATI!$E$47,DATI!$E$32*DATI!$E$42*DATI!$E$49*DATI!$E$33*(DATI!$E$46/B444),DATI!$E$32*DATI!$E$42*DATI!$E$49*DATI!$E$33*((DATI!$E$46*DATI!$E$47)/B444^2))))</f>
        <v>8.16713066918833E-2</v>
      </c>
      <c r="D444" s="300"/>
      <c r="E444" s="422"/>
      <c r="F444" s="422"/>
      <c r="G444" s="422"/>
      <c r="H444" s="422"/>
      <c r="I444" s="422"/>
      <c r="J444" s="422"/>
      <c r="K444" s="422"/>
      <c r="L444" s="422"/>
      <c r="M444" s="422"/>
      <c r="N444" s="422"/>
      <c r="O444" s="422"/>
      <c r="P444" s="422"/>
      <c r="Q444" s="422"/>
      <c r="R444" s="422"/>
      <c r="S444" s="422"/>
    </row>
    <row r="445" spans="1:19" x14ac:dyDescent="0.25">
      <c r="A445" s="422"/>
      <c r="B445" s="625">
        <f t="shared" si="6"/>
        <v>4.3999999999999506</v>
      </c>
      <c r="C445" s="638">
        <f>1/DATI!$E$38*IF(B445&lt;DATI!$E$45,DATI!$E$32*DATI!$E$42*DATI!$E$49*DATI!$E$33*(B445/DATI!$E$45+1/(DATI!$E$49*DATI!$E$33)*(1-B445/DATI!$E$45)),IF(B445&lt;DATI!$E$46,DATI!$E$32*DATI!$E$42*DATI!$E$49*DATI!$E$33,IF(B445&lt;DATI!$E$47,DATI!$E$32*DATI!$E$42*DATI!$E$49*DATI!$E$33*(DATI!$E$46/B445),DATI!$E$32*DATI!$E$42*DATI!$E$49*DATI!$E$33*((DATI!$E$46*DATI!$E$47)/B445^2))))</f>
        <v>8.1300495335570461E-2</v>
      </c>
      <c r="D445" s="300"/>
      <c r="E445" s="422"/>
      <c r="F445" s="422"/>
      <c r="G445" s="422"/>
      <c r="H445" s="422"/>
      <c r="I445" s="422"/>
      <c r="J445" s="422"/>
      <c r="K445" s="422"/>
      <c r="L445" s="422"/>
      <c r="M445" s="422"/>
      <c r="N445" s="422"/>
      <c r="O445" s="422"/>
      <c r="P445" s="422"/>
      <c r="Q445" s="422"/>
      <c r="R445" s="422"/>
      <c r="S445" s="422"/>
    </row>
    <row r="446" spans="1:19" x14ac:dyDescent="0.25">
      <c r="A446" s="422"/>
      <c r="B446" s="625">
        <f t="shared" si="6"/>
        <v>4.4099999999999504</v>
      </c>
      <c r="C446" s="638">
        <f>1/DATI!$E$38*IF(B446&lt;DATI!$E$45,DATI!$E$32*DATI!$E$42*DATI!$E$49*DATI!$E$33*(B446/DATI!$E$45+1/(DATI!$E$49*DATI!$E$33)*(1-B446/DATI!$E$45)),IF(B446&lt;DATI!$E$46,DATI!$E$32*DATI!$E$42*DATI!$E$49*DATI!$E$33,IF(B446&lt;DATI!$E$47,DATI!$E$32*DATI!$E$42*DATI!$E$49*DATI!$E$33*(DATI!$E$46/B446),DATI!$E$32*DATI!$E$42*DATI!$E$49*DATI!$E$33*((DATI!$E$46*DATI!$E$47)/B446^2))))</f>
        <v>8.0932203644399403E-2</v>
      </c>
      <c r="D446" s="300"/>
      <c r="E446" s="422"/>
      <c r="F446" s="422"/>
      <c r="G446" s="422"/>
      <c r="H446" s="422"/>
      <c r="I446" s="422"/>
      <c r="J446" s="422"/>
      <c r="K446" s="422"/>
      <c r="L446" s="422"/>
      <c r="M446" s="422"/>
      <c r="N446" s="422"/>
      <c r="O446" s="422"/>
      <c r="P446" s="422"/>
      <c r="Q446" s="422"/>
      <c r="R446" s="422"/>
      <c r="S446" s="422"/>
    </row>
    <row r="447" spans="1:19" x14ac:dyDescent="0.25">
      <c r="A447" s="422"/>
      <c r="B447" s="625">
        <f t="shared" si="6"/>
        <v>4.4199999999999502</v>
      </c>
      <c r="C447" s="638">
        <f>1/DATI!$E$38*IF(B447&lt;DATI!$E$45,DATI!$E$32*DATI!$E$42*DATI!$E$49*DATI!$E$33*(B447/DATI!$E$45+1/(DATI!$E$49*DATI!$E$33)*(1-B447/DATI!$E$45)),IF(B447&lt;DATI!$E$46,DATI!$E$32*DATI!$E$42*DATI!$E$49*DATI!$E$33,IF(B447&lt;DATI!$E$47,DATI!$E$32*DATI!$E$42*DATI!$E$49*DATI!$E$33*(DATI!$E$46/B447),DATI!$E$32*DATI!$E$42*DATI!$E$49*DATI!$E$33*((DATI!$E$46*DATI!$E$47)/B447^2))))</f>
        <v>8.0566408841784787E-2</v>
      </c>
      <c r="D447" s="300"/>
      <c r="E447" s="422"/>
      <c r="F447" s="422"/>
      <c r="G447" s="422"/>
      <c r="H447" s="422"/>
      <c r="I447" s="422"/>
      <c r="J447" s="422"/>
      <c r="K447" s="422"/>
      <c r="L447" s="422"/>
      <c r="M447" s="422"/>
      <c r="N447" s="422"/>
      <c r="O447" s="422"/>
      <c r="P447" s="422"/>
      <c r="Q447" s="422"/>
      <c r="R447" s="422"/>
      <c r="S447" s="422"/>
    </row>
    <row r="448" spans="1:19" x14ac:dyDescent="0.25">
      <c r="A448" s="422"/>
      <c r="B448" s="625">
        <f t="shared" si="6"/>
        <v>4.42999999999995</v>
      </c>
      <c r="C448" s="638">
        <f>1/DATI!$E$38*IF(B448&lt;DATI!$E$45,DATI!$E$32*DATI!$E$42*DATI!$E$49*DATI!$E$33*(B448/DATI!$E$45+1/(DATI!$E$49*DATI!$E$33)*(1-B448/DATI!$E$45)),IF(B448&lt;DATI!$E$46,DATI!$E$32*DATI!$E$42*DATI!$E$49*DATI!$E$33,IF(B448&lt;DATI!$E$47,DATI!$E$32*DATI!$E$42*DATI!$E$49*DATI!$E$33*(DATI!$E$46/B448),DATI!$E$32*DATI!$E$42*DATI!$E$49*DATI!$E$33*((DATI!$E$46*DATI!$E$47)/B448^2))))</f>
        <v>8.0203088407922798E-2</v>
      </c>
      <c r="D448" s="300"/>
      <c r="E448" s="422"/>
      <c r="F448" s="422"/>
      <c r="G448" s="422"/>
      <c r="H448" s="422"/>
      <c r="I448" s="422"/>
      <c r="J448" s="422"/>
      <c r="K448" s="422"/>
      <c r="L448" s="422"/>
      <c r="M448" s="422"/>
      <c r="N448" s="422"/>
      <c r="O448" s="422"/>
      <c r="P448" s="422"/>
      <c r="Q448" s="422"/>
      <c r="R448" s="422"/>
      <c r="S448" s="422"/>
    </row>
    <row r="449" spans="1:19" x14ac:dyDescent="0.25">
      <c r="A449" s="422"/>
      <c r="B449" s="625">
        <f t="shared" si="6"/>
        <v>4.4399999999999498</v>
      </c>
      <c r="C449" s="638">
        <f>1/DATI!$E$38*IF(B449&lt;DATI!$E$45,DATI!$E$32*DATI!$E$42*DATI!$E$49*DATI!$E$33*(B449/DATI!$E$45+1/(DATI!$E$49*DATI!$E$33)*(1-B449/DATI!$E$45)),IF(B449&lt;DATI!$E$46,DATI!$E$32*DATI!$E$42*DATI!$E$49*DATI!$E$33,IF(B449&lt;DATI!$E$47,DATI!$E$32*DATI!$E$42*DATI!$E$49*DATI!$E$33*(DATI!$E$46/B449),DATI!$E$32*DATI!$E$42*DATI!$E$49*DATI!$E$33*((DATI!$E$46*DATI!$E$47)/B449^2))))</f>
        <v>7.9842220076325188E-2</v>
      </c>
      <c r="D449" s="300"/>
      <c r="E449" s="422"/>
      <c r="F449" s="422"/>
      <c r="G449" s="422"/>
      <c r="H449" s="422"/>
      <c r="I449" s="422"/>
      <c r="J449" s="422"/>
      <c r="K449" s="422"/>
      <c r="L449" s="422"/>
      <c r="M449" s="422"/>
      <c r="N449" s="422"/>
      <c r="O449" s="422"/>
      <c r="P449" s="422"/>
      <c r="Q449" s="422"/>
      <c r="R449" s="422"/>
      <c r="S449" s="422"/>
    </row>
    <row r="450" spans="1:19" x14ac:dyDescent="0.25">
      <c r="A450" s="422"/>
      <c r="B450" s="625">
        <f t="shared" si="6"/>
        <v>4.4499999999999496</v>
      </c>
      <c r="C450" s="638">
        <f>1/DATI!$E$38*IF(B450&lt;DATI!$E$45,DATI!$E$32*DATI!$E$42*DATI!$E$49*DATI!$E$33*(B450/DATI!$E$45+1/(DATI!$E$49*DATI!$E$33)*(1-B450/DATI!$E$45)),IF(B450&lt;DATI!$E$46,DATI!$E$32*DATI!$E$42*DATI!$E$49*DATI!$E$33,IF(B450&lt;DATI!$E$47,DATI!$E$32*DATI!$E$42*DATI!$E$49*DATI!$E$33*(DATI!$E$46/B450),DATI!$E$32*DATI!$E$42*DATI!$E$49*DATI!$E$33*((DATI!$E$46*DATI!$E$47)/B450^2))))</f>
        <v>7.9483781830407496E-2</v>
      </c>
      <c r="D450" s="300"/>
      <c r="E450" s="422"/>
      <c r="F450" s="422"/>
      <c r="G450" s="422"/>
      <c r="H450" s="422"/>
      <c r="I450" s="422"/>
      <c r="J450" s="422"/>
      <c r="K450" s="422"/>
      <c r="L450" s="422"/>
      <c r="M450" s="422"/>
      <c r="N450" s="422"/>
      <c r="O450" s="422"/>
      <c r="P450" s="422"/>
      <c r="Q450" s="422"/>
      <c r="R450" s="422"/>
      <c r="S450" s="422"/>
    </row>
    <row r="451" spans="1:19" x14ac:dyDescent="0.25">
      <c r="A451" s="422"/>
      <c r="B451" s="625">
        <f t="shared" si="6"/>
        <v>4.4599999999999493</v>
      </c>
      <c r="C451" s="638">
        <f>1/DATI!$E$38*IF(B451&lt;DATI!$E$45,DATI!$E$32*DATI!$E$42*DATI!$E$49*DATI!$E$33*(B451/DATI!$E$45+1/(DATI!$E$49*DATI!$E$33)*(1-B451/DATI!$E$45)),IF(B451&lt;DATI!$E$46,DATI!$E$32*DATI!$E$42*DATI!$E$49*DATI!$E$33,IF(B451&lt;DATI!$E$47,DATI!$E$32*DATI!$E$42*DATI!$E$49*DATI!$E$33*(DATI!$E$46/B451),DATI!$E$32*DATI!$E$42*DATI!$E$49*DATI!$E$33*((DATI!$E$46*DATI!$E$47)/B451^2))))</f>
        <v>7.9127751900130924E-2</v>
      </c>
      <c r="D451" s="300"/>
      <c r="E451" s="422"/>
      <c r="F451" s="422"/>
      <c r="G451" s="422"/>
      <c r="H451" s="422"/>
      <c r="I451" s="422"/>
      <c r="J451" s="422"/>
      <c r="K451" s="422"/>
      <c r="L451" s="422"/>
      <c r="M451" s="422"/>
      <c r="N451" s="422"/>
      <c r="O451" s="422"/>
      <c r="P451" s="422"/>
      <c r="Q451" s="422"/>
      <c r="R451" s="422"/>
      <c r="S451" s="422"/>
    </row>
    <row r="452" spans="1:19" x14ac:dyDescent="0.25">
      <c r="A452" s="422"/>
      <c r="B452" s="625">
        <f t="shared" si="6"/>
        <v>4.4699999999999491</v>
      </c>
      <c r="C452" s="638">
        <f>1/DATI!$E$38*IF(B452&lt;DATI!$E$45,DATI!$E$32*DATI!$E$42*DATI!$E$49*DATI!$E$33*(B452/DATI!$E$45+1/(DATI!$E$49*DATI!$E$33)*(1-B452/DATI!$E$45)),IF(B452&lt;DATI!$E$46,DATI!$E$32*DATI!$E$42*DATI!$E$49*DATI!$E$33,IF(B452&lt;DATI!$E$47,DATI!$E$32*DATI!$E$42*DATI!$E$49*DATI!$E$33*(DATI!$E$46/B452),DATI!$E$32*DATI!$E$42*DATI!$E$49*DATI!$E$33*((DATI!$E$46*DATI!$E$47)/B452^2))))</f>
        <v>7.8774108758696781E-2</v>
      </c>
      <c r="D452" s="300"/>
      <c r="E452" s="422"/>
      <c r="F452" s="422"/>
      <c r="G452" s="422"/>
      <c r="H452" s="422"/>
      <c r="I452" s="422"/>
      <c r="J452" s="422"/>
      <c r="K452" s="422"/>
      <c r="L452" s="422"/>
      <c r="M452" s="422"/>
      <c r="N452" s="422"/>
      <c r="O452" s="422"/>
      <c r="P452" s="422"/>
      <c r="Q452" s="422"/>
      <c r="R452" s="422"/>
      <c r="S452" s="422"/>
    </row>
    <row r="453" spans="1:19" x14ac:dyDescent="0.25">
      <c r="A453" s="422"/>
      <c r="B453" s="625">
        <f t="shared" si="6"/>
        <v>4.4799999999999489</v>
      </c>
      <c r="C453" s="638">
        <f>1/DATI!$E$38*IF(B453&lt;DATI!$E$45,DATI!$E$32*DATI!$E$42*DATI!$E$49*DATI!$E$33*(B453/DATI!$E$45+1/(DATI!$E$49*DATI!$E$33)*(1-B453/DATI!$E$45)),IF(B453&lt;DATI!$E$46,DATI!$E$32*DATI!$E$42*DATI!$E$49*DATI!$E$33,IF(B453&lt;DATI!$E$47,DATI!$E$32*DATI!$E$42*DATI!$E$49*DATI!$E$33*(DATI!$E$46/B453),DATI!$E$32*DATI!$E$42*DATI!$E$49*DATI!$E$33*((DATI!$E$46*DATI!$E$47)/B453^2))))</f>
        <v>7.8422831119292324E-2</v>
      </c>
      <c r="D453" s="300"/>
      <c r="E453" s="422"/>
      <c r="F453" s="422"/>
      <c r="G453" s="422"/>
      <c r="H453" s="422"/>
      <c r="I453" s="422"/>
      <c r="J453" s="422"/>
      <c r="K453" s="422"/>
      <c r="L453" s="422"/>
      <c r="M453" s="422"/>
      <c r="N453" s="422"/>
      <c r="O453" s="422"/>
      <c r="P453" s="422"/>
      <c r="Q453" s="422"/>
      <c r="R453" s="422"/>
      <c r="S453" s="422"/>
    </row>
    <row r="454" spans="1:19" x14ac:dyDescent="0.25">
      <c r="A454" s="422"/>
      <c r="B454" s="625">
        <f t="shared" ref="B454:B505" si="7">0.01+B453</f>
        <v>4.4899999999999487</v>
      </c>
      <c r="C454" s="638">
        <f>1/DATI!$E$38*IF(B454&lt;DATI!$E$45,DATI!$E$32*DATI!$E$42*DATI!$E$49*DATI!$E$33*(B454/DATI!$E$45+1/(DATI!$E$49*DATI!$E$33)*(1-B454/DATI!$E$45)),IF(B454&lt;DATI!$E$46,DATI!$E$32*DATI!$E$42*DATI!$E$49*DATI!$E$33,IF(B454&lt;DATI!$E$47,DATI!$E$32*DATI!$E$42*DATI!$E$49*DATI!$E$33*(DATI!$E$46/B454),DATI!$E$32*DATI!$E$42*DATI!$E$49*DATI!$E$33*((DATI!$E$46*DATI!$E$47)/B454^2))))</f>
        <v>7.8073897931887487E-2</v>
      </c>
      <c r="D454" s="300"/>
      <c r="E454" s="422"/>
      <c r="F454" s="422"/>
      <c r="G454" s="422"/>
      <c r="H454" s="422"/>
      <c r="I454" s="422"/>
      <c r="J454" s="422"/>
      <c r="K454" s="422"/>
      <c r="L454" s="422"/>
      <c r="M454" s="422"/>
      <c r="N454" s="422"/>
      <c r="O454" s="422"/>
      <c r="P454" s="422"/>
      <c r="Q454" s="422"/>
      <c r="R454" s="422"/>
      <c r="S454" s="422"/>
    </row>
    <row r="455" spans="1:19" x14ac:dyDescent="0.25">
      <c r="A455" s="422"/>
      <c r="B455" s="625">
        <f t="shared" si="7"/>
        <v>4.4999999999999485</v>
      </c>
      <c r="C455" s="638">
        <f>1/DATI!$E$38*IF(B455&lt;DATI!$E$45,DATI!$E$32*DATI!$E$42*DATI!$E$49*DATI!$E$33*(B455/DATI!$E$45+1/(DATI!$E$49*DATI!$E$33)*(1-B455/DATI!$E$45)),IF(B455&lt;DATI!$E$46,DATI!$E$32*DATI!$E$42*DATI!$E$49*DATI!$E$33,IF(B455&lt;DATI!$E$47,DATI!$E$32*DATI!$E$42*DATI!$E$49*DATI!$E$33*(DATI!$E$46/B455),DATI!$E$32*DATI!$E$42*DATI!$E$49*DATI!$E$33*((DATI!$E$46*DATI!$E$47)/B455^2))))</f>
        <v>7.7727288380081222E-2</v>
      </c>
      <c r="D455" s="300"/>
      <c r="E455" s="422"/>
      <c r="F455" s="422"/>
      <c r="G455" s="422"/>
      <c r="H455" s="422"/>
      <c r="I455" s="422"/>
      <c r="J455" s="422"/>
      <c r="K455" s="422"/>
      <c r="L455" s="422"/>
      <c r="M455" s="422"/>
      <c r="N455" s="422"/>
      <c r="O455" s="422"/>
      <c r="P455" s="422"/>
      <c r="Q455" s="422"/>
      <c r="R455" s="422"/>
      <c r="S455" s="422"/>
    </row>
    <row r="456" spans="1:19" x14ac:dyDescent="0.25">
      <c r="A456" s="422"/>
      <c r="B456" s="625">
        <f t="shared" si="7"/>
        <v>4.5099999999999483</v>
      </c>
      <c r="C456" s="638">
        <f>1/DATI!$E$38*IF(B456&lt;DATI!$E$45,DATI!$E$32*DATI!$E$42*DATI!$E$49*DATI!$E$33*(B456/DATI!$E$45+1/(DATI!$E$49*DATI!$E$33)*(1-B456/DATI!$E$45)),IF(B456&lt;DATI!$E$46,DATI!$E$32*DATI!$E$42*DATI!$E$49*DATI!$E$33,IF(B456&lt;DATI!$E$47,DATI!$E$32*DATI!$E$42*DATI!$E$49*DATI!$E$33*(DATI!$E$46/B456),DATI!$E$32*DATI!$E$42*DATI!$E$49*DATI!$E$33*((DATI!$E$46*DATI!$E$47)/B456^2))))</f>
        <v>7.7382981877996901E-2</v>
      </c>
      <c r="D456" s="300"/>
      <c r="E456" s="422"/>
      <c r="F456" s="422"/>
      <c r="G456" s="422"/>
      <c r="H456" s="422"/>
      <c r="I456" s="422"/>
      <c r="J456" s="422"/>
      <c r="K456" s="422"/>
      <c r="L456" s="422"/>
      <c r="M456" s="422"/>
      <c r="N456" s="422"/>
      <c r="O456" s="422"/>
      <c r="P456" s="422"/>
      <c r="Q456" s="422"/>
      <c r="R456" s="422"/>
      <c r="S456" s="422"/>
    </row>
    <row r="457" spans="1:19" x14ac:dyDescent="0.25">
      <c r="A457" s="422"/>
      <c r="B457" s="625">
        <f t="shared" si="7"/>
        <v>4.5199999999999481</v>
      </c>
      <c r="C457" s="638">
        <f>1/DATI!$E$38*IF(B457&lt;DATI!$E$45,DATI!$E$32*DATI!$E$42*DATI!$E$49*DATI!$E$33*(B457/DATI!$E$45+1/(DATI!$E$49*DATI!$E$33)*(1-B457/DATI!$E$45)),IF(B457&lt;DATI!$E$46,DATI!$E$32*DATI!$E$42*DATI!$E$49*DATI!$E$33,IF(B457&lt;DATI!$E$47,DATI!$E$32*DATI!$E$42*DATI!$E$49*DATI!$E$33*(DATI!$E$46/B457),DATI!$E$32*DATI!$E$42*DATI!$E$49*DATI!$E$33*((DATI!$E$46*DATI!$E$47)/B457^2))))</f>
        <v>7.7040958067225551E-2</v>
      </c>
      <c r="D457" s="300"/>
      <c r="E457" s="422"/>
      <c r="F457" s="422"/>
      <c r="G457" s="422"/>
      <c r="H457" s="422"/>
      <c r="I457" s="422"/>
      <c r="J457" s="422"/>
      <c r="K457" s="422"/>
      <c r="L457" s="422"/>
      <c r="M457" s="422"/>
      <c r="N457" s="422"/>
      <c r="O457" s="422"/>
      <c r="P457" s="422"/>
      <c r="Q457" s="422"/>
      <c r="R457" s="422"/>
      <c r="S457" s="422"/>
    </row>
    <row r="458" spans="1:19" x14ac:dyDescent="0.25">
      <c r="A458" s="422"/>
      <c r="B458" s="625">
        <f t="shared" si="7"/>
        <v>4.5299999999999478</v>
      </c>
      <c r="C458" s="638">
        <f>1/DATI!$E$38*IF(B458&lt;DATI!$E$45,DATI!$E$32*DATI!$E$42*DATI!$E$49*DATI!$E$33*(B458/DATI!$E$45+1/(DATI!$E$49*DATI!$E$33)*(1-B458/DATI!$E$45)),IF(B458&lt;DATI!$E$46,DATI!$E$32*DATI!$E$42*DATI!$E$49*DATI!$E$33,IF(B458&lt;DATI!$E$47,DATI!$E$32*DATI!$E$42*DATI!$E$49*DATI!$E$33*(DATI!$E$46/B458),DATI!$E$32*DATI!$E$42*DATI!$E$49*DATI!$E$33*((DATI!$E$46*DATI!$E$47)/B458^2))))</f>
        <v>7.6701196813816402E-2</v>
      </c>
      <c r="D458" s="300"/>
      <c r="E458" s="422"/>
      <c r="F458" s="422"/>
      <c r="G458" s="422"/>
      <c r="H458" s="422"/>
      <c r="I458" s="422"/>
      <c r="J458" s="422"/>
      <c r="K458" s="422"/>
      <c r="L458" s="422"/>
      <c r="M458" s="422"/>
      <c r="N458" s="422"/>
      <c r="O458" s="422"/>
      <c r="P458" s="422"/>
      <c r="Q458" s="422"/>
      <c r="R458" s="422"/>
      <c r="S458" s="422"/>
    </row>
    <row r="459" spans="1:19" x14ac:dyDescent="0.25">
      <c r="A459" s="422"/>
      <c r="B459" s="625">
        <f t="shared" si="7"/>
        <v>4.5399999999999476</v>
      </c>
      <c r="C459" s="638">
        <f>1/DATI!$E$38*IF(B459&lt;DATI!$E$45,DATI!$E$32*DATI!$E$42*DATI!$E$49*DATI!$E$33*(B459/DATI!$E$45+1/(DATI!$E$49*DATI!$E$33)*(1-B459/DATI!$E$45)),IF(B459&lt;DATI!$E$46,DATI!$E$32*DATI!$E$42*DATI!$E$49*DATI!$E$33,IF(B459&lt;DATI!$E$47,DATI!$E$32*DATI!$E$42*DATI!$E$49*DATI!$E$33*(DATI!$E$46/B459),DATI!$E$32*DATI!$E$42*DATI!$E$49*DATI!$E$33*((DATI!$E$46*DATI!$E$47)/B459^2))))</f>
        <v>7.6363678205313756E-2</v>
      </c>
      <c r="D459" s="300"/>
      <c r="E459" s="422"/>
      <c r="F459" s="422"/>
      <c r="G459" s="422"/>
      <c r="H459" s="422"/>
      <c r="I459" s="422"/>
      <c r="J459" s="422"/>
      <c r="K459" s="422"/>
      <c r="L459" s="422"/>
      <c r="M459" s="422"/>
      <c r="N459" s="422"/>
      <c r="O459" s="422"/>
      <c r="P459" s="422"/>
      <c r="Q459" s="422"/>
      <c r="R459" s="422"/>
      <c r="S459" s="422"/>
    </row>
    <row r="460" spans="1:19" x14ac:dyDescent="0.25">
      <c r="A460" s="422"/>
      <c r="B460" s="625">
        <f t="shared" si="7"/>
        <v>4.5499999999999474</v>
      </c>
      <c r="C460" s="638">
        <f>1/DATI!$E$38*IF(B460&lt;DATI!$E$45,DATI!$E$32*DATI!$E$42*DATI!$E$49*DATI!$E$33*(B460/DATI!$E$45+1/(DATI!$E$49*DATI!$E$33)*(1-B460/DATI!$E$45)),IF(B460&lt;DATI!$E$46,DATI!$E$32*DATI!$E$42*DATI!$E$49*DATI!$E$33,IF(B460&lt;DATI!$E$47,DATI!$E$32*DATI!$E$42*DATI!$E$49*DATI!$E$33*(DATI!$E$46/B460),DATI!$E$32*DATI!$E$42*DATI!$E$49*DATI!$E$33*((DATI!$E$46*DATI!$E$47)/B460^2))))</f>
        <v>7.6028382547839404E-2</v>
      </c>
      <c r="D460" s="300"/>
      <c r="E460" s="422"/>
      <c r="F460" s="422"/>
      <c r="G460" s="422"/>
      <c r="H460" s="422"/>
      <c r="I460" s="422"/>
      <c r="J460" s="422"/>
      <c r="K460" s="422"/>
      <c r="L460" s="422"/>
      <c r="M460" s="422"/>
      <c r="N460" s="422"/>
      <c r="O460" s="422"/>
      <c r="P460" s="422"/>
      <c r="Q460" s="422"/>
      <c r="R460" s="422"/>
      <c r="S460" s="422"/>
    </row>
    <row r="461" spans="1:19" x14ac:dyDescent="0.25">
      <c r="A461" s="422"/>
      <c r="B461" s="625">
        <f t="shared" si="7"/>
        <v>4.5599999999999472</v>
      </c>
      <c r="C461" s="638">
        <f>1/DATI!$E$38*IF(B461&lt;DATI!$E$45,DATI!$E$32*DATI!$E$42*DATI!$E$49*DATI!$E$33*(B461/DATI!$E$45+1/(DATI!$E$49*DATI!$E$33)*(1-B461/DATI!$E$45)),IF(B461&lt;DATI!$E$46,DATI!$E$32*DATI!$E$42*DATI!$E$49*DATI!$E$33,IF(B461&lt;DATI!$E$47,DATI!$E$32*DATI!$E$42*DATI!$E$49*DATI!$E$33*(DATI!$E$46/B461),DATI!$E$32*DATI!$E$42*DATI!$E$49*DATI!$E$33*((DATI!$E$46*DATI!$E$47)/B461^2))))</f>
        <v>7.5695290363219703E-2</v>
      </c>
      <c r="D461" s="300"/>
      <c r="E461" s="422"/>
      <c r="F461" s="422"/>
      <c r="G461" s="422"/>
      <c r="H461" s="422"/>
      <c r="I461" s="422"/>
      <c r="J461" s="422"/>
      <c r="K461" s="422"/>
      <c r="L461" s="422"/>
      <c r="M461" s="422"/>
      <c r="N461" s="422"/>
      <c r="O461" s="422"/>
      <c r="P461" s="422"/>
      <c r="Q461" s="422"/>
      <c r="R461" s="422"/>
      <c r="S461" s="422"/>
    </row>
    <row r="462" spans="1:19" x14ac:dyDescent="0.25">
      <c r="A462" s="422"/>
      <c r="B462" s="625">
        <f t="shared" si="7"/>
        <v>4.569999999999947</v>
      </c>
      <c r="C462" s="638">
        <f>1/DATI!$E$38*IF(B462&lt;DATI!$E$45,DATI!$E$32*DATI!$E$42*DATI!$E$49*DATI!$E$33*(B462/DATI!$E$45+1/(DATI!$E$49*DATI!$E$33)*(1-B462/DATI!$E$45)),IF(B462&lt;DATI!$E$46,DATI!$E$32*DATI!$E$42*DATI!$E$49*DATI!$E$33,IF(B462&lt;DATI!$E$47,DATI!$E$32*DATI!$E$42*DATI!$E$49*DATI!$E$33*(DATI!$E$46/B462),DATI!$E$32*DATI!$E$42*DATI!$E$49*DATI!$E$33*((DATI!$E$46*DATI!$E$47)/B462^2))))</f>
        <v>7.5364382386156753E-2</v>
      </c>
      <c r="D462" s="300"/>
      <c r="E462" s="422"/>
      <c r="F462" s="422"/>
      <c r="G462" s="422"/>
      <c r="H462" s="422"/>
      <c r="I462" s="422"/>
      <c r="J462" s="422"/>
      <c r="K462" s="422"/>
      <c r="L462" s="422"/>
      <c r="M462" s="422"/>
      <c r="N462" s="422"/>
      <c r="O462" s="422"/>
      <c r="P462" s="422"/>
      <c r="Q462" s="422"/>
      <c r="R462" s="422"/>
      <c r="S462" s="422"/>
    </row>
    <row r="463" spans="1:19" x14ac:dyDescent="0.25">
      <c r="A463" s="422"/>
      <c r="B463" s="625">
        <f t="shared" si="7"/>
        <v>4.5799999999999468</v>
      </c>
      <c r="C463" s="638">
        <f>1/DATI!$E$38*IF(B463&lt;DATI!$E$45,DATI!$E$32*DATI!$E$42*DATI!$E$49*DATI!$E$33*(B463/DATI!$E$45+1/(DATI!$E$49*DATI!$E$33)*(1-B463/DATI!$E$45)),IF(B463&lt;DATI!$E$46,DATI!$E$32*DATI!$E$42*DATI!$E$49*DATI!$E$33,IF(B463&lt;DATI!$E$47,DATI!$E$32*DATI!$E$42*DATI!$E$49*DATI!$E$33*(DATI!$E$46/B463),DATI!$E$32*DATI!$E$42*DATI!$E$49*DATI!$E$33*((DATI!$E$46*DATI!$E$47)/B463^2))))</f>
        <v>7.5035639561442644E-2</v>
      </c>
      <c r="D463" s="300"/>
      <c r="E463" s="422"/>
      <c r="F463" s="422"/>
      <c r="G463" s="422"/>
      <c r="H463" s="422"/>
      <c r="I463" s="422"/>
      <c r="J463" s="422"/>
      <c r="K463" s="422"/>
      <c r="L463" s="422"/>
      <c r="M463" s="422"/>
      <c r="N463" s="422"/>
      <c r="O463" s="422"/>
      <c r="P463" s="422"/>
      <c r="Q463" s="422"/>
      <c r="R463" s="422"/>
      <c r="S463" s="422"/>
    </row>
    <row r="464" spans="1:19" x14ac:dyDescent="0.25">
      <c r="A464" s="422"/>
      <c r="B464" s="625">
        <f t="shared" si="7"/>
        <v>4.5899999999999466</v>
      </c>
      <c r="C464" s="638">
        <f>1/DATI!$E$38*IF(B464&lt;DATI!$E$45,DATI!$E$32*DATI!$E$42*DATI!$E$49*DATI!$E$33*(B464/DATI!$E$45+1/(DATI!$E$49*DATI!$E$33)*(1-B464/DATI!$E$45)),IF(B464&lt;DATI!$E$46,DATI!$E$32*DATI!$E$42*DATI!$E$49*DATI!$E$33,IF(B464&lt;DATI!$E$47,DATI!$E$32*DATI!$E$42*DATI!$E$49*DATI!$E$33*(DATI!$E$46/B464),DATI!$E$32*DATI!$E$42*DATI!$E$49*DATI!$E$33*((DATI!$E$46*DATI!$E$47)/B464^2))))</f>
        <v>7.4709043041216117E-2</v>
      </c>
      <c r="D464" s="300"/>
      <c r="E464" s="422"/>
      <c r="F464" s="422"/>
      <c r="G464" s="422"/>
      <c r="H464" s="422"/>
      <c r="I464" s="422"/>
      <c r="J464" s="422"/>
      <c r="K464" s="422"/>
      <c r="L464" s="422"/>
      <c r="M464" s="422"/>
      <c r="N464" s="422"/>
      <c r="O464" s="422"/>
      <c r="P464" s="422"/>
      <c r="Q464" s="422"/>
      <c r="R464" s="422"/>
      <c r="S464" s="422"/>
    </row>
    <row r="465" spans="1:19" x14ac:dyDescent="0.25">
      <c r="A465" s="422"/>
      <c r="B465" s="625">
        <f t="shared" si="7"/>
        <v>4.5999999999999464</v>
      </c>
      <c r="C465" s="638">
        <f>1/DATI!$E$38*IF(B465&lt;DATI!$E$45,DATI!$E$32*DATI!$E$42*DATI!$E$49*DATI!$E$33*(B465/DATI!$E$45+1/(DATI!$E$49*DATI!$E$33)*(1-B465/DATI!$E$45)),IF(B465&lt;DATI!$E$46,DATI!$E$32*DATI!$E$42*DATI!$E$49*DATI!$E$33,IF(B465&lt;DATI!$E$47,DATI!$E$32*DATI!$E$42*DATI!$E$49*DATI!$E$33*(DATI!$E$46/B465),DATI!$E$32*DATI!$E$42*DATI!$E$49*DATI!$E$33*((DATI!$E$46*DATI!$E$47)/B465^2))))</f>
        <v>7.4384574182261118E-2</v>
      </c>
      <c r="D465" s="300"/>
      <c r="E465" s="422"/>
      <c r="F465" s="422"/>
      <c r="G465" s="422"/>
      <c r="H465" s="422"/>
      <c r="I465" s="422"/>
      <c r="J465" s="422"/>
      <c r="K465" s="422"/>
      <c r="L465" s="422"/>
      <c r="M465" s="422"/>
      <c r="N465" s="422"/>
      <c r="O465" s="422"/>
      <c r="P465" s="422"/>
      <c r="Q465" s="422"/>
      <c r="R465" s="422"/>
      <c r="S465" s="422"/>
    </row>
    <row r="466" spans="1:19" x14ac:dyDescent="0.25">
      <c r="A466" s="422"/>
      <c r="B466" s="625">
        <f t="shared" si="7"/>
        <v>4.6099999999999461</v>
      </c>
      <c r="C466" s="638">
        <f>1/DATI!$E$38*IF(B466&lt;DATI!$E$45,DATI!$E$32*DATI!$E$42*DATI!$E$49*DATI!$E$33*(B466/DATI!$E$45+1/(DATI!$E$49*DATI!$E$33)*(1-B466/DATI!$E$45)),IF(B466&lt;DATI!$E$46,DATI!$E$32*DATI!$E$42*DATI!$E$49*DATI!$E$33,IF(B466&lt;DATI!$E$47,DATI!$E$32*DATI!$E$42*DATI!$E$49*DATI!$E$33*(DATI!$E$46/B466),DATI!$E$32*DATI!$E$42*DATI!$E$49*DATI!$E$33*((DATI!$E$46*DATI!$E$47)/B466^2))))</f>
        <v>7.4062214543346078E-2</v>
      </c>
      <c r="D466" s="300"/>
      <c r="E466" s="422"/>
      <c r="F466" s="422"/>
      <c r="G466" s="422"/>
      <c r="H466" s="422"/>
      <c r="I466" s="422"/>
      <c r="J466" s="422"/>
      <c r="K466" s="422"/>
      <c r="L466" s="422"/>
      <c r="M466" s="422"/>
      <c r="N466" s="422"/>
      <c r="O466" s="422"/>
      <c r="P466" s="422"/>
      <c r="Q466" s="422"/>
      <c r="R466" s="422"/>
      <c r="S466" s="422"/>
    </row>
    <row r="467" spans="1:19" x14ac:dyDescent="0.25">
      <c r="A467" s="422"/>
      <c r="B467" s="625">
        <f t="shared" si="7"/>
        <v>4.6199999999999459</v>
      </c>
      <c r="C467" s="638">
        <f>1/DATI!$E$38*IF(B467&lt;DATI!$E$45,DATI!$E$32*DATI!$E$42*DATI!$E$49*DATI!$E$33*(B467/DATI!$E$45+1/(DATI!$E$49*DATI!$E$33)*(1-B467/DATI!$E$45)),IF(B467&lt;DATI!$E$46,DATI!$E$32*DATI!$E$42*DATI!$E$49*DATI!$E$33,IF(B467&lt;DATI!$E$47,DATI!$E$32*DATI!$E$42*DATI!$E$49*DATI!$E$33*(DATI!$E$46/B467),DATI!$E$32*DATI!$E$42*DATI!$E$49*DATI!$E$33*((DATI!$E$46*DATI!$E$47)/B467^2))))</f>
        <v>7.374194588260366E-2</v>
      </c>
      <c r="D467" s="300"/>
      <c r="E467" s="422"/>
      <c r="F467" s="422"/>
      <c r="G467" s="422"/>
      <c r="H467" s="422"/>
      <c r="I467" s="422"/>
      <c r="J467" s="422"/>
      <c r="K467" s="422"/>
      <c r="L467" s="422"/>
      <c r="M467" s="422"/>
      <c r="N467" s="422"/>
      <c r="O467" s="422"/>
      <c r="P467" s="422"/>
      <c r="Q467" s="422"/>
      <c r="R467" s="422"/>
      <c r="S467" s="422"/>
    </row>
    <row r="468" spans="1:19" x14ac:dyDescent="0.25">
      <c r="A468" s="422"/>
      <c r="B468" s="625">
        <f t="shared" si="7"/>
        <v>4.6299999999999457</v>
      </c>
      <c r="C468" s="638">
        <f>1/DATI!$E$38*IF(B468&lt;DATI!$E$45,DATI!$E$32*DATI!$E$42*DATI!$E$49*DATI!$E$33*(B468/DATI!$E$45+1/(DATI!$E$49*DATI!$E$33)*(1-B468/DATI!$E$45)),IF(B468&lt;DATI!$E$46,DATI!$E$32*DATI!$E$42*DATI!$E$49*DATI!$E$33,IF(B468&lt;DATI!$E$47,DATI!$E$32*DATI!$E$42*DATI!$E$49*DATI!$E$33*(DATI!$E$46/B468),DATI!$E$32*DATI!$E$42*DATI!$E$49*DATI!$E$33*((DATI!$E$46*DATI!$E$47)/B468^2))))</f>
        <v>7.342375015494991E-2</v>
      </c>
      <c r="D468" s="300"/>
      <c r="E468" s="422"/>
      <c r="F468" s="422"/>
      <c r="G468" s="422"/>
      <c r="H468" s="422"/>
      <c r="I468" s="422"/>
      <c r="J468" s="422"/>
      <c r="K468" s="422"/>
      <c r="L468" s="422"/>
      <c r="M468" s="422"/>
      <c r="N468" s="422"/>
      <c r="O468" s="422"/>
      <c r="P468" s="422"/>
      <c r="Q468" s="422"/>
      <c r="R468" s="422"/>
      <c r="S468" s="422"/>
    </row>
    <row r="469" spans="1:19" x14ac:dyDescent="0.25">
      <c r="A469" s="422"/>
      <c r="B469" s="625">
        <f t="shared" si="7"/>
        <v>4.6399999999999455</v>
      </c>
      <c r="C469" s="638">
        <f>1/DATI!$E$38*IF(B469&lt;DATI!$E$45,DATI!$E$32*DATI!$E$42*DATI!$E$49*DATI!$E$33*(B469/DATI!$E$45+1/(DATI!$E$49*DATI!$E$33)*(1-B469/DATI!$E$45)),IF(B469&lt;DATI!$E$46,DATI!$E$32*DATI!$E$42*DATI!$E$49*DATI!$E$33,IF(B469&lt;DATI!$E$47,DATI!$E$32*DATI!$E$42*DATI!$E$49*DATI!$E$33*(DATI!$E$46/B469),DATI!$E$32*DATI!$E$42*DATI!$E$49*DATI!$E$33*((DATI!$E$46*DATI!$E$47)/B469^2))))</f>
        <v>7.3107609509542482E-2</v>
      </c>
      <c r="D469" s="300"/>
      <c r="E469" s="422"/>
      <c r="F469" s="422"/>
      <c r="G469" s="422"/>
      <c r="H469" s="422"/>
      <c r="I469" s="422"/>
      <c r="J469" s="422"/>
      <c r="K469" s="422"/>
      <c r="L469" s="422"/>
      <c r="M469" s="422"/>
      <c r="N469" s="422"/>
      <c r="O469" s="422"/>
      <c r="P469" s="422"/>
      <c r="Q469" s="422"/>
      <c r="R469" s="422"/>
      <c r="S469" s="422"/>
    </row>
    <row r="470" spans="1:19" x14ac:dyDescent="0.25">
      <c r="A470" s="422"/>
      <c r="B470" s="625">
        <f t="shared" si="7"/>
        <v>4.6499999999999453</v>
      </c>
      <c r="C470" s="638">
        <f>1/DATI!$E$38*IF(B470&lt;DATI!$E$45,DATI!$E$32*DATI!$E$42*DATI!$E$49*DATI!$E$33*(B470/DATI!$E$45+1/(DATI!$E$49*DATI!$E$33)*(1-B470/DATI!$E$45)),IF(B470&lt;DATI!$E$46,DATI!$E$32*DATI!$E$42*DATI!$E$49*DATI!$E$33,IF(B470&lt;DATI!$E$47,DATI!$E$32*DATI!$E$42*DATI!$E$49*DATI!$E$33*(DATI!$E$46/B470),DATI!$E$32*DATI!$E$42*DATI!$E$49*DATI!$E$33*((DATI!$E$46*DATI!$E$47)/B470^2))))</f>
        <v>7.2793506287276946E-2</v>
      </c>
      <c r="D470" s="300"/>
      <c r="E470" s="422"/>
      <c r="F470" s="422"/>
      <c r="G470" s="422"/>
      <c r="H470" s="422"/>
      <c r="I470" s="422"/>
      <c r="J470" s="422"/>
      <c r="K470" s="422"/>
      <c r="L470" s="422"/>
      <c r="M470" s="422"/>
      <c r="N470" s="422"/>
      <c r="O470" s="422"/>
      <c r="P470" s="422"/>
      <c r="Q470" s="422"/>
      <c r="R470" s="422"/>
      <c r="S470" s="422"/>
    </row>
    <row r="471" spans="1:19" x14ac:dyDescent="0.25">
      <c r="A471" s="422"/>
      <c r="B471" s="625">
        <f t="shared" si="7"/>
        <v>4.6599999999999451</v>
      </c>
      <c r="C471" s="638">
        <f>1/DATI!$E$38*IF(B471&lt;DATI!$E$45,DATI!$E$32*DATI!$E$42*DATI!$E$49*DATI!$E$33*(B471/DATI!$E$45+1/(DATI!$E$49*DATI!$E$33)*(1-B471/DATI!$E$45)),IF(B471&lt;DATI!$E$46,DATI!$E$32*DATI!$E$42*DATI!$E$49*DATI!$E$33,IF(B471&lt;DATI!$E$47,DATI!$E$32*DATI!$E$42*DATI!$E$49*DATI!$E$33*(DATI!$E$46/B471),DATI!$E$32*DATI!$E$42*DATI!$E$49*DATI!$E$33*((DATI!$E$46*DATI!$E$47)/B471^2))))</f>
        <v>7.2481423018320737E-2</v>
      </c>
      <c r="D471" s="300"/>
      <c r="E471" s="422"/>
      <c r="F471" s="422"/>
      <c r="G471" s="422"/>
      <c r="H471" s="422"/>
      <c r="I471" s="422"/>
      <c r="J471" s="422"/>
      <c r="K471" s="422"/>
      <c r="L471" s="422"/>
      <c r="M471" s="422"/>
      <c r="N471" s="422"/>
      <c r="O471" s="422"/>
      <c r="P471" s="422"/>
      <c r="Q471" s="422"/>
      <c r="R471" s="422"/>
      <c r="S471" s="422"/>
    </row>
    <row r="472" spans="1:19" x14ac:dyDescent="0.25">
      <c r="A472" s="422"/>
      <c r="B472" s="625">
        <f t="shared" si="7"/>
        <v>4.6699999999999449</v>
      </c>
      <c r="C472" s="638">
        <f>1/DATI!$E$38*IF(B472&lt;DATI!$E$45,DATI!$E$32*DATI!$E$42*DATI!$E$49*DATI!$E$33*(B472/DATI!$E$45+1/(DATI!$E$49*DATI!$E$33)*(1-B472/DATI!$E$45)),IF(B472&lt;DATI!$E$46,DATI!$E$32*DATI!$E$42*DATI!$E$49*DATI!$E$33,IF(B472&lt;DATI!$E$47,DATI!$E$32*DATI!$E$42*DATI!$E$49*DATI!$E$33*(DATI!$E$46/B472),DATI!$E$32*DATI!$E$42*DATI!$E$49*DATI!$E$33*((DATI!$E$46*DATI!$E$47)/B472^2))))</f>
        <v>7.2171342419683968E-2</v>
      </c>
      <c r="D472" s="300"/>
      <c r="E472" s="422"/>
      <c r="F472" s="422"/>
      <c r="G472" s="422"/>
      <c r="H472" s="422"/>
      <c r="I472" s="422"/>
      <c r="J472" s="422"/>
      <c r="K472" s="422"/>
      <c r="L472" s="422"/>
      <c r="M472" s="422"/>
      <c r="N472" s="422"/>
      <c r="O472" s="422"/>
      <c r="P472" s="422"/>
      <c r="Q472" s="422"/>
      <c r="R472" s="422"/>
      <c r="S472" s="422"/>
    </row>
    <row r="473" spans="1:19" x14ac:dyDescent="0.25">
      <c r="A473" s="422"/>
      <c r="B473" s="625">
        <f t="shared" si="7"/>
        <v>4.6799999999999446</v>
      </c>
      <c r="C473" s="638">
        <f>1/DATI!$E$38*IF(B473&lt;DATI!$E$45,DATI!$E$32*DATI!$E$42*DATI!$E$49*DATI!$E$33*(B473/DATI!$E$45+1/(DATI!$E$49*DATI!$E$33)*(1-B473/DATI!$E$45)),IF(B473&lt;DATI!$E$46,DATI!$E$32*DATI!$E$42*DATI!$E$49*DATI!$E$33,IF(B473&lt;DATI!$E$47,DATI!$E$32*DATI!$E$42*DATI!$E$49*DATI!$E$33*(DATI!$E$46/B473),DATI!$E$32*DATI!$E$42*DATI!$E$49*DATI!$E$33*((DATI!$E$46*DATI!$E$47)/B473^2))))</f>
        <v>7.1863247392826624E-2</v>
      </c>
      <c r="D473" s="300"/>
      <c r="E473" s="422"/>
      <c r="F473" s="422"/>
      <c r="G473" s="422"/>
      <c r="H473" s="422"/>
      <c r="I473" s="422"/>
      <c r="J473" s="422"/>
      <c r="K473" s="422"/>
      <c r="L473" s="422"/>
      <c r="M473" s="422"/>
      <c r="N473" s="422"/>
      <c r="O473" s="422"/>
      <c r="P473" s="422"/>
      <c r="Q473" s="422"/>
      <c r="R473" s="422"/>
      <c r="S473" s="422"/>
    </row>
    <row r="474" spans="1:19" x14ac:dyDescent="0.25">
      <c r="A474" s="422"/>
      <c r="B474" s="625">
        <f t="shared" si="7"/>
        <v>4.6899999999999444</v>
      </c>
      <c r="C474" s="638">
        <f>1/DATI!$E$38*IF(B474&lt;DATI!$E$45,DATI!$E$32*DATI!$E$42*DATI!$E$49*DATI!$E$33*(B474/DATI!$E$45+1/(DATI!$E$49*DATI!$E$33)*(1-B474/DATI!$E$45)),IF(B474&lt;DATI!$E$46,DATI!$E$32*DATI!$E$42*DATI!$E$49*DATI!$E$33,IF(B474&lt;DATI!$E$47,DATI!$E$32*DATI!$E$42*DATI!$E$49*DATI!$E$33*(DATI!$E$46/B474),DATI!$E$32*DATI!$E$42*DATI!$E$49*DATI!$E$33*((DATI!$E$46*DATI!$E$47)/B474^2))))</f>
        <v>7.1557121021301323E-2</v>
      </c>
      <c r="D474" s="300"/>
      <c r="E474" s="422"/>
      <c r="F474" s="422"/>
      <c r="G474" s="422"/>
      <c r="H474" s="422"/>
      <c r="I474" s="422"/>
      <c r="J474" s="422"/>
      <c r="K474" s="422"/>
      <c r="L474" s="422"/>
      <c r="M474" s="422"/>
      <c r="N474" s="422"/>
      <c r="O474" s="422"/>
      <c r="P474" s="422"/>
      <c r="Q474" s="422"/>
      <c r="R474" s="422"/>
      <c r="S474" s="422"/>
    </row>
    <row r="475" spans="1:19" x14ac:dyDescent="0.25">
      <c r="A475" s="422"/>
      <c r="B475" s="625">
        <f t="shared" si="7"/>
        <v>4.6999999999999442</v>
      </c>
      <c r="C475" s="638">
        <f>1/DATI!$E$38*IF(B475&lt;DATI!$E$45,DATI!$E$32*DATI!$E$42*DATI!$E$49*DATI!$E$33*(B475/DATI!$E$45+1/(DATI!$E$49*DATI!$E$33)*(1-B475/DATI!$E$45)),IF(B475&lt;DATI!$E$46,DATI!$E$32*DATI!$E$42*DATI!$E$49*DATI!$E$33,IF(B475&lt;DATI!$E$47,DATI!$E$32*DATI!$E$42*DATI!$E$49*DATI!$E$33*(DATI!$E$46/B475),DATI!$E$32*DATI!$E$42*DATI!$E$49*DATI!$E$33*((DATI!$E$46*DATI!$E$47)/B475^2))))</f>
        <v>7.1252946568431244E-2</v>
      </c>
      <c r="D475" s="300"/>
      <c r="E475" s="422"/>
      <c r="F475" s="422"/>
      <c r="G475" s="422"/>
      <c r="H475" s="422"/>
      <c r="I475" s="422"/>
      <c r="J475" s="422"/>
      <c r="K475" s="422"/>
      <c r="L475" s="422"/>
      <c r="M475" s="422"/>
      <c r="N475" s="422"/>
      <c r="O475" s="422"/>
      <c r="P475" s="422"/>
      <c r="Q475" s="422"/>
      <c r="R475" s="422"/>
      <c r="S475" s="422"/>
    </row>
    <row r="476" spans="1:19" x14ac:dyDescent="0.25">
      <c r="A476" s="422"/>
      <c r="B476" s="625">
        <f t="shared" si="7"/>
        <v>4.709999999999944</v>
      </c>
      <c r="C476" s="638">
        <f>1/DATI!$E$38*IF(B476&lt;DATI!$E$45,DATI!$E$32*DATI!$E$42*DATI!$E$49*DATI!$E$33*(B476/DATI!$E$45+1/(DATI!$E$49*DATI!$E$33)*(1-B476/DATI!$E$45)),IF(B476&lt;DATI!$E$46,DATI!$E$32*DATI!$E$42*DATI!$E$49*DATI!$E$33,IF(B476&lt;DATI!$E$47,DATI!$E$32*DATI!$E$42*DATI!$E$49*DATI!$E$33*(DATI!$E$46/B476),DATI!$E$32*DATI!$E$42*DATI!$E$49*DATI!$E$33*((DATI!$E$46*DATI!$E$47)/B476^2))))</f>
        <v>7.0950707475022481E-2</v>
      </c>
      <c r="D476" s="300"/>
      <c r="E476" s="422"/>
      <c r="F476" s="422"/>
      <c r="G476" s="422"/>
      <c r="H476" s="422"/>
      <c r="I476" s="422"/>
      <c r="J476" s="422"/>
      <c r="K476" s="422"/>
      <c r="L476" s="422"/>
      <c r="M476" s="422"/>
      <c r="N476" s="422"/>
      <c r="O476" s="422"/>
      <c r="P476" s="422"/>
      <c r="Q476" s="422"/>
      <c r="R476" s="422"/>
      <c r="S476" s="422"/>
    </row>
    <row r="477" spans="1:19" x14ac:dyDescent="0.25">
      <c r="A477" s="422"/>
      <c r="B477" s="625">
        <f t="shared" si="7"/>
        <v>4.7199999999999438</v>
      </c>
      <c r="C477" s="638">
        <f>1/DATI!$E$38*IF(B477&lt;DATI!$E$45,DATI!$E$32*DATI!$E$42*DATI!$E$49*DATI!$E$33*(B477/DATI!$E$45+1/(DATI!$E$49*DATI!$E$33)*(1-B477/DATI!$E$45)),IF(B477&lt;DATI!$E$46,DATI!$E$32*DATI!$E$42*DATI!$E$49*DATI!$E$33,IF(B477&lt;DATI!$E$47,DATI!$E$32*DATI!$E$42*DATI!$E$49*DATI!$E$33*(DATI!$E$46/B477),DATI!$E$32*DATI!$E$42*DATI!$E$49*DATI!$E$33*((DATI!$E$46*DATI!$E$47)/B477^2))))</f>
        <v>7.0650387357110295E-2</v>
      </c>
      <c r="D477" s="300"/>
      <c r="E477" s="422"/>
      <c r="F477" s="422"/>
      <c r="G477" s="422"/>
      <c r="H477" s="422"/>
      <c r="I477" s="422"/>
      <c r="J477" s="422"/>
      <c r="K477" s="422"/>
      <c r="L477" s="422"/>
      <c r="M477" s="422"/>
      <c r="N477" s="422"/>
      <c r="O477" s="422"/>
      <c r="P477" s="422"/>
      <c r="Q477" s="422"/>
      <c r="R477" s="422"/>
      <c r="S477" s="422"/>
    </row>
    <row r="478" spans="1:19" x14ac:dyDescent="0.25">
      <c r="A478" s="422"/>
      <c r="B478" s="625">
        <f t="shared" si="7"/>
        <v>4.7299999999999436</v>
      </c>
      <c r="C478" s="638">
        <f>1/DATI!$E$38*IF(B478&lt;DATI!$E$45,DATI!$E$32*DATI!$E$42*DATI!$E$49*DATI!$E$33*(B478/DATI!$E$45+1/(DATI!$E$49*DATI!$E$33)*(1-B478/DATI!$E$45)),IF(B478&lt;DATI!$E$46,DATI!$E$32*DATI!$E$42*DATI!$E$49*DATI!$E$33,IF(B478&lt;DATI!$E$47,DATI!$E$32*DATI!$E$42*DATI!$E$49*DATI!$E$33*(DATI!$E$46/B478),DATI!$E$32*DATI!$E$42*DATI!$E$49*DATI!$E$33*((DATI!$E$46*DATI!$E$47)/B478^2))))</f>
        <v>7.0351970003738731E-2</v>
      </c>
      <c r="D478" s="300"/>
      <c r="E478" s="422"/>
      <c r="F478" s="422"/>
      <c r="G478" s="422"/>
      <c r="H478" s="422"/>
      <c r="I478" s="422"/>
      <c r="J478" s="422"/>
      <c r="K478" s="422"/>
      <c r="L478" s="422"/>
      <c r="M478" s="422"/>
      <c r="N478" s="422"/>
      <c r="O478" s="422"/>
      <c r="P478" s="422"/>
      <c r="Q478" s="422"/>
      <c r="R478" s="422"/>
      <c r="S478" s="422"/>
    </row>
    <row r="479" spans="1:19" x14ac:dyDescent="0.25">
      <c r="A479" s="422"/>
      <c r="B479" s="625">
        <f t="shared" si="7"/>
        <v>4.7399999999999434</v>
      </c>
      <c r="C479" s="638">
        <f>1/DATI!$E$38*IF(B479&lt;DATI!$E$45,DATI!$E$32*DATI!$E$42*DATI!$E$49*DATI!$E$33*(B479/DATI!$E$45+1/(DATI!$E$49*DATI!$E$33)*(1-B479/DATI!$E$45)),IF(B479&lt;DATI!$E$46,DATI!$E$32*DATI!$E$42*DATI!$E$49*DATI!$E$33,IF(B479&lt;DATI!$E$47,DATI!$E$32*DATI!$E$42*DATI!$E$49*DATI!$E$33*(DATI!$E$46/B479),DATI!$E$32*DATI!$E$42*DATI!$E$49*DATI!$E$33*((DATI!$E$46*DATI!$E$47)/B479^2))))</f>
        <v>7.0055439374772849E-2</v>
      </c>
      <c r="D479" s="300"/>
      <c r="E479" s="422"/>
      <c r="F479" s="422"/>
      <c r="G479" s="422"/>
      <c r="H479" s="422"/>
      <c r="I479" s="422"/>
      <c r="J479" s="422"/>
      <c r="K479" s="422"/>
      <c r="L479" s="422"/>
      <c r="M479" s="422"/>
      <c r="N479" s="422"/>
      <c r="O479" s="422"/>
      <c r="P479" s="422"/>
      <c r="Q479" s="422"/>
      <c r="R479" s="422"/>
      <c r="S479" s="422"/>
    </row>
    <row r="480" spans="1:19" x14ac:dyDescent="0.25">
      <c r="A480" s="422"/>
      <c r="B480" s="625">
        <f t="shared" si="7"/>
        <v>4.7499999999999432</v>
      </c>
      <c r="C480" s="638">
        <f>1/DATI!$E$38*IF(B480&lt;DATI!$E$45,DATI!$E$32*DATI!$E$42*DATI!$E$49*DATI!$E$33*(B480/DATI!$E$45+1/(DATI!$E$49*DATI!$E$33)*(1-B480/DATI!$E$45)),IF(B480&lt;DATI!$E$46,DATI!$E$32*DATI!$E$42*DATI!$E$49*DATI!$E$33,IF(B480&lt;DATI!$E$47,DATI!$E$32*DATI!$E$42*DATI!$E$49*DATI!$E$33*(DATI!$E$46/B480),DATI!$E$32*DATI!$E$42*DATI!$E$49*DATI!$E$33*((DATI!$E$46*DATI!$E$47)/B480^2))))</f>
        <v>6.9760779598743342E-2</v>
      </c>
      <c r="D480" s="300"/>
      <c r="E480" s="422"/>
      <c r="F480" s="422"/>
      <c r="G480" s="422"/>
      <c r="H480" s="422"/>
      <c r="I480" s="422"/>
      <c r="J480" s="422"/>
      <c r="K480" s="422"/>
      <c r="L480" s="422"/>
      <c r="M480" s="422"/>
      <c r="N480" s="422"/>
      <c r="O480" s="422"/>
      <c r="P480" s="422"/>
      <c r="Q480" s="422"/>
      <c r="R480" s="422"/>
      <c r="S480" s="422"/>
    </row>
    <row r="481" spans="1:19" x14ac:dyDescent="0.25">
      <c r="A481" s="422"/>
      <c r="B481" s="625">
        <f t="shared" si="7"/>
        <v>4.7599999999999429</v>
      </c>
      <c r="C481" s="638">
        <f>1/DATI!$E$38*IF(B481&lt;DATI!$E$45,DATI!$E$32*DATI!$E$42*DATI!$E$49*DATI!$E$33*(B481/DATI!$E$45+1/(DATI!$E$49*DATI!$E$33)*(1-B481/DATI!$E$45)),IF(B481&lt;DATI!$E$46,DATI!$E$32*DATI!$E$42*DATI!$E$49*DATI!$E$33,IF(B481&lt;DATI!$E$47,DATI!$E$32*DATI!$E$42*DATI!$E$49*DATI!$E$33*(DATI!$E$46/B481),DATI!$E$32*DATI!$E$42*DATI!$E$49*DATI!$E$33*((DATI!$E$46*DATI!$E$47)/B481^2))))</f>
        <v>6.9467974970722698E-2</v>
      </c>
      <c r="D481" s="300"/>
      <c r="E481" s="422"/>
      <c r="F481" s="422"/>
      <c r="G481" s="422"/>
      <c r="H481" s="422"/>
      <c r="I481" s="422"/>
      <c r="J481" s="422"/>
      <c r="K481" s="422"/>
      <c r="L481" s="422"/>
      <c r="M481" s="422"/>
      <c r="N481" s="422"/>
      <c r="O481" s="422"/>
      <c r="P481" s="422"/>
      <c r="Q481" s="422"/>
      <c r="R481" s="422"/>
      <c r="S481" s="422"/>
    </row>
    <row r="482" spans="1:19" x14ac:dyDescent="0.25">
      <c r="A482" s="422"/>
      <c r="B482" s="625">
        <f t="shared" si="7"/>
        <v>4.7699999999999427</v>
      </c>
      <c r="C482" s="638">
        <f>1/DATI!$E$38*IF(B482&lt;DATI!$E$45,DATI!$E$32*DATI!$E$42*DATI!$E$49*DATI!$E$33*(B482/DATI!$E$45+1/(DATI!$E$49*DATI!$E$33)*(1-B482/DATI!$E$45)),IF(B482&lt;DATI!$E$46,DATI!$E$32*DATI!$E$42*DATI!$E$49*DATI!$E$33,IF(B482&lt;DATI!$E$47,DATI!$E$32*DATI!$E$42*DATI!$E$49*DATI!$E$33*(DATI!$E$46/B482),DATI!$E$32*DATI!$E$42*DATI!$E$49*DATI!$E$33*((DATI!$E$46*DATI!$E$47)/B482^2))))</f>
        <v>6.9177009950232557E-2</v>
      </c>
      <c r="D482" s="300"/>
      <c r="E482" s="422"/>
      <c r="F482" s="422"/>
      <c r="G482" s="422"/>
      <c r="H482" s="422"/>
      <c r="I482" s="422"/>
      <c r="J482" s="422"/>
      <c r="K482" s="422"/>
      <c r="L482" s="422"/>
      <c r="M482" s="422"/>
      <c r="N482" s="422"/>
      <c r="O482" s="422"/>
      <c r="P482" s="422"/>
      <c r="Q482" s="422"/>
      <c r="R482" s="422"/>
      <c r="S482" s="422"/>
    </row>
    <row r="483" spans="1:19" x14ac:dyDescent="0.25">
      <c r="A483" s="422"/>
      <c r="B483" s="625">
        <f t="shared" si="7"/>
        <v>4.7799999999999425</v>
      </c>
      <c r="C483" s="638">
        <f>1/DATI!$E$38*IF(B483&lt;DATI!$E$45,DATI!$E$32*DATI!$E$42*DATI!$E$49*DATI!$E$33*(B483/DATI!$E$45+1/(DATI!$E$49*DATI!$E$33)*(1-B483/DATI!$E$45)),IF(B483&lt;DATI!$E$46,DATI!$E$32*DATI!$E$42*DATI!$E$49*DATI!$E$33,IF(B483&lt;DATI!$E$47,DATI!$E$32*DATI!$E$42*DATI!$E$49*DATI!$E$33*(DATI!$E$46/B483),DATI!$E$32*DATI!$E$42*DATI!$E$49*DATI!$E$33*((DATI!$E$46*DATI!$E$47)/B483^2))))</f>
        <v>6.8887869159181672E-2</v>
      </c>
      <c r="D483" s="300"/>
      <c r="E483" s="422"/>
      <c r="F483" s="422"/>
      <c r="G483" s="422"/>
      <c r="H483" s="422"/>
      <c r="I483" s="422"/>
      <c r="J483" s="422"/>
      <c r="K483" s="422"/>
      <c r="L483" s="422"/>
      <c r="M483" s="422"/>
      <c r="N483" s="422"/>
      <c r="O483" s="422"/>
      <c r="P483" s="422"/>
      <c r="Q483" s="422"/>
      <c r="R483" s="422"/>
      <c r="S483" s="422"/>
    </row>
    <row r="484" spans="1:19" x14ac:dyDescent="0.25">
      <c r="A484" s="422"/>
      <c r="B484" s="625">
        <f t="shared" si="7"/>
        <v>4.7899999999999423</v>
      </c>
      <c r="C484" s="638">
        <f>1/DATI!$E$38*IF(B484&lt;DATI!$E$45,DATI!$E$32*DATI!$E$42*DATI!$E$49*DATI!$E$33*(B484/DATI!$E$45+1/(DATI!$E$49*DATI!$E$33)*(1-B484/DATI!$E$45)),IF(B484&lt;DATI!$E$46,DATI!$E$32*DATI!$E$42*DATI!$E$49*DATI!$E$33,IF(B484&lt;DATI!$E$47,DATI!$E$32*DATI!$E$42*DATI!$E$49*DATI!$E$33*(DATI!$E$46/B484),DATI!$E$32*DATI!$E$42*DATI!$E$49*DATI!$E$33*((DATI!$E$46*DATI!$E$47)/B484^2))))</f>
        <v>6.8600537379833876E-2</v>
      </c>
      <c r="D484" s="300"/>
      <c r="E484" s="422"/>
      <c r="F484" s="422"/>
      <c r="G484" s="422"/>
      <c r="H484" s="422"/>
      <c r="I484" s="422"/>
      <c r="J484" s="422"/>
      <c r="K484" s="422"/>
      <c r="L484" s="422"/>
      <c r="M484" s="422"/>
      <c r="N484" s="422"/>
      <c r="O484" s="422"/>
      <c r="P484" s="422"/>
      <c r="Q484" s="422"/>
      <c r="R484" s="422"/>
      <c r="S484" s="422"/>
    </row>
    <row r="485" spans="1:19" x14ac:dyDescent="0.25">
      <c r="A485" s="422"/>
      <c r="B485" s="625">
        <f t="shared" si="7"/>
        <v>4.7999999999999421</v>
      </c>
      <c r="C485" s="638">
        <f>1/DATI!$E$38*IF(B485&lt;DATI!$E$45,DATI!$E$32*DATI!$E$42*DATI!$E$49*DATI!$E$33*(B485/DATI!$E$45+1/(DATI!$E$49*DATI!$E$33)*(1-B485/DATI!$E$45)),IF(B485&lt;DATI!$E$46,DATI!$E$32*DATI!$E$42*DATI!$E$49*DATI!$E$33,IF(B485&lt;DATI!$E$47,DATI!$E$32*DATI!$E$42*DATI!$E$49*DATI!$E$33*(DATI!$E$46/B485),DATI!$E$32*DATI!$E$42*DATI!$E$49*DATI!$E$33*((DATI!$E$46*DATI!$E$47)/B485^2))))</f>
        <v>6.8314999552805844E-2</v>
      </c>
      <c r="D485" s="300"/>
      <c r="E485" s="422"/>
      <c r="F485" s="422"/>
      <c r="G485" s="422"/>
      <c r="H485" s="422"/>
      <c r="I485" s="422"/>
      <c r="J485" s="422"/>
      <c r="K485" s="422"/>
      <c r="L485" s="422"/>
      <c r="M485" s="422"/>
      <c r="N485" s="422"/>
      <c r="O485" s="422"/>
      <c r="P485" s="422"/>
      <c r="Q485" s="422"/>
      <c r="R485" s="422"/>
      <c r="S485" s="422"/>
    </row>
    <row r="486" spans="1:19" x14ac:dyDescent="0.25">
      <c r="A486" s="422"/>
      <c r="B486" s="625">
        <f t="shared" si="7"/>
        <v>4.8099999999999419</v>
      </c>
      <c r="C486" s="638">
        <f>1/DATI!$E$38*IF(B486&lt;DATI!$E$45,DATI!$E$32*DATI!$E$42*DATI!$E$49*DATI!$E$33*(B486/DATI!$E$45+1/(DATI!$E$49*DATI!$E$33)*(1-B486/DATI!$E$45)),IF(B486&lt;DATI!$E$46,DATI!$E$32*DATI!$E$42*DATI!$E$49*DATI!$E$33,IF(B486&lt;DATI!$E$47,DATI!$E$32*DATI!$E$42*DATI!$E$49*DATI!$E$33*(DATI!$E$46/B486),DATI!$E$32*DATI!$E$42*DATI!$E$49*DATI!$E$33*((DATI!$E$46*DATI!$E$47)/B486^2))))</f>
        <v>6.8031240775093746E-2</v>
      </c>
      <c r="D486" s="300"/>
      <c r="E486" s="422"/>
      <c r="F486" s="422"/>
      <c r="G486" s="422"/>
      <c r="H486" s="422"/>
      <c r="I486" s="422"/>
      <c r="J486" s="422"/>
      <c r="K486" s="422"/>
      <c r="L486" s="422"/>
      <c r="M486" s="422"/>
      <c r="N486" s="422"/>
      <c r="O486" s="422"/>
      <c r="P486" s="422"/>
      <c r="Q486" s="422"/>
      <c r="R486" s="422"/>
      <c r="S486" s="422"/>
    </row>
    <row r="487" spans="1:19" x14ac:dyDescent="0.25">
      <c r="A487" s="422"/>
      <c r="B487" s="625">
        <f t="shared" si="7"/>
        <v>4.8199999999999417</v>
      </c>
      <c r="C487" s="638">
        <f>1/DATI!$E$38*IF(B487&lt;DATI!$E$45,DATI!$E$32*DATI!$E$42*DATI!$E$49*DATI!$E$33*(B487/DATI!$E$45+1/(DATI!$E$49*DATI!$E$33)*(1-B487/DATI!$E$45)),IF(B487&lt;DATI!$E$46,DATI!$E$32*DATI!$E$42*DATI!$E$49*DATI!$E$33,IF(B487&lt;DATI!$E$47,DATI!$E$32*DATI!$E$42*DATI!$E$49*DATI!$E$33*(DATI!$E$46/B487),DATI!$E$32*DATI!$E$42*DATI!$E$49*DATI!$E$33*((DATI!$E$46*DATI!$E$47)/B487^2))))</f>
        <v>6.7749246298128771E-2</v>
      </c>
      <c r="D487" s="300"/>
      <c r="E487" s="422"/>
      <c r="F487" s="422"/>
      <c r="G487" s="422"/>
      <c r="H487" s="422"/>
      <c r="I487" s="422"/>
      <c r="J487" s="422"/>
      <c r="K487" s="422"/>
      <c r="L487" s="422"/>
      <c r="M487" s="422"/>
      <c r="N487" s="422"/>
      <c r="O487" s="422"/>
      <c r="P487" s="422"/>
      <c r="Q487" s="422"/>
      <c r="R487" s="422"/>
      <c r="S487" s="422"/>
    </row>
    <row r="488" spans="1:19" x14ac:dyDescent="0.25">
      <c r="A488" s="422"/>
      <c r="B488" s="625">
        <f t="shared" si="7"/>
        <v>4.8299999999999415</v>
      </c>
      <c r="C488" s="638">
        <f>1/DATI!$E$38*IF(B488&lt;DATI!$E$45,DATI!$E$32*DATI!$E$42*DATI!$E$49*DATI!$E$33*(B488/DATI!$E$45+1/(DATI!$E$49*DATI!$E$33)*(1-B488/DATI!$E$45)),IF(B488&lt;DATI!$E$46,DATI!$E$32*DATI!$E$42*DATI!$E$49*DATI!$E$33,IF(B488&lt;DATI!$E$47,DATI!$E$32*DATI!$E$42*DATI!$E$49*DATI!$E$33*(DATI!$E$46/B488),DATI!$E$32*DATI!$E$42*DATI!$E$49*DATI!$E$33*((DATI!$E$46*DATI!$E$47)/B488^2))))</f>
        <v>6.7469001525860495E-2</v>
      </c>
      <c r="D488" s="300"/>
      <c r="E488" s="422"/>
      <c r="F488" s="422"/>
      <c r="G488" s="422"/>
      <c r="H488" s="422"/>
      <c r="I488" s="422"/>
      <c r="J488" s="422"/>
      <c r="K488" s="422"/>
      <c r="L488" s="422"/>
      <c r="M488" s="422"/>
      <c r="N488" s="422"/>
      <c r="O488" s="422"/>
      <c r="P488" s="422"/>
      <c r="Q488" s="422"/>
      <c r="R488" s="422"/>
      <c r="S488" s="422"/>
    </row>
    <row r="489" spans="1:19" x14ac:dyDescent="0.25">
      <c r="A489" s="422"/>
      <c r="B489" s="625">
        <f t="shared" si="7"/>
        <v>4.8399999999999412</v>
      </c>
      <c r="C489" s="638">
        <f>1/DATI!$E$38*IF(B489&lt;DATI!$E$45,DATI!$E$32*DATI!$E$42*DATI!$E$49*DATI!$E$33*(B489/DATI!$E$45+1/(DATI!$E$49*DATI!$E$33)*(1-B489/DATI!$E$45)),IF(B489&lt;DATI!$E$46,DATI!$E$32*DATI!$E$42*DATI!$E$49*DATI!$E$33,IF(B489&lt;DATI!$E$47,DATI!$E$32*DATI!$E$42*DATI!$E$49*DATI!$E$33*(DATI!$E$46/B489),DATI!$E$32*DATI!$E$42*DATI!$E$49*DATI!$E$33*((DATI!$E$46*DATI!$E$47)/B489^2))))</f>
        <v>6.719049201286828E-2</v>
      </c>
      <c r="D489" s="300"/>
      <c r="E489" s="422"/>
      <c r="F489" s="422"/>
      <c r="G489" s="422"/>
      <c r="H489" s="422"/>
      <c r="I489" s="422"/>
      <c r="J489" s="422"/>
      <c r="K489" s="422"/>
      <c r="L489" s="422"/>
      <c r="M489" s="422"/>
      <c r="N489" s="422"/>
      <c r="O489" s="422"/>
      <c r="P489" s="422"/>
      <c r="Q489" s="422"/>
      <c r="R489" s="422"/>
      <c r="S489" s="422"/>
    </row>
    <row r="490" spans="1:19" x14ac:dyDescent="0.25">
      <c r="A490" s="422"/>
      <c r="B490" s="625">
        <f t="shared" si="7"/>
        <v>4.849999999999941</v>
      </c>
      <c r="C490" s="638">
        <f>1/DATI!$E$38*IF(B490&lt;DATI!$E$45,DATI!$E$32*DATI!$E$42*DATI!$E$49*DATI!$E$33*(B490/DATI!$E$45+1/(DATI!$E$49*DATI!$E$33)*(1-B490/DATI!$E$45)),IF(B490&lt;DATI!$E$46,DATI!$E$32*DATI!$E$42*DATI!$E$49*DATI!$E$33,IF(B490&lt;DATI!$E$47,DATI!$E$32*DATI!$E$42*DATI!$E$49*DATI!$E$33*(DATI!$E$46/B490),DATI!$E$32*DATI!$E$42*DATI!$E$49*DATI!$E$33*((DATI!$E$46*DATI!$E$47)/B490^2))))</f>
        <v>6.6913703462499599E-2</v>
      </c>
      <c r="D490" s="300"/>
      <c r="E490" s="422"/>
      <c r="F490" s="422"/>
      <c r="G490" s="422"/>
      <c r="H490" s="422"/>
      <c r="I490" s="422"/>
      <c r="J490" s="422"/>
      <c r="K490" s="422"/>
      <c r="L490" s="422"/>
      <c r="M490" s="422"/>
      <c r="N490" s="422"/>
      <c r="O490" s="422"/>
      <c r="P490" s="422"/>
      <c r="Q490" s="422"/>
      <c r="R490" s="422"/>
      <c r="S490" s="422"/>
    </row>
    <row r="491" spans="1:19" x14ac:dyDescent="0.25">
      <c r="A491" s="422"/>
      <c r="B491" s="625">
        <f t="shared" si="7"/>
        <v>4.8599999999999408</v>
      </c>
      <c r="C491" s="638">
        <f>1/DATI!$E$38*IF(B491&lt;DATI!$E$45,DATI!$E$32*DATI!$E$42*DATI!$E$49*DATI!$E$33*(B491/DATI!$E$45+1/(DATI!$E$49*DATI!$E$33)*(1-B491/DATI!$E$45)),IF(B491&lt;DATI!$E$46,DATI!$E$32*DATI!$E$42*DATI!$E$49*DATI!$E$33,IF(B491&lt;DATI!$E$47,DATI!$E$32*DATI!$E$42*DATI!$E$49*DATI!$E$33*(DATI!$E$46/B491),DATI!$E$32*DATI!$E$42*DATI!$E$49*DATI!$E$33*((DATI!$E$46*DATI!$E$47)/B491^2))))</f>
        <v>6.663862172503543E-2</v>
      </c>
      <c r="D491" s="300"/>
      <c r="E491" s="422"/>
      <c r="F491" s="422"/>
      <c r="G491" s="422"/>
      <c r="H491" s="422"/>
      <c r="I491" s="422"/>
      <c r="J491" s="422"/>
      <c r="K491" s="422"/>
      <c r="L491" s="422"/>
      <c r="M491" s="422"/>
      <c r="N491" s="422"/>
      <c r="O491" s="422"/>
      <c r="P491" s="422"/>
      <c r="Q491" s="422"/>
      <c r="R491" s="422"/>
      <c r="S491" s="422"/>
    </row>
    <row r="492" spans="1:19" x14ac:dyDescent="0.25">
      <c r="A492" s="422"/>
      <c r="B492" s="625">
        <f t="shared" si="7"/>
        <v>4.8699999999999406</v>
      </c>
      <c r="C492" s="638">
        <f>1/DATI!$E$38*IF(B492&lt;DATI!$E$45,DATI!$E$32*DATI!$E$42*DATI!$E$49*DATI!$E$33*(B492/DATI!$E$45+1/(DATI!$E$49*DATI!$E$33)*(1-B492/DATI!$E$45)),IF(B492&lt;DATI!$E$46,DATI!$E$32*DATI!$E$42*DATI!$E$49*DATI!$E$33,IF(B492&lt;DATI!$E$47,DATI!$E$32*DATI!$E$42*DATI!$E$49*DATI!$E$33*(DATI!$E$46/B492),DATI!$E$32*DATI!$E$42*DATI!$E$49*DATI!$E$33*((DATI!$E$46*DATI!$E$47)/B492^2))))</f>
        <v>6.6365232795881718E-2</v>
      </c>
      <c r="D492" s="300"/>
      <c r="E492" s="422"/>
      <c r="F492" s="422"/>
      <c r="G492" s="422"/>
      <c r="H492" s="422"/>
      <c r="I492" s="422"/>
      <c r="J492" s="422"/>
      <c r="K492" s="422"/>
      <c r="L492" s="422"/>
      <c r="M492" s="422"/>
      <c r="N492" s="422"/>
      <c r="O492" s="422"/>
      <c r="P492" s="422"/>
      <c r="Q492" s="422"/>
      <c r="R492" s="422"/>
      <c r="S492" s="422"/>
    </row>
    <row r="493" spans="1:19" x14ac:dyDescent="0.25">
      <c r="A493" s="422"/>
      <c r="B493" s="625">
        <f t="shared" si="7"/>
        <v>4.8799999999999404</v>
      </c>
      <c r="C493" s="638">
        <f>1/DATI!$E$38*IF(B493&lt;DATI!$E$45,DATI!$E$32*DATI!$E$42*DATI!$E$49*DATI!$E$33*(B493/DATI!$E$45+1/(DATI!$E$49*DATI!$E$33)*(1-B493/DATI!$E$45)),IF(B493&lt;DATI!$E$46,DATI!$E$32*DATI!$E$42*DATI!$E$49*DATI!$E$33,IF(B493&lt;DATI!$E$47,DATI!$E$32*DATI!$E$42*DATI!$E$49*DATI!$E$33*(DATI!$E$46/B493),DATI!$E$32*DATI!$E$42*DATI!$E$49*DATI!$E$33*((DATI!$E$46*DATI!$E$47)/B493^2))))</f>
        <v>6.6093522813786929E-2</v>
      </c>
      <c r="D493" s="300"/>
      <c r="E493" s="422"/>
      <c r="F493" s="422"/>
      <c r="G493" s="422"/>
      <c r="H493" s="422"/>
      <c r="I493" s="422"/>
      <c r="J493" s="422"/>
      <c r="K493" s="422"/>
      <c r="L493" s="422"/>
      <c r="M493" s="422"/>
      <c r="N493" s="422"/>
      <c r="O493" s="422"/>
      <c r="P493" s="422"/>
      <c r="Q493" s="422"/>
      <c r="R493" s="422"/>
      <c r="S493" s="422"/>
    </row>
    <row r="494" spans="1:19" x14ac:dyDescent="0.25">
      <c r="A494" s="422"/>
      <c r="B494" s="625">
        <f t="shared" si="7"/>
        <v>4.8899999999999402</v>
      </c>
      <c r="C494" s="638">
        <f>1/DATI!$E$38*IF(B494&lt;DATI!$E$45,DATI!$E$32*DATI!$E$42*DATI!$E$49*DATI!$E$33*(B494/DATI!$E$45+1/(DATI!$E$49*DATI!$E$33)*(1-B494/DATI!$E$45)),IF(B494&lt;DATI!$E$46,DATI!$E$32*DATI!$E$42*DATI!$E$49*DATI!$E$33,IF(B494&lt;DATI!$E$47,DATI!$E$32*DATI!$E$42*DATI!$E$49*DATI!$E$33*(DATI!$E$46/B494),DATI!$E$32*DATI!$E$42*DATI!$E$49*DATI!$E$33*((DATI!$E$46*DATI!$E$47)/B494^2))))</f>
        <v>6.5823478059085033E-2</v>
      </c>
      <c r="D494" s="300"/>
      <c r="E494" s="422"/>
      <c r="F494" s="422"/>
      <c r="G494" s="422"/>
      <c r="H494" s="422"/>
      <c r="I494" s="422"/>
      <c r="J494" s="422"/>
      <c r="K494" s="422"/>
      <c r="L494" s="422"/>
      <c r="M494" s="422"/>
      <c r="N494" s="422"/>
      <c r="O494" s="422"/>
      <c r="P494" s="422"/>
      <c r="Q494" s="422"/>
      <c r="R494" s="422"/>
      <c r="S494" s="422"/>
    </row>
    <row r="495" spans="1:19" x14ac:dyDescent="0.25">
      <c r="A495" s="422"/>
      <c r="B495" s="625">
        <f t="shared" si="7"/>
        <v>4.89999999999994</v>
      </c>
      <c r="C495" s="638">
        <f>1/DATI!$E$38*IF(B495&lt;DATI!$E$45,DATI!$E$32*DATI!$E$42*DATI!$E$49*DATI!$E$33*(B495/DATI!$E$45+1/(DATI!$E$49*DATI!$E$33)*(1-B495/DATI!$E$45)),IF(B495&lt;DATI!$E$46,DATI!$E$32*DATI!$E$42*DATI!$E$49*DATI!$E$33,IF(B495&lt;DATI!$E$47,DATI!$E$32*DATI!$E$42*DATI!$E$49*DATI!$E$33*(DATI!$E$46/B495),DATI!$E$32*DATI!$E$42*DATI!$E$49*DATI!$E$33*((DATI!$E$46*DATI!$E$47)/B495^2))))</f>
        <v>6.555508495196366E-2</v>
      </c>
      <c r="D495" s="300"/>
      <c r="E495" s="422"/>
      <c r="F495" s="422"/>
      <c r="G495" s="422"/>
      <c r="H495" s="422"/>
      <c r="I495" s="422"/>
      <c r="J495" s="422"/>
      <c r="K495" s="422"/>
      <c r="L495" s="422"/>
      <c r="M495" s="422"/>
      <c r="N495" s="422"/>
      <c r="O495" s="422"/>
      <c r="P495" s="422"/>
      <c r="Q495" s="422"/>
      <c r="R495" s="422"/>
      <c r="S495" s="422"/>
    </row>
    <row r="496" spans="1:19" x14ac:dyDescent="0.25">
      <c r="A496" s="422"/>
      <c r="B496" s="625">
        <f t="shared" si="7"/>
        <v>4.9099999999999397</v>
      </c>
      <c r="C496" s="638">
        <f>1/DATI!$E$38*IF(B496&lt;DATI!$E$45,DATI!$E$32*DATI!$E$42*DATI!$E$49*DATI!$E$33*(B496/DATI!$E$45+1/(DATI!$E$49*DATI!$E$33)*(1-B496/DATI!$E$45)),IF(B496&lt;DATI!$E$46,DATI!$E$32*DATI!$E$42*DATI!$E$49*DATI!$E$33,IF(B496&lt;DATI!$E$47,DATI!$E$32*DATI!$E$42*DATI!$E$49*DATI!$E$33*(DATI!$E$46/B496),DATI!$E$32*DATI!$E$42*DATI!$E$49*DATI!$E$33*((DATI!$E$46*DATI!$E$47)/B496^2))))</f>
        <v>6.5288330050756696E-2</v>
      </c>
      <c r="D496" s="300"/>
      <c r="E496" s="422"/>
      <c r="F496" s="422"/>
      <c r="G496" s="422"/>
      <c r="H496" s="422"/>
      <c r="I496" s="422"/>
      <c r="J496" s="422"/>
      <c r="K496" s="422"/>
      <c r="L496" s="422"/>
      <c r="M496" s="422"/>
      <c r="N496" s="422"/>
      <c r="O496" s="422"/>
      <c r="P496" s="422"/>
      <c r="Q496" s="422"/>
      <c r="R496" s="422"/>
      <c r="S496" s="422"/>
    </row>
    <row r="497" spans="1:19" x14ac:dyDescent="0.25">
      <c r="A497" s="422"/>
      <c r="B497" s="625">
        <f t="shared" si="7"/>
        <v>4.9199999999999395</v>
      </c>
      <c r="C497" s="638">
        <f>1/DATI!$E$38*IF(B497&lt;DATI!$E$45,DATI!$E$32*DATI!$E$42*DATI!$E$49*DATI!$E$33*(B497/DATI!$E$45+1/(DATI!$E$49*DATI!$E$33)*(1-B497/DATI!$E$45)),IF(B497&lt;DATI!$E$46,DATI!$E$32*DATI!$E$42*DATI!$E$49*DATI!$E$33,IF(B497&lt;DATI!$E$47,DATI!$E$32*DATI!$E$42*DATI!$E$49*DATI!$E$33*(DATI!$E$46/B497),DATI!$E$32*DATI!$E$42*DATI!$E$49*DATI!$E$33*((DATI!$E$46*DATI!$E$47)/B497^2))))</f>
        <v>6.5023200050261395E-2</v>
      </c>
      <c r="D497" s="300"/>
      <c r="E497" s="422"/>
      <c r="F497" s="422"/>
      <c r="G497" s="422"/>
      <c r="H497" s="422"/>
      <c r="I497" s="422"/>
      <c r="J497" s="422"/>
      <c r="K497" s="422"/>
      <c r="L497" s="422"/>
      <c r="M497" s="422"/>
      <c r="N497" s="422"/>
      <c r="O497" s="422"/>
      <c r="P497" s="422"/>
      <c r="Q497" s="422"/>
      <c r="R497" s="422"/>
      <c r="S497" s="422"/>
    </row>
    <row r="498" spans="1:19" x14ac:dyDescent="0.25">
      <c r="A498" s="422"/>
      <c r="B498" s="625">
        <f t="shared" si="7"/>
        <v>4.9299999999999393</v>
      </c>
      <c r="C498" s="638">
        <f>1/DATI!$E$38*IF(B498&lt;DATI!$E$45,DATI!$E$32*DATI!$E$42*DATI!$E$49*DATI!$E$33*(B498/DATI!$E$45+1/(DATI!$E$49*DATI!$E$33)*(1-B498/DATI!$E$45)),IF(B498&lt;DATI!$E$46,DATI!$E$32*DATI!$E$42*DATI!$E$49*DATI!$E$33,IF(B498&lt;DATI!$E$47,DATI!$E$32*DATI!$E$42*DATI!$E$49*DATI!$E$33*(DATI!$E$46/B498),DATI!$E$32*DATI!$E$42*DATI!$E$49*DATI!$E$33*((DATI!$E$46*DATI!$E$47)/B498^2))))</f>
        <v>6.4759681780079223E-2</v>
      </c>
      <c r="D498" s="300"/>
      <c r="E498" s="422"/>
      <c r="F498" s="422"/>
      <c r="G498" s="422"/>
      <c r="H498" s="422"/>
      <c r="I498" s="422"/>
      <c r="J498" s="422"/>
      <c r="K498" s="422"/>
      <c r="L498" s="422"/>
      <c r="M498" s="422"/>
      <c r="N498" s="422"/>
      <c r="O498" s="422"/>
      <c r="P498" s="422"/>
      <c r="Q498" s="422"/>
      <c r="R498" s="422"/>
      <c r="S498" s="422"/>
    </row>
    <row r="499" spans="1:19" x14ac:dyDescent="0.25">
      <c r="A499" s="422"/>
      <c r="B499" s="625">
        <f t="shared" si="7"/>
        <v>4.9399999999999391</v>
      </c>
      <c r="C499" s="638">
        <f>1/DATI!$E$38*IF(B499&lt;DATI!$E$45,DATI!$E$32*DATI!$E$42*DATI!$E$49*DATI!$E$33*(B499/DATI!$E$45+1/(DATI!$E$49*DATI!$E$33)*(1-B499/DATI!$E$45)),IF(B499&lt;DATI!$E$46,DATI!$E$32*DATI!$E$42*DATI!$E$49*DATI!$E$33,IF(B499&lt;DATI!$E$47,DATI!$E$32*DATI!$E$42*DATI!$E$49*DATI!$E$33*(DATI!$E$46/B499),DATI!$E$32*DATI!$E$42*DATI!$E$49*DATI!$E$33*((DATI!$E$46*DATI!$E$47)/B499^2))))</f>
        <v>6.4497762202980202E-2</v>
      </c>
      <c r="D499" s="300"/>
      <c r="E499" s="422"/>
      <c r="F499" s="422"/>
      <c r="G499" s="422"/>
      <c r="H499" s="422"/>
      <c r="I499" s="422"/>
      <c r="J499" s="422"/>
      <c r="K499" s="422"/>
      <c r="L499" s="422"/>
      <c r="M499" s="422"/>
      <c r="N499" s="422"/>
      <c r="O499" s="422"/>
      <c r="P499" s="422"/>
      <c r="Q499" s="422"/>
      <c r="R499" s="422"/>
      <c r="S499" s="422"/>
    </row>
    <row r="500" spans="1:19" x14ac:dyDescent="0.25">
      <c r="A500" s="422"/>
      <c r="B500" s="625">
        <f t="shared" si="7"/>
        <v>4.9499999999999389</v>
      </c>
      <c r="C500" s="638">
        <f>1/DATI!$E$38*IF(B500&lt;DATI!$E$45,DATI!$E$32*DATI!$E$42*DATI!$E$49*DATI!$E$33*(B500/DATI!$E$45+1/(DATI!$E$49*DATI!$E$33)*(1-B500/DATI!$E$45)),IF(B500&lt;DATI!$E$46,DATI!$E$32*DATI!$E$42*DATI!$E$49*DATI!$E$33,IF(B500&lt;DATI!$E$47,DATI!$E$32*DATI!$E$42*DATI!$E$49*DATI!$E$33*(DATI!$E$46/B500),DATI!$E$32*DATI!$E$42*DATI!$E$49*DATI!$E$33*((DATI!$E$46*DATI!$E$47)/B500^2))))</f>
        <v>6.4237428413290387E-2</v>
      </c>
      <c r="D500" s="300"/>
      <c r="E500" s="422"/>
      <c r="F500" s="422"/>
      <c r="G500" s="422"/>
      <c r="H500" s="422"/>
      <c r="I500" s="422"/>
      <c r="J500" s="422"/>
      <c r="K500" s="422"/>
      <c r="L500" s="422"/>
      <c r="M500" s="422"/>
      <c r="N500" s="422"/>
      <c r="O500" s="422"/>
      <c r="P500" s="422"/>
      <c r="Q500" s="422"/>
      <c r="R500" s="422"/>
      <c r="S500" s="422"/>
    </row>
    <row r="501" spans="1:19" x14ac:dyDescent="0.25">
      <c r="A501" s="422"/>
      <c r="B501" s="625">
        <f t="shared" si="7"/>
        <v>4.9599999999999387</v>
      </c>
      <c r="C501" s="638">
        <f>1/DATI!$E$38*IF(B501&lt;DATI!$E$45,DATI!$E$32*DATI!$E$42*DATI!$E$49*DATI!$E$33*(B501/DATI!$E$45+1/(DATI!$E$49*DATI!$E$33)*(1-B501/DATI!$E$45)),IF(B501&lt;DATI!$E$46,DATI!$E$32*DATI!$E$42*DATI!$E$49*DATI!$E$33,IF(B501&lt;DATI!$E$47,DATI!$E$32*DATI!$E$42*DATI!$E$49*DATI!$E$33*(DATI!$E$46/B501),DATI!$E$32*DATI!$E$42*DATI!$E$49*DATI!$E$33*((DATI!$E$46*DATI!$E$47)/B501^2))))</f>
        <v>6.3978667635302092E-2</v>
      </c>
      <c r="D501" s="300"/>
      <c r="E501" s="422"/>
      <c r="F501" s="422"/>
      <c r="G501" s="422"/>
      <c r="H501" s="422"/>
      <c r="I501" s="422"/>
      <c r="J501" s="422"/>
      <c r="K501" s="422"/>
      <c r="L501" s="422"/>
      <c r="M501" s="422"/>
      <c r="N501" s="422"/>
      <c r="O501" s="422"/>
      <c r="P501" s="422"/>
      <c r="Q501" s="422"/>
      <c r="R501" s="422"/>
      <c r="S501" s="422"/>
    </row>
    <row r="502" spans="1:19" x14ac:dyDescent="0.25">
      <c r="A502" s="422"/>
      <c r="B502" s="625">
        <f t="shared" si="7"/>
        <v>4.9699999999999385</v>
      </c>
      <c r="C502" s="638">
        <f>1/DATI!$E$38*IF(B502&lt;DATI!$E$45,DATI!$E$32*DATI!$E$42*DATI!$E$49*DATI!$E$33*(B502/DATI!$E$45+1/(DATI!$E$49*DATI!$E$33)*(1-B502/DATI!$E$45)),IF(B502&lt;DATI!$E$46,DATI!$E$32*DATI!$E$42*DATI!$E$49*DATI!$E$33,IF(B502&lt;DATI!$E$47,DATI!$E$32*DATI!$E$42*DATI!$E$49*DATI!$E$33*(DATI!$E$46/B502),DATI!$E$32*DATI!$E$42*DATI!$E$49*DATI!$E$33*((DATI!$E$46*DATI!$E$47)/B502^2))))</f>
        <v>6.3721467221706393E-2</v>
      </c>
      <c r="D502" s="300"/>
      <c r="E502" s="422"/>
      <c r="F502" s="422"/>
      <c r="G502" s="422"/>
      <c r="H502" s="422"/>
      <c r="I502" s="422"/>
      <c r="J502" s="422"/>
      <c r="K502" s="422"/>
      <c r="L502" s="422"/>
      <c r="M502" s="422"/>
      <c r="N502" s="422"/>
      <c r="O502" s="422"/>
      <c r="P502" s="422"/>
      <c r="Q502" s="422"/>
      <c r="R502" s="422"/>
      <c r="S502" s="422"/>
    </row>
    <row r="503" spans="1:19" x14ac:dyDescent="0.25">
      <c r="A503" s="422"/>
      <c r="B503" s="625">
        <f t="shared" si="7"/>
        <v>4.9799999999999383</v>
      </c>
      <c r="C503" s="638">
        <f>1/DATI!$E$38*IF(B503&lt;DATI!$E$45,DATI!$E$32*DATI!$E$42*DATI!$E$49*DATI!$E$33*(B503/DATI!$E$45+1/(DATI!$E$49*DATI!$E$33)*(1-B503/DATI!$E$45)),IF(B503&lt;DATI!$E$46,DATI!$E$32*DATI!$E$42*DATI!$E$49*DATI!$E$33,IF(B503&lt;DATI!$E$47,DATI!$E$32*DATI!$E$42*DATI!$E$49*DATI!$E$33*(DATI!$E$46/B503),DATI!$E$32*DATI!$E$42*DATI!$E$49*DATI!$E$33*((DATI!$E$46*DATI!$E$47)/B503^2))))</f>
        <v>6.3465814652047856E-2</v>
      </c>
      <c r="D503" s="300"/>
      <c r="E503" s="422"/>
      <c r="F503" s="422"/>
      <c r="G503" s="422"/>
      <c r="H503" s="422"/>
      <c r="I503" s="422"/>
      <c r="J503" s="422"/>
      <c r="K503" s="422"/>
      <c r="L503" s="422"/>
      <c r="M503" s="422"/>
      <c r="N503" s="422"/>
      <c r="O503" s="422"/>
      <c r="P503" s="422"/>
      <c r="Q503" s="422"/>
      <c r="R503" s="422"/>
      <c r="S503" s="422"/>
    </row>
    <row r="504" spans="1:19" x14ac:dyDescent="0.25">
      <c r="A504" s="422"/>
      <c r="B504" s="625">
        <f t="shared" si="7"/>
        <v>4.989999999999938</v>
      </c>
      <c r="C504" s="638">
        <f>1/DATI!$E$38*IF(B504&lt;DATI!$E$45,DATI!$E$32*DATI!$E$42*DATI!$E$49*DATI!$E$33*(B504/DATI!$E$45+1/(DATI!$E$49*DATI!$E$33)*(1-B504/DATI!$E$45)),IF(B504&lt;DATI!$E$46,DATI!$E$32*DATI!$E$42*DATI!$E$49*DATI!$E$33,IF(B504&lt;DATI!$E$47,DATI!$E$32*DATI!$E$42*DATI!$E$49*DATI!$E$33*(DATI!$E$46/B504),DATI!$E$32*DATI!$E$42*DATI!$E$49*DATI!$E$33*((DATI!$E$46*DATI!$E$47)/B504^2))))</f>
        <v>6.3211697531200595E-2</v>
      </c>
      <c r="D504" s="300"/>
      <c r="E504" s="422"/>
      <c r="F504" s="422"/>
      <c r="G504" s="422"/>
      <c r="H504" s="422"/>
      <c r="I504" s="422"/>
      <c r="J504" s="422"/>
      <c r="K504" s="422"/>
      <c r="L504" s="422"/>
      <c r="M504" s="422"/>
      <c r="N504" s="422"/>
      <c r="O504" s="422"/>
      <c r="P504" s="422"/>
      <c r="Q504" s="422"/>
      <c r="R504" s="422"/>
      <c r="S504" s="422"/>
    </row>
    <row r="505" spans="1:19" x14ac:dyDescent="0.25">
      <c r="A505" s="422"/>
      <c r="B505" s="625">
        <f t="shared" si="7"/>
        <v>4.9999999999999378</v>
      </c>
      <c r="C505" s="638">
        <f>1/DATI!$E$38*IF(B505&lt;DATI!$E$45,DATI!$E$32*DATI!$E$42*DATI!$E$49*DATI!$E$33*(B505/DATI!$E$45+1/(DATI!$E$49*DATI!$E$33)*(1-B505/DATI!$E$45)),IF(B505&lt;DATI!$E$46,DATI!$E$32*DATI!$E$42*DATI!$E$49*DATI!$E$33,IF(B505&lt;DATI!$E$47,DATI!$E$32*DATI!$E$42*DATI!$E$49*DATI!$E$33*(DATI!$E$46/B505),DATI!$E$32*DATI!$E$42*DATI!$E$49*DATI!$E$33*((DATI!$E$46*DATI!$E$47)/B505^2))))</f>
        <v>6.2959103587865925E-2</v>
      </c>
      <c r="D505" s="300"/>
      <c r="E505" s="422"/>
      <c r="F505" s="422"/>
      <c r="G505" s="422"/>
      <c r="H505" s="422"/>
      <c r="I505" s="422"/>
      <c r="J505" s="422"/>
      <c r="K505" s="422"/>
      <c r="L505" s="422"/>
      <c r="M505" s="422"/>
      <c r="N505" s="422"/>
      <c r="O505" s="422"/>
      <c r="P505" s="422"/>
      <c r="Q505" s="422"/>
      <c r="R505" s="422"/>
      <c r="S505" s="422"/>
    </row>
    <row r="506" spans="1:19" x14ac:dyDescent="0.25">
      <c r="A506" s="422"/>
      <c r="B506" s="3"/>
      <c r="C506" s="3"/>
      <c r="D506" s="3"/>
      <c r="E506" s="422"/>
      <c r="F506" s="422"/>
      <c r="G506" s="422"/>
      <c r="H506" s="422"/>
      <c r="I506" s="422"/>
      <c r="J506" s="422"/>
      <c r="K506" s="422"/>
      <c r="L506" s="422"/>
      <c r="M506" s="422"/>
      <c r="N506" s="422"/>
      <c r="O506" s="422"/>
      <c r="P506" s="422"/>
      <c r="Q506" s="422"/>
      <c r="R506" s="422"/>
      <c r="S506" s="422"/>
    </row>
    <row r="507" spans="1:19" x14ac:dyDescent="0.25">
      <c r="A507" s="422"/>
      <c r="B507" s="3"/>
      <c r="C507" s="3"/>
      <c r="D507" s="3"/>
      <c r="E507" s="422"/>
      <c r="F507" s="422"/>
      <c r="G507" s="422"/>
      <c r="H507" s="422"/>
      <c r="I507" s="422"/>
      <c r="J507" s="422"/>
      <c r="K507" s="422"/>
      <c r="L507" s="422"/>
      <c r="M507" s="422"/>
      <c r="N507" s="422"/>
      <c r="O507" s="422"/>
      <c r="P507" s="422"/>
      <c r="Q507" s="422"/>
      <c r="R507" s="422"/>
      <c r="S507" s="422"/>
    </row>
    <row r="508" spans="1:19" x14ac:dyDescent="0.25">
      <c r="A508" s="422"/>
      <c r="B508" s="3"/>
      <c r="C508" s="3"/>
      <c r="D508" s="3"/>
      <c r="E508" s="422"/>
      <c r="F508" s="422"/>
      <c r="G508" s="422"/>
      <c r="H508" s="422"/>
      <c r="I508" s="422"/>
      <c r="J508" s="422"/>
      <c r="K508" s="422"/>
      <c r="L508" s="422"/>
      <c r="M508" s="422"/>
      <c r="N508" s="422"/>
      <c r="O508" s="422"/>
      <c r="P508" s="422"/>
      <c r="Q508" s="422"/>
      <c r="R508" s="422"/>
      <c r="S508" s="422"/>
    </row>
    <row r="509" spans="1:19" x14ac:dyDescent="0.25">
      <c r="A509" s="422"/>
      <c r="B509" s="3"/>
      <c r="C509" s="3"/>
      <c r="D509" s="3"/>
      <c r="E509" s="422"/>
      <c r="F509" s="422"/>
      <c r="G509" s="422"/>
      <c r="H509" s="422"/>
      <c r="I509" s="422"/>
      <c r="J509" s="422"/>
      <c r="K509" s="422"/>
      <c r="L509" s="422"/>
      <c r="M509" s="422"/>
      <c r="N509" s="422"/>
      <c r="O509" s="422"/>
      <c r="P509" s="422"/>
      <c r="Q509" s="422"/>
      <c r="R509" s="422"/>
      <c r="S509" s="422"/>
    </row>
    <row r="510" spans="1:19" x14ac:dyDescent="0.25">
      <c r="B510" s="3"/>
      <c r="C510" s="3"/>
      <c r="D510" s="3"/>
      <c r="E510" s="2"/>
      <c r="F510" s="2"/>
      <c r="G510" s="2"/>
      <c r="H510" s="2"/>
      <c r="I510" s="2"/>
      <c r="J510" s="2"/>
      <c r="K510" s="2"/>
    </row>
    <row r="511" spans="1:19" x14ac:dyDescent="0.25">
      <c r="B511" s="3"/>
      <c r="C511" s="3"/>
      <c r="D511" s="3"/>
      <c r="E511" s="2"/>
      <c r="F511" s="2"/>
      <c r="G511" s="2"/>
      <c r="H511" s="2"/>
      <c r="I511" s="2"/>
      <c r="J511" s="2"/>
      <c r="K511" s="2"/>
    </row>
    <row r="512" spans="1:19" x14ac:dyDescent="0.25">
      <c r="B512" s="3"/>
      <c r="C512" s="3"/>
      <c r="D512" s="3"/>
      <c r="E512" s="2"/>
      <c r="F512" s="2"/>
      <c r="G512" s="2"/>
      <c r="H512" s="2"/>
      <c r="I512" s="2"/>
      <c r="J512" s="2"/>
      <c r="K512" s="2"/>
    </row>
    <row r="513" spans="2:11" x14ac:dyDescent="0.25">
      <c r="B513" s="3"/>
      <c r="C513" s="3"/>
      <c r="D513" s="3"/>
      <c r="E513" s="2"/>
      <c r="F513" s="2"/>
      <c r="G513" s="2"/>
      <c r="H513" s="2"/>
      <c r="I513" s="2"/>
      <c r="J513" s="2"/>
      <c r="K513" s="2"/>
    </row>
    <row r="514" spans="2:11" x14ac:dyDescent="0.25">
      <c r="B514" s="3"/>
      <c r="C514" s="3"/>
      <c r="D514" s="3"/>
      <c r="E514" s="2"/>
      <c r="F514" s="2"/>
      <c r="G514" s="2"/>
      <c r="H514" s="2"/>
      <c r="I514" s="2"/>
      <c r="J514" s="2"/>
      <c r="K514" s="2"/>
    </row>
    <row r="515" spans="2:11" x14ac:dyDescent="0.25">
      <c r="B515" s="3"/>
      <c r="C515" s="3"/>
      <c r="D515" s="3"/>
      <c r="E515" s="2"/>
      <c r="F515" s="2"/>
      <c r="G515" s="2"/>
      <c r="H515" s="2"/>
      <c r="I515" s="2"/>
      <c r="J515" s="2"/>
      <c r="K515" s="2"/>
    </row>
    <row r="516" spans="2:11" x14ac:dyDescent="0.25">
      <c r="B516" s="3"/>
      <c r="C516" s="3"/>
      <c r="D516" s="3"/>
      <c r="E516" s="2"/>
      <c r="F516" s="2"/>
      <c r="G516" s="2"/>
      <c r="H516" s="2"/>
      <c r="I516" s="2"/>
      <c r="J516" s="2"/>
      <c r="K516" s="2"/>
    </row>
    <row r="517" spans="2:11" x14ac:dyDescent="0.25">
      <c r="B517" s="3"/>
      <c r="C517" s="3"/>
      <c r="D517" s="3"/>
      <c r="E517" s="2"/>
      <c r="F517" s="2"/>
      <c r="G517" s="2"/>
      <c r="H517" s="2"/>
      <c r="I517" s="2"/>
      <c r="J517" s="2"/>
      <c r="K517" s="2"/>
    </row>
    <row r="518" spans="2:11" x14ac:dyDescent="0.25">
      <c r="B518" s="3"/>
      <c r="C518" s="3"/>
      <c r="D518" s="3"/>
      <c r="E518" s="2"/>
      <c r="F518" s="2"/>
      <c r="G518" s="2"/>
      <c r="H518" s="2"/>
      <c r="I518" s="2"/>
      <c r="J518" s="2"/>
      <c r="K518" s="2"/>
    </row>
    <row r="519" spans="2:11" x14ac:dyDescent="0.25">
      <c r="B519" s="3"/>
      <c r="C519" s="3"/>
      <c r="D519" s="3"/>
      <c r="E519" s="2"/>
      <c r="F519" s="2"/>
      <c r="G519" s="2"/>
      <c r="H519" s="2"/>
      <c r="I519" s="2"/>
      <c r="J519" s="2"/>
      <c r="K519" s="2"/>
    </row>
    <row r="520" spans="2:11" x14ac:dyDescent="0.25">
      <c r="B520" s="3"/>
      <c r="C520" s="3"/>
      <c r="D520" s="3"/>
      <c r="E520" s="2"/>
      <c r="F520" s="2"/>
      <c r="G520" s="2"/>
      <c r="H520" s="2"/>
      <c r="I520" s="2"/>
      <c r="J520" s="2"/>
      <c r="K520" s="2"/>
    </row>
    <row r="521" spans="2:11" x14ac:dyDescent="0.25">
      <c r="B521" s="3"/>
      <c r="C521" s="3"/>
      <c r="D521" s="3"/>
      <c r="E521" s="2"/>
      <c r="F521" s="2"/>
      <c r="G521" s="2"/>
      <c r="H521" s="2"/>
      <c r="I521" s="2"/>
      <c r="J521" s="2"/>
      <c r="K521" s="2"/>
    </row>
    <row r="522" spans="2:11" x14ac:dyDescent="0.25">
      <c r="B522" s="3"/>
      <c r="C522" s="3"/>
      <c r="D522" s="3"/>
      <c r="E522" s="2"/>
      <c r="F522" s="2"/>
      <c r="G522" s="2"/>
      <c r="H522" s="2"/>
      <c r="I522" s="2"/>
      <c r="J522" s="2"/>
      <c r="K522" s="2"/>
    </row>
    <row r="523" spans="2:11" x14ac:dyDescent="0.25">
      <c r="B523" s="3"/>
      <c r="C523" s="3"/>
      <c r="D523" s="3"/>
      <c r="E523" s="2"/>
      <c r="F523" s="2"/>
      <c r="G523" s="2"/>
      <c r="H523" s="2"/>
      <c r="I523" s="2"/>
      <c r="J523" s="2"/>
      <c r="K523" s="2"/>
    </row>
    <row r="524" spans="2:11" x14ac:dyDescent="0.25">
      <c r="B524" s="3"/>
      <c r="C524" s="3"/>
      <c r="D524" s="3"/>
      <c r="E524" s="2"/>
      <c r="F524" s="2"/>
      <c r="G524" s="2"/>
      <c r="H524" s="2"/>
      <c r="I524" s="2"/>
      <c r="J524" s="2"/>
      <c r="K524" s="2"/>
    </row>
    <row r="525" spans="2:11" x14ac:dyDescent="0.25">
      <c r="B525" s="3"/>
      <c r="C525" s="3"/>
      <c r="D525" s="3"/>
      <c r="E525" s="2"/>
      <c r="F525" s="2"/>
      <c r="G525" s="2"/>
      <c r="H525" s="2"/>
      <c r="I525" s="2"/>
      <c r="J525" s="2"/>
      <c r="K525" s="2"/>
    </row>
    <row r="526" spans="2:11" x14ac:dyDescent="0.25">
      <c r="B526" s="3"/>
      <c r="C526" s="3"/>
      <c r="D526" s="3"/>
      <c r="E526" s="2"/>
      <c r="F526" s="2"/>
      <c r="G526" s="2"/>
      <c r="H526" s="2"/>
      <c r="I526" s="2"/>
      <c r="J526" s="2"/>
      <c r="K526" s="2"/>
    </row>
    <row r="527" spans="2:11" x14ac:dyDescent="0.25">
      <c r="B527" s="3"/>
      <c r="C527" s="3"/>
      <c r="D527" s="3"/>
      <c r="E527" s="2"/>
      <c r="F527" s="2"/>
      <c r="G527" s="2"/>
      <c r="H527" s="2"/>
      <c r="I527" s="2"/>
      <c r="J527" s="2"/>
      <c r="K527" s="2"/>
    </row>
    <row r="528" spans="2:11" x14ac:dyDescent="0.25">
      <c r="B528" s="3"/>
      <c r="C528" s="3"/>
      <c r="D528" s="3"/>
      <c r="E528" s="2"/>
      <c r="F528" s="2"/>
      <c r="G528" s="2"/>
      <c r="H528" s="2"/>
      <c r="I528" s="2"/>
      <c r="J528" s="2"/>
      <c r="K528" s="2"/>
    </row>
    <row r="529" spans="2:11" x14ac:dyDescent="0.25">
      <c r="B529" s="3"/>
      <c r="C529" s="3"/>
      <c r="D529" s="3"/>
      <c r="E529" s="2"/>
      <c r="F529" s="2"/>
      <c r="G529" s="2"/>
      <c r="H529" s="2"/>
      <c r="I529" s="2"/>
      <c r="J529" s="2"/>
      <c r="K529" s="2"/>
    </row>
    <row r="530" spans="2:11" x14ac:dyDescent="0.25">
      <c r="B530" s="3"/>
      <c r="C530" s="3"/>
      <c r="D530" s="3"/>
      <c r="E530" s="2"/>
      <c r="F530" s="2"/>
      <c r="G530" s="2"/>
      <c r="H530" s="2"/>
      <c r="I530" s="2"/>
      <c r="J530" s="2"/>
      <c r="K530" s="2"/>
    </row>
    <row r="531" spans="2:11" x14ac:dyDescent="0.25">
      <c r="B531" s="3"/>
      <c r="C531" s="3"/>
      <c r="D531" s="3"/>
      <c r="E531" s="2"/>
      <c r="F531" s="2"/>
      <c r="G531" s="2"/>
      <c r="H531" s="2"/>
      <c r="I531" s="2"/>
      <c r="J531" s="2"/>
      <c r="K531" s="2"/>
    </row>
    <row r="532" spans="2:11" x14ac:dyDescent="0.25">
      <c r="B532" s="3"/>
      <c r="C532" s="3"/>
      <c r="D532" s="3"/>
      <c r="E532" s="2"/>
      <c r="F532" s="2"/>
      <c r="G532" s="2"/>
      <c r="H532" s="2"/>
      <c r="I532" s="2"/>
      <c r="J532" s="2"/>
      <c r="K532" s="2"/>
    </row>
    <row r="533" spans="2:11" x14ac:dyDescent="0.25">
      <c r="B533" s="3"/>
      <c r="C533" s="3"/>
      <c r="D533" s="3"/>
      <c r="E533" s="2"/>
      <c r="F533" s="2"/>
      <c r="G533" s="2"/>
      <c r="H533" s="2"/>
      <c r="I533" s="2"/>
      <c r="J533" s="2"/>
      <c r="K533" s="2"/>
    </row>
    <row r="534" spans="2:11" x14ac:dyDescent="0.25">
      <c r="B534" s="3"/>
      <c r="C534" s="3"/>
      <c r="D534" s="3"/>
      <c r="E534" s="2"/>
      <c r="F534" s="2"/>
      <c r="G534" s="2"/>
      <c r="H534" s="2"/>
      <c r="I534" s="2"/>
      <c r="J534" s="2"/>
      <c r="K534" s="2"/>
    </row>
    <row r="535" spans="2:11" x14ac:dyDescent="0.25">
      <c r="B535" s="3"/>
      <c r="C535" s="3"/>
      <c r="D535" s="3"/>
      <c r="E535" s="2"/>
      <c r="F535" s="2"/>
      <c r="G535" s="2"/>
      <c r="H535" s="2"/>
      <c r="I535" s="2"/>
      <c r="J535" s="2"/>
      <c r="K535" s="2"/>
    </row>
    <row r="536" spans="2:11" x14ac:dyDescent="0.25">
      <c r="B536" s="3"/>
      <c r="C536" s="3"/>
      <c r="D536" s="3"/>
      <c r="E536" s="2"/>
      <c r="F536" s="2"/>
      <c r="G536" s="2"/>
      <c r="H536" s="2"/>
      <c r="I536" s="2"/>
      <c r="J536" s="2"/>
      <c r="K536" s="2"/>
    </row>
    <row r="537" spans="2:11" x14ac:dyDescent="0.25">
      <c r="B537" s="3"/>
      <c r="C537" s="3"/>
      <c r="D537" s="3"/>
      <c r="E537" s="2"/>
      <c r="F537" s="2"/>
      <c r="G537" s="2"/>
      <c r="H537" s="2"/>
      <c r="I537" s="2"/>
      <c r="J537" s="2"/>
      <c r="K537" s="2"/>
    </row>
    <row r="538" spans="2:11" x14ac:dyDescent="0.25">
      <c r="B538" s="3"/>
      <c r="C538" s="3"/>
      <c r="D538" s="3"/>
      <c r="E538" s="2"/>
      <c r="F538" s="2"/>
      <c r="G538" s="2"/>
      <c r="H538" s="2"/>
      <c r="I538" s="2"/>
      <c r="J538" s="2"/>
      <c r="K538" s="2"/>
    </row>
    <row r="539" spans="2:11" x14ac:dyDescent="0.25">
      <c r="B539" s="3"/>
      <c r="C539" s="3"/>
      <c r="D539" s="3"/>
      <c r="E539" s="2"/>
      <c r="F539" s="2"/>
      <c r="G539" s="2"/>
      <c r="H539" s="2"/>
      <c r="I539" s="2"/>
      <c r="J539" s="2"/>
      <c r="K539" s="2"/>
    </row>
    <row r="540" spans="2:11" x14ac:dyDescent="0.25">
      <c r="B540" s="3"/>
      <c r="C540" s="3"/>
      <c r="D540" s="3"/>
      <c r="E540" s="2"/>
      <c r="F540" s="2"/>
      <c r="G540" s="2"/>
      <c r="H540" s="2"/>
      <c r="I540" s="2"/>
      <c r="J540" s="2"/>
      <c r="K540" s="2"/>
    </row>
    <row r="541" spans="2:11" x14ac:dyDescent="0.25">
      <c r="B541" s="3"/>
      <c r="C541" s="3"/>
      <c r="D541" s="3"/>
      <c r="E541" s="2"/>
      <c r="F541" s="2"/>
      <c r="G541" s="2"/>
      <c r="H541" s="2"/>
      <c r="I541" s="2"/>
      <c r="J541" s="2"/>
      <c r="K541" s="2"/>
    </row>
    <row r="542" spans="2:11" x14ac:dyDescent="0.25">
      <c r="B542" s="3"/>
      <c r="C542" s="3"/>
      <c r="D542" s="3"/>
      <c r="E542" s="2"/>
      <c r="F542" s="2"/>
      <c r="G542" s="2"/>
      <c r="H542" s="2"/>
      <c r="I542" s="2"/>
      <c r="J542" s="2"/>
      <c r="K542" s="2"/>
    </row>
    <row r="543" spans="2:11" x14ac:dyDescent="0.25">
      <c r="B543" s="3"/>
      <c r="C543" s="3"/>
      <c r="D543" s="3"/>
      <c r="E543" s="2"/>
      <c r="F543" s="2"/>
      <c r="G543" s="2"/>
      <c r="H543" s="2"/>
      <c r="I543" s="2"/>
      <c r="J543" s="2"/>
      <c r="K543" s="2"/>
    </row>
    <row r="544" spans="2:11" x14ac:dyDescent="0.25">
      <c r="B544" s="3"/>
      <c r="C544" s="3"/>
      <c r="D544" s="3"/>
      <c r="E544" s="2"/>
      <c r="F544" s="2"/>
      <c r="G544" s="2"/>
      <c r="H544" s="2"/>
      <c r="I544" s="2"/>
      <c r="J544" s="2"/>
      <c r="K544" s="2"/>
    </row>
    <row r="545" spans="2:11" x14ac:dyDescent="0.25">
      <c r="B545" s="3"/>
      <c r="C545" s="3"/>
      <c r="D545" s="3"/>
      <c r="E545" s="2"/>
      <c r="F545" s="2"/>
      <c r="G545" s="2"/>
      <c r="H545" s="2"/>
      <c r="I545" s="2"/>
      <c r="J545" s="2"/>
      <c r="K545" s="2"/>
    </row>
    <row r="546" spans="2:11" x14ac:dyDescent="0.25">
      <c r="B546" s="3"/>
      <c r="C546" s="3"/>
      <c r="D546" s="3"/>
      <c r="E546" s="2"/>
      <c r="F546" s="2"/>
      <c r="G546" s="2"/>
      <c r="H546" s="2"/>
      <c r="I546" s="2"/>
      <c r="J546" s="2"/>
      <c r="K546" s="2"/>
    </row>
    <row r="547" spans="2:11" x14ac:dyDescent="0.25">
      <c r="B547" s="3"/>
      <c r="C547" s="3"/>
      <c r="D547" s="3"/>
      <c r="E547" s="2"/>
      <c r="F547" s="2"/>
      <c r="G547" s="2"/>
      <c r="H547" s="2"/>
      <c r="I547" s="2"/>
      <c r="J547" s="2"/>
      <c r="K547" s="2"/>
    </row>
    <row r="548" spans="2:11" x14ac:dyDescent="0.25">
      <c r="B548" s="3"/>
      <c r="C548" s="3"/>
      <c r="D548" s="3"/>
      <c r="E548" s="2"/>
      <c r="F548" s="2"/>
      <c r="G548" s="2"/>
      <c r="H548" s="2"/>
      <c r="I548" s="2"/>
      <c r="J548" s="2"/>
      <c r="K548" s="2"/>
    </row>
    <row r="549" spans="2:11" x14ac:dyDescent="0.25">
      <c r="B549" s="3"/>
      <c r="C549" s="3"/>
      <c r="D549" s="3"/>
      <c r="E549" s="2"/>
      <c r="F549" s="2"/>
      <c r="G549" s="2"/>
      <c r="H549" s="2"/>
      <c r="I549" s="2"/>
      <c r="J549" s="2"/>
      <c r="K549" s="2"/>
    </row>
    <row r="550" spans="2:11" x14ac:dyDescent="0.25">
      <c r="B550" s="3"/>
      <c r="C550" s="3"/>
      <c r="D550" s="3"/>
      <c r="E550" s="2"/>
      <c r="F550" s="2"/>
      <c r="G550" s="2"/>
      <c r="H550" s="2"/>
      <c r="I550" s="2"/>
      <c r="J550" s="2"/>
      <c r="K550" s="2"/>
    </row>
    <row r="551" spans="2:11" x14ac:dyDescent="0.25">
      <c r="B551" s="3"/>
      <c r="C551" s="3"/>
      <c r="D551" s="3"/>
      <c r="E551" s="2"/>
      <c r="F551" s="2"/>
      <c r="G551" s="2"/>
      <c r="H551" s="2"/>
      <c r="I551" s="2"/>
      <c r="J551" s="2"/>
      <c r="K551" s="2"/>
    </row>
    <row r="552" spans="2:11" x14ac:dyDescent="0.25">
      <c r="B552" s="3"/>
      <c r="C552" s="3"/>
      <c r="D552" s="3"/>
      <c r="E552" s="2"/>
      <c r="F552" s="2"/>
      <c r="G552" s="2"/>
      <c r="H552" s="2"/>
      <c r="I552" s="2"/>
      <c r="J552" s="2"/>
      <c r="K552" s="2"/>
    </row>
    <row r="553" spans="2:11" x14ac:dyDescent="0.25">
      <c r="B553" s="3"/>
      <c r="C553" s="3"/>
      <c r="D553" s="3"/>
      <c r="E553" s="2"/>
      <c r="F553" s="2"/>
      <c r="G553" s="2"/>
      <c r="H553" s="2"/>
      <c r="I553" s="2"/>
      <c r="J553" s="2"/>
      <c r="K553" s="2"/>
    </row>
    <row r="554" spans="2:11" x14ac:dyDescent="0.25">
      <c r="B554" s="3"/>
      <c r="C554" s="3"/>
      <c r="D554" s="3"/>
      <c r="E554" s="2"/>
      <c r="F554" s="2"/>
      <c r="G554" s="2"/>
      <c r="H554" s="2"/>
      <c r="I554" s="2"/>
      <c r="J554" s="2"/>
      <c r="K554" s="2"/>
    </row>
    <row r="555" spans="2:11" x14ac:dyDescent="0.25">
      <c r="B555" s="3"/>
      <c r="C555" s="3"/>
      <c r="D555" s="3"/>
      <c r="E555" s="2"/>
      <c r="F555" s="2"/>
      <c r="G555" s="2"/>
      <c r="H555" s="2"/>
      <c r="I555" s="2"/>
      <c r="J555" s="2"/>
      <c r="K555" s="2"/>
    </row>
    <row r="556" spans="2:11" x14ac:dyDescent="0.25">
      <c r="B556" s="3"/>
      <c r="C556" s="3"/>
      <c r="D556" s="3"/>
      <c r="E556" s="2"/>
      <c r="F556" s="2"/>
      <c r="G556" s="2"/>
      <c r="H556" s="2"/>
      <c r="I556" s="2"/>
      <c r="J556" s="2"/>
      <c r="K556" s="2"/>
    </row>
    <row r="557" spans="2:11" x14ac:dyDescent="0.25">
      <c r="B557" s="3"/>
      <c r="C557" s="3"/>
      <c r="D557" s="3"/>
      <c r="E557" s="2"/>
      <c r="F557" s="2"/>
      <c r="G557" s="2"/>
      <c r="H557" s="2"/>
      <c r="I557" s="2"/>
      <c r="J557" s="2"/>
      <c r="K557" s="2"/>
    </row>
    <row r="558" spans="2:11" x14ac:dyDescent="0.25">
      <c r="B558" s="3"/>
      <c r="C558" s="3"/>
      <c r="D558" s="3"/>
      <c r="E558" s="2"/>
      <c r="F558" s="2"/>
      <c r="G558" s="2"/>
      <c r="H558" s="2"/>
      <c r="I558" s="2"/>
      <c r="J558" s="2"/>
      <c r="K558" s="2"/>
    </row>
    <row r="559" spans="2:11" x14ac:dyDescent="0.25">
      <c r="B559" s="3"/>
      <c r="C559" s="3"/>
      <c r="D559" s="3"/>
      <c r="E559" s="2"/>
      <c r="F559" s="2"/>
      <c r="G559" s="2"/>
      <c r="H559" s="2"/>
      <c r="I559" s="2"/>
      <c r="J559" s="2"/>
      <c r="K559" s="2"/>
    </row>
    <row r="560" spans="2:11" x14ac:dyDescent="0.25">
      <c r="B560" s="3"/>
      <c r="C560" s="3"/>
      <c r="D560" s="3"/>
      <c r="E560" s="2"/>
      <c r="F560" s="2"/>
      <c r="G560" s="2"/>
      <c r="H560" s="2"/>
      <c r="I560" s="2"/>
      <c r="J560" s="2"/>
      <c r="K560" s="2"/>
    </row>
    <row r="561" spans="2:11" x14ac:dyDescent="0.25">
      <c r="B561" s="3"/>
      <c r="C561" s="3"/>
      <c r="D561" s="3"/>
      <c r="E561" s="2"/>
      <c r="F561" s="2"/>
      <c r="G561" s="2"/>
      <c r="H561" s="2"/>
      <c r="I561" s="2"/>
      <c r="J561" s="2"/>
      <c r="K561" s="2"/>
    </row>
    <row r="562" spans="2:11" x14ac:dyDescent="0.25">
      <c r="B562" s="3"/>
      <c r="C562" s="3"/>
      <c r="D562" s="3"/>
      <c r="E562" s="2"/>
      <c r="F562" s="2"/>
      <c r="G562" s="2"/>
      <c r="H562" s="2"/>
      <c r="I562" s="2"/>
      <c r="J562" s="2"/>
      <c r="K562" s="2"/>
    </row>
    <row r="563" spans="2:11" x14ac:dyDescent="0.25">
      <c r="B563" s="3"/>
      <c r="C563" s="3"/>
      <c r="D563" s="3"/>
      <c r="E563" s="2"/>
      <c r="F563" s="2"/>
      <c r="G563" s="2"/>
      <c r="H563" s="2"/>
      <c r="I563" s="2"/>
      <c r="J563" s="2"/>
      <c r="K563" s="2"/>
    </row>
    <row r="564" spans="2:11" x14ac:dyDescent="0.25">
      <c r="B564" s="3"/>
      <c r="C564" s="3"/>
      <c r="D564" s="3"/>
      <c r="E564" s="2"/>
      <c r="F564" s="2"/>
      <c r="G564" s="2"/>
      <c r="H564" s="2"/>
      <c r="I564" s="2"/>
      <c r="J564" s="2"/>
      <c r="K564" s="2"/>
    </row>
    <row r="565" spans="2:11" x14ac:dyDescent="0.25">
      <c r="B565" s="3"/>
      <c r="C565" s="3"/>
      <c r="D565" s="3"/>
      <c r="E565" s="2"/>
      <c r="F565" s="2"/>
      <c r="G565" s="2"/>
      <c r="H565" s="2"/>
      <c r="I565" s="2"/>
      <c r="J565" s="2"/>
      <c r="K565" s="2"/>
    </row>
    <row r="566" spans="2:11" x14ac:dyDescent="0.25">
      <c r="B566" s="3"/>
      <c r="C566" s="3"/>
      <c r="D566" s="3"/>
      <c r="E566" s="2"/>
      <c r="F566" s="2"/>
      <c r="G566" s="2"/>
      <c r="H566" s="2"/>
      <c r="I566" s="2"/>
      <c r="J566" s="2"/>
      <c r="K566" s="2"/>
    </row>
    <row r="567" spans="2:11" x14ac:dyDescent="0.25">
      <c r="B567" s="3"/>
      <c r="C567" s="3"/>
      <c r="D567" s="3"/>
      <c r="E567" s="2"/>
      <c r="F567" s="2"/>
      <c r="G567" s="2"/>
      <c r="H567" s="2"/>
      <c r="I567" s="2"/>
      <c r="J567" s="2"/>
      <c r="K567" s="2"/>
    </row>
    <row r="568" spans="2:11" x14ac:dyDescent="0.25">
      <c r="B568" s="3"/>
      <c r="C568" s="3"/>
      <c r="D568" s="3"/>
      <c r="E568" s="2"/>
      <c r="F568" s="2"/>
      <c r="G568" s="2"/>
      <c r="H568" s="2"/>
      <c r="I568" s="2"/>
      <c r="J568" s="2"/>
      <c r="K568" s="2"/>
    </row>
    <row r="569" spans="2:11" x14ac:dyDescent="0.25">
      <c r="B569" s="3"/>
      <c r="C569" s="3"/>
      <c r="D569" s="3"/>
      <c r="E569" s="2"/>
      <c r="F569" s="2"/>
      <c r="G569" s="2"/>
      <c r="H569" s="2"/>
      <c r="I569" s="2"/>
      <c r="J569" s="2"/>
      <c r="K569" s="2"/>
    </row>
    <row r="570" spans="2:11" x14ac:dyDescent="0.25">
      <c r="B570" s="3"/>
      <c r="C570" s="3"/>
      <c r="D570" s="3"/>
      <c r="E570" s="2"/>
      <c r="F570" s="2"/>
      <c r="G570" s="2"/>
      <c r="H570" s="2"/>
      <c r="I570" s="2"/>
      <c r="J570" s="2"/>
      <c r="K570" s="2"/>
    </row>
    <row r="571" spans="2:11" x14ac:dyDescent="0.25">
      <c r="B571" s="3"/>
      <c r="C571" s="3"/>
      <c r="D571" s="3"/>
      <c r="E571" s="2"/>
      <c r="F571" s="2"/>
      <c r="G571" s="2"/>
      <c r="H571" s="2"/>
      <c r="I571" s="2"/>
      <c r="J571" s="2"/>
      <c r="K571" s="2"/>
    </row>
    <row r="572" spans="2:11" x14ac:dyDescent="0.25">
      <c r="B572" s="3"/>
      <c r="C572" s="3"/>
      <c r="D572" s="3"/>
      <c r="E572" s="2"/>
      <c r="F572" s="2"/>
      <c r="G572" s="2"/>
      <c r="H572" s="2"/>
      <c r="I572" s="2"/>
      <c r="J572" s="2"/>
      <c r="K572" s="2"/>
    </row>
    <row r="573" spans="2:11" x14ac:dyDescent="0.25">
      <c r="B573" s="3"/>
      <c r="C573" s="3"/>
      <c r="D573" s="3"/>
      <c r="E573" s="2"/>
      <c r="F573" s="2"/>
      <c r="G573" s="2"/>
      <c r="H573" s="2"/>
      <c r="I573" s="2"/>
      <c r="J573" s="2"/>
      <c r="K573" s="2"/>
    </row>
    <row r="574" spans="2:11" x14ac:dyDescent="0.25">
      <c r="B574" s="3"/>
      <c r="C574" s="3"/>
      <c r="D574" s="3"/>
      <c r="E574" s="2"/>
      <c r="F574" s="2"/>
      <c r="G574" s="2"/>
      <c r="H574" s="2"/>
      <c r="I574" s="2"/>
      <c r="J574" s="2"/>
      <c r="K574" s="2"/>
    </row>
    <row r="575" spans="2:11" x14ac:dyDescent="0.25">
      <c r="B575" s="3"/>
      <c r="C575" s="3"/>
      <c r="D575" s="3"/>
      <c r="E575" s="2"/>
      <c r="F575" s="2"/>
      <c r="G575" s="2"/>
      <c r="H575" s="2"/>
      <c r="I575" s="2"/>
      <c r="J575" s="2"/>
      <c r="K575" s="2"/>
    </row>
    <row r="576" spans="2:11" x14ac:dyDescent="0.25">
      <c r="B576" s="3"/>
      <c r="C576" s="3"/>
      <c r="D576" s="3"/>
      <c r="E576" s="2"/>
      <c r="F576" s="2"/>
      <c r="G576" s="2"/>
      <c r="H576" s="2"/>
      <c r="I576" s="2"/>
      <c r="J576" s="2"/>
      <c r="K576" s="2"/>
    </row>
    <row r="577" spans="2:11" x14ac:dyDescent="0.25">
      <c r="B577" s="3"/>
      <c r="C577" s="3"/>
      <c r="D577" s="3"/>
      <c r="E577" s="2"/>
      <c r="F577" s="2"/>
      <c r="G577" s="2"/>
      <c r="H577" s="2"/>
      <c r="I577" s="2"/>
      <c r="J577" s="2"/>
      <c r="K577" s="2"/>
    </row>
    <row r="578" spans="2:11" x14ac:dyDescent="0.25">
      <c r="B578" s="3"/>
      <c r="C578" s="3"/>
      <c r="D578" s="3"/>
      <c r="E578" s="2"/>
      <c r="F578" s="2"/>
      <c r="G578" s="2"/>
      <c r="H578" s="2"/>
      <c r="I578" s="2"/>
      <c r="J578" s="2"/>
      <c r="K578" s="2"/>
    </row>
    <row r="579" spans="2:11" x14ac:dyDescent="0.25">
      <c r="B579" s="3"/>
      <c r="C579" s="3"/>
      <c r="D579" s="3"/>
      <c r="E579" s="2"/>
      <c r="F579" s="2"/>
      <c r="G579" s="2"/>
      <c r="H579" s="2"/>
      <c r="I579" s="2"/>
      <c r="J579" s="2"/>
      <c r="K579" s="2"/>
    </row>
    <row r="580" spans="2:11" x14ac:dyDescent="0.25">
      <c r="B580" s="3"/>
      <c r="C580" s="3"/>
      <c r="D580" s="3"/>
      <c r="E580" s="2"/>
      <c r="F580" s="2"/>
      <c r="G580" s="2"/>
      <c r="H580" s="2"/>
      <c r="I580" s="2"/>
      <c r="J580" s="2"/>
      <c r="K580" s="2"/>
    </row>
    <row r="581" spans="2:11" x14ac:dyDescent="0.25">
      <c r="B581" s="3"/>
      <c r="C581" s="3"/>
      <c r="D581" s="3"/>
      <c r="E581" s="2"/>
      <c r="F581" s="2"/>
      <c r="G581" s="2"/>
      <c r="H581" s="2"/>
      <c r="I581" s="2"/>
      <c r="J581" s="2"/>
      <c r="K581" s="2"/>
    </row>
    <row r="582" spans="2:11" x14ac:dyDescent="0.25">
      <c r="B582" s="3"/>
      <c r="C582" s="3"/>
      <c r="D582" s="3"/>
      <c r="E582" s="2"/>
      <c r="F582" s="2"/>
      <c r="G582" s="2"/>
      <c r="H582" s="2"/>
      <c r="I582" s="2"/>
      <c r="J582" s="2"/>
      <c r="K582" s="2"/>
    </row>
    <row r="583" spans="2:11" x14ac:dyDescent="0.25">
      <c r="B583" s="3"/>
      <c r="C583" s="3"/>
      <c r="D583" s="3"/>
      <c r="E583" s="2"/>
      <c r="F583" s="2"/>
      <c r="G583" s="2"/>
      <c r="H583" s="2"/>
      <c r="I583" s="2"/>
      <c r="J583" s="2"/>
      <c r="K583" s="2"/>
    </row>
    <row r="584" spans="2:11" x14ac:dyDescent="0.25">
      <c r="B584" s="3"/>
      <c r="C584" s="3"/>
      <c r="D584" s="3"/>
      <c r="E584" s="2"/>
      <c r="F584" s="2"/>
      <c r="G584" s="2"/>
      <c r="H584" s="2"/>
      <c r="I584" s="2"/>
      <c r="J584" s="2"/>
      <c r="K584" s="2"/>
    </row>
    <row r="585" spans="2:11" x14ac:dyDescent="0.25">
      <c r="B585" s="3"/>
      <c r="C585" s="3"/>
      <c r="D585" s="3"/>
      <c r="E585" s="2"/>
      <c r="F585" s="2"/>
      <c r="G585" s="2"/>
      <c r="H585" s="2"/>
      <c r="I585" s="2"/>
      <c r="J585" s="2"/>
      <c r="K585" s="2"/>
    </row>
    <row r="586" spans="2:11" x14ac:dyDescent="0.25">
      <c r="B586" s="3"/>
      <c r="C586" s="3"/>
      <c r="D586" s="3"/>
      <c r="E586" s="2"/>
      <c r="F586" s="2"/>
      <c r="G586" s="2"/>
      <c r="H586" s="2"/>
      <c r="I586" s="2"/>
      <c r="J586" s="2"/>
      <c r="K586" s="2"/>
    </row>
    <row r="587" spans="2:11" x14ac:dyDescent="0.25">
      <c r="B587" s="3"/>
      <c r="C587" s="3"/>
      <c r="D587" s="3"/>
      <c r="E587" s="2"/>
      <c r="F587" s="2"/>
      <c r="G587" s="2"/>
      <c r="H587" s="2"/>
      <c r="I587" s="2"/>
      <c r="J587" s="2"/>
      <c r="K587" s="2"/>
    </row>
    <row r="588" spans="2:11" x14ac:dyDescent="0.25">
      <c r="B588" s="3"/>
      <c r="C588" s="3"/>
      <c r="D588" s="3"/>
      <c r="E588" s="2"/>
      <c r="F588" s="2"/>
      <c r="G588" s="2"/>
      <c r="H588" s="2"/>
      <c r="I588" s="2"/>
      <c r="J588" s="2"/>
      <c r="K588" s="2"/>
    </row>
    <row r="589" spans="2:11" x14ac:dyDescent="0.25">
      <c r="B589" s="3"/>
      <c r="C589" s="3"/>
      <c r="D589" s="3"/>
      <c r="E589" s="2"/>
      <c r="F589" s="2"/>
      <c r="G589" s="2"/>
      <c r="H589" s="2"/>
      <c r="I589" s="2"/>
      <c r="J589" s="2"/>
      <c r="K589" s="2"/>
    </row>
    <row r="590" spans="2:11" x14ac:dyDescent="0.25">
      <c r="B590" s="3"/>
      <c r="C590" s="3"/>
      <c r="D590" s="3"/>
      <c r="E590" s="2"/>
      <c r="F590" s="2"/>
      <c r="G590" s="2"/>
      <c r="H590" s="2"/>
      <c r="I590" s="2"/>
      <c r="J590" s="2"/>
      <c r="K590" s="2"/>
    </row>
    <row r="591" spans="2:11" x14ac:dyDescent="0.25">
      <c r="B591" s="3"/>
      <c r="C591" s="3"/>
      <c r="D591" s="3"/>
      <c r="E591" s="2"/>
      <c r="F591" s="2"/>
      <c r="G591" s="2"/>
      <c r="H591" s="2"/>
      <c r="I591" s="2"/>
      <c r="J591" s="2"/>
      <c r="K591" s="2"/>
    </row>
    <row r="592" spans="2:11" x14ac:dyDescent="0.25">
      <c r="B592" s="3"/>
      <c r="C592" s="3"/>
      <c r="D592" s="3"/>
      <c r="E592" s="2"/>
      <c r="F592" s="2"/>
      <c r="G592" s="2"/>
      <c r="H592" s="2"/>
      <c r="I592" s="2"/>
      <c r="J592" s="2"/>
      <c r="K592" s="2"/>
    </row>
    <row r="593" spans="2:11" x14ac:dyDescent="0.25">
      <c r="B593" s="3"/>
      <c r="C593" s="3"/>
      <c r="D593" s="3"/>
      <c r="E593" s="2"/>
      <c r="F593" s="2"/>
      <c r="G593" s="2"/>
      <c r="H593" s="2"/>
      <c r="I593" s="2"/>
      <c r="J593" s="2"/>
      <c r="K593" s="2"/>
    </row>
    <row r="594" spans="2:11" x14ac:dyDescent="0.25">
      <c r="B594" s="3"/>
      <c r="C594" s="3"/>
      <c r="D594" s="3"/>
      <c r="E594" s="2"/>
      <c r="F594" s="2"/>
      <c r="G594" s="2"/>
      <c r="H594" s="2"/>
      <c r="I594" s="2"/>
      <c r="J594" s="2"/>
      <c r="K594" s="2"/>
    </row>
    <row r="595" spans="2:11" x14ac:dyDescent="0.25">
      <c r="B595" s="3"/>
      <c r="C595" s="3"/>
      <c r="D595" s="3"/>
      <c r="E595" s="2"/>
      <c r="F595" s="2"/>
      <c r="G595" s="2"/>
      <c r="H595" s="2"/>
      <c r="I595" s="2"/>
      <c r="J595" s="2"/>
      <c r="K595" s="2"/>
    </row>
    <row r="596" spans="2:11" x14ac:dyDescent="0.25">
      <c r="B596" s="3"/>
      <c r="C596" s="3"/>
      <c r="D596" s="3"/>
      <c r="E596" s="2"/>
      <c r="F596" s="2"/>
      <c r="G596" s="2"/>
      <c r="H596" s="2"/>
      <c r="I596" s="2"/>
      <c r="J596" s="2"/>
      <c r="K596" s="2"/>
    </row>
    <row r="597" spans="2:11" x14ac:dyDescent="0.25">
      <c r="B597" s="3"/>
      <c r="C597" s="3"/>
      <c r="D597" s="3"/>
      <c r="E597" s="2"/>
      <c r="F597" s="2"/>
      <c r="G597" s="2"/>
      <c r="H597" s="2"/>
      <c r="I597" s="2"/>
      <c r="J597" s="2"/>
      <c r="K597" s="2"/>
    </row>
    <row r="598" spans="2:11" x14ac:dyDescent="0.25">
      <c r="B598" s="3"/>
      <c r="C598" s="3"/>
      <c r="D598" s="3"/>
      <c r="E598" s="2"/>
      <c r="F598" s="2"/>
      <c r="G598" s="2"/>
      <c r="H598" s="2"/>
      <c r="I598" s="2"/>
      <c r="J598" s="2"/>
      <c r="K598" s="2"/>
    </row>
    <row r="599" spans="2:11" x14ac:dyDescent="0.25">
      <c r="B599" s="3"/>
      <c r="C599" s="3"/>
      <c r="D599" s="3"/>
      <c r="E599" s="2"/>
      <c r="F599" s="2"/>
      <c r="G599" s="2"/>
      <c r="H599" s="2"/>
      <c r="I599" s="2"/>
      <c r="J599" s="2"/>
      <c r="K599" s="2"/>
    </row>
    <row r="600" spans="2:11" x14ac:dyDescent="0.25">
      <c r="B600" s="3"/>
      <c r="C600" s="3"/>
      <c r="D600" s="3"/>
      <c r="E600" s="2"/>
      <c r="F600" s="2"/>
      <c r="G600" s="2"/>
      <c r="H600" s="2"/>
      <c r="I600" s="2"/>
      <c r="J600" s="2"/>
      <c r="K600" s="2"/>
    </row>
    <row r="601" spans="2:11" x14ac:dyDescent="0.25">
      <c r="B601" s="3"/>
      <c r="C601" s="3"/>
      <c r="D601" s="3"/>
      <c r="E601" s="2"/>
      <c r="F601" s="2"/>
      <c r="G601" s="2"/>
      <c r="H601" s="2"/>
      <c r="I601" s="2"/>
      <c r="J601" s="2"/>
      <c r="K601" s="2"/>
    </row>
    <row r="602" spans="2:11" x14ac:dyDescent="0.25">
      <c r="B602" s="3"/>
      <c r="C602" s="3"/>
      <c r="D602" s="3"/>
      <c r="E602" s="2"/>
      <c r="F602" s="2"/>
      <c r="G602" s="2"/>
      <c r="H602" s="2"/>
      <c r="I602" s="2"/>
      <c r="J602" s="2"/>
      <c r="K602" s="2"/>
    </row>
    <row r="603" spans="2:11" x14ac:dyDescent="0.25">
      <c r="B603" s="3"/>
      <c r="C603" s="3"/>
      <c r="D603" s="3"/>
      <c r="E603" s="2"/>
      <c r="F603" s="2"/>
      <c r="G603" s="2"/>
      <c r="H603" s="2"/>
      <c r="I603" s="2"/>
      <c r="J603" s="2"/>
      <c r="K603" s="2"/>
    </row>
    <row r="604" spans="2:11" x14ac:dyDescent="0.25">
      <c r="B604" s="3"/>
      <c r="C604" s="3"/>
      <c r="D604" s="3"/>
      <c r="E604" s="2"/>
      <c r="F604" s="2"/>
      <c r="G604" s="2"/>
      <c r="H604" s="2"/>
      <c r="I604" s="2"/>
      <c r="J604" s="2"/>
      <c r="K604" s="2"/>
    </row>
    <row r="605" spans="2:11" x14ac:dyDescent="0.25">
      <c r="B605" s="3"/>
      <c r="C605" s="3"/>
      <c r="D605" s="3"/>
      <c r="E605" s="2"/>
      <c r="F605" s="2"/>
      <c r="G605" s="2"/>
      <c r="H605" s="2"/>
      <c r="I605" s="2"/>
      <c r="J605" s="2"/>
      <c r="K605" s="2"/>
    </row>
    <row r="606" spans="2:11" x14ac:dyDescent="0.25">
      <c r="B606" s="3"/>
      <c r="C606" s="3"/>
      <c r="D606" s="3"/>
      <c r="E606" s="2"/>
      <c r="F606" s="2"/>
      <c r="G606" s="2"/>
      <c r="H606" s="2"/>
      <c r="I606" s="2"/>
      <c r="J606" s="2"/>
      <c r="K606" s="2"/>
    </row>
    <row r="607" spans="2:11" x14ac:dyDescent="0.25">
      <c r="B607" s="3"/>
      <c r="C607" s="3"/>
      <c r="D607" s="3"/>
      <c r="E607" s="2"/>
      <c r="F607" s="2"/>
      <c r="G607" s="2"/>
      <c r="H607" s="2"/>
      <c r="I607" s="2"/>
      <c r="J607" s="2"/>
      <c r="K607" s="2"/>
    </row>
    <row r="608" spans="2:11" x14ac:dyDescent="0.25">
      <c r="B608" s="3"/>
      <c r="C608" s="3"/>
      <c r="D608" s="3"/>
      <c r="E608" s="2"/>
      <c r="F608" s="2"/>
      <c r="G608" s="2"/>
      <c r="H608" s="2"/>
      <c r="I608" s="2"/>
      <c r="J608" s="2"/>
      <c r="K608" s="2"/>
    </row>
    <row r="609" spans="2:11" x14ac:dyDescent="0.25">
      <c r="B609" s="3"/>
      <c r="C609" s="3"/>
      <c r="D609" s="3"/>
      <c r="E609" s="2"/>
      <c r="F609" s="2"/>
      <c r="G609" s="2"/>
      <c r="H609" s="2"/>
      <c r="I609" s="2"/>
      <c r="J609" s="2"/>
      <c r="K609" s="2"/>
    </row>
    <row r="610" spans="2:11" x14ac:dyDescent="0.25">
      <c r="B610" s="3"/>
      <c r="C610" s="3"/>
      <c r="D610" s="3"/>
      <c r="E610" s="2"/>
      <c r="F610" s="2"/>
      <c r="G610" s="2"/>
      <c r="H610" s="2"/>
      <c r="I610" s="2"/>
      <c r="J610" s="2"/>
      <c r="K610" s="2"/>
    </row>
    <row r="611" spans="2:11" x14ac:dyDescent="0.25">
      <c r="B611" s="3"/>
      <c r="C611" s="3"/>
      <c r="D611" s="3"/>
      <c r="E611" s="2"/>
      <c r="F611" s="2"/>
      <c r="G611" s="2"/>
      <c r="H611" s="2"/>
      <c r="I611" s="2"/>
      <c r="J611" s="2"/>
      <c r="K611" s="2"/>
    </row>
    <row r="612" spans="2:11" x14ac:dyDescent="0.25">
      <c r="B612" s="3"/>
      <c r="C612" s="3"/>
      <c r="D612" s="3"/>
      <c r="E612" s="2"/>
      <c r="F612" s="2"/>
      <c r="G612" s="2"/>
      <c r="H612" s="2"/>
      <c r="I612" s="2"/>
      <c r="J612" s="2"/>
      <c r="K612" s="2"/>
    </row>
    <row r="613" spans="2:11" x14ac:dyDescent="0.25">
      <c r="B613" s="3"/>
      <c r="C613" s="3"/>
      <c r="D613" s="3"/>
      <c r="E613" s="2"/>
      <c r="F613" s="2"/>
      <c r="G613" s="2"/>
      <c r="H613" s="2"/>
      <c r="I613" s="2"/>
      <c r="J613" s="2"/>
      <c r="K613" s="2"/>
    </row>
    <row r="614" spans="2:11" x14ac:dyDescent="0.25">
      <c r="B614" s="3"/>
      <c r="C614" s="3"/>
      <c r="D614" s="3"/>
      <c r="E614" s="2"/>
      <c r="F614" s="2"/>
      <c r="G614" s="2"/>
      <c r="H614" s="2"/>
      <c r="I614" s="2"/>
      <c r="J614" s="2"/>
      <c r="K614" s="2"/>
    </row>
    <row r="615" spans="2:11" x14ac:dyDescent="0.25">
      <c r="B615" s="3"/>
      <c r="C615" s="3"/>
      <c r="D615" s="3"/>
      <c r="E615" s="2"/>
      <c r="F615" s="2"/>
      <c r="G615" s="2"/>
      <c r="H615" s="2"/>
      <c r="I615" s="2"/>
      <c r="J615" s="2"/>
      <c r="K615" s="2"/>
    </row>
    <row r="616" spans="2:11" x14ac:dyDescent="0.25">
      <c r="B616" s="3"/>
      <c r="C616" s="3"/>
      <c r="D616" s="3"/>
      <c r="E616" s="2"/>
      <c r="F616" s="2"/>
      <c r="G616" s="2"/>
      <c r="H616" s="2"/>
      <c r="I616" s="2"/>
      <c r="J616" s="2"/>
      <c r="K616" s="2"/>
    </row>
    <row r="617" spans="2:11" x14ac:dyDescent="0.25">
      <c r="B617" s="3"/>
      <c r="C617" s="3"/>
      <c r="D617" s="3"/>
      <c r="E617" s="2"/>
      <c r="F617" s="2"/>
      <c r="G617" s="2"/>
      <c r="H617" s="2"/>
      <c r="I617" s="2"/>
      <c r="J617" s="2"/>
      <c r="K617" s="2"/>
    </row>
    <row r="618" spans="2:11" x14ac:dyDescent="0.25">
      <c r="B618" s="3"/>
      <c r="C618" s="3"/>
      <c r="D618" s="3"/>
      <c r="E618" s="2"/>
      <c r="F618" s="2"/>
      <c r="G618" s="2"/>
      <c r="H618" s="2"/>
      <c r="I618" s="2"/>
      <c r="J618" s="2"/>
      <c r="K618" s="2"/>
    </row>
    <row r="619" spans="2:11" x14ac:dyDescent="0.25">
      <c r="B619" s="3"/>
      <c r="C619" s="3"/>
      <c r="D619" s="3"/>
      <c r="E619" s="2"/>
      <c r="F619" s="2"/>
      <c r="G619" s="2"/>
      <c r="H619" s="2"/>
      <c r="I619" s="2"/>
      <c r="J619" s="2"/>
      <c r="K619" s="2"/>
    </row>
    <row r="620" spans="2:11" x14ac:dyDescent="0.25">
      <c r="B620" s="3"/>
      <c r="C620" s="3"/>
      <c r="D620" s="3"/>
      <c r="E620" s="2"/>
      <c r="F620" s="2"/>
      <c r="G620" s="2"/>
      <c r="H620" s="2"/>
      <c r="I620" s="2"/>
      <c r="J620" s="2"/>
      <c r="K620" s="2"/>
    </row>
    <row r="621" spans="2:11" x14ac:dyDescent="0.25">
      <c r="B621" s="3"/>
      <c r="C621" s="3"/>
      <c r="D621" s="3"/>
      <c r="E621" s="2"/>
      <c r="F621" s="2"/>
      <c r="G621" s="2"/>
      <c r="H621" s="2"/>
      <c r="I621" s="2"/>
      <c r="J621" s="2"/>
      <c r="K621" s="2"/>
    </row>
    <row r="622" spans="2:11" x14ac:dyDescent="0.25">
      <c r="B622" s="3"/>
      <c r="C622" s="3"/>
      <c r="D622" s="3"/>
      <c r="E622" s="2"/>
      <c r="F622" s="2"/>
      <c r="G622" s="2"/>
      <c r="H622" s="2"/>
      <c r="I622" s="2"/>
      <c r="J622" s="2"/>
      <c r="K622" s="2"/>
    </row>
    <row r="623" spans="2:11" x14ac:dyDescent="0.25">
      <c r="B623" s="3"/>
      <c r="C623" s="3"/>
      <c r="D623" s="3"/>
      <c r="E623" s="2"/>
      <c r="F623" s="2"/>
      <c r="G623" s="2"/>
      <c r="H623" s="2"/>
      <c r="I623" s="2"/>
      <c r="J623" s="2"/>
      <c r="K623" s="2"/>
    </row>
    <row r="624" spans="2:11" x14ac:dyDescent="0.25">
      <c r="B624" s="3"/>
      <c r="C624" s="3"/>
      <c r="D624" s="3"/>
      <c r="E624" s="2"/>
      <c r="F624" s="2"/>
      <c r="G624" s="2"/>
      <c r="H624" s="2"/>
      <c r="I624" s="2"/>
      <c r="J624" s="2"/>
      <c r="K624" s="2"/>
    </row>
    <row r="625" spans="2:11" x14ac:dyDescent="0.25">
      <c r="B625" s="3"/>
      <c r="C625" s="3"/>
      <c r="D625" s="3"/>
      <c r="E625" s="2"/>
      <c r="F625" s="2"/>
      <c r="G625" s="2"/>
      <c r="H625" s="2"/>
      <c r="I625" s="2"/>
      <c r="J625" s="2"/>
      <c r="K625" s="2"/>
    </row>
    <row r="626" spans="2:11" x14ac:dyDescent="0.25">
      <c r="B626" s="3"/>
      <c r="C626" s="3"/>
      <c r="D626" s="3"/>
      <c r="E626" s="2"/>
      <c r="F626" s="2"/>
      <c r="G626" s="2"/>
      <c r="H626" s="2"/>
      <c r="I626" s="2"/>
      <c r="J626" s="2"/>
      <c r="K626" s="2"/>
    </row>
    <row r="627" spans="2:11" x14ac:dyDescent="0.25">
      <c r="B627" s="3"/>
      <c r="C627" s="3"/>
      <c r="D627" s="3"/>
      <c r="E627" s="2"/>
      <c r="F627" s="2"/>
      <c r="G627" s="2"/>
      <c r="H627" s="2"/>
      <c r="I627" s="2"/>
      <c r="J627" s="2"/>
      <c r="K627" s="2"/>
    </row>
    <row r="628" spans="2:11" x14ac:dyDescent="0.25">
      <c r="B628" s="3"/>
      <c r="C628" s="3"/>
      <c r="D628" s="3"/>
      <c r="E628" s="2"/>
      <c r="F628" s="2"/>
      <c r="G628" s="2"/>
      <c r="H628" s="2"/>
      <c r="I628" s="2"/>
      <c r="J628" s="2"/>
      <c r="K628" s="2"/>
    </row>
    <row r="629" spans="2:11" x14ac:dyDescent="0.25">
      <c r="B629" s="3"/>
      <c r="C629" s="3"/>
      <c r="D629" s="3"/>
      <c r="E629" s="2"/>
      <c r="F629" s="2"/>
      <c r="G629" s="2"/>
      <c r="H629" s="2"/>
      <c r="I629" s="2"/>
      <c r="J629" s="2"/>
      <c r="K629" s="2"/>
    </row>
    <row r="630" spans="2:11" x14ac:dyDescent="0.25">
      <c r="B630" s="3"/>
      <c r="C630" s="3"/>
      <c r="D630" s="3"/>
      <c r="E630" s="2"/>
      <c r="F630" s="2"/>
      <c r="G630" s="2"/>
      <c r="H630" s="2"/>
      <c r="I630" s="2"/>
      <c r="J630" s="2"/>
      <c r="K630" s="2"/>
    </row>
    <row r="631" spans="2:11" x14ac:dyDescent="0.25">
      <c r="B631" s="3"/>
      <c r="C631" s="3"/>
      <c r="D631" s="3"/>
      <c r="E631" s="2"/>
      <c r="F631" s="2"/>
      <c r="G631" s="2"/>
      <c r="H631" s="2"/>
      <c r="I631" s="2"/>
      <c r="J631" s="2"/>
      <c r="K631" s="2"/>
    </row>
    <row r="632" spans="2:11" x14ac:dyDescent="0.25">
      <c r="B632" s="3"/>
      <c r="C632" s="3"/>
      <c r="D632" s="3"/>
      <c r="E632" s="2"/>
      <c r="F632" s="2"/>
      <c r="G632" s="2"/>
      <c r="H632" s="2"/>
      <c r="I632" s="2"/>
      <c r="J632" s="2"/>
      <c r="K632" s="2"/>
    </row>
    <row r="633" spans="2:11" x14ac:dyDescent="0.25">
      <c r="B633" s="3"/>
      <c r="C633" s="3"/>
      <c r="D633" s="3"/>
      <c r="E633" s="2"/>
      <c r="F633" s="2"/>
      <c r="G633" s="2"/>
      <c r="H633" s="2"/>
      <c r="I633" s="2"/>
      <c r="J633" s="2"/>
      <c r="K633" s="2"/>
    </row>
    <row r="634" spans="2:11" x14ac:dyDescent="0.25">
      <c r="B634" s="3"/>
      <c r="C634" s="3"/>
      <c r="D634" s="3"/>
      <c r="E634" s="2"/>
      <c r="F634" s="2"/>
      <c r="G634" s="2"/>
      <c r="H634" s="2"/>
      <c r="I634" s="2"/>
      <c r="J634" s="2"/>
      <c r="K634" s="2"/>
    </row>
    <row r="635" spans="2:11" x14ac:dyDescent="0.25">
      <c r="B635" s="3"/>
      <c r="C635" s="3"/>
      <c r="D635" s="3"/>
      <c r="E635" s="2"/>
      <c r="F635" s="2"/>
      <c r="G635" s="2"/>
      <c r="H635" s="2"/>
      <c r="I635" s="2"/>
      <c r="J635" s="2"/>
      <c r="K635" s="2"/>
    </row>
    <row r="636" spans="2:11" x14ac:dyDescent="0.25">
      <c r="B636" s="3"/>
      <c r="C636" s="3"/>
      <c r="D636" s="3"/>
      <c r="E636" s="2"/>
      <c r="F636" s="2"/>
      <c r="G636" s="2"/>
      <c r="H636" s="2"/>
      <c r="I636" s="2"/>
      <c r="J636" s="2"/>
      <c r="K636" s="2"/>
    </row>
    <row r="637" spans="2:11" x14ac:dyDescent="0.25">
      <c r="B637" s="3"/>
      <c r="C637" s="3"/>
      <c r="D637" s="3"/>
      <c r="E637" s="2"/>
      <c r="F637" s="2"/>
      <c r="G637" s="2"/>
      <c r="H637" s="2"/>
      <c r="I637" s="2"/>
      <c r="J637" s="2"/>
      <c r="K637" s="2"/>
    </row>
    <row r="638" spans="2:11" x14ac:dyDescent="0.25">
      <c r="B638" s="3"/>
      <c r="C638" s="3"/>
      <c r="D638" s="3"/>
      <c r="E638" s="2"/>
      <c r="F638" s="2"/>
      <c r="G638" s="2"/>
      <c r="H638" s="2"/>
      <c r="I638" s="2"/>
      <c r="J638" s="2"/>
      <c r="K638" s="2"/>
    </row>
    <row r="639" spans="2:11" x14ac:dyDescent="0.25">
      <c r="B639" s="3"/>
      <c r="C639" s="3"/>
      <c r="D639" s="3"/>
      <c r="E639" s="2"/>
      <c r="F639" s="2"/>
      <c r="G639" s="2"/>
      <c r="H639" s="2"/>
      <c r="I639" s="2"/>
      <c r="J639" s="2"/>
      <c r="K639" s="2"/>
    </row>
    <row r="640" spans="2:11" x14ac:dyDescent="0.25">
      <c r="B640" s="3"/>
      <c r="C640" s="3"/>
      <c r="D640" s="3"/>
      <c r="E640" s="2"/>
      <c r="F640" s="2"/>
      <c r="G640" s="2"/>
      <c r="H640" s="2"/>
      <c r="I640" s="2"/>
      <c r="J640" s="2"/>
      <c r="K640" s="2"/>
    </row>
    <row r="641" spans="2:11" x14ac:dyDescent="0.25">
      <c r="B641" s="3"/>
      <c r="C641" s="3"/>
      <c r="D641" s="3"/>
      <c r="E641" s="2"/>
      <c r="F641" s="2"/>
      <c r="G641" s="2"/>
      <c r="H641" s="2"/>
      <c r="I641" s="2"/>
      <c r="J641" s="2"/>
      <c r="K641" s="2"/>
    </row>
    <row r="642" spans="2:11" x14ac:dyDescent="0.25">
      <c r="B642" s="3"/>
      <c r="C642" s="3"/>
      <c r="D642" s="3"/>
      <c r="E642" s="2"/>
      <c r="F642" s="2"/>
      <c r="G642" s="2"/>
      <c r="H642" s="2"/>
      <c r="I642" s="2"/>
      <c r="J642" s="2"/>
      <c r="K642" s="2"/>
    </row>
    <row r="643" spans="2:11" x14ac:dyDescent="0.25">
      <c r="B643" s="3"/>
      <c r="C643" s="3"/>
      <c r="D643" s="3"/>
      <c r="E643" s="2"/>
      <c r="F643" s="2"/>
      <c r="G643" s="2"/>
      <c r="H643" s="2"/>
      <c r="I643" s="2"/>
      <c r="J643" s="2"/>
      <c r="K643" s="2"/>
    </row>
    <row r="644" spans="2:11" x14ac:dyDescent="0.25">
      <c r="B644" s="3"/>
      <c r="C644" s="3"/>
      <c r="D644" s="3"/>
      <c r="E644" s="2"/>
      <c r="F644" s="2"/>
      <c r="G644" s="2"/>
      <c r="H644" s="2"/>
      <c r="I644" s="2"/>
      <c r="J644" s="2"/>
      <c r="K644" s="2"/>
    </row>
    <row r="645" spans="2:11" x14ac:dyDescent="0.25">
      <c r="B645" s="3"/>
      <c r="C645" s="3"/>
      <c r="D645" s="3"/>
      <c r="E645" s="2"/>
      <c r="F645" s="2"/>
      <c r="G645" s="2"/>
      <c r="H645" s="2"/>
      <c r="I645" s="2"/>
      <c r="J645" s="2"/>
      <c r="K645" s="2"/>
    </row>
    <row r="646" spans="2:11" x14ac:dyDescent="0.25">
      <c r="B646" s="3"/>
      <c r="C646" s="3"/>
      <c r="D646" s="3"/>
      <c r="E646" s="2"/>
      <c r="F646" s="2"/>
      <c r="G646" s="2"/>
      <c r="H646" s="2"/>
      <c r="I646" s="2"/>
      <c r="J646" s="2"/>
      <c r="K646" s="2"/>
    </row>
    <row r="647" spans="2:11" x14ac:dyDescent="0.25">
      <c r="B647" s="3"/>
      <c r="C647" s="3"/>
      <c r="D647" s="3"/>
      <c r="E647" s="2"/>
      <c r="F647" s="2"/>
      <c r="G647" s="2"/>
      <c r="H647" s="2"/>
      <c r="I647" s="2"/>
      <c r="J647" s="2"/>
      <c r="K647" s="2"/>
    </row>
    <row r="648" spans="2:11" x14ac:dyDescent="0.25">
      <c r="B648" s="3"/>
      <c r="C648" s="3"/>
      <c r="D648" s="3"/>
      <c r="E648" s="2"/>
      <c r="F648" s="2"/>
      <c r="G648" s="2"/>
      <c r="H648" s="2"/>
      <c r="I648" s="2"/>
      <c r="J648" s="2"/>
      <c r="K648" s="2"/>
    </row>
    <row r="649" spans="2:11" x14ac:dyDescent="0.25">
      <c r="B649" s="3"/>
      <c r="C649" s="3"/>
      <c r="D649" s="3"/>
      <c r="E649" s="2"/>
      <c r="F649" s="2"/>
      <c r="G649" s="2"/>
      <c r="H649" s="2"/>
      <c r="I649" s="2"/>
      <c r="J649" s="2"/>
      <c r="K649" s="2"/>
    </row>
    <row r="650" spans="2:11" x14ac:dyDescent="0.25">
      <c r="B650" s="3"/>
      <c r="C650" s="3"/>
      <c r="D650" s="3"/>
      <c r="E650" s="2"/>
      <c r="F650" s="2"/>
      <c r="G650" s="2"/>
      <c r="H650" s="2"/>
      <c r="I650" s="2"/>
      <c r="J650" s="2"/>
      <c r="K650" s="2"/>
    </row>
    <row r="651" spans="2:11" x14ac:dyDescent="0.25">
      <c r="B651" s="3"/>
      <c r="C651" s="3"/>
      <c r="D651" s="3"/>
      <c r="E651" s="2"/>
      <c r="F651" s="2"/>
      <c r="G651" s="2"/>
      <c r="H651" s="2"/>
      <c r="I651" s="2"/>
      <c r="J651" s="2"/>
      <c r="K651" s="2"/>
    </row>
    <row r="652" spans="2:11" x14ac:dyDescent="0.25">
      <c r="B652" s="3"/>
      <c r="C652" s="3"/>
      <c r="D652" s="3"/>
      <c r="E652" s="2"/>
      <c r="F652" s="2"/>
      <c r="G652" s="2"/>
      <c r="H652" s="2"/>
      <c r="I652" s="2"/>
      <c r="J652" s="2"/>
      <c r="K652" s="2"/>
    </row>
    <row r="653" spans="2:11" x14ac:dyDescent="0.25">
      <c r="B653" s="41"/>
      <c r="C653" s="41"/>
      <c r="D653" s="41"/>
    </row>
    <row r="654" spans="2:11" x14ac:dyDescent="0.25">
      <c r="B654" s="41"/>
      <c r="C654" s="41"/>
      <c r="D654" s="41"/>
    </row>
    <row r="655" spans="2:11" x14ac:dyDescent="0.25">
      <c r="B655" s="41"/>
      <c r="C655" s="41"/>
      <c r="D655" s="41"/>
    </row>
    <row r="656" spans="2:11" x14ac:dyDescent="0.25">
      <c r="B656" s="41"/>
      <c r="C656" s="41"/>
      <c r="D656" s="41"/>
    </row>
    <row r="657" spans="2:4" x14ac:dyDescent="0.25">
      <c r="B657" s="41"/>
      <c r="C657" s="41"/>
      <c r="D657" s="41"/>
    </row>
    <row r="658" spans="2:4" x14ac:dyDescent="0.25">
      <c r="B658" s="41"/>
      <c r="C658" s="41"/>
      <c r="D658" s="41"/>
    </row>
    <row r="659" spans="2:4" x14ac:dyDescent="0.25">
      <c r="B659" s="41"/>
      <c r="C659" s="41"/>
      <c r="D659" s="41"/>
    </row>
    <row r="660" spans="2:4" x14ac:dyDescent="0.25">
      <c r="B660" s="41"/>
      <c r="C660" s="41"/>
      <c r="D660" s="41"/>
    </row>
    <row r="661" spans="2:4" x14ac:dyDescent="0.25">
      <c r="B661" s="41"/>
      <c r="C661" s="41"/>
      <c r="D661" s="41"/>
    </row>
    <row r="662" spans="2:4" x14ac:dyDescent="0.25">
      <c r="B662" s="41"/>
      <c r="C662" s="41"/>
      <c r="D662" s="41"/>
    </row>
    <row r="663" spans="2:4" x14ac:dyDescent="0.25">
      <c r="B663" s="41"/>
      <c r="C663" s="41"/>
      <c r="D663" s="41"/>
    </row>
    <row r="664" spans="2:4" x14ac:dyDescent="0.25">
      <c r="B664" s="41"/>
      <c r="C664" s="41"/>
      <c r="D664" s="41"/>
    </row>
    <row r="665" spans="2:4" x14ac:dyDescent="0.25">
      <c r="B665" s="41"/>
      <c r="C665" s="41"/>
      <c r="D665" s="41"/>
    </row>
    <row r="666" spans="2:4" x14ac:dyDescent="0.25">
      <c r="B666" s="41"/>
      <c r="C666" s="41"/>
      <c r="D666" s="41"/>
    </row>
    <row r="667" spans="2:4" x14ac:dyDescent="0.25">
      <c r="B667" s="41"/>
      <c r="C667" s="41"/>
      <c r="D667" s="41"/>
    </row>
    <row r="668" spans="2:4" x14ac:dyDescent="0.25">
      <c r="B668" s="41"/>
      <c r="C668" s="41"/>
      <c r="D668" s="41"/>
    </row>
    <row r="669" spans="2:4" x14ac:dyDescent="0.25">
      <c r="B669" s="41"/>
      <c r="C669" s="41"/>
      <c r="D669" s="41"/>
    </row>
    <row r="670" spans="2:4" x14ac:dyDescent="0.25">
      <c r="B670" s="41"/>
      <c r="C670" s="41"/>
      <c r="D670" s="41"/>
    </row>
    <row r="671" spans="2:4" x14ac:dyDescent="0.25">
      <c r="B671" s="41"/>
      <c r="C671" s="41"/>
      <c r="D671" s="41"/>
    </row>
    <row r="672" spans="2:4" x14ac:dyDescent="0.25">
      <c r="B672" s="41"/>
      <c r="C672" s="41"/>
      <c r="D672" s="41"/>
    </row>
    <row r="673" spans="2:4" x14ac:dyDescent="0.25">
      <c r="B673" s="41"/>
      <c r="C673" s="41"/>
      <c r="D673" s="41"/>
    </row>
    <row r="674" spans="2:4" x14ac:dyDescent="0.25">
      <c r="B674" s="41"/>
      <c r="C674" s="41"/>
      <c r="D674" s="41"/>
    </row>
    <row r="675" spans="2:4" x14ac:dyDescent="0.25">
      <c r="B675" s="41"/>
      <c r="C675" s="41"/>
      <c r="D675" s="41"/>
    </row>
    <row r="676" spans="2:4" x14ac:dyDescent="0.25">
      <c r="B676" s="41"/>
      <c r="C676" s="41"/>
      <c r="D676" s="41"/>
    </row>
    <row r="677" spans="2:4" x14ac:dyDescent="0.25">
      <c r="B677" s="41"/>
      <c r="C677" s="41"/>
      <c r="D677" s="41"/>
    </row>
    <row r="678" spans="2:4" x14ac:dyDescent="0.25">
      <c r="B678" s="41"/>
      <c r="C678" s="41"/>
      <c r="D678" s="41"/>
    </row>
    <row r="679" spans="2:4" x14ac:dyDescent="0.25">
      <c r="B679" s="41"/>
      <c r="C679" s="41"/>
      <c r="D679" s="41"/>
    </row>
    <row r="680" spans="2:4" x14ac:dyDescent="0.25">
      <c r="B680" s="41"/>
      <c r="C680" s="41"/>
      <c r="D680" s="41"/>
    </row>
    <row r="681" spans="2:4" x14ac:dyDescent="0.25">
      <c r="B681" s="41"/>
      <c r="C681" s="41"/>
      <c r="D681" s="41"/>
    </row>
    <row r="682" spans="2:4" x14ac:dyDescent="0.25">
      <c r="B682" s="41"/>
      <c r="C682" s="41"/>
      <c r="D682" s="41"/>
    </row>
    <row r="683" spans="2:4" x14ac:dyDescent="0.25">
      <c r="B683" s="41"/>
      <c r="C683" s="41"/>
      <c r="D683" s="41"/>
    </row>
    <row r="684" spans="2:4" x14ac:dyDescent="0.25">
      <c r="B684" s="41"/>
      <c r="C684" s="41"/>
      <c r="D684" s="41"/>
    </row>
    <row r="685" spans="2:4" x14ac:dyDescent="0.25">
      <c r="B685" s="41"/>
      <c r="C685" s="41"/>
      <c r="D685" s="41"/>
    </row>
    <row r="686" spans="2:4" x14ac:dyDescent="0.25">
      <c r="B686" s="41"/>
      <c r="C686" s="41"/>
      <c r="D686" s="41"/>
    </row>
    <row r="687" spans="2:4" x14ac:dyDescent="0.25">
      <c r="B687" s="41"/>
      <c r="C687" s="41"/>
      <c r="D687" s="41"/>
    </row>
    <row r="688" spans="2:4" x14ac:dyDescent="0.25">
      <c r="B688" s="41"/>
      <c r="C688" s="41"/>
      <c r="D688" s="41"/>
    </row>
    <row r="689" spans="2:4" x14ac:dyDescent="0.25">
      <c r="B689" s="41"/>
      <c r="C689" s="41"/>
      <c r="D689" s="41"/>
    </row>
    <row r="690" spans="2:4" x14ac:dyDescent="0.25">
      <c r="B690" s="41"/>
      <c r="C690" s="41"/>
      <c r="D690" s="41"/>
    </row>
    <row r="691" spans="2:4" x14ac:dyDescent="0.25">
      <c r="B691" s="41"/>
      <c r="C691" s="41"/>
      <c r="D691" s="41"/>
    </row>
    <row r="692" spans="2:4" x14ac:dyDescent="0.25">
      <c r="B692" s="41"/>
      <c r="C692" s="41"/>
      <c r="D692" s="41"/>
    </row>
    <row r="693" spans="2:4" x14ac:dyDescent="0.25">
      <c r="B693" s="41"/>
      <c r="C693" s="41"/>
      <c r="D693" s="41"/>
    </row>
    <row r="694" spans="2:4" x14ac:dyDescent="0.25">
      <c r="B694" s="41"/>
      <c r="C694" s="41"/>
      <c r="D694" s="41"/>
    </row>
    <row r="695" spans="2:4" x14ac:dyDescent="0.25">
      <c r="B695" s="41"/>
      <c r="C695" s="41"/>
      <c r="D695" s="41"/>
    </row>
    <row r="696" spans="2:4" x14ac:dyDescent="0.25">
      <c r="B696" s="41"/>
      <c r="C696" s="41"/>
      <c r="D696" s="41"/>
    </row>
    <row r="697" spans="2:4" x14ac:dyDescent="0.25">
      <c r="B697" s="41"/>
      <c r="C697" s="41"/>
      <c r="D697" s="41"/>
    </row>
    <row r="698" spans="2:4" x14ac:dyDescent="0.25">
      <c r="B698" s="41"/>
      <c r="C698" s="41"/>
      <c r="D698" s="41"/>
    </row>
    <row r="699" spans="2:4" x14ac:dyDescent="0.25">
      <c r="B699" s="41"/>
      <c r="C699" s="41"/>
      <c r="D699" s="41"/>
    </row>
    <row r="700" spans="2:4" x14ac:dyDescent="0.25">
      <c r="B700" s="41"/>
      <c r="C700" s="41"/>
      <c r="D700" s="41"/>
    </row>
    <row r="701" spans="2:4" x14ac:dyDescent="0.25">
      <c r="B701" s="41"/>
      <c r="C701" s="41"/>
      <c r="D701" s="41"/>
    </row>
    <row r="702" spans="2:4" x14ac:dyDescent="0.25">
      <c r="B702" s="41"/>
      <c r="C702" s="41"/>
      <c r="D702" s="41"/>
    </row>
    <row r="703" spans="2:4" x14ac:dyDescent="0.25">
      <c r="B703" s="41"/>
      <c r="C703" s="41"/>
      <c r="D703" s="41"/>
    </row>
    <row r="704" spans="2:4" x14ac:dyDescent="0.25">
      <c r="B704" s="41"/>
      <c r="C704" s="41"/>
      <c r="D704" s="41"/>
    </row>
    <row r="705" spans="2:4" x14ac:dyDescent="0.25">
      <c r="B705" s="41"/>
      <c r="C705" s="41"/>
      <c r="D705" s="41"/>
    </row>
    <row r="706" spans="2:4" x14ac:dyDescent="0.25">
      <c r="B706" s="41"/>
      <c r="C706" s="41"/>
      <c r="D706" s="41"/>
    </row>
    <row r="707" spans="2:4" x14ac:dyDescent="0.25">
      <c r="B707" s="41"/>
      <c r="C707" s="41"/>
      <c r="D707" s="41"/>
    </row>
    <row r="708" spans="2:4" x14ac:dyDescent="0.25">
      <c r="B708" s="41"/>
      <c r="C708" s="41"/>
      <c r="D708" s="41"/>
    </row>
    <row r="709" spans="2:4" x14ac:dyDescent="0.25">
      <c r="B709" s="41"/>
      <c r="C709" s="41"/>
      <c r="D709" s="41"/>
    </row>
    <row r="710" spans="2:4" x14ac:dyDescent="0.25">
      <c r="B710" s="41"/>
      <c r="C710" s="41"/>
      <c r="D710" s="41"/>
    </row>
    <row r="711" spans="2:4" x14ac:dyDescent="0.25">
      <c r="B711" s="41"/>
      <c r="C711" s="41"/>
      <c r="D711" s="41"/>
    </row>
    <row r="712" spans="2:4" x14ac:dyDescent="0.25">
      <c r="B712" s="41"/>
      <c r="C712" s="41"/>
      <c r="D712" s="41"/>
    </row>
    <row r="713" spans="2:4" x14ac:dyDescent="0.25">
      <c r="B713" s="41"/>
      <c r="C713" s="41"/>
      <c r="D713" s="41"/>
    </row>
    <row r="714" spans="2:4" x14ac:dyDescent="0.25">
      <c r="B714" s="41"/>
      <c r="C714" s="41"/>
      <c r="D714" s="41"/>
    </row>
    <row r="715" spans="2:4" x14ac:dyDescent="0.25">
      <c r="B715" s="41"/>
      <c r="C715" s="41"/>
      <c r="D715" s="41"/>
    </row>
    <row r="716" spans="2:4" x14ac:dyDescent="0.25">
      <c r="B716" s="41"/>
      <c r="C716" s="41"/>
      <c r="D716" s="41"/>
    </row>
    <row r="717" spans="2:4" x14ac:dyDescent="0.25">
      <c r="B717" s="41"/>
      <c r="C717" s="41"/>
      <c r="D717" s="41"/>
    </row>
    <row r="718" spans="2:4" x14ac:dyDescent="0.25">
      <c r="B718" s="41"/>
      <c r="C718" s="41"/>
      <c r="D718" s="41"/>
    </row>
    <row r="719" spans="2:4" x14ac:dyDescent="0.25">
      <c r="B719" s="41"/>
      <c r="C719" s="41"/>
      <c r="D719" s="41"/>
    </row>
    <row r="720" spans="2:4" x14ac:dyDescent="0.25">
      <c r="B720" s="41"/>
      <c r="C720" s="41"/>
      <c r="D720" s="41"/>
    </row>
    <row r="721" spans="2:4" x14ac:dyDescent="0.25">
      <c r="B721" s="41"/>
      <c r="C721" s="41"/>
      <c r="D721" s="41"/>
    </row>
    <row r="722" spans="2:4" x14ac:dyDescent="0.25">
      <c r="B722" s="41"/>
      <c r="C722" s="41"/>
      <c r="D722" s="41"/>
    </row>
    <row r="723" spans="2:4" x14ac:dyDescent="0.25">
      <c r="B723" s="41"/>
      <c r="C723" s="41"/>
      <c r="D723" s="41"/>
    </row>
    <row r="724" spans="2:4" x14ac:dyDescent="0.25">
      <c r="B724" s="41"/>
      <c r="C724" s="41"/>
      <c r="D724" s="41"/>
    </row>
    <row r="725" spans="2:4" x14ac:dyDescent="0.25">
      <c r="B725" s="41"/>
      <c r="C725" s="41"/>
      <c r="D725" s="41"/>
    </row>
    <row r="726" spans="2:4" x14ac:dyDescent="0.25">
      <c r="B726" s="41"/>
      <c r="C726" s="41"/>
      <c r="D726" s="41"/>
    </row>
    <row r="727" spans="2:4" x14ac:dyDescent="0.25">
      <c r="B727" s="41"/>
      <c r="C727" s="41"/>
      <c r="D727" s="41"/>
    </row>
    <row r="728" spans="2:4" x14ac:dyDescent="0.25">
      <c r="B728" s="41"/>
      <c r="C728" s="41"/>
      <c r="D728" s="41"/>
    </row>
    <row r="729" spans="2:4" x14ac:dyDescent="0.25">
      <c r="B729" s="41"/>
      <c r="C729" s="41"/>
      <c r="D729" s="41"/>
    </row>
    <row r="730" spans="2:4" x14ac:dyDescent="0.25">
      <c r="B730" s="41"/>
      <c r="C730" s="41"/>
      <c r="D730" s="41"/>
    </row>
    <row r="731" spans="2:4" x14ac:dyDescent="0.25">
      <c r="B731" s="41"/>
      <c r="C731" s="41"/>
      <c r="D731" s="41"/>
    </row>
    <row r="732" spans="2:4" x14ac:dyDescent="0.25">
      <c r="B732" s="41"/>
      <c r="C732" s="41"/>
      <c r="D732" s="41"/>
    </row>
    <row r="733" spans="2:4" x14ac:dyDescent="0.25">
      <c r="B733" s="41"/>
      <c r="C733" s="41"/>
      <c r="D733" s="41"/>
    </row>
    <row r="734" spans="2:4" x14ac:dyDescent="0.25">
      <c r="B734" s="41"/>
      <c r="C734" s="41"/>
      <c r="D734" s="41"/>
    </row>
    <row r="735" spans="2:4" x14ac:dyDescent="0.25">
      <c r="B735" s="41"/>
      <c r="C735" s="41"/>
      <c r="D735" s="41"/>
    </row>
    <row r="736" spans="2:4" x14ac:dyDescent="0.25">
      <c r="B736" s="41"/>
      <c r="C736" s="41"/>
      <c r="D736" s="41"/>
    </row>
    <row r="737" spans="2:4" x14ac:dyDescent="0.25">
      <c r="B737" s="41"/>
      <c r="C737" s="41"/>
      <c r="D737" s="41"/>
    </row>
    <row r="738" spans="2:4" x14ac:dyDescent="0.25">
      <c r="B738" s="41"/>
      <c r="C738" s="41"/>
      <c r="D738" s="41"/>
    </row>
    <row r="739" spans="2:4" x14ac:dyDescent="0.25">
      <c r="B739" s="41"/>
      <c r="C739" s="41"/>
      <c r="D739" s="41"/>
    </row>
    <row r="740" spans="2:4" x14ac:dyDescent="0.25">
      <c r="B740" s="41"/>
      <c r="C740" s="41"/>
      <c r="D740" s="41"/>
    </row>
    <row r="741" spans="2:4" x14ac:dyDescent="0.25">
      <c r="B741" s="41"/>
      <c r="C741" s="41"/>
      <c r="D741" s="41"/>
    </row>
    <row r="742" spans="2:4" x14ac:dyDescent="0.25">
      <c r="B742" s="41"/>
      <c r="C742" s="41"/>
      <c r="D742" s="41"/>
    </row>
    <row r="743" spans="2:4" x14ac:dyDescent="0.25">
      <c r="B743" s="41"/>
      <c r="C743" s="41"/>
      <c r="D743" s="41"/>
    </row>
    <row r="744" spans="2:4" x14ac:dyDescent="0.25">
      <c r="B744" s="41"/>
      <c r="C744" s="41"/>
      <c r="D744" s="41"/>
    </row>
    <row r="745" spans="2:4" x14ac:dyDescent="0.25">
      <c r="B745" s="41"/>
      <c r="C745" s="41"/>
      <c r="D745" s="41"/>
    </row>
    <row r="746" spans="2:4" x14ac:dyDescent="0.25">
      <c r="B746" s="41"/>
      <c r="C746" s="41"/>
      <c r="D746" s="41"/>
    </row>
    <row r="747" spans="2:4" x14ac:dyDescent="0.25">
      <c r="B747" s="41"/>
      <c r="C747" s="41"/>
      <c r="D747" s="41"/>
    </row>
    <row r="748" spans="2:4" x14ac:dyDescent="0.25">
      <c r="B748" s="41"/>
      <c r="C748" s="41"/>
      <c r="D748" s="41"/>
    </row>
    <row r="749" spans="2:4" x14ac:dyDescent="0.25">
      <c r="B749" s="41"/>
      <c r="C749" s="41"/>
      <c r="D749" s="41"/>
    </row>
    <row r="750" spans="2:4" x14ac:dyDescent="0.25">
      <c r="B750" s="41"/>
      <c r="C750" s="41"/>
      <c r="D750" s="41"/>
    </row>
    <row r="751" spans="2:4" x14ac:dyDescent="0.25">
      <c r="B751" s="41"/>
      <c r="C751" s="41"/>
      <c r="D751" s="41"/>
    </row>
    <row r="752" spans="2:4" x14ac:dyDescent="0.25">
      <c r="B752" s="41"/>
      <c r="C752" s="41"/>
      <c r="D752" s="41"/>
    </row>
    <row r="753" spans="2:4" x14ac:dyDescent="0.25">
      <c r="B753" s="41"/>
      <c r="C753" s="41"/>
      <c r="D753" s="41"/>
    </row>
    <row r="754" spans="2:4" x14ac:dyDescent="0.25">
      <c r="B754" s="41"/>
      <c r="C754" s="41"/>
      <c r="D754" s="41"/>
    </row>
    <row r="755" spans="2:4" x14ac:dyDescent="0.25">
      <c r="B755" s="41"/>
      <c r="C755" s="41"/>
      <c r="D755" s="41"/>
    </row>
    <row r="756" spans="2:4" x14ac:dyDescent="0.25">
      <c r="B756" s="41"/>
      <c r="C756" s="41"/>
      <c r="D756" s="41"/>
    </row>
    <row r="757" spans="2:4" x14ac:dyDescent="0.25">
      <c r="B757" s="41"/>
      <c r="C757" s="41"/>
      <c r="D757" s="41"/>
    </row>
    <row r="758" spans="2:4" x14ac:dyDescent="0.25">
      <c r="B758" s="41"/>
      <c r="C758" s="41"/>
      <c r="D758" s="41"/>
    </row>
    <row r="759" spans="2:4" x14ac:dyDescent="0.25">
      <c r="B759" s="41"/>
      <c r="C759" s="41"/>
      <c r="D759" s="41"/>
    </row>
    <row r="760" spans="2:4" x14ac:dyDescent="0.25">
      <c r="B760" s="41"/>
      <c r="C760" s="41"/>
      <c r="D760" s="41"/>
    </row>
    <row r="761" spans="2:4" x14ac:dyDescent="0.25">
      <c r="B761" s="41"/>
      <c r="C761" s="41"/>
      <c r="D761" s="41"/>
    </row>
    <row r="762" spans="2:4" x14ac:dyDescent="0.25">
      <c r="B762" s="41"/>
      <c r="C762" s="41"/>
      <c r="D762" s="41"/>
    </row>
    <row r="763" spans="2:4" x14ac:dyDescent="0.25">
      <c r="B763" s="41"/>
      <c r="C763" s="41"/>
      <c r="D763" s="41"/>
    </row>
    <row r="764" spans="2:4" x14ac:dyDescent="0.25">
      <c r="B764" s="41"/>
      <c r="C764" s="41"/>
      <c r="D764" s="41"/>
    </row>
    <row r="765" spans="2:4" x14ac:dyDescent="0.25">
      <c r="B765" s="41"/>
      <c r="C765" s="41"/>
      <c r="D765" s="41"/>
    </row>
    <row r="766" spans="2:4" x14ac:dyDescent="0.25">
      <c r="B766" s="41"/>
      <c r="C766" s="41"/>
      <c r="D766" s="41"/>
    </row>
    <row r="767" spans="2:4" x14ac:dyDescent="0.25">
      <c r="B767" s="41"/>
      <c r="C767" s="41"/>
      <c r="D767" s="41"/>
    </row>
    <row r="768" spans="2:4" x14ac:dyDescent="0.25">
      <c r="B768" s="41"/>
      <c r="C768" s="41"/>
      <c r="D768" s="41"/>
    </row>
    <row r="769" spans="2:4" x14ac:dyDescent="0.25">
      <c r="B769" s="41"/>
      <c r="C769" s="41"/>
      <c r="D769" s="41"/>
    </row>
    <row r="770" spans="2:4" x14ac:dyDescent="0.25">
      <c r="B770" s="41"/>
      <c r="C770" s="41"/>
      <c r="D770" s="41"/>
    </row>
    <row r="771" spans="2:4" x14ac:dyDescent="0.25">
      <c r="B771" s="41"/>
      <c r="C771" s="41"/>
      <c r="D771" s="41"/>
    </row>
    <row r="772" spans="2:4" x14ac:dyDescent="0.25">
      <c r="B772" s="41"/>
      <c r="C772" s="41"/>
      <c r="D772" s="41"/>
    </row>
    <row r="773" spans="2:4" x14ac:dyDescent="0.25">
      <c r="B773" s="41"/>
      <c r="C773" s="41"/>
      <c r="D773" s="41"/>
    </row>
    <row r="774" spans="2:4" x14ac:dyDescent="0.25">
      <c r="B774" s="41"/>
      <c r="C774" s="41"/>
      <c r="D774" s="41"/>
    </row>
    <row r="775" spans="2:4" x14ac:dyDescent="0.25">
      <c r="B775" s="41"/>
      <c r="C775" s="41"/>
      <c r="D775" s="41"/>
    </row>
    <row r="776" spans="2:4" x14ac:dyDescent="0.25">
      <c r="B776" s="41"/>
      <c r="C776" s="41"/>
      <c r="D776" s="41"/>
    </row>
    <row r="777" spans="2:4" x14ac:dyDescent="0.25">
      <c r="B777" s="41"/>
      <c r="C777" s="41"/>
      <c r="D777" s="41"/>
    </row>
    <row r="778" spans="2:4" x14ac:dyDescent="0.25">
      <c r="B778" s="41"/>
      <c r="C778" s="41"/>
      <c r="D778" s="41"/>
    </row>
    <row r="779" spans="2:4" x14ac:dyDescent="0.25">
      <c r="B779" s="41"/>
      <c r="C779" s="41"/>
      <c r="D779" s="41"/>
    </row>
    <row r="780" spans="2:4" x14ac:dyDescent="0.25">
      <c r="B780" s="41"/>
      <c r="C780" s="41"/>
      <c r="D780" s="41"/>
    </row>
    <row r="781" spans="2:4" x14ac:dyDescent="0.25">
      <c r="B781" s="41"/>
      <c r="C781" s="41"/>
      <c r="D781" s="41"/>
    </row>
    <row r="782" spans="2:4" x14ac:dyDescent="0.25">
      <c r="B782" s="41"/>
      <c r="C782" s="41"/>
      <c r="D782" s="41"/>
    </row>
    <row r="783" spans="2:4" x14ac:dyDescent="0.25">
      <c r="B783" s="41"/>
      <c r="C783" s="41"/>
      <c r="D783" s="41"/>
    </row>
    <row r="784" spans="2:4" x14ac:dyDescent="0.25">
      <c r="B784" s="41"/>
      <c r="C784" s="41"/>
      <c r="D784" s="41"/>
    </row>
    <row r="785" spans="2:4" x14ac:dyDescent="0.25">
      <c r="B785" s="41"/>
      <c r="C785" s="41"/>
      <c r="D785" s="41"/>
    </row>
    <row r="786" spans="2:4" x14ac:dyDescent="0.25">
      <c r="B786" s="41"/>
      <c r="C786" s="41"/>
      <c r="D786" s="41"/>
    </row>
    <row r="787" spans="2:4" x14ac:dyDescent="0.25">
      <c r="B787" s="41"/>
      <c r="C787" s="41"/>
      <c r="D787" s="41"/>
    </row>
    <row r="788" spans="2:4" x14ac:dyDescent="0.25">
      <c r="B788" s="41"/>
      <c r="C788" s="41"/>
      <c r="D788" s="41"/>
    </row>
    <row r="789" spans="2:4" x14ac:dyDescent="0.25">
      <c r="B789" s="41"/>
      <c r="C789" s="41"/>
      <c r="D789" s="41"/>
    </row>
    <row r="790" spans="2:4" x14ac:dyDescent="0.25">
      <c r="B790" s="41"/>
      <c r="C790" s="41"/>
      <c r="D790" s="41"/>
    </row>
    <row r="791" spans="2:4" x14ac:dyDescent="0.25">
      <c r="B791" s="41"/>
      <c r="C791" s="41"/>
      <c r="D791" s="41"/>
    </row>
    <row r="792" spans="2:4" x14ac:dyDescent="0.25">
      <c r="B792" s="41"/>
      <c r="C792" s="41"/>
      <c r="D792" s="41"/>
    </row>
    <row r="793" spans="2:4" x14ac:dyDescent="0.25">
      <c r="B793" s="41"/>
      <c r="C793" s="41"/>
      <c r="D793" s="41"/>
    </row>
    <row r="794" spans="2:4" x14ac:dyDescent="0.25">
      <c r="B794" s="41"/>
      <c r="C794" s="41"/>
      <c r="D794" s="41"/>
    </row>
    <row r="795" spans="2:4" x14ac:dyDescent="0.25">
      <c r="B795" s="41"/>
      <c r="C795" s="41"/>
      <c r="D795" s="41"/>
    </row>
    <row r="796" spans="2:4" x14ac:dyDescent="0.25">
      <c r="B796" s="41"/>
      <c r="C796" s="41"/>
      <c r="D796" s="41"/>
    </row>
    <row r="797" spans="2:4" x14ac:dyDescent="0.25">
      <c r="B797" s="41"/>
      <c r="C797" s="41"/>
      <c r="D797" s="41"/>
    </row>
    <row r="798" spans="2:4" x14ac:dyDescent="0.25">
      <c r="B798" s="41"/>
      <c r="C798" s="41"/>
      <c r="D798" s="41"/>
    </row>
    <row r="799" spans="2:4" x14ac:dyDescent="0.25">
      <c r="B799" s="41"/>
      <c r="C799" s="41"/>
      <c r="D799" s="41"/>
    </row>
    <row r="800" spans="2:4" x14ac:dyDescent="0.25">
      <c r="B800" s="41"/>
      <c r="C800" s="41"/>
      <c r="D800" s="41"/>
    </row>
    <row r="801" spans="2:4" x14ac:dyDescent="0.25">
      <c r="B801" s="41"/>
      <c r="C801" s="41"/>
      <c r="D801" s="41"/>
    </row>
    <row r="802" spans="2:4" x14ac:dyDescent="0.25">
      <c r="B802" s="41"/>
      <c r="C802" s="41"/>
      <c r="D802" s="41"/>
    </row>
    <row r="803" spans="2:4" x14ac:dyDescent="0.25">
      <c r="B803" s="41"/>
      <c r="C803" s="41"/>
      <c r="D803" s="41"/>
    </row>
    <row r="804" spans="2:4" x14ac:dyDescent="0.25">
      <c r="B804" s="41"/>
      <c r="C804" s="41"/>
      <c r="D804" s="41"/>
    </row>
    <row r="805" spans="2:4" x14ac:dyDescent="0.25">
      <c r="B805" s="41"/>
      <c r="C805" s="41"/>
      <c r="D805" s="41"/>
    </row>
    <row r="806" spans="2:4" x14ac:dyDescent="0.25">
      <c r="B806" s="41"/>
      <c r="C806" s="41"/>
      <c r="D806" s="41"/>
    </row>
    <row r="807" spans="2:4" x14ac:dyDescent="0.25">
      <c r="B807" s="41"/>
      <c r="C807" s="41"/>
      <c r="D807" s="41"/>
    </row>
    <row r="808" spans="2:4" x14ac:dyDescent="0.25">
      <c r="B808" s="41"/>
      <c r="C808" s="41"/>
      <c r="D808" s="41"/>
    </row>
    <row r="809" spans="2:4" x14ac:dyDescent="0.25">
      <c r="B809" s="41"/>
      <c r="C809" s="41"/>
      <c r="D809" s="41"/>
    </row>
    <row r="810" spans="2:4" x14ac:dyDescent="0.25">
      <c r="B810" s="41"/>
      <c r="C810" s="41"/>
      <c r="D810" s="41"/>
    </row>
    <row r="811" spans="2:4" x14ac:dyDescent="0.25">
      <c r="B811" s="41"/>
      <c r="C811" s="41"/>
      <c r="D811" s="41"/>
    </row>
    <row r="812" spans="2:4" x14ac:dyDescent="0.25">
      <c r="B812" s="41"/>
      <c r="C812" s="41"/>
      <c r="D812" s="41"/>
    </row>
    <row r="813" spans="2:4" x14ac:dyDescent="0.25">
      <c r="B813" s="41"/>
      <c r="C813" s="41"/>
      <c r="D813" s="41"/>
    </row>
    <row r="814" spans="2:4" x14ac:dyDescent="0.25">
      <c r="B814" s="41"/>
      <c r="C814" s="41"/>
      <c r="D814" s="41"/>
    </row>
    <row r="815" spans="2:4" x14ac:dyDescent="0.25">
      <c r="B815" s="41"/>
      <c r="C815" s="41"/>
      <c r="D815" s="41"/>
    </row>
    <row r="816" spans="2:4" x14ac:dyDescent="0.25">
      <c r="B816" s="41"/>
      <c r="C816" s="41"/>
      <c r="D816" s="41"/>
    </row>
    <row r="817" spans="2:4" x14ac:dyDescent="0.25">
      <c r="B817" s="41"/>
      <c r="C817" s="41"/>
      <c r="D817" s="41"/>
    </row>
    <row r="818" spans="2:4" x14ac:dyDescent="0.25">
      <c r="B818" s="41"/>
      <c r="C818" s="41"/>
      <c r="D818" s="41"/>
    </row>
    <row r="819" spans="2:4" x14ac:dyDescent="0.25">
      <c r="B819" s="41"/>
      <c r="C819" s="41"/>
      <c r="D819" s="41"/>
    </row>
    <row r="820" spans="2:4" x14ac:dyDescent="0.25">
      <c r="B820" s="41"/>
      <c r="C820" s="41"/>
      <c r="D820" s="41"/>
    </row>
    <row r="821" spans="2:4" x14ac:dyDescent="0.25">
      <c r="B821" s="41"/>
      <c r="C821" s="41"/>
      <c r="D821" s="41"/>
    </row>
    <row r="822" spans="2:4" x14ac:dyDescent="0.25">
      <c r="B822" s="41"/>
      <c r="C822" s="41"/>
      <c r="D822" s="41"/>
    </row>
    <row r="823" spans="2:4" x14ac:dyDescent="0.25">
      <c r="B823" s="41"/>
      <c r="C823" s="41"/>
      <c r="D823" s="41"/>
    </row>
    <row r="824" spans="2:4" x14ac:dyDescent="0.25">
      <c r="B824" s="41"/>
      <c r="C824" s="41"/>
      <c r="D824" s="41"/>
    </row>
    <row r="825" spans="2:4" x14ac:dyDescent="0.25">
      <c r="B825" s="41"/>
      <c r="C825" s="41"/>
      <c r="D825" s="41"/>
    </row>
    <row r="826" spans="2:4" x14ac:dyDescent="0.25">
      <c r="B826" s="41"/>
      <c r="C826" s="41"/>
      <c r="D826" s="41"/>
    </row>
    <row r="827" spans="2:4" x14ac:dyDescent="0.25">
      <c r="B827" s="41"/>
      <c r="C827" s="41"/>
      <c r="D827" s="41"/>
    </row>
    <row r="828" spans="2:4" x14ac:dyDescent="0.25">
      <c r="B828" s="41"/>
      <c r="C828" s="41"/>
      <c r="D828" s="41"/>
    </row>
    <row r="829" spans="2:4" x14ac:dyDescent="0.25">
      <c r="B829" s="41"/>
      <c r="C829" s="41"/>
      <c r="D829" s="41"/>
    </row>
    <row r="830" spans="2:4" x14ac:dyDescent="0.25">
      <c r="B830" s="41"/>
      <c r="C830" s="41"/>
      <c r="D830" s="41"/>
    </row>
    <row r="831" spans="2:4" x14ac:dyDescent="0.25">
      <c r="B831" s="41"/>
      <c r="C831" s="41"/>
      <c r="D831" s="41"/>
    </row>
    <row r="832" spans="2:4" x14ac:dyDescent="0.25">
      <c r="B832" s="41"/>
      <c r="C832" s="41"/>
      <c r="D832" s="41"/>
    </row>
    <row r="833" spans="2:4" x14ac:dyDescent="0.25">
      <c r="B833" s="41"/>
      <c r="C833" s="41"/>
      <c r="D833" s="41"/>
    </row>
    <row r="834" spans="2:4" x14ac:dyDescent="0.25">
      <c r="B834" s="41"/>
      <c r="C834" s="41"/>
      <c r="D834" s="41"/>
    </row>
    <row r="835" spans="2:4" x14ac:dyDescent="0.25">
      <c r="B835" s="41"/>
      <c r="C835" s="41"/>
      <c r="D835" s="41"/>
    </row>
    <row r="836" spans="2:4" x14ac:dyDescent="0.25">
      <c r="B836" s="41"/>
      <c r="C836" s="41"/>
      <c r="D836" s="41"/>
    </row>
    <row r="837" spans="2:4" x14ac:dyDescent="0.25">
      <c r="B837" s="41"/>
      <c r="C837" s="41"/>
      <c r="D837" s="41"/>
    </row>
    <row r="838" spans="2:4" x14ac:dyDescent="0.25">
      <c r="B838" s="41"/>
      <c r="C838" s="41"/>
      <c r="D838" s="41"/>
    </row>
    <row r="839" spans="2:4" x14ac:dyDescent="0.25">
      <c r="B839" s="41"/>
      <c r="C839" s="41"/>
      <c r="D839" s="41"/>
    </row>
    <row r="840" spans="2:4" x14ac:dyDescent="0.25">
      <c r="B840" s="41"/>
      <c r="C840" s="41"/>
      <c r="D840" s="41"/>
    </row>
    <row r="841" spans="2:4" x14ac:dyDescent="0.25">
      <c r="B841" s="41"/>
      <c r="C841" s="41"/>
      <c r="D841" s="41"/>
    </row>
    <row r="842" spans="2:4" x14ac:dyDescent="0.25">
      <c r="B842" s="41"/>
      <c r="C842" s="41"/>
      <c r="D842" s="41"/>
    </row>
    <row r="843" spans="2:4" x14ac:dyDescent="0.25">
      <c r="B843" s="41"/>
      <c r="C843" s="41"/>
      <c r="D843" s="41"/>
    </row>
    <row r="844" spans="2:4" x14ac:dyDescent="0.25">
      <c r="B844" s="41"/>
      <c r="C844" s="41"/>
      <c r="D844" s="41"/>
    </row>
    <row r="845" spans="2:4" x14ac:dyDescent="0.25">
      <c r="B845" s="41"/>
      <c r="C845" s="41"/>
      <c r="D845" s="41"/>
    </row>
    <row r="846" spans="2:4" x14ac:dyDescent="0.25">
      <c r="B846" s="41"/>
      <c r="C846" s="41"/>
      <c r="D846" s="41"/>
    </row>
    <row r="847" spans="2:4" x14ac:dyDescent="0.25">
      <c r="B847" s="41"/>
      <c r="C847" s="41"/>
      <c r="D847" s="41"/>
    </row>
    <row r="848" spans="2:4" x14ac:dyDescent="0.25">
      <c r="B848" s="41"/>
      <c r="C848" s="41"/>
      <c r="D848" s="41"/>
    </row>
    <row r="849" spans="2:4" x14ac:dyDescent="0.25">
      <c r="B849" s="41"/>
      <c r="C849" s="41"/>
      <c r="D849" s="41"/>
    </row>
    <row r="850" spans="2:4" x14ac:dyDescent="0.25">
      <c r="B850" s="41"/>
      <c r="C850" s="41"/>
      <c r="D850" s="41"/>
    </row>
    <row r="851" spans="2:4" x14ac:dyDescent="0.25">
      <c r="B851" s="41"/>
      <c r="C851" s="41"/>
      <c r="D851" s="41"/>
    </row>
    <row r="852" spans="2:4" x14ac:dyDescent="0.25">
      <c r="B852" s="41"/>
      <c r="C852" s="41"/>
      <c r="D852" s="41"/>
    </row>
    <row r="853" spans="2:4" x14ac:dyDescent="0.25">
      <c r="B853" s="41"/>
      <c r="C853" s="41"/>
      <c r="D853" s="41"/>
    </row>
    <row r="854" spans="2:4" x14ac:dyDescent="0.25">
      <c r="B854" s="41"/>
      <c r="C854" s="41"/>
      <c r="D854" s="41"/>
    </row>
    <row r="855" spans="2:4" x14ac:dyDescent="0.25">
      <c r="B855" s="41"/>
      <c r="C855" s="41"/>
      <c r="D855" s="41"/>
    </row>
    <row r="856" spans="2:4" x14ac:dyDescent="0.25">
      <c r="B856" s="41"/>
      <c r="C856" s="41"/>
      <c r="D856" s="41"/>
    </row>
    <row r="857" spans="2:4" x14ac:dyDescent="0.25">
      <c r="B857" s="41"/>
      <c r="C857" s="41"/>
      <c r="D857" s="41"/>
    </row>
    <row r="858" spans="2:4" x14ac:dyDescent="0.25">
      <c r="B858" s="41"/>
      <c r="C858" s="41"/>
      <c r="D858" s="41"/>
    </row>
    <row r="859" spans="2:4" x14ac:dyDescent="0.25">
      <c r="B859" s="41"/>
      <c r="C859" s="41"/>
      <c r="D859" s="41"/>
    </row>
    <row r="860" spans="2:4" x14ac:dyDescent="0.25">
      <c r="B860" s="41"/>
      <c r="C860" s="41"/>
      <c r="D860" s="41"/>
    </row>
    <row r="861" spans="2:4" x14ac:dyDescent="0.25">
      <c r="B861" s="41"/>
      <c r="C861" s="41"/>
      <c r="D861" s="41"/>
    </row>
    <row r="862" spans="2:4" x14ac:dyDescent="0.25">
      <c r="B862" s="41"/>
      <c r="C862" s="41"/>
      <c r="D862" s="41"/>
    </row>
    <row r="863" spans="2:4" x14ac:dyDescent="0.25">
      <c r="B863" s="41"/>
      <c r="C863" s="41"/>
      <c r="D863" s="41"/>
    </row>
    <row r="864" spans="2:4" x14ac:dyDescent="0.25">
      <c r="B864" s="41"/>
      <c r="C864" s="41"/>
      <c r="D864" s="41"/>
    </row>
    <row r="865" spans="2:4" x14ac:dyDescent="0.25">
      <c r="B865" s="41"/>
      <c r="C865" s="41"/>
      <c r="D865" s="41"/>
    </row>
    <row r="866" spans="2:4" x14ac:dyDescent="0.25">
      <c r="B866" s="41"/>
      <c r="C866" s="41"/>
      <c r="D866" s="41"/>
    </row>
    <row r="867" spans="2:4" x14ac:dyDescent="0.25">
      <c r="B867" s="41"/>
      <c r="C867" s="41"/>
      <c r="D867" s="41"/>
    </row>
    <row r="868" spans="2:4" x14ac:dyDescent="0.25">
      <c r="B868" s="41"/>
      <c r="C868" s="41"/>
      <c r="D868" s="41"/>
    </row>
    <row r="869" spans="2:4" x14ac:dyDescent="0.25">
      <c r="B869" s="41"/>
      <c r="C869" s="41"/>
      <c r="D869" s="41"/>
    </row>
    <row r="870" spans="2:4" x14ac:dyDescent="0.25">
      <c r="B870" s="41"/>
      <c r="C870" s="41"/>
      <c r="D870" s="41"/>
    </row>
    <row r="871" spans="2:4" x14ac:dyDescent="0.25">
      <c r="B871" s="41"/>
      <c r="C871" s="41"/>
      <c r="D871" s="41"/>
    </row>
    <row r="872" spans="2:4" x14ac:dyDescent="0.25">
      <c r="B872" s="41"/>
      <c r="C872" s="41"/>
      <c r="D872" s="41"/>
    </row>
    <row r="873" spans="2:4" x14ac:dyDescent="0.25">
      <c r="B873" s="41"/>
      <c r="C873" s="41"/>
      <c r="D873" s="41"/>
    </row>
    <row r="874" spans="2:4" x14ac:dyDescent="0.25">
      <c r="B874" s="41"/>
      <c r="C874" s="41"/>
      <c r="D874" s="41"/>
    </row>
    <row r="875" spans="2:4" x14ac:dyDescent="0.25">
      <c r="B875" s="41"/>
      <c r="C875" s="41"/>
      <c r="D875" s="41"/>
    </row>
    <row r="876" spans="2:4" x14ac:dyDescent="0.25">
      <c r="B876" s="41"/>
      <c r="C876" s="41"/>
      <c r="D876" s="41"/>
    </row>
    <row r="877" spans="2:4" x14ac:dyDescent="0.25">
      <c r="B877" s="41"/>
      <c r="C877" s="41"/>
      <c r="D877" s="41"/>
    </row>
    <row r="878" spans="2:4" x14ac:dyDescent="0.25">
      <c r="B878" s="41"/>
      <c r="C878" s="41"/>
      <c r="D878" s="41"/>
    </row>
    <row r="879" spans="2:4" x14ac:dyDescent="0.25">
      <c r="B879" s="41"/>
      <c r="C879" s="41"/>
      <c r="D879" s="41"/>
    </row>
    <row r="880" spans="2:4" x14ac:dyDescent="0.25">
      <c r="B880" s="41"/>
      <c r="C880" s="41"/>
      <c r="D880" s="41"/>
    </row>
    <row r="881" spans="2:4" x14ac:dyDescent="0.25">
      <c r="B881" s="41"/>
      <c r="C881" s="41"/>
      <c r="D881" s="41"/>
    </row>
    <row r="882" spans="2:4" x14ac:dyDescent="0.25">
      <c r="B882" s="41"/>
      <c r="C882" s="41"/>
      <c r="D882" s="41"/>
    </row>
    <row r="883" spans="2:4" x14ac:dyDescent="0.25">
      <c r="B883" s="41"/>
      <c r="C883" s="41"/>
      <c r="D883" s="41"/>
    </row>
    <row r="884" spans="2:4" x14ac:dyDescent="0.25">
      <c r="B884" s="41"/>
      <c r="C884" s="41"/>
      <c r="D884" s="41"/>
    </row>
    <row r="885" spans="2:4" x14ac:dyDescent="0.25">
      <c r="B885" s="41"/>
      <c r="C885" s="41"/>
      <c r="D885" s="41"/>
    </row>
    <row r="886" spans="2:4" x14ac:dyDescent="0.25">
      <c r="B886" s="41"/>
      <c r="C886" s="41"/>
      <c r="D886" s="41"/>
    </row>
    <row r="887" spans="2:4" x14ac:dyDescent="0.25">
      <c r="B887" s="41"/>
      <c r="C887" s="41"/>
      <c r="D887" s="41"/>
    </row>
    <row r="888" spans="2:4" x14ac:dyDescent="0.25">
      <c r="B888" s="41"/>
      <c r="C888" s="41"/>
      <c r="D888" s="41"/>
    </row>
    <row r="889" spans="2:4" x14ac:dyDescent="0.25">
      <c r="B889" s="41"/>
      <c r="C889" s="41"/>
      <c r="D889" s="41"/>
    </row>
    <row r="890" spans="2:4" x14ac:dyDescent="0.25">
      <c r="B890" s="41"/>
      <c r="C890" s="41"/>
      <c r="D890" s="41"/>
    </row>
    <row r="891" spans="2:4" x14ac:dyDescent="0.25">
      <c r="B891" s="41"/>
      <c r="C891" s="41"/>
      <c r="D891" s="41"/>
    </row>
    <row r="892" spans="2:4" x14ac:dyDescent="0.25">
      <c r="B892" s="41"/>
      <c r="C892" s="41"/>
      <c r="D892" s="41"/>
    </row>
    <row r="893" spans="2:4" x14ac:dyDescent="0.25">
      <c r="B893" s="41"/>
      <c r="C893" s="41"/>
      <c r="D893" s="41"/>
    </row>
    <row r="894" spans="2:4" x14ac:dyDescent="0.25">
      <c r="B894" s="41"/>
      <c r="C894" s="41"/>
      <c r="D894" s="41"/>
    </row>
    <row r="895" spans="2:4" x14ac:dyDescent="0.25">
      <c r="B895" s="41"/>
      <c r="C895" s="41"/>
      <c r="D895" s="41"/>
    </row>
    <row r="896" spans="2:4" x14ac:dyDescent="0.25">
      <c r="B896" s="41"/>
      <c r="C896" s="41"/>
      <c r="D896" s="41"/>
    </row>
    <row r="897" spans="2:4" x14ac:dyDescent="0.25">
      <c r="B897" s="41"/>
      <c r="C897" s="41"/>
      <c r="D897" s="41"/>
    </row>
    <row r="898" spans="2:4" x14ac:dyDescent="0.25">
      <c r="B898" s="41"/>
      <c r="C898" s="41"/>
      <c r="D898" s="41"/>
    </row>
    <row r="899" spans="2:4" x14ac:dyDescent="0.25">
      <c r="B899" s="41"/>
      <c r="C899" s="41"/>
      <c r="D899" s="41"/>
    </row>
    <row r="900" spans="2:4" x14ac:dyDescent="0.25">
      <c r="B900" s="41"/>
      <c r="C900" s="41"/>
      <c r="D900" s="41"/>
    </row>
    <row r="901" spans="2:4" x14ac:dyDescent="0.25">
      <c r="B901" s="41"/>
      <c r="C901" s="41"/>
      <c r="D901" s="41"/>
    </row>
    <row r="902" spans="2:4" x14ac:dyDescent="0.25">
      <c r="B902" s="41"/>
      <c r="C902" s="41"/>
      <c r="D902" s="41"/>
    </row>
    <row r="903" spans="2:4" x14ac:dyDescent="0.25">
      <c r="B903" s="41"/>
      <c r="C903" s="41"/>
      <c r="D903" s="41"/>
    </row>
    <row r="904" spans="2:4" x14ac:dyDescent="0.25">
      <c r="B904" s="41"/>
      <c r="C904" s="41"/>
      <c r="D904" s="41"/>
    </row>
    <row r="905" spans="2:4" x14ac:dyDescent="0.25">
      <c r="B905" s="41"/>
      <c r="C905" s="41"/>
      <c r="D905" s="41"/>
    </row>
    <row r="906" spans="2:4" x14ac:dyDescent="0.25">
      <c r="B906" s="41"/>
      <c r="C906" s="41"/>
      <c r="D906" s="41"/>
    </row>
    <row r="907" spans="2:4" x14ac:dyDescent="0.25">
      <c r="B907" s="41"/>
      <c r="C907" s="41"/>
      <c r="D907" s="41"/>
    </row>
    <row r="908" spans="2:4" x14ac:dyDescent="0.25">
      <c r="B908" s="41"/>
      <c r="C908" s="41"/>
      <c r="D908" s="41"/>
    </row>
    <row r="909" spans="2:4" x14ac:dyDescent="0.25">
      <c r="B909" s="41"/>
      <c r="C909" s="41"/>
      <c r="D909" s="41"/>
    </row>
    <row r="910" spans="2:4" x14ac:dyDescent="0.25">
      <c r="B910" s="41"/>
      <c r="C910" s="41"/>
      <c r="D910" s="41"/>
    </row>
    <row r="911" spans="2:4" x14ac:dyDescent="0.25">
      <c r="B911" s="41"/>
      <c r="C911" s="41"/>
      <c r="D911" s="41"/>
    </row>
    <row r="912" spans="2:4" x14ac:dyDescent="0.25">
      <c r="B912" s="41"/>
      <c r="C912" s="41"/>
      <c r="D912" s="41"/>
    </row>
    <row r="913" spans="2:4" x14ac:dyDescent="0.25">
      <c r="B913" s="41"/>
      <c r="C913" s="41"/>
      <c r="D913" s="41"/>
    </row>
    <row r="914" spans="2:4" x14ac:dyDescent="0.25">
      <c r="B914" s="41"/>
      <c r="C914" s="41"/>
      <c r="D914" s="41"/>
    </row>
    <row r="915" spans="2:4" x14ac:dyDescent="0.25">
      <c r="B915" s="41"/>
      <c r="C915" s="41"/>
      <c r="D915" s="41"/>
    </row>
    <row r="916" spans="2:4" x14ac:dyDescent="0.25">
      <c r="B916" s="41"/>
      <c r="C916" s="41"/>
      <c r="D916" s="41"/>
    </row>
    <row r="917" spans="2:4" x14ac:dyDescent="0.25">
      <c r="B917" s="41"/>
      <c r="C917" s="41"/>
      <c r="D917" s="41"/>
    </row>
    <row r="918" spans="2:4" x14ac:dyDescent="0.25">
      <c r="B918" s="41"/>
      <c r="C918" s="41"/>
      <c r="D918" s="41"/>
    </row>
    <row r="919" spans="2:4" x14ac:dyDescent="0.25">
      <c r="B919" s="41"/>
      <c r="C919" s="41"/>
      <c r="D919" s="41"/>
    </row>
    <row r="920" spans="2:4" x14ac:dyDescent="0.25">
      <c r="B920" s="41"/>
      <c r="C920" s="41"/>
      <c r="D920" s="41"/>
    </row>
    <row r="921" spans="2:4" x14ac:dyDescent="0.25">
      <c r="B921" s="41"/>
      <c r="C921" s="41"/>
      <c r="D921" s="41"/>
    </row>
    <row r="922" spans="2:4" x14ac:dyDescent="0.25">
      <c r="B922" s="41"/>
      <c r="C922" s="41"/>
      <c r="D922" s="41"/>
    </row>
    <row r="923" spans="2:4" x14ac:dyDescent="0.25">
      <c r="B923" s="41"/>
      <c r="C923" s="41"/>
      <c r="D923" s="41"/>
    </row>
    <row r="924" spans="2:4" x14ac:dyDescent="0.25">
      <c r="B924" s="41"/>
      <c r="C924" s="41"/>
      <c r="D924" s="41"/>
    </row>
    <row r="925" spans="2:4" x14ac:dyDescent="0.25">
      <c r="B925" s="41"/>
      <c r="C925" s="41"/>
      <c r="D925" s="41"/>
    </row>
    <row r="926" spans="2:4" x14ac:dyDescent="0.25">
      <c r="B926" s="41"/>
      <c r="C926" s="41"/>
      <c r="D926" s="41"/>
    </row>
    <row r="927" spans="2:4" x14ac:dyDescent="0.25">
      <c r="B927" s="41"/>
      <c r="C927" s="41"/>
      <c r="D927" s="41"/>
    </row>
    <row r="928" spans="2:4" x14ac:dyDescent="0.25">
      <c r="B928" s="41"/>
      <c r="C928" s="41"/>
      <c r="D928" s="41"/>
    </row>
    <row r="929" spans="2:4" x14ac:dyDescent="0.25">
      <c r="B929" s="41"/>
      <c r="C929" s="41"/>
      <c r="D929" s="41"/>
    </row>
    <row r="930" spans="2:4" x14ac:dyDescent="0.25">
      <c r="B930" s="41"/>
      <c r="C930" s="41"/>
      <c r="D930" s="41"/>
    </row>
    <row r="931" spans="2:4" x14ac:dyDescent="0.25">
      <c r="B931" s="41"/>
      <c r="C931" s="41"/>
      <c r="D931" s="41"/>
    </row>
    <row r="932" spans="2:4" x14ac:dyDescent="0.25">
      <c r="B932" s="41"/>
      <c r="C932" s="41"/>
      <c r="D932" s="41"/>
    </row>
    <row r="933" spans="2:4" x14ac:dyDescent="0.25">
      <c r="B933" s="41"/>
      <c r="C933" s="41"/>
      <c r="D933" s="41"/>
    </row>
    <row r="934" spans="2:4" x14ac:dyDescent="0.25">
      <c r="B934" s="41"/>
      <c r="C934" s="41"/>
      <c r="D934" s="41"/>
    </row>
    <row r="935" spans="2:4" x14ac:dyDescent="0.25">
      <c r="B935" s="41"/>
      <c r="C935" s="41"/>
      <c r="D935" s="41"/>
    </row>
    <row r="936" spans="2:4" x14ac:dyDescent="0.25">
      <c r="B936" s="41"/>
      <c r="C936" s="41"/>
      <c r="D936" s="41"/>
    </row>
    <row r="937" spans="2:4" x14ac:dyDescent="0.25">
      <c r="B937" s="41"/>
      <c r="C937" s="41"/>
      <c r="D937" s="41"/>
    </row>
    <row r="938" spans="2:4" x14ac:dyDescent="0.25">
      <c r="B938" s="41"/>
      <c r="C938" s="41"/>
      <c r="D938" s="41"/>
    </row>
    <row r="939" spans="2:4" x14ac:dyDescent="0.25">
      <c r="B939" s="41"/>
      <c r="C939" s="41"/>
      <c r="D939" s="41"/>
    </row>
    <row r="940" spans="2:4" x14ac:dyDescent="0.25">
      <c r="B940" s="41"/>
      <c r="C940" s="41"/>
      <c r="D940" s="41"/>
    </row>
    <row r="941" spans="2:4" x14ac:dyDescent="0.25">
      <c r="B941" s="41"/>
      <c r="C941" s="41"/>
      <c r="D941" s="41"/>
    </row>
    <row r="942" spans="2:4" x14ac:dyDescent="0.25">
      <c r="B942" s="41"/>
      <c r="C942" s="41"/>
      <c r="D942" s="41"/>
    </row>
    <row r="943" spans="2:4" x14ac:dyDescent="0.25">
      <c r="B943" s="41"/>
      <c r="C943" s="41"/>
      <c r="D943" s="41"/>
    </row>
    <row r="944" spans="2:4" x14ac:dyDescent="0.25">
      <c r="B944" s="41"/>
      <c r="C944" s="41"/>
      <c r="D944" s="41"/>
    </row>
    <row r="945" spans="2:4" x14ac:dyDescent="0.25">
      <c r="B945" s="41"/>
      <c r="C945" s="41"/>
      <c r="D945" s="41"/>
    </row>
    <row r="946" spans="2:4" x14ac:dyDescent="0.25">
      <c r="B946" s="41"/>
      <c r="C946" s="41"/>
      <c r="D946" s="41"/>
    </row>
    <row r="947" spans="2:4" x14ac:dyDescent="0.25">
      <c r="B947" s="41"/>
      <c r="C947" s="41"/>
      <c r="D947" s="41"/>
    </row>
    <row r="948" spans="2:4" x14ac:dyDescent="0.25">
      <c r="B948" s="41"/>
      <c r="C948" s="41"/>
      <c r="D948" s="41"/>
    </row>
    <row r="949" spans="2:4" x14ac:dyDescent="0.25">
      <c r="B949" s="41"/>
      <c r="C949" s="41"/>
      <c r="D949" s="41"/>
    </row>
    <row r="950" spans="2:4" x14ac:dyDescent="0.25">
      <c r="B950" s="41"/>
      <c r="C950" s="41"/>
      <c r="D950" s="41"/>
    </row>
    <row r="951" spans="2:4" x14ac:dyDescent="0.25">
      <c r="B951" s="41"/>
      <c r="C951" s="41"/>
      <c r="D951" s="41"/>
    </row>
    <row r="952" spans="2:4" x14ac:dyDescent="0.25">
      <c r="B952" s="41"/>
      <c r="C952" s="41"/>
      <c r="D952" s="41"/>
    </row>
    <row r="953" spans="2:4" x14ac:dyDescent="0.25">
      <c r="B953" s="41"/>
      <c r="C953" s="41"/>
      <c r="D953" s="41"/>
    </row>
    <row r="954" spans="2:4" x14ac:dyDescent="0.25">
      <c r="B954" s="41"/>
      <c r="C954" s="41"/>
      <c r="D954" s="41"/>
    </row>
    <row r="955" spans="2:4" x14ac:dyDescent="0.25">
      <c r="B955" s="41"/>
      <c r="C955" s="41"/>
      <c r="D955" s="41"/>
    </row>
    <row r="956" spans="2:4" x14ac:dyDescent="0.25">
      <c r="B956" s="41"/>
      <c r="C956" s="41"/>
      <c r="D956" s="41"/>
    </row>
    <row r="957" spans="2:4" x14ac:dyDescent="0.25">
      <c r="B957" s="41"/>
      <c r="C957" s="41"/>
      <c r="D957" s="41"/>
    </row>
    <row r="958" spans="2:4" x14ac:dyDescent="0.25">
      <c r="B958" s="41"/>
      <c r="C958" s="41"/>
      <c r="D958" s="41"/>
    </row>
    <row r="959" spans="2:4" x14ac:dyDescent="0.25">
      <c r="B959" s="41"/>
      <c r="C959" s="41"/>
      <c r="D959" s="41"/>
    </row>
    <row r="960" spans="2:4" x14ac:dyDescent="0.25">
      <c r="B960" s="41"/>
      <c r="C960" s="41"/>
      <c r="D960" s="41"/>
    </row>
    <row r="961" spans="2:4" x14ac:dyDescent="0.25">
      <c r="B961" s="41"/>
      <c r="C961" s="41"/>
      <c r="D961" s="41"/>
    </row>
    <row r="962" spans="2:4" x14ac:dyDescent="0.25">
      <c r="B962" s="41"/>
      <c r="C962" s="41"/>
      <c r="D962" s="41"/>
    </row>
    <row r="963" spans="2:4" x14ac:dyDescent="0.25">
      <c r="B963" s="41"/>
      <c r="C963" s="41"/>
      <c r="D963" s="41"/>
    </row>
    <row r="964" spans="2:4" x14ac:dyDescent="0.25">
      <c r="B964" s="41"/>
      <c r="C964" s="41"/>
      <c r="D964" s="41"/>
    </row>
    <row r="965" spans="2:4" x14ac:dyDescent="0.25">
      <c r="B965" s="41"/>
      <c r="C965" s="41"/>
      <c r="D965" s="41"/>
    </row>
    <row r="966" spans="2:4" x14ac:dyDescent="0.25">
      <c r="B966" s="41"/>
      <c r="C966" s="41"/>
      <c r="D966" s="41"/>
    </row>
    <row r="967" spans="2:4" x14ac:dyDescent="0.25">
      <c r="B967" s="41"/>
      <c r="C967" s="41"/>
      <c r="D967" s="41"/>
    </row>
    <row r="968" spans="2:4" x14ac:dyDescent="0.25">
      <c r="B968" s="41"/>
      <c r="C968" s="41"/>
      <c r="D968" s="41"/>
    </row>
    <row r="969" spans="2:4" x14ac:dyDescent="0.25">
      <c r="B969" s="41"/>
      <c r="C969" s="41"/>
      <c r="D969" s="41"/>
    </row>
    <row r="970" spans="2:4" x14ac:dyDescent="0.25">
      <c r="B970" s="41"/>
      <c r="C970" s="41"/>
      <c r="D970" s="41"/>
    </row>
    <row r="971" spans="2:4" x14ac:dyDescent="0.25">
      <c r="B971" s="41"/>
      <c r="C971" s="41"/>
      <c r="D971" s="41"/>
    </row>
    <row r="972" spans="2:4" x14ac:dyDescent="0.25">
      <c r="B972" s="41"/>
      <c r="C972" s="41"/>
      <c r="D972" s="41"/>
    </row>
    <row r="973" spans="2:4" x14ac:dyDescent="0.25">
      <c r="B973" s="41"/>
      <c r="C973" s="41"/>
      <c r="D973" s="41"/>
    </row>
    <row r="974" spans="2:4" x14ac:dyDescent="0.25">
      <c r="B974" s="41"/>
      <c r="C974" s="41"/>
      <c r="D974" s="41"/>
    </row>
    <row r="975" spans="2:4" x14ac:dyDescent="0.25">
      <c r="B975" s="41"/>
      <c r="C975" s="41"/>
      <c r="D975" s="41"/>
    </row>
    <row r="976" spans="2:4" x14ac:dyDescent="0.25">
      <c r="B976" s="41"/>
      <c r="C976" s="41"/>
      <c r="D976" s="41"/>
    </row>
    <row r="977" spans="2:4" x14ac:dyDescent="0.25">
      <c r="B977" s="41"/>
      <c r="C977" s="41"/>
      <c r="D977" s="41"/>
    </row>
    <row r="978" spans="2:4" x14ac:dyDescent="0.25">
      <c r="B978" s="41"/>
      <c r="C978" s="41"/>
      <c r="D978" s="41"/>
    </row>
    <row r="979" spans="2:4" x14ac:dyDescent="0.25">
      <c r="B979" s="41"/>
      <c r="C979" s="41"/>
      <c r="D979" s="41"/>
    </row>
    <row r="980" spans="2:4" x14ac:dyDescent="0.25">
      <c r="B980" s="41"/>
      <c r="C980" s="41"/>
      <c r="D980" s="41"/>
    </row>
    <row r="981" spans="2:4" x14ac:dyDescent="0.25">
      <c r="B981" s="41"/>
      <c r="C981" s="41"/>
      <c r="D981" s="41"/>
    </row>
    <row r="982" spans="2:4" x14ac:dyDescent="0.25">
      <c r="B982" s="41"/>
      <c r="C982" s="41"/>
      <c r="D982" s="41"/>
    </row>
    <row r="983" spans="2:4" x14ac:dyDescent="0.25">
      <c r="B983" s="41"/>
      <c r="C983" s="41"/>
      <c r="D983" s="41"/>
    </row>
    <row r="984" spans="2:4" x14ac:dyDescent="0.25">
      <c r="B984" s="41"/>
      <c r="C984" s="41"/>
      <c r="D984" s="41"/>
    </row>
    <row r="985" spans="2:4" x14ac:dyDescent="0.25">
      <c r="B985" s="41"/>
      <c r="C985" s="41"/>
      <c r="D985" s="41"/>
    </row>
    <row r="986" spans="2:4" x14ac:dyDescent="0.25">
      <c r="B986" s="41"/>
      <c r="C986" s="41"/>
      <c r="D986" s="41"/>
    </row>
    <row r="987" spans="2:4" x14ac:dyDescent="0.25">
      <c r="B987" s="41"/>
      <c r="C987" s="41"/>
      <c r="D987" s="41"/>
    </row>
    <row r="988" spans="2:4" x14ac:dyDescent="0.25">
      <c r="B988" s="41"/>
      <c r="C988" s="41"/>
      <c r="D988" s="41"/>
    </row>
    <row r="989" spans="2:4" x14ac:dyDescent="0.25">
      <c r="B989" s="41"/>
      <c r="C989" s="41"/>
      <c r="D989" s="41"/>
    </row>
    <row r="990" spans="2:4" x14ac:dyDescent="0.25">
      <c r="B990" s="41"/>
      <c r="C990" s="41"/>
      <c r="D990" s="41"/>
    </row>
    <row r="991" spans="2:4" x14ac:dyDescent="0.25">
      <c r="B991" s="41"/>
      <c r="C991" s="41"/>
      <c r="D991" s="41"/>
    </row>
    <row r="992" spans="2:4" x14ac:dyDescent="0.25">
      <c r="B992" s="41"/>
      <c r="C992" s="41"/>
      <c r="D992" s="41"/>
    </row>
    <row r="993" spans="2:4" x14ac:dyDescent="0.25">
      <c r="B993" s="41"/>
      <c r="C993" s="41"/>
      <c r="D993" s="41"/>
    </row>
    <row r="994" spans="2:4" x14ac:dyDescent="0.25">
      <c r="B994" s="41"/>
      <c r="C994" s="41"/>
      <c r="D994" s="41"/>
    </row>
    <row r="995" spans="2:4" x14ac:dyDescent="0.25">
      <c r="B995" s="41"/>
      <c r="C995" s="41"/>
      <c r="D995" s="41"/>
    </row>
    <row r="996" spans="2:4" x14ac:dyDescent="0.25">
      <c r="B996" s="41"/>
      <c r="C996" s="41"/>
      <c r="D996" s="41"/>
    </row>
    <row r="997" spans="2:4" x14ac:dyDescent="0.25">
      <c r="B997" s="41"/>
      <c r="C997" s="41"/>
      <c r="D997" s="41"/>
    </row>
    <row r="998" spans="2:4" x14ac:dyDescent="0.25">
      <c r="B998" s="41"/>
      <c r="C998" s="41"/>
      <c r="D998" s="41"/>
    </row>
    <row r="999" spans="2:4" x14ac:dyDescent="0.25">
      <c r="B999" s="41"/>
      <c r="C999" s="41"/>
      <c r="D999" s="41"/>
    </row>
    <row r="1000" spans="2:4" x14ac:dyDescent="0.25">
      <c r="B1000" s="41"/>
      <c r="C1000" s="41"/>
      <c r="D1000" s="41"/>
    </row>
    <row r="1001" spans="2:4" x14ac:dyDescent="0.25">
      <c r="B1001" s="41"/>
      <c r="C1001" s="41"/>
      <c r="D1001" s="41"/>
    </row>
    <row r="1002" spans="2:4" x14ac:dyDescent="0.25">
      <c r="B1002" s="41"/>
      <c r="C1002" s="41"/>
      <c r="D1002" s="41"/>
    </row>
    <row r="1003" spans="2:4" x14ac:dyDescent="0.25">
      <c r="B1003" s="41"/>
      <c r="C1003" s="41"/>
      <c r="D1003" s="41"/>
    </row>
    <row r="1004" spans="2:4" x14ac:dyDescent="0.25">
      <c r="B1004" s="41"/>
      <c r="C1004" s="41"/>
      <c r="D1004" s="41"/>
    </row>
    <row r="1005" spans="2:4" x14ac:dyDescent="0.25">
      <c r="B1005" s="31"/>
    </row>
    <row r="1006" spans="2:4" x14ac:dyDescent="0.25">
      <c r="B1006" s="31"/>
    </row>
    <row r="1007" spans="2:4" x14ac:dyDescent="0.25">
      <c r="B1007" s="31"/>
    </row>
    <row r="1008" spans="2:4" x14ac:dyDescent="0.25">
      <c r="B1008" s="31"/>
    </row>
    <row r="1009" spans="2:2" x14ac:dyDescent="0.25">
      <c r="B1009" s="31"/>
    </row>
    <row r="1010" spans="2:2" x14ac:dyDescent="0.25">
      <c r="B1010" s="31"/>
    </row>
    <row r="1011" spans="2:2" x14ac:dyDescent="0.25">
      <c r="B1011" s="31"/>
    </row>
    <row r="1012" spans="2:2" x14ac:dyDescent="0.25">
      <c r="B1012" s="31"/>
    </row>
    <row r="1013" spans="2:2" x14ac:dyDescent="0.25">
      <c r="B1013" s="31"/>
    </row>
    <row r="1014" spans="2:2" x14ac:dyDescent="0.25">
      <c r="B1014" s="31"/>
    </row>
    <row r="1015" spans="2:2" x14ac:dyDescent="0.25">
      <c r="B1015" s="31"/>
    </row>
    <row r="1016" spans="2:2" x14ac:dyDescent="0.25">
      <c r="B1016" s="31"/>
    </row>
    <row r="1017" spans="2:2" x14ac:dyDescent="0.25">
      <c r="B1017" s="31"/>
    </row>
    <row r="1018" spans="2:2" x14ac:dyDescent="0.25">
      <c r="B1018" s="31"/>
    </row>
    <row r="1019" spans="2:2" x14ac:dyDescent="0.25">
      <c r="B1019" s="31"/>
    </row>
    <row r="1020" spans="2:2" x14ac:dyDescent="0.25">
      <c r="B1020" s="31"/>
    </row>
    <row r="1021" spans="2:2" x14ac:dyDescent="0.25">
      <c r="B1021" s="31"/>
    </row>
    <row r="1022" spans="2:2" x14ac:dyDescent="0.25">
      <c r="B1022" s="31"/>
    </row>
    <row r="1023" spans="2:2" x14ac:dyDescent="0.25">
      <c r="B1023" s="31"/>
    </row>
    <row r="1024" spans="2:2" x14ac:dyDescent="0.25">
      <c r="B1024" s="31"/>
    </row>
    <row r="1025" spans="2:2" x14ac:dyDescent="0.25">
      <c r="B1025" s="31"/>
    </row>
    <row r="1026" spans="2:2" x14ac:dyDescent="0.25">
      <c r="B1026" s="31"/>
    </row>
    <row r="1027" spans="2:2" x14ac:dyDescent="0.25">
      <c r="B1027" s="31"/>
    </row>
    <row r="1028" spans="2:2" x14ac:dyDescent="0.25">
      <c r="B1028" s="31"/>
    </row>
    <row r="1029" spans="2:2" x14ac:dyDescent="0.25">
      <c r="B1029" s="31"/>
    </row>
    <row r="1030" spans="2:2" x14ac:dyDescent="0.25">
      <c r="B1030" s="31"/>
    </row>
    <row r="1031" spans="2:2" x14ac:dyDescent="0.25">
      <c r="B1031" s="31"/>
    </row>
    <row r="1032" spans="2:2" x14ac:dyDescent="0.25">
      <c r="B1032" s="31"/>
    </row>
    <row r="1033" spans="2:2" x14ac:dyDescent="0.25">
      <c r="B1033" s="31"/>
    </row>
    <row r="1034" spans="2:2" x14ac:dyDescent="0.25">
      <c r="B1034" s="31"/>
    </row>
    <row r="1035" spans="2:2" x14ac:dyDescent="0.25">
      <c r="B1035" s="31"/>
    </row>
    <row r="1036" spans="2:2" x14ac:dyDescent="0.25">
      <c r="B1036" s="31"/>
    </row>
    <row r="1037" spans="2:2" x14ac:dyDescent="0.25">
      <c r="B1037" s="31"/>
    </row>
    <row r="1038" spans="2:2" x14ac:dyDescent="0.25">
      <c r="B1038" s="31"/>
    </row>
    <row r="1039" spans="2:2" x14ac:dyDescent="0.25">
      <c r="B1039" s="31"/>
    </row>
    <row r="1040" spans="2:2" x14ac:dyDescent="0.25">
      <c r="B1040" s="31"/>
    </row>
    <row r="1041" spans="2:2" x14ac:dyDescent="0.25">
      <c r="B1041" s="31"/>
    </row>
    <row r="1042" spans="2:2" x14ac:dyDescent="0.25">
      <c r="B1042" s="31"/>
    </row>
    <row r="1043" spans="2:2" x14ac:dyDescent="0.25">
      <c r="B1043" s="31"/>
    </row>
    <row r="1044" spans="2:2" x14ac:dyDescent="0.25">
      <c r="B1044" s="31"/>
    </row>
    <row r="1045" spans="2:2" x14ac:dyDescent="0.25">
      <c r="B1045" s="31"/>
    </row>
    <row r="1046" spans="2:2" x14ac:dyDescent="0.25">
      <c r="B1046" s="31"/>
    </row>
    <row r="1047" spans="2:2" x14ac:dyDescent="0.25">
      <c r="B1047" s="31"/>
    </row>
    <row r="1048" spans="2:2" x14ac:dyDescent="0.25">
      <c r="B1048" s="31"/>
    </row>
    <row r="1049" spans="2:2" x14ac:dyDescent="0.25">
      <c r="B1049" s="31"/>
    </row>
    <row r="1050" spans="2:2" x14ac:dyDescent="0.25">
      <c r="B1050" s="31"/>
    </row>
    <row r="1051" spans="2:2" x14ac:dyDescent="0.25">
      <c r="B1051" s="31"/>
    </row>
    <row r="1052" spans="2:2" x14ac:dyDescent="0.25">
      <c r="B1052" s="31"/>
    </row>
    <row r="1053" spans="2:2" x14ac:dyDescent="0.25">
      <c r="B1053" s="31"/>
    </row>
    <row r="1054" spans="2:2" x14ac:dyDescent="0.25">
      <c r="B1054" s="31"/>
    </row>
    <row r="1055" spans="2:2" x14ac:dyDescent="0.25">
      <c r="B1055" s="31"/>
    </row>
    <row r="1056" spans="2:2" x14ac:dyDescent="0.25">
      <c r="B1056" s="31"/>
    </row>
    <row r="1057" spans="2:2" x14ac:dyDescent="0.25">
      <c r="B1057" s="31"/>
    </row>
    <row r="1058" spans="2:2" x14ac:dyDescent="0.25">
      <c r="B1058" s="31"/>
    </row>
    <row r="1059" spans="2:2" x14ac:dyDescent="0.25">
      <c r="B1059" s="31"/>
    </row>
    <row r="1060" spans="2:2" x14ac:dyDescent="0.25">
      <c r="B1060" s="31"/>
    </row>
    <row r="1061" spans="2:2" x14ac:dyDescent="0.25">
      <c r="B1061" s="31"/>
    </row>
    <row r="1062" spans="2:2" x14ac:dyDescent="0.25">
      <c r="B1062" s="31"/>
    </row>
    <row r="1063" spans="2:2" x14ac:dyDescent="0.25">
      <c r="B1063" s="31"/>
    </row>
    <row r="1064" spans="2:2" x14ac:dyDescent="0.25">
      <c r="B1064" s="31"/>
    </row>
    <row r="1065" spans="2:2" x14ac:dyDescent="0.25">
      <c r="B1065" s="31"/>
    </row>
    <row r="1066" spans="2:2" x14ac:dyDescent="0.25">
      <c r="B1066" s="31"/>
    </row>
    <row r="1067" spans="2:2" x14ac:dyDescent="0.25">
      <c r="B1067" s="31"/>
    </row>
    <row r="1068" spans="2:2" x14ac:dyDescent="0.25">
      <c r="B1068" s="31"/>
    </row>
    <row r="1069" spans="2:2" x14ac:dyDescent="0.25">
      <c r="B1069" s="31"/>
    </row>
    <row r="1070" spans="2:2" x14ac:dyDescent="0.25">
      <c r="B1070" s="31"/>
    </row>
    <row r="1071" spans="2:2" x14ac:dyDescent="0.25">
      <c r="B1071" s="31"/>
    </row>
    <row r="1072" spans="2:2" x14ac:dyDescent="0.25">
      <c r="B1072" s="31"/>
    </row>
    <row r="1073" spans="2:2" x14ac:dyDescent="0.25">
      <c r="B1073" s="31"/>
    </row>
    <row r="1074" spans="2:2" x14ac:dyDescent="0.25">
      <c r="B1074" s="31"/>
    </row>
    <row r="1075" spans="2:2" x14ac:dyDescent="0.25">
      <c r="B1075" s="31"/>
    </row>
    <row r="1076" spans="2:2" x14ac:dyDescent="0.25">
      <c r="B1076" s="31"/>
    </row>
    <row r="1077" spans="2:2" x14ac:dyDescent="0.25">
      <c r="B1077" s="31"/>
    </row>
    <row r="1078" spans="2:2" x14ac:dyDescent="0.25">
      <c r="B1078" s="31"/>
    </row>
    <row r="1079" spans="2:2" x14ac:dyDescent="0.25">
      <c r="B1079" s="31"/>
    </row>
    <row r="1080" spans="2:2" x14ac:dyDescent="0.25">
      <c r="B1080" s="31"/>
    </row>
    <row r="1081" spans="2:2" x14ac:dyDescent="0.25">
      <c r="B1081" s="31"/>
    </row>
    <row r="1082" spans="2:2" x14ac:dyDescent="0.25">
      <c r="B1082" s="31"/>
    </row>
    <row r="1083" spans="2:2" x14ac:dyDescent="0.25">
      <c r="B1083" s="31"/>
    </row>
    <row r="1084" spans="2:2" x14ac:dyDescent="0.25">
      <c r="B1084" s="31"/>
    </row>
    <row r="1085" spans="2:2" x14ac:dyDescent="0.25">
      <c r="B1085" s="31"/>
    </row>
    <row r="1086" spans="2:2" x14ac:dyDescent="0.25">
      <c r="B1086" s="31"/>
    </row>
    <row r="1087" spans="2:2" x14ac:dyDescent="0.25">
      <c r="B1087" s="31"/>
    </row>
    <row r="1088" spans="2:2" x14ac:dyDescent="0.25">
      <c r="B1088" s="31"/>
    </row>
    <row r="1089" spans="2:2" x14ac:dyDescent="0.25">
      <c r="B1089" s="31"/>
    </row>
    <row r="1090" spans="2:2" x14ac:dyDescent="0.25">
      <c r="B1090" s="31"/>
    </row>
    <row r="1091" spans="2:2" x14ac:dyDescent="0.25">
      <c r="B1091" s="31"/>
    </row>
    <row r="1092" spans="2:2" x14ac:dyDescent="0.25">
      <c r="B1092" s="31"/>
    </row>
    <row r="1093" spans="2:2" x14ac:dyDescent="0.25">
      <c r="B1093" s="31"/>
    </row>
    <row r="1094" spans="2:2" x14ac:dyDescent="0.25">
      <c r="B1094" s="31"/>
    </row>
    <row r="1095" spans="2:2" x14ac:dyDescent="0.25">
      <c r="B1095" s="31"/>
    </row>
    <row r="1096" spans="2:2" x14ac:dyDescent="0.25">
      <c r="B1096" s="31"/>
    </row>
    <row r="1097" spans="2:2" x14ac:dyDescent="0.25">
      <c r="B1097" s="31"/>
    </row>
    <row r="1098" spans="2:2" x14ac:dyDescent="0.25">
      <c r="B1098" s="31"/>
    </row>
    <row r="1099" spans="2:2" x14ac:dyDescent="0.25">
      <c r="B1099" s="31"/>
    </row>
    <row r="1100" spans="2:2" x14ac:dyDescent="0.25">
      <c r="B1100" s="31"/>
    </row>
    <row r="1101" spans="2:2" x14ac:dyDescent="0.25">
      <c r="B1101" s="31"/>
    </row>
    <row r="1102" spans="2:2" x14ac:dyDescent="0.25">
      <c r="B1102" s="31"/>
    </row>
    <row r="1103" spans="2:2" x14ac:dyDescent="0.25">
      <c r="B1103" s="31"/>
    </row>
    <row r="1104" spans="2:2" x14ac:dyDescent="0.25">
      <c r="B1104" s="31"/>
    </row>
    <row r="1105" spans="2:2" x14ac:dyDescent="0.25">
      <c r="B1105" s="31"/>
    </row>
    <row r="1106" spans="2:2" x14ac:dyDescent="0.25">
      <c r="B1106" s="31"/>
    </row>
    <row r="1107" spans="2:2" x14ac:dyDescent="0.25">
      <c r="B1107" s="31"/>
    </row>
    <row r="1108" spans="2:2" x14ac:dyDescent="0.25">
      <c r="B1108" s="31"/>
    </row>
    <row r="1109" spans="2:2" x14ac:dyDescent="0.25">
      <c r="B1109" s="31"/>
    </row>
    <row r="1110" spans="2:2" x14ac:dyDescent="0.25">
      <c r="B1110" s="31"/>
    </row>
    <row r="1111" spans="2:2" x14ac:dyDescent="0.25">
      <c r="B1111" s="31"/>
    </row>
    <row r="1112" spans="2:2" x14ac:dyDescent="0.25">
      <c r="B1112" s="31"/>
    </row>
    <row r="1113" spans="2:2" x14ac:dyDescent="0.25">
      <c r="B1113" s="31"/>
    </row>
    <row r="1114" spans="2:2" x14ac:dyDescent="0.25">
      <c r="B1114" s="31"/>
    </row>
    <row r="1115" spans="2:2" x14ac:dyDescent="0.25">
      <c r="B1115" s="31"/>
    </row>
    <row r="1116" spans="2:2" x14ac:dyDescent="0.25">
      <c r="B1116" s="31"/>
    </row>
    <row r="1117" spans="2:2" x14ac:dyDescent="0.25">
      <c r="B1117" s="31"/>
    </row>
    <row r="1118" spans="2:2" x14ac:dyDescent="0.25">
      <c r="B1118" s="31"/>
    </row>
    <row r="1119" spans="2:2" x14ac:dyDescent="0.25">
      <c r="B1119" s="31"/>
    </row>
    <row r="1120" spans="2:2" x14ac:dyDescent="0.25">
      <c r="B1120" s="31"/>
    </row>
    <row r="1121" spans="2:2" x14ac:dyDescent="0.25">
      <c r="B1121" s="31"/>
    </row>
    <row r="1122" spans="2:2" x14ac:dyDescent="0.25">
      <c r="B1122" s="31"/>
    </row>
    <row r="1123" spans="2:2" x14ac:dyDescent="0.25">
      <c r="B1123" s="31"/>
    </row>
    <row r="1124" spans="2:2" x14ac:dyDescent="0.25">
      <c r="B1124" s="31"/>
    </row>
    <row r="1125" spans="2:2" x14ac:dyDescent="0.25">
      <c r="B1125" s="31"/>
    </row>
    <row r="1126" spans="2:2" x14ac:dyDescent="0.25">
      <c r="B1126" s="31"/>
    </row>
    <row r="1127" spans="2:2" x14ac:dyDescent="0.25">
      <c r="B1127" s="31"/>
    </row>
    <row r="1128" spans="2:2" x14ac:dyDescent="0.25">
      <c r="B1128" s="31"/>
    </row>
    <row r="1129" spans="2:2" x14ac:dyDescent="0.25">
      <c r="B1129" s="31"/>
    </row>
    <row r="1130" spans="2:2" x14ac:dyDescent="0.25">
      <c r="B1130" s="31"/>
    </row>
    <row r="1131" spans="2:2" x14ac:dyDescent="0.25">
      <c r="B1131" s="31"/>
    </row>
    <row r="1132" spans="2:2" x14ac:dyDescent="0.25">
      <c r="B1132" s="31"/>
    </row>
    <row r="1133" spans="2:2" x14ac:dyDescent="0.25">
      <c r="B1133" s="31"/>
    </row>
    <row r="1134" spans="2:2" x14ac:dyDescent="0.25">
      <c r="B1134" s="31"/>
    </row>
    <row r="1135" spans="2:2" x14ac:dyDescent="0.25">
      <c r="B1135" s="31"/>
    </row>
    <row r="1136" spans="2:2" x14ac:dyDescent="0.25">
      <c r="B1136" s="31"/>
    </row>
    <row r="1137" spans="2:2" x14ac:dyDescent="0.25">
      <c r="B1137" s="31"/>
    </row>
    <row r="1138" spans="2:2" x14ac:dyDescent="0.25">
      <c r="B1138" s="31"/>
    </row>
    <row r="1139" spans="2:2" x14ac:dyDescent="0.25">
      <c r="B1139" s="31"/>
    </row>
    <row r="1140" spans="2:2" x14ac:dyDescent="0.25">
      <c r="B1140" s="31"/>
    </row>
    <row r="1141" spans="2:2" x14ac:dyDescent="0.25">
      <c r="B1141" s="31"/>
    </row>
    <row r="1142" spans="2:2" x14ac:dyDescent="0.25">
      <c r="B1142" s="31"/>
    </row>
    <row r="1143" spans="2:2" x14ac:dyDescent="0.25">
      <c r="B1143" s="31"/>
    </row>
    <row r="1144" spans="2:2" x14ac:dyDescent="0.25">
      <c r="B1144" s="31"/>
    </row>
    <row r="1145" spans="2:2" x14ac:dyDescent="0.25">
      <c r="B1145" s="31"/>
    </row>
    <row r="1146" spans="2:2" x14ac:dyDescent="0.25">
      <c r="B1146" s="31"/>
    </row>
    <row r="1147" spans="2:2" x14ac:dyDescent="0.25">
      <c r="B1147" s="31"/>
    </row>
    <row r="1148" spans="2:2" x14ac:dyDescent="0.25">
      <c r="B1148" s="31"/>
    </row>
    <row r="1149" spans="2:2" x14ac:dyDescent="0.25">
      <c r="B1149" s="31"/>
    </row>
    <row r="1150" spans="2:2" x14ac:dyDescent="0.25">
      <c r="B1150" s="31"/>
    </row>
    <row r="1151" spans="2:2" x14ac:dyDescent="0.25">
      <c r="B1151" s="31"/>
    </row>
    <row r="1152" spans="2:2" x14ac:dyDescent="0.25">
      <c r="B1152" s="31"/>
    </row>
    <row r="1153" spans="2:2" x14ac:dyDescent="0.25">
      <c r="B1153" s="31"/>
    </row>
    <row r="1154" spans="2:2" x14ac:dyDescent="0.25">
      <c r="B1154" s="31"/>
    </row>
    <row r="1155" spans="2:2" x14ac:dyDescent="0.25">
      <c r="B1155" s="31"/>
    </row>
    <row r="1156" spans="2:2" x14ac:dyDescent="0.25">
      <c r="B1156" s="31"/>
    </row>
    <row r="1157" spans="2:2" x14ac:dyDescent="0.25">
      <c r="B1157" s="31"/>
    </row>
    <row r="1158" spans="2:2" x14ac:dyDescent="0.25">
      <c r="B1158" s="31"/>
    </row>
    <row r="1159" spans="2:2" x14ac:dyDescent="0.25">
      <c r="B1159" s="31"/>
    </row>
    <row r="1160" spans="2:2" x14ac:dyDescent="0.25">
      <c r="B1160" s="31"/>
    </row>
    <row r="1161" spans="2:2" x14ac:dyDescent="0.25">
      <c r="B1161" s="31"/>
    </row>
    <row r="1162" spans="2:2" x14ac:dyDescent="0.25">
      <c r="B1162" s="31"/>
    </row>
    <row r="1163" spans="2:2" x14ac:dyDescent="0.25">
      <c r="B1163" s="31"/>
    </row>
    <row r="1164" spans="2:2" x14ac:dyDescent="0.25">
      <c r="B1164" s="31"/>
    </row>
    <row r="1165" spans="2:2" x14ac:dyDescent="0.25">
      <c r="B1165" s="31"/>
    </row>
    <row r="1166" spans="2:2" x14ac:dyDescent="0.25">
      <c r="B1166" s="31"/>
    </row>
    <row r="1167" spans="2:2" x14ac:dyDescent="0.25">
      <c r="B1167" s="31"/>
    </row>
    <row r="1168" spans="2:2" x14ac:dyDescent="0.25">
      <c r="B1168" s="31"/>
    </row>
    <row r="1169" spans="2:2" x14ac:dyDescent="0.25">
      <c r="B1169" s="31"/>
    </row>
    <row r="1170" spans="2:2" x14ac:dyDescent="0.25">
      <c r="B1170" s="31"/>
    </row>
    <row r="1171" spans="2:2" x14ac:dyDescent="0.25">
      <c r="B1171" s="31"/>
    </row>
    <row r="1172" spans="2:2" x14ac:dyDescent="0.25">
      <c r="B1172" s="31"/>
    </row>
    <row r="1173" spans="2:2" x14ac:dyDescent="0.25">
      <c r="B1173" s="31"/>
    </row>
    <row r="1174" spans="2:2" x14ac:dyDescent="0.25">
      <c r="B1174" s="31"/>
    </row>
    <row r="1175" spans="2:2" x14ac:dyDescent="0.25">
      <c r="B1175" s="31"/>
    </row>
    <row r="1176" spans="2:2" x14ac:dyDescent="0.25">
      <c r="B1176" s="31"/>
    </row>
    <row r="1177" spans="2:2" x14ac:dyDescent="0.25">
      <c r="B1177" s="31"/>
    </row>
    <row r="1178" spans="2:2" x14ac:dyDescent="0.25">
      <c r="B1178" s="31"/>
    </row>
    <row r="1179" spans="2:2" x14ac:dyDescent="0.25">
      <c r="B1179" s="31"/>
    </row>
    <row r="1180" spans="2:2" x14ac:dyDescent="0.25">
      <c r="B1180" s="31"/>
    </row>
    <row r="1181" spans="2:2" x14ac:dyDescent="0.25">
      <c r="B1181" s="31"/>
    </row>
    <row r="1182" spans="2:2" x14ac:dyDescent="0.25">
      <c r="B1182" s="31"/>
    </row>
    <row r="1183" spans="2:2" x14ac:dyDescent="0.25">
      <c r="B1183" s="31"/>
    </row>
    <row r="1184" spans="2:2" x14ac:dyDescent="0.25">
      <c r="B1184" s="31"/>
    </row>
    <row r="1185" spans="2:2" x14ac:dyDescent="0.25">
      <c r="B1185" s="31"/>
    </row>
    <row r="1186" spans="2:2" x14ac:dyDescent="0.25">
      <c r="B1186" s="31"/>
    </row>
    <row r="1187" spans="2:2" x14ac:dyDescent="0.25">
      <c r="B1187" s="31"/>
    </row>
    <row r="1188" spans="2:2" x14ac:dyDescent="0.25">
      <c r="B1188" s="31"/>
    </row>
    <row r="1189" spans="2:2" x14ac:dyDescent="0.25">
      <c r="B1189" s="31"/>
    </row>
    <row r="1190" spans="2:2" x14ac:dyDescent="0.25">
      <c r="B1190" s="31"/>
    </row>
    <row r="1191" spans="2:2" x14ac:dyDescent="0.25">
      <c r="B1191" s="31"/>
    </row>
    <row r="1192" spans="2:2" x14ac:dyDescent="0.25">
      <c r="B1192" s="31"/>
    </row>
    <row r="1193" spans="2:2" x14ac:dyDescent="0.25">
      <c r="B1193" s="31"/>
    </row>
    <row r="1194" spans="2:2" x14ac:dyDescent="0.25">
      <c r="B1194" s="31"/>
    </row>
    <row r="1195" spans="2:2" x14ac:dyDescent="0.25">
      <c r="B1195" s="31"/>
    </row>
    <row r="1196" spans="2:2" x14ac:dyDescent="0.25">
      <c r="B1196" s="31"/>
    </row>
    <row r="1197" spans="2:2" x14ac:dyDescent="0.25">
      <c r="B1197" s="31"/>
    </row>
    <row r="1198" spans="2:2" x14ac:dyDescent="0.25">
      <c r="B1198" s="31"/>
    </row>
    <row r="1199" spans="2:2" x14ac:dyDescent="0.25">
      <c r="B1199" s="31"/>
    </row>
    <row r="1200" spans="2:2" x14ac:dyDescent="0.25">
      <c r="B1200" s="31"/>
    </row>
    <row r="1201" spans="2:2" x14ac:dyDescent="0.25">
      <c r="B1201" s="31"/>
    </row>
    <row r="1202" spans="2:2" x14ac:dyDescent="0.25">
      <c r="B1202" s="31"/>
    </row>
    <row r="1203" spans="2:2" x14ac:dyDescent="0.25">
      <c r="B1203" s="31"/>
    </row>
    <row r="1204" spans="2:2" x14ac:dyDescent="0.25">
      <c r="B1204" s="31"/>
    </row>
    <row r="1205" spans="2:2" x14ac:dyDescent="0.25">
      <c r="B1205" s="31"/>
    </row>
    <row r="1206" spans="2:2" x14ac:dyDescent="0.25">
      <c r="B1206" s="31"/>
    </row>
    <row r="1207" spans="2:2" x14ac:dyDescent="0.25">
      <c r="B1207" s="31"/>
    </row>
    <row r="1208" spans="2:2" x14ac:dyDescent="0.25">
      <c r="B1208" s="31"/>
    </row>
    <row r="1209" spans="2:2" x14ac:dyDescent="0.25">
      <c r="B1209" s="31"/>
    </row>
    <row r="1210" spans="2:2" x14ac:dyDescent="0.25">
      <c r="B1210" s="31"/>
    </row>
    <row r="1211" spans="2:2" x14ac:dyDescent="0.25">
      <c r="B1211" s="31"/>
    </row>
    <row r="1212" spans="2:2" x14ac:dyDescent="0.25">
      <c r="B1212" s="31"/>
    </row>
    <row r="1213" spans="2:2" x14ac:dyDescent="0.25">
      <c r="B1213" s="31"/>
    </row>
    <row r="1214" spans="2:2" x14ac:dyDescent="0.25">
      <c r="B1214" s="31"/>
    </row>
    <row r="1215" spans="2:2" x14ac:dyDescent="0.25">
      <c r="B1215" s="31"/>
    </row>
    <row r="1216" spans="2:2" x14ac:dyDescent="0.25">
      <c r="B1216" s="31"/>
    </row>
    <row r="1217" spans="2:2" x14ac:dyDescent="0.25">
      <c r="B1217" s="31"/>
    </row>
    <row r="1218" spans="2:2" x14ac:dyDescent="0.25">
      <c r="B1218" s="31"/>
    </row>
    <row r="1219" spans="2:2" x14ac:dyDescent="0.25">
      <c r="B1219" s="31"/>
    </row>
    <row r="1220" spans="2:2" x14ac:dyDescent="0.25">
      <c r="B1220" s="31"/>
    </row>
    <row r="1221" spans="2:2" x14ac:dyDescent="0.25">
      <c r="B1221" s="31"/>
    </row>
    <row r="1222" spans="2:2" x14ac:dyDescent="0.25">
      <c r="B1222" s="31"/>
    </row>
    <row r="1223" spans="2:2" x14ac:dyDescent="0.25">
      <c r="B1223" s="31"/>
    </row>
    <row r="1224" spans="2:2" x14ac:dyDescent="0.25">
      <c r="B1224" s="31"/>
    </row>
    <row r="1225" spans="2:2" x14ac:dyDescent="0.25">
      <c r="B1225" s="31"/>
    </row>
    <row r="1226" spans="2:2" x14ac:dyDescent="0.25">
      <c r="B1226" s="31"/>
    </row>
    <row r="1227" spans="2:2" x14ac:dyDescent="0.25">
      <c r="B1227" s="31"/>
    </row>
    <row r="1228" spans="2:2" x14ac:dyDescent="0.25">
      <c r="B1228" s="31"/>
    </row>
    <row r="1229" spans="2:2" x14ac:dyDescent="0.25">
      <c r="B1229" s="31"/>
    </row>
    <row r="1230" spans="2:2" x14ac:dyDescent="0.25">
      <c r="B1230" s="31"/>
    </row>
    <row r="1231" spans="2:2" x14ac:dyDescent="0.25">
      <c r="B1231" s="31"/>
    </row>
    <row r="1232" spans="2:2" x14ac:dyDescent="0.25">
      <c r="B1232" s="31"/>
    </row>
    <row r="1233" spans="2:2" x14ac:dyDescent="0.25">
      <c r="B1233" s="31"/>
    </row>
    <row r="1234" spans="2:2" x14ac:dyDescent="0.25">
      <c r="B1234" s="31"/>
    </row>
    <row r="1235" spans="2:2" x14ac:dyDescent="0.25">
      <c r="B1235" s="31"/>
    </row>
    <row r="1236" spans="2:2" x14ac:dyDescent="0.25">
      <c r="B1236" s="31"/>
    </row>
    <row r="1237" spans="2:2" x14ac:dyDescent="0.25">
      <c r="B1237" s="31"/>
    </row>
    <row r="1238" spans="2:2" x14ac:dyDescent="0.25">
      <c r="B1238" s="31"/>
    </row>
    <row r="1239" spans="2:2" x14ac:dyDescent="0.25">
      <c r="B1239" s="31"/>
    </row>
    <row r="1240" spans="2:2" x14ac:dyDescent="0.25">
      <c r="B1240" s="31"/>
    </row>
    <row r="1241" spans="2:2" x14ac:dyDescent="0.25">
      <c r="B1241" s="31"/>
    </row>
    <row r="1242" spans="2:2" x14ac:dyDescent="0.25">
      <c r="B1242" s="31"/>
    </row>
    <row r="1243" spans="2:2" x14ac:dyDescent="0.25">
      <c r="B1243" s="31"/>
    </row>
    <row r="1244" spans="2:2" x14ac:dyDescent="0.25">
      <c r="B1244" s="31"/>
    </row>
    <row r="1245" spans="2:2" x14ac:dyDescent="0.25">
      <c r="B1245" s="31"/>
    </row>
    <row r="1246" spans="2:2" x14ac:dyDescent="0.25">
      <c r="B1246" s="31"/>
    </row>
    <row r="1247" spans="2:2" x14ac:dyDescent="0.25">
      <c r="B1247" s="31"/>
    </row>
    <row r="1248" spans="2:2" x14ac:dyDescent="0.25">
      <c r="B1248" s="31"/>
    </row>
    <row r="1249" spans="2:2" x14ac:dyDescent="0.25">
      <c r="B1249" s="31"/>
    </row>
    <row r="1250" spans="2:2" x14ac:dyDescent="0.25">
      <c r="B1250" s="31"/>
    </row>
    <row r="1251" spans="2:2" x14ac:dyDescent="0.25">
      <c r="B1251" s="31"/>
    </row>
    <row r="1252" spans="2:2" x14ac:dyDescent="0.25">
      <c r="B1252" s="31"/>
    </row>
    <row r="1253" spans="2:2" x14ac:dyDescent="0.25">
      <c r="B1253" s="31"/>
    </row>
    <row r="1254" spans="2:2" x14ac:dyDescent="0.25">
      <c r="B1254" s="31"/>
    </row>
    <row r="1255" spans="2:2" x14ac:dyDescent="0.25">
      <c r="B1255" s="31"/>
    </row>
    <row r="1256" spans="2:2" x14ac:dyDescent="0.25">
      <c r="B1256" s="31"/>
    </row>
    <row r="1257" spans="2:2" x14ac:dyDescent="0.25">
      <c r="B1257" s="31"/>
    </row>
    <row r="1258" spans="2:2" x14ac:dyDescent="0.25">
      <c r="B1258" s="31"/>
    </row>
    <row r="1259" spans="2:2" x14ac:dyDescent="0.25">
      <c r="B1259" s="31"/>
    </row>
    <row r="1260" spans="2:2" x14ac:dyDescent="0.25">
      <c r="B1260" s="31"/>
    </row>
    <row r="1261" spans="2:2" x14ac:dyDescent="0.25">
      <c r="B1261" s="31"/>
    </row>
    <row r="1262" spans="2:2" x14ac:dyDescent="0.25">
      <c r="B1262" s="31"/>
    </row>
    <row r="1263" spans="2:2" x14ac:dyDescent="0.25">
      <c r="B1263" s="31"/>
    </row>
    <row r="1264" spans="2:2" x14ac:dyDescent="0.25">
      <c r="B1264" s="31"/>
    </row>
    <row r="1265" spans="2:2" x14ac:dyDescent="0.25">
      <c r="B1265" s="31"/>
    </row>
    <row r="1266" spans="2:2" x14ac:dyDescent="0.25">
      <c r="B1266" s="31"/>
    </row>
    <row r="1267" spans="2:2" x14ac:dyDescent="0.25">
      <c r="B1267" s="31"/>
    </row>
    <row r="1268" spans="2:2" x14ac:dyDescent="0.25">
      <c r="B1268" s="31"/>
    </row>
    <row r="1269" spans="2:2" x14ac:dyDescent="0.25">
      <c r="B1269" s="31"/>
    </row>
    <row r="1270" spans="2:2" x14ac:dyDescent="0.25">
      <c r="B1270" s="31"/>
    </row>
    <row r="1271" spans="2:2" x14ac:dyDescent="0.25">
      <c r="B1271" s="31"/>
    </row>
    <row r="1272" spans="2:2" x14ac:dyDescent="0.25">
      <c r="B1272" s="31"/>
    </row>
    <row r="1273" spans="2:2" x14ac:dyDescent="0.25">
      <c r="B1273" s="31"/>
    </row>
    <row r="1274" spans="2:2" x14ac:dyDescent="0.25">
      <c r="B1274" s="31"/>
    </row>
    <row r="1275" spans="2:2" x14ac:dyDescent="0.25">
      <c r="B1275" s="31"/>
    </row>
    <row r="1276" spans="2:2" x14ac:dyDescent="0.25">
      <c r="B1276" s="31"/>
    </row>
    <row r="1277" spans="2:2" x14ac:dyDescent="0.25">
      <c r="B1277" s="31"/>
    </row>
    <row r="1278" spans="2:2" x14ac:dyDescent="0.25">
      <c r="B1278" s="31"/>
    </row>
    <row r="1279" spans="2:2" x14ac:dyDescent="0.25">
      <c r="B1279" s="31"/>
    </row>
    <row r="1280" spans="2:2" x14ac:dyDescent="0.25">
      <c r="B1280" s="31"/>
    </row>
    <row r="1281" spans="2:2" x14ac:dyDescent="0.25">
      <c r="B1281" s="31"/>
    </row>
    <row r="1282" spans="2:2" x14ac:dyDescent="0.25">
      <c r="B1282" s="31"/>
    </row>
    <row r="1283" spans="2:2" x14ac:dyDescent="0.25">
      <c r="B1283" s="31"/>
    </row>
    <row r="1284" spans="2:2" x14ac:dyDescent="0.25">
      <c r="B1284" s="31"/>
    </row>
    <row r="1285" spans="2:2" x14ac:dyDescent="0.25">
      <c r="B1285" s="31"/>
    </row>
    <row r="1286" spans="2:2" x14ac:dyDescent="0.25">
      <c r="B1286" s="31"/>
    </row>
    <row r="1287" spans="2:2" x14ac:dyDescent="0.25">
      <c r="B1287" s="31"/>
    </row>
    <row r="1288" spans="2:2" x14ac:dyDescent="0.25">
      <c r="B1288" s="31"/>
    </row>
    <row r="1289" spans="2:2" x14ac:dyDescent="0.25">
      <c r="B1289" s="31"/>
    </row>
    <row r="1290" spans="2:2" x14ac:dyDescent="0.25">
      <c r="B1290" s="31"/>
    </row>
    <row r="1291" spans="2:2" x14ac:dyDescent="0.25">
      <c r="B1291" s="31"/>
    </row>
    <row r="1292" spans="2:2" x14ac:dyDescent="0.25">
      <c r="B1292" s="31"/>
    </row>
    <row r="1293" spans="2:2" x14ac:dyDescent="0.25">
      <c r="B1293" s="31"/>
    </row>
    <row r="1294" spans="2:2" x14ac:dyDescent="0.25">
      <c r="B1294" s="31"/>
    </row>
    <row r="1295" spans="2:2" x14ac:dyDescent="0.25">
      <c r="B1295" s="31"/>
    </row>
    <row r="1296" spans="2:2" x14ac:dyDescent="0.25">
      <c r="B1296" s="31"/>
    </row>
    <row r="1297" spans="2:2" x14ac:dyDescent="0.25">
      <c r="B1297" s="31"/>
    </row>
    <row r="1298" spans="2:2" x14ac:dyDescent="0.25">
      <c r="B1298" s="31"/>
    </row>
    <row r="1299" spans="2:2" x14ac:dyDescent="0.25">
      <c r="B1299" s="31"/>
    </row>
    <row r="1300" spans="2:2" x14ac:dyDescent="0.25">
      <c r="B1300" s="31"/>
    </row>
    <row r="1301" spans="2:2" x14ac:dyDescent="0.25">
      <c r="B1301" s="31"/>
    </row>
    <row r="1302" spans="2:2" x14ac:dyDescent="0.25">
      <c r="B1302" s="31"/>
    </row>
    <row r="1303" spans="2:2" x14ac:dyDescent="0.25">
      <c r="B1303" s="31"/>
    </row>
    <row r="1304" spans="2:2" x14ac:dyDescent="0.25">
      <c r="B1304" s="31"/>
    </row>
    <row r="1305" spans="2:2" x14ac:dyDescent="0.25">
      <c r="B1305" s="31"/>
    </row>
    <row r="1306" spans="2:2" x14ac:dyDescent="0.25">
      <c r="B1306" s="31"/>
    </row>
    <row r="1307" spans="2:2" x14ac:dyDescent="0.25">
      <c r="B1307" s="31"/>
    </row>
    <row r="1308" spans="2:2" x14ac:dyDescent="0.25">
      <c r="B1308" s="31"/>
    </row>
    <row r="1309" spans="2:2" x14ac:dyDescent="0.25">
      <c r="B1309" s="31"/>
    </row>
    <row r="1310" spans="2:2" x14ac:dyDescent="0.25">
      <c r="B1310" s="31"/>
    </row>
    <row r="1311" spans="2:2" x14ac:dyDescent="0.25">
      <c r="B1311" s="31"/>
    </row>
    <row r="1312" spans="2:2" x14ac:dyDescent="0.25">
      <c r="B1312" s="31"/>
    </row>
    <row r="1313" spans="2:2" x14ac:dyDescent="0.25">
      <c r="B1313" s="31"/>
    </row>
    <row r="1314" spans="2:2" x14ac:dyDescent="0.25">
      <c r="B1314" s="31"/>
    </row>
    <row r="1315" spans="2:2" x14ac:dyDescent="0.25">
      <c r="B1315" s="31"/>
    </row>
    <row r="1316" spans="2:2" x14ac:dyDescent="0.25">
      <c r="B1316" s="31"/>
    </row>
    <row r="1317" spans="2:2" x14ac:dyDescent="0.25">
      <c r="B1317" s="31"/>
    </row>
    <row r="1318" spans="2:2" x14ac:dyDescent="0.25">
      <c r="B1318" s="31"/>
    </row>
    <row r="1319" spans="2:2" x14ac:dyDescent="0.25">
      <c r="B1319" s="31"/>
    </row>
    <row r="1320" spans="2:2" x14ac:dyDescent="0.25">
      <c r="B1320" s="31"/>
    </row>
    <row r="1321" spans="2:2" x14ac:dyDescent="0.25">
      <c r="B1321" s="31"/>
    </row>
    <row r="1322" spans="2:2" x14ac:dyDescent="0.25">
      <c r="B1322" s="31"/>
    </row>
    <row r="1323" spans="2:2" x14ac:dyDescent="0.25">
      <c r="B1323" s="31"/>
    </row>
    <row r="1324" spans="2:2" x14ac:dyDescent="0.25">
      <c r="B1324" s="31"/>
    </row>
    <row r="1325" spans="2:2" x14ac:dyDescent="0.25">
      <c r="B1325" s="31"/>
    </row>
    <row r="1326" spans="2:2" x14ac:dyDescent="0.25">
      <c r="B1326" s="31"/>
    </row>
    <row r="1327" spans="2:2" x14ac:dyDescent="0.25">
      <c r="B1327" s="31"/>
    </row>
    <row r="1328" spans="2:2" x14ac:dyDescent="0.25">
      <c r="B1328" s="31"/>
    </row>
    <row r="1329" spans="2:2" x14ac:dyDescent="0.25">
      <c r="B1329" s="31"/>
    </row>
    <row r="1330" spans="2:2" x14ac:dyDescent="0.25">
      <c r="B1330" s="31"/>
    </row>
    <row r="1331" spans="2:2" x14ac:dyDescent="0.25">
      <c r="B1331" s="31"/>
    </row>
    <row r="1332" spans="2:2" x14ac:dyDescent="0.25">
      <c r="B1332" s="31"/>
    </row>
    <row r="1333" spans="2:2" x14ac:dyDescent="0.25">
      <c r="B1333" s="31"/>
    </row>
    <row r="1334" spans="2:2" x14ac:dyDescent="0.25">
      <c r="B1334" s="31"/>
    </row>
    <row r="1335" spans="2:2" x14ac:dyDescent="0.25">
      <c r="B1335" s="31"/>
    </row>
    <row r="1336" spans="2:2" x14ac:dyDescent="0.25">
      <c r="B1336" s="31"/>
    </row>
    <row r="1337" spans="2:2" x14ac:dyDescent="0.25">
      <c r="B1337" s="31"/>
    </row>
    <row r="1338" spans="2:2" x14ac:dyDescent="0.25">
      <c r="B1338" s="31"/>
    </row>
    <row r="1339" spans="2:2" x14ac:dyDescent="0.25">
      <c r="B1339" s="31"/>
    </row>
    <row r="1340" spans="2:2" x14ac:dyDescent="0.25">
      <c r="B1340" s="31"/>
    </row>
    <row r="1341" spans="2:2" x14ac:dyDescent="0.25">
      <c r="B1341" s="31"/>
    </row>
    <row r="1342" spans="2:2" x14ac:dyDescent="0.25">
      <c r="B1342" s="31"/>
    </row>
    <row r="1343" spans="2:2" x14ac:dyDescent="0.25">
      <c r="B1343" s="31"/>
    </row>
    <row r="1344" spans="2:2" x14ac:dyDescent="0.25">
      <c r="B1344" s="31"/>
    </row>
    <row r="1345" spans="2:2" x14ac:dyDescent="0.25">
      <c r="B1345" s="31"/>
    </row>
    <row r="1346" spans="2:2" x14ac:dyDescent="0.25">
      <c r="B1346" s="31"/>
    </row>
    <row r="1347" spans="2:2" x14ac:dyDescent="0.25">
      <c r="B1347" s="31"/>
    </row>
    <row r="1348" spans="2:2" x14ac:dyDescent="0.25">
      <c r="B1348" s="31"/>
    </row>
    <row r="1349" spans="2:2" x14ac:dyDescent="0.25">
      <c r="B1349" s="31"/>
    </row>
    <row r="1350" spans="2:2" x14ac:dyDescent="0.25">
      <c r="B1350" s="31"/>
    </row>
    <row r="1351" spans="2:2" x14ac:dyDescent="0.25">
      <c r="B1351" s="31"/>
    </row>
    <row r="1352" spans="2:2" x14ac:dyDescent="0.25">
      <c r="B1352" s="31"/>
    </row>
    <row r="1353" spans="2:2" x14ac:dyDescent="0.25">
      <c r="B1353" s="31"/>
    </row>
    <row r="1354" spans="2:2" x14ac:dyDescent="0.25">
      <c r="B1354" s="31"/>
    </row>
    <row r="1355" spans="2:2" x14ac:dyDescent="0.25">
      <c r="B1355" s="31"/>
    </row>
    <row r="1356" spans="2:2" x14ac:dyDescent="0.25">
      <c r="B1356" s="31"/>
    </row>
    <row r="1357" spans="2:2" x14ac:dyDescent="0.25">
      <c r="B1357" s="31"/>
    </row>
    <row r="1358" spans="2:2" x14ac:dyDescent="0.25">
      <c r="B1358" s="31"/>
    </row>
    <row r="1359" spans="2:2" x14ac:dyDescent="0.25">
      <c r="B1359" s="31"/>
    </row>
    <row r="1360" spans="2:2" x14ac:dyDescent="0.25">
      <c r="B1360" s="31"/>
    </row>
    <row r="1361" spans="2:2" x14ac:dyDescent="0.25">
      <c r="B1361" s="31"/>
    </row>
    <row r="1362" spans="2:2" x14ac:dyDescent="0.25">
      <c r="B1362" s="31"/>
    </row>
    <row r="1363" spans="2:2" x14ac:dyDescent="0.25">
      <c r="B1363" s="31"/>
    </row>
    <row r="1364" spans="2:2" x14ac:dyDescent="0.25">
      <c r="B1364" s="31"/>
    </row>
    <row r="1365" spans="2:2" x14ac:dyDescent="0.25">
      <c r="B1365" s="31"/>
    </row>
    <row r="1366" spans="2:2" x14ac:dyDescent="0.25">
      <c r="B1366" s="31"/>
    </row>
    <row r="1367" spans="2:2" x14ac:dyDescent="0.25">
      <c r="B1367" s="31"/>
    </row>
    <row r="1368" spans="2:2" x14ac:dyDescent="0.25">
      <c r="B1368" s="31"/>
    </row>
    <row r="1369" spans="2:2" x14ac:dyDescent="0.25">
      <c r="B1369" s="31"/>
    </row>
    <row r="1370" spans="2:2" x14ac:dyDescent="0.25">
      <c r="B1370" s="31"/>
    </row>
    <row r="1371" spans="2:2" x14ac:dyDescent="0.25">
      <c r="B1371" s="31"/>
    </row>
    <row r="1372" spans="2:2" x14ac:dyDescent="0.25">
      <c r="B1372" s="31"/>
    </row>
    <row r="1373" spans="2:2" x14ac:dyDescent="0.25">
      <c r="B1373" s="31"/>
    </row>
    <row r="1374" spans="2:2" x14ac:dyDescent="0.25">
      <c r="B1374" s="31"/>
    </row>
    <row r="1375" spans="2:2" x14ac:dyDescent="0.25">
      <c r="B1375" s="31"/>
    </row>
    <row r="1376" spans="2:2" x14ac:dyDescent="0.25">
      <c r="B1376" s="31"/>
    </row>
    <row r="1377" spans="2:2" x14ac:dyDescent="0.25">
      <c r="B1377" s="31"/>
    </row>
    <row r="1378" spans="2:2" x14ac:dyDescent="0.25">
      <c r="B1378" s="31"/>
    </row>
    <row r="1379" spans="2:2" x14ac:dyDescent="0.25">
      <c r="B1379" s="31"/>
    </row>
    <row r="1380" spans="2:2" x14ac:dyDescent="0.25">
      <c r="B1380" s="31"/>
    </row>
    <row r="1381" spans="2:2" x14ac:dyDescent="0.25">
      <c r="B1381" s="31"/>
    </row>
    <row r="1382" spans="2:2" x14ac:dyDescent="0.25">
      <c r="B1382" s="31"/>
    </row>
    <row r="1383" spans="2:2" x14ac:dyDescent="0.25">
      <c r="B1383" s="31"/>
    </row>
    <row r="1384" spans="2:2" x14ac:dyDescent="0.25">
      <c r="B1384" s="31"/>
    </row>
    <row r="1385" spans="2:2" x14ac:dyDescent="0.25">
      <c r="B1385" s="31"/>
    </row>
    <row r="1386" spans="2:2" x14ac:dyDescent="0.25">
      <c r="B1386" s="31"/>
    </row>
    <row r="1387" spans="2:2" x14ac:dyDescent="0.25">
      <c r="B1387" s="31"/>
    </row>
    <row r="1388" spans="2:2" x14ac:dyDescent="0.25">
      <c r="B1388" s="31"/>
    </row>
    <row r="1389" spans="2:2" x14ac:dyDescent="0.25">
      <c r="B1389" s="31"/>
    </row>
    <row r="1390" spans="2:2" x14ac:dyDescent="0.25">
      <c r="B1390" s="31"/>
    </row>
    <row r="1391" spans="2:2" x14ac:dyDescent="0.25">
      <c r="B1391" s="31"/>
    </row>
    <row r="1392" spans="2:2" x14ac:dyDescent="0.25">
      <c r="B1392" s="31"/>
    </row>
    <row r="1393" spans="2:2" x14ac:dyDescent="0.25">
      <c r="B1393" s="31"/>
    </row>
    <row r="1394" spans="2:2" x14ac:dyDescent="0.25">
      <c r="B1394" s="31"/>
    </row>
    <row r="1395" spans="2:2" x14ac:dyDescent="0.25">
      <c r="B1395" s="31"/>
    </row>
    <row r="1396" spans="2:2" x14ac:dyDescent="0.25">
      <c r="B1396" s="31"/>
    </row>
    <row r="1397" spans="2:2" x14ac:dyDescent="0.25">
      <c r="B1397" s="31"/>
    </row>
    <row r="1398" spans="2:2" x14ac:dyDescent="0.25">
      <c r="B1398" s="31"/>
    </row>
    <row r="1399" spans="2:2" x14ac:dyDescent="0.25">
      <c r="B1399" s="31"/>
    </row>
    <row r="1400" spans="2:2" x14ac:dyDescent="0.25">
      <c r="B1400" s="31"/>
    </row>
    <row r="1401" spans="2:2" x14ac:dyDescent="0.25">
      <c r="B1401" s="31"/>
    </row>
    <row r="1402" spans="2:2" x14ac:dyDescent="0.25">
      <c r="B1402" s="31"/>
    </row>
    <row r="1403" spans="2:2" x14ac:dyDescent="0.25">
      <c r="B1403" s="31"/>
    </row>
    <row r="1404" spans="2:2" x14ac:dyDescent="0.25">
      <c r="B1404" s="31"/>
    </row>
    <row r="1405" spans="2:2" x14ac:dyDescent="0.25">
      <c r="B1405" s="31"/>
    </row>
    <row r="1406" spans="2:2" x14ac:dyDescent="0.25">
      <c r="B1406" s="31"/>
    </row>
    <row r="1407" spans="2:2" x14ac:dyDescent="0.25">
      <c r="B1407" s="31"/>
    </row>
    <row r="1408" spans="2:2" x14ac:dyDescent="0.25">
      <c r="B1408" s="31"/>
    </row>
    <row r="1409" spans="2:2" x14ac:dyDescent="0.25">
      <c r="B1409" s="31"/>
    </row>
    <row r="1410" spans="2:2" x14ac:dyDescent="0.25">
      <c r="B1410" s="31"/>
    </row>
    <row r="1411" spans="2:2" x14ac:dyDescent="0.25">
      <c r="B1411" s="31"/>
    </row>
    <row r="1412" spans="2:2" x14ac:dyDescent="0.25">
      <c r="B1412" s="31"/>
    </row>
    <row r="1413" spans="2:2" x14ac:dyDescent="0.25">
      <c r="B1413" s="31"/>
    </row>
    <row r="1414" spans="2:2" x14ac:dyDescent="0.25">
      <c r="B1414" s="31"/>
    </row>
    <row r="1415" spans="2:2" x14ac:dyDescent="0.25">
      <c r="B1415" s="31"/>
    </row>
    <row r="1416" spans="2:2" x14ac:dyDescent="0.25">
      <c r="B1416" s="31"/>
    </row>
    <row r="1417" spans="2:2" x14ac:dyDescent="0.25">
      <c r="B1417" s="31"/>
    </row>
    <row r="1418" spans="2:2" x14ac:dyDescent="0.25">
      <c r="B1418" s="31"/>
    </row>
    <row r="1419" spans="2:2" x14ac:dyDescent="0.25">
      <c r="B1419" s="31"/>
    </row>
    <row r="1420" spans="2:2" x14ac:dyDescent="0.25">
      <c r="B1420" s="31"/>
    </row>
    <row r="1421" spans="2:2" x14ac:dyDescent="0.25">
      <c r="B1421" s="31"/>
    </row>
    <row r="1422" spans="2:2" x14ac:dyDescent="0.25">
      <c r="B1422" s="31"/>
    </row>
    <row r="1423" spans="2:2" x14ac:dyDescent="0.25">
      <c r="B1423" s="31"/>
    </row>
    <row r="1424" spans="2:2" x14ac:dyDescent="0.25">
      <c r="B1424" s="31"/>
    </row>
    <row r="1425" spans="2:2" x14ac:dyDescent="0.25">
      <c r="B1425" s="31"/>
    </row>
    <row r="1426" spans="2:2" x14ac:dyDescent="0.25">
      <c r="B1426" s="31"/>
    </row>
    <row r="1427" spans="2:2" x14ac:dyDescent="0.25">
      <c r="B1427" s="31"/>
    </row>
    <row r="1428" spans="2:2" x14ac:dyDescent="0.25">
      <c r="B1428" s="31"/>
    </row>
    <row r="1429" spans="2:2" x14ac:dyDescent="0.25">
      <c r="B1429" s="31"/>
    </row>
    <row r="1430" spans="2:2" x14ac:dyDescent="0.25">
      <c r="B1430" s="31"/>
    </row>
    <row r="1431" spans="2:2" x14ac:dyDescent="0.25">
      <c r="B1431" s="31"/>
    </row>
    <row r="1432" spans="2:2" x14ac:dyDescent="0.25">
      <c r="B1432" s="31"/>
    </row>
    <row r="1433" spans="2:2" x14ac:dyDescent="0.25">
      <c r="B1433" s="31"/>
    </row>
    <row r="1434" spans="2:2" x14ac:dyDescent="0.25">
      <c r="B1434" s="31"/>
    </row>
    <row r="1435" spans="2:2" x14ac:dyDescent="0.25">
      <c r="B1435" s="31"/>
    </row>
    <row r="1436" spans="2:2" x14ac:dyDescent="0.25">
      <c r="B1436" s="31"/>
    </row>
    <row r="1437" spans="2:2" x14ac:dyDescent="0.25">
      <c r="B1437" s="31"/>
    </row>
    <row r="1438" spans="2:2" x14ac:dyDescent="0.25">
      <c r="B1438" s="31"/>
    </row>
    <row r="1439" spans="2:2" x14ac:dyDescent="0.25">
      <c r="B1439" s="31"/>
    </row>
    <row r="1440" spans="2:2" x14ac:dyDescent="0.25">
      <c r="B1440" s="31"/>
    </row>
    <row r="1441" spans="2:2" x14ac:dyDescent="0.25">
      <c r="B1441" s="31"/>
    </row>
    <row r="1442" spans="2:2" x14ac:dyDescent="0.25">
      <c r="B1442" s="31"/>
    </row>
    <row r="1443" spans="2:2" x14ac:dyDescent="0.25">
      <c r="B1443" s="31"/>
    </row>
    <row r="1444" spans="2:2" x14ac:dyDescent="0.25">
      <c r="B1444" s="31"/>
    </row>
    <row r="1445" spans="2:2" x14ac:dyDescent="0.25">
      <c r="B1445" s="31"/>
    </row>
    <row r="1446" spans="2:2" x14ac:dyDescent="0.25">
      <c r="B1446" s="31"/>
    </row>
    <row r="1447" spans="2:2" x14ac:dyDescent="0.25">
      <c r="B1447" s="31"/>
    </row>
    <row r="1448" spans="2:2" x14ac:dyDescent="0.25">
      <c r="B1448" s="31"/>
    </row>
    <row r="1449" spans="2:2" x14ac:dyDescent="0.25">
      <c r="B1449" s="31"/>
    </row>
    <row r="1450" spans="2:2" x14ac:dyDescent="0.25">
      <c r="B1450" s="31"/>
    </row>
    <row r="1451" spans="2:2" x14ac:dyDescent="0.25">
      <c r="B1451" s="31"/>
    </row>
    <row r="1452" spans="2:2" x14ac:dyDescent="0.25">
      <c r="B1452" s="31"/>
    </row>
    <row r="1453" spans="2:2" x14ac:dyDescent="0.25">
      <c r="B1453" s="31"/>
    </row>
    <row r="1454" spans="2:2" x14ac:dyDescent="0.25">
      <c r="B1454" s="31"/>
    </row>
    <row r="1455" spans="2:2" x14ac:dyDescent="0.25">
      <c r="B1455" s="31"/>
    </row>
    <row r="1456" spans="2:2" x14ac:dyDescent="0.25">
      <c r="B1456" s="31"/>
    </row>
    <row r="1457" spans="2:2" x14ac:dyDescent="0.25">
      <c r="B1457" s="31"/>
    </row>
    <row r="1458" spans="2:2" x14ac:dyDescent="0.25">
      <c r="B1458" s="31"/>
    </row>
    <row r="1459" spans="2:2" x14ac:dyDescent="0.25">
      <c r="B1459" s="31"/>
    </row>
    <row r="1460" spans="2:2" x14ac:dyDescent="0.25">
      <c r="B1460" s="31"/>
    </row>
    <row r="1461" spans="2:2" x14ac:dyDescent="0.25">
      <c r="B1461" s="31"/>
    </row>
    <row r="1462" spans="2:2" x14ac:dyDescent="0.25">
      <c r="B1462" s="31"/>
    </row>
    <row r="1463" spans="2:2" x14ac:dyDescent="0.25">
      <c r="B1463" s="31"/>
    </row>
    <row r="1464" spans="2:2" x14ac:dyDescent="0.25">
      <c r="B1464" s="31"/>
    </row>
    <row r="1465" spans="2:2" x14ac:dyDescent="0.25">
      <c r="B1465" s="31"/>
    </row>
    <row r="1466" spans="2:2" x14ac:dyDescent="0.25">
      <c r="B1466" s="31"/>
    </row>
    <row r="1467" spans="2:2" x14ac:dyDescent="0.25">
      <c r="B1467" s="31"/>
    </row>
    <row r="1468" spans="2:2" x14ac:dyDescent="0.25">
      <c r="B1468" s="31"/>
    </row>
    <row r="1469" spans="2:2" x14ac:dyDescent="0.25">
      <c r="B1469" s="31"/>
    </row>
    <row r="1470" spans="2:2" x14ac:dyDescent="0.25">
      <c r="B1470" s="31"/>
    </row>
    <row r="1471" spans="2:2" x14ac:dyDescent="0.25">
      <c r="B1471" s="31"/>
    </row>
    <row r="1472" spans="2:2" x14ac:dyDescent="0.25">
      <c r="B1472" s="31"/>
    </row>
    <row r="1473" spans="2:2" x14ac:dyDescent="0.25">
      <c r="B1473" s="31"/>
    </row>
    <row r="1474" spans="2:2" x14ac:dyDescent="0.25">
      <c r="B1474" s="31"/>
    </row>
    <row r="1475" spans="2:2" x14ac:dyDescent="0.25">
      <c r="B1475" s="31"/>
    </row>
    <row r="1476" spans="2:2" x14ac:dyDescent="0.25">
      <c r="B1476" s="31"/>
    </row>
    <row r="1477" spans="2:2" x14ac:dyDescent="0.25">
      <c r="B1477" s="31"/>
    </row>
    <row r="1478" spans="2:2" x14ac:dyDescent="0.25">
      <c r="B1478" s="31"/>
    </row>
    <row r="1479" spans="2:2" x14ac:dyDescent="0.25">
      <c r="B1479" s="31"/>
    </row>
    <row r="1480" spans="2:2" x14ac:dyDescent="0.25">
      <c r="B1480" s="31"/>
    </row>
    <row r="1481" spans="2:2" x14ac:dyDescent="0.25">
      <c r="B1481" s="31"/>
    </row>
    <row r="1482" spans="2:2" x14ac:dyDescent="0.25">
      <c r="B1482" s="31"/>
    </row>
    <row r="1483" spans="2:2" x14ac:dyDescent="0.25">
      <c r="B1483" s="31"/>
    </row>
    <row r="1484" spans="2:2" x14ac:dyDescent="0.25">
      <c r="B1484" s="31"/>
    </row>
    <row r="1485" spans="2:2" x14ac:dyDescent="0.25">
      <c r="B1485" s="31"/>
    </row>
    <row r="1486" spans="2:2" x14ac:dyDescent="0.25">
      <c r="B1486" s="31"/>
    </row>
    <row r="1487" spans="2:2" x14ac:dyDescent="0.25">
      <c r="B1487" s="31"/>
    </row>
    <row r="1488" spans="2:2" x14ac:dyDescent="0.25">
      <c r="B1488" s="31"/>
    </row>
    <row r="1489" spans="2:2" x14ac:dyDescent="0.25">
      <c r="B1489" s="31"/>
    </row>
    <row r="1490" spans="2:2" x14ac:dyDescent="0.25">
      <c r="B1490" s="31"/>
    </row>
    <row r="1491" spans="2:2" x14ac:dyDescent="0.25">
      <c r="B1491" s="31"/>
    </row>
    <row r="1492" spans="2:2" x14ac:dyDescent="0.25">
      <c r="B1492" s="31"/>
    </row>
    <row r="1493" spans="2:2" x14ac:dyDescent="0.25">
      <c r="B1493" s="31"/>
    </row>
    <row r="1494" spans="2:2" x14ac:dyDescent="0.25">
      <c r="B1494" s="31"/>
    </row>
    <row r="1495" spans="2:2" x14ac:dyDescent="0.25">
      <c r="B1495" s="31"/>
    </row>
    <row r="1496" spans="2:2" x14ac:dyDescent="0.25">
      <c r="B1496" s="31"/>
    </row>
    <row r="1497" spans="2:2" x14ac:dyDescent="0.25">
      <c r="B1497" s="31"/>
    </row>
    <row r="1498" spans="2:2" x14ac:dyDescent="0.25">
      <c r="B1498" s="31"/>
    </row>
    <row r="1499" spans="2:2" x14ac:dyDescent="0.25">
      <c r="B1499" s="31"/>
    </row>
    <row r="1500" spans="2:2" x14ac:dyDescent="0.25">
      <c r="B1500" s="31"/>
    </row>
    <row r="1501" spans="2:2" x14ac:dyDescent="0.25">
      <c r="B1501" s="31"/>
    </row>
    <row r="1502" spans="2:2" x14ac:dyDescent="0.25">
      <c r="B1502" s="31"/>
    </row>
    <row r="1503" spans="2:2" x14ac:dyDescent="0.25">
      <c r="B1503" s="31"/>
    </row>
    <row r="1504" spans="2:2" x14ac:dyDescent="0.25">
      <c r="B1504" s="31"/>
    </row>
    <row r="1505" spans="2:2" x14ac:dyDescent="0.25">
      <c r="B1505" s="31"/>
    </row>
    <row r="1506" spans="2:2" x14ac:dyDescent="0.25">
      <c r="B1506" s="31"/>
    </row>
    <row r="1507" spans="2:2" x14ac:dyDescent="0.25">
      <c r="B1507" s="31"/>
    </row>
    <row r="1508" spans="2:2" x14ac:dyDescent="0.25">
      <c r="B1508" s="31"/>
    </row>
    <row r="1509" spans="2:2" x14ac:dyDescent="0.25">
      <c r="B1509" s="31"/>
    </row>
    <row r="1510" spans="2:2" x14ac:dyDescent="0.25">
      <c r="B1510" s="31"/>
    </row>
    <row r="1511" spans="2:2" x14ac:dyDescent="0.25">
      <c r="B1511" s="31"/>
    </row>
    <row r="1512" spans="2:2" x14ac:dyDescent="0.25">
      <c r="B1512" s="31"/>
    </row>
    <row r="1513" spans="2:2" x14ac:dyDescent="0.25">
      <c r="B1513" s="31"/>
    </row>
    <row r="1514" spans="2:2" x14ac:dyDescent="0.25">
      <c r="B1514" s="31"/>
    </row>
    <row r="1515" spans="2:2" x14ac:dyDescent="0.25">
      <c r="B1515" s="31"/>
    </row>
    <row r="1516" spans="2:2" x14ac:dyDescent="0.25">
      <c r="B1516" s="31"/>
    </row>
    <row r="1517" spans="2:2" x14ac:dyDescent="0.25">
      <c r="B1517" s="31"/>
    </row>
    <row r="1518" spans="2:2" x14ac:dyDescent="0.25">
      <c r="B1518" s="31"/>
    </row>
    <row r="1519" spans="2:2" x14ac:dyDescent="0.25">
      <c r="B1519" s="31"/>
    </row>
    <row r="1520" spans="2:2" x14ac:dyDescent="0.25">
      <c r="B1520" s="31"/>
    </row>
    <row r="1521" spans="2:2" x14ac:dyDescent="0.25">
      <c r="B1521" s="31"/>
    </row>
    <row r="1522" spans="2:2" x14ac:dyDescent="0.25">
      <c r="B1522" s="31"/>
    </row>
    <row r="1523" spans="2:2" x14ac:dyDescent="0.25">
      <c r="B1523" s="31"/>
    </row>
    <row r="1524" spans="2:2" x14ac:dyDescent="0.25">
      <c r="B1524" s="31"/>
    </row>
    <row r="1525" spans="2:2" x14ac:dyDescent="0.25">
      <c r="B1525" s="31"/>
    </row>
    <row r="1526" spans="2:2" x14ac:dyDescent="0.25">
      <c r="B1526" s="31"/>
    </row>
    <row r="1527" spans="2:2" x14ac:dyDescent="0.25">
      <c r="B1527" s="31"/>
    </row>
    <row r="1528" spans="2:2" x14ac:dyDescent="0.25">
      <c r="B1528" s="31"/>
    </row>
    <row r="1529" spans="2:2" x14ac:dyDescent="0.25">
      <c r="B1529" s="31"/>
    </row>
    <row r="1530" spans="2:2" x14ac:dyDescent="0.25">
      <c r="B1530" s="31"/>
    </row>
    <row r="1531" spans="2:2" x14ac:dyDescent="0.25">
      <c r="B1531" s="31"/>
    </row>
    <row r="1532" spans="2:2" x14ac:dyDescent="0.25">
      <c r="B1532" s="31"/>
    </row>
    <row r="1533" spans="2:2" x14ac:dyDescent="0.25">
      <c r="B1533" s="31"/>
    </row>
    <row r="1534" spans="2:2" x14ac:dyDescent="0.25">
      <c r="B1534" s="31"/>
    </row>
    <row r="1535" spans="2:2" x14ac:dyDescent="0.25">
      <c r="B1535" s="31"/>
    </row>
    <row r="1536" spans="2:2" x14ac:dyDescent="0.25">
      <c r="B1536" s="31"/>
    </row>
    <row r="1537" spans="2:2" x14ac:dyDescent="0.25">
      <c r="B1537" s="31"/>
    </row>
    <row r="1538" spans="2:2" x14ac:dyDescent="0.25">
      <c r="B1538" s="31"/>
    </row>
    <row r="1539" spans="2:2" x14ac:dyDescent="0.25">
      <c r="B1539" s="31"/>
    </row>
    <row r="1540" spans="2:2" x14ac:dyDescent="0.25">
      <c r="B1540" s="31"/>
    </row>
    <row r="1541" spans="2:2" x14ac:dyDescent="0.25">
      <c r="B1541" s="31"/>
    </row>
    <row r="1542" spans="2:2" x14ac:dyDescent="0.25">
      <c r="B1542" s="31"/>
    </row>
    <row r="1543" spans="2:2" x14ac:dyDescent="0.25">
      <c r="B1543" s="31"/>
    </row>
    <row r="1544" spans="2:2" x14ac:dyDescent="0.25">
      <c r="B1544" s="31"/>
    </row>
    <row r="1545" spans="2:2" x14ac:dyDescent="0.25">
      <c r="B1545" s="31"/>
    </row>
    <row r="1546" spans="2:2" x14ac:dyDescent="0.25">
      <c r="B1546" s="31"/>
    </row>
    <row r="1547" spans="2:2" x14ac:dyDescent="0.25">
      <c r="B1547" s="31"/>
    </row>
    <row r="1548" spans="2:2" x14ac:dyDescent="0.25">
      <c r="B1548" s="31"/>
    </row>
    <row r="1549" spans="2:2" x14ac:dyDescent="0.25">
      <c r="B1549" s="31"/>
    </row>
    <row r="1550" spans="2:2" x14ac:dyDescent="0.25">
      <c r="B1550" s="31"/>
    </row>
    <row r="1551" spans="2:2" x14ac:dyDescent="0.25">
      <c r="B1551" s="31"/>
    </row>
    <row r="1552" spans="2:2" x14ac:dyDescent="0.25">
      <c r="B1552" s="31"/>
    </row>
    <row r="1553" spans="2:2" x14ac:dyDescent="0.25">
      <c r="B1553" s="31"/>
    </row>
    <row r="1554" spans="2:2" x14ac:dyDescent="0.25">
      <c r="B1554" s="31"/>
    </row>
    <row r="1555" spans="2:2" x14ac:dyDescent="0.25">
      <c r="B1555" s="31"/>
    </row>
    <row r="1556" spans="2:2" x14ac:dyDescent="0.25">
      <c r="B1556" s="31"/>
    </row>
    <row r="1557" spans="2:2" x14ac:dyDescent="0.25">
      <c r="B1557" s="31"/>
    </row>
    <row r="1558" spans="2:2" x14ac:dyDescent="0.25">
      <c r="B1558" s="31"/>
    </row>
    <row r="1559" spans="2:2" x14ac:dyDescent="0.25">
      <c r="B1559" s="31"/>
    </row>
    <row r="1560" spans="2:2" x14ac:dyDescent="0.25">
      <c r="B1560" s="31"/>
    </row>
    <row r="1561" spans="2:2" x14ac:dyDescent="0.25">
      <c r="B1561" s="31"/>
    </row>
    <row r="1562" spans="2:2" x14ac:dyDescent="0.25">
      <c r="B1562" s="31"/>
    </row>
    <row r="1563" spans="2:2" x14ac:dyDescent="0.25">
      <c r="B1563" s="31"/>
    </row>
    <row r="1564" spans="2:2" x14ac:dyDescent="0.25">
      <c r="B1564" s="31"/>
    </row>
    <row r="1565" spans="2:2" x14ac:dyDescent="0.25">
      <c r="B1565" s="31"/>
    </row>
    <row r="1566" spans="2:2" x14ac:dyDescent="0.25">
      <c r="B1566" s="31"/>
    </row>
    <row r="1567" spans="2:2" x14ac:dyDescent="0.25">
      <c r="B1567" s="31"/>
    </row>
    <row r="1568" spans="2:2" x14ac:dyDescent="0.25">
      <c r="B1568" s="31"/>
    </row>
    <row r="1569" spans="2:2" x14ac:dyDescent="0.25">
      <c r="B1569" s="31"/>
    </row>
    <row r="1570" spans="2:2" x14ac:dyDescent="0.25">
      <c r="B1570" s="31"/>
    </row>
    <row r="1571" spans="2:2" x14ac:dyDescent="0.25">
      <c r="B1571" s="31"/>
    </row>
    <row r="1572" spans="2:2" x14ac:dyDescent="0.25">
      <c r="B1572" s="31"/>
    </row>
    <row r="1573" spans="2:2" x14ac:dyDescent="0.25">
      <c r="B1573" s="31"/>
    </row>
    <row r="1574" spans="2:2" x14ac:dyDescent="0.25">
      <c r="B1574" s="31"/>
    </row>
    <row r="1575" spans="2:2" x14ac:dyDescent="0.25">
      <c r="B1575" s="31"/>
    </row>
    <row r="1576" spans="2:2" x14ac:dyDescent="0.25">
      <c r="B1576" s="31"/>
    </row>
    <row r="1577" spans="2:2" x14ac:dyDescent="0.25">
      <c r="B1577" s="31"/>
    </row>
    <row r="1578" spans="2:2" x14ac:dyDescent="0.25">
      <c r="B1578" s="31"/>
    </row>
    <row r="1579" spans="2:2" x14ac:dyDescent="0.25">
      <c r="B1579" s="31"/>
    </row>
    <row r="1580" spans="2:2" x14ac:dyDescent="0.25">
      <c r="B1580" s="31"/>
    </row>
    <row r="1581" spans="2:2" x14ac:dyDescent="0.25">
      <c r="B1581" s="31"/>
    </row>
    <row r="1582" spans="2:2" x14ac:dyDescent="0.25">
      <c r="B1582" s="31"/>
    </row>
    <row r="1583" spans="2:2" x14ac:dyDescent="0.25">
      <c r="B1583" s="31"/>
    </row>
    <row r="1584" spans="2:2" x14ac:dyDescent="0.25">
      <c r="B1584" s="31"/>
    </row>
    <row r="1585" spans="2:2" x14ac:dyDescent="0.25">
      <c r="B1585" s="31"/>
    </row>
    <row r="1586" spans="2:2" x14ac:dyDescent="0.25">
      <c r="B1586" s="31"/>
    </row>
    <row r="1587" spans="2:2" x14ac:dyDescent="0.25">
      <c r="B1587" s="31"/>
    </row>
    <row r="1588" spans="2:2" x14ac:dyDescent="0.25">
      <c r="B1588" s="31"/>
    </row>
    <row r="1589" spans="2:2" x14ac:dyDescent="0.25">
      <c r="B1589" s="31"/>
    </row>
    <row r="1590" spans="2:2" x14ac:dyDescent="0.25">
      <c r="B1590" s="31"/>
    </row>
    <row r="1591" spans="2:2" x14ac:dyDescent="0.25">
      <c r="B1591" s="31"/>
    </row>
    <row r="1592" spans="2:2" x14ac:dyDescent="0.25">
      <c r="B1592" s="31"/>
    </row>
    <row r="1593" spans="2:2" x14ac:dyDescent="0.25">
      <c r="B1593" s="31"/>
    </row>
    <row r="1594" spans="2:2" x14ac:dyDescent="0.25">
      <c r="B1594" s="31"/>
    </row>
    <row r="1595" spans="2:2" x14ac:dyDescent="0.25">
      <c r="B1595" s="31"/>
    </row>
    <row r="1596" spans="2:2" x14ac:dyDescent="0.25">
      <c r="B1596" s="31"/>
    </row>
    <row r="1597" spans="2:2" x14ac:dyDescent="0.25">
      <c r="B1597" s="31"/>
    </row>
    <row r="1598" spans="2:2" x14ac:dyDescent="0.25">
      <c r="B1598" s="31"/>
    </row>
    <row r="1599" spans="2:2" x14ac:dyDescent="0.25">
      <c r="B1599" s="31"/>
    </row>
    <row r="1600" spans="2:2" x14ac:dyDescent="0.25">
      <c r="B1600" s="31"/>
    </row>
    <row r="1601" spans="2:2" x14ac:dyDescent="0.25">
      <c r="B1601" s="31"/>
    </row>
    <row r="1602" spans="2:2" x14ac:dyDescent="0.25">
      <c r="B1602" s="31"/>
    </row>
    <row r="1603" spans="2:2" x14ac:dyDescent="0.25">
      <c r="B1603" s="31"/>
    </row>
    <row r="1604" spans="2:2" x14ac:dyDescent="0.25">
      <c r="B1604" s="31"/>
    </row>
    <row r="1605" spans="2:2" x14ac:dyDescent="0.25">
      <c r="B1605" s="31"/>
    </row>
    <row r="1606" spans="2:2" x14ac:dyDescent="0.25">
      <c r="B1606" s="31"/>
    </row>
    <row r="1607" spans="2:2" x14ac:dyDescent="0.25">
      <c r="B1607" s="31"/>
    </row>
    <row r="1608" spans="2:2" x14ac:dyDescent="0.25">
      <c r="B1608" s="31"/>
    </row>
    <row r="1609" spans="2:2" x14ac:dyDescent="0.25">
      <c r="B1609" s="31"/>
    </row>
    <row r="1610" spans="2:2" x14ac:dyDescent="0.25">
      <c r="B1610" s="31"/>
    </row>
    <row r="1611" spans="2:2" x14ac:dyDescent="0.25">
      <c r="B1611" s="31"/>
    </row>
    <row r="1612" spans="2:2" x14ac:dyDescent="0.25">
      <c r="B1612" s="31"/>
    </row>
    <row r="1613" spans="2:2" x14ac:dyDescent="0.25">
      <c r="B1613" s="31"/>
    </row>
    <row r="1614" spans="2:2" x14ac:dyDescent="0.25">
      <c r="B1614" s="31"/>
    </row>
    <row r="1615" spans="2:2" x14ac:dyDescent="0.25">
      <c r="B1615" s="31"/>
    </row>
    <row r="1616" spans="2:2" x14ac:dyDescent="0.25">
      <c r="B1616" s="31"/>
    </row>
    <row r="1617" spans="2:2" x14ac:dyDescent="0.25">
      <c r="B1617" s="31"/>
    </row>
    <row r="1618" spans="2:2" x14ac:dyDescent="0.25">
      <c r="B1618" s="31"/>
    </row>
    <row r="1619" spans="2:2" x14ac:dyDescent="0.25">
      <c r="B1619" s="31"/>
    </row>
    <row r="1620" spans="2:2" x14ac:dyDescent="0.25">
      <c r="B1620" s="31"/>
    </row>
    <row r="1621" spans="2:2" x14ac:dyDescent="0.25">
      <c r="B1621" s="31"/>
    </row>
  </sheetData>
  <sheetProtection algorithmName="SHA-512" hashValue="kG2djZjUBvhkVfW2LRadpqKJirecmMIHAHDWO1LDFEEsp+6+s3lWVLC4NUGv4lufD1WCFMPrSz+/oCHcVyl4wQ==" saltValue="7tx1x2CwzGYrvVOFPcLGQw==" spinCount="100000" sheet="1" objects="1" scenarios="1" selectLockedCells="1" selectUnlockedCells="1"/>
  <customSheetViews>
    <customSheetView guid="{101D851C-E4EE-4443-B6A9-9040ACB2A650}" showGridLines="0" showRowCol="0" fitToPage="1">
      <selection activeCell="G46" sqref="G46:I46"/>
      <pageMargins left="0.25" right="0.25" top="0.75" bottom="0.75" header="0.3" footer="0.3"/>
      <pageSetup paperSize="9" scale="70" fitToHeight="0" orientation="portrait" verticalDpi="0" r:id="rId1"/>
    </customSheetView>
  </customSheetViews>
  <mergeCells count="7">
    <mergeCell ref="E34:F34"/>
    <mergeCell ref="E31:F31"/>
    <mergeCell ref="I30:J30"/>
    <mergeCell ref="E30:G30"/>
    <mergeCell ref="B2:C2"/>
    <mergeCell ref="E32:F32"/>
    <mergeCell ref="E33:F33"/>
  </mergeCells>
  <pageMargins left="0.25" right="0.25" top="0.75" bottom="0.75" header="0.3" footer="0.3"/>
  <pageSetup paperSize="9" scale="70" fitToHeight="0" orientation="portrait" verticalDpi="0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O2:P61"/>
  <sheetViews>
    <sheetView showGridLines="0" showRowColHeaders="0" zoomScale="80" zoomScaleNormal="80" workbookViewId="0">
      <selection activeCell="G46" sqref="G46:I46"/>
    </sheetView>
  </sheetViews>
  <sheetFormatPr defaultRowHeight="15" x14ac:dyDescent="0.25"/>
  <sheetData>
    <row r="2" spans="15:16" x14ac:dyDescent="0.25">
      <c r="O2" s="27" t="s">
        <v>715</v>
      </c>
      <c r="P2" s="27"/>
    </row>
    <row r="3" spans="15:16" x14ac:dyDescent="0.25">
      <c r="O3" s="27" t="s">
        <v>716</v>
      </c>
    </row>
    <row r="12" spans="15:16" x14ac:dyDescent="0.25">
      <c r="O12" s="27" t="s">
        <v>717</v>
      </c>
    </row>
    <row r="13" spans="15:16" x14ac:dyDescent="0.25">
      <c r="O13" s="27" t="s">
        <v>718</v>
      </c>
    </row>
    <row r="31" spans="15:15" x14ac:dyDescent="0.25">
      <c r="O31" s="27" t="s">
        <v>719</v>
      </c>
    </row>
    <row r="32" spans="15:15" x14ac:dyDescent="0.25">
      <c r="O32" s="27" t="s">
        <v>164</v>
      </c>
    </row>
    <row r="53" spans="15:15" x14ac:dyDescent="0.25">
      <c r="O53" s="27" t="s">
        <v>720</v>
      </c>
    </row>
    <row r="54" spans="15:15" x14ac:dyDescent="0.25">
      <c r="O54" s="27" t="s">
        <v>721</v>
      </c>
    </row>
    <row r="60" spans="15:15" x14ac:dyDescent="0.25">
      <c r="O60" s="27" t="s">
        <v>722</v>
      </c>
    </row>
    <row r="61" spans="15:15" x14ac:dyDescent="0.25">
      <c r="O61" s="27" t="s">
        <v>721</v>
      </c>
    </row>
  </sheetData>
  <sheetProtection algorithmName="SHA-512" hashValue="YpZE3zcfuXiRGq64DPIs4eHJkYgr52M0Qul2F8ypFJ1BQzbzd7ifisXUBfvxAqEt7E45hYswSx4ui4DWeWre0A==" saltValue="D6Y4gb0rv3lk+DW1tpU3ng==" spinCount="100000" sheet="1" objects="1" scenarios="1" selectLockedCells="1" selectUnlockedCells="1"/>
  <customSheetViews>
    <customSheetView guid="{101D851C-E4EE-4443-B6A9-9040ACB2A650}" scale="80" showGridLines="0" showRowCol="0" fitToPage="1">
      <selection activeCell="G46" sqref="G46:I46"/>
      <pageMargins left="0.7" right="0.7" top="0.75" bottom="0.75" header="0.3" footer="0.3"/>
      <pageSetup paperSize="9" scale="50" fitToHeight="0" orientation="portrait" verticalDpi="0" r:id="rId1"/>
    </customSheetView>
  </customSheetViews>
  <pageMargins left="0.7" right="0.7" top="0.75" bottom="0.75" header="0.3" footer="0.3"/>
  <pageSetup paperSize="9" scale="50" fitToHeight="0" orientation="portrait" verticalDpi="0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showRowColHeaders="0" zoomScale="60" zoomScaleNormal="60" workbookViewId="0">
      <selection activeCell="G46" sqref="G46:I46"/>
    </sheetView>
  </sheetViews>
  <sheetFormatPr defaultRowHeight="15" x14ac:dyDescent="0.25"/>
  <sheetData/>
  <sheetProtection algorithmName="SHA-512" hashValue="bSz0deiBDF38DtyWrXBOz2nmts0bxBXw79BPLKTgQ772VqEQy0rEEHrj0xwgLDgfo81FUO4W1kIASb6z0FpVIQ==" saltValue="nkpMkYuQ2WDGS8WU94ytIQ==" spinCount="100000" sheet="1" objects="1" scenarios="1" selectLockedCells="1" selectUnlockedCells="1"/>
  <customSheetViews>
    <customSheetView guid="{101D851C-E4EE-4443-B6A9-9040ACB2A650}" scale="60" showGridLines="0" showRowCol="0" fitToPage="1">
      <selection activeCell="G46" sqref="G46:I46"/>
      <pageMargins left="0.7" right="0.7" top="0.75" bottom="0.75" header="0.3" footer="0.3"/>
      <pageSetup paperSize="9" scale="59" fitToHeight="0" orientation="portrait" verticalDpi="0" r:id="rId1"/>
    </customSheetView>
  </customSheetViews>
  <pageMargins left="0.7" right="0.7" top="0.75" bottom="0.75" header="0.3" footer="0.3"/>
  <pageSetup paperSize="9" scale="59" fitToHeight="0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86"/>
  <sheetViews>
    <sheetView topLeftCell="A208" workbookViewId="0">
      <selection activeCell="D215" sqref="D215"/>
    </sheetView>
  </sheetViews>
  <sheetFormatPr defaultRowHeight="15" x14ac:dyDescent="0.25"/>
  <cols>
    <col min="2" max="2" width="48" customWidth="1"/>
    <col min="4" max="4" width="11.85546875" customWidth="1"/>
    <col min="6" max="6" width="46.42578125" customWidth="1"/>
    <col min="9" max="9" width="10" customWidth="1"/>
    <col min="11" max="11" width="10.140625" bestFit="1" customWidth="1"/>
    <col min="12" max="12" width="10" customWidth="1"/>
    <col min="13" max="13" width="9.7109375" bestFit="1" customWidth="1"/>
    <col min="14" max="14" width="16.28515625" customWidth="1"/>
    <col min="15" max="15" width="11.5703125" customWidth="1"/>
    <col min="16" max="16" width="10.28515625" customWidth="1"/>
    <col min="17" max="17" width="10.140625" customWidth="1"/>
    <col min="18" max="19" width="11.42578125" customWidth="1"/>
    <col min="20" max="20" width="12.28515625" customWidth="1"/>
    <col min="22" max="22" width="16.42578125" customWidth="1"/>
    <col min="23" max="23" width="19.5703125" customWidth="1"/>
    <col min="24" max="24" width="11.85546875" customWidth="1"/>
    <col min="28" max="28" width="10.42578125" customWidth="1"/>
    <col min="30" max="30" width="12.7109375" bestFit="1" customWidth="1"/>
    <col min="40" max="40" width="10.5703125" customWidth="1"/>
  </cols>
  <sheetData>
    <row r="1" spans="1:21" x14ac:dyDescent="0.25">
      <c r="B1" t="s">
        <v>148</v>
      </c>
      <c r="Q1" s="43">
        <f>DATI!G209</f>
        <v>5.0320615922608809</v>
      </c>
      <c r="R1" s="43">
        <f>S1-DATI!E171</f>
        <v>0</v>
      </c>
      <c r="S1" s="202">
        <f>Q1</f>
        <v>5.0320615922608809</v>
      </c>
      <c r="U1" s="158" t="s">
        <v>149</v>
      </c>
    </row>
    <row r="2" spans="1:21" x14ac:dyDescent="0.25">
      <c r="P2" s="203">
        <v>0</v>
      </c>
      <c r="Q2" s="41">
        <f t="shared" ref="Q2:Q33" si="0">$Q$1/$P$152*P2</f>
        <v>0</v>
      </c>
      <c r="R2" s="41">
        <f t="shared" ref="R2:R33" si="1">$R$1/$P$152*P2</f>
        <v>0</v>
      </c>
      <c r="S2" s="205"/>
      <c r="T2" s="205"/>
      <c r="U2">
        <v>0</v>
      </c>
    </row>
    <row r="3" spans="1:21" ht="23.25" x14ac:dyDescent="0.25">
      <c r="A3" s="4" t="s">
        <v>150</v>
      </c>
      <c r="B3" t="s">
        <v>151</v>
      </c>
      <c r="P3" s="203">
        <f t="shared" ref="P3:P34" si="2">P2+1</f>
        <v>1</v>
      </c>
      <c r="Q3" s="41">
        <f t="shared" si="0"/>
        <v>3.3547077281739203E-2</v>
      </c>
      <c r="R3" s="41">
        <f t="shared" si="1"/>
        <v>0</v>
      </c>
      <c r="S3" s="205"/>
      <c r="T3" s="205"/>
      <c r="U3">
        <f t="shared" ref="U3:U22" si="3">U2+5</f>
        <v>5</v>
      </c>
    </row>
    <row r="4" spans="1:21" x14ac:dyDescent="0.25">
      <c r="P4" s="203">
        <f t="shared" si="2"/>
        <v>2</v>
      </c>
      <c r="Q4" s="41">
        <f t="shared" si="0"/>
        <v>6.7094154563478406E-2</v>
      </c>
      <c r="R4" s="41">
        <f t="shared" si="1"/>
        <v>0</v>
      </c>
      <c r="S4" s="205"/>
      <c r="T4" s="205"/>
      <c r="U4">
        <f t="shared" si="3"/>
        <v>10</v>
      </c>
    </row>
    <row r="5" spans="1:21" ht="23.25" x14ac:dyDescent="0.25">
      <c r="A5" s="4" t="s">
        <v>152</v>
      </c>
      <c r="B5" t="s">
        <v>153</v>
      </c>
      <c r="P5" s="203">
        <f t="shared" si="2"/>
        <v>3</v>
      </c>
      <c r="Q5" s="41">
        <f t="shared" si="0"/>
        <v>0.10064123184521762</v>
      </c>
      <c r="R5" s="41">
        <f t="shared" si="1"/>
        <v>0</v>
      </c>
      <c r="S5" s="205"/>
      <c r="T5" s="205"/>
      <c r="U5">
        <f t="shared" si="3"/>
        <v>15</v>
      </c>
    </row>
    <row r="6" spans="1:21" x14ac:dyDescent="0.25">
      <c r="P6" s="203">
        <f t="shared" si="2"/>
        <v>4</v>
      </c>
      <c r="Q6" s="41">
        <f t="shared" si="0"/>
        <v>0.13418830912695681</v>
      </c>
      <c r="R6" s="41">
        <f t="shared" si="1"/>
        <v>0</v>
      </c>
      <c r="S6" s="205"/>
      <c r="T6" s="205"/>
      <c r="U6">
        <f t="shared" si="3"/>
        <v>20</v>
      </c>
    </row>
    <row r="7" spans="1:21" ht="23.25" x14ac:dyDescent="0.25">
      <c r="A7" s="4" t="s">
        <v>154</v>
      </c>
      <c r="B7" t="s">
        <v>155</v>
      </c>
      <c r="P7" s="203">
        <f t="shared" si="2"/>
        <v>5</v>
      </c>
      <c r="Q7" s="41">
        <f t="shared" si="0"/>
        <v>0.16773538640869601</v>
      </c>
      <c r="R7" s="41">
        <f t="shared" si="1"/>
        <v>0</v>
      </c>
      <c r="S7" s="205"/>
      <c r="T7" s="205"/>
      <c r="U7">
        <f t="shared" si="3"/>
        <v>25</v>
      </c>
    </row>
    <row r="8" spans="1:21" x14ac:dyDescent="0.25">
      <c r="P8" s="203">
        <f t="shared" si="2"/>
        <v>6</v>
      </c>
      <c r="Q8" s="41">
        <f t="shared" si="0"/>
        <v>0.20128246369043523</v>
      </c>
      <c r="R8" s="41">
        <f t="shared" si="1"/>
        <v>0</v>
      </c>
      <c r="S8" s="205"/>
      <c r="T8" s="205"/>
      <c r="U8">
        <f t="shared" si="3"/>
        <v>30</v>
      </c>
    </row>
    <row r="9" spans="1:21" ht="15.75" thickBot="1" x14ac:dyDescent="0.3">
      <c r="P9" s="203">
        <f t="shared" si="2"/>
        <v>7</v>
      </c>
      <c r="Q9" s="41">
        <f t="shared" si="0"/>
        <v>0.23482954097217443</v>
      </c>
      <c r="R9" s="41">
        <f t="shared" si="1"/>
        <v>0</v>
      </c>
      <c r="S9" s="205"/>
      <c r="T9" s="205"/>
      <c r="U9">
        <f t="shared" si="3"/>
        <v>35</v>
      </c>
    </row>
    <row r="10" spans="1:21" ht="16.5" thickTop="1" thickBot="1" x14ac:dyDescent="0.3">
      <c r="A10" s="2" t="s">
        <v>156</v>
      </c>
      <c r="B10" s="389"/>
      <c r="C10" s="11" t="s">
        <v>157</v>
      </c>
      <c r="D10" s="7" t="str">
        <f>IF(C10="Q","",IF(C10="N","","FATAL ERROR! Inserisci si oppure no"))</f>
        <v/>
      </c>
      <c r="E10">
        <v>1</v>
      </c>
      <c r="P10" s="203">
        <f t="shared" si="2"/>
        <v>8</v>
      </c>
      <c r="Q10" s="41">
        <f t="shared" si="0"/>
        <v>0.26837661825391362</v>
      </c>
      <c r="R10" s="41">
        <f t="shared" si="1"/>
        <v>0</v>
      </c>
      <c r="S10" s="205"/>
      <c r="T10" s="205"/>
      <c r="U10">
        <f t="shared" si="3"/>
        <v>40</v>
      </c>
    </row>
    <row r="11" spans="1:21" ht="15.75" thickTop="1" x14ac:dyDescent="0.25">
      <c r="E11">
        <v>2</v>
      </c>
      <c r="P11" s="203">
        <f t="shared" si="2"/>
        <v>9</v>
      </c>
      <c r="Q11" s="41">
        <f t="shared" si="0"/>
        <v>0.30192369553565285</v>
      </c>
      <c r="R11" s="41">
        <f t="shared" si="1"/>
        <v>0</v>
      </c>
      <c r="S11" s="205"/>
      <c r="T11" s="205"/>
      <c r="U11">
        <f t="shared" si="3"/>
        <v>45</v>
      </c>
    </row>
    <row r="12" spans="1:21" x14ac:dyDescent="0.25">
      <c r="E12">
        <v>3</v>
      </c>
      <c r="P12" s="203">
        <f t="shared" si="2"/>
        <v>10</v>
      </c>
      <c r="Q12" s="205">
        <f t="shared" si="0"/>
        <v>0.33547077281739202</v>
      </c>
      <c r="R12" s="41">
        <f t="shared" si="1"/>
        <v>0</v>
      </c>
      <c r="S12" s="205"/>
      <c r="T12" s="205"/>
      <c r="U12">
        <f t="shared" si="3"/>
        <v>50</v>
      </c>
    </row>
    <row r="13" spans="1:21" x14ac:dyDescent="0.25">
      <c r="P13" s="203">
        <f t="shared" si="2"/>
        <v>11</v>
      </c>
      <c r="Q13" s="41">
        <f t="shared" si="0"/>
        <v>0.36901785009913124</v>
      </c>
      <c r="R13" s="41">
        <f t="shared" si="1"/>
        <v>0</v>
      </c>
      <c r="S13" s="205"/>
      <c r="T13" s="205"/>
      <c r="U13">
        <f t="shared" si="3"/>
        <v>55</v>
      </c>
    </row>
    <row r="14" spans="1:21" x14ac:dyDescent="0.25">
      <c r="B14" t="s">
        <v>1026</v>
      </c>
      <c r="P14" s="203">
        <f t="shared" si="2"/>
        <v>12</v>
      </c>
      <c r="Q14" s="41">
        <f t="shared" si="0"/>
        <v>0.40256492738087046</v>
      </c>
      <c r="R14" s="41">
        <f t="shared" si="1"/>
        <v>0</v>
      </c>
      <c r="S14" s="205"/>
      <c r="T14" s="205"/>
      <c r="U14">
        <f t="shared" si="3"/>
        <v>60</v>
      </c>
    </row>
    <row r="15" spans="1:21" x14ac:dyDescent="0.25">
      <c r="B15" t="s">
        <v>1027</v>
      </c>
      <c r="P15" s="203">
        <f t="shared" si="2"/>
        <v>13</v>
      </c>
      <c r="Q15" s="41">
        <f t="shared" si="0"/>
        <v>0.43611200466260963</v>
      </c>
      <c r="R15" s="41">
        <f t="shared" si="1"/>
        <v>0</v>
      </c>
      <c r="S15" s="205"/>
      <c r="T15" s="205"/>
      <c r="U15">
        <f t="shared" si="3"/>
        <v>65</v>
      </c>
    </row>
    <row r="16" spans="1:21" x14ac:dyDescent="0.25">
      <c r="B16" t="s">
        <v>1028</v>
      </c>
      <c r="P16" s="203">
        <f t="shared" si="2"/>
        <v>14</v>
      </c>
      <c r="Q16" s="41">
        <f t="shared" si="0"/>
        <v>0.46965908194434886</v>
      </c>
      <c r="R16" s="41">
        <f t="shared" si="1"/>
        <v>0</v>
      </c>
      <c r="S16" s="205"/>
      <c r="T16" s="205"/>
      <c r="U16">
        <f t="shared" si="3"/>
        <v>70</v>
      </c>
    </row>
    <row r="17" spans="2:21" x14ac:dyDescent="0.25">
      <c r="P17" s="203">
        <f t="shared" si="2"/>
        <v>15</v>
      </c>
      <c r="Q17" s="41">
        <f t="shared" si="0"/>
        <v>0.50320615922608802</v>
      </c>
      <c r="R17" s="41">
        <f t="shared" si="1"/>
        <v>0</v>
      </c>
      <c r="S17" s="205"/>
      <c r="T17" s="205"/>
      <c r="U17">
        <f t="shared" si="3"/>
        <v>75</v>
      </c>
    </row>
    <row r="18" spans="2:21" x14ac:dyDescent="0.25">
      <c r="P18" s="203">
        <f t="shared" si="2"/>
        <v>16</v>
      </c>
      <c r="Q18" s="41">
        <f t="shared" si="0"/>
        <v>0.53675323650782725</v>
      </c>
      <c r="R18" s="41">
        <f t="shared" si="1"/>
        <v>0</v>
      </c>
      <c r="S18" s="205"/>
      <c r="T18" s="205"/>
      <c r="U18">
        <f t="shared" si="3"/>
        <v>80</v>
      </c>
    </row>
    <row r="19" spans="2:21" x14ac:dyDescent="0.25">
      <c r="P19" s="203">
        <f t="shared" si="2"/>
        <v>17</v>
      </c>
      <c r="Q19" s="41">
        <f t="shared" si="0"/>
        <v>0.57030031378956647</v>
      </c>
      <c r="R19" s="41">
        <f t="shared" si="1"/>
        <v>0</v>
      </c>
      <c r="S19" s="205"/>
      <c r="T19" s="205"/>
      <c r="U19">
        <f t="shared" si="3"/>
        <v>85</v>
      </c>
    </row>
    <row r="20" spans="2:21" x14ac:dyDescent="0.25">
      <c r="P20" s="203">
        <f t="shared" si="2"/>
        <v>18</v>
      </c>
      <c r="Q20" s="41">
        <f t="shared" si="0"/>
        <v>0.60384739107130569</v>
      </c>
      <c r="R20" s="41">
        <f t="shared" si="1"/>
        <v>0</v>
      </c>
      <c r="S20" s="205"/>
      <c r="T20" s="205"/>
      <c r="U20">
        <f t="shared" si="3"/>
        <v>90</v>
      </c>
    </row>
    <row r="21" spans="2:21" x14ac:dyDescent="0.25">
      <c r="P21" s="203">
        <f t="shared" si="2"/>
        <v>19</v>
      </c>
      <c r="Q21" s="41">
        <f t="shared" si="0"/>
        <v>0.63739446835304481</v>
      </c>
      <c r="R21" s="41">
        <f t="shared" si="1"/>
        <v>0</v>
      </c>
      <c r="S21" s="205"/>
      <c r="T21" s="205"/>
      <c r="U21">
        <f t="shared" si="3"/>
        <v>95</v>
      </c>
    </row>
    <row r="22" spans="2:21" x14ac:dyDescent="0.25">
      <c r="P22" s="203">
        <f t="shared" si="2"/>
        <v>20</v>
      </c>
      <c r="Q22" s="41">
        <f t="shared" si="0"/>
        <v>0.67094154563478403</v>
      </c>
      <c r="R22" s="41">
        <f t="shared" si="1"/>
        <v>0</v>
      </c>
      <c r="S22" s="205"/>
      <c r="T22" s="205"/>
      <c r="U22">
        <f t="shared" si="3"/>
        <v>100</v>
      </c>
    </row>
    <row r="23" spans="2:21" x14ac:dyDescent="0.25">
      <c r="P23" s="203">
        <f t="shared" si="2"/>
        <v>21</v>
      </c>
      <c r="Q23" s="41">
        <f t="shared" si="0"/>
        <v>0.70448862291652325</v>
      </c>
      <c r="R23" s="41">
        <f t="shared" si="1"/>
        <v>0</v>
      </c>
      <c r="S23" s="205"/>
      <c r="T23" s="205"/>
    </row>
    <row r="24" spans="2:21" x14ac:dyDescent="0.25">
      <c r="P24" s="203">
        <f t="shared" si="2"/>
        <v>22</v>
      </c>
      <c r="Q24" s="41">
        <f t="shared" si="0"/>
        <v>0.73803570019826248</v>
      </c>
      <c r="R24" s="41">
        <f t="shared" si="1"/>
        <v>0</v>
      </c>
      <c r="S24" s="205"/>
      <c r="T24" s="205"/>
    </row>
    <row r="25" spans="2:21" ht="15.75" thickBot="1" x14ac:dyDescent="0.3">
      <c r="P25" s="203">
        <f t="shared" si="2"/>
        <v>23</v>
      </c>
      <c r="Q25" s="41">
        <f t="shared" si="0"/>
        <v>0.7715827774800017</v>
      </c>
      <c r="R25" s="41">
        <f t="shared" si="1"/>
        <v>0</v>
      </c>
      <c r="S25" s="205"/>
      <c r="T25" s="205"/>
    </row>
    <row r="26" spans="2:21" ht="17.25" thickTop="1" thickBot="1" x14ac:dyDescent="0.3">
      <c r="B26" t="s">
        <v>159</v>
      </c>
      <c r="E26" s="4">
        <v>1</v>
      </c>
      <c r="F26" s="5" t="s">
        <v>160</v>
      </c>
      <c r="G26" s="21">
        <f>IF('VER. GEO CONDIZIONI DRENATE'!E49='FOGLIO DEPOSITO'!F26,1,IF('VER. GEO CONDIZIONI DRENATE'!E49='FOGLIO DEPOSITO'!F27,2,IF('VER. GEO CONDIZIONI DRENATE'!E49='FOGLIO DEPOSITO'!F28,3,"")))</f>
        <v>3</v>
      </c>
      <c r="H26" s="4"/>
      <c r="I26" t="s">
        <v>161</v>
      </c>
      <c r="P26" s="203">
        <f t="shared" si="2"/>
        <v>24</v>
      </c>
      <c r="Q26" s="41">
        <f t="shared" si="0"/>
        <v>0.80512985476174093</v>
      </c>
      <c r="R26" s="41">
        <f t="shared" si="1"/>
        <v>0</v>
      </c>
      <c r="S26" s="205"/>
      <c r="T26" s="205"/>
    </row>
    <row r="27" spans="2:21" ht="15.75" thickTop="1" x14ac:dyDescent="0.25">
      <c r="B27" t="s">
        <v>162</v>
      </c>
      <c r="E27" s="4">
        <v>2</v>
      </c>
      <c r="F27" s="5" t="s">
        <v>163</v>
      </c>
      <c r="G27" s="4"/>
      <c r="H27" s="4"/>
      <c r="I27" t="s">
        <v>158</v>
      </c>
      <c r="P27" s="203">
        <f t="shared" si="2"/>
        <v>25</v>
      </c>
      <c r="Q27" s="41">
        <f t="shared" si="0"/>
        <v>0.83867693204348004</v>
      </c>
      <c r="R27" s="41">
        <f t="shared" si="1"/>
        <v>0</v>
      </c>
      <c r="S27" s="205"/>
      <c r="T27" s="205"/>
    </row>
    <row r="28" spans="2:21" x14ac:dyDescent="0.25">
      <c r="E28" s="4">
        <v>3</v>
      </c>
      <c r="F28" s="5" t="s">
        <v>164</v>
      </c>
      <c r="G28" s="4"/>
      <c r="H28" s="4"/>
      <c r="P28" s="203">
        <f t="shared" si="2"/>
        <v>26</v>
      </c>
      <c r="Q28" s="41">
        <f t="shared" si="0"/>
        <v>0.87222400932521926</v>
      </c>
      <c r="R28" s="41">
        <f t="shared" si="1"/>
        <v>0</v>
      </c>
      <c r="S28" s="205"/>
      <c r="T28" s="205"/>
    </row>
    <row r="29" spans="2:21" x14ac:dyDescent="0.25">
      <c r="P29" s="203">
        <f t="shared" si="2"/>
        <v>27</v>
      </c>
      <c r="Q29" s="41">
        <f t="shared" si="0"/>
        <v>0.90577108660695849</v>
      </c>
      <c r="R29" s="41">
        <f t="shared" si="1"/>
        <v>0</v>
      </c>
      <c r="S29" s="205"/>
      <c r="T29" s="205"/>
    </row>
    <row r="30" spans="2:21" x14ac:dyDescent="0.25">
      <c r="P30" s="203">
        <f t="shared" si="2"/>
        <v>28</v>
      </c>
      <c r="Q30" s="41">
        <f t="shared" si="0"/>
        <v>0.93931816388869771</v>
      </c>
      <c r="R30" s="41">
        <f t="shared" si="1"/>
        <v>0</v>
      </c>
      <c r="S30" s="205"/>
      <c r="T30" s="205"/>
    </row>
    <row r="31" spans="2:21" x14ac:dyDescent="0.25">
      <c r="P31" s="203">
        <f t="shared" si="2"/>
        <v>29</v>
      </c>
      <c r="Q31" s="41">
        <f t="shared" si="0"/>
        <v>0.97286524117043693</v>
      </c>
      <c r="R31" s="41">
        <f t="shared" si="1"/>
        <v>0</v>
      </c>
      <c r="S31" s="205"/>
      <c r="T31" s="205"/>
    </row>
    <row r="32" spans="2:21" x14ac:dyDescent="0.25">
      <c r="P32" s="203">
        <f t="shared" si="2"/>
        <v>30</v>
      </c>
      <c r="Q32" s="41">
        <f t="shared" si="0"/>
        <v>1.006412318452176</v>
      </c>
      <c r="R32" s="41">
        <f t="shared" si="1"/>
        <v>0</v>
      </c>
      <c r="S32" s="205"/>
      <c r="T32" s="205"/>
    </row>
    <row r="33" spans="2:20" x14ac:dyDescent="0.25">
      <c r="P33" s="203">
        <f t="shared" si="2"/>
        <v>31</v>
      </c>
      <c r="Q33" s="41">
        <f t="shared" si="0"/>
        <v>1.0399593957339153</v>
      </c>
      <c r="R33" s="41">
        <f t="shared" si="1"/>
        <v>0</v>
      </c>
      <c r="S33" s="205"/>
      <c r="T33" s="205"/>
    </row>
    <row r="34" spans="2:20" x14ac:dyDescent="0.25">
      <c r="B34" s="1" t="s">
        <v>165</v>
      </c>
      <c r="C34" s="2"/>
      <c r="D34" s="4"/>
      <c r="E34" s="2"/>
      <c r="F34" s="2"/>
      <c r="G34" s="2"/>
      <c r="H34" s="2"/>
      <c r="P34" s="203">
        <f t="shared" si="2"/>
        <v>32</v>
      </c>
      <c r="Q34" s="41">
        <f t="shared" ref="Q34:Q65" si="4">$Q$1/$P$152*P34</f>
        <v>1.0735064730156545</v>
      </c>
      <c r="R34" s="41">
        <f t="shared" ref="R34:R65" si="5">$R$1/$P$152*P34</f>
        <v>0</v>
      </c>
      <c r="S34" s="205"/>
      <c r="T34" s="205"/>
    </row>
    <row r="35" spans="2:20" x14ac:dyDescent="0.25">
      <c r="B35" s="13" t="s">
        <v>166</v>
      </c>
      <c r="C35" s="2"/>
      <c r="D35" s="4"/>
      <c r="E35" s="2"/>
      <c r="F35" s="2"/>
      <c r="G35" s="2"/>
      <c r="H35" s="2"/>
      <c r="P35" s="203">
        <f t="shared" ref="P35:P67" si="6">P34+1</f>
        <v>33</v>
      </c>
      <c r="Q35" s="41">
        <f t="shared" si="4"/>
        <v>1.1070535502973937</v>
      </c>
      <c r="R35" s="41">
        <f t="shared" si="5"/>
        <v>0</v>
      </c>
      <c r="S35" s="205"/>
      <c r="T35" s="205"/>
    </row>
    <row r="36" spans="2:20" x14ac:dyDescent="0.25">
      <c r="B36" s="13" t="s">
        <v>167</v>
      </c>
      <c r="C36" s="2"/>
      <c r="D36" s="4"/>
      <c r="E36" s="2"/>
      <c r="F36" s="2"/>
      <c r="G36" s="2"/>
      <c r="H36" s="2"/>
      <c r="P36" s="203">
        <f t="shared" si="6"/>
        <v>34</v>
      </c>
      <c r="Q36" s="41">
        <f t="shared" si="4"/>
        <v>1.1406006275791329</v>
      </c>
      <c r="R36" s="41">
        <f t="shared" si="5"/>
        <v>0</v>
      </c>
      <c r="S36" s="205"/>
      <c r="T36" s="205"/>
    </row>
    <row r="37" spans="2:20" x14ac:dyDescent="0.25">
      <c r="B37" s="13" t="s">
        <v>168</v>
      </c>
      <c r="C37" s="2"/>
      <c r="D37" s="4"/>
      <c r="E37" s="2"/>
      <c r="F37" s="2"/>
      <c r="G37" s="2"/>
      <c r="H37" s="2"/>
      <c r="P37" s="203">
        <f t="shared" si="6"/>
        <v>35</v>
      </c>
      <c r="Q37" s="41">
        <f t="shared" si="4"/>
        <v>1.1741477048608722</v>
      </c>
      <c r="R37" s="41">
        <f t="shared" si="5"/>
        <v>0</v>
      </c>
      <c r="S37" s="205"/>
      <c r="T37" s="205"/>
    </row>
    <row r="38" spans="2:20" x14ac:dyDescent="0.25">
      <c r="B38" s="2" t="s">
        <v>169</v>
      </c>
      <c r="C38" s="2"/>
      <c r="D38" s="2"/>
      <c r="E38" s="2"/>
      <c r="F38" s="2"/>
      <c r="G38" s="2"/>
      <c r="H38" s="2"/>
      <c r="P38" s="203">
        <f t="shared" si="6"/>
        <v>36</v>
      </c>
      <c r="Q38" s="41">
        <f t="shared" si="4"/>
        <v>1.2076947821426114</v>
      </c>
      <c r="R38" s="41">
        <f t="shared" si="5"/>
        <v>0</v>
      </c>
      <c r="S38" s="205"/>
      <c r="T38" s="205"/>
    </row>
    <row r="39" spans="2:20" ht="15.75" thickBot="1" x14ac:dyDescent="0.3">
      <c r="B39" s="2"/>
      <c r="C39" s="2"/>
      <c r="D39" s="389" t="s">
        <v>170</v>
      </c>
      <c r="E39" s="389" t="s">
        <v>171</v>
      </c>
      <c r="F39" s="389" t="s">
        <v>172</v>
      </c>
      <c r="G39" s="2"/>
      <c r="H39" s="2"/>
      <c r="P39" s="203">
        <f t="shared" si="6"/>
        <v>37</v>
      </c>
      <c r="Q39" s="41">
        <f t="shared" si="4"/>
        <v>1.2412418594243506</v>
      </c>
      <c r="R39" s="41">
        <f t="shared" si="5"/>
        <v>0</v>
      </c>
      <c r="S39" s="205"/>
      <c r="T39" s="205"/>
    </row>
    <row r="40" spans="2:20" ht="16.5" thickTop="1" thickBot="1" x14ac:dyDescent="0.3">
      <c r="B40" s="2" t="s">
        <v>173</v>
      </c>
      <c r="C40" s="389" t="s">
        <v>174</v>
      </c>
      <c r="D40" s="36">
        <f>'Sollecitazioni nella zattera'!E72+MAXA('ANALISI DELLE SPINTE'!K46,'ANALISI DELLE SPINTE'!K110)</f>
        <v>1057.9682031089599</v>
      </c>
      <c r="E40" s="35"/>
      <c r="F40" s="35"/>
      <c r="G40" s="4" t="s">
        <v>12</v>
      </c>
      <c r="P40" s="203">
        <f t="shared" si="6"/>
        <v>38</v>
      </c>
      <c r="Q40" s="41">
        <f t="shared" si="4"/>
        <v>1.2747889367060896</v>
      </c>
      <c r="R40" s="41">
        <f t="shared" si="5"/>
        <v>0</v>
      </c>
      <c r="S40" s="205"/>
      <c r="T40" s="205"/>
    </row>
    <row r="41" spans="2:20" ht="16.5" thickTop="1" thickBot="1" x14ac:dyDescent="0.3">
      <c r="B41" s="2" t="s">
        <v>175</v>
      </c>
      <c r="C41" s="389" t="s">
        <v>176</v>
      </c>
      <c r="D41" s="36"/>
      <c r="E41" s="36"/>
      <c r="F41" s="36"/>
      <c r="G41" s="4" t="s">
        <v>12</v>
      </c>
      <c r="P41" s="203">
        <f t="shared" si="6"/>
        <v>39</v>
      </c>
      <c r="Q41" s="41">
        <f t="shared" si="4"/>
        <v>1.3083360139878288</v>
      </c>
      <c r="R41" s="41">
        <f t="shared" si="5"/>
        <v>0</v>
      </c>
      <c r="S41" s="205"/>
      <c r="T41" s="205"/>
    </row>
    <row r="42" spans="2:20" ht="16.5" thickTop="1" thickBot="1" x14ac:dyDescent="0.3">
      <c r="B42" s="2" t="s">
        <v>177</v>
      </c>
      <c r="C42" s="389" t="s">
        <v>178</v>
      </c>
      <c r="D42" s="36">
        <f>'Sollecitazioni nella zattera'!F60</f>
        <v>367.76933278733725</v>
      </c>
      <c r="E42" s="36"/>
      <c r="F42" s="36"/>
      <c r="G42" s="4" t="s">
        <v>12</v>
      </c>
      <c r="P42" s="203">
        <f t="shared" si="6"/>
        <v>40</v>
      </c>
      <c r="Q42" s="41">
        <f t="shared" si="4"/>
        <v>1.3418830912695681</v>
      </c>
      <c r="R42" s="41">
        <f t="shared" si="5"/>
        <v>0</v>
      </c>
      <c r="S42" s="205"/>
      <c r="T42" s="205"/>
    </row>
    <row r="43" spans="2:20" ht="16.5" thickTop="1" thickBot="1" x14ac:dyDescent="0.3">
      <c r="B43" s="2" t="s">
        <v>179</v>
      </c>
      <c r="C43" s="389" t="s">
        <v>180</v>
      </c>
      <c r="D43" s="35"/>
      <c r="E43" s="35"/>
      <c r="F43" s="35"/>
      <c r="G43" s="4" t="s">
        <v>14</v>
      </c>
      <c r="P43" s="203">
        <f t="shared" si="6"/>
        <v>41</v>
      </c>
      <c r="Q43" s="41">
        <f t="shared" si="4"/>
        <v>1.3754301685513073</v>
      </c>
      <c r="R43" s="41">
        <f t="shared" si="5"/>
        <v>0</v>
      </c>
      <c r="S43" s="205"/>
      <c r="T43" s="205"/>
    </row>
    <row r="44" spans="2:20" ht="16.5" thickTop="1" thickBot="1" x14ac:dyDescent="0.3">
      <c r="B44" s="2" t="s">
        <v>181</v>
      </c>
      <c r="C44" s="389" t="s">
        <v>182</v>
      </c>
      <c r="D44" s="36">
        <v>0</v>
      </c>
      <c r="E44" s="36"/>
      <c r="F44" s="36"/>
      <c r="G44" s="4" t="s">
        <v>14</v>
      </c>
      <c r="P44" s="203">
        <f t="shared" si="6"/>
        <v>42</v>
      </c>
      <c r="Q44" s="41">
        <f t="shared" si="4"/>
        <v>1.4089772458330465</v>
      </c>
      <c r="R44" s="41">
        <f t="shared" si="5"/>
        <v>0</v>
      </c>
      <c r="S44" s="205"/>
      <c r="T44" s="205"/>
    </row>
    <row r="45" spans="2:20" ht="15.75" thickTop="1" x14ac:dyDescent="0.25">
      <c r="C45" s="389"/>
      <c r="D45" s="19"/>
      <c r="E45" s="19"/>
      <c r="F45" s="19"/>
      <c r="G45" s="4"/>
      <c r="P45" s="203">
        <f t="shared" si="6"/>
        <v>43</v>
      </c>
      <c r="Q45" s="41">
        <f t="shared" si="4"/>
        <v>1.4425243231147857</v>
      </c>
      <c r="R45" s="41">
        <f t="shared" si="5"/>
        <v>0</v>
      </c>
      <c r="S45" s="205"/>
      <c r="T45" s="205"/>
    </row>
    <row r="46" spans="2:20" x14ac:dyDescent="0.25">
      <c r="B46" s="2" t="s">
        <v>183</v>
      </c>
      <c r="C46" s="389" t="s">
        <v>184</v>
      </c>
      <c r="D46" s="33">
        <f>(D41^2+D42^2)^0.5</f>
        <v>367.76933278733725</v>
      </c>
      <c r="E46" s="33">
        <f>(E41^2+E42^2)^0.5</f>
        <v>0</v>
      </c>
      <c r="F46" s="33">
        <f>(F41^2+F42^2)^0.5</f>
        <v>0</v>
      </c>
      <c r="G46" s="4" t="s">
        <v>12</v>
      </c>
      <c r="P46" s="203">
        <f t="shared" si="6"/>
        <v>44</v>
      </c>
      <c r="Q46" s="41">
        <f t="shared" si="4"/>
        <v>1.476071400396525</v>
      </c>
      <c r="R46" s="41">
        <f t="shared" si="5"/>
        <v>0</v>
      </c>
      <c r="S46" s="205"/>
      <c r="T46" s="205"/>
    </row>
    <row r="47" spans="2:20" x14ac:dyDescent="0.25">
      <c r="B47" s="2"/>
      <c r="H47" s="2"/>
      <c r="P47" s="203">
        <f t="shared" si="6"/>
        <v>45</v>
      </c>
      <c r="Q47" s="41">
        <f t="shared" si="4"/>
        <v>1.5096184776782642</v>
      </c>
      <c r="R47" s="41">
        <f t="shared" si="5"/>
        <v>0</v>
      </c>
      <c r="S47" s="205"/>
      <c r="T47" s="205"/>
    </row>
    <row r="48" spans="2:20" ht="15.75" x14ac:dyDescent="0.25">
      <c r="B48" s="26" t="s">
        <v>185</v>
      </c>
      <c r="C48" s="389"/>
      <c r="D48" s="19"/>
      <c r="E48" s="4"/>
      <c r="F48" s="2"/>
      <c r="G48" s="2"/>
      <c r="H48" s="2"/>
      <c r="P48" s="203">
        <f t="shared" si="6"/>
        <v>46</v>
      </c>
      <c r="Q48" s="41">
        <f t="shared" si="4"/>
        <v>1.5431655549600034</v>
      </c>
      <c r="R48" s="41">
        <f t="shared" si="5"/>
        <v>0</v>
      </c>
      <c r="S48" s="205"/>
      <c r="T48" s="205"/>
    </row>
    <row r="49" spans="2:20" x14ac:dyDescent="0.25">
      <c r="B49" s="2" t="s">
        <v>186</v>
      </c>
      <c r="C49" s="389"/>
      <c r="D49" s="19"/>
      <c r="E49" s="4"/>
      <c r="F49" s="2"/>
      <c r="G49" s="2"/>
      <c r="H49" s="2"/>
      <c r="P49" s="203">
        <f t="shared" si="6"/>
        <v>47</v>
      </c>
      <c r="Q49" s="41">
        <f t="shared" si="4"/>
        <v>1.5767126322417426</v>
      </c>
      <c r="R49" s="41">
        <f t="shared" si="5"/>
        <v>0</v>
      </c>
      <c r="S49" s="205"/>
      <c r="T49" s="205"/>
    </row>
    <row r="50" spans="2:20" x14ac:dyDescent="0.25">
      <c r="B50" s="2" t="s">
        <v>187</v>
      </c>
      <c r="C50" s="389"/>
      <c r="D50" s="19"/>
      <c r="E50" s="4"/>
      <c r="F50" s="2"/>
      <c r="G50" s="2"/>
      <c r="H50" s="2"/>
      <c r="P50" s="203">
        <f t="shared" si="6"/>
        <v>48</v>
      </c>
      <c r="Q50" s="41">
        <f t="shared" si="4"/>
        <v>1.6102597095234819</v>
      </c>
      <c r="R50" s="41">
        <f t="shared" si="5"/>
        <v>0</v>
      </c>
      <c r="S50" s="205"/>
      <c r="T50" s="205"/>
    </row>
    <row r="51" spans="2:20" x14ac:dyDescent="0.25">
      <c r="B51" s="2" t="s">
        <v>188</v>
      </c>
      <c r="C51" s="389"/>
      <c r="D51" s="19"/>
      <c r="E51" s="4"/>
      <c r="F51" s="2"/>
      <c r="G51" s="2"/>
      <c r="H51" s="2"/>
      <c r="P51" s="203">
        <f t="shared" si="6"/>
        <v>49</v>
      </c>
      <c r="Q51" s="41">
        <f t="shared" si="4"/>
        <v>1.6438067868052209</v>
      </c>
      <c r="R51" s="41">
        <f t="shared" si="5"/>
        <v>0</v>
      </c>
      <c r="S51" s="205"/>
      <c r="T51" s="205"/>
    </row>
    <row r="52" spans="2:20" x14ac:dyDescent="0.25">
      <c r="B52" s="2" t="s">
        <v>189</v>
      </c>
      <c r="C52" s="389"/>
      <c r="D52" s="19"/>
      <c r="E52" s="4"/>
      <c r="F52" s="2"/>
      <c r="G52" s="2"/>
      <c r="H52" s="2"/>
      <c r="P52" s="203">
        <f t="shared" si="6"/>
        <v>50</v>
      </c>
      <c r="Q52" s="41">
        <f t="shared" si="4"/>
        <v>1.6773538640869601</v>
      </c>
      <c r="R52" s="41">
        <f t="shared" si="5"/>
        <v>0</v>
      </c>
      <c r="S52" s="205"/>
      <c r="T52" s="205"/>
    </row>
    <row r="53" spans="2:20" x14ac:dyDescent="0.25">
      <c r="B53" s="32"/>
      <c r="C53" s="32"/>
      <c r="D53" s="32"/>
      <c r="E53" s="32"/>
      <c r="F53" s="32"/>
      <c r="P53" s="203">
        <f t="shared" si="6"/>
        <v>51</v>
      </c>
      <c r="Q53" s="41">
        <f t="shared" si="4"/>
        <v>1.7109009413686993</v>
      </c>
      <c r="R53" s="41">
        <f t="shared" si="5"/>
        <v>0</v>
      </c>
      <c r="S53" s="205"/>
      <c r="T53" s="205"/>
    </row>
    <row r="54" spans="2:20" x14ac:dyDescent="0.25">
      <c r="B54" s="32"/>
      <c r="C54" s="32"/>
      <c r="D54" s="32"/>
      <c r="E54" s="32"/>
      <c r="F54" s="32"/>
      <c r="P54" s="203">
        <f t="shared" si="6"/>
        <v>52</v>
      </c>
      <c r="Q54" s="41">
        <f t="shared" si="4"/>
        <v>1.7444480186504385</v>
      </c>
      <c r="R54" s="41">
        <f t="shared" si="5"/>
        <v>0</v>
      </c>
      <c r="S54" s="205"/>
      <c r="T54" s="205"/>
    </row>
    <row r="55" spans="2:20" x14ac:dyDescent="0.25">
      <c r="B55" s="327"/>
      <c r="C55" s="327"/>
      <c r="D55" s="327"/>
      <c r="E55" s="327"/>
      <c r="F55" s="327"/>
      <c r="P55" s="203">
        <f t="shared" si="6"/>
        <v>53</v>
      </c>
      <c r="Q55" s="41">
        <f t="shared" si="4"/>
        <v>1.7779950959321777</v>
      </c>
      <c r="R55" s="41">
        <f t="shared" si="5"/>
        <v>0</v>
      </c>
      <c r="S55" s="205"/>
      <c r="T55" s="205"/>
    </row>
    <row r="56" spans="2:20" x14ac:dyDescent="0.25">
      <c r="B56" s="327"/>
      <c r="C56" s="327"/>
      <c r="D56" s="327"/>
      <c r="E56" s="327"/>
      <c r="F56" s="327"/>
      <c r="P56" s="203">
        <f t="shared" si="6"/>
        <v>54</v>
      </c>
      <c r="Q56" s="41">
        <f t="shared" si="4"/>
        <v>1.811542173213917</v>
      </c>
      <c r="R56" s="41">
        <f t="shared" si="5"/>
        <v>0</v>
      </c>
      <c r="S56" s="205"/>
      <c r="T56" s="205"/>
    </row>
    <row r="57" spans="2:20" x14ac:dyDescent="0.25">
      <c r="B57" s="32"/>
      <c r="C57" s="32"/>
      <c r="D57" s="32"/>
      <c r="E57" s="32"/>
      <c r="F57" s="32"/>
      <c r="P57" s="203">
        <f t="shared" si="6"/>
        <v>55</v>
      </c>
      <c r="Q57" s="41">
        <f t="shared" si="4"/>
        <v>1.8450892504956562</v>
      </c>
      <c r="R57" s="41">
        <f t="shared" si="5"/>
        <v>0</v>
      </c>
      <c r="S57" s="205"/>
      <c r="T57" s="205"/>
    </row>
    <row r="58" spans="2:20" x14ac:dyDescent="0.25">
      <c r="B58" s="23"/>
      <c r="C58" s="57"/>
      <c r="D58" s="175"/>
      <c r="E58" s="19"/>
      <c r="F58" s="32"/>
      <c r="P58" s="203">
        <f t="shared" si="6"/>
        <v>56</v>
      </c>
      <c r="Q58" s="41">
        <f t="shared" si="4"/>
        <v>1.8786363277773954</v>
      </c>
      <c r="R58" s="41">
        <f t="shared" si="5"/>
        <v>0</v>
      </c>
      <c r="S58" s="205"/>
      <c r="T58" s="205"/>
    </row>
    <row r="59" spans="2:20" x14ac:dyDescent="0.25">
      <c r="B59" s="23"/>
      <c r="C59" s="57"/>
      <c r="D59" s="175"/>
      <c r="E59" s="19"/>
      <c r="F59" s="32"/>
      <c r="P59" s="203">
        <f t="shared" si="6"/>
        <v>57</v>
      </c>
      <c r="Q59" s="41">
        <f t="shared" si="4"/>
        <v>1.9121834050591346</v>
      </c>
      <c r="R59" s="41">
        <f t="shared" si="5"/>
        <v>0</v>
      </c>
      <c r="S59" s="205"/>
      <c r="T59" s="205"/>
    </row>
    <row r="60" spans="2:20" x14ac:dyDescent="0.25">
      <c r="B60" s="325"/>
      <c r="C60" s="325"/>
      <c r="D60" s="326"/>
      <c r="E60" s="19"/>
      <c r="F60" s="32"/>
      <c r="P60" s="203">
        <f t="shared" si="6"/>
        <v>58</v>
      </c>
      <c r="Q60" s="41">
        <f t="shared" si="4"/>
        <v>1.9457304823408739</v>
      </c>
      <c r="R60" s="41">
        <f t="shared" si="5"/>
        <v>0</v>
      </c>
      <c r="S60" s="205"/>
      <c r="T60" s="205"/>
    </row>
    <row r="61" spans="2:20" x14ac:dyDescent="0.25">
      <c r="B61" s="45"/>
      <c r="C61" s="45"/>
      <c r="D61" s="32"/>
      <c r="E61" s="32"/>
      <c r="F61" s="32"/>
      <c r="P61" s="203">
        <f t="shared" si="6"/>
        <v>59</v>
      </c>
      <c r="Q61" s="41">
        <f t="shared" si="4"/>
        <v>1.9792775596226129</v>
      </c>
      <c r="R61" s="41">
        <f t="shared" si="5"/>
        <v>0</v>
      </c>
      <c r="S61" s="205"/>
      <c r="T61" s="205"/>
    </row>
    <row r="62" spans="2:20" x14ac:dyDescent="0.25">
      <c r="P62" s="203">
        <f t="shared" si="6"/>
        <v>60</v>
      </c>
      <c r="Q62" s="41">
        <f t="shared" si="4"/>
        <v>2.0128246369043521</v>
      </c>
      <c r="R62" s="41">
        <f t="shared" si="5"/>
        <v>0</v>
      </c>
      <c r="S62" s="205"/>
      <c r="T62" s="205"/>
    </row>
    <row r="63" spans="2:20" ht="15.75" x14ac:dyDescent="0.25">
      <c r="B63" s="51" t="s">
        <v>190</v>
      </c>
      <c r="C63" s="52"/>
      <c r="D63" s="52"/>
      <c r="E63" s="52"/>
      <c r="F63" s="52"/>
      <c r="G63" s="53"/>
      <c r="H63" s="288"/>
      <c r="I63" s="261"/>
      <c r="J63" s="261"/>
      <c r="K63" s="261"/>
      <c r="L63" s="262"/>
      <c r="P63" s="203">
        <f t="shared" si="6"/>
        <v>61</v>
      </c>
      <c r="Q63" s="41">
        <f t="shared" si="4"/>
        <v>2.0463717141860913</v>
      </c>
      <c r="R63" s="41">
        <f t="shared" si="5"/>
        <v>0</v>
      </c>
      <c r="S63" s="205"/>
      <c r="T63" s="205"/>
    </row>
    <row r="64" spans="2:20" ht="15.75" x14ac:dyDescent="0.25">
      <c r="B64" s="54"/>
      <c r="C64" s="23"/>
      <c r="D64" s="862" t="s">
        <v>191</v>
      </c>
      <c r="E64" s="862"/>
      <c r="F64" s="862" t="s">
        <v>192</v>
      </c>
      <c r="G64" s="863"/>
      <c r="H64" s="222"/>
      <c r="I64" s="32"/>
      <c r="J64" s="32"/>
      <c r="K64" s="32"/>
      <c r="L64" s="204"/>
      <c r="P64" s="203">
        <f t="shared" si="6"/>
        <v>62</v>
      </c>
      <c r="Q64" s="41">
        <f t="shared" si="4"/>
        <v>2.0799187914678305</v>
      </c>
      <c r="R64" s="41">
        <f t="shared" si="5"/>
        <v>0</v>
      </c>
      <c r="S64" s="205"/>
      <c r="T64" s="205"/>
    </row>
    <row r="65" spans="2:20" x14ac:dyDescent="0.25">
      <c r="B65" s="54"/>
      <c r="C65" s="23"/>
      <c r="D65" s="864" t="s">
        <v>193</v>
      </c>
      <c r="E65" s="864"/>
      <c r="F65" s="864" t="s">
        <v>194</v>
      </c>
      <c r="G65" s="865"/>
      <c r="H65" s="222"/>
      <c r="I65" s="32"/>
      <c r="J65" s="32"/>
      <c r="K65" s="32"/>
      <c r="L65" s="204"/>
      <c r="P65" s="203">
        <f t="shared" si="6"/>
        <v>63</v>
      </c>
      <c r="Q65" s="41">
        <f t="shared" si="4"/>
        <v>2.1134658687495698</v>
      </c>
      <c r="R65" s="41">
        <f t="shared" si="5"/>
        <v>0</v>
      </c>
      <c r="S65" s="205"/>
      <c r="T65" s="205"/>
    </row>
    <row r="66" spans="2:20" x14ac:dyDescent="0.25">
      <c r="B66" s="54"/>
      <c r="C66" s="388" t="s">
        <v>170</v>
      </c>
      <c r="D66" s="393">
        <v>0.9</v>
      </c>
      <c r="E66" s="393">
        <f>IF('FOGLIO DEPOSITO'!B222='FOGLIO DEPOSITO'!I72,1,1.3)</f>
        <v>1.3</v>
      </c>
      <c r="F66" s="393">
        <v>1</v>
      </c>
      <c r="G66" s="55">
        <v>1</v>
      </c>
      <c r="H66" s="222"/>
      <c r="I66" s="315" t="s">
        <v>195</v>
      </c>
      <c r="J66" s="32"/>
      <c r="K66" s="32"/>
      <c r="L66" s="204"/>
      <c r="P66" s="203">
        <f t="shared" si="6"/>
        <v>64</v>
      </c>
      <c r="Q66" s="41">
        <f t="shared" ref="Q66:Q97" si="7">$Q$1/$P$152*P66</f>
        <v>2.147012946031309</v>
      </c>
      <c r="R66" s="41">
        <f t="shared" ref="R66:R97" si="8">$R$1/$P$152*P66</f>
        <v>0</v>
      </c>
      <c r="S66" s="205"/>
      <c r="T66" s="205"/>
    </row>
    <row r="67" spans="2:20" x14ac:dyDescent="0.25">
      <c r="B67" s="54"/>
      <c r="C67" s="388" t="s">
        <v>171</v>
      </c>
      <c r="D67" s="393">
        <v>0</v>
      </c>
      <c r="E67" s="393">
        <f>IF('FOGLIO DEPOSITO'!B222='FOGLIO DEPOSITO'!I72,1,1.5)</f>
        <v>1.5</v>
      </c>
      <c r="F67" s="393">
        <v>0</v>
      </c>
      <c r="G67" s="55">
        <f>IF('FOGLIO DEPOSITO'!B222='FOGLIO DEPOSITO'!I72,1,1.3)</f>
        <v>1.3</v>
      </c>
      <c r="H67" s="222"/>
      <c r="I67" s="315" t="s">
        <v>196</v>
      </c>
      <c r="J67" s="32"/>
      <c r="K67" s="32"/>
      <c r="L67" s="204"/>
      <c r="P67" s="203">
        <f t="shared" si="6"/>
        <v>65</v>
      </c>
      <c r="Q67" s="41">
        <f t="shared" si="7"/>
        <v>2.1805600233130482</v>
      </c>
      <c r="R67" s="41">
        <f t="shared" si="8"/>
        <v>0</v>
      </c>
      <c r="S67" s="205"/>
      <c r="T67" s="205"/>
    </row>
    <row r="68" spans="2:20" x14ac:dyDescent="0.25">
      <c r="B68" s="54"/>
      <c r="C68" s="388" t="s">
        <v>172</v>
      </c>
      <c r="D68" s="393">
        <v>0</v>
      </c>
      <c r="E68" s="393">
        <f>IF('FOGLIO DEPOSITO'!B222='FOGLIO DEPOSITO'!I72,1,1.5)</f>
        <v>1.5</v>
      </c>
      <c r="F68" s="393">
        <v>0</v>
      </c>
      <c r="G68" s="55">
        <f>IF('FOGLIO DEPOSITO'!B222='FOGLIO DEPOSITO'!I72,1,1.3)</f>
        <v>1.3</v>
      </c>
      <c r="H68" s="222"/>
      <c r="I68" s="315" t="s">
        <v>197</v>
      </c>
      <c r="J68" s="32"/>
      <c r="K68" s="32"/>
      <c r="L68" s="204"/>
      <c r="P68" s="203">
        <f>P67+1</f>
        <v>66</v>
      </c>
      <c r="Q68" s="41">
        <f t="shared" si="7"/>
        <v>2.2141071005947874</v>
      </c>
      <c r="R68" s="41">
        <f t="shared" si="8"/>
        <v>0</v>
      </c>
      <c r="S68" s="205"/>
      <c r="T68" s="205"/>
    </row>
    <row r="69" spans="2:20" ht="15.75" thickBot="1" x14ac:dyDescent="0.3">
      <c r="B69" s="54"/>
      <c r="C69" s="23"/>
      <c r="D69" s="23"/>
      <c r="E69" s="19"/>
      <c r="F69" s="23"/>
      <c r="G69" s="56"/>
      <c r="H69" s="222"/>
      <c r="I69" s="23" t="s">
        <v>198</v>
      </c>
      <c r="J69" s="32"/>
      <c r="K69" s="32"/>
      <c r="L69" s="204"/>
      <c r="P69" s="203">
        <f>P68+1</f>
        <v>67</v>
      </c>
      <c r="Q69" s="41">
        <f t="shared" si="7"/>
        <v>2.2476541778765267</v>
      </c>
      <c r="R69" s="41">
        <f t="shared" si="8"/>
        <v>0</v>
      </c>
      <c r="S69" s="205"/>
      <c r="T69" s="205"/>
    </row>
    <row r="70" spans="2:20" ht="17.25" thickTop="1" thickBot="1" x14ac:dyDescent="0.3">
      <c r="B70" s="54"/>
      <c r="C70" s="23"/>
      <c r="D70" s="388" t="s">
        <v>199</v>
      </c>
      <c r="E70" s="388" t="s">
        <v>200</v>
      </c>
      <c r="F70" s="23"/>
      <c r="G70" s="56"/>
      <c r="H70" s="222"/>
      <c r="I70" s="25">
        <f>IF(DATI!C260='FOGLIO DEPOSITO'!I66,1,IF(DATI!C260='FOGLIO DEPOSITO'!I67,2,IF(DATI!C260='FOGLIO DEPOSITO'!I68,3,0)))</f>
        <v>1</v>
      </c>
      <c r="J70" s="32"/>
      <c r="K70" s="32"/>
      <c r="L70" s="204"/>
      <c r="P70" s="203">
        <f>P69+1</f>
        <v>68</v>
      </c>
      <c r="Q70" s="41">
        <f t="shared" si="7"/>
        <v>2.2812012551582659</v>
      </c>
      <c r="R70" s="41">
        <f t="shared" si="8"/>
        <v>0</v>
      </c>
      <c r="S70" s="205"/>
      <c r="T70" s="205"/>
    </row>
    <row r="71" spans="2:20" ht="15.75" thickTop="1" x14ac:dyDescent="0.25">
      <c r="B71" s="54"/>
      <c r="C71" s="388" t="s">
        <v>201</v>
      </c>
      <c r="D71" s="393">
        <v>1</v>
      </c>
      <c r="E71" s="393">
        <v>1.25</v>
      </c>
      <c r="F71" s="23"/>
      <c r="G71" s="56"/>
      <c r="H71" s="222"/>
      <c r="I71" s="32"/>
      <c r="J71" s="32"/>
      <c r="K71" s="32"/>
      <c r="L71" s="204"/>
      <c r="P71" s="203">
        <f>P70+1</f>
        <v>69</v>
      </c>
      <c r="Q71" s="41">
        <f t="shared" si="7"/>
        <v>2.3147483324400051</v>
      </c>
      <c r="R71" s="41">
        <f t="shared" si="8"/>
        <v>0</v>
      </c>
      <c r="S71" s="205"/>
      <c r="T71" s="205"/>
    </row>
    <row r="72" spans="2:20" x14ac:dyDescent="0.25">
      <c r="B72" s="54"/>
      <c r="C72" s="388" t="s">
        <v>202</v>
      </c>
      <c r="D72" s="393">
        <v>1</v>
      </c>
      <c r="E72" s="393">
        <v>1.25</v>
      </c>
      <c r="F72" s="23"/>
      <c r="G72" s="56"/>
      <c r="H72" s="222"/>
      <c r="I72" s="32" t="s">
        <v>203</v>
      </c>
      <c r="J72" s="32"/>
      <c r="K72" s="32"/>
      <c r="L72" s="204"/>
      <c r="P72" s="203">
        <f>P71+1</f>
        <v>70</v>
      </c>
      <c r="Q72" s="41">
        <f t="shared" si="7"/>
        <v>2.3482954097217443</v>
      </c>
      <c r="R72" s="41">
        <f t="shared" si="8"/>
        <v>0</v>
      </c>
      <c r="S72" s="205"/>
      <c r="T72" s="205"/>
    </row>
    <row r="73" spans="2:20" x14ac:dyDescent="0.25">
      <c r="B73" s="54"/>
      <c r="C73" s="388" t="s">
        <v>204</v>
      </c>
      <c r="D73" s="393">
        <v>1</v>
      </c>
      <c r="E73" s="393">
        <v>1.4</v>
      </c>
      <c r="F73" s="23"/>
      <c r="G73" s="56"/>
      <c r="H73" s="222"/>
      <c r="I73" s="32" t="str">
        <f>IF(SPINTE!C75='FOGLIO DEPOSITO'!N181,'FOGLIO DEPOSITO'!I72,IF(SPINTE!C75='FOGLIO DEPOSITO'!N182,'FOGLIO DEPOSITO'!I72,"STATICA"))</f>
        <v xml:space="preserve">SISMICA </v>
      </c>
      <c r="J73" s="32"/>
      <c r="K73" s="32"/>
      <c r="L73" s="204"/>
      <c r="P73" s="203">
        <f t="shared" ref="P73:P125" si="9">P72+1</f>
        <v>71</v>
      </c>
      <c r="Q73" s="41">
        <f t="shared" si="7"/>
        <v>2.3818424870034836</v>
      </c>
      <c r="R73" s="41">
        <f t="shared" si="8"/>
        <v>0</v>
      </c>
      <c r="S73" s="205"/>
      <c r="T73" s="205"/>
    </row>
    <row r="74" spans="2:20" x14ac:dyDescent="0.25">
      <c r="B74" s="54"/>
      <c r="C74" s="57" t="s">
        <v>205</v>
      </c>
      <c r="D74" s="393">
        <v>1</v>
      </c>
      <c r="E74" s="393">
        <v>1</v>
      </c>
      <c r="F74" s="23"/>
      <c r="G74" s="56"/>
      <c r="H74" s="222"/>
      <c r="I74" s="32"/>
      <c r="J74" s="32"/>
      <c r="K74" s="32"/>
      <c r="L74" s="204"/>
      <c r="P74" s="203">
        <f t="shared" si="9"/>
        <v>72</v>
      </c>
      <c r="Q74" s="41">
        <f t="shared" si="7"/>
        <v>2.4153895642852228</v>
      </c>
      <c r="R74" s="41">
        <f t="shared" si="8"/>
        <v>0</v>
      </c>
      <c r="S74" s="205"/>
      <c r="T74" s="205"/>
    </row>
    <row r="75" spans="2:20" x14ac:dyDescent="0.25">
      <c r="B75" s="54"/>
      <c r="C75" s="23"/>
      <c r="D75" s="23"/>
      <c r="E75" s="19"/>
      <c r="F75" s="23"/>
      <c r="G75" s="56"/>
      <c r="H75" s="222"/>
      <c r="I75" s="32"/>
      <c r="J75" s="32"/>
      <c r="K75" s="32"/>
      <c r="L75" s="204"/>
      <c r="P75" s="203">
        <f t="shared" si="9"/>
        <v>73</v>
      </c>
      <c r="Q75" s="41">
        <f t="shared" si="7"/>
        <v>2.448936641566962</v>
      </c>
      <c r="R75" s="41">
        <f t="shared" si="8"/>
        <v>0</v>
      </c>
      <c r="S75" s="205"/>
      <c r="T75" s="205"/>
    </row>
    <row r="76" spans="2:20" x14ac:dyDescent="0.25">
      <c r="B76" s="54"/>
      <c r="C76" s="23"/>
      <c r="D76" s="388" t="s">
        <v>206</v>
      </c>
      <c r="E76" s="388" t="s">
        <v>207</v>
      </c>
      <c r="F76" s="388" t="s">
        <v>208</v>
      </c>
      <c r="G76" s="56"/>
      <c r="H76" s="222"/>
      <c r="I76" s="32"/>
      <c r="J76" s="32"/>
      <c r="K76" s="32"/>
      <c r="L76" s="204"/>
      <c r="P76" s="203">
        <f t="shared" si="9"/>
        <v>74</v>
      </c>
      <c r="Q76" s="41">
        <f t="shared" si="7"/>
        <v>2.4824837188487012</v>
      </c>
      <c r="R76" s="41">
        <f t="shared" si="8"/>
        <v>0</v>
      </c>
      <c r="S76" s="205"/>
      <c r="T76" s="205"/>
    </row>
    <row r="77" spans="2:20" x14ac:dyDescent="0.25">
      <c r="B77" s="222"/>
      <c r="C77" s="313" t="s">
        <v>209</v>
      </c>
      <c r="D77" s="393">
        <v>1</v>
      </c>
      <c r="E77" s="393">
        <v>1</v>
      </c>
      <c r="F77" s="393">
        <v>1.4</v>
      </c>
      <c r="G77" s="56"/>
      <c r="H77" s="222"/>
      <c r="I77" s="32"/>
      <c r="J77" s="32"/>
      <c r="K77" s="32"/>
      <c r="L77" s="204"/>
      <c r="P77" s="203">
        <f t="shared" si="9"/>
        <v>75</v>
      </c>
      <c r="Q77" s="41">
        <f t="shared" si="7"/>
        <v>2.51603079613044</v>
      </c>
      <c r="R77" s="41">
        <f t="shared" si="8"/>
        <v>0</v>
      </c>
      <c r="S77" s="205"/>
      <c r="T77" s="205"/>
    </row>
    <row r="78" spans="2:20" x14ac:dyDescent="0.25">
      <c r="B78" s="246"/>
      <c r="C78" s="314" t="s">
        <v>210</v>
      </c>
      <c r="D78" s="58">
        <v>1</v>
      </c>
      <c r="E78" s="58">
        <v>1</v>
      </c>
      <c r="F78" s="58">
        <v>1.1000000000000001</v>
      </c>
      <c r="G78" s="59"/>
      <c r="H78" s="246"/>
      <c r="I78" s="42"/>
      <c r="J78" s="42"/>
      <c r="K78" s="42"/>
      <c r="L78" s="247"/>
      <c r="P78" s="203">
        <f t="shared" si="9"/>
        <v>76</v>
      </c>
      <c r="Q78" s="41">
        <f t="shared" si="7"/>
        <v>2.5495778734121792</v>
      </c>
      <c r="R78" s="41">
        <f t="shared" si="8"/>
        <v>0</v>
      </c>
      <c r="S78" s="205"/>
      <c r="T78" s="205"/>
    </row>
    <row r="79" spans="2:20" x14ac:dyDescent="0.25">
      <c r="P79" s="203">
        <f t="shared" si="9"/>
        <v>77</v>
      </c>
      <c r="Q79" s="41">
        <f t="shared" si="7"/>
        <v>2.5831249506939185</v>
      </c>
      <c r="R79" s="41">
        <f t="shared" si="8"/>
        <v>0</v>
      </c>
      <c r="S79" s="205"/>
      <c r="T79" s="205"/>
    </row>
    <row r="80" spans="2:20" x14ac:dyDescent="0.25">
      <c r="P80" s="203">
        <f t="shared" si="9"/>
        <v>78</v>
      </c>
      <c r="Q80" s="41">
        <f t="shared" si="7"/>
        <v>2.6166720279756577</v>
      </c>
      <c r="R80" s="41">
        <f t="shared" si="8"/>
        <v>0</v>
      </c>
      <c r="S80" s="205"/>
      <c r="T80" s="205"/>
    </row>
    <row r="81" spans="2:20" x14ac:dyDescent="0.25">
      <c r="B81" s="1" t="s">
        <v>211</v>
      </c>
      <c r="C81" s="2"/>
      <c r="D81" s="2"/>
      <c r="E81" s="2"/>
      <c r="P81" s="203">
        <f t="shared" si="9"/>
        <v>79</v>
      </c>
      <c r="Q81" s="41">
        <f t="shared" si="7"/>
        <v>2.6502191052573969</v>
      </c>
      <c r="R81" s="41">
        <f t="shared" si="8"/>
        <v>0</v>
      </c>
      <c r="S81" s="205"/>
      <c r="T81" s="205"/>
    </row>
    <row r="82" spans="2:20" ht="15.75" thickBot="1" x14ac:dyDescent="0.3">
      <c r="B82" s="1"/>
      <c r="C82" s="2"/>
      <c r="D82" s="2"/>
      <c r="E82" s="2"/>
      <c r="P82" s="203">
        <f t="shared" si="9"/>
        <v>80</v>
      </c>
      <c r="Q82" s="41">
        <f t="shared" si="7"/>
        <v>2.6837661825391361</v>
      </c>
      <c r="R82" s="41">
        <f t="shared" si="8"/>
        <v>0</v>
      </c>
      <c r="S82" s="205"/>
      <c r="T82" s="205"/>
    </row>
    <row r="83" spans="2:20" ht="16.5" thickTop="1" thickBot="1" x14ac:dyDescent="0.3">
      <c r="B83" s="2" t="s">
        <v>212</v>
      </c>
      <c r="C83" s="389" t="s">
        <v>213</v>
      </c>
      <c r="D83" s="36">
        <f>'Sollecitazioni nella zattera'!$G$131</f>
        <v>3.4</v>
      </c>
      <c r="E83" s="4" t="s">
        <v>2</v>
      </c>
      <c r="P83" s="203">
        <f t="shared" si="9"/>
        <v>81</v>
      </c>
      <c r="Q83" s="41">
        <f t="shared" si="7"/>
        <v>2.7173132598208753</v>
      </c>
      <c r="R83" s="41">
        <f t="shared" si="8"/>
        <v>0</v>
      </c>
      <c r="S83" s="205"/>
      <c r="T83" s="205"/>
    </row>
    <row r="84" spans="2:20" ht="16.5" thickTop="1" thickBot="1" x14ac:dyDescent="0.3">
      <c r="B84" s="2" t="s">
        <v>214</v>
      </c>
      <c r="C84" s="389" t="s">
        <v>4</v>
      </c>
      <c r="D84" s="36">
        <f>DATI!E61</f>
        <v>2.5</v>
      </c>
      <c r="E84" s="4" t="s">
        <v>2</v>
      </c>
      <c r="P84" s="203">
        <f t="shared" ref="P84:P91" si="10">P83+1</f>
        <v>82</v>
      </c>
      <c r="Q84" s="41">
        <f t="shared" si="7"/>
        <v>2.7508603371026146</v>
      </c>
      <c r="R84" s="41">
        <f t="shared" si="8"/>
        <v>0</v>
      </c>
      <c r="S84" s="205"/>
      <c r="T84" s="205"/>
    </row>
    <row r="85" spans="2:20" ht="16.5" thickTop="1" thickBot="1" x14ac:dyDescent="0.3">
      <c r="B85" s="2" t="s">
        <v>215</v>
      </c>
      <c r="C85" s="389" t="s">
        <v>184</v>
      </c>
      <c r="D85" s="36">
        <f>'FOGLIO DEPOSITO'!D121</f>
        <v>0.5</v>
      </c>
      <c r="E85" s="4" t="s">
        <v>2</v>
      </c>
      <c r="P85" s="203">
        <f t="shared" si="10"/>
        <v>83</v>
      </c>
      <c r="Q85" s="41">
        <f t="shared" si="7"/>
        <v>2.7844074143843538</v>
      </c>
      <c r="R85" s="41">
        <f t="shared" si="8"/>
        <v>0</v>
      </c>
      <c r="S85" s="205"/>
      <c r="T85" s="205"/>
    </row>
    <row r="86" spans="2:20" ht="15.75" thickTop="1" x14ac:dyDescent="0.25">
      <c r="P86" s="203">
        <f t="shared" si="10"/>
        <v>84</v>
      </c>
      <c r="Q86" s="41">
        <f t="shared" si="7"/>
        <v>2.817954491666093</v>
      </c>
      <c r="R86" s="41">
        <f t="shared" si="8"/>
        <v>0</v>
      </c>
      <c r="S86" s="205"/>
      <c r="T86" s="205"/>
    </row>
    <row r="87" spans="2:20" x14ac:dyDescent="0.25">
      <c r="P87" s="203">
        <f t="shared" si="10"/>
        <v>85</v>
      </c>
      <c r="Q87" s="41">
        <f t="shared" si="7"/>
        <v>2.8515015689478322</v>
      </c>
      <c r="R87" s="41">
        <f t="shared" si="8"/>
        <v>0</v>
      </c>
      <c r="S87" s="205"/>
      <c r="T87" s="205"/>
    </row>
    <row r="88" spans="2:20" x14ac:dyDescent="0.25">
      <c r="E88" s="7" t="str">
        <f>IF(DATI!E253="SI","",IF(DATI!E253="no","","FATAL ERROR! Inserisci si oppure no"))</f>
        <v/>
      </c>
      <c r="P88" s="203">
        <f t="shared" si="10"/>
        <v>86</v>
      </c>
      <c r="Q88" s="41">
        <f t="shared" si="7"/>
        <v>2.8850486462295715</v>
      </c>
      <c r="R88" s="41">
        <f t="shared" si="8"/>
        <v>0</v>
      </c>
      <c r="S88" s="205"/>
      <c r="T88" s="205"/>
    </row>
    <row r="89" spans="2:20" x14ac:dyDescent="0.25">
      <c r="P89" s="203">
        <f t="shared" si="10"/>
        <v>87</v>
      </c>
      <c r="Q89" s="41">
        <f t="shared" si="7"/>
        <v>2.9185957235113107</v>
      </c>
      <c r="R89" s="41">
        <f t="shared" si="8"/>
        <v>0</v>
      </c>
      <c r="S89" s="205"/>
      <c r="T89" s="205"/>
    </row>
    <row r="90" spans="2:20" x14ac:dyDescent="0.25">
      <c r="P90" s="203">
        <f t="shared" si="10"/>
        <v>88</v>
      </c>
      <c r="Q90" s="41">
        <f t="shared" si="7"/>
        <v>2.9521428007930499</v>
      </c>
      <c r="R90" s="41">
        <f t="shared" si="8"/>
        <v>0</v>
      </c>
      <c r="S90" s="205"/>
      <c r="T90" s="205"/>
    </row>
    <row r="91" spans="2:20" x14ac:dyDescent="0.25">
      <c r="P91" s="203">
        <f t="shared" si="10"/>
        <v>89</v>
      </c>
      <c r="Q91" s="41">
        <f t="shared" si="7"/>
        <v>2.9856898780747891</v>
      </c>
      <c r="R91" s="41">
        <f t="shared" si="8"/>
        <v>0</v>
      </c>
      <c r="S91" s="205"/>
      <c r="T91" s="205"/>
    </row>
    <row r="92" spans="2:20" x14ac:dyDescent="0.25">
      <c r="P92" s="203">
        <f t="shared" si="9"/>
        <v>90</v>
      </c>
      <c r="Q92" s="41">
        <f t="shared" si="7"/>
        <v>3.0192369553565284</v>
      </c>
      <c r="R92" s="41">
        <f t="shared" si="8"/>
        <v>0</v>
      </c>
      <c r="S92" s="205"/>
      <c r="T92" s="205"/>
    </row>
    <row r="93" spans="2:20" x14ac:dyDescent="0.25">
      <c r="B93" s="389" t="s">
        <v>216</v>
      </c>
      <c r="C93" s="8">
        <f>'FOGLIO DEPOSITO'!D43*DATI!$E$263+'FOGLIO DEPOSITO'!E43*DATI!$E$264+'FOGLIO DEPOSITO'!F43*DATI!$E$265</f>
        <v>0</v>
      </c>
      <c r="D93" s="4" t="s">
        <v>14</v>
      </c>
      <c r="P93" s="203">
        <f t="shared" si="9"/>
        <v>91</v>
      </c>
      <c r="Q93" s="41">
        <f t="shared" si="7"/>
        <v>3.0527840326382676</v>
      </c>
      <c r="R93" s="41">
        <f t="shared" si="8"/>
        <v>0</v>
      </c>
      <c r="S93" s="205"/>
      <c r="T93" s="205"/>
    </row>
    <row r="94" spans="2:20" x14ac:dyDescent="0.25">
      <c r="P94" s="203">
        <f t="shared" si="9"/>
        <v>92</v>
      </c>
      <c r="Q94" s="41">
        <f t="shared" si="7"/>
        <v>3.0863311099200068</v>
      </c>
      <c r="R94" s="41">
        <f t="shared" si="8"/>
        <v>0</v>
      </c>
      <c r="S94" s="205"/>
      <c r="T94" s="205"/>
    </row>
    <row r="95" spans="2:20" x14ac:dyDescent="0.25">
      <c r="P95" s="203">
        <f t="shared" si="9"/>
        <v>93</v>
      </c>
      <c r="Q95" s="41">
        <f t="shared" si="7"/>
        <v>3.119878187201746</v>
      </c>
      <c r="R95" s="41">
        <f t="shared" si="8"/>
        <v>0</v>
      </c>
      <c r="S95" s="205"/>
      <c r="T95" s="205"/>
    </row>
    <row r="96" spans="2:20" x14ac:dyDescent="0.25">
      <c r="B96" s="389" t="s">
        <v>216</v>
      </c>
      <c r="C96" s="8">
        <f>'FOGLIO DEPOSITO'!D43*DATI!$E$263+'FOGLIO DEPOSITO'!E43*DATI!$E$264+'FOGLIO DEPOSITO'!F43*DATI!$E$265</f>
        <v>0</v>
      </c>
      <c r="D96" s="4" t="s">
        <v>14</v>
      </c>
      <c r="P96" s="203">
        <f t="shared" si="9"/>
        <v>94</v>
      </c>
      <c r="Q96" s="41">
        <f t="shared" si="7"/>
        <v>3.1534252644834853</v>
      </c>
      <c r="R96" s="41">
        <f t="shared" si="8"/>
        <v>0</v>
      </c>
      <c r="S96" s="205"/>
      <c r="T96" s="205"/>
    </row>
    <row r="97" spans="2:20" x14ac:dyDescent="0.25">
      <c r="P97" s="203">
        <f t="shared" si="9"/>
        <v>95</v>
      </c>
      <c r="Q97" s="41">
        <f t="shared" si="7"/>
        <v>3.1869723417652245</v>
      </c>
      <c r="R97" s="41">
        <f t="shared" si="8"/>
        <v>0</v>
      </c>
      <c r="S97" s="205"/>
      <c r="T97" s="205"/>
    </row>
    <row r="98" spans="2:20" x14ac:dyDescent="0.25">
      <c r="P98" s="203">
        <f t="shared" si="9"/>
        <v>96</v>
      </c>
      <c r="Q98" s="41">
        <f t="shared" ref="Q98:Q129" si="11">$Q$1/$P$152*P98</f>
        <v>3.2205194190469637</v>
      </c>
      <c r="R98" s="41">
        <f t="shared" ref="R98:R129" si="12">$R$1/$P$152*P98</f>
        <v>0</v>
      </c>
      <c r="S98" s="205"/>
      <c r="T98" s="205"/>
    </row>
    <row r="99" spans="2:20" ht="15.75" thickBot="1" x14ac:dyDescent="0.3">
      <c r="P99" s="203">
        <f t="shared" si="9"/>
        <v>97</v>
      </c>
      <c r="Q99" s="41">
        <f t="shared" si="11"/>
        <v>3.2540664963287025</v>
      </c>
      <c r="R99" s="41">
        <f t="shared" si="12"/>
        <v>0</v>
      </c>
      <c r="S99" s="205"/>
      <c r="T99" s="205"/>
    </row>
    <row r="100" spans="2:20" ht="16.5" thickTop="1" thickBot="1" x14ac:dyDescent="0.3">
      <c r="B100" s="409" t="s">
        <v>217</v>
      </c>
      <c r="C100" s="409"/>
      <c r="D100" s="409"/>
      <c r="E100" s="409"/>
      <c r="F100" s="3">
        <f>MAXA('VER. GEO CONDIZIONI DRENATE'!D45,'VER. GEO CONDIZIONI NON DRENATE'!D45)</f>
        <v>3.9291415018430005</v>
      </c>
      <c r="G100" s="5" t="s">
        <v>2</v>
      </c>
      <c r="I100" s="35">
        <f>IF(DATI!E187="si",DATI!E251,'FOGLIO DEPOSITO'!F100+1)</f>
        <v>4.9291415018430005</v>
      </c>
      <c r="P100" s="203">
        <f t="shared" si="9"/>
        <v>98</v>
      </c>
      <c r="Q100" s="41">
        <f t="shared" si="11"/>
        <v>3.2876135736104417</v>
      </c>
      <c r="R100" s="41">
        <f t="shared" si="12"/>
        <v>0</v>
      </c>
      <c r="S100" s="205"/>
      <c r="T100" s="205"/>
    </row>
    <row r="101" spans="2:20" ht="15.75" thickTop="1" x14ac:dyDescent="0.25">
      <c r="P101" s="203">
        <f t="shared" si="9"/>
        <v>99</v>
      </c>
      <c r="Q101" s="41">
        <f t="shared" si="11"/>
        <v>3.3211606508921809</v>
      </c>
      <c r="R101" s="41">
        <f t="shared" si="12"/>
        <v>0</v>
      </c>
      <c r="S101" s="205"/>
      <c r="T101" s="205"/>
    </row>
    <row r="102" spans="2:20" x14ac:dyDescent="0.25">
      <c r="P102" s="203">
        <f t="shared" si="9"/>
        <v>100</v>
      </c>
      <c r="Q102" s="41">
        <f t="shared" si="11"/>
        <v>3.3547077281739202</v>
      </c>
      <c r="R102" s="41">
        <f t="shared" si="12"/>
        <v>0</v>
      </c>
      <c r="S102" s="205"/>
      <c r="T102" s="205"/>
    </row>
    <row r="103" spans="2:20" x14ac:dyDescent="0.25">
      <c r="C103" s="48">
        <f>SUM('Sollecitazioni nella zattera'!G66:G69)</f>
        <v>1363.6525593563467</v>
      </c>
      <c r="P103" s="203">
        <f t="shared" si="9"/>
        <v>101</v>
      </c>
      <c r="Q103" s="41">
        <f t="shared" si="11"/>
        <v>3.3882548054556594</v>
      </c>
      <c r="R103" s="41">
        <f t="shared" si="12"/>
        <v>0</v>
      </c>
    </row>
    <row r="104" spans="2:20" x14ac:dyDescent="0.25">
      <c r="P104" s="203">
        <f t="shared" si="9"/>
        <v>102</v>
      </c>
      <c r="Q104" s="41">
        <f t="shared" si="11"/>
        <v>3.4218018827373986</v>
      </c>
      <c r="R104" s="41">
        <f t="shared" si="12"/>
        <v>0</v>
      </c>
    </row>
    <row r="105" spans="2:20" x14ac:dyDescent="0.25">
      <c r="P105" s="203">
        <f t="shared" si="9"/>
        <v>103</v>
      </c>
      <c r="Q105" s="41">
        <f t="shared" si="11"/>
        <v>3.4553489600191378</v>
      </c>
      <c r="R105" s="41">
        <f t="shared" si="12"/>
        <v>0</v>
      </c>
    </row>
    <row r="106" spans="2:20" x14ac:dyDescent="0.25">
      <c r="P106" s="203">
        <f t="shared" si="9"/>
        <v>104</v>
      </c>
      <c r="Q106" s="41">
        <f t="shared" si="11"/>
        <v>3.4888960373008771</v>
      </c>
      <c r="R106" s="41">
        <f t="shared" si="12"/>
        <v>0</v>
      </c>
    </row>
    <row r="107" spans="2:20" x14ac:dyDescent="0.25">
      <c r="P107" s="203">
        <f t="shared" si="9"/>
        <v>105</v>
      </c>
      <c r="Q107" s="41">
        <f t="shared" si="11"/>
        <v>3.5224431145826163</v>
      </c>
      <c r="R107" s="41">
        <f t="shared" si="12"/>
        <v>0</v>
      </c>
    </row>
    <row r="108" spans="2:20" ht="21" x14ac:dyDescent="0.25">
      <c r="B108" s="389" t="s">
        <v>218</v>
      </c>
      <c r="C108" s="3">
        <f>'FOGLIO DEPOSITO'!K108</f>
        <v>2.5</v>
      </c>
      <c r="D108" s="4" t="s">
        <v>2</v>
      </c>
      <c r="F108" s="4" t="s">
        <v>219</v>
      </c>
      <c r="G108" s="3">
        <v>0</v>
      </c>
      <c r="H108" s="4" t="s">
        <v>2</v>
      </c>
      <c r="I108" s="2"/>
      <c r="J108" s="389" t="s">
        <v>218</v>
      </c>
      <c r="K108" s="3">
        <f>IF('VER. GEO CONDIZIONI DRENATE'!N40=0,'FOGLIO DEPOSITO'!D84,IF(G108&gt;'FOGLIO DEPOSITO'!D84/2,0,'FOGLIO DEPOSITO'!D84-2*G108))</f>
        <v>2.5</v>
      </c>
      <c r="L108" s="4" t="s">
        <v>2</v>
      </c>
      <c r="P108" s="203">
        <f t="shared" si="9"/>
        <v>106</v>
      </c>
      <c r="Q108" s="41">
        <f t="shared" si="11"/>
        <v>3.5559901918643555</v>
      </c>
      <c r="R108" s="41">
        <f t="shared" si="12"/>
        <v>0</v>
      </c>
    </row>
    <row r="109" spans="2:20" x14ac:dyDescent="0.25">
      <c r="P109" s="203">
        <f t="shared" si="9"/>
        <v>107</v>
      </c>
      <c r="Q109" s="41">
        <f t="shared" si="11"/>
        <v>3.5895372691460947</v>
      </c>
      <c r="R109" s="41">
        <f t="shared" si="12"/>
        <v>0</v>
      </c>
    </row>
    <row r="110" spans="2:20" ht="21" x14ac:dyDescent="0.25">
      <c r="B110" s="389" t="s">
        <v>218</v>
      </c>
      <c r="C110" s="3">
        <f>'FOGLIO DEPOSITO'!K110</f>
        <v>2.5</v>
      </c>
      <c r="D110" s="4" t="s">
        <v>2</v>
      </c>
      <c r="F110" s="4" t="s">
        <v>219</v>
      </c>
      <c r="G110" s="3">
        <v>0</v>
      </c>
      <c r="H110" s="4" t="s">
        <v>2</v>
      </c>
      <c r="J110" s="389" t="s">
        <v>218</v>
      </c>
      <c r="K110" s="3">
        <f>IF('VER. GEO CONDIZIONI NON DRENATE'!N40=0,'FOGLIO DEPOSITO'!D84,IF('FOGLIO DEPOSITO'!G110&gt;'FOGLIO DEPOSITO'!D84/2,0,'FOGLIO DEPOSITO'!D84-2*'FOGLIO DEPOSITO'!G110))</f>
        <v>2.5</v>
      </c>
      <c r="L110" s="4" t="s">
        <v>2</v>
      </c>
      <c r="P110" s="203">
        <f t="shared" si="9"/>
        <v>108</v>
      </c>
      <c r="Q110" s="41">
        <f t="shared" si="11"/>
        <v>3.6230843464278339</v>
      </c>
      <c r="R110" s="41">
        <f t="shared" si="12"/>
        <v>0</v>
      </c>
    </row>
    <row r="111" spans="2:20" x14ac:dyDescent="0.25">
      <c r="P111" s="203">
        <f t="shared" si="9"/>
        <v>109</v>
      </c>
      <c r="Q111" s="41">
        <f t="shared" si="11"/>
        <v>3.6566314237095732</v>
      </c>
      <c r="R111" s="41">
        <f t="shared" si="12"/>
        <v>0</v>
      </c>
    </row>
    <row r="112" spans="2:20" x14ac:dyDescent="0.25">
      <c r="P112" s="203">
        <f t="shared" si="9"/>
        <v>110</v>
      </c>
      <c r="Q112" s="41">
        <f t="shared" si="11"/>
        <v>3.6901785009913124</v>
      </c>
      <c r="R112" s="41">
        <f t="shared" si="12"/>
        <v>0</v>
      </c>
    </row>
    <row r="113" spans="2:18" ht="15.75" thickBot="1" x14ac:dyDescent="0.3">
      <c r="P113" s="203">
        <f t="shared" si="9"/>
        <v>111</v>
      </c>
      <c r="Q113" s="41">
        <f t="shared" si="11"/>
        <v>3.7237255782730516</v>
      </c>
      <c r="R113" s="41">
        <f t="shared" si="12"/>
        <v>0</v>
      </c>
    </row>
    <row r="114" spans="2:18" ht="16.5" thickTop="1" thickBot="1" x14ac:dyDescent="0.3">
      <c r="B114" s="77"/>
      <c r="C114" s="12"/>
      <c r="P114" s="203">
        <f t="shared" si="9"/>
        <v>112</v>
      </c>
      <c r="Q114" s="41">
        <f t="shared" si="11"/>
        <v>3.7572726555547908</v>
      </c>
      <c r="R114" s="41">
        <f t="shared" si="12"/>
        <v>0</v>
      </c>
    </row>
    <row r="115" spans="2:18" ht="16.5" thickTop="1" thickBot="1" x14ac:dyDescent="0.3">
      <c r="B115" s="77"/>
      <c r="C115" s="12"/>
      <c r="P115" s="203">
        <f t="shared" si="9"/>
        <v>113</v>
      </c>
      <c r="Q115" s="41">
        <f t="shared" si="11"/>
        <v>3.7908197328365301</v>
      </c>
      <c r="R115" s="41">
        <f t="shared" si="12"/>
        <v>0</v>
      </c>
    </row>
    <row r="116" spans="2:18" ht="16.5" thickTop="1" thickBot="1" x14ac:dyDescent="0.3">
      <c r="B116" s="77"/>
      <c r="C116" s="12"/>
      <c r="P116" s="203">
        <f t="shared" si="9"/>
        <v>114</v>
      </c>
      <c r="Q116" s="41">
        <f t="shared" si="11"/>
        <v>3.8243668101182693</v>
      </c>
      <c r="R116" s="41">
        <f t="shared" si="12"/>
        <v>0</v>
      </c>
    </row>
    <row r="117" spans="2:18" ht="15.75" thickTop="1" x14ac:dyDescent="0.25">
      <c r="P117" s="203">
        <f t="shared" si="9"/>
        <v>115</v>
      </c>
      <c r="Q117" s="41">
        <f t="shared" si="11"/>
        <v>3.8579138874000085</v>
      </c>
      <c r="R117" s="41">
        <f t="shared" si="12"/>
        <v>0</v>
      </c>
    </row>
    <row r="118" spans="2:18" ht="15.75" thickBot="1" x14ac:dyDescent="0.3">
      <c r="P118" s="203">
        <f t="shared" si="9"/>
        <v>116</v>
      </c>
      <c r="Q118" s="41">
        <f t="shared" si="11"/>
        <v>3.8914609646817477</v>
      </c>
      <c r="R118" s="41">
        <f t="shared" si="12"/>
        <v>0</v>
      </c>
    </row>
    <row r="119" spans="2:18" ht="19.5" thickTop="1" thickBot="1" x14ac:dyDescent="0.3">
      <c r="B119" s="2" t="s">
        <v>220</v>
      </c>
      <c r="C119" s="62" t="s">
        <v>116</v>
      </c>
      <c r="D119" s="65">
        <f>DATI!E75+DATI!E62/2</f>
        <v>0.71</v>
      </c>
      <c r="P119" s="203">
        <f t="shared" si="9"/>
        <v>117</v>
      </c>
      <c r="Q119" s="41">
        <f t="shared" si="11"/>
        <v>3.925008041963487</v>
      </c>
      <c r="R119" s="41">
        <f t="shared" si="12"/>
        <v>0</v>
      </c>
    </row>
    <row r="120" spans="2:18" ht="19.5" thickTop="1" thickBot="1" x14ac:dyDescent="0.3">
      <c r="B120" s="2" t="s">
        <v>221</v>
      </c>
      <c r="C120" s="62" t="s">
        <v>118</v>
      </c>
      <c r="D120" s="65">
        <f>'FOGLIO DEPOSITO'!D212+DATI!E62/2+D211</f>
        <v>2.81</v>
      </c>
      <c r="P120" s="203">
        <f t="shared" si="9"/>
        <v>118</v>
      </c>
      <c r="Q120" s="41">
        <f t="shared" si="11"/>
        <v>3.9585551192452257</v>
      </c>
      <c r="R120" s="41">
        <f t="shared" si="12"/>
        <v>0</v>
      </c>
    </row>
    <row r="121" spans="2:18" ht="19.5" thickTop="1" thickBot="1" x14ac:dyDescent="0.3">
      <c r="B121" s="2" t="s">
        <v>113</v>
      </c>
      <c r="C121" s="62" t="s">
        <v>114</v>
      </c>
      <c r="D121" s="65">
        <f>DATI!E74</f>
        <v>0.5</v>
      </c>
      <c r="P121" s="203">
        <f t="shared" si="9"/>
        <v>119</v>
      </c>
      <c r="Q121" s="41">
        <f t="shared" si="11"/>
        <v>3.992102196526965</v>
      </c>
      <c r="R121" s="41">
        <f t="shared" si="12"/>
        <v>0</v>
      </c>
    </row>
    <row r="122" spans="2:18" ht="16.5" thickTop="1" thickBot="1" x14ac:dyDescent="0.3">
      <c r="P122" s="203">
        <f t="shared" si="9"/>
        <v>120</v>
      </c>
      <c r="Q122" s="41">
        <f t="shared" si="11"/>
        <v>4.0256492738087042</v>
      </c>
      <c r="R122" s="41">
        <f t="shared" si="12"/>
        <v>0</v>
      </c>
    </row>
    <row r="123" spans="2:18" ht="16.5" thickTop="1" thickBot="1" x14ac:dyDescent="0.3">
      <c r="B123" s="2" t="s">
        <v>96</v>
      </c>
      <c r="D123" s="65">
        <f>DATI!E60</f>
        <v>4.3</v>
      </c>
      <c r="P123" s="203">
        <f t="shared" si="9"/>
        <v>121</v>
      </c>
      <c r="Q123" s="41">
        <f t="shared" si="11"/>
        <v>4.0591963510904439</v>
      </c>
      <c r="R123" s="41">
        <f t="shared" si="12"/>
        <v>0</v>
      </c>
    </row>
    <row r="124" spans="2:18" ht="16.5" thickTop="1" thickBot="1" x14ac:dyDescent="0.3">
      <c r="B124" s="2" t="s">
        <v>100</v>
      </c>
      <c r="D124" s="65">
        <f>DATI!E62</f>
        <v>0.12</v>
      </c>
      <c r="P124" s="203">
        <f t="shared" si="9"/>
        <v>122</v>
      </c>
      <c r="Q124" s="41">
        <f t="shared" si="11"/>
        <v>4.0927434283721826</v>
      </c>
      <c r="R124" s="41">
        <f t="shared" si="12"/>
        <v>0</v>
      </c>
    </row>
    <row r="125" spans="2:18" ht="15.75" thickTop="1" x14ac:dyDescent="0.25">
      <c r="P125" s="203">
        <f t="shared" si="9"/>
        <v>123</v>
      </c>
      <c r="Q125" s="41">
        <f t="shared" si="11"/>
        <v>4.1262905056539223</v>
      </c>
      <c r="R125" s="41">
        <f t="shared" si="12"/>
        <v>0</v>
      </c>
    </row>
    <row r="126" spans="2:18" x14ac:dyDescent="0.25">
      <c r="P126" s="203">
        <f t="shared" ref="P126:P136" si="13">P125+1</f>
        <v>124</v>
      </c>
      <c r="Q126" s="41">
        <f t="shared" si="11"/>
        <v>4.1598375829356611</v>
      </c>
      <c r="R126" s="41">
        <f t="shared" si="12"/>
        <v>0</v>
      </c>
    </row>
    <row r="127" spans="2:18" x14ac:dyDescent="0.25">
      <c r="P127" s="203">
        <f t="shared" si="13"/>
        <v>125</v>
      </c>
      <c r="Q127" s="41">
        <f t="shared" si="11"/>
        <v>4.1933846602174008</v>
      </c>
      <c r="R127" s="41">
        <f t="shared" si="12"/>
        <v>0</v>
      </c>
    </row>
    <row r="128" spans="2:18" x14ac:dyDescent="0.25">
      <c r="B128" s="6"/>
      <c r="C128" s="23"/>
      <c r="D128" s="72" t="s">
        <v>222</v>
      </c>
      <c r="E128" s="4"/>
      <c r="F128" s="6"/>
      <c r="G128" s="4"/>
      <c r="P128" s="203">
        <f t="shared" si="13"/>
        <v>126</v>
      </c>
      <c r="Q128" s="41">
        <f t="shared" si="11"/>
        <v>4.2269317374991395</v>
      </c>
      <c r="R128" s="41">
        <f t="shared" si="12"/>
        <v>0</v>
      </c>
    </row>
    <row r="129" spans="2:24" x14ac:dyDescent="0.25">
      <c r="B129" s="2"/>
      <c r="C129" s="23"/>
      <c r="D129" s="95">
        <f>IF(B146&gt;=G144,1,-1)*(B146-G144)/(F137)*IF(B146&gt;=G144,F139,F138)+IF(B146&gt;=G144,G144,B146)</f>
        <v>146.53338779171841</v>
      </c>
      <c r="E129" s="96"/>
      <c r="F129" s="4"/>
      <c r="G129" s="4"/>
      <c r="P129" s="203">
        <f t="shared" si="13"/>
        <v>127</v>
      </c>
      <c r="Q129" s="41">
        <f t="shared" si="11"/>
        <v>4.2604788147808792</v>
      </c>
      <c r="R129" s="41">
        <f t="shared" si="12"/>
        <v>0</v>
      </c>
    </row>
    <row r="130" spans="2:24" x14ac:dyDescent="0.25">
      <c r="B130" s="2"/>
      <c r="C130" s="23"/>
      <c r="D130" s="97"/>
      <c r="E130" s="98"/>
      <c r="F130" s="4"/>
      <c r="G130" s="4"/>
      <c r="P130" s="203">
        <f t="shared" si="13"/>
        <v>128</v>
      </c>
      <c r="Q130" s="41">
        <f t="shared" ref="Q130:Q152" si="14">$Q$1/$P$152*P130</f>
        <v>4.294025892062618</v>
      </c>
      <c r="R130" s="41">
        <f t="shared" ref="R130:R152" si="15">$R$1/$P$152*P130</f>
        <v>0</v>
      </c>
    </row>
    <row r="131" spans="2:24" ht="18" x14ac:dyDescent="0.25">
      <c r="B131" s="2"/>
      <c r="C131" s="99"/>
      <c r="D131" s="100"/>
      <c r="E131" s="98"/>
      <c r="F131" s="67" t="s">
        <v>223</v>
      </c>
      <c r="G131" s="394">
        <f>IF(('Sollecitazioni nella zattera'!$E$72/(F137*'Sollecitazioni nella zattera'!G132)*(1+(IF(DATI!G211="sx",-1,1))*6*'FOGLIO DEPOSITO'!L142/(F137)))&lt;0,0,('Sollecitazioni nella zattera'!$E$72/(F137*'Sollecitazioni nella zattera'!G132)*(1+(IF(DATI!G211="sx",-1,1))*6*'FOGLIO DEPOSITO'!L142/(F137))))</f>
        <v>175.72951659435293</v>
      </c>
      <c r="P131" s="203">
        <f t="shared" si="13"/>
        <v>129</v>
      </c>
      <c r="Q131" s="41">
        <f t="shared" si="14"/>
        <v>4.3275729693443568</v>
      </c>
      <c r="R131" s="41">
        <f t="shared" si="15"/>
        <v>0</v>
      </c>
    </row>
    <row r="132" spans="2:24" x14ac:dyDescent="0.25">
      <c r="B132" s="2"/>
      <c r="C132" s="842" t="s">
        <v>224</v>
      </c>
      <c r="D132" s="843"/>
      <c r="E132" s="98"/>
      <c r="F132" s="4"/>
      <c r="G132" s="4"/>
      <c r="P132" s="203">
        <f t="shared" si="13"/>
        <v>130</v>
      </c>
      <c r="Q132" s="41">
        <f t="shared" si="14"/>
        <v>4.3611200466260964</v>
      </c>
      <c r="R132" s="41">
        <f t="shared" si="15"/>
        <v>0</v>
      </c>
    </row>
    <row r="133" spans="2:24" x14ac:dyDescent="0.25">
      <c r="B133" s="394">
        <f>IF(('Sollecitazioni nella zattera'!$E$72/(F137*'Sollecitazioni nella zattera'!G132)*(1-(IF(DATI!G211="sx",-1,1))*6*'FOGLIO DEPOSITO'!L142/(F137)))&lt;0,0,('Sollecitazioni nella zattera'!$E$72/(F137*'Sollecitazioni nella zattera'!G132)*(1-(IF(DATI!G211="sx",-1,1))*6*'FOGLIO DEPOSITO'!L142/(F137))))</f>
        <v>35.917068807088988</v>
      </c>
      <c r="C133" s="54"/>
      <c r="D133" s="100"/>
      <c r="E133" s="98"/>
      <c r="F133" s="4"/>
      <c r="G133" s="4"/>
      <c r="P133" s="203">
        <f t="shared" si="13"/>
        <v>131</v>
      </c>
      <c r="Q133" s="41">
        <f t="shared" si="14"/>
        <v>4.3946671239078352</v>
      </c>
      <c r="R133" s="41">
        <f t="shared" si="15"/>
        <v>0</v>
      </c>
    </row>
    <row r="134" spans="2:24" x14ac:dyDescent="0.25">
      <c r="B134" s="2"/>
      <c r="C134" s="101"/>
      <c r="D134" s="102"/>
      <c r="E134" s="103"/>
      <c r="F134" s="4"/>
      <c r="G134" s="4"/>
      <c r="P134" s="203">
        <f t="shared" si="13"/>
        <v>132</v>
      </c>
      <c r="Q134" s="41">
        <f t="shared" si="14"/>
        <v>4.4282142011895749</v>
      </c>
      <c r="R134" s="41">
        <f t="shared" si="15"/>
        <v>0</v>
      </c>
    </row>
    <row r="135" spans="2:24" x14ac:dyDescent="0.25">
      <c r="I135" s="461" t="str">
        <f>IF(F139&lt;=I139,"Asse neutro su zatt sx","Asse neutro su zatt dx")</f>
        <v>Asse neutro su zatt sx</v>
      </c>
      <c r="J135" s="243"/>
      <c r="K135" s="243"/>
      <c r="P135" s="203">
        <f t="shared" si="13"/>
        <v>133</v>
      </c>
      <c r="Q135" s="41">
        <f t="shared" si="14"/>
        <v>4.4617612784713137</v>
      </c>
      <c r="R135" s="41">
        <f t="shared" si="15"/>
        <v>0</v>
      </c>
    </row>
    <row r="136" spans="2:24" x14ac:dyDescent="0.25">
      <c r="I136" s="31">
        <f>IF(F139&lt;=I139,1,0)</f>
        <v>1</v>
      </c>
      <c r="P136" s="203">
        <f t="shared" si="13"/>
        <v>134</v>
      </c>
      <c r="Q136" s="41">
        <f t="shared" si="14"/>
        <v>4.4953083557530533</v>
      </c>
      <c r="R136" s="41">
        <f t="shared" si="15"/>
        <v>0</v>
      </c>
    </row>
    <row r="137" spans="2:24" x14ac:dyDescent="0.25">
      <c r="B137" t="s">
        <v>580</v>
      </c>
      <c r="E137" s="459" t="s">
        <v>581</v>
      </c>
      <c r="F137" s="460">
        <f>'Sollecitazioni nella zattera'!G131</f>
        <v>3.4</v>
      </c>
      <c r="P137" s="203">
        <f t="shared" ref="P137:P152" si="16">P136+1</f>
        <v>135</v>
      </c>
      <c r="Q137" s="41">
        <f t="shared" si="14"/>
        <v>4.5288554330347921</v>
      </c>
      <c r="R137" s="41">
        <f t="shared" si="15"/>
        <v>0</v>
      </c>
    </row>
    <row r="138" spans="2:24" x14ac:dyDescent="0.25">
      <c r="E138" s="243" t="s">
        <v>793</v>
      </c>
      <c r="F138" s="170">
        <f>F137-DATI!E75-DATI!E62/2</f>
        <v>2.69</v>
      </c>
      <c r="G138" s="838" t="s">
        <v>789</v>
      </c>
      <c r="H138" s="839"/>
      <c r="I138" s="457">
        <f>IF(DATI!G211="sx",'FOGLIO DEPOSITO'!F137-(F137*ABS(G144)/(ABS(B146)+ABS(G144))),F137*ABS(G144)/(ABS(B146)+ABS(G144)))</f>
        <v>2.8230096662675921</v>
      </c>
      <c r="J138" t="s">
        <v>790</v>
      </c>
      <c r="P138" s="203">
        <f t="shared" si="16"/>
        <v>136</v>
      </c>
      <c r="Q138" s="41">
        <f t="shared" si="14"/>
        <v>4.5624025103165318</v>
      </c>
      <c r="R138" s="41">
        <f t="shared" si="15"/>
        <v>0</v>
      </c>
    </row>
    <row r="139" spans="2:24" x14ac:dyDescent="0.25">
      <c r="E139" s="243" t="s">
        <v>792</v>
      </c>
      <c r="F139" s="170">
        <f>F137-F138</f>
        <v>0.71</v>
      </c>
      <c r="G139" s="838"/>
      <c r="H139" s="839"/>
      <c r="I139" s="457">
        <f>F137*ABS(G144)/(ABS(B146)+ABS(G144))</f>
        <v>2.8230096662675921</v>
      </c>
      <c r="J139" t="s">
        <v>791</v>
      </c>
      <c r="P139" s="203">
        <f t="shared" si="16"/>
        <v>137</v>
      </c>
      <c r="Q139" s="41">
        <f t="shared" si="14"/>
        <v>4.5959495875982705</v>
      </c>
      <c r="R139" s="41">
        <f t="shared" si="15"/>
        <v>0</v>
      </c>
    </row>
    <row r="140" spans="2:24" x14ac:dyDescent="0.25">
      <c r="I140" s="457">
        <f>-I144/I142</f>
        <v>-4.2734417848825244</v>
      </c>
      <c r="P140" s="203">
        <f t="shared" si="16"/>
        <v>138</v>
      </c>
      <c r="Q140" s="41">
        <f t="shared" si="14"/>
        <v>4.6294966648800102</v>
      </c>
      <c r="R140" s="41">
        <f t="shared" si="15"/>
        <v>0</v>
      </c>
    </row>
    <row r="141" spans="2:24" x14ac:dyDescent="0.25">
      <c r="C141" s="23"/>
      <c r="D141" s="72" t="s">
        <v>222</v>
      </c>
      <c r="E141" s="450"/>
      <c r="F141" s="423"/>
      <c r="G141" s="450"/>
      <c r="H141" s="2"/>
      <c r="K141" s="395" t="s">
        <v>225</v>
      </c>
      <c r="L141" s="3">
        <f>'Sollecitazioni nella zattera'!$G$127</f>
        <v>1.3256634445774693</v>
      </c>
      <c r="P141" s="203">
        <f t="shared" si="16"/>
        <v>139</v>
      </c>
      <c r="Q141" s="41">
        <f t="shared" si="14"/>
        <v>4.663043742161749</v>
      </c>
      <c r="R141" s="41">
        <f t="shared" si="15"/>
        <v>0</v>
      </c>
      <c r="X141">
        <f>VLOOKUP(V150,AD150:AG158,2,FALSE)</f>
        <v>0.87002745361256884</v>
      </c>
    </row>
    <row r="142" spans="2:24" x14ac:dyDescent="0.25">
      <c r="B142" s="422"/>
      <c r="C142" s="23"/>
      <c r="D142" s="95">
        <f>IF(B146&gt;=G144,1,-1)*(B146-G144)/(F137)*IF(B146&gt;=G144,F139,F138)+IF(B146&gt;=G144,G144,B146)</f>
        <v>146.53338779171841</v>
      </c>
      <c r="E142" s="96"/>
      <c r="F142" s="450"/>
      <c r="G142" s="450"/>
      <c r="H142" s="453" t="s">
        <v>236</v>
      </c>
      <c r="I142" s="464">
        <f>(MAXA(B146,G144)-MINA(B146,G144))/F137</f>
        <v>41.121308172724689</v>
      </c>
      <c r="K142" s="67" t="s">
        <v>226</v>
      </c>
      <c r="L142" s="3">
        <f>'Sollecitazioni nella zattera'!G128</f>
        <v>0.37433655542253064</v>
      </c>
      <c r="P142" s="203">
        <f t="shared" si="16"/>
        <v>140</v>
      </c>
      <c r="Q142" s="41">
        <f t="shared" si="14"/>
        <v>4.6965908194434887</v>
      </c>
      <c r="R142" s="41">
        <f t="shared" si="15"/>
        <v>0</v>
      </c>
    </row>
    <row r="143" spans="2:24" x14ac:dyDescent="0.25">
      <c r="B143" s="422"/>
      <c r="C143" s="23"/>
      <c r="D143" s="97"/>
      <c r="E143" s="98"/>
      <c r="F143" s="450"/>
      <c r="G143" s="450"/>
      <c r="H143" s="453" t="s">
        <v>137</v>
      </c>
      <c r="I143" s="464">
        <f>IF(I145&lt;0,0,IF(B146&gt;=G144,-1,1)*MINA(B146,G144)/I142)</f>
        <v>0.87344178488252433</v>
      </c>
      <c r="K143" s="389" t="s">
        <v>227</v>
      </c>
      <c r="L143" s="125">
        <f>('FOGLIO DEPOSITO'!D119+'FOGLIO DEPOSITO'!D120)/6</f>
        <v>0.58666666666666667</v>
      </c>
      <c r="P143" s="203">
        <f t="shared" si="16"/>
        <v>141</v>
      </c>
      <c r="Q143" s="41">
        <f t="shared" si="14"/>
        <v>4.7301378967252274</v>
      </c>
      <c r="R143" s="41">
        <f t="shared" si="15"/>
        <v>0</v>
      </c>
    </row>
    <row r="144" spans="2:24" ht="18" x14ac:dyDescent="0.25">
      <c r="B144" s="422"/>
      <c r="C144" s="99"/>
      <c r="D144" s="100"/>
      <c r="E144" s="98"/>
      <c r="F144" s="67" t="s">
        <v>223</v>
      </c>
      <c r="G144" s="449">
        <f>('Sollecitazioni nella zattera'!$E$72/(F137*'Sollecitazioni nella zattera'!G132)*(1+(IF(DATI!G211="sx",-1,1))*6*'FOGLIO DEPOSITO'!L142/(F137)))</f>
        <v>175.72951659435293</v>
      </c>
      <c r="H144" s="308" t="s">
        <v>800</v>
      </c>
      <c r="I144" s="464">
        <f>IF(I146=13,MAXA(B146,G144),MIN(B146,G144))</f>
        <v>175.72951659435293</v>
      </c>
      <c r="P144" s="203">
        <f t="shared" si="16"/>
        <v>142</v>
      </c>
      <c r="Q144" s="41">
        <f t="shared" si="14"/>
        <v>4.7636849740069671</v>
      </c>
      <c r="R144" s="41">
        <f t="shared" si="15"/>
        <v>0</v>
      </c>
    </row>
    <row r="145" spans="2:41" x14ac:dyDescent="0.25">
      <c r="B145" s="422"/>
      <c r="C145" s="842" t="s">
        <v>224</v>
      </c>
      <c r="D145" s="843"/>
      <c r="E145" s="98"/>
      <c r="F145" s="450"/>
      <c r="G145" s="450"/>
      <c r="H145" s="453" t="s">
        <v>801</v>
      </c>
      <c r="I145" s="464">
        <f>B146*G144/1000</f>
        <v>6.3116891389558605</v>
      </c>
      <c r="P145" s="203">
        <f t="shared" si="16"/>
        <v>143</v>
      </c>
      <c r="Q145" s="41">
        <f t="shared" si="14"/>
        <v>4.7972320512887059</v>
      </c>
      <c r="R145" s="41">
        <f t="shared" si="15"/>
        <v>0</v>
      </c>
      <c r="V145" s="848" t="s">
        <v>896</v>
      </c>
      <c r="W145" s="849"/>
      <c r="X145" s="849"/>
      <c r="Y145" s="849"/>
      <c r="Z145" s="849"/>
      <c r="AA145" s="849"/>
      <c r="AB145" s="850"/>
    </row>
    <row r="146" spans="2:41" x14ac:dyDescent="0.25">
      <c r="B146" s="449">
        <f>('Sollecitazioni nella zattera'!$E$72/(F137*'Sollecitazioni nella zattera'!G132)*(1-(IF(DATI!G211="sx",-1,1))*6*'FOGLIO DEPOSITO'!L142/(F137)))</f>
        <v>35.917068807088988</v>
      </c>
      <c r="C146" s="54"/>
      <c r="D146" s="100"/>
      <c r="E146" s="98"/>
      <c r="F146" s="450"/>
      <c r="G146" s="450"/>
      <c r="H146" s="465" t="s">
        <v>802</v>
      </c>
      <c r="I146" s="454">
        <f>IF(B146&lt;G144,13,24)</f>
        <v>13</v>
      </c>
      <c r="P146" s="203">
        <f t="shared" si="16"/>
        <v>144</v>
      </c>
      <c r="Q146" s="41">
        <f t="shared" si="14"/>
        <v>4.8307791285704456</v>
      </c>
      <c r="R146" s="41">
        <f t="shared" si="15"/>
        <v>0</v>
      </c>
      <c r="V146" s="845" t="s">
        <v>247</v>
      </c>
      <c r="W146" s="846"/>
      <c r="X146" s="846"/>
      <c r="Y146" s="846"/>
      <c r="Z146" s="846"/>
      <c r="AA146" s="846"/>
      <c r="AB146" s="847"/>
    </row>
    <row r="147" spans="2:41" x14ac:dyDescent="0.25">
      <c r="B147" s="422"/>
      <c r="C147" s="101"/>
      <c r="D147" s="102"/>
      <c r="E147" s="103"/>
      <c r="F147" s="450"/>
      <c r="G147" s="450"/>
      <c r="H147" s="458"/>
      <c r="J147" s="427" t="s">
        <v>874</v>
      </c>
      <c r="P147" s="203">
        <f t="shared" si="16"/>
        <v>145</v>
      </c>
      <c r="Q147" s="41">
        <f t="shared" si="14"/>
        <v>4.8643262058521843</v>
      </c>
      <c r="R147" s="41">
        <f t="shared" si="15"/>
        <v>0</v>
      </c>
      <c r="V147" s="276"/>
      <c r="W147" s="46"/>
      <c r="X147" s="46"/>
      <c r="Y147" s="46"/>
      <c r="Z147" s="46"/>
      <c r="AA147" s="46"/>
      <c r="AB147" s="203"/>
    </row>
    <row r="148" spans="2:41" x14ac:dyDescent="0.25">
      <c r="B148" s="2"/>
      <c r="C148" s="2"/>
      <c r="D148" s="2"/>
      <c r="E148" s="73"/>
      <c r="F148" s="2"/>
      <c r="G148" s="2"/>
      <c r="H148" s="2"/>
      <c r="K148" s="364">
        <f>'Sollecitazioni nella zattera'!G116*K154</f>
        <v>5.7250889679715309</v>
      </c>
      <c r="P148" s="203">
        <f t="shared" si="16"/>
        <v>146</v>
      </c>
      <c r="Q148" s="41">
        <f t="shared" si="14"/>
        <v>4.897873283133924</v>
      </c>
      <c r="R148" s="41">
        <f t="shared" si="15"/>
        <v>0</v>
      </c>
      <c r="V148" s="277" t="s">
        <v>244</v>
      </c>
      <c r="W148" s="46"/>
      <c r="X148" s="46"/>
      <c r="Y148" s="46"/>
      <c r="Z148" s="46" t="s">
        <v>250</v>
      </c>
      <c r="AA148" s="46"/>
      <c r="AB148" s="203"/>
    </row>
    <row r="149" spans="2:41" ht="18.75" x14ac:dyDescent="0.25">
      <c r="B149" s="2"/>
      <c r="C149" s="2"/>
      <c r="D149" s="2"/>
      <c r="E149" s="73"/>
      <c r="F149" s="2"/>
      <c r="G149" s="67" t="s">
        <v>228</v>
      </c>
      <c r="H149" s="2"/>
      <c r="J149" s="27" t="s">
        <v>229</v>
      </c>
      <c r="P149" s="203">
        <f t="shared" si="16"/>
        <v>147</v>
      </c>
      <c r="Q149" s="41">
        <f t="shared" si="14"/>
        <v>4.9314203604156628</v>
      </c>
      <c r="R149" s="41">
        <f t="shared" si="15"/>
        <v>0</v>
      </c>
      <c r="V149" s="162" t="s">
        <v>22</v>
      </c>
      <c r="W149" s="236" t="s">
        <v>253</v>
      </c>
      <c r="X149" s="237" t="s">
        <v>249</v>
      </c>
      <c r="Y149" s="46"/>
      <c r="Z149" s="162" t="s">
        <v>22</v>
      </c>
      <c r="AA149" s="236" t="s">
        <v>253</v>
      </c>
      <c r="AB149" s="237" t="s">
        <v>249</v>
      </c>
      <c r="AD149" s="538"/>
      <c r="AE149" s="538" t="s">
        <v>897</v>
      </c>
      <c r="AF149" s="538" t="s">
        <v>898</v>
      </c>
      <c r="AG149" s="538" t="s">
        <v>899</v>
      </c>
    </row>
    <row r="150" spans="2:41" x14ac:dyDescent="0.25">
      <c r="B150" s="2"/>
      <c r="C150" s="2"/>
      <c r="D150" s="23"/>
      <c r="E150" s="73"/>
      <c r="F150" s="2"/>
      <c r="G150" s="394">
        <f>G131-K152-IF(M154="Sx",K150,K148)</f>
        <v>126.4555151263814</v>
      </c>
      <c r="H150" s="2"/>
      <c r="J150" s="308" t="s">
        <v>142</v>
      </c>
      <c r="K150" s="364">
        <f>SUM('Sollecitazioni nella zattera'!G113:G115)*K154</f>
        <v>186.57691390372213</v>
      </c>
      <c r="P150" s="203">
        <f t="shared" si="16"/>
        <v>148</v>
      </c>
      <c r="Q150" s="41">
        <f t="shared" si="14"/>
        <v>4.9649674376974025</v>
      </c>
      <c r="R150" s="41">
        <f t="shared" si="15"/>
        <v>0</v>
      </c>
      <c r="V150" s="617">
        <f>IF(SPINTE!B220='FOGLIO DEPOSITO'!$AD$171,"",M166)</f>
        <v>0</v>
      </c>
      <c r="W150" s="45"/>
      <c r="X150" s="215">
        <f>X166*VLOOKUP(V150,AD150:AG158,2,FALSE)+VLOOKUP(V150,AD150:AG158,3,FALSE)+VLOOKUP(V150,AD150:AG158,4,FALSE)</f>
        <v>24.647143614628252</v>
      </c>
      <c r="Y150" s="46"/>
      <c r="Z150" s="537">
        <f t="shared" ref="Z150:Z158" si="17">V150</f>
        <v>0</v>
      </c>
      <c r="AA150" s="45"/>
      <c r="AB150" s="275">
        <f>AB166*VLOOKUP(V150,AD150:AG158,2,FALSE)+VLOOKUP(V150,AD150:AG158,3,FALSE)+VLOOKUP(V150,AD150:AG158,4,FALSE)</f>
        <v>24.647143614628252</v>
      </c>
      <c r="AC150" s="436">
        <f>VLOOKUP(V150,AD150:AG158,2,FALSE)+VLOOKUP(V150,AD150:AG158,3,FALSE)+VLOOKUP(V150,AD150:AG158,4,FALSE)</f>
        <v>24.631335354643522</v>
      </c>
      <c r="AD150" s="615" t="str">
        <f>'Sollecitazioni nel paramento'!B111</f>
        <v/>
      </c>
      <c r="AE150" s="540" t="str">
        <f>'Sollecitazioni nel paramento'!D111</f>
        <v/>
      </c>
      <c r="AF150" s="541" t="str">
        <f>'Sollecitazioni nel paramento'!E111</f>
        <v/>
      </c>
      <c r="AG150" s="541" t="str">
        <f>'Sollecitazioni nel paramento'!F111</f>
        <v/>
      </c>
    </row>
    <row r="151" spans="2:41" ht="18" x14ac:dyDescent="0.25">
      <c r="B151" s="852" t="s">
        <v>230</v>
      </c>
      <c r="C151" s="852"/>
      <c r="D151" s="23"/>
      <c r="E151" s="72" t="s">
        <v>231</v>
      </c>
      <c r="F151" s="116"/>
      <c r="G151" s="2"/>
      <c r="H151" s="2"/>
      <c r="J151" s="27" t="s">
        <v>232</v>
      </c>
      <c r="P151" s="203">
        <f t="shared" si="16"/>
        <v>149</v>
      </c>
      <c r="Q151" s="41">
        <f t="shared" si="14"/>
        <v>4.9985145149791412</v>
      </c>
      <c r="R151" s="41">
        <f t="shared" si="15"/>
        <v>0</v>
      </c>
      <c r="V151" s="238">
        <f>IF(SPINTE!B201='FOGLIO DEPOSITO'!$AD$171,"",M167)</f>
        <v>5.03206159226088</v>
      </c>
      <c r="W151" s="45"/>
      <c r="X151" s="275">
        <f>X167*VLOOKUP(V150,AD150:AG158,2,FALSE)+VLOOKUP(V150,AD150:AG158,3,FALSE)+VLOOKUP(V150,AD150:AG158,4,FALSE)</f>
        <v>67.336022948540347</v>
      </c>
      <c r="Y151" s="46"/>
      <c r="Z151" s="238">
        <f t="shared" si="17"/>
        <v>5.03206159226088</v>
      </c>
      <c r="AA151" s="45"/>
      <c r="AB151" s="275">
        <f>AB167*VLOOKUP(V150,AD150:AG158,2,FALSE)+VLOOKUP(V150,AD150:AG158,3,FALSE)+VLOOKUP(V150,AD150:AG158,4,FALSE)</f>
        <v>67.336022948540347</v>
      </c>
      <c r="AD151" s="539" t="str">
        <f>'Sollecitazioni nel paramento'!B110</f>
        <v/>
      </c>
      <c r="AE151" s="540" t="str">
        <f>'Sollecitazioni nel paramento'!D110</f>
        <v/>
      </c>
      <c r="AF151" s="541" t="str">
        <f>'Sollecitazioni nel paramento'!E110</f>
        <v/>
      </c>
      <c r="AG151" s="541" t="str">
        <f>'Sollecitazioni nel paramento'!F110</f>
        <v/>
      </c>
    </row>
    <row r="152" spans="2:41" x14ac:dyDescent="0.25">
      <c r="B152" s="2"/>
      <c r="C152" s="2"/>
      <c r="D152" s="23"/>
      <c r="E152" s="78">
        <f>-(D129-K152-IF(M154="dx",K150,0))</f>
        <v>83.592438612003718</v>
      </c>
      <c r="F152" s="855" t="s">
        <v>233</v>
      </c>
      <c r="G152" s="2"/>
      <c r="H152" s="16"/>
      <c r="K152" s="364">
        <f>'Sollecitazioni nella zattera'!G117*K154</f>
        <v>43.5489125</v>
      </c>
      <c r="P152" s="203">
        <f t="shared" si="16"/>
        <v>150</v>
      </c>
      <c r="Q152" s="41">
        <f t="shared" si="14"/>
        <v>5.03206159226088</v>
      </c>
      <c r="R152" s="41">
        <f t="shared" si="15"/>
        <v>0</v>
      </c>
      <c r="V152" s="241">
        <f>IF(SPINTE!J242='FOGLIO DEPOSITO'!$AD$171,"",M168)</f>
        <v>5.03206159226088</v>
      </c>
      <c r="W152" s="43"/>
      <c r="X152" s="275">
        <f>X168*VLOOKUP(V150,AD150:AG158,2,FALSE)+VLOOKUP(V150,AD150:AG158,3,FALSE)+VLOOKUP(V150,AD150:AG158,4,FALSE)</f>
        <v>67.336022948540347</v>
      </c>
      <c r="Y152" s="46"/>
      <c r="Z152" s="241">
        <f t="shared" si="17"/>
        <v>5.03206159226088</v>
      </c>
      <c r="AA152" s="43"/>
      <c r="AB152" s="217">
        <f>AB168*VLOOKUP(V150,AD150:AG158,2,FALSE)+VLOOKUP(V150,AD150:AG158,3,FALSE)+VLOOKUP(V150,AD150:AG158,4,FALSE)</f>
        <v>67.336022948540347</v>
      </c>
      <c r="AD152" s="539" t="str">
        <f>'Sollecitazioni nel paramento'!B109</f>
        <v/>
      </c>
      <c r="AE152" s="540" t="str">
        <f>'Sollecitazioni nel paramento'!D109</f>
        <v/>
      </c>
      <c r="AF152" s="541" t="str">
        <f>'Sollecitazioni nel paramento'!E109</f>
        <v/>
      </c>
      <c r="AG152" s="541" t="str">
        <f>'Sollecitazioni nel paramento'!F109</f>
        <v/>
      </c>
    </row>
    <row r="153" spans="2:41" x14ac:dyDescent="0.25">
      <c r="B153" s="2"/>
      <c r="C153" s="2"/>
      <c r="D153" s="23"/>
      <c r="E153" s="56"/>
      <c r="F153" s="856"/>
      <c r="G153" s="2"/>
      <c r="H153" s="2"/>
      <c r="V153" s="238">
        <f>IF(SPINTE!J160='FOGLIO DEPOSITO'!$AD$171,"",M169)</f>
        <v>5.03206159226088</v>
      </c>
      <c r="W153" s="45"/>
      <c r="X153" s="215">
        <f>X169*VLOOKUP(V150,AD150:AG158,2,FALSE)+VLOOKUP(V150,AD150:AG158,3,FALSE)+VLOOKUP(V150,AD150:AG158,4,FALSE)</f>
        <v>67.336022948540347</v>
      </c>
      <c r="Y153" s="46"/>
      <c r="Z153" s="238">
        <f t="shared" si="17"/>
        <v>5.03206159226088</v>
      </c>
      <c r="AA153" s="45"/>
      <c r="AB153" s="275">
        <f>AB169*VLOOKUP(V150,AD150:AG158,2,FALSE)+VLOOKUP(V150,AD150:AG158,3,FALSE)+VLOOKUP(V150,AD150:AG158,4,FALSE)</f>
        <v>67.336022948540347</v>
      </c>
      <c r="AD153" s="539" t="str">
        <f>'Sollecitazioni nel paramento'!B108</f>
        <v/>
      </c>
      <c r="AE153" s="540" t="str">
        <f>'Sollecitazioni nel paramento'!D108</f>
        <v/>
      </c>
      <c r="AF153" s="541" t="str">
        <f>'Sollecitazioni nel paramento'!E108</f>
        <v/>
      </c>
      <c r="AG153" s="541" t="str">
        <f>'Sollecitazioni nel paramento'!F108</f>
        <v/>
      </c>
    </row>
    <row r="154" spans="2:41" x14ac:dyDescent="0.25">
      <c r="B154" s="2"/>
      <c r="C154" s="2"/>
      <c r="D154" s="860" t="s">
        <v>234</v>
      </c>
      <c r="E154" s="861"/>
      <c r="F154" s="52"/>
      <c r="G154" s="2"/>
      <c r="H154" s="4"/>
      <c r="J154" t="s">
        <v>235</v>
      </c>
      <c r="K154" s="31">
        <f>DATI!E61</f>
        <v>2.5</v>
      </c>
      <c r="L154" s="365" t="s">
        <v>236</v>
      </c>
      <c r="M154" s="140" t="str">
        <f>DATI!G211</f>
        <v>dx</v>
      </c>
      <c r="V154" s="238">
        <f>IF(SPINTE!J161='FOGLIO DEPOSITO'!$AD$171,"",M170)</f>
        <v>5.03206159226088</v>
      </c>
      <c r="W154" s="45"/>
      <c r="X154" s="275">
        <f>X170*VLOOKUP(V150,AD150:AG158,2,FALSE)+VLOOKUP(V150,AD150:AG158,3,FALSE)+VLOOKUP(V150,AD150:AG158,4,FALSE)</f>
        <v>67.336022948540347</v>
      </c>
      <c r="Y154" s="46"/>
      <c r="Z154" s="238">
        <f t="shared" si="17"/>
        <v>5.03206159226088</v>
      </c>
      <c r="AA154" s="45"/>
      <c r="AB154" s="275">
        <f>AB170*VLOOKUP(V150,AD150:AG158,2,FALSE)+VLOOKUP(V150,AD150:AG158,3,FALSE)+VLOOKUP(V150,AD150:AG158,4,FALSE)</f>
        <v>67.336022948540347</v>
      </c>
      <c r="AD154" s="539" t="str">
        <f>'Sollecitazioni nel paramento'!B107</f>
        <v/>
      </c>
      <c r="AE154" s="540" t="str">
        <f>'Sollecitazioni nel paramento'!D107</f>
        <v/>
      </c>
      <c r="AF154" s="541" t="str">
        <f>'Sollecitazioni nel paramento'!E107</f>
        <v/>
      </c>
      <c r="AG154" s="541" t="str">
        <f>'Sollecitazioni nel paramento'!F107</f>
        <v/>
      </c>
    </row>
    <row r="155" spans="2:41" x14ac:dyDescent="0.25">
      <c r="B155" s="2"/>
      <c r="C155" s="2"/>
      <c r="D155" s="853" t="s">
        <v>237</v>
      </c>
      <c r="E155" s="854"/>
      <c r="F155" s="2"/>
      <c r="G155" s="2"/>
      <c r="H155" s="4"/>
      <c r="V155" s="241">
        <f>IF(SPINTE!J162='FOGLIO DEPOSITO'!$AD$171,"",M171)</f>
        <v>5.03206159226088</v>
      </c>
      <c r="W155" s="43"/>
      <c r="X155" s="275">
        <f>X171*VLOOKUP(V150,AD150:AG158,2,FALSE)+VLOOKUP(V150,AD150:AG158,3,FALSE)+VLOOKUP(V150,AD150:AG158,4,FALSE)</f>
        <v>67.336022948540347</v>
      </c>
      <c r="Y155" s="46"/>
      <c r="Z155" s="241">
        <f t="shared" si="17"/>
        <v>5.03206159226088</v>
      </c>
      <c r="AA155" s="43"/>
      <c r="AB155" s="217">
        <f>AB171*VLOOKUP(V150,AD150:AG158,2,FALSE)+VLOOKUP(V150,AD150:AG158,3,FALSE)+VLOOKUP(V150,AD150:AG158,4,FALSE)</f>
        <v>67.336022948540347</v>
      </c>
      <c r="AD155" s="539" t="str">
        <f>'Sollecitazioni nel paramento'!B106</f>
        <v/>
      </c>
      <c r="AE155" s="540" t="str">
        <f>'Sollecitazioni nel paramento'!D106</f>
        <v/>
      </c>
      <c r="AF155" s="541" t="str">
        <f>'Sollecitazioni nel paramento'!E106</f>
        <v/>
      </c>
      <c r="AG155" s="541" t="str">
        <f>'Sollecitazioni nel paramento'!F106</f>
        <v/>
      </c>
    </row>
    <row r="156" spans="2:41" ht="18" x14ac:dyDescent="0.25">
      <c r="B156" s="2"/>
      <c r="C156" s="2"/>
      <c r="D156" s="54"/>
      <c r="E156" s="75"/>
      <c r="F156" s="76" t="s">
        <v>231</v>
      </c>
      <c r="G156" s="2"/>
      <c r="H156" s="4"/>
      <c r="J156" t="s">
        <v>238</v>
      </c>
      <c r="M156" s="160" t="s">
        <v>239</v>
      </c>
      <c r="N156" s="361">
        <f>'Sollecitazioni nella zattera'!G121*K154</f>
        <v>264.5582317518024</v>
      </c>
      <c r="V156" s="616">
        <f>IF(SPINTE!J163='FOGLIO DEPOSITO'!$AD$171,"",M172)</f>
        <v>5.03206159226088</v>
      </c>
      <c r="W156" s="45"/>
      <c r="X156" s="215">
        <f>X172*VLOOKUP(V150,AD150:AG158,2,FALSE)+VLOOKUP(V150,AD150:AG158,3,FALSE)+VLOOKUP(V150,AD150:AG158,4,FALSE)</f>
        <v>67.336022948540347</v>
      </c>
      <c r="Y156" s="46"/>
      <c r="Z156" s="238">
        <f t="shared" si="17"/>
        <v>5.03206159226088</v>
      </c>
      <c r="AA156" s="45"/>
      <c r="AB156" s="275">
        <f>AB172*VLOOKUP(V150,AD150:AG158,2,FALSE)+VLOOKUP(V150,AD150:AG158,3,FALSE)+VLOOKUP(V150,AD150:AG158,4,FALSE)</f>
        <v>67.336022948540347</v>
      </c>
      <c r="AD156" s="539">
        <f>'Sollecitazioni nel paramento'!B105</f>
        <v>0</v>
      </c>
      <c r="AE156" s="540">
        <f>'Sollecitazioni nel paramento'!D105</f>
        <v>0.87002745361256884</v>
      </c>
      <c r="AF156" s="541">
        <f>'Sollecitazioni nel paramento'!E105</f>
        <v>23.761307901030953</v>
      </c>
      <c r="AG156" s="541">
        <f>'Sollecitazioni nel paramento'!F105</f>
        <v>0</v>
      </c>
    </row>
    <row r="157" spans="2:41" x14ac:dyDescent="0.25">
      <c r="B157" s="2"/>
      <c r="C157" s="851" t="s">
        <v>228</v>
      </c>
      <c r="D157" s="74"/>
      <c r="E157" s="73"/>
      <c r="F157" s="79">
        <f>-(D129-K152-IF(M154="sx",K150,0))</f>
        <v>-102.98447529171841</v>
      </c>
      <c r="G157" s="2"/>
      <c r="H157" s="4"/>
      <c r="J157" t="s">
        <v>240</v>
      </c>
      <c r="M157" s="160" t="s">
        <v>241</v>
      </c>
      <c r="N157" s="361">
        <f>'Sollecitazioni nella zattera'!G122*K154</f>
        <v>439.32379148588234</v>
      </c>
      <c r="V157" s="238">
        <f>IF(SPINTE!J164='FOGLIO DEPOSITO'!$AD$171,"",M173)</f>
        <v>5.03206159226088</v>
      </c>
      <c r="W157" s="45"/>
      <c r="X157" s="275">
        <f>X173*VLOOKUP(V150,AD150:AG158,2,FALSE)+VLOOKUP(V150,AD150:AG158,3,FALSE)+VLOOKUP(V150,AD150:AG158,4,FALSE)</f>
        <v>67.336022948540347</v>
      </c>
      <c r="Y157" s="46"/>
      <c r="Z157" s="238">
        <f t="shared" si="17"/>
        <v>5.03206159226088</v>
      </c>
      <c r="AA157" s="45"/>
      <c r="AB157" s="275">
        <f>AB173*VLOOKUP(V150,AD150:AG158,2,FALSE)+VLOOKUP(V150,AD150:AG158,3,FALSE)+VLOOKUP(V150,AD150:AG158,4,FALSE)</f>
        <v>67.336022948540347</v>
      </c>
      <c r="AD157" s="613">
        <f>'Sollecitazioni nel paramento'!B104</f>
        <v>0</v>
      </c>
      <c r="AE157" s="540">
        <f>'Sollecitazioni nel paramento'!D104</f>
        <v>0.87002745361256884</v>
      </c>
      <c r="AF157" s="541">
        <f>'Sollecitazioni nel paramento'!E104</f>
        <v>23.761307901030953</v>
      </c>
      <c r="AG157" s="541">
        <f>'Sollecitazioni nel paramento'!F104</f>
        <v>0</v>
      </c>
    </row>
    <row r="158" spans="2:41" x14ac:dyDescent="0.25">
      <c r="B158" s="2"/>
      <c r="C158" s="851"/>
      <c r="D158" s="23"/>
      <c r="E158" s="73"/>
      <c r="F158" s="2"/>
      <c r="G158" s="2"/>
      <c r="H158" s="4"/>
      <c r="J158" t="s">
        <v>242</v>
      </c>
      <c r="M158" s="160" t="s">
        <v>243</v>
      </c>
      <c r="N158" s="361">
        <f>'Sollecitazioni nella zattera'!G123*K154</f>
        <v>89.792672017722467</v>
      </c>
      <c r="V158" s="618">
        <f>IF(SPINTE!J165='FOGLIO DEPOSITO'!$AD$171,"",M174)</f>
        <v>5.03206159226088</v>
      </c>
      <c r="W158" s="43"/>
      <c r="X158" s="217">
        <f>X174*VLOOKUP(V150,AD150:AG158,2,FALSE)+VLOOKUP(V150,AD150:AG158,3,FALSE)+VLOOKUP(V150,AD150:AG158,4,FALSE)</f>
        <v>67.336022948540347</v>
      </c>
      <c r="Y158" s="145"/>
      <c r="Z158" s="241">
        <f t="shared" si="17"/>
        <v>5.03206159226088</v>
      </c>
      <c r="AA158" s="43"/>
      <c r="AB158" s="217">
        <f>AB174*VLOOKUP(V150,AD150:AG158,2,FALSE)+VLOOKUP(V150,AD150:AG158,3,FALSE)+VLOOKUP(V150,AD150:AG158,4,FALSE)</f>
        <v>67.336022948540347</v>
      </c>
      <c r="AD158" s="614">
        <f>'Sollecitazioni nel paramento'!B103</f>
        <v>5.0320615922608809</v>
      </c>
      <c r="AE158" s="540">
        <f>'Sollecitazioni nel paramento'!D103</f>
        <v>0.87002745361256884</v>
      </c>
      <c r="AF158" s="541">
        <f>'Sollecitazioni nel paramento'!E103</f>
        <v>11.257756890696893</v>
      </c>
      <c r="AG158" s="541">
        <f>'Sollecitazioni nel paramento'!F103</f>
        <v>0</v>
      </c>
    </row>
    <row r="159" spans="2:41" ht="15.75" x14ac:dyDescent="0.25">
      <c r="B159" s="2"/>
      <c r="C159" s="394">
        <f>B133-K152-IF(M154="Dx",K150,K148)</f>
        <v>-194.20875759663315</v>
      </c>
      <c r="D159" s="23"/>
      <c r="E159" s="366"/>
      <c r="F159" s="2"/>
      <c r="G159" s="2"/>
      <c r="H159" s="4"/>
      <c r="J159" s="421"/>
      <c r="M159" s="160"/>
      <c r="V159" s="156"/>
      <c r="W159" s="519"/>
      <c r="X159" s="519"/>
      <c r="Y159" s="519"/>
      <c r="Z159" s="156"/>
      <c r="AA159" s="156"/>
      <c r="AB159" s="519"/>
    </row>
    <row r="160" spans="2:41" x14ac:dyDescent="0.25">
      <c r="E160" s="186"/>
      <c r="AM160" s="844" t="s">
        <v>244</v>
      </c>
      <c r="AN160" s="844"/>
      <c r="AO160" s="844"/>
    </row>
    <row r="161" spans="2:41" x14ac:dyDescent="0.25">
      <c r="V161" s="848" t="s">
        <v>245</v>
      </c>
      <c r="W161" s="849"/>
      <c r="X161" s="849"/>
      <c r="Y161" s="849"/>
      <c r="Z161" s="849"/>
      <c r="AA161" s="849"/>
      <c r="AB161" s="850"/>
      <c r="AM161" s="284" t="s">
        <v>246</v>
      </c>
    </row>
    <row r="162" spans="2:41" ht="18.75" x14ac:dyDescent="0.25">
      <c r="M162" s="857" t="s">
        <v>247</v>
      </c>
      <c r="N162" s="858"/>
      <c r="O162" s="858"/>
      <c r="P162" s="858"/>
      <c r="Q162" s="858"/>
      <c r="R162" s="858"/>
      <c r="S162" s="858"/>
      <c r="T162" s="859"/>
      <c r="V162" s="845" t="s">
        <v>247</v>
      </c>
      <c r="W162" s="846"/>
      <c r="X162" s="846"/>
      <c r="Y162" s="846"/>
      <c r="Z162" s="846"/>
      <c r="AA162" s="846"/>
      <c r="AB162" s="847"/>
      <c r="AM162" s="292" t="s">
        <v>248</v>
      </c>
      <c r="AN162" s="279" t="s">
        <v>249</v>
      </c>
    </row>
    <row r="163" spans="2:41" x14ac:dyDescent="0.25">
      <c r="M163" s="222"/>
      <c r="N163" s="32"/>
      <c r="O163" s="32"/>
      <c r="P163" s="32"/>
      <c r="Q163" s="32"/>
      <c r="R163" s="32"/>
      <c r="S163" s="261"/>
      <c r="T163" s="204"/>
      <c r="V163" s="276"/>
      <c r="W163" s="46"/>
      <c r="X163" s="46"/>
      <c r="Y163" s="46"/>
      <c r="Z163" s="46"/>
      <c r="AA163" s="46"/>
      <c r="AB163" s="203"/>
      <c r="AM163" s="282"/>
      <c r="AN163" s="280">
        <f>'FOGLIO DEPOSITO'!G225+'FOGLIO DEPOSITO'!H225+'FOGLIO DEPOSITO'!I225</f>
        <v>1.0181698404103103</v>
      </c>
      <c r="AO163" s="469">
        <f>'FOGLIO DEPOSITO'!K225</f>
        <v>1.0181698404103103</v>
      </c>
    </row>
    <row r="164" spans="2:41" x14ac:dyDescent="0.25">
      <c r="B164" s="395"/>
      <c r="C164" s="3"/>
      <c r="D164" s="68"/>
      <c r="E164" s="389"/>
      <c r="F164" s="4"/>
      <c r="M164" s="857" t="s">
        <v>244</v>
      </c>
      <c r="N164" s="858"/>
      <c r="O164" s="858"/>
      <c r="P164" s="859"/>
      <c r="Q164" s="857" t="s">
        <v>250</v>
      </c>
      <c r="R164" s="858"/>
      <c r="S164" s="858"/>
      <c r="T164" s="859"/>
      <c r="V164" s="277" t="s">
        <v>244</v>
      </c>
      <c r="W164" s="46"/>
      <c r="X164" s="46"/>
      <c r="Y164" s="46"/>
      <c r="Z164" s="46" t="s">
        <v>250</v>
      </c>
      <c r="AA164" s="46"/>
      <c r="AB164" s="203"/>
      <c r="AD164" t="s">
        <v>251</v>
      </c>
      <c r="AM164" s="282">
        <f>IF(AN163&lt;0,IF(AN164&lt;0,IF('ANALISI DELLE SPINTE'!C9='ANALISI DELLE SPINTE'!C8,0,'ANALISI DELLE SPINTE'!D9),IF('ANALISI DELLE SPINTE'!C9='ANALISI DELLE SPINTE'!C8,0,IF('ANALISI DELLE SPINTE'!C9='ANALISI DELLE SPINTE'!C8,'ANALISI DELLE SPINTE'!C9,-('ANALISI DELLE SPINTE'!C9-'ANALISI DELLE SPINTE'!C8)/(AN164-AN163)*AN163))),0)</f>
        <v>0</v>
      </c>
      <c r="AN164" s="280">
        <f>'FOGLIO DEPOSITO'!G226+'FOGLIO DEPOSITO'!H226+'FOGLIO DEPOSITO'!I226</f>
        <v>50.084298911001504</v>
      </c>
      <c r="AO164">
        <f>'FOGLIO DEPOSITO'!K226</f>
        <v>50.084298911001504</v>
      </c>
    </row>
    <row r="165" spans="2:41" ht="18.75" x14ac:dyDescent="0.25">
      <c r="B165" s="395"/>
      <c r="C165" s="3"/>
      <c r="D165" s="68"/>
      <c r="E165" s="389"/>
      <c r="F165" s="4"/>
      <c r="H165" s="872" t="s">
        <v>252</v>
      </c>
      <c r="I165" s="873"/>
      <c r="J165" s="874"/>
      <c r="M165" s="162" t="s">
        <v>22</v>
      </c>
      <c r="N165" s="236" t="s">
        <v>253</v>
      </c>
      <c r="O165" s="162" t="s">
        <v>22</v>
      </c>
      <c r="P165" s="237" t="s">
        <v>249</v>
      </c>
      <c r="Q165" s="234" t="s">
        <v>22</v>
      </c>
      <c r="R165" s="236" t="s">
        <v>253</v>
      </c>
      <c r="S165" s="162" t="s">
        <v>22</v>
      </c>
      <c r="T165" s="237" t="s">
        <v>249</v>
      </c>
      <c r="V165" s="162" t="s">
        <v>22</v>
      </c>
      <c r="W165" s="236" t="s">
        <v>253</v>
      </c>
      <c r="X165" s="237" t="s">
        <v>249</v>
      </c>
      <c r="Y165" s="46"/>
      <c r="Z165" s="162" t="s">
        <v>22</v>
      </c>
      <c r="AA165" s="236" t="s">
        <v>253</v>
      </c>
      <c r="AB165" s="237" t="s">
        <v>249</v>
      </c>
      <c r="AD165" t="s">
        <v>254</v>
      </c>
      <c r="AM165" s="283">
        <f>IF(AN164&lt;0,IF(AN165&lt;0,IF('ANALISI DELLE SPINTE'!C10='ANALISI DELLE SPINTE'!C9,0,'ANALISI DELLE SPINTE'!D10-'ANALISI DELLE SPINTE'!D9),IF('ANALISI DELLE SPINTE'!C10='ANALISI DELLE SPINTE'!C9,0,IF('ANALISI DELLE SPINTE'!C10='ANALISI DELLE SPINTE'!C9,'ANALISI DELLE SPINTE'!C10,-('ANALISI DELLE SPINTE'!C10-'ANALISI DELLE SPINTE'!C9)/(AN165-AN164)*AN164))),0)</f>
        <v>0</v>
      </c>
      <c r="AN165" s="281">
        <f>'FOGLIO DEPOSITO'!G227+'FOGLIO DEPOSITO'!H227+'FOGLIO DEPOSITO'!I227</f>
        <v>50.084298911001504</v>
      </c>
      <c r="AO165">
        <f>'FOGLIO DEPOSITO'!K227</f>
        <v>50.084298911001504</v>
      </c>
    </row>
    <row r="166" spans="2:41" x14ac:dyDescent="0.25">
      <c r="B166" s="395"/>
      <c r="C166" s="3"/>
      <c r="D166" s="68"/>
      <c r="E166" s="389"/>
      <c r="F166" s="4"/>
      <c r="H166" s="875" t="s">
        <v>255</v>
      </c>
      <c r="I166" s="876"/>
      <c r="J166" s="877"/>
      <c r="M166" s="248">
        <f>'ANALISI DELLE SPINTE'!C8</f>
        <v>0</v>
      </c>
      <c r="N166" s="249">
        <f>'FOGLIO DEPOSITO'!J225</f>
        <v>2</v>
      </c>
      <c r="O166" s="248">
        <f>IF(SPINTE!B219='FOGLIO DEPOSITO'!AD165,"",M166)</f>
        <v>0</v>
      </c>
      <c r="P166" s="251">
        <f>IF(SPINTE!B219='FOGLIO DEPOSITO'!AD165,"",'FOGLIO DEPOSITO'!AN163)</f>
        <v>1.0181698404103103</v>
      </c>
      <c r="Q166" s="250">
        <f>'ANALISI DELLE SPINTE'!C72</f>
        <v>0</v>
      </c>
      <c r="R166" s="249">
        <f>'FOGLIO DEPOSITO'!J242</f>
        <v>2</v>
      </c>
      <c r="S166" s="248">
        <f>IF(SPINTE!B216='FOGLIO DEPOSITO'!$AD$168,"",Q166)</f>
        <v>0</v>
      </c>
      <c r="T166" s="251">
        <f>IF(SPINTE!B216='FOGLIO DEPOSITO'!$AD$168,"",'FOGLIO DEPOSITO'!AN176)</f>
        <v>1.0181698404103103</v>
      </c>
      <c r="V166" s="238">
        <f>IF(SPINTE!B220='FOGLIO DEPOSITO'!$AD$171,"",M166)</f>
        <v>0</v>
      </c>
      <c r="W166" s="45"/>
      <c r="X166" s="45">
        <f>IF(SPINTE!B220='FOGLIO DEPOSITO'!$AD$171,"",'FOGLIO DEPOSITO'!K225)</f>
        <v>1.0181698404103103</v>
      </c>
      <c r="Y166" s="46"/>
      <c r="Z166" s="221">
        <f>IF(SPINTE!B217='FOGLIO DEPOSITO'!$AD$174,"",Q166)</f>
        <v>0</v>
      </c>
      <c r="AA166" s="45"/>
      <c r="AB166" s="275">
        <f>IF(SPINTE!B217='FOGLIO DEPOSITO'!$AD$174,"",'FOGLIO DEPOSITO'!K242)</f>
        <v>1.0181698404103103</v>
      </c>
      <c r="AM166" s="282">
        <f>IF(($AM$164+$AM$165)=0,0,IF(AN165&lt;0,IF(AN166&lt;0,IF('ANALISI DELLE SPINTE'!C11='ANALISI DELLE SPINTE'!C10,0,'ANALISI DELLE SPINTE'!D11-'ANALISI DELLE SPINTE'!D10),IF('ANALISI DELLE SPINTE'!C11='ANALISI DELLE SPINTE'!C10,0,IF('ANALISI DELLE SPINTE'!C11='ANALISI DELLE SPINTE'!C10,'ANALISI DELLE SPINTE'!C11,-('ANALISI DELLE SPINTE'!C11-'ANALISI DELLE SPINTE'!C10)/(AN166-AN165)*AN165))),0))</f>
        <v>0</v>
      </c>
      <c r="AN166" s="280" t="str">
        <f>IF(SPINTE!D45=0,"",'FOGLIO DEPOSITO'!G228+'FOGLIO DEPOSITO'!H228+'FOGLIO DEPOSITO'!I228)</f>
        <v/>
      </c>
      <c r="AO166" t="str">
        <f>'FOGLIO DEPOSITO'!K228</f>
        <v/>
      </c>
    </row>
    <row r="167" spans="2:41" x14ac:dyDescent="0.25">
      <c r="B167" s="395"/>
      <c r="C167" s="3"/>
      <c r="D167" s="68"/>
      <c r="E167" s="389"/>
      <c r="F167" s="4"/>
      <c r="H167" s="222"/>
      <c r="I167" s="32"/>
      <c r="J167" s="204"/>
      <c r="M167" s="248">
        <f>'ANALISI DELLE SPINTE'!C9</f>
        <v>5.03206159226088</v>
      </c>
      <c r="N167" s="249">
        <f>'FOGLIO DEPOSITO'!J226</f>
        <v>92.577108660695842</v>
      </c>
      <c r="O167" s="248">
        <f>IF(SPINTE!B219='FOGLIO DEPOSITO'!AD165,"",M167)</f>
        <v>5.03206159226088</v>
      </c>
      <c r="P167" s="251">
        <f>IF(SPINTE!B219='FOGLIO DEPOSITO'!AD165,"",'FOGLIO DEPOSITO'!AN164)</f>
        <v>50.084298911001504</v>
      </c>
      <c r="Q167" s="250">
        <f>'ANALISI DELLE SPINTE'!C73</f>
        <v>5.03206159226088</v>
      </c>
      <c r="R167" s="249">
        <f>'FOGLIO DEPOSITO'!J243</f>
        <v>92.577108660695842</v>
      </c>
      <c r="S167" s="248">
        <f>IF(SPINTE!B216='FOGLIO DEPOSITO'!$AD$168,"",Q167)</f>
        <v>5.03206159226088</v>
      </c>
      <c r="T167" s="251">
        <f>IF(SPINTE!B216='FOGLIO DEPOSITO'!$AD$168,"",'FOGLIO DEPOSITO'!AN177)</f>
        <v>50.084298911001504</v>
      </c>
      <c r="V167" s="238">
        <f>IF(SPINTE!B220='FOGLIO DEPOSITO'!$AD$171,"",M167)</f>
        <v>5.03206159226088</v>
      </c>
      <c r="W167" s="45"/>
      <c r="X167" s="45">
        <f>IF(SPINTE!B220='FOGLIO DEPOSITO'!$AD$171,"",'FOGLIO DEPOSITO'!K226)</f>
        <v>50.084298911001504</v>
      </c>
      <c r="Y167" s="46"/>
      <c r="Z167" s="221">
        <f>IF(SPINTE!B217='FOGLIO DEPOSITO'!$AD$174,"",Q167)</f>
        <v>5.03206159226088</v>
      </c>
      <c r="AA167" s="45"/>
      <c r="AB167" s="275">
        <f>IF(SPINTE!B217='FOGLIO DEPOSITO'!$AD$174,"",'FOGLIO DEPOSITO'!K243)</f>
        <v>50.084298911001504</v>
      </c>
      <c r="AD167" t="s">
        <v>256</v>
      </c>
      <c r="AM167" s="282">
        <f>IF(($AM$164+$AM$165)=0,0,IF(AN166&lt;0,IF(AN167&lt;0,IF('ANALISI DELLE SPINTE'!C12='ANALISI DELLE SPINTE'!C11,0,'ANALISI DELLE SPINTE'!D12-'ANALISI DELLE SPINTE'!D11),IF('ANALISI DELLE SPINTE'!C12='ANALISI DELLE SPINTE'!C11,0,IF('ANALISI DELLE SPINTE'!C12='ANALISI DELLE SPINTE'!C11,'ANALISI DELLE SPINTE'!C12,-('ANALISI DELLE SPINTE'!C12-'ANALISI DELLE SPINTE'!C11)/(AN167-AN166)*AN166))),0))</f>
        <v>0</v>
      </c>
      <c r="AN167" s="280" t="str">
        <f>IF(SPINTE!D45=0,"",'FOGLIO DEPOSITO'!G229+'FOGLIO DEPOSITO'!H229+'FOGLIO DEPOSITO'!I229)</f>
        <v/>
      </c>
      <c r="AO167" t="str">
        <f>'FOGLIO DEPOSITO'!K229</f>
        <v/>
      </c>
    </row>
    <row r="168" spans="2:41" x14ac:dyDescent="0.25">
      <c r="B168" s="395"/>
      <c r="C168" s="3"/>
      <c r="D168" s="68"/>
      <c r="E168" s="389"/>
      <c r="F168" s="4"/>
      <c r="H168" s="875" t="s">
        <v>257</v>
      </c>
      <c r="I168" s="876"/>
      <c r="J168" s="877"/>
      <c r="M168" s="252">
        <f>'ANALISI DELLE SPINTE'!C10</f>
        <v>5.03206159226088</v>
      </c>
      <c r="N168" s="253">
        <f>'FOGLIO DEPOSITO'!J227</f>
        <v>92.577108660695842</v>
      </c>
      <c r="O168" s="252">
        <f>IF(SPINTE!B219='FOGLIO DEPOSITO'!AD165,"",M168)</f>
        <v>5.03206159226088</v>
      </c>
      <c r="P168" s="255">
        <f>IF(SPINTE!B219='FOGLIO DEPOSITO'!AD165,"",'FOGLIO DEPOSITO'!AN165)</f>
        <v>50.084298911001504</v>
      </c>
      <c r="Q168" s="254">
        <f>'ANALISI DELLE SPINTE'!C74</f>
        <v>5.03206159226088</v>
      </c>
      <c r="R168" s="253">
        <f>'FOGLIO DEPOSITO'!J244</f>
        <v>92.577108660695842</v>
      </c>
      <c r="S168" s="252">
        <f>IF(SPINTE!B216='FOGLIO DEPOSITO'!$AD$168,"",Q168)</f>
        <v>5.03206159226088</v>
      </c>
      <c r="T168" s="255">
        <f>IF(SPINTE!B216='FOGLIO DEPOSITO'!$AD$168,"",'FOGLIO DEPOSITO'!AN178)</f>
        <v>50.084298911001504</v>
      </c>
      <c r="V168" s="241">
        <f>IF(SPINTE!B220='FOGLIO DEPOSITO'!$AD$171,"",M168)</f>
        <v>5.03206159226088</v>
      </c>
      <c r="W168" s="43"/>
      <c r="X168" s="43">
        <f>IF(SPINTE!B220='FOGLIO DEPOSITO'!$AD$171,"",'FOGLIO DEPOSITO'!K227)</f>
        <v>50.084298911001504</v>
      </c>
      <c r="Y168" s="46"/>
      <c r="Z168" s="220">
        <f>IF(SPINTE!B217='FOGLIO DEPOSITO'!$AD$174,"",Q168)</f>
        <v>5.03206159226088</v>
      </c>
      <c r="AA168" s="43"/>
      <c r="AB168" s="217">
        <f>IF(SPINTE!B217='FOGLIO DEPOSITO'!$AD$174,"",'FOGLIO DEPOSITO'!K244)</f>
        <v>50.084298911001504</v>
      </c>
      <c r="AD168" t="s">
        <v>258</v>
      </c>
      <c r="AM168" s="283">
        <f>IF(($AM$164+$AM$165)=0,0,IF(AN167&lt;0,IF(AN168&lt;0,IF('ANALISI DELLE SPINTE'!C13='ANALISI DELLE SPINTE'!C12,0,'ANALISI DELLE SPINTE'!D13-'ANALISI DELLE SPINTE'!D12),IF('ANALISI DELLE SPINTE'!C13='ANALISI DELLE SPINTE'!C12,0,IF('ANALISI DELLE SPINTE'!C13='ANALISI DELLE SPINTE'!C12,'ANALISI DELLE SPINTE'!C13,-('ANALISI DELLE SPINTE'!C13-'ANALISI DELLE SPINTE'!C12)/(AN168-AN167)*AN167))),0))</f>
        <v>0</v>
      </c>
      <c r="AN168" s="281" t="str">
        <f>IF(SPINTE!D45=0,"",'FOGLIO DEPOSITO'!G230+'FOGLIO DEPOSITO'!H230+'FOGLIO DEPOSITO'!I230)</f>
        <v/>
      </c>
      <c r="AO168" t="str">
        <f>'FOGLIO DEPOSITO'!K230</f>
        <v/>
      </c>
    </row>
    <row r="169" spans="2:41" x14ac:dyDescent="0.25">
      <c r="B169" s="395"/>
      <c r="C169" s="3"/>
      <c r="D169" s="68"/>
      <c r="E169" s="389"/>
      <c r="F169" s="4"/>
      <c r="H169" s="875" t="s">
        <v>259</v>
      </c>
      <c r="I169" s="876"/>
      <c r="J169" s="877"/>
      <c r="M169" s="248">
        <f>IF('FOGLIO DEPOSITO'!J228="",M168,'ANALISI DELLE SPINTE'!C11)</f>
        <v>5.03206159226088</v>
      </c>
      <c r="N169" s="249">
        <f>IF('FOGLIO DEPOSITO'!J228="",N168,'FOGLIO DEPOSITO'!J228)</f>
        <v>92.577108660695842</v>
      </c>
      <c r="O169" s="248">
        <f>IF(SPINTE!B219='FOGLIO DEPOSITO'!AD165,"",M169)</f>
        <v>5.03206159226088</v>
      </c>
      <c r="P169" s="251">
        <f>IF(SPINTE!B219='FOGLIO DEPOSITO'!AD165,"",IF('FOGLIO DEPOSITO'!J228="",P168,'FOGLIO DEPOSITO'!AN166))</f>
        <v>50.084298911001504</v>
      </c>
      <c r="Q169" s="250">
        <f>IF('FOGLIO DEPOSITO'!J245="",Q168,'ANALISI DELLE SPINTE'!C75)</f>
        <v>5.03206159226088</v>
      </c>
      <c r="R169" s="249">
        <f>IF('FOGLIO DEPOSITO'!J245="",R168,'FOGLIO DEPOSITO'!J245)</f>
        <v>92.577108660695842</v>
      </c>
      <c r="S169" s="248">
        <f>IF(SPINTE!B216='FOGLIO DEPOSITO'!$AD$168,"",Q169)</f>
        <v>5.03206159226088</v>
      </c>
      <c r="T169" s="251">
        <f>IF(SPINTE!B216='FOGLIO DEPOSITO'!$AD$168,"",IF('FOGLIO DEPOSITO'!J245="",T168,'FOGLIO DEPOSITO'!AN179))</f>
        <v>50.084298911001504</v>
      </c>
      <c r="V169" s="238">
        <f>IF(SPINTE!B220='FOGLIO DEPOSITO'!$AD$171,"",M169)</f>
        <v>5.03206159226088</v>
      </c>
      <c r="W169" s="45"/>
      <c r="X169" s="45">
        <f>IF(SPINTE!B220='FOGLIO DEPOSITO'!$AD$171,"",IF('FOGLIO DEPOSITO'!J228="",$X$168,'FOGLIO DEPOSITO'!K228))</f>
        <v>50.084298911001504</v>
      </c>
      <c r="Y169" s="46"/>
      <c r="Z169" s="221">
        <f>IF(SPINTE!B217='FOGLIO DEPOSITO'!$AD$174,"",Q169)</f>
        <v>5.03206159226088</v>
      </c>
      <c r="AA169" s="45"/>
      <c r="AB169" s="275">
        <f>IF(SPINTE!B217='FOGLIO DEPOSITO'!$AD$174,"",IF('FOGLIO DEPOSITO'!J245="",$AB$168,'FOGLIO DEPOSITO'!K245))</f>
        <v>50.084298911001504</v>
      </c>
      <c r="AM169" s="282">
        <f>IF(($AM$164+$AM$165)=0,0,IF(AN168&lt;0,IF(AN169&lt;0,IF('ANALISI DELLE SPINTE'!C14='ANALISI DELLE SPINTE'!C13,0,'ANALISI DELLE SPINTE'!D14-'ANALISI DELLE SPINTE'!D13),IF('ANALISI DELLE SPINTE'!C14='ANALISI DELLE SPINTE'!C13,0,IF('ANALISI DELLE SPINTE'!C14='ANALISI DELLE SPINTE'!C13,'ANALISI DELLE SPINTE'!C14,-('ANALISI DELLE SPINTE'!C14-'ANALISI DELLE SPINTE'!C13)/(AN169-AN168)*AN168))),0))</f>
        <v>0</v>
      </c>
      <c r="AN169" s="280" t="str">
        <f>IF(SPINTE!D52=0,"",'FOGLIO DEPOSITO'!G231+'FOGLIO DEPOSITO'!H231+'FOGLIO DEPOSITO'!I231)</f>
        <v/>
      </c>
      <c r="AO169" t="str">
        <f>'FOGLIO DEPOSITO'!K231</f>
        <v/>
      </c>
    </row>
    <row r="170" spans="2:41" x14ac:dyDescent="0.25">
      <c r="B170" s="395"/>
      <c r="C170" s="3"/>
      <c r="D170" s="68"/>
      <c r="E170" s="389"/>
      <c r="F170" s="4"/>
      <c r="H170" s="222"/>
      <c r="I170" s="32"/>
      <c r="J170" s="204"/>
      <c r="M170" s="248">
        <f>IF('FOGLIO DEPOSITO'!J228="",M168,'ANALISI DELLE SPINTE'!C12)</f>
        <v>5.03206159226088</v>
      </c>
      <c r="N170" s="249">
        <f>IF('FOGLIO DEPOSITO'!J228="",N168,'FOGLIO DEPOSITO'!J229)</f>
        <v>92.577108660695842</v>
      </c>
      <c r="O170" s="248">
        <f>IF(SPINTE!B219='FOGLIO DEPOSITO'!AD165,"",M170)</f>
        <v>5.03206159226088</v>
      </c>
      <c r="P170" s="251">
        <f>IF(SPINTE!B219='FOGLIO DEPOSITO'!AD165,"",IF('FOGLIO DEPOSITO'!J228="",P168,'FOGLIO DEPOSITO'!AN167))</f>
        <v>50.084298911001504</v>
      </c>
      <c r="Q170" s="250">
        <f>IF('FOGLIO DEPOSITO'!J245="",Q168,'ANALISI DELLE SPINTE'!C76)</f>
        <v>5.03206159226088</v>
      </c>
      <c r="R170" s="249">
        <f>IF('FOGLIO DEPOSITO'!J245="",R168,'FOGLIO DEPOSITO'!J246)</f>
        <v>92.577108660695842</v>
      </c>
      <c r="S170" s="248">
        <f>IF(SPINTE!B216='FOGLIO DEPOSITO'!$AD$168,"",Q170)</f>
        <v>5.03206159226088</v>
      </c>
      <c r="T170" s="251">
        <f>IF(SPINTE!B216='FOGLIO DEPOSITO'!$AD$168,"",IF('FOGLIO DEPOSITO'!J245="",T168,'FOGLIO DEPOSITO'!AN180))</f>
        <v>50.084298911001504</v>
      </c>
      <c r="V170" s="238">
        <f>IF(SPINTE!B220='FOGLIO DEPOSITO'!$AD$171,"",M170)</f>
        <v>5.03206159226088</v>
      </c>
      <c r="W170" s="45"/>
      <c r="X170" s="45">
        <f>IF(SPINTE!B220='FOGLIO DEPOSITO'!$AD$171,"",IF('FOGLIO DEPOSITO'!J229="",$X$168,'FOGLIO DEPOSITO'!K229))</f>
        <v>50.084298911001504</v>
      </c>
      <c r="Y170" s="46"/>
      <c r="Z170" s="221">
        <f>IF(SPINTE!B217='FOGLIO DEPOSITO'!$AD$174,"",Q170)</f>
        <v>5.03206159226088</v>
      </c>
      <c r="AA170" s="45"/>
      <c r="AB170" s="275">
        <f>IF(SPINTE!B217='FOGLIO DEPOSITO'!$AD$174,"",IF('FOGLIO DEPOSITO'!J246="",$AB$168,'FOGLIO DEPOSITO'!K246))</f>
        <v>50.084298911001504</v>
      </c>
      <c r="AD170" t="s">
        <v>260</v>
      </c>
      <c r="AM170" s="282">
        <f>IF(($AM$164+$AM$165)=0,0,IF(AN169&lt;0,IF(AN170&lt;0,IF('ANALISI DELLE SPINTE'!C15='ANALISI DELLE SPINTE'!C14,0,'ANALISI DELLE SPINTE'!D15-'ANALISI DELLE SPINTE'!D14),IF('ANALISI DELLE SPINTE'!C15='ANALISI DELLE SPINTE'!C14,0,IF('ANALISI DELLE SPINTE'!C15='ANALISI DELLE SPINTE'!C14,'ANALISI DELLE SPINTE'!C15,-('ANALISI DELLE SPINTE'!C15-'ANALISI DELLE SPINTE'!C14)/(AN170-AN169)*AN169))),0))</f>
        <v>0</v>
      </c>
      <c r="AN170" s="280" t="str">
        <f>IF(SPINTE!D52=0,"",'FOGLIO DEPOSITO'!G232+'FOGLIO DEPOSITO'!H232+'FOGLIO DEPOSITO'!I232)</f>
        <v/>
      </c>
      <c r="AO170" t="str">
        <f>'FOGLIO DEPOSITO'!K232</f>
        <v/>
      </c>
    </row>
    <row r="171" spans="2:41" x14ac:dyDescent="0.25">
      <c r="B171" s="395"/>
      <c r="C171" s="3"/>
      <c r="D171" s="68"/>
      <c r="E171" s="389"/>
      <c r="F171" s="4"/>
      <c r="H171" s="875" t="s">
        <v>261</v>
      </c>
      <c r="I171" s="876"/>
      <c r="J171" s="877"/>
      <c r="M171" s="252">
        <f>IF('FOGLIO DEPOSITO'!J228="",M168,'ANALISI DELLE SPINTE'!C13)</f>
        <v>5.03206159226088</v>
      </c>
      <c r="N171" s="253">
        <f>IF('FOGLIO DEPOSITO'!J228="",N168,'FOGLIO DEPOSITO'!J230)</f>
        <v>92.577108660695842</v>
      </c>
      <c r="O171" s="252">
        <f>IF(SPINTE!B219='FOGLIO DEPOSITO'!AD165,"",M171)</f>
        <v>5.03206159226088</v>
      </c>
      <c r="P171" s="255">
        <f>IF(SPINTE!B219='FOGLIO DEPOSITO'!AD165,"",IF('FOGLIO DEPOSITO'!J228="",P168,'FOGLIO DEPOSITO'!AN168))</f>
        <v>50.084298911001504</v>
      </c>
      <c r="Q171" s="254">
        <f>IF('FOGLIO DEPOSITO'!J245="",Q168,'ANALISI DELLE SPINTE'!C77)</f>
        <v>5.03206159226088</v>
      </c>
      <c r="R171" s="253">
        <f>IF('FOGLIO DEPOSITO'!J245="",R168,'FOGLIO DEPOSITO'!J247)</f>
        <v>92.577108660695842</v>
      </c>
      <c r="S171" s="252">
        <f>IF(SPINTE!B216='FOGLIO DEPOSITO'!$AD$168,"",Q171)</f>
        <v>5.03206159226088</v>
      </c>
      <c r="T171" s="255">
        <f>IF(SPINTE!B216='FOGLIO DEPOSITO'!$AD$168,"",IF('FOGLIO DEPOSITO'!J245="",T168,'FOGLIO DEPOSITO'!AN181))</f>
        <v>50.084298911001504</v>
      </c>
      <c r="V171" s="241">
        <f>IF(SPINTE!B220='FOGLIO DEPOSITO'!$AD$171,"",M171)</f>
        <v>5.03206159226088</v>
      </c>
      <c r="W171" s="43"/>
      <c r="X171" s="43">
        <f>IF(SPINTE!B220='FOGLIO DEPOSITO'!$AD$171,"",IF('FOGLIO DEPOSITO'!J230="",$X$168,'FOGLIO DEPOSITO'!K230))</f>
        <v>50.084298911001504</v>
      </c>
      <c r="Y171" s="46"/>
      <c r="Z171" s="220">
        <f>IF(SPINTE!B217='FOGLIO DEPOSITO'!$AD$174,"",Q171)</f>
        <v>5.03206159226088</v>
      </c>
      <c r="AA171" s="43"/>
      <c r="AB171" s="217">
        <f>IF(SPINTE!B217='FOGLIO DEPOSITO'!$AD$174,"",IF('FOGLIO DEPOSITO'!J247="",$AB$168,'FOGLIO DEPOSITO'!K247))</f>
        <v>50.084298911001504</v>
      </c>
      <c r="AD171" t="s">
        <v>262</v>
      </c>
      <c r="AM171" s="283">
        <f>IF(($AM$164+$AM$165)=0,0,IF(AN170&lt;0,IF(AN171&lt;0,IF('ANALISI DELLE SPINTE'!C16='ANALISI DELLE SPINTE'!C15,0,'ANALISI DELLE SPINTE'!D16-'ANALISI DELLE SPINTE'!D15),IF('ANALISI DELLE SPINTE'!C16='ANALISI DELLE SPINTE'!C15,0,IF('ANALISI DELLE SPINTE'!C16='ANALISI DELLE SPINTE'!C15,'ANALISI DELLE SPINTE'!C16,-('ANALISI DELLE SPINTE'!C16-'ANALISI DELLE SPINTE'!C15)/(AN171-AN170)*AN170))),0))</f>
        <v>0</v>
      </c>
      <c r="AN171" s="281" t="str">
        <f>IF(SPINTE!D52=0,"",'FOGLIO DEPOSITO'!G233+'FOGLIO DEPOSITO'!H233+'FOGLIO DEPOSITO'!I233)</f>
        <v/>
      </c>
      <c r="AO171" t="str">
        <f>'FOGLIO DEPOSITO'!K233</f>
        <v/>
      </c>
    </row>
    <row r="172" spans="2:41" x14ac:dyDescent="0.25">
      <c r="B172" s="395"/>
      <c r="C172" s="3"/>
      <c r="D172" s="68"/>
      <c r="E172" s="389"/>
      <c r="F172" s="4"/>
      <c r="H172" s="869" t="s">
        <v>263</v>
      </c>
      <c r="I172" s="870"/>
      <c r="J172" s="871"/>
      <c r="M172" s="248">
        <f>IF('FOGLIO DEPOSITO'!J231="",M171,'ANALISI DELLE SPINTE'!C14)</f>
        <v>5.03206159226088</v>
      </c>
      <c r="N172" s="249">
        <f>IF('FOGLIO DEPOSITO'!J231="",N171,'FOGLIO DEPOSITO'!J231)</f>
        <v>92.577108660695842</v>
      </c>
      <c r="O172" s="248">
        <f>IF(SPINTE!B219='FOGLIO DEPOSITO'!AD165,"",M172)</f>
        <v>5.03206159226088</v>
      </c>
      <c r="P172" s="251">
        <f>IF(SPINTE!B219='FOGLIO DEPOSITO'!AD165,"",IF('FOGLIO DEPOSITO'!J231="",P171,'FOGLIO DEPOSITO'!AN169))</f>
        <v>50.084298911001504</v>
      </c>
      <c r="Q172" s="250">
        <f>IF('FOGLIO DEPOSITO'!J248="",Q171,'ANALISI DELLE SPINTE'!C78)</f>
        <v>5.03206159226088</v>
      </c>
      <c r="R172" s="249">
        <f>IF('FOGLIO DEPOSITO'!J248="",R171,'FOGLIO DEPOSITO'!J248)</f>
        <v>92.577108660695842</v>
      </c>
      <c r="S172" s="248">
        <f>IF(SPINTE!B216='FOGLIO DEPOSITO'!$AD$168,"",Q172)</f>
        <v>5.03206159226088</v>
      </c>
      <c r="T172" s="251">
        <f>IF(SPINTE!B216='FOGLIO DEPOSITO'!$AD$168,"",IF('FOGLIO DEPOSITO'!J248="",T171,'FOGLIO DEPOSITO'!AN182))</f>
        <v>50.084298911001504</v>
      </c>
      <c r="V172" s="238">
        <f>IF(SPINTE!B220='FOGLIO DEPOSITO'!$AD$171,"",M172)</f>
        <v>5.03206159226088</v>
      </c>
      <c r="W172" s="45"/>
      <c r="X172" s="45">
        <f>IF(SPINTE!B220='FOGLIO DEPOSITO'!$AD$171,"",IF('FOGLIO DEPOSITO'!J231="",$X$171,'FOGLIO DEPOSITO'!K231))</f>
        <v>50.084298911001504</v>
      </c>
      <c r="Y172" s="46"/>
      <c r="Z172" s="221">
        <f>IF(SPINTE!B217='FOGLIO DEPOSITO'!$AD$174,"",Q172)</f>
        <v>5.03206159226088</v>
      </c>
      <c r="AA172" s="45"/>
      <c r="AB172" s="275">
        <f>IF(SPINTE!B217='FOGLIO DEPOSITO'!$AD$174,"",IF('FOGLIO DEPOSITO'!J248="",$AB$171,'FOGLIO DEPOSITO'!K248))</f>
        <v>50.084298911001504</v>
      </c>
    </row>
    <row r="173" spans="2:41" x14ac:dyDescent="0.25">
      <c r="B173" s="395"/>
      <c r="C173" s="3"/>
      <c r="D173" s="68"/>
      <c r="E173" s="389"/>
      <c r="F173" s="4"/>
      <c r="M173" s="248">
        <f>IF('FOGLIO DEPOSITO'!J231="",M171,'ANALISI DELLE SPINTE'!C15)</f>
        <v>5.03206159226088</v>
      </c>
      <c r="N173" s="249">
        <f>IF('FOGLIO DEPOSITO'!J231="",N171,'FOGLIO DEPOSITO'!J232)</f>
        <v>92.577108660695842</v>
      </c>
      <c r="O173" s="248">
        <f>IF(SPINTE!B219='FOGLIO DEPOSITO'!AD165,"",M173)</f>
        <v>5.03206159226088</v>
      </c>
      <c r="P173" s="251">
        <f>IF(SPINTE!B219='FOGLIO DEPOSITO'!AD165,"",IF('FOGLIO DEPOSITO'!J231="",P171,'FOGLIO DEPOSITO'!AN170))</f>
        <v>50.084298911001504</v>
      </c>
      <c r="Q173" s="250">
        <f>IF('FOGLIO DEPOSITO'!J248="",Q171,'ANALISI DELLE SPINTE'!C79)</f>
        <v>5.03206159226088</v>
      </c>
      <c r="R173" s="249">
        <f>IF('FOGLIO DEPOSITO'!J248="",R171,'FOGLIO DEPOSITO'!J249)</f>
        <v>92.577108660695842</v>
      </c>
      <c r="S173" s="248">
        <f>IF(SPINTE!B216='FOGLIO DEPOSITO'!$AD$168,"",Q173)</f>
        <v>5.03206159226088</v>
      </c>
      <c r="T173" s="251">
        <f>IF(SPINTE!B216='FOGLIO DEPOSITO'!$AD$168,"",IF('FOGLIO DEPOSITO'!J248="",T171,'FOGLIO DEPOSITO'!AN183))</f>
        <v>50.084298911001504</v>
      </c>
      <c r="V173" s="238">
        <f>IF(SPINTE!B220='FOGLIO DEPOSITO'!$AD$171,"",M173)</f>
        <v>5.03206159226088</v>
      </c>
      <c r="W173" s="45"/>
      <c r="X173" s="45">
        <f>IF(SPINTE!B220='FOGLIO DEPOSITO'!$AD$171,"",IF('FOGLIO DEPOSITO'!J232="",$X$171,'FOGLIO DEPOSITO'!K232))</f>
        <v>50.084298911001504</v>
      </c>
      <c r="Y173" s="46"/>
      <c r="Z173" s="221">
        <f>IF(SPINTE!B217='FOGLIO DEPOSITO'!$AD$174,"",Q173)</f>
        <v>5.03206159226088</v>
      </c>
      <c r="AA173" s="45"/>
      <c r="AB173" s="275">
        <f>IF(SPINTE!B217='FOGLIO DEPOSITO'!$AD$174,"",IF('FOGLIO DEPOSITO'!J249="",$AB$171,'FOGLIO DEPOSITO'!K249))</f>
        <v>50.084298911001504</v>
      </c>
      <c r="AD173" t="s">
        <v>264</v>
      </c>
      <c r="AM173" s="844" t="s">
        <v>250</v>
      </c>
      <c r="AN173" s="844"/>
      <c r="AO173" s="844"/>
    </row>
    <row r="174" spans="2:41" x14ac:dyDescent="0.25">
      <c r="B174" s="395"/>
      <c r="C174" s="3"/>
      <c r="D174" s="68"/>
      <c r="E174" s="389"/>
      <c r="F174" s="4"/>
      <c r="H174" s="161" t="s">
        <v>265</v>
      </c>
      <c r="I174" s="133"/>
      <c r="J174" s="309"/>
      <c r="M174" s="252">
        <f>IF('FOGLIO DEPOSITO'!J231="",M171,'ANALISI DELLE SPINTE'!C16)</f>
        <v>5.03206159226088</v>
      </c>
      <c r="N174" s="253">
        <f>IF('FOGLIO DEPOSITO'!J231="",N171,'FOGLIO DEPOSITO'!J233)</f>
        <v>92.577108660695842</v>
      </c>
      <c r="O174" s="252">
        <f>IF(SPINTE!B219='FOGLIO DEPOSITO'!AD165,"",M174)</f>
        <v>5.03206159226088</v>
      </c>
      <c r="P174" s="255">
        <f>IF(SPINTE!B219='FOGLIO DEPOSITO'!AD165,"",IF('FOGLIO DEPOSITO'!J231="",P171,'FOGLIO DEPOSITO'!AN171))</f>
        <v>50.084298911001504</v>
      </c>
      <c r="Q174" s="254">
        <f>IF('FOGLIO DEPOSITO'!J248="",Q171,'ANALISI DELLE SPINTE'!C80)</f>
        <v>5.03206159226088</v>
      </c>
      <c r="R174" s="253">
        <f>IF('FOGLIO DEPOSITO'!J248="",R171,'FOGLIO DEPOSITO'!J250)</f>
        <v>92.577108660695842</v>
      </c>
      <c r="S174" s="248">
        <f>IF(SPINTE!B216='FOGLIO DEPOSITO'!$AD$168,"",Q174)</f>
        <v>5.03206159226088</v>
      </c>
      <c r="T174" s="255">
        <f>IF(SPINTE!B216='FOGLIO DEPOSITO'!$AD$168,"",IF('FOGLIO DEPOSITO'!J248="",T171,'FOGLIO DEPOSITO'!AN184))</f>
        <v>50.084298911001504</v>
      </c>
      <c r="V174" s="241">
        <f>IF(SPINTE!B220='FOGLIO DEPOSITO'!$AD$171,"",M174)</f>
        <v>5.03206159226088</v>
      </c>
      <c r="W174" s="43"/>
      <c r="X174" s="43">
        <f>IF(SPINTE!B220='FOGLIO DEPOSITO'!$AD$171,"",IF('FOGLIO DEPOSITO'!J233="",$X$171,'FOGLIO DEPOSITO'!K233))</f>
        <v>50.084298911001504</v>
      </c>
      <c r="Y174" s="145"/>
      <c r="Z174" s="220">
        <f>IF(SPINTE!B217='FOGLIO DEPOSITO'!$AD$174,"",Q174)</f>
        <v>5.03206159226088</v>
      </c>
      <c r="AA174" s="43"/>
      <c r="AB174" s="217">
        <f>IF(SPINTE!B217='FOGLIO DEPOSITO'!$AD$174,"",IF('FOGLIO DEPOSITO'!J250="",$AB$171,'FOGLIO DEPOSITO'!K250))</f>
        <v>50.084298911001504</v>
      </c>
      <c r="AD174" t="s">
        <v>266</v>
      </c>
      <c r="AM174" s="284" t="s">
        <v>246</v>
      </c>
    </row>
    <row r="175" spans="2:41" ht="18.75" x14ac:dyDescent="0.25">
      <c r="B175" s="395"/>
      <c r="C175" s="3"/>
      <c r="D175" s="68"/>
      <c r="E175" s="389"/>
      <c r="F175" s="4"/>
      <c r="H175" s="310" t="s">
        <v>267</v>
      </c>
      <c r="I175" s="290"/>
      <c r="J175" s="311"/>
      <c r="N175" s="285"/>
      <c r="O175" s="840">
        <v>1</v>
      </c>
      <c r="P175" s="840"/>
      <c r="Q175" s="156"/>
      <c r="R175" s="387"/>
      <c r="S175" s="866">
        <v>2</v>
      </c>
      <c r="T175" s="866"/>
      <c r="V175" s="156"/>
      <c r="W175" s="387"/>
      <c r="X175" s="387">
        <v>3</v>
      </c>
      <c r="Y175" s="387"/>
      <c r="Z175" s="156"/>
      <c r="AA175" s="156"/>
      <c r="AB175" s="387">
        <v>4</v>
      </c>
      <c r="AM175" s="292" t="s">
        <v>248</v>
      </c>
      <c r="AN175" s="279" t="s">
        <v>249</v>
      </c>
    </row>
    <row r="176" spans="2:41" x14ac:dyDescent="0.25">
      <c r="B176" s="395"/>
      <c r="C176" s="3"/>
      <c r="D176" s="68"/>
      <c r="E176" s="389"/>
      <c r="F176" s="4"/>
      <c r="H176" s="32"/>
      <c r="I176" s="45"/>
      <c r="AM176" s="282"/>
      <c r="AN176" s="280">
        <f>'FOGLIO DEPOSITO'!G242+'FOGLIO DEPOSITO'!H242+'FOGLIO DEPOSITO'!I242</f>
        <v>1.0181698404103103</v>
      </c>
      <c r="AO176">
        <f>'FOGLIO DEPOSITO'!K242</f>
        <v>1.0181698404103103</v>
      </c>
    </row>
    <row r="177" spans="2:41" x14ac:dyDescent="0.25">
      <c r="B177" s="395"/>
      <c r="C177" s="3"/>
      <c r="D177" s="68"/>
      <c r="E177" s="389"/>
      <c r="F177" s="4"/>
      <c r="O177" s="31" t="s">
        <v>136</v>
      </c>
      <c r="P177" s="31" t="s">
        <v>139</v>
      </c>
      <c r="Q177" s="31" t="s">
        <v>141</v>
      </c>
      <c r="R177" s="134" t="s">
        <v>269</v>
      </c>
      <c r="S177" s="134" t="s">
        <v>778</v>
      </c>
      <c r="AM177" s="282">
        <f>IF(AN176&lt;0,IF(AN177&lt;0,IF('ANALISI DELLE SPINTE'!C73='ANALISI DELLE SPINTE'!C72,0,'ANALISI DELLE SPINTE'!D73),IF('ANALISI DELLE SPINTE'!C73='ANALISI DELLE SPINTE'!C72,0,IF('ANALISI DELLE SPINTE'!C73='ANALISI DELLE SPINTE'!C72,'ANALISI DELLE SPINTE'!C73,-('ANALISI DELLE SPINTE'!C73-'ANALISI DELLE SPINTE'!C72)/(AN177-AN176)*AN176))),0)</f>
        <v>0</v>
      </c>
      <c r="AN177" s="280">
        <f>'FOGLIO DEPOSITO'!G243+'FOGLIO DEPOSITO'!H243+'FOGLIO DEPOSITO'!I243</f>
        <v>50.084298911001504</v>
      </c>
      <c r="AO177">
        <f>'FOGLIO DEPOSITO'!K243</f>
        <v>50.084298911001504</v>
      </c>
    </row>
    <row r="178" spans="2:41" x14ac:dyDescent="0.25">
      <c r="B178" s="395"/>
      <c r="C178" s="3"/>
      <c r="D178" s="2"/>
      <c r="E178" s="2"/>
      <c r="F178" s="4"/>
      <c r="H178" s="867" t="s">
        <v>268</v>
      </c>
      <c r="I178" s="868"/>
      <c r="K178" s="270" t="s">
        <v>268</v>
      </c>
      <c r="L178" s="271"/>
      <c r="N178" s="27" t="str">
        <f>K178</f>
        <v>Rankine</v>
      </c>
      <c r="O178" s="318">
        <f>H179</f>
        <v>0.30725852452246849</v>
      </c>
      <c r="P178" s="318">
        <f>H180</f>
        <v>0.30725852452246849</v>
      </c>
      <c r="Q178" s="318">
        <f>H181</f>
        <v>0.28271491971777274</v>
      </c>
      <c r="R178" s="318">
        <v>0</v>
      </c>
      <c r="S178" s="318">
        <v>0</v>
      </c>
      <c r="AM178" s="283">
        <f>IF(AN177&lt;0,IF(AN178&lt;0,IF('ANALISI DELLE SPINTE'!C74='ANALISI DELLE SPINTE'!C73,0,'ANALISI DELLE SPINTE'!D74-'ANALISI DELLE SPINTE'!D73),IF('ANALISI DELLE SPINTE'!C74='ANALISI DELLE SPINTE'!C73,0,IF('ANALISI DELLE SPINTE'!C74='ANALISI DELLE SPINTE'!C73,'ANALISI DELLE SPINTE'!C74,-('ANALISI DELLE SPINTE'!C74-'ANALISI DELLE SPINTE'!C73)/(AN178-AN177)*AN177))),0)</f>
        <v>0</v>
      </c>
      <c r="AN178" s="281">
        <f>'FOGLIO DEPOSITO'!G244+'FOGLIO DEPOSITO'!H244+'FOGLIO DEPOSITO'!I244</f>
        <v>50.084298911001504</v>
      </c>
      <c r="AO178">
        <f>'FOGLIO DEPOSITO'!K244</f>
        <v>50.084298911001504</v>
      </c>
    </row>
    <row r="179" spans="2:41" x14ac:dyDescent="0.25">
      <c r="B179" s="395"/>
      <c r="C179" s="3"/>
      <c r="D179" s="2"/>
      <c r="E179" s="2"/>
      <c r="F179" s="4"/>
      <c r="H179" s="222">
        <f>(TAN((45-SPINTE!D33/2)*PI()/180))^2</f>
        <v>0.30725852452246849</v>
      </c>
      <c r="I179" s="204"/>
      <c r="K179" s="270" t="s">
        <v>270</v>
      </c>
      <c r="L179" s="271"/>
      <c r="N179" s="27" t="str">
        <f>K179</f>
        <v>Muller-Breslau</v>
      </c>
      <c r="O179" s="318">
        <f>H184</f>
        <v>0.37232353543539165</v>
      </c>
      <c r="P179" s="318">
        <f>H185</f>
        <v>0.37232353543539165</v>
      </c>
      <c r="Q179" s="318">
        <f>H186</f>
        <v>0.34783279048225529</v>
      </c>
      <c r="R179" s="318">
        <v>0</v>
      </c>
      <c r="S179" s="318">
        <v>0</v>
      </c>
      <c r="T179" t="s">
        <v>271</v>
      </c>
      <c r="AM179" s="282">
        <f>IF(($AM$177+$AM$178)=0,0,IF(AN178&lt;0,IF(AN179&lt;0,IF('ANALISI DELLE SPINTE'!C75='ANALISI DELLE SPINTE'!C74,0,'ANALISI DELLE SPINTE'!D75-'ANALISI DELLE SPINTE'!D74),IF('ANALISI DELLE SPINTE'!C75='ANALISI DELLE SPINTE'!C74,0,IF('ANALISI DELLE SPINTE'!C75='ANALISI DELLE SPINTE'!C74,'ANALISI DELLE SPINTE'!C75,-('ANALISI DELLE SPINTE'!C75-'ANALISI DELLE SPINTE'!C74)/(AN179-AN178)*AN178))),0))</f>
        <v>0</v>
      </c>
      <c r="AN179" s="280" t="str">
        <f>IF(SPINTE!D45=0,"",'FOGLIO DEPOSITO'!G245+'FOGLIO DEPOSITO'!H245+'FOGLIO DEPOSITO'!I245)</f>
        <v/>
      </c>
      <c r="AO179" t="str">
        <f>'FOGLIO DEPOSITO'!K245</f>
        <v/>
      </c>
    </row>
    <row r="180" spans="2:41" x14ac:dyDescent="0.25">
      <c r="B180" s="395"/>
      <c r="C180" s="3"/>
      <c r="D180" s="2"/>
      <c r="H180" s="222">
        <f>(TAN((45-SPINTE!D40/2)*PI()/180))^2</f>
        <v>0.30725852452246849</v>
      </c>
      <c r="I180" s="204"/>
      <c r="K180" s="272" t="s">
        <v>272</v>
      </c>
      <c r="L180" s="273"/>
      <c r="N180" s="27" t="str">
        <f>K180</f>
        <v>Lancellotta</v>
      </c>
      <c r="O180" s="319">
        <f>H189</f>
        <v>0.26153322109318022</v>
      </c>
      <c r="P180" s="319">
        <f>H190</f>
        <v>0.26153322109318022</v>
      </c>
      <c r="Q180" s="319">
        <f>H191</f>
        <v>0.23950570788791192</v>
      </c>
      <c r="R180" s="318">
        <v>0</v>
      </c>
      <c r="S180" s="318">
        <v>0</v>
      </c>
      <c r="T180" t="s">
        <v>273</v>
      </c>
      <c r="AM180" s="282">
        <f>IF(($AM$177+$AM$178)=0,0,IF(AN179&lt;0,IF(AN180&lt;0,IF('ANALISI DELLE SPINTE'!C76='ANALISI DELLE SPINTE'!C75,0,'ANALISI DELLE SPINTE'!D76-'ANALISI DELLE SPINTE'!D75),IF('ANALISI DELLE SPINTE'!C76='ANALISI DELLE SPINTE'!C75,0,IF('ANALISI DELLE SPINTE'!C76='ANALISI DELLE SPINTE'!C75,'ANALISI DELLE SPINTE'!C76,-('ANALISI DELLE SPINTE'!C76-'ANALISI DELLE SPINTE'!C75)/(AN180-AN179)*AN179))),0))</f>
        <v>0</v>
      </c>
      <c r="AN180" s="280" t="str">
        <f>IF(SPINTE!D45=0,"",'FOGLIO DEPOSITO'!G246+'FOGLIO DEPOSITO'!H246+'FOGLIO DEPOSITO'!I246)</f>
        <v/>
      </c>
      <c r="AO180" t="str">
        <f>'FOGLIO DEPOSITO'!K246</f>
        <v/>
      </c>
    </row>
    <row r="181" spans="2:41" x14ac:dyDescent="0.25">
      <c r="H181" s="246">
        <f>(TAN((45-SPINTE!D47/2)*PI()/180))^2</f>
        <v>0.28271491971777274</v>
      </c>
      <c r="I181" s="247"/>
      <c r="N181" s="316" t="s">
        <v>274</v>
      </c>
      <c r="O181" s="294">
        <f>IFERROR(IF(T188&gt;=0,N188,U188),U188)</f>
        <v>0.50908492020515517</v>
      </c>
      <c r="P181" s="318">
        <f>IFERROR(IF(T189&gt;=0,N189,U189),U189)</f>
        <v>0.50908492020515517</v>
      </c>
      <c r="Q181" s="318">
        <f>IFERROR(IF(T190&gt;=0,N190,U190),U190)</f>
        <v>0.48069304215581315</v>
      </c>
      <c r="R181" s="318">
        <f>S188</f>
        <v>6.4077134155870061E-2</v>
      </c>
      <c r="S181" s="318">
        <f>DATI!E51</f>
        <v>0.12815426831174012</v>
      </c>
      <c r="AM181" s="283">
        <f>IF(($AM$177+$AM$178)=0,0,IF(AN180&lt;0,IF(AN181&lt;0,IF('ANALISI DELLE SPINTE'!C77='ANALISI DELLE SPINTE'!C76,0,'ANALISI DELLE SPINTE'!D77-'ANALISI DELLE SPINTE'!D76),IF('ANALISI DELLE SPINTE'!C77='ANALISI DELLE SPINTE'!C76,0,IF('ANALISI DELLE SPINTE'!C77='ANALISI DELLE SPINTE'!C76,'ANALISI DELLE SPINTE'!C77,-('ANALISI DELLE SPINTE'!C77-'ANALISI DELLE SPINTE'!C76)/(AN181-AN180)*AN180))),0))</f>
        <v>0</v>
      </c>
      <c r="AN181" s="281" t="str">
        <f>IF(SPINTE!D45=0,"",'FOGLIO DEPOSITO'!G247+'FOGLIO DEPOSITO'!H247+'FOGLIO DEPOSITO'!I247)</f>
        <v/>
      </c>
      <c r="AO181" t="str">
        <f>'FOGLIO DEPOSITO'!K247</f>
        <v/>
      </c>
    </row>
    <row r="182" spans="2:41" x14ac:dyDescent="0.25">
      <c r="N182" s="317" t="s">
        <v>275</v>
      </c>
      <c r="O182" s="318">
        <f>IFERROR(IF(T188&gt;=0,O188,W188),W188)</f>
        <v>0.52933062130114794</v>
      </c>
      <c r="P182" s="318">
        <f>IFERROR(IF(T189&gt;=0,O189,W189),W189)</f>
        <v>0.52933062130114794</v>
      </c>
      <c r="Q182" s="318">
        <f>IFERROR(IF(T190&gt;=0,O190,W190),W190)</f>
        <v>0.50006015819101868</v>
      </c>
      <c r="R182" s="318">
        <f>S188</f>
        <v>6.4077134155870061E-2</v>
      </c>
      <c r="S182" s="318">
        <f>DATI!E51</f>
        <v>0.12815426831174012</v>
      </c>
      <c r="AM182" s="282">
        <f>IF(($AM$177+$AM$178)=0,0,IF(AN181&lt;0,IF(AN182&lt;0,IF('ANALISI DELLE SPINTE'!C78='ANALISI DELLE SPINTE'!C77,0,'ANALISI DELLE SPINTE'!D78-'ANALISI DELLE SPINTE'!D77),IF('ANALISI DELLE SPINTE'!C78='ANALISI DELLE SPINTE'!C77,0,IF('ANALISI DELLE SPINTE'!C78='ANALISI DELLE SPINTE'!C77,'ANALISI DELLE SPINTE'!C78,-('ANALISI DELLE SPINTE'!C78-'ANALISI DELLE SPINTE'!C77)/(AN182-AN181)*AN181))),0))</f>
        <v>0</v>
      </c>
      <c r="AN182" s="280" t="str">
        <f>IF(SPINTE!D52=0,"",'FOGLIO DEPOSITO'!G248+'FOGLIO DEPOSITO'!H248+'FOGLIO DEPOSITO'!I248)</f>
        <v/>
      </c>
      <c r="AO182" t="str">
        <f>'FOGLIO DEPOSITO'!K248</f>
        <v/>
      </c>
    </row>
    <row r="183" spans="2:41" x14ac:dyDescent="0.25">
      <c r="H183" s="867" t="s">
        <v>270</v>
      </c>
      <c r="I183" s="868"/>
      <c r="N183" s="27" t="s">
        <v>779</v>
      </c>
      <c r="O183" s="318">
        <f>1-SIN(RADIANS(SPINTE!D33))</f>
        <v>0.4700807357667951</v>
      </c>
      <c r="P183" s="318">
        <f>1-SIN(RADIANS(SPINTE!D40))</f>
        <v>0.4700807357667951</v>
      </c>
      <c r="Q183" s="318">
        <f>1-SIN(RADIANS(SPINTE!D47))</f>
        <v>0.4408070965292531</v>
      </c>
      <c r="R183" s="155">
        <v>0</v>
      </c>
      <c r="S183" s="318">
        <v>0</v>
      </c>
      <c r="AM183" s="282">
        <f>IF(($AM$177+$AM$178)=0,0,IF(AN182&lt;0,IF(AN183&lt;0,IF('ANALISI DELLE SPINTE'!C79='ANALISI DELLE SPINTE'!C78,0,'ANALISI DELLE SPINTE'!D79-'ANALISI DELLE SPINTE'!D78),IF('ANALISI DELLE SPINTE'!C79='ANALISI DELLE SPINTE'!C78,0,IF('ANALISI DELLE SPINTE'!C79='ANALISI DELLE SPINTE'!C78,'ANALISI DELLE SPINTE'!C79,-('ANALISI DELLE SPINTE'!C79-'ANALISI DELLE SPINTE'!C78)/(AN183-AN182)*AN182))),0))</f>
        <v>0</v>
      </c>
      <c r="AN183" s="280" t="str">
        <f>IF(SPINTE!D52=0,"",'FOGLIO DEPOSITO'!G249+'FOGLIO DEPOSITO'!H249+'FOGLIO DEPOSITO'!I249)</f>
        <v/>
      </c>
      <c r="AO183" t="str">
        <f>'FOGLIO DEPOSITO'!K249</f>
        <v/>
      </c>
    </row>
    <row r="184" spans="2:41" x14ac:dyDescent="0.25">
      <c r="H184" s="222">
        <f>(COS(RADIANS(SPINTE!D33-SPINTE!D63)))^2/(COS(RADIANS(SPINTE!D63))^2*COS(RADIANS(SPINTE!D63+SPINTE!D37))*(1+((SIN(RADIANS(SPINTE!D33+SPINTE!D37))*SIN(RADIANS(SPINTE!D33-SPINTE!D56)))/(COS(RADIANS(SPINTE!D37+SPINTE!D63))*COS(RADIANS(SPINTE!D63-SPINTE!D56))))^0.5)^2)</f>
        <v>0.37232353543539165</v>
      </c>
      <c r="I184" s="156">
        <f>(COS(RADIANS(SPINTE!D33-SPINTE!D63)))^2/(COS(RADIANS(SPINTE!D63))^2*COS(RADIANS(SPINTE!D63+SPINTE!D37)))</f>
        <v>0.98229019400758055</v>
      </c>
      <c r="N184" s="427" t="s">
        <v>777</v>
      </c>
      <c r="O184" s="318">
        <f>O183</f>
        <v>0.4700807357667951</v>
      </c>
      <c r="P184" s="318">
        <f>P183</f>
        <v>0.4700807357667951</v>
      </c>
      <c r="Q184" s="318">
        <f>Q183</f>
        <v>0.4408070965292531</v>
      </c>
      <c r="R184" s="318">
        <f>S188</f>
        <v>6.4077134155870061E-2</v>
      </c>
      <c r="S184" s="318">
        <f>DATI!E51</f>
        <v>0.12815426831174012</v>
      </c>
      <c r="AM184" s="283">
        <f>IF(($AM$177+$AM$178)=0,0,IF(AN183&lt;0,IF(AN184&lt;0,IF('ANALISI DELLE SPINTE'!C80='ANALISI DELLE SPINTE'!C79,0,'ANALISI DELLE SPINTE'!D80-'ANALISI DELLE SPINTE'!D79),IF('ANALISI DELLE SPINTE'!C80='ANALISI DELLE SPINTE'!C79,0,IF('ANALISI DELLE SPINTE'!C80='ANALISI DELLE SPINTE'!C79,'ANALISI DELLE SPINTE'!C80,-('ANALISI DELLE SPINTE'!C80-'ANALISI DELLE SPINTE'!C79)/(AN184-AN183)*AN183))),0))</f>
        <v>0</v>
      </c>
      <c r="AN184" s="281" t="str">
        <f>IF(SPINTE!D52=0,"",'FOGLIO DEPOSITO'!G250+'FOGLIO DEPOSITO'!H250+'FOGLIO DEPOSITO'!I250)</f>
        <v/>
      </c>
      <c r="AO184" t="str">
        <f>'FOGLIO DEPOSITO'!K250</f>
        <v/>
      </c>
    </row>
    <row r="185" spans="2:41" x14ac:dyDescent="0.25">
      <c r="H185" s="222">
        <f>(COS(RADIANS(SPINTE!D40-SPINTE!D63)))^2/(COS(RADIANS(SPINTE!D63))^2*COS(RADIANS(SPINTE!D63+SPINTE!D44))*(1+((SIN(RADIANS(SPINTE!D40+SPINTE!D44))*SIN(RADIANS(SPINTE!D40-SPINTE!D56)))/(COS(RADIANS(SPINTE!D44+SPINTE!D63))*COS(RADIANS(SPINTE!D63-SPINTE!D56))))^0.5)^2)</f>
        <v>0.37232353543539165</v>
      </c>
      <c r="I185" s="516">
        <f>(COS(RADIANS(SPINTE!D40-SPINTE!D63)))^2/(COS(RADIANS(SPINTE!D63))^2*COS(RADIANS(SPINTE!D63+SPINTE!D44)))</f>
        <v>0.98229019400758055</v>
      </c>
    </row>
    <row r="186" spans="2:41" x14ac:dyDescent="0.25">
      <c r="H186" s="246">
        <f>(COS(RADIANS(SPINTE!D47-SPINTE!D63)))^2/(COS(RADIANS(SPINTE!D63))^2*COS(RADIANS(SPINTE!D63+SPINTE!D51))*(1+((SIN(RADIANS(SPINTE!D47+SPINTE!D51))*SIN(RADIANS(SPINTE!D47-SPINTE!D56)))/(COS(RADIANS(SPINTE!D51+SPINTE!D63))*COS(RADIANS(SPINTE!D63-SPINTE!D56))))^0.5)^2)</f>
        <v>0.34783279048225529</v>
      </c>
      <c r="I186" s="517">
        <f>(COS(RADIANS(SPINTE!D47-SPINTE!D63)))^2/(COS(RADIANS(SPINTE!D63))^2*COS(RADIANS(SPINTE!D63+SPINTE!D51)))</f>
        <v>0.96408481083018394</v>
      </c>
      <c r="N186" s="833" t="s">
        <v>276</v>
      </c>
      <c r="O186" s="834"/>
      <c r="P186" s="173"/>
      <c r="Q186" s="173"/>
      <c r="R186" s="173"/>
      <c r="S186" s="173"/>
      <c r="T186" s="173"/>
      <c r="U186" s="173"/>
      <c r="V186" s="173"/>
      <c r="W186" s="448"/>
      <c r="Y186" s="833" t="s">
        <v>270</v>
      </c>
      <c r="Z186" s="834"/>
      <c r="AA186" s="173"/>
      <c r="AB186" s="173"/>
      <c r="AC186" s="173"/>
      <c r="AD186" s="173"/>
      <c r="AE186" s="173"/>
      <c r="AF186" s="173"/>
      <c r="AG186" s="173"/>
      <c r="AH186" s="448"/>
    </row>
    <row r="187" spans="2:41" ht="15.75" thickBot="1" x14ac:dyDescent="0.3">
      <c r="N187" s="263" t="s">
        <v>277</v>
      </c>
      <c r="O187" s="264" t="s">
        <v>278</v>
      </c>
      <c r="P187" s="264" t="s">
        <v>279</v>
      </c>
      <c r="Q187" s="264" t="s">
        <v>280</v>
      </c>
      <c r="R187" s="444" t="s">
        <v>281</v>
      </c>
      <c r="S187" s="444" t="s">
        <v>282</v>
      </c>
      <c r="T187" s="445" t="s">
        <v>775</v>
      </c>
      <c r="U187" s="446" t="s">
        <v>277</v>
      </c>
      <c r="V187" s="447" t="s">
        <v>776</v>
      </c>
      <c r="W187" s="446" t="s">
        <v>278</v>
      </c>
      <c r="Y187" s="514" t="s">
        <v>875</v>
      </c>
      <c r="Z187" s="513"/>
      <c r="AA187" s="513" t="s">
        <v>279</v>
      </c>
      <c r="AB187" s="513"/>
      <c r="AC187" s="444"/>
      <c r="AD187" s="444"/>
      <c r="AE187" s="445" t="s">
        <v>775</v>
      </c>
      <c r="AF187" s="514" t="s">
        <v>875</v>
      </c>
      <c r="AG187" s="447"/>
      <c r="AH187" s="446"/>
    </row>
    <row r="188" spans="2:41" ht="16.5" thickTop="1" thickBot="1" x14ac:dyDescent="0.3">
      <c r="H188" s="833" t="s">
        <v>272</v>
      </c>
      <c r="I188" s="841"/>
      <c r="N188" s="269">
        <f>(SIN(RADIANS(SPINTE!D62+SPINTE!D33-P188))^2)/(COS(RADIANS(P188))*SIN(RADIANS(SPINTE!D62))^2*SIN(RADIANS(SPINTE!D62-SPINTE!D37-P188))*(1+((SIN(RADIANS(SPINTE!D33+SPINTE!D37))*SIN(RADIANS(SPINTE!D33-SPINTE!D56-P188)))/(SIN(RADIANS(SPINTE!D62+SPINTE!D37+P188))*SIN(RADIANS(SPINTE!D62+SPINTE!D56))))^0.5)^2)</f>
        <v>0.50908492020515517</v>
      </c>
      <c r="O188" s="184">
        <f>(SIN(RADIANS(SPINTE!D62+SPINTE!D33-Q188))^2)/(COS(RADIANS(Q188))*SIN(RADIANS(SPINTE!D62))^2*SIN(RADIANS(SPINTE!D62-SPINTE!D37-Q188))*(1+((SIN(RADIANS(SPINTE!D33+SPINTE!D37))*SIN(RADIANS(SPINTE!D33-SPINTE!D56-Q188)))/(SIN(RADIANS(SPINTE!D62+SPINTE!D37+Q188))*SIN(RADIANS(SPINTE!D62+SPINTE!D56))))^0.5)^2)</f>
        <v>0.52933062130114794</v>
      </c>
      <c r="P188" s="265">
        <f>180/PI()*IF(SPINTE!D38&lt;='FOGLIO DEPOSITO'!C226,1,(SPINTE!D34/(SPINTE!D34-SPINTE!D61)))*ATAN(R188/(1+S188))</f>
        <v>6.8674555157547585</v>
      </c>
      <c r="Q188" s="265">
        <f>180/PI()*IF(SPINTE!D38&lt;='FOGLIO DEPOSITO'!C226,1,(SPINTE!D34/(SPINTE!D34-SPINTE!D61)))*ATAN(R188/(1-S188))</f>
        <v>7.7969223139268475</v>
      </c>
      <c r="R188" s="260">
        <f>DATI!E51</f>
        <v>0.12815426831174012</v>
      </c>
      <c r="S188" s="260">
        <f>0.5*R188</f>
        <v>6.4077134155870061E-2</v>
      </c>
      <c r="T188" s="44">
        <f>SPINTE!D33-'FOGLIO DEPOSITO'!P188</f>
        <v>25.132544484245241</v>
      </c>
      <c r="U188" s="46">
        <f>(SIN(RADIANS(SPINTE!D62+SPINTE!D33-'FOGLIO DEPOSITO'!P188))^2)/(COS(RADIANS(P188)*(SIN(RADIANS(SPINTE!D62))^2)*SIN(RADIANS(SPINTE!D62-'FOGLIO DEPOSITO'!P188-SPINTE!D37))))</f>
        <v>0.91932509497169612</v>
      </c>
      <c r="V188" s="44">
        <f>SPINTE!D33-'FOGLIO DEPOSITO'!P188</f>
        <v>25.132544484245241</v>
      </c>
      <c r="W188" s="203">
        <f>(SIN(RADIANS(SPINTE!D62+SPINTE!D33-'FOGLIO DEPOSITO'!Q188))^2)/(COS(RADIANS(Q188)*(SIN(RADIANS(SPINTE!D62))^2)*SIN(RADIANS(SPINTE!D62-'FOGLIO DEPOSITO'!Q188-SPINTE!D37))))</f>
        <v>0.92925553461719912</v>
      </c>
      <c r="Y188" s="269">
        <f>(SIN(RADIANS(SPINTE!D62+SPINTE!D33-AA188))^2)/(COS(RADIANS(AA188))*SIN(RADIANS(SPINTE!D62))^2*SIN(RADIANS(SPINTE!D62-SPINTE!D37-AA188))*(1+((SIN(RADIANS(SPINTE!D33+SPINTE!D37))*SIN(RADIANS(SPINTE!D33-SPINTE!D56-AA188)))/(SIN(RADIANS(SPINTE!D62+SPINTE!D37+AA188))*SIN(RADIANS(SPINTE!D62+SPINTE!D56))))^0.5)^2)</f>
        <v>0.3885210958196314</v>
      </c>
      <c r="Z188" s="184"/>
      <c r="AA188" s="265">
        <v>0</v>
      </c>
      <c r="AB188" s="265"/>
      <c r="AC188" s="260"/>
      <c r="AD188" s="260"/>
      <c r="AE188" s="44">
        <f>SPINTE!D33-'FOGLIO DEPOSITO'!P188</f>
        <v>25.132544484245241</v>
      </c>
      <c r="AF188" s="46">
        <f>(SIN(RADIANS(SPINTE!D62+SPINTE!D33-'FOGLIO DEPOSITO'!AA188))^2)/(COS(RADIANS(AA188)*(SIN(RADIANS(SPINTE!D62))^2)*SIN(RADIANS(SPINTE!D62-'FOGLIO DEPOSITO'!AA188-SPINTE!D37))))</f>
        <v>0.83721352699027507</v>
      </c>
      <c r="AG188" s="44"/>
      <c r="AH188" s="203"/>
    </row>
    <row r="189" spans="2:41" ht="15.75" thickTop="1" x14ac:dyDescent="0.25">
      <c r="H189" s="266">
        <f>((COS(RADIANS(SPINTE!D37))/(1+SIN(RADIANS(SPINTE!D33))))*(COS(RADIANS(SPINTE!D37))-(SIN(RADIANS(SPINTE!D33))^2-SIN(RADIANS(SPINTE!D37))^2)^0.5))*EXP(-I189*TAN(RADIANS(SPINTE!D33)))</f>
        <v>0.26153322109318022</v>
      </c>
      <c r="I189" s="256">
        <f>(ASIN(SIN(RADIANS(SPINTE!D37))/SIN(RADIANS(SPINTE!D33)))-RADIANS(SPINTE!D37))</f>
        <v>0.38433711455506525</v>
      </c>
      <c r="N189" s="269">
        <f>(SIN(RADIANS(SPINTE!D62+SPINTE!D40-P189))^2)/(COS(RADIANS(P189))*SIN(RADIANS(SPINTE!D62))^2*SIN(RADIANS(SPINTE!D62-SPINTE!D44-P189))*(1+((SIN(RADIANS(SPINTE!D40+SPINTE!D44))*SIN(RADIANS(SPINTE!D40-SPINTE!D56-P189)))/(SIN(RADIANS(SPINTE!D62+SPINTE!D44+P189))*SIN(RADIANS(SPINTE!D62+SPINTE!D56))))^0.5)^2)</f>
        <v>0.50908492020515517</v>
      </c>
      <c r="O189" s="184">
        <f>(SIN(RADIANS(SPINTE!D62+SPINTE!D40-Q189))^2)/(COS(RADIANS(Q189))*SIN(RADIANS(SPINTE!D62))^2*SIN(RADIANS(SPINTE!D62-SPINTE!D44-Q189))*(1+((SIN(RADIANS(SPINTE!D40+SPINTE!D44))*SIN(RADIANS(SPINTE!D40-SPINTE!D56-Q189)))/(SIN(RADIANS(SPINTE!D62+SPINTE!D44+Q189))*SIN(RADIANS(SPINTE!D62+SPINTE!D56))))^0.5)^2)</f>
        <v>0.52933062130114794</v>
      </c>
      <c r="P189" s="265">
        <f>180/PI()*IF((SPINTE!D45+SPINTE!D38)&lt;='FOGLIO DEPOSITO'!C226,1,(SPINTE!D41/(SPINTE!D41-SPINTE!D61)))*ATAN(R188/(1+S188))</f>
        <v>6.8674555157547585</v>
      </c>
      <c r="Q189" s="265">
        <f>180/PI()*IF((SPINTE!D45+SPINTE!D38)&lt;='FOGLIO DEPOSITO'!C226,1,(SPINTE!D41/(SPINTE!D41-SPINTE!D61)))*ATAN(R188/(1-S188))</f>
        <v>7.7969223139268475</v>
      </c>
      <c r="R189" s="32"/>
      <c r="S189" s="32"/>
      <c r="T189" s="44">
        <f>SPINTE!D40-'FOGLIO DEPOSITO'!P189</f>
        <v>25.132544484245241</v>
      </c>
      <c r="U189" s="46">
        <f>(SIN(RADIANS(SPINTE!D62+SPINTE!D40-'FOGLIO DEPOSITO'!P189))^2)/(COS(RADIANS(P189)*(SIN(RADIANS(SPINTE!D62))^2)*SIN(RADIANS(SPINTE!D62-'FOGLIO DEPOSITO'!P189-SPINTE!D44))))</f>
        <v>0.91932509497169612</v>
      </c>
      <c r="V189" s="44">
        <f>SPINTE!D40-'FOGLIO DEPOSITO'!P189</f>
        <v>25.132544484245241</v>
      </c>
      <c r="W189" s="203">
        <f>(SIN(RADIANS(SPINTE!D62+SPINTE!D40-'FOGLIO DEPOSITO'!Q189))^2)/(COS(RADIANS(Q189)*(SIN(RADIANS(SPINTE!D62))^2)*SIN(RADIANS(SPINTE!D62-'FOGLIO DEPOSITO'!Q189-SPINTE!D44))))</f>
        <v>0.92925553461719912</v>
      </c>
      <c r="Y189" s="269">
        <f>(SIN(RADIANS(SPINTE!D62+SPINTE!D40-AA189))^2)/(COS(RADIANS(AA189))*SIN(RADIANS(SPINTE!D62))^2*SIN(RADIANS(SPINTE!D62-SPINTE!D44-AA189))*(1+((SIN(RADIANS(SPINTE!D40+SPINTE!D44))*SIN(RADIANS(SPINTE!D40-SPINTE!D56-AA189)))/(SIN(RADIANS(SPINTE!D62+SPINTE!D44+AA189))*SIN(RADIANS(SPINTE!D62+SPINTE!D56))))^0.5)^2)</f>
        <v>0.3885210958196314</v>
      </c>
      <c r="Z189" s="184"/>
      <c r="AA189" s="265">
        <v>0</v>
      </c>
      <c r="AB189" s="265"/>
      <c r="AC189" s="32"/>
      <c r="AD189" s="32"/>
      <c r="AE189" s="44">
        <f>SPINTE!D40-'FOGLIO DEPOSITO'!P189</f>
        <v>25.132544484245241</v>
      </c>
      <c r="AF189" s="46">
        <f>(SIN(RADIANS(SPINTE!D62+SPINTE!D40-'FOGLIO DEPOSITO'!AA189))^2)/(COS(RADIANS(AA189)*(SIN(RADIANS(SPINTE!D62))^2)*SIN(RADIANS(SPINTE!D62-'FOGLIO DEPOSITO'!AA189-SPINTE!D44))))</f>
        <v>0.83721352699027507</v>
      </c>
      <c r="AG189" s="44"/>
      <c r="AH189" s="203"/>
    </row>
    <row r="190" spans="2:41" x14ac:dyDescent="0.25">
      <c r="H190" s="267">
        <f>((COS(RADIANS(SPINTE!D44))/(1+SIN(RADIANS(SPINTE!D40))))*(COS(RADIANS(SPINTE!D44))-(SIN(RADIANS(SPINTE!D40))^2-SIN(RADIANS(SPINTE!D44))^2)^0.5))*EXP(-I190*TAN(RADIANS(SPINTE!D40)))</f>
        <v>0.26153322109318022</v>
      </c>
      <c r="I190" s="257">
        <f>(ASIN(SIN(RADIANS(SPINTE!D44))/SIN(RADIANS(SPINTE!D40)))-RADIANS(SPINTE!D44))</f>
        <v>0.38433711455506525</v>
      </c>
      <c r="N190" s="269">
        <f>(SIN(RADIANS(SPINTE!D62+SPINTE!D47-P190))^2)/(COS(RADIANS(P190))*SIN(RADIANS(SPINTE!D62))^2*SIN(RADIANS(SPINTE!D62-SPINTE!D51-P190))*(1+((SIN(RADIANS(SPINTE!D47+SPINTE!D51))*SIN(RADIANS(SPINTE!D47-SPINTE!D56-P190)))/(SIN(RADIANS(SPINTE!D62+SPINTE!D51+P190))*SIN(RADIANS(SPINTE!D62+SPINTE!D56))))^0.5)^2)</f>
        <v>0.48069304215581315</v>
      </c>
      <c r="O190" s="184">
        <f>(SIN(RADIANS(SPINTE!D62+SPINTE!D47-Q190))^2)/(COS(RADIANS(Q190))*SIN(RADIANS(SPINTE!D62))^2*SIN(RADIANS(SPINTE!D62-SPINTE!D51-Q190))*(1+((SIN(RADIANS(SPINTE!D47+SPINTE!D51))*SIN(RADIANS(SPINTE!D47-SPINTE!D56-Q190)))/(SIN(RADIANS(SPINTE!D62+SPINTE!D51+Q190))*SIN(RADIANS(SPINTE!D62+SPINTE!D56))))^0.5)^2)</f>
        <v>0.50006015819101868</v>
      </c>
      <c r="P190" s="265">
        <f>180/PI()*IF((SPINTE!D38+SPINTE!D45+SPINTE!D52)&lt;='FOGLIO DEPOSITO'!C226,1,(SPINTE!D48/(SPINTE!D48-SPINTE!D61)))*ATAN(R188/(1+S188))</f>
        <v>6.8674555157547585</v>
      </c>
      <c r="Q190" s="265">
        <f>180/PI()*IF((SPINTE!D38+SPINTE!D45+SPINTE!D52)&lt;='FOGLIO DEPOSITO'!C226,1,(SPINTE!D48/(SPINTE!D48-SPINTE!D61)))*ATAN(R188/(1-S188))</f>
        <v>7.7969223139268475</v>
      </c>
      <c r="R190" s="32"/>
      <c r="S190" s="32"/>
      <c r="T190" s="44">
        <f>SPINTE!D47-'FOGLIO DEPOSITO'!P190</f>
        <v>27.132544484245241</v>
      </c>
      <c r="U190" s="46">
        <f>(SIN(RADIANS(SPINTE!D62+SPINTE!D47-'FOGLIO DEPOSITO'!P190))^2)/(COS(RADIANS(P190)*(SIN(RADIANS(SPINTE!D62))^2)*SIN(RADIANS(SPINTE!D62-'FOGLIO DEPOSITO'!P190-SPINTE!D51))))</f>
        <v>0.89865229407913294</v>
      </c>
      <c r="V190" s="44">
        <f>SPINTE!D47-'FOGLIO DEPOSITO'!P190</f>
        <v>27.132544484245241</v>
      </c>
      <c r="W190" s="203">
        <f>(SIN(RADIANS(SPINTE!D62+SPINTE!D47-'FOGLIO DEPOSITO'!Q190))^2)/(COS(RADIANS(Q190)*(SIN(RADIANS(SPINTE!D62))^2)*SIN(RADIANS(SPINTE!D62-'FOGLIO DEPOSITO'!Q190-SPINTE!D51))))</f>
        <v>0.90944847501941128</v>
      </c>
      <c r="Y190" s="269">
        <f>(SIN(RADIANS(SPINTE!D62+SPINTE!D47-AA190))^2)/(COS(RADIANS(AA190))*SIN(RADIANS(SPINTE!D62))^2*SIN(RADIANS(SPINTE!D62-SPINTE!D51-AA190))*(1+((SIN(RADIANS(SPINTE!D47+SPINTE!D51))*SIN(RADIANS(SPINTE!D47-SPINTE!D56-AA190)))/(SIN(RADIANS(SPINTE!D62+SPINTE!D51+AA190))*SIN(RADIANS(SPINTE!D62+SPINTE!D56))))^0.5)^2)</f>
        <v>0.36467479946354131</v>
      </c>
      <c r="Z190" s="184"/>
      <c r="AA190" s="265">
        <v>0</v>
      </c>
      <c r="AB190" s="265"/>
      <c r="AC190" s="32"/>
      <c r="AD190" s="32"/>
      <c r="AE190" s="44">
        <f>SPINTE!D47-'FOGLIO DEPOSITO'!P190</f>
        <v>27.132544484245241</v>
      </c>
      <c r="AF190" s="46">
        <f>(SIN(RADIANS(SPINTE!D62+SPINTE!D47-'FOGLIO DEPOSITO'!AA190))^2)/(COS(RADIANS(AA190)*(SIN(RADIANS(SPINTE!D62))^2)*SIN(RADIANS(SPINTE!D62-'FOGLIO DEPOSITO'!AA190-SPINTE!D51))))</f>
        <v>0.81064004257137556</v>
      </c>
      <c r="AG190" s="44"/>
      <c r="AH190" s="203"/>
    </row>
    <row r="191" spans="2:41" x14ac:dyDescent="0.25">
      <c r="H191" s="268">
        <f>((COS(RADIANS(SPINTE!D51))/(1+SIN(RADIANS(SPINTE!D47))))*(COS(RADIANS(SPINTE!D51))-(SIN(RADIANS(SPINTE!D47))^2-SIN(RADIANS(SPINTE!D51))^2)^0.5))*EXP(-I191*TAN(RADIANS(SPINTE!D47)))</f>
        <v>0.23950570788791192</v>
      </c>
      <c r="I191" s="258">
        <f>(ASIN(SIN(RADIANS(SPINTE!D51))/SIN(RADIANS(SPINTE!D47)))-RADIANS(SPINTE!D51))</f>
        <v>0.36471104733327386</v>
      </c>
      <c r="N191" s="222"/>
      <c r="O191" s="32"/>
      <c r="P191" s="32"/>
      <c r="Q191" s="32"/>
      <c r="R191" s="32"/>
      <c r="S191" s="32"/>
      <c r="T191" s="32"/>
      <c r="U191" s="32"/>
      <c r="V191" s="32"/>
      <c r="W191" s="204"/>
      <c r="Y191" s="222"/>
      <c r="Z191" s="32"/>
      <c r="AA191" s="32"/>
      <c r="AB191" s="32"/>
      <c r="AC191" s="32"/>
      <c r="AD191" s="32"/>
      <c r="AE191" s="32"/>
      <c r="AF191" s="32"/>
      <c r="AG191" s="32"/>
      <c r="AH191" s="204"/>
    </row>
    <row r="192" spans="2:41" x14ac:dyDescent="0.25">
      <c r="N192" s="246"/>
      <c r="O192" s="42"/>
      <c r="P192" s="42"/>
      <c r="Q192" s="42"/>
      <c r="R192" s="42"/>
      <c r="S192" s="42"/>
      <c r="T192" s="42"/>
      <c r="U192" s="42"/>
      <c r="V192" s="42"/>
      <c r="W192" s="247"/>
      <c r="Y192" s="246"/>
      <c r="Z192" s="42"/>
      <c r="AA192" s="42"/>
      <c r="AB192" s="42"/>
      <c r="AC192" s="42"/>
      <c r="AD192" s="42"/>
      <c r="AE192" s="42"/>
      <c r="AF192" s="42"/>
      <c r="AG192" s="42"/>
      <c r="AH192" s="247"/>
    </row>
    <row r="195" spans="2:19" ht="15.75" thickBot="1" x14ac:dyDescent="0.3">
      <c r="M195" t="s">
        <v>283</v>
      </c>
    </row>
    <row r="196" spans="2:19" ht="16.5" thickTop="1" thickBot="1" x14ac:dyDescent="0.3">
      <c r="C196" s="160" t="s">
        <v>284</v>
      </c>
      <c r="D196" s="177">
        <f>90-'FOGLIO DEPOSITO'!D201</f>
        <v>8.2048367238086399</v>
      </c>
    </row>
    <row r="197" spans="2:19" ht="15.75" thickTop="1" x14ac:dyDescent="0.25">
      <c r="G197" t="s">
        <v>285</v>
      </c>
      <c r="H197" s="31">
        <f>10</f>
        <v>10</v>
      </c>
      <c r="J197" t="s">
        <v>286</v>
      </c>
      <c r="K197" s="31">
        <v>450</v>
      </c>
      <c r="M197" s="288"/>
      <c r="N197" s="386" t="s">
        <v>287</v>
      </c>
      <c r="O197" s="302" t="s">
        <v>288</v>
      </c>
      <c r="P197" s="302" t="s">
        <v>289</v>
      </c>
      <c r="Q197" s="261"/>
      <c r="R197" s="261" t="s">
        <v>25</v>
      </c>
      <c r="S197" s="262" t="s">
        <v>290</v>
      </c>
    </row>
    <row r="198" spans="2:19" x14ac:dyDescent="0.25">
      <c r="B198" s="2" t="s">
        <v>291</v>
      </c>
      <c r="C198" s="384" t="s">
        <v>112</v>
      </c>
      <c r="D198" s="128">
        <f>TAN('FOGLIO DEPOSITO'!D196*PI()/180)</f>
        <v>0.14418837209302326</v>
      </c>
      <c r="G198" t="s">
        <v>292</v>
      </c>
      <c r="H198" s="31">
        <v>15</v>
      </c>
      <c r="J198" t="s">
        <v>293</v>
      </c>
      <c r="K198" s="31">
        <v>430</v>
      </c>
      <c r="M198" s="222" t="s">
        <v>25</v>
      </c>
      <c r="N198" s="46">
        <v>1</v>
      </c>
      <c r="O198" s="303">
        <v>1</v>
      </c>
      <c r="P198" s="304">
        <v>1</v>
      </c>
      <c r="Q198" s="32"/>
      <c r="R198" s="32" t="s">
        <v>213</v>
      </c>
      <c r="S198" s="204" t="s">
        <v>294</v>
      </c>
    </row>
    <row r="199" spans="2:19" x14ac:dyDescent="0.25">
      <c r="G199" t="s">
        <v>295</v>
      </c>
      <c r="H199" s="31">
        <v>20</v>
      </c>
      <c r="M199" s="222" t="s">
        <v>213</v>
      </c>
      <c r="N199" s="46">
        <f>MIN(1.4-0.4*DATI!E33*DATI!E32/DATI!E38,1.2)</f>
        <v>1.1534453346930449</v>
      </c>
      <c r="O199" s="303">
        <f>1.1*DATI!E34^(-0.2)</f>
        <v>1.3594926607986035</v>
      </c>
      <c r="P199" s="304">
        <v>1.2</v>
      </c>
      <c r="Q199" s="32"/>
      <c r="R199" s="32" t="s">
        <v>296</v>
      </c>
      <c r="S199" s="204" t="s">
        <v>297</v>
      </c>
    </row>
    <row r="200" spans="2:19" ht="15.75" thickBot="1" x14ac:dyDescent="0.3">
      <c r="G200" t="s">
        <v>298</v>
      </c>
      <c r="H200" s="31">
        <v>25</v>
      </c>
      <c r="M200" s="222" t="s">
        <v>296</v>
      </c>
      <c r="N200" s="46">
        <f>MIN(1.7-0.6*DATI!E33*DATI!E32/DATI!E38,1.5)</f>
        <v>1.3301680020395676</v>
      </c>
      <c r="O200" s="303">
        <f>1.05*DATI!E34^(-0.33)</f>
        <v>1.4892348810436062</v>
      </c>
      <c r="P200" s="305">
        <v>1.2</v>
      </c>
      <c r="Q200" s="32"/>
      <c r="R200" s="32" t="s">
        <v>299</v>
      </c>
      <c r="S200" s="204" t="s">
        <v>300</v>
      </c>
    </row>
    <row r="201" spans="2:19" ht="16.5" thickTop="1" thickBot="1" x14ac:dyDescent="0.3">
      <c r="B201" s="2" t="s">
        <v>301</v>
      </c>
      <c r="C201" s="6" t="s">
        <v>302</v>
      </c>
      <c r="D201" s="329">
        <f>D202</f>
        <v>81.79516327619136</v>
      </c>
      <c r="G201" t="s">
        <v>303</v>
      </c>
      <c r="H201" s="31">
        <v>30</v>
      </c>
      <c r="M201" s="222" t="s">
        <v>299</v>
      </c>
      <c r="N201" s="46">
        <f>MIN(2.4-1.5*DATI!E33*DATI!E32/DATI!E38,1.8)</f>
        <v>1.4754200050989188</v>
      </c>
      <c r="O201" s="306">
        <f>1.25*DATI!E34^(-0.5)</f>
        <v>2.122611283785389</v>
      </c>
      <c r="P201" s="304">
        <v>1.4</v>
      </c>
      <c r="Q201" s="32"/>
      <c r="R201" s="32" t="s">
        <v>304</v>
      </c>
      <c r="S201" s="204"/>
    </row>
    <row r="202" spans="2:19" ht="16.5" thickTop="1" thickBot="1" x14ac:dyDescent="0.3">
      <c r="D202">
        <f>90-DEGREES(ATAN(('FOGLIO DEPOSITO'!D210-'FOGLIO DEPOSITO'!D209)/DATI!E60))</f>
        <v>81.79516327619136</v>
      </c>
      <c r="G202" t="s">
        <v>305</v>
      </c>
      <c r="H202" s="31">
        <v>35</v>
      </c>
      <c r="M202" s="246" t="s">
        <v>304</v>
      </c>
      <c r="N202" s="145">
        <f>MIN(2-1.1*DATI!E33*DATI!E32/DATI!E38,1.6)</f>
        <v>1.3219746704058739</v>
      </c>
      <c r="O202" s="307">
        <f>1.15*DATI!E34^(-0.4)</f>
        <v>1.756573007421534</v>
      </c>
      <c r="P202" s="42"/>
      <c r="Q202" s="42"/>
      <c r="R202" s="42"/>
      <c r="S202" s="247"/>
    </row>
    <row r="203" spans="2:19" ht="15.75" thickTop="1" x14ac:dyDescent="0.25">
      <c r="C203" s="2"/>
      <c r="D203" s="328">
        <f>'geom masse muro+tensioni'!$F$8</f>
        <v>0.74001000000000006</v>
      </c>
      <c r="G203" t="s">
        <v>306</v>
      </c>
      <c r="H203" s="31">
        <v>40</v>
      </c>
    </row>
    <row r="204" spans="2:19" x14ac:dyDescent="0.25">
      <c r="G204" t="s">
        <v>307</v>
      </c>
      <c r="H204" s="31">
        <v>45</v>
      </c>
    </row>
    <row r="205" spans="2:19" x14ac:dyDescent="0.25">
      <c r="C205" t="s">
        <v>308</v>
      </c>
      <c r="G205" t="s">
        <v>309</v>
      </c>
      <c r="H205" s="31">
        <v>50</v>
      </c>
      <c r="M205" t="s">
        <v>310</v>
      </c>
    </row>
    <row r="206" spans="2:19" x14ac:dyDescent="0.25">
      <c r="C206" t="s">
        <v>311</v>
      </c>
      <c r="G206" t="s">
        <v>312</v>
      </c>
      <c r="H206" s="31">
        <v>55</v>
      </c>
      <c r="M206">
        <f>IF((IF(SPINTE!D65="si",0,IF(DATI!E187="no",0,7/12*DATI!E51*SPINTE!D61*(DATI!E60+DATI!E74-DATI!E188))))&lt;0,0,IF(SPINTE!D65="si",0,IF(DATI!E187="no",0,7/12*DATI!E51*SPINTE!D61*(DATI!E60+DATI!E74-DATI!E188))))</f>
        <v>0</v>
      </c>
    </row>
    <row r="207" spans="2:19" x14ac:dyDescent="0.25">
      <c r="C207" t="s">
        <v>313</v>
      </c>
      <c r="G207" t="s">
        <v>314</v>
      </c>
      <c r="H207" s="31">
        <v>60</v>
      </c>
    </row>
    <row r="209" spans="2:26" ht="18.75" thickBot="1" x14ac:dyDescent="0.3">
      <c r="B209" s="331" t="s">
        <v>108</v>
      </c>
      <c r="C209" s="332" t="s">
        <v>109</v>
      </c>
      <c r="D209" s="333">
        <f>DATI!E66-DATI!E62</f>
        <v>0.12</v>
      </c>
    </row>
    <row r="210" spans="2:26" ht="19.5" thickTop="1" thickBot="1" x14ac:dyDescent="0.3">
      <c r="B210" s="54" t="s">
        <v>315</v>
      </c>
      <c r="C210" s="334" t="s">
        <v>316</v>
      </c>
      <c r="D210" s="335">
        <f>'FOGLIO DEPOSITO'!B229-DATI!E62</f>
        <v>0.74000999999999995</v>
      </c>
      <c r="G210" s="191" t="s">
        <v>317</v>
      </c>
      <c r="H210" s="31"/>
    </row>
    <row r="211" spans="2:26" ht="15.75" thickTop="1" x14ac:dyDescent="0.25">
      <c r="B211" s="54" t="s">
        <v>318</v>
      </c>
      <c r="C211" s="42"/>
      <c r="D211" s="336">
        <f>'FOGLIO DEPOSITO'!D203+DATI!E62</f>
        <v>0.86001000000000005</v>
      </c>
      <c r="G211" s="391" t="s">
        <v>25</v>
      </c>
      <c r="H211" s="391" t="s">
        <v>319</v>
      </c>
      <c r="J211" s="346" t="s">
        <v>320</v>
      </c>
      <c r="K211" s="347">
        <f>DATI!E263</f>
        <v>1</v>
      </c>
    </row>
    <row r="212" spans="2:26" x14ac:dyDescent="0.25">
      <c r="B212" s="338" t="s">
        <v>321</v>
      </c>
      <c r="C212" s="173"/>
      <c r="D212" s="339">
        <f>IF(DATI!D77='FOGLIO DEPOSITO'!C207,DATI!E76,IF(DATI!D77='FOGLIO DEPOSITO'!C206,DATI!E76-'FOGLIO DEPOSITO'!D210,DATI!E76-'FOGLIO DEPOSITO'!D210-DATI!E62/2))</f>
        <v>1.8899900000000001</v>
      </c>
      <c r="G212" s="391" t="s">
        <v>322</v>
      </c>
      <c r="H212" s="391" t="s">
        <v>322</v>
      </c>
      <c r="J212" s="346" t="s">
        <v>323</v>
      </c>
      <c r="K212" s="347">
        <f>DATI!E264</f>
        <v>1</v>
      </c>
    </row>
    <row r="213" spans="2:26" x14ac:dyDescent="0.25">
      <c r="B213" s="337" t="s">
        <v>324</v>
      </c>
      <c r="F213" s="308" t="s">
        <v>325</v>
      </c>
      <c r="G213" s="391">
        <v>0.31</v>
      </c>
      <c r="H213" s="391">
        <v>0.31</v>
      </c>
      <c r="J213" s="346" t="s">
        <v>326</v>
      </c>
      <c r="K213" s="347">
        <f>DATI!E265</f>
        <v>1</v>
      </c>
    </row>
    <row r="214" spans="2:26" x14ac:dyDescent="0.25">
      <c r="F214" s="308" t="s">
        <v>327</v>
      </c>
      <c r="G214" s="391">
        <v>0.28999999999999998</v>
      </c>
      <c r="H214" s="391">
        <v>0.24</v>
      </c>
      <c r="J214" s="360" t="s">
        <v>328</v>
      </c>
    </row>
    <row r="215" spans="2:26" x14ac:dyDescent="0.25">
      <c r="F215" s="308" t="s">
        <v>329</v>
      </c>
      <c r="G215" s="391">
        <v>0.2</v>
      </c>
      <c r="H215" s="391">
        <v>0.18</v>
      </c>
    </row>
    <row r="216" spans="2:26" x14ac:dyDescent="0.25">
      <c r="F216" s="297"/>
      <c r="G216" s="113" t="s">
        <v>330</v>
      </c>
      <c r="H216" s="113" t="s">
        <v>330</v>
      </c>
      <c r="I216" s="31"/>
    </row>
    <row r="217" spans="2:26" x14ac:dyDescent="0.25">
      <c r="F217" s="297"/>
      <c r="G217" s="298">
        <f>IF(DATI!E39&lt;=0.1,G215,IF(DATI!E39&lt;=0.2,G214,G213))</f>
        <v>0.31</v>
      </c>
      <c r="H217" s="298">
        <f>IF(DATI!E39&lt;=0.1,H215,IF(DATI!E39&lt;=0.2,H214,H213))</f>
        <v>0.31</v>
      </c>
      <c r="I217" s="31"/>
    </row>
    <row r="218" spans="2:26" x14ac:dyDescent="0.25">
      <c r="H218" s="31"/>
      <c r="I218" s="31"/>
    </row>
    <row r="219" spans="2:26" x14ac:dyDescent="0.25">
      <c r="H219" s="31"/>
      <c r="I219" s="31"/>
    </row>
    <row r="220" spans="2:26" x14ac:dyDescent="0.25">
      <c r="B220" s="17" t="s">
        <v>331</v>
      </c>
      <c r="C220" s="2"/>
      <c r="D220" s="2"/>
    </row>
    <row r="221" spans="2:26" ht="15.75" thickBot="1" x14ac:dyDescent="0.3">
      <c r="B221" s="17"/>
      <c r="C221" s="2"/>
      <c r="D221" s="2"/>
      <c r="M221" s="837" t="s">
        <v>836</v>
      </c>
      <c r="N221" s="837"/>
      <c r="O221" s="837"/>
      <c r="P221" s="837"/>
      <c r="Q221" s="837"/>
    </row>
    <row r="222" spans="2:26" ht="17.25" thickTop="1" thickBot="1" x14ac:dyDescent="0.3">
      <c r="B222" s="21" t="s">
        <v>332</v>
      </c>
      <c r="C222" s="2"/>
    </row>
    <row r="223" spans="2:26" ht="16.5" thickTop="1" thickBot="1" x14ac:dyDescent="0.3">
      <c r="G223" s="836" t="s">
        <v>494</v>
      </c>
      <c r="H223" s="836"/>
      <c r="I223" s="836"/>
      <c r="J223" s="835" t="s">
        <v>819</v>
      </c>
      <c r="K223" s="835"/>
      <c r="M223" s="836" t="s">
        <v>494</v>
      </c>
      <c r="N223" s="836"/>
      <c r="O223" s="836"/>
      <c r="P223" s="835" t="s">
        <v>819</v>
      </c>
      <c r="Q223" s="835"/>
      <c r="V223" s="6" t="s">
        <v>61</v>
      </c>
      <c r="W223" s="177">
        <f>DATI!E167</f>
        <v>32</v>
      </c>
      <c r="Y223" s="472">
        <f>IF(DATI!E183=0,IF('FOGLIO DEPOSITO'!W223='FOGLIO DEPOSITO'!W229,1,0),IF('FOGLIO DEPOSITO'!W223='FOGLIO DEPOSITO'!W229,IF('FOGLIO DEPOSITO'!W229='FOGLIO DEPOSITO'!W235,1,0),0))</f>
        <v>0</v>
      </c>
      <c r="Z223" s="2" t="s">
        <v>823</v>
      </c>
    </row>
    <row r="224" spans="2:26" ht="20.25" thickTop="1" thickBot="1" x14ac:dyDescent="0.3">
      <c r="G224" s="244" t="s">
        <v>502</v>
      </c>
      <c r="H224" s="244" t="s">
        <v>503</v>
      </c>
      <c r="I224" s="245" t="s">
        <v>504</v>
      </c>
      <c r="J224" s="236" t="s">
        <v>505</v>
      </c>
      <c r="K224" s="237" t="s">
        <v>506</v>
      </c>
      <c r="M224" s="244" t="s">
        <v>810</v>
      </c>
      <c r="N224" s="244" t="s">
        <v>827</v>
      </c>
      <c r="O224" s="245" t="s">
        <v>812</v>
      </c>
      <c r="P224" s="236" t="s">
        <v>505</v>
      </c>
      <c r="Q224" s="237" t="s">
        <v>506</v>
      </c>
      <c r="V224" s="6" t="s">
        <v>439</v>
      </c>
      <c r="W224" s="219">
        <f>DATI!E168</f>
        <v>18</v>
      </c>
      <c r="Y224" s="468">
        <f>IF(DATI!E183=0,IF('FOGLIO DEPOSITO'!W224='FOGLIO DEPOSITO'!W230,1,0),IF('FOGLIO DEPOSITO'!W224='FOGLIO DEPOSITO'!W230,IF('FOGLIO DEPOSITO'!W230='FOGLIO DEPOSITO'!W236,1,0),0))</f>
        <v>1</v>
      </c>
      <c r="Z224" s="422" t="s">
        <v>824</v>
      </c>
    </row>
    <row r="225" spans="2:26" ht="16.5" thickTop="1" thickBot="1" x14ac:dyDescent="0.3">
      <c r="G225" s="223">
        <f>('ANALISI DELLE SPINTE'!F8*'FOGLIO DEPOSITO'!C242-'ANALISI DELLE SPINTE'!G8+'FOGLIO DEPOSITO'!D242)*'FOGLIO DEPOSITO'!$K$211*H236</f>
        <v>0</v>
      </c>
      <c r="H225" s="223">
        <f>'ANALISI DELLE SPINTE'!D21*'ANALISI DELLE SPINTE'!F8*'FOGLIO DEPOSITO'!$K$212</f>
        <v>0.50908492020515517</v>
      </c>
      <c r="I225" s="228">
        <f>'ANALISI DELLE SPINTE'!E21*'ANALISI DELLE SPINTE'!F8*'FOGLIO DEPOSITO'!$K$213</f>
        <v>0.50908492020515517</v>
      </c>
      <c r="J225" s="232">
        <f>'FOGLIO DEPOSITO'!C242+'ANALISI DELLE SPINTE'!E21+'ANALISI DELLE SPINTE'!D21</f>
        <v>2</v>
      </c>
      <c r="K225" s="278">
        <f>IF(('FOGLIO DEPOSITO'!G225+'FOGLIO DEPOSITO'!H225+'FOGLIO DEPOSITO'!I225)&lt;0,0,('FOGLIO DEPOSITO'!G225+'FOGLIO DEPOSITO'!H225+'FOGLIO DEPOSITO'!I225)+'ANALISI DELLE SPINTE'!$C$63-'FOGLIO DEPOSITO'!D242)+IF('ANALISI DELLE SPINTE'!H52="",0,'ANALISI DELLE SPINTE'!H52)/(DATI!E61*'FOGLIO DEPOSITO'!W227)</f>
        <v>1.0181698404103103</v>
      </c>
      <c r="M225" s="223">
        <f t="shared" ref="M225:M233" si="18">G225/$K$211</f>
        <v>0</v>
      </c>
      <c r="N225" s="223">
        <f t="shared" ref="N225:N233" si="19">H225/$K$212</f>
        <v>0.50908492020515517</v>
      </c>
      <c r="O225" s="223">
        <f t="shared" ref="O225:O233" si="20">I225/$K$213</f>
        <v>0.50908492020515517</v>
      </c>
      <c r="P225" s="232">
        <f>'FOGLIO DEPOSITO'!C242+'ANALISI DELLE SPINTE'!E21+'ANALISI DELLE SPINTE'!D21</f>
        <v>2</v>
      </c>
      <c r="Q225" s="278">
        <f>IF(('FOGLIO DEPOSITO'!M225+'FOGLIO DEPOSITO'!N225+'FOGLIO DEPOSITO'!O225)&lt;0,0,('FOGLIO DEPOSITO'!M225+'FOGLIO DEPOSITO'!N225+'FOGLIO DEPOSITO'!O225)+'ANALISI DELLE SPINTE'!$C$63-'FOGLIO DEPOSITO'!D242)+IF('ANALISI DELLE SPINTE'!H52="",0,'ANALISI DELLE SPINTE'!H52)/(DATI!E61*'FOGLIO DEPOSITO'!W227)</f>
        <v>1.0181698404103103</v>
      </c>
      <c r="V225" s="389" t="s">
        <v>441</v>
      </c>
      <c r="W225" s="182">
        <f>DATI!E169</f>
        <v>0</v>
      </c>
      <c r="Y225" s="468">
        <f>IF(DATI!E183=0,IF('FOGLIO DEPOSITO'!W225='FOGLIO DEPOSITO'!W231,1,0),IF('FOGLIO DEPOSITO'!W225='FOGLIO DEPOSITO'!W231,IF('FOGLIO DEPOSITO'!W231='FOGLIO DEPOSITO'!W237,1,0),0))</f>
        <v>1</v>
      </c>
      <c r="Z225" s="422" t="s">
        <v>825</v>
      </c>
    </row>
    <row r="226" spans="2:26" ht="16.5" thickTop="1" thickBot="1" x14ac:dyDescent="0.3">
      <c r="B226" t="s">
        <v>333</v>
      </c>
      <c r="C226" s="218">
        <f>IF(SPINTE!D65="si",DATI!E60+DATI!E74+10,IF(DATI!E187="SI",DATI!E188,DATI!E60+DATI!E74+10))</f>
        <v>14.8</v>
      </c>
      <c r="G226" s="223">
        <f>('ANALISI DELLE SPINTE'!F9*'FOGLIO DEPOSITO'!C243-'ANALISI DELLE SPINTE'!G9+'FOGLIO DEPOSITO'!D243)*'FOGLIO DEPOSITO'!$K$211*H236</f>
        <v>49.066129070591195</v>
      </c>
      <c r="H226" s="223">
        <f>'ANALISI DELLE SPINTE'!D22*'ANALISI DELLE SPINTE'!F9*'FOGLIO DEPOSITO'!$K$212</f>
        <v>0.50908492020515517</v>
      </c>
      <c r="I226" s="228">
        <f>'ANALISI DELLE SPINTE'!E22*'ANALISI DELLE SPINTE'!F9*'FOGLIO DEPOSITO'!$K$213</f>
        <v>0.50908492020515517</v>
      </c>
      <c r="J226" s="232">
        <f>'FOGLIO DEPOSITO'!C243+'ANALISI DELLE SPINTE'!E22+'ANALISI DELLE SPINTE'!D22</f>
        <v>92.577108660695842</v>
      </c>
      <c r="K226" s="240">
        <f>IF(('FOGLIO DEPOSITO'!G226+'FOGLIO DEPOSITO'!H226+'FOGLIO DEPOSITO'!I226)&lt;0,(IF('ANALISI DELLE SPINTE'!C9&lt;'ANALISI DELLE SPINTE'!$C$62,SPINTE!$D$61*'ANALISI DELLE SPINTE'!C9,'ANALISI DELLE SPINTE'!$C$63)),('FOGLIO DEPOSITO'!G226+'FOGLIO DEPOSITO'!H226+'FOGLIO DEPOSITO'!I226)+'ANALISI DELLE SPINTE'!$C$63)+IF('ANALISI DELLE SPINTE'!H52="",0,'ANALISI DELLE SPINTE'!H52)/(DATI!E61*'FOGLIO DEPOSITO'!W227)</f>
        <v>50.084298911001504</v>
      </c>
      <c r="M226" s="223">
        <f t="shared" si="18"/>
        <v>49.066129070591195</v>
      </c>
      <c r="N226" s="223">
        <f t="shared" si="19"/>
        <v>0.50908492020515517</v>
      </c>
      <c r="O226" s="223">
        <f t="shared" si="20"/>
        <v>0.50908492020515517</v>
      </c>
      <c r="P226" s="232">
        <f>'FOGLIO DEPOSITO'!C243+'ANALISI DELLE SPINTE'!E22+'ANALISI DELLE SPINTE'!D22</f>
        <v>92.577108660695842</v>
      </c>
      <c r="Q226" s="240">
        <f>IF(('FOGLIO DEPOSITO'!M226+'FOGLIO DEPOSITO'!N226+'FOGLIO DEPOSITO'!O226)&lt;0,(IF('ANALISI DELLE SPINTE'!C9&lt;'ANALISI DELLE SPINTE'!$C$62,SPINTE!$D$61*'ANALISI DELLE SPINTE'!C9,'ANALISI DELLE SPINTE'!$C$63)),('FOGLIO DEPOSITO'!M226+'FOGLIO DEPOSITO'!N226+'FOGLIO DEPOSITO'!O226)+'ANALISI DELLE SPINTE'!$C$63)+IF('ANALISI DELLE SPINTE'!H52="",0,'ANALISI DELLE SPINTE'!H52)/(DATI!E61*'FOGLIO DEPOSITO'!W227)</f>
        <v>50.084298911001504</v>
      </c>
      <c r="V226" s="389" t="s">
        <v>443</v>
      </c>
      <c r="W226" s="182">
        <f>DATI!E170</f>
        <v>0</v>
      </c>
      <c r="Y226" s="468">
        <f>IF(DATI!E183=0,IF('FOGLIO DEPOSITO'!W226='FOGLIO DEPOSITO'!W232,1,0),IF('FOGLIO DEPOSITO'!W226='FOGLIO DEPOSITO'!W232,IF('FOGLIO DEPOSITO'!W232='FOGLIO DEPOSITO'!W238,1,0),0))</f>
        <v>1</v>
      </c>
      <c r="Z226" s="422" t="s">
        <v>826</v>
      </c>
    </row>
    <row r="227" spans="2:26" ht="16.5" thickTop="1" thickBot="1" x14ac:dyDescent="0.3">
      <c r="G227" s="227">
        <f>('ANALISI DELLE SPINTE'!F10*'FOGLIO DEPOSITO'!C244-'ANALISI DELLE SPINTE'!G10+'FOGLIO DEPOSITO'!D244)*'FOGLIO DEPOSITO'!$K$211*H236</f>
        <v>49.066129070591195</v>
      </c>
      <c r="H227" s="225">
        <f>'ANALISI DELLE SPINTE'!D23*'ANALISI DELLE SPINTE'!F10*'FOGLIO DEPOSITO'!$K$212</f>
        <v>0.50908492020515517</v>
      </c>
      <c r="I227" s="229">
        <f>'ANALISI DELLE SPINTE'!E23*'ANALISI DELLE SPINTE'!F10*'FOGLIO DEPOSITO'!$K$213</f>
        <v>0.50908492020515517</v>
      </c>
      <c r="J227" s="233">
        <f>'FOGLIO DEPOSITO'!C244+'ANALISI DELLE SPINTE'!E23+'ANALISI DELLE SPINTE'!D23</f>
        <v>92.577108660695842</v>
      </c>
      <c r="K227" s="242">
        <f>IF(('FOGLIO DEPOSITO'!G227+'FOGLIO DEPOSITO'!H227+'FOGLIO DEPOSITO'!I227)&lt;0,(IF('ANALISI DELLE SPINTE'!C10&lt;'ANALISI DELLE SPINTE'!$C$62,SPINTE!$D$61*'ANALISI DELLE SPINTE'!C10,'ANALISI DELLE SPINTE'!$C$63)),('FOGLIO DEPOSITO'!G227+'FOGLIO DEPOSITO'!H227+'FOGLIO DEPOSITO'!I227)+'ANALISI DELLE SPINTE'!$C$63)+IF('ANALISI DELLE SPINTE'!H52="",0,'ANALISI DELLE SPINTE'!H52)/(DATI!E61*'FOGLIO DEPOSITO'!W227)</f>
        <v>50.084298911001504</v>
      </c>
      <c r="M227" s="225">
        <f t="shared" si="18"/>
        <v>49.066129070591195</v>
      </c>
      <c r="N227" s="225">
        <f t="shared" si="19"/>
        <v>0.50908492020515517</v>
      </c>
      <c r="O227" s="225">
        <f t="shared" si="20"/>
        <v>0.50908492020515517</v>
      </c>
      <c r="P227" s="232">
        <f>'FOGLIO DEPOSITO'!C244+'ANALISI DELLE SPINTE'!E23+'ANALISI DELLE SPINTE'!D23</f>
        <v>92.577108660695842</v>
      </c>
      <c r="Q227" s="242">
        <f>IF(('FOGLIO DEPOSITO'!M227+'FOGLIO DEPOSITO'!N227+'FOGLIO DEPOSITO'!O227)&lt;0,(IF('ANALISI DELLE SPINTE'!C10&lt;'ANALISI DELLE SPINTE'!$C$62,SPINTE!$D$61*'ANALISI DELLE SPINTE'!C10,'ANALISI DELLE SPINTE'!$C$63)),('FOGLIO DEPOSITO'!M227+'FOGLIO DEPOSITO'!N227+'FOGLIO DEPOSITO'!O227)+'ANALISI DELLE SPINTE'!$C$63)+IF('ANALISI DELLE SPINTE'!H52="",0,'ANALISI DELLE SPINTE'!H52)/(DATI!E61*'FOGLIO DEPOSITO'!W227)</f>
        <v>50.084298911001504</v>
      </c>
      <c r="V227" s="6" t="s">
        <v>445</v>
      </c>
      <c r="W227" s="181">
        <f>IF('FOGLIO DEPOSITO'!Y228=1,SPINTE!D60,DATI!E171)</f>
        <v>5.03206159226088</v>
      </c>
      <c r="Y227" s="468"/>
      <c r="Z227" s="422"/>
    </row>
    <row r="228" spans="2:26" ht="16.5" thickTop="1" thickBot="1" x14ac:dyDescent="0.3">
      <c r="G228" s="223" t="str">
        <f>IF(SPINTE!D45=0,"",('ANALISI DELLE SPINTE'!F11*'FOGLIO DEPOSITO'!C245-'ANALISI DELLE SPINTE'!G11+'FOGLIO DEPOSITO'!D245)*'FOGLIO DEPOSITO'!$K$211*H236)</f>
        <v/>
      </c>
      <c r="H228" s="223" t="str">
        <f>IF(SPINTE!$D$45=0,"",'ANALISI DELLE SPINTE'!D24*'ANALISI DELLE SPINTE'!F11*'FOGLIO DEPOSITO'!$K$212)</f>
        <v/>
      </c>
      <c r="I228" s="228" t="str">
        <f>IF(SPINTE!$D$45=0,"",'ANALISI DELLE SPINTE'!E24*'ANALISI DELLE SPINTE'!F11*'FOGLIO DEPOSITO'!$K$213)</f>
        <v/>
      </c>
      <c r="J228" s="232" t="str">
        <f>IF(SPINTE!D45=0,"",'FOGLIO DEPOSITO'!C245+'ANALISI DELLE SPINTE'!E24+'ANALISI DELLE SPINTE'!D24)</f>
        <v/>
      </c>
      <c r="K228" s="240" t="str">
        <f>IF(SPINTE!D45=0,"",IF(('FOGLIO DEPOSITO'!G228+'FOGLIO DEPOSITO'!H228+'FOGLIO DEPOSITO'!I228)&lt;0,(IF('ANALISI DELLE SPINTE'!C11&lt;'ANALISI DELLE SPINTE'!$C$62,SPINTE!$D$61*'ANALISI DELLE SPINTE'!C11,'ANALISI DELLE SPINTE'!$C$63)),('FOGLIO DEPOSITO'!G228+'FOGLIO DEPOSITO'!H228+'FOGLIO DEPOSITO'!I228)+'ANALISI DELLE SPINTE'!$C$63)+IF('ANALISI DELLE SPINTE'!H55="",0,'ANALISI DELLE SPINTE'!H55)/(DATI!E61*'FOGLIO DEPOSITO'!W233))</f>
        <v/>
      </c>
      <c r="M228" s="223" t="e">
        <f t="shared" si="18"/>
        <v>#VALUE!</v>
      </c>
      <c r="N228" s="223" t="e">
        <f t="shared" si="19"/>
        <v>#VALUE!</v>
      </c>
      <c r="O228" s="223" t="e">
        <f t="shared" si="20"/>
        <v>#VALUE!</v>
      </c>
      <c r="P228" s="232" t="e">
        <f>'FOGLIO DEPOSITO'!C245+'ANALISI DELLE SPINTE'!E24+'ANALISI DELLE SPINTE'!D24</f>
        <v>#VALUE!</v>
      </c>
      <c r="Q228" s="240" t="str">
        <f>IF(SPINTE!D45=0,"",IF(('FOGLIO DEPOSITO'!M228+'FOGLIO DEPOSITO'!N228+'FOGLIO DEPOSITO'!O228)&lt;0,(IF('ANALISI DELLE SPINTE'!C11&lt;'ANALISI DELLE SPINTE'!$C$62,SPINTE!$D$61*'ANALISI DELLE SPINTE'!C11,'ANALISI DELLE SPINTE'!$C$63)),('FOGLIO DEPOSITO'!M228+'FOGLIO DEPOSITO'!N228+'FOGLIO DEPOSITO'!O228)+'ANALISI DELLE SPINTE'!$C$63)+IF('ANALISI DELLE SPINTE'!H55="",0,'ANALISI DELLE SPINTE'!H55)/(DATI!E61*'FOGLIO DEPOSITO'!W233))</f>
        <v/>
      </c>
      <c r="V228" s="6"/>
      <c r="W228" s="122"/>
      <c r="Y228" s="10">
        <f>Y223*Y224*Y225*Y226</f>
        <v>0</v>
      </c>
      <c r="Z228" s="2"/>
    </row>
    <row r="229" spans="2:26" ht="16.5" thickTop="1" thickBot="1" x14ac:dyDescent="0.3">
      <c r="B229" s="178">
        <f>DATI!E67+0.00001</f>
        <v>0.86000999999999994</v>
      </c>
      <c r="D229" s="596">
        <f>0.79999+0.00001</f>
        <v>0.79999999999999993</v>
      </c>
      <c r="G229" s="223" t="str">
        <f>IF(SPINTE!D45=0,"",('ANALISI DELLE SPINTE'!F12*'FOGLIO DEPOSITO'!C246-'ANALISI DELLE SPINTE'!G12+'FOGLIO DEPOSITO'!D246)*'FOGLIO DEPOSITO'!$K$211*H236)</f>
        <v/>
      </c>
      <c r="H229" s="223" t="str">
        <f>IF(SPINTE!$D$45=0,"",'ANALISI DELLE SPINTE'!D25*'ANALISI DELLE SPINTE'!F12*'FOGLIO DEPOSITO'!$K$212)</f>
        <v/>
      </c>
      <c r="I229" s="228" t="str">
        <f>IF(SPINTE!$D$45=0,"",'ANALISI DELLE SPINTE'!E25*'ANALISI DELLE SPINTE'!F12*'FOGLIO DEPOSITO'!$K$213)</f>
        <v/>
      </c>
      <c r="J229" s="232" t="str">
        <f>IF(SPINTE!D45=0,"",'FOGLIO DEPOSITO'!C246+'ANALISI DELLE SPINTE'!E25+'ANALISI DELLE SPINTE'!D25)</f>
        <v/>
      </c>
      <c r="K229" s="240" t="str">
        <f>IF(SPINTE!D45=0,"",IF(('FOGLIO DEPOSITO'!G229+'FOGLIO DEPOSITO'!H229+'FOGLIO DEPOSITO'!I229)&lt;0,(IF('ANALISI DELLE SPINTE'!C12&lt;'ANALISI DELLE SPINTE'!$C$62,SPINTE!$D$61*'ANALISI DELLE SPINTE'!C12,'ANALISI DELLE SPINTE'!$C$63)),('FOGLIO DEPOSITO'!G229+'FOGLIO DEPOSITO'!H229+'FOGLIO DEPOSITO'!I229)+'ANALISI DELLE SPINTE'!$C$63)+IF('ANALISI DELLE SPINTE'!H55="",0,'ANALISI DELLE SPINTE'!H55)/(DATI!E61*'FOGLIO DEPOSITO'!W233))</f>
        <v/>
      </c>
      <c r="M229" s="223" t="e">
        <f t="shared" si="18"/>
        <v>#VALUE!</v>
      </c>
      <c r="N229" s="223" t="e">
        <f t="shared" si="19"/>
        <v>#VALUE!</v>
      </c>
      <c r="O229" s="223" t="e">
        <f t="shared" si="20"/>
        <v>#VALUE!</v>
      </c>
      <c r="P229" s="232" t="e">
        <f>'FOGLIO DEPOSITO'!C246+'ANALISI DELLE SPINTE'!E25+'ANALISI DELLE SPINTE'!D25</f>
        <v>#VALUE!</v>
      </c>
      <c r="Q229" s="240" t="str">
        <f>IF(SPINTE!D45=0,"",IF(('FOGLIO DEPOSITO'!M229+'FOGLIO DEPOSITO'!N229+'FOGLIO DEPOSITO'!O229)&lt;0,(IF('ANALISI DELLE SPINTE'!C12&lt;'ANALISI DELLE SPINTE'!$C$62,SPINTE!$D$61*'ANALISI DELLE SPINTE'!C12,'ANALISI DELLE SPINTE'!$C$63)),('FOGLIO DEPOSITO'!M229+'FOGLIO DEPOSITO'!N229+'FOGLIO DEPOSITO'!O229)+'ANALISI DELLE SPINTE'!$C$63)+IF('ANALISI DELLE SPINTE'!H55="",0,'ANALISI DELLE SPINTE'!H55)/(DATI!E61*'FOGLIO DEPOSITO'!W233))</f>
        <v/>
      </c>
      <c r="V229" s="6" t="s">
        <v>61</v>
      </c>
      <c r="W229" s="177">
        <f>DATI!E173</f>
        <v>32</v>
      </c>
    </row>
    <row r="230" spans="2:26" ht="16.5" thickTop="1" thickBot="1" x14ac:dyDescent="0.3">
      <c r="B230" t="s">
        <v>1012</v>
      </c>
      <c r="G230" s="225" t="str">
        <f>IF(SPINTE!D45=0,"",('ANALISI DELLE SPINTE'!F13*'FOGLIO DEPOSITO'!C247-'ANALISI DELLE SPINTE'!G13+'FOGLIO DEPOSITO'!D247)*'FOGLIO DEPOSITO'!K211*H236)</f>
        <v/>
      </c>
      <c r="H230" s="225" t="str">
        <f>IF(SPINTE!$D$45=0,"",'ANALISI DELLE SPINTE'!D26*'ANALISI DELLE SPINTE'!F13*'FOGLIO DEPOSITO'!$K$212)</f>
        <v/>
      </c>
      <c r="I230" s="229" t="str">
        <f>IF(SPINTE!$D$45=0,"",'ANALISI DELLE SPINTE'!E26*'ANALISI DELLE SPINTE'!F13*'FOGLIO DEPOSITO'!$K$213)</f>
        <v/>
      </c>
      <c r="J230" s="233" t="str">
        <f>IF(SPINTE!D45=0,"",'FOGLIO DEPOSITO'!C247+'ANALISI DELLE SPINTE'!E26+'ANALISI DELLE SPINTE'!D26)</f>
        <v/>
      </c>
      <c r="K230" s="242" t="str">
        <f>IF(SPINTE!D45=0,"",IF(('FOGLIO DEPOSITO'!G230+'FOGLIO DEPOSITO'!H230+'FOGLIO DEPOSITO'!I230)&lt;0,(IF('ANALISI DELLE SPINTE'!C13&lt;'ANALISI DELLE SPINTE'!$C$62,SPINTE!$D$61*'ANALISI DELLE SPINTE'!C13,'ANALISI DELLE SPINTE'!$C$63)),('FOGLIO DEPOSITO'!G230+'FOGLIO DEPOSITO'!H230+'FOGLIO DEPOSITO'!I230)+'ANALISI DELLE SPINTE'!$C$63)+IF('ANALISI DELLE SPINTE'!H55="",0,'ANALISI DELLE SPINTE'!H55)/(DATI!E61*'FOGLIO DEPOSITO'!W233))</f>
        <v/>
      </c>
      <c r="M230" s="225" t="e">
        <f t="shared" si="18"/>
        <v>#VALUE!</v>
      </c>
      <c r="N230" s="225" t="e">
        <f t="shared" si="19"/>
        <v>#VALUE!</v>
      </c>
      <c r="O230" s="225" t="e">
        <f t="shared" si="20"/>
        <v>#VALUE!</v>
      </c>
      <c r="P230" s="232" t="e">
        <f>'FOGLIO DEPOSITO'!C247+'ANALISI DELLE SPINTE'!E26+'ANALISI DELLE SPINTE'!D26</f>
        <v>#VALUE!</v>
      </c>
      <c r="Q230" s="242" t="str">
        <f>IF(SPINTE!D45=0,"",IF(('FOGLIO DEPOSITO'!M230+'FOGLIO DEPOSITO'!N230+'FOGLIO DEPOSITO'!O230)&lt;0,(IF('ANALISI DELLE SPINTE'!C13&lt;'ANALISI DELLE SPINTE'!$C$62,SPINTE!$D$61*'ANALISI DELLE SPINTE'!C13,'ANALISI DELLE SPINTE'!$C$63)),('FOGLIO DEPOSITO'!M230+'FOGLIO DEPOSITO'!N230+'FOGLIO DEPOSITO'!O230)+'ANALISI DELLE SPINTE'!$C$63)+IF('ANALISI DELLE SPINTE'!H55="",0,'ANALISI DELLE SPINTE'!H55)/(DATI!E61*'FOGLIO DEPOSITO'!W233))</f>
        <v/>
      </c>
      <c r="V230" s="6" t="s">
        <v>439</v>
      </c>
      <c r="W230" s="219">
        <f>DATI!E174</f>
        <v>18</v>
      </c>
    </row>
    <row r="231" spans="2:26" ht="16.5" thickTop="1" thickBot="1" x14ac:dyDescent="0.3">
      <c r="G231" s="223" t="str">
        <f>IF(SPINTE!D52=0,"",('ANALISI DELLE SPINTE'!F14*'FOGLIO DEPOSITO'!C248-'ANALISI DELLE SPINTE'!G14+'FOGLIO DEPOSITO'!D248)*'FOGLIO DEPOSITO'!K211*H236)</f>
        <v/>
      </c>
      <c r="H231" s="223" t="str">
        <f>IF(SPINTE!$D$52=0,"",'ANALISI DELLE SPINTE'!D27*'ANALISI DELLE SPINTE'!F14*'FOGLIO DEPOSITO'!$K$212)</f>
        <v/>
      </c>
      <c r="I231" s="228" t="str">
        <f>IF(SPINTE!$D$52=0,"",'ANALISI DELLE SPINTE'!E27*'ANALISI DELLE SPINTE'!F14*'FOGLIO DEPOSITO'!$K$213)</f>
        <v/>
      </c>
      <c r="J231" s="232" t="str">
        <f>IF(SPINTE!D52=0,"",'FOGLIO DEPOSITO'!C248+'ANALISI DELLE SPINTE'!E27+'ANALISI DELLE SPINTE'!D27)</f>
        <v/>
      </c>
      <c r="K231" s="240" t="str">
        <f>IF(SPINTE!D52=0,"",IF(('FOGLIO DEPOSITO'!G231+'FOGLIO DEPOSITO'!H231+'FOGLIO DEPOSITO'!I231)&lt;0,(IF('ANALISI DELLE SPINTE'!C14&lt;'ANALISI DELLE SPINTE'!$C$62,SPINTE!$D$61*'ANALISI DELLE SPINTE'!C14,'ANALISI DELLE SPINTE'!$C$63)),('FOGLIO DEPOSITO'!G231+'FOGLIO DEPOSITO'!H231+'FOGLIO DEPOSITO'!I231)+'ANALISI DELLE SPINTE'!$C$63)+IF('ANALISI DELLE SPINTE'!H58="",0,'ANALISI DELLE SPINTE'!H58)/(DATI!E61*'FOGLIO DEPOSITO'!W239))</f>
        <v/>
      </c>
      <c r="M231" s="223" t="e">
        <f t="shared" si="18"/>
        <v>#VALUE!</v>
      </c>
      <c r="N231" s="223" t="e">
        <f t="shared" si="19"/>
        <v>#VALUE!</v>
      </c>
      <c r="O231" s="223" t="e">
        <f t="shared" si="20"/>
        <v>#VALUE!</v>
      </c>
      <c r="P231" s="232" t="e">
        <f>'FOGLIO DEPOSITO'!C248+'ANALISI DELLE SPINTE'!E27+'ANALISI DELLE SPINTE'!D27</f>
        <v>#VALUE!</v>
      </c>
      <c r="Q231" s="240" t="str">
        <f>IF(SPINTE!D52=0,"",IF(('FOGLIO DEPOSITO'!M231+'FOGLIO DEPOSITO'!N231+'FOGLIO DEPOSITO'!O231)&lt;0,(IF('ANALISI DELLE SPINTE'!C14&lt;'ANALISI DELLE SPINTE'!$C$62,SPINTE!$D$61*'ANALISI DELLE SPINTE'!C14,'ANALISI DELLE SPINTE'!$C$63)),('FOGLIO DEPOSITO'!M231+'FOGLIO DEPOSITO'!N231+'FOGLIO DEPOSITO'!O231)+'ANALISI DELLE SPINTE'!$C$63)+IF('ANALISI DELLE SPINTE'!H58="",0,'ANALISI DELLE SPINTE'!H58)/(DATI!E61*'FOGLIO DEPOSITO'!W239))</f>
        <v/>
      </c>
      <c r="V231" s="389" t="s">
        <v>441</v>
      </c>
      <c r="W231" s="182">
        <f>DATI!E175</f>
        <v>0</v>
      </c>
    </row>
    <row r="232" spans="2:26" ht="16.5" thickTop="1" thickBot="1" x14ac:dyDescent="0.3">
      <c r="G232" s="223" t="str">
        <f>IF(SPINTE!D52=0,"",('ANALISI DELLE SPINTE'!F15*'FOGLIO DEPOSITO'!C249-'ANALISI DELLE SPINTE'!G15+'FOGLIO DEPOSITO'!D249)*'FOGLIO DEPOSITO'!K211*H236)</f>
        <v/>
      </c>
      <c r="H232" s="223" t="str">
        <f>IF(SPINTE!$D$52=0,"",'ANALISI DELLE SPINTE'!D28*'ANALISI DELLE SPINTE'!F15*'FOGLIO DEPOSITO'!$K$212)</f>
        <v/>
      </c>
      <c r="I232" s="228" t="str">
        <f>IF(SPINTE!$D$52=0,"",'ANALISI DELLE SPINTE'!E28*'ANALISI DELLE SPINTE'!F15*'FOGLIO DEPOSITO'!$K$213)</f>
        <v/>
      </c>
      <c r="J232" s="232" t="str">
        <f>IF(SPINTE!D52=0,"",'FOGLIO DEPOSITO'!C249+'ANALISI DELLE SPINTE'!E28+'ANALISI DELLE SPINTE'!D28)</f>
        <v/>
      </c>
      <c r="K232" s="240" t="str">
        <f>IF(SPINTE!D52=0,"",IF(('FOGLIO DEPOSITO'!G232+'FOGLIO DEPOSITO'!H232+'FOGLIO DEPOSITO'!I232)&lt;0,(IF('ANALISI DELLE SPINTE'!C15&lt;'ANALISI DELLE SPINTE'!$C$62,SPINTE!$D$61*'ANALISI DELLE SPINTE'!C15,'ANALISI DELLE SPINTE'!$C$63)),('FOGLIO DEPOSITO'!G232+'FOGLIO DEPOSITO'!H232+'FOGLIO DEPOSITO'!I232)+'ANALISI DELLE SPINTE'!$C$63)+IF('ANALISI DELLE SPINTE'!H58="",0,'ANALISI DELLE SPINTE'!H58)/(DATI!E61*'FOGLIO DEPOSITO'!W239))</f>
        <v/>
      </c>
      <c r="M232" s="223" t="e">
        <f t="shared" si="18"/>
        <v>#VALUE!</v>
      </c>
      <c r="N232" s="223" t="e">
        <f t="shared" si="19"/>
        <v>#VALUE!</v>
      </c>
      <c r="O232" s="223" t="e">
        <f t="shared" si="20"/>
        <v>#VALUE!</v>
      </c>
      <c r="P232" s="232" t="e">
        <f>'FOGLIO DEPOSITO'!C249+'ANALISI DELLE SPINTE'!E28+'ANALISI DELLE SPINTE'!D28</f>
        <v>#VALUE!</v>
      </c>
      <c r="Q232" s="240" t="str">
        <f>IF(SPINTE!D52=0,"",IF(('FOGLIO DEPOSITO'!M232+'FOGLIO DEPOSITO'!N232+'FOGLIO DEPOSITO'!O232)&lt;0,(IF('ANALISI DELLE SPINTE'!C15&lt;'ANALISI DELLE SPINTE'!$C$62,SPINTE!$D$61*'ANALISI DELLE SPINTE'!C15,'ANALISI DELLE SPINTE'!$C$63)),('FOGLIO DEPOSITO'!M232+'FOGLIO DEPOSITO'!N232+'FOGLIO DEPOSITO'!O232)+'ANALISI DELLE SPINTE'!$C$63)+IF('ANALISI DELLE SPINTE'!H58="",0,'ANALISI DELLE SPINTE'!H58)/(DATI!E61*'FOGLIO DEPOSITO'!W239))</f>
        <v/>
      </c>
      <c r="V232" s="389" t="s">
        <v>443</v>
      </c>
      <c r="W232" s="182">
        <f>DATI!E176</f>
        <v>0</v>
      </c>
    </row>
    <row r="233" spans="2:26" ht="16.5" thickTop="1" thickBot="1" x14ac:dyDescent="0.3">
      <c r="G233" s="225" t="str">
        <f>IF(SPINTE!D52=0,"",('ANALISI DELLE SPINTE'!F16*'FOGLIO DEPOSITO'!C250-'ANALISI DELLE SPINTE'!G16+'FOGLIO DEPOSITO'!D250)*'FOGLIO DEPOSITO'!$K$211*H236)</f>
        <v/>
      </c>
      <c r="H233" s="225" t="str">
        <f>IF(SPINTE!$D$52=0,"",'ANALISI DELLE SPINTE'!D29*'ANALISI DELLE SPINTE'!F16*'FOGLIO DEPOSITO'!$K$212)</f>
        <v/>
      </c>
      <c r="I233" s="229" t="str">
        <f>IF(SPINTE!$D$52=0,"",'ANALISI DELLE SPINTE'!E29*'ANALISI DELLE SPINTE'!F16*'FOGLIO DEPOSITO'!$K$213)</f>
        <v/>
      </c>
      <c r="J233" s="233" t="str">
        <f>IF(SPINTE!D52=0,"",'FOGLIO DEPOSITO'!C250+'ANALISI DELLE SPINTE'!E29+'ANALISI DELLE SPINTE'!D29)</f>
        <v/>
      </c>
      <c r="K233" s="242" t="str">
        <f>IF(SPINTE!D52=0,"",IF(('FOGLIO DEPOSITO'!G233+'FOGLIO DEPOSITO'!H233+'FOGLIO DEPOSITO'!I233)&lt;0,(IF('ANALISI DELLE SPINTE'!C16&lt;'ANALISI DELLE SPINTE'!$C$62,SPINTE!$D$61*'ANALISI DELLE SPINTE'!C16,'ANALISI DELLE SPINTE'!$C$63)),('FOGLIO DEPOSITO'!G233+'FOGLIO DEPOSITO'!H233+'FOGLIO DEPOSITO'!I233)+'ANALISI DELLE SPINTE'!$C$63)+IF('ANALISI DELLE SPINTE'!H58="",0,'ANALISI DELLE SPINTE'!H58)/(DATI!E61*'FOGLIO DEPOSITO'!W239))</f>
        <v/>
      </c>
      <c r="M233" s="223" t="e">
        <f t="shared" si="18"/>
        <v>#VALUE!</v>
      </c>
      <c r="N233" s="223" t="e">
        <f t="shared" si="19"/>
        <v>#VALUE!</v>
      </c>
      <c r="O233" s="223" t="e">
        <f t="shared" si="20"/>
        <v>#VALUE!</v>
      </c>
      <c r="P233" s="232" t="e">
        <f>'FOGLIO DEPOSITO'!C250+'ANALISI DELLE SPINTE'!E29+'ANALISI DELLE SPINTE'!D29</f>
        <v>#VALUE!</v>
      </c>
      <c r="Q233" s="242" t="str">
        <f>IF(SPINTE!D52=0,"",IF(('FOGLIO DEPOSITO'!M233+'FOGLIO DEPOSITO'!N233+'FOGLIO DEPOSITO'!O233)&lt;0,(IF('ANALISI DELLE SPINTE'!C16&lt;'ANALISI DELLE SPINTE'!$C$62,SPINTE!$D$61*'ANALISI DELLE SPINTE'!C16,'ANALISI DELLE SPINTE'!$C$63)),('FOGLIO DEPOSITO'!M233+'FOGLIO DEPOSITO'!N233+'FOGLIO DEPOSITO'!O233)+'ANALISI DELLE SPINTE'!$C$63)+IF('ANALISI DELLE SPINTE'!H58="",0,'ANALISI DELLE SPINTE'!H58)/(DATI!E61*'FOGLIO DEPOSITO'!W239))</f>
        <v/>
      </c>
      <c r="V233" s="6" t="s">
        <v>445</v>
      </c>
      <c r="W233" s="181">
        <f>IF('FOGLIO DEPOSITO'!Y228=1,0,DATI!E177)</f>
        <v>0</v>
      </c>
    </row>
    <row r="234" spans="2:26" ht="16.5" thickTop="1" thickBot="1" x14ac:dyDescent="0.3">
      <c r="G234" s="223"/>
      <c r="H234" s="223"/>
      <c r="I234" s="223"/>
      <c r="J234" s="232"/>
      <c r="K234" s="232"/>
      <c r="M234" s="223"/>
      <c r="N234" s="223"/>
      <c r="O234" s="223"/>
      <c r="P234" s="232"/>
      <c r="Q234" s="232"/>
      <c r="V234" s="6"/>
      <c r="W234" s="122"/>
    </row>
    <row r="235" spans="2:26" ht="16.5" thickTop="1" thickBot="1" x14ac:dyDescent="0.3">
      <c r="G235" s="223"/>
      <c r="H235" s="223"/>
      <c r="I235" s="223"/>
      <c r="J235" s="232"/>
      <c r="K235" s="232"/>
      <c r="M235" s="223"/>
      <c r="N235" s="223"/>
      <c r="O235" s="223"/>
      <c r="P235" s="232"/>
      <c r="Q235" s="232"/>
      <c r="V235" s="6" t="s">
        <v>61</v>
      </c>
      <c r="W235" s="177">
        <f>DATI!E179</f>
        <v>34</v>
      </c>
    </row>
    <row r="236" spans="2:26" ht="16.5" thickTop="1" thickBot="1" x14ac:dyDescent="0.3">
      <c r="G236" s="499" t="s">
        <v>857</v>
      </c>
      <c r="H236" s="243">
        <f>IF(SPINTE!C75='FOGLIO DEPOSITO'!N181,1+'FOGLIO DEPOSITO'!S188,IF(SPINTE!C75='FOGLIO DEPOSITO'!N182,1-'FOGLIO DEPOSITO'!S188,1))</f>
        <v>1.0640771341558701</v>
      </c>
      <c r="I236" s="223"/>
      <c r="J236" s="232"/>
      <c r="K236" s="232"/>
      <c r="M236" s="223"/>
      <c r="N236" s="223"/>
      <c r="O236" s="223"/>
      <c r="P236" s="232"/>
      <c r="Q236" s="232"/>
      <c r="V236" s="6" t="s">
        <v>439</v>
      </c>
      <c r="W236" s="219">
        <f>DATI!E180</f>
        <v>18</v>
      </c>
    </row>
    <row r="237" spans="2:26" ht="16.5" thickTop="1" thickBot="1" x14ac:dyDescent="0.3">
      <c r="G237" s="223"/>
      <c r="H237" s="223"/>
      <c r="I237" s="223"/>
      <c r="J237" s="232"/>
      <c r="M237" s="223"/>
      <c r="N237" s="223"/>
      <c r="O237" s="223"/>
      <c r="P237" s="232"/>
      <c r="Q237" s="421"/>
      <c r="V237" s="389" t="s">
        <v>441</v>
      </c>
      <c r="W237" s="182">
        <f>DATI!E181</f>
        <v>0</v>
      </c>
    </row>
    <row r="238" spans="2:26" ht="16.5" thickTop="1" thickBot="1" x14ac:dyDescent="0.3">
      <c r="G238" s="223"/>
      <c r="H238" s="223"/>
      <c r="I238" s="223"/>
      <c r="J238" s="232"/>
      <c r="K238" s="421"/>
      <c r="M238" s="223"/>
      <c r="N238" s="223"/>
      <c r="O238" s="223"/>
      <c r="P238" s="232"/>
      <c r="Q238" s="421"/>
      <c r="V238" s="389" t="s">
        <v>443</v>
      </c>
      <c r="W238" s="182">
        <f>DATI!E182</f>
        <v>0</v>
      </c>
    </row>
    <row r="239" spans="2:26" ht="15.75" thickTop="1" x14ac:dyDescent="0.25">
      <c r="C239" t="s">
        <v>1019</v>
      </c>
      <c r="G239" s="46"/>
      <c r="M239" s="46"/>
      <c r="N239" s="421"/>
      <c r="O239" s="421"/>
      <c r="P239" s="421"/>
      <c r="Q239" s="421"/>
      <c r="V239" s="6" t="s">
        <v>445</v>
      </c>
      <c r="W239" s="788">
        <f>IF('FOGLIO DEPOSITO'!Y228=1,0,DATI!E183)</f>
        <v>8.8817841970012523E-16</v>
      </c>
    </row>
    <row r="240" spans="2:26" x14ac:dyDescent="0.25">
      <c r="G240" s="836" t="s">
        <v>494</v>
      </c>
      <c r="H240" s="836"/>
      <c r="I240" s="836"/>
      <c r="J240" s="835" t="s">
        <v>819</v>
      </c>
      <c r="K240" s="835"/>
      <c r="M240" s="836" t="s">
        <v>494</v>
      </c>
      <c r="N240" s="836"/>
      <c r="O240" s="836"/>
      <c r="P240" s="835" t="s">
        <v>819</v>
      </c>
      <c r="Q240" s="835"/>
    </row>
    <row r="241" spans="3:17" ht="18.75" x14ac:dyDescent="0.25">
      <c r="C241" s="174" t="s">
        <v>499</v>
      </c>
      <c r="D241" s="235" t="s">
        <v>497</v>
      </c>
      <c r="G241" s="244" t="s">
        <v>502</v>
      </c>
      <c r="H241" s="244" t="s">
        <v>503</v>
      </c>
      <c r="I241" s="245" t="s">
        <v>504</v>
      </c>
      <c r="J241" s="236" t="s">
        <v>505</v>
      </c>
      <c r="K241" s="237" t="s">
        <v>506</v>
      </c>
      <c r="M241" s="244" t="s">
        <v>810</v>
      </c>
      <c r="N241" s="244" t="s">
        <v>827</v>
      </c>
      <c r="O241" s="245" t="s">
        <v>812</v>
      </c>
      <c r="P241" s="236" t="s">
        <v>505</v>
      </c>
      <c r="Q241" s="237" t="s">
        <v>506</v>
      </c>
    </row>
    <row r="242" spans="3:17" x14ac:dyDescent="0.25">
      <c r="C242" s="226">
        <f>'ANALISI DELLE SPINTE'!H8-'FOGLIO DEPOSITO'!D242</f>
        <v>0</v>
      </c>
      <c r="D242" s="239">
        <f>IF(SPINTE!F33='FOGLIO DEPOSITO'!H166,'ANALISI DELLE SPINTE'!E72,0)</f>
        <v>0</v>
      </c>
      <c r="G242" s="223">
        <f>('ANALISI DELLE SPINTE'!F72*'ANALISI DELLE SPINTE'!C85-'ANALISI DELLE SPINTE'!G72+'ANALISI DELLE SPINTE'!E72)*'FOGLIO DEPOSITO'!$K$211*H236</f>
        <v>0</v>
      </c>
      <c r="H242" s="223">
        <f>'ANALISI DELLE SPINTE'!D85*'ANALISI DELLE SPINTE'!F72*'FOGLIO DEPOSITO'!$K$212</f>
        <v>0.50908492020515517</v>
      </c>
      <c r="I242" s="228">
        <f>'ANALISI DELLE SPINTE'!E85*'ANALISI DELLE SPINTE'!F72*'FOGLIO DEPOSITO'!$K$213</f>
        <v>0.50908492020515517</v>
      </c>
      <c r="J242" s="232">
        <f>'ANALISI DELLE SPINTE'!C85+'ANALISI DELLE SPINTE'!E85+'ANALISI DELLE SPINTE'!D85</f>
        <v>2</v>
      </c>
      <c r="K242" s="278">
        <f>IF(('FOGLIO DEPOSITO'!G242+'FOGLIO DEPOSITO'!H242+'FOGLIO DEPOSITO'!I242)&lt;0,0,('FOGLIO DEPOSITO'!G242+'FOGLIO DEPOSITO'!H242+'FOGLIO DEPOSITO'!I242)+'ANALISI DELLE SPINTE'!$C$128)+IF('ANALISI DELLE SPINTE'!H52="",0,'ANALISI DELLE SPINTE'!H52)/(DATI!E61*'FOGLIO DEPOSITO'!W227)</f>
        <v>1.0181698404103103</v>
      </c>
      <c r="M242" s="223">
        <f t="shared" ref="M242:M250" si="21">G242/$K$211</f>
        <v>0</v>
      </c>
      <c r="N242" s="223">
        <f t="shared" ref="N242:N250" si="22">H242/$K$212</f>
        <v>0.50908492020515517</v>
      </c>
      <c r="O242" s="223">
        <f t="shared" ref="O242:O250" si="23">I242/$K$213</f>
        <v>0.50908492020515517</v>
      </c>
      <c r="P242" s="232">
        <f>'ANALISI DELLE SPINTE'!C85+'ANALISI DELLE SPINTE'!E85+'ANALISI DELLE SPINTE'!D85</f>
        <v>2</v>
      </c>
      <c r="Q242" s="278">
        <f>IF(('FOGLIO DEPOSITO'!M242+'FOGLIO DEPOSITO'!N242+'FOGLIO DEPOSITO'!O242)&lt;0,0,('FOGLIO DEPOSITO'!M242+'FOGLIO DEPOSITO'!N242+'FOGLIO DEPOSITO'!O242)+'ANALISI DELLE SPINTE'!$C$128)+IF('ANALISI DELLE SPINTE'!H52="",0,'ANALISI DELLE SPINTE'!H52)/(DATI!E61*'FOGLIO DEPOSITO'!W227)</f>
        <v>1.0181698404103103</v>
      </c>
    </row>
    <row r="243" spans="3:17" x14ac:dyDescent="0.25">
      <c r="C243" s="226">
        <f>'ANALISI DELLE SPINTE'!H9-'FOGLIO DEPOSITO'!D243</f>
        <v>90.577108660695842</v>
      </c>
      <c r="D243" s="239">
        <f>IF(SPINTE!F33='FOGLIO DEPOSITO'!H166,'ANALISI DELLE SPINTE'!E73,0)</f>
        <v>0</v>
      </c>
      <c r="G243" s="223">
        <f>('ANALISI DELLE SPINTE'!F73*'ANALISI DELLE SPINTE'!C86-'ANALISI DELLE SPINTE'!G73+'ANALISI DELLE SPINTE'!E73)*'FOGLIO DEPOSITO'!$K$211*H236</f>
        <v>49.066129070591195</v>
      </c>
      <c r="H243" s="223">
        <f>'ANALISI DELLE SPINTE'!D86*'ANALISI DELLE SPINTE'!F73*'FOGLIO DEPOSITO'!$K$212</f>
        <v>0.50908492020515517</v>
      </c>
      <c r="I243" s="228">
        <f>'ANALISI DELLE SPINTE'!E86*'ANALISI DELLE SPINTE'!F73*'FOGLIO DEPOSITO'!$K$213</f>
        <v>0.50908492020515517</v>
      </c>
      <c r="J243" s="232">
        <f>'ANALISI DELLE SPINTE'!C86+'ANALISI DELLE SPINTE'!E86+'ANALISI DELLE SPINTE'!D86</f>
        <v>92.577108660695842</v>
      </c>
      <c r="K243" s="240">
        <f>IF(('FOGLIO DEPOSITO'!G243+'FOGLIO DEPOSITO'!H243+'FOGLIO DEPOSITO'!I243)&lt;0,(IF('ANALISI DELLE SPINTE'!C73&lt;'ANALISI DELLE SPINTE'!$C$127,SPINTE!$D$61*'ANALISI DELLE SPINTE'!C73,'ANALISI DELLE SPINTE'!$C$128)),('FOGLIO DEPOSITO'!G243+'FOGLIO DEPOSITO'!H243+'FOGLIO DEPOSITO'!I243)+'ANALISI DELLE SPINTE'!$C$128)+IF('ANALISI DELLE SPINTE'!H52="",0,'ANALISI DELLE SPINTE'!H52)/(DATI!E61*'FOGLIO DEPOSITO'!W227)</f>
        <v>50.084298911001504</v>
      </c>
      <c r="M243" s="223">
        <f t="shared" si="21"/>
        <v>49.066129070591195</v>
      </c>
      <c r="N243" s="223">
        <f t="shared" si="22"/>
        <v>0.50908492020515517</v>
      </c>
      <c r="O243" s="223">
        <f t="shared" si="23"/>
        <v>0.50908492020515517</v>
      </c>
      <c r="P243" s="232">
        <f>'ANALISI DELLE SPINTE'!C86+'ANALISI DELLE SPINTE'!E86+'ANALISI DELLE SPINTE'!D86</f>
        <v>92.577108660695842</v>
      </c>
      <c r="Q243" s="240">
        <f>IF(('FOGLIO DEPOSITO'!M243+'FOGLIO DEPOSITO'!N243+'FOGLIO DEPOSITO'!O243)&lt;0,(IF('ANALISI DELLE SPINTE'!C73&lt;'ANALISI DELLE SPINTE'!$C$127,SPINTE!$D$61*'ANALISI DELLE SPINTE'!C73,'ANALISI DELLE SPINTE'!$C$128)),('FOGLIO DEPOSITO'!M243+'FOGLIO DEPOSITO'!N243+'FOGLIO DEPOSITO'!O243)+'ANALISI DELLE SPINTE'!$C$128)+IF('ANALISI DELLE SPINTE'!H52="",0,'ANALISI DELLE SPINTE'!H52)/(DATI!E61*'FOGLIO DEPOSITO'!W227)</f>
        <v>50.084298911001504</v>
      </c>
    </row>
    <row r="244" spans="3:17" x14ac:dyDescent="0.25">
      <c r="C244" s="227">
        <f>'ANALISI DELLE SPINTE'!H10-'FOGLIO DEPOSITO'!D244</f>
        <v>90.577108660695842</v>
      </c>
      <c r="D244" s="224">
        <f>IF(SPINTE!F33='FOGLIO DEPOSITO'!H166,'ANALISI DELLE SPINTE'!E74,0)</f>
        <v>0</v>
      </c>
      <c r="G244" s="227">
        <f>('ANALISI DELLE SPINTE'!F74*'ANALISI DELLE SPINTE'!C87-'ANALISI DELLE SPINTE'!G74+'ANALISI DELLE SPINTE'!E74)*'FOGLIO DEPOSITO'!$K$211*H236</f>
        <v>49.066129070591195</v>
      </c>
      <c r="H244" s="225">
        <f>'ANALISI DELLE SPINTE'!D87*'ANALISI DELLE SPINTE'!F74*'FOGLIO DEPOSITO'!$K$212</f>
        <v>0.50908492020515517</v>
      </c>
      <c r="I244" s="229">
        <f>'ANALISI DELLE SPINTE'!E87*'ANALISI DELLE SPINTE'!F74*'FOGLIO DEPOSITO'!$K$213</f>
        <v>0.50908492020515517</v>
      </c>
      <c r="J244" s="233">
        <f>'ANALISI DELLE SPINTE'!C87+'ANALISI DELLE SPINTE'!E87+'ANALISI DELLE SPINTE'!D87</f>
        <v>92.577108660695842</v>
      </c>
      <c r="K244" s="242">
        <f>IF(('FOGLIO DEPOSITO'!G244+'FOGLIO DEPOSITO'!H244+'FOGLIO DEPOSITO'!I244)&lt;0,(IF('ANALISI DELLE SPINTE'!C74&lt;'ANALISI DELLE SPINTE'!$C$127,SPINTE!$D$61*'ANALISI DELLE SPINTE'!C74,'ANALISI DELLE SPINTE'!$C$128)),('FOGLIO DEPOSITO'!G244+'FOGLIO DEPOSITO'!H244+'FOGLIO DEPOSITO'!I244)+'ANALISI DELLE SPINTE'!$C$128)+IF('ANALISI DELLE SPINTE'!H52="",0,'ANALISI DELLE SPINTE'!H52)/(DATI!E61*'FOGLIO DEPOSITO'!W227)</f>
        <v>50.084298911001504</v>
      </c>
      <c r="M244" s="225">
        <f t="shared" si="21"/>
        <v>49.066129070591195</v>
      </c>
      <c r="N244" s="225">
        <f t="shared" si="22"/>
        <v>0.50908492020515517</v>
      </c>
      <c r="O244" s="225">
        <f t="shared" si="23"/>
        <v>0.50908492020515517</v>
      </c>
      <c r="P244" s="232">
        <f>'ANALISI DELLE SPINTE'!C87+'ANALISI DELLE SPINTE'!E87+'ANALISI DELLE SPINTE'!D87</f>
        <v>92.577108660695842</v>
      </c>
      <c r="Q244" s="242">
        <f>IF(('FOGLIO DEPOSITO'!M244+'FOGLIO DEPOSITO'!N244+'FOGLIO DEPOSITO'!O244)&lt;0,(IF('ANALISI DELLE SPINTE'!C74&lt;'ANALISI DELLE SPINTE'!$C$127,SPINTE!$D$61*'ANALISI DELLE SPINTE'!C74,'ANALISI DELLE SPINTE'!$C$128)),('FOGLIO DEPOSITO'!M244+'FOGLIO DEPOSITO'!N244+'FOGLIO DEPOSITO'!O244)+'ANALISI DELLE SPINTE'!$C$128)+IF('ANALISI DELLE SPINTE'!H52="",0,'ANALISI DELLE SPINTE'!H52)/(DATI!E61*'FOGLIO DEPOSITO'!W227)</f>
        <v>50.084298911001504</v>
      </c>
    </row>
    <row r="245" spans="3:17" x14ac:dyDescent="0.25">
      <c r="C245" s="226" t="str">
        <f>IF(SPINTE!D45=0,"",'ANALISI DELLE SPINTE'!H11-'FOGLIO DEPOSITO'!D245)</f>
        <v/>
      </c>
      <c r="D245" s="239" t="str">
        <f>IF(SPINTE!D45=0,"",IF(SPINTE!F40='FOGLIO DEPOSITO'!H169,'ANALISI DELLE SPINTE'!E75,0))</f>
        <v/>
      </c>
      <c r="G245" s="223" t="str">
        <f>IF(SPINTE!$D$45=0,"",('ANALISI DELLE SPINTE'!F75*'ANALISI DELLE SPINTE'!C88-'ANALISI DELLE SPINTE'!G75+'ANALISI DELLE SPINTE'!E75)*'FOGLIO DEPOSITO'!$K$211*H236)</f>
        <v/>
      </c>
      <c r="H245" s="223" t="str">
        <f>IF(SPINTE!$D$45=0,"",'ANALISI DELLE SPINTE'!D88*'ANALISI DELLE SPINTE'!F75*'FOGLIO DEPOSITO'!$K$212)</f>
        <v/>
      </c>
      <c r="I245" s="228" t="str">
        <f>IF(SPINTE!$D$45=0,"",'ANALISI DELLE SPINTE'!E88*'ANALISI DELLE SPINTE'!F75*'FOGLIO DEPOSITO'!$K$213)</f>
        <v/>
      </c>
      <c r="J245" s="232" t="str">
        <f>IF(SPINTE!D45=0,"",'ANALISI DELLE SPINTE'!C88+'ANALISI DELLE SPINTE'!E88+'ANALISI DELLE SPINTE'!D88)</f>
        <v/>
      </c>
      <c r="K245" s="240" t="str">
        <f>IF(SPINTE!D45=0,"",IF(('FOGLIO DEPOSITO'!G245+'FOGLIO DEPOSITO'!H245+'FOGLIO DEPOSITO'!I245)&lt;0,(IF('ANALISI DELLE SPINTE'!C75&lt;'ANALISI DELLE SPINTE'!$C$127,SPINTE!$D$61*'ANALISI DELLE SPINTE'!C75,'ANALISI DELLE SPINTE'!$C$128)),('FOGLIO DEPOSITO'!G245+'FOGLIO DEPOSITO'!H245+'FOGLIO DEPOSITO'!I245)+'ANALISI DELLE SPINTE'!$C$128)+IF('ANALISI DELLE SPINTE'!H55="",0,'ANALISI DELLE SPINTE'!H55)/(DATI!E61*'FOGLIO DEPOSITO'!W233))</f>
        <v/>
      </c>
      <c r="M245" s="223" t="e">
        <f t="shared" si="21"/>
        <v>#VALUE!</v>
      </c>
      <c r="N245" s="223" t="e">
        <f t="shared" si="22"/>
        <v>#VALUE!</v>
      </c>
      <c r="O245" s="223" t="e">
        <f t="shared" si="23"/>
        <v>#VALUE!</v>
      </c>
      <c r="P245" s="232" t="e">
        <f>'ANALISI DELLE SPINTE'!C88+'ANALISI DELLE SPINTE'!E88+'ANALISI DELLE SPINTE'!D88</f>
        <v>#VALUE!</v>
      </c>
      <c r="Q245" s="240" t="str">
        <f>IF(SPINTE!D45=0,"",IF(('FOGLIO DEPOSITO'!M245+'FOGLIO DEPOSITO'!N245+'FOGLIO DEPOSITO'!O245)&lt;0,(IF('ANALISI DELLE SPINTE'!C75&lt;'ANALISI DELLE SPINTE'!$C$127,SPINTE!$D$61*'ANALISI DELLE SPINTE'!C75,'ANALISI DELLE SPINTE'!$C$128)),('FOGLIO DEPOSITO'!M245+'FOGLIO DEPOSITO'!N245+'FOGLIO DEPOSITO'!O245)+'ANALISI DELLE SPINTE'!$C$128)+IF('ANALISI DELLE SPINTE'!H55="",0,'ANALISI DELLE SPINTE'!H55)/(DATI!E61*'FOGLIO DEPOSITO'!W233))</f>
        <v/>
      </c>
    </row>
    <row r="246" spans="3:17" x14ac:dyDescent="0.25">
      <c r="C246" s="226" t="str">
        <f>IF(SPINTE!D45=0,"",'ANALISI DELLE SPINTE'!H12-'FOGLIO DEPOSITO'!D246)</f>
        <v/>
      </c>
      <c r="D246" s="239" t="str">
        <f>IF(SPINTE!D45=0,"",IF(SPINTE!F40='FOGLIO DEPOSITO'!H169,'ANALISI DELLE SPINTE'!E76,0))</f>
        <v/>
      </c>
      <c r="G246" s="223" t="str">
        <f>IF(SPINTE!$D$45=0,"",('ANALISI DELLE SPINTE'!F76*'ANALISI DELLE SPINTE'!C89-'ANALISI DELLE SPINTE'!G76+'ANALISI DELLE SPINTE'!E76)*'FOGLIO DEPOSITO'!$K$211*H236)</f>
        <v/>
      </c>
      <c r="H246" s="223" t="str">
        <f>IF(SPINTE!$D$45=0,"",'ANALISI DELLE SPINTE'!D89*'ANALISI DELLE SPINTE'!F76*'FOGLIO DEPOSITO'!$K$212)</f>
        <v/>
      </c>
      <c r="I246" s="228" t="str">
        <f>IF(SPINTE!$D$45=0,"",'ANALISI DELLE SPINTE'!E89*'ANALISI DELLE SPINTE'!F76*'FOGLIO DEPOSITO'!$K$213)</f>
        <v/>
      </c>
      <c r="J246" s="232" t="str">
        <f>IF(SPINTE!D45=0,"",'ANALISI DELLE SPINTE'!C89+'ANALISI DELLE SPINTE'!E89+'ANALISI DELLE SPINTE'!D89)</f>
        <v/>
      </c>
      <c r="K246" s="240" t="str">
        <f>IF(SPINTE!D45=0,"",IF(('FOGLIO DEPOSITO'!G246+'FOGLIO DEPOSITO'!H246+'FOGLIO DEPOSITO'!I246)&lt;0,(IF('ANALISI DELLE SPINTE'!C76&lt;'ANALISI DELLE SPINTE'!$C$127,SPINTE!$D$61*'ANALISI DELLE SPINTE'!C76,'ANALISI DELLE SPINTE'!$C$128)),('FOGLIO DEPOSITO'!G246+'FOGLIO DEPOSITO'!H246+'FOGLIO DEPOSITO'!I246)+'ANALISI DELLE SPINTE'!$C$128)+IF('ANALISI DELLE SPINTE'!H55="",0,'ANALISI DELLE SPINTE'!H55)/(DATI!E61*'FOGLIO DEPOSITO'!W233))</f>
        <v/>
      </c>
      <c r="M246" s="223" t="e">
        <f t="shared" si="21"/>
        <v>#VALUE!</v>
      </c>
      <c r="N246" s="223" t="e">
        <f t="shared" si="22"/>
        <v>#VALUE!</v>
      </c>
      <c r="O246" s="223" t="e">
        <f t="shared" si="23"/>
        <v>#VALUE!</v>
      </c>
      <c r="P246" s="232" t="e">
        <f>'ANALISI DELLE SPINTE'!C89+'ANALISI DELLE SPINTE'!E89+'ANALISI DELLE SPINTE'!D89</f>
        <v>#VALUE!</v>
      </c>
      <c r="Q246" s="240" t="str">
        <f>IF(SPINTE!D45=0,"",IF(('FOGLIO DEPOSITO'!M246+'FOGLIO DEPOSITO'!N246+'FOGLIO DEPOSITO'!O246)&lt;0,(IF('ANALISI DELLE SPINTE'!C76&lt;'ANALISI DELLE SPINTE'!$C$127,SPINTE!$D$61*'ANALISI DELLE SPINTE'!C76,'ANALISI DELLE SPINTE'!$C$128)),('FOGLIO DEPOSITO'!M246+'FOGLIO DEPOSITO'!N246+'FOGLIO DEPOSITO'!O246)+'ANALISI DELLE SPINTE'!$C$128)+IF('ANALISI DELLE SPINTE'!H55="",0,'ANALISI DELLE SPINTE'!H55)/(DATI!E61*'FOGLIO DEPOSITO'!W233))</f>
        <v/>
      </c>
    </row>
    <row r="247" spans="3:17" x14ac:dyDescent="0.25">
      <c r="C247" s="227" t="str">
        <f>IF(SPINTE!D45=0,"",'ANALISI DELLE SPINTE'!H13-'FOGLIO DEPOSITO'!D247)</f>
        <v/>
      </c>
      <c r="D247" s="224" t="str">
        <f>IF(SPINTE!D45=0,"",IF(SPINTE!F40='FOGLIO DEPOSITO'!H169,'ANALISI DELLE SPINTE'!E77,0))</f>
        <v/>
      </c>
      <c r="G247" s="227" t="str">
        <f>IF(SPINTE!$D$45=0,"",('ANALISI DELLE SPINTE'!F77*'ANALISI DELLE SPINTE'!C90-'ANALISI DELLE SPINTE'!G77+'ANALISI DELLE SPINTE'!E77)*'FOGLIO DEPOSITO'!$K$211*H236)</f>
        <v/>
      </c>
      <c r="H247" s="225" t="str">
        <f>IF(SPINTE!$D$45=0,"",'ANALISI DELLE SPINTE'!D90*'ANALISI DELLE SPINTE'!F77*'FOGLIO DEPOSITO'!$K$212)</f>
        <v/>
      </c>
      <c r="I247" s="229" t="str">
        <f>IF(SPINTE!$D$45=0,"",'ANALISI DELLE SPINTE'!E90*'ANALISI DELLE SPINTE'!F77*'FOGLIO DEPOSITO'!$K$213)</f>
        <v/>
      </c>
      <c r="J247" s="233" t="str">
        <f>IF(SPINTE!D45=0,"",'ANALISI DELLE SPINTE'!C90+'ANALISI DELLE SPINTE'!E90+'ANALISI DELLE SPINTE'!D90)</f>
        <v/>
      </c>
      <c r="K247" s="242" t="str">
        <f>IF(SPINTE!D45=0,"",IF(('FOGLIO DEPOSITO'!G247+'FOGLIO DEPOSITO'!H247+'FOGLIO DEPOSITO'!I247)&lt;0,(IF('ANALISI DELLE SPINTE'!C77&lt;'ANALISI DELLE SPINTE'!$C$127,SPINTE!$D$61*'ANALISI DELLE SPINTE'!C77,'ANALISI DELLE SPINTE'!$C$128)),('FOGLIO DEPOSITO'!G247+'FOGLIO DEPOSITO'!H247+'FOGLIO DEPOSITO'!I247)+'ANALISI DELLE SPINTE'!$C$128)+IF('ANALISI DELLE SPINTE'!H55="",0,'ANALISI DELLE SPINTE'!H55)/(DATI!E61*'FOGLIO DEPOSITO'!W233))</f>
        <v/>
      </c>
      <c r="M247" s="225" t="e">
        <f t="shared" si="21"/>
        <v>#VALUE!</v>
      </c>
      <c r="N247" s="225" t="e">
        <f t="shared" si="22"/>
        <v>#VALUE!</v>
      </c>
      <c r="O247" s="225" t="e">
        <f t="shared" si="23"/>
        <v>#VALUE!</v>
      </c>
      <c r="P247" s="232" t="e">
        <f>'ANALISI DELLE SPINTE'!C90+'ANALISI DELLE SPINTE'!E90+'ANALISI DELLE SPINTE'!D90</f>
        <v>#VALUE!</v>
      </c>
      <c r="Q247" s="242" t="str">
        <f>IF(SPINTE!D45=0,"",IF(('FOGLIO DEPOSITO'!M247+'FOGLIO DEPOSITO'!N247+'FOGLIO DEPOSITO'!O247)&lt;0,(IF('ANALISI DELLE SPINTE'!C77&lt;'ANALISI DELLE SPINTE'!$C$127,SPINTE!$D$61*'ANALISI DELLE SPINTE'!C77,'ANALISI DELLE SPINTE'!$C$128)),('FOGLIO DEPOSITO'!M247+'FOGLIO DEPOSITO'!N247+'FOGLIO DEPOSITO'!O247)+'ANALISI DELLE SPINTE'!$C$128)+IF('ANALISI DELLE SPINTE'!H55="",0,'ANALISI DELLE SPINTE'!H55)/(DATI!E61*'FOGLIO DEPOSITO'!W233))</f>
        <v/>
      </c>
    </row>
    <row r="248" spans="3:17" x14ac:dyDescent="0.25">
      <c r="C248" s="226" t="str">
        <f>IF(SPINTE!D52=0,"",'ANALISI DELLE SPINTE'!H14-'FOGLIO DEPOSITO'!D248)</f>
        <v/>
      </c>
      <c r="D248" s="239" t="str">
        <f>IF(SPINTE!D52=0,"",IF(SPINTE!F47='FOGLIO DEPOSITO'!H172,'ANALISI DELLE SPINTE'!E78,0))</f>
        <v/>
      </c>
      <c r="G248" s="223" t="str">
        <f>IF(SPINTE!$D$52=0,"",('ANALISI DELLE SPINTE'!F78*'ANALISI DELLE SPINTE'!C91-'ANALISI DELLE SPINTE'!G78+'ANALISI DELLE SPINTE'!E78)*'FOGLIO DEPOSITO'!$K$211*H236)</f>
        <v/>
      </c>
      <c r="H248" s="223" t="str">
        <f>IF(SPINTE!$D$52=0,"",'ANALISI DELLE SPINTE'!D91*'ANALISI DELLE SPINTE'!F78*'FOGLIO DEPOSITO'!$K$212)</f>
        <v/>
      </c>
      <c r="I248" s="228" t="str">
        <f>IF(SPINTE!$D$52=0,"",'ANALISI DELLE SPINTE'!E91*'ANALISI DELLE SPINTE'!F78*'FOGLIO DEPOSITO'!$K$213)</f>
        <v/>
      </c>
      <c r="J248" s="232" t="str">
        <f>IF(SPINTE!D52=0,"",'ANALISI DELLE SPINTE'!C91+'ANALISI DELLE SPINTE'!E91+'ANALISI DELLE SPINTE'!D91)</f>
        <v/>
      </c>
      <c r="K248" s="240" t="str">
        <f>IF(SPINTE!D52=0,"",IF(('FOGLIO DEPOSITO'!G248+'FOGLIO DEPOSITO'!H248+'FOGLIO DEPOSITO'!I248)&lt;0,(IF('ANALISI DELLE SPINTE'!C78&lt;'ANALISI DELLE SPINTE'!$C$127,SPINTE!$D$61*'ANALISI DELLE SPINTE'!C78,'ANALISI DELLE SPINTE'!$C$128)),('FOGLIO DEPOSITO'!G248+'FOGLIO DEPOSITO'!H248+'FOGLIO DEPOSITO'!I248)+'ANALISI DELLE SPINTE'!$C$128)+IF('ANALISI DELLE SPINTE'!H58="",0,'ANALISI DELLE SPINTE'!H58)/(DATI!E61*'FOGLIO DEPOSITO'!W239))</f>
        <v/>
      </c>
      <c r="M248" s="223" t="e">
        <f t="shared" si="21"/>
        <v>#VALUE!</v>
      </c>
      <c r="N248" s="223" t="e">
        <f t="shared" si="22"/>
        <v>#VALUE!</v>
      </c>
      <c r="O248" s="223" t="e">
        <f t="shared" si="23"/>
        <v>#VALUE!</v>
      </c>
      <c r="P248" s="232" t="e">
        <f>'ANALISI DELLE SPINTE'!C91+'ANALISI DELLE SPINTE'!E91+'ANALISI DELLE SPINTE'!D91</f>
        <v>#VALUE!</v>
      </c>
      <c r="Q248" s="240" t="str">
        <f>IF(SPINTE!D52=0,"",IF(('FOGLIO DEPOSITO'!M248+'FOGLIO DEPOSITO'!N248+'FOGLIO DEPOSITO'!O248)&lt;0,(IF('ANALISI DELLE SPINTE'!C78&lt;'ANALISI DELLE SPINTE'!$C$127,SPINTE!$D$61*'ANALISI DELLE SPINTE'!C78,'ANALISI DELLE SPINTE'!$C$128)),('FOGLIO DEPOSITO'!M248+'FOGLIO DEPOSITO'!N248+'FOGLIO DEPOSITO'!O248)+'ANALISI DELLE SPINTE'!$C$128)+IF('ANALISI DELLE SPINTE'!H58="",0,'ANALISI DELLE SPINTE'!H58)/(DATI!E61*'FOGLIO DEPOSITO'!W239))</f>
        <v/>
      </c>
    </row>
    <row r="249" spans="3:17" x14ac:dyDescent="0.25">
      <c r="C249" s="226" t="str">
        <f>IF(SPINTE!D52=0,"",'ANALISI DELLE SPINTE'!H15-'FOGLIO DEPOSITO'!D249)</f>
        <v/>
      </c>
      <c r="D249" s="239" t="str">
        <f>IF(SPINTE!D52=0,"",IF(SPINTE!F47='FOGLIO DEPOSITO'!H172,'ANALISI DELLE SPINTE'!E79,0))</f>
        <v/>
      </c>
      <c r="G249" s="223" t="str">
        <f>IF(SPINTE!$D$52=0,"",('ANALISI DELLE SPINTE'!F79*'ANALISI DELLE SPINTE'!C92-'ANALISI DELLE SPINTE'!G79+'ANALISI DELLE SPINTE'!E79)*'FOGLIO DEPOSITO'!$K$211*H236)</f>
        <v/>
      </c>
      <c r="H249" s="223" t="str">
        <f>IF(SPINTE!$D$52=0,"",'ANALISI DELLE SPINTE'!D92*'ANALISI DELLE SPINTE'!F79*'FOGLIO DEPOSITO'!$K$212)</f>
        <v/>
      </c>
      <c r="I249" s="228" t="str">
        <f>IF(SPINTE!$D$52=0,"",'ANALISI DELLE SPINTE'!E92*'ANALISI DELLE SPINTE'!F79*'FOGLIO DEPOSITO'!$K$213)</f>
        <v/>
      </c>
      <c r="J249" s="232" t="str">
        <f>IF(SPINTE!D52=0,"",'ANALISI DELLE SPINTE'!C92+'ANALISI DELLE SPINTE'!E92+'ANALISI DELLE SPINTE'!D92)</f>
        <v/>
      </c>
      <c r="K249" s="240" t="str">
        <f>IF(SPINTE!D52=0,"",IF(('FOGLIO DEPOSITO'!G249+'FOGLIO DEPOSITO'!H249+'FOGLIO DEPOSITO'!I249)&lt;0,(IF('ANALISI DELLE SPINTE'!C79&lt;'ANALISI DELLE SPINTE'!$C$127,SPINTE!$D$61*'ANALISI DELLE SPINTE'!C79,'ANALISI DELLE SPINTE'!$C$128)),('FOGLIO DEPOSITO'!G249+'FOGLIO DEPOSITO'!H249+'FOGLIO DEPOSITO'!I249)+'ANALISI DELLE SPINTE'!$C$128)+IF('ANALISI DELLE SPINTE'!H58="",0,'ANALISI DELLE SPINTE'!H58)/(DATI!E61*'FOGLIO DEPOSITO'!W239))</f>
        <v/>
      </c>
      <c r="M249" s="223" t="e">
        <f t="shared" si="21"/>
        <v>#VALUE!</v>
      </c>
      <c r="N249" s="223" t="e">
        <f t="shared" si="22"/>
        <v>#VALUE!</v>
      </c>
      <c r="O249" s="223" t="e">
        <f t="shared" si="23"/>
        <v>#VALUE!</v>
      </c>
      <c r="P249" s="232" t="e">
        <f>'ANALISI DELLE SPINTE'!C92+'ANALISI DELLE SPINTE'!E92+'ANALISI DELLE SPINTE'!D92</f>
        <v>#VALUE!</v>
      </c>
      <c r="Q249" s="240" t="str">
        <f>IF(SPINTE!D52=0,"",IF(('FOGLIO DEPOSITO'!M249+'FOGLIO DEPOSITO'!N249+'FOGLIO DEPOSITO'!O249)&lt;0,(IF('ANALISI DELLE SPINTE'!C79&lt;'ANALISI DELLE SPINTE'!$C$127,SPINTE!$D$61*'ANALISI DELLE SPINTE'!C79,'ANALISI DELLE SPINTE'!$C$128)),('FOGLIO DEPOSITO'!M249+'FOGLIO DEPOSITO'!N249+'FOGLIO DEPOSITO'!O249)+'ANALISI DELLE SPINTE'!$C$128)+IF('ANALISI DELLE SPINTE'!H58="",0,'ANALISI DELLE SPINTE'!H58)/(DATI!E61*'FOGLIO DEPOSITO'!W239))</f>
        <v/>
      </c>
    </row>
    <row r="250" spans="3:17" x14ac:dyDescent="0.25">
      <c r="C250" s="227" t="str">
        <f>IF(SPINTE!D52=0,"",'ANALISI DELLE SPINTE'!H16-'FOGLIO DEPOSITO'!D250)</f>
        <v/>
      </c>
      <c r="D250" s="224" t="str">
        <f>IF(SPINTE!D52=0,"",IF(SPINTE!F47='FOGLIO DEPOSITO'!H172,'ANALISI DELLE SPINTE'!E80,0))</f>
        <v/>
      </c>
      <c r="G250" s="227" t="str">
        <f>IF(SPINTE!$D$52=0,"",('ANALISI DELLE SPINTE'!F80*'ANALISI DELLE SPINTE'!C93-'ANALISI DELLE SPINTE'!G80+'ANALISI DELLE SPINTE'!E80)*'FOGLIO DEPOSITO'!$K$211*H236)</f>
        <v/>
      </c>
      <c r="H250" s="225" t="str">
        <f>IF(SPINTE!$D$52=0,"",'ANALISI DELLE SPINTE'!D93*'ANALISI DELLE SPINTE'!F80*'FOGLIO DEPOSITO'!$K$212)</f>
        <v/>
      </c>
      <c r="I250" s="229" t="str">
        <f>IF(SPINTE!$D$52=0,"",'ANALISI DELLE SPINTE'!E93*'ANALISI DELLE SPINTE'!F80*'FOGLIO DEPOSITO'!$K$213)</f>
        <v/>
      </c>
      <c r="J250" s="233" t="str">
        <f>IF(SPINTE!D52=0,"",'ANALISI DELLE SPINTE'!C93+'ANALISI DELLE SPINTE'!E93+'ANALISI DELLE SPINTE'!D93)</f>
        <v/>
      </c>
      <c r="K250" s="242" t="str">
        <f>IF(SPINTE!D52=0,"",IF(('FOGLIO DEPOSITO'!G250+'FOGLIO DEPOSITO'!H250+'FOGLIO DEPOSITO'!I250)&lt;0,(IF('ANALISI DELLE SPINTE'!C80&lt;'ANALISI DELLE SPINTE'!$C$127,SPINTE!$D$61*'ANALISI DELLE SPINTE'!C80,'ANALISI DELLE SPINTE'!$C$128)),('FOGLIO DEPOSITO'!G250+'FOGLIO DEPOSITO'!H250+'FOGLIO DEPOSITO'!I250)+'ANALISI DELLE SPINTE'!$C$128)+IF('ANALISI DELLE SPINTE'!H58="",0,'ANALISI DELLE SPINTE'!H58)/(DATI!E61*'FOGLIO DEPOSITO'!W239))</f>
        <v/>
      </c>
      <c r="M250" s="223" t="e">
        <f t="shared" si="21"/>
        <v>#VALUE!</v>
      </c>
      <c r="N250" s="223" t="e">
        <f t="shared" si="22"/>
        <v>#VALUE!</v>
      </c>
      <c r="O250" s="223" t="e">
        <f t="shared" si="23"/>
        <v>#VALUE!</v>
      </c>
      <c r="P250" s="232" t="e">
        <f>'ANALISI DELLE SPINTE'!C93+'ANALISI DELLE SPINTE'!E93+'ANALISI DELLE SPINTE'!D93</f>
        <v>#VALUE!</v>
      </c>
      <c r="Q250" s="242" t="str">
        <f>IF(SPINTE!D52=0,"",IF(('FOGLIO DEPOSITO'!M250+'FOGLIO DEPOSITO'!N250+'FOGLIO DEPOSITO'!O250)&lt;0,(IF('ANALISI DELLE SPINTE'!C80&lt;'ANALISI DELLE SPINTE'!$C$127,SPINTE!$D$61*'ANALISI DELLE SPINTE'!C80,'ANALISI DELLE SPINTE'!$C$128)),('FOGLIO DEPOSITO'!M250+'FOGLIO DEPOSITO'!N250+'FOGLIO DEPOSITO'!O250)+'ANALISI DELLE SPINTE'!$C$128)+IF('ANALISI DELLE SPINTE'!H58="",0,'ANALISI DELLE SPINTE'!H58)/(DATI!E61*'FOGLIO DEPOSITO'!W239))</f>
        <v/>
      </c>
    </row>
    <row r="253" spans="3:17" x14ac:dyDescent="0.25">
      <c r="C253" s="421" t="s">
        <v>1018</v>
      </c>
      <c r="G253" s="10" t="str">
        <f>'FOGLIO DEPOSITO'!N183</f>
        <v>Spinta a riposo</v>
      </c>
      <c r="H253" s="422"/>
      <c r="I253" s="294">
        <f>'FOGLIO DEPOSITO'!O183</f>
        <v>0.4700807357667951</v>
      </c>
      <c r="J253" s="294">
        <f>'FOGLIO DEPOSITO'!P183</f>
        <v>0.4700807357667951</v>
      </c>
      <c r="K253" s="294">
        <f>'FOGLIO DEPOSITO'!Q183</f>
        <v>0.4408070965292531</v>
      </c>
    </row>
    <row r="254" spans="3:17" x14ac:dyDescent="0.25">
      <c r="G254" s="10" t="str">
        <f>'FOGLIO DEPOSITO'!N184</f>
        <v>Wood</v>
      </c>
      <c r="H254" s="422"/>
      <c r="I254" s="294">
        <f>'FOGLIO DEPOSITO'!O184</f>
        <v>0.4700807357667951</v>
      </c>
      <c r="J254" s="294">
        <f>'FOGLIO DEPOSITO'!P184</f>
        <v>0.4700807357667951</v>
      </c>
      <c r="K254" s="294">
        <f>'FOGLIO DEPOSITO'!Q184</f>
        <v>0.4408070965292531</v>
      </c>
    </row>
    <row r="255" spans="3:17" ht="18.75" x14ac:dyDescent="0.25">
      <c r="D255" s="174" t="s">
        <v>499</v>
      </c>
    </row>
    <row r="256" spans="3:17" x14ac:dyDescent="0.25">
      <c r="D256" s="601">
        <f>'ANALISI DELLE SPINTE'!C85+'ANALISI DELLE SPINTE'!E72</f>
        <v>0</v>
      </c>
    </row>
    <row r="257" spans="4:4" x14ac:dyDescent="0.25">
      <c r="D257" s="602">
        <f>'ANALISI DELLE SPINTE'!C86+'ANALISI DELLE SPINTE'!E73</f>
        <v>90.577108660695842</v>
      </c>
    </row>
    <row r="258" spans="4:4" x14ac:dyDescent="0.25">
      <c r="D258" s="600">
        <f>'ANALISI DELLE SPINTE'!C87+'ANALISI DELLE SPINTE'!E74</f>
        <v>90.577108660695842</v>
      </c>
    </row>
    <row r="259" spans="4:4" x14ac:dyDescent="0.25">
      <c r="D259" s="602" t="str">
        <f>IF(SPINTE!D45=0,"",'ANALISI DELLE SPINTE'!C88+'ANALISI DELLE SPINTE'!E75)</f>
        <v/>
      </c>
    </row>
    <row r="260" spans="4:4" x14ac:dyDescent="0.25">
      <c r="D260" s="602" t="str">
        <f>IF(SPINTE!D45=0,"",'ANALISI DELLE SPINTE'!C89+'ANALISI DELLE SPINTE'!E76)</f>
        <v/>
      </c>
    </row>
    <row r="261" spans="4:4" x14ac:dyDescent="0.25">
      <c r="D261" s="600" t="str">
        <f>IF(SPINTE!D45=0,"",'ANALISI DELLE SPINTE'!C90+'ANALISI DELLE SPINTE'!E77)</f>
        <v/>
      </c>
    </row>
    <row r="262" spans="4:4" x14ac:dyDescent="0.25">
      <c r="D262" s="602" t="str">
        <f>IF(SPINTE!D52=0,"",'ANALISI DELLE SPINTE'!C91+'ANALISI DELLE SPINTE'!E78)</f>
        <v/>
      </c>
    </row>
    <row r="263" spans="4:4" x14ac:dyDescent="0.25">
      <c r="D263" s="602" t="str">
        <f>IF(SPINTE!D52=0,"",'ANALISI DELLE SPINTE'!C92+'ANALISI DELLE SPINTE'!E79)</f>
        <v/>
      </c>
    </row>
    <row r="264" spans="4:4" x14ac:dyDescent="0.25">
      <c r="D264" s="600" t="str">
        <f>IF(SPINTE!D52=0,"",'ANALISI DELLE SPINTE'!C93+'ANALISI DELLE SPINTE'!E80)</f>
        <v/>
      </c>
    </row>
    <row r="273" spans="2:9" x14ac:dyDescent="0.25">
      <c r="B273" s="421"/>
      <c r="C273" s="832" t="s">
        <v>1050</v>
      </c>
      <c r="D273" s="832"/>
      <c r="E273" s="832"/>
      <c r="F273" s="637" t="s">
        <v>1049</v>
      </c>
      <c r="G273" s="637" t="s">
        <v>1048</v>
      </c>
      <c r="H273" s="637" t="s">
        <v>1047</v>
      </c>
      <c r="I273" s="163"/>
    </row>
    <row r="274" spans="2:9" x14ac:dyDescent="0.25">
      <c r="B274" s="421"/>
      <c r="C274" s="637" t="s">
        <v>1046</v>
      </c>
      <c r="D274" s="637" t="s">
        <v>1045</v>
      </c>
      <c r="E274" s="637" t="s">
        <v>1044</v>
      </c>
      <c r="F274" s="659" t="s">
        <v>1043</v>
      </c>
      <c r="G274" s="626"/>
      <c r="H274" s="538"/>
      <c r="I274" s="421"/>
    </row>
    <row r="275" spans="2:9" x14ac:dyDescent="0.25">
      <c r="B275" s="626" t="s">
        <v>1042</v>
      </c>
      <c r="C275" s="626">
        <v>15300</v>
      </c>
      <c r="D275" s="626">
        <v>2040</v>
      </c>
      <c r="E275" s="626">
        <f t="shared" ref="E275:E286" si="24">AVERAGE(C275:D275)</f>
        <v>8670</v>
      </c>
      <c r="F275" s="639">
        <v>0.5</v>
      </c>
      <c r="G275" s="626" t="s">
        <v>19</v>
      </c>
      <c r="H275" s="538">
        <f t="shared" ref="H275:H286" si="25">E275/((1-2*F275^2)/((1-F275)))</f>
        <v>8670</v>
      </c>
      <c r="I275" s="658">
        <v>0</v>
      </c>
    </row>
    <row r="276" spans="2:9" x14ac:dyDescent="0.25">
      <c r="B276" s="626" t="s">
        <v>1041</v>
      </c>
      <c r="C276" s="626">
        <v>25500</v>
      </c>
      <c r="D276" s="626">
        <v>5100</v>
      </c>
      <c r="E276" s="626">
        <f t="shared" si="24"/>
        <v>15300</v>
      </c>
      <c r="F276" s="639">
        <v>0.4</v>
      </c>
      <c r="G276" s="626" t="s">
        <v>19</v>
      </c>
      <c r="H276" s="538">
        <f t="shared" si="25"/>
        <v>13500</v>
      </c>
      <c r="I276" s="658">
        <v>0</v>
      </c>
    </row>
    <row r="277" spans="2:9" x14ac:dyDescent="0.25">
      <c r="B277" s="626" t="s">
        <v>1040</v>
      </c>
      <c r="C277" s="626">
        <v>51000</v>
      </c>
      <c r="D277" s="626">
        <v>15300</v>
      </c>
      <c r="E277" s="626">
        <f t="shared" si="24"/>
        <v>33150</v>
      </c>
      <c r="F277" s="639">
        <v>0.3</v>
      </c>
      <c r="G277" s="626" t="s">
        <v>19</v>
      </c>
      <c r="H277" s="538">
        <f t="shared" si="25"/>
        <v>28298.780487804877</v>
      </c>
      <c r="I277" s="658">
        <v>0</v>
      </c>
    </row>
    <row r="278" spans="2:9" x14ac:dyDescent="0.25">
      <c r="B278" s="626" t="s">
        <v>1039</v>
      </c>
      <c r="C278" s="626">
        <v>102000</v>
      </c>
      <c r="D278" s="626">
        <v>51000</v>
      </c>
      <c r="E278" s="626">
        <f t="shared" si="24"/>
        <v>76500</v>
      </c>
      <c r="F278" s="639">
        <v>0.1</v>
      </c>
      <c r="G278" s="626" t="s">
        <v>19</v>
      </c>
      <c r="H278" s="538">
        <f t="shared" si="25"/>
        <v>70255.102040816331</v>
      </c>
      <c r="I278" s="134">
        <v>0</v>
      </c>
    </row>
    <row r="279" spans="2:9" x14ac:dyDescent="0.25">
      <c r="B279" s="626" t="s">
        <v>1038</v>
      </c>
      <c r="C279" s="626">
        <v>255000</v>
      </c>
      <c r="D279" s="626">
        <v>25500</v>
      </c>
      <c r="E279" s="626">
        <f t="shared" si="24"/>
        <v>140250</v>
      </c>
      <c r="F279" s="639">
        <v>0.25</v>
      </c>
      <c r="G279" s="626" t="s">
        <v>19</v>
      </c>
      <c r="H279" s="538">
        <f t="shared" si="25"/>
        <v>120214.28571428571</v>
      </c>
      <c r="I279" s="134">
        <v>0</v>
      </c>
    </row>
    <row r="280" spans="2:9" x14ac:dyDescent="0.25">
      <c r="B280" s="626" t="s">
        <v>1037</v>
      </c>
      <c r="C280" s="626">
        <v>20400</v>
      </c>
      <c r="D280" s="626">
        <v>2040</v>
      </c>
      <c r="E280" s="626">
        <f t="shared" si="24"/>
        <v>11220</v>
      </c>
      <c r="F280" s="639">
        <v>0.35</v>
      </c>
      <c r="G280" s="626" t="s">
        <v>19</v>
      </c>
      <c r="H280" s="538">
        <f t="shared" si="25"/>
        <v>9659.6026490066233</v>
      </c>
      <c r="I280" s="134">
        <v>0</v>
      </c>
    </row>
    <row r="281" spans="2:9" x14ac:dyDescent="0.25">
      <c r="B281" s="401" t="s">
        <v>1036</v>
      </c>
      <c r="C281" s="626">
        <v>20400</v>
      </c>
      <c r="D281" s="626">
        <v>5100</v>
      </c>
      <c r="E281" s="626">
        <f t="shared" si="24"/>
        <v>12750</v>
      </c>
      <c r="F281" s="639">
        <v>0.3</v>
      </c>
      <c r="G281" s="626" t="str">
        <f t="shared" ref="G281:G286" si="26">IF(E281&lt;30000,"0-0,3",IF(E281&lt;50000,"0,3-0,7","0,7-1"))</f>
        <v>0-0,3</v>
      </c>
      <c r="H281" s="538">
        <f t="shared" si="25"/>
        <v>10884.146341463415</v>
      </c>
      <c r="I281" s="134">
        <v>1</v>
      </c>
    </row>
    <row r="282" spans="2:9" x14ac:dyDescent="0.25">
      <c r="B282" s="401" t="s">
        <v>1035</v>
      </c>
      <c r="C282" s="626">
        <v>25500</v>
      </c>
      <c r="D282" s="626">
        <v>10200</v>
      </c>
      <c r="E282" s="626">
        <f t="shared" si="24"/>
        <v>17850</v>
      </c>
      <c r="F282" s="639">
        <v>0.35</v>
      </c>
      <c r="G282" s="626" t="str">
        <f t="shared" si="26"/>
        <v>0-0,3</v>
      </c>
      <c r="H282" s="538">
        <f t="shared" si="25"/>
        <v>15367.549668874173</v>
      </c>
      <c r="I282" s="134">
        <v>1</v>
      </c>
    </row>
    <row r="283" spans="2:9" x14ac:dyDescent="0.25">
      <c r="B283" s="401" t="s">
        <v>1034</v>
      </c>
      <c r="C283" s="626">
        <v>81600</v>
      </c>
      <c r="D283" s="626">
        <v>51000</v>
      </c>
      <c r="E283" s="626">
        <f t="shared" si="24"/>
        <v>66300</v>
      </c>
      <c r="F283" s="639">
        <v>0.2</v>
      </c>
      <c r="G283" s="626" t="str">
        <f t="shared" si="26"/>
        <v>0,7-1</v>
      </c>
      <c r="H283" s="538">
        <f t="shared" si="25"/>
        <v>57652.17391304348</v>
      </c>
      <c r="I283" s="134">
        <v>1</v>
      </c>
    </row>
    <row r="284" spans="2:9" x14ac:dyDescent="0.25">
      <c r="B284" s="401" t="s">
        <v>1033</v>
      </c>
      <c r="C284" s="626">
        <v>153000</v>
      </c>
      <c r="D284" s="626">
        <v>51000</v>
      </c>
      <c r="E284" s="626">
        <f t="shared" si="24"/>
        <v>102000</v>
      </c>
      <c r="F284" s="639">
        <v>0.4</v>
      </c>
      <c r="G284" s="626" t="str">
        <f t="shared" si="26"/>
        <v>0,7-1</v>
      </c>
      <c r="H284" s="538">
        <f t="shared" si="25"/>
        <v>90000</v>
      </c>
      <c r="I284" s="134">
        <v>1</v>
      </c>
    </row>
    <row r="285" spans="2:9" x14ac:dyDescent="0.25">
      <c r="B285" s="401" t="s">
        <v>1032</v>
      </c>
      <c r="C285" s="626">
        <v>204000</v>
      </c>
      <c r="D285" s="626">
        <v>10200</v>
      </c>
      <c r="E285" s="626">
        <f t="shared" si="24"/>
        <v>107100</v>
      </c>
      <c r="F285" s="639">
        <v>0.3</v>
      </c>
      <c r="G285" s="626" t="str">
        <f t="shared" si="26"/>
        <v>0,7-1</v>
      </c>
      <c r="H285" s="538">
        <f t="shared" si="25"/>
        <v>91426.829268292684</v>
      </c>
      <c r="I285" s="134">
        <v>1</v>
      </c>
    </row>
    <row r="286" spans="2:9" x14ac:dyDescent="0.25">
      <c r="B286" s="401" t="s">
        <v>1031</v>
      </c>
      <c r="C286" s="626">
        <v>61200</v>
      </c>
      <c r="D286" s="626">
        <v>15300</v>
      </c>
      <c r="E286" s="626">
        <f t="shared" si="24"/>
        <v>38250</v>
      </c>
      <c r="F286" s="639">
        <v>0.2</v>
      </c>
      <c r="G286" s="626" t="str">
        <f t="shared" si="26"/>
        <v>0,3-0,7</v>
      </c>
      <c r="H286" s="538">
        <f t="shared" si="25"/>
        <v>33260.869565217392</v>
      </c>
      <c r="I286" s="134">
        <v>1</v>
      </c>
    </row>
  </sheetData>
  <protectedRanges>
    <protectedRange sqref="C10" name="Intervallo4"/>
    <protectedRange sqref="C10" name="Intervallo1"/>
    <protectedRange sqref="I70" name="Intervallo1_1"/>
    <protectedRange sqref="G26" name="Intervallo1_2"/>
    <protectedRange sqref="D40:F44" name="Intervallo1_6"/>
    <protectedRange sqref="D58:D60" name="Intervallo1_8"/>
    <protectedRange sqref="D83:D85" name="Intervallo1_5"/>
    <protectedRange sqref="I100" name="Intervallo1_3"/>
    <protectedRange sqref="C226" name="Intervallo1_9"/>
    <protectedRange sqref="C226" name="Intervallo1_5_1"/>
    <protectedRange sqref="W234:W238 W223:W226 W228:W232" name="Intervallo1_4"/>
    <protectedRange sqref="W234:W238 W223:W226 W228:W232" name="Intervallo1_5_2"/>
  </protectedRanges>
  <customSheetViews>
    <customSheetView guid="{101D851C-E4EE-4443-B6A9-9040ACB2A650}" state="hidden" topLeftCell="A208">
      <selection activeCell="D215" sqref="D215"/>
      <pageMargins left="0.7" right="0.7" top="0.75" bottom="0.75" header="0.3" footer="0.3"/>
      <pageSetup paperSize="9" orientation="portrait" r:id="rId1"/>
    </customSheetView>
  </customSheetViews>
  <mergeCells count="44">
    <mergeCell ref="S175:T175"/>
    <mergeCell ref="M164:P164"/>
    <mergeCell ref="Q164:T164"/>
    <mergeCell ref="H183:I183"/>
    <mergeCell ref="H178:I178"/>
    <mergeCell ref="H172:J172"/>
    <mergeCell ref="H165:J165"/>
    <mergeCell ref="H166:J166"/>
    <mergeCell ref="H168:J168"/>
    <mergeCell ref="H169:J169"/>
    <mergeCell ref="H171:J171"/>
    <mergeCell ref="F64:G64"/>
    <mergeCell ref="F65:G65"/>
    <mergeCell ref="D65:E65"/>
    <mergeCell ref="D64:E64"/>
    <mergeCell ref="C132:D132"/>
    <mergeCell ref="C145:D145"/>
    <mergeCell ref="AM160:AO160"/>
    <mergeCell ref="AM173:AO173"/>
    <mergeCell ref="V162:AB162"/>
    <mergeCell ref="V161:AB161"/>
    <mergeCell ref="C157:C158"/>
    <mergeCell ref="B151:C151"/>
    <mergeCell ref="D155:E155"/>
    <mergeCell ref="F152:F153"/>
    <mergeCell ref="M162:T162"/>
    <mergeCell ref="D154:E154"/>
    <mergeCell ref="V145:AB145"/>
    <mergeCell ref="V146:AB146"/>
    <mergeCell ref="G138:H139"/>
    <mergeCell ref="O175:P175"/>
    <mergeCell ref="H188:I188"/>
    <mergeCell ref="G223:I223"/>
    <mergeCell ref="G240:I240"/>
    <mergeCell ref="J223:K223"/>
    <mergeCell ref="J240:K240"/>
    <mergeCell ref="N186:O186"/>
    <mergeCell ref="M223:O223"/>
    <mergeCell ref="C273:E273"/>
    <mergeCell ref="Y186:Z186"/>
    <mergeCell ref="P223:Q223"/>
    <mergeCell ref="M240:O240"/>
    <mergeCell ref="P240:Q240"/>
    <mergeCell ref="M221:Q221"/>
  </mergeCells>
  <dataValidations disablePrompts="1" count="1">
    <dataValidation type="list" allowBlank="1" showInputMessage="1" showErrorMessage="1" sqref="B222">
      <formula1>SISM</formula1>
    </dataValidation>
  </dataValidation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78"/>
  <sheetViews>
    <sheetView showGridLines="0" showRowColHeaders="0" zoomScaleNormal="100" workbookViewId="0">
      <selection activeCell="E23" sqref="E23"/>
    </sheetView>
  </sheetViews>
  <sheetFormatPr defaultRowHeight="15" x14ac:dyDescent="0.25"/>
  <cols>
    <col min="1" max="1" width="3.42578125" customWidth="1"/>
    <col min="2" max="2" width="3.42578125" style="421" customWidth="1"/>
    <col min="3" max="3" width="61" customWidth="1"/>
    <col min="4" max="4" width="12" customWidth="1"/>
    <col min="5" max="5" width="14.42578125" customWidth="1"/>
    <col min="8" max="8" width="2.85546875" customWidth="1"/>
    <col min="11" max="11" width="7.5703125" customWidth="1"/>
    <col min="12" max="12" width="17" customWidth="1"/>
    <col min="16" max="16" width="11.140625" customWidth="1"/>
  </cols>
  <sheetData>
    <row r="1" spans="1:21" s="421" customFormat="1" x14ac:dyDescent="0.25"/>
    <row r="2" spans="1:21" s="421" customFormat="1" ht="23.25" x14ac:dyDescent="0.35">
      <c r="C2" s="414" t="s">
        <v>1081</v>
      </c>
    </row>
    <row r="4" spans="1:21" x14ac:dyDescent="0.25">
      <c r="C4" s="1" t="s">
        <v>334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</row>
    <row r="5" spans="1:21" x14ac:dyDescent="0.25">
      <c r="C5" s="1" t="s">
        <v>335</v>
      </c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</row>
    <row r="6" spans="1:21" ht="11.25" customHeight="1" thickBot="1" x14ac:dyDescent="0.3">
      <c r="C6" s="1"/>
      <c r="D6" s="422"/>
      <c r="E6" s="422"/>
      <c r="F6" s="422"/>
      <c r="G6" s="422"/>
      <c r="H6" s="422"/>
      <c r="I6" s="422"/>
      <c r="J6" s="422"/>
      <c r="K6" s="422"/>
      <c r="L6" s="422"/>
      <c r="M6" s="422"/>
      <c r="N6" s="422"/>
      <c r="O6" s="422"/>
      <c r="P6" s="422"/>
      <c r="Q6" s="422"/>
    </row>
    <row r="7" spans="1:21" ht="16.5" thickTop="1" thickBot="1" x14ac:dyDescent="0.3">
      <c r="A7" s="2"/>
      <c r="B7" s="422"/>
      <c r="C7" s="422" t="s">
        <v>336</v>
      </c>
      <c r="D7" s="422"/>
      <c r="E7" s="66" t="s">
        <v>306</v>
      </c>
      <c r="F7" s="422"/>
      <c r="G7" s="422"/>
      <c r="H7" s="422"/>
      <c r="I7" s="422"/>
      <c r="J7" s="422"/>
      <c r="K7" s="422"/>
      <c r="L7" s="422"/>
      <c r="M7" s="422"/>
      <c r="N7" s="422"/>
      <c r="O7" s="422"/>
      <c r="P7" s="422"/>
      <c r="Q7" s="422"/>
      <c r="R7" s="2"/>
      <c r="S7" s="2"/>
      <c r="T7" s="2"/>
      <c r="U7" s="2"/>
    </row>
    <row r="8" spans="1:21" ht="19.5" thickTop="1" thickBot="1" x14ac:dyDescent="0.3">
      <c r="A8" s="2"/>
      <c r="B8" s="422"/>
      <c r="C8" s="422" t="s">
        <v>337</v>
      </c>
      <c r="D8" s="67" t="s">
        <v>338</v>
      </c>
      <c r="E8" s="180">
        <v>25</v>
      </c>
      <c r="F8" s="422"/>
      <c r="G8" s="422"/>
      <c r="H8" s="422"/>
      <c r="I8" s="422"/>
      <c r="J8" s="422"/>
      <c r="K8" s="422"/>
      <c r="L8" s="422"/>
      <c r="M8" s="422"/>
      <c r="N8" s="422"/>
      <c r="O8" s="422"/>
      <c r="P8" s="422"/>
      <c r="Q8" s="422"/>
      <c r="R8" s="2"/>
      <c r="S8" s="2"/>
      <c r="T8" s="2"/>
      <c r="U8" s="2"/>
    </row>
    <row r="9" spans="1:21" ht="16.5" thickTop="1" thickBot="1" x14ac:dyDescent="0.3">
      <c r="A9" s="2"/>
      <c r="B9" s="422"/>
      <c r="C9" s="422" t="s">
        <v>339</v>
      </c>
      <c r="D9" s="624" t="s">
        <v>340</v>
      </c>
      <c r="E9" s="181">
        <v>0.1</v>
      </c>
      <c r="F9" s="422"/>
      <c r="G9" s="422"/>
      <c r="H9" s="422"/>
      <c r="I9" s="422"/>
      <c r="J9" s="422"/>
      <c r="K9" s="422"/>
      <c r="L9" s="422"/>
      <c r="M9" s="422"/>
      <c r="N9" s="422"/>
      <c r="O9" s="422"/>
      <c r="P9" s="422"/>
      <c r="Q9" s="422"/>
      <c r="R9" s="2"/>
      <c r="S9" s="2"/>
      <c r="T9" s="2"/>
      <c r="U9" s="2"/>
    </row>
    <row r="10" spans="1:21" ht="15.75" thickTop="1" x14ac:dyDescent="0.25">
      <c r="A10" s="2"/>
      <c r="B10" s="422"/>
      <c r="C10" s="422"/>
      <c r="D10" s="624"/>
      <c r="E10" s="649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2"/>
      <c r="S10" s="2"/>
      <c r="T10" s="2"/>
      <c r="U10" s="2"/>
    </row>
    <row r="11" spans="1:21" x14ac:dyDescent="0.25">
      <c r="A11" s="2"/>
      <c r="B11" s="422"/>
      <c r="C11" s="422" t="s">
        <v>341</v>
      </c>
      <c r="D11" s="621" t="s">
        <v>342</v>
      </c>
      <c r="E11" s="372">
        <f>VLOOKUP(E7,'FOGLIO DEPOSITO'!G197:H207,2,FALSE)</f>
        <v>40</v>
      </c>
      <c r="F11" s="422"/>
      <c r="G11" s="422"/>
      <c r="H11" s="422"/>
      <c r="I11" s="422"/>
      <c r="J11" s="422"/>
      <c r="K11" s="369"/>
      <c r="L11" s="370"/>
      <c r="M11" s="422"/>
      <c r="N11" s="422"/>
      <c r="O11" s="422"/>
      <c r="P11" s="422"/>
      <c r="Q11" s="422"/>
      <c r="R11" s="2"/>
      <c r="S11" s="2"/>
      <c r="T11" s="2"/>
      <c r="U11" s="2"/>
    </row>
    <row r="12" spans="1:21" x14ac:dyDescent="0.25">
      <c r="A12" s="2"/>
      <c r="B12" s="422"/>
      <c r="C12" s="422" t="s">
        <v>343</v>
      </c>
      <c r="D12" s="621" t="s">
        <v>344</v>
      </c>
      <c r="E12" s="372">
        <f>E13+8</f>
        <v>41.199999999999996</v>
      </c>
      <c r="F12" s="422"/>
      <c r="G12" s="422"/>
      <c r="H12" s="422"/>
      <c r="I12" s="422"/>
      <c r="J12" s="422"/>
      <c r="K12" s="369"/>
      <c r="L12" s="370"/>
      <c r="M12" s="422"/>
      <c r="N12" s="422"/>
      <c r="O12" s="422"/>
      <c r="P12" s="422"/>
      <c r="Q12" s="422"/>
      <c r="R12" s="2"/>
      <c r="S12" s="2"/>
      <c r="T12" s="2"/>
      <c r="U12" s="2"/>
    </row>
    <row r="13" spans="1:21" x14ac:dyDescent="0.25">
      <c r="A13" s="2"/>
      <c r="B13" s="422"/>
      <c r="C13" s="422" t="s">
        <v>345</v>
      </c>
      <c r="D13" s="621" t="s">
        <v>346</v>
      </c>
      <c r="E13" s="372">
        <f>E11*0.83</f>
        <v>33.199999999999996</v>
      </c>
      <c r="F13" s="422"/>
      <c r="G13" s="422"/>
      <c r="H13" s="422"/>
      <c r="I13" s="422"/>
      <c r="J13" s="422"/>
      <c r="K13" s="369"/>
      <c r="L13" s="370"/>
      <c r="M13" s="422"/>
      <c r="N13" s="422"/>
      <c r="O13" s="422"/>
      <c r="P13" s="422"/>
      <c r="Q13" s="422"/>
      <c r="R13" s="2"/>
      <c r="S13" s="2"/>
      <c r="T13" s="2"/>
      <c r="U13" s="2"/>
    </row>
    <row r="14" spans="1:21" x14ac:dyDescent="0.25">
      <c r="A14" s="2"/>
      <c r="B14" s="422"/>
      <c r="C14" s="422" t="s">
        <v>347</v>
      </c>
      <c r="D14" s="621" t="s">
        <v>348</v>
      </c>
      <c r="E14" s="372">
        <f>(0.83*E11)/1.5</f>
        <v>22.133333333333329</v>
      </c>
      <c r="F14" s="422"/>
      <c r="G14" s="422"/>
      <c r="H14" s="422"/>
      <c r="I14" s="422"/>
      <c r="J14" s="422"/>
      <c r="K14" s="369"/>
      <c r="L14" s="370"/>
      <c r="M14" s="422"/>
      <c r="N14" s="422"/>
      <c r="O14" s="422"/>
      <c r="P14" s="422"/>
      <c r="Q14" s="422"/>
      <c r="R14" s="2"/>
      <c r="S14" s="2"/>
      <c r="T14" s="2"/>
      <c r="U14" s="2"/>
    </row>
    <row r="15" spans="1:21" x14ac:dyDescent="0.25">
      <c r="A15" s="2"/>
      <c r="B15" s="422"/>
      <c r="C15" s="422" t="s">
        <v>349</v>
      </c>
      <c r="D15" s="78" t="s">
        <v>350</v>
      </c>
      <c r="E15" s="372">
        <f>0.3*E13^(2/3)</f>
        <v>3.098941018792384</v>
      </c>
      <c r="F15" s="422"/>
      <c r="G15" s="422"/>
      <c r="H15" s="422"/>
      <c r="I15" s="422"/>
      <c r="J15" s="422"/>
      <c r="K15" s="369"/>
      <c r="L15" s="370"/>
      <c r="M15" s="422"/>
      <c r="N15" s="422"/>
      <c r="O15" s="422"/>
      <c r="P15" s="422"/>
      <c r="Q15" s="422"/>
      <c r="R15" s="2"/>
      <c r="S15" s="2"/>
      <c r="T15" s="2"/>
      <c r="U15" s="2"/>
    </row>
    <row r="16" spans="1:21" x14ac:dyDescent="0.25">
      <c r="A16" s="2"/>
      <c r="B16" s="422"/>
      <c r="C16" s="422" t="s">
        <v>351</v>
      </c>
      <c r="D16" s="621" t="s">
        <v>352</v>
      </c>
      <c r="E16" s="372">
        <f>0.7*E15</f>
        <v>2.1692587131546688</v>
      </c>
      <c r="F16" s="422"/>
      <c r="G16" s="422"/>
      <c r="H16" s="422"/>
      <c r="I16" s="422"/>
      <c r="J16" s="422"/>
      <c r="K16" s="369"/>
      <c r="L16" s="370"/>
      <c r="M16" s="422"/>
      <c r="N16" s="422"/>
      <c r="O16" s="422"/>
      <c r="P16" s="422"/>
      <c r="Q16" s="422"/>
      <c r="R16" s="2"/>
      <c r="S16" s="2"/>
      <c r="T16" s="2"/>
      <c r="U16" s="2"/>
    </row>
    <row r="17" spans="1:21" x14ac:dyDescent="0.25">
      <c r="A17" s="2"/>
      <c r="B17" s="422"/>
      <c r="C17" s="422" t="s">
        <v>353</v>
      </c>
      <c r="D17" s="621" t="s">
        <v>354</v>
      </c>
      <c r="E17" s="372">
        <f>E16/1.5</f>
        <v>1.4461724754364458</v>
      </c>
      <c r="F17" s="422"/>
      <c r="G17" s="422"/>
      <c r="H17" s="422"/>
      <c r="I17" s="422"/>
      <c r="J17" s="422"/>
      <c r="K17" s="369"/>
      <c r="L17" s="370"/>
      <c r="M17" s="422"/>
      <c r="N17" s="422"/>
      <c r="O17" s="422"/>
      <c r="P17" s="422"/>
      <c r="Q17" s="422"/>
      <c r="R17" s="2"/>
      <c r="S17" s="2"/>
      <c r="T17" s="2"/>
      <c r="U17" s="2"/>
    </row>
    <row r="18" spans="1:21" x14ac:dyDescent="0.25">
      <c r="A18" s="2"/>
      <c r="B18" s="422"/>
      <c r="C18" s="422" t="s">
        <v>355</v>
      </c>
      <c r="D18" s="621" t="s">
        <v>356</v>
      </c>
      <c r="E18" s="372">
        <f>(2.25*E16)/1.5</f>
        <v>3.2538880697320032</v>
      </c>
      <c r="F18" s="422"/>
      <c r="G18" s="422"/>
      <c r="H18" s="422"/>
      <c r="I18" s="422"/>
      <c r="J18" s="422"/>
      <c r="K18" s="369"/>
      <c r="L18" s="370"/>
      <c r="M18" s="422"/>
      <c r="N18" s="422"/>
      <c r="O18" s="422"/>
      <c r="P18" s="422"/>
      <c r="Q18" s="422"/>
      <c r="R18" s="2"/>
      <c r="S18" s="2"/>
      <c r="T18" s="2"/>
      <c r="U18" s="2"/>
    </row>
    <row r="19" spans="1:21" x14ac:dyDescent="0.25">
      <c r="A19" s="2"/>
      <c r="B19" s="422"/>
      <c r="C19" s="422" t="s">
        <v>357</v>
      </c>
      <c r="D19" s="621" t="s">
        <v>358</v>
      </c>
      <c r="E19" s="373">
        <f>22000*((0.83*E11+8)/10)^0.3</f>
        <v>33642.777677364676</v>
      </c>
      <c r="F19" s="422"/>
      <c r="G19" s="422"/>
      <c r="H19" s="422"/>
      <c r="I19" s="422"/>
      <c r="J19" s="422"/>
      <c r="K19" s="369"/>
      <c r="L19" s="370"/>
      <c r="M19" s="422"/>
      <c r="N19" s="422"/>
      <c r="O19" s="422"/>
      <c r="P19" s="422"/>
      <c r="Q19" s="422"/>
      <c r="R19" s="2"/>
      <c r="S19" s="2"/>
      <c r="T19" s="2"/>
      <c r="U19" s="2"/>
    </row>
    <row r="20" spans="1:21" x14ac:dyDescent="0.25">
      <c r="A20" s="2"/>
      <c r="B20" s="422"/>
      <c r="C20" s="422"/>
      <c r="D20" s="422"/>
      <c r="E20" s="422"/>
      <c r="F20" s="422"/>
      <c r="G20" s="422"/>
      <c r="H20" s="422"/>
      <c r="I20" s="422"/>
      <c r="J20" s="422"/>
      <c r="K20" s="369"/>
      <c r="L20" s="370"/>
      <c r="M20" s="422"/>
      <c r="N20" s="422"/>
      <c r="O20" s="422"/>
      <c r="P20" s="422"/>
      <c r="Q20" s="422"/>
      <c r="R20" s="2"/>
      <c r="S20" s="2"/>
      <c r="T20" s="2"/>
      <c r="U20" s="2"/>
    </row>
    <row r="21" spans="1:21" x14ac:dyDescent="0.25">
      <c r="A21" s="2"/>
      <c r="B21" s="422"/>
      <c r="C21" s="1" t="s">
        <v>359</v>
      </c>
      <c r="D21" s="624"/>
      <c r="E21" s="649"/>
      <c r="F21" s="422"/>
      <c r="G21" s="422"/>
      <c r="H21" s="422"/>
      <c r="I21" s="422"/>
      <c r="J21" s="422"/>
      <c r="K21" s="369"/>
      <c r="L21" s="370"/>
      <c r="M21" s="422"/>
      <c r="N21" s="422"/>
      <c r="O21" s="422"/>
      <c r="P21" s="422"/>
      <c r="Q21" s="422"/>
      <c r="R21" s="2"/>
      <c r="S21" s="2"/>
      <c r="T21" s="2"/>
      <c r="U21" s="2"/>
    </row>
    <row r="22" spans="1:21" ht="15.75" thickBot="1" x14ac:dyDescent="0.3">
      <c r="A22" s="2"/>
      <c r="B22" s="422"/>
      <c r="C22" s="422"/>
      <c r="D22" s="624"/>
      <c r="E22" s="649"/>
      <c r="F22" s="422"/>
      <c r="G22" s="422"/>
      <c r="H22" s="422"/>
      <c r="I22" s="422"/>
      <c r="J22" s="422"/>
      <c r="K22" s="369"/>
      <c r="L22" s="370"/>
      <c r="M22" s="422"/>
      <c r="N22" s="422"/>
      <c r="O22" s="422"/>
      <c r="P22" s="422"/>
      <c r="Q22" s="422"/>
      <c r="R22" s="2"/>
      <c r="S22" s="2"/>
      <c r="T22" s="2"/>
      <c r="U22" s="2"/>
    </row>
    <row r="23" spans="1:21" ht="16.5" thickTop="1" thickBot="1" x14ac:dyDescent="0.3">
      <c r="A23" s="2"/>
      <c r="B23" s="422"/>
      <c r="C23" s="422" t="s">
        <v>360</v>
      </c>
      <c r="D23" s="422"/>
      <c r="E23" s="66" t="s">
        <v>286</v>
      </c>
      <c r="F23" s="422"/>
      <c r="G23" s="422"/>
      <c r="H23" s="422"/>
      <c r="I23" s="422"/>
      <c r="J23" s="422"/>
      <c r="K23" s="369"/>
      <c r="L23" s="370"/>
      <c r="M23" s="422"/>
      <c r="N23" s="422"/>
      <c r="O23" s="422"/>
      <c r="P23" s="422"/>
      <c r="Q23" s="422"/>
      <c r="R23" s="2"/>
      <c r="S23" s="2"/>
      <c r="T23" s="2"/>
      <c r="U23" s="2"/>
    </row>
    <row r="24" spans="1:21" ht="15.75" thickTop="1" x14ac:dyDescent="0.25">
      <c r="A24" s="2"/>
      <c r="B24" s="422"/>
      <c r="C24" s="422"/>
      <c r="D24" s="624"/>
      <c r="E24" s="649"/>
      <c r="F24" s="422"/>
      <c r="G24" s="422"/>
      <c r="H24" s="422"/>
      <c r="I24" s="422"/>
      <c r="J24" s="422"/>
      <c r="K24" s="369"/>
      <c r="L24" s="370"/>
      <c r="M24" s="422"/>
      <c r="N24" s="422"/>
      <c r="O24" s="422"/>
      <c r="P24" s="422"/>
      <c r="Q24" s="422"/>
      <c r="R24" s="2"/>
      <c r="S24" s="2"/>
      <c r="T24" s="2"/>
      <c r="U24" s="2"/>
    </row>
    <row r="25" spans="1:21" x14ac:dyDescent="0.25">
      <c r="A25" s="2"/>
      <c r="B25" s="422"/>
      <c r="C25" s="422" t="s">
        <v>353</v>
      </c>
      <c r="D25" s="621" t="s">
        <v>361</v>
      </c>
      <c r="E25" s="371">
        <f>(VLOOKUP(E23,'FOGLIO DEPOSITO'!J197:K198,2,FALSE))/1.15</f>
        <v>391.304347826087</v>
      </c>
      <c r="F25" s="422"/>
      <c r="G25" s="422"/>
      <c r="H25" s="422"/>
      <c r="I25" s="422"/>
      <c r="J25" s="422"/>
      <c r="K25" s="369"/>
      <c r="L25" s="370"/>
      <c r="M25" s="422"/>
      <c r="N25" s="422"/>
      <c r="O25" s="422"/>
      <c r="P25" s="422"/>
      <c r="Q25" s="422"/>
      <c r="R25" s="2"/>
      <c r="S25" s="2"/>
      <c r="T25" s="2"/>
      <c r="U25" s="2"/>
    </row>
    <row r="26" spans="1:21" x14ac:dyDescent="0.25">
      <c r="A26" s="2"/>
      <c r="B26" s="422"/>
      <c r="C26" s="422" t="s">
        <v>357</v>
      </c>
      <c r="D26" s="621" t="s">
        <v>358</v>
      </c>
      <c r="E26" s="373">
        <v>206000</v>
      </c>
      <c r="F26" s="422"/>
      <c r="G26" s="422"/>
      <c r="H26" s="422"/>
      <c r="I26" s="422"/>
      <c r="J26" s="422"/>
      <c r="K26" s="369"/>
      <c r="L26" s="370"/>
      <c r="M26" s="422"/>
      <c r="N26" s="422"/>
      <c r="O26" s="422"/>
      <c r="P26" s="422"/>
      <c r="Q26" s="422"/>
      <c r="R26" s="2"/>
      <c r="S26" s="2"/>
      <c r="T26" s="2"/>
      <c r="U26" s="2"/>
    </row>
    <row r="27" spans="1:21" x14ac:dyDescent="0.25">
      <c r="A27" s="2"/>
      <c r="B27" s="422"/>
      <c r="C27" s="422"/>
      <c r="D27" s="624"/>
      <c r="E27" s="649"/>
      <c r="F27" s="422"/>
      <c r="G27" s="422"/>
      <c r="H27" s="422"/>
      <c r="I27" s="422"/>
      <c r="J27" s="422"/>
      <c r="K27" s="422"/>
      <c r="L27" s="422"/>
      <c r="M27" s="422"/>
      <c r="N27" s="422"/>
      <c r="O27" s="422"/>
      <c r="P27" s="422"/>
      <c r="Q27" s="422"/>
      <c r="R27" s="2"/>
      <c r="S27" s="2"/>
      <c r="T27" s="2"/>
      <c r="U27" s="2"/>
    </row>
    <row r="28" spans="1:21" x14ac:dyDescent="0.25">
      <c r="A28" s="2"/>
      <c r="B28" s="422"/>
      <c r="C28" s="1" t="s">
        <v>947</v>
      </c>
      <c r="D28" s="624"/>
      <c r="E28" s="649"/>
      <c r="F28" s="422"/>
      <c r="G28" s="422"/>
      <c r="H28" s="422"/>
      <c r="I28" s="422"/>
      <c r="J28" s="422"/>
      <c r="K28" s="422"/>
      <c r="L28" s="635"/>
      <c r="M28" s="422"/>
      <c r="N28" s="422"/>
      <c r="O28" s="422"/>
      <c r="P28" s="422"/>
      <c r="Q28" s="422"/>
      <c r="R28" s="2"/>
      <c r="S28" s="2"/>
      <c r="T28" s="2"/>
      <c r="U28" s="2"/>
    </row>
    <row r="29" spans="1:21" ht="15.75" thickBot="1" x14ac:dyDescent="0.3">
      <c r="A29" s="2"/>
      <c r="B29" s="422"/>
      <c r="C29" s="422"/>
      <c r="D29" s="624"/>
      <c r="E29" s="649"/>
      <c r="F29" s="422"/>
      <c r="G29" s="422"/>
      <c r="H29" s="422"/>
      <c r="I29" s="422"/>
      <c r="J29" s="422"/>
      <c r="K29" s="422"/>
      <c r="L29" s="422"/>
      <c r="M29" s="422"/>
      <c r="N29" s="422"/>
      <c r="O29" s="422"/>
      <c r="P29" s="422"/>
      <c r="Q29" s="422"/>
      <c r="R29" s="2"/>
      <c r="S29" s="2"/>
      <c r="T29" s="2"/>
      <c r="U29" s="2"/>
    </row>
    <row r="30" spans="1:21" ht="16.5" customHeight="1" thickTop="1" thickBot="1" x14ac:dyDescent="0.3">
      <c r="A30" s="2"/>
      <c r="B30" s="422"/>
      <c r="C30" s="779" t="s">
        <v>362</v>
      </c>
      <c r="D30" s="421"/>
      <c r="E30" s="421"/>
      <c r="F30" s="293"/>
      <c r="G30" s="422"/>
      <c r="H30" s="301"/>
      <c r="I30" s="301"/>
      <c r="J30" s="301"/>
      <c r="K30" s="301"/>
      <c r="L30" s="422"/>
      <c r="M30" s="422"/>
      <c r="N30" s="422"/>
      <c r="O30" s="422"/>
      <c r="P30" s="422"/>
      <c r="Q30" s="422"/>
    </row>
    <row r="31" spans="1:21" ht="16.5" thickTop="1" thickBot="1" x14ac:dyDescent="0.3">
      <c r="A31" s="2"/>
      <c r="B31" s="422"/>
      <c r="C31" s="422"/>
      <c r="D31" s="422"/>
      <c r="E31" s="422"/>
      <c r="F31" s="293"/>
      <c r="G31" s="422"/>
      <c r="H31" s="301"/>
      <c r="I31" s="301"/>
      <c r="J31" s="301"/>
      <c r="K31" s="301"/>
      <c r="L31" s="422"/>
      <c r="M31" s="422"/>
      <c r="N31" s="422"/>
      <c r="O31" s="422"/>
      <c r="P31" s="422"/>
      <c r="Q31" s="422"/>
    </row>
    <row r="32" spans="1:21" ht="19.5" thickTop="1" thickBot="1" x14ac:dyDescent="0.3">
      <c r="A32" s="2"/>
      <c r="B32" s="422"/>
      <c r="C32" s="422" t="s">
        <v>363</v>
      </c>
      <c r="D32" s="624" t="s">
        <v>364</v>
      </c>
      <c r="E32" s="752">
        <v>2.5554000000000001</v>
      </c>
      <c r="F32" s="735"/>
      <c r="G32" s="19"/>
      <c r="H32" s="301"/>
      <c r="I32" s="301"/>
      <c r="J32" s="301"/>
      <c r="K32" s="301"/>
      <c r="L32" s="422"/>
      <c r="M32" s="422"/>
      <c r="N32" s="422"/>
      <c r="O32" s="422"/>
      <c r="P32" s="422"/>
      <c r="Q32" s="422"/>
    </row>
    <row r="33" spans="1:17" ht="19.5" customHeight="1" thickTop="1" thickBot="1" x14ac:dyDescent="0.3">
      <c r="A33" s="2"/>
      <c r="B33" s="422"/>
      <c r="C33" s="422" t="s">
        <v>948</v>
      </c>
      <c r="D33" s="624" t="s">
        <v>366</v>
      </c>
      <c r="E33" s="753">
        <v>2.3653</v>
      </c>
      <c r="F33" s="735"/>
      <c r="G33" s="296"/>
      <c r="H33" s="301"/>
      <c r="I33" s="301"/>
      <c r="J33" s="301"/>
      <c r="K33" s="301"/>
      <c r="L33" s="422"/>
      <c r="M33" s="422"/>
      <c r="N33" s="422"/>
      <c r="O33" s="422"/>
      <c r="P33" s="422"/>
      <c r="Q33" s="422"/>
    </row>
    <row r="34" spans="1:17" ht="19.5" thickTop="1" thickBot="1" x14ac:dyDescent="0.3">
      <c r="A34" s="2"/>
      <c r="B34" s="422"/>
      <c r="C34" s="422" t="s">
        <v>367</v>
      </c>
      <c r="D34" s="624" t="s">
        <v>368</v>
      </c>
      <c r="E34" s="754">
        <v>0.3468</v>
      </c>
      <c r="F34" s="735"/>
      <c r="G34" s="296"/>
      <c r="H34" s="301"/>
      <c r="I34" s="301"/>
      <c r="J34" s="301"/>
      <c r="K34" s="301"/>
      <c r="L34" s="422"/>
      <c r="M34" s="422"/>
      <c r="N34" s="422"/>
      <c r="O34" s="422"/>
      <c r="P34" s="422"/>
      <c r="Q34" s="422"/>
    </row>
    <row r="35" spans="1:17" ht="16.5" thickTop="1" thickBot="1" x14ac:dyDescent="0.3">
      <c r="A35" s="2"/>
      <c r="B35" s="422"/>
      <c r="C35" s="422" t="s">
        <v>369</v>
      </c>
      <c r="D35" s="422"/>
      <c r="E35" s="66" t="s">
        <v>304</v>
      </c>
      <c r="F35" s="735"/>
      <c r="G35" s="422"/>
      <c r="H35" s="301"/>
      <c r="I35" s="301"/>
      <c r="J35" s="301"/>
      <c r="K35" s="301"/>
      <c r="L35" s="422"/>
      <c r="M35" s="422"/>
      <c r="N35" s="422"/>
      <c r="O35" s="422"/>
      <c r="P35" s="422"/>
      <c r="Q35" s="422"/>
    </row>
    <row r="36" spans="1:17" ht="16.5" thickTop="1" thickBot="1" x14ac:dyDescent="0.3">
      <c r="A36" s="2"/>
      <c r="B36" s="422"/>
      <c r="C36" s="422" t="s">
        <v>370</v>
      </c>
      <c r="D36" s="422"/>
      <c r="E36" s="66" t="s">
        <v>294</v>
      </c>
      <c r="F36" s="735"/>
      <c r="G36" s="422"/>
      <c r="H36" s="301"/>
      <c r="I36" s="301"/>
      <c r="J36" s="301"/>
      <c r="K36" s="301"/>
      <c r="L36" s="422"/>
      <c r="M36" s="422"/>
      <c r="N36" s="422"/>
      <c r="O36" s="422"/>
      <c r="P36" s="422"/>
      <c r="Q36" s="422"/>
    </row>
    <row r="37" spans="1:17" ht="16.5" thickTop="1" x14ac:dyDescent="0.25">
      <c r="A37" s="2"/>
      <c r="B37" s="422"/>
      <c r="C37" s="422"/>
      <c r="D37" s="422"/>
      <c r="E37" s="422"/>
      <c r="F37" s="23"/>
      <c r="G37" s="19"/>
      <c r="H37" s="377"/>
      <c r="I37" s="378"/>
      <c r="J37" s="422"/>
      <c r="K37" s="422"/>
      <c r="L37" s="422"/>
      <c r="M37" s="422"/>
      <c r="N37" s="422"/>
      <c r="O37" s="422"/>
      <c r="P37" s="422"/>
      <c r="Q37" s="422"/>
    </row>
    <row r="38" spans="1:17" x14ac:dyDescent="0.25">
      <c r="A38" s="2"/>
      <c r="B38" s="422"/>
      <c r="C38" s="422" t="s">
        <v>371</v>
      </c>
      <c r="D38" s="621" t="s">
        <v>372</v>
      </c>
      <c r="E38" s="646">
        <v>9.8059999999999992</v>
      </c>
      <c r="F38" s="631"/>
      <c r="G38" s="23"/>
      <c r="H38" s="297"/>
      <c r="I38" s="297"/>
      <c r="J38" s="297"/>
      <c r="K38" s="297"/>
      <c r="L38" s="422"/>
      <c r="M38" s="422"/>
      <c r="N38" s="422"/>
      <c r="O38" s="422"/>
      <c r="P38" s="422"/>
      <c r="Q38" s="422"/>
    </row>
    <row r="39" spans="1:17" x14ac:dyDescent="0.25">
      <c r="A39" s="2"/>
      <c r="B39" s="422"/>
      <c r="C39" s="166" t="s">
        <v>373</v>
      </c>
      <c r="D39" s="621" t="s">
        <v>374</v>
      </c>
      <c r="E39" s="294">
        <f>E32/9.806</f>
        <v>0.26059555374260662</v>
      </c>
      <c r="F39" s="631"/>
      <c r="G39" s="23"/>
      <c r="H39" s="297"/>
      <c r="I39" s="297"/>
      <c r="J39" s="297"/>
      <c r="K39" s="297"/>
      <c r="L39" s="422"/>
      <c r="M39" s="19"/>
      <c r="N39" s="19"/>
      <c r="O39" s="422"/>
      <c r="P39" s="422"/>
      <c r="Q39" s="422"/>
    </row>
    <row r="40" spans="1:17" ht="18" x14ac:dyDescent="0.25">
      <c r="A40" s="2"/>
      <c r="B40" s="422"/>
      <c r="C40" s="166" t="s">
        <v>375</v>
      </c>
      <c r="D40" s="621" t="s">
        <v>376</v>
      </c>
      <c r="E40" s="295">
        <f>IF(E36="T1",1,IF(E36="T2",1.2,IF(E36="T3",1.2,IF(E36="T4",1.4,""))))</f>
        <v>1.2</v>
      </c>
      <c r="F40" s="631"/>
      <c r="G40" s="23"/>
      <c r="H40" s="297"/>
      <c r="I40" s="422"/>
      <c r="J40" s="422"/>
      <c r="K40" s="422"/>
      <c r="L40" s="422"/>
      <c r="M40" s="19"/>
      <c r="N40" s="19"/>
      <c r="O40" s="422"/>
      <c r="P40" s="422"/>
      <c r="Q40" s="422"/>
    </row>
    <row r="41" spans="1:17" ht="18" x14ac:dyDescent="0.25">
      <c r="A41" s="2"/>
      <c r="B41" s="422"/>
      <c r="C41" s="166" t="s">
        <v>377</v>
      </c>
      <c r="D41" s="621" t="s">
        <v>378</v>
      </c>
      <c r="E41" s="295">
        <f>IF(E35="A",'FOGLIO DEPOSITO'!N198,IF(E35="B",'FOGLIO DEPOSITO'!N199,IF(E35="C",'FOGLIO DEPOSITO'!N200,IF(E35="D",'FOGLIO DEPOSITO'!N201,IF(E35="E",'FOGLIO DEPOSITO'!N202,"")))))</f>
        <v>1.3219746704058739</v>
      </c>
      <c r="F41" s="631"/>
      <c r="G41" s="23"/>
      <c r="H41" s="297"/>
      <c r="I41" s="422"/>
      <c r="J41" s="422"/>
      <c r="K41" s="422"/>
      <c r="L41" s="422"/>
      <c r="M41" s="19"/>
      <c r="N41" s="19"/>
      <c r="O41" s="422"/>
      <c r="P41" s="422"/>
      <c r="Q41" s="422"/>
    </row>
    <row r="42" spans="1:17" x14ac:dyDescent="0.25">
      <c r="A42" s="2"/>
      <c r="B42" s="422"/>
      <c r="C42" s="166" t="s">
        <v>379</v>
      </c>
      <c r="D42" s="621" t="s">
        <v>380</v>
      </c>
      <c r="E42" s="295">
        <f>E40*E41</f>
        <v>1.5863696044870486</v>
      </c>
      <c r="F42" s="631"/>
      <c r="G42" s="23"/>
      <c r="H42" s="297"/>
      <c r="I42" s="422"/>
      <c r="J42" s="422"/>
      <c r="K42" s="422"/>
      <c r="L42" s="422"/>
      <c r="M42" s="19"/>
      <c r="N42" s="19"/>
      <c r="O42" s="422"/>
      <c r="P42" s="422"/>
      <c r="Q42" s="422"/>
    </row>
    <row r="43" spans="1:17" x14ac:dyDescent="0.25">
      <c r="A43" s="2"/>
      <c r="B43" s="422"/>
      <c r="C43" s="166" t="s">
        <v>381</v>
      </c>
      <c r="D43" s="621" t="s">
        <v>382</v>
      </c>
      <c r="E43" s="295">
        <f>E42*E39</f>
        <v>0.41340086552174227</v>
      </c>
      <c r="F43" s="631"/>
      <c r="G43" s="23"/>
      <c r="H43" s="297"/>
      <c r="I43" s="422"/>
      <c r="J43" s="422"/>
      <c r="K43" s="422"/>
      <c r="L43" s="422"/>
      <c r="M43" s="19"/>
      <c r="N43" s="19"/>
      <c r="O43" s="422"/>
      <c r="P43" s="422"/>
      <c r="Q43" s="422"/>
    </row>
    <row r="44" spans="1:17" ht="18" x14ac:dyDescent="0.25">
      <c r="A44" s="2"/>
      <c r="B44" s="422"/>
      <c r="C44" s="166" t="s">
        <v>383</v>
      </c>
      <c r="D44" s="621" t="s">
        <v>384</v>
      </c>
      <c r="E44" s="295">
        <f>IF(E35="A",'FOGLIO DEPOSITO'!O198,IF(E35="B",'FOGLIO DEPOSITO'!O199,IF(E35="C",'FOGLIO DEPOSITO'!O200,IF(E35="D",'FOGLIO DEPOSITO'!O201,IF(E35="E",'FOGLIO DEPOSITO'!O202,"")))))</f>
        <v>1.756573007421534</v>
      </c>
      <c r="F44" s="631"/>
      <c r="G44" s="23"/>
      <c r="H44" s="297"/>
      <c r="I44" s="422"/>
      <c r="J44" s="422"/>
      <c r="K44" s="422"/>
      <c r="L44" s="422"/>
      <c r="M44" s="19"/>
      <c r="N44" s="19"/>
      <c r="O44" s="422"/>
      <c r="P44" s="422"/>
      <c r="Q44" s="422"/>
    </row>
    <row r="45" spans="1:17" ht="18" x14ac:dyDescent="0.25">
      <c r="A45" s="2"/>
      <c r="B45" s="422"/>
      <c r="C45" s="166" t="s">
        <v>385</v>
      </c>
      <c r="D45" s="621" t="s">
        <v>386</v>
      </c>
      <c r="E45" s="647">
        <f>E46/3</f>
        <v>0.20305983965792931</v>
      </c>
      <c r="F45" s="631"/>
      <c r="G45" s="23"/>
      <c r="H45" s="297"/>
      <c r="I45" s="422"/>
      <c r="J45" s="422"/>
      <c r="K45" s="422"/>
      <c r="L45" s="422"/>
      <c r="M45" s="19"/>
      <c r="N45" s="19"/>
      <c r="O45" s="422"/>
      <c r="P45" s="422"/>
      <c r="Q45" s="422"/>
    </row>
    <row r="46" spans="1:17" ht="18" x14ac:dyDescent="0.25">
      <c r="A46" s="2"/>
      <c r="B46" s="422"/>
      <c r="C46" s="166" t="s">
        <v>387</v>
      </c>
      <c r="D46" s="621" t="s">
        <v>388</v>
      </c>
      <c r="E46" s="647">
        <f>E44*E34</f>
        <v>0.60917951897378797</v>
      </c>
      <c r="F46" s="631"/>
      <c r="G46" s="23"/>
      <c r="H46" s="297"/>
      <c r="I46" s="422"/>
      <c r="J46" s="422"/>
      <c r="K46" s="422"/>
      <c r="L46" s="422"/>
      <c r="M46" s="19"/>
      <c r="N46" s="19"/>
      <c r="O46" s="422"/>
      <c r="P46" s="422"/>
      <c r="Q46" s="422"/>
    </row>
    <row r="47" spans="1:17" ht="18" x14ac:dyDescent="0.25">
      <c r="A47" s="2"/>
      <c r="B47" s="422"/>
      <c r="C47" s="166" t="s">
        <v>389</v>
      </c>
      <c r="D47" s="621" t="s">
        <v>390</v>
      </c>
      <c r="E47" s="647">
        <f>4*E32/E38+1.6</f>
        <v>2.6423822149704268</v>
      </c>
      <c r="F47" s="631"/>
      <c r="G47" s="23"/>
      <c r="H47" s="297"/>
      <c r="I47" s="422"/>
      <c r="J47" s="422"/>
      <c r="K47" s="422"/>
      <c r="L47" s="422"/>
      <c r="M47" s="19"/>
      <c r="N47" s="19"/>
      <c r="O47" s="422"/>
      <c r="P47" s="422"/>
      <c r="Q47" s="422"/>
    </row>
    <row r="48" spans="1:17" x14ac:dyDescent="0.25">
      <c r="A48" s="2"/>
      <c r="B48" s="422"/>
      <c r="C48" s="166" t="s">
        <v>391</v>
      </c>
      <c r="D48" s="375" t="s">
        <v>137</v>
      </c>
      <c r="E48" s="374">
        <v>5</v>
      </c>
      <c r="F48" s="631"/>
      <c r="G48" s="23"/>
      <c r="H48" s="297"/>
      <c r="I48" s="422"/>
      <c r="J48" s="422"/>
      <c r="K48" s="422"/>
      <c r="L48" s="422"/>
      <c r="M48" s="19"/>
      <c r="N48" s="19"/>
      <c r="O48" s="422"/>
      <c r="P48" s="422"/>
      <c r="Q48" s="422"/>
    </row>
    <row r="49" spans="1:21" x14ac:dyDescent="0.25">
      <c r="A49" s="2"/>
      <c r="B49" s="422"/>
      <c r="C49" s="422" t="s">
        <v>392</v>
      </c>
      <c r="D49" s="375" t="s">
        <v>393</v>
      </c>
      <c r="E49" s="643">
        <f>(10/(5+E48))^0.5</f>
        <v>1</v>
      </c>
      <c r="F49" s="631"/>
      <c r="G49" s="23"/>
      <c r="H49" s="297"/>
      <c r="I49" s="297"/>
      <c r="J49" s="297"/>
      <c r="K49" s="297"/>
      <c r="L49" s="422"/>
      <c r="M49" s="19"/>
      <c r="N49" s="19"/>
      <c r="O49" s="422"/>
      <c r="P49" s="422"/>
      <c r="Q49" s="422"/>
    </row>
    <row r="50" spans="1:21" x14ac:dyDescent="0.25">
      <c r="A50" s="2"/>
      <c r="B50" s="422"/>
      <c r="C50" s="422" t="s">
        <v>394</v>
      </c>
      <c r="D50" s="376" t="s">
        <v>395</v>
      </c>
      <c r="E50" s="643">
        <f>IF(E54="si",1,IF(E35="A",'FOGLIO DEPOSITO'!G217,'FOGLIO DEPOSITO'!H217))</f>
        <v>0.31</v>
      </c>
      <c r="F50" s="19"/>
      <c r="G50" s="23"/>
      <c r="H50" s="297"/>
      <c r="I50" s="297"/>
      <c r="J50" s="297"/>
      <c r="K50" s="297"/>
      <c r="L50" s="422"/>
      <c r="M50" s="19"/>
      <c r="N50" s="19"/>
      <c r="O50" s="422"/>
      <c r="P50" s="422"/>
      <c r="Q50" s="422"/>
    </row>
    <row r="51" spans="1:21" x14ac:dyDescent="0.25">
      <c r="A51" s="2"/>
      <c r="B51" s="422"/>
      <c r="C51" s="422" t="s">
        <v>396</v>
      </c>
      <c r="D51" s="621" t="s">
        <v>281</v>
      </c>
      <c r="E51" s="638">
        <f>E50*E42*E39</f>
        <v>0.12815426831174012</v>
      </c>
      <c r="F51" s="19"/>
      <c r="G51" s="23"/>
      <c r="H51" s="297"/>
      <c r="I51" s="297"/>
      <c r="J51" s="297"/>
      <c r="K51" s="297"/>
      <c r="L51" s="422"/>
      <c r="M51" s="19"/>
      <c r="N51" s="19"/>
      <c r="O51" s="422"/>
      <c r="P51" s="422"/>
      <c r="Q51" s="422"/>
    </row>
    <row r="52" spans="1:21" x14ac:dyDescent="0.25">
      <c r="A52" s="2"/>
      <c r="B52" s="422"/>
      <c r="C52" s="422" t="s">
        <v>397</v>
      </c>
      <c r="D52" s="621" t="s">
        <v>282</v>
      </c>
      <c r="E52" s="736">
        <f>0.5*E51</f>
        <v>6.4077134155870061E-2</v>
      </c>
      <c r="F52" s="23"/>
      <c r="G52" s="23"/>
      <c r="H52" s="297"/>
      <c r="I52" s="297"/>
      <c r="J52" s="297"/>
      <c r="K52" s="297"/>
      <c r="L52" s="422"/>
      <c r="M52" s="19"/>
      <c r="N52" s="19"/>
      <c r="O52" s="422"/>
      <c r="P52" s="422"/>
      <c r="Q52" s="422"/>
    </row>
    <row r="53" spans="1:21" ht="12" customHeight="1" thickBot="1" x14ac:dyDescent="0.3">
      <c r="A53" s="2"/>
      <c r="B53" s="422"/>
      <c r="C53" s="422"/>
      <c r="D53" s="620"/>
      <c r="E53" s="737"/>
      <c r="F53" s="23"/>
      <c r="G53" s="23"/>
      <c r="H53" s="297"/>
      <c r="I53" s="297"/>
      <c r="J53" s="297"/>
      <c r="K53" s="297"/>
      <c r="L53" s="422"/>
      <c r="M53" s="19"/>
      <c r="N53" s="19"/>
      <c r="O53" s="422"/>
      <c r="P53" s="422"/>
      <c r="Q53" s="422"/>
    </row>
    <row r="54" spans="1:21" ht="16.5" thickTop="1" thickBot="1" x14ac:dyDescent="0.3">
      <c r="A54" s="2"/>
      <c r="B54" s="422"/>
      <c r="C54" s="422" t="s">
        <v>1101</v>
      </c>
      <c r="D54" s="620"/>
      <c r="E54" s="66" t="s">
        <v>158</v>
      </c>
      <c r="F54" s="23"/>
      <c r="G54" s="23"/>
      <c r="H54" s="297"/>
      <c r="I54" s="297"/>
      <c r="J54" s="297"/>
      <c r="K54" s="297"/>
      <c r="L54" s="422"/>
      <c r="M54" s="19"/>
      <c r="N54" s="19"/>
      <c r="O54" s="422"/>
      <c r="P54" s="422"/>
      <c r="Q54" s="422"/>
    </row>
    <row r="55" spans="1:21" ht="15.75" thickTop="1" x14ac:dyDescent="0.25">
      <c r="A55" s="2"/>
      <c r="B55" s="422"/>
      <c r="C55" s="422"/>
      <c r="D55" s="620"/>
      <c r="E55" s="737"/>
      <c r="F55" s="23"/>
      <c r="G55" s="23"/>
      <c r="H55" s="297"/>
      <c r="I55" s="297"/>
      <c r="J55" s="297"/>
      <c r="K55" s="297"/>
      <c r="L55" s="422"/>
      <c r="M55" s="19"/>
      <c r="N55" s="19"/>
      <c r="O55" s="422"/>
      <c r="P55" s="422"/>
      <c r="Q55" s="422"/>
    </row>
    <row r="56" spans="1:21" x14ac:dyDescent="0.25">
      <c r="A56" s="2"/>
      <c r="B56" s="422"/>
      <c r="C56" s="1" t="s">
        <v>398</v>
      </c>
      <c r="D56" s="422"/>
      <c r="E56" s="422"/>
      <c r="F56" s="422"/>
      <c r="G56" s="422"/>
      <c r="H56" s="422"/>
      <c r="I56" s="422"/>
      <c r="J56" s="422"/>
      <c r="K56" s="422"/>
      <c r="L56" s="422"/>
      <c r="M56" s="422"/>
      <c r="N56" s="422"/>
      <c r="O56" s="422"/>
      <c r="P56" s="422"/>
      <c r="Q56" s="422"/>
      <c r="R56" s="2"/>
      <c r="S56" s="2"/>
      <c r="T56" s="2"/>
      <c r="U56" s="2"/>
    </row>
    <row r="57" spans="1:21" x14ac:dyDescent="0.25">
      <c r="A57" s="2"/>
      <c r="B57" s="422"/>
      <c r="C57" s="422"/>
      <c r="D57" s="62"/>
      <c r="E57" s="300"/>
      <c r="F57" s="422"/>
      <c r="G57" s="422"/>
      <c r="H57" s="422"/>
      <c r="I57" s="422"/>
      <c r="J57" s="422"/>
      <c r="K57" s="422"/>
      <c r="L57" s="422"/>
      <c r="M57" s="422"/>
      <c r="N57" s="422"/>
      <c r="O57" s="422"/>
      <c r="P57" s="422"/>
      <c r="Q57" s="422"/>
      <c r="R57" s="2"/>
      <c r="S57" s="2"/>
      <c r="T57" s="2"/>
      <c r="U57" s="2"/>
    </row>
    <row r="58" spans="1:21" x14ac:dyDescent="0.25">
      <c r="A58" s="2"/>
      <c r="B58" s="422"/>
      <c r="C58" s="622" t="s">
        <v>0</v>
      </c>
      <c r="D58" s="738"/>
      <c r="E58" s="315"/>
      <c r="F58" s="422"/>
      <c r="G58" s="422"/>
      <c r="H58" s="422"/>
      <c r="I58" s="422"/>
      <c r="J58" s="422"/>
      <c r="K58" s="422"/>
      <c r="L58" s="422"/>
      <c r="M58" s="422"/>
      <c r="N58" s="422"/>
      <c r="O58" s="422"/>
      <c r="P58" s="422"/>
      <c r="Q58" s="422"/>
      <c r="R58" s="2"/>
      <c r="S58" s="2"/>
      <c r="T58" s="2"/>
      <c r="U58" s="2"/>
    </row>
    <row r="59" spans="1:21" ht="15.75" thickBot="1" x14ac:dyDescent="0.3">
      <c r="A59" s="2"/>
      <c r="B59" s="422"/>
      <c r="C59" s="422"/>
      <c r="D59" s="422"/>
      <c r="E59" s="422"/>
      <c r="F59" s="422"/>
      <c r="G59" s="422"/>
      <c r="H59" s="422"/>
      <c r="I59" s="422"/>
      <c r="J59" s="422"/>
      <c r="K59" s="422"/>
      <c r="L59" s="422"/>
      <c r="M59" s="422"/>
      <c r="N59" s="422"/>
      <c r="O59" s="422"/>
      <c r="P59" s="422"/>
      <c r="Q59" s="422"/>
      <c r="R59" s="2"/>
      <c r="S59" s="2"/>
      <c r="T59" s="2"/>
      <c r="U59" s="2"/>
    </row>
    <row r="60" spans="1:21" ht="19.5" customHeight="1" thickTop="1" thickBot="1" x14ac:dyDescent="0.3">
      <c r="A60" s="2"/>
      <c r="B60" s="422"/>
      <c r="C60" s="422" t="s">
        <v>399</v>
      </c>
      <c r="D60" s="62" t="s">
        <v>97</v>
      </c>
      <c r="E60" s="181">
        <v>4.3</v>
      </c>
      <c r="F60" s="632"/>
      <c r="G60" s="422"/>
      <c r="H60" s="422"/>
      <c r="I60" s="886" t="s">
        <v>1062</v>
      </c>
      <c r="J60" s="887"/>
      <c r="K60" s="888"/>
      <c r="L60" s="886" t="s">
        <v>1079</v>
      </c>
      <c r="M60" s="887"/>
      <c r="N60" s="888"/>
      <c r="O60" s="422"/>
      <c r="P60" s="422"/>
      <c r="Q60" s="422"/>
      <c r="R60" s="2"/>
      <c r="S60" s="2"/>
      <c r="T60" s="2"/>
      <c r="U60" s="2"/>
    </row>
    <row r="61" spans="1:21" ht="16.5" customHeight="1" thickTop="1" thickBot="1" x14ac:dyDescent="0.3">
      <c r="A61" s="2"/>
      <c r="B61" s="422"/>
      <c r="C61" s="422" t="s">
        <v>838</v>
      </c>
      <c r="D61" s="159" t="s">
        <v>99</v>
      </c>
      <c r="E61" s="181">
        <v>2.5</v>
      </c>
      <c r="F61" s="632"/>
      <c r="G61" s="437"/>
      <c r="H61" s="437"/>
      <c r="I61" s="886"/>
      <c r="J61" s="887"/>
      <c r="K61" s="888"/>
      <c r="L61" s="886"/>
      <c r="M61" s="887"/>
      <c r="N61" s="888"/>
      <c r="O61" s="422"/>
      <c r="P61" s="422"/>
      <c r="Q61" s="422"/>
      <c r="R61" s="2"/>
      <c r="S61" s="2"/>
      <c r="T61" s="2"/>
      <c r="U61" s="2"/>
    </row>
    <row r="62" spans="1:21" ht="19.5" customHeight="1" thickTop="1" thickBot="1" x14ac:dyDescent="0.3">
      <c r="A62" s="2"/>
      <c r="B62" s="422"/>
      <c r="C62" s="422" t="s">
        <v>400</v>
      </c>
      <c r="D62" s="62" t="s">
        <v>101</v>
      </c>
      <c r="E62" s="755">
        <v>0.12</v>
      </c>
      <c r="F62" s="632"/>
      <c r="G62" s="437"/>
      <c r="H62" s="437"/>
      <c r="I62" s="886"/>
      <c r="J62" s="887"/>
      <c r="K62" s="888"/>
      <c r="L62" s="886"/>
      <c r="M62" s="887"/>
      <c r="N62" s="888"/>
      <c r="O62" s="422"/>
      <c r="P62" s="422"/>
      <c r="Q62" s="422"/>
      <c r="R62" s="2"/>
      <c r="S62" s="2"/>
      <c r="T62" s="2"/>
      <c r="U62" s="2"/>
    </row>
    <row r="63" spans="1:21" ht="16.5" customHeight="1" thickTop="1" thickBot="1" x14ac:dyDescent="0.3">
      <c r="A63" s="2"/>
      <c r="B63" s="422"/>
      <c r="C63" s="422" t="s">
        <v>401</v>
      </c>
      <c r="D63" s="624" t="s">
        <v>9</v>
      </c>
      <c r="E63" s="571">
        <v>2</v>
      </c>
      <c r="F63" s="632"/>
      <c r="G63" s="437"/>
      <c r="H63" s="437"/>
      <c r="I63" s="886"/>
      <c r="J63" s="887"/>
      <c r="K63" s="888"/>
      <c r="L63" s="886"/>
      <c r="M63" s="887"/>
      <c r="N63" s="888"/>
      <c r="O63" s="422"/>
      <c r="P63" s="422"/>
      <c r="Q63" s="422"/>
      <c r="R63" s="2"/>
      <c r="S63" s="2"/>
      <c r="T63" s="2"/>
      <c r="U63" s="2"/>
    </row>
    <row r="64" spans="1:21" ht="19.5" customHeight="1" thickTop="1" thickBot="1" x14ac:dyDescent="0.3">
      <c r="A64" s="2"/>
      <c r="B64" s="422"/>
      <c r="C64" s="422" t="s">
        <v>402</v>
      </c>
      <c r="D64" s="62" t="s">
        <v>105</v>
      </c>
      <c r="E64" s="755">
        <v>0.16</v>
      </c>
      <c r="F64" s="632"/>
      <c r="G64" s="422"/>
      <c r="H64" s="422"/>
      <c r="I64" s="886" t="s">
        <v>1063</v>
      </c>
      <c r="J64" s="887"/>
      <c r="K64" s="888"/>
      <c r="L64" s="886" t="s">
        <v>1078</v>
      </c>
      <c r="M64" s="887"/>
      <c r="N64" s="888"/>
      <c r="O64" s="422"/>
      <c r="P64" s="422"/>
      <c r="Q64" s="422"/>
      <c r="R64" s="2"/>
      <c r="S64" s="2"/>
      <c r="T64" s="2"/>
      <c r="U64" s="2"/>
    </row>
    <row r="65" spans="1:21" ht="19.5" customHeight="1" thickTop="1" thickBot="1" x14ac:dyDescent="0.3">
      <c r="A65" s="2"/>
      <c r="B65" s="422"/>
      <c r="C65" s="422" t="s">
        <v>403</v>
      </c>
      <c r="D65" s="62" t="s">
        <v>107</v>
      </c>
      <c r="E65" s="755">
        <v>0.54</v>
      </c>
      <c r="F65" s="632"/>
      <c r="G65" s="422"/>
      <c r="H65" s="422"/>
      <c r="I65" s="886"/>
      <c r="J65" s="887"/>
      <c r="K65" s="888"/>
      <c r="L65" s="886"/>
      <c r="M65" s="887"/>
      <c r="N65" s="888"/>
      <c r="O65" s="422"/>
      <c r="P65" s="422"/>
      <c r="Q65" s="422"/>
      <c r="R65" s="2"/>
      <c r="S65" s="2"/>
      <c r="T65" s="2"/>
      <c r="U65" s="2"/>
    </row>
    <row r="66" spans="1:21" ht="19.5" customHeight="1" thickTop="1" thickBot="1" x14ac:dyDescent="0.3">
      <c r="A66" s="2"/>
      <c r="B66" s="422"/>
      <c r="C66" s="422" t="s">
        <v>404</v>
      </c>
      <c r="D66" s="62" t="s">
        <v>405</v>
      </c>
      <c r="E66" s="755">
        <v>0.24</v>
      </c>
      <c r="F66" s="632"/>
      <c r="G66" s="422"/>
      <c r="H66" s="422"/>
      <c r="I66" s="886"/>
      <c r="J66" s="887"/>
      <c r="K66" s="888"/>
      <c r="L66" s="886"/>
      <c r="M66" s="887"/>
      <c r="N66" s="888"/>
      <c r="O66" s="422"/>
      <c r="P66" s="422"/>
      <c r="Q66" s="422"/>
      <c r="R66" s="2"/>
      <c r="S66" s="2"/>
      <c r="T66" s="2"/>
      <c r="U66" s="2"/>
    </row>
    <row r="67" spans="1:21" ht="19.5" customHeight="1" thickTop="1" thickBot="1" x14ac:dyDescent="0.3">
      <c r="A67" s="2"/>
      <c r="B67" s="422"/>
      <c r="C67" s="422" t="s">
        <v>406</v>
      </c>
      <c r="D67" s="62" t="s">
        <v>407</v>
      </c>
      <c r="E67" s="755">
        <v>0.86</v>
      </c>
      <c r="F67" s="422"/>
      <c r="G67" s="422"/>
      <c r="H67" s="422"/>
      <c r="I67" s="886"/>
      <c r="J67" s="887"/>
      <c r="K67" s="888"/>
      <c r="L67" s="886"/>
      <c r="M67" s="887"/>
      <c r="N67" s="888"/>
      <c r="O67" s="422"/>
      <c r="P67" s="422"/>
      <c r="Q67" s="422"/>
      <c r="R67" s="2"/>
      <c r="S67" s="2"/>
      <c r="T67" s="2"/>
      <c r="U67" s="2"/>
    </row>
    <row r="68" spans="1:21" ht="7.5" customHeight="1" thickTop="1" x14ac:dyDescent="0.25">
      <c r="A68" s="2"/>
      <c r="B68" s="422"/>
      <c r="C68" s="422"/>
      <c r="D68" s="422"/>
      <c r="E68" s="422"/>
      <c r="F68" s="632"/>
      <c r="G68" s="422"/>
      <c r="H68" s="422"/>
      <c r="I68" s="422"/>
      <c r="J68" s="422"/>
      <c r="K68" s="422"/>
      <c r="L68" s="422"/>
      <c r="M68" s="422"/>
      <c r="N68" s="422"/>
      <c r="O68" s="422"/>
      <c r="P68" s="422"/>
      <c r="Q68" s="422"/>
      <c r="R68" s="2"/>
      <c r="S68" s="2"/>
      <c r="T68" s="2"/>
      <c r="U68" s="2"/>
    </row>
    <row r="69" spans="1:21" ht="15.75" x14ac:dyDescent="0.25">
      <c r="A69" s="2"/>
      <c r="B69" s="422"/>
      <c r="C69" s="878" t="str">
        <f>IF(E64*E63&lt;E61,"muro a contrafforti",IF(ROUND(E66,3)=ROUND(E67,3),"muro a paramento verticale",IF(ROUND(E62,3)=ROUND('FOGLIO DEPOSITO'!D211,3),"muro a paramento verticale",IF(ROUND(DATI!E64,3)=ROUND(DATI!E61,3),"muro a paramento inclinato","muro a contrafforti"))))</f>
        <v>muro a contrafforti</v>
      </c>
      <c r="D69" s="62" t="str">
        <f>IF(C69="muro a contrafforti","hic ","")</f>
        <v xml:space="preserve">hic </v>
      </c>
      <c r="E69" s="656">
        <f>IF(C69="muro a contrafforti",'FOGLIO DEPOSITO'!D209,"")</f>
        <v>0.12</v>
      </c>
      <c r="F69" s="739" t="str">
        <f>IF(E69&lt;0,"geometria errata!","")</f>
        <v/>
      </c>
      <c r="G69" s="422"/>
      <c r="H69" s="422"/>
      <c r="I69" s="422"/>
      <c r="J69" s="422"/>
      <c r="K69" s="422"/>
      <c r="L69" s="422"/>
      <c r="M69" s="422"/>
      <c r="N69" s="422"/>
      <c r="O69" s="422"/>
      <c r="P69" s="422"/>
      <c r="Q69" s="422"/>
      <c r="R69" s="2"/>
      <c r="S69" s="2"/>
      <c r="T69" s="2"/>
      <c r="U69" s="2"/>
    </row>
    <row r="70" spans="1:21" ht="15.75" x14ac:dyDescent="0.25">
      <c r="A70" s="2"/>
      <c r="B70" s="422"/>
      <c r="C70" s="878"/>
      <c r="D70" s="62" t="str">
        <f>IF(C69="muro a contrafforti","hfc ","")</f>
        <v xml:space="preserve">hfc </v>
      </c>
      <c r="E70" s="656">
        <f>IF(C69="muro a contrafforti",'FOGLIO DEPOSITO'!D210,"")</f>
        <v>0.74000999999999995</v>
      </c>
      <c r="F70" s="739" t="str">
        <f>IF(E70&lt;0,"geometria errata!","")</f>
        <v/>
      </c>
      <c r="G70" s="422"/>
      <c r="H70" s="422"/>
      <c r="I70" s="422"/>
      <c r="J70" s="422"/>
      <c r="K70" s="422"/>
      <c r="L70" s="422"/>
      <c r="M70" s="422"/>
      <c r="N70" s="422"/>
      <c r="O70" s="422"/>
      <c r="P70" s="422"/>
      <c r="Q70" s="422"/>
      <c r="R70" s="2"/>
      <c r="S70" s="2"/>
      <c r="T70" s="2"/>
      <c r="U70" s="2"/>
    </row>
    <row r="71" spans="1:21" x14ac:dyDescent="0.25">
      <c r="A71" s="2"/>
      <c r="B71" s="422"/>
      <c r="C71" s="740" t="str">
        <f>IF(E63*E64&gt;E61,"input error!!","")</f>
        <v/>
      </c>
      <c r="D71" s="422"/>
      <c r="E71" s="62"/>
      <c r="F71" s="300"/>
      <c r="G71" s="422"/>
      <c r="H71" s="422"/>
      <c r="I71" s="422"/>
      <c r="J71" s="422"/>
      <c r="K71" s="422"/>
      <c r="L71" s="422"/>
      <c r="M71" s="422"/>
      <c r="N71" s="422"/>
      <c r="O71" s="422"/>
      <c r="P71" s="422"/>
      <c r="Q71" s="422"/>
      <c r="R71" s="2"/>
      <c r="S71" s="2"/>
      <c r="T71" s="2"/>
      <c r="U71" s="2"/>
    </row>
    <row r="72" spans="1:21" x14ac:dyDescent="0.25">
      <c r="A72" s="2"/>
      <c r="B72" s="422"/>
      <c r="C72" s="622" t="s">
        <v>36</v>
      </c>
      <c r="D72" s="738"/>
      <c r="E72" s="315"/>
      <c r="F72" s="315"/>
      <c r="G72" s="422"/>
      <c r="H72" s="422"/>
      <c r="I72" s="422"/>
      <c r="J72" s="422"/>
      <c r="K72" s="422"/>
      <c r="L72" s="422"/>
      <c r="M72" s="422"/>
      <c r="N72" s="422"/>
      <c r="O72" s="422"/>
      <c r="P72" s="422"/>
      <c r="Q72" s="422"/>
      <c r="R72" s="2"/>
      <c r="S72" s="2"/>
      <c r="T72" s="2"/>
      <c r="U72" s="2"/>
    </row>
    <row r="73" spans="1:21" ht="15.75" thickBot="1" x14ac:dyDescent="0.3">
      <c r="A73" s="2"/>
      <c r="B73" s="422"/>
      <c r="C73" s="422"/>
      <c r="D73" s="422"/>
      <c r="E73" s="422"/>
      <c r="F73" s="422"/>
      <c r="G73" s="422"/>
      <c r="H73" s="422"/>
      <c r="I73" s="422"/>
      <c r="J73" s="422"/>
      <c r="K73" s="422"/>
      <c r="L73" s="422"/>
      <c r="M73" s="422"/>
      <c r="N73" s="422"/>
      <c r="O73" s="422"/>
      <c r="P73" s="422"/>
      <c r="Q73" s="422"/>
      <c r="R73" s="2"/>
      <c r="S73" s="2"/>
      <c r="T73" s="2"/>
      <c r="U73" s="2"/>
    </row>
    <row r="74" spans="1:21" ht="19.5" customHeight="1" thickTop="1" thickBot="1" x14ac:dyDescent="0.3">
      <c r="A74" s="2"/>
      <c r="B74" s="422"/>
      <c r="C74" s="422" t="s">
        <v>408</v>
      </c>
      <c r="D74" s="62" t="s">
        <v>409</v>
      </c>
      <c r="E74" s="755">
        <v>0.5</v>
      </c>
      <c r="F74" s="632"/>
      <c r="G74" s="422"/>
      <c r="H74" s="422"/>
      <c r="I74" s="901" t="s">
        <v>1083</v>
      </c>
      <c r="J74" s="902"/>
      <c r="K74" s="902"/>
      <c r="L74" s="902"/>
      <c r="M74" s="902"/>
      <c r="N74" s="903"/>
      <c r="O74" s="422"/>
      <c r="P74" s="422"/>
      <c r="Q74" s="422"/>
      <c r="R74" s="2"/>
      <c r="S74" s="2"/>
      <c r="T74" s="2"/>
      <c r="U74" s="2"/>
    </row>
    <row r="75" spans="1:21" ht="19.5" customHeight="1" thickTop="1" thickBot="1" x14ac:dyDescent="0.3">
      <c r="A75" s="2"/>
      <c r="B75" s="422"/>
      <c r="C75" s="422" t="s">
        <v>410</v>
      </c>
      <c r="D75" s="62" t="s">
        <v>411</v>
      </c>
      <c r="E75" s="755">
        <v>0.65</v>
      </c>
      <c r="F75" s="632"/>
      <c r="G75" s="422"/>
      <c r="H75" s="422"/>
      <c r="I75" s="904"/>
      <c r="J75" s="905"/>
      <c r="K75" s="905"/>
      <c r="L75" s="905"/>
      <c r="M75" s="905"/>
      <c r="N75" s="906"/>
      <c r="O75" s="422"/>
      <c r="P75" s="422"/>
      <c r="Q75" s="422"/>
      <c r="R75" s="2"/>
      <c r="S75" s="2"/>
      <c r="T75" s="2"/>
      <c r="U75" s="2"/>
    </row>
    <row r="76" spans="1:21" ht="19.5" customHeight="1" thickTop="1" thickBot="1" x14ac:dyDescent="0.3">
      <c r="A76" s="2"/>
      <c r="B76" s="422"/>
      <c r="C76" s="422" t="s">
        <v>1084</v>
      </c>
      <c r="D76" s="62" t="s">
        <v>412</v>
      </c>
      <c r="E76" s="756">
        <v>2.69</v>
      </c>
      <c r="F76" s="632"/>
      <c r="G76" s="422"/>
      <c r="H76" s="422"/>
      <c r="I76" s="904"/>
      <c r="J76" s="905"/>
      <c r="K76" s="905"/>
      <c r="L76" s="905"/>
      <c r="M76" s="905"/>
      <c r="N76" s="906"/>
      <c r="O76" s="422"/>
      <c r="P76" s="422"/>
      <c r="Q76" s="422"/>
      <c r="R76" s="2"/>
      <c r="S76" s="2"/>
      <c r="T76" s="2"/>
      <c r="U76" s="2"/>
    </row>
    <row r="77" spans="1:21" s="421" customFormat="1" ht="19.5" customHeight="1" thickTop="1" thickBot="1" x14ac:dyDescent="0.3">
      <c r="A77" s="422"/>
      <c r="B77" s="422"/>
      <c r="C77" s="422" t="s">
        <v>413</v>
      </c>
      <c r="D77" s="899" t="s">
        <v>308</v>
      </c>
      <c r="E77" s="900"/>
      <c r="F77" s="781"/>
      <c r="G77" s="422"/>
      <c r="H77" s="422"/>
      <c r="I77" s="904"/>
      <c r="J77" s="905"/>
      <c r="K77" s="905"/>
      <c r="L77" s="905"/>
      <c r="M77" s="905"/>
      <c r="N77" s="906"/>
      <c r="O77" s="422"/>
      <c r="P77" s="422"/>
      <c r="Q77" s="422"/>
      <c r="R77" s="422"/>
      <c r="S77" s="422"/>
      <c r="T77" s="422"/>
      <c r="U77" s="422"/>
    </row>
    <row r="78" spans="1:21" ht="16.5" customHeight="1" thickTop="1" x14ac:dyDescent="0.25">
      <c r="A78" s="2"/>
      <c r="B78" s="422"/>
      <c r="C78" s="422" t="s">
        <v>1085</v>
      </c>
      <c r="E78" s="789">
        <f>'FOGLIO DEPOSITO'!D212</f>
        <v>1.8899900000000001</v>
      </c>
      <c r="F78" s="632"/>
      <c r="G78" s="422"/>
      <c r="H78" s="422"/>
      <c r="I78" s="907"/>
      <c r="J78" s="908"/>
      <c r="K78" s="908"/>
      <c r="L78" s="908"/>
      <c r="M78" s="908"/>
      <c r="N78" s="909"/>
      <c r="O78" s="422"/>
      <c r="P78" s="422"/>
      <c r="Q78" s="422"/>
      <c r="R78" s="2"/>
      <c r="S78" s="2"/>
      <c r="T78" s="2"/>
      <c r="U78" s="2"/>
    </row>
    <row r="79" spans="1:21" x14ac:dyDescent="0.25">
      <c r="A79" s="2"/>
      <c r="B79" s="422"/>
      <c r="C79" s="422"/>
      <c r="D79" s="62"/>
      <c r="E79" s="300"/>
      <c r="F79" s="422"/>
      <c r="G79" s="422"/>
      <c r="H79" s="422"/>
      <c r="I79" s="422"/>
      <c r="J79" s="422"/>
      <c r="K79" s="422"/>
      <c r="L79" s="422"/>
      <c r="M79" s="422"/>
      <c r="N79" s="422"/>
      <c r="O79" s="422"/>
      <c r="P79" s="422"/>
      <c r="Q79" s="422"/>
      <c r="R79" s="2"/>
      <c r="S79" s="2"/>
      <c r="T79" s="2"/>
      <c r="U79" s="2"/>
    </row>
    <row r="80" spans="1:21" x14ac:dyDescent="0.25">
      <c r="A80" s="2"/>
      <c r="B80" s="422"/>
      <c r="C80" s="622" t="s">
        <v>119</v>
      </c>
      <c r="D80" s="738"/>
      <c r="E80" s="315"/>
      <c r="F80" s="422"/>
      <c r="G80" s="422"/>
      <c r="H80" s="422"/>
      <c r="I80" s="422"/>
      <c r="J80" s="422"/>
      <c r="K80" s="422"/>
      <c r="L80" s="422"/>
      <c r="M80" s="422"/>
      <c r="N80" s="422"/>
      <c r="O80" s="422"/>
      <c r="P80" s="422"/>
      <c r="Q80" s="422"/>
      <c r="R80" s="2"/>
      <c r="S80" s="2"/>
      <c r="T80" s="2"/>
      <c r="U80" s="2"/>
    </row>
    <row r="81" spans="1:21" ht="15.75" thickBot="1" x14ac:dyDescent="0.3">
      <c r="A81" s="2"/>
      <c r="B81" s="422"/>
      <c r="C81" s="422"/>
      <c r="D81" s="422"/>
      <c r="E81" s="422"/>
      <c r="F81" s="422"/>
      <c r="G81" s="422"/>
      <c r="H81" s="422"/>
      <c r="I81" s="422"/>
      <c r="J81" s="422"/>
      <c r="L81" s="422"/>
      <c r="M81" s="422"/>
      <c r="N81" s="422"/>
      <c r="O81" s="422"/>
      <c r="P81" s="422"/>
      <c r="Q81" s="422"/>
      <c r="R81" s="2"/>
      <c r="S81" s="2"/>
      <c r="T81" s="2"/>
      <c r="U81" s="2"/>
    </row>
    <row r="82" spans="1:21" ht="19.5" thickTop="1" thickBot="1" x14ac:dyDescent="0.3">
      <c r="A82" s="2"/>
      <c r="B82" s="422"/>
      <c r="C82" s="422" t="s">
        <v>416</v>
      </c>
      <c r="D82" s="62" t="s">
        <v>417</v>
      </c>
      <c r="E82" s="755">
        <v>0.6</v>
      </c>
      <c r="F82" s="632"/>
      <c r="G82" s="422"/>
      <c r="H82" s="422"/>
      <c r="I82" s="422"/>
      <c r="J82" s="422"/>
      <c r="K82" s="422"/>
      <c r="L82" s="422"/>
      <c r="M82" s="422"/>
      <c r="N82" s="422"/>
      <c r="O82" s="422"/>
      <c r="P82" s="422"/>
      <c r="Q82" s="422"/>
      <c r="R82" s="2"/>
      <c r="S82" s="2"/>
      <c r="T82" s="2"/>
      <c r="U82" s="2"/>
    </row>
    <row r="83" spans="1:21" ht="16.5" thickTop="1" thickBot="1" x14ac:dyDescent="0.3">
      <c r="A83" s="2"/>
      <c r="B83" s="422"/>
      <c r="C83" s="166" t="s">
        <v>418</v>
      </c>
      <c r="D83" s="62" t="s">
        <v>419</v>
      </c>
      <c r="E83" s="757">
        <v>100</v>
      </c>
      <c r="F83" s="632"/>
      <c r="G83" s="422"/>
      <c r="H83" s="422"/>
      <c r="I83" s="422"/>
      <c r="J83" s="422"/>
      <c r="K83" s="422"/>
      <c r="L83" s="422"/>
      <c r="M83" s="422"/>
      <c r="N83" s="422"/>
      <c r="O83" s="422"/>
      <c r="P83" s="422"/>
      <c r="Q83" s="422"/>
      <c r="R83" s="2"/>
      <c r="S83" s="2"/>
      <c r="T83" s="2"/>
      <c r="U83" s="2"/>
    </row>
    <row r="84" spans="1:21" ht="18.75" thickTop="1" x14ac:dyDescent="0.25">
      <c r="A84" s="2"/>
      <c r="B84" s="422"/>
      <c r="C84" s="422" t="s">
        <v>414</v>
      </c>
      <c r="D84" s="62" t="s">
        <v>415</v>
      </c>
      <c r="E84" s="741">
        <f>E82</f>
        <v>0.6</v>
      </c>
      <c r="F84" s="632"/>
      <c r="G84" s="422"/>
      <c r="H84" s="422"/>
      <c r="I84" s="422"/>
      <c r="J84" s="422"/>
      <c r="K84" s="422"/>
      <c r="L84" s="422"/>
      <c r="M84" s="422"/>
      <c r="N84" s="422"/>
      <c r="O84" s="422"/>
      <c r="P84" s="422"/>
      <c r="Q84" s="422"/>
      <c r="R84" s="2"/>
      <c r="S84" s="2"/>
      <c r="T84" s="2"/>
      <c r="U84" s="2"/>
    </row>
    <row r="85" spans="1:21" x14ac:dyDescent="0.25">
      <c r="A85" s="2"/>
      <c r="B85" s="422"/>
      <c r="C85" s="422" t="s">
        <v>420</v>
      </c>
      <c r="D85" s="62" t="s">
        <v>421</v>
      </c>
      <c r="E85" s="742">
        <f>IF(E83="allineato",E75+E84/2,(E75+'FOGLIO DEPOSITO'!D212+'FOGLIO DEPOSITO'!D211-E84)/100*E83+E84/2)</f>
        <v>3.0999999999999996</v>
      </c>
      <c r="F85" s="632"/>
      <c r="G85" s="422"/>
      <c r="H85" s="422"/>
      <c r="I85" s="422"/>
      <c r="J85" s="422"/>
      <c r="K85" s="422"/>
      <c r="L85" s="422"/>
      <c r="M85" s="422"/>
      <c r="N85" s="422"/>
      <c r="O85" s="422"/>
      <c r="P85" s="422"/>
      <c r="Q85" s="422"/>
      <c r="R85" s="2"/>
      <c r="S85" s="2"/>
      <c r="T85" s="2"/>
      <c r="U85" s="2"/>
    </row>
    <row r="86" spans="1:21" x14ac:dyDescent="0.25">
      <c r="A86" s="2"/>
      <c r="B86" s="422"/>
      <c r="C86" s="422"/>
      <c r="D86" s="62"/>
      <c r="E86" s="300"/>
      <c r="F86" s="422"/>
      <c r="G86" s="422"/>
      <c r="H86" s="422"/>
      <c r="I86" s="422"/>
      <c r="J86" s="422"/>
      <c r="K86" s="422"/>
      <c r="L86" s="422"/>
      <c r="M86" s="422"/>
      <c r="N86" s="422"/>
      <c r="O86" s="422"/>
      <c r="P86" s="422"/>
      <c r="Q86" s="422"/>
      <c r="R86" s="2"/>
      <c r="S86" s="2"/>
      <c r="T86" s="2"/>
      <c r="U86" s="2"/>
    </row>
    <row r="87" spans="1:21" x14ac:dyDescent="0.25">
      <c r="A87" s="2"/>
      <c r="B87" s="422"/>
      <c r="C87" s="622" t="s">
        <v>1015</v>
      </c>
      <c r="D87" s="743"/>
      <c r="E87" s="316"/>
      <c r="F87" s="422"/>
      <c r="G87" s="422"/>
      <c r="H87" s="422"/>
      <c r="I87" s="422"/>
      <c r="J87" s="422"/>
      <c r="K87" s="422"/>
      <c r="L87" s="422"/>
      <c r="M87" s="422"/>
      <c r="N87" s="422"/>
      <c r="O87" s="422"/>
      <c r="P87" s="422"/>
      <c r="Q87" s="422"/>
      <c r="R87" s="2"/>
      <c r="S87" s="2"/>
      <c r="T87" s="2"/>
      <c r="U87" s="2"/>
    </row>
    <row r="88" spans="1:21" ht="15.75" thickBot="1" x14ac:dyDescent="0.3">
      <c r="A88" s="2"/>
      <c r="B88" s="422"/>
      <c r="C88" s="632"/>
      <c r="D88" s="422"/>
      <c r="E88" s="422"/>
      <c r="F88" s="422"/>
      <c r="G88" s="422"/>
      <c r="H88" s="422"/>
      <c r="I88" s="422"/>
      <c r="J88" s="422"/>
      <c r="K88" s="422"/>
      <c r="L88" s="422"/>
      <c r="M88" s="422"/>
      <c r="N88" s="422"/>
      <c r="O88" s="422"/>
      <c r="P88" s="422"/>
      <c r="Q88" s="422"/>
      <c r="R88" s="2"/>
      <c r="S88" s="2"/>
      <c r="T88" s="2"/>
      <c r="U88" s="2"/>
    </row>
    <row r="89" spans="1:21" ht="19.5" thickTop="1" thickBot="1" x14ac:dyDescent="0.3">
      <c r="A89" s="2"/>
      <c r="B89" s="422"/>
      <c r="C89" s="166" t="s">
        <v>422</v>
      </c>
      <c r="D89" s="62" t="s">
        <v>423</v>
      </c>
      <c r="E89" s="755">
        <v>0.2</v>
      </c>
      <c r="F89" s="632"/>
      <c r="G89" s="422"/>
      <c r="H89" s="422"/>
      <c r="I89" s="422"/>
      <c r="J89" s="422"/>
      <c r="K89" s="422"/>
      <c r="L89" s="422"/>
      <c r="M89" s="422"/>
      <c r="N89" s="422"/>
      <c r="O89" s="422"/>
      <c r="P89" s="422"/>
      <c r="Q89" s="422"/>
      <c r="R89" s="2"/>
      <c r="S89" s="2"/>
      <c r="T89" s="2"/>
      <c r="U89" s="2"/>
    </row>
    <row r="90" spans="1:21" ht="15.75" thickTop="1" x14ac:dyDescent="0.25">
      <c r="A90" s="2"/>
      <c r="B90" s="422"/>
      <c r="C90" s="166"/>
      <c r="D90" s="62"/>
      <c r="E90" s="19"/>
      <c r="F90" s="632"/>
      <c r="G90" s="422"/>
      <c r="H90" s="422"/>
      <c r="I90" s="422"/>
      <c r="J90" s="422"/>
      <c r="K90" s="422"/>
      <c r="L90" s="422"/>
      <c r="M90" s="422"/>
      <c r="N90" s="422"/>
      <c r="O90" s="422"/>
      <c r="P90" s="422"/>
      <c r="Q90" s="422"/>
      <c r="R90" s="2"/>
      <c r="S90" s="2"/>
      <c r="T90" s="2"/>
      <c r="U90" s="2"/>
    </row>
    <row r="91" spans="1:21" x14ac:dyDescent="0.25">
      <c r="A91" s="2"/>
      <c r="B91" s="422"/>
      <c r="C91" s="1" t="s">
        <v>1013</v>
      </c>
      <c r="D91" s="62"/>
      <c r="E91" s="19"/>
      <c r="F91" s="632"/>
      <c r="G91" s="422"/>
      <c r="H91" s="422"/>
      <c r="I91" s="422"/>
      <c r="J91" s="422"/>
      <c r="K91" s="422"/>
      <c r="L91" s="422"/>
      <c r="M91" s="422"/>
      <c r="N91" s="422"/>
      <c r="O91" s="422"/>
      <c r="P91" s="422"/>
      <c r="Q91" s="422"/>
      <c r="R91" s="2"/>
      <c r="S91" s="2"/>
      <c r="T91" s="2"/>
      <c r="U91" s="2"/>
    </row>
    <row r="92" spans="1:21" x14ac:dyDescent="0.25">
      <c r="A92" s="2"/>
      <c r="B92" s="422"/>
      <c r="C92" s="166"/>
      <c r="D92" s="62"/>
      <c r="E92" s="19"/>
      <c r="F92" s="632"/>
      <c r="G92" s="422"/>
      <c r="H92" s="422"/>
      <c r="I92" s="422"/>
      <c r="J92" s="422"/>
      <c r="K92" s="422"/>
      <c r="L92" s="422"/>
      <c r="M92" s="422"/>
      <c r="N92" s="422"/>
      <c r="O92" s="422"/>
      <c r="P92" s="422"/>
      <c r="Q92" s="422"/>
      <c r="R92" s="2"/>
      <c r="S92" s="2"/>
      <c r="T92" s="2"/>
      <c r="U92" s="2"/>
    </row>
    <row r="93" spans="1:21" x14ac:dyDescent="0.25">
      <c r="A93" s="2"/>
      <c r="B93" s="422"/>
      <c r="C93" s="166"/>
      <c r="D93" s="62"/>
      <c r="E93" s="19"/>
      <c r="F93" s="632"/>
      <c r="G93" s="422"/>
      <c r="H93" s="422"/>
      <c r="I93" s="422"/>
      <c r="J93" s="422"/>
      <c r="K93" s="422"/>
      <c r="L93" s="422"/>
      <c r="M93" s="422"/>
      <c r="N93" s="422"/>
      <c r="O93" s="422"/>
      <c r="P93" s="422"/>
      <c r="Q93" s="422"/>
      <c r="R93" s="2"/>
      <c r="S93" s="2"/>
      <c r="T93" s="2"/>
      <c r="U93" s="2"/>
    </row>
    <row r="94" spans="1:21" x14ac:dyDescent="0.25">
      <c r="A94" s="2"/>
      <c r="B94" s="422"/>
      <c r="C94" s="166"/>
      <c r="D94" s="62"/>
      <c r="E94" s="19"/>
      <c r="F94" s="632"/>
      <c r="G94" s="422"/>
      <c r="H94" s="422"/>
      <c r="I94" s="422"/>
      <c r="J94" s="422"/>
      <c r="K94" s="422"/>
      <c r="L94" s="422"/>
      <c r="M94" s="422"/>
      <c r="N94" s="422"/>
      <c r="O94" s="422"/>
      <c r="P94" s="422"/>
      <c r="Q94" s="422"/>
      <c r="R94" s="2"/>
      <c r="S94" s="2"/>
      <c r="T94" s="2"/>
      <c r="U94" s="2"/>
    </row>
    <row r="95" spans="1:21" x14ac:dyDescent="0.25">
      <c r="A95" s="2"/>
      <c r="B95" s="422"/>
      <c r="C95" s="166"/>
      <c r="D95" s="62"/>
      <c r="E95" s="19"/>
      <c r="F95" s="632"/>
      <c r="G95" s="422"/>
      <c r="H95" s="422"/>
      <c r="I95" s="422"/>
      <c r="J95" s="422"/>
      <c r="K95" s="422"/>
      <c r="L95" s="422"/>
      <c r="M95" s="422"/>
      <c r="N95" s="422"/>
      <c r="O95" s="422"/>
      <c r="P95" s="422"/>
      <c r="Q95" s="422"/>
      <c r="R95" s="2"/>
      <c r="S95" s="2"/>
      <c r="T95" s="2"/>
      <c r="U95" s="2"/>
    </row>
    <row r="96" spans="1:21" x14ac:dyDescent="0.25">
      <c r="A96" s="2"/>
      <c r="B96" s="422"/>
      <c r="C96" s="166"/>
      <c r="D96" s="62"/>
      <c r="E96" s="19"/>
      <c r="F96" s="632"/>
      <c r="G96" s="422"/>
      <c r="H96" s="422"/>
      <c r="I96" s="422"/>
      <c r="J96" s="422"/>
      <c r="K96" s="422"/>
      <c r="L96" s="422"/>
      <c r="M96" s="422"/>
      <c r="N96" s="422"/>
      <c r="O96" s="422"/>
      <c r="P96" s="422"/>
      <c r="Q96" s="422"/>
      <c r="R96" s="2"/>
      <c r="S96" s="2"/>
      <c r="T96" s="2"/>
      <c r="U96" s="2"/>
    </row>
    <row r="97" spans="1:21" x14ac:dyDescent="0.25">
      <c r="A97" s="2"/>
      <c r="B97" s="422"/>
      <c r="C97" s="166"/>
      <c r="D97" s="62"/>
      <c r="E97" s="19"/>
      <c r="F97" s="632"/>
      <c r="G97" s="422"/>
      <c r="H97" s="422"/>
      <c r="I97" s="422"/>
      <c r="J97" s="422"/>
      <c r="K97" s="422"/>
      <c r="L97" s="422"/>
      <c r="M97" s="422"/>
      <c r="N97" s="422"/>
      <c r="O97" s="422"/>
      <c r="P97" s="422"/>
      <c r="Q97" s="422"/>
      <c r="R97" s="2"/>
      <c r="S97" s="2"/>
      <c r="T97" s="2"/>
      <c r="U97" s="2"/>
    </row>
    <row r="98" spans="1:21" x14ac:dyDescent="0.25">
      <c r="A98" s="2"/>
      <c r="B98" s="422"/>
      <c r="C98" s="166"/>
      <c r="D98" s="62"/>
      <c r="E98" s="19"/>
      <c r="F98" s="63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2"/>
      <c r="S98" s="2"/>
      <c r="T98" s="2"/>
      <c r="U98" s="2"/>
    </row>
    <row r="99" spans="1:21" x14ac:dyDescent="0.25">
      <c r="A99" s="2"/>
      <c r="B99" s="422"/>
      <c r="C99" s="166"/>
      <c r="D99" s="62"/>
      <c r="E99" s="19"/>
      <c r="F99" s="632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2"/>
      <c r="S99" s="2"/>
      <c r="T99" s="2"/>
      <c r="U99" s="2"/>
    </row>
    <row r="100" spans="1:21" x14ac:dyDescent="0.25">
      <c r="A100" s="2"/>
      <c r="B100" s="422"/>
      <c r="C100" s="166"/>
      <c r="D100" s="62"/>
      <c r="E100" s="19"/>
      <c r="F100" s="632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2"/>
      <c r="S100" s="2"/>
      <c r="T100" s="2"/>
      <c r="U100" s="2"/>
    </row>
    <row r="101" spans="1:21" x14ac:dyDescent="0.25">
      <c r="A101" s="2"/>
      <c r="B101" s="422"/>
      <c r="C101" s="166"/>
      <c r="D101" s="62"/>
      <c r="E101" s="19"/>
      <c r="F101" s="632"/>
      <c r="G101" s="422"/>
      <c r="H101" s="422"/>
      <c r="I101" s="422"/>
      <c r="J101" s="422"/>
      <c r="K101" s="422"/>
      <c r="L101" s="422"/>
      <c r="M101" s="422"/>
      <c r="N101" s="422"/>
      <c r="O101" s="422"/>
      <c r="P101" s="422"/>
      <c r="Q101" s="422"/>
      <c r="R101" s="2"/>
      <c r="S101" s="2"/>
      <c r="T101" s="2"/>
      <c r="U101" s="2"/>
    </row>
    <row r="102" spans="1:21" x14ac:dyDescent="0.25">
      <c r="A102" s="2"/>
      <c r="B102" s="422"/>
      <c r="C102" s="166"/>
      <c r="D102" s="62"/>
      <c r="E102" s="19"/>
      <c r="F102" s="632"/>
      <c r="G102" s="422"/>
      <c r="H102" s="422"/>
      <c r="I102" s="422"/>
      <c r="J102" s="422"/>
      <c r="K102" s="422"/>
      <c r="L102" s="422"/>
      <c r="M102" s="422"/>
      <c r="N102" s="422"/>
      <c r="O102" s="422"/>
      <c r="P102" s="422"/>
      <c r="Q102" s="422"/>
      <c r="R102" s="2"/>
      <c r="S102" s="2"/>
      <c r="T102" s="2"/>
      <c r="U102" s="2"/>
    </row>
    <row r="103" spans="1:21" x14ac:dyDescent="0.25">
      <c r="A103" s="2"/>
      <c r="B103" s="422"/>
      <c r="C103" s="166"/>
      <c r="D103" s="62"/>
      <c r="E103" s="19"/>
      <c r="F103" s="632"/>
      <c r="G103" s="422"/>
      <c r="H103" s="422"/>
      <c r="I103" s="422"/>
      <c r="J103" s="422"/>
      <c r="K103" s="422"/>
      <c r="L103" s="422"/>
      <c r="M103" s="422"/>
      <c r="N103" s="422"/>
      <c r="O103" s="422"/>
      <c r="P103" s="422"/>
      <c r="Q103" s="422"/>
      <c r="R103" s="2"/>
      <c r="S103" s="2"/>
      <c r="T103" s="2"/>
      <c r="U103" s="2"/>
    </row>
    <row r="104" spans="1:21" x14ac:dyDescent="0.25">
      <c r="A104" s="2"/>
      <c r="B104" s="422"/>
      <c r="C104" s="166"/>
      <c r="D104" s="62"/>
      <c r="E104" s="19"/>
      <c r="F104" s="632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2"/>
      <c r="S104" s="2"/>
      <c r="T104" s="2"/>
      <c r="U104" s="2"/>
    </row>
    <row r="105" spans="1:21" x14ac:dyDescent="0.25">
      <c r="A105" s="2"/>
      <c r="B105" s="422"/>
      <c r="C105" s="166"/>
      <c r="D105" s="62"/>
      <c r="E105" s="19"/>
      <c r="F105" s="632"/>
      <c r="G105" s="422"/>
      <c r="H105" s="422"/>
      <c r="I105" s="422"/>
      <c r="J105" s="422"/>
      <c r="K105" s="422"/>
      <c r="L105" s="422"/>
      <c r="M105" s="422"/>
      <c r="N105" s="422"/>
      <c r="O105" s="422"/>
      <c r="P105" s="422"/>
      <c r="Q105" s="422"/>
      <c r="R105" s="2"/>
      <c r="S105" s="2"/>
      <c r="T105" s="2"/>
      <c r="U105" s="2"/>
    </row>
    <row r="106" spans="1:21" x14ac:dyDescent="0.25">
      <c r="A106" s="2"/>
      <c r="B106" s="422"/>
      <c r="C106" s="166"/>
      <c r="D106" s="62"/>
      <c r="E106" s="19"/>
      <c r="F106" s="632"/>
      <c r="G106" s="422"/>
      <c r="H106" s="422"/>
      <c r="I106" s="422"/>
      <c r="J106" s="422"/>
      <c r="K106" s="422"/>
      <c r="L106" s="422"/>
      <c r="M106" s="422"/>
      <c r="N106" s="422"/>
      <c r="O106" s="422"/>
      <c r="P106" s="422"/>
      <c r="Q106" s="422"/>
      <c r="R106" s="2"/>
      <c r="S106" s="2"/>
      <c r="T106" s="2"/>
      <c r="U106" s="2"/>
    </row>
    <row r="107" spans="1:21" x14ac:dyDescent="0.25">
      <c r="A107" s="2"/>
      <c r="B107" s="422"/>
      <c r="C107" s="166"/>
      <c r="D107" s="62"/>
      <c r="E107" s="19"/>
      <c r="F107" s="632"/>
      <c r="G107" s="422"/>
      <c r="H107" s="422"/>
      <c r="I107" s="422"/>
      <c r="J107" s="422"/>
      <c r="K107" s="422"/>
      <c r="L107" s="422"/>
      <c r="M107" s="422"/>
      <c r="N107" s="422"/>
      <c r="O107" s="422"/>
      <c r="P107" s="422"/>
      <c r="Q107" s="422"/>
      <c r="R107" s="2"/>
      <c r="S107" s="2"/>
      <c r="T107" s="2"/>
      <c r="U107" s="2"/>
    </row>
    <row r="108" spans="1:21" x14ac:dyDescent="0.25">
      <c r="A108" s="2"/>
      <c r="B108" s="422"/>
      <c r="C108" s="166"/>
      <c r="D108" s="62"/>
      <c r="E108" s="19"/>
      <c r="F108" s="632"/>
      <c r="G108" s="422"/>
      <c r="H108" s="422"/>
      <c r="I108" s="422"/>
      <c r="J108" s="422"/>
      <c r="K108" s="422"/>
      <c r="L108" s="422"/>
      <c r="M108" s="422"/>
      <c r="N108" s="422"/>
      <c r="O108" s="422"/>
      <c r="P108" s="422"/>
      <c r="Q108" s="422"/>
      <c r="R108" s="2"/>
      <c r="S108" s="2"/>
      <c r="T108" s="2"/>
      <c r="U108" s="2"/>
    </row>
    <row r="109" spans="1:21" x14ac:dyDescent="0.25">
      <c r="A109" s="2"/>
      <c r="B109" s="422"/>
      <c r="C109" s="166"/>
      <c r="D109" s="62"/>
      <c r="E109" s="19"/>
      <c r="F109" s="632"/>
      <c r="G109" s="422"/>
      <c r="H109" s="422"/>
      <c r="I109" s="422"/>
      <c r="J109" s="422"/>
      <c r="K109" s="422"/>
      <c r="L109" s="422"/>
      <c r="M109" s="422"/>
      <c r="N109" s="422"/>
      <c r="O109" s="422"/>
      <c r="P109" s="422"/>
      <c r="Q109" s="422"/>
      <c r="R109" s="2"/>
      <c r="S109" s="2"/>
      <c r="T109" s="2"/>
      <c r="U109" s="2"/>
    </row>
    <row r="110" spans="1:21" x14ac:dyDescent="0.25">
      <c r="A110" s="2"/>
      <c r="B110" s="422"/>
      <c r="C110" s="166"/>
      <c r="D110" s="62"/>
      <c r="E110" s="19"/>
      <c r="F110" s="632"/>
      <c r="G110" s="422"/>
      <c r="H110" s="422"/>
      <c r="I110" s="422"/>
      <c r="J110" s="422"/>
      <c r="K110" s="422"/>
      <c r="L110" s="422"/>
      <c r="M110" s="422"/>
      <c r="N110" s="422"/>
      <c r="O110" s="422"/>
      <c r="P110" s="422"/>
      <c r="Q110" s="422"/>
      <c r="R110" s="2"/>
      <c r="S110" s="2"/>
      <c r="T110" s="2"/>
      <c r="U110" s="2"/>
    </row>
    <row r="111" spans="1:21" x14ac:dyDescent="0.25">
      <c r="A111" s="2"/>
      <c r="B111" s="422"/>
      <c r="C111" s="166"/>
      <c r="D111" s="62"/>
      <c r="E111" s="19"/>
      <c r="F111" s="632"/>
      <c r="G111" s="422"/>
      <c r="H111" s="422"/>
      <c r="I111" s="422"/>
      <c r="J111" s="422"/>
      <c r="K111" s="422"/>
      <c r="L111" s="422"/>
      <c r="M111" s="422"/>
      <c r="N111" s="422"/>
      <c r="O111" s="422"/>
      <c r="P111" s="422"/>
      <c r="Q111" s="422"/>
      <c r="R111" s="2"/>
      <c r="S111" s="2"/>
      <c r="T111" s="2"/>
      <c r="U111" s="2"/>
    </row>
    <row r="112" spans="1:21" x14ac:dyDescent="0.25">
      <c r="A112" s="2"/>
      <c r="B112" s="422"/>
      <c r="C112" s="166"/>
      <c r="D112" s="62"/>
      <c r="E112" s="19"/>
      <c r="F112" s="632"/>
      <c r="G112" s="422"/>
      <c r="H112" s="422"/>
      <c r="I112" s="422"/>
      <c r="J112" s="422"/>
      <c r="K112" s="422"/>
      <c r="L112" s="422"/>
      <c r="M112" s="422"/>
      <c r="N112" s="422"/>
      <c r="O112" s="422"/>
      <c r="P112" s="422"/>
      <c r="Q112" s="422"/>
      <c r="R112" s="2"/>
      <c r="S112" s="2"/>
      <c r="T112" s="2"/>
      <c r="U112" s="2"/>
    </row>
    <row r="113" spans="1:21" x14ac:dyDescent="0.25">
      <c r="A113" s="2"/>
      <c r="B113" s="422"/>
      <c r="C113" s="166"/>
      <c r="D113" s="62"/>
      <c r="E113" s="19"/>
      <c r="F113" s="632"/>
      <c r="G113" s="422"/>
      <c r="H113" s="422"/>
      <c r="I113" s="422"/>
      <c r="J113" s="422"/>
      <c r="K113" s="422"/>
      <c r="L113" s="422"/>
      <c r="M113" s="422"/>
      <c r="N113" s="422"/>
      <c r="O113" s="422"/>
      <c r="P113" s="422"/>
      <c r="Q113" s="422"/>
      <c r="R113" s="2"/>
      <c r="S113" s="2"/>
      <c r="T113" s="2"/>
      <c r="U113" s="2"/>
    </row>
    <row r="114" spans="1:21" x14ac:dyDescent="0.25">
      <c r="A114" s="2"/>
      <c r="B114" s="422"/>
      <c r="C114" s="166"/>
      <c r="D114" s="62"/>
      <c r="E114" s="19"/>
      <c r="F114" s="632"/>
      <c r="G114" s="422"/>
      <c r="H114" s="422"/>
      <c r="I114" s="422"/>
      <c r="J114" s="422"/>
      <c r="K114" s="422"/>
      <c r="L114" s="422"/>
      <c r="M114" s="422"/>
      <c r="N114" s="422"/>
      <c r="O114" s="422"/>
      <c r="P114" s="422"/>
      <c r="Q114" s="422"/>
      <c r="R114" s="2"/>
      <c r="S114" s="2"/>
      <c r="T114" s="2"/>
      <c r="U114" s="2"/>
    </row>
    <row r="115" spans="1:21" x14ac:dyDescent="0.25">
      <c r="A115" s="2"/>
      <c r="B115" s="422"/>
      <c r="C115" s="166"/>
      <c r="D115" s="62"/>
      <c r="E115" s="19"/>
      <c r="F115" s="632"/>
      <c r="G115" s="422"/>
      <c r="H115" s="422"/>
      <c r="I115" s="422"/>
      <c r="J115" s="422"/>
      <c r="K115" s="422"/>
      <c r="L115" s="422"/>
      <c r="M115" s="422"/>
      <c r="N115" s="422"/>
      <c r="O115" s="422"/>
      <c r="P115" s="422"/>
      <c r="Q115" s="422"/>
      <c r="R115" s="2"/>
      <c r="S115" s="2"/>
      <c r="T115" s="2"/>
      <c r="U115" s="2"/>
    </row>
    <row r="116" spans="1:21" x14ac:dyDescent="0.25">
      <c r="A116" s="2"/>
      <c r="B116" s="422"/>
      <c r="C116" s="166"/>
      <c r="D116" s="62"/>
      <c r="E116" s="19"/>
      <c r="F116" s="632"/>
      <c r="G116" s="422"/>
      <c r="H116" s="422"/>
      <c r="I116" s="422"/>
      <c r="J116" s="422"/>
      <c r="K116" s="422"/>
      <c r="L116" s="422"/>
      <c r="M116" s="422"/>
      <c r="N116" s="422"/>
      <c r="O116" s="422"/>
      <c r="P116" s="422"/>
      <c r="Q116" s="422"/>
      <c r="R116" s="2"/>
      <c r="S116" s="2"/>
      <c r="T116" s="2"/>
      <c r="U116" s="2"/>
    </row>
    <row r="117" spans="1:21" x14ac:dyDescent="0.25">
      <c r="A117" s="2"/>
      <c r="B117" s="422"/>
      <c r="C117" s="166"/>
      <c r="D117" s="62"/>
      <c r="E117" s="19"/>
      <c r="F117" s="632"/>
      <c r="G117" s="422"/>
      <c r="H117" s="422"/>
      <c r="I117" s="422"/>
      <c r="J117" s="422"/>
      <c r="K117" s="422"/>
      <c r="L117" s="422"/>
      <c r="M117" s="422"/>
      <c r="N117" s="422"/>
      <c r="O117" s="422"/>
      <c r="P117" s="422"/>
      <c r="Q117" s="422"/>
      <c r="R117" s="2"/>
      <c r="S117" s="2"/>
      <c r="T117" s="2"/>
      <c r="U117" s="2"/>
    </row>
    <row r="118" spans="1:21" x14ac:dyDescent="0.25">
      <c r="A118" s="2"/>
      <c r="B118" s="422"/>
      <c r="C118" s="166"/>
      <c r="D118" s="62"/>
      <c r="E118" s="19"/>
      <c r="F118" s="632"/>
      <c r="G118" s="422"/>
      <c r="H118" s="422"/>
      <c r="I118" s="422"/>
      <c r="J118" s="422"/>
      <c r="K118" s="422"/>
      <c r="L118" s="422"/>
      <c r="M118" s="422"/>
      <c r="N118" s="422"/>
      <c r="O118" s="422"/>
      <c r="P118" s="422"/>
      <c r="Q118" s="422"/>
      <c r="R118" s="2"/>
      <c r="S118" s="2"/>
      <c r="T118" s="2"/>
      <c r="U118" s="2"/>
    </row>
    <row r="119" spans="1:21" x14ac:dyDescent="0.25">
      <c r="A119" s="2"/>
      <c r="B119" s="422"/>
      <c r="C119" s="166"/>
      <c r="D119" s="62"/>
      <c r="E119" s="19"/>
      <c r="F119" s="632"/>
      <c r="G119" s="422"/>
      <c r="H119" s="422"/>
      <c r="I119" s="422"/>
      <c r="J119" s="422"/>
      <c r="K119" s="422"/>
      <c r="L119" s="422"/>
      <c r="M119" s="422"/>
      <c r="N119" s="422"/>
      <c r="O119" s="422"/>
      <c r="P119" s="422"/>
      <c r="Q119" s="422"/>
      <c r="R119" s="2"/>
      <c r="S119" s="2"/>
      <c r="T119" s="2"/>
      <c r="U119" s="2"/>
    </row>
    <row r="120" spans="1:21" x14ac:dyDescent="0.25">
      <c r="A120" s="2"/>
      <c r="B120" s="422"/>
      <c r="C120" s="166"/>
      <c r="D120" s="62"/>
      <c r="E120" s="19"/>
      <c r="F120" s="63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2"/>
      <c r="S120" s="2"/>
      <c r="T120" s="2"/>
      <c r="U120" s="2"/>
    </row>
    <row r="121" spans="1:21" x14ac:dyDescent="0.25">
      <c r="A121" s="2"/>
      <c r="B121" s="422"/>
      <c r="C121" s="166"/>
      <c r="D121" s="62"/>
      <c r="E121" s="19"/>
      <c r="F121" s="632"/>
      <c r="G121" s="422"/>
      <c r="H121" s="422"/>
      <c r="I121" s="422"/>
      <c r="J121" s="422"/>
      <c r="K121" s="422"/>
      <c r="L121" s="422"/>
      <c r="M121" s="422"/>
      <c r="N121" s="422"/>
      <c r="O121" s="422"/>
      <c r="P121" s="422"/>
      <c r="Q121" s="422"/>
      <c r="R121" s="2"/>
      <c r="S121" s="2"/>
      <c r="T121" s="2"/>
      <c r="U121" s="2"/>
    </row>
    <row r="122" spans="1:21" x14ac:dyDescent="0.25">
      <c r="A122" s="2"/>
      <c r="B122" s="422"/>
      <c r="C122" s="166"/>
      <c r="D122" s="62"/>
      <c r="E122" s="19"/>
      <c r="F122" s="632"/>
      <c r="G122" s="422"/>
      <c r="H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2"/>
      <c r="S122" s="2"/>
      <c r="T122" s="2"/>
      <c r="U122" s="2"/>
    </row>
    <row r="123" spans="1:21" x14ac:dyDescent="0.25">
      <c r="A123" s="2"/>
      <c r="B123" s="422"/>
      <c r="C123" s="166"/>
      <c r="D123" s="62"/>
      <c r="E123" s="19"/>
      <c r="F123" s="632"/>
      <c r="G123" s="422"/>
      <c r="H123" s="422"/>
      <c r="I123" s="422"/>
      <c r="J123" s="422"/>
      <c r="K123" s="422"/>
      <c r="L123" s="422"/>
      <c r="M123" s="422"/>
      <c r="N123" s="422"/>
      <c r="O123" s="422"/>
      <c r="P123" s="422"/>
      <c r="Q123" s="422"/>
      <c r="R123" s="2"/>
      <c r="S123" s="2"/>
      <c r="T123" s="2"/>
      <c r="U123" s="2"/>
    </row>
    <row r="124" spans="1:21" x14ac:dyDescent="0.25">
      <c r="A124" s="2"/>
      <c r="B124" s="422"/>
      <c r="C124" s="166"/>
      <c r="D124" s="62"/>
      <c r="E124" s="19"/>
      <c r="F124" s="632"/>
      <c r="G124" s="422"/>
      <c r="H124" s="422"/>
      <c r="I124" s="422"/>
      <c r="J124" s="422"/>
      <c r="K124" s="422"/>
      <c r="L124" s="422"/>
      <c r="M124" s="422"/>
      <c r="N124" s="422"/>
      <c r="O124" s="422"/>
      <c r="P124" s="422"/>
      <c r="Q124" s="744"/>
      <c r="R124" s="2"/>
      <c r="S124" s="2"/>
      <c r="T124" s="2"/>
      <c r="U124" s="2"/>
    </row>
    <row r="125" spans="1:21" x14ac:dyDescent="0.25">
      <c r="A125" s="2"/>
      <c r="B125" s="422"/>
      <c r="C125" s="166"/>
      <c r="D125" s="62"/>
      <c r="E125" s="19"/>
      <c r="F125" s="632"/>
      <c r="G125" s="422"/>
      <c r="H125" s="422"/>
      <c r="I125" s="422"/>
      <c r="J125" s="422"/>
      <c r="K125" s="422"/>
      <c r="L125" s="422"/>
      <c r="M125" s="422"/>
      <c r="N125" s="422"/>
      <c r="O125" s="422"/>
      <c r="P125" s="422"/>
      <c r="Q125" s="422"/>
      <c r="R125" s="2"/>
      <c r="S125" s="2"/>
      <c r="T125" s="2"/>
      <c r="U125" s="2"/>
    </row>
    <row r="126" spans="1:21" x14ac:dyDescent="0.25">
      <c r="A126" s="2"/>
      <c r="B126" s="422"/>
      <c r="C126" s="166"/>
      <c r="D126" s="62"/>
      <c r="E126" s="19"/>
      <c r="F126" s="632"/>
      <c r="G126" s="422"/>
      <c r="H126" s="422"/>
      <c r="I126" s="422"/>
      <c r="J126" s="422"/>
      <c r="K126" s="422"/>
      <c r="L126" s="422"/>
      <c r="M126" s="422"/>
      <c r="N126" s="422"/>
      <c r="O126" s="422"/>
      <c r="P126" s="422"/>
      <c r="Q126" s="422"/>
      <c r="R126" s="2"/>
      <c r="S126" s="2"/>
      <c r="T126" s="2"/>
      <c r="U126" s="2"/>
    </row>
    <row r="127" spans="1:21" x14ac:dyDescent="0.25">
      <c r="A127" s="2"/>
      <c r="B127" s="422"/>
      <c r="C127" s="166"/>
      <c r="D127" s="62"/>
      <c r="E127" s="19"/>
      <c r="F127" s="632"/>
      <c r="G127" s="422"/>
      <c r="H127" s="422"/>
      <c r="I127" s="422"/>
      <c r="J127" s="422"/>
      <c r="K127" s="422"/>
      <c r="L127" s="422"/>
      <c r="M127" s="422"/>
      <c r="N127" s="422"/>
      <c r="O127" s="422"/>
      <c r="P127" s="422"/>
      <c r="Q127" s="422"/>
      <c r="R127" s="2"/>
      <c r="S127" s="2"/>
      <c r="T127" s="2"/>
      <c r="U127" s="2"/>
    </row>
    <row r="128" spans="1:21" x14ac:dyDescent="0.25">
      <c r="A128" s="2"/>
      <c r="B128" s="422"/>
      <c r="C128" s="166"/>
      <c r="D128" s="62"/>
      <c r="E128" s="19"/>
      <c r="F128" s="632"/>
      <c r="G128" s="422"/>
      <c r="H128" s="422"/>
      <c r="I128" s="422"/>
      <c r="J128" s="422"/>
      <c r="K128" s="422"/>
      <c r="L128" s="422"/>
      <c r="M128" s="422"/>
      <c r="N128" s="422"/>
      <c r="O128" s="422"/>
      <c r="P128" s="422"/>
      <c r="Q128" s="422"/>
      <c r="R128" s="2"/>
      <c r="S128" s="2"/>
      <c r="T128" s="2"/>
      <c r="U128" s="2"/>
    </row>
    <row r="129" spans="1:21" x14ac:dyDescent="0.25">
      <c r="A129" s="2"/>
      <c r="B129" s="422"/>
      <c r="C129" s="166"/>
      <c r="D129" s="62"/>
      <c r="E129" s="19"/>
      <c r="F129" s="632"/>
      <c r="G129" s="422"/>
      <c r="H129" s="422"/>
      <c r="I129" s="422"/>
      <c r="J129" s="422"/>
      <c r="K129" s="422"/>
      <c r="L129" s="422"/>
      <c r="M129" s="422"/>
      <c r="N129" s="422"/>
      <c r="O129" s="422"/>
      <c r="P129" s="422"/>
      <c r="Q129" s="422"/>
      <c r="R129" s="2"/>
      <c r="S129" s="2"/>
      <c r="T129" s="2"/>
      <c r="U129" s="2"/>
    </row>
    <row r="130" spans="1:21" x14ac:dyDescent="0.25">
      <c r="A130" s="2"/>
      <c r="B130" s="422"/>
      <c r="C130" s="166"/>
      <c r="D130" s="62"/>
      <c r="E130" s="19"/>
      <c r="F130" s="632"/>
      <c r="G130" s="422"/>
      <c r="H130" s="422"/>
      <c r="I130" s="422"/>
      <c r="J130" s="422"/>
      <c r="K130" s="422"/>
      <c r="L130" s="422"/>
      <c r="M130" s="422"/>
      <c r="N130" s="422"/>
      <c r="O130" s="422"/>
      <c r="P130" s="422"/>
      <c r="Q130" s="422"/>
      <c r="R130" s="2"/>
      <c r="S130" s="2"/>
      <c r="T130" s="2"/>
      <c r="U130" s="2"/>
    </row>
    <row r="131" spans="1:21" x14ac:dyDescent="0.25">
      <c r="A131" s="2"/>
      <c r="B131" s="422"/>
      <c r="C131" s="166"/>
      <c r="D131" s="62"/>
      <c r="E131" s="19"/>
      <c r="F131" s="632"/>
      <c r="G131" s="422"/>
      <c r="H131" s="422"/>
      <c r="I131" s="422"/>
      <c r="J131" s="422"/>
      <c r="K131" s="422"/>
      <c r="L131" s="422"/>
      <c r="M131" s="422"/>
      <c r="N131" s="422"/>
      <c r="O131" s="422"/>
      <c r="P131" s="422"/>
      <c r="Q131" s="422"/>
      <c r="R131" s="2"/>
      <c r="S131" s="2"/>
      <c r="T131" s="2"/>
      <c r="U131" s="2"/>
    </row>
    <row r="132" spans="1:21" x14ac:dyDescent="0.25">
      <c r="A132" s="2"/>
      <c r="B132" s="422"/>
      <c r="C132" s="166"/>
      <c r="D132" s="62"/>
      <c r="E132" s="19"/>
      <c r="F132" s="632"/>
      <c r="G132" s="422"/>
      <c r="H132" s="422"/>
      <c r="I132" s="422"/>
      <c r="J132" s="422"/>
      <c r="K132" s="422"/>
      <c r="L132" s="422"/>
      <c r="M132" s="422"/>
      <c r="N132" s="422"/>
      <c r="O132" s="422"/>
      <c r="P132" s="422"/>
      <c r="Q132" s="422"/>
      <c r="R132" s="2"/>
      <c r="S132" s="2"/>
      <c r="T132" s="2"/>
      <c r="U132" s="2"/>
    </row>
    <row r="133" spans="1:21" x14ac:dyDescent="0.25">
      <c r="A133" s="2"/>
      <c r="B133" s="422"/>
      <c r="C133" s="166"/>
      <c r="D133" s="62"/>
      <c r="E133" s="19"/>
      <c r="F133" s="632"/>
      <c r="G133" s="422"/>
      <c r="H133" s="422"/>
      <c r="I133" s="422"/>
      <c r="J133" s="422"/>
      <c r="K133" s="422"/>
      <c r="L133" s="422"/>
      <c r="M133" s="422"/>
      <c r="N133" s="422"/>
      <c r="O133" s="422"/>
      <c r="P133" s="422"/>
      <c r="Q133" s="422"/>
      <c r="R133" s="2"/>
      <c r="S133" s="2"/>
      <c r="T133" s="2"/>
      <c r="U133" s="2"/>
    </row>
    <row r="134" spans="1:21" x14ac:dyDescent="0.25">
      <c r="A134" s="2"/>
      <c r="B134" s="422"/>
      <c r="C134" s="166"/>
      <c r="D134" s="62"/>
      <c r="E134" s="19"/>
      <c r="F134" s="632"/>
      <c r="G134" s="422"/>
      <c r="H134" s="422"/>
      <c r="I134" s="422"/>
      <c r="J134" s="422"/>
      <c r="K134" s="422"/>
      <c r="L134" s="422"/>
      <c r="M134" s="422"/>
      <c r="N134" s="422"/>
      <c r="O134" s="422"/>
      <c r="P134" s="422"/>
      <c r="Q134" s="422"/>
      <c r="R134" s="2"/>
      <c r="S134" s="2"/>
      <c r="T134" s="2"/>
      <c r="U134" s="2"/>
    </row>
    <row r="135" spans="1:21" x14ac:dyDescent="0.25">
      <c r="A135" s="2"/>
      <c r="B135" s="422"/>
      <c r="C135" s="166"/>
      <c r="D135" s="62"/>
      <c r="E135" s="19"/>
      <c r="F135" s="632"/>
      <c r="G135" s="422"/>
      <c r="H135" s="422"/>
      <c r="I135" s="422"/>
      <c r="J135" s="422"/>
      <c r="K135" s="422"/>
      <c r="L135" s="422"/>
      <c r="M135" s="422"/>
      <c r="N135" s="422"/>
      <c r="O135" s="422"/>
      <c r="P135" s="422"/>
      <c r="Q135" s="422"/>
      <c r="R135" s="2"/>
      <c r="S135" s="2"/>
      <c r="T135" s="2"/>
      <c r="U135" s="2"/>
    </row>
    <row r="136" spans="1:21" x14ac:dyDescent="0.25">
      <c r="A136" s="2"/>
      <c r="B136" s="422"/>
      <c r="C136" s="166"/>
      <c r="D136" s="62"/>
      <c r="E136" s="19"/>
      <c r="F136" s="632"/>
      <c r="G136" s="422"/>
      <c r="H136" s="422"/>
      <c r="I136" s="422"/>
      <c r="J136" s="422"/>
      <c r="K136" s="422"/>
      <c r="L136" s="422"/>
      <c r="M136" s="422"/>
      <c r="N136" s="422"/>
      <c r="O136" s="422"/>
      <c r="P136" s="422"/>
      <c r="Q136" s="422"/>
      <c r="R136" s="2"/>
      <c r="S136" s="2"/>
      <c r="T136" s="2"/>
      <c r="U136" s="2"/>
    </row>
    <row r="137" spans="1:21" x14ac:dyDescent="0.25">
      <c r="A137" s="2"/>
      <c r="B137" s="422"/>
      <c r="C137" s="422"/>
      <c r="D137" s="632"/>
      <c r="E137" s="19"/>
      <c r="F137" s="632"/>
      <c r="G137" s="422"/>
      <c r="H137" s="422"/>
      <c r="I137" s="422"/>
      <c r="J137" s="422"/>
      <c r="K137" s="422"/>
      <c r="L137" s="422"/>
      <c r="M137" s="422"/>
      <c r="N137" s="422"/>
      <c r="O137" s="422"/>
      <c r="P137" s="422"/>
      <c r="Q137" s="422"/>
      <c r="R137" s="2"/>
      <c r="S137" s="2"/>
      <c r="T137" s="2"/>
      <c r="U137" s="2"/>
    </row>
    <row r="138" spans="1:21" x14ac:dyDescent="0.25">
      <c r="A138" s="2"/>
      <c r="B138" s="422"/>
      <c r="C138" s="422"/>
      <c r="D138" s="632"/>
      <c r="E138" s="19"/>
      <c r="F138" s="632"/>
      <c r="G138" s="422"/>
      <c r="H138" s="422"/>
      <c r="I138" s="422"/>
      <c r="J138" s="422"/>
      <c r="K138" s="422"/>
      <c r="L138" s="422"/>
      <c r="M138" s="422"/>
      <c r="N138" s="422"/>
      <c r="O138" s="422"/>
      <c r="P138" s="422"/>
      <c r="Q138" s="422"/>
      <c r="R138" s="2"/>
      <c r="S138" s="2"/>
      <c r="T138" s="2"/>
      <c r="U138" s="2"/>
    </row>
    <row r="139" spans="1:21" x14ac:dyDescent="0.25">
      <c r="A139" s="2"/>
      <c r="B139" s="422"/>
      <c r="C139" s="422"/>
      <c r="D139" s="632"/>
      <c r="E139" s="19"/>
      <c r="F139" s="632"/>
      <c r="G139" s="422"/>
      <c r="H139" s="422"/>
      <c r="I139" s="422"/>
      <c r="J139" s="422"/>
      <c r="K139" s="422"/>
      <c r="L139" s="422"/>
      <c r="M139" s="422"/>
      <c r="N139" s="422"/>
      <c r="O139" s="422"/>
      <c r="P139" s="422"/>
      <c r="Q139" s="422"/>
      <c r="R139" s="2"/>
      <c r="S139" s="2"/>
      <c r="T139" s="2"/>
      <c r="U139" s="2"/>
    </row>
    <row r="140" spans="1:21" x14ac:dyDescent="0.25">
      <c r="A140" s="2"/>
      <c r="B140" s="422"/>
      <c r="C140" s="422"/>
      <c r="D140" s="632"/>
      <c r="E140" s="19"/>
      <c r="F140" s="632"/>
      <c r="G140" s="422"/>
      <c r="H140" s="422"/>
      <c r="I140" s="422"/>
      <c r="J140" s="422"/>
      <c r="K140" s="422"/>
      <c r="L140" s="422"/>
      <c r="M140" s="422"/>
      <c r="N140" s="422"/>
      <c r="O140" s="422"/>
      <c r="P140" s="422"/>
      <c r="Q140" s="422"/>
      <c r="R140" s="2"/>
      <c r="S140" s="2"/>
      <c r="T140" s="2"/>
      <c r="U140" s="2"/>
    </row>
    <row r="141" spans="1:21" x14ac:dyDescent="0.25">
      <c r="A141" s="2"/>
      <c r="B141" s="422"/>
      <c r="C141" s="422"/>
      <c r="D141" s="632"/>
      <c r="E141" s="19"/>
      <c r="F141" s="632"/>
      <c r="G141" s="422"/>
      <c r="H141" s="422"/>
      <c r="I141" s="422"/>
      <c r="J141" s="422"/>
      <c r="K141" s="422"/>
      <c r="L141" s="422"/>
      <c r="M141" s="422"/>
      <c r="N141" s="422"/>
      <c r="O141" s="422"/>
      <c r="P141" s="422"/>
      <c r="Q141" s="422"/>
      <c r="R141" s="2"/>
      <c r="S141" s="2"/>
      <c r="T141" s="2"/>
      <c r="U141" s="2"/>
    </row>
    <row r="142" spans="1:21" x14ac:dyDescent="0.25">
      <c r="A142" s="2"/>
      <c r="B142" s="422"/>
      <c r="C142" s="422"/>
      <c r="D142" s="632"/>
      <c r="E142" s="19"/>
      <c r="F142" s="632"/>
      <c r="G142" s="422"/>
      <c r="H142" s="422"/>
      <c r="I142" s="422"/>
      <c r="J142" s="422"/>
      <c r="K142" s="422"/>
      <c r="L142" s="422"/>
      <c r="M142" s="422"/>
      <c r="N142" s="422"/>
      <c r="O142" s="422"/>
      <c r="P142" s="422"/>
      <c r="Q142" s="422"/>
      <c r="R142" s="2"/>
      <c r="S142" s="2"/>
      <c r="T142" s="2"/>
      <c r="U142" s="2"/>
    </row>
    <row r="143" spans="1:21" x14ac:dyDescent="0.25">
      <c r="A143" s="2"/>
      <c r="B143" s="422"/>
      <c r="C143" s="422"/>
      <c r="D143" s="632"/>
      <c r="E143" s="19"/>
      <c r="F143" s="632"/>
      <c r="G143" s="422"/>
      <c r="H143" s="422"/>
      <c r="I143" s="422"/>
      <c r="J143" s="422"/>
      <c r="K143" s="422"/>
      <c r="L143" s="422"/>
      <c r="M143" s="422"/>
      <c r="N143" s="422"/>
      <c r="O143" s="422"/>
      <c r="P143" s="422"/>
      <c r="Q143" s="422"/>
      <c r="R143" s="2"/>
      <c r="S143" s="2"/>
      <c r="T143" s="2"/>
      <c r="U143" s="2"/>
    </row>
    <row r="144" spans="1:21" x14ac:dyDescent="0.25">
      <c r="A144" s="2"/>
      <c r="B144" s="422"/>
      <c r="C144" s="422"/>
      <c r="D144" s="632"/>
      <c r="E144" s="19"/>
      <c r="F144" s="632"/>
      <c r="G144" s="422"/>
      <c r="H144" s="422"/>
      <c r="I144" s="422"/>
      <c r="J144" s="422"/>
      <c r="K144" s="422"/>
      <c r="L144" s="422"/>
      <c r="M144" s="422"/>
      <c r="N144" s="422"/>
      <c r="O144" s="744"/>
      <c r="P144" s="422"/>
      <c r="Q144" s="422"/>
      <c r="R144" s="2"/>
      <c r="S144" s="2"/>
      <c r="T144" s="2"/>
      <c r="U144" s="2"/>
    </row>
    <row r="145" spans="1:21" s="421" customFormat="1" x14ac:dyDescent="0.25">
      <c r="A145" s="422"/>
      <c r="B145" s="422"/>
      <c r="C145" s="422"/>
      <c r="D145" s="787"/>
      <c r="E145" s="19"/>
      <c r="F145" s="787"/>
      <c r="G145" s="422"/>
      <c r="H145" s="422"/>
      <c r="I145" s="422"/>
      <c r="J145" s="422"/>
      <c r="K145" s="422"/>
      <c r="L145" s="422"/>
      <c r="M145" s="422"/>
      <c r="N145" s="422"/>
      <c r="O145" s="744"/>
      <c r="P145" s="422"/>
      <c r="Q145" s="422"/>
      <c r="R145" s="422"/>
      <c r="S145" s="422"/>
      <c r="T145" s="422"/>
      <c r="U145" s="422"/>
    </row>
    <row r="146" spans="1:21" s="421" customFormat="1" x14ac:dyDescent="0.25">
      <c r="A146" s="422"/>
      <c r="B146" s="422"/>
      <c r="C146" s="422"/>
      <c r="D146" s="787"/>
      <c r="E146" s="19"/>
      <c r="F146" s="787"/>
      <c r="G146" s="422"/>
      <c r="H146" s="422"/>
      <c r="I146" s="422"/>
      <c r="J146" s="422"/>
      <c r="K146" s="422"/>
      <c r="L146" s="422"/>
      <c r="M146" s="422"/>
      <c r="N146" s="422"/>
      <c r="O146" s="744"/>
      <c r="P146" s="422"/>
      <c r="Q146" s="422"/>
      <c r="R146" s="422"/>
      <c r="S146" s="422"/>
      <c r="T146" s="422"/>
      <c r="U146" s="422"/>
    </row>
    <row r="147" spans="1:21" s="421" customFormat="1" x14ac:dyDescent="0.25">
      <c r="A147" s="422"/>
      <c r="B147" s="422"/>
      <c r="C147" s="422"/>
      <c r="D147" s="787"/>
      <c r="E147" s="19"/>
      <c r="F147" s="787"/>
      <c r="G147" s="422"/>
      <c r="H147" s="422"/>
      <c r="I147" s="422"/>
      <c r="J147" s="422"/>
      <c r="K147" s="422"/>
      <c r="L147" s="422"/>
      <c r="M147" s="422"/>
      <c r="N147" s="422"/>
      <c r="O147" s="744"/>
      <c r="P147" s="422"/>
      <c r="Q147" s="422"/>
      <c r="R147" s="422"/>
      <c r="S147" s="422"/>
      <c r="T147" s="422"/>
      <c r="U147" s="422"/>
    </row>
    <row r="148" spans="1:21" s="421" customFormat="1" x14ac:dyDescent="0.25">
      <c r="A148" s="422"/>
      <c r="B148" s="422"/>
      <c r="C148" s="422"/>
      <c r="D148" s="787"/>
      <c r="E148" s="19"/>
      <c r="F148" s="787"/>
      <c r="G148" s="422"/>
      <c r="H148" s="422"/>
      <c r="I148" s="422"/>
      <c r="J148" s="422"/>
      <c r="K148" s="422"/>
      <c r="L148" s="422"/>
      <c r="M148" s="422"/>
      <c r="N148" s="422"/>
      <c r="O148" s="744"/>
      <c r="P148" s="422"/>
      <c r="Q148" s="422"/>
      <c r="R148" s="422"/>
      <c r="S148" s="422"/>
      <c r="T148" s="422"/>
      <c r="U148" s="422"/>
    </row>
    <row r="149" spans="1:21" s="421" customFormat="1" x14ac:dyDescent="0.25">
      <c r="A149" s="422"/>
      <c r="B149" s="422"/>
      <c r="C149" s="422"/>
      <c r="D149" s="787"/>
      <c r="E149" s="19"/>
      <c r="F149" s="787"/>
      <c r="G149" s="422"/>
      <c r="H149" s="422"/>
      <c r="I149" s="422"/>
      <c r="J149" s="422"/>
      <c r="K149" s="422"/>
      <c r="L149" s="422"/>
      <c r="M149" s="422"/>
      <c r="N149" s="422"/>
      <c r="O149" s="744"/>
      <c r="P149" s="422"/>
      <c r="Q149" s="422"/>
      <c r="R149" s="422"/>
      <c r="S149" s="422"/>
      <c r="T149" s="422"/>
      <c r="U149" s="422"/>
    </row>
    <row r="150" spans="1:21" s="421" customFormat="1" x14ac:dyDescent="0.25">
      <c r="A150" s="422"/>
      <c r="B150" s="422"/>
      <c r="C150" s="422"/>
      <c r="D150" s="787"/>
      <c r="E150" s="19"/>
      <c r="F150" s="787"/>
      <c r="G150" s="422"/>
      <c r="H150" s="422"/>
      <c r="I150" s="422"/>
      <c r="J150" s="422"/>
      <c r="K150" s="422"/>
      <c r="L150" s="422"/>
      <c r="M150" s="422"/>
      <c r="N150" s="422"/>
      <c r="O150" s="744"/>
      <c r="P150" s="422"/>
      <c r="Q150" s="422"/>
      <c r="R150" s="422"/>
      <c r="S150" s="422"/>
      <c r="T150" s="422"/>
      <c r="U150" s="422"/>
    </row>
    <row r="151" spans="1:21" x14ac:dyDescent="0.25">
      <c r="A151" s="2"/>
      <c r="B151" s="422"/>
      <c r="C151" s="422"/>
      <c r="D151" s="63"/>
      <c r="E151" s="422"/>
      <c r="F151" s="422"/>
      <c r="G151" s="422"/>
      <c r="H151" s="422"/>
      <c r="I151" s="422"/>
      <c r="J151" s="422"/>
      <c r="K151" s="422"/>
      <c r="L151" s="422"/>
      <c r="M151" s="422"/>
      <c r="N151" s="422"/>
      <c r="O151" s="422"/>
      <c r="P151" s="422"/>
      <c r="Q151" s="422"/>
      <c r="R151" s="2"/>
      <c r="S151" s="2"/>
      <c r="T151" s="2"/>
      <c r="U151" s="2"/>
    </row>
    <row r="152" spans="1:21" x14ac:dyDescent="0.25">
      <c r="A152" s="2"/>
      <c r="B152" s="422"/>
      <c r="C152" s="1" t="s">
        <v>424</v>
      </c>
      <c r="D152" s="63"/>
      <c r="E152" s="422"/>
      <c r="F152" s="422"/>
      <c r="G152" s="422"/>
      <c r="H152" s="422"/>
      <c r="I152" s="422"/>
      <c r="J152" s="422"/>
      <c r="K152" s="422"/>
      <c r="L152" s="422"/>
      <c r="M152" s="422"/>
      <c r="N152" s="422"/>
      <c r="O152" s="422"/>
      <c r="P152" s="422"/>
      <c r="Q152" s="422"/>
      <c r="R152" s="2"/>
      <c r="S152" s="2"/>
      <c r="T152" s="2"/>
      <c r="U152" s="2"/>
    </row>
    <row r="153" spans="1:21" ht="15.75" thickBot="1" x14ac:dyDescent="0.3">
      <c r="A153" s="2"/>
      <c r="B153" s="422"/>
      <c r="C153" s="422"/>
      <c r="D153" s="63"/>
      <c r="E153" s="422"/>
      <c r="F153" s="422"/>
      <c r="G153" s="422"/>
      <c r="H153" s="422"/>
      <c r="I153" s="422"/>
      <c r="J153" s="422"/>
      <c r="K153" s="422"/>
      <c r="L153" s="422"/>
      <c r="M153" s="422"/>
      <c r="N153" s="422"/>
      <c r="O153" s="422"/>
      <c r="P153" s="422"/>
      <c r="Q153" s="422"/>
      <c r="R153" s="2"/>
      <c r="S153" s="2"/>
      <c r="T153" s="2"/>
      <c r="U153" s="2"/>
    </row>
    <row r="154" spans="1:21" ht="19.5" thickTop="1" thickBot="1" x14ac:dyDescent="0.3">
      <c r="A154" s="2"/>
      <c r="B154" s="422"/>
      <c r="C154" s="422" t="s">
        <v>425</v>
      </c>
      <c r="D154" s="432" t="s">
        <v>426</v>
      </c>
      <c r="E154" s="179">
        <v>1</v>
      </c>
      <c r="F154" s="422"/>
      <c r="G154" s="422"/>
      <c r="H154" s="422"/>
      <c r="I154" s="422"/>
      <c r="J154" s="422"/>
      <c r="K154" s="422"/>
      <c r="L154" s="422"/>
      <c r="M154" s="422"/>
      <c r="N154" s="422"/>
      <c r="O154" s="422"/>
      <c r="P154" s="422"/>
      <c r="Q154" s="422"/>
      <c r="R154" s="2"/>
      <c r="S154" s="2"/>
      <c r="T154" s="2"/>
      <c r="U154" s="2"/>
    </row>
    <row r="155" spans="1:21" ht="19.5" thickTop="1" thickBot="1" x14ac:dyDescent="0.3">
      <c r="A155" s="2"/>
      <c r="B155" s="422"/>
      <c r="C155" s="422" t="s">
        <v>427</v>
      </c>
      <c r="D155" s="432" t="s">
        <v>428</v>
      </c>
      <c r="E155" s="179">
        <v>1</v>
      </c>
      <c r="F155" s="422"/>
      <c r="G155" s="430"/>
      <c r="H155" s="430"/>
      <c r="I155" s="430"/>
      <c r="J155" s="430"/>
      <c r="K155" s="422"/>
      <c r="L155" s="422"/>
      <c r="M155" s="422"/>
      <c r="N155" s="422"/>
      <c r="O155" s="422"/>
      <c r="P155" s="422"/>
      <c r="Q155" s="422"/>
      <c r="R155" s="2"/>
      <c r="S155" s="2"/>
      <c r="T155" s="2"/>
      <c r="U155" s="2"/>
    </row>
    <row r="156" spans="1:21" ht="15.75" thickTop="1" x14ac:dyDescent="0.25">
      <c r="A156" s="2"/>
      <c r="B156" s="422"/>
      <c r="C156" s="422"/>
      <c r="D156" s="422"/>
      <c r="E156" s="422"/>
      <c r="F156" s="422"/>
      <c r="G156" s="124"/>
      <c r="H156" s="422"/>
      <c r="I156" s="422"/>
      <c r="J156" s="422"/>
      <c r="K156" s="422"/>
      <c r="L156" s="422"/>
      <c r="M156" s="422"/>
      <c r="N156" s="422"/>
      <c r="O156" s="422"/>
      <c r="P156" s="422"/>
      <c r="Q156" s="422"/>
      <c r="R156" s="2"/>
      <c r="S156" s="2"/>
      <c r="T156" s="2"/>
      <c r="U156" s="2"/>
    </row>
    <row r="157" spans="1:21" x14ac:dyDescent="0.25">
      <c r="A157" s="2"/>
      <c r="B157" s="422"/>
      <c r="C157" s="1" t="s">
        <v>429</v>
      </c>
      <c r="D157" s="422"/>
      <c r="E157" s="422"/>
      <c r="F157" s="422"/>
      <c r="G157" s="422"/>
      <c r="H157" s="422"/>
      <c r="I157" s="422"/>
      <c r="J157" s="422"/>
      <c r="K157" s="422"/>
      <c r="L157" s="422"/>
      <c r="M157" s="422"/>
      <c r="N157" s="422"/>
      <c r="O157" s="744"/>
      <c r="P157" s="422"/>
      <c r="Q157" s="422"/>
      <c r="R157" s="2"/>
      <c r="S157" s="2"/>
      <c r="T157" s="2"/>
      <c r="U157" s="2"/>
    </row>
    <row r="158" spans="1:21" ht="12.75" customHeight="1" x14ac:dyDescent="0.25">
      <c r="A158" s="2"/>
      <c r="B158" s="422"/>
      <c r="C158" s="1"/>
      <c r="D158" s="422"/>
      <c r="E158" s="422"/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2"/>
      <c r="S158" s="2"/>
      <c r="T158" s="2"/>
      <c r="U158" s="2"/>
    </row>
    <row r="159" spans="1:21" x14ac:dyDescent="0.25">
      <c r="A159" s="2"/>
      <c r="B159" s="422"/>
      <c r="C159" s="433" t="s">
        <v>430</v>
      </c>
      <c r="D159" s="422"/>
      <c r="E159" s="422"/>
      <c r="F159" s="422"/>
      <c r="G159" s="422"/>
      <c r="H159" s="422"/>
      <c r="I159" s="422"/>
      <c r="J159" s="422"/>
      <c r="K159" s="422"/>
      <c r="L159" s="422"/>
      <c r="M159" s="422"/>
      <c r="N159" s="422"/>
      <c r="O159" s="422"/>
      <c r="P159" s="422"/>
      <c r="Q159" s="422"/>
      <c r="R159" s="2"/>
      <c r="S159" s="2"/>
      <c r="T159" s="2"/>
      <c r="U159" s="2"/>
    </row>
    <row r="160" spans="1:21" x14ac:dyDescent="0.25">
      <c r="A160" s="2"/>
      <c r="B160" s="422"/>
      <c r="C160" s="433"/>
      <c r="D160" s="422"/>
      <c r="E160" s="422"/>
      <c r="F160" s="422"/>
      <c r="G160" s="422"/>
      <c r="H160" s="422"/>
      <c r="I160" s="422"/>
      <c r="J160" s="422"/>
      <c r="K160" s="422"/>
      <c r="L160" s="422"/>
      <c r="M160" s="422"/>
      <c r="N160" s="422"/>
      <c r="O160" s="422"/>
      <c r="P160" s="422"/>
      <c r="Q160" s="422"/>
      <c r="R160" s="2"/>
      <c r="S160" s="2"/>
      <c r="T160" s="2"/>
      <c r="U160" s="2"/>
    </row>
    <row r="161" spans="1:21" ht="15.75" thickBot="1" x14ac:dyDescent="0.3">
      <c r="A161" s="2"/>
      <c r="B161" s="422"/>
      <c r="C161" s="433" t="s">
        <v>431</v>
      </c>
      <c r="D161" s="422"/>
      <c r="E161" s="422"/>
      <c r="F161" s="422"/>
      <c r="G161" s="422"/>
      <c r="H161" s="422"/>
      <c r="I161" s="422"/>
      <c r="J161" s="422"/>
      <c r="K161" s="422"/>
      <c r="L161" s="422"/>
      <c r="M161" s="422"/>
      <c r="N161" s="422"/>
      <c r="O161" s="422"/>
      <c r="P161" s="422"/>
      <c r="Q161" s="422"/>
      <c r="R161" s="2"/>
      <c r="S161" s="2"/>
      <c r="T161" s="2"/>
      <c r="U161" s="2"/>
    </row>
    <row r="162" spans="1:21" ht="16.5" thickTop="1" thickBot="1" x14ac:dyDescent="0.3">
      <c r="A162" s="2"/>
      <c r="B162" s="422"/>
      <c r="C162" s="422" t="s">
        <v>432</v>
      </c>
      <c r="D162" s="423" t="s">
        <v>433</v>
      </c>
      <c r="E162" s="657">
        <v>7</v>
      </c>
      <c r="F162" s="632"/>
      <c r="G162" s="745" t="str">
        <f>IF(DATI!E162&gt;('FOGLIO DEPOSITO'!W223*'FOGLIO DEPOSITO'!W227+'FOGLIO DEPOSITO'!W229*'FOGLIO DEPOSITO'!W233+'FOGLIO DEPOSITO'!W235*'FOGLIO DEPOSITO'!W239)/G209,"Se l'inclinazione è maggiore di ϕ' il terreno a monte slitta a valle!","")</f>
        <v/>
      </c>
      <c r="H162" s="123"/>
      <c r="I162" s="422"/>
      <c r="J162" s="422"/>
      <c r="K162" s="422"/>
      <c r="L162" s="422"/>
      <c r="M162" s="422"/>
      <c r="N162" s="422"/>
      <c r="O162" s="422"/>
      <c r="P162" s="422"/>
      <c r="Q162" s="422"/>
      <c r="R162" s="2"/>
      <c r="S162" s="2"/>
      <c r="T162" s="2"/>
      <c r="U162" s="2"/>
    </row>
    <row r="163" spans="1:21" ht="15.75" thickTop="1" x14ac:dyDescent="0.25">
      <c r="A163" s="2"/>
      <c r="B163" s="422"/>
      <c r="C163" s="422"/>
      <c r="D163" s="423" t="s">
        <v>434</v>
      </c>
      <c r="E163" s="746">
        <f>TAN(DATI!E162*PI()/180)*100</f>
        <v>12.27845609029046</v>
      </c>
      <c r="F163" s="632"/>
      <c r="G163" s="649"/>
      <c r="H163" s="123"/>
      <c r="I163" s="422"/>
      <c r="J163" s="422"/>
      <c r="K163" s="422"/>
      <c r="L163" s="422"/>
      <c r="M163" s="422"/>
      <c r="N163" s="422"/>
      <c r="O163" s="422"/>
      <c r="P163" s="422"/>
      <c r="Q163" s="422"/>
      <c r="R163" s="2"/>
      <c r="S163" s="2"/>
      <c r="T163" s="2"/>
      <c r="U163" s="2"/>
    </row>
    <row r="164" spans="1:21" x14ac:dyDescent="0.25">
      <c r="A164" s="2"/>
      <c r="B164" s="422"/>
      <c r="C164" s="433" t="s">
        <v>435</v>
      </c>
      <c r="D164" s="423"/>
      <c r="E164" s="747"/>
      <c r="F164" s="632"/>
      <c r="G164" s="649"/>
      <c r="H164" s="123"/>
      <c r="I164" s="422"/>
      <c r="J164" s="422"/>
      <c r="K164" s="422"/>
      <c r="L164" s="422"/>
      <c r="M164" s="422"/>
      <c r="N164" s="422"/>
      <c r="O164" s="422"/>
      <c r="P164" s="422"/>
      <c r="Q164" s="422"/>
      <c r="R164" s="2"/>
      <c r="S164" s="2"/>
      <c r="T164" s="2"/>
      <c r="U164" s="2"/>
    </row>
    <row r="165" spans="1:21" x14ac:dyDescent="0.25">
      <c r="A165" s="2"/>
      <c r="B165" s="422"/>
      <c r="C165" s="379" t="s">
        <v>436</v>
      </c>
      <c r="D165" s="422"/>
      <c r="E165" s="422"/>
      <c r="F165" s="422"/>
      <c r="G165" s="422"/>
      <c r="H165" s="422"/>
      <c r="I165" s="422"/>
      <c r="J165" s="422"/>
      <c r="K165" s="422"/>
      <c r="L165" s="422"/>
      <c r="M165" s="422"/>
      <c r="N165" s="422"/>
      <c r="O165" s="422"/>
      <c r="P165" s="422"/>
      <c r="Q165" s="422"/>
      <c r="R165" s="2"/>
      <c r="S165" s="2"/>
      <c r="T165" s="2"/>
      <c r="U165" s="2"/>
    </row>
    <row r="166" spans="1:21" ht="11.25" customHeight="1" thickBot="1" x14ac:dyDescent="0.3">
      <c r="A166" s="2"/>
      <c r="B166" s="422"/>
      <c r="C166" s="422"/>
      <c r="D166" s="422"/>
      <c r="E166" s="422"/>
      <c r="F166" s="422"/>
      <c r="G166" s="422"/>
      <c r="H166" s="422"/>
      <c r="I166" s="422"/>
      <c r="J166" s="422"/>
      <c r="K166" s="422"/>
      <c r="L166" s="422"/>
      <c r="M166" s="422"/>
      <c r="N166" s="422"/>
      <c r="O166" s="422"/>
      <c r="P166" s="422"/>
      <c r="Q166" s="422"/>
      <c r="R166" s="2"/>
      <c r="S166" s="2"/>
      <c r="T166" s="2"/>
      <c r="U166" s="2"/>
    </row>
    <row r="167" spans="1:21" ht="16.5" customHeight="1" thickTop="1" thickBot="1" x14ac:dyDescent="0.3">
      <c r="A167" s="2"/>
      <c r="B167" s="422"/>
      <c r="C167" s="422" t="s">
        <v>437</v>
      </c>
      <c r="D167" s="423" t="s">
        <v>61</v>
      </c>
      <c r="E167" s="657">
        <v>32</v>
      </c>
      <c r="F167" s="632"/>
      <c r="G167" s="890" t="s">
        <v>255</v>
      </c>
      <c r="H167" s="891"/>
      <c r="I167" s="422"/>
      <c r="J167" s="422"/>
      <c r="K167" s="422"/>
      <c r="L167" s="422"/>
      <c r="M167" s="422"/>
      <c r="N167" s="422"/>
      <c r="O167" s="422"/>
      <c r="P167" s="422"/>
      <c r="Q167" s="422"/>
      <c r="R167" s="2"/>
      <c r="S167" s="2"/>
      <c r="T167" s="2"/>
      <c r="U167" s="2"/>
    </row>
    <row r="168" spans="1:21" ht="16.5" thickTop="1" thickBot="1" x14ac:dyDescent="0.3">
      <c r="A168" s="2"/>
      <c r="B168" s="422"/>
      <c r="C168" s="422" t="s">
        <v>438</v>
      </c>
      <c r="D168" s="423" t="s">
        <v>439</v>
      </c>
      <c r="E168" s="219">
        <v>18</v>
      </c>
      <c r="F168" s="632"/>
      <c r="G168" s="892"/>
      <c r="H168" s="893"/>
      <c r="I168" s="422"/>
      <c r="J168" s="422"/>
      <c r="K168" s="422"/>
      <c r="L168" s="437"/>
      <c r="M168" s="422"/>
      <c r="N168" s="422"/>
      <c r="O168" s="422"/>
      <c r="P168" s="422"/>
      <c r="Q168" s="422"/>
      <c r="R168" s="2"/>
      <c r="S168" s="2"/>
      <c r="T168" s="2"/>
      <c r="U168" s="2"/>
    </row>
    <row r="169" spans="1:21" ht="16.5" customHeight="1" thickTop="1" thickBot="1" x14ac:dyDescent="0.3">
      <c r="A169" s="2"/>
      <c r="B169" s="422"/>
      <c r="C169" s="422" t="s">
        <v>440</v>
      </c>
      <c r="D169" s="624" t="s">
        <v>441</v>
      </c>
      <c r="E169" s="182">
        <v>0</v>
      </c>
      <c r="F169" s="632"/>
      <c r="G169" s="892"/>
      <c r="H169" s="893"/>
      <c r="I169" s="422"/>
      <c r="J169" s="422"/>
      <c r="K169" s="422"/>
      <c r="L169" s="422"/>
      <c r="M169" s="422"/>
      <c r="N169" s="422"/>
      <c r="O169" s="422"/>
      <c r="P169" s="422"/>
      <c r="Q169" s="422"/>
      <c r="R169" s="2"/>
      <c r="S169" s="2"/>
      <c r="T169" s="2"/>
      <c r="U169" s="2"/>
    </row>
    <row r="170" spans="1:21" ht="16.5" customHeight="1" thickTop="1" thickBot="1" x14ac:dyDescent="0.3">
      <c r="A170" s="2"/>
      <c r="B170" s="422"/>
      <c r="C170" s="422" t="s">
        <v>442</v>
      </c>
      <c r="D170" s="624" t="s">
        <v>443</v>
      </c>
      <c r="E170" s="182">
        <v>0</v>
      </c>
      <c r="F170" s="632"/>
      <c r="G170" s="892"/>
      <c r="H170" s="893"/>
      <c r="I170" s="422"/>
      <c r="J170" s="422"/>
      <c r="K170" s="422"/>
      <c r="L170" s="422"/>
      <c r="M170" s="422"/>
      <c r="N170" s="422"/>
      <c r="O170" s="422"/>
      <c r="P170" s="422"/>
      <c r="Q170" s="422"/>
      <c r="R170" s="2"/>
      <c r="S170" s="2"/>
      <c r="T170" s="2"/>
      <c r="U170" s="2"/>
    </row>
    <row r="171" spans="1:21" ht="16.5" customHeight="1" thickTop="1" thickBot="1" x14ac:dyDescent="0.3">
      <c r="A171" s="2"/>
      <c r="B171" s="422"/>
      <c r="C171" s="422" t="s">
        <v>444</v>
      </c>
      <c r="D171" s="423" t="s">
        <v>445</v>
      </c>
      <c r="E171" s="181">
        <v>5.03206159226088</v>
      </c>
      <c r="F171" s="632"/>
      <c r="G171" s="894"/>
      <c r="H171" s="895"/>
      <c r="I171" s="422"/>
      <c r="J171" s="422"/>
      <c r="K171" s="422"/>
      <c r="L171" s="649"/>
      <c r="M171" s="422"/>
      <c r="N171" s="422"/>
      <c r="O171" s="422"/>
      <c r="P171" s="422"/>
      <c r="Q171" s="422"/>
      <c r="R171" s="2"/>
      <c r="S171" s="2"/>
      <c r="T171" s="2"/>
      <c r="U171" s="2"/>
    </row>
    <row r="172" spans="1:21" ht="16.5" customHeight="1" thickTop="1" thickBot="1" x14ac:dyDescent="0.35">
      <c r="A172" s="2"/>
      <c r="B172" s="422"/>
      <c r="C172" s="748" t="str">
        <f>IF('FOGLIO DEPOSITO'!W227&gt;G209,"AGGIORNA ALTEZZA DELLO STRATO 1 !!","")</f>
        <v/>
      </c>
      <c r="D172" s="423"/>
      <c r="E172" s="19"/>
      <c r="F172" s="632"/>
      <c r="G172" s="123"/>
      <c r="H172" s="123"/>
      <c r="I172" s="422"/>
      <c r="J172" s="422"/>
      <c r="K172" s="422"/>
      <c r="L172" s="422"/>
      <c r="M172" s="422"/>
      <c r="N172" s="422"/>
      <c r="O172" s="422"/>
      <c r="P172" s="422"/>
      <c r="Q172" s="422"/>
      <c r="R172" s="2"/>
      <c r="S172" s="2"/>
      <c r="T172" s="2"/>
      <c r="U172" s="2"/>
    </row>
    <row r="173" spans="1:21" ht="16.5" customHeight="1" thickTop="1" thickBot="1" x14ac:dyDescent="0.3">
      <c r="A173" s="2"/>
      <c r="B173" s="422"/>
      <c r="C173" s="422" t="s">
        <v>437</v>
      </c>
      <c r="D173" s="423" t="s">
        <v>61</v>
      </c>
      <c r="E173" s="657">
        <v>32</v>
      </c>
      <c r="F173" s="632"/>
      <c r="G173" s="890" t="s">
        <v>257</v>
      </c>
      <c r="H173" s="891"/>
      <c r="I173" s="422"/>
      <c r="J173" s="422"/>
      <c r="K173" s="422"/>
      <c r="L173" s="422"/>
      <c r="M173" s="422"/>
      <c r="N173" s="422"/>
      <c r="O173" s="422"/>
      <c r="P173" s="422"/>
      <c r="Q173" s="422"/>
      <c r="R173" s="2"/>
      <c r="S173" s="2"/>
      <c r="T173" s="2"/>
      <c r="U173" s="2"/>
    </row>
    <row r="174" spans="1:21" ht="16.5" customHeight="1" thickTop="1" thickBot="1" x14ac:dyDescent="0.3">
      <c r="A174" s="2"/>
      <c r="B174" s="422"/>
      <c r="C174" s="422" t="s">
        <v>438</v>
      </c>
      <c r="D174" s="423" t="s">
        <v>439</v>
      </c>
      <c r="E174" s="219">
        <v>18</v>
      </c>
      <c r="F174" s="632"/>
      <c r="G174" s="892"/>
      <c r="H174" s="893"/>
      <c r="I174" s="422"/>
      <c r="J174" s="422"/>
      <c r="K174" s="422"/>
      <c r="L174" s="422"/>
      <c r="M174" s="749"/>
      <c r="N174" s="749"/>
      <c r="O174" s="422"/>
      <c r="P174" s="422"/>
      <c r="Q174" s="749"/>
      <c r="R174" s="2"/>
      <c r="S174" s="2"/>
      <c r="T174" s="2"/>
      <c r="U174" s="2"/>
    </row>
    <row r="175" spans="1:21" ht="16.5" customHeight="1" thickTop="1" thickBot="1" x14ac:dyDescent="0.3">
      <c r="A175" s="2"/>
      <c r="B175" s="422"/>
      <c r="C175" s="422" t="s">
        <v>440</v>
      </c>
      <c r="D175" s="624" t="s">
        <v>441</v>
      </c>
      <c r="E175" s="182">
        <v>0</v>
      </c>
      <c r="F175" s="632"/>
      <c r="G175" s="892"/>
      <c r="H175" s="893"/>
      <c r="I175" s="422"/>
      <c r="J175" s="422"/>
      <c r="K175" s="422"/>
      <c r="L175" s="422"/>
      <c r="M175" s="422"/>
      <c r="N175" s="422"/>
      <c r="O175" s="422"/>
      <c r="P175" s="422"/>
      <c r="Q175" s="422"/>
      <c r="R175" s="2"/>
      <c r="S175" s="2"/>
      <c r="T175" s="2"/>
      <c r="U175" s="2"/>
    </row>
    <row r="176" spans="1:21" ht="16.5" customHeight="1" thickTop="1" thickBot="1" x14ac:dyDescent="0.3">
      <c r="A176" s="2"/>
      <c r="B176" s="422"/>
      <c r="C176" s="422" t="s">
        <v>442</v>
      </c>
      <c r="D176" s="624" t="s">
        <v>443</v>
      </c>
      <c r="E176" s="182">
        <v>0</v>
      </c>
      <c r="F176" s="632"/>
      <c r="G176" s="892"/>
      <c r="H176" s="893"/>
      <c r="I176" s="422"/>
      <c r="J176" s="422"/>
      <c r="K176" s="422"/>
      <c r="L176" s="422"/>
      <c r="M176" s="422"/>
      <c r="N176" s="422"/>
      <c r="O176" s="422"/>
      <c r="P176" s="422"/>
      <c r="Q176" s="422"/>
      <c r="R176" s="2"/>
      <c r="S176" s="2"/>
      <c r="T176" s="2"/>
      <c r="U176" s="2"/>
    </row>
    <row r="177" spans="1:21" ht="16.5" customHeight="1" thickTop="1" thickBot="1" x14ac:dyDescent="0.3">
      <c r="A177" s="2"/>
      <c r="B177" s="422"/>
      <c r="C177" s="422" t="s">
        <v>444</v>
      </c>
      <c r="D177" s="423" t="s">
        <v>445</v>
      </c>
      <c r="E177" s="181">
        <v>0</v>
      </c>
      <c r="F177" s="632"/>
      <c r="G177" s="894"/>
      <c r="H177" s="895"/>
      <c r="I177" s="422"/>
      <c r="J177" s="422"/>
      <c r="K177" s="422"/>
      <c r="L177" s="422"/>
      <c r="M177" s="422"/>
      <c r="N177" s="422"/>
      <c r="O177" s="422"/>
      <c r="P177" s="422"/>
      <c r="Q177" s="422"/>
      <c r="R177" s="2"/>
      <c r="S177" s="2"/>
      <c r="T177" s="2"/>
      <c r="U177" s="2"/>
    </row>
    <row r="178" spans="1:21" ht="16.5" customHeight="1" thickTop="1" thickBot="1" x14ac:dyDescent="0.35">
      <c r="A178" s="2"/>
      <c r="B178" s="422"/>
      <c r="C178" s="748" t="str">
        <f>IF(ROUND('FOGLIO DEPOSITO'!W239,3)&lt;0,"AGGIORNA ALTEZZA DELLO STRATO 2 !!","")</f>
        <v/>
      </c>
      <c r="D178" s="423"/>
      <c r="E178" s="19"/>
      <c r="F178" s="632"/>
      <c r="G178" s="123"/>
      <c r="H178" s="123"/>
      <c r="I178" s="422"/>
      <c r="J178" s="422"/>
      <c r="K178" s="422"/>
      <c r="L178" s="422"/>
      <c r="M178" s="422"/>
      <c r="N178" s="422"/>
      <c r="O178" s="422"/>
      <c r="P178" s="422"/>
      <c r="Q178" s="422"/>
      <c r="R178" s="2"/>
      <c r="S178" s="2"/>
      <c r="T178" s="2"/>
      <c r="U178" s="2"/>
    </row>
    <row r="179" spans="1:21" ht="16.5" customHeight="1" thickTop="1" thickBot="1" x14ac:dyDescent="0.3">
      <c r="A179" s="2"/>
      <c r="B179" s="422"/>
      <c r="C179" s="422" t="s">
        <v>437</v>
      </c>
      <c r="D179" s="423" t="s">
        <v>61</v>
      </c>
      <c r="E179" s="657">
        <v>34</v>
      </c>
      <c r="F179" s="632"/>
      <c r="G179" s="890" t="s">
        <v>263</v>
      </c>
      <c r="H179" s="891"/>
      <c r="I179" s="422"/>
      <c r="J179" s="422"/>
      <c r="K179" s="422"/>
      <c r="L179" s="422"/>
      <c r="M179" s="422"/>
      <c r="N179" s="422"/>
      <c r="O179" s="422"/>
      <c r="P179" s="422"/>
      <c r="Q179" s="422"/>
      <c r="R179" s="2"/>
      <c r="S179" s="2"/>
      <c r="T179" s="2"/>
      <c r="U179" s="2"/>
    </row>
    <row r="180" spans="1:21" ht="16.5" customHeight="1" thickTop="1" thickBot="1" x14ac:dyDescent="0.3">
      <c r="A180" s="2"/>
      <c r="B180" s="422"/>
      <c r="C180" s="422" t="s">
        <v>438</v>
      </c>
      <c r="D180" s="423" t="s">
        <v>439</v>
      </c>
      <c r="E180" s="219">
        <v>18</v>
      </c>
      <c r="F180" s="632"/>
      <c r="G180" s="892"/>
      <c r="H180" s="893"/>
      <c r="I180" s="422"/>
      <c r="J180" s="422"/>
      <c r="K180" s="422"/>
      <c r="L180" s="422"/>
      <c r="M180" s="422"/>
      <c r="N180" s="422"/>
      <c r="O180" s="422"/>
      <c r="P180" s="422"/>
      <c r="Q180" s="422"/>
      <c r="R180" s="2"/>
      <c r="S180" s="2"/>
      <c r="T180" s="2"/>
      <c r="U180" s="2"/>
    </row>
    <row r="181" spans="1:21" ht="16.5" customHeight="1" thickTop="1" thickBot="1" x14ac:dyDescent="0.3">
      <c r="A181" s="2"/>
      <c r="B181" s="422"/>
      <c r="C181" s="422" t="s">
        <v>440</v>
      </c>
      <c r="D181" s="624" t="s">
        <v>441</v>
      </c>
      <c r="E181" s="182">
        <v>0</v>
      </c>
      <c r="F181" s="632"/>
      <c r="G181" s="892"/>
      <c r="H181" s="893"/>
      <c r="I181" s="422"/>
      <c r="J181" s="422"/>
      <c r="K181" s="422"/>
      <c r="L181" s="422"/>
      <c r="M181" s="422"/>
      <c r="N181" s="422"/>
      <c r="O181" s="422"/>
      <c r="P181" s="422"/>
      <c r="Q181" s="422"/>
      <c r="R181" s="2"/>
      <c r="S181" s="2"/>
      <c r="T181" s="2"/>
      <c r="U181" s="2"/>
    </row>
    <row r="182" spans="1:21" ht="16.5" customHeight="1" thickTop="1" thickBot="1" x14ac:dyDescent="0.3">
      <c r="A182" s="2"/>
      <c r="B182" s="422"/>
      <c r="C182" s="422" t="s">
        <v>442</v>
      </c>
      <c r="D182" s="624" t="s">
        <v>443</v>
      </c>
      <c r="E182" s="182">
        <v>0</v>
      </c>
      <c r="F182" s="632"/>
      <c r="G182" s="892"/>
      <c r="H182" s="893"/>
      <c r="I182" s="422"/>
      <c r="J182" s="422"/>
      <c r="K182" s="422"/>
      <c r="L182" s="422"/>
      <c r="M182" s="422"/>
      <c r="N182" s="422"/>
      <c r="O182" s="422"/>
      <c r="P182" s="422"/>
      <c r="Q182" s="422"/>
      <c r="R182" s="2"/>
      <c r="S182" s="2"/>
      <c r="T182" s="2"/>
      <c r="U182" s="2"/>
    </row>
    <row r="183" spans="1:21" ht="16.5" customHeight="1" thickTop="1" thickBot="1" x14ac:dyDescent="0.3">
      <c r="A183" s="2"/>
      <c r="B183" s="422"/>
      <c r="C183" s="422" t="s">
        <v>444</v>
      </c>
      <c r="D183" s="423" t="s">
        <v>445</v>
      </c>
      <c r="E183" s="535">
        <f>G209-E171-E177</f>
        <v>8.8817841970012523E-16</v>
      </c>
      <c r="F183" s="632"/>
      <c r="G183" s="894"/>
      <c r="H183" s="895"/>
      <c r="I183" s="422"/>
      <c r="J183" s="422"/>
      <c r="K183" s="422"/>
      <c r="L183" s="422"/>
      <c r="M183" s="422"/>
      <c r="N183" s="422"/>
      <c r="O183" s="422"/>
      <c r="P183" s="422"/>
      <c r="Q183" s="422"/>
      <c r="R183" s="2"/>
      <c r="S183" s="2"/>
      <c r="T183" s="2"/>
      <c r="U183" s="2"/>
    </row>
    <row r="184" spans="1:21" ht="16.5" customHeight="1" thickTop="1" x14ac:dyDescent="0.25">
      <c r="A184" s="2"/>
      <c r="B184" s="422"/>
      <c r="C184" s="422"/>
      <c r="D184" s="422"/>
      <c r="E184" s="422"/>
      <c r="F184" s="632"/>
      <c r="G184" s="123"/>
      <c r="H184" s="123"/>
      <c r="I184" s="422"/>
      <c r="J184" s="422"/>
      <c r="K184" s="422"/>
      <c r="L184" s="422"/>
      <c r="M184" s="422"/>
      <c r="N184" s="422"/>
      <c r="O184" s="422"/>
      <c r="P184" s="422"/>
      <c r="Q184" s="422"/>
      <c r="R184" s="2"/>
      <c r="S184" s="2"/>
      <c r="T184" s="2"/>
      <c r="U184" s="2"/>
    </row>
    <row r="185" spans="1:21" ht="16.5" customHeight="1" x14ac:dyDescent="0.25">
      <c r="A185" s="2"/>
      <c r="B185" s="422"/>
      <c r="C185" s="433" t="s">
        <v>446</v>
      </c>
      <c r="D185" s="422"/>
      <c r="E185" s="422"/>
      <c r="F185" s="632"/>
      <c r="G185" s="123"/>
      <c r="H185" s="123"/>
      <c r="I185" s="422"/>
      <c r="J185" s="422"/>
      <c r="K185" s="422"/>
      <c r="L185" s="422"/>
      <c r="M185" s="422"/>
      <c r="N185" s="422"/>
      <c r="O185" s="422"/>
      <c r="P185" s="422"/>
      <c r="Q185" s="422"/>
      <c r="R185" s="2"/>
      <c r="S185" s="2"/>
      <c r="T185" s="2"/>
      <c r="U185" s="2"/>
    </row>
    <row r="186" spans="1:21" ht="10.5" customHeight="1" thickBot="1" x14ac:dyDescent="0.3">
      <c r="A186" s="2"/>
      <c r="B186" s="422"/>
      <c r="C186" s="422"/>
      <c r="D186" s="422"/>
      <c r="E186" s="422"/>
      <c r="F186" s="632"/>
      <c r="G186" s="123"/>
      <c r="H186" s="123"/>
      <c r="I186" s="422"/>
      <c r="J186" s="422"/>
      <c r="K186" s="422"/>
      <c r="L186" s="422"/>
      <c r="M186" s="422"/>
      <c r="N186" s="422"/>
      <c r="O186" s="422"/>
      <c r="P186" s="422"/>
      <c r="Q186" s="422"/>
      <c r="R186" s="2"/>
      <c r="S186" s="2"/>
      <c r="T186" s="2"/>
      <c r="U186" s="2"/>
    </row>
    <row r="187" spans="1:21" ht="16.5" customHeight="1" thickTop="1" thickBot="1" x14ac:dyDescent="0.3">
      <c r="A187" s="2"/>
      <c r="B187" s="422"/>
      <c r="C187" s="422" t="s">
        <v>447</v>
      </c>
      <c r="D187" s="422"/>
      <c r="E187" s="66" t="s">
        <v>158</v>
      </c>
      <c r="F187" s="632"/>
      <c r="G187" s="123"/>
      <c r="H187" s="123"/>
      <c r="I187" s="422"/>
      <c r="J187" s="422"/>
      <c r="K187" s="422"/>
      <c r="L187" s="422"/>
      <c r="M187" s="422"/>
      <c r="N187" s="422"/>
      <c r="O187" s="422"/>
      <c r="P187" s="422"/>
      <c r="Q187" s="422"/>
      <c r="R187" s="2"/>
      <c r="S187" s="2"/>
      <c r="T187" s="2"/>
      <c r="U187" s="2"/>
    </row>
    <row r="188" spans="1:21" ht="16.5" customHeight="1" thickTop="1" thickBot="1" x14ac:dyDescent="0.3">
      <c r="A188" s="2"/>
      <c r="B188" s="422"/>
      <c r="C188" s="422" t="s">
        <v>448</v>
      </c>
      <c r="D188" s="423" t="s">
        <v>449</v>
      </c>
      <c r="E188" s="181">
        <v>30</v>
      </c>
      <c r="F188" s="632"/>
      <c r="G188" s="123"/>
      <c r="H188" s="123"/>
      <c r="I188" s="422"/>
      <c r="J188" s="422"/>
      <c r="K188" s="422"/>
      <c r="L188" s="422"/>
      <c r="M188" s="422"/>
      <c r="N188" s="422"/>
      <c r="O188" s="422"/>
      <c r="P188" s="422"/>
      <c r="Q188" s="422"/>
      <c r="R188" s="2"/>
      <c r="S188" s="2"/>
      <c r="T188" s="2"/>
      <c r="U188" s="2"/>
    </row>
    <row r="189" spans="1:21" ht="16.5" customHeight="1" thickTop="1" thickBot="1" x14ac:dyDescent="0.3">
      <c r="A189" s="2"/>
      <c r="B189" s="422"/>
      <c r="C189" s="422" t="s">
        <v>450</v>
      </c>
      <c r="D189" s="423" t="s">
        <v>451</v>
      </c>
      <c r="E189" s="219">
        <v>10</v>
      </c>
      <c r="F189" s="632"/>
      <c r="G189" s="123"/>
      <c r="H189" s="123"/>
      <c r="I189" s="422"/>
      <c r="J189" s="422"/>
      <c r="K189" s="422"/>
      <c r="L189" s="422"/>
      <c r="M189" s="422"/>
      <c r="N189" s="422"/>
      <c r="O189" s="422"/>
      <c r="P189" s="422"/>
      <c r="Q189" s="422"/>
      <c r="R189" s="2"/>
      <c r="S189" s="2"/>
      <c r="T189" s="2"/>
      <c r="U189" s="2"/>
    </row>
    <row r="190" spans="1:21" ht="16.5" customHeight="1" thickTop="1" x14ac:dyDescent="0.25">
      <c r="A190" s="2"/>
      <c r="B190" s="422"/>
      <c r="C190" s="422"/>
      <c r="D190" s="423"/>
      <c r="E190" s="687"/>
      <c r="F190" s="632"/>
      <c r="G190" s="123"/>
      <c r="H190" s="123"/>
      <c r="I190" s="422"/>
      <c r="J190" s="422"/>
      <c r="K190" s="422"/>
      <c r="L190" s="422"/>
      <c r="M190" s="422"/>
      <c r="N190" s="422"/>
      <c r="O190" s="422"/>
      <c r="P190" s="422"/>
      <c r="Q190" s="422"/>
      <c r="R190" s="2"/>
      <c r="S190" s="2"/>
      <c r="T190" s="2"/>
      <c r="U190" s="2"/>
    </row>
    <row r="191" spans="1:21" ht="16.5" customHeight="1" x14ac:dyDescent="0.25">
      <c r="A191" s="2"/>
      <c r="B191" s="422"/>
      <c r="C191" s="433" t="s">
        <v>452</v>
      </c>
      <c r="D191" s="423"/>
      <c r="E191" s="687"/>
      <c r="F191" s="632"/>
      <c r="G191" s="123"/>
      <c r="H191" s="123"/>
      <c r="I191" s="422"/>
      <c r="J191" s="422"/>
      <c r="K191" s="422"/>
      <c r="L191" s="422"/>
      <c r="M191" s="422"/>
      <c r="N191" s="422"/>
      <c r="O191" s="422"/>
      <c r="P191" s="422"/>
      <c r="Q191" s="422"/>
      <c r="R191" s="2"/>
      <c r="S191" s="2"/>
      <c r="T191" s="2"/>
      <c r="U191" s="2"/>
    </row>
    <row r="192" spans="1:21" ht="12.75" customHeight="1" thickBot="1" x14ac:dyDescent="0.3">
      <c r="A192" s="2"/>
      <c r="B192" s="422"/>
      <c r="C192" s="422"/>
      <c r="D192" s="422"/>
      <c r="E192" s="422"/>
      <c r="F192" s="632"/>
      <c r="G192" s="123"/>
      <c r="H192" s="123"/>
      <c r="I192" s="422"/>
      <c r="J192" s="422"/>
      <c r="K192" s="422"/>
      <c r="L192" s="422"/>
      <c r="M192" s="422"/>
      <c r="N192" s="422"/>
      <c r="O192" s="422"/>
      <c r="P192" s="422"/>
      <c r="Q192" s="422"/>
      <c r="R192" s="2"/>
      <c r="S192" s="2"/>
      <c r="T192" s="2"/>
      <c r="U192" s="2"/>
    </row>
    <row r="193" spans="1:21" ht="16.5" thickTop="1" thickBot="1" x14ac:dyDescent="0.3">
      <c r="A193" s="2"/>
      <c r="B193" s="422"/>
      <c r="C193" s="422" t="s">
        <v>453</v>
      </c>
      <c r="D193" s="423"/>
      <c r="E193" s="66" t="s">
        <v>161</v>
      </c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2"/>
      <c r="S193" s="2"/>
      <c r="T193" s="2"/>
      <c r="U193" s="2"/>
    </row>
    <row r="194" spans="1:21" ht="15.75" thickTop="1" x14ac:dyDescent="0.25">
      <c r="A194" s="2"/>
      <c r="B194" s="422"/>
      <c r="C194" s="422"/>
      <c r="D194" s="423"/>
      <c r="E194" s="19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2"/>
      <c r="Q194" s="422"/>
      <c r="R194" s="2"/>
      <c r="S194" s="2"/>
      <c r="T194" s="2"/>
      <c r="U194" s="2"/>
    </row>
    <row r="195" spans="1:21" x14ac:dyDescent="0.25">
      <c r="A195" s="2"/>
      <c r="B195" s="422"/>
      <c r="C195" s="433" t="s">
        <v>454</v>
      </c>
      <c r="D195" s="423"/>
      <c r="E195" s="19"/>
      <c r="F195" s="422"/>
      <c r="G195" s="422"/>
      <c r="H195" s="422"/>
      <c r="I195" s="422"/>
      <c r="J195" s="422"/>
      <c r="K195" s="422"/>
      <c r="L195" s="422"/>
      <c r="M195" s="422"/>
      <c r="N195" s="422"/>
      <c r="O195" s="422"/>
      <c r="P195" s="422"/>
      <c r="Q195" s="422"/>
      <c r="R195" s="2"/>
      <c r="S195" s="2"/>
      <c r="T195" s="2"/>
      <c r="U195" s="2"/>
    </row>
    <row r="196" spans="1:21" ht="15.75" thickBot="1" x14ac:dyDescent="0.3">
      <c r="A196" s="2"/>
      <c r="B196" s="422"/>
      <c r="C196" s="422"/>
      <c r="D196" s="422"/>
      <c r="E196" s="422"/>
      <c r="F196" s="422"/>
      <c r="G196" s="422"/>
      <c r="H196" s="422"/>
      <c r="I196" s="422"/>
      <c r="J196" s="422"/>
      <c r="K196" s="422"/>
      <c r="L196" s="422"/>
      <c r="M196" s="422"/>
      <c r="N196" s="422"/>
      <c r="O196" s="422"/>
      <c r="P196" s="422"/>
      <c r="Q196" s="422"/>
      <c r="R196" s="2"/>
      <c r="S196" s="2"/>
      <c r="T196" s="2"/>
      <c r="U196" s="2"/>
    </row>
    <row r="197" spans="1:21" ht="16.5" thickTop="1" thickBot="1" x14ac:dyDescent="0.3">
      <c r="A197" s="2"/>
      <c r="B197" s="422"/>
      <c r="C197" s="66" t="s">
        <v>273</v>
      </c>
      <c r="D197" s="423"/>
      <c r="E197" s="687"/>
      <c r="F197" s="632"/>
      <c r="G197" s="649"/>
      <c r="H197" s="123"/>
      <c r="I197" s="422"/>
      <c r="J197" s="422"/>
      <c r="K197" s="422"/>
      <c r="L197" s="422"/>
      <c r="M197" s="422"/>
      <c r="N197" s="422"/>
      <c r="O197" s="422"/>
      <c r="P197" s="422"/>
      <c r="Q197" s="422"/>
      <c r="R197" s="2"/>
      <c r="S197" s="2"/>
      <c r="T197" s="2"/>
      <c r="U197" s="2"/>
    </row>
    <row r="198" spans="1:21" ht="15.75" thickTop="1" x14ac:dyDescent="0.25">
      <c r="A198" s="2"/>
      <c r="B198" s="422"/>
      <c r="C198" s="422"/>
      <c r="D198" s="423"/>
      <c r="E198" s="687"/>
      <c r="F198" s="632"/>
      <c r="G198" s="649"/>
      <c r="H198" s="123"/>
      <c r="I198" s="422"/>
      <c r="J198" s="422"/>
      <c r="K198" s="422"/>
      <c r="L198" s="422"/>
      <c r="M198" s="422"/>
      <c r="N198" s="422"/>
      <c r="O198" s="422"/>
      <c r="P198" s="422"/>
      <c r="Q198" s="422"/>
      <c r="R198" s="2"/>
      <c r="S198" s="2"/>
      <c r="T198" s="2"/>
      <c r="U198" s="2"/>
    </row>
    <row r="199" spans="1:21" x14ac:dyDescent="0.25">
      <c r="A199" s="2"/>
      <c r="B199" s="422"/>
      <c r="C199" s="433" t="s">
        <v>455</v>
      </c>
      <c r="D199" s="423"/>
      <c r="E199" s="677"/>
      <c r="F199" s="632"/>
      <c r="G199" s="649"/>
      <c r="H199" s="123"/>
      <c r="I199" s="422"/>
      <c r="J199" s="422"/>
      <c r="K199" s="422"/>
      <c r="L199" s="422"/>
      <c r="M199" s="422"/>
      <c r="N199" s="422"/>
      <c r="O199" s="422"/>
      <c r="P199" s="422"/>
      <c r="Q199" s="422"/>
      <c r="R199" s="2"/>
      <c r="S199" s="2"/>
      <c r="T199" s="2"/>
      <c r="U199" s="2"/>
    </row>
    <row r="200" spans="1:21" x14ac:dyDescent="0.25">
      <c r="A200" s="2"/>
      <c r="B200" s="422"/>
      <c r="C200" s="422"/>
      <c r="D200" s="423"/>
      <c r="E200" s="422"/>
      <c r="F200" s="632"/>
      <c r="G200" s="123"/>
      <c r="H200" s="123"/>
      <c r="I200" s="422"/>
      <c r="J200" s="422"/>
      <c r="K200" s="422"/>
      <c r="L200" s="422"/>
      <c r="M200" s="422"/>
      <c r="N200" s="422"/>
      <c r="O200" s="422"/>
      <c r="P200" s="422"/>
      <c r="Q200" s="422"/>
      <c r="R200" s="2"/>
      <c r="S200" s="2"/>
      <c r="T200" s="2"/>
      <c r="U200" s="2"/>
    </row>
    <row r="201" spans="1:21" x14ac:dyDescent="0.25">
      <c r="A201" s="2"/>
      <c r="B201" s="422"/>
      <c r="C201" s="422"/>
      <c r="D201" s="423"/>
      <c r="E201" s="677"/>
      <c r="F201" s="632"/>
      <c r="G201" s="123"/>
      <c r="H201" s="123"/>
      <c r="I201" s="422"/>
      <c r="J201" s="422"/>
      <c r="K201" s="422"/>
      <c r="L201" s="422"/>
      <c r="M201" s="422"/>
      <c r="N201" s="422"/>
      <c r="O201" s="422"/>
      <c r="P201" s="422"/>
      <c r="Q201" s="422"/>
      <c r="R201" s="2"/>
      <c r="S201" s="2"/>
      <c r="T201" s="2"/>
      <c r="U201" s="2"/>
    </row>
    <row r="202" spans="1:21" x14ac:dyDescent="0.25">
      <c r="A202" s="2"/>
      <c r="B202" s="422"/>
      <c r="C202" s="422"/>
      <c r="D202" s="423"/>
      <c r="E202" s="677"/>
      <c r="F202" s="632"/>
      <c r="G202" s="123"/>
      <c r="H202" s="123"/>
      <c r="I202" s="422"/>
      <c r="J202" s="422"/>
      <c r="K202" s="422"/>
      <c r="L202" s="422"/>
      <c r="M202" s="422"/>
      <c r="N202" s="422"/>
      <c r="O202" s="422"/>
      <c r="P202" s="422"/>
      <c r="Q202" s="422"/>
      <c r="R202" s="2"/>
      <c r="S202" s="2"/>
      <c r="T202" s="2"/>
      <c r="U202" s="2"/>
    </row>
    <row r="203" spans="1:21" x14ac:dyDescent="0.25">
      <c r="A203" s="2"/>
      <c r="B203" s="422"/>
      <c r="C203" s="422"/>
      <c r="D203" s="423"/>
      <c r="E203" s="677"/>
      <c r="F203" s="632"/>
      <c r="G203" s="123"/>
      <c r="H203" s="123"/>
      <c r="I203" s="422"/>
      <c r="J203" s="422"/>
      <c r="K203" s="422"/>
      <c r="L203" s="422"/>
      <c r="M203" s="422"/>
      <c r="N203" s="422"/>
      <c r="O203" s="422"/>
      <c r="P203" s="422"/>
      <c r="Q203" s="422"/>
      <c r="R203" s="2"/>
      <c r="S203" s="2"/>
      <c r="T203" s="2"/>
      <c r="U203" s="2"/>
    </row>
    <row r="204" spans="1:21" x14ac:dyDescent="0.25">
      <c r="A204" s="2"/>
      <c r="B204" s="422"/>
      <c r="C204" s="422"/>
      <c r="D204" s="423"/>
      <c r="E204" s="677"/>
      <c r="F204" s="632"/>
      <c r="G204" s="123"/>
      <c r="H204" s="123"/>
      <c r="I204" s="422"/>
      <c r="J204" s="422"/>
      <c r="K204" s="422"/>
      <c r="L204" s="422"/>
      <c r="M204" s="422"/>
      <c r="N204" s="422"/>
      <c r="O204" s="422"/>
      <c r="P204" s="422"/>
      <c r="Q204" s="422"/>
      <c r="R204" s="2"/>
      <c r="S204" s="2"/>
      <c r="T204" s="2"/>
      <c r="U204" s="2"/>
    </row>
    <row r="205" spans="1:21" x14ac:dyDescent="0.25">
      <c r="A205" s="2"/>
      <c r="B205" s="422"/>
      <c r="C205" s="422"/>
      <c r="D205" s="423"/>
      <c r="E205" s="422"/>
      <c r="F205" s="422"/>
      <c r="G205" s="422"/>
      <c r="H205" s="123"/>
      <c r="I205" s="422"/>
      <c r="J205" s="422"/>
      <c r="K205" s="422"/>
      <c r="L205" s="422"/>
      <c r="M205" s="422"/>
      <c r="N205" s="422"/>
      <c r="O205" s="422"/>
      <c r="P205" s="422"/>
      <c r="Q205" s="422"/>
      <c r="R205" s="2"/>
      <c r="S205" s="2"/>
      <c r="T205" s="2"/>
      <c r="U205" s="2"/>
    </row>
    <row r="206" spans="1:21" x14ac:dyDescent="0.25">
      <c r="A206" s="2"/>
      <c r="B206" s="422"/>
      <c r="C206" s="422"/>
      <c r="D206" s="423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2"/>
      <c r="Q206" s="422"/>
      <c r="R206" s="2"/>
      <c r="S206" s="2"/>
      <c r="T206" s="2"/>
      <c r="U206" s="2"/>
    </row>
    <row r="207" spans="1:21" x14ac:dyDescent="0.25">
      <c r="A207" s="2"/>
      <c r="B207" s="422"/>
      <c r="C207" s="422"/>
      <c r="D207" s="423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2"/>
      <c r="Q207" s="422"/>
      <c r="R207" s="2"/>
      <c r="S207" s="2"/>
      <c r="T207" s="2"/>
      <c r="U207" s="2"/>
    </row>
    <row r="208" spans="1:21" x14ac:dyDescent="0.25">
      <c r="A208" s="2"/>
      <c r="B208" s="422"/>
      <c r="C208" s="422"/>
      <c r="D208" s="423"/>
      <c r="E208" s="677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2"/>
      <c r="Q208" s="422"/>
      <c r="R208" s="2"/>
      <c r="S208" s="2"/>
      <c r="T208" s="2"/>
      <c r="U208" s="2"/>
    </row>
    <row r="209" spans="1:21" x14ac:dyDescent="0.25">
      <c r="A209" s="2"/>
      <c r="B209" s="422"/>
      <c r="C209" s="422"/>
      <c r="D209" s="423"/>
      <c r="E209" s="898" t="s">
        <v>456</v>
      </c>
      <c r="F209" s="898"/>
      <c r="G209" s="535">
        <f>IF(DATI!G211="dx",E60+E74+TAN(DATI!E162*PI()/180)*'FOGLIO DEPOSITO'!D212,E60+E74+TAN(DATI!E162*PI()/180)*E75)</f>
        <v>5.0320615922608809</v>
      </c>
      <c r="H209" s="123"/>
      <c r="I209" s="422"/>
      <c r="J209" s="422"/>
      <c r="K209" s="422"/>
      <c r="L209" s="422"/>
      <c r="M209" s="422"/>
      <c r="N209" s="422"/>
      <c r="O209" s="422"/>
      <c r="P209" s="422"/>
      <c r="Q209" s="422"/>
      <c r="R209" s="2"/>
      <c r="S209" s="2"/>
      <c r="T209" s="2"/>
      <c r="U209" s="2"/>
    </row>
    <row r="210" spans="1:21" ht="15.75" thickBot="1" x14ac:dyDescent="0.3">
      <c r="A210" s="2"/>
      <c r="B210" s="422"/>
      <c r="C210" s="422"/>
      <c r="D210" s="423"/>
      <c r="E210" s="677"/>
      <c r="F210" s="632"/>
      <c r="G210" s="123"/>
      <c r="H210" s="123"/>
      <c r="I210" s="422"/>
      <c r="J210" s="422"/>
      <c r="K210" s="422"/>
      <c r="L210" s="422"/>
      <c r="M210" s="422"/>
      <c r="N210" s="422"/>
      <c r="O210" s="422"/>
      <c r="P210" s="422"/>
      <c r="Q210" s="422"/>
      <c r="R210" s="2"/>
      <c r="S210" s="2"/>
      <c r="T210" s="2"/>
      <c r="U210" s="2"/>
    </row>
    <row r="211" spans="1:21" ht="16.5" thickTop="1" thickBot="1" x14ac:dyDescent="0.3">
      <c r="A211" s="2"/>
      <c r="B211" s="422"/>
      <c r="C211" s="422"/>
      <c r="D211" s="423"/>
      <c r="E211" s="896" t="s">
        <v>457</v>
      </c>
      <c r="F211" s="897"/>
      <c r="G211" s="181" t="s">
        <v>132</v>
      </c>
      <c r="H211" s="123"/>
      <c r="I211" s="422"/>
      <c r="J211" s="422"/>
      <c r="K211" s="422"/>
      <c r="L211" s="422"/>
      <c r="M211" s="422"/>
      <c r="N211" s="422"/>
      <c r="O211" s="422"/>
      <c r="P211" s="422"/>
      <c r="Q211" s="422"/>
      <c r="R211" s="2"/>
      <c r="S211" s="2"/>
      <c r="T211" s="2"/>
      <c r="U211" s="2"/>
    </row>
    <row r="212" spans="1:21" ht="15.75" thickTop="1" x14ac:dyDescent="0.25">
      <c r="A212" s="2"/>
      <c r="B212" s="422"/>
      <c r="C212" s="422"/>
      <c r="D212" s="423"/>
      <c r="E212" s="677"/>
      <c r="F212" s="422"/>
      <c r="G212" s="422"/>
      <c r="H212" s="123"/>
      <c r="I212" s="422"/>
      <c r="J212" s="422"/>
      <c r="K212" s="422"/>
      <c r="L212" s="422"/>
      <c r="M212" s="422"/>
      <c r="N212" s="422"/>
      <c r="O212" s="422"/>
      <c r="P212" s="422"/>
      <c r="Q212" s="422"/>
      <c r="R212" s="2"/>
      <c r="S212" s="2"/>
      <c r="T212" s="2"/>
      <c r="U212" s="2"/>
    </row>
    <row r="213" spans="1:21" x14ac:dyDescent="0.25">
      <c r="A213" s="2"/>
      <c r="B213" s="422"/>
      <c r="C213" s="422"/>
      <c r="D213" s="423"/>
      <c r="E213" s="677"/>
      <c r="F213" s="422"/>
      <c r="G213" s="422"/>
      <c r="H213" s="123"/>
      <c r="I213" s="422"/>
      <c r="J213" s="422"/>
      <c r="K213" s="422"/>
      <c r="L213" s="422"/>
      <c r="M213" s="422"/>
      <c r="N213" s="422"/>
      <c r="O213" s="422"/>
      <c r="P213" s="422"/>
      <c r="Q213" s="422"/>
      <c r="R213" s="2"/>
      <c r="S213" s="2"/>
      <c r="T213" s="2"/>
      <c r="U213" s="2"/>
    </row>
    <row r="214" spans="1:21" x14ac:dyDescent="0.25">
      <c r="A214" s="2"/>
      <c r="B214" s="422"/>
      <c r="C214" s="422"/>
      <c r="D214" s="423"/>
      <c r="E214" s="677"/>
      <c r="F214" s="422"/>
      <c r="G214" s="422"/>
      <c r="H214" s="123"/>
      <c r="I214" s="422"/>
      <c r="J214" s="422"/>
      <c r="K214" s="422"/>
      <c r="L214" s="422"/>
      <c r="M214" s="422"/>
      <c r="N214" s="422"/>
      <c r="O214" s="422"/>
      <c r="P214" s="422"/>
      <c r="Q214" s="422"/>
      <c r="R214" s="2"/>
      <c r="S214" s="2"/>
      <c r="T214" s="2"/>
      <c r="U214" s="2"/>
    </row>
    <row r="215" spans="1:21" x14ac:dyDescent="0.25">
      <c r="A215" s="2"/>
      <c r="B215" s="422"/>
      <c r="C215" s="422"/>
      <c r="D215" s="423"/>
      <c r="E215" s="677"/>
      <c r="F215" s="422"/>
      <c r="G215" s="422"/>
      <c r="H215" s="123"/>
      <c r="I215" s="422"/>
      <c r="J215" s="422"/>
      <c r="K215" s="422"/>
      <c r="L215" s="422"/>
      <c r="M215" s="422"/>
      <c r="N215" s="422"/>
      <c r="O215" s="422"/>
      <c r="P215" s="422"/>
      <c r="Q215" s="422"/>
      <c r="R215" s="2"/>
      <c r="S215" s="2"/>
      <c r="T215" s="2"/>
      <c r="U215" s="2"/>
    </row>
    <row r="216" spans="1:21" x14ac:dyDescent="0.25">
      <c r="A216" s="2"/>
      <c r="B216" s="422"/>
      <c r="C216" s="422"/>
      <c r="D216" s="423"/>
      <c r="E216" s="677"/>
      <c r="F216" s="422"/>
      <c r="G216" s="422"/>
      <c r="H216" s="123"/>
      <c r="I216" s="422"/>
      <c r="J216" s="422"/>
      <c r="K216" s="422"/>
      <c r="L216" s="422"/>
      <c r="M216" s="422"/>
      <c r="N216" s="422"/>
      <c r="O216" s="422"/>
      <c r="P216" s="422"/>
      <c r="Q216" s="422"/>
      <c r="R216" s="2"/>
      <c r="S216" s="2"/>
      <c r="T216" s="2"/>
      <c r="U216" s="2"/>
    </row>
    <row r="217" spans="1:21" x14ac:dyDescent="0.25">
      <c r="A217" s="2"/>
      <c r="B217" s="422"/>
      <c r="C217" s="422"/>
      <c r="D217" s="423"/>
      <c r="E217" s="677"/>
      <c r="F217" s="422"/>
      <c r="G217" s="422"/>
      <c r="H217" s="123"/>
      <c r="I217" s="422"/>
      <c r="J217" s="422"/>
      <c r="K217" s="422"/>
      <c r="L217" s="422"/>
      <c r="M217" s="422"/>
      <c r="N217" s="422"/>
      <c r="O217" s="422"/>
      <c r="P217" s="422"/>
      <c r="Q217" s="422"/>
      <c r="R217" s="2"/>
      <c r="S217" s="2"/>
      <c r="T217" s="2"/>
      <c r="U217" s="2"/>
    </row>
    <row r="218" spans="1:21" x14ac:dyDescent="0.25">
      <c r="A218" s="2"/>
      <c r="B218" s="422"/>
      <c r="C218" s="422"/>
      <c r="D218" s="423"/>
      <c r="E218" s="677"/>
      <c r="F218" s="422"/>
      <c r="G218" s="422"/>
      <c r="H218" s="123"/>
      <c r="I218" s="422"/>
      <c r="J218" s="422"/>
      <c r="K218" s="422"/>
      <c r="L218" s="422"/>
      <c r="M218" s="422"/>
      <c r="N218" s="422"/>
      <c r="O218" s="422"/>
      <c r="P218" s="422"/>
      <c r="Q218" s="422"/>
      <c r="R218" s="2"/>
      <c r="S218" s="2"/>
      <c r="T218" s="2"/>
      <c r="U218" s="2"/>
    </row>
    <row r="219" spans="1:21" x14ac:dyDescent="0.25">
      <c r="A219" s="2"/>
      <c r="B219" s="422"/>
      <c r="C219" s="422"/>
      <c r="D219" s="423"/>
      <c r="E219" s="677"/>
      <c r="F219" s="422"/>
      <c r="G219" s="422"/>
      <c r="H219" s="123"/>
      <c r="I219" s="422"/>
      <c r="J219" s="422"/>
      <c r="K219" s="422"/>
      <c r="L219" s="422"/>
      <c r="M219" s="422"/>
      <c r="N219" s="422"/>
      <c r="O219" s="422"/>
      <c r="P219" s="422"/>
      <c r="Q219" s="422"/>
      <c r="R219" s="2"/>
      <c r="S219" s="2"/>
      <c r="T219" s="2"/>
      <c r="U219" s="2"/>
    </row>
    <row r="220" spans="1:21" x14ac:dyDescent="0.25">
      <c r="A220" s="2"/>
      <c r="B220" s="422"/>
      <c r="C220" s="422"/>
      <c r="D220" s="423"/>
      <c r="E220" s="677"/>
      <c r="F220" s="422"/>
      <c r="G220" s="422"/>
      <c r="H220" s="123"/>
      <c r="I220" s="422"/>
      <c r="J220" s="422"/>
      <c r="K220" s="422"/>
      <c r="L220" s="422"/>
      <c r="M220" s="422"/>
      <c r="N220" s="422"/>
      <c r="O220" s="422"/>
      <c r="P220" s="422"/>
      <c r="Q220" s="422"/>
      <c r="R220" s="2"/>
      <c r="S220" s="2"/>
      <c r="T220" s="2"/>
      <c r="U220" s="2"/>
    </row>
    <row r="221" spans="1:21" x14ac:dyDescent="0.25">
      <c r="A221" s="2"/>
      <c r="B221" s="422"/>
      <c r="C221" s="422"/>
      <c r="D221" s="423"/>
      <c r="E221" s="677"/>
      <c r="F221" s="422"/>
      <c r="G221" s="422"/>
      <c r="H221" s="123"/>
      <c r="I221" s="422"/>
      <c r="J221" s="422"/>
      <c r="K221" s="422"/>
      <c r="L221" s="422"/>
      <c r="M221" s="422"/>
      <c r="N221" s="422"/>
      <c r="O221" s="422"/>
      <c r="P221" s="422"/>
      <c r="Q221" s="422"/>
      <c r="R221" s="2"/>
      <c r="S221" s="2"/>
      <c r="T221" s="2"/>
      <c r="U221" s="2"/>
    </row>
    <row r="222" spans="1:21" x14ac:dyDescent="0.25">
      <c r="A222" s="2"/>
      <c r="B222" s="422"/>
      <c r="C222" s="422"/>
      <c r="D222" s="423"/>
      <c r="E222" s="677"/>
      <c r="F222" s="422"/>
      <c r="G222" s="422"/>
      <c r="H222" s="123"/>
      <c r="I222" s="422"/>
      <c r="J222" s="422"/>
      <c r="K222" s="422"/>
      <c r="L222" s="422"/>
      <c r="M222" s="422"/>
      <c r="N222" s="422"/>
      <c r="O222" s="422"/>
      <c r="P222" s="422"/>
      <c r="Q222" s="422"/>
      <c r="R222" s="2"/>
      <c r="S222" s="2"/>
      <c r="T222" s="2"/>
      <c r="U222" s="2"/>
    </row>
    <row r="223" spans="1:21" x14ac:dyDescent="0.25">
      <c r="A223" s="2"/>
      <c r="B223" s="422"/>
      <c r="C223" s="422"/>
      <c r="D223" s="423"/>
      <c r="E223" s="677"/>
      <c r="F223" s="422"/>
      <c r="G223" s="422"/>
      <c r="H223" s="123"/>
      <c r="I223" s="422"/>
      <c r="J223" s="422"/>
      <c r="K223" s="422"/>
      <c r="L223" s="422"/>
      <c r="M223" s="422"/>
      <c r="N223" s="422"/>
      <c r="O223" s="422"/>
      <c r="P223" s="422"/>
      <c r="Q223" s="422"/>
      <c r="R223" s="2"/>
      <c r="S223" s="2"/>
      <c r="T223" s="2"/>
      <c r="U223" s="2"/>
    </row>
    <row r="224" spans="1:21" x14ac:dyDescent="0.25">
      <c r="A224" s="2"/>
      <c r="B224" s="422"/>
      <c r="C224" s="422"/>
      <c r="D224" s="423"/>
      <c r="E224" s="677"/>
      <c r="F224" s="632"/>
      <c r="G224" s="123"/>
      <c r="H224" s="123"/>
      <c r="I224" s="422"/>
      <c r="J224" s="422"/>
      <c r="K224" s="422"/>
      <c r="L224" s="422"/>
      <c r="M224" s="422"/>
      <c r="N224" s="422"/>
      <c r="O224" s="422"/>
      <c r="P224" s="422"/>
      <c r="Q224" s="422"/>
      <c r="R224" s="2"/>
      <c r="S224" s="2"/>
      <c r="T224" s="2"/>
      <c r="U224" s="2"/>
    </row>
    <row r="225" spans="1:21" x14ac:dyDescent="0.25">
      <c r="A225" s="2"/>
      <c r="B225" s="422"/>
      <c r="C225" s="422"/>
      <c r="D225" s="423"/>
      <c r="E225" s="677"/>
      <c r="F225" s="632"/>
      <c r="G225" s="123"/>
      <c r="H225" s="123"/>
      <c r="I225" s="422"/>
      <c r="J225" s="422"/>
      <c r="K225" s="422"/>
      <c r="L225" s="422"/>
      <c r="M225" s="422"/>
      <c r="N225" s="422"/>
      <c r="O225" s="422"/>
      <c r="P225" s="422"/>
      <c r="Q225" s="422"/>
      <c r="R225" s="2"/>
      <c r="S225" s="2"/>
      <c r="T225" s="2"/>
      <c r="U225" s="2"/>
    </row>
    <row r="226" spans="1:21" x14ac:dyDescent="0.25">
      <c r="A226" s="2"/>
      <c r="B226" s="422"/>
      <c r="C226" s="422"/>
      <c r="D226" s="423"/>
      <c r="E226" s="677"/>
      <c r="F226" s="632"/>
      <c r="G226" s="123"/>
      <c r="H226" s="123"/>
      <c r="I226" s="422"/>
      <c r="J226" s="422"/>
      <c r="K226" s="422"/>
      <c r="L226" s="422"/>
      <c r="M226" s="422"/>
      <c r="N226" s="422"/>
      <c r="O226" s="422"/>
      <c r="P226" s="422"/>
      <c r="Q226" s="422"/>
      <c r="R226" s="2"/>
      <c r="S226" s="2"/>
      <c r="T226" s="2"/>
      <c r="U226" s="2"/>
    </row>
    <row r="227" spans="1:21" x14ac:dyDescent="0.25">
      <c r="A227" s="2"/>
      <c r="B227" s="422"/>
      <c r="C227" s="422"/>
      <c r="D227" s="423"/>
      <c r="E227" s="677"/>
      <c r="F227" s="632"/>
      <c r="G227" s="123"/>
      <c r="H227" s="123"/>
      <c r="I227" s="422"/>
      <c r="J227" s="422"/>
      <c r="K227" s="422"/>
      <c r="L227" s="422"/>
      <c r="M227" s="422"/>
      <c r="N227" s="422"/>
      <c r="O227" s="422"/>
      <c r="P227" s="422"/>
      <c r="Q227" s="422"/>
      <c r="R227" s="2"/>
      <c r="S227" s="2"/>
      <c r="T227" s="2"/>
      <c r="U227" s="2"/>
    </row>
    <row r="228" spans="1:21" x14ac:dyDescent="0.25">
      <c r="A228" s="2"/>
      <c r="B228" s="422"/>
      <c r="C228" s="422"/>
      <c r="D228" s="423"/>
      <c r="E228" s="677"/>
      <c r="F228" s="632"/>
      <c r="G228" s="123"/>
      <c r="H228" s="123"/>
      <c r="I228" s="422"/>
      <c r="J228" s="422"/>
      <c r="K228" s="422"/>
      <c r="L228" s="422"/>
      <c r="M228" s="422"/>
      <c r="N228" s="422"/>
      <c r="O228" s="422"/>
      <c r="P228" s="422"/>
      <c r="Q228" s="422"/>
      <c r="R228" s="2"/>
      <c r="S228" s="2"/>
      <c r="T228" s="2"/>
      <c r="U228" s="2"/>
    </row>
    <row r="229" spans="1:21" x14ac:dyDescent="0.25">
      <c r="A229" s="2"/>
      <c r="B229" s="422"/>
      <c r="C229" s="422"/>
      <c r="D229" s="423"/>
      <c r="E229" s="677"/>
      <c r="F229" s="632"/>
      <c r="G229" s="123"/>
      <c r="H229" s="123"/>
      <c r="I229" s="422"/>
      <c r="J229" s="422"/>
      <c r="K229" s="422"/>
      <c r="L229" s="422"/>
      <c r="M229" s="422"/>
      <c r="N229" s="422"/>
      <c r="O229" s="422"/>
      <c r="P229" s="422"/>
      <c r="Q229" s="422"/>
      <c r="R229" s="2"/>
      <c r="S229" s="2"/>
      <c r="T229" s="2"/>
      <c r="U229" s="2"/>
    </row>
    <row r="230" spans="1:21" x14ac:dyDescent="0.25">
      <c r="A230" s="2"/>
      <c r="B230" s="422"/>
      <c r="C230" s="422"/>
      <c r="D230" s="423"/>
      <c r="E230" s="677"/>
      <c r="F230" s="632"/>
      <c r="G230" s="123"/>
      <c r="H230" s="123"/>
      <c r="I230" s="422"/>
      <c r="J230" s="422"/>
      <c r="K230" s="422"/>
      <c r="L230" s="422"/>
      <c r="M230" s="422"/>
      <c r="N230" s="422"/>
      <c r="O230" s="422"/>
      <c r="P230" s="422"/>
      <c r="Q230" s="422"/>
      <c r="R230" s="2"/>
      <c r="S230" s="2"/>
      <c r="T230" s="2"/>
      <c r="U230" s="2"/>
    </row>
    <row r="231" spans="1:21" x14ac:dyDescent="0.25">
      <c r="A231" s="2"/>
      <c r="B231" s="422"/>
      <c r="C231" s="422"/>
      <c r="D231" s="423"/>
      <c r="E231" s="19"/>
      <c r="F231" s="632"/>
      <c r="G231" s="123"/>
      <c r="H231" s="123"/>
      <c r="I231" s="422"/>
      <c r="J231" s="422"/>
      <c r="K231" s="422"/>
      <c r="L231" s="422"/>
      <c r="M231" s="422"/>
      <c r="N231" s="422"/>
      <c r="O231" s="422"/>
      <c r="P231" s="422"/>
      <c r="Q231" s="422"/>
      <c r="R231" s="2"/>
      <c r="S231" s="2"/>
      <c r="T231" s="2"/>
      <c r="U231" s="2"/>
    </row>
    <row r="232" spans="1:21" x14ac:dyDescent="0.25">
      <c r="A232" s="2"/>
      <c r="B232" s="422"/>
      <c r="C232" s="422"/>
      <c r="D232" s="423"/>
      <c r="E232" s="19"/>
      <c r="F232" s="632"/>
      <c r="G232" s="123"/>
      <c r="H232" s="123"/>
      <c r="I232" s="422"/>
      <c r="J232" s="422"/>
      <c r="K232" s="422"/>
      <c r="L232" s="422"/>
      <c r="M232" s="422"/>
      <c r="N232" s="422"/>
      <c r="O232" s="422"/>
      <c r="P232" s="422"/>
      <c r="Q232" s="422"/>
      <c r="R232" s="2"/>
      <c r="S232" s="2"/>
      <c r="T232" s="2"/>
      <c r="U232" s="2"/>
    </row>
    <row r="233" spans="1:21" x14ac:dyDescent="0.25">
      <c r="A233" s="2"/>
      <c r="B233" s="422"/>
      <c r="C233" s="433" t="s">
        <v>458</v>
      </c>
      <c r="D233" s="423"/>
      <c r="E233" s="19"/>
      <c r="F233" s="632"/>
      <c r="G233" s="123"/>
      <c r="H233" s="123"/>
      <c r="I233" s="422"/>
      <c r="J233" s="422"/>
      <c r="K233" s="422"/>
      <c r="L233" s="422"/>
      <c r="M233" s="422"/>
      <c r="N233" s="422"/>
      <c r="O233" s="422"/>
      <c r="P233" s="422"/>
      <c r="Q233" s="422"/>
      <c r="R233" s="2"/>
      <c r="S233" s="2"/>
      <c r="T233" s="2"/>
      <c r="U233" s="2"/>
    </row>
    <row r="234" spans="1:21" s="421" customFormat="1" ht="15.75" thickBot="1" x14ac:dyDescent="0.3">
      <c r="A234" s="422"/>
      <c r="B234" s="422"/>
      <c r="C234" s="433"/>
      <c r="D234" s="423"/>
      <c r="E234" s="19"/>
      <c r="F234" s="632"/>
      <c r="G234" s="123"/>
      <c r="H234" s="123"/>
      <c r="I234" s="422"/>
      <c r="J234" s="422"/>
      <c r="K234" s="422"/>
      <c r="L234" s="422"/>
      <c r="M234" s="422"/>
      <c r="N234" s="422"/>
      <c r="O234" s="422"/>
      <c r="P234" s="422"/>
      <c r="Q234" s="422"/>
      <c r="R234" s="422"/>
      <c r="S234" s="422"/>
      <c r="T234" s="422"/>
      <c r="U234" s="422"/>
    </row>
    <row r="235" spans="1:21" s="421" customFormat="1" ht="16.5" thickTop="1" thickBot="1" x14ac:dyDescent="0.3">
      <c r="A235" s="422"/>
      <c r="B235" s="422"/>
      <c r="C235" s="663" t="s">
        <v>1033</v>
      </c>
      <c r="D235" s="423"/>
      <c r="E235" s="19"/>
      <c r="F235" s="632"/>
      <c r="G235" s="123"/>
      <c r="H235" s="123"/>
      <c r="I235" s="422"/>
      <c r="J235" s="422"/>
      <c r="K235" s="422"/>
      <c r="L235" s="422"/>
      <c r="M235" s="422"/>
      <c r="N235" s="422"/>
      <c r="O235" s="422"/>
      <c r="P235" s="422"/>
      <c r="Q235" s="422"/>
      <c r="R235" s="422"/>
      <c r="S235" s="422"/>
      <c r="T235" s="422"/>
      <c r="U235" s="422"/>
    </row>
    <row r="236" spans="1:21" s="421" customFormat="1" ht="15.75" thickTop="1" x14ac:dyDescent="0.25">
      <c r="A236" s="422"/>
      <c r="B236" s="422"/>
      <c r="C236" s="662"/>
      <c r="D236" s="423"/>
      <c r="E236" s="19"/>
      <c r="F236" s="632"/>
      <c r="G236" s="123"/>
      <c r="H236" s="123"/>
      <c r="I236" s="422"/>
      <c r="J236" s="422"/>
      <c r="K236" s="422"/>
      <c r="L236" s="422"/>
      <c r="M236" s="422"/>
      <c r="N236" s="422"/>
      <c r="O236" s="422"/>
      <c r="P236" s="422"/>
      <c r="Q236" s="422"/>
      <c r="R236" s="422"/>
      <c r="S236" s="422"/>
      <c r="T236" s="422"/>
      <c r="U236" s="422"/>
    </row>
    <row r="237" spans="1:21" s="421" customFormat="1" x14ac:dyDescent="0.25">
      <c r="A237" s="422"/>
      <c r="B237" s="422"/>
      <c r="C237" s="422" t="s">
        <v>1056</v>
      </c>
      <c r="D237" s="423" t="s">
        <v>1048</v>
      </c>
      <c r="E237" s="643" t="str">
        <f>VLOOKUP(C235,'FOGLIO DEPOSITO'!B275:G286,6,FALSE)</f>
        <v>0,7-1</v>
      </c>
      <c r="F237" s="632"/>
      <c r="G237" s="123"/>
      <c r="H237" s="123"/>
      <c r="I237" s="422"/>
      <c r="J237" s="422"/>
      <c r="K237" s="422"/>
      <c r="L237" s="422"/>
      <c r="M237" s="422"/>
      <c r="N237" s="422"/>
      <c r="O237" s="422"/>
      <c r="P237" s="422"/>
      <c r="Q237" s="422"/>
      <c r="R237" s="422"/>
      <c r="S237" s="422"/>
      <c r="T237" s="422"/>
      <c r="U237" s="422"/>
    </row>
    <row r="238" spans="1:21" s="421" customFormat="1" x14ac:dyDescent="0.25">
      <c r="A238" s="422"/>
      <c r="B238" s="422"/>
      <c r="C238" s="422" t="s">
        <v>1055</v>
      </c>
      <c r="D238" s="423" t="s">
        <v>304</v>
      </c>
      <c r="E238" s="661">
        <f>VLOOKUP(C235,'FOGLIO DEPOSITO'!B275:G286,4,FALSE)</f>
        <v>102000</v>
      </c>
      <c r="F238" s="632"/>
      <c r="G238" s="123"/>
      <c r="H238" s="123"/>
      <c r="I238" s="422"/>
      <c r="J238" s="422"/>
      <c r="K238" s="422"/>
      <c r="L238" s="422"/>
      <c r="M238" s="422"/>
      <c r="N238" s="422"/>
      <c r="O238" s="422"/>
      <c r="P238" s="422"/>
      <c r="Q238" s="422"/>
      <c r="R238" s="422"/>
      <c r="S238" s="422"/>
      <c r="T238" s="422"/>
      <c r="U238" s="422"/>
    </row>
    <row r="239" spans="1:21" s="421" customFormat="1" x14ac:dyDescent="0.25">
      <c r="A239" s="422"/>
      <c r="B239" s="422"/>
      <c r="C239" s="422" t="s">
        <v>1054</v>
      </c>
      <c r="D239" s="423" t="s">
        <v>469</v>
      </c>
      <c r="E239" s="661">
        <f>VLOOKUP(C235,'FOGLIO DEPOSITO'!B275:I286,7,FALSE)</f>
        <v>90000</v>
      </c>
      <c r="F239" s="632"/>
      <c r="G239" s="123"/>
      <c r="H239" s="123"/>
      <c r="I239" s="422"/>
      <c r="J239" s="422"/>
      <c r="K239" s="422"/>
      <c r="L239" s="422"/>
      <c r="M239" s="422"/>
      <c r="N239" s="422"/>
      <c r="O239" s="422"/>
      <c r="P239" s="422"/>
      <c r="Q239" s="422"/>
      <c r="R239" s="422"/>
      <c r="S239" s="422"/>
      <c r="T239" s="422"/>
      <c r="U239" s="422"/>
    </row>
    <row r="240" spans="1:21" s="421" customFormat="1" x14ac:dyDescent="0.25">
      <c r="A240" s="422"/>
      <c r="B240" s="422"/>
      <c r="C240" s="422" t="s">
        <v>1053</v>
      </c>
      <c r="D240" s="423" t="s">
        <v>1043</v>
      </c>
      <c r="E240" s="643">
        <f>VLOOKUP(C235,'FOGLIO DEPOSITO'!B275:G286,5,FALSE)</f>
        <v>0.4</v>
      </c>
      <c r="F240" s="632"/>
      <c r="G240" s="123"/>
      <c r="H240" s="123"/>
      <c r="I240" s="422"/>
      <c r="J240" s="422"/>
      <c r="K240" s="422"/>
      <c r="L240" s="422"/>
      <c r="M240" s="422"/>
      <c r="N240" s="422"/>
      <c r="O240" s="422"/>
      <c r="P240" s="422"/>
      <c r="Q240" s="422"/>
      <c r="R240" s="422"/>
      <c r="S240" s="422"/>
      <c r="T240" s="422"/>
      <c r="U240" s="422"/>
    </row>
    <row r="241" spans="1:21" s="421" customFormat="1" x14ac:dyDescent="0.25">
      <c r="A241" s="422"/>
      <c r="B241" s="422"/>
      <c r="C241" s="422" t="s">
        <v>1052</v>
      </c>
      <c r="D241" s="423" t="s">
        <v>1051</v>
      </c>
      <c r="E241" s="660">
        <v>24.351504784522664</v>
      </c>
      <c r="F241" s="632"/>
      <c r="G241" s="123"/>
      <c r="H241" s="123"/>
      <c r="I241" s="422"/>
      <c r="J241" s="422"/>
      <c r="K241" s="422"/>
      <c r="L241" s="422"/>
      <c r="M241" s="422"/>
      <c r="N241" s="422"/>
      <c r="O241" s="422"/>
      <c r="P241" s="422"/>
      <c r="Q241" s="422"/>
      <c r="R241" s="422"/>
      <c r="S241" s="422"/>
      <c r="T241" s="422"/>
      <c r="U241" s="422"/>
    </row>
    <row r="242" spans="1:21" s="421" customFormat="1" ht="15.75" thickBot="1" x14ac:dyDescent="0.3">
      <c r="A242" s="422"/>
      <c r="B242" s="422"/>
      <c r="C242" s="433"/>
      <c r="D242" s="423"/>
      <c r="E242" s="19"/>
      <c r="F242" s="632"/>
      <c r="G242" s="123"/>
      <c r="H242" s="123"/>
      <c r="I242" s="422"/>
      <c r="J242" s="422"/>
      <c r="K242" s="422"/>
      <c r="L242" s="422"/>
      <c r="M242" s="422"/>
      <c r="N242" s="422"/>
      <c r="O242" s="422"/>
      <c r="P242" s="422"/>
      <c r="Q242" s="422"/>
      <c r="R242" s="422"/>
      <c r="S242" s="422"/>
      <c r="T242" s="422"/>
      <c r="U242" s="422"/>
    </row>
    <row r="243" spans="1:21" ht="16.5" customHeight="1" thickTop="1" thickBot="1" x14ac:dyDescent="0.3">
      <c r="A243" s="2"/>
      <c r="B243" s="422"/>
      <c r="C243" s="422" t="s">
        <v>459</v>
      </c>
      <c r="D243" s="423" t="s">
        <v>111</v>
      </c>
      <c r="E243" s="657">
        <v>0</v>
      </c>
      <c r="F243" s="632"/>
      <c r="G243" s="890" t="s">
        <v>267</v>
      </c>
      <c r="H243" s="891"/>
      <c r="I243" s="422"/>
      <c r="J243" s="422"/>
      <c r="K243" s="422"/>
      <c r="L243" s="422"/>
      <c r="M243" s="422"/>
      <c r="N243" s="422"/>
      <c r="O243" s="744"/>
      <c r="P243" s="422"/>
      <c r="Q243" s="422"/>
      <c r="R243" s="2"/>
      <c r="S243" s="2"/>
      <c r="T243" s="2"/>
      <c r="U243" s="2"/>
    </row>
    <row r="244" spans="1:21" ht="16.5" thickTop="1" thickBot="1" x14ac:dyDescent="0.3">
      <c r="A244" s="2"/>
      <c r="B244" s="422"/>
      <c r="C244" s="422" t="s">
        <v>460</v>
      </c>
      <c r="D244" s="423" t="s">
        <v>461</v>
      </c>
      <c r="E244" s="657">
        <v>0</v>
      </c>
      <c r="F244" s="632"/>
      <c r="G244" s="892"/>
      <c r="H244" s="893"/>
      <c r="I244" s="422"/>
      <c r="J244" s="437"/>
      <c r="K244" s="437"/>
      <c r="L244" s="437"/>
      <c r="M244" s="437"/>
      <c r="N244" s="437"/>
      <c r="O244" s="422"/>
      <c r="P244" s="422"/>
      <c r="Q244" s="422"/>
      <c r="R244" s="2"/>
      <c r="S244" s="2"/>
      <c r="T244" s="2"/>
      <c r="U244" s="2"/>
    </row>
    <row r="245" spans="1:21" ht="16.5" customHeight="1" thickTop="1" thickBot="1" x14ac:dyDescent="0.3">
      <c r="A245" s="2"/>
      <c r="B245" s="422"/>
      <c r="C245" s="422" t="s">
        <v>437</v>
      </c>
      <c r="D245" s="423" t="s">
        <v>61</v>
      </c>
      <c r="E245" s="657">
        <v>32</v>
      </c>
      <c r="F245" s="632"/>
      <c r="G245" s="892"/>
      <c r="H245" s="893"/>
      <c r="I245" s="422"/>
      <c r="J245" s="437"/>
      <c r="K245" s="437"/>
      <c r="L245" s="437"/>
      <c r="M245" s="437"/>
      <c r="N245" s="437"/>
      <c r="O245" s="422"/>
      <c r="P245" s="422"/>
      <c r="Q245" s="422"/>
      <c r="R245" s="2"/>
      <c r="S245" s="2"/>
      <c r="T245" s="2"/>
      <c r="U245" s="2"/>
    </row>
    <row r="246" spans="1:21" ht="16.5" customHeight="1" thickTop="1" thickBot="1" x14ac:dyDescent="0.3">
      <c r="A246" s="2"/>
      <c r="B246" s="422"/>
      <c r="C246" s="422" t="s">
        <v>442</v>
      </c>
      <c r="D246" s="624" t="s">
        <v>443</v>
      </c>
      <c r="E246" s="182">
        <v>0</v>
      </c>
      <c r="F246" s="632"/>
      <c r="G246" s="892"/>
      <c r="H246" s="893"/>
      <c r="I246" s="422"/>
      <c r="J246" s="437"/>
      <c r="K246" s="437"/>
      <c r="L246" s="437"/>
      <c r="M246" s="437"/>
      <c r="N246" s="437"/>
      <c r="O246" s="422"/>
      <c r="P246" s="422"/>
      <c r="Q246" s="422"/>
      <c r="R246" s="2"/>
      <c r="S246" s="2"/>
      <c r="T246" s="2"/>
      <c r="U246" s="2"/>
    </row>
    <row r="247" spans="1:21" ht="16.5" thickTop="1" thickBot="1" x14ac:dyDescent="0.3">
      <c r="A247" s="2"/>
      <c r="B247" s="422"/>
      <c r="C247" s="422" t="s">
        <v>462</v>
      </c>
      <c r="D247" s="624" t="s">
        <v>441</v>
      </c>
      <c r="E247" s="182">
        <v>0</v>
      </c>
      <c r="F247" s="632"/>
      <c r="G247" s="892"/>
      <c r="H247" s="893"/>
      <c r="I247" s="422"/>
      <c r="J247" s="437"/>
      <c r="K247" s="437"/>
      <c r="L247" s="437"/>
      <c r="M247" s="437"/>
      <c r="N247" s="437"/>
      <c r="O247" s="422"/>
      <c r="P247" s="422"/>
      <c r="Q247" s="422"/>
      <c r="R247" s="2"/>
      <c r="S247" s="2"/>
      <c r="T247" s="2"/>
      <c r="U247" s="2"/>
    </row>
    <row r="248" spans="1:21" s="421" customFormat="1" ht="16.5" thickTop="1" thickBot="1" x14ac:dyDescent="0.3">
      <c r="A248" s="422"/>
      <c r="B248" s="422"/>
      <c r="C248" s="422" t="s">
        <v>870</v>
      </c>
      <c r="D248" s="423" t="s">
        <v>860</v>
      </c>
      <c r="E248" s="180">
        <v>18</v>
      </c>
      <c r="F248" s="632"/>
      <c r="G248" s="892"/>
      <c r="H248" s="893"/>
      <c r="I248" s="422"/>
      <c r="J248" s="437"/>
      <c r="K248" s="437"/>
      <c r="L248" s="437"/>
      <c r="M248" s="437"/>
      <c r="N248" s="437"/>
      <c r="O248" s="422"/>
      <c r="P248" s="422"/>
      <c r="Q248" s="422"/>
      <c r="R248" s="422"/>
      <c r="S248" s="422"/>
      <c r="T248" s="422"/>
      <c r="U248" s="422"/>
    </row>
    <row r="249" spans="1:21" ht="16.5" thickTop="1" thickBot="1" x14ac:dyDescent="0.3">
      <c r="A249" s="2"/>
      <c r="B249" s="422"/>
      <c r="C249" s="422" t="s">
        <v>463</v>
      </c>
      <c r="D249" s="423" t="s">
        <v>859</v>
      </c>
      <c r="E249" s="180">
        <v>18</v>
      </c>
      <c r="F249" s="632"/>
      <c r="G249" s="892"/>
      <c r="H249" s="893"/>
      <c r="I249" s="422"/>
      <c r="J249" s="422"/>
      <c r="K249" s="422"/>
      <c r="L249" s="422"/>
      <c r="M249" s="422"/>
      <c r="N249" s="422"/>
      <c r="O249" s="422"/>
      <c r="P249" s="422"/>
      <c r="Q249" s="422"/>
      <c r="R249" s="2"/>
      <c r="S249" s="2"/>
      <c r="T249" s="2"/>
      <c r="U249" s="2"/>
    </row>
    <row r="250" spans="1:21" ht="16.5" thickTop="1" thickBot="1" x14ac:dyDescent="0.3">
      <c r="A250" s="2"/>
      <c r="B250" s="422"/>
      <c r="C250" s="422" t="s">
        <v>871</v>
      </c>
      <c r="D250" s="624" t="s">
        <v>299</v>
      </c>
      <c r="E250" s="181">
        <v>1.05</v>
      </c>
      <c r="F250" s="632"/>
      <c r="G250" s="894"/>
      <c r="H250" s="895"/>
      <c r="I250" s="422"/>
      <c r="J250" s="422"/>
      <c r="K250" s="422"/>
      <c r="L250" s="422"/>
      <c r="M250" s="422"/>
      <c r="N250" s="422"/>
      <c r="O250" s="422"/>
      <c r="P250" s="422"/>
      <c r="Q250" s="422"/>
      <c r="R250" s="2"/>
      <c r="S250" s="2"/>
      <c r="T250" s="2"/>
      <c r="U250" s="2"/>
    </row>
    <row r="251" spans="1:21" ht="16.5" customHeight="1" thickTop="1" thickBot="1" x14ac:dyDescent="0.3">
      <c r="A251" s="2"/>
      <c r="B251" s="422"/>
      <c r="C251" s="422" t="s">
        <v>464</v>
      </c>
      <c r="D251" s="423" t="s">
        <v>449</v>
      </c>
      <c r="E251" s="750">
        <f>IF(E187="no",30,IF((E188-E60-E74)&gt;=0,E188-E60-E74,0))</f>
        <v>30</v>
      </c>
      <c r="F251" s="63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2"/>
      <c r="Q251" s="422"/>
      <c r="R251" s="2"/>
      <c r="S251" s="2"/>
      <c r="T251" s="2"/>
      <c r="U251" s="2"/>
    </row>
    <row r="252" spans="1:21" ht="16.5" thickTop="1" thickBot="1" x14ac:dyDescent="0.3">
      <c r="A252" s="2"/>
      <c r="B252" s="422"/>
      <c r="C252" s="430" t="s">
        <v>768</v>
      </c>
      <c r="D252" s="443" t="s">
        <v>706</v>
      </c>
      <c r="E252" s="66" t="s">
        <v>158</v>
      </c>
      <c r="F252" s="63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2"/>
      <c r="Q252" s="422"/>
      <c r="R252" s="2"/>
      <c r="S252" s="2"/>
      <c r="T252" s="2"/>
      <c r="U252" s="2"/>
    </row>
    <row r="253" spans="1:21" s="421" customFormat="1" ht="16.5" thickTop="1" thickBot="1" x14ac:dyDescent="0.3">
      <c r="A253" s="422"/>
      <c r="B253" s="422"/>
      <c r="C253" s="430" t="s">
        <v>768</v>
      </c>
      <c r="D253" s="443" t="s">
        <v>769</v>
      </c>
      <c r="E253" s="66" t="s">
        <v>158</v>
      </c>
      <c r="F253" s="63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2"/>
      <c r="Q253" s="422"/>
      <c r="R253" s="422"/>
      <c r="S253" s="422"/>
      <c r="T253" s="422"/>
      <c r="U253" s="422"/>
    </row>
    <row r="254" spans="1:21" s="421" customFormat="1" ht="15.75" thickTop="1" x14ac:dyDescent="0.25">
      <c r="A254" s="422"/>
      <c r="B254" s="422"/>
      <c r="C254" s="430"/>
      <c r="D254" s="620"/>
      <c r="E254" s="19"/>
      <c r="F254" s="63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2"/>
      <c r="Q254" s="422"/>
      <c r="R254" s="422"/>
      <c r="S254" s="422"/>
      <c r="T254" s="422"/>
      <c r="U254" s="422"/>
    </row>
    <row r="255" spans="1:21" x14ac:dyDescent="0.25">
      <c r="A255" s="2"/>
      <c r="B255" s="422"/>
      <c r="C255" s="422"/>
      <c r="D255" s="423"/>
      <c r="E255" s="649"/>
      <c r="F255" s="63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2"/>
      <c r="Q255" s="422"/>
      <c r="R255" s="2"/>
      <c r="S255" s="2"/>
      <c r="T255" s="2"/>
      <c r="U255" s="2"/>
    </row>
    <row r="256" spans="1:21" x14ac:dyDescent="0.25">
      <c r="A256" s="2"/>
      <c r="B256" s="422"/>
      <c r="C256" s="1" t="s">
        <v>465</v>
      </c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2"/>
      <c r="Q256" s="422"/>
      <c r="R256" s="2"/>
      <c r="S256" s="2"/>
      <c r="T256" s="2"/>
      <c r="U256" s="2"/>
    </row>
    <row r="257" spans="1:21" ht="15.75" x14ac:dyDescent="0.25">
      <c r="A257" s="2"/>
      <c r="B257" s="422"/>
      <c r="C257" s="18"/>
      <c r="D257" s="422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2"/>
      <c r="Q257" s="422"/>
      <c r="R257" s="2"/>
      <c r="S257" s="2"/>
      <c r="T257" s="2"/>
      <c r="U257" s="2"/>
    </row>
    <row r="258" spans="1:21" x14ac:dyDescent="0.25">
      <c r="A258" s="2"/>
      <c r="B258" s="422"/>
      <c r="C258" s="17" t="s">
        <v>466</v>
      </c>
      <c r="D258" s="10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2"/>
      <c r="Q258" s="422"/>
      <c r="R258" s="2"/>
      <c r="S258" s="2"/>
      <c r="T258" s="2"/>
      <c r="U258" s="2"/>
    </row>
    <row r="259" spans="1:21" ht="6.75" customHeight="1" thickBot="1" x14ac:dyDescent="0.3">
      <c r="A259" s="2"/>
      <c r="B259" s="422"/>
      <c r="C259" s="422"/>
      <c r="D259" s="425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2"/>
      <c r="Q259" s="422"/>
      <c r="R259" s="2"/>
      <c r="S259" s="2"/>
      <c r="T259" s="2"/>
      <c r="U259" s="2"/>
    </row>
    <row r="260" spans="1:21" ht="17.25" thickTop="1" thickBot="1" x14ac:dyDescent="0.3">
      <c r="A260" s="2"/>
      <c r="B260" s="422"/>
      <c r="C260" s="312" t="s">
        <v>195</v>
      </c>
      <c r="D260" s="64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2"/>
      <c r="Q260" s="422"/>
      <c r="R260" s="2"/>
      <c r="S260" s="2"/>
      <c r="T260" s="2"/>
      <c r="U260" s="2"/>
    </row>
    <row r="261" spans="1:21" ht="15.75" thickTop="1" x14ac:dyDescent="0.25">
      <c r="A261" s="2"/>
      <c r="B261" s="422"/>
      <c r="C261" s="422"/>
      <c r="D261" s="422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2"/>
      <c r="Q261" s="422"/>
      <c r="R261" s="2"/>
      <c r="S261" s="2"/>
      <c r="T261" s="2"/>
      <c r="U261" s="2"/>
    </row>
    <row r="262" spans="1:21" x14ac:dyDescent="0.25">
      <c r="A262" s="2"/>
      <c r="B262" s="422"/>
      <c r="C262" s="628"/>
      <c r="D262" s="438" t="s">
        <v>467</v>
      </c>
      <c r="E262" s="881" t="s">
        <v>25</v>
      </c>
      <c r="F262" s="881"/>
      <c r="G262" s="422"/>
      <c r="H262" s="422"/>
      <c r="I262" s="422"/>
      <c r="J262" s="422"/>
      <c r="K262" s="422"/>
      <c r="L262" s="422"/>
      <c r="M262" s="422"/>
      <c r="N262" s="422"/>
      <c r="O262" s="422"/>
      <c r="P262" s="422"/>
      <c r="Q262" s="422"/>
      <c r="R262" s="2"/>
      <c r="S262" s="2"/>
      <c r="T262" s="2"/>
      <c r="U262" s="2"/>
    </row>
    <row r="263" spans="1:21" x14ac:dyDescent="0.25">
      <c r="A263" s="2"/>
      <c r="B263" s="422"/>
      <c r="C263" s="10"/>
      <c r="D263" s="751" t="s">
        <v>785</v>
      </c>
      <c r="E263" s="625">
        <f>IF(SPINTE!C75='FOGLIO DEPOSITO'!N184,1,IF(SPINTE!C75='FOGLIO DEPOSITO'!N181,1,IF(SPINTE!C75='FOGLIO DEPOSITO'!N182,1,IF(C260='FOGLIO DEPOSITO'!I69,1,IF('FOGLIO DEPOSITO'!$I$70=1,'FOGLIO DEPOSITO'!E66,IF('FOGLIO DEPOSITO'!$I$70=2,'FOGLIO DEPOSITO'!G66,IF('FOGLIO DEPOSITO'!$I$70=3,'FOGLIO DEPOSITO'!E66,0)))))))</f>
        <v>1</v>
      </c>
      <c r="F263" s="625">
        <f>IF(C260='FOGLIO DEPOSITO'!I69,1,0.9)</f>
        <v>0.9</v>
      </c>
      <c r="G263" s="422"/>
      <c r="H263" s="422"/>
      <c r="I263" s="422"/>
      <c r="J263" s="422"/>
      <c r="K263" s="422"/>
      <c r="L263" s="422"/>
      <c r="M263" s="422"/>
      <c r="N263" s="422"/>
      <c r="O263" s="422"/>
      <c r="P263" s="422"/>
      <c r="Q263" s="422"/>
      <c r="R263" s="2"/>
      <c r="S263" s="2"/>
      <c r="T263" s="2"/>
      <c r="U263" s="2"/>
    </row>
    <row r="264" spans="1:21" x14ac:dyDescent="0.25">
      <c r="A264" s="2"/>
      <c r="B264" s="422"/>
      <c r="C264" s="422"/>
      <c r="D264" s="751" t="s">
        <v>786</v>
      </c>
      <c r="E264" s="625">
        <f>IF(SPINTE!C75='FOGLIO DEPOSITO'!N184,1,IF(SPINTE!C75='FOGLIO DEPOSITO'!N181,1,IF(SPINTE!C75='FOGLIO DEPOSITO'!N182,1,IF(C260='FOGLIO DEPOSITO'!I69,1,IF('FOGLIO DEPOSITO'!$I$70=1,'FOGLIO DEPOSITO'!E67,IF('FOGLIO DEPOSITO'!$I$70=2,'FOGLIO DEPOSITO'!G67,IF('FOGLIO DEPOSITO'!$I$70=3,'FOGLIO DEPOSITO'!E67,0)))))))</f>
        <v>1</v>
      </c>
      <c r="F264" s="625">
        <f>0</f>
        <v>0</v>
      </c>
      <c r="G264" s="422"/>
      <c r="H264" s="422"/>
      <c r="I264" s="422"/>
      <c r="J264" s="422"/>
      <c r="K264" s="422"/>
      <c r="L264" s="422"/>
      <c r="M264" s="422"/>
      <c r="N264" s="422"/>
      <c r="O264" s="422"/>
      <c r="P264" s="422"/>
      <c r="Q264" s="422"/>
      <c r="R264" s="2"/>
      <c r="S264" s="2"/>
      <c r="T264" s="2"/>
      <c r="U264" s="2"/>
    </row>
    <row r="265" spans="1:21" x14ac:dyDescent="0.25">
      <c r="A265" s="2"/>
      <c r="B265" s="422"/>
      <c r="C265" s="885" t="str">
        <f>IF(SPINTE!C75='FOGLIO DEPOSITO'!N184,"E' stata abilitata la verifica sismica perché sull'analisi delle spinte è stato inserita la teoria di  Wood",IF('FOGLIO DEPOSITO'!I72='FOGLIO DEPOSITO'!I73,"E' stata abilitata la verifica sismica perché sull'analisi delle spinte è stato inserita la teoria di  Mononobe-Okabe",""))</f>
        <v>E' stata abilitata la verifica sismica perché sull'analisi delle spinte è stato inserita la teoria di  Mononobe-Okabe</v>
      </c>
      <c r="D265" s="751" t="s">
        <v>787</v>
      </c>
      <c r="E265" s="625">
        <f>IF(SPINTE!C75='FOGLIO DEPOSITO'!N184,1,IF(SPINTE!C75='FOGLIO DEPOSITO'!N181,1,IF(SPINTE!C75='FOGLIO DEPOSITO'!N182,1,IF(C260='FOGLIO DEPOSITO'!I69,1,IF('FOGLIO DEPOSITO'!$I$70=1,'FOGLIO DEPOSITO'!E68,IF('FOGLIO DEPOSITO'!$I$70=2,'FOGLIO DEPOSITO'!G68,IF('FOGLIO DEPOSITO'!$I$70=3,'FOGLIO DEPOSITO'!E68,0)))))))</f>
        <v>1</v>
      </c>
      <c r="F265" s="625">
        <f>0</f>
        <v>0</v>
      </c>
      <c r="G265" s="422"/>
      <c r="H265" s="422"/>
      <c r="I265" s="422"/>
      <c r="J265" s="422"/>
      <c r="K265" s="422"/>
      <c r="L265" s="422"/>
      <c r="M265" s="422"/>
      <c r="N265" s="422"/>
      <c r="O265" s="422"/>
      <c r="P265" s="422"/>
      <c r="Q265" s="422"/>
      <c r="R265" s="2"/>
      <c r="S265" s="2"/>
      <c r="T265" s="2"/>
      <c r="U265" s="2"/>
    </row>
    <row r="266" spans="1:21" x14ac:dyDescent="0.25">
      <c r="A266" s="2"/>
      <c r="B266" s="422"/>
      <c r="C266" s="885"/>
      <c r="D266" s="422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2"/>
      <c r="Q266" s="422"/>
      <c r="R266" s="2"/>
      <c r="S266" s="2"/>
      <c r="T266" s="2"/>
      <c r="U266" s="2"/>
    </row>
    <row r="267" spans="1:21" x14ac:dyDescent="0.25">
      <c r="A267" s="2"/>
      <c r="B267" s="422"/>
      <c r="C267" s="885"/>
      <c r="D267" s="438" t="s">
        <v>468</v>
      </c>
      <c r="E267" s="879" t="s">
        <v>469</v>
      </c>
      <c r="F267" s="880"/>
      <c r="G267" s="422"/>
      <c r="H267" s="422"/>
      <c r="I267" s="422"/>
      <c r="J267" s="422"/>
      <c r="K267" s="422"/>
      <c r="L267" s="422"/>
      <c r="M267" s="422"/>
      <c r="N267" s="422"/>
      <c r="O267" s="422"/>
      <c r="P267" s="422"/>
      <c r="Q267" s="422"/>
      <c r="R267" s="2"/>
      <c r="S267" s="2"/>
      <c r="T267" s="2"/>
      <c r="U267" s="2"/>
    </row>
    <row r="268" spans="1:21" x14ac:dyDescent="0.25">
      <c r="C268" s="885"/>
      <c r="D268" s="623" t="s">
        <v>201</v>
      </c>
      <c r="E268" s="883">
        <f>IF(C260='FOGLIO DEPOSITO'!I69,1,IF('FOGLIO DEPOSITO'!$I$70=1,'FOGLIO DEPOSITO'!D71,IF('FOGLIO DEPOSITO'!$I$70=2,'FOGLIO DEPOSITO'!E71,IF('FOGLIO DEPOSITO'!$I$70=3,'FOGLIO DEPOSITO'!D71,0))))</f>
        <v>1</v>
      </c>
      <c r="F268" s="884"/>
      <c r="G268" s="422"/>
      <c r="H268" s="422"/>
      <c r="I268" s="422"/>
      <c r="J268" s="422"/>
      <c r="K268" s="422"/>
      <c r="L268" s="422"/>
      <c r="M268" s="422"/>
      <c r="N268" s="422"/>
      <c r="O268" s="422"/>
      <c r="P268" s="422"/>
      <c r="Q268" s="422"/>
    </row>
    <row r="269" spans="1:21" x14ac:dyDescent="0.25">
      <c r="C269" s="885"/>
      <c r="D269" s="623" t="s">
        <v>202</v>
      </c>
      <c r="E269" s="883">
        <f>IF(C260='FOGLIO DEPOSITO'!I69,1,IF('FOGLIO DEPOSITO'!$I$70=1,'FOGLIO DEPOSITO'!D72,IF('FOGLIO DEPOSITO'!$I$70=2,'FOGLIO DEPOSITO'!E72,IF('FOGLIO DEPOSITO'!$I$70=3,'FOGLIO DEPOSITO'!D72,0))))</f>
        <v>1</v>
      </c>
      <c r="F269" s="884"/>
      <c r="G269" s="422"/>
      <c r="H269" s="422"/>
      <c r="I269" s="422"/>
      <c r="J269" s="422"/>
      <c r="K269" s="422"/>
      <c r="L269" s="422"/>
      <c r="M269" s="422"/>
      <c r="N269" s="422"/>
      <c r="O269" s="422"/>
      <c r="P269" s="422"/>
      <c r="Q269" s="422"/>
    </row>
    <row r="270" spans="1:21" x14ac:dyDescent="0.25">
      <c r="C270" s="422"/>
      <c r="D270" s="623" t="s">
        <v>204</v>
      </c>
      <c r="E270" s="883">
        <f>IF(C260='FOGLIO DEPOSITO'!I69,1,IF('FOGLIO DEPOSITO'!$I$70=1,'FOGLIO DEPOSITO'!D73,IF('FOGLIO DEPOSITO'!$I$70=2,'FOGLIO DEPOSITO'!E73,IF('FOGLIO DEPOSITO'!$I$70=3,'FOGLIO DEPOSITO'!D73,0))))</f>
        <v>1</v>
      </c>
      <c r="F270" s="884"/>
      <c r="G270" s="422"/>
      <c r="H270" s="422"/>
      <c r="I270" s="422"/>
      <c r="J270" s="422"/>
      <c r="K270" s="422"/>
      <c r="L270" s="422"/>
      <c r="M270" s="422"/>
      <c r="N270" s="422"/>
      <c r="O270" s="422"/>
      <c r="P270" s="422"/>
      <c r="Q270" s="422"/>
    </row>
    <row r="271" spans="1:21" x14ac:dyDescent="0.25">
      <c r="C271" s="422"/>
      <c r="D271" s="636" t="s">
        <v>205</v>
      </c>
      <c r="E271" s="883">
        <f>IF(C260='FOGLIO DEPOSITO'!I69,1,IF('FOGLIO DEPOSITO'!$I$70=1,'FOGLIO DEPOSITO'!D74,IF('FOGLIO DEPOSITO'!$I$70=2,'FOGLIO DEPOSITO'!E74,IF('FOGLIO DEPOSITO'!$I$70=3,'FOGLIO DEPOSITO'!D74,0))))</f>
        <v>1</v>
      </c>
      <c r="F271" s="884"/>
      <c r="G271" s="422"/>
      <c r="H271" s="422"/>
      <c r="I271" s="422"/>
      <c r="J271" s="422"/>
      <c r="K271" s="422"/>
      <c r="L271" s="422"/>
      <c r="M271" s="422"/>
      <c r="N271" s="422"/>
      <c r="O271" s="422"/>
      <c r="P271" s="422"/>
      <c r="Q271" s="422"/>
    </row>
    <row r="272" spans="1:21" x14ac:dyDescent="0.25">
      <c r="C272" s="422"/>
      <c r="D272" s="422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2"/>
      <c r="Q272" s="422"/>
    </row>
    <row r="273" spans="3:17" x14ac:dyDescent="0.25">
      <c r="C273" s="422"/>
      <c r="D273" s="438" t="s">
        <v>470</v>
      </c>
      <c r="E273" s="879" t="s">
        <v>471</v>
      </c>
      <c r="F273" s="880"/>
      <c r="G273" s="422"/>
      <c r="H273" s="422"/>
      <c r="I273" s="422"/>
      <c r="J273" s="422"/>
      <c r="K273" s="422"/>
      <c r="L273" s="422"/>
      <c r="M273" s="422"/>
      <c r="N273" s="422"/>
      <c r="O273" s="422"/>
      <c r="P273" s="422"/>
      <c r="Q273" s="422"/>
    </row>
    <row r="274" spans="3:17" x14ac:dyDescent="0.25">
      <c r="C274" s="422"/>
      <c r="D274" s="889" t="s">
        <v>472</v>
      </c>
      <c r="E274" s="882">
        <f>IF(C260='FOGLIO DEPOSITO'!I69,1,IF('FOGLIO DEPOSITO'!$I$70=1,'FOGLIO DEPOSITO'!D77,IF('FOGLIO DEPOSITO'!$I$70=2,'FOGLIO DEPOSITO'!E77,IF('FOGLIO DEPOSITO'!$I$70=3,'FOGLIO DEPOSITO'!F77,0))))</f>
        <v>1</v>
      </c>
      <c r="F274" s="88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2"/>
      <c r="Q274" s="422"/>
    </row>
    <row r="275" spans="3:17" x14ac:dyDescent="0.25">
      <c r="C275" s="422"/>
      <c r="D275" s="889"/>
      <c r="E275" s="882"/>
      <c r="F275" s="88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2"/>
      <c r="Q275" s="422"/>
    </row>
    <row r="276" spans="3:17" x14ac:dyDescent="0.25">
      <c r="C276" s="422"/>
      <c r="D276" s="881" t="s">
        <v>210</v>
      </c>
      <c r="E276" s="882">
        <f>IF(C260='FOGLIO DEPOSITO'!I69,1,IF('FOGLIO DEPOSITO'!$I$70=1,'FOGLIO DEPOSITO'!D78,IF('FOGLIO DEPOSITO'!$I$70=2,'FOGLIO DEPOSITO'!E78,IF('FOGLIO DEPOSITO'!$I$70=3,'FOGLIO DEPOSITO'!F78,0))))</f>
        <v>1</v>
      </c>
      <c r="F276" s="88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2"/>
      <c r="Q276" s="422"/>
    </row>
    <row r="277" spans="3:17" x14ac:dyDescent="0.25">
      <c r="C277" s="422"/>
      <c r="D277" s="881"/>
      <c r="E277" s="882"/>
      <c r="F277" s="88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2"/>
      <c r="Q277" s="422"/>
    </row>
    <row r="278" spans="3:17" x14ac:dyDescent="0.25">
      <c r="C278" s="422"/>
      <c r="D278" s="422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2"/>
      <c r="Q278" s="422"/>
    </row>
  </sheetData>
  <sheetProtection algorithmName="SHA-512" hashValue="V14L1c3sy/b8wTSunoS36uWUvhGaI5rJfNIoLEDzXJk0IBewHKGAoJi1j61LL6Ry1rdnENcSg3dRydRXLQuyjg==" saltValue="H4BQDtYdp2yorkS0V1GCcg==" spinCount="100000" sheet="1" objects="1" scenarios="1" selectLockedCells="1"/>
  <protectedRanges>
    <protectedRange sqref="E208 E178:E182 E167:E170 L171 E172:E176 E249 E201:E204 E199 E231:E234 E242:E247 E210:E230" name="Intervallo1"/>
    <protectedRange sqref="C260:D260" name="Intervallo1_1"/>
    <protectedRange sqref="E199 E208 E231:E234 E178:E182 E167:E170 L171 E172:E176 E249:E250 E201:E204 E245:E247 E242 E210:E230" name="Intervallo1_5"/>
    <protectedRange sqref="E27:E29 E21:E22 E24 E9:E10" name="Intervallo1_5_1"/>
    <protectedRange sqref="E163:E164" name="Intervallo1_2"/>
    <protectedRange sqref="E163:E164" name="Intervallo1_5_2"/>
    <protectedRange sqref="E32:E36" name="Intervallo1_4"/>
    <protectedRange sqref="E252" name="Intervallo1_4_1"/>
    <protectedRange sqref="E253:E254" name="Intervallo1_5_3"/>
    <protectedRange sqref="E248" name="Intervallo1_7"/>
    <protectedRange sqref="E162" name="Intervallo1_3"/>
    <protectedRange sqref="E162" name="Intervallo1_5_3_1"/>
    <protectedRange sqref="E235:E241" name="Intervallo1_8"/>
    <protectedRange sqref="E235:E241" name="Intervallo1_5_5"/>
  </protectedRanges>
  <dataConsolidate/>
  <customSheetViews>
    <customSheetView guid="{101D851C-E4EE-4443-B6A9-9040ACB2A650}" showGridLines="0" showRowCol="0" fitToPage="1">
      <selection activeCell="E23" sqref="E23"/>
      <rowBreaks count="3" manualBreakCount="3">
        <brk id="55" min="2" max="7" man="1"/>
        <brk id="90" min="2" max="7" man="1"/>
        <brk id="194" min="2" max="7" man="1"/>
      </rowBreaks>
      <pageMargins left="0.51181102362204722" right="0.15748031496062992" top="0.39370078740157483" bottom="0.35433070866141736" header="0.31496062992125984" footer="0.31496062992125984"/>
      <pageSetup paperSize="9" scale="89" fitToHeight="0" orientation="portrait" r:id="rId1"/>
    </customSheetView>
  </customSheetViews>
  <mergeCells count="25">
    <mergeCell ref="L64:N67"/>
    <mergeCell ref="L60:N63"/>
    <mergeCell ref="E273:F273"/>
    <mergeCell ref="D274:D275"/>
    <mergeCell ref="E274:F275"/>
    <mergeCell ref="G167:H171"/>
    <mergeCell ref="E262:F262"/>
    <mergeCell ref="G173:H177"/>
    <mergeCell ref="G179:H183"/>
    <mergeCell ref="E211:F211"/>
    <mergeCell ref="E209:F209"/>
    <mergeCell ref="G243:H250"/>
    <mergeCell ref="I60:K63"/>
    <mergeCell ref="I64:K67"/>
    <mergeCell ref="D77:E77"/>
    <mergeCell ref="I74:N78"/>
    <mergeCell ref="C69:C70"/>
    <mergeCell ref="E267:F267"/>
    <mergeCell ref="D276:D277"/>
    <mergeCell ref="E276:F277"/>
    <mergeCell ref="E268:F268"/>
    <mergeCell ref="E269:F269"/>
    <mergeCell ref="C265:C269"/>
    <mergeCell ref="E271:F271"/>
    <mergeCell ref="E270:F270"/>
  </mergeCells>
  <dataValidations count="18">
    <dataValidation type="list" allowBlank="1" showInputMessage="1" showErrorMessage="1" sqref="C260">
      <formula1>COMBO</formula1>
    </dataValidation>
    <dataValidation type="list" allowBlank="1" showInputMessage="1" showErrorMessage="1" sqref="E63">
      <formula1>NUMCOST</formula1>
    </dataValidation>
    <dataValidation type="list" allowBlank="1" showInputMessage="1" showErrorMessage="1" sqref="E83">
      <formula1>posdent</formula1>
    </dataValidation>
    <dataValidation type="list" allowBlank="1" showInputMessage="1" showErrorMessage="1" sqref="E171">
      <formula1>str</formula1>
    </dataValidation>
    <dataValidation type="list" allowBlank="1" showInputMessage="1" showErrorMessage="1" sqref="E177">
      <formula1>st</formula1>
    </dataValidation>
    <dataValidation type="list" allowBlank="1" showInputMessage="1" showErrorMessage="1" sqref="G167:H171">
      <formula1>pr</formula1>
    </dataValidation>
    <dataValidation type="list" allowBlank="1" showInputMessage="1" showErrorMessage="1" sqref="G173:H177">
      <formula1>sec</formula1>
    </dataValidation>
    <dataValidation type="list" allowBlank="1" showInputMessage="1" showErrorMessage="1" sqref="G179:H183">
      <formula1>ter</formula1>
    </dataValidation>
    <dataValidation type="list" allowBlank="1" showInputMessage="1" showErrorMessage="1" sqref="E54 E187 E193 E195 E252:E254">
      <formula1>sn</formula1>
    </dataValidation>
    <dataValidation type="list" allowBlank="1" showInputMessage="1" showErrorMessage="1" sqref="E7">
      <formula1>class</formula1>
    </dataValidation>
    <dataValidation type="list" allowBlank="1" showInputMessage="1" showErrorMessage="1" sqref="E23">
      <formula1>fer</formula1>
    </dataValidation>
    <dataValidation type="list" allowBlank="1" showInputMessage="1" showErrorMessage="1" sqref="E36">
      <formula1>TOP</formula1>
    </dataValidation>
    <dataValidation type="list" allowBlank="1" showInputMessage="1" showErrorMessage="1" sqref="E35">
      <formula1>ss</formula1>
    </dataValidation>
    <dataValidation type="list" allowBlank="1" showInputMessage="1" showErrorMessage="1" sqref="C197">
      <formula1>perm</formula1>
    </dataValidation>
    <dataValidation type="list" allowBlank="1" showInputMessage="1" showErrorMessage="1" sqref="D77">
      <formula1>posza</formula1>
    </dataValidation>
    <dataValidation type="list" allowBlank="1" showInputMessage="1" showErrorMessage="1" sqref="G243:H250">
      <formula1>fonda</formula1>
    </dataValidation>
    <dataValidation type="list" allowBlank="1" showInputMessage="1" showErrorMessage="1" sqref="G211">
      <formula1>sd</formula1>
    </dataValidation>
    <dataValidation type="list" allowBlank="1" showInputMessage="1" showErrorMessage="1" sqref="C235:C236">
      <formula1>terrrr</formula1>
    </dataValidation>
  </dataValidations>
  <hyperlinks>
    <hyperlink ref="C30" r:id="rId2"/>
  </hyperlinks>
  <pageMargins left="0.51181102362204722" right="0.15748031496062992" top="0.39370078740157483" bottom="0.35433070866141736" header="0.31496062992125984" footer="0.31496062992125984"/>
  <pageSetup paperSize="9" scale="89" fitToHeight="0" orientation="portrait" r:id="rId3"/>
  <rowBreaks count="3" manualBreakCount="3">
    <brk id="55" min="2" max="7" man="1"/>
    <brk id="90" min="2" max="7" man="1"/>
    <brk id="194" min="2" max="7" man="1"/>
  </rowBreaks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" operator="equal" id="{F62B669A-FFB2-4CA4-8219-22BA108A652B}">
            <xm:f>'FOGLIO DEPOSITO'!$H$165</xm:f>
            <x14:dxf>
              <fill>
                <patternFill>
                  <bgColor theme="0" tint="-0.14996795556505021"/>
                </patternFill>
              </fill>
            </x14:dxf>
          </x14:cfRule>
          <xm:sqref>G167:H171</xm:sqref>
        </x14:conditionalFormatting>
        <x14:conditionalFormatting xmlns:xm="http://schemas.microsoft.com/office/excel/2006/main">
          <x14:cfRule type="cellIs" priority="5" operator="equal" id="{E471D5D7-AB6A-441D-99E0-A5D29B1F7433}">
            <xm:f>'FOGLIO DEPOSITO'!$H$168</xm:f>
            <x14:dxf>
              <fill>
                <patternFill>
                  <bgColor theme="0" tint="-0.14996795556505021"/>
                </patternFill>
              </fill>
            </x14:dxf>
          </x14:cfRule>
          <xm:sqref>G173:H177</xm:sqref>
        </x14:conditionalFormatting>
        <x14:conditionalFormatting xmlns:xm="http://schemas.microsoft.com/office/excel/2006/main">
          <x14:cfRule type="cellIs" priority="4" operator="equal" id="{D96A39E5-AAE3-460F-83F1-66060B4985EF}">
            <xm:f>'FOGLIO DEPOSITO'!$H$171</xm:f>
            <x14:dxf>
              <fill>
                <patternFill>
                  <bgColor theme="0" tint="-0.14996795556505021"/>
                </patternFill>
              </fill>
            </x14:dxf>
          </x14:cfRule>
          <xm:sqref>G179:H183 G243</xm:sqref>
        </x14:conditionalFormatting>
        <x14:conditionalFormatting xmlns:xm="http://schemas.microsoft.com/office/excel/2006/main">
          <x14:cfRule type="cellIs" priority="1" operator="equal" id="{EEC80798-1413-4E90-A4E8-EC396E6C2075}">
            <xm:f>'FOGLIO DEPOSITO'!$H$174</xm:f>
            <x14:dxf>
              <fill>
                <patternFill>
                  <bgColor theme="0" tint="-0.14996795556505021"/>
                </patternFill>
              </fill>
            </x14:dxf>
          </x14:cfRule>
          <xm:sqref>G243:H250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B1:AI242"/>
  <sheetViews>
    <sheetView showGridLines="0" showRowColHeaders="0" zoomScale="90" zoomScaleNormal="90" workbookViewId="0">
      <selection activeCell="C75" sqref="C75:D75"/>
    </sheetView>
  </sheetViews>
  <sheetFormatPr defaultRowHeight="15" x14ac:dyDescent="0.25"/>
  <cols>
    <col min="1" max="1" width="3" customWidth="1"/>
    <col min="2" max="2" width="47" customWidth="1"/>
    <col min="3" max="14" width="11.7109375" customWidth="1"/>
    <col min="15" max="15" width="10.7109375" style="421" customWidth="1"/>
    <col min="16" max="16" width="11" style="421" customWidth="1"/>
    <col min="17" max="17" width="11.85546875" style="421" customWidth="1"/>
    <col min="18" max="18" width="12.140625" style="421" customWidth="1"/>
    <col min="19" max="21" width="10.7109375" style="421" customWidth="1"/>
    <col min="22" max="24" width="12" style="421" customWidth="1"/>
    <col min="25" max="29" width="11.5703125" customWidth="1"/>
    <col min="30" max="30" width="17.140625" customWidth="1"/>
    <col min="31" max="32" width="16.7109375" customWidth="1"/>
    <col min="33" max="33" width="22.42578125" customWidth="1"/>
    <col min="34" max="34" width="16.7109375" customWidth="1"/>
    <col min="35" max="35" width="11.5703125" customWidth="1"/>
  </cols>
  <sheetData>
    <row r="1" spans="2:35" s="421" customFormat="1" x14ac:dyDescent="0.25"/>
    <row r="2" spans="2:35" s="421" customFormat="1" ht="23.25" x14ac:dyDescent="0.35">
      <c r="B2" s="414" t="s">
        <v>1080</v>
      </c>
    </row>
    <row r="3" spans="2:35" x14ac:dyDescent="0.25"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</row>
    <row r="4" spans="2:35" ht="18.75" x14ac:dyDescent="0.3">
      <c r="B4" s="433" t="s">
        <v>781</v>
      </c>
      <c r="C4" s="432"/>
      <c r="D4" s="666"/>
      <c r="E4" s="667"/>
      <c r="F4" s="23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</row>
    <row r="5" spans="2:35" ht="18.75" x14ac:dyDescent="0.3">
      <c r="B5" s="433"/>
      <c r="C5" s="432"/>
      <c r="D5" s="666"/>
      <c r="E5" s="667"/>
      <c r="F5" s="23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C5" s="422"/>
      <c r="AD5" s="422"/>
      <c r="AE5" s="422"/>
      <c r="AF5" s="422"/>
      <c r="AG5" s="422"/>
      <c r="AH5" s="422"/>
      <c r="AI5" s="422"/>
    </row>
    <row r="6" spans="2:35" x14ac:dyDescent="0.25">
      <c r="B6" s="425" t="s">
        <v>331</v>
      </c>
      <c r="C6" s="425" t="str">
        <f>'Sollecitazioni nella zattera'!D6</f>
        <v>SISMICA</v>
      </c>
      <c r="D6" s="425"/>
      <c r="E6" s="425"/>
      <c r="F6" s="422"/>
      <c r="G6" s="422"/>
      <c r="H6" s="422"/>
      <c r="I6" s="422"/>
      <c r="J6" s="422"/>
      <c r="K6" s="422"/>
      <c r="L6" s="422"/>
      <c r="M6" s="422"/>
      <c r="N6" s="422"/>
      <c r="O6" s="422"/>
      <c r="P6" s="422"/>
      <c r="Q6" s="422"/>
      <c r="R6" s="422"/>
      <c r="S6" s="422"/>
      <c r="T6" s="422"/>
      <c r="U6" s="422"/>
      <c r="V6" s="422"/>
      <c r="W6" s="422"/>
      <c r="X6" s="422"/>
      <c r="Y6" s="422"/>
      <c r="Z6" s="422"/>
      <c r="AA6" s="422"/>
      <c r="AB6" s="422"/>
      <c r="AC6" s="422"/>
      <c r="AD6" s="422"/>
      <c r="AE6" s="422"/>
      <c r="AF6" s="422"/>
      <c r="AG6" s="422"/>
      <c r="AH6" s="422"/>
      <c r="AI6" s="422"/>
    </row>
    <row r="7" spans="2:35" x14ac:dyDescent="0.25">
      <c r="B7" s="422"/>
      <c r="C7" s="422"/>
      <c r="D7" s="422"/>
      <c r="E7" s="422"/>
      <c r="F7" s="422"/>
      <c r="G7" s="422"/>
      <c r="H7" s="422"/>
      <c r="I7" s="422"/>
      <c r="J7" s="422"/>
      <c r="K7" s="422"/>
      <c r="L7" s="422"/>
      <c r="M7" s="422"/>
      <c r="N7" s="422"/>
      <c r="O7" s="422"/>
      <c r="P7" s="422"/>
      <c r="Q7" s="422"/>
      <c r="R7" s="422"/>
      <c r="S7" s="422"/>
      <c r="T7" s="422"/>
      <c r="U7" s="422"/>
      <c r="V7" s="422"/>
      <c r="W7" s="422"/>
      <c r="X7" s="422"/>
      <c r="Y7" s="422"/>
      <c r="Z7" s="422"/>
      <c r="AA7" s="422"/>
      <c r="AB7" s="422"/>
      <c r="AC7" s="422"/>
      <c r="AD7" s="422"/>
      <c r="AE7" s="422"/>
      <c r="AF7" s="422"/>
      <c r="AG7" s="422"/>
      <c r="AH7" s="422"/>
      <c r="AI7" s="422"/>
    </row>
    <row r="8" spans="2:35" x14ac:dyDescent="0.25">
      <c r="B8" s="425" t="s">
        <v>473</v>
      </c>
      <c r="C8" s="425" t="str">
        <f>'Sollecitazioni nella zattera'!D7</f>
        <v>APPROCCIO 1 --- Combinazione (A1+M1+R1)</v>
      </c>
      <c r="D8" s="422"/>
      <c r="E8" s="425"/>
      <c r="F8" s="422"/>
      <c r="G8" s="422"/>
      <c r="H8" s="422"/>
      <c r="I8" s="422"/>
      <c r="J8" s="422"/>
      <c r="K8" s="422"/>
      <c r="L8" s="422"/>
      <c r="M8" s="422"/>
      <c r="N8" s="422"/>
      <c r="O8" s="422"/>
      <c r="P8" s="422"/>
      <c r="Q8" s="422"/>
      <c r="R8" s="422"/>
      <c r="S8" s="422"/>
      <c r="T8" s="422"/>
      <c r="U8" s="422"/>
      <c r="V8" s="422"/>
      <c r="W8" s="422"/>
      <c r="X8" s="422"/>
      <c r="Y8" s="422"/>
      <c r="Z8" s="422"/>
      <c r="AA8" s="422"/>
      <c r="AB8" s="422"/>
      <c r="AC8" s="422"/>
      <c r="AD8" s="422"/>
      <c r="AE8" s="422"/>
      <c r="AF8" s="422"/>
      <c r="AG8" s="422"/>
      <c r="AH8" s="422"/>
      <c r="AI8" s="422"/>
    </row>
    <row r="9" spans="2:35" x14ac:dyDescent="0.25">
      <c r="B9" s="628"/>
      <c r="C9" s="628"/>
      <c r="D9" s="629"/>
      <c r="E9" s="629"/>
      <c r="F9" s="422"/>
      <c r="G9" s="422"/>
      <c r="H9" s="422"/>
      <c r="I9" s="422"/>
      <c r="J9" s="422"/>
      <c r="K9" s="422"/>
      <c r="L9" s="422"/>
      <c r="M9" s="422"/>
      <c r="N9" s="422"/>
      <c r="O9" s="422"/>
      <c r="P9" s="422"/>
      <c r="Q9" s="422"/>
      <c r="R9" s="422"/>
      <c r="S9" s="422"/>
      <c r="T9" s="422"/>
      <c r="U9" s="422"/>
      <c r="V9" s="422"/>
      <c r="W9" s="422"/>
      <c r="X9" s="422"/>
      <c r="Y9" s="422"/>
      <c r="Z9" s="422"/>
      <c r="AA9" s="422"/>
      <c r="AB9" s="422"/>
      <c r="AC9" s="422"/>
      <c r="AD9" s="422"/>
      <c r="AE9" s="422"/>
      <c r="AF9" s="422"/>
      <c r="AG9" s="422"/>
      <c r="AH9" s="422"/>
      <c r="AI9" s="422"/>
    </row>
    <row r="10" spans="2:35" x14ac:dyDescent="0.25">
      <c r="B10" s="628"/>
      <c r="C10" s="438" t="s">
        <v>467</v>
      </c>
      <c r="D10" s="623" t="s">
        <v>25</v>
      </c>
      <c r="E10" s="629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  <c r="AF10" s="422"/>
      <c r="AG10" s="422"/>
      <c r="AH10" s="422"/>
      <c r="AI10" s="422"/>
    </row>
    <row r="11" spans="2:35" x14ac:dyDescent="0.25">
      <c r="B11" s="628"/>
      <c r="C11" s="627" t="s">
        <v>320</v>
      </c>
      <c r="D11" s="625">
        <f>'Sollecitazioni nella zattera'!F10</f>
        <v>1</v>
      </c>
      <c r="E11" s="629"/>
      <c r="F11" s="422"/>
      <c r="G11" s="422"/>
      <c r="H11" s="422"/>
      <c r="I11" s="422"/>
      <c r="J11" s="422"/>
      <c r="K11" s="422"/>
      <c r="L11" s="422"/>
      <c r="M11" s="422"/>
      <c r="N11" s="422"/>
      <c r="O11" s="422"/>
      <c r="P11" s="422"/>
      <c r="Q11" s="422"/>
      <c r="R11" s="422"/>
      <c r="S11" s="422"/>
      <c r="T11" s="422"/>
      <c r="U11" s="422"/>
      <c r="V11" s="422"/>
      <c r="W11" s="422"/>
      <c r="X11" s="422"/>
      <c r="Y11" s="422"/>
      <c r="Z11" s="422"/>
      <c r="AA11" s="422"/>
      <c r="AB11" s="422"/>
      <c r="AC11" s="422"/>
      <c r="AD11" s="422"/>
      <c r="AE11" s="422"/>
      <c r="AF11" s="422"/>
      <c r="AG11" s="422"/>
      <c r="AH11" s="422"/>
      <c r="AI11" s="422"/>
    </row>
    <row r="12" spans="2:35" x14ac:dyDescent="0.25">
      <c r="B12" s="628"/>
      <c r="C12" s="627" t="s">
        <v>323</v>
      </c>
      <c r="D12" s="625">
        <f>'Sollecitazioni nella zattera'!F11</f>
        <v>1</v>
      </c>
      <c r="E12" s="629"/>
      <c r="F12" s="422"/>
      <c r="G12" s="422"/>
      <c r="H12" s="422"/>
      <c r="I12" s="422"/>
      <c r="J12" s="422"/>
      <c r="K12" s="422"/>
      <c r="L12" s="422"/>
      <c r="M12" s="422"/>
      <c r="N12" s="422"/>
      <c r="O12" s="422"/>
      <c r="P12" s="422"/>
      <c r="Q12" s="422"/>
      <c r="R12" s="422"/>
      <c r="S12" s="422"/>
      <c r="T12" s="422"/>
      <c r="U12" s="422"/>
      <c r="V12" s="422"/>
      <c r="W12" s="422"/>
      <c r="X12" s="422"/>
      <c r="Y12" s="422"/>
      <c r="Z12" s="422"/>
      <c r="AA12" s="422"/>
      <c r="AB12" s="422"/>
      <c r="AC12" s="422"/>
      <c r="AD12" s="422"/>
      <c r="AE12" s="422"/>
      <c r="AF12" s="422"/>
      <c r="AG12" s="422"/>
      <c r="AH12" s="422"/>
      <c r="AI12" s="422"/>
    </row>
    <row r="13" spans="2:35" x14ac:dyDescent="0.25">
      <c r="B13" s="628"/>
      <c r="C13" s="627" t="s">
        <v>326</v>
      </c>
      <c r="D13" s="625">
        <f>'Sollecitazioni nella zattera'!F12</f>
        <v>1</v>
      </c>
      <c r="E13" s="629"/>
      <c r="F13" s="422"/>
      <c r="G13" s="422"/>
      <c r="H13" s="422"/>
      <c r="I13" s="422"/>
      <c r="J13" s="422"/>
      <c r="K13" s="422"/>
      <c r="L13" s="422"/>
      <c r="M13" s="422"/>
      <c r="N13" s="422"/>
      <c r="O13" s="422"/>
      <c r="P13" s="422"/>
      <c r="Q13" s="422"/>
      <c r="R13" s="422"/>
      <c r="S13" s="422"/>
      <c r="T13" s="422"/>
      <c r="U13" s="422"/>
      <c r="V13" s="422"/>
      <c r="W13" s="422"/>
      <c r="X13" s="422"/>
      <c r="Y13" s="422"/>
      <c r="Z13" s="422"/>
      <c r="AA13" s="422"/>
      <c r="AB13" s="422"/>
      <c r="AC13" s="422"/>
      <c r="AD13" s="422"/>
      <c r="AE13" s="422"/>
      <c r="AF13" s="422"/>
      <c r="AG13" s="422"/>
      <c r="AH13" s="422"/>
      <c r="AI13" s="422"/>
    </row>
    <row r="14" spans="2:35" x14ac:dyDescent="0.25">
      <c r="B14" s="628"/>
      <c r="C14" s="628"/>
      <c r="D14" s="440"/>
      <c r="E14" s="629"/>
      <c r="F14" s="629"/>
      <c r="G14" s="422"/>
      <c r="H14" s="422"/>
      <c r="I14" s="422"/>
      <c r="J14" s="422"/>
      <c r="K14" s="422"/>
      <c r="L14" s="422"/>
      <c r="M14" s="422"/>
      <c r="N14" s="422"/>
      <c r="O14" s="422"/>
      <c r="P14" s="422"/>
      <c r="Q14" s="422"/>
      <c r="R14" s="422"/>
      <c r="S14" s="422"/>
      <c r="T14" s="422"/>
      <c r="U14" s="422"/>
      <c r="V14" s="422"/>
      <c r="W14" s="422"/>
      <c r="X14" s="422"/>
      <c r="Y14" s="422"/>
      <c r="Z14" s="422"/>
      <c r="AA14" s="422"/>
      <c r="AB14" s="422"/>
      <c r="AC14" s="422"/>
      <c r="AD14" s="422"/>
      <c r="AE14" s="422"/>
      <c r="AF14" s="422"/>
      <c r="AG14" s="422"/>
      <c r="AH14" s="422"/>
      <c r="AI14" s="422"/>
    </row>
    <row r="15" spans="2:35" x14ac:dyDescent="0.25">
      <c r="B15" s="628"/>
      <c r="C15" s="438" t="s">
        <v>468</v>
      </c>
      <c r="D15" s="439" t="str">
        <f>'Sollecitazioni nella zattera'!F14</f>
        <v>M</v>
      </c>
      <c r="E15" s="629"/>
      <c r="F15" s="629"/>
      <c r="G15" s="422"/>
      <c r="H15" s="422"/>
      <c r="I15" s="422"/>
      <c r="J15" s="422"/>
      <c r="K15" s="422"/>
      <c r="L15" s="422"/>
      <c r="M15" s="422"/>
      <c r="N15" s="422"/>
      <c r="O15" s="422"/>
      <c r="P15" s="422"/>
      <c r="Q15" s="422"/>
      <c r="R15" s="422"/>
      <c r="S15" s="422"/>
      <c r="T15" s="422"/>
      <c r="U15" s="422"/>
      <c r="V15" s="422"/>
      <c r="W15" s="422"/>
      <c r="X15" s="422"/>
      <c r="Y15" s="422"/>
      <c r="Z15" s="422"/>
      <c r="AA15" s="422"/>
      <c r="AB15" s="422"/>
      <c r="AC15" s="422"/>
      <c r="AD15" s="422"/>
      <c r="AE15" s="422"/>
      <c r="AF15" s="422"/>
      <c r="AG15" s="422"/>
      <c r="AH15" s="422"/>
      <c r="AI15" s="422"/>
    </row>
    <row r="16" spans="2:35" x14ac:dyDescent="0.25">
      <c r="B16" s="628"/>
      <c r="C16" s="623" t="s">
        <v>201</v>
      </c>
      <c r="D16" s="625">
        <f>'Sollecitazioni nella zattera'!F15</f>
        <v>1</v>
      </c>
      <c r="E16" s="629"/>
      <c r="F16" s="629"/>
      <c r="G16" s="422"/>
      <c r="H16" s="422"/>
      <c r="I16" s="422"/>
      <c r="J16" s="422"/>
      <c r="K16" s="422"/>
      <c r="L16" s="422"/>
      <c r="M16" s="422"/>
      <c r="N16" s="422"/>
      <c r="O16" s="422"/>
      <c r="P16" s="422"/>
      <c r="Q16" s="422"/>
      <c r="R16" s="422"/>
      <c r="S16" s="422"/>
      <c r="T16" s="422"/>
      <c r="U16" s="422"/>
      <c r="V16" s="422"/>
      <c r="W16" s="422"/>
      <c r="X16" s="422"/>
      <c r="Y16" s="422"/>
      <c r="Z16" s="422"/>
      <c r="AA16" s="422"/>
      <c r="AB16" s="422"/>
      <c r="AC16" s="422"/>
      <c r="AD16" s="422"/>
      <c r="AE16" s="422"/>
      <c r="AF16" s="422"/>
      <c r="AG16" s="422"/>
      <c r="AH16" s="422"/>
      <c r="AI16" s="422"/>
    </row>
    <row r="17" spans="2:35" x14ac:dyDescent="0.25">
      <c r="B17" s="422"/>
      <c r="C17" s="623" t="s">
        <v>202</v>
      </c>
      <c r="D17" s="625">
        <f>'Sollecitazioni nella zattera'!F16</f>
        <v>1</v>
      </c>
      <c r="E17" s="422"/>
      <c r="F17" s="422"/>
      <c r="G17" s="422"/>
      <c r="H17" s="422"/>
      <c r="I17" s="422"/>
      <c r="J17" s="422"/>
      <c r="K17" s="422"/>
      <c r="L17" s="422"/>
      <c r="M17" s="422"/>
      <c r="N17" s="422"/>
      <c r="O17" s="422"/>
      <c r="P17" s="422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  <c r="AC17" s="422"/>
      <c r="AD17" s="422"/>
      <c r="AE17" s="422"/>
      <c r="AF17" s="422"/>
      <c r="AG17" s="422"/>
      <c r="AH17" s="422"/>
      <c r="AI17" s="422"/>
    </row>
    <row r="18" spans="2:35" x14ac:dyDescent="0.25">
      <c r="B18" s="422"/>
      <c r="C18" s="623" t="s">
        <v>204</v>
      </c>
      <c r="D18" s="625">
        <f>'Sollecitazioni nella zattera'!F17</f>
        <v>1</v>
      </c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  <c r="Z18" s="422"/>
      <c r="AA18" s="422"/>
      <c r="AB18" s="422"/>
      <c r="AC18" s="422"/>
      <c r="AD18" s="422"/>
      <c r="AE18" s="422"/>
      <c r="AF18" s="422"/>
      <c r="AG18" s="422"/>
      <c r="AH18" s="422"/>
      <c r="AI18" s="422"/>
    </row>
    <row r="19" spans="2:35" x14ac:dyDescent="0.25">
      <c r="B19" s="422"/>
      <c r="C19" s="636" t="s">
        <v>205</v>
      </c>
      <c r="D19" s="625">
        <f>'Sollecitazioni nella zattera'!F18</f>
        <v>1</v>
      </c>
      <c r="E19" s="422"/>
      <c r="F19" s="422"/>
      <c r="G19" s="422"/>
      <c r="H19" s="422"/>
      <c r="I19" s="422"/>
      <c r="J19" s="422"/>
      <c r="K19" s="422"/>
      <c r="L19" s="422"/>
      <c r="M19" s="422"/>
      <c r="N19" s="422"/>
      <c r="O19" s="422"/>
      <c r="P19" s="422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2"/>
      <c r="AD19" s="422"/>
      <c r="AE19" s="422"/>
      <c r="AF19" s="422"/>
      <c r="AG19" s="422"/>
      <c r="AH19" s="422"/>
      <c r="AI19" s="422"/>
    </row>
    <row r="20" spans="2:35" s="421" customFormat="1" x14ac:dyDescent="0.25">
      <c r="B20" s="422"/>
      <c r="C20" s="57"/>
      <c r="D20" s="640"/>
      <c r="E20" s="422"/>
      <c r="F20" s="422"/>
      <c r="G20" s="422"/>
      <c r="H20" s="422"/>
      <c r="I20" s="422"/>
      <c r="J20" s="422"/>
      <c r="K20" s="422"/>
      <c r="L20" s="422"/>
      <c r="M20" s="422"/>
      <c r="N20" s="422"/>
      <c r="O20" s="422"/>
      <c r="P20" s="422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2"/>
      <c r="AD20" s="422"/>
      <c r="AE20" s="422"/>
      <c r="AF20" s="422"/>
      <c r="AG20" s="422"/>
      <c r="AH20" s="422"/>
      <c r="AI20" s="422"/>
    </row>
    <row r="21" spans="2:35" s="421" customFormat="1" ht="18" x14ac:dyDescent="0.25">
      <c r="B21" s="422" t="s">
        <v>363</v>
      </c>
      <c r="C21" s="624" t="s">
        <v>364</v>
      </c>
      <c r="D21" s="646">
        <f>DATI!E32</f>
        <v>2.5554000000000001</v>
      </c>
      <c r="E21" s="422"/>
      <c r="F21" s="422"/>
      <c r="G21" s="422"/>
      <c r="H21" s="422"/>
      <c r="I21" s="422"/>
      <c r="J21" s="422"/>
      <c r="K21" s="422"/>
      <c r="L21" s="422"/>
      <c r="M21" s="422"/>
      <c r="N21" s="422"/>
      <c r="O21" s="422"/>
      <c r="P21" s="422"/>
      <c r="Q21" s="422"/>
      <c r="R21" s="422"/>
      <c r="S21" s="422"/>
      <c r="T21" s="422"/>
      <c r="U21" s="422"/>
      <c r="V21" s="422"/>
      <c r="W21" s="422"/>
      <c r="X21" s="422"/>
      <c r="Y21" s="422"/>
      <c r="Z21" s="422"/>
      <c r="AA21" s="422"/>
      <c r="AB21" s="422"/>
      <c r="AC21" s="422"/>
      <c r="AD21" s="422"/>
      <c r="AE21" s="422"/>
      <c r="AF21" s="422"/>
      <c r="AG21" s="422"/>
      <c r="AH21" s="422"/>
      <c r="AI21" s="422"/>
    </row>
    <row r="22" spans="2:35" s="421" customFormat="1" ht="18" x14ac:dyDescent="0.25">
      <c r="B22" s="422" t="s">
        <v>365</v>
      </c>
      <c r="C22" s="624" t="s">
        <v>366</v>
      </c>
      <c r="D22" s="643">
        <f>DATI!E33</f>
        <v>2.3653</v>
      </c>
      <c r="E22" s="422"/>
      <c r="F22" s="422"/>
      <c r="G22" s="422"/>
      <c r="H22" s="422"/>
      <c r="I22" s="422"/>
      <c r="J22" s="422"/>
      <c r="K22" s="422"/>
      <c r="L22" s="422"/>
      <c r="M22" s="422"/>
      <c r="N22" s="422"/>
      <c r="O22" s="422"/>
      <c r="P22" s="422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  <c r="AC22" s="422"/>
      <c r="AD22" s="422"/>
      <c r="AE22" s="422"/>
      <c r="AF22" s="422"/>
      <c r="AG22" s="422"/>
      <c r="AH22" s="422"/>
      <c r="AI22" s="422"/>
    </row>
    <row r="23" spans="2:35" s="421" customFormat="1" ht="18" x14ac:dyDescent="0.25">
      <c r="B23" s="422" t="s">
        <v>367</v>
      </c>
      <c r="C23" s="624" t="s">
        <v>368</v>
      </c>
      <c r="D23" s="647">
        <f>DATI!E34</f>
        <v>0.3468</v>
      </c>
      <c r="E23" s="422"/>
      <c r="F23" s="422"/>
      <c r="G23" s="422"/>
      <c r="H23" s="422"/>
      <c r="I23" s="422"/>
      <c r="J23" s="422"/>
      <c r="K23" s="422"/>
      <c r="L23" s="422"/>
      <c r="M23" s="422"/>
      <c r="N23" s="422"/>
      <c r="O23" s="422"/>
      <c r="P23" s="422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2"/>
      <c r="AD23" s="422"/>
      <c r="AE23" s="422"/>
      <c r="AF23" s="422"/>
      <c r="AG23" s="422"/>
      <c r="AH23" s="422"/>
      <c r="AI23" s="422"/>
    </row>
    <row r="24" spans="2:35" s="421" customFormat="1" x14ac:dyDescent="0.25">
      <c r="B24" s="422" t="s">
        <v>369</v>
      </c>
      <c r="C24" s="422"/>
      <c r="D24" s="643" t="str">
        <f>DATI!E35</f>
        <v>E</v>
      </c>
      <c r="E24" s="422"/>
      <c r="F24" s="422"/>
      <c r="G24" s="422"/>
      <c r="H24" s="422"/>
      <c r="I24" s="422"/>
      <c r="J24" s="422"/>
      <c r="K24" s="422"/>
      <c r="L24" s="422"/>
      <c r="M24" s="422"/>
      <c r="N24" s="422"/>
      <c r="O24" s="422"/>
      <c r="P24" s="422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2"/>
      <c r="AD24" s="422"/>
      <c r="AE24" s="422"/>
      <c r="AF24" s="422"/>
      <c r="AG24" s="422"/>
      <c r="AH24" s="422"/>
      <c r="AI24" s="422"/>
    </row>
    <row r="25" spans="2:35" s="421" customFormat="1" x14ac:dyDescent="0.25">
      <c r="B25" s="422" t="s">
        <v>370</v>
      </c>
      <c r="C25" s="422"/>
      <c r="D25" s="643" t="str">
        <f>DATI!E36</f>
        <v>T2</v>
      </c>
      <c r="E25" s="422"/>
      <c r="F25" s="422"/>
      <c r="G25" s="422"/>
      <c r="H25" s="422"/>
      <c r="I25" s="422"/>
      <c r="J25" s="422"/>
      <c r="K25" s="422"/>
      <c r="L25" s="422"/>
      <c r="M25" s="422"/>
      <c r="N25" s="422"/>
      <c r="O25" s="422"/>
      <c r="P25" s="422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2"/>
      <c r="AD25" s="422"/>
      <c r="AE25" s="422"/>
      <c r="AF25" s="422"/>
      <c r="AG25" s="422"/>
      <c r="AH25" s="422"/>
      <c r="AI25" s="422"/>
    </row>
    <row r="26" spans="2:35" s="421" customFormat="1" x14ac:dyDescent="0.25">
      <c r="B26" s="422" t="s">
        <v>782</v>
      </c>
      <c r="C26" s="376" t="s">
        <v>395</v>
      </c>
      <c r="D26" s="638">
        <f>DATI!E50</f>
        <v>0.31</v>
      </c>
      <c r="E26" s="422"/>
      <c r="F26" s="422"/>
      <c r="G26" s="422"/>
      <c r="H26" s="422"/>
      <c r="I26" s="422"/>
      <c r="J26" s="422"/>
      <c r="K26" s="422"/>
      <c r="L26" s="422"/>
      <c r="M26" s="422"/>
      <c r="N26" s="422"/>
      <c r="O26" s="422"/>
      <c r="P26" s="422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2"/>
      <c r="AD26" s="422"/>
      <c r="AE26" s="422"/>
      <c r="AF26" s="422"/>
      <c r="AG26" s="422"/>
      <c r="AH26" s="422"/>
      <c r="AI26" s="422"/>
    </row>
    <row r="27" spans="2:35" s="421" customFormat="1" x14ac:dyDescent="0.25">
      <c r="B27" s="422" t="s">
        <v>396</v>
      </c>
      <c r="C27" s="621" t="s">
        <v>281</v>
      </c>
      <c r="D27" s="638">
        <f>DATI!E51</f>
        <v>0.12815426831174012</v>
      </c>
      <c r="E27" s="422"/>
      <c r="F27" s="422"/>
      <c r="G27" s="422"/>
      <c r="H27" s="422"/>
      <c r="I27" s="422"/>
      <c r="J27" s="422"/>
      <c r="K27" s="422"/>
      <c r="L27" s="422"/>
      <c r="M27" s="422"/>
      <c r="N27" s="422"/>
      <c r="O27" s="422"/>
      <c r="P27" s="422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2"/>
      <c r="AD27" s="422"/>
      <c r="AE27" s="422"/>
      <c r="AF27" s="422"/>
      <c r="AG27" s="422"/>
      <c r="AH27" s="422"/>
      <c r="AI27" s="422"/>
    </row>
    <row r="28" spans="2:35" s="421" customFormat="1" x14ac:dyDescent="0.25">
      <c r="B28" s="422" t="s">
        <v>397</v>
      </c>
      <c r="C28" s="621" t="s">
        <v>282</v>
      </c>
      <c r="D28" s="638">
        <f>DATI!E52</f>
        <v>6.4077134155870061E-2</v>
      </c>
      <c r="E28" s="422"/>
      <c r="F28" s="422"/>
      <c r="G28" s="422"/>
      <c r="H28" s="422"/>
      <c r="I28" s="422"/>
      <c r="J28" s="422"/>
      <c r="K28" s="422"/>
      <c r="L28" s="422"/>
      <c r="M28" s="422"/>
      <c r="N28" s="422"/>
      <c r="O28" s="422"/>
      <c r="P28" s="422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2"/>
      <c r="AD28" s="422"/>
      <c r="AE28" s="422"/>
      <c r="AF28" s="422"/>
      <c r="AG28" s="422"/>
      <c r="AH28" s="422"/>
      <c r="AI28" s="422"/>
    </row>
    <row r="29" spans="2:35" s="421" customFormat="1" x14ac:dyDescent="0.25">
      <c r="B29" s="422"/>
      <c r="C29" s="57"/>
      <c r="D29" s="640"/>
      <c r="E29" s="422"/>
      <c r="F29" s="422"/>
      <c r="G29" s="422"/>
      <c r="H29" s="422"/>
      <c r="I29" s="422"/>
      <c r="J29" s="422"/>
      <c r="K29" s="422"/>
      <c r="L29" s="422"/>
      <c r="M29" s="422"/>
      <c r="N29" s="422"/>
      <c r="O29" s="422"/>
      <c r="P29" s="422"/>
      <c r="Q29" s="422"/>
      <c r="R29" s="422"/>
      <c r="S29" s="422"/>
      <c r="T29" s="422"/>
      <c r="U29" s="422"/>
      <c r="V29" s="422"/>
      <c r="W29" s="422"/>
      <c r="X29" s="422"/>
      <c r="Y29" s="422"/>
      <c r="Z29" s="422"/>
      <c r="AA29" s="422"/>
      <c r="AB29" s="422"/>
      <c r="AC29" s="422"/>
      <c r="AD29" s="422"/>
      <c r="AE29" s="422"/>
      <c r="AF29" s="422"/>
      <c r="AG29" s="422"/>
      <c r="AH29" s="422"/>
      <c r="AI29" s="422"/>
    </row>
    <row r="30" spans="2:35" x14ac:dyDescent="0.25">
      <c r="B30" s="433" t="s">
        <v>474</v>
      </c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</row>
    <row r="31" spans="2:35" x14ac:dyDescent="0.25">
      <c r="B31" s="433" t="s">
        <v>475</v>
      </c>
      <c r="C31" s="422"/>
      <c r="D31" s="422"/>
      <c r="E31" s="422"/>
      <c r="F31" s="422"/>
      <c r="G31" s="422"/>
      <c r="H31" s="422"/>
      <c r="I31" s="422"/>
      <c r="J31" s="422"/>
      <c r="K31" s="422"/>
      <c r="L31" s="422"/>
      <c r="M31" s="422"/>
      <c r="N31" s="422"/>
      <c r="O31" s="422"/>
      <c r="U31" s="422"/>
      <c r="V31" s="422"/>
      <c r="W31" s="422"/>
      <c r="X31" s="422"/>
      <c r="Y31" s="422"/>
      <c r="Z31" s="422"/>
      <c r="AA31" s="422"/>
      <c r="AB31" s="422"/>
      <c r="AC31" s="422"/>
      <c r="AD31" s="422"/>
      <c r="AE31" s="422"/>
      <c r="AF31" s="422"/>
      <c r="AG31" s="422"/>
      <c r="AH31" s="422"/>
      <c r="AI31" s="422"/>
    </row>
    <row r="32" spans="2:35" ht="15.75" thickBot="1" x14ac:dyDescent="0.3">
      <c r="B32" s="422"/>
      <c r="C32" s="422"/>
      <c r="D32" s="422"/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</row>
    <row r="33" spans="2:35" ht="15" customHeight="1" thickTop="1" x14ac:dyDescent="0.25">
      <c r="B33" s="422" t="s">
        <v>437</v>
      </c>
      <c r="C33" s="423" t="s">
        <v>476</v>
      </c>
      <c r="D33" s="669">
        <f>DEGREES(ATAN(TAN(RADIANS('FOGLIO DEPOSITO'!W223))/DATI!E268))</f>
        <v>32</v>
      </c>
      <c r="E33" s="632"/>
      <c r="F33" s="914" t="str">
        <f>DATI!G167</f>
        <v>1°strato: ghiaia-sabbie</v>
      </c>
      <c r="G33" s="915"/>
      <c r="H33" s="422"/>
      <c r="I33" s="422"/>
      <c r="J33" s="422"/>
      <c r="K33" s="422"/>
      <c r="L33" s="422"/>
      <c r="M33" s="422"/>
      <c r="N33" s="422"/>
      <c r="O33" s="422"/>
      <c r="U33" s="422"/>
      <c r="V33" s="422"/>
      <c r="W33" s="422"/>
      <c r="X33" s="422"/>
      <c r="Y33" s="422"/>
      <c r="Z33" s="422"/>
      <c r="AA33" s="422"/>
      <c r="AB33" s="422"/>
      <c r="AC33" s="422"/>
      <c r="AD33" s="422"/>
      <c r="AE33" s="422"/>
      <c r="AF33" s="422"/>
      <c r="AG33" s="422"/>
      <c r="AH33" s="422"/>
      <c r="AI33" s="422"/>
    </row>
    <row r="34" spans="2:35" x14ac:dyDescent="0.25">
      <c r="B34" s="422" t="s">
        <v>438</v>
      </c>
      <c r="C34" s="423" t="s">
        <v>477</v>
      </c>
      <c r="D34" s="664">
        <f>'FOGLIO DEPOSITO'!W224/DATI!E271</f>
        <v>18</v>
      </c>
      <c r="E34" s="632"/>
      <c r="F34" s="916"/>
      <c r="G34" s="917"/>
      <c r="H34" s="422"/>
      <c r="I34" s="422"/>
      <c r="J34" s="422"/>
      <c r="K34" s="422"/>
      <c r="L34" s="422"/>
      <c r="M34" s="422"/>
      <c r="N34" s="422"/>
      <c r="O34" s="422"/>
      <c r="U34" s="422"/>
      <c r="V34" s="422"/>
      <c r="W34" s="422"/>
      <c r="X34" s="422"/>
      <c r="Y34" s="422"/>
      <c r="Z34" s="422"/>
      <c r="AA34" s="422"/>
      <c r="AB34" s="422"/>
      <c r="AC34" s="422"/>
      <c r="AD34" s="422"/>
      <c r="AE34" s="422"/>
      <c r="AF34" s="422"/>
      <c r="AG34" s="422"/>
      <c r="AH34" s="422"/>
      <c r="AI34" s="422"/>
    </row>
    <row r="35" spans="2:35" x14ac:dyDescent="0.25">
      <c r="B35" s="422" t="s">
        <v>440</v>
      </c>
      <c r="C35" s="624" t="s">
        <v>478</v>
      </c>
      <c r="D35" s="670">
        <f>IF(F33='FOGLIO DEPOSITO'!H166,0,'FOGLIO DEPOSITO'!W225/DATI!E270)</f>
        <v>0</v>
      </c>
      <c r="E35" s="632"/>
      <c r="F35" s="916"/>
      <c r="G35" s="917"/>
      <c r="H35" s="422"/>
      <c r="I35" s="422"/>
      <c r="J35" s="422"/>
      <c r="K35" s="422"/>
      <c r="L35" s="422"/>
      <c r="M35" s="422"/>
      <c r="N35" s="422"/>
      <c r="O35" s="422"/>
      <c r="U35" s="422"/>
      <c r="V35" s="422"/>
      <c r="W35" s="422"/>
      <c r="X35" s="422"/>
      <c r="Y35" s="422"/>
      <c r="Z35" s="422"/>
      <c r="AA35" s="422"/>
      <c r="AB35" s="422"/>
      <c r="AC35" s="422"/>
      <c r="AD35" s="422"/>
      <c r="AE35" s="422"/>
      <c r="AF35" s="422"/>
      <c r="AG35" s="422"/>
      <c r="AH35" s="422"/>
      <c r="AI35" s="422"/>
    </row>
    <row r="36" spans="2:35" x14ac:dyDescent="0.25">
      <c r="B36" s="422" t="s">
        <v>442</v>
      </c>
      <c r="C36" s="624" t="s">
        <v>479</v>
      </c>
      <c r="D36" s="671">
        <f>IF(F33='FOGLIO DEPOSITO'!H166,0,'FOGLIO DEPOSITO'!W226/DATI!E269)</f>
        <v>0</v>
      </c>
      <c r="E36" s="632"/>
      <c r="F36" s="916"/>
      <c r="G36" s="917"/>
      <c r="H36" s="422"/>
      <c r="I36" s="422"/>
      <c r="J36" s="422"/>
      <c r="K36" s="422"/>
      <c r="L36" s="422"/>
      <c r="M36" s="422"/>
      <c r="N36" s="422"/>
      <c r="O36" s="422"/>
      <c r="U36" s="422"/>
      <c r="V36" s="422"/>
      <c r="W36" s="422"/>
      <c r="X36" s="422"/>
      <c r="Y36" s="422"/>
      <c r="Z36" s="422"/>
      <c r="AA36" s="422"/>
      <c r="AB36" s="422"/>
      <c r="AC36" s="422"/>
      <c r="AD36" s="422"/>
      <c r="AE36" s="422"/>
      <c r="AF36" s="422"/>
      <c r="AG36" s="422"/>
      <c r="AH36" s="422"/>
      <c r="AI36" s="422"/>
    </row>
    <row r="37" spans="2:35" x14ac:dyDescent="0.25">
      <c r="B37" s="422" t="s">
        <v>480</v>
      </c>
      <c r="C37" s="423" t="s">
        <v>481</v>
      </c>
      <c r="D37" s="673">
        <f>IF(DATI!E193="no",0,2/3*D33)</f>
        <v>21.333333333333332</v>
      </c>
      <c r="E37" s="632"/>
      <c r="F37" s="916"/>
      <c r="G37" s="917"/>
      <c r="H37" s="422"/>
      <c r="I37" s="422"/>
      <c r="J37" s="422"/>
      <c r="K37" s="422"/>
      <c r="L37" s="422"/>
      <c r="M37" s="422"/>
      <c r="N37" s="422"/>
      <c r="O37" s="422"/>
      <c r="U37" s="422"/>
      <c r="V37" s="422"/>
      <c r="W37" s="422"/>
      <c r="X37" s="422"/>
      <c r="Y37" s="422"/>
      <c r="Z37" s="422"/>
      <c r="AA37" s="422"/>
      <c r="AB37" s="422"/>
      <c r="AC37" s="422"/>
      <c r="AD37" s="422"/>
      <c r="AE37" s="422"/>
      <c r="AF37" s="422"/>
      <c r="AG37" s="422"/>
      <c r="AH37" s="422"/>
      <c r="AI37" s="422"/>
    </row>
    <row r="38" spans="2:35" ht="15.75" thickBot="1" x14ac:dyDescent="0.3">
      <c r="B38" s="422" t="s">
        <v>444</v>
      </c>
      <c r="C38" s="423" t="s">
        <v>445</v>
      </c>
      <c r="D38" s="535">
        <f>'FOGLIO DEPOSITO'!W227</f>
        <v>5.03206159226088</v>
      </c>
      <c r="E38" s="632"/>
      <c r="F38" s="918"/>
      <c r="G38" s="919"/>
      <c r="H38" s="422"/>
      <c r="I38" s="422"/>
      <c r="J38" s="422"/>
      <c r="K38" s="422"/>
      <c r="L38" s="422"/>
      <c r="M38" s="422"/>
      <c r="N38" s="422"/>
      <c r="O38" s="422"/>
      <c r="U38" s="422"/>
      <c r="V38" s="422"/>
      <c r="W38" s="422"/>
      <c r="X38" s="422"/>
      <c r="Y38" s="422"/>
      <c r="Z38" s="422"/>
      <c r="AA38" s="422"/>
      <c r="AB38" s="422"/>
      <c r="AC38" s="422"/>
      <c r="AD38" s="422"/>
      <c r="AE38" s="422"/>
      <c r="AF38" s="422"/>
      <c r="AG38" s="422"/>
      <c r="AH38" s="422"/>
      <c r="AI38" s="422"/>
    </row>
    <row r="39" spans="2:35" ht="16.5" thickTop="1" thickBot="1" x14ac:dyDescent="0.3">
      <c r="B39" s="422"/>
      <c r="C39" s="423"/>
      <c r="D39" s="368"/>
      <c r="E39" s="632"/>
      <c r="F39" s="123"/>
      <c r="G39" s="123"/>
      <c r="H39" s="422"/>
      <c r="I39" s="422"/>
      <c r="J39" s="422"/>
      <c r="K39" s="422"/>
      <c r="L39" s="422"/>
      <c r="M39" s="422"/>
      <c r="N39" s="422"/>
      <c r="O39" s="422"/>
      <c r="U39" s="422"/>
      <c r="V39" s="422"/>
      <c r="W39" s="422"/>
      <c r="X39" s="422"/>
      <c r="Y39" s="422"/>
      <c r="Z39" s="422"/>
      <c r="AA39" s="422"/>
      <c r="AB39" s="422"/>
      <c r="AC39" s="422"/>
      <c r="AD39" s="422"/>
      <c r="AE39" s="422"/>
      <c r="AF39" s="422"/>
      <c r="AG39" s="422"/>
      <c r="AH39" s="422"/>
      <c r="AI39" s="422"/>
    </row>
    <row r="40" spans="2:35" ht="15" customHeight="1" thickTop="1" x14ac:dyDescent="0.25">
      <c r="B40" s="422" t="s">
        <v>437</v>
      </c>
      <c r="C40" s="423" t="s">
        <v>476</v>
      </c>
      <c r="D40" s="669">
        <f>DEGREES(ATAN(TAN(RADIANS('FOGLIO DEPOSITO'!W229))/DATI!E268))</f>
        <v>32</v>
      </c>
      <c r="E40" s="632"/>
      <c r="F40" s="914" t="str">
        <f>IF(D45=0,"strato spento",DATI!G173)</f>
        <v>strato spento</v>
      </c>
      <c r="G40" s="915"/>
      <c r="H40" s="422"/>
      <c r="I40" s="422"/>
      <c r="J40" s="422"/>
      <c r="K40" s="422"/>
      <c r="L40" s="422"/>
      <c r="M40" s="422"/>
      <c r="N40" s="422"/>
      <c r="O40" s="422"/>
      <c r="U40" s="422"/>
      <c r="V40" s="422"/>
      <c r="W40" s="422"/>
      <c r="X40" s="422"/>
      <c r="Y40" s="422"/>
      <c r="Z40" s="422"/>
      <c r="AA40" s="422"/>
      <c r="AB40" s="422"/>
      <c r="AC40" s="422"/>
      <c r="AD40" s="422"/>
      <c r="AE40" s="422"/>
      <c r="AF40" s="422"/>
      <c r="AG40" s="422"/>
      <c r="AH40" s="422"/>
      <c r="AI40" s="422"/>
    </row>
    <row r="41" spans="2:35" x14ac:dyDescent="0.25">
      <c r="B41" s="422" t="s">
        <v>438</v>
      </c>
      <c r="C41" s="423" t="s">
        <v>477</v>
      </c>
      <c r="D41" s="664">
        <f>'FOGLIO DEPOSITO'!W230/DATI!E271</f>
        <v>18</v>
      </c>
      <c r="E41" s="632"/>
      <c r="F41" s="916"/>
      <c r="G41" s="917"/>
      <c r="H41" s="422"/>
      <c r="I41" s="422"/>
      <c r="J41" s="422"/>
      <c r="K41" s="422"/>
      <c r="L41" s="422"/>
      <c r="M41" s="422"/>
      <c r="N41" s="422"/>
      <c r="O41" s="422"/>
      <c r="P41" s="422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2"/>
      <c r="AD41" s="422"/>
      <c r="AE41" s="422"/>
      <c r="AF41" s="422"/>
      <c r="AG41" s="422"/>
      <c r="AH41" s="422"/>
      <c r="AI41" s="422"/>
    </row>
    <row r="42" spans="2:35" x14ac:dyDescent="0.25">
      <c r="B42" s="422" t="s">
        <v>440</v>
      </c>
      <c r="C42" s="624" t="s">
        <v>478</v>
      </c>
      <c r="D42" s="670">
        <f>IF(F40='FOGLIO DEPOSITO'!H169,0,'FOGLIO DEPOSITO'!W231/DATI!E270)</f>
        <v>0</v>
      </c>
      <c r="E42" s="632"/>
      <c r="F42" s="916"/>
      <c r="G42" s="917"/>
      <c r="H42" s="422"/>
      <c r="I42" s="422"/>
      <c r="J42" s="422"/>
      <c r="K42" s="422"/>
      <c r="L42" s="422"/>
      <c r="M42" s="422"/>
      <c r="N42" s="422"/>
      <c r="O42" s="422"/>
      <c r="P42" s="422"/>
      <c r="Q42" s="422"/>
      <c r="R42" s="422"/>
      <c r="S42" s="422"/>
      <c r="T42" s="422"/>
      <c r="U42" s="422"/>
      <c r="V42" s="422"/>
      <c r="W42" s="422"/>
      <c r="X42" s="422"/>
      <c r="Y42" s="422"/>
      <c r="Z42" s="422"/>
      <c r="AA42" s="422"/>
      <c r="AB42" s="422"/>
      <c r="AC42" s="422"/>
      <c r="AD42" s="422"/>
      <c r="AE42" s="422"/>
      <c r="AF42" s="422"/>
      <c r="AG42" s="422"/>
      <c r="AH42" s="422"/>
      <c r="AI42" s="422"/>
    </row>
    <row r="43" spans="2:35" x14ac:dyDescent="0.25">
      <c r="B43" s="422" t="s">
        <v>442</v>
      </c>
      <c r="C43" s="624" t="s">
        <v>479</v>
      </c>
      <c r="D43" s="670">
        <f>IF(F40='FOGLIO DEPOSITO'!H169,0,'FOGLIO DEPOSITO'!W232/DATI!E269)</f>
        <v>0</v>
      </c>
      <c r="E43" s="632"/>
      <c r="F43" s="916"/>
      <c r="G43" s="917"/>
      <c r="H43" s="422"/>
      <c r="I43" s="422"/>
      <c r="J43" s="422"/>
      <c r="K43" s="422"/>
      <c r="L43" s="422"/>
      <c r="M43" s="422"/>
      <c r="N43" s="422"/>
      <c r="O43" s="422"/>
      <c r="P43" s="422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2"/>
      <c r="AD43" s="422"/>
      <c r="AE43" s="422"/>
      <c r="AF43" s="422"/>
      <c r="AG43" s="422"/>
      <c r="AH43" s="422"/>
      <c r="AI43" s="422"/>
    </row>
    <row r="44" spans="2:35" x14ac:dyDescent="0.25">
      <c r="B44" s="422" t="s">
        <v>480</v>
      </c>
      <c r="C44" s="423" t="s">
        <v>481</v>
      </c>
      <c r="D44" s="669">
        <f>IF(DATI!E193="no",0,2/3*D40)</f>
        <v>21.333333333333332</v>
      </c>
      <c r="E44" s="632"/>
      <c r="F44" s="916"/>
      <c r="G44" s="917"/>
      <c r="H44" s="422"/>
      <c r="I44" s="422"/>
      <c r="J44" s="422"/>
      <c r="K44" s="422"/>
      <c r="L44" s="422"/>
      <c r="M44" s="422"/>
      <c r="N44" s="422"/>
      <c r="O44" s="422"/>
      <c r="P44" s="422"/>
      <c r="Q44" s="422"/>
      <c r="R44" s="422"/>
      <c r="S44" s="422"/>
      <c r="T44" s="422"/>
      <c r="U44" s="422"/>
      <c r="V44" s="422"/>
      <c r="W44" s="422"/>
      <c r="X44" s="422"/>
      <c r="Y44" s="422"/>
      <c r="Z44" s="422"/>
      <c r="AA44" s="422"/>
      <c r="AB44" s="422"/>
      <c r="AC44" s="422"/>
      <c r="AD44" s="422"/>
      <c r="AE44" s="422"/>
      <c r="AF44" s="422"/>
      <c r="AG44" s="422"/>
      <c r="AH44" s="422"/>
      <c r="AI44" s="422"/>
    </row>
    <row r="45" spans="2:35" ht="15.75" thickBot="1" x14ac:dyDescent="0.3">
      <c r="B45" s="422" t="s">
        <v>444</v>
      </c>
      <c r="C45" s="423" t="s">
        <v>445</v>
      </c>
      <c r="D45" s="535">
        <f>'FOGLIO DEPOSITO'!W233</f>
        <v>0</v>
      </c>
      <c r="E45" s="632"/>
      <c r="F45" s="918"/>
      <c r="G45" s="919"/>
      <c r="H45" s="422"/>
      <c r="I45" s="422"/>
      <c r="J45" s="422"/>
      <c r="K45" s="422"/>
      <c r="L45" s="422"/>
      <c r="M45" s="422"/>
      <c r="N45" s="422"/>
      <c r="O45" s="422"/>
      <c r="P45" s="422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2"/>
      <c r="AD45" s="422"/>
      <c r="AE45" s="422"/>
      <c r="AF45" s="422"/>
      <c r="AG45" s="422"/>
      <c r="AH45" s="422"/>
      <c r="AI45" s="422"/>
    </row>
    <row r="46" spans="2:35" ht="16.5" thickTop="1" thickBot="1" x14ac:dyDescent="0.3">
      <c r="B46" s="422"/>
      <c r="C46" s="423"/>
      <c r="D46" s="19"/>
      <c r="E46" s="632"/>
      <c r="F46" s="123"/>
      <c r="G46" s="123"/>
      <c r="H46" s="422"/>
      <c r="I46" s="422"/>
      <c r="J46" s="422"/>
      <c r="K46" s="422"/>
      <c r="L46" s="422"/>
      <c r="M46" s="422"/>
      <c r="N46" s="422"/>
      <c r="O46" s="422"/>
      <c r="P46" s="422"/>
      <c r="Q46" s="422"/>
      <c r="R46" s="422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  <c r="AC46" s="422"/>
      <c r="AD46" s="422"/>
      <c r="AE46" s="422"/>
      <c r="AF46" s="422"/>
      <c r="AG46" s="422"/>
      <c r="AH46" s="422"/>
      <c r="AI46" s="422"/>
    </row>
    <row r="47" spans="2:35" ht="16.5" customHeight="1" thickTop="1" x14ac:dyDescent="0.25">
      <c r="B47" s="422" t="s">
        <v>437</v>
      </c>
      <c r="C47" s="423" t="s">
        <v>476</v>
      </c>
      <c r="D47" s="669">
        <f>DEGREES(ATAN(TAN(RADIANS('FOGLIO DEPOSITO'!W235))/DATI!E268))</f>
        <v>34</v>
      </c>
      <c r="E47" s="632"/>
      <c r="F47" s="914" t="str">
        <f>IF(D52=0,"strato   spento",DATI!G179)</f>
        <v>strato   spento</v>
      </c>
      <c r="G47" s="915"/>
      <c r="H47" s="422"/>
      <c r="I47" s="422"/>
      <c r="J47" s="422"/>
      <c r="K47" s="422"/>
      <c r="L47" s="422"/>
      <c r="M47" s="422"/>
      <c r="N47" s="422"/>
      <c r="O47" s="422"/>
      <c r="P47" s="422"/>
      <c r="Q47" s="422"/>
      <c r="R47" s="422"/>
      <c r="S47" s="422"/>
      <c r="T47" s="422"/>
      <c r="U47" s="422"/>
      <c r="V47" s="422"/>
      <c r="W47" s="422"/>
      <c r="X47" s="422"/>
      <c r="Y47" s="422"/>
      <c r="Z47" s="422"/>
      <c r="AA47" s="422"/>
      <c r="AB47" s="422"/>
      <c r="AC47" s="422"/>
      <c r="AD47" s="422"/>
      <c r="AE47" s="422"/>
      <c r="AF47" s="422"/>
      <c r="AG47" s="422"/>
      <c r="AH47" s="422"/>
      <c r="AI47" s="422"/>
    </row>
    <row r="48" spans="2:35" x14ac:dyDescent="0.25">
      <c r="B48" s="422" t="s">
        <v>438</v>
      </c>
      <c r="C48" s="423" t="s">
        <v>477</v>
      </c>
      <c r="D48" s="664">
        <f>'FOGLIO DEPOSITO'!W236/DATI!E271</f>
        <v>18</v>
      </c>
      <c r="E48" s="632"/>
      <c r="F48" s="916"/>
      <c r="G48" s="917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</row>
    <row r="49" spans="2:35" x14ac:dyDescent="0.25">
      <c r="B49" s="422" t="s">
        <v>440</v>
      </c>
      <c r="C49" s="624" t="s">
        <v>478</v>
      </c>
      <c r="D49" s="670">
        <f>IF(F47='FOGLIO DEPOSITO'!H172,0,'FOGLIO DEPOSITO'!W237/DATI!E270)</f>
        <v>0</v>
      </c>
      <c r="E49" s="632"/>
      <c r="F49" s="916"/>
      <c r="G49" s="917"/>
      <c r="H49" s="422"/>
      <c r="I49" s="422"/>
      <c r="J49" s="422"/>
      <c r="K49" s="422"/>
      <c r="L49" s="422"/>
      <c r="M49" s="422"/>
      <c r="N49" s="422"/>
      <c r="O49" s="422"/>
      <c r="P49" s="422"/>
      <c r="Q49" s="422"/>
      <c r="R49" s="422"/>
      <c r="S49" s="422"/>
      <c r="T49" s="422"/>
      <c r="U49" s="422"/>
      <c r="V49" s="422"/>
      <c r="W49" s="422"/>
      <c r="X49" s="422"/>
      <c r="Y49" s="422"/>
      <c r="Z49" s="422"/>
      <c r="AA49" s="422"/>
      <c r="AB49" s="422"/>
      <c r="AC49" s="422"/>
      <c r="AD49" s="422"/>
      <c r="AE49" s="422"/>
      <c r="AF49" s="422"/>
      <c r="AG49" s="422"/>
      <c r="AH49" s="422"/>
      <c r="AI49" s="422"/>
    </row>
    <row r="50" spans="2:35" x14ac:dyDescent="0.25">
      <c r="B50" s="422" t="s">
        <v>442</v>
      </c>
      <c r="C50" s="624" t="s">
        <v>479</v>
      </c>
      <c r="D50" s="670">
        <f>IF(F47='FOGLIO DEPOSITO'!H172,0,'FOGLIO DEPOSITO'!W238/DATI!E269)</f>
        <v>0</v>
      </c>
      <c r="E50" s="632"/>
      <c r="F50" s="916"/>
      <c r="G50" s="917"/>
      <c r="H50" s="422"/>
      <c r="I50" s="422"/>
      <c r="J50" s="422"/>
      <c r="K50" s="422"/>
      <c r="L50" s="422"/>
      <c r="M50" s="422"/>
      <c r="N50" s="422"/>
      <c r="O50" s="422"/>
      <c r="P50" s="422"/>
      <c r="Q50" s="422"/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22"/>
      <c r="AD50" s="422"/>
      <c r="AE50" s="422"/>
      <c r="AF50" s="422"/>
      <c r="AG50" s="422"/>
      <c r="AH50" s="422"/>
      <c r="AI50" s="422"/>
    </row>
    <row r="51" spans="2:35" x14ac:dyDescent="0.25">
      <c r="B51" s="422" t="s">
        <v>480</v>
      </c>
      <c r="C51" s="423" t="s">
        <v>481</v>
      </c>
      <c r="D51" s="669">
        <f>IF(DATI!E193="no",0,2/3*D47)</f>
        <v>22.666666666666664</v>
      </c>
      <c r="E51" s="632"/>
      <c r="F51" s="916"/>
      <c r="G51" s="917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2"/>
      <c r="AD51" s="422"/>
      <c r="AE51" s="422"/>
      <c r="AF51" s="422"/>
      <c r="AG51" s="422"/>
      <c r="AH51" s="422"/>
      <c r="AI51" s="422"/>
    </row>
    <row r="52" spans="2:35" ht="15.75" thickBot="1" x14ac:dyDescent="0.3">
      <c r="B52" s="422" t="s">
        <v>444</v>
      </c>
      <c r="C52" s="423" t="s">
        <v>445</v>
      </c>
      <c r="D52" s="535">
        <f>ROUND('FOGLIO DEPOSITO'!W239,3)</f>
        <v>0</v>
      </c>
      <c r="E52" s="632"/>
      <c r="F52" s="918"/>
      <c r="G52" s="919"/>
      <c r="H52" s="422"/>
      <c r="I52" s="422"/>
      <c r="J52" s="422"/>
      <c r="K52" s="422"/>
      <c r="L52" s="422"/>
      <c r="M52" s="422"/>
      <c r="N52" s="422"/>
      <c r="O52" s="422"/>
      <c r="P52" s="422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22"/>
      <c r="AD52" s="422"/>
      <c r="AE52" s="422"/>
      <c r="AF52" s="422"/>
      <c r="AG52" s="422"/>
      <c r="AH52" s="422"/>
      <c r="AI52" s="422"/>
    </row>
    <row r="53" spans="2:35" ht="15.75" thickTop="1" x14ac:dyDescent="0.25">
      <c r="B53" s="422"/>
      <c r="C53" s="423"/>
      <c r="D53" s="19"/>
      <c r="E53" s="632"/>
      <c r="F53" s="123"/>
      <c r="G53" s="123"/>
      <c r="H53" s="422"/>
      <c r="I53" s="422"/>
      <c r="J53" s="422"/>
      <c r="K53" s="422"/>
      <c r="L53" s="422"/>
      <c r="M53" s="422"/>
      <c r="N53" s="422"/>
      <c r="O53" s="422"/>
      <c r="P53" s="422"/>
      <c r="Q53" s="422"/>
      <c r="R53" s="422"/>
      <c r="S53" s="422"/>
      <c r="T53" s="422"/>
      <c r="U53" s="422"/>
      <c r="V53" s="422"/>
      <c r="W53" s="422"/>
      <c r="X53" s="422"/>
      <c r="Y53" s="422"/>
      <c r="Z53" s="422"/>
      <c r="AA53" s="422"/>
      <c r="AB53" s="422"/>
      <c r="AC53" s="422"/>
      <c r="AD53" s="422"/>
      <c r="AE53" s="422"/>
      <c r="AF53" s="422"/>
      <c r="AG53" s="422"/>
      <c r="AH53" s="422"/>
      <c r="AI53" s="422"/>
    </row>
    <row r="54" spans="2:35" x14ac:dyDescent="0.25">
      <c r="B54" s="422" t="s">
        <v>482</v>
      </c>
      <c r="C54" s="423"/>
      <c r="D54" s="535" t="str">
        <f>IF('FOGLIO DEPOSITO'!C226=DATI!E188,DATI!E188,"")</f>
        <v/>
      </c>
      <c r="E54" s="455"/>
      <c r="F54" s="422"/>
      <c r="G54" s="123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  <c r="AA54" s="422"/>
      <c r="AB54" s="422"/>
      <c r="AC54" s="422"/>
      <c r="AD54" s="422"/>
      <c r="AE54" s="422"/>
      <c r="AF54" s="422"/>
      <c r="AG54" s="422"/>
      <c r="AH54" s="422"/>
      <c r="AI54" s="422"/>
    </row>
    <row r="55" spans="2:35" x14ac:dyDescent="0.25">
      <c r="B55" s="422"/>
      <c r="C55" s="423"/>
      <c r="D55" s="674"/>
      <c r="E55" s="632"/>
      <c r="F55" s="422"/>
      <c r="G55" s="422"/>
      <c r="H55" s="422"/>
      <c r="I55" s="422"/>
      <c r="J55" s="422"/>
      <c r="K55" s="422"/>
      <c r="L55" s="422"/>
      <c r="M55" s="422"/>
      <c r="N55" s="422"/>
      <c r="O55" s="422"/>
      <c r="P55" s="422"/>
      <c r="Q55" s="422"/>
      <c r="R55" s="422"/>
      <c r="S55" s="422"/>
      <c r="T55" s="422"/>
      <c r="U55" s="422"/>
      <c r="V55" s="422"/>
      <c r="W55" s="422"/>
      <c r="X55" s="422"/>
      <c r="Y55" s="422"/>
      <c r="Z55" s="422"/>
      <c r="AA55" s="422"/>
      <c r="AB55" s="422"/>
      <c r="AC55" s="422"/>
      <c r="AD55" s="422"/>
      <c r="AE55" s="422"/>
      <c r="AF55" s="422"/>
      <c r="AG55" s="422"/>
      <c r="AH55" s="422"/>
      <c r="AI55" s="422"/>
    </row>
    <row r="56" spans="2:35" x14ac:dyDescent="0.25">
      <c r="B56" s="422" t="s">
        <v>432</v>
      </c>
      <c r="C56" s="423" t="s">
        <v>483</v>
      </c>
      <c r="D56" s="669">
        <f>DATI!E162</f>
        <v>7</v>
      </c>
      <c r="E56" s="422"/>
      <c r="F56" s="422"/>
      <c r="G56" s="422"/>
      <c r="H56" s="422"/>
      <c r="I56" s="422"/>
      <c r="J56" s="422"/>
      <c r="K56" s="422"/>
      <c r="L56" s="422"/>
      <c r="M56" s="422"/>
      <c r="N56" s="422"/>
      <c r="O56" s="422"/>
      <c r="P56" s="422"/>
      <c r="Q56" s="422"/>
      <c r="R56" s="422"/>
      <c r="S56" s="422"/>
      <c r="T56" s="422"/>
      <c r="U56" s="422"/>
      <c r="V56" s="422"/>
      <c r="W56" s="422"/>
      <c r="X56" s="422"/>
      <c r="Y56" s="422"/>
      <c r="Z56" s="422"/>
      <c r="AA56" s="422"/>
      <c r="AB56" s="422"/>
      <c r="AC56" s="422"/>
      <c r="AD56" s="422"/>
      <c r="AE56" s="422"/>
      <c r="AF56" s="422"/>
      <c r="AG56" s="422"/>
      <c r="AH56" s="422"/>
      <c r="AI56" s="422"/>
    </row>
    <row r="57" spans="2:35" x14ac:dyDescent="0.25">
      <c r="B57" s="422"/>
      <c r="C57" s="423" t="s">
        <v>484</v>
      </c>
      <c r="D57" s="675">
        <f>TAN(D56*PI()/180)*100</f>
        <v>12.27845609029046</v>
      </c>
      <c r="E57" s="422"/>
      <c r="F57" s="422"/>
      <c r="G57" s="422"/>
      <c r="H57" s="422"/>
      <c r="I57" s="422"/>
      <c r="J57" s="437"/>
      <c r="K57" s="437"/>
      <c r="L57" s="437"/>
      <c r="M57" s="437"/>
      <c r="N57" s="437"/>
      <c r="O57" s="422"/>
      <c r="P57" s="422"/>
      <c r="Q57" s="422"/>
      <c r="R57" s="422"/>
      <c r="S57" s="422"/>
      <c r="T57" s="422"/>
      <c r="U57" s="422"/>
      <c r="V57" s="422"/>
      <c r="W57" s="422"/>
      <c r="X57" s="422"/>
      <c r="Y57" s="422"/>
      <c r="Z57" s="422"/>
      <c r="AA57" s="422"/>
      <c r="AB57" s="422"/>
      <c r="AC57" s="422"/>
      <c r="AD57" s="422"/>
      <c r="AE57" s="422"/>
      <c r="AF57" s="422"/>
      <c r="AG57" s="422"/>
      <c r="AH57" s="422"/>
      <c r="AI57" s="422"/>
    </row>
    <row r="58" spans="2:35" x14ac:dyDescent="0.25">
      <c r="B58" s="422"/>
      <c r="C58" s="422"/>
      <c r="D58" s="422"/>
      <c r="E58" s="422"/>
      <c r="F58" s="422"/>
      <c r="G58" s="422"/>
      <c r="H58" s="422"/>
      <c r="I58" s="422"/>
      <c r="J58" s="676"/>
      <c r="K58" s="437"/>
      <c r="L58" s="437"/>
      <c r="M58" s="437"/>
      <c r="N58" s="437"/>
      <c r="O58" s="422"/>
      <c r="P58" s="422"/>
      <c r="Q58" s="422"/>
      <c r="R58" s="422"/>
      <c r="S58" s="422"/>
      <c r="T58" s="422"/>
      <c r="U58" s="422"/>
      <c r="V58" s="422"/>
      <c r="W58" s="422"/>
      <c r="X58" s="422"/>
      <c r="Y58" s="422"/>
      <c r="Z58" s="422"/>
      <c r="AA58" s="422"/>
      <c r="AB58" s="422"/>
      <c r="AC58" s="422"/>
      <c r="AD58" s="422"/>
      <c r="AE58" s="422"/>
      <c r="AF58" s="422"/>
      <c r="AG58" s="422"/>
      <c r="AH58" s="422"/>
      <c r="AI58" s="422"/>
    </row>
    <row r="59" spans="2:35" x14ac:dyDescent="0.25">
      <c r="B59" s="422" t="s">
        <v>485</v>
      </c>
      <c r="C59" s="94" t="s">
        <v>486</v>
      </c>
      <c r="D59" s="535">
        <f>DATI!E60+DATI!E74</f>
        <v>4.8</v>
      </c>
      <c r="E59" s="422"/>
      <c r="F59" s="422"/>
      <c r="G59" s="422"/>
      <c r="H59" s="422"/>
      <c r="I59" s="422"/>
      <c r="J59" s="422"/>
      <c r="K59" s="422"/>
      <c r="L59" s="422"/>
      <c r="M59" s="422"/>
      <c r="N59" s="422"/>
      <c r="O59" s="422"/>
      <c r="P59" s="422"/>
      <c r="Q59" s="422"/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/>
      <c r="AD59" s="422"/>
      <c r="AE59" s="422"/>
      <c r="AF59" s="422"/>
      <c r="AG59" s="422"/>
      <c r="AH59" s="422"/>
      <c r="AI59" s="422"/>
    </row>
    <row r="60" spans="2:35" x14ac:dyDescent="0.25">
      <c r="B60" s="422" t="s">
        <v>487</v>
      </c>
      <c r="C60" s="94" t="s">
        <v>784</v>
      </c>
      <c r="D60" s="535">
        <f>DATI!G209</f>
        <v>5.0320615922608809</v>
      </c>
      <c r="E60" s="422"/>
      <c r="F60" s="422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  <c r="S60" s="422"/>
      <c r="T60" s="422"/>
      <c r="U60" s="422"/>
      <c r="V60" s="422"/>
      <c r="W60" s="422"/>
      <c r="X60" s="422"/>
      <c r="Y60" s="422"/>
      <c r="Z60" s="422"/>
      <c r="AA60" s="422"/>
      <c r="AB60" s="422"/>
      <c r="AC60" s="422"/>
      <c r="AD60" s="422"/>
      <c r="AE60" s="422"/>
      <c r="AF60" s="422"/>
      <c r="AG60" s="422"/>
      <c r="AH60" s="422"/>
      <c r="AI60" s="422"/>
    </row>
    <row r="61" spans="2:35" x14ac:dyDescent="0.25">
      <c r="B61" s="422" t="s">
        <v>450</v>
      </c>
      <c r="C61" s="423" t="s">
        <v>451</v>
      </c>
      <c r="D61" s="664">
        <f>DATI!E189</f>
        <v>10</v>
      </c>
      <c r="E61" s="422"/>
      <c r="F61" s="422"/>
      <c r="G61" s="422"/>
      <c r="H61" s="422"/>
      <c r="I61" s="422"/>
      <c r="J61" s="422"/>
      <c r="K61" s="422"/>
      <c r="L61" s="422"/>
      <c r="M61" s="422"/>
      <c r="N61" s="422"/>
      <c r="O61" s="422"/>
      <c r="P61" s="422"/>
      <c r="Q61" s="422"/>
      <c r="R61" s="422"/>
      <c r="S61" s="422"/>
      <c r="T61" s="422"/>
      <c r="U61" s="422"/>
      <c r="V61" s="422"/>
      <c r="W61" s="422"/>
      <c r="X61" s="422"/>
      <c r="Y61" s="422"/>
      <c r="Z61" s="422"/>
      <c r="AA61" s="422"/>
      <c r="AB61" s="422"/>
      <c r="AC61" s="422"/>
      <c r="AD61" s="422"/>
      <c r="AE61" s="422"/>
      <c r="AF61" s="422"/>
      <c r="AG61" s="422"/>
      <c r="AH61" s="422"/>
      <c r="AI61" s="422"/>
    </row>
    <row r="62" spans="2:35" x14ac:dyDescent="0.25">
      <c r="B62" s="5" t="s">
        <v>488</v>
      </c>
      <c r="C62" s="423" t="s">
        <v>302</v>
      </c>
      <c r="D62" s="669">
        <f>90-SPINTE!D63</f>
        <v>81.79516327619136</v>
      </c>
      <c r="E62" s="422"/>
      <c r="F62" s="422"/>
      <c r="G62" s="422"/>
      <c r="H62" s="422"/>
      <c r="I62" s="422"/>
      <c r="J62" s="422"/>
      <c r="K62" s="422"/>
      <c r="L62" s="422"/>
      <c r="M62" s="422"/>
      <c r="N62" s="422"/>
      <c r="O62" s="422"/>
      <c r="P62" s="422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22"/>
      <c r="AD62" s="422"/>
      <c r="AE62" s="422"/>
      <c r="AF62" s="422"/>
      <c r="AG62" s="422"/>
      <c r="AH62" s="422"/>
      <c r="AI62" s="422"/>
    </row>
    <row r="63" spans="2:35" s="421" customFormat="1" x14ac:dyDescent="0.25">
      <c r="B63" s="5" t="s">
        <v>876</v>
      </c>
      <c r="C63" s="423" t="s">
        <v>284</v>
      </c>
      <c r="D63" s="669">
        <f>IF(DATI!G211="dx",'FOGLIO DEPOSITO'!D196,0)</f>
        <v>8.2048367238086399</v>
      </c>
      <c r="E63" s="422"/>
      <c r="F63" s="422"/>
      <c r="G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  <c r="AC63" s="422"/>
      <c r="AD63" s="422"/>
      <c r="AE63" s="422"/>
      <c r="AF63" s="422"/>
      <c r="AG63" s="422"/>
      <c r="AH63" s="422"/>
      <c r="AI63" s="422"/>
    </row>
    <row r="64" spans="2:35" s="421" customFormat="1" ht="15.75" thickBot="1" x14ac:dyDescent="0.3">
      <c r="B64" s="5"/>
      <c r="C64" s="423"/>
      <c r="D64" s="677"/>
      <c r="E64" s="422"/>
      <c r="F64" s="422"/>
      <c r="G64" s="422"/>
      <c r="O64" s="422"/>
      <c r="P64" s="422"/>
      <c r="Q64" s="422"/>
      <c r="R64" s="422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  <c r="AC64" s="422"/>
      <c r="AD64" s="422"/>
      <c r="AE64" s="422"/>
      <c r="AF64" s="422"/>
      <c r="AG64" s="422"/>
      <c r="AH64" s="422"/>
      <c r="AI64" s="422"/>
    </row>
    <row r="65" spans="2:35" ht="16.5" thickTop="1" thickBot="1" x14ac:dyDescent="0.3">
      <c r="B65" s="5" t="s">
        <v>489</v>
      </c>
      <c r="C65" s="423"/>
      <c r="D65" s="66" t="s">
        <v>161</v>
      </c>
      <c r="E65" s="422"/>
      <c r="F65" s="422"/>
      <c r="G65" s="422"/>
      <c r="O65" s="422"/>
      <c r="P65" s="422"/>
      <c r="Q65" s="422"/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422"/>
      <c r="AD65" s="422"/>
      <c r="AE65" s="422"/>
      <c r="AF65" s="422"/>
      <c r="AG65" s="422"/>
      <c r="AH65" s="422"/>
      <c r="AI65" s="422"/>
    </row>
    <row r="66" spans="2:35" ht="16.5" customHeight="1" thickTop="1" x14ac:dyDescent="0.25">
      <c r="B66" s="5"/>
      <c r="C66" s="423"/>
      <c r="D66" s="677"/>
      <c r="E66" s="422"/>
      <c r="F66" s="422"/>
      <c r="G66" s="422"/>
      <c r="O66" s="422"/>
      <c r="P66" s="422"/>
      <c r="Q66" s="422"/>
      <c r="R66" s="422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  <c r="AC66" s="422"/>
      <c r="AD66" s="422"/>
      <c r="AE66" s="422"/>
      <c r="AF66" s="422"/>
      <c r="AG66" s="422"/>
      <c r="AH66" s="422"/>
      <c r="AI66" s="422"/>
    </row>
    <row r="67" spans="2:35" x14ac:dyDescent="0.25">
      <c r="B67" s="433" t="s">
        <v>490</v>
      </c>
      <c r="C67" s="63"/>
      <c r="D67" s="422"/>
      <c r="E67" s="422"/>
      <c r="F67" s="422"/>
      <c r="G67" s="422"/>
      <c r="O67" s="422"/>
      <c r="P67" s="422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22"/>
      <c r="AD67" s="422"/>
      <c r="AE67" s="422"/>
      <c r="AF67" s="422"/>
      <c r="AG67" s="422"/>
      <c r="AH67" s="422"/>
      <c r="AI67" s="422"/>
    </row>
    <row r="68" spans="2:35" x14ac:dyDescent="0.25">
      <c r="B68" s="422"/>
      <c r="C68" s="63"/>
      <c r="D68" s="422"/>
      <c r="E68" s="422"/>
      <c r="F68" s="422"/>
      <c r="G68" s="422"/>
      <c r="O68" s="422"/>
      <c r="P68" s="422"/>
      <c r="Q68" s="422"/>
      <c r="R68" s="422"/>
      <c r="S68" s="422"/>
      <c r="T68" s="422"/>
      <c r="U68" s="422"/>
      <c r="V68" s="422"/>
      <c r="W68" s="422"/>
      <c r="X68" s="422"/>
      <c r="Y68" s="422"/>
      <c r="Z68" s="422"/>
      <c r="AA68" s="422"/>
      <c r="AB68" s="422"/>
      <c r="AC68" s="422"/>
      <c r="AD68" s="422"/>
      <c r="AE68" s="422"/>
      <c r="AF68" s="422"/>
      <c r="AG68" s="422"/>
      <c r="AH68" s="422"/>
      <c r="AI68" s="422"/>
    </row>
    <row r="69" spans="2:35" ht="18" customHeight="1" x14ac:dyDescent="0.3">
      <c r="B69" s="422" t="s">
        <v>425</v>
      </c>
      <c r="C69" s="432" t="s">
        <v>426</v>
      </c>
      <c r="D69" s="678">
        <f>DATI!E154</f>
        <v>1</v>
      </c>
      <c r="E69" s="679"/>
      <c r="F69" s="23"/>
      <c r="G69" s="422"/>
      <c r="H69" s="422"/>
      <c r="I69" s="422"/>
      <c r="J69" s="422"/>
      <c r="K69" s="422"/>
      <c r="L69" s="422"/>
      <c r="M69" s="422"/>
      <c r="N69" s="422"/>
      <c r="O69" s="422"/>
      <c r="P69" s="422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22"/>
      <c r="AD69" s="422"/>
      <c r="AE69" s="422"/>
      <c r="AF69" s="422"/>
      <c r="AG69" s="422"/>
      <c r="AH69" s="422"/>
      <c r="AI69" s="422"/>
    </row>
    <row r="70" spans="2:35" ht="18" customHeight="1" x14ac:dyDescent="0.3">
      <c r="B70" s="422" t="s">
        <v>491</v>
      </c>
      <c r="C70" s="432" t="s">
        <v>428</v>
      </c>
      <c r="D70" s="680">
        <f>DATI!E155</f>
        <v>1</v>
      </c>
      <c r="E70" s="679"/>
      <c r="F70" s="23"/>
      <c r="G70" s="422"/>
      <c r="H70" s="422"/>
      <c r="I70" s="422"/>
      <c r="J70" s="422"/>
      <c r="K70" s="422"/>
      <c r="L70" s="422"/>
      <c r="M70" s="422"/>
      <c r="N70" s="422"/>
      <c r="O70" s="422"/>
      <c r="P70" s="422"/>
      <c r="Q70" s="422"/>
      <c r="R70" s="422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  <c r="AC70" s="422"/>
      <c r="AD70" s="422"/>
      <c r="AE70" s="422"/>
      <c r="AF70" s="422"/>
      <c r="AG70" s="422"/>
      <c r="AH70" s="422"/>
      <c r="AI70" s="422"/>
    </row>
    <row r="71" spans="2:35" ht="18" customHeight="1" x14ac:dyDescent="0.3">
      <c r="B71" s="422"/>
      <c r="C71" s="432"/>
      <c r="D71" s="666"/>
      <c r="E71" s="667"/>
      <c r="F71" s="23"/>
      <c r="G71" s="422"/>
      <c r="H71" s="422"/>
      <c r="I71" s="422"/>
      <c r="J71" s="422"/>
      <c r="K71" s="422"/>
      <c r="L71" s="422"/>
      <c r="M71" s="422"/>
      <c r="N71" s="422"/>
      <c r="O71" s="422"/>
      <c r="P71" s="422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  <c r="AC71" s="422"/>
      <c r="AD71" s="422"/>
      <c r="AE71" s="422"/>
      <c r="AF71" s="422"/>
      <c r="AG71" s="422"/>
      <c r="AH71" s="422"/>
      <c r="AI71" s="422"/>
    </row>
    <row r="72" spans="2:35" ht="18" customHeight="1" x14ac:dyDescent="0.3">
      <c r="B72" s="422"/>
      <c r="C72" s="432"/>
      <c r="D72" s="666"/>
      <c r="E72" s="667"/>
      <c r="F72" s="23"/>
      <c r="G72" s="422"/>
      <c r="H72" s="422"/>
      <c r="I72" s="422"/>
      <c r="J72" s="422"/>
      <c r="K72" s="422"/>
      <c r="L72" s="422"/>
      <c r="M72" s="422"/>
      <c r="N72" s="422"/>
      <c r="O72" s="422"/>
      <c r="P72" s="422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22"/>
      <c r="AD72" s="422"/>
      <c r="AE72" s="422"/>
      <c r="AF72" s="422"/>
      <c r="AG72" s="422"/>
      <c r="AH72" s="422"/>
      <c r="AI72" s="422"/>
    </row>
    <row r="73" spans="2:35" ht="18" customHeight="1" x14ac:dyDescent="0.3">
      <c r="B73" s="433" t="s">
        <v>492</v>
      </c>
      <c r="C73" s="432"/>
      <c r="D73" s="666"/>
      <c r="E73" s="667"/>
      <c r="F73" s="23"/>
      <c r="G73" s="422"/>
      <c r="H73" s="422"/>
      <c r="I73" s="422"/>
      <c r="J73" s="422"/>
      <c r="K73" s="681"/>
      <c r="L73" s="681"/>
      <c r="M73" s="681"/>
      <c r="N73" s="422"/>
      <c r="O73" s="422"/>
      <c r="P73" s="422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  <c r="AC73" s="422"/>
      <c r="AD73" s="422"/>
      <c r="AE73" s="422"/>
      <c r="AF73" s="422"/>
      <c r="AG73" s="422"/>
      <c r="AH73" s="422"/>
      <c r="AI73" s="422"/>
    </row>
    <row r="74" spans="2:35" ht="15.75" thickBot="1" x14ac:dyDescent="0.3">
      <c r="B74" s="422"/>
      <c r="C74" s="432"/>
      <c r="D74" s="666"/>
      <c r="E74" s="422"/>
      <c r="O74" s="422"/>
      <c r="P74" s="422"/>
      <c r="Q74" s="422"/>
      <c r="R74" s="422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  <c r="AC74" s="422"/>
      <c r="AD74" s="422"/>
      <c r="AE74" s="422"/>
      <c r="AF74" s="422"/>
      <c r="AG74" s="422"/>
      <c r="AH74" s="422"/>
      <c r="AI74" s="422"/>
    </row>
    <row r="75" spans="2:35" ht="17.25" thickTop="1" thickBot="1" x14ac:dyDescent="0.3">
      <c r="B75" s="259" t="s">
        <v>780</v>
      </c>
      <c r="C75" s="921" t="s">
        <v>274</v>
      </c>
      <c r="D75" s="922"/>
      <c r="E75" s="422"/>
      <c r="O75" s="422"/>
      <c r="P75" s="422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22"/>
      <c r="AD75" s="422"/>
      <c r="AE75" s="422"/>
      <c r="AF75" s="422"/>
      <c r="AG75" s="422"/>
      <c r="AH75" s="422"/>
      <c r="AI75" s="422"/>
    </row>
    <row r="76" spans="2:35" ht="11.25" customHeight="1" thickTop="1" x14ac:dyDescent="0.25">
      <c r="B76" s="259"/>
      <c r="C76" s="19"/>
      <c r="D76" s="19"/>
      <c r="E76" s="422"/>
      <c r="F76" s="92"/>
      <c r="G76" s="682"/>
      <c r="H76" s="682"/>
      <c r="I76" s="682"/>
      <c r="J76" s="683"/>
      <c r="K76" s="684"/>
      <c r="L76" s="684"/>
      <c r="M76" s="684"/>
      <c r="N76" s="685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2"/>
      <c r="AD76" s="422"/>
      <c r="AE76" s="422"/>
      <c r="AF76" s="422"/>
      <c r="AG76" s="422"/>
      <c r="AH76" s="422"/>
      <c r="AI76" s="422"/>
    </row>
    <row r="77" spans="2:35" x14ac:dyDescent="0.25">
      <c r="B77" s="920" t="str">
        <f>IF(C75='FOGLIO DEPOSITO'!N184,"se si inserisce la teoria di Wood si attiva la verifica sismica γG1=γG2=γQk=1",IF(C75='FOGLIO DEPOSITO'!N181,"se si inseriscono i coeffcienti di M.O. si attiva la verifica sismica γG1=γG2=γQk=1",IF(SPINTE!C75='FOGLIO DEPOSITO'!N182,"se si inseriscono i coeffcienti di M.O. si attiva la verifica sismica γG1=γG2=γQk=1","")))</f>
        <v>se si inseriscono i coeffcienti di M.O. si attiva la verifica sismica γG1=γG2=γQk=1</v>
      </c>
      <c r="C77" s="19"/>
      <c r="D77" s="19"/>
      <c r="E77" s="422"/>
      <c r="F77" s="92"/>
      <c r="G77" s="682"/>
      <c r="H77" s="682"/>
      <c r="I77" s="682"/>
      <c r="J77" s="683"/>
      <c r="K77" s="686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2"/>
      <c r="AD77" s="422"/>
      <c r="AE77" s="422"/>
      <c r="AF77" s="422"/>
      <c r="AG77" s="422"/>
      <c r="AH77" s="422"/>
      <c r="AI77" s="422"/>
    </row>
    <row r="78" spans="2:35" x14ac:dyDescent="0.25">
      <c r="B78" s="920"/>
      <c r="C78" s="19"/>
      <c r="D78" s="19"/>
      <c r="E78" s="422"/>
      <c r="F78" s="92"/>
      <c r="G78" s="682"/>
      <c r="H78" s="682"/>
      <c r="I78" s="682"/>
      <c r="J78" s="683"/>
      <c r="K78" s="686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22"/>
      <c r="W78" s="422"/>
      <c r="X78" s="422"/>
      <c r="Y78" s="422"/>
      <c r="Z78" s="422"/>
      <c r="AA78" s="422"/>
      <c r="AB78" s="422"/>
      <c r="AC78" s="422"/>
      <c r="AD78" s="422"/>
      <c r="AE78" s="422"/>
      <c r="AF78" s="422"/>
      <c r="AG78" s="422"/>
      <c r="AH78" s="422"/>
      <c r="AI78" s="422"/>
    </row>
    <row r="79" spans="2:35" s="421" customFormat="1" x14ac:dyDescent="0.25">
      <c r="B79" s="786"/>
      <c r="C79" s="19"/>
      <c r="D79" s="19"/>
      <c r="E79" s="422"/>
      <c r="F79" s="92"/>
      <c r="G79" s="682"/>
      <c r="H79" s="682"/>
      <c r="I79" s="682"/>
      <c r="J79" s="683"/>
      <c r="K79" s="686"/>
      <c r="L79" s="422"/>
      <c r="M79" s="422"/>
      <c r="N79" s="422"/>
      <c r="O79" s="422"/>
      <c r="P79" s="422"/>
      <c r="Q79" s="422"/>
      <c r="R79" s="422"/>
      <c r="S79" s="422"/>
      <c r="T79" s="422"/>
      <c r="U79" s="422"/>
      <c r="V79" s="422"/>
      <c r="W79" s="422"/>
      <c r="X79" s="422"/>
      <c r="Y79" s="422"/>
      <c r="Z79" s="422"/>
      <c r="AA79" s="422"/>
      <c r="AB79" s="422"/>
      <c r="AC79" s="422"/>
      <c r="AD79" s="422"/>
      <c r="AE79" s="422"/>
      <c r="AF79" s="422"/>
      <c r="AG79" s="422"/>
      <c r="AH79" s="422"/>
      <c r="AI79" s="422"/>
    </row>
    <row r="80" spans="2:35" s="421" customFormat="1" x14ac:dyDescent="0.25">
      <c r="B80" s="23"/>
      <c r="C80" s="422"/>
      <c r="D80" s="422"/>
      <c r="E80" s="422"/>
      <c r="F80" s="898" t="str">
        <f>IF(C75='FOGLIO DEPOSITO'!N181,"1+Kv",IF(C75='FOGLIO DEPOSITO'!N182,"1-Kv",""))</f>
        <v>1+Kv</v>
      </c>
      <c r="G80" s="924" t="str">
        <f>IF(C75='FOGLIO DEPOSITO'!N184," Ewd (Westergaard)",IF(C75='FOGLIO DEPOSITO'!N181," Ewd (Westergaard)",IF(SPINTE!C75='FOGLIO DEPOSITO'!N182,"Ewd  (Westergaard)","")))</f>
        <v xml:space="preserve"> Ewd (Westergaard)</v>
      </c>
      <c r="H80" s="898" t="str">
        <f>IF(C75='FOGLIO DEPOSITO'!N184," Kh*Wtot",IF(C75='FOGLIO DEPOSITO'!N181," Kh*Wtot",IF(SPINTE!C75='FOGLIO DEPOSITO'!N182,"Kh*Wtot","")))</f>
        <v xml:space="preserve"> Kh*Wtot</v>
      </c>
      <c r="I80" s="898" t="str">
        <f>IF(C75='FOGLIO DEPOSITO'!N184," Kv*Wtot",IF(C75='FOGLIO DEPOSITO'!N181," Kv*Wtot",IF(SPINTE!C75='FOGLIO DEPOSITO'!N182,"Kv*Wtot","")))</f>
        <v xml:space="preserve"> Kv*Wtot</v>
      </c>
      <c r="J80" s="422"/>
      <c r="K80" s="686"/>
      <c r="L80" s="422"/>
      <c r="M80" s="422"/>
      <c r="N80" s="422"/>
      <c r="O80" s="422"/>
      <c r="P80" s="422"/>
      <c r="Q80" s="422"/>
      <c r="R80" s="422"/>
      <c r="S80" s="422"/>
      <c r="T80" s="422"/>
      <c r="U80" s="422"/>
      <c r="V80" s="422"/>
      <c r="W80" s="422"/>
      <c r="X80" s="422"/>
      <c r="Y80" s="422"/>
      <c r="Z80" s="422"/>
      <c r="AA80" s="422"/>
      <c r="AB80" s="422"/>
      <c r="AC80" s="422"/>
      <c r="AD80" s="422"/>
      <c r="AE80" s="422"/>
      <c r="AF80" s="422"/>
      <c r="AG80" s="422"/>
      <c r="AH80" s="422"/>
      <c r="AI80" s="422"/>
    </row>
    <row r="81" spans="2:35" s="421" customFormat="1" x14ac:dyDescent="0.25">
      <c r="B81" s="437"/>
      <c r="C81" s="92" t="str">
        <f>IF(C75='FOGLIO DEPOSITO'!N181,"STRATO 1",IF(SPINTE!C75='FOGLIO DEPOSITO'!N182,"STRATO 1",""))</f>
        <v>STRATO 1</v>
      </c>
      <c r="D81" s="92" t="str">
        <f>IF('ANALISI DELLE SPINTE'!C11="","",IF(C75='FOGLIO DEPOSITO'!N181,"STRATO 2",IF(SPINTE!C75='FOGLIO DEPOSITO'!N182,"STRATO 2","")))</f>
        <v/>
      </c>
      <c r="E81" s="92" t="str">
        <f>IF('ANALISI DELLE SPINTE'!C14="","",IF(C75='FOGLIO DEPOSITO'!N181,"STRATO 3",IF(SPINTE!C75='FOGLIO DEPOSITO'!N182,"STRATO 3","")))</f>
        <v/>
      </c>
      <c r="F81" s="898"/>
      <c r="G81" s="924"/>
      <c r="H81" s="898"/>
      <c r="I81" s="898"/>
      <c r="J81" s="422"/>
      <c r="K81" s="686"/>
      <c r="L81" s="422"/>
      <c r="M81" s="422"/>
      <c r="N81" s="422"/>
      <c r="O81" s="422"/>
      <c r="P81" s="422"/>
      <c r="Q81" s="422"/>
      <c r="R81" s="422"/>
      <c r="S81" s="422"/>
      <c r="T81" s="422"/>
      <c r="U81" s="422"/>
      <c r="V81" s="422"/>
      <c r="W81" s="422"/>
      <c r="X81" s="422"/>
      <c r="Y81" s="422"/>
      <c r="Z81" s="422"/>
      <c r="AA81" s="422"/>
      <c r="AB81" s="422"/>
      <c r="AC81" s="422"/>
      <c r="AD81" s="422"/>
      <c r="AE81" s="422"/>
      <c r="AF81" s="422"/>
      <c r="AG81" s="422"/>
      <c r="AH81" s="422"/>
      <c r="AI81" s="422"/>
    </row>
    <row r="82" spans="2:35" s="421" customFormat="1" x14ac:dyDescent="0.25">
      <c r="B82" s="92" t="str">
        <f>IF(C75='FOGLIO DEPOSITO'!N181,"ϑ(kv+)",IF(SPINTE!C75='FOGLIO DEPOSITO'!N182,"ϑ(kv-)",""))</f>
        <v>ϑ(kv+)</v>
      </c>
      <c r="C82" s="682">
        <f>IF(C75='FOGLIO DEPOSITO'!N181,'FOGLIO DEPOSITO'!P188,IF(SPINTE!C75='FOGLIO DEPOSITO'!N182,'FOGLIO DEPOSITO'!Q188,""))</f>
        <v>6.8674555157547585</v>
      </c>
      <c r="D82" s="682" t="str">
        <f>IF('ANALISI DELLE SPINTE'!C11="","",IF(C75='FOGLIO DEPOSITO'!N181,'FOGLIO DEPOSITO'!P189,IF(SPINTE!C75='FOGLIO DEPOSITO'!N182,'FOGLIO DEPOSITO'!Q189,"")))</f>
        <v/>
      </c>
      <c r="E82" s="682" t="str">
        <f>IF('ANALISI DELLE SPINTE'!C14="","",IF(C75='FOGLIO DEPOSITO'!N181,'FOGLIO DEPOSITO'!P190,IF(SPINTE!C75='FOGLIO DEPOSITO'!N182,'FOGLIO DEPOSITO'!Q190,"")))</f>
        <v/>
      </c>
      <c r="F82" s="683">
        <f>IF(C75='FOGLIO DEPOSITO'!N181,1+'FOGLIO DEPOSITO'!S188,IF(C75='FOGLIO DEPOSITO'!N182,1-'FOGLIO DEPOSITO'!S188,""))</f>
        <v>1.0640771341558701</v>
      </c>
      <c r="G82" s="684">
        <f>IF(C75='FOGLIO DEPOSITO'!N184,IF(DATI!C197='FOGLIO DEPOSITO'!T179,IF(DATI!E187="no",0,('FOGLIO DEPOSITO'!M206)),0),IF(C75='FOGLIO DEPOSITO'!N181,IF(DATI!C197='FOGLIO DEPOSITO'!T179,IF(DATI!E187="no",0,('FOGLIO DEPOSITO'!M206)),0),IF(SPINTE!C75='FOGLIO DEPOSITO'!N182,IF(DATI!C197='FOGLIO DEPOSITO'!T179,IF(DATI!E187="no",0,'FOGLIO DEPOSITO'!M206),0),"")))</f>
        <v>0</v>
      </c>
      <c r="H82" s="684">
        <f>IF(C75='FOGLIO DEPOSITO'!N184,DATI!E51*('VER. EQU COND. NON DRENATE'!C71+'VER. EQU COND. NON DRENATE'!C47),IF(C75='FOGLIO DEPOSITO'!N181,DATI!E51*('VER. EQU COND. NON DRENATE'!C71+'VER. EQU COND. NON DRENATE'!C47),IF(SPINTE!C75='FOGLIO DEPOSITO'!N182,DATI!E51*('VER. EQU COND. NON DRENATE'!C71+'VER. EQU COND. NON DRENATE'!C47),"")))</f>
        <v>88.109045467674491</v>
      </c>
      <c r="I82" s="684">
        <f>IF(C75='FOGLIO DEPOSITO'!N184,DATI!E52*('VER. EQU COND. NON DRENATE'!C71+'VER. EQU COND. NON DRENATE'!C47),IF(C75='FOGLIO DEPOSITO'!N181,IF(C75='FOGLIO DEPOSITO'!N181,DATI!E52*('VER. EQU COND. NON DRENATE'!C71+'VER. EQU COND. NON DRENATE'!C47),-DATI!E52*('VER. EQU COND. NON DRENATE'!C71+'VER. EQU COND. NON DRENATE'!C47)),IF(SPINTE!C75='FOGLIO DEPOSITO'!N182,IF(C75='FOGLIO DEPOSITO'!N181,DATI!E52*('VER. EQU COND. NON DRENATE'!C71+'VER. EQU COND. NON DRENATE'!C47),-DATI!E52*('VER. EQU COND. NON DRENATE'!C71+'VER. EQU COND. NON DRENATE'!C47)),"")))</f>
        <v>44.054522733837246</v>
      </c>
      <c r="J82" s="685" t="str">
        <f>IF(C75='FOGLIO DEPOSITO'!N184,IF(DATI!C197='FOGLIO DEPOSITO'!T179,IF(DATI!E187="no","",DATI!C197),""),IF(C75='FOGLIO DEPOSITO'!N181,IF(DATI!C197='FOGLIO DEPOSITO'!T179,IF(DATI!E187="no","",DATI!C197),""),IF(SPINTE!C75='FOGLIO DEPOSITO'!N182,IF(DATI!C197='FOGLIO DEPOSITO'!T179,IF(DATI!E187="no","",DATI!C197),""),"")))</f>
        <v/>
      </c>
      <c r="K82" s="686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  <c r="Z82" s="422"/>
      <c r="AA82" s="422"/>
      <c r="AB82" s="422"/>
      <c r="AC82" s="422"/>
      <c r="AD82" s="422"/>
      <c r="AE82" s="422"/>
      <c r="AF82" s="422"/>
      <c r="AG82" s="422"/>
      <c r="AH82" s="422"/>
      <c r="AI82" s="422"/>
    </row>
    <row r="83" spans="2:35" s="421" customFormat="1" x14ac:dyDescent="0.25">
      <c r="B83" s="786"/>
      <c r="C83" s="19"/>
      <c r="D83" s="19"/>
      <c r="E83" s="422"/>
      <c r="F83" s="92"/>
      <c r="G83" s="682"/>
      <c r="H83" s="682"/>
      <c r="I83" s="682"/>
      <c r="J83" s="683"/>
      <c r="K83" s="686"/>
      <c r="L83" s="422"/>
      <c r="M83" s="422"/>
      <c r="N83" s="422"/>
      <c r="O83" s="422"/>
      <c r="P83" s="422"/>
      <c r="Q83" s="422"/>
      <c r="R83" s="422"/>
      <c r="S83" s="422"/>
      <c r="T83" s="422"/>
      <c r="U83" s="422"/>
      <c r="V83" s="422"/>
      <c r="W83" s="422"/>
      <c r="X83" s="422"/>
      <c r="Y83" s="422"/>
      <c r="Z83" s="422"/>
      <c r="AA83" s="422"/>
      <c r="AB83" s="422"/>
      <c r="AC83" s="422"/>
      <c r="AD83" s="422"/>
      <c r="AE83" s="422"/>
      <c r="AF83" s="422"/>
      <c r="AG83" s="422"/>
      <c r="AH83" s="422"/>
      <c r="AI83" s="422"/>
    </row>
    <row r="85" spans="2:35" s="421" customFormat="1" x14ac:dyDescent="0.25">
      <c r="B85" s="230" t="s">
        <v>54</v>
      </c>
    </row>
    <row r="86" spans="2:35" ht="15.75" thickBot="1" x14ac:dyDescent="0.3"/>
    <row r="87" spans="2:35" x14ac:dyDescent="0.25">
      <c r="B87" s="929" t="str">
        <f>IF(SPINTE!C75='FOGLIO DEPOSITO'!N184,"  Sono state aggiunte la spinta dinamica dell'acqua e le forze d'inerzia;            i ΔP,i di Wood sono considerati in Sh,x →",IF(SPINTE!C75='FOGLIO DEPOSITO'!N181,"  Sono state aggiunte la spinta dinamica dell'acqua e le forze d'inerzia →",IF(SPINTE!C75='FOGLIO DEPOSITO'!N182,"Sono state aggiunte la spinta dinamica dell'acqua e le forze d'inerzia →","")))</f>
        <v xml:space="preserve">  Sono state aggiunte la spinta dinamica dell'acqua e le forze d'inerzia →</v>
      </c>
      <c r="C87" s="926" t="s">
        <v>1096</v>
      </c>
      <c r="D87" s="926"/>
      <c r="E87" s="926"/>
      <c r="F87" s="927"/>
      <c r="G87" s="727" t="s">
        <v>745</v>
      </c>
      <c r="H87" s="728">
        <f>SUM('ANALISI DELLE SPINTE'!J37:J45)+IF(SPINTE!I82="",0,'ANALISI DELLE SPINTE'!C59)+IF(SPINTE!I82="",0,SPINTE!H82*DATI!E263)</f>
        <v>367.76933278733725</v>
      </c>
    </row>
    <row r="88" spans="2:35" ht="16.5" thickBot="1" x14ac:dyDescent="0.3">
      <c r="B88" s="929"/>
      <c r="C88" s="926" t="s">
        <v>1097</v>
      </c>
      <c r="D88" s="926"/>
      <c r="E88" s="926"/>
      <c r="F88" s="927"/>
      <c r="G88" s="463" t="s">
        <v>744</v>
      </c>
      <c r="H88" s="730">
        <f>SUM('ANALISI DELLE SPINTE'!L37:L45)+IF(SPINTE!I82="",0,('ANALISI DELLE SPINTE'!C59)*DATI!G209/2)+IF(SPINTE!I82="",0,SPINTE!H82*DATI!E263)*'VER. EQU COND. NON DRENATE'!C81</f>
        <v>673.73630342786589</v>
      </c>
    </row>
    <row r="89" spans="2:35" ht="15" customHeight="1" x14ac:dyDescent="0.25">
      <c r="C89" s="793"/>
      <c r="D89" s="793"/>
      <c r="E89" s="793"/>
      <c r="F89" s="793"/>
    </row>
    <row r="90" spans="2:35" x14ac:dyDescent="0.25">
      <c r="C90" s="793"/>
      <c r="D90" s="793"/>
      <c r="E90" s="793"/>
      <c r="F90" s="793"/>
    </row>
    <row r="91" spans="2:35" x14ac:dyDescent="0.25">
      <c r="B91" s="231" t="s">
        <v>53</v>
      </c>
    </row>
    <row r="92" spans="2:35" ht="15.75" thickBot="1" x14ac:dyDescent="0.3">
      <c r="B92" s="793"/>
    </row>
    <row r="93" spans="2:35" ht="15" customHeight="1" x14ac:dyDescent="0.25">
      <c r="B93" s="925" t="str">
        <f>IF(SPINTE!C75='FOGLIO DEPOSITO'!N184,"  Sono state aggiunte la spinta dinamica dell'acqua e le forze d'inerzia ;         i ΔP,i di Wood sono considerati in Sh,x →",IF(SPINTE!C75='FOGLIO DEPOSITO'!N181,"  Sono state aggiunte la spinta dinamica dell'acqua e le forze d'inerzia →",IF(SPINTE!C75='FOGLIO DEPOSITO'!N182,"Sono state aggiunte la spinta dinamica dell'acqua e le forze d'inerzia →","")))</f>
        <v xml:space="preserve">  Sono state aggiunte la spinta dinamica dell'acqua e le forze d'inerzia →</v>
      </c>
      <c r="C93" s="926" t="s">
        <v>1096</v>
      </c>
      <c r="D93" s="926"/>
      <c r="E93" s="926"/>
      <c r="F93" s="927"/>
      <c r="G93" s="727" t="s">
        <v>745</v>
      </c>
      <c r="H93" s="728">
        <f>SUM('ANALISI DELLE SPINTE'!J101:J109)+IF(SPINTE!I82="",0,'ANALISI DELLE SPINTE'!C123)+IF(SPINTE!I82="",0,SPINTE!H82*DATI!E263)</f>
        <v>367.76933278733725</v>
      </c>
    </row>
    <row r="94" spans="2:35" ht="15" customHeight="1" thickBot="1" x14ac:dyDescent="0.3">
      <c r="B94" s="925"/>
      <c r="C94" s="926" t="s">
        <v>1097</v>
      </c>
      <c r="D94" s="926"/>
      <c r="E94" s="926"/>
      <c r="F94" s="927"/>
      <c r="G94" s="463" t="s">
        <v>744</v>
      </c>
      <c r="H94" s="730">
        <f>SUM('ANALISI DELLE SPINTE'!L101:L109)+IF(SPINTE!I82="",0,('ANALISI DELLE SPINTE'!C123)*DATI!G209/2)+IF(SPINTE!I82="",0,SPINTE!H82*DATI!E263)*'VER. EQU COND. NON DRENATE'!C81</f>
        <v>673.73630342786589</v>
      </c>
      <c r="I94" s="794"/>
      <c r="J94" s="794"/>
      <c r="K94" s="795"/>
    </row>
    <row r="95" spans="2:35" x14ac:dyDescent="0.25">
      <c r="G95" s="794"/>
      <c r="H95" s="794"/>
      <c r="I95" s="794"/>
      <c r="J95" s="794"/>
      <c r="K95" s="795"/>
    </row>
    <row r="97" spans="2:6" ht="14.25" customHeight="1" x14ac:dyDescent="0.25">
      <c r="B97" s="668" t="s">
        <v>880</v>
      </c>
      <c r="C97" s="422"/>
      <c r="D97" s="422"/>
      <c r="E97" s="422"/>
      <c r="F97" s="422"/>
    </row>
    <row r="98" spans="2:6" x14ac:dyDescent="0.25">
      <c r="B98" s="422"/>
      <c r="C98" s="422"/>
      <c r="D98" s="422"/>
      <c r="E98" s="422"/>
      <c r="F98" s="422"/>
    </row>
    <row r="99" spans="2:6" s="421" customFormat="1" x14ac:dyDescent="0.25">
      <c r="B99" s="422"/>
      <c r="C99" s="422"/>
      <c r="D99" s="624" t="s">
        <v>877</v>
      </c>
      <c r="E99" s="624" t="s">
        <v>879</v>
      </c>
      <c r="F99" s="624" t="s">
        <v>878</v>
      </c>
    </row>
    <row r="100" spans="2:6" x14ac:dyDescent="0.25">
      <c r="B100" s="10" t="str">
        <f>'FOGLIO DEPOSITO'!N178</f>
        <v>Rankine</v>
      </c>
      <c r="C100" s="422"/>
      <c r="D100" s="294">
        <f>'FOGLIO DEPOSITO'!O178</f>
        <v>0.30725852452246849</v>
      </c>
      <c r="E100" s="294">
        <f>'FOGLIO DEPOSITO'!P178</f>
        <v>0.30725852452246849</v>
      </c>
      <c r="F100" s="294">
        <f>'FOGLIO DEPOSITO'!Q178</f>
        <v>0.28271491971777274</v>
      </c>
    </row>
    <row r="101" spans="2:6" x14ac:dyDescent="0.25">
      <c r="B101" s="10" t="str">
        <f>'FOGLIO DEPOSITO'!N179</f>
        <v>Muller-Breslau</v>
      </c>
      <c r="C101" s="422"/>
      <c r="D101" s="294">
        <f>'FOGLIO DEPOSITO'!O179</f>
        <v>0.37232353543539165</v>
      </c>
      <c r="E101" s="294">
        <f>'FOGLIO DEPOSITO'!P179</f>
        <v>0.37232353543539165</v>
      </c>
      <c r="F101" s="294">
        <f>'FOGLIO DEPOSITO'!Q179</f>
        <v>0.34783279048225529</v>
      </c>
    </row>
    <row r="102" spans="2:6" x14ac:dyDescent="0.25">
      <c r="B102" s="10" t="str">
        <f>'FOGLIO DEPOSITO'!N180</f>
        <v>Lancellotta</v>
      </c>
      <c r="C102" s="422"/>
      <c r="D102" s="672">
        <f>'FOGLIO DEPOSITO'!O180</f>
        <v>0.26153322109318022</v>
      </c>
      <c r="E102" s="672">
        <f>'FOGLIO DEPOSITO'!P180</f>
        <v>0.26153322109318022</v>
      </c>
      <c r="F102" s="672">
        <f>'FOGLIO DEPOSITO'!Q180</f>
        <v>0.23950570788791192</v>
      </c>
    </row>
    <row r="103" spans="2:6" x14ac:dyDescent="0.25">
      <c r="B103" s="10" t="str">
        <f>'FOGLIO DEPOSITO'!N181</f>
        <v>Mononobe Okabe K(kv+)</v>
      </c>
      <c r="C103" s="422"/>
      <c r="D103" s="294">
        <f>'FOGLIO DEPOSITO'!O181</f>
        <v>0.50908492020515517</v>
      </c>
      <c r="E103" s="294">
        <f>'FOGLIO DEPOSITO'!P181</f>
        <v>0.50908492020515517</v>
      </c>
      <c r="F103" s="294">
        <f>'FOGLIO DEPOSITO'!Q181</f>
        <v>0.48069304215581315</v>
      </c>
    </row>
    <row r="104" spans="2:6" x14ac:dyDescent="0.25">
      <c r="B104" s="10" t="str">
        <f>'FOGLIO DEPOSITO'!N182</f>
        <v>Mononobe Okabe K(kv-)</v>
      </c>
      <c r="C104" s="422"/>
      <c r="D104" s="294">
        <f>'FOGLIO DEPOSITO'!O182</f>
        <v>0.52933062130114794</v>
      </c>
      <c r="E104" s="294">
        <f>'FOGLIO DEPOSITO'!P182</f>
        <v>0.52933062130114794</v>
      </c>
      <c r="F104" s="294">
        <f>'FOGLIO DEPOSITO'!Q182</f>
        <v>0.50006015819101868</v>
      </c>
    </row>
    <row r="105" spans="2:6" s="421" customFormat="1" x14ac:dyDescent="0.25">
      <c r="B105" s="10"/>
      <c r="C105" s="422"/>
      <c r="D105" s="796"/>
      <c r="E105" s="796"/>
      <c r="F105" s="796"/>
    </row>
    <row r="106" spans="2:6" s="421" customFormat="1" x14ac:dyDescent="0.25">
      <c r="B106" s="10"/>
      <c r="C106" s="422"/>
      <c r="D106" s="796"/>
      <c r="E106" s="796"/>
      <c r="F106" s="796"/>
    </row>
    <row r="107" spans="2:6" s="421" customFormat="1" x14ac:dyDescent="0.25">
      <c r="B107" s="10"/>
      <c r="C107" s="422"/>
      <c r="D107" s="796"/>
      <c r="E107" s="796"/>
      <c r="F107" s="796"/>
    </row>
    <row r="108" spans="2:6" s="421" customFormat="1" x14ac:dyDescent="0.25">
      <c r="B108" s="10"/>
      <c r="C108" s="422"/>
      <c r="D108" s="796"/>
      <c r="E108" s="796"/>
      <c r="F108" s="796"/>
    </row>
    <row r="109" spans="2:6" s="421" customFormat="1" x14ac:dyDescent="0.25">
      <c r="B109" s="10"/>
      <c r="C109" s="422"/>
      <c r="D109" s="796"/>
      <c r="E109" s="796"/>
      <c r="F109" s="796"/>
    </row>
    <row r="110" spans="2:6" s="421" customFormat="1" x14ac:dyDescent="0.25">
      <c r="B110" s="10"/>
      <c r="C110" s="422"/>
      <c r="D110" s="796"/>
      <c r="E110" s="796"/>
      <c r="F110" s="796"/>
    </row>
    <row r="111" spans="2:6" s="421" customFormat="1" x14ac:dyDescent="0.25">
      <c r="B111" s="10"/>
      <c r="C111" s="422"/>
      <c r="D111" s="796"/>
      <c r="E111" s="796"/>
      <c r="F111" s="796"/>
    </row>
    <row r="112" spans="2:6" s="421" customFormat="1" x14ac:dyDescent="0.25">
      <c r="B112" s="10"/>
      <c r="C112" s="422"/>
      <c r="D112" s="796"/>
      <c r="E112" s="796"/>
      <c r="F112" s="796"/>
    </row>
    <row r="113" spans="2:17" s="421" customFormat="1" x14ac:dyDescent="0.25">
      <c r="B113" s="10"/>
      <c r="C113" s="422"/>
      <c r="D113" s="796"/>
      <c r="E113" s="796"/>
      <c r="F113" s="796"/>
    </row>
    <row r="114" spans="2:17" s="421" customFormat="1" x14ac:dyDescent="0.25">
      <c r="B114" s="10"/>
      <c r="C114" s="422"/>
      <c r="D114" s="796"/>
      <c r="E114" s="796"/>
      <c r="F114" s="796"/>
    </row>
    <row r="115" spans="2:17" s="421" customFormat="1" x14ac:dyDescent="0.25">
      <c r="B115" s="10"/>
      <c r="C115" s="422"/>
      <c r="D115" s="796"/>
      <c r="E115" s="796"/>
      <c r="F115" s="796"/>
    </row>
    <row r="116" spans="2:17" s="421" customFormat="1" x14ac:dyDescent="0.25">
      <c r="B116" s="10"/>
      <c r="C116" s="422"/>
      <c r="D116" s="796"/>
      <c r="E116" s="796"/>
      <c r="F116" s="796"/>
    </row>
    <row r="117" spans="2:17" s="421" customFormat="1" x14ac:dyDescent="0.25">
      <c r="B117" s="10"/>
      <c r="C117" s="422"/>
      <c r="D117" s="796"/>
      <c r="E117" s="796"/>
      <c r="F117" s="796"/>
    </row>
    <row r="118" spans="2:17" s="421" customFormat="1" x14ac:dyDescent="0.25">
      <c r="B118" s="10"/>
      <c r="C118" s="422"/>
      <c r="D118" s="796"/>
      <c r="E118" s="796"/>
      <c r="F118" s="796"/>
    </row>
    <row r="119" spans="2:17" s="421" customFormat="1" x14ac:dyDescent="0.25">
      <c r="B119" s="10"/>
      <c r="C119" s="422"/>
      <c r="D119" s="796"/>
      <c r="E119" s="796"/>
      <c r="F119" s="796"/>
      <c r="K119" s="422"/>
      <c r="L119" s="923" t="str">
        <f>IF(D65="si","A tergo del paramento è stato inserito il drenaggio;                                  Si annulla la spinta dell'acqua","")</f>
        <v>A tergo del paramento è stato inserito il drenaggio;                                  Si annulla la spinta dell'acqua</v>
      </c>
      <c r="M119" s="923"/>
      <c r="N119" s="923"/>
      <c r="O119" s="923"/>
      <c r="P119" s="923"/>
      <c r="Q119" s="422"/>
    </row>
    <row r="120" spans="2:17" s="421" customFormat="1" x14ac:dyDescent="0.25">
      <c r="B120" s="10"/>
      <c r="C120" s="422"/>
      <c r="D120" s="796"/>
      <c r="E120" s="796"/>
      <c r="F120" s="796"/>
      <c r="K120" s="422"/>
      <c r="L120" s="923"/>
      <c r="M120" s="923"/>
      <c r="N120" s="923"/>
      <c r="O120" s="923"/>
      <c r="P120" s="923"/>
      <c r="Q120" s="422"/>
    </row>
    <row r="121" spans="2:17" s="421" customFormat="1" x14ac:dyDescent="0.25">
      <c r="B121" s="10"/>
      <c r="C121" s="422"/>
      <c r="D121" s="796"/>
      <c r="E121" s="796"/>
      <c r="F121" s="796"/>
      <c r="K121" s="422"/>
      <c r="L121" s="422"/>
      <c r="M121" s="422"/>
      <c r="N121" s="422"/>
      <c r="O121" s="422"/>
      <c r="P121" s="422"/>
      <c r="Q121" s="422"/>
    </row>
    <row r="122" spans="2:17" s="421" customFormat="1" x14ac:dyDescent="0.25">
      <c r="B122" s="10"/>
      <c r="C122" s="422"/>
      <c r="D122" s="796"/>
      <c r="E122" s="796"/>
      <c r="F122" s="796"/>
      <c r="K122" s="928" t="str">
        <f>IF('FOGLIO DEPOSITO'!W233=0,IF(ROUND('FOGLIO DEPOSITO'!W239,3)&gt;0,"AGGIORNA ALTEZZA DEGLI STRATI SUI DATI!",IF(DATI!C172="",IF(DATI!C178="","","AGGIORNA ALTEZZA DEGLI STRATI SUI DATI!"),"AGGIORNA ALTEZZA DEGLI STRATI SUI DATI!")),"")</f>
        <v/>
      </c>
      <c r="L122" s="928"/>
      <c r="M122" s="928"/>
      <c r="N122" s="928"/>
      <c r="O122" s="928"/>
      <c r="P122" s="928"/>
      <c r="Q122" s="928"/>
    </row>
    <row r="123" spans="2:17" s="421" customFormat="1" x14ac:dyDescent="0.25">
      <c r="B123" s="10"/>
      <c r="C123" s="422"/>
      <c r="D123" s="796"/>
      <c r="E123" s="796"/>
      <c r="F123" s="796"/>
      <c r="K123" s="928"/>
      <c r="L123" s="928"/>
      <c r="M123" s="928"/>
      <c r="N123" s="928"/>
      <c r="O123" s="928"/>
      <c r="P123" s="928"/>
      <c r="Q123" s="928"/>
    </row>
    <row r="124" spans="2:17" s="421" customFormat="1" x14ac:dyDescent="0.25">
      <c r="B124" s="10"/>
      <c r="C124" s="422"/>
      <c r="D124" s="796"/>
      <c r="E124" s="796"/>
      <c r="F124" s="796"/>
      <c r="K124" s="928"/>
      <c r="L124" s="928"/>
      <c r="M124" s="928"/>
      <c r="N124" s="928"/>
      <c r="O124" s="928"/>
      <c r="P124" s="928"/>
      <c r="Q124" s="928"/>
    </row>
    <row r="125" spans="2:17" s="421" customFormat="1" x14ac:dyDescent="0.25">
      <c r="B125" s="10"/>
      <c r="C125" s="422"/>
      <c r="D125" s="796"/>
      <c r="E125" s="796"/>
      <c r="F125" s="796"/>
    </row>
    <row r="126" spans="2:17" s="421" customFormat="1" x14ac:dyDescent="0.25">
      <c r="B126" s="10"/>
      <c r="C126" s="422"/>
      <c r="D126" s="796"/>
      <c r="E126" s="796"/>
      <c r="F126" s="796"/>
    </row>
    <row r="127" spans="2:17" s="421" customFormat="1" x14ac:dyDescent="0.25">
      <c r="B127" s="10"/>
      <c r="C127" s="422"/>
      <c r="D127" s="796"/>
      <c r="E127" s="796"/>
      <c r="F127" s="796"/>
    </row>
    <row r="128" spans="2:17" s="421" customFormat="1" x14ac:dyDescent="0.25">
      <c r="B128" s="10"/>
      <c r="C128" s="422"/>
      <c r="D128" s="796"/>
      <c r="E128" s="796"/>
      <c r="F128" s="796"/>
    </row>
    <row r="129" spans="2:35" s="421" customFormat="1" x14ac:dyDescent="0.25">
      <c r="B129" s="10"/>
      <c r="C129" s="422"/>
      <c r="D129" s="796"/>
      <c r="E129" s="796"/>
      <c r="F129" s="796"/>
    </row>
    <row r="130" spans="2:35" s="421" customFormat="1" x14ac:dyDescent="0.25">
      <c r="B130" s="10"/>
      <c r="C130" s="422"/>
      <c r="D130" s="796"/>
      <c r="E130" s="796"/>
      <c r="F130" s="796"/>
    </row>
    <row r="131" spans="2:35" s="421" customFormat="1" x14ac:dyDescent="0.25">
      <c r="B131" s="10"/>
      <c r="C131" s="422"/>
      <c r="D131" s="796"/>
      <c r="E131" s="796"/>
      <c r="F131" s="796"/>
    </row>
    <row r="132" spans="2:35" s="421" customFormat="1" x14ac:dyDescent="0.25">
      <c r="B132" s="10"/>
      <c r="C132" s="422"/>
      <c r="D132" s="796"/>
      <c r="E132" s="796"/>
      <c r="F132" s="796"/>
    </row>
    <row r="133" spans="2:35" s="421" customFormat="1" x14ac:dyDescent="0.25">
      <c r="B133" s="433" t="s">
        <v>493</v>
      </c>
      <c r="C133" s="422"/>
      <c r="D133" s="796"/>
      <c r="E133" s="796"/>
      <c r="F133" s="796"/>
    </row>
    <row r="134" spans="2:35" s="421" customFormat="1" x14ac:dyDescent="0.25">
      <c r="D134" s="796"/>
      <c r="E134" s="796"/>
      <c r="F134" s="796"/>
    </row>
    <row r="135" spans="2:35" s="421" customFormat="1" x14ac:dyDescent="0.25">
      <c r="B135" s="913" t="s">
        <v>886</v>
      </c>
      <c r="C135" s="913"/>
      <c r="D135" s="796"/>
      <c r="E135" s="796"/>
      <c r="F135" s="796"/>
    </row>
    <row r="136" spans="2:35" s="421" customFormat="1" x14ac:dyDescent="0.25">
      <c r="B136" s="10"/>
      <c r="C136" s="422"/>
      <c r="D136" s="796"/>
      <c r="E136" s="796"/>
      <c r="F136" s="796"/>
    </row>
    <row r="137" spans="2:35" s="421" customFormat="1" x14ac:dyDescent="0.25">
      <c r="D137" s="796"/>
      <c r="E137" s="796"/>
      <c r="F137" s="796"/>
    </row>
    <row r="138" spans="2:35" s="421" customFormat="1" x14ac:dyDescent="0.25">
      <c r="B138" s="10"/>
      <c r="C138" s="422"/>
      <c r="D138" s="796"/>
      <c r="E138" s="796"/>
      <c r="F138" s="796"/>
    </row>
    <row r="139" spans="2:35" s="421" customFormat="1" x14ac:dyDescent="0.25">
      <c r="B139" s="10"/>
      <c r="C139" s="422"/>
      <c r="D139" s="796"/>
      <c r="E139" s="796"/>
      <c r="F139" s="796"/>
    </row>
    <row r="140" spans="2:35" s="421" customFormat="1" x14ac:dyDescent="0.25">
      <c r="B140" s="10"/>
      <c r="C140" s="422"/>
      <c r="D140" s="796"/>
      <c r="E140" s="796"/>
      <c r="F140" s="796"/>
    </row>
    <row r="141" spans="2:35" s="421" customFormat="1" x14ac:dyDescent="0.25">
      <c r="B141" s="10"/>
      <c r="C141" s="422"/>
      <c r="D141" s="796"/>
      <c r="E141" s="796"/>
      <c r="F141" s="796"/>
    </row>
    <row r="142" spans="2:35" s="421" customFormat="1" x14ac:dyDescent="0.25">
      <c r="B142" s="10"/>
      <c r="C142" s="422"/>
      <c r="D142" s="796"/>
      <c r="E142" s="796"/>
      <c r="F142" s="796"/>
    </row>
    <row r="144" spans="2:35" x14ac:dyDescent="0.25">
      <c r="B144" s="422"/>
      <c r="C144" s="720"/>
      <c r="D144" s="720"/>
      <c r="E144" s="720"/>
      <c r="F144" s="632"/>
      <c r="G144" s="632"/>
      <c r="O144" s="422"/>
      <c r="P144" s="422"/>
      <c r="Q144" s="422"/>
      <c r="R144" s="422"/>
      <c r="S144" s="422"/>
      <c r="T144" s="422"/>
      <c r="U144" s="422"/>
      <c r="V144" s="422"/>
      <c r="W144" s="422"/>
      <c r="X144" s="422"/>
      <c r="Y144" s="422"/>
      <c r="Z144" s="422"/>
      <c r="AA144" s="422"/>
      <c r="AB144" s="422"/>
      <c r="AC144" s="686"/>
      <c r="AD144" s="686"/>
      <c r="AE144" s="686"/>
      <c r="AF144" s="686"/>
      <c r="AG144" s="686"/>
      <c r="AH144" s="686"/>
      <c r="AI144" s="23"/>
    </row>
    <row r="145" spans="2:35" x14ac:dyDescent="0.25">
      <c r="D145" s="720"/>
      <c r="E145" s="720"/>
      <c r="F145" s="632"/>
      <c r="G145" s="632"/>
      <c r="O145" s="422"/>
      <c r="P145" s="422"/>
      <c r="Q145" s="422"/>
      <c r="R145" s="422"/>
      <c r="S145" s="422"/>
      <c r="T145" s="422"/>
      <c r="U145" s="422"/>
      <c r="V145" s="422"/>
      <c r="W145" s="422"/>
      <c r="X145" s="422"/>
      <c r="Y145" s="686"/>
      <c r="Z145" s="686"/>
      <c r="AA145" s="686"/>
      <c r="AB145" s="722"/>
      <c r="AC145" s="686"/>
      <c r="AD145" s="686"/>
      <c r="AE145" s="686"/>
      <c r="AF145" s="686"/>
      <c r="AG145" s="686"/>
      <c r="AH145" s="686"/>
      <c r="AI145" s="23"/>
    </row>
    <row r="146" spans="2:35" x14ac:dyDescent="0.25">
      <c r="B146" s="422"/>
      <c r="C146" s="720"/>
      <c r="D146" s="720"/>
      <c r="E146" s="720"/>
      <c r="F146" s="632"/>
      <c r="G146" s="632"/>
      <c r="H146" s="632"/>
      <c r="I146" s="632"/>
      <c r="J146" s="632"/>
      <c r="K146" s="632"/>
      <c r="L146" s="632"/>
      <c r="M146" s="422"/>
      <c r="N146" s="422"/>
      <c r="O146" s="422"/>
      <c r="P146" s="422"/>
      <c r="Q146" s="422"/>
      <c r="R146" s="422"/>
      <c r="S146" s="422"/>
      <c r="T146" s="422"/>
      <c r="U146" s="422"/>
      <c r="V146" s="422"/>
      <c r="W146" s="422"/>
      <c r="X146" s="422"/>
      <c r="Y146" s="686"/>
      <c r="Z146" s="686"/>
      <c r="AA146" s="686"/>
      <c r="AB146" s="722"/>
      <c r="AC146" s="686"/>
      <c r="AD146" s="686"/>
      <c r="AE146" s="686"/>
      <c r="AF146" s="686"/>
      <c r="AG146" s="686"/>
      <c r="AH146" s="686"/>
      <c r="AI146" s="23"/>
    </row>
    <row r="147" spans="2:35" x14ac:dyDescent="0.25">
      <c r="B147" s="422"/>
      <c r="C147" s="720"/>
      <c r="D147" s="720"/>
      <c r="E147" s="720"/>
      <c r="F147" s="632"/>
      <c r="G147" s="632"/>
      <c r="H147" s="632"/>
      <c r="I147" s="632"/>
      <c r="J147" s="632"/>
      <c r="K147" s="632"/>
      <c r="L147" s="632"/>
      <c r="M147" s="422"/>
      <c r="N147" s="422"/>
      <c r="O147" s="422"/>
      <c r="P147" s="422"/>
      <c r="Q147" s="422"/>
      <c r="R147" s="422"/>
      <c r="S147" s="422"/>
      <c r="T147" s="422"/>
      <c r="U147" s="422"/>
      <c r="V147" s="422"/>
      <c r="W147" s="422"/>
      <c r="X147" s="422"/>
      <c r="Y147" s="422"/>
      <c r="Z147" s="422"/>
      <c r="AA147" s="422"/>
      <c r="AB147" s="422"/>
      <c r="AC147" s="422"/>
      <c r="AD147" s="422"/>
      <c r="AE147" s="23"/>
      <c r="AF147" s="23"/>
      <c r="AG147" s="23"/>
      <c r="AH147" s="23"/>
      <c r="AI147" s="23"/>
    </row>
    <row r="148" spans="2:35" x14ac:dyDescent="0.25">
      <c r="B148" s="422"/>
      <c r="C148" s="720"/>
      <c r="D148" s="720"/>
      <c r="E148" s="720"/>
      <c r="F148" s="422"/>
      <c r="G148" s="422"/>
      <c r="H148" s="422"/>
      <c r="I148" s="422"/>
      <c r="J148" s="422"/>
      <c r="K148" s="422"/>
      <c r="L148" s="422"/>
      <c r="M148" s="422"/>
      <c r="N148" s="422"/>
      <c r="O148" s="422"/>
      <c r="P148" s="422"/>
      <c r="Q148" s="422"/>
      <c r="R148" s="422"/>
      <c r="S148" s="422"/>
      <c r="T148" s="422"/>
      <c r="U148" s="422"/>
      <c r="V148" s="422"/>
      <c r="W148" s="422"/>
      <c r="X148" s="422"/>
      <c r="Y148" s="422"/>
      <c r="Z148" s="422"/>
      <c r="AA148" s="422"/>
      <c r="AB148" s="422"/>
      <c r="AC148" s="422"/>
      <c r="AD148" s="422"/>
      <c r="AE148" s="23"/>
      <c r="AF148" s="23"/>
      <c r="AG148" s="23"/>
      <c r="AH148" s="23"/>
      <c r="AI148" s="23"/>
    </row>
    <row r="149" spans="2:35" x14ac:dyDescent="0.25">
      <c r="B149" s="422"/>
      <c r="C149" s="720"/>
      <c r="D149" s="720"/>
      <c r="E149" s="720"/>
      <c r="F149" s="422"/>
      <c r="G149" s="422"/>
      <c r="H149" s="422"/>
      <c r="I149" s="422"/>
      <c r="J149" s="422"/>
      <c r="K149" s="422"/>
      <c r="L149" s="422"/>
      <c r="M149" s="422"/>
      <c r="N149" s="422"/>
      <c r="O149" s="422"/>
      <c r="P149" s="422"/>
      <c r="Q149" s="422"/>
      <c r="R149" s="422"/>
      <c r="S149" s="422"/>
      <c r="T149" s="422"/>
      <c r="U149" s="422"/>
      <c r="V149" s="422"/>
      <c r="W149" s="422"/>
      <c r="X149" s="422"/>
      <c r="Y149" s="422"/>
      <c r="Z149" s="422"/>
      <c r="AA149" s="422"/>
      <c r="AB149" s="422"/>
      <c r="AC149" s="422"/>
      <c r="AD149" s="422"/>
      <c r="AE149" s="23"/>
      <c r="AF149" s="23"/>
      <c r="AG149" s="23"/>
      <c r="AH149" s="23"/>
      <c r="AI149" s="23"/>
    </row>
    <row r="150" spans="2:35" x14ac:dyDescent="0.25">
      <c r="B150" s="422"/>
      <c r="C150" s="422"/>
      <c r="D150" s="422"/>
      <c r="E150" s="422"/>
      <c r="F150" s="422"/>
      <c r="G150" s="422"/>
      <c r="H150" s="422"/>
      <c r="I150" s="422"/>
      <c r="J150" s="422"/>
      <c r="K150" s="422"/>
      <c r="L150" s="422"/>
      <c r="M150" s="422"/>
      <c r="N150" s="422"/>
      <c r="O150" s="422"/>
      <c r="P150" s="422"/>
      <c r="Q150" s="422"/>
      <c r="R150" s="422"/>
      <c r="S150" s="422"/>
      <c r="T150" s="422"/>
      <c r="U150" s="422"/>
      <c r="V150" s="422"/>
      <c r="W150" s="422"/>
      <c r="X150" s="422"/>
      <c r="Y150" s="422"/>
      <c r="Z150" s="422"/>
      <c r="AA150" s="422"/>
      <c r="AB150" s="422"/>
      <c r="AC150" s="422"/>
      <c r="AD150" s="422"/>
      <c r="AE150" s="422"/>
      <c r="AF150" s="422"/>
      <c r="AG150" s="422"/>
      <c r="AH150" s="422"/>
      <c r="AI150" s="422"/>
    </row>
    <row r="151" spans="2:35" x14ac:dyDescent="0.25">
      <c r="B151" s="422"/>
      <c r="C151" s="422"/>
      <c r="D151" s="422"/>
      <c r="E151" s="422"/>
      <c r="F151" s="422"/>
      <c r="G151" s="422"/>
      <c r="H151" s="422"/>
      <c r="I151" s="422"/>
      <c r="Q151" s="619"/>
      <c r="R151" s="619"/>
      <c r="S151" s="619"/>
      <c r="T151" s="619"/>
      <c r="U151" s="619"/>
      <c r="V151" s="619"/>
      <c r="W151" s="619"/>
      <c r="X151" s="619"/>
      <c r="Y151" s="422"/>
      <c r="Z151" s="422"/>
      <c r="AA151" s="422"/>
      <c r="AB151" s="422"/>
      <c r="AC151" s="422"/>
      <c r="AD151" s="422"/>
      <c r="AE151" s="422"/>
      <c r="AF151" s="422"/>
      <c r="AG151" s="422"/>
      <c r="AH151" s="422"/>
      <c r="AI151" s="422"/>
    </row>
    <row r="152" spans="2:35" x14ac:dyDescent="0.25">
      <c r="B152" s="422"/>
      <c r="C152" s="422"/>
      <c r="D152" s="422"/>
      <c r="E152" s="422"/>
      <c r="F152" s="422"/>
      <c r="G152" s="422"/>
      <c r="H152" s="422"/>
      <c r="I152" s="422"/>
      <c r="Q152" s="422"/>
      <c r="R152" s="422"/>
      <c r="S152" s="422"/>
      <c r="T152" s="422"/>
      <c r="U152" s="422"/>
      <c r="V152" s="422"/>
      <c r="W152" s="422"/>
      <c r="X152" s="422"/>
      <c r="Y152" s="422"/>
      <c r="Z152" s="422"/>
      <c r="AA152" s="422"/>
      <c r="AB152" s="422"/>
      <c r="AC152" s="422"/>
      <c r="AD152" s="422"/>
      <c r="AE152" s="422"/>
      <c r="AF152" s="422"/>
      <c r="AG152" s="422"/>
      <c r="AH152" s="422"/>
      <c r="AI152" s="422"/>
    </row>
    <row r="153" spans="2:35" x14ac:dyDescent="0.25">
      <c r="B153" s="422"/>
      <c r="C153" s="422"/>
      <c r="D153" s="422"/>
      <c r="E153" s="422"/>
      <c r="F153" s="422"/>
      <c r="G153" s="422"/>
      <c r="H153" s="422"/>
      <c r="I153" s="422"/>
      <c r="Q153" s="734"/>
      <c r="R153" s="734"/>
      <c r="S153" s="734"/>
      <c r="T153" s="734"/>
      <c r="U153" s="734"/>
      <c r="V153" s="734"/>
      <c r="W153" s="734"/>
      <c r="X153" s="734"/>
      <c r="Y153" s="422"/>
      <c r="Z153" s="422"/>
      <c r="AA153" s="422"/>
      <c r="AB153" s="422"/>
      <c r="AC153" s="422"/>
      <c r="AD153" s="422"/>
      <c r="AE153" s="422"/>
      <c r="AF153" s="422"/>
      <c r="AG153" s="422"/>
      <c r="AH153" s="422"/>
      <c r="AI153" s="422"/>
    </row>
    <row r="154" spans="2:35" x14ac:dyDescent="0.25">
      <c r="B154" s="422"/>
      <c r="C154" s="422"/>
      <c r="D154" s="422"/>
      <c r="E154" s="422"/>
      <c r="F154" s="422"/>
      <c r="G154" s="422"/>
      <c r="H154" s="422"/>
      <c r="I154" s="422"/>
      <c r="Q154" s="734"/>
      <c r="R154" s="734"/>
      <c r="S154" s="734"/>
      <c r="T154" s="734"/>
      <c r="U154" s="734"/>
      <c r="V154" s="734"/>
      <c r="W154" s="734"/>
      <c r="X154" s="734"/>
      <c r="Y154" s="422"/>
      <c r="Z154" s="422"/>
      <c r="AA154" s="422"/>
      <c r="AB154" s="422"/>
      <c r="AC154" s="422"/>
      <c r="AD154" s="422"/>
      <c r="AE154" s="422"/>
      <c r="AF154" s="422"/>
      <c r="AG154" s="422"/>
      <c r="AH154" s="422"/>
      <c r="AI154" s="422"/>
    </row>
    <row r="155" spans="2:35" ht="6" customHeight="1" x14ac:dyDescent="0.25">
      <c r="B155" s="422"/>
      <c r="C155" s="422"/>
      <c r="D155" s="422"/>
      <c r="E155" s="422"/>
      <c r="F155" s="422"/>
      <c r="G155" s="422"/>
      <c r="H155" s="422"/>
      <c r="I155" s="422"/>
      <c r="Q155" s="437"/>
      <c r="R155" s="437"/>
      <c r="S155" s="437"/>
      <c r="T155" s="437"/>
      <c r="U155" s="437"/>
      <c r="V155" s="437"/>
      <c r="W155" s="437"/>
      <c r="X155" s="437"/>
      <c r="Y155" s="422"/>
      <c r="Z155" s="422"/>
      <c r="AA155" s="422"/>
      <c r="AB155" s="422"/>
      <c r="AC155" s="422"/>
      <c r="AD155" s="422"/>
      <c r="AE155" s="422"/>
      <c r="AF155" s="422"/>
      <c r="AG155" s="422"/>
      <c r="AH155" s="422"/>
      <c r="AI155" s="422"/>
    </row>
    <row r="156" spans="2:35" x14ac:dyDescent="0.25">
      <c r="B156" s="422"/>
      <c r="C156" s="422"/>
      <c r="D156" s="422"/>
      <c r="E156" s="422"/>
      <c r="F156" s="422"/>
      <c r="G156" s="422"/>
      <c r="H156" s="422"/>
      <c r="I156" s="422"/>
      <c r="Q156" s="734"/>
      <c r="R156" s="734"/>
      <c r="S156" s="734"/>
      <c r="T156" s="734"/>
      <c r="U156" s="734"/>
      <c r="V156" s="734"/>
      <c r="W156" s="734"/>
      <c r="X156" s="734"/>
      <c r="Y156" s="422"/>
      <c r="Z156" s="422"/>
      <c r="AA156" s="422"/>
      <c r="AB156" s="422"/>
      <c r="AC156" s="422"/>
      <c r="AD156" s="422"/>
      <c r="AE156" s="422"/>
      <c r="AF156" s="422"/>
      <c r="AG156" s="422"/>
      <c r="AH156" s="422"/>
      <c r="AI156" s="422"/>
    </row>
    <row r="157" spans="2:35" x14ac:dyDescent="0.25">
      <c r="B157" s="422"/>
      <c r="C157" s="422"/>
      <c r="D157" s="422"/>
      <c r="E157" s="422"/>
      <c r="F157" s="422"/>
      <c r="G157" s="422"/>
      <c r="H157" s="422"/>
      <c r="I157" s="422"/>
      <c r="Q157" s="734"/>
      <c r="R157" s="734"/>
      <c r="S157" s="734"/>
      <c r="T157" s="734"/>
      <c r="U157" s="734"/>
      <c r="V157" s="734"/>
      <c r="W157" s="734"/>
      <c r="X157" s="734"/>
      <c r="Y157" s="422"/>
      <c r="Z157" s="422"/>
      <c r="AA157" s="422"/>
      <c r="AB157" s="422"/>
      <c r="AC157" s="422"/>
      <c r="AD157" s="422"/>
      <c r="AE157" s="422"/>
      <c r="AF157" s="422"/>
      <c r="AG157" s="422"/>
      <c r="AH157" s="422"/>
      <c r="AI157" s="422"/>
    </row>
    <row r="158" spans="2:35" x14ac:dyDescent="0.25">
      <c r="B158" s="422"/>
      <c r="C158" s="422"/>
      <c r="D158" s="422"/>
      <c r="E158" s="422"/>
      <c r="F158" s="422"/>
      <c r="G158" s="422"/>
      <c r="H158" s="422"/>
      <c r="I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  <c r="AA158" s="422"/>
      <c r="AB158" s="422"/>
      <c r="AC158" s="422"/>
      <c r="AD158" s="422"/>
      <c r="AE158" s="422"/>
      <c r="AF158" s="422"/>
      <c r="AG158" s="422"/>
      <c r="AH158" s="422"/>
      <c r="AI158" s="422"/>
    </row>
    <row r="159" spans="2:35" x14ac:dyDescent="0.25">
      <c r="B159" s="422"/>
      <c r="C159" s="422"/>
      <c r="D159" s="422"/>
      <c r="E159" s="422"/>
      <c r="F159" s="422"/>
      <c r="G159" s="422"/>
      <c r="H159" s="422"/>
      <c r="I159" s="422"/>
      <c r="K159" s="422"/>
      <c r="L159" s="422"/>
      <c r="M159" s="422"/>
      <c r="N159" s="422"/>
      <c r="O159" s="422"/>
      <c r="P159" s="422"/>
      <c r="Q159" s="422"/>
      <c r="R159" s="422"/>
      <c r="S159" s="422"/>
      <c r="T159" s="422"/>
      <c r="U159" s="422"/>
      <c r="V159" s="422"/>
      <c r="W159" s="422"/>
      <c r="X159" s="422"/>
      <c r="Y159" s="422"/>
      <c r="Z159" s="422"/>
      <c r="AA159" s="422"/>
      <c r="AB159" s="422"/>
      <c r="AC159" s="422"/>
      <c r="AD159" s="422"/>
      <c r="AE159" s="422"/>
      <c r="AF159" s="422"/>
      <c r="AG159" s="422"/>
      <c r="AH159" s="422"/>
      <c r="AI159" s="422"/>
    </row>
    <row r="160" spans="2:35" x14ac:dyDescent="0.25">
      <c r="B160" s="422"/>
      <c r="C160" s="422"/>
      <c r="D160" s="422"/>
      <c r="E160" s="422"/>
      <c r="F160" s="422"/>
      <c r="G160" s="422"/>
      <c r="H160" s="422"/>
      <c r="I160" s="422"/>
      <c r="J160" s="422"/>
      <c r="K160" s="422"/>
      <c r="L160" s="422"/>
      <c r="M160" s="422"/>
      <c r="N160" s="422"/>
      <c r="O160" s="422"/>
      <c r="P160" s="422"/>
      <c r="Q160" s="422"/>
      <c r="R160" s="422"/>
      <c r="S160" s="422"/>
      <c r="T160" s="422"/>
      <c r="U160" s="422"/>
      <c r="V160" s="422"/>
      <c r="W160" s="422"/>
      <c r="X160" s="422"/>
      <c r="Y160" s="422"/>
      <c r="Z160" s="422"/>
      <c r="AA160" s="422"/>
      <c r="AB160" s="422"/>
      <c r="AC160" s="422"/>
      <c r="AD160" s="422"/>
      <c r="AE160" s="422"/>
      <c r="AF160" s="422"/>
      <c r="AG160" s="422"/>
      <c r="AH160" s="422"/>
      <c r="AI160" s="422"/>
    </row>
    <row r="161" spans="2:35" x14ac:dyDescent="0.25">
      <c r="B161" s="422"/>
      <c r="C161" s="422"/>
      <c r="D161" s="422"/>
      <c r="E161" s="422"/>
      <c r="F161" s="422"/>
      <c r="G161" s="422"/>
      <c r="H161" s="422"/>
      <c r="I161" s="422"/>
      <c r="J161" s="422"/>
      <c r="K161" s="422"/>
      <c r="L161" s="422"/>
      <c r="M161" s="422"/>
      <c r="N161" s="422"/>
      <c r="O161" s="422"/>
      <c r="P161" s="422"/>
      <c r="Q161" s="422"/>
      <c r="R161" s="422"/>
      <c r="S161" s="422"/>
      <c r="T161" s="422"/>
      <c r="U161" s="422"/>
      <c r="V161" s="422"/>
      <c r="W161" s="422"/>
      <c r="X161" s="422"/>
      <c r="Y161" s="422"/>
      <c r="Z161" s="422"/>
      <c r="AA161" s="422"/>
      <c r="AB161" s="422"/>
      <c r="AC161" s="422"/>
      <c r="AD161" s="422"/>
      <c r="AE161" s="422"/>
      <c r="AF161" s="422"/>
      <c r="AG161" s="422"/>
      <c r="AH161" s="422"/>
      <c r="AI161" s="422"/>
    </row>
    <row r="162" spans="2:35" x14ac:dyDescent="0.25">
      <c r="B162" s="422"/>
      <c r="C162" s="422"/>
      <c r="D162" s="422"/>
      <c r="E162" s="422"/>
      <c r="F162" s="422"/>
      <c r="G162" s="422"/>
      <c r="H162" s="422"/>
      <c r="I162" s="422"/>
      <c r="J162" s="422"/>
      <c r="K162" s="422"/>
      <c r="L162" s="422"/>
      <c r="M162" s="422"/>
      <c r="N162" s="422"/>
      <c r="O162" s="422"/>
      <c r="P162" s="422"/>
      <c r="Q162" s="422"/>
      <c r="R162" s="422"/>
      <c r="S162" s="422"/>
      <c r="T162" s="422"/>
      <c r="U162" s="422"/>
      <c r="V162" s="422"/>
      <c r="W162" s="422"/>
      <c r="X162" s="422"/>
      <c r="Y162" s="422"/>
      <c r="Z162" s="422"/>
      <c r="AA162" s="422"/>
      <c r="AB162" s="422"/>
      <c r="AC162" s="422"/>
      <c r="AD162" s="422"/>
      <c r="AE162" s="422"/>
      <c r="AF162" s="422"/>
      <c r="AG162" s="422"/>
      <c r="AH162" s="422"/>
      <c r="AI162" s="422"/>
    </row>
    <row r="163" spans="2:35" x14ac:dyDescent="0.25">
      <c r="B163" s="422"/>
      <c r="C163" s="422"/>
      <c r="D163" s="422"/>
      <c r="E163" s="422"/>
      <c r="F163" s="422"/>
      <c r="G163" s="422"/>
      <c r="H163" s="422"/>
      <c r="I163" s="422"/>
      <c r="J163" s="422"/>
      <c r="K163" s="422"/>
      <c r="L163" s="422"/>
      <c r="M163" s="422"/>
      <c r="N163" s="422"/>
      <c r="O163" s="422"/>
      <c r="P163" s="422"/>
      <c r="Q163" s="422"/>
      <c r="R163" s="422"/>
      <c r="S163" s="422"/>
      <c r="T163" s="422"/>
      <c r="U163" s="422"/>
      <c r="V163" s="422"/>
      <c r="W163" s="422"/>
      <c r="X163" s="422"/>
      <c r="Y163" s="422"/>
      <c r="Z163" s="422"/>
      <c r="AA163" s="422"/>
      <c r="AB163" s="422"/>
      <c r="AC163" s="422"/>
      <c r="AD163" s="422"/>
      <c r="AE163" s="422"/>
      <c r="AF163" s="422"/>
      <c r="AG163" s="422"/>
      <c r="AH163" s="422"/>
      <c r="AI163" s="422"/>
    </row>
    <row r="164" spans="2:35" x14ac:dyDescent="0.25">
      <c r="B164" s="422"/>
      <c r="C164" s="422"/>
      <c r="D164" s="422"/>
      <c r="E164" s="422"/>
      <c r="F164" s="422"/>
      <c r="G164" s="422"/>
      <c r="H164" s="422"/>
      <c r="I164" s="422"/>
      <c r="J164" s="422"/>
      <c r="K164" s="422"/>
      <c r="L164" s="422"/>
      <c r="M164" s="422"/>
      <c r="N164" s="422"/>
      <c r="O164" s="422"/>
      <c r="P164" s="422"/>
      <c r="Q164" s="422"/>
      <c r="R164" s="422"/>
      <c r="S164" s="422"/>
      <c r="T164" s="422"/>
      <c r="U164" s="422"/>
      <c r="V164" s="422"/>
      <c r="W164" s="422"/>
      <c r="X164" s="422"/>
      <c r="Y164" s="422"/>
      <c r="Z164" s="422"/>
      <c r="AA164" s="422"/>
      <c r="AB164" s="422"/>
      <c r="AC164" s="422"/>
      <c r="AD164" s="422"/>
      <c r="AE164" s="422"/>
      <c r="AF164" s="422"/>
      <c r="AG164" s="422"/>
      <c r="AH164" s="422"/>
      <c r="AI164" s="422"/>
    </row>
    <row r="165" spans="2:35" x14ac:dyDescent="0.25">
      <c r="B165" s="422"/>
      <c r="C165" s="422"/>
      <c r="D165" s="422"/>
      <c r="E165" s="422"/>
      <c r="F165" s="422"/>
      <c r="G165" s="422"/>
      <c r="H165" s="422"/>
      <c r="I165" s="422"/>
      <c r="J165" s="422"/>
      <c r="K165" s="422"/>
      <c r="L165" s="422"/>
      <c r="M165" s="422"/>
      <c r="N165" s="422"/>
      <c r="O165" s="422"/>
      <c r="P165" s="422"/>
      <c r="Q165" s="422"/>
      <c r="R165" s="422"/>
      <c r="S165" s="422"/>
      <c r="T165" s="422"/>
      <c r="U165" s="422"/>
      <c r="V165" s="422"/>
      <c r="W165" s="422"/>
      <c r="X165" s="422"/>
      <c r="Y165" s="422"/>
      <c r="Z165" s="422"/>
      <c r="AA165" s="422"/>
      <c r="AB165" s="422"/>
      <c r="AC165" s="422"/>
      <c r="AD165" s="422"/>
      <c r="AE165" s="422"/>
      <c r="AF165" s="422"/>
      <c r="AG165" s="422"/>
      <c r="AH165" s="422"/>
      <c r="AI165" s="422"/>
    </row>
    <row r="166" spans="2:35" x14ac:dyDescent="0.25">
      <c r="B166" s="422"/>
      <c r="C166" s="422"/>
      <c r="D166" s="422"/>
      <c r="E166" s="422"/>
      <c r="F166" s="422"/>
      <c r="G166" s="422"/>
      <c r="H166" s="422"/>
      <c r="I166" s="422"/>
      <c r="J166" s="422"/>
      <c r="K166" s="422"/>
      <c r="L166" s="422"/>
      <c r="M166" s="422"/>
      <c r="N166" s="422"/>
      <c r="O166" s="422"/>
      <c r="P166" s="422"/>
      <c r="Q166" s="422"/>
      <c r="R166" s="422"/>
      <c r="S166" s="422"/>
      <c r="T166" s="422"/>
      <c r="U166" s="422"/>
      <c r="V166" s="422"/>
      <c r="W166" s="422"/>
      <c r="X166" s="422"/>
      <c r="Y166" s="422"/>
      <c r="Z166" s="422"/>
      <c r="AA166" s="422"/>
      <c r="AB166" s="422"/>
      <c r="AC166" s="422"/>
      <c r="AD166" s="422"/>
      <c r="AE166" s="422"/>
      <c r="AF166" s="422"/>
      <c r="AG166" s="422"/>
      <c r="AH166" s="422"/>
      <c r="AI166" s="422"/>
    </row>
    <row r="167" spans="2:35" x14ac:dyDescent="0.25">
      <c r="B167" s="422"/>
      <c r="C167" s="422"/>
      <c r="D167" s="422"/>
      <c r="E167" s="422"/>
      <c r="F167" s="422"/>
      <c r="G167" s="422"/>
      <c r="H167" s="422"/>
      <c r="I167" s="422"/>
      <c r="J167" s="422"/>
      <c r="K167" s="422"/>
      <c r="L167" s="422"/>
      <c r="M167" s="422"/>
      <c r="N167" s="422"/>
      <c r="O167" s="422"/>
      <c r="P167" s="422"/>
      <c r="Q167" s="422"/>
      <c r="R167" s="422"/>
      <c r="S167" s="422"/>
      <c r="T167" s="422"/>
      <c r="U167" s="422"/>
      <c r="V167" s="422"/>
      <c r="W167" s="422"/>
      <c r="X167" s="422"/>
      <c r="Y167" s="422"/>
      <c r="Z167" s="422"/>
      <c r="AA167" s="422"/>
      <c r="AB167" s="422"/>
      <c r="AC167" s="422"/>
      <c r="AD167" s="422"/>
      <c r="AE167" s="422"/>
      <c r="AF167" s="422"/>
      <c r="AG167" s="422"/>
      <c r="AH167" s="422"/>
      <c r="AI167" s="422"/>
    </row>
    <row r="168" spans="2:35" x14ac:dyDescent="0.25">
      <c r="B168" s="422"/>
      <c r="C168" s="422"/>
      <c r="D168" s="422"/>
      <c r="E168" s="422"/>
      <c r="F168" s="422"/>
      <c r="G168" s="422"/>
      <c r="H168" s="422"/>
      <c r="I168" s="422"/>
      <c r="J168" s="422"/>
      <c r="K168" s="422"/>
      <c r="L168" s="422"/>
      <c r="M168" s="422"/>
      <c r="N168" s="422"/>
      <c r="O168" s="422"/>
      <c r="P168" s="422"/>
      <c r="Q168" s="422"/>
      <c r="R168" s="422"/>
      <c r="S168" s="422"/>
      <c r="T168" s="422"/>
      <c r="U168" s="422"/>
      <c r="V168" s="422"/>
      <c r="W168" s="422"/>
      <c r="X168" s="422"/>
      <c r="Y168" s="422"/>
      <c r="Z168" s="422"/>
      <c r="AA168" s="422"/>
      <c r="AB168" s="422"/>
      <c r="AC168" s="422"/>
      <c r="AD168" s="422"/>
      <c r="AE168" s="422"/>
      <c r="AF168" s="422"/>
      <c r="AG168" s="422"/>
      <c r="AH168" s="422"/>
      <c r="AI168" s="422"/>
    </row>
    <row r="169" spans="2:35" x14ac:dyDescent="0.25">
      <c r="B169" s="422"/>
      <c r="C169" s="422"/>
      <c r="D169" s="422"/>
      <c r="E169" s="422"/>
      <c r="F169" s="422"/>
      <c r="G169" s="422"/>
      <c r="H169" s="422"/>
      <c r="I169" s="422"/>
      <c r="J169" s="422"/>
      <c r="K169" s="422"/>
      <c r="L169" s="422"/>
      <c r="M169" s="422"/>
      <c r="N169" s="422"/>
      <c r="O169" s="422"/>
      <c r="P169" s="422"/>
      <c r="Q169" s="422"/>
      <c r="R169" s="422"/>
      <c r="S169" s="422"/>
      <c r="T169" s="422"/>
      <c r="U169" s="422"/>
      <c r="V169" s="422"/>
      <c r="W169" s="422"/>
      <c r="X169" s="422"/>
      <c r="Y169" s="422"/>
      <c r="Z169" s="422"/>
      <c r="AA169" s="422"/>
      <c r="AB169" s="422"/>
      <c r="AC169" s="422"/>
      <c r="AD169" s="422"/>
      <c r="AE169" s="422"/>
      <c r="AF169" s="422"/>
      <c r="AG169" s="422"/>
      <c r="AH169" s="422"/>
      <c r="AI169" s="422"/>
    </row>
    <row r="170" spans="2:35" x14ac:dyDescent="0.25">
      <c r="B170" s="422"/>
      <c r="C170" s="422"/>
      <c r="D170" s="422"/>
      <c r="E170" s="422"/>
      <c r="F170" s="422"/>
      <c r="G170" s="422"/>
      <c r="H170" s="422"/>
      <c r="I170" s="422"/>
      <c r="J170" s="422"/>
      <c r="K170" s="422"/>
      <c r="L170" s="422"/>
      <c r="M170" s="422"/>
      <c r="N170" s="422"/>
      <c r="O170" s="422"/>
      <c r="P170" s="422"/>
      <c r="Q170" s="422"/>
      <c r="R170" s="422"/>
      <c r="S170" s="422"/>
      <c r="T170" s="422"/>
      <c r="U170" s="422"/>
      <c r="V170" s="422"/>
      <c r="W170" s="422"/>
      <c r="X170" s="422"/>
      <c r="Y170" s="422"/>
      <c r="Z170" s="422"/>
      <c r="AA170" s="422"/>
      <c r="AB170" s="422"/>
      <c r="AC170" s="422"/>
      <c r="AD170" s="422"/>
      <c r="AE170" s="422"/>
      <c r="AF170" s="422"/>
      <c r="AG170" s="422"/>
      <c r="AH170" s="422"/>
      <c r="AI170" s="422"/>
    </row>
    <row r="171" spans="2:35" x14ac:dyDescent="0.25">
      <c r="B171" s="422"/>
      <c r="C171" s="422"/>
      <c r="D171" s="422"/>
      <c r="E171" s="422"/>
      <c r="F171" s="422"/>
      <c r="G171" s="422"/>
      <c r="H171" s="422"/>
      <c r="I171" s="422"/>
      <c r="J171" s="422"/>
      <c r="K171" s="422"/>
      <c r="L171" s="422"/>
      <c r="M171" s="422"/>
      <c r="N171" s="422"/>
      <c r="O171" s="422"/>
      <c r="P171" s="422"/>
      <c r="Q171" s="422"/>
      <c r="R171" s="422"/>
      <c r="S171" s="422"/>
      <c r="T171" s="422"/>
      <c r="U171" s="422"/>
      <c r="V171" s="422"/>
      <c r="W171" s="422"/>
      <c r="X171" s="422"/>
      <c r="Y171" s="422"/>
      <c r="Z171" s="422"/>
      <c r="AA171" s="422"/>
      <c r="AB171" s="422"/>
      <c r="AC171" s="422"/>
      <c r="AD171" s="422"/>
      <c r="AE171" s="422"/>
      <c r="AF171" s="422"/>
      <c r="AG171" s="422"/>
      <c r="AH171" s="422"/>
      <c r="AI171" s="422"/>
    </row>
    <row r="172" spans="2:35" x14ac:dyDescent="0.25">
      <c r="B172" s="422"/>
      <c r="C172" s="422"/>
      <c r="D172" s="422"/>
      <c r="E172" s="422"/>
      <c r="F172" s="422"/>
      <c r="G172" s="422"/>
      <c r="H172" s="422"/>
      <c r="I172" s="422"/>
      <c r="J172" s="422"/>
      <c r="K172" s="422"/>
      <c r="L172" s="422"/>
      <c r="M172" s="422"/>
      <c r="N172" s="422"/>
      <c r="O172" s="422"/>
      <c r="P172" s="422"/>
      <c r="Q172" s="422"/>
      <c r="R172" s="422"/>
      <c r="S172" s="422"/>
      <c r="T172" s="422"/>
      <c r="U172" s="422"/>
      <c r="V172" s="422"/>
      <c r="W172" s="422"/>
      <c r="X172" s="422"/>
      <c r="Y172" s="422"/>
      <c r="Z172" s="422"/>
      <c r="AA172" s="422"/>
      <c r="AB172" s="422"/>
      <c r="AC172" s="422"/>
      <c r="AD172" s="422"/>
      <c r="AE172" s="422"/>
      <c r="AF172" s="422"/>
      <c r="AG172" s="422"/>
      <c r="AH172" s="422"/>
      <c r="AI172" s="422"/>
    </row>
    <row r="173" spans="2:35" x14ac:dyDescent="0.25">
      <c r="B173" s="422"/>
      <c r="C173" s="422"/>
      <c r="D173" s="422"/>
      <c r="E173" s="422"/>
      <c r="F173" s="422"/>
      <c r="G173" s="422"/>
      <c r="H173" s="422"/>
      <c r="I173" s="422"/>
      <c r="J173" s="422"/>
      <c r="K173" s="422"/>
      <c r="L173" s="422"/>
      <c r="M173" s="422"/>
      <c r="N173" s="422"/>
      <c r="O173" s="422"/>
      <c r="P173" s="422"/>
      <c r="Q173" s="422"/>
      <c r="R173" s="422"/>
      <c r="S173" s="422"/>
      <c r="T173" s="422"/>
      <c r="U173" s="422"/>
      <c r="V173" s="422"/>
      <c r="W173" s="422"/>
      <c r="X173" s="422"/>
      <c r="Y173" s="422"/>
      <c r="Z173" s="422"/>
      <c r="AA173" s="422"/>
      <c r="AB173" s="422"/>
      <c r="AC173" s="422"/>
      <c r="AD173" s="422"/>
      <c r="AE173" s="422"/>
      <c r="AF173" s="422"/>
      <c r="AG173" s="422"/>
      <c r="AH173" s="422"/>
      <c r="AI173" s="422"/>
    </row>
    <row r="174" spans="2:35" x14ac:dyDescent="0.25">
      <c r="B174" s="422"/>
      <c r="C174" s="422"/>
      <c r="D174" s="422"/>
      <c r="E174" s="422"/>
      <c r="F174" s="422"/>
      <c r="G174" s="422"/>
      <c r="H174" s="422"/>
      <c r="I174" s="422"/>
      <c r="J174" s="422"/>
      <c r="K174" s="422"/>
      <c r="L174" s="422"/>
      <c r="M174" s="422"/>
      <c r="N174" s="422"/>
      <c r="O174" s="422"/>
      <c r="P174" s="422"/>
      <c r="Q174" s="422"/>
      <c r="R174" s="422"/>
      <c r="S174" s="422"/>
      <c r="T174" s="422"/>
      <c r="U174" s="422"/>
      <c r="V174" s="422"/>
      <c r="W174" s="422"/>
      <c r="X174" s="422"/>
      <c r="Y174" s="422"/>
      <c r="Z174" s="422"/>
      <c r="AA174" s="422"/>
      <c r="AB174" s="422"/>
      <c r="AC174" s="422"/>
      <c r="AD174" s="422"/>
      <c r="AE174" s="422"/>
      <c r="AF174" s="422"/>
      <c r="AG174" s="422"/>
      <c r="AH174" s="422"/>
      <c r="AI174" s="422"/>
    </row>
    <row r="175" spans="2:35" x14ac:dyDescent="0.25">
      <c r="B175" s="422"/>
      <c r="C175" s="422"/>
      <c r="D175" s="422"/>
      <c r="E175" s="422"/>
      <c r="F175" s="422"/>
      <c r="G175" s="422"/>
      <c r="H175" s="422"/>
      <c r="I175" s="422"/>
      <c r="J175" s="422"/>
      <c r="K175" s="422"/>
      <c r="L175" s="422"/>
      <c r="M175" s="422"/>
      <c r="N175" s="422"/>
      <c r="O175" s="422"/>
      <c r="P175" s="422"/>
      <c r="Q175" s="422"/>
      <c r="R175" s="422"/>
      <c r="S175" s="422"/>
      <c r="T175" s="422"/>
      <c r="U175" s="422"/>
      <c r="V175" s="422"/>
      <c r="W175" s="422"/>
      <c r="X175" s="422"/>
      <c r="Y175" s="422"/>
      <c r="Z175" s="422"/>
      <c r="AA175" s="422"/>
      <c r="AB175" s="422"/>
      <c r="AC175" s="422"/>
      <c r="AD175" s="422"/>
      <c r="AE175" s="422"/>
      <c r="AF175" s="422"/>
      <c r="AG175" s="422"/>
      <c r="AH175" s="422"/>
      <c r="AI175" s="422"/>
    </row>
    <row r="176" spans="2:35" x14ac:dyDescent="0.25">
      <c r="B176" s="422"/>
      <c r="C176" s="422"/>
      <c r="D176" s="422"/>
      <c r="E176" s="422"/>
      <c r="F176" s="422"/>
      <c r="G176" s="422"/>
      <c r="H176" s="422"/>
      <c r="I176" s="422"/>
      <c r="J176" s="422"/>
      <c r="K176" s="422"/>
      <c r="L176" s="422"/>
      <c r="M176" s="422"/>
      <c r="N176" s="422"/>
      <c r="O176" s="422"/>
      <c r="P176" s="422"/>
      <c r="Q176" s="422"/>
      <c r="R176" s="422"/>
      <c r="S176" s="422"/>
      <c r="T176" s="422"/>
      <c r="U176" s="422"/>
      <c r="V176" s="422"/>
      <c r="W176" s="422"/>
      <c r="X176" s="422"/>
      <c r="Y176" s="422"/>
      <c r="Z176" s="422"/>
      <c r="AA176" s="422"/>
      <c r="AB176" s="422"/>
      <c r="AC176" s="422"/>
      <c r="AD176" s="422"/>
      <c r="AE176" s="422"/>
      <c r="AF176" s="422"/>
      <c r="AG176" s="422"/>
      <c r="AH176" s="422"/>
      <c r="AI176" s="422"/>
    </row>
    <row r="177" spans="2:35" x14ac:dyDescent="0.25">
      <c r="B177" s="422"/>
      <c r="C177" s="422"/>
      <c r="D177" s="422"/>
      <c r="E177" s="422"/>
      <c r="F177" s="422"/>
      <c r="G177" s="422"/>
      <c r="H177" s="422"/>
      <c r="I177" s="422"/>
      <c r="J177" s="422"/>
      <c r="K177" s="422"/>
      <c r="L177" s="422"/>
      <c r="M177" s="422"/>
      <c r="N177" s="422"/>
      <c r="O177" s="422"/>
      <c r="P177" s="422"/>
      <c r="Q177" s="422"/>
      <c r="R177" s="422"/>
      <c r="S177" s="422"/>
      <c r="T177" s="422"/>
      <c r="U177" s="422"/>
      <c r="V177" s="422"/>
      <c r="W177" s="422"/>
      <c r="X177" s="422"/>
      <c r="Y177" s="422"/>
      <c r="Z177" s="422"/>
      <c r="AA177" s="422"/>
      <c r="AB177" s="422"/>
      <c r="AC177" s="422"/>
      <c r="AD177" s="422"/>
      <c r="AE177" s="422"/>
      <c r="AF177" s="422"/>
      <c r="AG177" s="422"/>
      <c r="AH177" s="422"/>
      <c r="AI177" s="422"/>
    </row>
    <row r="178" spans="2:35" x14ac:dyDescent="0.25">
      <c r="B178" s="422"/>
      <c r="C178" s="422"/>
      <c r="D178" s="422"/>
      <c r="E178" s="422"/>
      <c r="F178" s="422"/>
      <c r="G178" s="422"/>
      <c r="H178" s="422"/>
      <c r="I178" s="422"/>
      <c r="J178" s="422"/>
      <c r="K178" s="422"/>
      <c r="L178" s="422"/>
      <c r="M178" s="422"/>
      <c r="N178" s="422"/>
      <c r="O178" s="422"/>
      <c r="P178" s="422"/>
      <c r="Q178" s="422"/>
      <c r="R178" s="422"/>
      <c r="S178" s="422"/>
      <c r="T178" s="422"/>
      <c r="U178" s="422"/>
      <c r="V178" s="422"/>
      <c r="W178" s="422"/>
      <c r="X178" s="422"/>
      <c r="Y178" s="422"/>
      <c r="Z178" s="422"/>
      <c r="AA178" s="422"/>
      <c r="AB178" s="422"/>
      <c r="AC178" s="422"/>
      <c r="AD178" s="422"/>
      <c r="AE178" s="422"/>
      <c r="AF178" s="422"/>
      <c r="AG178" s="422"/>
      <c r="AH178" s="422"/>
      <c r="AI178" s="422"/>
    </row>
    <row r="179" spans="2:35" x14ac:dyDescent="0.25">
      <c r="B179" s="422"/>
      <c r="C179" s="422"/>
      <c r="D179" s="422"/>
      <c r="E179" s="422"/>
      <c r="F179" s="422"/>
      <c r="G179" s="422"/>
      <c r="H179" s="422"/>
      <c r="I179" s="422"/>
      <c r="J179" s="422"/>
      <c r="K179" s="422"/>
      <c r="L179" s="422"/>
      <c r="M179" s="422"/>
      <c r="N179" s="422"/>
      <c r="O179" s="422"/>
      <c r="P179" s="422"/>
      <c r="Q179" s="422"/>
      <c r="R179" s="422"/>
      <c r="S179" s="422"/>
      <c r="T179" s="422"/>
      <c r="U179" s="422"/>
      <c r="V179" s="422"/>
      <c r="W179" s="422"/>
      <c r="X179" s="422"/>
      <c r="Y179" s="422"/>
      <c r="Z179" s="422"/>
      <c r="AA179" s="422"/>
      <c r="AB179" s="422"/>
      <c r="AC179" s="422"/>
      <c r="AD179" s="422"/>
      <c r="AE179" s="422"/>
      <c r="AF179" s="422"/>
      <c r="AG179" s="422"/>
      <c r="AH179" s="422"/>
      <c r="AI179" s="422"/>
    </row>
    <row r="180" spans="2:35" x14ac:dyDescent="0.25">
      <c r="B180" s="433"/>
      <c r="C180" s="422"/>
      <c r="D180" s="422"/>
      <c r="E180" s="422"/>
      <c r="F180" s="422"/>
      <c r="G180" s="422"/>
      <c r="H180" s="422"/>
      <c r="I180" s="422"/>
      <c r="J180" s="422"/>
      <c r="K180" s="422"/>
      <c r="L180" s="422"/>
      <c r="M180" s="422"/>
      <c r="N180" s="422"/>
      <c r="O180" s="422"/>
      <c r="P180" s="422"/>
      <c r="Q180" s="422"/>
      <c r="R180" s="422"/>
      <c r="S180" s="422"/>
      <c r="T180" s="422"/>
      <c r="U180" s="422"/>
      <c r="V180" s="422"/>
      <c r="W180" s="422"/>
      <c r="X180" s="422"/>
      <c r="Y180" s="422"/>
      <c r="Z180" s="422"/>
      <c r="AA180" s="422"/>
      <c r="AB180" s="422"/>
      <c r="AC180" s="422"/>
      <c r="AD180" s="422"/>
      <c r="AE180" s="422"/>
      <c r="AF180" s="422"/>
      <c r="AG180" s="422"/>
      <c r="AH180" s="422"/>
      <c r="AI180" s="422"/>
    </row>
    <row r="181" spans="2:35" x14ac:dyDescent="0.25">
      <c r="B181" s="422"/>
      <c r="C181" s="422"/>
      <c r="D181" s="422"/>
      <c r="E181" s="422"/>
      <c r="F181" s="422"/>
      <c r="G181" s="422"/>
      <c r="H181" s="422"/>
      <c r="I181" s="422"/>
      <c r="J181" s="422"/>
      <c r="K181" s="422"/>
      <c r="L181" s="422"/>
      <c r="M181" s="422"/>
      <c r="N181" s="422"/>
      <c r="O181" s="422"/>
      <c r="P181" s="422"/>
      <c r="Q181" s="422"/>
      <c r="R181" s="422"/>
      <c r="S181" s="422"/>
      <c r="T181" s="422"/>
      <c r="U181" s="422"/>
      <c r="V181" s="422"/>
      <c r="W181" s="422"/>
      <c r="X181" s="422"/>
      <c r="Y181" s="422"/>
      <c r="Z181" s="422"/>
      <c r="AA181" s="422"/>
      <c r="AB181" s="422"/>
      <c r="AC181" s="422"/>
      <c r="AD181" s="422"/>
      <c r="AE181" s="422"/>
      <c r="AF181" s="422"/>
      <c r="AG181" s="422"/>
      <c r="AH181" s="422"/>
      <c r="AI181" s="422"/>
    </row>
    <row r="182" spans="2:35" x14ac:dyDescent="0.25">
      <c r="B182" s="422"/>
      <c r="C182" s="422"/>
      <c r="D182" s="422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2"/>
      <c r="Q182" s="422"/>
      <c r="R182" s="422"/>
      <c r="S182" s="422"/>
      <c r="T182" s="422"/>
      <c r="U182" s="422"/>
      <c r="V182" s="422"/>
      <c r="W182" s="422"/>
      <c r="X182" s="422"/>
      <c r="Y182" s="422"/>
      <c r="Z182" s="422"/>
      <c r="AA182" s="422"/>
      <c r="AB182" s="422"/>
      <c r="AC182" s="422"/>
      <c r="AD182" s="422"/>
      <c r="AE182" s="422"/>
      <c r="AF182" s="422"/>
      <c r="AG182" s="422"/>
      <c r="AH182" s="422"/>
      <c r="AI182" s="422"/>
    </row>
    <row r="183" spans="2:35" x14ac:dyDescent="0.25">
      <c r="B183" s="422"/>
      <c r="C183" s="422"/>
      <c r="D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2"/>
      <c r="Q183" s="422"/>
      <c r="R183" s="422"/>
      <c r="S183" s="422"/>
      <c r="T183" s="422"/>
      <c r="U183" s="422"/>
      <c r="V183" s="422"/>
      <c r="W183" s="422"/>
      <c r="X183" s="422"/>
      <c r="Y183" s="422"/>
      <c r="Z183" s="422"/>
      <c r="AA183" s="422"/>
      <c r="AB183" s="422"/>
      <c r="AC183" s="422"/>
      <c r="AD183" s="422"/>
      <c r="AE183" s="422"/>
      <c r="AF183" s="422"/>
      <c r="AG183" s="422"/>
      <c r="AH183" s="422"/>
      <c r="AI183" s="422"/>
    </row>
    <row r="184" spans="2:35" x14ac:dyDescent="0.25">
      <c r="B184" s="422"/>
      <c r="C184" s="422"/>
      <c r="D184" s="422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2"/>
      <c r="Q184" s="422"/>
      <c r="R184" s="422"/>
      <c r="S184" s="422"/>
      <c r="T184" s="422"/>
      <c r="U184" s="422"/>
      <c r="V184" s="422"/>
      <c r="W184" s="422"/>
      <c r="X184" s="422"/>
      <c r="Y184" s="422"/>
      <c r="Z184" s="422"/>
      <c r="AA184" s="422"/>
      <c r="AB184" s="422"/>
      <c r="AC184" s="422"/>
      <c r="AD184" s="422"/>
      <c r="AE184" s="422"/>
      <c r="AF184" s="422"/>
      <c r="AG184" s="422"/>
      <c r="AH184" s="422"/>
      <c r="AI184" s="422"/>
    </row>
    <row r="185" spans="2:35" x14ac:dyDescent="0.25">
      <c r="B185" s="422"/>
      <c r="C185" s="42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</row>
    <row r="186" spans="2:35" x14ac:dyDescent="0.25">
      <c r="B186" s="422"/>
      <c r="C186" s="422"/>
      <c r="D186" s="422"/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422"/>
      <c r="P186" s="422"/>
      <c r="Q186" s="422"/>
      <c r="R186" s="422"/>
      <c r="S186" s="422"/>
      <c r="T186" s="422"/>
      <c r="U186" s="422"/>
      <c r="V186" s="422"/>
      <c r="W186" s="422"/>
      <c r="X186" s="422"/>
      <c r="Y186" s="422"/>
      <c r="Z186" s="422"/>
      <c r="AA186" s="422"/>
      <c r="AB186" s="422"/>
      <c r="AC186" s="422"/>
      <c r="AD186" s="422"/>
      <c r="AE186" s="422"/>
      <c r="AF186" s="422"/>
      <c r="AG186" s="422"/>
      <c r="AH186" s="422"/>
      <c r="AI186" s="422"/>
    </row>
    <row r="187" spans="2:35" x14ac:dyDescent="0.25">
      <c r="B187" s="422"/>
      <c r="C187" s="422"/>
      <c r="D187" s="422"/>
      <c r="E187" s="422"/>
      <c r="F187" s="422"/>
      <c r="G187" s="422"/>
      <c r="H187" s="422"/>
      <c r="I187" s="422"/>
      <c r="J187" s="422"/>
      <c r="K187" s="422"/>
      <c r="L187" s="422"/>
      <c r="M187" s="422"/>
      <c r="N187" s="422"/>
      <c r="O187" s="422"/>
      <c r="P187" s="422"/>
      <c r="Q187" s="422"/>
      <c r="R187" s="422"/>
      <c r="S187" s="422"/>
      <c r="T187" s="422"/>
      <c r="U187" s="422"/>
      <c r="V187" s="422"/>
      <c r="W187" s="422"/>
      <c r="X187" s="422"/>
      <c r="Y187" s="422"/>
      <c r="Z187" s="422"/>
      <c r="AA187" s="422"/>
      <c r="AB187" s="422"/>
      <c r="AC187" s="422"/>
      <c r="AD187" s="422"/>
      <c r="AE187" s="422"/>
      <c r="AF187" s="422"/>
      <c r="AG187" s="422"/>
      <c r="AH187" s="422"/>
      <c r="AI187" s="422"/>
    </row>
    <row r="188" spans="2:35" x14ac:dyDescent="0.25">
      <c r="B188" s="422"/>
      <c r="C188" s="42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2"/>
      <c r="Q188" s="422"/>
      <c r="R188" s="422"/>
      <c r="S188" s="422"/>
      <c r="T188" s="422"/>
      <c r="U188" s="422"/>
      <c r="V188" s="422"/>
      <c r="W188" s="422"/>
      <c r="X188" s="422"/>
      <c r="Y188" s="422"/>
      <c r="Z188" s="422"/>
      <c r="AA188" s="422"/>
      <c r="AB188" s="422"/>
      <c r="AC188" s="422"/>
      <c r="AD188" s="422"/>
      <c r="AE188" s="422"/>
      <c r="AF188" s="422"/>
      <c r="AG188" s="422"/>
      <c r="AH188" s="422"/>
      <c r="AI188" s="422"/>
    </row>
    <row r="189" spans="2:35" x14ac:dyDescent="0.25">
      <c r="B189" s="422"/>
      <c r="C189" s="42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2"/>
      <c r="Q189" s="422"/>
      <c r="R189" s="422"/>
      <c r="S189" s="422"/>
      <c r="T189" s="422"/>
      <c r="U189" s="422"/>
      <c r="V189" s="422"/>
      <c r="W189" s="422"/>
      <c r="X189" s="422"/>
      <c r="Y189" s="422"/>
      <c r="Z189" s="422"/>
      <c r="AA189" s="422"/>
      <c r="AB189" s="422"/>
      <c r="AC189" s="422"/>
      <c r="AD189" s="422"/>
      <c r="AE189" s="422"/>
      <c r="AF189" s="422"/>
      <c r="AG189" s="422"/>
      <c r="AH189" s="422"/>
      <c r="AI189" s="422"/>
    </row>
    <row r="190" spans="2:35" x14ac:dyDescent="0.25">
      <c r="B190" s="422"/>
      <c r="C190" s="42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2"/>
      <c r="Q190" s="422"/>
      <c r="R190" s="422"/>
      <c r="S190" s="422"/>
      <c r="T190" s="422"/>
      <c r="U190" s="422"/>
      <c r="V190" s="422"/>
      <c r="W190" s="422"/>
      <c r="X190" s="422"/>
      <c r="Y190" s="422"/>
      <c r="Z190" s="422"/>
      <c r="AA190" s="422"/>
      <c r="AB190" s="422"/>
      <c r="AC190" s="422"/>
      <c r="AD190" s="422"/>
      <c r="AE190" s="422"/>
      <c r="AF190" s="422"/>
      <c r="AG190" s="422"/>
      <c r="AH190" s="422"/>
      <c r="AI190" s="422"/>
    </row>
    <row r="191" spans="2:35" x14ac:dyDescent="0.25">
      <c r="B191" s="422"/>
      <c r="C191" s="422"/>
      <c r="D191" s="422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2"/>
      <c r="Q191" s="422"/>
      <c r="R191" s="422"/>
      <c r="S191" s="422"/>
      <c r="T191" s="422"/>
      <c r="U191" s="422"/>
      <c r="V191" s="422"/>
      <c r="W191" s="422"/>
      <c r="X191" s="422"/>
      <c r="Y191" s="422"/>
      <c r="Z191" s="422"/>
      <c r="AA191" s="422"/>
      <c r="AB191" s="422"/>
      <c r="AC191" s="422"/>
      <c r="AD191" s="422"/>
      <c r="AE191" s="422"/>
      <c r="AF191" s="422"/>
      <c r="AG191" s="422"/>
      <c r="AH191" s="422"/>
      <c r="AI191" s="422"/>
    </row>
    <row r="192" spans="2:35" x14ac:dyDescent="0.25">
      <c r="B192" s="422"/>
      <c r="C192" s="422"/>
      <c r="D192" s="422"/>
      <c r="E192" s="422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2"/>
      <c r="Q192" s="422"/>
      <c r="R192" s="422"/>
      <c r="S192" s="422"/>
      <c r="T192" s="422"/>
      <c r="U192" s="422"/>
      <c r="V192" s="422"/>
      <c r="W192" s="422"/>
      <c r="X192" s="422"/>
      <c r="Y192" s="422"/>
      <c r="Z192" s="422"/>
      <c r="AA192" s="422"/>
      <c r="AB192" s="422"/>
      <c r="AC192" s="422"/>
      <c r="AD192" s="422"/>
      <c r="AE192" s="422"/>
      <c r="AF192" s="422"/>
      <c r="AG192" s="422"/>
      <c r="AH192" s="422"/>
      <c r="AI192" s="422"/>
    </row>
    <row r="193" spans="2:35" x14ac:dyDescent="0.25">
      <c r="B193" s="422"/>
      <c r="C193" s="42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422"/>
      <c r="AA193" s="422"/>
      <c r="AB193" s="422"/>
      <c r="AC193" s="422"/>
      <c r="AD193" s="422"/>
      <c r="AE193" s="422"/>
      <c r="AF193" s="422"/>
      <c r="AG193" s="422"/>
      <c r="AH193" s="422"/>
      <c r="AI193" s="422"/>
    </row>
    <row r="194" spans="2:35" x14ac:dyDescent="0.25">
      <c r="G194" s="619"/>
      <c r="H194" s="619"/>
      <c r="I194" s="422"/>
      <c r="J194" s="422"/>
      <c r="K194" s="422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422"/>
      <c r="AA194" s="422"/>
      <c r="AB194" s="422"/>
      <c r="AC194" s="422"/>
      <c r="AD194" s="422"/>
      <c r="AE194" s="422"/>
      <c r="AF194" s="422"/>
      <c r="AG194" s="422"/>
      <c r="AH194" s="422"/>
      <c r="AI194" s="422"/>
    </row>
    <row r="195" spans="2:35" x14ac:dyDescent="0.25">
      <c r="I195" s="422"/>
      <c r="J195" s="422"/>
      <c r="K195" s="422"/>
      <c r="L195" s="422"/>
      <c r="M195" s="422"/>
      <c r="N195" s="422"/>
      <c r="O195" s="422"/>
      <c r="P195" s="422"/>
      <c r="Q195" s="422"/>
      <c r="R195" s="422"/>
      <c r="S195" s="422"/>
      <c r="T195" s="422"/>
      <c r="U195" s="422"/>
      <c r="V195" s="422"/>
      <c r="W195" s="422"/>
      <c r="X195" s="422"/>
      <c r="Y195" s="422"/>
      <c r="Z195" s="422"/>
      <c r="AA195" s="422"/>
      <c r="AB195" s="422"/>
      <c r="AC195" s="422"/>
      <c r="AD195" s="422"/>
      <c r="AE195" s="422"/>
      <c r="AF195" s="422"/>
      <c r="AG195" s="422"/>
      <c r="AH195" s="422"/>
      <c r="AI195" s="422"/>
    </row>
    <row r="196" spans="2:35" x14ac:dyDescent="0.25">
      <c r="I196" s="422"/>
      <c r="J196" s="422"/>
      <c r="K196" s="422"/>
      <c r="L196" s="422"/>
      <c r="M196" s="422"/>
      <c r="N196" s="422"/>
      <c r="O196" s="422"/>
      <c r="P196" s="422"/>
      <c r="Q196" s="422"/>
      <c r="R196" s="422"/>
      <c r="S196" s="422"/>
      <c r="T196" s="422"/>
      <c r="U196" s="422"/>
      <c r="V196" s="422"/>
      <c r="W196" s="422"/>
      <c r="X196" s="422"/>
      <c r="Y196" s="422"/>
      <c r="Z196" s="422"/>
      <c r="AA196" s="422"/>
      <c r="AB196" s="422"/>
      <c r="AC196" s="422"/>
      <c r="AD196" s="422"/>
      <c r="AE196" s="422"/>
      <c r="AF196" s="422"/>
      <c r="AG196" s="422"/>
      <c r="AH196" s="422"/>
      <c r="AI196" s="422"/>
    </row>
    <row r="197" spans="2:35" x14ac:dyDescent="0.25">
      <c r="I197" s="422"/>
      <c r="J197" s="422"/>
      <c r="K197" s="422"/>
      <c r="L197" s="422"/>
      <c r="M197" s="422"/>
      <c r="N197" s="422"/>
      <c r="O197" s="422"/>
      <c r="P197" s="422"/>
      <c r="Q197" s="422"/>
      <c r="R197" s="422"/>
      <c r="S197" s="422"/>
      <c r="T197" s="422"/>
      <c r="U197" s="422"/>
      <c r="V197" s="422"/>
      <c r="W197" s="422"/>
      <c r="X197" s="422"/>
      <c r="Y197" s="422"/>
      <c r="Z197" s="422"/>
      <c r="AA197" s="422"/>
      <c r="AB197" s="422"/>
      <c r="AC197" s="422"/>
      <c r="AD197" s="422"/>
      <c r="AE197" s="422"/>
      <c r="AF197" s="422"/>
      <c r="AG197" s="422"/>
      <c r="AH197" s="422"/>
      <c r="AI197" s="422"/>
    </row>
    <row r="198" spans="2:35" x14ac:dyDescent="0.25">
      <c r="I198" s="422"/>
      <c r="J198" s="422"/>
      <c r="K198" s="422"/>
      <c r="L198" s="422"/>
      <c r="M198" s="422"/>
      <c r="N198" s="422"/>
      <c r="O198" s="422"/>
      <c r="P198" s="422"/>
      <c r="Q198" s="422"/>
      <c r="R198" s="422"/>
      <c r="S198" s="422"/>
      <c r="T198" s="422"/>
      <c r="U198" s="422"/>
      <c r="V198" s="422"/>
      <c r="W198" s="422"/>
      <c r="X198" s="422"/>
      <c r="Y198" s="422"/>
      <c r="Z198" s="422"/>
      <c r="AA198" s="422"/>
      <c r="AB198" s="422"/>
      <c r="AC198" s="422"/>
      <c r="AD198" s="422"/>
      <c r="AE198" s="422"/>
      <c r="AF198" s="422"/>
      <c r="AG198" s="422"/>
      <c r="AH198" s="422"/>
      <c r="AI198" s="422"/>
    </row>
    <row r="199" spans="2:35" x14ac:dyDescent="0.25">
      <c r="I199" s="422"/>
      <c r="J199" s="422"/>
      <c r="K199" s="422"/>
      <c r="L199" s="422"/>
      <c r="M199" s="422"/>
      <c r="N199" s="422"/>
      <c r="O199" s="422"/>
      <c r="P199" s="422"/>
      <c r="Q199" s="422"/>
      <c r="R199" s="422"/>
      <c r="S199" s="422"/>
      <c r="T199" s="422"/>
      <c r="U199" s="422"/>
      <c r="V199" s="422"/>
      <c r="W199" s="422"/>
      <c r="X199" s="422"/>
      <c r="Y199" s="422"/>
      <c r="Z199" s="422"/>
      <c r="AA199" s="422"/>
      <c r="AB199" s="422"/>
      <c r="AC199" s="422"/>
      <c r="AD199" s="422"/>
      <c r="AE199" s="422"/>
      <c r="AF199" s="422"/>
      <c r="AG199" s="422"/>
      <c r="AH199" s="422"/>
      <c r="AI199" s="422"/>
    </row>
    <row r="200" spans="2:35" x14ac:dyDescent="0.25">
      <c r="I200" s="422"/>
      <c r="J200" s="422"/>
      <c r="K200" s="422"/>
      <c r="L200" s="422"/>
      <c r="M200" s="422"/>
      <c r="N200" s="422"/>
      <c r="O200" s="422"/>
      <c r="P200" s="422"/>
      <c r="Q200" s="422"/>
      <c r="R200" s="422"/>
      <c r="S200" s="422"/>
      <c r="T200" s="422"/>
      <c r="U200" s="422"/>
      <c r="V200" s="422"/>
      <c r="W200" s="422"/>
      <c r="X200" s="422"/>
      <c r="Y200" s="422"/>
      <c r="Z200" s="422"/>
      <c r="AA200" s="422"/>
      <c r="AB200" s="422"/>
      <c r="AC200" s="422"/>
      <c r="AD200" s="422"/>
      <c r="AE200" s="422"/>
      <c r="AF200" s="422"/>
      <c r="AG200" s="422"/>
      <c r="AH200" s="422"/>
      <c r="AI200" s="422"/>
    </row>
    <row r="201" spans="2:35" x14ac:dyDescent="0.25">
      <c r="B201" s="422"/>
      <c r="C201" s="42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  <c r="P201" s="422"/>
      <c r="Q201" s="422"/>
      <c r="R201" s="422"/>
      <c r="S201" s="422"/>
      <c r="T201" s="422"/>
      <c r="U201" s="422"/>
      <c r="V201" s="422"/>
      <c r="W201" s="422"/>
      <c r="X201" s="422"/>
      <c r="Y201" s="422"/>
      <c r="Z201" s="422"/>
      <c r="AA201" s="422"/>
      <c r="AB201" s="422"/>
      <c r="AC201" s="422"/>
      <c r="AD201" s="422"/>
      <c r="AE201" s="422"/>
      <c r="AF201" s="422"/>
      <c r="AG201" s="422"/>
      <c r="AH201" s="422"/>
      <c r="AI201" s="422"/>
    </row>
    <row r="202" spans="2:35" x14ac:dyDescent="0.25">
      <c r="B202" s="422"/>
      <c r="C202" s="422"/>
      <c r="D202" s="422"/>
      <c r="E202" s="422"/>
      <c r="F202" s="422"/>
      <c r="G202" s="422"/>
      <c r="H202" s="422"/>
      <c r="I202" s="422"/>
      <c r="J202" s="422"/>
      <c r="K202" s="422"/>
      <c r="L202" s="422"/>
      <c r="M202" s="422"/>
      <c r="N202" s="422"/>
      <c r="O202" s="422"/>
      <c r="P202" s="422"/>
      <c r="Q202" s="422"/>
      <c r="R202" s="422"/>
      <c r="S202" s="422"/>
      <c r="T202" s="422"/>
      <c r="U202" s="422"/>
      <c r="V202" s="422"/>
      <c r="W202" s="422"/>
      <c r="X202" s="422"/>
      <c r="Y202" s="422"/>
      <c r="Z202" s="422"/>
      <c r="AA202" s="422"/>
      <c r="AB202" s="422"/>
      <c r="AC202" s="422"/>
      <c r="AD202" s="422"/>
      <c r="AE202" s="422"/>
      <c r="AF202" s="422"/>
      <c r="AG202" s="422"/>
      <c r="AH202" s="422"/>
      <c r="AI202" s="422"/>
    </row>
    <row r="203" spans="2:35" x14ac:dyDescent="0.25">
      <c r="B203" s="422"/>
      <c r="C203" s="422"/>
      <c r="D203" s="422"/>
      <c r="E203" s="422"/>
      <c r="F203" s="422"/>
      <c r="G203" s="422"/>
      <c r="H203" s="422"/>
      <c r="I203" s="422"/>
      <c r="J203" s="422"/>
      <c r="K203" s="422"/>
      <c r="L203" s="422"/>
      <c r="M203" s="422"/>
      <c r="N203" s="422"/>
      <c r="O203" s="422"/>
      <c r="P203" s="422"/>
      <c r="Q203" s="422"/>
      <c r="R203" s="422"/>
      <c r="S203" s="422"/>
      <c r="T203" s="422"/>
      <c r="U203" s="422"/>
      <c r="V203" s="422"/>
      <c r="W203" s="422"/>
      <c r="X203" s="422"/>
      <c r="Y203" s="422"/>
      <c r="Z203" s="422"/>
      <c r="AA203" s="422"/>
      <c r="AB203" s="422"/>
      <c r="AC203" s="422"/>
      <c r="AD203" s="422"/>
      <c r="AE203" s="422"/>
      <c r="AF203" s="422"/>
      <c r="AG203" s="422"/>
      <c r="AH203" s="422"/>
      <c r="AI203" s="422"/>
    </row>
    <row r="204" spans="2:35" x14ac:dyDescent="0.25">
      <c r="B204" s="422"/>
      <c r="C204" s="42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2"/>
      <c r="Q204" s="422"/>
      <c r="R204" s="422"/>
      <c r="S204" s="422"/>
      <c r="T204" s="422"/>
      <c r="U204" s="422"/>
      <c r="V204" s="422"/>
      <c r="W204" s="422"/>
      <c r="X204" s="422"/>
      <c r="Y204" s="422"/>
      <c r="Z204" s="422"/>
      <c r="AA204" s="422"/>
      <c r="AB204" s="422"/>
      <c r="AC204" s="422"/>
      <c r="AD204" s="422"/>
      <c r="AE204" s="422"/>
      <c r="AF204" s="422"/>
      <c r="AG204" s="422"/>
      <c r="AH204" s="422"/>
      <c r="AI204" s="422"/>
    </row>
    <row r="205" spans="2:35" x14ac:dyDescent="0.25">
      <c r="B205" s="422"/>
      <c r="C205" s="42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2"/>
      <c r="Q205" s="422"/>
      <c r="R205" s="422"/>
      <c r="S205" s="422"/>
      <c r="T205" s="422"/>
      <c r="U205" s="422"/>
      <c r="V205" s="422"/>
      <c r="W205" s="422"/>
      <c r="X205" s="422"/>
      <c r="Y205" s="422"/>
      <c r="Z205" s="422"/>
      <c r="AA205" s="422"/>
      <c r="AB205" s="422"/>
      <c r="AC205" s="422"/>
      <c r="AD205" s="422"/>
      <c r="AE205" s="422"/>
      <c r="AF205" s="422"/>
      <c r="AG205" s="422"/>
      <c r="AH205" s="422"/>
      <c r="AI205" s="422"/>
    </row>
    <row r="206" spans="2:35" x14ac:dyDescent="0.25">
      <c r="B206" s="422"/>
      <c r="C206" s="42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2"/>
      <c r="Q206" s="422"/>
      <c r="R206" s="422"/>
      <c r="S206" s="422"/>
      <c r="T206" s="422"/>
      <c r="U206" s="422"/>
      <c r="V206" s="422"/>
      <c r="W206" s="422"/>
      <c r="X206" s="422"/>
      <c r="Y206" s="422"/>
      <c r="Z206" s="422"/>
      <c r="AA206" s="422"/>
      <c r="AB206" s="422"/>
      <c r="AC206" s="422"/>
      <c r="AD206" s="422"/>
      <c r="AE206" s="422"/>
      <c r="AF206" s="422"/>
      <c r="AG206" s="422"/>
      <c r="AH206" s="422"/>
      <c r="AI206" s="422"/>
    </row>
    <row r="207" spans="2:35" x14ac:dyDescent="0.25">
      <c r="B207" s="422"/>
      <c r="C207" s="42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2"/>
      <c r="Q207" s="422"/>
      <c r="R207" s="422"/>
      <c r="S207" s="422"/>
      <c r="T207" s="422"/>
      <c r="U207" s="422"/>
      <c r="V207" s="422"/>
      <c r="W207" s="422"/>
      <c r="X207" s="422"/>
      <c r="Y207" s="422"/>
      <c r="Z207" s="422"/>
      <c r="AA207" s="422"/>
      <c r="AB207" s="422"/>
      <c r="AC207" s="422"/>
      <c r="AD207" s="422"/>
      <c r="AE207" s="422"/>
      <c r="AF207" s="422"/>
      <c r="AG207" s="422"/>
      <c r="AH207" s="422"/>
      <c r="AI207" s="422"/>
    </row>
    <row r="208" spans="2:35" x14ac:dyDescent="0.25">
      <c r="B208" s="422"/>
      <c r="C208" s="42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2"/>
      <c r="Q208" s="422"/>
      <c r="R208" s="422"/>
      <c r="S208" s="422"/>
      <c r="T208" s="422"/>
      <c r="U208" s="422"/>
      <c r="V208" s="422"/>
      <c r="W208" s="422"/>
      <c r="X208" s="422"/>
      <c r="Y208" s="422"/>
      <c r="Z208" s="422"/>
      <c r="AA208" s="422"/>
      <c r="AB208" s="422"/>
      <c r="AC208" s="422"/>
      <c r="AD208" s="422"/>
      <c r="AE208" s="422"/>
      <c r="AF208" s="422"/>
      <c r="AG208" s="422"/>
      <c r="AH208" s="422"/>
      <c r="AI208" s="422"/>
    </row>
    <row r="209" spans="2:35" x14ac:dyDescent="0.25">
      <c r="B209" s="422"/>
      <c r="C209" s="42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2"/>
      <c r="Q209" s="422"/>
      <c r="R209" s="422"/>
      <c r="S209" s="422"/>
      <c r="T209" s="422"/>
      <c r="U209" s="422"/>
      <c r="V209" s="422"/>
      <c r="W209" s="422"/>
      <c r="X209" s="422"/>
      <c r="Y209" s="422"/>
      <c r="Z209" s="422"/>
      <c r="AA209" s="422"/>
      <c r="AB209" s="422"/>
      <c r="AC209" s="422"/>
      <c r="AD209" s="422"/>
      <c r="AE209" s="422"/>
      <c r="AF209" s="422"/>
      <c r="AG209" s="422"/>
      <c r="AH209" s="422"/>
      <c r="AI209" s="422"/>
    </row>
    <row r="210" spans="2:35" x14ac:dyDescent="0.25">
      <c r="B210" s="422"/>
      <c r="C210" s="42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2"/>
      <c r="Q210" s="422"/>
      <c r="R210" s="422"/>
      <c r="S210" s="422"/>
      <c r="T210" s="422"/>
      <c r="U210" s="422"/>
      <c r="V210" s="422"/>
      <c r="W210" s="422"/>
      <c r="X210" s="422"/>
      <c r="Y210" s="422"/>
      <c r="Z210" s="422"/>
      <c r="AA210" s="422"/>
      <c r="AB210" s="422"/>
      <c r="AC210" s="422"/>
      <c r="AD210" s="422"/>
      <c r="AE210" s="422"/>
      <c r="AF210" s="422"/>
      <c r="AG210" s="422"/>
      <c r="AH210" s="422"/>
      <c r="AI210" s="422"/>
    </row>
    <row r="211" spans="2:35" x14ac:dyDescent="0.25">
      <c r="I211" s="422"/>
      <c r="J211" s="422"/>
      <c r="K211" s="422"/>
      <c r="L211" s="422"/>
      <c r="M211" s="422"/>
      <c r="N211" s="422"/>
      <c r="O211" s="422"/>
      <c r="P211" s="422"/>
      <c r="Q211" s="422"/>
      <c r="R211" s="422"/>
      <c r="S211" s="422"/>
      <c r="T211" s="422"/>
      <c r="U211" s="422"/>
      <c r="V211" s="422"/>
      <c r="W211" s="422"/>
      <c r="X211" s="422"/>
      <c r="Y211" s="422"/>
      <c r="Z211" s="422"/>
      <c r="AA211" s="422"/>
      <c r="AB211" s="422"/>
      <c r="AC211" s="422"/>
      <c r="AD211" s="422"/>
      <c r="AE211" s="422"/>
      <c r="AF211" s="422"/>
      <c r="AG211" s="422"/>
      <c r="AH211" s="422"/>
      <c r="AI211" s="422"/>
    </row>
    <row r="212" spans="2:35" x14ac:dyDescent="0.25">
      <c r="I212" s="422"/>
      <c r="J212" s="422"/>
      <c r="K212" s="422"/>
      <c r="L212" s="422"/>
      <c r="M212" s="422"/>
      <c r="N212" s="422"/>
      <c r="O212" s="422"/>
      <c r="P212" s="422"/>
      <c r="Q212" s="422"/>
      <c r="R212" s="422"/>
      <c r="S212" s="422"/>
      <c r="T212" s="422"/>
      <c r="U212" s="422"/>
      <c r="V212" s="422"/>
      <c r="W212" s="422"/>
      <c r="X212" s="422"/>
      <c r="Y212" s="422"/>
      <c r="Z212" s="422"/>
      <c r="AA212" s="422"/>
      <c r="AB212" s="422"/>
      <c r="AC212" s="422"/>
      <c r="AD212" s="422"/>
      <c r="AE212" s="422"/>
      <c r="AF212" s="422"/>
      <c r="AG212" s="422"/>
      <c r="AH212" s="422"/>
      <c r="AI212" s="422"/>
    </row>
    <row r="213" spans="2:35" x14ac:dyDescent="0.25">
      <c r="B213" s="801" t="s">
        <v>511</v>
      </c>
      <c r="C213" s="801"/>
      <c r="D213" s="801"/>
      <c r="E213" s="801"/>
      <c r="F213" s="801"/>
      <c r="I213" s="422"/>
      <c r="J213" s="422"/>
      <c r="K213" s="422"/>
      <c r="L213" s="422"/>
      <c r="M213" s="422"/>
      <c r="N213" s="422"/>
      <c r="O213" s="422"/>
      <c r="P213" s="422"/>
      <c r="Q213" s="422"/>
      <c r="R213" s="422"/>
      <c r="S213" s="422"/>
      <c r="T213" s="422"/>
      <c r="U213" s="422"/>
      <c r="V213" s="422"/>
      <c r="W213" s="422"/>
      <c r="X213" s="422"/>
      <c r="Y213" s="422"/>
      <c r="Z213" s="422"/>
      <c r="AA213" s="422"/>
      <c r="AB213" s="422"/>
      <c r="AC213" s="422"/>
      <c r="AD213" s="422"/>
      <c r="AE213" s="422"/>
      <c r="AF213" s="422"/>
      <c r="AG213" s="422"/>
      <c r="AH213" s="422"/>
      <c r="AI213" s="422"/>
    </row>
    <row r="214" spans="2:35" x14ac:dyDescent="0.25">
      <c r="I214" s="422"/>
      <c r="J214" s="422"/>
      <c r="K214" s="422"/>
      <c r="L214" s="422"/>
      <c r="M214" s="422"/>
      <c r="N214" s="422"/>
      <c r="O214" s="422"/>
      <c r="P214" s="422"/>
      <c r="Q214" s="422"/>
      <c r="R214" s="422"/>
      <c r="S214" s="422"/>
      <c r="T214" s="422"/>
      <c r="U214" s="422"/>
      <c r="V214" s="422"/>
      <c r="W214" s="422"/>
      <c r="X214" s="422"/>
      <c r="Y214" s="422"/>
      <c r="Z214" s="422"/>
      <c r="AA214" s="422"/>
      <c r="AB214" s="422"/>
      <c r="AC214" s="422"/>
      <c r="AD214" s="422"/>
      <c r="AE214" s="422"/>
      <c r="AF214" s="422"/>
      <c r="AG214" s="422"/>
      <c r="AH214" s="422"/>
      <c r="AI214" s="422"/>
    </row>
    <row r="215" spans="2:35" ht="15.75" thickBot="1" x14ac:dyDescent="0.3">
      <c r="B215" s="422"/>
      <c r="C215" s="42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2"/>
      <c r="Q215" s="422"/>
      <c r="R215" s="422"/>
      <c r="S215" s="422"/>
      <c r="T215" s="422"/>
      <c r="U215" s="422"/>
      <c r="V215" s="422"/>
      <c r="W215" s="422"/>
      <c r="X215" s="422"/>
      <c r="Y215" s="422"/>
      <c r="Z215" s="422"/>
      <c r="AA215" s="422"/>
      <c r="AB215" s="422"/>
      <c r="AC215" s="422"/>
      <c r="AD215" s="422"/>
      <c r="AE215" s="422"/>
      <c r="AF215" s="422"/>
      <c r="AG215" s="422"/>
      <c r="AH215" s="422"/>
      <c r="AI215" s="422"/>
    </row>
    <row r="216" spans="2:35" ht="16.5" thickTop="1" thickBot="1" x14ac:dyDescent="0.3">
      <c r="B216" s="930" t="s">
        <v>256</v>
      </c>
      <c r="C216" s="931"/>
      <c r="D216" s="931"/>
      <c r="E216" s="931"/>
      <c r="F216" s="931"/>
      <c r="G216" s="931"/>
      <c r="H216" s="932"/>
      <c r="I216" s="422"/>
      <c r="J216" s="422"/>
      <c r="K216" s="422"/>
      <c r="L216" s="422"/>
      <c r="M216" s="422"/>
      <c r="N216" s="422"/>
      <c r="O216" s="422"/>
      <c r="P216" s="422"/>
      <c r="Q216" s="422"/>
      <c r="R216" s="422"/>
      <c r="S216" s="422"/>
      <c r="T216" s="422"/>
      <c r="U216" s="422"/>
      <c r="V216" s="422"/>
      <c r="W216" s="422"/>
      <c r="X216" s="422"/>
      <c r="Y216" s="422"/>
      <c r="Z216" s="422"/>
      <c r="AA216" s="422"/>
      <c r="AB216" s="422"/>
      <c r="AC216" s="422"/>
      <c r="AD216" s="422"/>
      <c r="AE216" s="422"/>
      <c r="AF216" s="422"/>
      <c r="AG216" s="422"/>
      <c r="AH216" s="422"/>
      <c r="AI216" s="422"/>
    </row>
    <row r="217" spans="2:35" ht="16.5" thickTop="1" thickBot="1" x14ac:dyDescent="0.3">
      <c r="B217" s="930" t="s">
        <v>264</v>
      </c>
      <c r="C217" s="931"/>
      <c r="D217" s="931"/>
      <c r="E217" s="931"/>
      <c r="F217" s="931"/>
      <c r="G217" s="931"/>
      <c r="H217" s="932"/>
      <c r="I217" s="422"/>
      <c r="J217" s="422"/>
      <c r="K217" s="422"/>
      <c r="L217" s="422"/>
      <c r="M217" s="422"/>
      <c r="N217" s="422"/>
      <c r="O217" s="422"/>
      <c r="P217" s="422"/>
      <c r="Q217" s="422"/>
      <c r="R217" s="422"/>
      <c r="S217" s="422"/>
      <c r="T217" s="422"/>
      <c r="U217" s="422"/>
      <c r="V217" s="422"/>
      <c r="W217" s="422"/>
      <c r="X217" s="422"/>
      <c r="Y217" s="422"/>
      <c r="Z217" s="422"/>
      <c r="AA217" s="422"/>
      <c r="AB217" s="422"/>
      <c r="AC217" s="422"/>
      <c r="AD217" s="422"/>
      <c r="AE217" s="422"/>
      <c r="AF217" s="422"/>
      <c r="AG217" s="422"/>
      <c r="AH217" s="422"/>
      <c r="AI217" s="422"/>
    </row>
    <row r="218" spans="2:35" ht="16.5" thickTop="1" thickBot="1" x14ac:dyDescent="0.3">
      <c r="B218" s="422"/>
      <c r="C218" s="422"/>
      <c r="D218" s="422"/>
      <c r="E218" s="422"/>
      <c r="F218" s="422"/>
      <c r="G218" s="437"/>
      <c r="H218" s="437"/>
      <c r="I218" s="422"/>
      <c r="J218" s="422"/>
      <c r="K218" s="422"/>
      <c r="L218" s="422"/>
      <c r="M218" s="422"/>
      <c r="N218" s="422"/>
      <c r="O218" s="422"/>
      <c r="P218" s="422"/>
      <c r="Q218" s="422"/>
      <c r="R218" s="422"/>
      <c r="S218" s="422"/>
      <c r="T218" s="422"/>
      <c r="U218" s="422"/>
      <c r="V218" s="422"/>
      <c r="W218" s="422"/>
      <c r="X218" s="422"/>
      <c r="Y218" s="422"/>
      <c r="Z218" s="422"/>
      <c r="AA218" s="422"/>
      <c r="AB218" s="422"/>
      <c r="AC218" s="422"/>
      <c r="AD218" s="422"/>
      <c r="AE218" s="422"/>
      <c r="AF218" s="422"/>
      <c r="AG218" s="422"/>
      <c r="AH218" s="422"/>
      <c r="AI218" s="422"/>
    </row>
    <row r="219" spans="2:35" ht="16.5" thickTop="1" thickBot="1" x14ac:dyDescent="0.3">
      <c r="B219" s="910" t="s">
        <v>1095</v>
      </c>
      <c r="C219" s="911"/>
      <c r="D219" s="911"/>
      <c r="E219" s="911"/>
      <c r="F219" s="911"/>
      <c r="G219" s="911"/>
      <c r="H219" s="912"/>
      <c r="I219" s="422"/>
      <c r="J219" s="422"/>
      <c r="K219" s="422"/>
      <c r="L219" s="422"/>
      <c r="M219" s="422"/>
      <c r="N219" s="422"/>
      <c r="O219" s="422"/>
      <c r="P219" s="422"/>
      <c r="Q219" s="422"/>
      <c r="R219" s="422"/>
      <c r="S219" s="422"/>
      <c r="T219" s="422"/>
      <c r="U219" s="422"/>
      <c r="V219" s="422"/>
      <c r="W219" s="422"/>
      <c r="X219" s="422"/>
      <c r="Y219" s="422"/>
      <c r="Z219" s="422"/>
      <c r="AA219" s="422"/>
      <c r="AB219" s="422"/>
      <c r="AC219" s="422"/>
      <c r="AD219" s="422"/>
      <c r="AE219" s="422"/>
      <c r="AF219" s="422"/>
      <c r="AG219" s="422"/>
      <c r="AH219" s="422"/>
      <c r="AI219" s="422"/>
    </row>
    <row r="220" spans="2:35" ht="16.5" thickTop="1" thickBot="1" x14ac:dyDescent="0.3">
      <c r="B220" s="910" t="s">
        <v>260</v>
      </c>
      <c r="C220" s="911"/>
      <c r="D220" s="911"/>
      <c r="E220" s="911"/>
      <c r="F220" s="911"/>
      <c r="G220" s="911"/>
      <c r="H220" s="912"/>
      <c r="I220" s="422"/>
      <c r="J220" s="422"/>
      <c r="K220" s="422"/>
      <c r="L220" s="422"/>
      <c r="M220" s="422"/>
      <c r="N220" s="422"/>
      <c r="O220" s="422"/>
      <c r="P220" s="422"/>
      <c r="Q220" s="422"/>
      <c r="R220" s="422"/>
      <c r="S220" s="422"/>
      <c r="T220" s="422"/>
      <c r="U220" s="422"/>
      <c r="V220" s="422"/>
      <c r="W220" s="422"/>
      <c r="X220" s="422"/>
      <c r="Y220" s="422"/>
      <c r="Z220" s="422"/>
      <c r="AA220" s="422"/>
      <c r="AB220" s="422"/>
      <c r="AC220" s="422"/>
      <c r="AD220" s="422"/>
      <c r="AE220" s="422"/>
      <c r="AF220" s="422"/>
      <c r="AG220" s="422"/>
      <c r="AH220" s="422"/>
      <c r="AI220" s="422"/>
    </row>
    <row r="221" spans="2:35" ht="15.75" thickTop="1" x14ac:dyDescent="0.25">
      <c r="B221" s="422"/>
      <c r="C221" s="42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2"/>
      <c r="Q221" s="422"/>
      <c r="R221" s="422"/>
      <c r="S221" s="422"/>
      <c r="T221" s="422"/>
      <c r="U221" s="422"/>
      <c r="V221" s="422"/>
      <c r="W221" s="422"/>
      <c r="X221" s="422"/>
      <c r="Y221" s="422"/>
      <c r="Z221" s="422"/>
      <c r="AA221" s="422"/>
      <c r="AB221" s="422"/>
      <c r="AC221" s="422"/>
      <c r="AD221" s="422"/>
      <c r="AE221" s="422"/>
      <c r="AF221" s="422"/>
      <c r="AG221" s="422"/>
      <c r="AH221" s="422"/>
      <c r="AI221" s="422"/>
    </row>
    <row r="222" spans="2:35" x14ac:dyDescent="0.25">
      <c r="B222" s="422"/>
      <c r="C222" s="42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2"/>
      <c r="Q222" s="422"/>
      <c r="R222" s="422"/>
      <c r="S222" s="422"/>
      <c r="T222" s="422"/>
      <c r="U222" s="422"/>
      <c r="V222" s="422"/>
      <c r="W222" s="422"/>
      <c r="X222" s="422"/>
      <c r="Y222" s="422"/>
      <c r="Z222" s="422"/>
      <c r="AA222" s="422"/>
      <c r="AB222" s="422"/>
      <c r="AC222" s="422"/>
      <c r="AD222" s="422"/>
      <c r="AE222" s="422"/>
      <c r="AF222" s="422"/>
      <c r="AG222" s="422"/>
      <c r="AH222" s="422"/>
      <c r="AI222" s="422"/>
    </row>
    <row r="223" spans="2:35" x14ac:dyDescent="0.25">
      <c r="B223" s="422"/>
      <c r="C223" s="42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2"/>
      <c r="Q223" s="422"/>
      <c r="R223" s="422"/>
      <c r="S223" s="422"/>
      <c r="T223" s="422"/>
      <c r="U223" s="422"/>
      <c r="V223" s="422"/>
      <c r="W223" s="422"/>
      <c r="X223" s="422"/>
      <c r="Y223" s="422"/>
      <c r="Z223" s="422"/>
      <c r="AA223" s="422"/>
      <c r="AB223" s="422"/>
      <c r="AC223" s="422"/>
      <c r="AD223" s="422"/>
      <c r="AE223" s="422"/>
      <c r="AF223" s="422"/>
      <c r="AG223" s="422"/>
      <c r="AH223" s="422"/>
      <c r="AI223" s="422"/>
    </row>
    <row r="224" spans="2:35" x14ac:dyDescent="0.25">
      <c r="B224" s="422"/>
      <c r="C224" s="42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2"/>
      <c r="Q224" s="422"/>
      <c r="R224" s="422"/>
      <c r="S224" s="422"/>
      <c r="T224" s="422"/>
      <c r="U224" s="422"/>
      <c r="V224" s="422"/>
      <c r="W224" s="422"/>
      <c r="X224" s="422"/>
      <c r="Y224" s="422"/>
      <c r="Z224" s="422"/>
      <c r="AA224" s="422"/>
      <c r="AB224" s="422"/>
      <c r="AC224" s="422"/>
      <c r="AD224" s="422"/>
      <c r="AE224" s="422"/>
      <c r="AF224" s="422"/>
      <c r="AG224" s="422"/>
      <c r="AH224" s="422"/>
      <c r="AI224" s="422"/>
    </row>
    <row r="225" spans="2:35" x14ac:dyDescent="0.25"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2"/>
      <c r="Q225" s="422"/>
      <c r="R225" s="422"/>
      <c r="S225" s="422"/>
      <c r="T225" s="422"/>
      <c r="U225" s="422"/>
      <c r="V225" s="422"/>
      <c r="W225" s="422"/>
      <c r="X225" s="422"/>
      <c r="Y225" s="422"/>
      <c r="Z225" s="422"/>
      <c r="AA225" s="422"/>
      <c r="AB225" s="422"/>
      <c r="AC225" s="422"/>
      <c r="AD225" s="422"/>
      <c r="AE225" s="422"/>
      <c r="AF225" s="422"/>
      <c r="AG225" s="422"/>
      <c r="AH225" s="422"/>
      <c r="AI225" s="422"/>
    </row>
    <row r="226" spans="2:35" x14ac:dyDescent="0.25"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2"/>
      <c r="Q226" s="422"/>
      <c r="R226" s="422"/>
      <c r="S226" s="422"/>
      <c r="T226" s="422"/>
      <c r="U226" s="422"/>
      <c r="V226" s="422"/>
      <c r="W226" s="422"/>
      <c r="X226" s="422"/>
      <c r="Y226" s="422"/>
      <c r="Z226" s="422"/>
      <c r="AA226" s="422"/>
      <c r="AB226" s="422"/>
      <c r="AC226" s="422"/>
      <c r="AD226" s="422"/>
      <c r="AE226" s="422"/>
      <c r="AF226" s="422"/>
      <c r="AG226" s="422"/>
      <c r="AH226" s="422"/>
      <c r="AI226" s="422"/>
    </row>
    <row r="227" spans="2:35" x14ac:dyDescent="0.25">
      <c r="B227" s="422"/>
      <c r="C227" s="42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2"/>
      <c r="Q227" s="422"/>
      <c r="R227" s="422"/>
      <c r="S227" s="422"/>
      <c r="T227" s="422"/>
      <c r="U227" s="422"/>
      <c r="V227" s="422"/>
      <c r="W227" s="422"/>
      <c r="X227" s="422"/>
      <c r="Y227" s="422"/>
      <c r="Z227" s="422"/>
      <c r="AA227" s="422"/>
      <c r="AB227" s="422"/>
      <c r="AC227" s="422"/>
      <c r="AD227" s="422"/>
      <c r="AE227" s="422"/>
      <c r="AF227" s="422"/>
      <c r="AG227" s="422"/>
      <c r="AH227" s="422"/>
      <c r="AI227" s="422"/>
    </row>
    <row r="228" spans="2:35" x14ac:dyDescent="0.25">
      <c r="B228" s="422"/>
      <c r="C228" s="42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2"/>
      <c r="Q228" s="422"/>
      <c r="R228" s="422"/>
      <c r="S228" s="422"/>
      <c r="T228" s="422"/>
      <c r="U228" s="422"/>
      <c r="V228" s="422"/>
      <c r="W228" s="422"/>
      <c r="X228" s="422"/>
      <c r="Y228" s="422"/>
      <c r="Z228" s="422"/>
      <c r="AA228" s="422"/>
      <c r="AB228" s="422"/>
      <c r="AC228" s="422"/>
      <c r="AD228" s="422"/>
      <c r="AE228" s="422"/>
      <c r="AF228" s="422"/>
      <c r="AG228" s="422"/>
      <c r="AH228" s="422"/>
      <c r="AI228" s="422"/>
    </row>
    <row r="229" spans="2:35" x14ac:dyDescent="0.25"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2"/>
      <c r="Q229" s="422"/>
      <c r="R229" s="422"/>
      <c r="S229" s="422"/>
      <c r="T229" s="422"/>
      <c r="U229" s="422"/>
      <c r="V229" s="422"/>
      <c r="W229" s="422"/>
      <c r="X229" s="422"/>
      <c r="Y229" s="422"/>
      <c r="Z229" s="422"/>
      <c r="AA229" s="422"/>
      <c r="AB229" s="422"/>
      <c r="AC229" s="422"/>
      <c r="AD229" s="422"/>
      <c r="AE229" s="422"/>
      <c r="AF229" s="422"/>
      <c r="AG229" s="422"/>
      <c r="AH229" s="422"/>
      <c r="AI229" s="422"/>
    </row>
    <row r="230" spans="2:35" x14ac:dyDescent="0.25"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2"/>
      <c r="Q230" s="422"/>
      <c r="R230" s="422"/>
      <c r="S230" s="422"/>
      <c r="T230" s="422"/>
      <c r="U230" s="422"/>
      <c r="V230" s="422"/>
      <c r="W230" s="422"/>
      <c r="X230" s="422"/>
      <c r="Y230" s="422"/>
      <c r="Z230" s="422"/>
      <c r="AA230" s="422"/>
      <c r="AB230" s="422"/>
      <c r="AC230" s="422"/>
      <c r="AD230" s="422"/>
      <c r="AE230" s="422"/>
      <c r="AF230" s="422"/>
      <c r="AG230" s="422"/>
      <c r="AH230" s="422"/>
      <c r="AI230" s="422"/>
    </row>
    <row r="231" spans="2:35" x14ac:dyDescent="0.25">
      <c r="B231" s="422"/>
      <c r="C231" s="42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2"/>
      <c r="Q231" s="422"/>
      <c r="R231" s="422"/>
      <c r="S231" s="422"/>
      <c r="T231" s="422"/>
      <c r="U231" s="422"/>
      <c r="V231" s="422"/>
      <c r="W231" s="422"/>
      <c r="X231" s="422"/>
      <c r="Y231" s="422"/>
      <c r="Z231" s="422"/>
      <c r="AA231" s="422"/>
      <c r="AB231" s="422"/>
      <c r="AC231" s="422"/>
      <c r="AD231" s="422"/>
      <c r="AE231" s="422"/>
      <c r="AF231" s="422"/>
      <c r="AG231" s="422"/>
      <c r="AH231" s="422"/>
      <c r="AI231" s="422"/>
    </row>
    <row r="232" spans="2:35" x14ac:dyDescent="0.25">
      <c r="B232" s="422"/>
      <c r="C232" s="42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2"/>
      <c r="Q232" s="422"/>
      <c r="R232" s="422"/>
      <c r="S232" s="422"/>
      <c r="T232" s="422"/>
      <c r="U232" s="422"/>
      <c r="V232" s="422"/>
      <c r="W232" s="422"/>
      <c r="X232" s="422"/>
      <c r="Y232" s="422"/>
      <c r="Z232" s="422"/>
      <c r="AA232" s="422"/>
      <c r="AB232" s="422"/>
      <c r="AC232" s="422"/>
      <c r="AD232" s="422"/>
      <c r="AE232" s="422"/>
      <c r="AF232" s="422"/>
      <c r="AG232" s="422"/>
      <c r="AH232" s="422"/>
      <c r="AI232" s="422"/>
    </row>
    <row r="233" spans="2:35" x14ac:dyDescent="0.25">
      <c r="B233" s="422"/>
      <c r="C233" s="42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2"/>
      <c r="Q233" s="422"/>
      <c r="R233" s="422"/>
      <c r="S233" s="422"/>
      <c r="T233" s="422"/>
      <c r="U233" s="422"/>
      <c r="V233" s="422"/>
      <c r="W233" s="422"/>
      <c r="X233" s="422"/>
      <c r="Y233" s="422"/>
      <c r="Z233" s="422"/>
      <c r="AA233" s="422"/>
      <c r="AB233" s="422"/>
      <c r="AC233" s="422"/>
      <c r="AD233" s="422"/>
      <c r="AE233" s="422"/>
      <c r="AF233" s="422"/>
      <c r="AG233" s="422"/>
      <c r="AH233" s="422"/>
      <c r="AI233" s="422"/>
    </row>
    <row r="234" spans="2:35" x14ac:dyDescent="0.25">
      <c r="B234" s="422"/>
      <c r="C234" s="42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2"/>
      <c r="Q234" s="422"/>
      <c r="R234" s="422"/>
      <c r="S234" s="422"/>
      <c r="T234" s="422"/>
      <c r="U234" s="422"/>
      <c r="V234" s="422"/>
      <c r="W234" s="422"/>
      <c r="X234" s="422"/>
      <c r="Y234" s="422"/>
      <c r="Z234" s="422"/>
      <c r="AA234" s="422"/>
      <c r="AB234" s="422"/>
      <c r="AC234" s="422"/>
      <c r="AD234" s="422"/>
      <c r="AE234" s="422"/>
      <c r="AF234" s="422"/>
      <c r="AG234" s="422"/>
      <c r="AH234" s="422"/>
      <c r="AI234" s="422"/>
    </row>
    <row r="235" spans="2:35" x14ac:dyDescent="0.25">
      <c r="B235" s="422"/>
      <c r="C235" s="42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2"/>
      <c r="Q235" s="422"/>
      <c r="R235" s="422"/>
      <c r="S235" s="422"/>
      <c r="T235" s="422"/>
      <c r="U235" s="422"/>
      <c r="V235" s="422"/>
      <c r="W235" s="422"/>
      <c r="X235" s="422"/>
      <c r="Y235" s="422"/>
      <c r="Z235" s="422"/>
      <c r="AA235" s="422"/>
      <c r="AB235" s="422"/>
      <c r="AC235" s="422"/>
      <c r="AD235" s="422"/>
      <c r="AE235" s="422"/>
      <c r="AF235" s="422"/>
      <c r="AG235" s="422"/>
      <c r="AH235" s="422"/>
      <c r="AI235" s="422"/>
    </row>
    <row r="236" spans="2:35" x14ac:dyDescent="0.25">
      <c r="B236" s="422"/>
      <c r="C236" s="42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2"/>
      <c r="Q236" s="422"/>
      <c r="R236" s="422"/>
      <c r="S236" s="422"/>
      <c r="T236" s="422"/>
      <c r="U236" s="422"/>
      <c r="V236" s="422"/>
      <c r="W236" s="422"/>
      <c r="X236" s="422"/>
      <c r="Y236" s="422"/>
      <c r="Z236" s="422"/>
      <c r="AA236" s="422"/>
      <c r="AB236" s="422"/>
      <c r="AC236" s="422"/>
      <c r="AD236" s="422"/>
      <c r="AE236" s="422"/>
      <c r="AF236" s="422"/>
      <c r="AG236" s="422"/>
      <c r="AH236" s="422"/>
      <c r="AI236" s="422"/>
    </row>
    <row r="237" spans="2:35" x14ac:dyDescent="0.25">
      <c r="I237" s="422"/>
      <c r="J237" s="422"/>
      <c r="K237" s="422"/>
      <c r="L237" s="422"/>
      <c r="M237" s="422"/>
      <c r="N237" s="422"/>
      <c r="O237" s="422"/>
      <c r="P237" s="422"/>
      <c r="Q237" s="422"/>
      <c r="R237" s="422"/>
      <c r="S237" s="422"/>
      <c r="T237" s="422"/>
      <c r="U237" s="422"/>
      <c r="V237" s="422"/>
      <c r="W237" s="422"/>
      <c r="X237" s="422"/>
      <c r="Y237" s="422"/>
      <c r="Z237" s="422"/>
      <c r="AA237" s="422"/>
      <c r="AB237" s="422"/>
      <c r="AC237" s="422"/>
      <c r="AD237" s="422"/>
      <c r="AE237" s="422"/>
      <c r="AF237" s="422"/>
      <c r="AG237" s="422"/>
      <c r="AH237" s="422"/>
      <c r="AI237" s="422"/>
    </row>
    <row r="238" spans="2:35" x14ac:dyDescent="0.25">
      <c r="I238" s="422"/>
      <c r="J238" s="422"/>
      <c r="K238" s="422"/>
      <c r="L238" s="422"/>
      <c r="M238" s="422"/>
      <c r="N238" s="422"/>
      <c r="O238" s="422"/>
      <c r="P238" s="422"/>
      <c r="Q238" s="422"/>
      <c r="R238" s="422"/>
      <c r="S238" s="422"/>
      <c r="T238" s="422"/>
      <c r="U238" s="422"/>
      <c r="V238" s="422"/>
      <c r="W238" s="422"/>
      <c r="X238" s="422"/>
      <c r="Y238" s="422"/>
      <c r="Z238" s="422"/>
      <c r="AA238" s="422"/>
      <c r="AB238" s="422"/>
      <c r="AC238" s="422"/>
      <c r="AD238" s="422"/>
      <c r="AE238" s="422"/>
      <c r="AF238" s="422"/>
      <c r="AG238" s="422"/>
      <c r="AH238" s="422"/>
      <c r="AI238" s="422"/>
    </row>
    <row r="242" spans="10:10" x14ac:dyDescent="0.25">
      <c r="J242" s="685" t="str">
        <f>IF(C75='FOGLIO DEPOSITO'!N184,"Nei grafici tratteggiati sono inseriti gli incrementi di pressione orizzontale calcolati con la teoria di Wood","")</f>
        <v/>
      </c>
    </row>
  </sheetData>
  <sheetProtection algorithmName="SHA-512" hashValue="jUTF0ul09T0RtwCPwbl2puUCj3VJdvqXNN8R7PNVw/OPJsmW35U+ZmW7XRopzbkVoyFnTF5RsQKovHGN3Q2w8g==" saltValue="8H6vfbcR5lcfPyp64CFEMw==" spinCount="100000" sheet="1" objects="1" scenarios="1" selectLockedCells="1"/>
  <protectedRanges>
    <protectedRange sqref="D33:D36 D40:D43 D46:D50 D55 D53" name="Intervallo1"/>
    <protectedRange sqref="D33:D36 D40:D43 D46:D50 D55 D53" name="Intervallo1_5"/>
    <protectedRange sqref="D37 D44 D39 D51" name="Intervallo1_1"/>
    <protectedRange sqref="D37 D44 D39 D51" name="Intervallo1_5_1"/>
    <protectedRange sqref="D56:D57" name="Intervallo1_2"/>
    <protectedRange sqref="D56:D57" name="Intervallo1_5_2"/>
  </protectedRanges>
  <customSheetViews>
    <customSheetView guid="{101D851C-E4EE-4443-B6A9-9040ACB2A650}" scale="90" showGridLines="0" showRowCol="0" fitToPage="1">
      <selection activeCell="C75" sqref="C75:D75"/>
      <pageMargins left="0.59055118110236227" right="0.51181102362204722" top="0.39370078740157483" bottom="0.35433070866141736" header="0.31496062992125984" footer="0.31496062992125984"/>
      <pageSetup paperSize="9" scale="64" fitToHeight="0" orientation="portrait" r:id="rId1"/>
    </customSheetView>
  </customSheetViews>
  <mergeCells count="23">
    <mergeCell ref="B220:H220"/>
    <mergeCell ref="L119:P120"/>
    <mergeCell ref="G80:G81"/>
    <mergeCell ref="F80:F81"/>
    <mergeCell ref="H80:H81"/>
    <mergeCell ref="I80:I81"/>
    <mergeCell ref="B93:B94"/>
    <mergeCell ref="C93:F93"/>
    <mergeCell ref="C94:F94"/>
    <mergeCell ref="K122:Q124"/>
    <mergeCell ref="B87:B88"/>
    <mergeCell ref="C87:F87"/>
    <mergeCell ref="C88:F88"/>
    <mergeCell ref="B213:F213"/>
    <mergeCell ref="B217:H217"/>
    <mergeCell ref="B216:H216"/>
    <mergeCell ref="B219:H219"/>
    <mergeCell ref="B135:C135"/>
    <mergeCell ref="F33:G38"/>
    <mergeCell ref="F40:G45"/>
    <mergeCell ref="F47:G52"/>
    <mergeCell ref="B77:B78"/>
    <mergeCell ref="C75:D75"/>
  </mergeCells>
  <conditionalFormatting sqref="L119:P120">
    <cfRule type="cellIs" dxfId="25" priority="4" operator="equal">
      <formula>"A tergo del paramento è stato inserito il drenaggio;                                  Si annulla la spinta dell'acqua"</formula>
    </cfRule>
  </conditionalFormatting>
  <conditionalFormatting sqref="K122:Q124">
    <cfRule type="cellIs" dxfId="24" priority="3" operator="equal">
      <formula>"AGGIORNA ALTEZZA DEGLI STRATI SUI DATI!"</formula>
    </cfRule>
  </conditionalFormatting>
  <dataValidations count="6">
    <dataValidation type="list" allowBlank="1" showInputMessage="1" showErrorMessage="1" sqref="B219">
      <formula1>graf1</formula1>
    </dataValidation>
    <dataValidation type="list" allowBlank="1" showInputMessage="1" showErrorMessage="1" sqref="B216">
      <formula1>graf2</formula1>
    </dataValidation>
    <dataValidation type="list" allowBlank="1" showInputMessage="1" showErrorMessage="1" sqref="B220">
      <formula1>graf3</formula1>
    </dataValidation>
    <dataValidation type="list" allowBlank="1" showInputMessage="1" showErrorMessage="1" sqref="B217">
      <formula1>graf4</formula1>
    </dataValidation>
    <dataValidation type="list" allowBlank="1" showInputMessage="1" showErrorMessage="1" sqref="C75:D75">
      <formula1>spin</formula1>
    </dataValidation>
    <dataValidation type="list" allowBlank="1" showInputMessage="1" showErrorMessage="1" sqref="D65">
      <formula1>sn</formula1>
    </dataValidation>
  </dataValidations>
  <pageMargins left="0.59055118110236227" right="0.51181102362204722" top="0.39370078740157483" bottom="0.35433070866141736" header="0.31496062992125984" footer="0.31496062992125984"/>
  <pageSetup paperSize="9" scale="64" fitToHeight="0" orientation="portrait" r:id="rId2"/>
  <ignoredErrors>
    <ignoredError sqref="D38 D45" unlockedFormula="1"/>
  </ignoredError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B2:AF141"/>
  <sheetViews>
    <sheetView showGridLines="0" showRowColHeaders="0" zoomScale="90" zoomScaleNormal="90" workbookViewId="0">
      <selection activeCell="J11" sqref="J11"/>
    </sheetView>
  </sheetViews>
  <sheetFormatPr defaultRowHeight="15" x14ac:dyDescent="0.25"/>
  <cols>
    <col min="1" max="1" width="7.140625" customWidth="1"/>
    <col min="2" max="2" width="29" customWidth="1"/>
    <col min="3" max="4" width="15" customWidth="1"/>
    <col min="5" max="5" width="16.5703125" customWidth="1"/>
    <col min="6" max="6" width="13" customWidth="1"/>
    <col min="7" max="7" width="15.28515625" customWidth="1"/>
    <col min="8" max="28" width="13" customWidth="1"/>
    <col min="29" max="32" width="16.140625" customWidth="1"/>
    <col min="33" max="37" width="13" customWidth="1"/>
  </cols>
  <sheetData>
    <row r="2" spans="2:32" x14ac:dyDescent="0.25">
      <c r="B2" s="433" t="s">
        <v>1098</v>
      </c>
      <c r="C2" s="19"/>
      <c r="D2" s="19"/>
      <c r="E2" s="422"/>
      <c r="F2" s="422"/>
      <c r="G2" s="422"/>
      <c r="H2" s="422"/>
      <c r="I2" s="422"/>
      <c r="J2" s="23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</row>
    <row r="3" spans="2:32" x14ac:dyDescent="0.25">
      <c r="B3" s="422"/>
      <c r="C3" s="423"/>
      <c r="D3" s="687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</row>
    <row r="4" spans="2:32" ht="15.75" x14ac:dyDescent="0.25">
      <c r="B4" s="422"/>
      <c r="C4" s="422"/>
      <c r="D4" s="289" t="s">
        <v>780</v>
      </c>
      <c r="E4" s="13" t="str">
        <f>SPINTE!C75</f>
        <v>Mononobe Okabe K(kv+)</v>
      </c>
      <c r="F4" s="13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</row>
    <row r="5" spans="2:32" ht="15.75" x14ac:dyDescent="0.25">
      <c r="B5" s="289"/>
      <c r="C5" s="13"/>
      <c r="D5" s="13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C5" s="422"/>
      <c r="AD5" s="422"/>
      <c r="AE5" s="422"/>
      <c r="AF5" s="422"/>
    </row>
    <row r="6" spans="2:32" x14ac:dyDescent="0.25">
      <c r="B6" s="422"/>
      <c r="C6" s="422"/>
      <c r="D6" s="422"/>
      <c r="E6" s="422"/>
      <c r="F6" s="422"/>
      <c r="G6" s="422"/>
      <c r="H6" s="787"/>
      <c r="I6" s="422"/>
      <c r="J6" s="422"/>
      <c r="K6" s="422"/>
      <c r="L6" s="422"/>
      <c r="M6" s="422"/>
      <c r="N6" s="422"/>
      <c r="AC6" s="688"/>
      <c r="AD6" s="688"/>
      <c r="AE6" s="689"/>
      <c r="AF6" s="690"/>
    </row>
    <row r="7" spans="2:32" x14ac:dyDescent="0.25">
      <c r="B7" s="230" t="s">
        <v>54</v>
      </c>
      <c r="C7" s="784" t="s">
        <v>22</v>
      </c>
      <c r="D7" s="691" t="s">
        <v>496</v>
      </c>
      <c r="E7" s="692" t="s">
        <v>497</v>
      </c>
      <c r="F7" s="691" t="str">
        <f>IF(SPINTE!C75='FOGLIO DEPOSITO'!N183,"K0",IF(SPINTE!C75='FOGLIO DEPOSITO'!N184,"K0","Ka"))</f>
        <v>Ka</v>
      </c>
      <c r="G7" s="692" t="s">
        <v>822</v>
      </c>
      <c r="H7" s="797" t="s">
        <v>498</v>
      </c>
      <c r="I7" s="422"/>
      <c r="J7" s="422"/>
      <c r="K7" s="422"/>
      <c r="L7" s="422"/>
      <c r="M7" s="422"/>
      <c r="N7" s="422"/>
    </row>
    <row r="8" spans="2:32" x14ac:dyDescent="0.25">
      <c r="B8" s="934" t="str">
        <f>SPINTE!F33</f>
        <v>1°strato: ghiaia-sabbie</v>
      </c>
      <c r="C8" s="694">
        <v>0</v>
      </c>
      <c r="D8" s="649">
        <f>C8</f>
        <v>0</v>
      </c>
      <c r="E8" s="695">
        <f>E72</f>
        <v>0</v>
      </c>
      <c r="F8" s="300">
        <f>IF(SPINTE!F33='FOGLIO DEPOSITO'!H166,VLOOKUP(SPINTE!C75,'FOGLIO DEPOSITO'!N178:Q184,2,FALSE),IF(SPINTE!D54="",VLOOKUP(SPINTE!C75,'FOGLIO DEPOSITO'!N178:Q184,2,FALSE),IF(SPINTE!D54&lt;=C10*0.85,1,VLOOKUP(SPINTE!C75,'FOGLIO DEPOSITO'!N178:Q184,2,FALSE))))</f>
        <v>0.50908492020515517</v>
      </c>
      <c r="G8" s="696">
        <f>2*SPINTE!D35*F8^0.5</f>
        <v>0</v>
      </c>
      <c r="H8" s="697">
        <f>SPINTE!$D$34*D8</f>
        <v>0</v>
      </c>
      <c r="I8" s="422"/>
      <c r="J8" s="422"/>
      <c r="K8" s="422"/>
      <c r="L8" s="422"/>
      <c r="M8" s="422"/>
      <c r="N8" s="422"/>
    </row>
    <row r="9" spans="2:32" x14ac:dyDescent="0.25">
      <c r="B9" s="934"/>
      <c r="C9" s="694">
        <f>IF('FOGLIO DEPOSITO'!C226&lt;C10,IF('FOGLIO DEPOSITO'!C226&gt;=C8,'FOGLIO DEPOSITO'!C226,C10),C10)</f>
        <v>5.03206159226088</v>
      </c>
      <c r="D9" s="649">
        <f>C9</f>
        <v>5.03206159226088</v>
      </c>
      <c r="E9" s="695">
        <f>E73</f>
        <v>0</v>
      </c>
      <c r="F9" s="300">
        <f>IF(SPINTE!F33='FOGLIO DEPOSITO'!H166,VLOOKUP(SPINTE!C75,'FOGLIO DEPOSITO'!N178:Q184,2,FALSE),IF(SPINTE!D54="",VLOOKUP(SPINTE!C75,'FOGLIO DEPOSITO'!N178:Q184,2,FALSE),IF(SPINTE!D54&lt;=C10*0.85,1,VLOOKUP(SPINTE!C75,'FOGLIO DEPOSITO'!N178:Q184,2,FALSE))))</f>
        <v>0.50908492020515517</v>
      </c>
      <c r="G9" s="696">
        <f>2*SPINTE!D35*F8^0.5</f>
        <v>0</v>
      </c>
      <c r="H9" s="697">
        <f>SPINTE!$D$34*D9</f>
        <v>90.577108660695842</v>
      </c>
      <c r="I9" s="422"/>
      <c r="J9" s="422"/>
      <c r="K9" s="422"/>
      <c r="L9" s="422"/>
      <c r="M9" s="422"/>
      <c r="N9" s="422"/>
    </row>
    <row r="10" spans="2:32" x14ac:dyDescent="0.25">
      <c r="B10" s="934"/>
      <c r="C10" s="707">
        <f>SPINTE!D38</f>
        <v>5.03206159226088</v>
      </c>
      <c r="D10" s="708">
        <f>SPINTE!D38</f>
        <v>5.03206159226088</v>
      </c>
      <c r="E10" s="709">
        <f>E74</f>
        <v>0</v>
      </c>
      <c r="F10" s="710">
        <f>IF(SPINTE!F33='FOGLIO DEPOSITO'!H166,VLOOKUP(SPINTE!C75,'FOGLIO DEPOSITO'!N178:Q184,2,FALSE),IF(SPINTE!D54="",VLOOKUP(SPINTE!C75,'FOGLIO DEPOSITO'!N178:Q184,2,FALSE),IF(SPINTE!D54&lt;=C10*0.85,1,VLOOKUP(SPINTE!C75,'FOGLIO DEPOSITO'!N178:Q184,2,FALSE))))</f>
        <v>0.50908492020515517</v>
      </c>
      <c r="G10" s="709">
        <f>2*SPINTE!D35*F10^0.5</f>
        <v>0</v>
      </c>
      <c r="H10" s="711">
        <f>SPINTE!$D$34*D10</f>
        <v>90.577108660695842</v>
      </c>
      <c r="I10" s="422"/>
      <c r="J10" s="422"/>
      <c r="K10" s="422"/>
      <c r="L10" s="422"/>
      <c r="M10" s="422"/>
      <c r="N10" s="422"/>
    </row>
    <row r="11" spans="2:32" x14ac:dyDescent="0.25">
      <c r="B11" s="934" t="str">
        <f>IF(SPINTE!D45=0,"",SPINTE!F40)</f>
        <v/>
      </c>
      <c r="C11" s="694" t="str">
        <f>IF(SPINTE!D45=0,"",SPINTE!D38)</f>
        <v/>
      </c>
      <c r="D11" s="649" t="str">
        <f>IF(SPINTE!D45=0,"",0)</f>
        <v/>
      </c>
      <c r="E11" s="695" t="str">
        <f>IF(SPINTE!D45=0,"",E75)</f>
        <v/>
      </c>
      <c r="F11" s="300" t="str">
        <f>IF(SPINTE!D45=0,"",IF(SPINTE!F40='FOGLIO DEPOSITO'!H169,VLOOKUP(SPINTE!C75,'FOGLIO DEPOSITO'!N178:Q184,3,FALSE),IF(SPINTE!D54="",VLOOKUP(SPINTE!C75,'FOGLIO DEPOSITO'!N178:Q184,2,FALSE),IF(SPINTE!D54&lt;=C13*0.85,1,VLOOKUP(SPINTE!C75,'FOGLIO DEPOSITO'!N178:Q184,2,FALSE)))))</f>
        <v/>
      </c>
      <c r="G11" s="696" t="str">
        <f>IF(SPINTE!D45=0,"",2*SPINTE!D42*F11^0.5)</f>
        <v/>
      </c>
      <c r="H11" s="697" t="str">
        <f>IF(SPINTE!D45=0,"",SPINTE!$D$41*D11+H10)</f>
        <v/>
      </c>
      <c r="I11" s="422"/>
      <c r="J11" s="422"/>
      <c r="K11" s="422"/>
      <c r="L11" s="422"/>
      <c r="M11" s="422"/>
      <c r="N11" s="422"/>
    </row>
    <row r="12" spans="2:32" x14ac:dyDescent="0.25">
      <c r="B12" s="934"/>
      <c r="C12" s="694" t="str">
        <f>IF(SPINTE!D45=0,"",IF('FOGLIO DEPOSITO'!C226&lt;C13,IF('FOGLIO DEPOSITO'!C226&gt;=C11,'FOGLIO DEPOSITO'!C226,C13),C13))</f>
        <v/>
      </c>
      <c r="D12" s="649" t="str">
        <f>IF(SPINTE!D45=0,"",C12-C11)</f>
        <v/>
      </c>
      <c r="E12" s="695" t="str">
        <f>IF(SPINTE!D45=0,"",E76)</f>
        <v/>
      </c>
      <c r="F12" s="300" t="str">
        <f>IF(SPINTE!D45=0,"",IF(SPINTE!F40='FOGLIO DEPOSITO'!H169,VLOOKUP(SPINTE!C75,'FOGLIO DEPOSITO'!N178:Q184,3,FALSE),IF(SPINTE!D54="",VLOOKUP(SPINTE!C75,'FOGLIO DEPOSITO'!N178:Q184,2,FALSE),IF(SPINTE!D54&lt;=C13*0.85,1,VLOOKUP(SPINTE!C75,'FOGLIO DEPOSITO'!N178:Q184,2,FALSE)))))</f>
        <v/>
      </c>
      <c r="G12" s="696" t="str">
        <f>IF(SPINTE!D45=0,"",2*SPINTE!D42*F11^0.5)</f>
        <v/>
      </c>
      <c r="H12" s="697" t="str">
        <f>IF(SPINTE!D45=0,"",SPINTE!$D$41*D12+H10)</f>
        <v/>
      </c>
      <c r="I12" s="422"/>
      <c r="J12" s="422"/>
      <c r="K12" s="422"/>
      <c r="L12" s="422"/>
      <c r="M12" s="422"/>
      <c r="N12" s="422"/>
    </row>
    <row r="13" spans="2:32" x14ac:dyDescent="0.25">
      <c r="B13" s="934"/>
      <c r="C13" s="707" t="str">
        <f>IF(SPINTE!D45=0,"",SPINTE!D38+SPINTE!D45)</f>
        <v/>
      </c>
      <c r="D13" s="708" t="str">
        <f>IF(SPINTE!D45=0,"",SPINTE!D45)</f>
        <v/>
      </c>
      <c r="E13" s="709" t="str">
        <f>IF(SPINTE!D45=0,"",E77)</f>
        <v/>
      </c>
      <c r="F13" s="710" t="str">
        <f>IF(SPINTE!D45=0,"",IF(SPINTE!F40='FOGLIO DEPOSITO'!H169,VLOOKUP(SPINTE!C75,'FOGLIO DEPOSITO'!N178:Q184,3,FALSE),IF(SPINTE!D54="",VLOOKUP(SPINTE!C75,'FOGLIO DEPOSITO'!N178:Q184,2,FALSE),IF(SPINTE!D54&lt;=C13*0.85,1,VLOOKUP(SPINTE!C75,'FOGLIO DEPOSITO'!N178:Q184,2,FALSE)))))</f>
        <v/>
      </c>
      <c r="G13" s="709" t="str">
        <f>IF(SPINTE!D45=0,"",2*SPINTE!D42*F13^0.5)</f>
        <v/>
      </c>
      <c r="H13" s="711" t="str">
        <f>IF(SPINTE!D45=0,"",SPINTE!$D$41*D13+H10)</f>
        <v/>
      </c>
      <c r="I13" s="422"/>
      <c r="J13" s="422"/>
      <c r="K13" s="422"/>
      <c r="L13" s="422"/>
      <c r="M13" s="422"/>
      <c r="N13" s="422"/>
    </row>
    <row r="14" spans="2:32" x14ac:dyDescent="0.25">
      <c r="B14" s="934" t="str">
        <f>IF(SPINTE!D52=0,"",SPINTE!F47)</f>
        <v/>
      </c>
      <c r="C14" s="694" t="str">
        <f>IF(SPINTE!D52=0,"",C13)</f>
        <v/>
      </c>
      <c r="D14" s="649" t="str">
        <f>IF(SPINTE!D52=0,"",0)</f>
        <v/>
      </c>
      <c r="E14" s="695" t="str">
        <f>IF(SPINTE!D52=0,"",E78)</f>
        <v/>
      </c>
      <c r="F14" s="300" t="str">
        <f>IF(SPINTE!D52=0,"",IF(SPINTE!F47='FOGLIO DEPOSITO'!H172,VLOOKUP(SPINTE!C75,'FOGLIO DEPOSITO'!N178:Q184,4,FALSE),IF(SPINTE!D54="",VLOOKUP(SPINTE!C75,'FOGLIO DEPOSITO'!N178:Q184,2,FALSE),IF(SPINTE!D54&lt;=C16*0.85,1,VLOOKUP(SPINTE!C75,'FOGLIO DEPOSITO'!N178:Q184,2,FALSE)))))</f>
        <v/>
      </c>
      <c r="G14" s="696" t="str">
        <f>IF(SPINTE!D52=0,"",2*SPINTE!D49*F14^0.5)</f>
        <v/>
      </c>
      <c r="H14" s="697" t="str">
        <f>IF(SPINTE!D52=0,"",SPINTE!$D$48*D14+H13)</f>
        <v/>
      </c>
      <c r="I14" s="422"/>
      <c r="J14" s="422"/>
      <c r="K14" s="422"/>
      <c r="L14" s="422"/>
      <c r="M14" s="422"/>
      <c r="N14" s="422"/>
    </row>
    <row r="15" spans="2:32" x14ac:dyDescent="0.25">
      <c r="B15" s="934"/>
      <c r="C15" s="694" t="str">
        <f>IF(SPINTE!D52=0,"",IF('FOGLIO DEPOSITO'!C226&lt;C16,IF('FOGLIO DEPOSITO'!C226&gt;=C14,'FOGLIO DEPOSITO'!C226,C16),C16))</f>
        <v/>
      </c>
      <c r="D15" s="649" t="str">
        <f>IF(SPINTE!D52=0,"",C15-C14)</f>
        <v/>
      </c>
      <c r="E15" s="695" t="str">
        <f>IF(SPINTE!D52=0,"",E79)</f>
        <v/>
      </c>
      <c r="F15" s="300" t="str">
        <f>IF(SPINTE!D52=0,"",IF(SPINTE!F47='FOGLIO DEPOSITO'!H172,VLOOKUP(SPINTE!C75,'FOGLIO DEPOSITO'!N178:Q184,4,FALSE),IF(SPINTE!D54="",VLOOKUP(SPINTE!C75,'FOGLIO DEPOSITO'!N178:Q184,2,FALSE),IF(SPINTE!D54&lt;=C16*0.85,1,VLOOKUP(SPINTE!C75,'FOGLIO DEPOSITO'!N178:Q184,2,FALSE)))))</f>
        <v/>
      </c>
      <c r="G15" s="696" t="str">
        <f>IF(SPINTE!D52=0,"",2*SPINTE!D49*F14^0.5)</f>
        <v/>
      </c>
      <c r="H15" s="697" t="str">
        <f>IF(SPINTE!D52=0,"",SPINTE!$D$48*D15+H13)</f>
        <v/>
      </c>
      <c r="I15" s="422"/>
      <c r="J15" s="422"/>
      <c r="K15" s="422"/>
      <c r="L15" s="422"/>
      <c r="M15" s="422"/>
      <c r="N15" s="422"/>
    </row>
    <row r="16" spans="2:32" x14ac:dyDescent="0.25">
      <c r="B16" s="934"/>
      <c r="C16" s="707" t="str">
        <f>IF(SPINTE!D52=0,"",C14+SPINTE!D52)</f>
        <v/>
      </c>
      <c r="D16" s="708" t="str">
        <f>IF(SPINTE!D52=0,"",SPINTE!D52)</f>
        <v/>
      </c>
      <c r="E16" s="709" t="str">
        <f>IF(SPINTE!D52=0,"",E80)</f>
        <v/>
      </c>
      <c r="F16" s="710" t="str">
        <f>IF(SPINTE!D52=0,"",IF(SPINTE!F47='FOGLIO DEPOSITO'!H172,VLOOKUP(SPINTE!C75,'FOGLIO DEPOSITO'!N178:Q184,4,FALSE),IF(SPINTE!D54="",VLOOKUP(SPINTE!C75,'FOGLIO DEPOSITO'!N178:Q184,2,FALSE),IF(SPINTE!D54&lt;=C16*0.85,1,VLOOKUP(SPINTE!C75,'FOGLIO DEPOSITO'!N178:Q184,2,FALSE)))))</f>
        <v/>
      </c>
      <c r="G16" s="709" t="str">
        <f>IF(SPINTE!D52=0,"",2*SPINTE!D49*F16^0.5)</f>
        <v/>
      </c>
      <c r="H16" s="711" t="str">
        <f>IF(SPINTE!D52=0,"",SPINTE!$D$48*D16+H13)</f>
        <v/>
      </c>
      <c r="I16" s="422"/>
      <c r="J16" s="422"/>
      <c r="K16" s="422"/>
      <c r="L16" s="422"/>
      <c r="M16" s="422"/>
      <c r="N16" s="422"/>
    </row>
    <row r="17" spans="2:20" x14ac:dyDescent="0.25">
      <c r="B17" s="798"/>
      <c r="C17" s="721"/>
      <c r="D17" s="721"/>
      <c r="E17" s="696"/>
      <c r="F17" s="300"/>
      <c r="G17" s="696"/>
      <c r="H17" s="696"/>
      <c r="I17" s="422"/>
      <c r="J17" s="422"/>
      <c r="K17" s="422"/>
      <c r="L17" s="422"/>
      <c r="M17" s="422"/>
      <c r="N17" s="422"/>
    </row>
    <row r="18" spans="2:20" x14ac:dyDescent="0.25">
      <c r="B18" s="23"/>
      <c r="C18" s="23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</row>
    <row r="19" spans="2:20" x14ac:dyDescent="0.25">
      <c r="B19" s="422"/>
      <c r="C19" s="933" t="s">
        <v>1017</v>
      </c>
      <c r="D19" s="933"/>
      <c r="E19" s="933"/>
      <c r="F19" s="938" t="s">
        <v>1016</v>
      </c>
      <c r="G19" s="938"/>
      <c r="H19" s="938"/>
      <c r="I19" s="935" t="s">
        <v>829</v>
      </c>
      <c r="J19" s="936"/>
      <c r="K19" s="936"/>
      <c r="L19" s="937"/>
      <c r="M19" s="422"/>
      <c r="N19" s="422"/>
    </row>
    <row r="20" spans="2:20" ht="18.75" x14ac:dyDescent="0.25">
      <c r="B20" s="230" t="s">
        <v>54</v>
      </c>
      <c r="C20" s="174" t="s">
        <v>499</v>
      </c>
      <c r="D20" s="236" t="s">
        <v>500</v>
      </c>
      <c r="E20" s="237" t="s">
        <v>501</v>
      </c>
      <c r="F20" s="244" t="s">
        <v>810</v>
      </c>
      <c r="G20" s="244" t="s">
        <v>811</v>
      </c>
      <c r="H20" s="245" t="s">
        <v>812</v>
      </c>
      <c r="I20" s="466" t="s">
        <v>803</v>
      </c>
      <c r="J20" s="244" t="s">
        <v>804</v>
      </c>
      <c r="K20" s="244" t="s">
        <v>805</v>
      </c>
      <c r="L20" s="286" t="s">
        <v>507</v>
      </c>
      <c r="M20" s="422"/>
      <c r="N20" s="422"/>
    </row>
    <row r="21" spans="2:20" x14ac:dyDescent="0.25">
      <c r="B21" s="939" t="str">
        <f>$B$8</f>
        <v>1°strato: ghiaia-sabbie</v>
      </c>
      <c r="C21" s="695">
        <f>'FOGLIO DEPOSITO'!C242+'FOGLIO DEPOSITO'!D242</f>
        <v>0</v>
      </c>
      <c r="D21" s="696">
        <f>SPINTE!$D$69</f>
        <v>1</v>
      </c>
      <c r="E21" s="697">
        <f>SPINTE!$D$70</f>
        <v>1</v>
      </c>
      <c r="F21" s="696">
        <f>'FOGLIO DEPOSITO'!G225/DATI!$E$263</f>
        <v>0</v>
      </c>
      <c r="G21" s="696">
        <f>'FOGLIO DEPOSITO'!H225/DATI!$E$264</f>
        <v>0.50908492020515517</v>
      </c>
      <c r="H21" s="697">
        <f>'FOGLIO DEPOSITO'!I225/DATI!$E$265</f>
        <v>0.50908492020515517</v>
      </c>
      <c r="I21" s="698"/>
      <c r="J21" s="698"/>
      <c r="K21" s="698"/>
      <c r="L21" s="699"/>
      <c r="M21" s="422"/>
      <c r="N21" s="422"/>
    </row>
    <row r="22" spans="2:20" x14ac:dyDescent="0.25">
      <c r="B22" s="940"/>
      <c r="C22" s="695">
        <f>'FOGLIO DEPOSITO'!C243+'FOGLIO DEPOSITO'!D243</f>
        <v>90.577108660695842</v>
      </c>
      <c r="D22" s="696">
        <f>SPINTE!$D$69</f>
        <v>1</v>
      </c>
      <c r="E22" s="697">
        <f>SPINTE!$D$70</f>
        <v>1</v>
      </c>
      <c r="F22" s="696">
        <f>'FOGLIO DEPOSITO'!G226/DATI!$E$263</f>
        <v>49.066129070591195</v>
      </c>
      <c r="G22" s="696">
        <f>'FOGLIO DEPOSITO'!H226/DATI!$E$264</f>
        <v>0.50908492020515517</v>
      </c>
      <c r="H22" s="697">
        <f>'FOGLIO DEPOSITO'!I226/DATI!$E$265</f>
        <v>0.50908492020515517</v>
      </c>
      <c r="I22" s="693">
        <f>(I38-G38-H38)/DATI!$E$263</f>
        <v>307.8089825447276</v>
      </c>
      <c r="J22" s="693">
        <f>DATI!E61*((G21*C9)*IF(SPINTE!C75='FOGLIO DEPOSITO'!N181,1+'FOGLIO DEPOSITO'!S188,IF(SPINTE!C75='FOGLIO DEPOSITO'!N182,1-'FOGLIO DEPOSITO'!S188,1)))</f>
        <v>6.81474014869322</v>
      </c>
      <c r="K22" s="693">
        <f>DATI!E61*((H21*C9)*IF(SPINTE!C75='FOGLIO DEPOSITO'!N181,1+'FOGLIO DEPOSITO'!S188,IF(SPINTE!C75='FOGLIO DEPOSITO'!N182,1-'FOGLIO DEPOSITO'!S188,1)))</f>
        <v>6.81474014869322</v>
      </c>
      <c r="L22" s="702">
        <f>DATI!$E$61*(('FOGLIO DEPOSITO'!Q226-'FOGLIO DEPOSITO'!Q225)*('ANALISI DELLE SPINTE'!C9-'ANALISI DELLE SPINTE'!C8)/2*(('ANALISI DELLE SPINTE'!C9-'ANALISI DELLE SPINTE'!C8)*IF('FOGLIO DEPOSITO'!Q226&gt;'FOGLIO DEPOSITO'!Q225,1/3,IF('FOGLIO DEPOSITO'!Q226='FOGLIO DEPOSITO'!Q225,1/2,2/3))+SPINTE!$D$60-'ANALISI DELLE SPINTE'!C9)+'FOGLIO DEPOSITO'!Q225*('ANALISI DELLE SPINTE'!C9-'ANALISI DELLE SPINTE'!C8)*(('ANALISI DELLE SPINTE'!C9-'ANALISI DELLE SPINTE'!C8)/2+SPINTE!$D$60-'ANALISI DELLE SPINTE'!C9))*COS(RADIANS(SPINTE!D37))</f>
        <v>512.22856725663632</v>
      </c>
      <c r="M22" s="422"/>
      <c r="N22" s="422"/>
    </row>
    <row r="23" spans="2:20" x14ac:dyDescent="0.25">
      <c r="B23" s="941"/>
      <c r="C23" s="712">
        <f>'FOGLIO DEPOSITO'!C244+'FOGLIO DEPOSITO'!D244</f>
        <v>90.577108660695842</v>
      </c>
      <c r="D23" s="709">
        <f>SPINTE!$D$69</f>
        <v>1</v>
      </c>
      <c r="E23" s="711">
        <f>SPINTE!$D$70</f>
        <v>1</v>
      </c>
      <c r="F23" s="712">
        <f>'FOGLIO DEPOSITO'!G227/DATI!$E$263</f>
        <v>49.066129070591195</v>
      </c>
      <c r="G23" s="709">
        <f>'FOGLIO DEPOSITO'!H227/DATI!$E$264</f>
        <v>0.50908492020515517</v>
      </c>
      <c r="H23" s="711">
        <f>'FOGLIO DEPOSITO'!I227/DATI!$E$265</f>
        <v>0.50908492020515517</v>
      </c>
      <c r="I23" s="713">
        <f>(I39-G39-H39)/DATI!$E$263</f>
        <v>0</v>
      </c>
      <c r="J23" s="714">
        <f>DATI!E61*((G22*(C10-C9))*IF(SPINTE!C75='FOGLIO DEPOSITO'!N181,1+'FOGLIO DEPOSITO'!S188,IF(SPINTE!C75='FOGLIO DEPOSITO'!N182,1-'FOGLIO DEPOSITO'!S188,1)))</f>
        <v>0</v>
      </c>
      <c r="K23" s="714">
        <f>DATI!E61*((H22*(C10-C9))*IF(SPINTE!C75='FOGLIO DEPOSITO'!N181,1+'FOGLIO DEPOSITO'!S188,IF(SPINTE!C75='FOGLIO DEPOSITO'!N182,1-'FOGLIO DEPOSITO'!S188,1)))</f>
        <v>0</v>
      </c>
      <c r="L23" s="715">
        <f>DATI!$E$61*(('FOGLIO DEPOSITO'!Q227-'FOGLIO DEPOSITO'!Q226)*('ANALISI DELLE SPINTE'!C10-'ANALISI DELLE SPINTE'!C9)/2*(('ANALISI DELLE SPINTE'!C10-'ANALISI DELLE SPINTE'!C9)*IF('FOGLIO DEPOSITO'!Q227&gt;'FOGLIO DEPOSITO'!Q226,1/3,IF('FOGLIO DEPOSITO'!Q227='FOGLIO DEPOSITO'!Q226,1/2,2/3))+SPINTE!$D$60-'ANALISI DELLE SPINTE'!C10)+'FOGLIO DEPOSITO'!Q226*('ANALISI DELLE SPINTE'!C10-'ANALISI DELLE SPINTE'!C9)*(('ANALISI DELLE SPINTE'!C10-'ANALISI DELLE SPINTE'!C9)/2+SPINTE!$D$60-'ANALISI DELLE SPINTE'!C10))*COS(RADIANS(SPINTE!D37))</f>
        <v>0</v>
      </c>
      <c r="M23" s="422"/>
      <c r="N23" s="422"/>
    </row>
    <row r="24" spans="2:20" x14ac:dyDescent="0.25">
      <c r="B24" s="939" t="str">
        <f>$B$11</f>
        <v/>
      </c>
      <c r="C24" s="695" t="str">
        <f>IF(SPINTE!D45=0,"",'FOGLIO DEPOSITO'!C245+'FOGLIO DEPOSITO'!D245)</f>
        <v/>
      </c>
      <c r="D24" s="696" t="str">
        <f>IF(SPINTE!D45=0,"",SPINTE!$D$69)</f>
        <v/>
      </c>
      <c r="E24" s="697" t="str">
        <f>IF(SPINTE!D45=0,"",SPINTE!$D$70)</f>
        <v/>
      </c>
      <c r="F24" s="696" t="str">
        <f>IF(SPINTE!D45=0,"",'FOGLIO DEPOSITO'!G228/DATI!$E$263)</f>
        <v/>
      </c>
      <c r="G24" s="696" t="str">
        <f>IF(SPINTE!D45=0,"",'FOGLIO DEPOSITO'!H228/DATI!$E$264)</f>
        <v/>
      </c>
      <c r="H24" s="697" t="str">
        <f>IF(SPINTE!D45=0,"",'FOGLIO DEPOSITO'!I228/DATI!$E$265)</f>
        <v/>
      </c>
      <c r="I24" s="693" t="str">
        <f>IF(SPINTE!D45=0,"",(I40-G40-H40)/DATI!$E$263)</f>
        <v/>
      </c>
      <c r="J24" s="693" t="str">
        <f>IF(SPINTE!D45=0,"",DATI!E61*IF(SPINTE!D45=0,"",G23*(C11-C10))*IF(SPINTE!C75='FOGLIO DEPOSITO'!N181,1+'FOGLIO DEPOSITO'!S188,IF(SPINTE!C75='FOGLIO DEPOSITO'!N182,1-'FOGLIO DEPOSITO'!S188,1)))</f>
        <v/>
      </c>
      <c r="K24" s="693" t="str">
        <f>IF(SPINTE!D45=0,"",DATI!E61*IF(SPINTE!D45=0,"",H23*(C11-C10))*IF(SPINTE!C75='FOGLIO DEPOSITO'!N181,1+'FOGLIO DEPOSITO'!S188,IF(SPINTE!C75='FOGLIO DEPOSITO'!N182,1-'FOGLIO DEPOSITO'!S188,1)))</f>
        <v/>
      </c>
      <c r="L24" s="702" t="str">
        <f>IF(SPINTE!D45=0,"",DATI!E61*(('FOGLIO DEPOSITO'!Q228-'FOGLIO DEPOSITO'!Q227)*('ANALISI DELLE SPINTE'!C11-'ANALISI DELLE SPINTE'!C10)/2*(('ANALISI DELLE SPINTE'!C11-'ANALISI DELLE SPINTE'!C10)*IF('FOGLIO DEPOSITO'!Q228&gt;'FOGLIO DEPOSITO'!Q227,1/3,IF('FOGLIO DEPOSITO'!Q228='FOGLIO DEPOSITO'!Q227,1/2,2/3))+SPINTE!$D$60-'ANALISI DELLE SPINTE'!C11)+'FOGLIO DEPOSITO'!Q227*('ANALISI DELLE SPINTE'!C11-'ANALISI DELLE SPINTE'!C10)*(('ANALISI DELLE SPINTE'!C11-'ANALISI DELLE SPINTE'!C10)/2+SPINTE!$D$60-'ANALISI DELLE SPINTE'!C11))*COS(RADIANS(SPINTE!D44)))</f>
        <v/>
      </c>
      <c r="M24" s="422"/>
      <c r="N24" s="422"/>
    </row>
    <row r="25" spans="2:20" x14ac:dyDescent="0.25">
      <c r="B25" s="940"/>
      <c r="C25" s="695" t="str">
        <f>IF(SPINTE!D45=0,"",'FOGLIO DEPOSITO'!C246+'FOGLIO DEPOSITO'!D246)</f>
        <v/>
      </c>
      <c r="D25" s="696" t="str">
        <f>IF(SPINTE!D45=0,"",SPINTE!$D$69)</f>
        <v/>
      </c>
      <c r="E25" s="697" t="str">
        <f>IF(SPINTE!D45=0,"",SPINTE!$D$70)</f>
        <v/>
      </c>
      <c r="F25" s="696" t="str">
        <f>IF(SPINTE!D45=0,"",'FOGLIO DEPOSITO'!G229/DATI!$E$263)</f>
        <v/>
      </c>
      <c r="G25" s="696" t="str">
        <f>IF(SPINTE!D45=0,"",'FOGLIO DEPOSITO'!H229/DATI!$E$264)</f>
        <v/>
      </c>
      <c r="H25" s="697" t="str">
        <f>IF(SPINTE!D45=0,"",'FOGLIO DEPOSITO'!I229/DATI!$E$265)</f>
        <v/>
      </c>
      <c r="I25" s="693" t="str">
        <f>IF(SPINTE!D45=0,"",(I41-G41-H41)/DATI!$E$263)</f>
        <v/>
      </c>
      <c r="J25" s="693" t="str">
        <f>IF(SPINTE!D45=0,"",DATI!E61*IF(SPINTE!D45=0,"",G24*(C12-C11))*IF(SPINTE!C75='FOGLIO DEPOSITO'!N181,1+'FOGLIO DEPOSITO'!S188,IF(SPINTE!C75='FOGLIO DEPOSITO'!N182,1-'FOGLIO DEPOSITO'!S188,1)))</f>
        <v/>
      </c>
      <c r="K25" s="693" t="str">
        <f>IF(SPINTE!D45=0,"",DATI!E61*IF(SPINTE!D45=0,"",H24*(C12-C11))*IF(SPINTE!C75='FOGLIO DEPOSITO'!N181,1+'FOGLIO DEPOSITO'!S188,IF(SPINTE!C75='FOGLIO DEPOSITO'!N182,1-'FOGLIO DEPOSITO'!S188,1)))</f>
        <v/>
      </c>
      <c r="L25" s="702" t="str">
        <f>IF(SPINTE!D45=0,"",DATI!E61*(('FOGLIO DEPOSITO'!Q229-'FOGLIO DEPOSITO'!Q228)*('ANALISI DELLE SPINTE'!C12-'ANALISI DELLE SPINTE'!C11)/2*(('ANALISI DELLE SPINTE'!C12-'ANALISI DELLE SPINTE'!C11)*IF('FOGLIO DEPOSITO'!Q229&gt;'FOGLIO DEPOSITO'!Q228,1/3,IF('FOGLIO DEPOSITO'!Q229='FOGLIO DEPOSITO'!Q228,1/2,2/3))+SPINTE!$D$60-'ANALISI DELLE SPINTE'!C12)+'FOGLIO DEPOSITO'!Q228*('ANALISI DELLE SPINTE'!C12-'ANALISI DELLE SPINTE'!C11)*(('ANALISI DELLE SPINTE'!C12-'ANALISI DELLE SPINTE'!C11)/2+SPINTE!$D$60-'ANALISI DELLE SPINTE'!C12))*COS(RADIANS(SPINTE!D44)))</f>
        <v/>
      </c>
      <c r="M25" s="422"/>
      <c r="N25" s="422"/>
    </row>
    <row r="26" spans="2:20" x14ac:dyDescent="0.25">
      <c r="B26" s="941"/>
      <c r="C26" s="712" t="str">
        <f>IF(SPINTE!D45=0,"",'FOGLIO DEPOSITO'!C247+'FOGLIO DEPOSITO'!D247)</f>
        <v/>
      </c>
      <c r="D26" s="709" t="str">
        <f>IF(SPINTE!D45=0,"",SPINTE!$D$69)</f>
        <v/>
      </c>
      <c r="E26" s="711" t="str">
        <f>IF(SPINTE!D45=0,"",SPINTE!$D$70)</f>
        <v/>
      </c>
      <c r="F26" s="712" t="str">
        <f>IF(SPINTE!D45=0,"",'FOGLIO DEPOSITO'!G230/DATI!$E$263)</f>
        <v/>
      </c>
      <c r="G26" s="709" t="str">
        <f>IF(SPINTE!D45=0,"",'FOGLIO DEPOSITO'!H230/DATI!$E$264)</f>
        <v/>
      </c>
      <c r="H26" s="711" t="str">
        <f>IF(SPINTE!D45=0,"",'FOGLIO DEPOSITO'!I230/DATI!$E$265)</f>
        <v/>
      </c>
      <c r="I26" s="713" t="str">
        <f>IF(SPINTE!D45=0,"",(I42-G42-H42)/DATI!$E$263)</f>
        <v/>
      </c>
      <c r="J26" s="714" t="str">
        <f>IF(SPINTE!D45=0,"",DATI!E61*IF(SPINTE!D45=0,"",G25*(C13-C12))*IF(SPINTE!C75='FOGLIO DEPOSITO'!N181,1+'FOGLIO DEPOSITO'!S188,IF(SPINTE!C75='FOGLIO DEPOSITO'!N182,1-'FOGLIO DEPOSITO'!S188,1)))</f>
        <v/>
      </c>
      <c r="K26" s="714" t="str">
        <f>IF(SPINTE!D45=0,"",DATI!E61*IF(SPINTE!D45=0,"",H25*(C13-C12))*IF(SPINTE!C75='FOGLIO DEPOSITO'!N181,1+'FOGLIO DEPOSITO'!S188,IF(SPINTE!C75='FOGLIO DEPOSITO'!N182,1-'FOGLIO DEPOSITO'!S188,1)))</f>
        <v/>
      </c>
      <c r="L26" s="715" t="str">
        <f>IF(SPINTE!D45=0,"",DATI!E61*(('FOGLIO DEPOSITO'!Q230-'FOGLIO DEPOSITO'!Q229)*('ANALISI DELLE SPINTE'!C13-'ANALISI DELLE SPINTE'!C12)/2*(('ANALISI DELLE SPINTE'!C13-'ANALISI DELLE SPINTE'!C12)*IF('FOGLIO DEPOSITO'!Q230&gt;'FOGLIO DEPOSITO'!Q229,1/3,IF('FOGLIO DEPOSITO'!Q230='FOGLIO DEPOSITO'!Q229,1/2,2/3))+SPINTE!$D$60-'ANALISI DELLE SPINTE'!C13)+'FOGLIO DEPOSITO'!Q229*('ANALISI DELLE SPINTE'!C13-'ANALISI DELLE SPINTE'!C12)*(('ANALISI DELLE SPINTE'!C13-'ANALISI DELLE SPINTE'!C12)/2+SPINTE!$D$60-'ANALISI DELLE SPINTE'!C13))*COS(RADIANS(SPINTE!D44)))</f>
        <v/>
      </c>
      <c r="M26" s="422"/>
      <c r="N26" s="422"/>
    </row>
    <row r="27" spans="2:20" x14ac:dyDescent="0.25">
      <c r="B27" s="939" t="str">
        <f>$B$14</f>
        <v/>
      </c>
      <c r="C27" s="695" t="str">
        <f>IF(SPINTE!D52=0,"",'FOGLIO DEPOSITO'!C248+'FOGLIO DEPOSITO'!D248)</f>
        <v/>
      </c>
      <c r="D27" s="696" t="str">
        <f>IF(SPINTE!D52=0,"",SPINTE!$D$69)</f>
        <v/>
      </c>
      <c r="E27" s="697" t="str">
        <f>IF(SPINTE!D52=0,"",SPINTE!$D$70)</f>
        <v/>
      </c>
      <c r="F27" s="696" t="str">
        <f>IF(SPINTE!D52=0,"",'FOGLIO DEPOSITO'!G231/DATI!$E$263)</f>
        <v/>
      </c>
      <c r="G27" s="696" t="str">
        <f>IF(SPINTE!D52=0,"",'FOGLIO DEPOSITO'!H231/DATI!$E$264)</f>
        <v/>
      </c>
      <c r="H27" s="697" t="str">
        <f>IF(SPINTE!D52=0,"",'FOGLIO DEPOSITO'!I231/DATI!$E$265)</f>
        <v/>
      </c>
      <c r="I27" s="693" t="str">
        <f>IF(SPINTE!D52=0,"",(I43-G43-H43)/DATI!$E$263)</f>
        <v/>
      </c>
      <c r="J27" s="693" t="str">
        <f>IF(SPINTE!D52=0,"",DATI!E61*IF(SPINTE!D52=0,"",G26*(C14-C13))*IF(SPINTE!C75='FOGLIO DEPOSITO'!N181,1+'FOGLIO DEPOSITO'!S188,IF(SPINTE!C75='FOGLIO DEPOSITO'!N182,1-'FOGLIO DEPOSITO'!S188,1)))</f>
        <v/>
      </c>
      <c r="K27" s="693" t="str">
        <f>IF(SPINTE!D52=0,"",DATI!E61*IF(SPINTE!D52=0,"",H26*(C14-C13))*IF(SPINTE!C75='FOGLIO DEPOSITO'!N181,1+'FOGLIO DEPOSITO'!S188,IF(SPINTE!C75='FOGLIO DEPOSITO'!N182,1-'FOGLIO DEPOSITO'!S188,1)))</f>
        <v/>
      </c>
      <c r="L27" s="702" t="str">
        <f>IF(SPINTE!D52=0,"",DATI!E61*(('FOGLIO DEPOSITO'!Q231-'FOGLIO DEPOSITO'!Q230)*('ANALISI DELLE SPINTE'!C14-'ANALISI DELLE SPINTE'!C13)/2*(('ANALISI DELLE SPINTE'!C14-'ANALISI DELLE SPINTE'!C13)*IF('FOGLIO DEPOSITO'!Q231&gt;'FOGLIO DEPOSITO'!Q230,1/3,IF('FOGLIO DEPOSITO'!Q231='FOGLIO DEPOSITO'!Q230,1/2,2/3))+SPINTE!$D$60-'ANALISI DELLE SPINTE'!C14)+'FOGLIO DEPOSITO'!Q230*('ANALISI DELLE SPINTE'!C14-'ANALISI DELLE SPINTE'!C13)*(('ANALISI DELLE SPINTE'!C14-'ANALISI DELLE SPINTE'!C13)/2+SPINTE!$D$60-'ANALISI DELLE SPINTE'!C14))*COS(RADIANS(SPINTE!D51)))</f>
        <v/>
      </c>
      <c r="M27" s="422"/>
      <c r="N27" s="422"/>
    </row>
    <row r="28" spans="2:20" x14ac:dyDescent="0.25">
      <c r="B28" s="940"/>
      <c r="C28" s="695" t="str">
        <f>IF(SPINTE!D52=0,"",'FOGLIO DEPOSITO'!C249+'FOGLIO DEPOSITO'!D249)</f>
        <v/>
      </c>
      <c r="D28" s="696" t="str">
        <f>IF(SPINTE!D52=0,"",SPINTE!$D$69)</f>
        <v/>
      </c>
      <c r="E28" s="697" t="str">
        <f>IF(SPINTE!D52=0,"",SPINTE!$D$70)</f>
        <v/>
      </c>
      <c r="F28" s="696" t="str">
        <f>IF(SPINTE!D52=0,"",'FOGLIO DEPOSITO'!G232/DATI!$E$263)</f>
        <v/>
      </c>
      <c r="G28" s="696" t="str">
        <f>IF(SPINTE!D52=0,"",'FOGLIO DEPOSITO'!H232/DATI!$E$264)</f>
        <v/>
      </c>
      <c r="H28" s="697" t="str">
        <f>IF(SPINTE!D52=0,"",'FOGLIO DEPOSITO'!I232/DATI!$E$265)</f>
        <v/>
      </c>
      <c r="I28" s="693" t="str">
        <f>IF(SPINTE!D52=0,"",(I44-G44-H44)/DATI!$E$263)</f>
        <v/>
      </c>
      <c r="J28" s="693" t="str">
        <f>IF(SPINTE!D52=0,"",DATI!E61*IF(SPINTE!D52=0,"",G27*(C15-C14))*IF(SPINTE!C75='FOGLIO DEPOSITO'!N181,1+'FOGLIO DEPOSITO'!S188,IF(SPINTE!C75='FOGLIO DEPOSITO'!N182,1-'FOGLIO DEPOSITO'!S188,1)))</f>
        <v/>
      </c>
      <c r="K28" s="693" t="str">
        <f>IF(SPINTE!D52=0,"",DATI!E61*IF(SPINTE!D52=0,"",H27*(C15-C14))*IF(SPINTE!C75='FOGLIO DEPOSITO'!N181,1+'FOGLIO DEPOSITO'!S188,IF(SPINTE!C75='FOGLIO DEPOSITO'!N182,1-'FOGLIO DEPOSITO'!S188,1)))</f>
        <v/>
      </c>
      <c r="L28" s="702" t="str">
        <f>IF(SPINTE!D52=0,"",DATI!E61*(('FOGLIO DEPOSITO'!Q232-'FOGLIO DEPOSITO'!Q231)*('ANALISI DELLE SPINTE'!C15-'ANALISI DELLE SPINTE'!C14)/2*(('ANALISI DELLE SPINTE'!C15-'ANALISI DELLE SPINTE'!C14)*IF('FOGLIO DEPOSITO'!Q232&gt;'FOGLIO DEPOSITO'!Q231,1/3,IF('FOGLIO DEPOSITO'!Q232='FOGLIO DEPOSITO'!Q231,1/2,2/3))+SPINTE!$D$60-'ANALISI DELLE SPINTE'!C15)+'FOGLIO DEPOSITO'!Q231*('ANALISI DELLE SPINTE'!C15-'ANALISI DELLE SPINTE'!C14)*(('ANALISI DELLE SPINTE'!C15-'ANALISI DELLE SPINTE'!C14)/2+SPINTE!$D$60-'ANALISI DELLE SPINTE'!C15))*COS(RADIANS(SPINTE!D51)))</f>
        <v/>
      </c>
      <c r="M28" s="422"/>
      <c r="N28" s="422"/>
    </row>
    <row r="29" spans="2:20" x14ac:dyDescent="0.25">
      <c r="B29" s="941"/>
      <c r="C29" s="712" t="str">
        <f>IF(SPINTE!D52=0,"",'FOGLIO DEPOSITO'!C250+'FOGLIO DEPOSITO'!D250)</f>
        <v/>
      </c>
      <c r="D29" s="709" t="str">
        <f>IF(SPINTE!D52=0,"",SPINTE!$D$69)</f>
        <v/>
      </c>
      <c r="E29" s="711" t="str">
        <f>IF(SPINTE!D52=0,"",SPINTE!$D$70)</f>
        <v/>
      </c>
      <c r="F29" s="712" t="str">
        <f>IF(SPINTE!D52=0,"",'FOGLIO DEPOSITO'!G233/DATI!$E$263)</f>
        <v/>
      </c>
      <c r="G29" s="709" t="str">
        <f>IF(SPINTE!D52=0,"",'FOGLIO DEPOSITO'!H233/DATI!$E$264)</f>
        <v/>
      </c>
      <c r="H29" s="711" t="str">
        <f>IF(SPINTE!D52=0,"",'FOGLIO DEPOSITO'!I233/DATI!$E$265)</f>
        <v/>
      </c>
      <c r="I29" s="713" t="str">
        <f>IF(SPINTE!D52=0,"",(I45-G45-H45)/DATI!$E$263)</f>
        <v/>
      </c>
      <c r="J29" s="714" t="str">
        <f>IF(SPINTE!D52=0,"",DATI!E61*IF(SPINTE!D52=0,"",G28*(C16-C15))*IF(SPINTE!C75='FOGLIO DEPOSITO'!N181,1+'FOGLIO DEPOSITO'!S188,IF(SPINTE!C75='FOGLIO DEPOSITO'!N182,1-'FOGLIO DEPOSITO'!S188,1)))</f>
        <v/>
      </c>
      <c r="K29" s="714" t="str">
        <f>IF(SPINTE!D52=0,"",DATI!E61*IF(SPINTE!D52=0,"",H28*(C16-C15))*IF(SPINTE!C75='FOGLIO DEPOSITO'!N181,1+'FOGLIO DEPOSITO'!S188,IF(SPINTE!C75='FOGLIO DEPOSITO'!N182,1-'FOGLIO DEPOSITO'!S188,1)))</f>
        <v/>
      </c>
      <c r="L29" s="715" t="str">
        <f>IF(SPINTE!D52=0,"",DATI!E61*(('FOGLIO DEPOSITO'!Q233-'FOGLIO DEPOSITO'!Q232)*('ANALISI DELLE SPINTE'!C16-'ANALISI DELLE SPINTE'!C15)/2*(('ANALISI DELLE SPINTE'!C16-'ANALISI DELLE SPINTE'!C15)*IF('FOGLIO DEPOSITO'!Q233&gt;'FOGLIO DEPOSITO'!Q232,1/3,IF('FOGLIO DEPOSITO'!Q233='FOGLIO DEPOSITO'!Q232,1/2,2/3))+SPINTE!$D$60-'ANALISI DELLE SPINTE'!C16)+'FOGLIO DEPOSITO'!Q232*('ANALISI DELLE SPINTE'!C16-'ANALISI DELLE SPINTE'!C15)*(('ANALISI DELLE SPINTE'!C16-'ANALISI DELLE SPINTE'!C15)/2+SPINTE!$D$60-'ANALISI DELLE SPINTE'!C16))*COS(RADIANS(SPINTE!D51)))</f>
        <v/>
      </c>
      <c r="M29" s="422"/>
      <c r="N29" s="422"/>
    </row>
    <row r="30" spans="2:20" x14ac:dyDescent="0.25">
      <c r="B30" s="422"/>
      <c r="C30" s="696"/>
      <c r="D30" s="696"/>
      <c r="E30" s="696"/>
      <c r="F30" s="696"/>
      <c r="G30" s="696"/>
      <c r="H30" s="696"/>
      <c r="I30" s="686">
        <f>SUM(I21:I29)</f>
        <v>307.8089825447276</v>
      </c>
      <c r="J30" s="686">
        <f>SUM(J21:J29)</f>
        <v>6.81474014869322</v>
      </c>
      <c r="K30" s="686">
        <f>SUM(K21:K29)</f>
        <v>6.81474014869322</v>
      </c>
      <c r="L30" s="722">
        <f>SUM(L21:L29)</f>
        <v>512.22856725663632</v>
      </c>
      <c r="M30" s="422"/>
      <c r="N30" s="422"/>
      <c r="S30" s="662"/>
      <c r="T30" s="723"/>
    </row>
    <row r="31" spans="2:20" x14ac:dyDescent="0.25">
      <c r="B31" s="422"/>
      <c r="C31" s="696"/>
      <c r="D31" s="696"/>
      <c r="E31" s="696"/>
      <c r="F31" s="696"/>
      <c r="G31" s="696"/>
      <c r="H31" s="696"/>
      <c r="I31" s="723"/>
      <c r="J31" s="723"/>
      <c r="K31" s="723"/>
      <c r="L31" s="723"/>
      <c r="M31" s="422"/>
      <c r="N31" s="422"/>
    </row>
    <row r="32" spans="2:20" ht="16.5" thickBot="1" x14ac:dyDescent="0.3">
      <c r="B32" s="422"/>
      <c r="C32" s="696"/>
      <c r="D32" s="696"/>
      <c r="E32" s="696"/>
      <c r="F32" s="696"/>
      <c r="G32" s="696"/>
      <c r="H32" s="696"/>
      <c r="I32" s="723"/>
      <c r="J32" s="723"/>
      <c r="K32" s="463" t="s">
        <v>831</v>
      </c>
      <c r="L32" s="730">
        <f>SPINTE!H88-L46+L30</f>
        <v>707.52943358988841</v>
      </c>
      <c r="M32" s="422"/>
      <c r="N32" s="422"/>
    </row>
    <row r="33" spans="2:14" x14ac:dyDescent="0.25">
      <c r="B33" s="422"/>
      <c r="C33" s="696"/>
      <c r="D33" s="696"/>
      <c r="E33" s="696"/>
      <c r="F33" s="696"/>
      <c r="G33" s="696"/>
      <c r="H33" s="696"/>
      <c r="I33" s="422"/>
      <c r="J33" s="422"/>
      <c r="K33" s="422"/>
      <c r="L33" s="422"/>
      <c r="M33" s="422"/>
      <c r="N33" s="422"/>
    </row>
    <row r="34" spans="2:14" x14ac:dyDescent="0.25">
      <c r="B34" s="422"/>
      <c r="C34" s="422"/>
      <c r="D34" s="422"/>
      <c r="E34" s="422"/>
      <c r="F34" s="422"/>
      <c r="G34" s="422"/>
      <c r="H34" s="422"/>
      <c r="I34" s="422"/>
      <c r="J34" s="422"/>
      <c r="K34" s="422"/>
      <c r="L34" s="422"/>
      <c r="M34" s="422"/>
      <c r="N34" s="422"/>
    </row>
    <row r="35" spans="2:14" x14ac:dyDescent="0.25">
      <c r="B35" s="422"/>
      <c r="C35" s="938" t="s">
        <v>820</v>
      </c>
      <c r="D35" s="938"/>
      <c r="E35" s="938"/>
      <c r="F35" s="938" t="s">
        <v>821</v>
      </c>
      <c r="G35" s="938"/>
      <c r="H35" s="938"/>
      <c r="I35" s="938" t="s">
        <v>806</v>
      </c>
      <c r="J35" s="938"/>
      <c r="K35" s="938"/>
      <c r="L35" s="938"/>
      <c r="M35" s="422"/>
      <c r="N35" s="422"/>
    </row>
    <row r="36" spans="2:14" s="421" customFormat="1" ht="18.75" x14ac:dyDescent="0.25">
      <c r="B36" s="230" t="s">
        <v>54</v>
      </c>
      <c r="C36" s="466" t="s">
        <v>807</v>
      </c>
      <c r="D36" s="244" t="s">
        <v>808</v>
      </c>
      <c r="E36" s="245" t="s">
        <v>809</v>
      </c>
      <c r="F36" s="244" t="s">
        <v>813</v>
      </c>
      <c r="G36" s="244" t="s">
        <v>814</v>
      </c>
      <c r="H36" s="245" t="s">
        <v>815</v>
      </c>
      <c r="I36" s="245" t="s">
        <v>816</v>
      </c>
      <c r="J36" s="286" t="s">
        <v>817</v>
      </c>
      <c r="K36" s="286" t="s">
        <v>818</v>
      </c>
      <c r="L36" s="245" t="s">
        <v>830</v>
      </c>
      <c r="M36" s="422"/>
      <c r="N36" s="422"/>
    </row>
    <row r="37" spans="2:14" s="421" customFormat="1" x14ac:dyDescent="0.25">
      <c r="B37" s="939" t="str">
        <f>$B$8</f>
        <v>1°strato: ghiaia-sabbie</v>
      </c>
      <c r="C37" s="700"/>
      <c r="D37" s="698"/>
      <c r="E37" s="698"/>
      <c r="F37" s="700"/>
      <c r="G37" s="698"/>
      <c r="H37" s="701"/>
      <c r="I37" s="53"/>
      <c r="J37" s="53"/>
      <c r="K37" s="53"/>
      <c r="L37" s="53"/>
      <c r="M37" s="422"/>
      <c r="N37" s="422"/>
    </row>
    <row r="38" spans="2:14" s="421" customFormat="1" x14ac:dyDescent="0.25">
      <c r="B38" s="940"/>
      <c r="C38" s="703">
        <f>DATI!$E$263</f>
        <v>1</v>
      </c>
      <c r="D38" s="704">
        <f>DATI!$E$264</f>
        <v>1</v>
      </c>
      <c r="E38" s="704">
        <f>DATI!$E$265</f>
        <v>1</v>
      </c>
      <c r="F38" s="705">
        <f t="shared" ref="F38:H39" si="0">I22*C38</f>
        <v>307.8089825447276</v>
      </c>
      <c r="G38" s="693">
        <f t="shared" si="0"/>
        <v>6.81474014869322</v>
      </c>
      <c r="H38" s="706">
        <f t="shared" si="0"/>
        <v>6.81474014869322</v>
      </c>
      <c r="I38" s="706">
        <f>DATI!E61*(('FOGLIO DEPOSITO'!K225*C9+('FOGLIO DEPOSITO'!K226-'FOGLIO DEPOSITO'!K225)*C9/2))</f>
        <v>321.43846284211401</v>
      </c>
      <c r="J38" s="706">
        <f>I38*COS(RADIANS(SPINTE!$D$37+IF(DATI!G211="SX",0,'FOGLIO DEPOSITO'!D196)))</f>
        <v>279.66028731966276</v>
      </c>
      <c r="K38" s="706">
        <f>I38*SIN(RADIANS(SPINTE!$D$37+IF(DATI!G211="SX",0,'FOGLIO DEPOSITO'!D196)))</f>
        <v>158.47021515283168</v>
      </c>
      <c r="L38" s="702">
        <f>DATI!$E$61*(('FOGLIO DEPOSITO'!K226-'FOGLIO DEPOSITO'!K225)*(C9-C8)/2*((C9-C8)*IF('FOGLIO DEPOSITO'!K226&gt;'FOGLIO DEPOSITO'!K225,1/3,IF('FOGLIO DEPOSITO'!K226='FOGLIO DEPOSITO'!K225,1/2,2/3))+SPINTE!$D$60-C9)+'FOGLIO DEPOSITO'!K225*(C9-C8)*((C9-C8)/2+SPINTE!$D$60-C9))*COS(RADIANS(SPINTE!D37+IF(DATI!G211="SX",0,'FOGLIO DEPOSITO'!D196)))</f>
        <v>478.43543709461386</v>
      </c>
      <c r="M38" s="422"/>
      <c r="N38" s="422"/>
    </row>
    <row r="39" spans="2:14" s="421" customFormat="1" x14ac:dyDescent="0.25">
      <c r="B39" s="941"/>
      <c r="C39" s="716">
        <f>DATI!$E$263</f>
        <v>1</v>
      </c>
      <c r="D39" s="717">
        <f>DATI!$E$264</f>
        <v>1</v>
      </c>
      <c r="E39" s="717">
        <f>DATI!$E$265</f>
        <v>1</v>
      </c>
      <c r="F39" s="713">
        <f t="shared" si="0"/>
        <v>0</v>
      </c>
      <c r="G39" s="714">
        <f t="shared" si="0"/>
        <v>0</v>
      </c>
      <c r="H39" s="718">
        <f t="shared" si="0"/>
        <v>0</v>
      </c>
      <c r="I39" s="718">
        <f>DATI!E61*(('FOGLIO DEPOSITO'!K226*(C10-C9)+('FOGLIO DEPOSITO'!K227-'FOGLIO DEPOSITO'!K226)*(C10-C9)/2))</f>
        <v>0</v>
      </c>
      <c r="J39" s="719">
        <f>I39*COS(RADIANS(SPINTE!D37+IF(DATI!G211="SX",0,'FOGLIO DEPOSITO'!D196)))</f>
        <v>0</v>
      </c>
      <c r="K39" s="718">
        <f>I39*SIN(RADIANS(SPINTE!$D$37+IF(DATI!G211="SX",0,'FOGLIO DEPOSITO'!D196)))</f>
        <v>0</v>
      </c>
      <c r="L39" s="715">
        <f>DATI!$E$61*(('FOGLIO DEPOSITO'!K227-'FOGLIO DEPOSITO'!K226)*(C10-C9)/2*((C10-C9)*IF('FOGLIO DEPOSITO'!K227&gt;'FOGLIO DEPOSITO'!K226,1/3,IF('FOGLIO DEPOSITO'!K227='FOGLIO DEPOSITO'!K226,1/2,2/3))+SPINTE!$D$60-C10)+'FOGLIO DEPOSITO'!K226*(C10-C9)*((C10-C9)/2+SPINTE!$D$60-C10))*COS(RADIANS(SPINTE!D37+IF(DATI!G211="SX",0,'FOGLIO DEPOSITO'!D196)))</f>
        <v>0</v>
      </c>
      <c r="M39" s="422"/>
      <c r="N39" s="422"/>
    </row>
    <row r="40" spans="2:14" s="421" customFormat="1" x14ac:dyDescent="0.25">
      <c r="B40" s="939" t="str">
        <f>$B$11</f>
        <v/>
      </c>
      <c r="C40" s="703" t="str">
        <f>IF(SPINTE!D45=0,"",DATI!$E$263)</f>
        <v/>
      </c>
      <c r="D40" s="704" t="str">
        <f>IF(SPINTE!D45=0,"",DATI!$E$264)</f>
        <v/>
      </c>
      <c r="E40" s="704" t="str">
        <f>IF(SPINTE!D45=0,"",DATI!$E$265)</f>
        <v/>
      </c>
      <c r="F40" s="705" t="str">
        <f>IF(SPINTE!D45=0,"",I24*C40)</f>
        <v/>
      </c>
      <c r="G40" s="693" t="str">
        <f>IF(SPINTE!D45=0,"",J24*D40)</f>
        <v/>
      </c>
      <c r="H40" s="706" t="str">
        <f>IF(SPINTE!D45=0,"",K24*E40)</f>
        <v/>
      </c>
      <c r="I40" s="706" t="str">
        <f>IF(SPINTE!D45=0,"",DATI!E61*IF(SPINTE!D45=0,"",'FOGLIO DEPOSITO'!K227*(C11-C10)+('FOGLIO DEPOSITO'!K228-'FOGLIO DEPOSITO'!K227)*(C11-C10)/2))</f>
        <v/>
      </c>
      <c r="J40" s="705" t="str">
        <f>IF(SPINTE!D45=0,"",I40*COS(RADIANS(SPINTE!$D$44+IF(DATI!G211="SX",0,'FOGLIO DEPOSITO'!D196))))</f>
        <v/>
      </c>
      <c r="K40" s="705" t="str">
        <f>IF(SPINTE!D45=0,"",I40*SIN(RADIANS(SPINTE!$D$44+IF(DATI!G211="SX",0,'FOGLIO DEPOSITO'!D196))))</f>
        <v/>
      </c>
      <c r="L40" s="702" t="str">
        <f>IF(SPINTE!D45=0,"",DATI!E61*(('FOGLIO DEPOSITO'!K228-'FOGLIO DEPOSITO'!K227)*(C11-C10)/2*((C11-C10)*IF('FOGLIO DEPOSITO'!K228&gt;'FOGLIO DEPOSITO'!K227,1/3,IF('FOGLIO DEPOSITO'!K228='FOGLIO DEPOSITO'!K227,1/2,2/3))+SPINTE!$D$60-C11)+'FOGLIO DEPOSITO'!K227*(C11-C10)*((C11-C10)/2+SPINTE!$D$60-C11))*COS(RADIANS(SPINTE!D44+IF(DATI!G211="SX",0,'FOGLIO DEPOSITO'!D196))))</f>
        <v/>
      </c>
      <c r="M40" s="422"/>
      <c r="N40" s="422"/>
    </row>
    <row r="41" spans="2:14" s="421" customFormat="1" x14ac:dyDescent="0.25">
      <c r="B41" s="940"/>
      <c r="C41" s="703" t="str">
        <f>IF(SPINTE!D45=0,"",DATI!$E$263)</f>
        <v/>
      </c>
      <c r="D41" s="704" t="str">
        <f>IF(SPINTE!D45=0,"",DATI!$E$264)</f>
        <v/>
      </c>
      <c r="E41" s="704" t="str">
        <f>IF(SPINTE!D45=0,"",DATI!$E$265)</f>
        <v/>
      </c>
      <c r="F41" s="705" t="str">
        <f>IF(SPINTE!D45=0,"",I25*C41)</f>
        <v/>
      </c>
      <c r="G41" s="693" t="str">
        <f>IF(SPINTE!D45=0,"",J25*D41)</f>
        <v/>
      </c>
      <c r="H41" s="706" t="str">
        <f>IF(SPINTE!D45=0,"",K25*E41)</f>
        <v/>
      </c>
      <c r="I41" s="706" t="str">
        <f>IF(SPINTE!D45=0,"",DATI!E61*IF(SPINTE!D45=0,"",'FOGLIO DEPOSITO'!K228*(C12-C11)+('FOGLIO DEPOSITO'!K229-'FOGLIO DEPOSITO'!K228)*(C12-C11)/2))</f>
        <v/>
      </c>
      <c r="J41" s="705" t="str">
        <f>IF(SPINTE!D45=0,"",I41*COS(RADIANS(SPINTE!$D$44+IF(DATI!G211="SX",0,'FOGLIO DEPOSITO'!D196))))</f>
        <v/>
      </c>
      <c r="K41" s="705" t="str">
        <f>IF(SPINTE!D45=0,"",I41*SIN(RADIANS(SPINTE!$D$44+IF(DATI!G211="SX",0,'FOGLIO DEPOSITO'!D196))))</f>
        <v/>
      </c>
      <c r="L41" s="702" t="str">
        <f>IF(SPINTE!D45=0,"",DATI!E61*(('FOGLIO DEPOSITO'!K229-'FOGLIO DEPOSITO'!K228)*(C12-C11)/2*((C12-C11)*IF('FOGLIO DEPOSITO'!K229&gt;'FOGLIO DEPOSITO'!K228,1/3,IF('FOGLIO DEPOSITO'!K229='FOGLIO DEPOSITO'!K228,1/2,2/3))+SPINTE!$D$60-C12)+'FOGLIO DEPOSITO'!K228*(C12-C11)*((C12-C11)/2+SPINTE!$D$60-C12))*COS(RADIANS(SPINTE!D44+IF(DATI!G211="SX",0,'FOGLIO DEPOSITO'!D196))))</f>
        <v/>
      </c>
      <c r="M41" s="422"/>
      <c r="N41" s="422"/>
    </row>
    <row r="42" spans="2:14" s="421" customFormat="1" x14ac:dyDescent="0.25">
      <c r="B42" s="941"/>
      <c r="C42" s="716" t="str">
        <f>IF(SPINTE!D45=0,"",DATI!$E$263)</f>
        <v/>
      </c>
      <c r="D42" s="717" t="str">
        <f>IF(SPINTE!D45=0,"",DATI!$E$264)</f>
        <v/>
      </c>
      <c r="E42" s="717" t="str">
        <f>IF(SPINTE!D45=0,"",DATI!$E$265)</f>
        <v/>
      </c>
      <c r="F42" s="713" t="str">
        <f>IF(SPINTE!D45=0,"",I26*C42)</f>
        <v/>
      </c>
      <c r="G42" s="714" t="str">
        <f>IF(SPINTE!D45=0,"",J26*D42)</f>
        <v/>
      </c>
      <c r="H42" s="718" t="str">
        <f>IF(SPINTE!D45=0,"",K26*E42)</f>
        <v/>
      </c>
      <c r="I42" s="718" t="str">
        <f>IF(SPINTE!D45=0,"",DATI!E61*IF(SPINTE!D45=0,"",'FOGLIO DEPOSITO'!K229*(C13-C12)+('FOGLIO DEPOSITO'!K230-'FOGLIO DEPOSITO'!K229)*(C13-C12)/2))</f>
        <v/>
      </c>
      <c r="J42" s="713" t="str">
        <f>IF(SPINTE!D45=0,"",I42*COS(RADIANS(SPINTE!$D$44+IF(DATI!G211="SX",0,'FOGLIO DEPOSITO'!D196))))</f>
        <v/>
      </c>
      <c r="K42" s="719" t="str">
        <f>IF(SPINTE!D45=0,"",I42*SIN(RADIANS(SPINTE!$D$44+IF(DATI!G211="SX",0,'FOGLIO DEPOSITO'!D196))))</f>
        <v/>
      </c>
      <c r="L42" s="715" t="str">
        <f>IF(SPINTE!D45=0,"",DATI!E61*(('FOGLIO DEPOSITO'!K230-'FOGLIO DEPOSITO'!K229)*(C13-C12)/2*((C13-C12)*IF('FOGLIO DEPOSITO'!K230&gt;'FOGLIO DEPOSITO'!K229,1/3,IF('FOGLIO DEPOSITO'!K230='FOGLIO DEPOSITO'!K229,1/2,2/3))+SPINTE!$D$60-C13)+'FOGLIO DEPOSITO'!K229*(C13-C12)*((C13-C12)/2+SPINTE!$D$60-C13))*COS(RADIANS(SPINTE!D44+IF(DATI!G211="SX",0,'FOGLIO DEPOSITO'!D196))))</f>
        <v/>
      </c>
      <c r="M42" s="422"/>
      <c r="N42" s="422"/>
    </row>
    <row r="43" spans="2:14" s="421" customFormat="1" x14ac:dyDescent="0.25">
      <c r="B43" s="939" t="str">
        <f>$B$14</f>
        <v/>
      </c>
      <c r="C43" s="703" t="str">
        <f>IF(SPINTE!D52=0,"",DATI!$E$263)</f>
        <v/>
      </c>
      <c r="D43" s="704" t="str">
        <f>IF(SPINTE!D52=0,"",DATI!$E$264)</f>
        <v/>
      </c>
      <c r="E43" s="704" t="str">
        <f>IF(SPINTE!D52=0,"",DATI!$E$265)</f>
        <v/>
      </c>
      <c r="F43" s="705" t="str">
        <f>IF(SPINTE!D52=0,"",I27*C43)</f>
        <v/>
      </c>
      <c r="G43" s="693" t="str">
        <f>IF(SPINTE!D52=0,"",J27*D43)</f>
        <v/>
      </c>
      <c r="H43" s="706" t="str">
        <f>IF(SPINTE!D52=0,"",K27*E43)</f>
        <v/>
      </c>
      <c r="I43" s="706" t="str">
        <f>IF(SPINTE!D52=0,"",DATI!E61*IF(SPINTE!D52=0,"",'FOGLIO DEPOSITO'!K230*(C14-C13)+('FOGLIO DEPOSITO'!K231-'FOGLIO DEPOSITO'!K230)*(C14-C13)/2))</f>
        <v/>
      </c>
      <c r="J43" s="705" t="str">
        <f>IF(SPINTE!D52=0,"",I43*COS(RADIANS(SPINTE!$D$51+IF(DATI!G211="SX",0,'FOGLIO DEPOSITO'!D196))))</f>
        <v/>
      </c>
      <c r="K43" s="705" t="str">
        <f>IF(SPINTE!D52=0,"",I43*SIN(RADIANS(SPINTE!$D$51+IF(DATI!G211="SX",0,'FOGLIO DEPOSITO'!D196))))</f>
        <v/>
      </c>
      <c r="L43" s="702" t="str">
        <f>IF(SPINTE!D52=0,"",DATI!E61*(('FOGLIO DEPOSITO'!K231-'FOGLIO DEPOSITO'!K230)*(C14-C13)/2*((C14-C13)*IF('FOGLIO DEPOSITO'!K231&gt;'FOGLIO DEPOSITO'!K230,1/3,IF('FOGLIO DEPOSITO'!K231='FOGLIO DEPOSITO'!K230,1/2,2/3))+SPINTE!$D$60-C14)+'FOGLIO DEPOSITO'!K230*(C14-C13)*((C14-C13)/2+SPINTE!$D$60-C14))*COS(RADIANS(SPINTE!D51+IF(DATI!G211="SX",0,'FOGLIO DEPOSITO'!D196))))</f>
        <v/>
      </c>
      <c r="M43" s="422"/>
      <c r="N43" s="422"/>
    </row>
    <row r="44" spans="2:14" s="421" customFormat="1" x14ac:dyDescent="0.25">
      <c r="B44" s="940"/>
      <c r="C44" s="703" t="str">
        <f>IF(SPINTE!D52=0,"",DATI!$E$263)</f>
        <v/>
      </c>
      <c r="D44" s="704" t="str">
        <f>IF(SPINTE!D52=0,"",DATI!$E$264)</f>
        <v/>
      </c>
      <c r="E44" s="704" t="str">
        <f>IF(SPINTE!D52=0,"",DATI!$E$265)</f>
        <v/>
      </c>
      <c r="F44" s="705" t="str">
        <f>IF(SPINTE!D52=0,"",I28*C44)</f>
        <v/>
      </c>
      <c r="G44" s="693" t="str">
        <f>IF(SPINTE!D52=0,"",J28*D44)</f>
        <v/>
      </c>
      <c r="H44" s="706" t="str">
        <f>IF(SPINTE!D52=0,"",K28*E44)</f>
        <v/>
      </c>
      <c r="I44" s="706" t="str">
        <f>IF(SPINTE!D52=0,"",DATI!E61*IF(SPINTE!D52=0,"",'FOGLIO DEPOSITO'!K231*(C15-C14)+('FOGLIO DEPOSITO'!K232-'FOGLIO DEPOSITO'!K231)*(C15-C14)/2))</f>
        <v/>
      </c>
      <c r="J44" s="705" t="str">
        <f>IF(SPINTE!D52=0,"",I44*COS(RADIANS(SPINTE!$D$51+IF(DATI!G211="SX",0,'FOGLIO DEPOSITO'!D196))))</f>
        <v/>
      </c>
      <c r="K44" s="705" t="str">
        <f>IF(SPINTE!D52=0,"",I44*SIN(RADIANS(SPINTE!$D$51+IF(DATI!G211="SX",0,'FOGLIO DEPOSITO'!D196))))</f>
        <v/>
      </c>
      <c r="L44" s="702" t="str">
        <f>IF(SPINTE!D52=0,"",DATI!E61*(('FOGLIO DEPOSITO'!K232-'FOGLIO DEPOSITO'!K231)*(C15-C14)/2*((C15-C14)*IF('FOGLIO DEPOSITO'!K232&gt;'FOGLIO DEPOSITO'!K231,1/3,IF('FOGLIO DEPOSITO'!K232='FOGLIO DEPOSITO'!K231,1/2,2/3))+SPINTE!$D$60-C15)+'FOGLIO DEPOSITO'!K231*(C15-C14)*((C15-C14)/2+SPINTE!$D$60-C15))*COS(RADIANS(SPINTE!D51+IF(DATI!G211="SX",0,'FOGLIO DEPOSITO'!D196))))</f>
        <v/>
      </c>
      <c r="M44" s="422"/>
      <c r="N44" s="422"/>
    </row>
    <row r="45" spans="2:14" s="421" customFormat="1" x14ac:dyDescent="0.25">
      <c r="B45" s="941"/>
      <c r="C45" s="716" t="str">
        <f>IF(SPINTE!D52=0,"",DATI!$E$263)</f>
        <v/>
      </c>
      <c r="D45" s="717" t="str">
        <f>IF(SPINTE!D52=0,"",DATI!$E$264)</f>
        <v/>
      </c>
      <c r="E45" s="717" t="str">
        <f>IF(SPINTE!D52=0,"",DATI!$E$265)</f>
        <v/>
      </c>
      <c r="F45" s="713" t="str">
        <f>IF(SPINTE!D52=0,"",I29*C45)</f>
        <v/>
      </c>
      <c r="G45" s="714" t="str">
        <f>IF(SPINTE!D52=0,"",J29*D45)</f>
        <v/>
      </c>
      <c r="H45" s="718" t="str">
        <f>IF(SPINTE!D52=0,"",K29*E45)</f>
        <v/>
      </c>
      <c r="I45" s="718" t="str">
        <f>IF(SPINTE!D52=0,"",DATI!E61*IF(SPINTE!D52=0,"",'FOGLIO DEPOSITO'!K232*(C16-C15)+('FOGLIO DEPOSITO'!K233-'FOGLIO DEPOSITO'!K232)*(C16-C15)/2))</f>
        <v/>
      </c>
      <c r="J45" s="713" t="str">
        <f>IF(SPINTE!D52=0,"",I45*COS(RADIANS(SPINTE!$D$51+IF(DATI!G211="SX",0,'FOGLIO DEPOSITO'!D196))))</f>
        <v/>
      </c>
      <c r="K45" s="719" t="str">
        <f>IF(SPINTE!D52=0,"",I45*SIN(RADIANS(SPINTE!$D$51+IF(DATI!G211="SX",0,'FOGLIO DEPOSITO'!D196))))</f>
        <v/>
      </c>
      <c r="L45" s="715" t="str">
        <f>IF(SPINTE!D52=0,"",DATI!E61*(('FOGLIO DEPOSITO'!K233-'FOGLIO DEPOSITO'!K232)*(C16-C15)/2*((C16-C15)*IF('FOGLIO DEPOSITO'!K233&gt;'FOGLIO DEPOSITO'!K232,1/3,IF('FOGLIO DEPOSITO'!K233='FOGLIO DEPOSITO'!K232,1/2,2/3))+SPINTE!$D$60-C16)+'FOGLIO DEPOSITO'!K232*(C16-C15)*((C16-C15)/2+SPINTE!$D$60-C16))*COS(RADIANS(SPINTE!D51+IF(DATI!G211="SX",0,'FOGLIO DEPOSITO'!D196))))</f>
        <v/>
      </c>
      <c r="M45" s="422"/>
      <c r="N45" s="422"/>
    </row>
    <row r="46" spans="2:14" s="421" customFormat="1" x14ac:dyDescent="0.25">
      <c r="B46" s="422"/>
      <c r="C46" s="723"/>
      <c r="D46" s="723"/>
      <c r="E46" s="723"/>
      <c r="F46" s="723"/>
      <c r="G46" s="724"/>
      <c r="H46" s="723"/>
      <c r="I46" s="686">
        <f>SUM(I37:I45)</f>
        <v>321.43846284211401</v>
      </c>
      <c r="J46" s="686">
        <f>SUM(J37:J45)</f>
        <v>279.66028731966276</v>
      </c>
      <c r="K46" s="686">
        <f>SUM(K37:K45)</f>
        <v>158.47021515283168</v>
      </c>
      <c r="L46" s="722">
        <f>SUM(L37:L45)</f>
        <v>478.43543709461386</v>
      </c>
      <c r="M46" s="422"/>
      <c r="N46" s="422"/>
    </row>
    <row r="47" spans="2:14" s="421" customFormat="1" x14ac:dyDescent="0.25">
      <c r="B47" s="422"/>
      <c r="C47" s="422"/>
      <c r="D47" s="422"/>
      <c r="E47" s="422"/>
      <c r="F47" s="422"/>
      <c r="G47" s="422"/>
      <c r="H47" s="422"/>
      <c r="I47" s="422"/>
      <c r="J47" s="422"/>
      <c r="K47" s="422"/>
      <c r="L47" s="422"/>
      <c r="M47" s="422"/>
      <c r="N47" s="422"/>
    </row>
    <row r="48" spans="2:14" s="421" customFormat="1" x14ac:dyDescent="0.25"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</row>
    <row r="49" spans="2:14" s="421" customFormat="1" ht="15.75" x14ac:dyDescent="0.25">
      <c r="B49" s="422"/>
      <c r="C49" s="291" t="str">
        <f>IF(SPINTE!C75='FOGLIO DEPOSITO'!N184," Ewd",IF(SPINTE!C75='FOGLIO DEPOSITO'!N181," Ewd",IF(SPINTE!C75='FOGLIO DEPOSITO'!N182,"Ewd","")))</f>
        <v xml:space="preserve"> Ewd</v>
      </c>
      <c r="D49" s="417" t="str">
        <f>IF(SPINTE!C75='FOGLIO DEPOSITO'!N184," Kh x Wtot  ",IF(SPINTE!C75='FOGLIO DEPOSITO'!N181," Kh x Wtot x γG1 ",IF(SPINTE!C75='FOGLIO DEPOSITO'!N182,"Kh x Wtot ","")))</f>
        <v xml:space="preserve"> Kh x Wtot x γG1 </v>
      </c>
      <c r="E49" s="291" t="str">
        <f>IF(SPINTE!C75='FOGLIO DEPOSITO'!N184," Kv x Wtot  ",IF(SPINTE!C75='FOGLIO DEPOSITO'!N181," Kv x Wtot x γG1 ",IF(SPINTE!C75='FOGLIO DEPOSITO'!N182,"Kv x Wtot ","")))</f>
        <v xml:space="preserve"> Kv x Wtot x γG1 </v>
      </c>
      <c r="F49" s="467" t="str">
        <f>IF(SPINTE!C75='FOGLIO DEPOSITO'!N184," Mr,Ewd",IF(SPINTE!C75='FOGLIO DEPOSITO'!N181," Mr,Ewd",IF(SPINTE!C75='FOGLIO DEPOSITO'!N182,"Mr,Ewd","")))</f>
        <v xml:space="preserve"> Mr,Ewd</v>
      </c>
      <c r="G49" s="467" t="str">
        <f>IF(SPINTE!C75='FOGLIO DEPOSITO'!N184," Mr (Kh x Wtot)",IF(SPINTE!C75='FOGLIO DEPOSITO'!N181," Mr (Kh x Wtot x γG1)",IF(SPINTE!C75='FOGLIO DEPOSITO'!N182,"Mr (Kh x Wtot )","")))</f>
        <v xml:space="preserve"> Mr (Kh x Wtot x γG1)</v>
      </c>
      <c r="H49" s="291" t="str">
        <f>IF(SPINTE!C75='FOGLIO DEPOSITO'!N184," Sw","")</f>
        <v/>
      </c>
      <c r="I49" s="291" t="str">
        <f>IF(SPINTE!C75='FOGLIO DEPOSITO'!N184," Mw","")</f>
        <v/>
      </c>
      <c r="J49" s="422"/>
      <c r="K49" s="422"/>
      <c r="L49" s="422"/>
      <c r="M49" s="422"/>
      <c r="N49" s="422"/>
    </row>
    <row r="50" spans="2:14" s="421" customFormat="1" x14ac:dyDescent="0.25">
      <c r="B50" s="230" t="s">
        <v>54</v>
      </c>
      <c r="C50" s="23"/>
      <c r="D50" s="23"/>
      <c r="E50" s="23"/>
      <c r="F50" s="23"/>
      <c r="G50" s="23"/>
      <c r="H50" s="19"/>
      <c r="I50" s="787"/>
      <c r="J50" s="422"/>
      <c r="K50" s="422"/>
      <c r="L50" s="422"/>
      <c r="M50" s="422"/>
      <c r="N50" s="422"/>
    </row>
    <row r="51" spans="2:14" s="421" customFormat="1" x14ac:dyDescent="0.25">
      <c r="B51" s="939" t="str">
        <f>$B$8</f>
        <v>1°strato: ghiaia-sabbie</v>
      </c>
      <c r="C51" s="422"/>
      <c r="D51" s="359"/>
      <c r="E51" s="693"/>
      <c r="F51" s="693"/>
      <c r="G51" s="693"/>
      <c r="H51" s="693"/>
      <c r="I51" s="19"/>
      <c r="J51" s="422"/>
      <c r="K51" s="422"/>
      <c r="L51" s="422"/>
      <c r="M51" s="422"/>
      <c r="N51" s="422"/>
    </row>
    <row r="52" spans="2:14" s="421" customFormat="1" x14ac:dyDescent="0.25">
      <c r="B52" s="940"/>
      <c r="C52" s="422"/>
      <c r="D52" s="359"/>
      <c r="E52" s="693"/>
      <c r="F52" s="693"/>
      <c r="G52" s="693"/>
      <c r="H52" s="693" t="str">
        <f>IF(SPINTE!C75='FOGLIO DEPOSITO'!N184,IF('FOGLIO DEPOSITO'!D244=0,'geom masse muro+tensioni'!Q32,'geom masse muro+tensioni'!Q32-SPINTE!D61)*SPINTE!D27*SPINTE!D38*SPINTE!D60,"")</f>
        <v/>
      </c>
      <c r="I52" s="359" t="str">
        <f>IF(SPINTE!C75='FOGLIO DEPOSITO'!N184,((SPINTE!D59-SPINTE!D38)+SPINTE!D38/2)*H52,"")</f>
        <v/>
      </c>
      <c r="J52" s="422"/>
      <c r="K52" s="422"/>
      <c r="L52" s="422"/>
      <c r="M52" s="422"/>
      <c r="N52" s="422"/>
    </row>
    <row r="53" spans="2:14" s="421" customFormat="1" x14ac:dyDescent="0.25">
      <c r="B53" s="941"/>
      <c r="C53" s="422"/>
      <c r="D53" s="359"/>
      <c r="E53" s="693"/>
      <c r="F53" s="693"/>
      <c r="G53" s="693"/>
      <c r="H53" s="19"/>
      <c r="I53" s="19"/>
      <c r="J53" s="422"/>
      <c r="K53" s="422"/>
      <c r="L53" s="422"/>
      <c r="M53" s="422"/>
      <c r="N53" s="422"/>
    </row>
    <row r="54" spans="2:14" s="421" customFormat="1" x14ac:dyDescent="0.25">
      <c r="B54" s="939" t="str">
        <f>$B$11</f>
        <v/>
      </c>
      <c r="C54" s="422"/>
      <c r="D54" s="359"/>
      <c r="E54" s="693"/>
      <c r="F54" s="693"/>
      <c r="G54" s="693"/>
      <c r="H54" s="19"/>
      <c r="I54" s="19"/>
      <c r="J54" s="422"/>
      <c r="K54" s="422"/>
      <c r="L54" s="422"/>
      <c r="M54" s="422"/>
      <c r="N54" s="422"/>
    </row>
    <row r="55" spans="2:14" s="421" customFormat="1" x14ac:dyDescent="0.25">
      <c r="B55" s="940"/>
      <c r="C55" s="422"/>
      <c r="D55" s="359"/>
      <c r="E55" s="693"/>
      <c r="F55" s="693"/>
      <c r="G55" s="693"/>
      <c r="H55" s="693" t="str">
        <f>IF('FOGLIO DEPOSITO'!D247="","",IF(SPINTE!C75="",0,IF(SPINTE!C75='FOGLIO DEPOSITO'!N184,IF('FOGLIO DEPOSITO'!D247=0,'geom masse muro+tensioni'!Q32,'geom masse muro+tensioni'!Q32-SPINTE!D61)*SPINTE!D27*SPINTE!D45*SPINTE!D60,"")))</f>
        <v/>
      </c>
      <c r="I55" s="359" t="str">
        <f>IF('FOGLIO DEPOSITO'!D247="","",IF(SPINTE!C75='FOGLIO DEPOSITO'!N184,((SPINTE!D59-SPINTE!D45-SPINTE!D38)+SPINTE!D45/2)*H55,""))</f>
        <v/>
      </c>
      <c r="J55" s="422"/>
      <c r="K55" s="422"/>
      <c r="L55" s="422"/>
      <c r="M55" s="422"/>
      <c r="N55" s="422"/>
    </row>
    <row r="56" spans="2:14" s="421" customFormat="1" x14ac:dyDescent="0.25">
      <c r="B56" s="941"/>
      <c r="C56" s="422"/>
      <c r="D56" s="359"/>
      <c r="E56" s="693"/>
      <c r="F56" s="693"/>
      <c r="G56" s="693"/>
      <c r="H56" s="787"/>
      <c r="I56" s="19"/>
      <c r="J56" s="422"/>
      <c r="K56" s="422"/>
      <c r="L56" s="422"/>
      <c r="M56" s="422"/>
      <c r="N56" s="422"/>
    </row>
    <row r="57" spans="2:14" s="421" customFormat="1" x14ac:dyDescent="0.25">
      <c r="B57" s="939" t="str">
        <f>$B$14</f>
        <v/>
      </c>
      <c r="C57" s="422"/>
      <c r="D57" s="359"/>
      <c r="E57" s="422"/>
      <c r="F57" s="422"/>
      <c r="G57" s="422"/>
      <c r="H57" s="787"/>
      <c r="I57" s="19"/>
      <c r="J57" s="422"/>
      <c r="K57" s="422"/>
      <c r="L57" s="422"/>
      <c r="M57" s="422"/>
      <c r="N57" s="422"/>
    </row>
    <row r="58" spans="2:14" s="421" customFormat="1" x14ac:dyDescent="0.25">
      <c r="B58" s="940"/>
      <c r="C58" s="422"/>
      <c r="D58" s="359"/>
      <c r="E58" s="693"/>
      <c r="F58" s="693"/>
      <c r="G58" s="649">
        <f>IF(SPINTE!C75='FOGLIO DEPOSITO'!N184,IF(SPINTE!I82="",0,DATI!E263*'VER. EQU COND. NON DRENATE'!C81),IF(SPINTE!C75='FOGLIO DEPOSITO'!N181,IF(SPINTE!I82="",0,DATI!E263*'VER. EQU COND. NON DRENATE'!C81),IF(SPINTE!C75='FOGLIO DEPOSITO'!N182,IF(SPINTE!I82="",0,DATI!E263*'VER. EQU COND. NON DRENATE'!C81),"")))</f>
        <v>2.2165813430007493</v>
      </c>
      <c r="H58" s="693" t="str">
        <f>IF('FOGLIO DEPOSITO'!D250="","",IF(SPINTE!C75='FOGLIO DEPOSITO'!N184,IF('FOGLIO DEPOSITO'!D250=0,'geom masse muro+tensioni'!Q32,'geom masse muro+tensioni'!Q32-SPINTE!D61)*SPINTE!D27*SPINTE!D52*SPINTE!D60,""))</f>
        <v/>
      </c>
      <c r="I58" s="359" t="str">
        <f>IF('FOGLIO DEPOSITO'!D250="","",IF(SPINTE!C75='FOGLIO DEPOSITO'!N184,SPINTE!D52/2*H58,""))</f>
        <v/>
      </c>
      <c r="J58" s="422"/>
      <c r="K58" s="422"/>
      <c r="L58" s="422"/>
      <c r="M58" s="422"/>
      <c r="N58" s="422"/>
    </row>
    <row r="59" spans="2:14" s="421" customFormat="1" x14ac:dyDescent="0.25">
      <c r="B59" s="941"/>
      <c r="C59" s="686">
        <f>IF(SPINTE!C75='FOGLIO DEPOSITO'!N184,SPINTE!G82,IF(SPINTE!C75='FOGLIO DEPOSITO'!N181,SPINTE!G82,IF(SPINTE!C75='FOGLIO DEPOSITO'!N182,SPINTE!G82,"")))</f>
        <v>0</v>
      </c>
      <c r="D59" s="686">
        <f>IF(SPINTE!C75='FOGLIO DEPOSITO'!N184,IF(SPINTE!I82="",0,SPINTE!H82*DATI!E263),IF(SPINTE!C75='FOGLIO DEPOSITO'!N181,IF(SPINTE!I82="",0,SPINTE!H82*DATI!E263),IF(SPINTE!C75='FOGLIO DEPOSITO'!N182,IF(SPINTE!I82="",0,SPINTE!H82*DATI!E263),"")))</f>
        <v>88.109045467674491</v>
      </c>
      <c r="E59" s="686">
        <f>IF(SPINTE!C75='FOGLIO DEPOSITO'!N184,IF(SPINTE!I82="",0,SPINTE!I82*DATI!E263),IF(SPINTE!C75='FOGLIO DEPOSITO'!N181,IF(SPINTE!I82="",0,SPINTE!I82*DATI!E263),IF(SPINTE!C75='FOGLIO DEPOSITO'!N182,IF(SPINTE!I82="",0,SPINTE!I82*DATI!E263),"")))</f>
        <v>44.054522733837246</v>
      </c>
      <c r="F59" s="722">
        <f>IF(SPINTE!C75='FOGLIO DEPOSITO'!N184,(C59)*DATI!G209/2,IF(SPINTE!C75='FOGLIO DEPOSITO'!N181,(C59)*DATI!G209/2,IF(SPINTE!C75='FOGLIO DEPOSITO'!N182,(C59)*DATI!G209/2,"")))</f>
        <v>0</v>
      </c>
      <c r="G59" s="722">
        <f>IF(SPINTE!C75='FOGLIO DEPOSITO'!N184,IF(SPINTE!I82="",0,SPINTE!H82*DATI!E263*'VER. EQU COND. NON DRENATE'!C81),IF(SPINTE!C75='FOGLIO DEPOSITO'!N181,IF(SPINTE!I82="",0,SPINTE!H82*DATI!E263*'VER. EQU COND. NON DRENATE'!C81),IF(SPINTE!C75='FOGLIO DEPOSITO'!N182,IF(SPINTE!I82="",0,SPINTE!H82*DATI!E263*'VER. EQU COND. NON DRENATE'!C81),"")))</f>
        <v>195.300866333252</v>
      </c>
      <c r="H59" s="725" t="str">
        <f>IF(SPINTE!C75='FOGLIO DEPOSITO'!N184,SUM(H52:H58),"")</f>
        <v/>
      </c>
      <c r="I59" s="725" t="str">
        <f>IF(SPINTE!C75='FOGLIO DEPOSITO'!N184,SUM(I52:I58),"")</f>
        <v/>
      </c>
      <c r="J59" s="422"/>
      <c r="K59" s="422"/>
      <c r="L59" s="422"/>
      <c r="M59" s="422"/>
      <c r="N59" s="422"/>
    </row>
    <row r="60" spans="2:14" s="421" customFormat="1" x14ac:dyDescent="0.25">
      <c r="B60" s="422"/>
      <c r="C60" s="422"/>
      <c r="D60" s="422"/>
      <c r="E60" s="422"/>
      <c r="F60" s="422"/>
      <c r="G60" s="422"/>
      <c r="H60" s="422"/>
      <c r="I60" s="422"/>
      <c r="J60" s="422"/>
      <c r="K60" s="422"/>
      <c r="L60" s="422"/>
      <c r="M60" s="422"/>
      <c r="N60" s="422"/>
    </row>
    <row r="61" spans="2:14" s="421" customFormat="1" x14ac:dyDescent="0.25">
      <c r="B61" s="933" t="s">
        <v>495</v>
      </c>
      <c r="C61" s="933"/>
      <c r="D61" s="422"/>
      <c r="E61" s="422"/>
      <c r="F61" s="422"/>
      <c r="G61" s="422"/>
      <c r="H61" s="422"/>
      <c r="I61" s="422"/>
      <c r="J61" s="422"/>
      <c r="K61" s="422"/>
      <c r="L61" s="422"/>
      <c r="M61" s="422"/>
      <c r="N61" s="422"/>
    </row>
    <row r="62" spans="2:14" s="421" customFormat="1" x14ac:dyDescent="0.25">
      <c r="B62" s="785" t="s">
        <v>508</v>
      </c>
      <c r="C62" s="726">
        <f>SUM('FOGLIO DEPOSITO'!AM163:AM171)</f>
        <v>0</v>
      </c>
      <c r="D62" s="422"/>
      <c r="E62" s="422"/>
      <c r="F62" s="422"/>
      <c r="G62" s="422"/>
      <c r="H62" s="422"/>
      <c r="I62" s="422"/>
      <c r="J62" s="422"/>
      <c r="K62" s="422"/>
      <c r="L62" s="422"/>
      <c r="M62" s="422"/>
      <c r="N62" s="422"/>
    </row>
    <row r="63" spans="2:14" s="421" customFormat="1" x14ac:dyDescent="0.25">
      <c r="B63" s="785" t="s">
        <v>509</v>
      </c>
      <c r="C63" s="729">
        <f>C62*SPINTE!D61</f>
        <v>0</v>
      </c>
      <c r="D63" s="422"/>
      <c r="E63" s="422"/>
      <c r="F63" s="422"/>
      <c r="G63" s="422"/>
      <c r="H63" s="422"/>
      <c r="I63" s="422"/>
      <c r="J63" s="422"/>
      <c r="K63" s="422"/>
      <c r="L63" s="422"/>
      <c r="M63" s="422"/>
      <c r="N63" s="422"/>
    </row>
    <row r="64" spans="2:14" s="421" customFormat="1" x14ac:dyDescent="0.25">
      <c r="B64" s="662"/>
      <c r="C64" s="723"/>
      <c r="D64" s="422"/>
      <c r="E64" s="422"/>
      <c r="F64" s="422"/>
      <c r="G64" s="422"/>
      <c r="H64" s="422"/>
      <c r="I64" s="422"/>
      <c r="J64" s="422"/>
      <c r="K64" s="422"/>
      <c r="L64" s="422"/>
      <c r="M64" s="422"/>
      <c r="N64" s="422"/>
    </row>
    <row r="65" spans="2:14" s="421" customFormat="1" x14ac:dyDescent="0.25">
      <c r="B65" s="662"/>
      <c r="C65" s="723"/>
      <c r="D65" s="422"/>
      <c r="E65" s="422"/>
      <c r="F65" s="422"/>
      <c r="G65" s="422"/>
      <c r="H65" s="422"/>
      <c r="I65" s="422"/>
      <c r="J65" s="422"/>
      <c r="K65" s="422"/>
      <c r="L65" s="422"/>
      <c r="M65" s="422"/>
      <c r="N65" s="422"/>
    </row>
    <row r="66" spans="2:14" s="421" customFormat="1" x14ac:dyDescent="0.25">
      <c r="B66" s="433" t="s">
        <v>1099</v>
      </c>
      <c r="C66" s="19"/>
      <c r="D66" s="19"/>
      <c r="E66" s="422"/>
      <c r="F66" s="422"/>
      <c r="G66" s="422"/>
      <c r="H66" s="422"/>
      <c r="I66" s="422"/>
      <c r="J66" s="422"/>
      <c r="K66" s="422"/>
      <c r="L66" s="422"/>
      <c r="M66" s="422"/>
      <c r="N66" s="422"/>
    </row>
    <row r="67" spans="2:14" s="421" customFormat="1" x14ac:dyDescent="0.25">
      <c r="B67" s="422"/>
      <c r="C67" s="423"/>
      <c r="D67" s="687"/>
      <c r="E67" s="422"/>
      <c r="F67" s="422"/>
      <c r="G67" s="422"/>
      <c r="H67" s="422"/>
      <c r="I67" s="422"/>
      <c r="J67" s="422"/>
      <c r="K67" s="422"/>
      <c r="L67" s="422"/>
      <c r="M67" s="422"/>
      <c r="N67" s="422"/>
    </row>
    <row r="68" spans="2:14" s="421" customFormat="1" ht="15.75" x14ac:dyDescent="0.25">
      <c r="B68" s="422"/>
      <c r="C68" s="422"/>
      <c r="D68" s="289" t="s">
        <v>780</v>
      </c>
      <c r="E68" s="422" t="str">
        <f>E4</f>
        <v>Mononobe Okabe K(kv+)</v>
      </c>
      <c r="F68" s="422"/>
      <c r="G68" s="422"/>
      <c r="H68" s="422"/>
      <c r="I68" s="422"/>
      <c r="J68" s="422"/>
      <c r="K68" s="422"/>
      <c r="L68" s="422"/>
      <c r="M68" s="422"/>
      <c r="N68" s="422"/>
    </row>
    <row r="69" spans="2:14" s="421" customFormat="1" x14ac:dyDescent="0.25">
      <c r="B69" s="422"/>
      <c r="C69" s="422"/>
      <c r="D69" s="422"/>
      <c r="E69" s="422"/>
      <c r="F69" s="422"/>
      <c r="G69" s="422"/>
      <c r="H69" s="422"/>
      <c r="I69" s="422"/>
      <c r="J69" s="422"/>
      <c r="K69" s="422"/>
      <c r="L69" s="422"/>
      <c r="M69" s="422"/>
      <c r="N69" s="422"/>
    </row>
    <row r="70" spans="2:14" s="421" customFormat="1" x14ac:dyDescent="0.25">
      <c r="B70" s="422"/>
      <c r="C70" s="422"/>
      <c r="D70" s="422"/>
      <c r="E70" s="422"/>
      <c r="F70" s="422"/>
      <c r="G70" s="422"/>
      <c r="H70" s="422"/>
      <c r="I70" s="422"/>
      <c r="J70" s="422"/>
      <c r="K70" s="422"/>
      <c r="L70" s="422"/>
      <c r="M70" s="422"/>
      <c r="N70" s="422"/>
    </row>
    <row r="71" spans="2:14" s="421" customFormat="1" x14ac:dyDescent="0.25">
      <c r="B71" s="231" t="s">
        <v>53</v>
      </c>
      <c r="C71" s="784" t="s">
        <v>22</v>
      </c>
      <c r="D71" s="691" t="s">
        <v>496</v>
      </c>
      <c r="E71" s="692" t="s">
        <v>497</v>
      </c>
      <c r="F71" s="691" t="str">
        <f>IF(SPINTE!C75='FOGLIO DEPOSITO'!N183,"K0",IF(SPINTE!C75='FOGLIO DEPOSITO'!N184,"K0","Ka"))</f>
        <v>Ka</v>
      </c>
      <c r="G71" s="692" t="s">
        <v>510</v>
      </c>
      <c r="H71" s="797" t="s">
        <v>498</v>
      </c>
      <c r="I71" s="422"/>
      <c r="J71" s="422"/>
      <c r="K71" s="422"/>
      <c r="L71" s="422"/>
      <c r="M71" s="422"/>
      <c r="N71" s="422"/>
    </row>
    <row r="72" spans="2:14" s="421" customFormat="1" x14ac:dyDescent="0.25">
      <c r="B72" s="934" t="str">
        <f>B8</f>
        <v>1°strato: ghiaia-sabbie</v>
      </c>
      <c r="C72" s="694">
        <f>C8</f>
        <v>0</v>
      </c>
      <c r="D72" s="649">
        <f>D8</f>
        <v>0</v>
      </c>
      <c r="E72" s="696">
        <f>IF(SPINTE!D61*(C72-'FOGLIO DEPOSITO'!$C$226)&lt;0,0,SPINTE!$D$61*(C72-'FOGLIO DEPOSITO'!$C$226))</f>
        <v>0</v>
      </c>
      <c r="F72" s="300">
        <f>VLOOKUP(SPINTE!C75,'FOGLIO DEPOSITO'!N178:Q184,2,FALSE)</f>
        <v>0.50908492020515517</v>
      </c>
      <c r="G72" s="696">
        <f>2*SPINTE!D36*F72^0.5</f>
        <v>0</v>
      </c>
      <c r="H72" s="697">
        <f t="shared" ref="H72:H80" si="1">H8</f>
        <v>0</v>
      </c>
      <c r="I72" s="422"/>
      <c r="J72" s="422"/>
      <c r="K72" s="422"/>
      <c r="L72" s="422"/>
      <c r="M72" s="422"/>
      <c r="N72" s="422"/>
    </row>
    <row r="73" spans="2:14" s="421" customFormat="1" x14ac:dyDescent="0.25">
      <c r="B73" s="934"/>
      <c r="C73" s="694">
        <f t="shared" ref="C73:D80" si="2">C9</f>
        <v>5.03206159226088</v>
      </c>
      <c r="D73" s="649">
        <f t="shared" si="2"/>
        <v>5.03206159226088</v>
      </c>
      <c r="E73" s="696">
        <f>IF(SPINTE!D61*(C73-'FOGLIO DEPOSITO'!$C$226)&lt;0,0,SPINTE!$D$61*(C73-'FOGLIO DEPOSITO'!$C$226))</f>
        <v>0</v>
      </c>
      <c r="F73" s="300">
        <f>VLOOKUP(SPINTE!C75,'FOGLIO DEPOSITO'!N178:Q184,2,FALSE)</f>
        <v>0.50908492020515517</v>
      </c>
      <c r="G73" s="696">
        <f>2*SPINTE!D36*F72^0.5</f>
        <v>0</v>
      </c>
      <c r="H73" s="697">
        <f t="shared" si="1"/>
        <v>90.577108660695842</v>
      </c>
      <c r="I73" s="422"/>
      <c r="J73" s="422"/>
      <c r="K73" s="422"/>
      <c r="L73" s="422"/>
      <c r="M73" s="422"/>
      <c r="N73" s="422"/>
    </row>
    <row r="74" spans="2:14" s="421" customFormat="1" x14ac:dyDescent="0.25">
      <c r="B74" s="934"/>
      <c r="C74" s="707">
        <f t="shared" si="2"/>
        <v>5.03206159226088</v>
      </c>
      <c r="D74" s="708">
        <f t="shared" si="2"/>
        <v>5.03206159226088</v>
      </c>
      <c r="E74" s="709">
        <f>IF(SPINTE!D61*(C74-'FOGLIO DEPOSITO'!$C$226)&lt;0,0,SPINTE!$D$61*(C74-'FOGLIO DEPOSITO'!$C$226))</f>
        <v>0</v>
      </c>
      <c r="F74" s="710">
        <f>VLOOKUP(SPINTE!C75,'FOGLIO DEPOSITO'!N178:Q184,2,FALSE)</f>
        <v>0.50908492020515517</v>
      </c>
      <c r="G74" s="709">
        <f>2*SPINTE!D36*F74^0.5</f>
        <v>0</v>
      </c>
      <c r="H74" s="711">
        <f t="shared" si="1"/>
        <v>90.577108660695842</v>
      </c>
      <c r="I74" s="422"/>
      <c r="J74" s="422"/>
      <c r="K74" s="422"/>
      <c r="L74" s="422"/>
      <c r="M74" s="422"/>
      <c r="N74" s="422"/>
    </row>
    <row r="75" spans="2:14" s="421" customFormat="1" x14ac:dyDescent="0.25">
      <c r="B75" s="934" t="str">
        <f>B11</f>
        <v/>
      </c>
      <c r="C75" s="694" t="str">
        <f t="shared" si="2"/>
        <v/>
      </c>
      <c r="D75" s="649" t="str">
        <f t="shared" si="2"/>
        <v/>
      </c>
      <c r="E75" s="696" t="str">
        <f>IF(SPINTE!D45=0,"",IF(SPINTE!D61*(C75-'FOGLIO DEPOSITO'!$C$226)&lt;0,0,SPINTE!$D$61*(C75-'FOGLIO DEPOSITO'!$C$226)))</f>
        <v/>
      </c>
      <c r="F75" s="300" t="str">
        <f>IF(SPINTE!D45=0,"",VLOOKUP(SPINTE!C75,'FOGLIO DEPOSITO'!N178:Q184,3,FALSE))</f>
        <v/>
      </c>
      <c r="G75" s="696" t="str">
        <f>IF(SPINTE!D45=0,"",2*SPINTE!D43*F75^0.5)</f>
        <v/>
      </c>
      <c r="H75" s="697" t="str">
        <f t="shared" si="1"/>
        <v/>
      </c>
      <c r="I75" s="422"/>
      <c r="J75" s="422"/>
      <c r="K75" s="422"/>
      <c r="L75" s="422"/>
      <c r="M75" s="422"/>
      <c r="N75" s="422"/>
    </row>
    <row r="76" spans="2:14" x14ac:dyDescent="0.25">
      <c r="B76" s="934"/>
      <c r="C76" s="694" t="str">
        <f t="shared" si="2"/>
        <v/>
      </c>
      <c r="D76" s="649" t="str">
        <f t="shared" si="2"/>
        <v/>
      </c>
      <c r="E76" s="696" t="str">
        <f>IF(SPINTE!D45=0,"",IF(SPINTE!D61*(C76-'FOGLIO DEPOSITO'!$C$226)&lt;0,0,SPINTE!$D$61*(C76-'FOGLIO DEPOSITO'!$C$226)))</f>
        <v/>
      </c>
      <c r="F76" s="300" t="str">
        <f>IF(SPINTE!D45=0,"",VLOOKUP(SPINTE!C75,'FOGLIO DEPOSITO'!N178:Q184,3,FALSE))</f>
        <v/>
      </c>
      <c r="G76" s="696" t="str">
        <f>IF(SPINTE!D45=0,"",2*SPINTE!D43*F75^0.5)</f>
        <v/>
      </c>
      <c r="H76" s="697" t="str">
        <f t="shared" si="1"/>
        <v/>
      </c>
      <c r="I76" s="422"/>
      <c r="J76" s="422"/>
      <c r="K76" s="422"/>
      <c r="L76" s="422"/>
      <c r="M76" s="422"/>
      <c r="N76" s="422"/>
    </row>
    <row r="77" spans="2:14" x14ac:dyDescent="0.25">
      <c r="B77" s="934"/>
      <c r="C77" s="707" t="str">
        <f t="shared" si="2"/>
        <v/>
      </c>
      <c r="D77" s="708" t="str">
        <f t="shared" si="2"/>
        <v/>
      </c>
      <c r="E77" s="709" t="str">
        <f>IF(SPINTE!D45=0,"",IF(SPINTE!D61*(C77-'FOGLIO DEPOSITO'!$C$226)&lt;0,0,SPINTE!$D$61*(C77-'FOGLIO DEPOSITO'!$C$226)))</f>
        <v/>
      </c>
      <c r="F77" s="710" t="str">
        <f>IF(SPINTE!D45=0,"",VLOOKUP(SPINTE!C75,'FOGLIO DEPOSITO'!N178:Q184,3,FALSE))</f>
        <v/>
      </c>
      <c r="G77" s="709" t="str">
        <f>IF(SPINTE!D45=0,"",2*SPINTE!D43*F77^0.5)</f>
        <v/>
      </c>
      <c r="H77" s="711" t="str">
        <f t="shared" si="1"/>
        <v/>
      </c>
      <c r="I77" s="422"/>
      <c r="J77" s="422"/>
      <c r="K77" s="422"/>
      <c r="L77" s="422"/>
      <c r="M77" s="422"/>
      <c r="N77" s="422"/>
    </row>
    <row r="78" spans="2:14" x14ac:dyDescent="0.25">
      <c r="B78" s="934" t="str">
        <f>B14</f>
        <v/>
      </c>
      <c r="C78" s="694" t="str">
        <f t="shared" si="2"/>
        <v/>
      </c>
      <c r="D78" s="649" t="str">
        <f t="shared" si="2"/>
        <v/>
      </c>
      <c r="E78" s="696" t="str">
        <f>IF(SPINTE!D52=0,"",IF(SPINTE!D61*(C78-'FOGLIO DEPOSITO'!$C$226)&lt;0,0,SPINTE!$D$61*(C78-'FOGLIO DEPOSITO'!$C$226)))</f>
        <v/>
      </c>
      <c r="F78" s="300" t="str">
        <f>IF(SPINTE!D52=0,"",VLOOKUP(SPINTE!C75,'FOGLIO DEPOSITO'!N178:Q184,4,FALSE))</f>
        <v/>
      </c>
      <c r="G78" s="696" t="str">
        <f>IF(SPINTE!D52=0,"",2*SPINTE!D50*F78^0.5)</f>
        <v/>
      </c>
      <c r="H78" s="697" t="str">
        <f t="shared" si="1"/>
        <v/>
      </c>
      <c r="I78" s="422"/>
      <c r="J78" s="422"/>
      <c r="K78" s="422"/>
      <c r="L78" s="422"/>
      <c r="M78" s="422"/>
      <c r="N78" s="422"/>
    </row>
    <row r="79" spans="2:14" x14ac:dyDescent="0.25">
      <c r="B79" s="934"/>
      <c r="C79" s="694" t="str">
        <f t="shared" si="2"/>
        <v/>
      </c>
      <c r="D79" s="649" t="str">
        <f t="shared" si="2"/>
        <v/>
      </c>
      <c r="E79" s="696" t="str">
        <f>IF(SPINTE!D52=0,"",IF(SPINTE!D61*(C79-'FOGLIO DEPOSITO'!$C$226)&lt;0,0,SPINTE!$D$61*(C79-'FOGLIO DEPOSITO'!$C$226)))</f>
        <v/>
      </c>
      <c r="F79" s="300" t="str">
        <f>IF(SPINTE!D52=0,"",VLOOKUP(SPINTE!C75,'FOGLIO DEPOSITO'!N178:Q184,4,FALSE))</f>
        <v/>
      </c>
      <c r="G79" s="696" t="str">
        <f>IF(SPINTE!D52=0,"",2*SPINTE!D50*F78^0.5)</f>
        <v/>
      </c>
      <c r="H79" s="697" t="str">
        <f t="shared" si="1"/>
        <v/>
      </c>
      <c r="I79" s="422"/>
      <c r="J79" s="422"/>
      <c r="K79" s="422"/>
      <c r="L79" s="422"/>
      <c r="M79" s="422"/>
      <c r="N79" s="422"/>
    </row>
    <row r="80" spans="2:14" x14ac:dyDescent="0.25">
      <c r="B80" s="934"/>
      <c r="C80" s="707" t="str">
        <f t="shared" si="2"/>
        <v/>
      </c>
      <c r="D80" s="708" t="str">
        <f t="shared" si="2"/>
        <v/>
      </c>
      <c r="E80" s="709" t="str">
        <f>IF(SPINTE!D52=0,"",IF(SPINTE!D61*(C80-'FOGLIO DEPOSITO'!$C$226)&lt;0,0,SPINTE!$D$61*(C80-'FOGLIO DEPOSITO'!$C$226)))</f>
        <v/>
      </c>
      <c r="F80" s="710" t="str">
        <f>IF(SPINTE!D52=0,"",VLOOKUP(SPINTE!C75,'FOGLIO DEPOSITO'!N178:Q184,4,FALSE))</f>
        <v/>
      </c>
      <c r="G80" s="709" t="str">
        <f>IF(SPINTE!D52=0,"",2*SPINTE!D50*F80^0.5)</f>
        <v/>
      </c>
      <c r="H80" s="711" t="str">
        <f t="shared" si="1"/>
        <v/>
      </c>
      <c r="I80" s="422"/>
      <c r="J80" s="422"/>
      <c r="K80" s="422"/>
      <c r="L80" s="422"/>
      <c r="M80" s="422"/>
      <c r="N80" s="422"/>
    </row>
    <row r="81" spans="2:32" x14ac:dyDescent="0.25">
      <c r="B81" s="422"/>
      <c r="C81" s="422"/>
      <c r="D81" s="422"/>
      <c r="E81" s="422"/>
      <c r="F81" s="422"/>
      <c r="G81" s="422"/>
      <c r="H81" s="422"/>
      <c r="I81" s="422"/>
      <c r="J81" s="422"/>
      <c r="K81" s="422"/>
      <c r="L81" s="422"/>
      <c r="M81" s="422"/>
      <c r="N81" s="422"/>
    </row>
    <row r="82" spans="2:32" x14ac:dyDescent="0.25">
      <c r="B82" s="422"/>
      <c r="C82" s="422"/>
      <c r="D82" s="422"/>
      <c r="E82" s="422"/>
      <c r="F82" s="422"/>
      <c r="G82" s="422"/>
      <c r="H82" s="422"/>
      <c r="I82" s="422"/>
      <c r="J82" s="422"/>
      <c r="K82" s="422"/>
      <c r="L82" s="422"/>
      <c r="M82" s="422"/>
      <c r="N82" s="422"/>
    </row>
    <row r="83" spans="2:32" x14ac:dyDescent="0.25">
      <c r="B83" s="422"/>
      <c r="C83" s="933" t="s">
        <v>1021</v>
      </c>
      <c r="D83" s="933"/>
      <c r="E83" s="933"/>
      <c r="F83" s="938" t="s">
        <v>1016</v>
      </c>
      <c r="G83" s="938"/>
      <c r="H83" s="938"/>
      <c r="I83" s="935" t="s">
        <v>829</v>
      </c>
      <c r="J83" s="936"/>
      <c r="K83" s="936"/>
      <c r="L83" s="937"/>
      <c r="M83" s="422"/>
      <c r="N83" s="422"/>
    </row>
    <row r="84" spans="2:32" ht="18.75" x14ac:dyDescent="0.25">
      <c r="B84" s="231" t="s">
        <v>53</v>
      </c>
      <c r="C84" s="174" t="s">
        <v>1020</v>
      </c>
      <c r="D84" s="236" t="s">
        <v>500</v>
      </c>
      <c r="E84" s="237" t="s">
        <v>501</v>
      </c>
      <c r="F84" s="244" t="s">
        <v>810</v>
      </c>
      <c r="G84" s="244" t="s">
        <v>811</v>
      </c>
      <c r="H84" s="245" t="s">
        <v>812</v>
      </c>
      <c r="I84" s="466" t="s">
        <v>803</v>
      </c>
      <c r="J84" s="244" t="s">
        <v>804</v>
      </c>
      <c r="K84" s="244" t="s">
        <v>805</v>
      </c>
      <c r="L84" s="286" t="s">
        <v>507</v>
      </c>
      <c r="M84" s="422"/>
      <c r="N84" s="422"/>
    </row>
    <row r="85" spans="2:32" x14ac:dyDescent="0.25">
      <c r="B85" s="934" t="str">
        <f>$B$72</f>
        <v>1°strato: ghiaia-sabbie</v>
      </c>
      <c r="C85" s="731">
        <f>'ANALISI DELLE SPINTE'!H72-'ANALISI DELLE SPINTE'!E72</f>
        <v>0</v>
      </c>
      <c r="D85" s="696">
        <f>SPINTE!$D$69</f>
        <v>1</v>
      </c>
      <c r="E85" s="697">
        <f>SPINTE!$D$70</f>
        <v>1</v>
      </c>
      <c r="F85" s="696">
        <f>'FOGLIO DEPOSITO'!G242/DATI!$E$263</f>
        <v>0</v>
      </c>
      <c r="G85" s="696">
        <f>'FOGLIO DEPOSITO'!H242/DATI!$E$264</f>
        <v>0.50908492020515517</v>
      </c>
      <c r="H85" s="732">
        <f>'FOGLIO DEPOSITO'!I242/DATI!$E$265</f>
        <v>0.50908492020515517</v>
      </c>
      <c r="I85" s="698"/>
      <c r="J85" s="698"/>
      <c r="K85" s="698"/>
      <c r="L85" s="699"/>
      <c r="M85" s="422"/>
      <c r="N85" s="422"/>
    </row>
    <row r="86" spans="2:32" x14ac:dyDescent="0.25">
      <c r="B86" s="934"/>
      <c r="C86" s="731">
        <f>'ANALISI DELLE SPINTE'!H73-'ANALISI DELLE SPINTE'!E73</f>
        <v>90.577108660695842</v>
      </c>
      <c r="D86" s="696">
        <f>SPINTE!$D$69</f>
        <v>1</v>
      </c>
      <c r="E86" s="697">
        <f>SPINTE!$D$70</f>
        <v>1</v>
      </c>
      <c r="F86" s="696">
        <f>'FOGLIO DEPOSITO'!G243/DATI!$E$263</f>
        <v>49.066129070591195</v>
      </c>
      <c r="G86" s="696">
        <f>'FOGLIO DEPOSITO'!H243/DATI!$E$264</f>
        <v>0.50908492020515517</v>
      </c>
      <c r="H86" s="697">
        <f>'FOGLIO DEPOSITO'!I243/DATI!$E$265</f>
        <v>0.50908492020515517</v>
      </c>
      <c r="I86" s="693">
        <f>(I102-G102-H102)/DATI!$E$263</f>
        <v>307.8089825447276</v>
      </c>
      <c r="J86" s="693">
        <f>DATI!E61*((G85*C73)*IF(SPINTE!C75='FOGLIO DEPOSITO'!N181,1+'FOGLIO DEPOSITO'!S188,IF(SPINTE!C75='FOGLIO DEPOSITO'!N182,1-'FOGLIO DEPOSITO'!S188,1)))</f>
        <v>6.81474014869322</v>
      </c>
      <c r="K86" s="693">
        <f>DATI!E61*((H85*C73)*IF(SPINTE!C75='FOGLIO DEPOSITO'!N181,1+'FOGLIO DEPOSITO'!S188,IF(SPINTE!C75='FOGLIO DEPOSITO'!N182,1-'FOGLIO DEPOSITO'!S188,1)))</f>
        <v>6.81474014869322</v>
      </c>
      <c r="L86" s="702">
        <f>DATI!$E$61*(('FOGLIO DEPOSITO'!Q243-'FOGLIO DEPOSITO'!Q242)*('ANALISI DELLE SPINTE'!C73-'ANALISI DELLE SPINTE'!C72)/2*(('ANALISI DELLE SPINTE'!C73-'ANALISI DELLE SPINTE'!C72)*IF('FOGLIO DEPOSITO'!Q243&gt;'FOGLIO DEPOSITO'!Q242,1/3,IF('FOGLIO DEPOSITO'!Q243='FOGLIO DEPOSITO'!Q242,1/2,2/3))+SPINTE!$D$60-'ANALISI DELLE SPINTE'!C73)+'FOGLIO DEPOSITO'!Q242*('ANALISI DELLE SPINTE'!C73-'ANALISI DELLE SPINTE'!C72)*(('ANALISI DELLE SPINTE'!C73-'ANALISI DELLE SPINTE'!C72)/2+SPINTE!$D$60-'ANALISI DELLE SPINTE'!C73))*COS(RADIANS(SPINTE!D37))</f>
        <v>512.22856725663632</v>
      </c>
      <c r="M86" s="422"/>
      <c r="N86" s="422"/>
    </row>
    <row r="87" spans="2:32" x14ac:dyDescent="0.25">
      <c r="B87" s="934"/>
      <c r="C87" s="712">
        <f>'ANALISI DELLE SPINTE'!H74-'ANALISI DELLE SPINTE'!E74</f>
        <v>90.577108660695842</v>
      </c>
      <c r="D87" s="709">
        <f>SPINTE!$D$69</f>
        <v>1</v>
      </c>
      <c r="E87" s="711">
        <f>SPINTE!$D$70</f>
        <v>1</v>
      </c>
      <c r="F87" s="712">
        <f>'FOGLIO DEPOSITO'!G244/DATI!$E$263</f>
        <v>49.066129070591195</v>
      </c>
      <c r="G87" s="709">
        <f>'FOGLIO DEPOSITO'!H244/DATI!$E$264</f>
        <v>0.50908492020515517</v>
      </c>
      <c r="H87" s="711">
        <f>'FOGLIO DEPOSITO'!I244/DATI!$E$265</f>
        <v>0.50908492020515517</v>
      </c>
      <c r="I87" s="713">
        <f>(I103-G103-H103)/DATI!$E$263</f>
        <v>0</v>
      </c>
      <c r="J87" s="714">
        <f>DATI!E61*((G86*(C74-C73))*IF(SPINTE!C75='FOGLIO DEPOSITO'!N181,1+'FOGLIO DEPOSITO'!S188,IF(SPINTE!C75='FOGLIO DEPOSITO'!N182,1-'FOGLIO DEPOSITO'!S188,1)))</f>
        <v>0</v>
      </c>
      <c r="K87" s="718">
        <f>DATI!E61*((H86*(C74-C73))*IF(SPINTE!C75='FOGLIO DEPOSITO'!N181,1+'FOGLIO DEPOSITO'!S188,IF(SPINTE!C75='FOGLIO DEPOSITO'!N182,1-'FOGLIO DEPOSITO'!S188,1)))</f>
        <v>0</v>
      </c>
      <c r="L87" s="715">
        <f>DATI!$E$61*(('FOGLIO DEPOSITO'!Q244-'FOGLIO DEPOSITO'!Q243)*('ANALISI DELLE SPINTE'!C74-'ANALISI DELLE SPINTE'!C73)/2*(('ANALISI DELLE SPINTE'!C74-'ANALISI DELLE SPINTE'!C73)*IF('FOGLIO DEPOSITO'!Q244&gt;'FOGLIO DEPOSITO'!Q243,1/3,IF('FOGLIO DEPOSITO'!Q244='FOGLIO DEPOSITO'!Q243,1/2,2/3))+SPINTE!$D$60-'ANALISI DELLE SPINTE'!C74)+'FOGLIO DEPOSITO'!Q243*('ANALISI DELLE SPINTE'!C74-'ANALISI DELLE SPINTE'!C73)*(('ANALISI DELLE SPINTE'!C74-'ANALISI DELLE SPINTE'!C73)/2+SPINTE!$D$60-'ANALISI DELLE SPINTE'!C74))*COS(RADIANS(SPINTE!D37))</f>
        <v>0</v>
      </c>
      <c r="M87" s="422"/>
      <c r="N87" s="422"/>
      <c r="AC87" s="690"/>
      <c r="AD87" s="690"/>
      <c r="AE87" s="690"/>
      <c r="AF87" s="690"/>
    </row>
    <row r="88" spans="2:32" x14ac:dyDescent="0.25">
      <c r="B88" s="934" t="str">
        <f>$B$75</f>
        <v/>
      </c>
      <c r="C88" s="731" t="str">
        <f>IF(SPINTE!D45=0,"",'ANALISI DELLE SPINTE'!H75-'ANALISI DELLE SPINTE'!E75)</f>
        <v/>
      </c>
      <c r="D88" s="696" t="str">
        <f>IF(SPINTE!D45=0,"",SPINTE!$D$69)</f>
        <v/>
      </c>
      <c r="E88" s="697" t="str">
        <f>IF(SPINTE!D45=0,"",SPINTE!$D$70)</f>
        <v/>
      </c>
      <c r="F88" s="696" t="str">
        <f>IF(SPINTE!D45=0,"",'FOGLIO DEPOSITO'!G245/DATI!$E$263)</f>
        <v/>
      </c>
      <c r="G88" s="696" t="str">
        <f>IF(SPINTE!D45=0,"",'FOGLIO DEPOSITO'!H245/DATI!$E$264)</f>
        <v/>
      </c>
      <c r="H88" s="697" t="str">
        <f>IF(SPINTE!D45=0,"",'FOGLIO DEPOSITO'!I245/DATI!$E$265)</f>
        <v/>
      </c>
      <c r="I88" s="693" t="str">
        <f>IF(SPINTE!D45=0,"",(I104-G104-H104)/DATI!$E$263)</f>
        <v/>
      </c>
      <c r="J88" s="693" t="str">
        <f>IF(SPINTE!D45=0,"",DATI!E61*IF(SPINTE!D45=0,"",G87*(C75-C74))*IF(SPINTE!C75='FOGLIO DEPOSITO'!N181,1+'FOGLIO DEPOSITO'!S188,IF(SPINTE!C75='FOGLIO DEPOSITO'!N182,1-'FOGLIO DEPOSITO'!S188,1)))</f>
        <v/>
      </c>
      <c r="K88" s="706" t="str">
        <f>IF(SPINTE!D45=0,"",DATI!E61*IF(SPINTE!D45=0,"",H87*(C75-C74))*IF(SPINTE!C75='FOGLIO DEPOSITO'!N181,1+'FOGLIO DEPOSITO'!S188,IF(SPINTE!C75='FOGLIO DEPOSITO'!N182,1-'FOGLIO DEPOSITO'!S188,1)))</f>
        <v/>
      </c>
      <c r="L88" s="702" t="str">
        <f>IF(SPINTE!D45=0,"",DATI!E61*(('FOGLIO DEPOSITO'!Q245-'FOGLIO DEPOSITO'!Q244)*('ANALISI DELLE SPINTE'!C75-'ANALISI DELLE SPINTE'!C74)/2*(('ANALISI DELLE SPINTE'!C75-'ANALISI DELLE SPINTE'!C74)*IF('FOGLIO DEPOSITO'!Q245&gt;'FOGLIO DEPOSITO'!Q244,1/3,IF('FOGLIO DEPOSITO'!Q245='FOGLIO DEPOSITO'!Q244,1/2,2/3))+SPINTE!$D$60-'ANALISI DELLE SPINTE'!C75)+'FOGLIO DEPOSITO'!Q244*('ANALISI DELLE SPINTE'!C75-'ANALISI DELLE SPINTE'!C74)*(('ANALISI DELLE SPINTE'!C75-'ANALISI DELLE SPINTE'!C74)/2+SPINTE!$D$60-'ANALISI DELLE SPINTE'!C75))*COS(RADIANS(SPINTE!D44)))</f>
        <v/>
      </c>
      <c r="M88" s="422"/>
      <c r="N88" s="422"/>
    </row>
    <row r="89" spans="2:32" x14ac:dyDescent="0.25">
      <c r="B89" s="934"/>
      <c r="C89" s="731" t="str">
        <f>IF(SPINTE!D45=0,"",'ANALISI DELLE SPINTE'!H76-'ANALISI DELLE SPINTE'!E76)</f>
        <v/>
      </c>
      <c r="D89" s="696" t="str">
        <f>IF(SPINTE!D45=0,"",SPINTE!$D$69)</f>
        <v/>
      </c>
      <c r="E89" s="697" t="str">
        <f>IF(SPINTE!D45=0,"",SPINTE!$D$70)</f>
        <v/>
      </c>
      <c r="F89" s="696" t="str">
        <f>IF(SPINTE!D45=0,"",'FOGLIO DEPOSITO'!G246/DATI!$E$263)</f>
        <v/>
      </c>
      <c r="G89" s="696" t="str">
        <f>IF(SPINTE!D45=0,"",'FOGLIO DEPOSITO'!H246/DATI!$E$264)</f>
        <v/>
      </c>
      <c r="H89" s="697" t="str">
        <f>IF(SPINTE!D45=0,"",'FOGLIO DEPOSITO'!I246/DATI!$E$265)</f>
        <v/>
      </c>
      <c r="I89" s="693" t="str">
        <f>IF(SPINTE!D45=0,"",(I105-G105-H105)/DATI!$E$263)</f>
        <v/>
      </c>
      <c r="J89" s="693" t="str">
        <f>IF(SPINTE!D45=0,"",DATI!E61*IF(SPINTE!D45=0,"",G88*(C76-C75))*IF(SPINTE!C75='FOGLIO DEPOSITO'!N181,1+'FOGLIO DEPOSITO'!S188,IF(SPINTE!C75='FOGLIO DEPOSITO'!N182,1-'FOGLIO DEPOSITO'!S188,1)))</f>
        <v/>
      </c>
      <c r="K89" s="706" t="str">
        <f>IF(SPINTE!D45=0,"",DATI!E61*IF(SPINTE!D45=0,"",H88*(C76-C75))*IF(SPINTE!C75='FOGLIO DEPOSITO'!N181,1+'FOGLIO DEPOSITO'!S188,IF(SPINTE!C75='FOGLIO DEPOSITO'!N182,1-'FOGLIO DEPOSITO'!S188,1)))</f>
        <v/>
      </c>
      <c r="L89" s="702" t="str">
        <f>IF(SPINTE!D45=0,"",DATI!E61*(('FOGLIO DEPOSITO'!Q246-'FOGLIO DEPOSITO'!Q245)*('ANALISI DELLE SPINTE'!C76-'ANALISI DELLE SPINTE'!C75)/2*(('ANALISI DELLE SPINTE'!C76-'ANALISI DELLE SPINTE'!C75)*IF('FOGLIO DEPOSITO'!Q246&gt;'FOGLIO DEPOSITO'!Q245,1/3,IF('FOGLIO DEPOSITO'!Q246='FOGLIO DEPOSITO'!Q245,1/2,2/3))+SPINTE!$D$60-'ANALISI DELLE SPINTE'!C76)+'FOGLIO DEPOSITO'!Q245*('ANALISI DELLE SPINTE'!C76-'ANALISI DELLE SPINTE'!C75)*(('ANALISI DELLE SPINTE'!C76-'ANALISI DELLE SPINTE'!C75)/2+SPINTE!$D$60-'ANALISI DELLE SPINTE'!C76))*COS(RADIANS(SPINTE!D44)))</f>
        <v/>
      </c>
      <c r="M89" s="422"/>
      <c r="N89" s="422"/>
    </row>
    <row r="90" spans="2:32" x14ac:dyDescent="0.25">
      <c r="B90" s="934"/>
      <c r="C90" s="712" t="str">
        <f>IF(SPINTE!D45=0,"",'ANALISI DELLE SPINTE'!H77-'ANALISI DELLE SPINTE'!E77)</f>
        <v/>
      </c>
      <c r="D90" s="709" t="str">
        <f>IF(SPINTE!D45=0,"",SPINTE!$D$69)</f>
        <v/>
      </c>
      <c r="E90" s="711" t="str">
        <f>IF(SPINTE!D45=0,"",SPINTE!$D$70)</f>
        <v/>
      </c>
      <c r="F90" s="712" t="str">
        <f>IF(SPINTE!D45=0,"",'FOGLIO DEPOSITO'!G247/DATI!$E$263)</f>
        <v/>
      </c>
      <c r="G90" s="709" t="str">
        <f>IF(SPINTE!D45=0,"",'FOGLIO DEPOSITO'!H247/DATI!$E$264)</f>
        <v/>
      </c>
      <c r="H90" s="711" t="str">
        <f>IF(SPINTE!D45=0,"",'FOGLIO DEPOSITO'!I247/DATI!$E$265)</f>
        <v/>
      </c>
      <c r="I90" s="713" t="str">
        <f>IF(SPINTE!D45=0,"",(I106-G106-H106)/DATI!$E$263)</f>
        <v/>
      </c>
      <c r="J90" s="714" t="str">
        <f>IF(SPINTE!D45=0,"",DATI!E61*IF(SPINTE!D45=0,"",G89*(C77-C76))*IF(SPINTE!C75='FOGLIO DEPOSITO'!N181,1+'FOGLIO DEPOSITO'!S188,IF(SPINTE!C75='FOGLIO DEPOSITO'!N182,1-'FOGLIO DEPOSITO'!S188,1)))</f>
        <v/>
      </c>
      <c r="K90" s="718" t="str">
        <f>IF(SPINTE!D45=0,"",DATI!E61*IF(SPINTE!D45=0,"",H89*(C77-C76))*IF(SPINTE!C75='FOGLIO DEPOSITO'!N181,1+'FOGLIO DEPOSITO'!S188,IF(SPINTE!C75='FOGLIO DEPOSITO'!N182,1-'FOGLIO DEPOSITO'!S188,1)))</f>
        <v/>
      </c>
      <c r="L90" s="715" t="str">
        <f>IF(SPINTE!D45=0,"",DATI!E61*(('FOGLIO DEPOSITO'!Q247-'FOGLIO DEPOSITO'!Q246)*('ANALISI DELLE SPINTE'!C77-'ANALISI DELLE SPINTE'!C76)/2*(('ANALISI DELLE SPINTE'!C77-'ANALISI DELLE SPINTE'!C76)*IF('FOGLIO DEPOSITO'!Q247&gt;'FOGLIO DEPOSITO'!Q246,1/3,IF('FOGLIO DEPOSITO'!Q247='FOGLIO DEPOSITO'!Q246,1/2,2/3))+SPINTE!$D$60-'ANALISI DELLE SPINTE'!C77)+'FOGLIO DEPOSITO'!Q246*('ANALISI DELLE SPINTE'!C77-'ANALISI DELLE SPINTE'!C76)*(('ANALISI DELLE SPINTE'!C77-'ANALISI DELLE SPINTE'!C76)/2+SPINTE!$D$60-'ANALISI DELLE SPINTE'!C77))*COS(RADIANS(SPINTE!D44)))</f>
        <v/>
      </c>
      <c r="M90" s="422"/>
      <c r="N90" s="422"/>
    </row>
    <row r="91" spans="2:32" x14ac:dyDescent="0.25">
      <c r="B91" s="934" t="str">
        <f>$B$78</f>
        <v/>
      </c>
      <c r="C91" s="731" t="str">
        <f>IF(SPINTE!D52=0,"",'ANALISI DELLE SPINTE'!H78-'ANALISI DELLE SPINTE'!E78)</f>
        <v/>
      </c>
      <c r="D91" s="696" t="str">
        <f>IF(SPINTE!D52=0,"",SPINTE!$D$69)</f>
        <v/>
      </c>
      <c r="E91" s="697" t="str">
        <f>IF(SPINTE!D52=0,"",SPINTE!$D$70)</f>
        <v/>
      </c>
      <c r="F91" s="696" t="str">
        <f>IF(SPINTE!D52=0,"",'FOGLIO DEPOSITO'!G248/DATI!$E$263)</f>
        <v/>
      </c>
      <c r="G91" s="696" t="str">
        <f>IF(SPINTE!D52=0,"",'FOGLIO DEPOSITO'!H248/DATI!$E$264)</f>
        <v/>
      </c>
      <c r="H91" s="697" t="str">
        <f>IF(SPINTE!D52=0,"",'FOGLIO DEPOSITO'!I248/DATI!$E$265)</f>
        <v/>
      </c>
      <c r="I91" s="693" t="str">
        <f>IF(SPINTE!D52=0,"",(I107-G107-H107)/DATI!$E$263)</f>
        <v/>
      </c>
      <c r="J91" s="693" t="str">
        <f>IF(SPINTE!D52=0,"",DATI!E61*IF(SPINTE!D52=0,"",G90*(C78-C77))*IF(SPINTE!C75='FOGLIO DEPOSITO'!N181,1+'FOGLIO DEPOSITO'!S188,IF(SPINTE!C75='FOGLIO DEPOSITO'!N182,1-'FOGLIO DEPOSITO'!S188,1)))</f>
        <v/>
      </c>
      <c r="K91" s="706" t="str">
        <f>IF(SPINTE!D52=0,"",DATI!E61*IF(SPINTE!D52=0,"",H90*(C78-C77))*IF(SPINTE!C75='FOGLIO DEPOSITO'!N181,1+'FOGLIO DEPOSITO'!S188,IF(SPINTE!C75='FOGLIO DEPOSITO'!N182,1-'FOGLIO DEPOSITO'!S188,1)))</f>
        <v/>
      </c>
      <c r="L91" s="702" t="str">
        <f>IF(SPINTE!D52=0,"",DATI!E61*(('FOGLIO DEPOSITO'!Q248-'FOGLIO DEPOSITO'!Q247)*('ANALISI DELLE SPINTE'!C78-'ANALISI DELLE SPINTE'!C77)/2*(('ANALISI DELLE SPINTE'!C78-'ANALISI DELLE SPINTE'!C77)*IF('FOGLIO DEPOSITO'!Q248&gt;'FOGLIO DEPOSITO'!Q247,1/3,IF('FOGLIO DEPOSITO'!Q248='FOGLIO DEPOSITO'!Q247,1/2,2/3))+SPINTE!$D$60-'ANALISI DELLE SPINTE'!C78)+'FOGLIO DEPOSITO'!Q247*('ANALISI DELLE SPINTE'!C78-'ANALISI DELLE SPINTE'!C77)*(('ANALISI DELLE SPINTE'!C78-'ANALISI DELLE SPINTE'!C77)/2+SPINTE!$D$60-'ANALISI DELLE SPINTE'!C78))*COS(RADIANS(SPINTE!D51)))</f>
        <v/>
      </c>
      <c r="M91" s="422"/>
      <c r="N91" s="422"/>
    </row>
    <row r="92" spans="2:32" x14ac:dyDescent="0.25">
      <c r="B92" s="934"/>
      <c r="C92" s="731" t="str">
        <f>IF(SPINTE!D52=0,"",'ANALISI DELLE SPINTE'!H79-'ANALISI DELLE SPINTE'!E79)</f>
        <v/>
      </c>
      <c r="D92" s="696" t="str">
        <f>IF(SPINTE!D52=0,"",SPINTE!$D$69)</f>
        <v/>
      </c>
      <c r="E92" s="697" t="str">
        <f>IF(SPINTE!D52=0,"",SPINTE!$D$70)</f>
        <v/>
      </c>
      <c r="F92" s="696" t="str">
        <f>IF(SPINTE!D52=0,"",'FOGLIO DEPOSITO'!G249/DATI!$E$263)</f>
        <v/>
      </c>
      <c r="G92" s="696" t="str">
        <f>IF(SPINTE!D52=0,"",'FOGLIO DEPOSITO'!H249/DATI!$E$264)</f>
        <v/>
      </c>
      <c r="H92" s="697" t="str">
        <f>IF(SPINTE!D52=0,"",'FOGLIO DEPOSITO'!I249/DATI!$E$265)</f>
        <v/>
      </c>
      <c r="I92" s="693" t="str">
        <f>IF(SPINTE!D52=0,"",(I108-G108-H108)/DATI!$E$263)</f>
        <v/>
      </c>
      <c r="J92" s="693" t="str">
        <f>IF(SPINTE!D52=0,"",DATI!E61*IF(SPINTE!D52=0,"",G91*(C79-C78))*IF(SPINTE!C75='FOGLIO DEPOSITO'!N181,1+'FOGLIO DEPOSITO'!S188,IF(SPINTE!C75='FOGLIO DEPOSITO'!N182,1-'FOGLIO DEPOSITO'!S188,1)))</f>
        <v/>
      </c>
      <c r="K92" s="706" t="str">
        <f>IF(SPINTE!D52=0,"",DATI!E61*IF(SPINTE!D52=0,"",H91*(C79-C78))*IF(SPINTE!C75='FOGLIO DEPOSITO'!N181,1+'FOGLIO DEPOSITO'!S188,IF(SPINTE!C75='FOGLIO DEPOSITO'!N182,1-'FOGLIO DEPOSITO'!S188,1)))</f>
        <v/>
      </c>
      <c r="L92" s="702" t="str">
        <f>IF(SPINTE!D52=0,"",DATI!E61*(('FOGLIO DEPOSITO'!Q249-'FOGLIO DEPOSITO'!Q248)*('ANALISI DELLE SPINTE'!C79-'ANALISI DELLE SPINTE'!C78)/2*(('ANALISI DELLE SPINTE'!C79-'ANALISI DELLE SPINTE'!C78)*IF('FOGLIO DEPOSITO'!Q249&gt;'FOGLIO DEPOSITO'!Q248,1/3,IF('FOGLIO DEPOSITO'!Q249='FOGLIO DEPOSITO'!Q248,1/2,2/3))+SPINTE!$D$60-'ANALISI DELLE SPINTE'!C79)+'FOGLIO DEPOSITO'!Q248*('ANALISI DELLE SPINTE'!C79-'ANALISI DELLE SPINTE'!C78)*(('ANALISI DELLE SPINTE'!C79-'ANALISI DELLE SPINTE'!C78)/2+SPINTE!$D$60-'ANALISI DELLE SPINTE'!C79))*COS(RADIANS(SPINTE!D51)))</f>
        <v/>
      </c>
      <c r="M92" s="422"/>
      <c r="N92" s="422"/>
    </row>
    <row r="93" spans="2:32" x14ac:dyDescent="0.25">
      <c r="B93" s="934"/>
      <c r="C93" s="712" t="str">
        <f>IF(SPINTE!D52=0,"",'ANALISI DELLE SPINTE'!H80-'ANALISI DELLE SPINTE'!E80)</f>
        <v/>
      </c>
      <c r="D93" s="709" t="str">
        <f>IF(SPINTE!D52=0,"",SPINTE!$D$69)</f>
        <v/>
      </c>
      <c r="E93" s="711" t="str">
        <f>IF(SPINTE!D52=0,"",SPINTE!$D$70)</f>
        <v/>
      </c>
      <c r="F93" s="712" t="str">
        <f>IF(SPINTE!D52=0,"",'FOGLIO DEPOSITO'!G250/DATI!$E$263)</f>
        <v/>
      </c>
      <c r="G93" s="709" t="str">
        <f>IF(SPINTE!D52=0,"",'FOGLIO DEPOSITO'!H250/DATI!$E$264)</f>
        <v/>
      </c>
      <c r="H93" s="711" t="str">
        <f>IF(SPINTE!D52=0,"",'FOGLIO DEPOSITO'!I250/DATI!$E$265)</f>
        <v/>
      </c>
      <c r="I93" s="713" t="str">
        <f>IF(SPINTE!D52=0,"",(I109-G109-H109)/DATI!$E$263)</f>
        <v/>
      </c>
      <c r="J93" s="714" t="str">
        <f>IF(SPINTE!D52=0,"",DATI!E61*IF(SPINTE!D52=0,"",G92*(C80-C79))*IF(SPINTE!C75='FOGLIO DEPOSITO'!N181,1+'FOGLIO DEPOSITO'!S188,IF(SPINTE!C75='FOGLIO DEPOSITO'!N182,1-'FOGLIO DEPOSITO'!S188,1)))</f>
        <v/>
      </c>
      <c r="K93" s="718" t="str">
        <f>IF(SPINTE!D52=0,"",DATI!E61*IF(SPINTE!D52=0,"",H92*(C80-C79))*IF(SPINTE!C75='FOGLIO DEPOSITO'!N181,1+'FOGLIO DEPOSITO'!S188,IF(SPINTE!C75='FOGLIO DEPOSITO'!N182,1-'FOGLIO DEPOSITO'!S188,1)))</f>
        <v/>
      </c>
      <c r="L93" s="715" t="str">
        <f>IF(SPINTE!D52=0,"",DATI!E61*(('FOGLIO DEPOSITO'!Q250-'FOGLIO DEPOSITO'!Q249)*('ANALISI DELLE SPINTE'!C80-'ANALISI DELLE SPINTE'!C79)/2*(('ANALISI DELLE SPINTE'!C80-'ANALISI DELLE SPINTE'!C79)*IF('FOGLIO DEPOSITO'!Q250&gt;'FOGLIO DEPOSITO'!Q249,1/3,IF('FOGLIO DEPOSITO'!Q250='FOGLIO DEPOSITO'!Q249,1/2,2/3))+SPINTE!$D$60-'ANALISI DELLE SPINTE'!C80)+'FOGLIO DEPOSITO'!Q249*('ANALISI DELLE SPINTE'!C80-'ANALISI DELLE SPINTE'!C79)*(('ANALISI DELLE SPINTE'!C80-'ANALISI DELLE SPINTE'!C79)/2+SPINTE!$D$60-'ANALISI DELLE SPINTE'!C80))*COS(RADIANS(SPINTE!D51)))</f>
        <v/>
      </c>
      <c r="M93" s="422"/>
      <c r="N93" s="422"/>
    </row>
    <row r="94" spans="2:32" x14ac:dyDescent="0.25">
      <c r="B94" s="422"/>
      <c r="C94" s="696"/>
      <c r="D94" s="696"/>
      <c r="E94" s="696"/>
      <c r="F94" s="696"/>
      <c r="G94" s="696"/>
      <c r="H94" s="696"/>
      <c r="I94" s="686">
        <f>SUM(I85:I93)</f>
        <v>307.8089825447276</v>
      </c>
      <c r="J94" s="686">
        <f>SUM(J85:J93)</f>
        <v>6.81474014869322</v>
      </c>
      <c r="K94" s="686">
        <f>SUM(K85:K93)</f>
        <v>6.81474014869322</v>
      </c>
      <c r="L94" s="733">
        <f>SUM(L85:L93)</f>
        <v>512.22856725663632</v>
      </c>
      <c r="M94" s="422"/>
      <c r="N94" s="422"/>
    </row>
    <row r="95" spans="2:32" x14ac:dyDescent="0.25">
      <c r="B95" s="422"/>
      <c r="C95" s="787"/>
      <c r="D95" s="787"/>
      <c r="E95" s="787"/>
      <c r="F95" s="787"/>
      <c r="G95" s="422"/>
      <c r="H95" s="422"/>
      <c r="I95" s="422"/>
      <c r="J95" s="422"/>
      <c r="K95" s="422"/>
      <c r="L95" s="422"/>
      <c r="M95" s="422"/>
      <c r="N95" s="422"/>
    </row>
    <row r="96" spans="2:32" ht="16.5" thickBot="1" x14ac:dyDescent="0.3">
      <c r="B96" s="422"/>
      <c r="C96" s="787"/>
      <c r="D96" s="787"/>
      <c r="E96" s="787"/>
      <c r="F96" s="787"/>
      <c r="G96" s="422"/>
      <c r="H96" s="422"/>
      <c r="I96" s="422"/>
      <c r="J96" s="422"/>
      <c r="K96" s="463" t="s">
        <v>831</v>
      </c>
      <c r="L96" s="730">
        <f>SPINTE!H94-L110+L94</f>
        <v>707.52943358988841</v>
      </c>
      <c r="M96" s="422"/>
      <c r="N96" s="422"/>
    </row>
    <row r="97" spans="2:32" x14ac:dyDescent="0.25">
      <c r="B97" s="422"/>
      <c r="C97" s="787"/>
      <c r="D97" s="787"/>
      <c r="E97" s="787"/>
      <c r="F97" s="787"/>
      <c r="G97" s="422"/>
      <c r="H97" s="422"/>
      <c r="I97" s="422"/>
      <c r="J97" s="422"/>
      <c r="K97" s="422"/>
      <c r="L97" s="422"/>
      <c r="M97" s="422"/>
      <c r="N97" s="422"/>
    </row>
    <row r="98" spans="2:32" x14ac:dyDescent="0.25">
      <c r="B98" s="422"/>
      <c r="C98" s="422"/>
      <c r="D98" s="720"/>
      <c r="E98" s="720"/>
      <c r="F98" s="787"/>
      <c r="G98" s="787"/>
      <c r="H98" s="787"/>
      <c r="I98" s="422"/>
      <c r="J98" s="422"/>
      <c r="K98" s="422"/>
      <c r="L98" s="422"/>
      <c r="M98" s="422"/>
      <c r="N98" s="422"/>
      <c r="S98" s="422"/>
      <c r="T98" s="422"/>
      <c r="U98" s="422"/>
      <c r="V98" s="422"/>
      <c r="W98" s="422"/>
      <c r="X98" s="422"/>
      <c r="Y98" s="686"/>
      <c r="Z98" s="686"/>
      <c r="AA98" s="686"/>
      <c r="AB98" s="722"/>
      <c r="AC98" s="422"/>
      <c r="AD98" s="422"/>
      <c r="AE98" s="422"/>
      <c r="AF98" s="422"/>
    </row>
    <row r="99" spans="2:32" x14ac:dyDescent="0.25">
      <c r="B99" s="422"/>
      <c r="C99" s="938" t="s">
        <v>820</v>
      </c>
      <c r="D99" s="938"/>
      <c r="E99" s="938"/>
      <c r="F99" s="938" t="s">
        <v>821</v>
      </c>
      <c r="G99" s="938"/>
      <c r="H99" s="938"/>
      <c r="I99" s="938" t="s">
        <v>806</v>
      </c>
      <c r="J99" s="938"/>
      <c r="K99" s="938"/>
      <c r="L99" s="938"/>
      <c r="M99" s="422"/>
      <c r="N99" s="422"/>
      <c r="S99" s="422"/>
      <c r="T99" s="422"/>
      <c r="U99" s="422"/>
      <c r="AC99" s="686"/>
      <c r="AD99" s="686"/>
      <c r="AE99" s="686"/>
      <c r="AF99" s="686"/>
    </row>
    <row r="100" spans="2:32" ht="18.75" x14ac:dyDescent="0.25">
      <c r="B100" s="231" t="s">
        <v>53</v>
      </c>
      <c r="C100" s="466" t="s">
        <v>807</v>
      </c>
      <c r="D100" s="244" t="s">
        <v>808</v>
      </c>
      <c r="E100" s="245" t="s">
        <v>809</v>
      </c>
      <c r="F100" s="244" t="s">
        <v>813</v>
      </c>
      <c r="G100" s="244" t="s">
        <v>814</v>
      </c>
      <c r="H100" s="245" t="s">
        <v>815</v>
      </c>
      <c r="I100" s="245" t="s">
        <v>816</v>
      </c>
      <c r="J100" s="286" t="s">
        <v>817</v>
      </c>
      <c r="K100" s="286" t="s">
        <v>818</v>
      </c>
      <c r="L100" s="245" t="s">
        <v>830</v>
      </c>
      <c r="M100" s="422"/>
      <c r="N100" s="422"/>
      <c r="S100" s="422"/>
      <c r="T100" s="422"/>
      <c r="U100" s="422"/>
      <c r="AC100" s="686"/>
      <c r="AD100" s="686"/>
      <c r="AE100" s="686"/>
      <c r="AF100" s="686"/>
    </row>
    <row r="101" spans="2:32" x14ac:dyDescent="0.25">
      <c r="B101" s="934" t="str">
        <f>$B$72</f>
        <v>1°strato: ghiaia-sabbie</v>
      </c>
      <c r="C101" s="700"/>
      <c r="D101" s="698"/>
      <c r="E101" s="701"/>
      <c r="F101" s="698"/>
      <c r="G101" s="698"/>
      <c r="H101" s="701"/>
      <c r="I101" s="53"/>
      <c r="J101" s="53"/>
      <c r="K101" s="53"/>
      <c r="L101" s="53"/>
      <c r="M101" s="422"/>
      <c r="N101" s="422"/>
    </row>
    <row r="102" spans="2:32" x14ac:dyDescent="0.25">
      <c r="B102" s="934"/>
      <c r="C102" s="703">
        <f>DATI!$E$263</f>
        <v>1</v>
      </c>
      <c r="D102" s="704">
        <f>DATI!$E$264</f>
        <v>1</v>
      </c>
      <c r="E102" s="704">
        <f>DATI!$E$265</f>
        <v>1</v>
      </c>
      <c r="F102" s="705">
        <f t="shared" ref="F102:H103" si="3">I86*C102</f>
        <v>307.8089825447276</v>
      </c>
      <c r="G102" s="693">
        <f t="shared" si="3"/>
        <v>6.81474014869322</v>
      </c>
      <c r="H102" s="706">
        <f t="shared" si="3"/>
        <v>6.81474014869322</v>
      </c>
      <c r="I102" s="706">
        <f>DATI!E61*(('FOGLIO DEPOSITO'!K242*C73+C73*('FOGLIO DEPOSITO'!K243-'FOGLIO DEPOSITO'!K242)/2))</f>
        <v>321.43846284211401</v>
      </c>
      <c r="J102" s="706">
        <f>I102*COS(RADIANS(SPINTE!$D$37+IF(DATI!G211="SX",0,'FOGLIO DEPOSITO'!D196)))</f>
        <v>279.66028731966276</v>
      </c>
      <c r="K102" s="706">
        <f>I102*SIN(RADIANS(SPINTE!$D$37+IF(DATI!G211="SX",0,'FOGLIO DEPOSITO'!D196)))</f>
        <v>158.47021515283168</v>
      </c>
      <c r="L102" s="702">
        <f>DATI!$E$61*(('FOGLIO DEPOSITO'!K243-'FOGLIO DEPOSITO'!K242)*(C73-C72)/2*((C73-C72)*IF('FOGLIO DEPOSITO'!K243&gt;'FOGLIO DEPOSITO'!K242,1/3,IF('FOGLIO DEPOSITO'!K243='FOGLIO DEPOSITO'!K242,1/2,2/3))+SPINTE!$D$60-C73)+'FOGLIO DEPOSITO'!K242*(C73-C72)*((C73-C72)/2+SPINTE!$D$60-C73))*COS(RADIANS(SPINTE!D37+IF(DATI!G211="SX",0,'FOGLIO DEPOSITO'!D196)))</f>
        <v>478.43543709461386</v>
      </c>
      <c r="M102" s="422"/>
      <c r="N102" s="422"/>
    </row>
    <row r="103" spans="2:32" x14ac:dyDescent="0.25">
      <c r="B103" s="934"/>
      <c r="C103" s="716">
        <f>DATI!$E$263</f>
        <v>1</v>
      </c>
      <c r="D103" s="717">
        <f>DATI!$E$264</f>
        <v>1</v>
      </c>
      <c r="E103" s="717">
        <f>DATI!$E$265</f>
        <v>1</v>
      </c>
      <c r="F103" s="713">
        <f t="shared" si="3"/>
        <v>0</v>
      </c>
      <c r="G103" s="714">
        <f t="shared" si="3"/>
        <v>0</v>
      </c>
      <c r="H103" s="718">
        <f t="shared" si="3"/>
        <v>0</v>
      </c>
      <c r="I103" s="718">
        <f>DATI!E61*(('FOGLIO DEPOSITO'!K243*(C74-C73)+('FOGLIO DEPOSITO'!K244-'FOGLIO DEPOSITO'!K243)*(C74-C73)/2))</f>
        <v>0</v>
      </c>
      <c r="J103" s="719">
        <f>I103*COS(RADIANS(SPINTE!D37+IF(DATI!G211="SX",0,'FOGLIO DEPOSITO'!D196)))</f>
        <v>0</v>
      </c>
      <c r="K103" s="718">
        <f>I103*SIN(RADIANS(SPINTE!$D$37+IF(DATI!G211="SX",0,'FOGLIO DEPOSITO'!D196)))</f>
        <v>0</v>
      </c>
      <c r="L103" s="715">
        <f>DATI!$E$61*(('FOGLIO DEPOSITO'!K244-'FOGLIO DEPOSITO'!K243)*(C74-C73)/2*((C74-C73)*IF('FOGLIO DEPOSITO'!K244&gt;'FOGLIO DEPOSITO'!K243,1/3,IF('FOGLIO DEPOSITO'!K244='FOGLIO DEPOSITO'!K243,1/2,2/3))+SPINTE!$D$60-C74)+'FOGLIO DEPOSITO'!K243*(C74-C73)*((C74-C73)/2+SPINTE!$D$60-C74))*COS(RADIANS(SPINTE!D37+IF(DATI!G211="SX",0,'FOGLIO DEPOSITO'!D196)))</f>
        <v>0</v>
      </c>
      <c r="M103" s="422"/>
      <c r="N103" s="422"/>
    </row>
    <row r="104" spans="2:32" x14ac:dyDescent="0.25">
      <c r="B104" s="934" t="str">
        <f>$B$75</f>
        <v/>
      </c>
      <c r="C104" s="703" t="str">
        <f>IF(SPINTE!D45=0,"",DATI!$E$263)</f>
        <v/>
      </c>
      <c r="D104" s="704" t="str">
        <f>IF(SPINTE!D45=0,"",DATI!$E$264)</f>
        <v/>
      </c>
      <c r="E104" s="704" t="str">
        <f>IF(SPINTE!D45=0,"",DATI!$E$265)</f>
        <v/>
      </c>
      <c r="F104" s="705" t="str">
        <f>IF(SPINTE!D45=0,"",I88*C104)</f>
        <v/>
      </c>
      <c r="G104" s="693" t="str">
        <f>IF(SPINTE!D45=0,"",J88*D104)</f>
        <v/>
      </c>
      <c r="H104" s="706" t="str">
        <f>IF(SPINTE!D45=0,"",K88*E104)</f>
        <v/>
      </c>
      <c r="I104" s="706" t="str">
        <f>IF(SPINTE!D45=0,"",DATI!E61*IF(SPINTE!D45=0,"",'FOGLIO DEPOSITO'!K244*(C75-C74)+('FOGLIO DEPOSITO'!K245-'FOGLIO DEPOSITO'!K244)*(C75-C74)/2))</f>
        <v/>
      </c>
      <c r="J104" s="705" t="str">
        <f>IF(SPINTE!D45=0,"",I104*COS(RADIANS(SPINTE!$D$44+IF(DATI!G211="SX",0,'FOGLIO DEPOSITO'!D196))))</f>
        <v/>
      </c>
      <c r="K104" s="705" t="str">
        <f>IF(SPINTE!D45=0,"",I104*SIN(RADIANS(SPINTE!$D$44+IF(DATI!G211="SX",0,'FOGLIO DEPOSITO'!D196))))</f>
        <v/>
      </c>
      <c r="L104" s="702" t="str">
        <f>IF(SPINTE!D45=0,"",DATI!E61*(('FOGLIO DEPOSITO'!K245-'FOGLIO DEPOSITO'!K244)*(C75-C74)/2*((C75-C74)*IF('FOGLIO DEPOSITO'!K245&gt;'FOGLIO DEPOSITO'!K244,1/3,IF('FOGLIO DEPOSITO'!K245='FOGLIO DEPOSITO'!K244,1/2,2/3))+SPINTE!$D$60-C75)+'FOGLIO DEPOSITO'!K244*(C75-C74)*((C75-C74)/2+SPINTE!$D$60-C75))*COS(RADIANS(SPINTE!D44+IF(DATI!G211="SX",0,'FOGLIO DEPOSITO'!D196))))</f>
        <v/>
      </c>
      <c r="M104" s="422"/>
      <c r="N104" s="422"/>
    </row>
    <row r="105" spans="2:32" x14ac:dyDescent="0.25">
      <c r="B105" s="934"/>
      <c r="C105" s="703" t="str">
        <f>IF(SPINTE!D45=0,"",DATI!$E$263)</f>
        <v/>
      </c>
      <c r="D105" s="704" t="str">
        <f>IF(SPINTE!D45=0,"",DATI!$E$264)</f>
        <v/>
      </c>
      <c r="E105" s="704" t="str">
        <f>IF(SPINTE!D45=0,"",DATI!$E$265)</f>
        <v/>
      </c>
      <c r="F105" s="705" t="str">
        <f>IF(SPINTE!D45=0,"",I89*C105)</f>
        <v/>
      </c>
      <c r="G105" s="693" t="str">
        <f>IF(SPINTE!D45=0,"",J89*D105)</f>
        <v/>
      </c>
      <c r="H105" s="706" t="str">
        <f>IF(SPINTE!D45=0,"",K89*E105)</f>
        <v/>
      </c>
      <c r="I105" s="706" t="str">
        <f>IF(SPINTE!D45=0,"",DATI!E61*IF(SPINTE!D45=0,"",'FOGLIO DEPOSITO'!K245*(C76-C75)+('FOGLIO DEPOSITO'!K246-'FOGLIO DEPOSITO'!K245)*(C76-C75)/2))</f>
        <v/>
      </c>
      <c r="J105" s="705" t="str">
        <f>IF(SPINTE!D45=0,"",I105*COS(RADIANS(SPINTE!$D$44+IF(DATI!G211="SX",0,'FOGLIO DEPOSITO'!D196))))</f>
        <v/>
      </c>
      <c r="K105" s="705" t="str">
        <f>IF(SPINTE!D45=0,"",I105*SIN(RADIANS(SPINTE!$D$44+IF(DATI!G211="SX",0,'FOGLIO DEPOSITO'!D196))))</f>
        <v/>
      </c>
      <c r="L105" s="702" t="str">
        <f>IF(SPINTE!D45=0,"",DATI!E61*(('FOGLIO DEPOSITO'!K246-'FOGLIO DEPOSITO'!K245)*(C76-C75)/2*((C76-C75)*IF('FOGLIO DEPOSITO'!K246&gt;'FOGLIO DEPOSITO'!K245,1/3,IF('FOGLIO DEPOSITO'!K246='FOGLIO DEPOSITO'!K245,1/2,2/3))+SPINTE!$D$60-C76)+'FOGLIO DEPOSITO'!K245*(C76-C75)*((C76-C75)/2+SPINTE!$D$60-C76))*COS(RADIANS(SPINTE!D44+IF(DATI!G211="SX",0,'FOGLIO DEPOSITO'!D196))))</f>
        <v/>
      </c>
      <c r="M105" s="422"/>
      <c r="N105" s="422"/>
    </row>
    <row r="106" spans="2:32" x14ac:dyDescent="0.25">
      <c r="B106" s="934"/>
      <c r="C106" s="716" t="str">
        <f>IF(SPINTE!D45=0,"",DATI!$E$263)</f>
        <v/>
      </c>
      <c r="D106" s="717" t="str">
        <f>IF(SPINTE!D45=0,"",DATI!$E$264)</f>
        <v/>
      </c>
      <c r="E106" s="717" t="str">
        <f>IF(SPINTE!D45=0,"",DATI!$E$265)</f>
        <v/>
      </c>
      <c r="F106" s="713" t="str">
        <f>IF(SPINTE!D45=0,"",I90*C106)</f>
        <v/>
      </c>
      <c r="G106" s="714" t="str">
        <f>IF(SPINTE!D45=0,"",J90*D106)</f>
        <v/>
      </c>
      <c r="H106" s="718" t="str">
        <f>IF(SPINTE!D45=0,"",K90*E106)</f>
        <v/>
      </c>
      <c r="I106" s="718" t="str">
        <f>IF(SPINTE!D45=0,"",DATI!E61*IF(SPINTE!D45=0,"",'FOGLIO DEPOSITO'!K246*(C77-C76)+('FOGLIO DEPOSITO'!K247-'FOGLIO DEPOSITO'!K246)*(C77-C76)/2))</f>
        <v/>
      </c>
      <c r="J106" s="713" t="str">
        <f>IF(SPINTE!D45=0,"",I106*COS(RADIANS(SPINTE!$D$44+IF(DATI!G211="SX",0,'FOGLIO DEPOSITO'!D196))))</f>
        <v/>
      </c>
      <c r="K106" s="719" t="str">
        <f>IF(SPINTE!D45=0,"",I106*SIN(RADIANS(SPINTE!$D$44+IF(DATI!G211="SX",0,'FOGLIO DEPOSITO'!D196))))</f>
        <v/>
      </c>
      <c r="L106" s="715" t="str">
        <f>IF(SPINTE!D45=0,"",DATI!E61*(('FOGLIO DEPOSITO'!K247-'FOGLIO DEPOSITO'!K246)*(C77-C76)/2*((C77-C76)*IF('FOGLIO DEPOSITO'!K247&gt;'FOGLIO DEPOSITO'!K246,1/3,IF('FOGLIO DEPOSITO'!K247='FOGLIO DEPOSITO'!K246,1/2,2/3))+SPINTE!$D$60-C77)+'FOGLIO DEPOSITO'!K246*(C77-C76)*((C77-C76)/2+SPINTE!$D$60-C77))*COS(RADIANS(SPINTE!D44+IF(DATI!G211="SX",0,'FOGLIO DEPOSITO'!D196))))</f>
        <v/>
      </c>
      <c r="M106" s="422"/>
      <c r="N106" s="422"/>
    </row>
    <row r="107" spans="2:32" x14ac:dyDescent="0.25">
      <c r="B107" s="934" t="str">
        <f>$B$78</f>
        <v/>
      </c>
      <c r="C107" s="703" t="str">
        <f>IF(SPINTE!D52=0,"",DATI!$E$263)</f>
        <v/>
      </c>
      <c r="D107" s="704" t="str">
        <f>IF(SPINTE!D52=0,"",DATI!$E$264)</f>
        <v/>
      </c>
      <c r="E107" s="704" t="str">
        <f>IF(SPINTE!D52=0,"",DATI!$E$265)</f>
        <v/>
      </c>
      <c r="F107" s="705" t="str">
        <f>IF(SPINTE!D52=0,"",I91*C107)</f>
        <v/>
      </c>
      <c r="G107" s="693" t="str">
        <f>IF(SPINTE!D52=0,"",J91*D107)</f>
        <v/>
      </c>
      <c r="H107" s="706" t="str">
        <f>IF(SPINTE!D52=0,"",K91*E107)</f>
        <v/>
      </c>
      <c r="I107" s="706" t="str">
        <f>IF(SPINTE!D52=0,"",DATI!E61*IF(SPINTE!D52=0,"",'FOGLIO DEPOSITO'!K247*(C78-C77)+('FOGLIO DEPOSITO'!K248-'FOGLIO DEPOSITO'!K247)*(C78-C77)/2))</f>
        <v/>
      </c>
      <c r="J107" s="705" t="str">
        <f>IF(SPINTE!D52=0,"",I107*COS(RADIANS(SPINTE!$D$51+IF(DATI!G211="SX",0,'FOGLIO DEPOSITO'!D196))))</f>
        <v/>
      </c>
      <c r="K107" s="705" t="str">
        <f>IF(SPINTE!D52=0,"",I107*SIN(RADIANS(SPINTE!$D$51+IF(DATI!G211="SX",0,'FOGLIO DEPOSITO'!D196))))</f>
        <v/>
      </c>
      <c r="L107" s="702" t="str">
        <f>IF(SPINTE!D52=0,"",DATI!E61*(('FOGLIO DEPOSITO'!K248-'FOGLIO DEPOSITO'!K247)*(C78-C77)/2*((C78-C77)*IF('FOGLIO DEPOSITO'!K248&gt;'FOGLIO DEPOSITO'!K247,1/3,IF('FOGLIO DEPOSITO'!K248='FOGLIO DEPOSITO'!K247,1/2,2/3))+SPINTE!$D$60-C78)+'FOGLIO DEPOSITO'!K247*(C78-C77)*((C78-C77)/2+SPINTE!$D$60-C78))*COS(RADIANS(SPINTE!D51+IF(DATI!G211="SX",0,'FOGLIO DEPOSITO'!D196))))</f>
        <v/>
      </c>
      <c r="M107" s="422"/>
      <c r="N107" s="422"/>
    </row>
    <row r="108" spans="2:32" x14ac:dyDescent="0.25">
      <c r="B108" s="934"/>
      <c r="C108" s="703" t="str">
        <f>IF(SPINTE!D52=0,"",DATI!$E$263)</f>
        <v/>
      </c>
      <c r="D108" s="704" t="str">
        <f>IF(SPINTE!D52=0,"",DATI!$E$264)</f>
        <v/>
      </c>
      <c r="E108" s="704" t="str">
        <f>IF(SPINTE!D52=0,"",DATI!$E$265)</f>
        <v/>
      </c>
      <c r="F108" s="705" t="str">
        <f>IF(SPINTE!D52=0,"",I92*C108)</f>
        <v/>
      </c>
      <c r="G108" s="693" t="str">
        <f>IF(SPINTE!D52=0,"",J92*D108)</f>
        <v/>
      </c>
      <c r="H108" s="706" t="str">
        <f>IF(SPINTE!D52=0,"",K92*E108)</f>
        <v/>
      </c>
      <c r="I108" s="706" t="str">
        <f>IF(SPINTE!D52=0,"",DATI!E61*IF(SPINTE!D52=0,"",'FOGLIO DEPOSITO'!K248*(C79-C78)+('FOGLIO DEPOSITO'!K249-'FOGLIO DEPOSITO'!K248)*(C79-C78)/2))</f>
        <v/>
      </c>
      <c r="J108" s="705" t="str">
        <f>IF(SPINTE!D52=0,"",I108*COS(RADIANS(SPINTE!$D$51+IF(DATI!G211="SX",0,'FOGLIO DEPOSITO'!D196))))</f>
        <v/>
      </c>
      <c r="K108" s="705" t="str">
        <f>IF(SPINTE!D52=0,"",I108*SIN(RADIANS(SPINTE!$D$51+IF(DATI!G211="SX",0,'FOGLIO DEPOSITO'!D196))))</f>
        <v/>
      </c>
      <c r="L108" s="702" t="str">
        <f>IF(SPINTE!D52=0,"",DATI!E61*(('FOGLIO DEPOSITO'!K249-'FOGLIO DEPOSITO'!K248)*(C79-C78)/2*((C79-C78)*IF('FOGLIO DEPOSITO'!K249&gt;'FOGLIO DEPOSITO'!K248,1/3,IF('FOGLIO DEPOSITO'!K249='FOGLIO DEPOSITO'!K248,1/2,2/3))+SPINTE!$D$60-C79)+'FOGLIO DEPOSITO'!K248*(C79-C78)*((C79-C78)/2+SPINTE!$D$60-C79))*COS(RADIANS(SPINTE!D51+IF(DATI!G211="SX",0,'FOGLIO DEPOSITO'!D196))))</f>
        <v/>
      </c>
      <c r="M108" s="422"/>
      <c r="N108" s="422"/>
    </row>
    <row r="109" spans="2:32" x14ac:dyDescent="0.25">
      <c r="B109" s="934"/>
      <c r="C109" s="716" t="str">
        <f>IF(SPINTE!D52=0,"",DATI!$E$263)</f>
        <v/>
      </c>
      <c r="D109" s="717" t="str">
        <f>IF(SPINTE!D52=0,"",DATI!$E$264)</f>
        <v/>
      </c>
      <c r="E109" s="717" t="str">
        <f>IF(SPINTE!D52=0,"",DATI!$E$265)</f>
        <v/>
      </c>
      <c r="F109" s="713" t="str">
        <f>IF(SPINTE!D52=0,"",I93*C109)</f>
        <v/>
      </c>
      <c r="G109" s="714" t="str">
        <f>IF(SPINTE!D52=0,"",J93*D109)</f>
        <v/>
      </c>
      <c r="H109" s="718" t="str">
        <f>IF(SPINTE!D52=0,"",K93*E109)</f>
        <v/>
      </c>
      <c r="I109" s="718" t="str">
        <f>IF(SPINTE!D52=0,"",DATI!E61*IF(SPINTE!D52=0,"",'FOGLIO DEPOSITO'!K249*(C80-C79)+('FOGLIO DEPOSITO'!K250-'FOGLIO DEPOSITO'!K249)*(C80-C79)/2))</f>
        <v/>
      </c>
      <c r="J109" s="713" t="str">
        <f>IF(SPINTE!D52=0,"",I109*COS(RADIANS(SPINTE!$D$51+IF(DATI!G211="SX",0,'FOGLIO DEPOSITO'!D196))))</f>
        <v/>
      </c>
      <c r="K109" s="719" t="str">
        <f>IF(SPINTE!D52=0,"",I109*SIN(RADIANS(SPINTE!$D$51+IF(DATI!G211="SX",0,'FOGLIO DEPOSITO'!D196))))</f>
        <v/>
      </c>
      <c r="L109" s="715" t="str">
        <f>IF(SPINTE!D52=0,"",DATI!E61*(('FOGLIO DEPOSITO'!K250-'FOGLIO DEPOSITO'!K249)*(C80-C79)/2*((C80-C79)*IF('FOGLIO DEPOSITO'!K250&gt;'FOGLIO DEPOSITO'!K249,1/3,IF('FOGLIO DEPOSITO'!K250='FOGLIO DEPOSITO'!K249,1/2,2/3))+SPINTE!$D$60-C80)+'FOGLIO DEPOSITO'!K249*(C80-C79)*((C80-C79)/2+SPINTE!$D$60-C80))*COS(RADIANS(SPINTE!D51+IF(DATI!G211="SX",0,'FOGLIO DEPOSITO'!D196))))</f>
        <v/>
      </c>
      <c r="M109" s="422"/>
      <c r="N109" s="422"/>
    </row>
    <row r="110" spans="2:32" x14ac:dyDescent="0.25">
      <c r="B110" s="422"/>
      <c r="C110" s="723"/>
      <c r="D110" s="723"/>
      <c r="E110" s="723"/>
      <c r="F110" s="723"/>
      <c r="G110" s="723"/>
      <c r="H110" s="723"/>
      <c r="I110" s="686">
        <f>SUM(I101:I109)</f>
        <v>321.43846284211401</v>
      </c>
      <c r="J110" s="686">
        <f>SUM(J101:J109)</f>
        <v>279.66028731966276</v>
      </c>
      <c r="K110" s="686">
        <f>SUM(K101:K109)</f>
        <v>158.47021515283168</v>
      </c>
      <c r="L110" s="733">
        <f>SUM(L101:L109)</f>
        <v>478.43543709461386</v>
      </c>
      <c r="M110" s="422"/>
      <c r="N110" s="422"/>
    </row>
    <row r="111" spans="2:32" x14ac:dyDescent="0.25">
      <c r="B111" s="422"/>
      <c r="C111" s="422"/>
      <c r="D111" s="422"/>
      <c r="E111" s="422"/>
      <c r="F111" s="422"/>
      <c r="G111" s="422"/>
      <c r="H111" s="422"/>
      <c r="I111" s="422"/>
      <c r="J111" s="422"/>
      <c r="K111" s="422"/>
      <c r="L111" s="422"/>
      <c r="M111" s="422"/>
      <c r="N111" s="422"/>
    </row>
    <row r="112" spans="2:32" x14ac:dyDescent="0.25">
      <c r="B112" s="422"/>
      <c r="C112" s="422"/>
      <c r="D112" s="422"/>
      <c r="E112" s="422"/>
      <c r="F112" s="422"/>
      <c r="G112" s="422"/>
      <c r="H112" s="690"/>
      <c r="I112" s="422"/>
      <c r="J112" s="422"/>
      <c r="K112" s="422"/>
      <c r="L112" s="422"/>
      <c r="M112" s="422"/>
      <c r="N112" s="422"/>
    </row>
    <row r="113" spans="2:14" ht="15.75" x14ac:dyDescent="0.25">
      <c r="B113" s="422"/>
      <c r="C113" s="291" t="str">
        <f>IF(SPINTE!C75='FOGLIO DEPOSITO'!N184," Ewd",IF(SPINTE!C75='FOGLIO DEPOSITO'!N181," Ewd",IF(SPINTE!C75='FOGLIO DEPOSITO'!N182,"Ewd","")))</f>
        <v xml:space="preserve"> Ewd</v>
      </c>
      <c r="D113" s="291" t="str">
        <f>IF(SPINTE!C75='FOGLIO DEPOSITO'!N184," Kh x Wtot ",IF(SPINTE!C75='FOGLIO DEPOSITO'!N181," Kh x Wtot  ",IF(SPINTE!C75='FOGLIO DEPOSITO'!N182,"Kh x Wtot ","")))</f>
        <v xml:space="preserve"> Kh x Wtot  </v>
      </c>
      <c r="E113" s="291" t="str">
        <f>IF(SPINTE!C75='FOGLIO DEPOSITO'!N184," Kv x Wtot x γG1 ",IF(SPINTE!C75='FOGLIO DEPOSITO'!N181," Kv x Wtot x γG1 ",IF(SPINTE!C75='FOGLIO DEPOSITO'!N182,"Kv x Wtot x γG1 ","")))</f>
        <v xml:space="preserve"> Kv x Wtot x γG1 </v>
      </c>
      <c r="F113" s="467" t="str">
        <f>IF(SPINTE!C75='FOGLIO DEPOSITO'!N184," Mr,Ewd",IF(SPINTE!C75='FOGLIO DEPOSITO'!N181," Mr,Ewd",IF(SPINTE!C75='FOGLIO DEPOSITO'!N182,"Mr,Ewd","")))</f>
        <v xml:space="preserve"> Mr,Ewd</v>
      </c>
      <c r="G113" s="467" t="str">
        <f>IF(SPINTE!C75='FOGLIO DEPOSITO'!N184," Mr (Kh x Wtot)",IF(SPINTE!C75='FOGLIO DEPOSITO'!N181," Mr (Kh x Wtot)",IF(SPINTE!C75='FOGLIO DEPOSITO'!N182,"Mr (Kh x Wtot)","")))</f>
        <v xml:space="preserve"> Mr (Kh x Wtot)</v>
      </c>
      <c r="H113" s="291" t="str">
        <f>IF(SPINTE!C75='FOGLIO DEPOSITO'!N184," Sw","")</f>
        <v/>
      </c>
      <c r="I113" s="291" t="str">
        <f>IF(SPINTE!C75='FOGLIO DEPOSITO'!N184," Mw","")</f>
        <v/>
      </c>
      <c r="J113" s="422"/>
      <c r="K113" s="422"/>
      <c r="L113" s="422"/>
      <c r="M113" s="422"/>
      <c r="N113" s="422"/>
    </row>
    <row r="114" spans="2:14" x14ac:dyDescent="0.25">
      <c r="B114" s="231" t="s">
        <v>53</v>
      </c>
      <c r="C114" s="23"/>
      <c r="D114" s="23"/>
      <c r="E114" s="23"/>
      <c r="F114" s="23"/>
      <c r="G114" s="23"/>
      <c r="H114" s="23"/>
      <c r="I114" s="422"/>
      <c r="J114" s="422"/>
      <c r="K114" s="422"/>
      <c r="L114" s="422"/>
      <c r="M114" s="422"/>
      <c r="N114" s="422"/>
    </row>
    <row r="115" spans="2:14" x14ac:dyDescent="0.25">
      <c r="B115" s="934" t="str">
        <f>$B$72</f>
        <v>1°strato: ghiaia-sabbie</v>
      </c>
      <c r="C115" s="359"/>
      <c r="D115" s="359"/>
      <c r="E115" s="693"/>
      <c r="F115" s="693"/>
      <c r="G115" s="693"/>
      <c r="H115" s="693"/>
      <c r="I115" s="23"/>
      <c r="J115" s="422"/>
      <c r="K115" s="422"/>
      <c r="L115" s="422"/>
      <c r="M115" s="422"/>
      <c r="N115" s="422"/>
    </row>
    <row r="116" spans="2:14" x14ac:dyDescent="0.25">
      <c r="B116" s="934"/>
      <c r="C116" s="359"/>
      <c r="D116" s="359"/>
      <c r="E116" s="693"/>
      <c r="F116" s="693"/>
      <c r="G116" s="693"/>
      <c r="H116" s="693" t="str">
        <f>IF(SPINTE!C75='FOGLIO DEPOSITO'!N184,IF('FOGLIO DEPOSITO'!D244=0,'geom masse muro+tensioni'!Q32,'geom masse muro+tensioni'!Q32-SPINTE!D61)*SPINTE!D27*SPINTE!D38*SPINTE!D60,"")</f>
        <v/>
      </c>
      <c r="I116" s="359" t="str">
        <f>IF(SPINTE!C75='FOGLIO DEPOSITO'!N184,((SPINTE!D59-SPINTE!D38)+SPINTE!D38/2)*H116,"")</f>
        <v/>
      </c>
      <c r="J116" s="422"/>
      <c r="K116" s="422"/>
      <c r="L116" s="422"/>
      <c r="M116" s="422"/>
      <c r="N116" s="422"/>
    </row>
    <row r="117" spans="2:14" x14ac:dyDescent="0.25">
      <c r="B117" s="934"/>
      <c r="C117" s="359"/>
      <c r="D117" s="359"/>
      <c r="E117" s="693"/>
      <c r="F117" s="693"/>
      <c r="G117" s="693"/>
      <c r="H117" s="690"/>
      <c r="I117" s="359"/>
      <c r="J117" s="422"/>
      <c r="K117" s="422"/>
      <c r="L117" s="422"/>
      <c r="M117" s="422"/>
      <c r="N117" s="422"/>
    </row>
    <row r="118" spans="2:14" x14ac:dyDescent="0.25">
      <c r="B118" s="934" t="str">
        <f>$B$75</f>
        <v/>
      </c>
      <c r="C118" s="359"/>
      <c r="D118" s="359"/>
      <c r="E118" s="693"/>
      <c r="F118" s="693"/>
      <c r="G118" s="693"/>
      <c r="H118" s="690"/>
      <c r="I118" s="359"/>
      <c r="J118" s="422"/>
      <c r="K118" s="422"/>
      <c r="L118" s="422"/>
      <c r="M118" s="422"/>
      <c r="N118" s="422"/>
    </row>
    <row r="119" spans="2:14" x14ac:dyDescent="0.25">
      <c r="B119" s="934"/>
      <c r="C119" s="359"/>
      <c r="D119" s="359"/>
      <c r="E119" s="693"/>
      <c r="F119" s="693"/>
      <c r="G119" s="693"/>
      <c r="H119" s="693" t="str">
        <f>IF('FOGLIO DEPOSITO'!D247="","",IF(SPINTE!C75="",0,IF(SPINTE!C75='FOGLIO DEPOSITO'!N184,IF('FOGLIO DEPOSITO'!D247=0,'geom masse muro+tensioni'!Q32,'geom masse muro+tensioni'!Q32-SPINTE!D61)*SPINTE!D27*SPINTE!D45*SPINTE!D60,"")))</f>
        <v/>
      </c>
      <c r="I119" s="359" t="str">
        <f>IF('FOGLIO DEPOSITO'!D247="","",IF(SPINTE!C75='FOGLIO DEPOSITO'!N184,((SPINTE!D59-SPINTE!D45-SPINTE!D38)+SPINTE!D45/2)*H119,""))</f>
        <v/>
      </c>
      <c r="J119" s="422"/>
      <c r="K119" s="422"/>
      <c r="L119" s="422"/>
      <c r="M119" s="422"/>
      <c r="N119" s="422"/>
    </row>
    <row r="120" spans="2:14" x14ac:dyDescent="0.25">
      <c r="B120" s="934"/>
      <c r="C120" s="359"/>
      <c r="D120" s="359"/>
      <c r="E120" s="693"/>
      <c r="F120" s="693"/>
      <c r="G120" s="693"/>
      <c r="H120" s="422"/>
      <c r="I120" s="359"/>
      <c r="J120" s="422"/>
      <c r="K120" s="422"/>
      <c r="L120" s="422"/>
      <c r="M120" s="422"/>
      <c r="N120" s="422"/>
    </row>
    <row r="121" spans="2:14" x14ac:dyDescent="0.25">
      <c r="B121" s="934" t="str">
        <f>$B$78</f>
        <v/>
      </c>
      <c r="C121" s="359"/>
      <c r="D121" s="359"/>
      <c r="E121" s="693"/>
      <c r="F121" s="693"/>
      <c r="G121" s="693"/>
      <c r="H121" s="422"/>
      <c r="I121" s="359"/>
      <c r="J121" s="422"/>
      <c r="K121" s="422"/>
      <c r="L121" s="422"/>
      <c r="M121" s="422"/>
      <c r="N121" s="422"/>
    </row>
    <row r="122" spans="2:14" x14ac:dyDescent="0.25">
      <c r="B122" s="934"/>
      <c r="C122" s="422"/>
      <c r="D122" s="422"/>
      <c r="E122" s="693"/>
      <c r="F122" s="693"/>
      <c r="G122" s="649">
        <f>IF(SPINTE!C75='FOGLIO DEPOSITO'!N184,IF(SPINTE!I82="",0,DATI!E263*'VER. EQU COND. NON DRENATE'!C81),IF(SPINTE!C75='FOGLIO DEPOSITO'!N181,IF(SPINTE!I82="",0,DATI!E263*'VER. EQU COND. NON DRENATE'!C81),IF(SPINTE!C75='FOGLIO DEPOSITO'!N182,IF(SPINTE!I82="",0,DATI!E263*'VER. EQU COND. NON DRENATE'!C81),"")))</f>
        <v>2.2165813430007493</v>
      </c>
      <c r="H122" s="693" t="str">
        <f>IF('FOGLIO DEPOSITO'!D250="","",IF(SPINTE!C75='FOGLIO DEPOSITO'!N184,IF('FOGLIO DEPOSITO'!D250=0,'geom masse muro+tensioni'!Q32,'geom masse muro+tensioni'!Q32-SPINTE!D61)*SPINTE!D27*SPINTE!D52*SPINTE!D60,""))</f>
        <v/>
      </c>
      <c r="I122" s="359" t="str">
        <f>IF('FOGLIO DEPOSITO'!D250="","",IF(SPINTE!C75='FOGLIO DEPOSITO'!N184,SPINTE!D52/2*H122,""))</f>
        <v/>
      </c>
      <c r="J122" s="422"/>
      <c r="K122" s="422"/>
      <c r="L122" s="422"/>
      <c r="M122" s="422"/>
      <c r="N122" s="422"/>
    </row>
    <row r="123" spans="2:14" x14ac:dyDescent="0.25">
      <c r="B123" s="934"/>
      <c r="C123" s="686">
        <f>IF(SPINTE!C75='FOGLIO DEPOSITO'!N184,SPINTE!G82,IF(SPINTE!C75='FOGLIO DEPOSITO'!N181,SPINTE!G82,IF(SPINTE!C75='FOGLIO DEPOSITO'!N182,SPINTE!G82,"")))</f>
        <v>0</v>
      </c>
      <c r="D123" s="686">
        <f>IF(SPINTE!C75='FOGLIO DEPOSITO'!N184,IF(SPINTE!I82="",0,SPINTE!H82*DATI!E263),IF(SPINTE!C75='FOGLIO DEPOSITO'!N181,IF(SPINTE!I82="",0,SPINTE!H82*DATI!E263),IF(SPINTE!C75='FOGLIO DEPOSITO'!N182,IF(SPINTE!I82="",0,SPINTE!H82*DATI!E263),"")))</f>
        <v>88.109045467674491</v>
      </c>
      <c r="E123" s="686">
        <f>IF(SPINTE!C75='FOGLIO DEPOSITO'!N184,IF(SPINTE!I82="",0,SPINTE!I82*DATI!E263),IF(SPINTE!C75='FOGLIO DEPOSITO'!N181,IF(SPINTE!I82="",0,SPINTE!I82*DATI!E263),IF(SPINTE!C75='FOGLIO DEPOSITO'!N182,IF(SPINTE!I82="",0,SPINTE!I82*DATI!E263),"")))</f>
        <v>44.054522733837246</v>
      </c>
      <c r="F123" s="722">
        <f>IF(SPINTE!C75='FOGLIO DEPOSITO'!N184,(C59)*DATI!G209/2,IF(SPINTE!C75='FOGLIO DEPOSITO'!N181,(C59)*DATI!G209/2,IF(SPINTE!C75='FOGLIO DEPOSITO'!N182,(C59)*DATI!G209/2,"")))</f>
        <v>0</v>
      </c>
      <c r="G123" s="722">
        <f>IF(SPINTE!C75='FOGLIO DEPOSITO'!N184,IF(SPINTE!I82="",0,SPINTE!H82*DATI!E263*'VER. EQU COND. NON DRENATE'!C81),IF(SPINTE!C75='FOGLIO DEPOSITO'!N181,IF(SPINTE!I82="",0,SPINTE!H82*DATI!E263*'VER. EQU COND. NON DRENATE'!C81),IF(SPINTE!C75='FOGLIO DEPOSITO'!N182,IF(SPINTE!I82="",0,SPINTE!H82*DATI!E263*'VER. EQU COND. NON DRENATE'!C81),"")))</f>
        <v>195.300866333252</v>
      </c>
      <c r="H123" s="725" t="str">
        <f>IF(SPINTE!C75='FOGLIO DEPOSITO'!N184,SUM(H116:H122),"")</f>
        <v/>
      </c>
      <c r="I123" s="725" t="str">
        <f>IF(SPINTE!C75='FOGLIO DEPOSITO'!N184,SUM(I116:I122),"")</f>
        <v/>
      </c>
      <c r="J123" s="422"/>
      <c r="K123" s="422"/>
      <c r="L123" s="422"/>
      <c r="M123" s="422"/>
      <c r="N123" s="422"/>
    </row>
    <row r="124" spans="2:14" x14ac:dyDescent="0.25">
      <c r="B124" s="422"/>
      <c r="C124" s="422"/>
      <c r="D124" s="422"/>
      <c r="E124" s="422"/>
      <c r="F124" s="422"/>
      <c r="G124" s="422"/>
      <c r="H124" s="686"/>
      <c r="I124" s="23"/>
      <c r="J124" s="422"/>
      <c r="K124" s="422"/>
      <c r="L124" s="422"/>
      <c r="M124" s="422"/>
      <c r="N124" s="422"/>
    </row>
    <row r="125" spans="2:14" x14ac:dyDescent="0.25">
      <c r="B125" s="422"/>
      <c r="C125" s="422"/>
      <c r="D125" s="422"/>
      <c r="E125" s="422"/>
      <c r="F125" s="422"/>
      <c r="G125" s="422"/>
      <c r="H125" s="422"/>
      <c r="I125" s="422"/>
      <c r="J125" s="422"/>
      <c r="K125" s="422"/>
      <c r="L125" s="422"/>
      <c r="M125" s="422"/>
      <c r="N125" s="422"/>
    </row>
    <row r="126" spans="2:14" x14ac:dyDescent="0.25">
      <c r="B126" s="933" t="s">
        <v>495</v>
      </c>
      <c r="C126" s="933"/>
      <c r="D126" s="422"/>
      <c r="E126" s="422"/>
      <c r="F126" s="422"/>
      <c r="G126" s="422"/>
      <c r="H126" s="422"/>
      <c r="I126" s="422"/>
      <c r="J126" s="422"/>
      <c r="K126" s="422"/>
      <c r="L126" s="422"/>
      <c r="M126" s="422"/>
      <c r="N126" s="422"/>
    </row>
    <row r="127" spans="2:14" x14ac:dyDescent="0.25">
      <c r="B127" s="785" t="s">
        <v>508</v>
      </c>
      <c r="C127" s="726">
        <f>SUM('FOGLIO DEPOSITO'!AM176:AM184)</f>
        <v>0</v>
      </c>
      <c r="D127" s="422"/>
      <c r="E127" s="422"/>
      <c r="F127" s="422"/>
      <c r="G127" s="422"/>
      <c r="H127" s="422"/>
      <c r="I127" s="422"/>
      <c r="J127" s="422"/>
      <c r="K127" s="422"/>
      <c r="L127" s="422"/>
      <c r="M127" s="422"/>
      <c r="N127" s="422"/>
    </row>
    <row r="128" spans="2:14" x14ac:dyDescent="0.25">
      <c r="B128" s="785" t="s">
        <v>509</v>
      </c>
      <c r="C128" s="729">
        <f>C127*SPINTE!D61</f>
        <v>0</v>
      </c>
      <c r="D128" s="422"/>
      <c r="E128" s="422"/>
      <c r="F128" s="422"/>
      <c r="G128" s="422"/>
      <c r="H128" s="422"/>
      <c r="I128" s="422"/>
      <c r="J128" s="422"/>
      <c r="K128" s="422"/>
      <c r="L128" s="422"/>
      <c r="M128" s="422"/>
      <c r="N128" s="422"/>
    </row>
    <row r="129" spans="2:14" x14ac:dyDescent="0.25">
      <c r="B129" s="422"/>
      <c r="C129" s="422"/>
      <c r="D129" s="422"/>
      <c r="E129" s="422"/>
      <c r="F129" s="422"/>
      <c r="G129" s="422"/>
      <c r="H129" s="422"/>
      <c r="I129" s="422"/>
      <c r="J129" s="422"/>
      <c r="K129" s="422"/>
      <c r="L129" s="422"/>
      <c r="M129" s="422"/>
      <c r="N129" s="422"/>
    </row>
    <row r="130" spans="2:14" x14ac:dyDescent="0.25">
      <c r="B130" s="422"/>
      <c r="C130" s="422"/>
      <c r="D130" s="422"/>
      <c r="E130" s="422"/>
      <c r="F130" s="422"/>
      <c r="G130" s="422"/>
      <c r="H130" s="422"/>
      <c r="I130" s="422"/>
      <c r="J130" s="422"/>
      <c r="K130" s="422"/>
      <c r="L130" s="422"/>
      <c r="M130" s="422"/>
      <c r="N130" s="422"/>
    </row>
    <row r="131" spans="2:14" x14ac:dyDescent="0.25">
      <c r="B131" s="422"/>
      <c r="C131" s="422"/>
      <c r="D131" s="422"/>
      <c r="E131" s="422"/>
      <c r="F131" s="422"/>
      <c r="G131" s="422"/>
      <c r="H131" s="422"/>
      <c r="I131" s="422"/>
      <c r="J131" s="422"/>
      <c r="K131" s="422"/>
      <c r="L131" s="422"/>
      <c r="M131" s="422"/>
      <c r="N131" s="422"/>
    </row>
    <row r="132" spans="2:14" x14ac:dyDescent="0.25">
      <c r="B132" s="422"/>
      <c r="C132" s="422"/>
      <c r="D132" s="422"/>
      <c r="E132" s="422"/>
      <c r="F132" s="422"/>
      <c r="G132" s="422"/>
      <c r="H132" s="422"/>
      <c r="I132" s="422"/>
      <c r="J132" s="422"/>
      <c r="K132" s="422"/>
      <c r="L132" s="422"/>
      <c r="M132" s="422"/>
      <c r="N132" s="422"/>
    </row>
    <row r="133" spans="2:14" x14ac:dyDescent="0.25">
      <c r="B133" s="422"/>
      <c r="C133" s="422"/>
      <c r="D133" s="422"/>
      <c r="E133" s="422"/>
      <c r="F133" s="422"/>
      <c r="G133" s="422"/>
      <c r="H133" s="422"/>
      <c r="I133" s="422"/>
      <c r="J133" s="422"/>
      <c r="K133" s="422"/>
      <c r="L133" s="422"/>
      <c r="M133" s="422"/>
      <c r="N133" s="422"/>
    </row>
    <row r="134" spans="2:14" x14ac:dyDescent="0.25">
      <c r="B134" s="422"/>
      <c r="C134" s="422"/>
      <c r="D134" s="422"/>
      <c r="E134" s="422"/>
      <c r="F134" s="422"/>
      <c r="G134" s="422"/>
      <c r="H134" s="422"/>
      <c r="I134" s="422"/>
      <c r="J134" s="422"/>
      <c r="K134" s="422"/>
      <c r="L134" s="422"/>
      <c r="M134" s="422"/>
      <c r="N134" s="422"/>
    </row>
    <row r="135" spans="2:14" x14ac:dyDescent="0.25">
      <c r="B135" s="422"/>
      <c r="C135" s="422"/>
      <c r="D135" s="422"/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</row>
    <row r="136" spans="2:14" x14ac:dyDescent="0.25">
      <c r="B136" s="422"/>
      <c r="C136" s="422"/>
      <c r="D136" s="422"/>
      <c r="E136" s="422"/>
      <c r="F136" s="422"/>
      <c r="G136" s="422"/>
      <c r="H136" s="422"/>
      <c r="I136" s="422"/>
      <c r="J136" s="422"/>
      <c r="K136" s="422"/>
      <c r="L136" s="422"/>
      <c r="M136" s="422"/>
      <c r="N136" s="422"/>
    </row>
    <row r="137" spans="2:14" x14ac:dyDescent="0.25">
      <c r="B137" s="422"/>
      <c r="C137" s="422"/>
      <c r="D137" s="422"/>
      <c r="E137" s="422"/>
      <c r="F137" s="422"/>
      <c r="G137" s="422"/>
      <c r="H137" s="422"/>
      <c r="I137" s="422"/>
      <c r="J137" s="422"/>
      <c r="K137" s="422"/>
      <c r="L137" s="422"/>
      <c r="M137" s="422"/>
      <c r="N137" s="422"/>
    </row>
    <row r="138" spans="2:14" x14ac:dyDescent="0.25">
      <c r="B138" s="422"/>
      <c r="C138" s="422"/>
      <c r="D138" s="422"/>
      <c r="E138" s="422"/>
      <c r="F138" s="422"/>
      <c r="G138" s="422"/>
      <c r="H138" s="422"/>
      <c r="I138" s="422"/>
      <c r="J138" s="422"/>
      <c r="K138" s="422"/>
      <c r="L138" s="422"/>
      <c r="M138" s="422"/>
      <c r="N138" s="422"/>
    </row>
    <row r="139" spans="2:14" x14ac:dyDescent="0.25">
      <c r="B139" s="422"/>
      <c r="C139" s="422"/>
      <c r="D139" s="422"/>
      <c r="E139" s="422"/>
      <c r="F139" s="422"/>
      <c r="G139" s="422"/>
      <c r="H139" s="422"/>
      <c r="I139" s="422"/>
      <c r="J139" s="422"/>
      <c r="K139" s="422"/>
      <c r="L139" s="422"/>
      <c r="M139" s="422"/>
      <c r="N139" s="422"/>
    </row>
    <row r="140" spans="2:14" x14ac:dyDescent="0.25">
      <c r="B140" s="422"/>
      <c r="C140" s="422"/>
      <c r="D140" s="422"/>
      <c r="E140" s="422"/>
      <c r="F140" s="422"/>
      <c r="G140" s="422"/>
      <c r="H140" s="422"/>
      <c r="I140" s="422"/>
      <c r="J140" s="422"/>
      <c r="K140" s="422"/>
      <c r="L140" s="422"/>
      <c r="M140" s="422"/>
      <c r="N140" s="422"/>
    </row>
    <row r="141" spans="2:14" x14ac:dyDescent="0.25">
      <c r="B141" s="422"/>
      <c r="C141" s="422"/>
      <c r="D141" s="422"/>
      <c r="E141" s="422"/>
      <c r="F141" s="422"/>
      <c r="G141" s="422"/>
      <c r="H141" s="422"/>
      <c r="I141" s="422"/>
      <c r="J141" s="422"/>
      <c r="K141" s="422"/>
      <c r="L141" s="422"/>
      <c r="M141" s="422"/>
      <c r="N141" s="422"/>
    </row>
  </sheetData>
  <sheetProtection algorithmName="SHA-512" hashValue="fkl9Jlfw+isikqKVaE+/IQhCC7izYNwmISgKT1odDe2M5Rl7TDDWgXpnPCkbdejlQv4DsBTZLTyk6Tpnx+cVpA==" saltValue="bBt8ganoM6G0GzIYmY+r2A==" spinCount="100000" sheet="1" objects="1" scenarios="1" selectLockedCells="1" selectUnlockedCells="1"/>
  <customSheetViews>
    <customSheetView guid="{101D851C-E4EE-4443-B6A9-9040ACB2A650}" scale="90" showGridLines="0" showRowCol="0" fitToPage="1">
      <selection activeCell="J11" sqref="J11"/>
      <rowBreaks count="1" manualBreakCount="1">
        <brk id="65" max="16383" man="1"/>
      </rowBreaks>
      <colBreaks count="1" manualBreakCount="1">
        <brk id="1" max="1048575" man="1"/>
      </colBreaks>
      <pageMargins left="0.25" right="0.25" top="0.75" bottom="0.75" header="0.3" footer="0.3"/>
      <pageSetup paperSize="9" scale="56" fitToHeight="0" orientation="portrait" r:id="rId1"/>
    </customSheetView>
  </customSheetViews>
  <mergeCells count="38">
    <mergeCell ref="I19:L19"/>
    <mergeCell ref="B72:B74"/>
    <mergeCell ref="B75:B77"/>
    <mergeCell ref="I35:L35"/>
    <mergeCell ref="B37:B39"/>
    <mergeCell ref="B40:B42"/>
    <mergeCell ref="B43:B45"/>
    <mergeCell ref="B51:B53"/>
    <mergeCell ref="B54:B56"/>
    <mergeCell ref="F19:H19"/>
    <mergeCell ref="B8:B10"/>
    <mergeCell ref="B11:B13"/>
    <mergeCell ref="B14:B16"/>
    <mergeCell ref="I99:L99"/>
    <mergeCell ref="F35:H35"/>
    <mergeCell ref="C99:E99"/>
    <mergeCell ref="F99:H99"/>
    <mergeCell ref="C83:E83"/>
    <mergeCell ref="F83:H83"/>
    <mergeCell ref="C19:E19"/>
    <mergeCell ref="B61:C61"/>
    <mergeCell ref="B57:B59"/>
    <mergeCell ref="B21:B23"/>
    <mergeCell ref="B24:B26"/>
    <mergeCell ref="B27:B29"/>
    <mergeCell ref="C35:E35"/>
    <mergeCell ref="B126:C126"/>
    <mergeCell ref="B78:B80"/>
    <mergeCell ref="I83:L83"/>
    <mergeCell ref="B115:B117"/>
    <mergeCell ref="B118:B120"/>
    <mergeCell ref="B121:B123"/>
    <mergeCell ref="B85:B87"/>
    <mergeCell ref="B88:B90"/>
    <mergeCell ref="B91:B93"/>
    <mergeCell ref="B101:B103"/>
    <mergeCell ref="B104:B106"/>
    <mergeCell ref="B107:B109"/>
  </mergeCells>
  <conditionalFormatting sqref="C49:K59">
    <cfRule type="notContainsBlanks" dxfId="23" priority="2">
      <formula>LEN(TRIM(C49))&gt;0</formula>
    </cfRule>
  </conditionalFormatting>
  <conditionalFormatting sqref="C113:I124">
    <cfRule type="notContainsBlanks" dxfId="22" priority="1">
      <formula>LEN(TRIM(C113))&gt;0</formula>
    </cfRule>
  </conditionalFormatting>
  <pageMargins left="0.25" right="0.25" top="0.75" bottom="0.75" header="0.3" footer="0.3"/>
  <pageSetup paperSize="9" scale="56" fitToHeight="0" orientation="portrait" r:id="rId2"/>
  <rowBreaks count="1" manualBreakCount="1">
    <brk id="65" max="16383" man="1"/>
  </rowBreaks>
  <colBreaks count="1" manualBreakCount="1">
    <brk id="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1:AJ332"/>
  <sheetViews>
    <sheetView showGridLines="0" showRowColHeaders="0" zoomScale="90" zoomScaleNormal="90" workbookViewId="0">
      <selection activeCell="G46" sqref="G46:I46"/>
    </sheetView>
  </sheetViews>
  <sheetFormatPr defaultRowHeight="15" x14ac:dyDescent="0.25"/>
  <cols>
    <col min="1" max="1" width="3.7109375" customWidth="1"/>
    <col min="2" max="2" width="18.42578125" customWidth="1"/>
    <col min="3" max="3" width="15.7109375" customWidth="1"/>
    <col min="4" max="4" width="14.140625" customWidth="1"/>
    <col min="5" max="5" width="15.7109375" customWidth="1"/>
    <col min="6" max="6" width="16.140625" customWidth="1"/>
    <col min="7" max="10" width="15.7109375" customWidth="1"/>
    <col min="11" max="11" width="17.7109375" customWidth="1"/>
    <col min="12" max="30" width="15.7109375" customWidth="1"/>
  </cols>
  <sheetData>
    <row r="1" spans="1:23" x14ac:dyDescent="0.25">
      <c r="A1" s="422"/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</row>
    <row r="2" spans="1:23" ht="23.25" x14ac:dyDescent="0.35">
      <c r="A2" s="422"/>
      <c r="B2" s="414" t="s">
        <v>741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</row>
    <row r="3" spans="1:23" x14ac:dyDescent="0.25">
      <c r="A3" s="422"/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</row>
    <row r="4" spans="1:23" ht="21" x14ac:dyDescent="0.35">
      <c r="A4" s="422"/>
      <c r="B4" s="415" t="s">
        <v>54</v>
      </c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</row>
    <row r="5" spans="1:23" s="421" customFormat="1" ht="15" customHeight="1" x14ac:dyDescent="0.35">
      <c r="A5" s="422"/>
      <c r="B5" s="415"/>
      <c r="C5" s="422"/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</row>
    <row r="6" spans="1:23" s="421" customFormat="1" ht="18.75" x14ac:dyDescent="0.3">
      <c r="A6" s="422"/>
      <c r="B6" s="429" t="s">
        <v>783</v>
      </c>
      <c r="C6" s="432"/>
      <c r="D6" s="666"/>
      <c r="E6" s="667"/>
      <c r="F6" s="422"/>
      <c r="G6" s="422"/>
      <c r="H6" s="422"/>
      <c r="I6" s="422"/>
      <c r="J6" s="422"/>
      <c r="K6" s="422"/>
      <c r="L6" s="422"/>
      <c r="M6" s="422"/>
      <c r="N6" s="422"/>
      <c r="O6" s="422"/>
      <c r="P6" s="422"/>
      <c r="Q6" s="422"/>
      <c r="R6" s="422"/>
      <c r="S6" s="422"/>
      <c r="T6" s="422"/>
      <c r="U6" s="422"/>
      <c r="V6" s="422"/>
      <c r="W6" s="422"/>
    </row>
    <row r="7" spans="1:23" s="421" customFormat="1" ht="18.75" x14ac:dyDescent="0.3">
      <c r="A7" s="422"/>
      <c r="B7" s="433"/>
      <c r="C7" s="432"/>
      <c r="D7" s="666"/>
      <c r="E7" s="667"/>
      <c r="F7" s="422"/>
      <c r="G7" s="422"/>
      <c r="H7" s="422"/>
      <c r="I7" s="422"/>
      <c r="J7" s="422"/>
      <c r="K7" s="422"/>
      <c r="L7" s="422"/>
      <c r="M7" s="422"/>
      <c r="N7" s="422"/>
      <c r="O7" s="422"/>
      <c r="P7" s="422"/>
      <c r="Q7" s="422"/>
      <c r="R7" s="422"/>
      <c r="S7" s="422"/>
      <c r="T7" s="422"/>
      <c r="U7" s="422"/>
      <c r="V7" s="422"/>
      <c r="W7" s="422"/>
    </row>
    <row r="8" spans="1:23" s="421" customFormat="1" x14ac:dyDescent="0.25">
      <c r="A8" s="422"/>
      <c r="B8" s="425" t="s">
        <v>331</v>
      </c>
      <c r="C8" s="422"/>
      <c r="D8" s="425" t="str">
        <f>SPINTE!C6</f>
        <v>SISMICA</v>
      </c>
      <c r="E8" s="422"/>
      <c r="F8" s="422"/>
      <c r="G8" s="438" t="s">
        <v>467</v>
      </c>
      <c r="H8" s="623" t="s">
        <v>25</v>
      </c>
      <c r="I8" s="422"/>
      <c r="J8" s="422"/>
      <c r="K8" s="422"/>
      <c r="L8" s="422"/>
      <c r="M8" s="422"/>
      <c r="N8" s="422"/>
      <c r="O8" s="422"/>
      <c r="P8" s="422"/>
      <c r="Q8" s="422"/>
      <c r="R8" s="422"/>
      <c r="S8" s="422"/>
      <c r="T8" s="422"/>
      <c r="U8" s="422"/>
      <c r="V8" s="422"/>
      <c r="W8" s="422"/>
    </row>
    <row r="9" spans="1:23" s="421" customFormat="1" x14ac:dyDescent="0.25">
      <c r="A9" s="422"/>
      <c r="B9" s="422"/>
      <c r="C9" s="422"/>
      <c r="D9" s="422"/>
      <c r="E9" s="422"/>
      <c r="F9" s="422"/>
      <c r="G9" s="627" t="s">
        <v>785</v>
      </c>
      <c r="H9" s="625">
        <f>SPINTE!D11</f>
        <v>1</v>
      </c>
      <c r="I9" s="422"/>
      <c r="J9" s="422"/>
      <c r="K9" s="422"/>
      <c r="L9" s="422"/>
      <c r="M9" s="422"/>
      <c r="N9" s="422"/>
      <c r="O9" s="422"/>
      <c r="P9" s="422"/>
      <c r="Q9" s="422"/>
      <c r="R9" s="422"/>
      <c r="S9" s="422"/>
      <c r="T9" s="422"/>
      <c r="U9" s="422"/>
      <c r="V9" s="422"/>
      <c r="W9" s="422"/>
    </row>
    <row r="10" spans="1:23" s="421" customFormat="1" x14ac:dyDescent="0.25">
      <c r="A10" s="422"/>
      <c r="B10" s="425" t="s">
        <v>473</v>
      </c>
      <c r="C10" s="422"/>
      <c r="D10" s="425" t="str">
        <f>SPINTE!C8</f>
        <v>APPROCCIO 1 --- Combinazione (A1+M1+R1)</v>
      </c>
      <c r="E10" s="422"/>
      <c r="F10" s="422"/>
      <c r="G10" s="627" t="s">
        <v>786</v>
      </c>
      <c r="H10" s="625">
        <f>SPINTE!D12</f>
        <v>1</v>
      </c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</row>
    <row r="11" spans="1:23" s="421" customFormat="1" x14ac:dyDescent="0.25">
      <c r="A11" s="422"/>
      <c r="B11" s="628"/>
      <c r="C11" s="628"/>
      <c r="D11" s="629"/>
      <c r="E11" s="422"/>
      <c r="F11" s="422"/>
      <c r="G11" s="627" t="s">
        <v>787</v>
      </c>
      <c r="H11" s="625">
        <f>SPINTE!D13</f>
        <v>1</v>
      </c>
      <c r="I11" s="422"/>
      <c r="J11" s="422"/>
      <c r="K11" s="422"/>
      <c r="L11" s="422"/>
      <c r="M11" s="422"/>
      <c r="N11" s="422"/>
      <c r="O11" s="422"/>
      <c r="P11" s="422"/>
      <c r="Q11" s="422"/>
      <c r="R11" s="422"/>
      <c r="S11" s="422"/>
      <c r="T11" s="422"/>
      <c r="U11" s="422"/>
      <c r="V11" s="422"/>
      <c r="W11" s="422"/>
    </row>
    <row r="12" spans="1:23" s="421" customFormat="1" x14ac:dyDescent="0.25">
      <c r="A12" s="422"/>
      <c r="B12" s="628"/>
      <c r="C12" s="422"/>
      <c r="D12" s="422"/>
      <c r="E12" s="422"/>
      <c r="F12" s="422"/>
      <c r="G12" s="628"/>
      <c r="H12" s="440"/>
      <c r="I12" s="422"/>
      <c r="J12" s="422"/>
      <c r="K12" s="422"/>
      <c r="L12" s="422"/>
      <c r="M12" s="422"/>
      <c r="N12" s="422"/>
      <c r="O12" s="422"/>
      <c r="P12" s="422"/>
      <c r="Q12" s="422"/>
      <c r="R12" s="422"/>
      <c r="S12" s="422"/>
      <c r="T12" s="422"/>
      <c r="U12" s="422"/>
      <c r="V12" s="422"/>
      <c r="W12" s="422"/>
    </row>
    <row r="13" spans="1:23" s="421" customFormat="1" x14ac:dyDescent="0.25">
      <c r="A13" s="422"/>
      <c r="B13" s="628"/>
      <c r="C13" s="422"/>
      <c r="D13" s="422"/>
      <c r="E13" s="422"/>
      <c r="F13" s="422"/>
      <c r="G13" s="438" t="s">
        <v>468</v>
      </c>
      <c r="H13" s="439">
        <f>'Sollecitazioni nella zattera'!F18</f>
        <v>1</v>
      </c>
      <c r="I13" s="422"/>
      <c r="J13" s="422"/>
      <c r="K13" s="422"/>
      <c r="L13" s="422"/>
      <c r="M13" s="422"/>
      <c r="N13" s="422"/>
      <c r="O13" s="422"/>
      <c r="P13" s="422"/>
      <c r="Q13" s="422"/>
      <c r="R13" s="422"/>
      <c r="S13" s="422"/>
      <c r="T13" s="422"/>
      <c r="U13" s="422"/>
      <c r="V13" s="422"/>
      <c r="W13" s="422"/>
    </row>
    <row r="14" spans="1:23" s="421" customFormat="1" x14ac:dyDescent="0.25">
      <c r="A14" s="422"/>
      <c r="B14" s="628"/>
      <c r="C14" s="422"/>
      <c r="D14" s="422"/>
      <c r="E14" s="422"/>
      <c r="F14" s="422"/>
      <c r="G14" s="623" t="s">
        <v>201</v>
      </c>
      <c r="H14" s="625">
        <f>SPINTE!D16</f>
        <v>1</v>
      </c>
      <c r="I14" s="422"/>
      <c r="J14" s="422"/>
      <c r="K14" s="422"/>
      <c r="L14" s="422"/>
      <c r="M14" s="422"/>
      <c r="N14" s="422"/>
      <c r="O14" s="422"/>
      <c r="P14" s="422"/>
      <c r="Q14" s="422"/>
      <c r="R14" s="422"/>
      <c r="S14" s="422"/>
      <c r="T14" s="422"/>
      <c r="U14" s="422"/>
      <c r="V14" s="422"/>
      <c r="W14" s="422"/>
    </row>
    <row r="15" spans="1:23" s="421" customFormat="1" x14ac:dyDescent="0.25">
      <c r="A15" s="422"/>
      <c r="B15" s="628"/>
      <c r="C15" s="422"/>
      <c r="D15" s="422"/>
      <c r="E15" s="422"/>
      <c r="F15" s="422"/>
      <c r="G15" s="623" t="s">
        <v>202</v>
      </c>
      <c r="H15" s="625">
        <f>SPINTE!D17</f>
        <v>1</v>
      </c>
      <c r="I15" s="422"/>
      <c r="J15" s="422"/>
      <c r="K15" s="422"/>
      <c r="L15" s="422"/>
      <c r="M15" s="422"/>
      <c r="N15" s="422"/>
      <c r="O15" s="422"/>
      <c r="P15" s="422"/>
      <c r="Q15" s="422"/>
      <c r="R15" s="422"/>
      <c r="S15" s="422"/>
      <c r="T15" s="422"/>
      <c r="U15" s="422"/>
      <c r="V15" s="422"/>
      <c r="W15" s="422"/>
    </row>
    <row r="16" spans="1:23" s="421" customFormat="1" x14ac:dyDescent="0.25">
      <c r="A16" s="422"/>
      <c r="B16" s="628"/>
      <c r="C16" s="422"/>
      <c r="D16" s="422"/>
      <c r="E16" s="422"/>
      <c r="F16" s="422"/>
      <c r="G16" s="623" t="s">
        <v>204</v>
      </c>
      <c r="H16" s="625">
        <f>SPINTE!D18</f>
        <v>1</v>
      </c>
      <c r="I16" s="422"/>
      <c r="J16" s="422"/>
      <c r="K16" s="422"/>
      <c r="L16" s="422"/>
      <c r="M16" s="422"/>
      <c r="N16" s="422"/>
      <c r="O16" s="422"/>
      <c r="P16" s="422"/>
      <c r="Q16" s="422"/>
      <c r="R16" s="422"/>
      <c r="S16" s="422"/>
      <c r="T16" s="422"/>
      <c r="U16" s="422"/>
      <c r="V16" s="422"/>
      <c r="W16" s="422"/>
    </row>
    <row r="17" spans="1:36" s="421" customFormat="1" x14ac:dyDescent="0.25">
      <c r="A17" s="422"/>
      <c r="B17" s="628"/>
      <c r="C17" s="422"/>
      <c r="D17" s="422"/>
      <c r="E17" s="422"/>
      <c r="F17" s="422"/>
      <c r="G17" s="636" t="s">
        <v>205</v>
      </c>
      <c r="H17" s="625">
        <f>SPINTE!D19</f>
        <v>1</v>
      </c>
      <c r="I17" s="422"/>
      <c r="J17" s="422"/>
      <c r="K17" s="422"/>
      <c r="L17" s="422"/>
      <c r="M17" s="422"/>
      <c r="N17" s="422"/>
      <c r="O17" s="422"/>
      <c r="P17" s="422"/>
      <c r="Q17" s="422"/>
      <c r="R17" s="422"/>
      <c r="S17" s="422"/>
      <c r="T17" s="422"/>
      <c r="U17" s="422"/>
      <c r="V17" s="422"/>
      <c r="W17" s="422"/>
    </row>
    <row r="18" spans="1:36" s="421" customFormat="1" x14ac:dyDescent="0.25">
      <c r="A18" s="422"/>
      <c r="B18" s="422"/>
      <c r="C18" s="57"/>
      <c r="D18" s="640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</row>
    <row r="19" spans="1:36" s="421" customFormat="1" ht="18" x14ac:dyDescent="0.25">
      <c r="A19" s="422"/>
      <c r="B19" s="422" t="s">
        <v>363</v>
      </c>
      <c r="C19" s="422"/>
      <c r="D19" s="422"/>
      <c r="E19" s="422"/>
      <c r="F19" s="422"/>
      <c r="G19" s="624" t="s">
        <v>364</v>
      </c>
      <c r="H19" s="646">
        <f>SPINTE!D21</f>
        <v>2.5554000000000001</v>
      </c>
      <c r="I19" s="422"/>
      <c r="J19" s="422"/>
      <c r="K19" s="422"/>
      <c r="L19" s="422"/>
      <c r="M19" s="422"/>
      <c r="N19" s="422"/>
      <c r="O19" s="422"/>
      <c r="P19" s="422"/>
      <c r="Q19" s="422"/>
      <c r="R19" s="422"/>
      <c r="S19" s="422"/>
      <c r="T19" s="422"/>
      <c r="U19" s="422"/>
      <c r="V19" s="422"/>
      <c r="W19" s="422"/>
    </row>
    <row r="20" spans="1:36" s="421" customFormat="1" ht="18" x14ac:dyDescent="0.25">
      <c r="A20" s="422"/>
      <c r="B20" s="422" t="s">
        <v>365</v>
      </c>
      <c r="C20" s="422"/>
      <c r="D20" s="422"/>
      <c r="E20" s="422"/>
      <c r="F20" s="422"/>
      <c r="G20" s="624" t="s">
        <v>366</v>
      </c>
      <c r="H20" s="643">
        <f>SPINTE!D22</f>
        <v>2.3653</v>
      </c>
      <c r="I20" s="422"/>
      <c r="J20" s="422"/>
      <c r="K20" s="422"/>
      <c r="L20" s="422"/>
      <c r="M20" s="422"/>
      <c r="N20" s="422"/>
      <c r="O20" s="422"/>
      <c r="P20" s="422"/>
      <c r="Q20" s="422"/>
      <c r="R20" s="422"/>
      <c r="S20" s="422"/>
      <c r="T20" s="422"/>
      <c r="U20" s="422"/>
      <c r="V20" s="422"/>
      <c r="W20" s="422"/>
    </row>
    <row r="21" spans="1:36" s="421" customFormat="1" ht="18" x14ac:dyDescent="0.25">
      <c r="A21" s="422"/>
      <c r="B21" s="422" t="s">
        <v>367</v>
      </c>
      <c r="C21" s="422"/>
      <c r="D21" s="422"/>
      <c r="E21" s="422"/>
      <c r="F21" s="422"/>
      <c r="G21" s="624" t="s">
        <v>368</v>
      </c>
      <c r="H21" s="647">
        <f>SPINTE!D23</f>
        <v>0.3468</v>
      </c>
      <c r="I21" s="422"/>
      <c r="J21" s="422"/>
      <c r="K21" s="422"/>
      <c r="L21" s="422"/>
      <c r="M21" s="422"/>
      <c r="N21" s="422"/>
      <c r="O21" s="422"/>
      <c r="P21" s="422"/>
      <c r="Q21" s="422"/>
      <c r="R21" s="422"/>
      <c r="S21" s="422"/>
      <c r="T21" s="422"/>
      <c r="U21" s="422"/>
      <c r="V21" s="422"/>
      <c r="W21" s="422"/>
    </row>
    <row r="22" spans="1:36" s="421" customFormat="1" x14ac:dyDescent="0.25">
      <c r="A22" s="422"/>
      <c r="B22" s="422" t="s">
        <v>369</v>
      </c>
      <c r="C22" s="422"/>
      <c r="D22" s="422"/>
      <c r="E22" s="422"/>
      <c r="F22" s="422"/>
      <c r="G22" s="422"/>
      <c r="H22" s="643" t="str">
        <f>SPINTE!D24</f>
        <v>E</v>
      </c>
      <c r="I22" s="422"/>
      <c r="J22" s="422"/>
      <c r="K22" s="422"/>
      <c r="L22" s="422"/>
      <c r="M22" s="422"/>
      <c r="N22" s="422"/>
      <c r="O22" s="422"/>
      <c r="P22" s="422"/>
      <c r="Q22" s="422"/>
      <c r="R22" s="422"/>
      <c r="S22" s="422"/>
      <c r="T22" s="422"/>
      <c r="U22" s="422"/>
      <c r="V22" s="422"/>
      <c r="W22" s="422"/>
    </row>
    <row r="23" spans="1:36" s="421" customFormat="1" x14ac:dyDescent="0.25">
      <c r="A23" s="422"/>
      <c r="B23" s="422" t="s">
        <v>370</v>
      </c>
      <c r="C23" s="422"/>
      <c r="D23" s="422"/>
      <c r="E23" s="422"/>
      <c r="F23" s="422"/>
      <c r="G23" s="422"/>
      <c r="H23" s="643" t="str">
        <f>SPINTE!D25</f>
        <v>T2</v>
      </c>
      <c r="I23" s="422"/>
      <c r="J23" s="422"/>
      <c r="K23" s="422"/>
      <c r="L23" s="422"/>
      <c r="M23" s="422"/>
      <c r="N23" s="422"/>
      <c r="O23" s="422"/>
      <c r="P23" s="422"/>
      <c r="Q23" s="422"/>
      <c r="R23" s="422"/>
      <c r="S23" s="422"/>
      <c r="T23" s="422"/>
      <c r="U23" s="422"/>
      <c r="V23" s="422"/>
      <c r="W23" s="422"/>
    </row>
    <row r="24" spans="1:36" s="421" customFormat="1" x14ac:dyDescent="0.25">
      <c r="A24" s="422"/>
      <c r="B24" s="422" t="s">
        <v>782</v>
      </c>
      <c r="C24" s="422"/>
      <c r="D24" s="422"/>
      <c r="E24" s="422"/>
      <c r="F24" s="422"/>
      <c r="G24" s="376" t="s">
        <v>395</v>
      </c>
      <c r="H24" s="638">
        <f>SPINTE!D26</f>
        <v>0.31</v>
      </c>
      <c r="I24" s="422"/>
      <c r="J24" s="422"/>
      <c r="K24" s="422"/>
      <c r="L24" s="422"/>
      <c r="M24" s="422"/>
      <c r="N24" s="422"/>
      <c r="O24" s="422"/>
      <c r="P24" s="422"/>
      <c r="Q24" s="422"/>
      <c r="R24" s="422"/>
      <c r="S24" s="422"/>
      <c r="T24" s="422"/>
      <c r="U24" s="422"/>
      <c r="V24" s="422"/>
      <c r="W24" s="422"/>
    </row>
    <row r="25" spans="1:36" s="421" customFormat="1" x14ac:dyDescent="0.25">
      <c r="A25" s="422"/>
      <c r="B25" s="422" t="s">
        <v>396</v>
      </c>
      <c r="C25" s="422"/>
      <c r="D25" s="422"/>
      <c r="E25" s="422"/>
      <c r="F25" s="422"/>
      <c r="G25" s="621" t="s">
        <v>281</v>
      </c>
      <c r="H25" s="638">
        <f>SPINTE!D27</f>
        <v>0.12815426831174012</v>
      </c>
      <c r="I25" s="422"/>
      <c r="J25" s="422"/>
      <c r="K25" s="422"/>
      <c r="L25" s="422"/>
      <c r="M25" s="422"/>
      <c r="N25" s="422"/>
      <c r="O25" s="422"/>
      <c r="P25" s="422"/>
      <c r="Q25" s="422"/>
      <c r="R25" s="422"/>
      <c r="S25" s="422"/>
      <c r="T25" s="422"/>
      <c r="U25" s="422"/>
      <c r="V25" s="422"/>
      <c r="W25" s="422"/>
    </row>
    <row r="26" spans="1:36" s="421" customFormat="1" x14ac:dyDescent="0.25">
      <c r="A26" s="422"/>
      <c r="B26" s="422" t="s">
        <v>397</v>
      </c>
      <c r="C26" s="422"/>
      <c r="D26" s="422"/>
      <c r="E26" s="422"/>
      <c r="F26" s="422"/>
      <c r="G26" s="621" t="s">
        <v>282</v>
      </c>
      <c r="H26" s="638">
        <f>SPINTE!D28</f>
        <v>6.4077134155870061E-2</v>
      </c>
      <c r="I26" s="422"/>
      <c r="J26" s="422"/>
      <c r="K26" s="422"/>
      <c r="L26" s="422"/>
      <c r="M26" s="422"/>
      <c r="N26" s="422"/>
      <c r="O26" s="422"/>
      <c r="P26" s="422"/>
      <c r="Q26" s="422"/>
      <c r="R26" s="422"/>
      <c r="S26" s="422"/>
      <c r="T26" s="422"/>
      <c r="U26" s="422"/>
      <c r="V26" s="422"/>
      <c r="W26" s="422"/>
    </row>
    <row r="27" spans="1:36" s="421" customFormat="1" x14ac:dyDescent="0.25">
      <c r="A27" s="422"/>
      <c r="B27" s="422"/>
      <c r="C27" s="57"/>
      <c r="D27" s="640"/>
      <c r="E27" s="422"/>
      <c r="F27" s="422"/>
      <c r="G27" s="422"/>
      <c r="H27" s="422"/>
      <c r="I27" s="422"/>
      <c r="J27" s="422"/>
      <c r="K27" s="422"/>
      <c r="L27" s="422"/>
      <c r="M27" s="422"/>
      <c r="N27" s="422"/>
      <c r="O27" s="422"/>
      <c r="P27" s="422"/>
      <c r="Q27" s="422"/>
      <c r="R27" s="422"/>
      <c r="S27" s="422"/>
      <c r="T27" s="422"/>
      <c r="U27" s="422"/>
      <c r="V27" s="422"/>
      <c r="W27" s="422"/>
    </row>
    <row r="28" spans="1:36" ht="18.75" x14ac:dyDescent="0.3">
      <c r="A28" s="422"/>
      <c r="B28" s="429" t="s">
        <v>752</v>
      </c>
      <c r="C28" s="422"/>
      <c r="D28" s="422"/>
      <c r="E28" s="422"/>
      <c r="F28" s="422"/>
      <c r="G28" s="422"/>
      <c r="H28" s="422"/>
      <c r="I28" s="422"/>
      <c r="J28" s="422"/>
      <c r="K28" s="422"/>
      <c r="L28" s="422"/>
      <c r="M28" s="422"/>
      <c r="N28" s="422"/>
      <c r="O28" s="422"/>
      <c r="P28" s="422"/>
      <c r="Q28" s="422"/>
      <c r="R28" s="422"/>
      <c r="S28" s="632"/>
      <c r="T28" s="632"/>
      <c r="U28" s="632"/>
      <c r="V28" s="632"/>
      <c r="W28" s="632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</row>
    <row r="29" spans="1:36" ht="12.75" customHeight="1" x14ac:dyDescent="0.3">
      <c r="A29" s="422"/>
      <c r="B29" s="429"/>
      <c r="C29" s="422"/>
      <c r="D29" s="422"/>
      <c r="E29" s="422"/>
      <c r="F29" s="422"/>
      <c r="G29" s="422"/>
      <c r="H29" s="422"/>
      <c r="I29" s="422"/>
      <c r="J29" s="422"/>
      <c r="K29" s="422"/>
      <c r="L29" s="422"/>
      <c r="M29" s="422"/>
      <c r="N29" s="422"/>
      <c r="O29" s="422"/>
      <c r="P29" s="422"/>
      <c r="Q29" s="422"/>
      <c r="R29" s="422"/>
      <c r="S29" s="632"/>
      <c r="T29" s="632"/>
      <c r="U29" s="632"/>
      <c r="V29" s="632"/>
      <c r="W29" s="632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</row>
    <row r="30" spans="1:36" ht="15.75" x14ac:dyDescent="0.25">
      <c r="A30" s="422"/>
      <c r="B30" s="14" t="s">
        <v>753</v>
      </c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632"/>
      <c r="T30" s="632"/>
      <c r="U30" s="632"/>
      <c r="V30" s="632"/>
      <c r="W30" s="632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</row>
    <row r="31" spans="1:36" ht="18.75" x14ac:dyDescent="0.3">
      <c r="A31" s="422"/>
      <c r="B31" s="429"/>
      <c r="C31" s="422"/>
      <c r="D31" s="422"/>
      <c r="E31" s="422"/>
      <c r="F31" s="422"/>
      <c r="G31" s="422"/>
      <c r="H31" s="422"/>
      <c r="I31" s="422"/>
      <c r="J31" s="422"/>
      <c r="K31" s="422"/>
      <c r="L31" s="422"/>
      <c r="M31" s="422"/>
      <c r="N31" s="422"/>
      <c r="O31" s="422"/>
      <c r="P31" s="422"/>
      <c r="Q31" s="422"/>
      <c r="R31" s="422"/>
      <c r="S31" s="632"/>
      <c r="T31" s="632"/>
      <c r="U31" s="632"/>
      <c r="V31" s="632"/>
      <c r="W31" s="632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</row>
    <row r="32" spans="1:36" ht="15.75" x14ac:dyDescent="0.25">
      <c r="A32" s="422"/>
      <c r="B32" s="14"/>
      <c r="C32" s="422"/>
      <c r="D32" s="422"/>
      <c r="E32" s="422"/>
      <c r="F32" s="632"/>
      <c r="G32" s="632"/>
      <c r="H32" s="632"/>
      <c r="I32" s="422"/>
      <c r="J32" s="422"/>
      <c r="K32" s="422"/>
      <c r="L32" s="422"/>
      <c r="M32" s="422"/>
      <c r="N32" s="422"/>
      <c r="O32" s="744"/>
      <c r="P32" s="744"/>
      <c r="Q32" s="632"/>
      <c r="R32" s="632"/>
      <c r="S32" s="632"/>
      <c r="T32" s="632"/>
      <c r="U32" s="632"/>
      <c r="V32" s="632"/>
      <c r="W32" s="632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</row>
    <row r="33" spans="1:36" x14ac:dyDescent="0.25">
      <c r="A33" s="422"/>
      <c r="B33" s="758" t="s">
        <v>512</v>
      </c>
      <c r="C33" s="758"/>
      <c r="D33" s="422"/>
      <c r="E33" s="422"/>
      <c r="F33" s="632"/>
      <c r="G33" s="632"/>
      <c r="H33" s="632"/>
      <c r="I33" s="422"/>
      <c r="J33" s="422"/>
      <c r="K33" s="422"/>
      <c r="L33" s="422"/>
      <c r="M33" s="422"/>
      <c r="N33" s="422"/>
      <c r="O33" s="422"/>
      <c r="P33" s="422"/>
      <c r="Q33" s="422"/>
      <c r="R33" s="422"/>
      <c r="S33" s="632"/>
      <c r="T33" s="632"/>
      <c r="U33" s="632"/>
      <c r="V33" s="632"/>
      <c r="W33" s="632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</row>
    <row r="34" spans="1:36" x14ac:dyDescent="0.25">
      <c r="A34" s="422"/>
      <c r="B34" s="422"/>
      <c r="C34" s="422"/>
      <c r="D34" s="624"/>
      <c r="E34" s="624"/>
      <c r="F34" s="624"/>
      <c r="G34" s="624"/>
      <c r="H34" s="632"/>
      <c r="I34" s="422"/>
      <c r="J34" s="422"/>
      <c r="K34" s="422"/>
      <c r="L34" s="422"/>
      <c r="M34" s="422"/>
      <c r="N34" s="422"/>
      <c r="O34" s="422"/>
      <c r="P34" s="315"/>
      <c r="Q34" s="315"/>
      <c r="R34" s="119"/>
      <c r="S34" s="632"/>
      <c r="T34" s="632"/>
      <c r="U34" s="632"/>
      <c r="V34" s="632"/>
      <c r="W34" s="632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</row>
    <row r="35" spans="1:36" x14ac:dyDescent="0.25">
      <c r="A35" s="422"/>
      <c r="B35" s="759" t="s">
        <v>174</v>
      </c>
      <c r="C35" s="760">
        <f>'geom masse muro+tensioni'!H16</f>
        <v>7.0916868799999992</v>
      </c>
      <c r="D35" s="3"/>
      <c r="E35" s="3"/>
      <c r="F35" s="3"/>
      <c r="G35" s="3"/>
      <c r="H35" s="632"/>
      <c r="I35" s="422"/>
      <c r="J35" s="422"/>
      <c r="K35" s="422"/>
      <c r="L35" s="422"/>
      <c r="M35" s="422"/>
      <c r="N35" s="422"/>
      <c r="O35" s="422"/>
      <c r="P35" s="624"/>
      <c r="Q35" s="624"/>
      <c r="R35" s="744"/>
      <c r="S35" s="632"/>
      <c r="T35" s="632"/>
      <c r="U35" s="632"/>
      <c r="V35" s="632"/>
      <c r="W35" s="632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</row>
    <row r="36" spans="1:36" x14ac:dyDescent="0.25">
      <c r="A36" s="422"/>
      <c r="B36" s="761" t="s">
        <v>513</v>
      </c>
      <c r="C36" s="353">
        <f>C35*DATI!$E$8</f>
        <v>177.29217199999999</v>
      </c>
      <c r="D36" s="758"/>
      <c r="E36" s="3"/>
      <c r="F36" s="3"/>
      <c r="G36" s="3"/>
      <c r="H36" s="632"/>
      <c r="I36" s="422"/>
      <c r="J36" s="422"/>
      <c r="K36" s="422"/>
      <c r="L36" s="422"/>
      <c r="M36" s="422"/>
      <c r="N36" s="422"/>
      <c r="O36" s="422"/>
      <c r="P36" s="632"/>
      <c r="Q36" s="632"/>
      <c r="R36" s="744"/>
      <c r="S36" s="632"/>
      <c r="T36" s="632"/>
      <c r="U36" s="632"/>
      <c r="V36" s="632"/>
      <c r="W36" s="632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</row>
    <row r="37" spans="1:36" x14ac:dyDescent="0.25">
      <c r="A37" s="422"/>
      <c r="B37" s="762" t="s">
        <v>514</v>
      </c>
      <c r="C37" s="763">
        <f>DATI!E60+DATI!E74+DATI!E84+DATI!E89</f>
        <v>5.6</v>
      </c>
      <c r="D37" s="422"/>
      <c r="E37" s="3"/>
      <c r="F37" s="3"/>
      <c r="G37" s="3"/>
      <c r="H37" s="632"/>
      <c r="I37" s="422"/>
      <c r="J37" s="422"/>
      <c r="K37" s="422"/>
      <c r="L37" s="422"/>
      <c r="M37" s="422"/>
      <c r="N37" s="422"/>
      <c r="O37" s="422"/>
      <c r="P37" s="632"/>
      <c r="Q37" s="632"/>
      <c r="R37" s="744"/>
      <c r="S37" s="632"/>
      <c r="T37" s="632"/>
      <c r="U37" s="632"/>
      <c r="V37" s="632"/>
      <c r="W37" s="632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</row>
    <row r="38" spans="1:36" x14ac:dyDescent="0.25">
      <c r="A38" s="422"/>
      <c r="B38" s="762" t="s">
        <v>73</v>
      </c>
      <c r="C38" s="764">
        <f>'geom masse muro+tensioni'!L16+DATI!E75</f>
        <v>1.6326655274280244</v>
      </c>
      <c r="D38" s="422"/>
      <c r="E38" s="3"/>
      <c r="F38" s="3"/>
      <c r="G38" s="3"/>
      <c r="H38" s="632"/>
      <c r="I38" s="422"/>
      <c r="J38" s="422"/>
      <c r="K38" s="422"/>
      <c r="L38" s="422"/>
      <c r="M38" s="422"/>
      <c r="N38" s="422"/>
      <c r="O38" s="422"/>
      <c r="P38" s="632"/>
      <c r="Q38" s="632"/>
      <c r="R38" s="744"/>
      <c r="S38" s="632"/>
      <c r="T38" s="632"/>
      <c r="U38" s="632"/>
      <c r="V38" s="632"/>
      <c r="W38" s="632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</row>
    <row r="39" spans="1:36" x14ac:dyDescent="0.25">
      <c r="A39" s="422"/>
      <c r="B39" s="762" t="s">
        <v>74</v>
      </c>
      <c r="C39" s="764">
        <f>'geom masse muro+tensioni'!M16</f>
        <v>0</v>
      </c>
      <c r="D39" s="422"/>
      <c r="E39" s="3"/>
      <c r="F39" s="3"/>
      <c r="G39" s="3"/>
      <c r="H39" s="632"/>
      <c r="I39" s="422"/>
      <c r="J39" s="422"/>
      <c r="K39" s="422"/>
      <c r="L39" s="422"/>
      <c r="M39" s="422"/>
      <c r="N39" s="422"/>
      <c r="O39" s="422"/>
      <c r="P39" s="632"/>
      <c r="Q39" s="632"/>
      <c r="R39" s="422"/>
      <c r="S39" s="632"/>
      <c r="T39" s="632"/>
      <c r="U39" s="632"/>
      <c r="V39" s="632"/>
      <c r="W39" s="632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</row>
    <row r="40" spans="1:36" x14ac:dyDescent="0.25">
      <c r="A40" s="422"/>
      <c r="B40" s="762" t="s">
        <v>75</v>
      </c>
      <c r="C40" s="764">
        <f>'geom masse muro+tensioni'!N16+DATI!E74+DATI!E60</f>
        <v>0.81324289489780677</v>
      </c>
      <c r="D40" s="422"/>
      <c r="E40" s="85"/>
      <c r="F40" s="86"/>
      <c r="G40" s="86"/>
      <c r="H40" s="422"/>
      <c r="I40" s="422"/>
      <c r="J40" s="422"/>
      <c r="K40" s="422"/>
      <c r="L40" s="422"/>
      <c r="M40" s="744"/>
      <c r="N40" s="422"/>
      <c r="O40" s="422"/>
      <c r="P40" s="632"/>
      <c r="Q40" s="632"/>
      <c r="R40" s="422"/>
      <c r="S40" s="632"/>
      <c r="T40" s="632"/>
      <c r="U40" s="632"/>
      <c r="V40" s="632"/>
      <c r="W40" s="632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</row>
    <row r="41" spans="1:36" x14ac:dyDescent="0.25">
      <c r="A41" s="422"/>
      <c r="B41" s="422"/>
      <c r="C41" s="422"/>
      <c r="D41" s="422"/>
      <c r="E41" s="422"/>
      <c r="F41" s="632"/>
      <c r="G41" s="632"/>
      <c r="H41" s="422"/>
      <c r="I41" s="422"/>
      <c r="J41" s="422"/>
      <c r="K41" s="422"/>
      <c r="L41" s="422"/>
      <c r="M41" s="422"/>
      <c r="N41" s="422"/>
      <c r="O41" s="422"/>
      <c r="P41" s="765"/>
      <c r="Q41" s="765"/>
      <c r="R41" s="422"/>
      <c r="S41" s="632"/>
      <c r="T41" s="632"/>
      <c r="U41" s="632"/>
      <c r="V41" s="632"/>
      <c r="W41" s="632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</row>
    <row r="42" spans="1:36" x14ac:dyDescent="0.25">
      <c r="A42" s="422"/>
      <c r="B42" s="422"/>
      <c r="C42" s="422"/>
      <c r="D42" s="422"/>
      <c r="E42" s="422"/>
      <c r="F42" s="164"/>
      <c r="G42" s="164"/>
      <c r="H42" s="632"/>
      <c r="I42" s="422"/>
      <c r="J42" s="422"/>
      <c r="K42" s="422"/>
      <c r="L42" s="422"/>
      <c r="M42" s="422"/>
      <c r="N42" s="422"/>
      <c r="O42" s="422"/>
      <c r="P42" s="422"/>
      <c r="Q42" s="422"/>
      <c r="R42" s="422"/>
      <c r="S42" s="632"/>
      <c r="T42" s="632"/>
      <c r="U42" s="632"/>
      <c r="V42" s="632"/>
      <c r="W42" s="632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</row>
    <row r="43" spans="1:36" x14ac:dyDescent="0.25">
      <c r="A43" s="422"/>
      <c r="B43" s="422"/>
      <c r="C43" s="422"/>
      <c r="D43" s="422"/>
      <c r="E43" s="422"/>
      <c r="F43" s="422"/>
      <c r="G43" s="422"/>
      <c r="H43" s="422"/>
      <c r="I43" s="422"/>
      <c r="J43" s="422"/>
      <c r="K43" s="422"/>
      <c r="L43" s="422"/>
      <c r="M43" s="422"/>
      <c r="N43" s="422"/>
      <c r="O43" s="422"/>
      <c r="P43" s="422"/>
      <c r="Q43" s="422"/>
      <c r="R43" s="422"/>
      <c r="S43" s="632"/>
      <c r="T43" s="632"/>
      <c r="U43" s="632"/>
      <c r="V43" s="632"/>
      <c r="W43" s="632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</row>
    <row r="44" spans="1:36" x14ac:dyDescent="0.25">
      <c r="A44" s="422"/>
      <c r="B44" s="766"/>
      <c r="C44" s="767"/>
      <c r="D44" s="422"/>
      <c r="E44" s="422"/>
      <c r="F44" s="422"/>
      <c r="G44" s="422"/>
      <c r="H44" s="422"/>
      <c r="I44" s="422"/>
      <c r="J44" s="422"/>
      <c r="K44" s="422"/>
      <c r="L44" s="422"/>
      <c r="M44" s="422"/>
      <c r="N44" s="422"/>
      <c r="O44" s="422"/>
      <c r="P44" s="422"/>
      <c r="Q44" s="422"/>
      <c r="R44" s="744"/>
      <c r="S44" s="632"/>
      <c r="T44" s="632"/>
      <c r="U44" s="632"/>
      <c r="V44" s="632"/>
      <c r="W44" s="632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</row>
    <row r="45" spans="1:36" x14ac:dyDescent="0.25">
      <c r="A45" s="422"/>
      <c r="B45" s="422"/>
      <c r="C45" s="422"/>
      <c r="D45" s="422"/>
      <c r="E45" s="422"/>
      <c r="F45" s="422"/>
      <c r="G45" s="422"/>
      <c r="H45" s="422"/>
      <c r="I45" s="422"/>
      <c r="J45" s="422"/>
      <c r="K45" s="422"/>
      <c r="L45" s="422"/>
      <c r="M45" s="422"/>
      <c r="N45" s="422"/>
      <c r="O45" s="422"/>
      <c r="P45" s="422"/>
      <c r="Q45" s="422"/>
      <c r="R45" s="744"/>
      <c r="S45" s="632"/>
      <c r="T45" s="632"/>
      <c r="U45" s="632"/>
      <c r="V45" s="632"/>
      <c r="W45" s="632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</row>
    <row r="46" spans="1:36" x14ac:dyDescent="0.25">
      <c r="A46" s="422"/>
      <c r="B46" s="889" t="s">
        <v>515</v>
      </c>
      <c r="C46" s="197" t="s">
        <v>516</v>
      </c>
      <c r="D46" s="422"/>
      <c r="E46" s="422"/>
      <c r="F46" s="422"/>
      <c r="G46" s="422"/>
      <c r="H46" s="422"/>
      <c r="I46" s="422"/>
      <c r="J46" s="422"/>
      <c r="K46" s="422"/>
      <c r="L46" s="422"/>
      <c r="M46" s="422"/>
      <c r="N46" s="422"/>
      <c r="O46" s="422"/>
      <c r="P46" s="422"/>
      <c r="Q46" s="422"/>
      <c r="R46" s="744"/>
      <c r="S46" s="632"/>
      <c r="T46" s="632"/>
      <c r="U46" s="632"/>
      <c r="V46" s="632"/>
      <c r="W46" s="632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</row>
    <row r="47" spans="1:36" x14ac:dyDescent="0.25">
      <c r="A47" s="422"/>
      <c r="B47" s="889"/>
      <c r="C47" s="196">
        <f>C36</f>
        <v>177.29217199999999</v>
      </c>
      <c r="D47" s="422"/>
      <c r="E47" s="422"/>
      <c r="F47" s="422"/>
      <c r="G47" s="422"/>
      <c r="H47" s="422"/>
      <c r="I47" s="422"/>
      <c r="J47" s="422"/>
      <c r="K47" s="422"/>
      <c r="L47" s="422"/>
      <c r="M47" s="422"/>
      <c r="N47" s="422"/>
      <c r="O47" s="422"/>
      <c r="P47" s="422"/>
      <c r="Q47" s="422"/>
      <c r="R47" s="744"/>
      <c r="S47" s="632"/>
      <c r="T47" s="632"/>
      <c r="U47" s="632"/>
      <c r="V47" s="632"/>
      <c r="W47" s="632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</row>
    <row r="48" spans="1:36" ht="18" x14ac:dyDescent="0.25">
      <c r="A48" s="422"/>
      <c r="B48" s="942" t="s">
        <v>517</v>
      </c>
      <c r="C48" s="90" t="s">
        <v>518</v>
      </c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744"/>
      <c r="S48" s="632"/>
      <c r="T48" s="632"/>
      <c r="U48" s="632"/>
      <c r="V48" s="632"/>
      <c r="W48" s="632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</row>
    <row r="49" spans="1:36" x14ac:dyDescent="0.25">
      <c r="A49" s="422"/>
      <c r="B49" s="942"/>
      <c r="C49" s="198">
        <f>IF(DATI!G211="DX",C38,DATI!E75+'FOGLIO DEPOSITO'!D212+'FOGLIO DEPOSITO'!D211-'VER. EQU COND. NON DRENATE'!C38)</f>
        <v>1.6326655274280244</v>
      </c>
      <c r="D49" s="422"/>
      <c r="E49" s="422"/>
      <c r="F49" s="422"/>
      <c r="G49" s="422"/>
      <c r="H49" s="422"/>
      <c r="I49" s="422"/>
      <c r="J49" s="422"/>
      <c r="K49" s="422"/>
      <c r="L49" s="422"/>
      <c r="M49" s="744"/>
      <c r="N49" s="422"/>
      <c r="O49" s="422"/>
      <c r="P49" s="422"/>
      <c r="Q49" s="422"/>
      <c r="R49" s="744"/>
      <c r="S49" s="632"/>
      <c r="T49" s="632"/>
      <c r="U49" s="632"/>
      <c r="V49" s="632"/>
      <c r="W49" s="632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</row>
    <row r="50" spans="1:36" x14ac:dyDescent="0.25">
      <c r="A50" s="422"/>
      <c r="B50" s="422"/>
      <c r="C50" s="422"/>
      <c r="D50" s="422"/>
      <c r="E50" s="422"/>
      <c r="F50" s="422"/>
      <c r="G50" s="422"/>
      <c r="H50" s="422"/>
      <c r="I50" s="422"/>
      <c r="J50" s="422"/>
      <c r="K50" s="422"/>
      <c r="L50" s="422"/>
      <c r="M50" s="422"/>
      <c r="N50" s="422"/>
      <c r="O50" s="422"/>
      <c r="P50" s="422"/>
      <c r="Q50" s="422"/>
      <c r="R50" s="744"/>
      <c r="S50" s="632"/>
      <c r="T50" s="632"/>
      <c r="U50" s="632"/>
      <c r="V50" s="632"/>
      <c r="W50" s="632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</row>
    <row r="51" spans="1:36" x14ac:dyDescent="0.25">
      <c r="A51" s="422"/>
      <c r="B51" s="422"/>
      <c r="C51" s="422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744"/>
      <c r="S51" s="632"/>
      <c r="T51" s="632"/>
      <c r="U51" s="632"/>
      <c r="V51" s="632"/>
      <c r="W51" s="632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</row>
    <row r="52" spans="1:36" x14ac:dyDescent="0.25">
      <c r="A52" s="422"/>
      <c r="B52" s="422"/>
      <c r="C52" s="422"/>
      <c r="D52" s="422"/>
      <c r="E52" s="422"/>
      <c r="F52" s="422"/>
      <c r="G52" s="422"/>
      <c r="H52" s="422"/>
      <c r="I52" s="422"/>
      <c r="J52" s="422"/>
      <c r="K52" s="422"/>
      <c r="L52" s="422"/>
      <c r="M52" s="422"/>
      <c r="N52" s="422"/>
      <c r="O52" s="422"/>
      <c r="P52" s="422"/>
      <c r="Q52" s="422"/>
      <c r="R52" s="744"/>
      <c r="S52" s="632"/>
      <c r="T52" s="632"/>
      <c r="U52" s="632"/>
      <c r="V52" s="632"/>
      <c r="W52" s="632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</row>
    <row r="53" spans="1:36" x14ac:dyDescent="0.25">
      <c r="A53" s="422"/>
      <c r="B53" s="422"/>
      <c r="C53" s="422"/>
      <c r="D53" s="422"/>
      <c r="E53" s="422"/>
      <c r="F53" s="422"/>
      <c r="G53" s="422"/>
      <c r="H53" s="422"/>
      <c r="I53" s="422"/>
      <c r="J53" s="422"/>
      <c r="K53" s="422"/>
      <c r="L53" s="422"/>
      <c r="M53" s="422"/>
      <c r="N53" s="422"/>
      <c r="O53" s="422"/>
      <c r="P53" s="422"/>
      <c r="Q53" s="422"/>
      <c r="R53" s="422"/>
      <c r="S53" s="422"/>
      <c r="T53" s="422"/>
      <c r="U53" s="632"/>
      <c r="V53" s="632"/>
      <c r="W53" s="632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</row>
    <row r="54" spans="1:36" x14ac:dyDescent="0.25">
      <c r="A54" s="422"/>
      <c r="B54" s="422"/>
      <c r="C54" s="422"/>
      <c r="D54" s="422"/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744"/>
      <c r="S54" s="422"/>
      <c r="T54" s="422"/>
      <c r="U54" s="632"/>
      <c r="V54" s="632"/>
      <c r="W54" s="632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</row>
    <row r="55" spans="1:36" x14ac:dyDescent="0.25">
      <c r="A55" s="422"/>
      <c r="B55" s="422"/>
      <c r="C55" s="422"/>
      <c r="D55" s="422"/>
      <c r="E55" s="422"/>
      <c r="F55" s="422"/>
      <c r="G55" s="422"/>
      <c r="H55" s="422"/>
      <c r="I55" s="422"/>
      <c r="J55" s="422"/>
      <c r="K55" s="422"/>
      <c r="L55" s="422"/>
      <c r="M55" s="422"/>
      <c r="N55" s="422"/>
      <c r="O55" s="422"/>
      <c r="P55" s="422"/>
      <c r="Q55" s="422"/>
      <c r="R55" s="422"/>
      <c r="S55" s="422"/>
      <c r="T55" s="422"/>
      <c r="U55" s="632"/>
      <c r="V55" s="632"/>
      <c r="W55" s="632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</row>
    <row r="56" spans="1:36" x14ac:dyDescent="0.25">
      <c r="A56" s="422"/>
      <c r="B56" s="422"/>
      <c r="C56" s="422"/>
      <c r="D56" s="422"/>
      <c r="E56" s="422"/>
      <c r="F56" s="422"/>
      <c r="G56" s="422"/>
      <c r="H56" s="422"/>
      <c r="I56" s="422"/>
      <c r="J56" s="422"/>
      <c r="K56" s="422"/>
      <c r="L56" s="422"/>
      <c r="M56" s="422"/>
      <c r="N56" s="422"/>
      <c r="O56" s="422"/>
      <c r="P56" s="422"/>
      <c r="Q56" s="422"/>
      <c r="R56" s="744"/>
      <c r="S56" s="632"/>
      <c r="T56" s="632"/>
      <c r="U56" s="632"/>
      <c r="V56" s="632"/>
      <c r="W56" s="632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</row>
    <row r="57" spans="1:36" x14ac:dyDescent="0.25">
      <c r="A57" s="422"/>
      <c r="B57" s="422"/>
      <c r="C57" s="422"/>
      <c r="D57" s="422"/>
      <c r="E57" s="422"/>
      <c r="F57" s="422"/>
      <c r="G57" s="422"/>
      <c r="H57" s="422"/>
      <c r="I57" s="422"/>
      <c r="J57" s="422"/>
      <c r="K57" s="422"/>
      <c r="L57" s="422"/>
      <c r="M57" s="422"/>
      <c r="N57" s="422"/>
      <c r="O57" s="422"/>
      <c r="P57" s="422"/>
      <c r="Q57" s="422"/>
      <c r="R57" s="744"/>
      <c r="S57" s="632"/>
      <c r="T57" s="632"/>
      <c r="U57" s="632"/>
      <c r="V57" s="632"/>
      <c r="W57" s="632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</row>
    <row r="58" spans="1:36" ht="21" customHeight="1" x14ac:dyDescent="0.25">
      <c r="A58" s="422"/>
      <c r="B58" s="422"/>
      <c r="C58" s="422"/>
      <c r="D58" s="422"/>
      <c r="E58" s="422"/>
      <c r="F58" s="422"/>
      <c r="G58" s="422"/>
      <c r="H58" s="422"/>
      <c r="I58" s="422"/>
      <c r="J58" s="422"/>
      <c r="K58" s="422"/>
      <c r="L58" s="422"/>
      <c r="M58" s="744"/>
      <c r="N58" s="422"/>
      <c r="O58" s="422"/>
      <c r="P58" s="422"/>
      <c r="Q58" s="422"/>
      <c r="R58" s="744"/>
      <c r="S58" s="632"/>
      <c r="T58" s="632"/>
      <c r="U58" s="632"/>
      <c r="V58" s="632"/>
      <c r="W58" s="632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</row>
    <row r="59" spans="1:36" x14ac:dyDescent="0.25">
      <c r="A59" s="422"/>
      <c r="B59" s="87"/>
      <c r="C59" s="88"/>
      <c r="D59" s="422"/>
      <c r="E59" s="422"/>
      <c r="F59" s="422"/>
      <c r="G59" s="422"/>
      <c r="H59" s="422"/>
      <c r="I59" s="422"/>
      <c r="J59" s="430"/>
      <c r="K59" s="430"/>
      <c r="L59" s="422"/>
      <c r="M59" s="768"/>
      <c r="N59" s="768"/>
      <c r="O59" s="768"/>
      <c r="P59" s="768"/>
      <c r="Q59" s="768"/>
      <c r="R59" s="769"/>
      <c r="S59" s="632"/>
      <c r="T59" s="632"/>
      <c r="U59" s="632"/>
      <c r="V59" s="632"/>
      <c r="W59" s="632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</row>
    <row r="60" spans="1:36" x14ac:dyDescent="0.25">
      <c r="A60" s="422"/>
      <c r="B60" s="422"/>
      <c r="C60" s="422"/>
      <c r="D60" s="761" t="s">
        <v>184</v>
      </c>
      <c r="E60" s="761" t="s">
        <v>174</v>
      </c>
      <c r="F60" s="761" t="s">
        <v>513</v>
      </c>
      <c r="G60" s="770" t="s">
        <v>73</v>
      </c>
      <c r="H60" s="770" t="s">
        <v>74</v>
      </c>
      <c r="I60" s="770" t="s">
        <v>75</v>
      </c>
      <c r="J60" s="430"/>
      <c r="K60" s="430"/>
      <c r="L60" s="422"/>
      <c r="M60" s="768"/>
      <c r="N60" s="768"/>
      <c r="O60" s="768"/>
      <c r="P60" s="768"/>
      <c r="Q60" s="768"/>
      <c r="R60" s="769"/>
      <c r="S60" s="632"/>
      <c r="T60" s="632"/>
      <c r="U60" s="632"/>
      <c r="V60" s="632"/>
      <c r="W60" s="632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</row>
    <row r="61" spans="1:36" ht="15.75" customHeight="1" x14ac:dyDescent="0.25">
      <c r="A61" s="422"/>
      <c r="B61" s="943" t="s">
        <v>1015</v>
      </c>
      <c r="C61" s="943"/>
      <c r="D61" s="763">
        <f>DATI!E89</f>
        <v>0.2</v>
      </c>
      <c r="E61" s="760">
        <f>'geom masse muro+tensioni'!H5</f>
        <v>0.06</v>
      </c>
      <c r="F61" s="353">
        <f>E61*DATI!$E$8</f>
        <v>1.5</v>
      </c>
      <c r="G61" s="763">
        <f>IF(DATI!E89=0,"",'geom masse muro+tensioni'!L5+DATI!E75)</f>
        <v>0.71</v>
      </c>
      <c r="H61" s="763">
        <f>IF(DATI!E89=0,"",'geom masse muro+tensioni'!LM5)</f>
        <v>0</v>
      </c>
      <c r="I61" s="763">
        <f>IF(DATI!E89=0,"",'geom masse muro+tensioni'!N5+DATI!E74+DATI!E60)</f>
        <v>4.8999999999999995</v>
      </c>
      <c r="J61" s="422"/>
      <c r="K61" s="422"/>
      <c r="L61" s="422"/>
      <c r="M61" s="422"/>
      <c r="N61" s="422"/>
      <c r="O61" s="422"/>
      <c r="P61" s="422"/>
      <c r="Q61" s="422"/>
      <c r="R61" s="422"/>
      <c r="S61" s="422"/>
      <c r="T61" s="91"/>
      <c r="U61" s="422"/>
      <c r="V61" s="422"/>
      <c r="W61" s="632"/>
      <c r="X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</row>
    <row r="62" spans="1:36" ht="15.75" customHeight="1" x14ac:dyDescent="0.25">
      <c r="A62" s="422"/>
      <c r="B62" s="943" t="s">
        <v>519</v>
      </c>
      <c r="C62" s="943"/>
      <c r="D62" s="763">
        <f>DATI!E60</f>
        <v>4.3</v>
      </c>
      <c r="E62" s="760">
        <f>'geom masse muro+tensioni'!H9</f>
        <v>1.8816868799999997</v>
      </c>
      <c r="F62" s="353">
        <f>E62*DATI!$E$8</f>
        <v>47.042171999999994</v>
      </c>
      <c r="G62" s="763">
        <f>'geom masse muro+tensioni'!L9+DATI!E75</f>
        <v>0.80818584454901443</v>
      </c>
      <c r="H62" s="763">
        <f>'geom masse muro+tensioni'!M9</f>
        <v>0</v>
      </c>
      <c r="I62" s="763">
        <f>'geom masse muro+tensioni'!N9+DATI!E74+DATI!E60</f>
        <v>2.4875360601972201</v>
      </c>
      <c r="J62" s="422"/>
      <c r="K62" s="422"/>
      <c r="L62" s="422"/>
      <c r="M62" s="422"/>
      <c r="N62" s="422"/>
      <c r="O62" s="422"/>
      <c r="P62" s="422"/>
      <c r="Q62" s="422"/>
      <c r="R62" s="422"/>
      <c r="S62" s="422"/>
      <c r="T62" s="422"/>
      <c r="U62" s="422"/>
      <c r="V62" s="422"/>
      <c r="W62" s="422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</row>
    <row r="63" spans="1:36" ht="15.75" customHeight="1" x14ac:dyDescent="0.25">
      <c r="A63" s="422"/>
      <c r="B63" s="943" t="s">
        <v>520</v>
      </c>
      <c r="C63" s="943"/>
      <c r="D63" s="763">
        <f>DATI!E74</f>
        <v>0.5</v>
      </c>
      <c r="E63" s="760">
        <f>'geom masse muro+tensioni'!H13</f>
        <v>4.25</v>
      </c>
      <c r="F63" s="353">
        <f>E63*DATI!$E$8</f>
        <v>106.25</v>
      </c>
      <c r="G63" s="763">
        <f>'geom masse muro+tensioni'!L13+DATI!E75</f>
        <v>1.7000000000000002</v>
      </c>
      <c r="H63" s="763">
        <f>'geom masse muro+tensioni'!M13</f>
        <v>0</v>
      </c>
      <c r="I63" s="763">
        <f>'geom masse muro+tensioni'!N13+DATI!E74+DATI!E60</f>
        <v>0.25</v>
      </c>
      <c r="J63" s="422"/>
      <c r="K63" s="422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</row>
    <row r="64" spans="1:36" ht="15.75" customHeight="1" x14ac:dyDescent="0.25">
      <c r="A64" s="422"/>
      <c r="B64" s="943" t="s">
        <v>521</v>
      </c>
      <c r="C64" s="943"/>
      <c r="D64" s="763">
        <f>DATI!E82</f>
        <v>0.6</v>
      </c>
      <c r="E64" s="760">
        <f>'geom masse muro+tensioni'!H15</f>
        <v>0.89999999999999991</v>
      </c>
      <c r="F64" s="353">
        <f>E64*DATI!$E$8</f>
        <v>22.499999999999996</v>
      </c>
      <c r="G64" s="763">
        <f>IF(DATI!E84=0,"",'geom masse muro+tensioni'!LL15+DATI!E75)</f>
        <v>0.65</v>
      </c>
      <c r="H64" s="763">
        <f>IF(DATI!E84=0,"",'geom masse muro+tensioni'!M15)</f>
        <v>0</v>
      </c>
      <c r="I64" s="763">
        <f>IF(DATI!E84=0,"",'geom masse muro+tensioni'!N15+DATI!E74+DATI!E60)</f>
        <v>-0.29999999999999982</v>
      </c>
      <c r="J64" s="422"/>
      <c r="K64" s="422"/>
      <c r="L64" s="422"/>
      <c r="M64" s="422"/>
      <c r="N64" s="422"/>
      <c r="O64" s="422"/>
      <c r="P64" s="422"/>
      <c r="Q64" s="422"/>
      <c r="R64" s="422"/>
      <c r="S64" s="422"/>
      <c r="T64" s="422"/>
      <c r="U64" s="422"/>
      <c r="V64" s="422"/>
      <c r="W64" s="422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</row>
    <row r="65" spans="1:36" x14ac:dyDescent="0.25">
      <c r="A65" s="422"/>
      <c r="B65" s="119"/>
      <c r="C65" s="119"/>
      <c r="D65" s="767"/>
      <c r="E65" s="771"/>
      <c r="F65" s="651"/>
      <c r="G65" s="767"/>
      <c r="H65" s="767"/>
      <c r="I65" s="767"/>
      <c r="J65" s="422"/>
      <c r="K65" s="422"/>
      <c r="L65" s="422"/>
      <c r="M65" s="422"/>
      <c r="N65" s="422"/>
      <c r="O65" s="422"/>
      <c r="P65" s="422"/>
      <c r="Q65" s="422"/>
      <c r="R65" s="422"/>
      <c r="S65" s="422"/>
      <c r="T65" s="422"/>
      <c r="U65" s="422"/>
      <c r="V65" s="422"/>
      <c r="W65" s="422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</row>
    <row r="66" spans="1:36" ht="15.75" x14ac:dyDescent="0.25">
      <c r="A66" s="422"/>
      <c r="B66" s="14" t="s">
        <v>754</v>
      </c>
      <c r="C66" s="119"/>
      <c r="D66" s="767"/>
      <c r="E66" s="771"/>
      <c r="F66" s="651"/>
      <c r="G66" s="767"/>
      <c r="H66" s="767"/>
      <c r="I66" s="767"/>
      <c r="J66" s="422"/>
      <c r="K66" s="422"/>
      <c r="L66" s="422"/>
      <c r="M66" s="422"/>
      <c r="N66" s="422"/>
      <c r="O66" s="422"/>
      <c r="P66" s="422"/>
      <c r="Q66" s="422"/>
      <c r="R66" s="422"/>
      <c r="S66" s="422"/>
      <c r="T66" s="422"/>
      <c r="U66" s="422"/>
      <c r="V66" s="422"/>
      <c r="W66" s="422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</row>
    <row r="67" spans="1:36" ht="15.75" x14ac:dyDescent="0.25">
      <c r="A67" s="422"/>
      <c r="B67" s="14"/>
      <c r="C67" s="119"/>
      <c r="D67" s="767"/>
      <c r="E67" s="771"/>
      <c r="F67" s="651"/>
      <c r="G67" s="767"/>
      <c r="H67" s="767"/>
      <c r="I67" s="767"/>
      <c r="J67" s="422"/>
      <c r="K67" s="422"/>
      <c r="L67" s="422"/>
      <c r="M67" s="422"/>
      <c r="N67" s="422"/>
      <c r="O67" s="422"/>
      <c r="P67" s="422"/>
      <c r="Q67" s="422"/>
      <c r="R67" s="422"/>
      <c r="S67" s="422"/>
      <c r="T67" s="422"/>
      <c r="U67" s="422"/>
      <c r="V67" s="422"/>
      <c r="W67" s="422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</row>
    <row r="68" spans="1:36" ht="15.75" x14ac:dyDescent="0.25">
      <c r="A68" s="422"/>
      <c r="B68" s="14"/>
      <c r="C68" s="119"/>
      <c r="D68" s="767"/>
      <c r="E68" s="771"/>
      <c r="F68" s="651"/>
      <c r="G68" s="767"/>
      <c r="H68" s="767"/>
      <c r="I68" s="767"/>
      <c r="J68" s="437"/>
      <c r="K68" s="422"/>
      <c r="L68" s="422"/>
      <c r="M68" s="422"/>
      <c r="N68" s="422"/>
      <c r="O68" s="422"/>
      <c r="P68" s="422"/>
      <c r="Q68" s="422"/>
      <c r="R68" s="422"/>
      <c r="S68" s="422"/>
      <c r="T68" s="422"/>
      <c r="U68" s="422"/>
      <c r="V68" s="422"/>
      <c r="W68" s="422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</row>
    <row r="69" spans="1:36" ht="15.75" x14ac:dyDescent="0.25">
      <c r="A69" s="422"/>
      <c r="B69" s="14"/>
      <c r="C69" s="119"/>
      <c r="D69" s="767"/>
      <c r="E69" s="771"/>
      <c r="F69" s="651"/>
      <c r="G69" s="767"/>
      <c r="H69" s="767"/>
      <c r="I69" s="767"/>
      <c r="J69" s="437"/>
      <c r="K69" s="422"/>
      <c r="L69" s="422"/>
      <c r="M69" s="422"/>
      <c r="N69" s="422"/>
      <c r="O69" s="422"/>
      <c r="P69" s="422"/>
      <c r="Q69" s="422"/>
      <c r="R69" s="422"/>
      <c r="S69" s="422"/>
      <c r="T69" s="422"/>
      <c r="U69" s="422"/>
      <c r="V69" s="422"/>
      <c r="W69" s="422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</row>
    <row r="70" spans="1:36" ht="18" x14ac:dyDescent="0.25">
      <c r="A70" s="422"/>
      <c r="B70" s="942" t="s">
        <v>522</v>
      </c>
      <c r="C70" s="89" t="s">
        <v>523</v>
      </c>
      <c r="D70" s="767"/>
      <c r="E70" s="771"/>
      <c r="F70" s="651"/>
      <c r="G70" s="767"/>
      <c r="H70" s="767"/>
      <c r="I70" s="767"/>
      <c r="J70" s="437"/>
      <c r="K70" s="422"/>
      <c r="L70" s="422"/>
      <c r="M70" s="422"/>
      <c r="N70" s="422"/>
      <c r="O70" s="422"/>
      <c r="P70" s="422"/>
      <c r="Q70" s="422"/>
      <c r="R70" s="422"/>
      <c r="S70" s="422"/>
      <c r="T70" s="422"/>
      <c r="U70" s="422"/>
      <c r="V70" s="422"/>
      <c r="W70" s="422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</row>
    <row r="71" spans="1:36" x14ac:dyDescent="0.25">
      <c r="A71" s="422"/>
      <c r="B71" s="942"/>
      <c r="C71" s="196">
        <f>IF(DATI!C69="muro a contrafforti",('geom masse muro+tensioni'!H22-'geom masse muro+tensioni'!H9)*'geom masse muro+tensioni'!Q32,'geom masse muro+tensioni'!H22*'geom masse muro+tensioni'!Q32)</f>
        <v>510.2311280694592</v>
      </c>
      <c r="D71" s="767"/>
      <c r="E71" s="771"/>
      <c r="F71" s="651"/>
      <c r="G71" s="767"/>
      <c r="H71" s="767"/>
      <c r="I71" s="767"/>
      <c r="J71" s="437"/>
      <c r="K71" s="422"/>
      <c r="L71" s="422"/>
      <c r="M71" s="422"/>
      <c r="N71" s="422"/>
      <c r="O71" s="422"/>
      <c r="P71" s="422"/>
      <c r="Q71" s="422"/>
      <c r="R71" s="422"/>
      <c r="S71" s="422"/>
      <c r="T71" s="422"/>
      <c r="U71" s="422"/>
      <c r="V71" s="422"/>
      <c r="W71" s="422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</row>
    <row r="72" spans="1:36" ht="18" x14ac:dyDescent="0.25">
      <c r="A72" s="422"/>
      <c r="B72" s="942" t="s">
        <v>524</v>
      </c>
      <c r="C72" s="90" t="s">
        <v>525</v>
      </c>
      <c r="D72" s="767"/>
      <c r="E72" s="771"/>
      <c r="F72" s="651"/>
      <c r="G72" s="767"/>
      <c r="H72" s="767"/>
      <c r="I72" s="767"/>
      <c r="J72" s="437"/>
      <c r="K72" s="422"/>
      <c r="L72" s="422"/>
      <c r="M72" s="422"/>
      <c r="N72" s="422"/>
      <c r="O72" s="422"/>
      <c r="P72" s="422"/>
      <c r="Q72" s="422"/>
      <c r="R72" s="422"/>
      <c r="S72" s="422"/>
      <c r="T72" s="422"/>
      <c r="U72" s="422"/>
      <c r="V72" s="422"/>
      <c r="W72" s="422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</row>
    <row r="73" spans="1:36" x14ac:dyDescent="0.25">
      <c r="A73" s="422"/>
      <c r="B73" s="942"/>
      <c r="C73" s="198">
        <f>IF(DATI!G211="DX",C84,DATI!E75+'FOGLIO DEPOSITO'!D212+'FOGLIO DEPOSITO'!D211-'VER. EQU COND. NON DRENATE'!C84)</f>
        <v>2.0483562999253735</v>
      </c>
      <c r="D73" s="767"/>
      <c r="E73" s="771"/>
      <c r="F73" s="651"/>
      <c r="G73" s="767"/>
      <c r="H73" s="767"/>
      <c r="I73" s="767"/>
      <c r="J73" s="437"/>
      <c r="K73" s="422"/>
      <c r="L73" s="422"/>
      <c r="M73" s="422"/>
      <c r="N73" s="422"/>
      <c r="O73" s="422"/>
      <c r="P73" s="422"/>
      <c r="Q73" s="422"/>
      <c r="R73" s="422"/>
      <c r="S73" s="422"/>
      <c r="T73" s="422"/>
      <c r="U73" s="422"/>
      <c r="V73" s="422"/>
      <c r="W73" s="422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</row>
    <row r="74" spans="1:36" x14ac:dyDescent="0.25">
      <c r="A74" s="422"/>
      <c r="B74" s="942" t="s">
        <v>526</v>
      </c>
      <c r="C74" s="772" t="s">
        <v>527</v>
      </c>
      <c r="D74" s="767"/>
      <c r="E74" s="771"/>
      <c r="F74" s="651"/>
      <c r="G74" s="767"/>
      <c r="H74" s="767"/>
      <c r="I74" s="767"/>
      <c r="J74" s="437"/>
      <c r="K74" s="422"/>
      <c r="L74" s="422"/>
      <c r="M74" s="422"/>
      <c r="N74" s="422"/>
      <c r="O74" s="422"/>
      <c r="P74" s="422"/>
      <c r="Q74" s="422"/>
      <c r="R74" s="422"/>
      <c r="S74" s="422"/>
      <c r="T74" s="422"/>
      <c r="U74" s="422"/>
      <c r="V74" s="422"/>
      <c r="W74" s="422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</row>
    <row r="75" spans="1:36" x14ac:dyDescent="0.25">
      <c r="A75" s="422"/>
      <c r="B75" s="942"/>
      <c r="C75" s="773">
        <f>'geom masse muro+tensioni'!Q32</f>
        <v>18</v>
      </c>
      <c r="D75" s="767"/>
      <c r="E75" s="771"/>
      <c r="F75" s="651"/>
      <c r="G75" s="767"/>
      <c r="H75" s="767"/>
      <c r="I75" s="767"/>
      <c r="J75" s="437"/>
      <c r="K75" s="422"/>
      <c r="L75" s="422"/>
      <c r="M75" s="422"/>
      <c r="N75" s="422"/>
      <c r="O75" s="422"/>
      <c r="P75" s="422"/>
      <c r="Q75" s="422"/>
      <c r="R75" s="422"/>
      <c r="S75" s="422"/>
      <c r="T75" s="422"/>
      <c r="U75" s="422"/>
      <c r="V75" s="422"/>
      <c r="W75" s="422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</row>
    <row r="76" spans="1:36" ht="15.75" x14ac:dyDescent="0.25">
      <c r="A76" s="422"/>
      <c r="B76" s="345" t="str">
        <f>IF(DATI!C69="muro a contrafforti","viene sottratto il volume dei contrafforti","")</f>
        <v>viene sottratto il volume dei contrafforti</v>
      </c>
      <c r="C76" s="119"/>
      <c r="D76" s="767"/>
      <c r="E76" s="771"/>
      <c r="F76" s="651"/>
      <c r="G76" s="767"/>
      <c r="H76" s="767"/>
      <c r="I76" s="767"/>
      <c r="J76" s="437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</row>
    <row r="77" spans="1:36" x14ac:dyDescent="0.25">
      <c r="A77" s="422"/>
      <c r="B77" s="422"/>
      <c r="C77" s="422"/>
      <c r="D77" s="767"/>
      <c r="E77" s="771"/>
      <c r="F77" s="651"/>
      <c r="G77" s="767"/>
      <c r="H77" s="767"/>
      <c r="I77" s="767"/>
      <c r="J77" s="437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</row>
    <row r="78" spans="1:36" x14ac:dyDescent="0.25">
      <c r="A78" s="422"/>
      <c r="B78" s="898" t="s">
        <v>528</v>
      </c>
      <c r="C78" s="898"/>
      <c r="D78" s="767"/>
      <c r="E78" s="771"/>
      <c r="F78" s="651"/>
      <c r="G78" s="767"/>
      <c r="H78" s="767"/>
      <c r="I78" s="767"/>
      <c r="J78" s="437"/>
      <c r="K78" s="422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22"/>
      <c r="W78" s="422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</row>
    <row r="79" spans="1:36" x14ac:dyDescent="0.25">
      <c r="A79" s="422"/>
      <c r="B79" s="623" t="s">
        <v>529</v>
      </c>
      <c r="C79" s="535">
        <f>'geom masse muro+tensioni'!L34+DATI!E75</f>
        <v>1.9461947151714729</v>
      </c>
      <c r="D79" s="767"/>
      <c r="E79" s="771"/>
      <c r="F79" s="651"/>
      <c r="G79" s="767"/>
      <c r="H79" s="767"/>
      <c r="I79" s="767"/>
      <c r="J79" s="437"/>
      <c r="K79" s="422"/>
      <c r="L79" s="422"/>
      <c r="M79" s="422"/>
      <c r="N79" s="422"/>
      <c r="O79" s="422"/>
      <c r="P79" s="422"/>
      <c r="Q79" s="422"/>
      <c r="R79" s="422"/>
      <c r="S79" s="422"/>
      <c r="T79" s="422"/>
      <c r="U79" s="422"/>
      <c r="V79" s="422"/>
      <c r="W79" s="422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</row>
    <row r="80" spans="1:36" x14ac:dyDescent="0.25">
      <c r="A80" s="422"/>
      <c r="B80" s="623" t="s">
        <v>530</v>
      </c>
      <c r="C80" s="535">
        <f>0</f>
        <v>0</v>
      </c>
      <c r="D80" s="767"/>
      <c r="E80" s="771"/>
      <c r="F80" s="651"/>
      <c r="G80" s="767"/>
      <c r="H80" s="767"/>
      <c r="I80" s="767"/>
      <c r="J80" s="437"/>
      <c r="K80" s="437"/>
      <c r="L80" s="437"/>
      <c r="M80" s="437"/>
      <c r="N80" s="422"/>
      <c r="O80" s="422"/>
      <c r="P80" s="422"/>
      <c r="Q80" s="422"/>
      <c r="R80" s="422"/>
      <c r="S80" s="422"/>
      <c r="T80" s="422"/>
      <c r="U80" s="422"/>
      <c r="V80" s="422"/>
      <c r="W80" s="422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</row>
    <row r="81" spans="1:36" x14ac:dyDescent="0.25">
      <c r="A81" s="422"/>
      <c r="B81" s="623" t="s">
        <v>531</v>
      </c>
      <c r="C81" s="535">
        <f>DATI!E60+DATI!E74+'geom masse muro+tensioni'!N34</f>
        <v>2.2165813430007493</v>
      </c>
      <c r="D81" s="767"/>
      <c r="E81" s="771"/>
      <c r="F81" s="651"/>
      <c r="G81" s="767"/>
      <c r="H81" s="767"/>
      <c r="I81" s="767"/>
      <c r="J81" s="437"/>
      <c r="K81" s="437"/>
      <c r="L81" s="437"/>
      <c r="M81" s="437"/>
      <c r="N81" s="422"/>
      <c r="O81" s="422"/>
      <c r="P81" s="422"/>
      <c r="Q81" s="422"/>
      <c r="R81" s="422"/>
      <c r="S81" s="422"/>
      <c r="T81" s="422"/>
      <c r="U81" s="422"/>
      <c r="V81" s="422"/>
      <c r="W81" s="422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</row>
    <row r="82" spans="1:36" x14ac:dyDescent="0.25">
      <c r="A82" s="422"/>
      <c r="B82" s="632"/>
      <c r="C82" s="123"/>
      <c r="D82" s="767"/>
      <c r="E82" s="771"/>
      <c r="F82" s="651"/>
      <c r="G82" s="767"/>
      <c r="H82" s="767"/>
      <c r="I82" s="767"/>
      <c r="J82" s="437"/>
      <c r="K82" s="676"/>
      <c r="L82" s="437"/>
      <c r="M82" s="437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</row>
    <row r="83" spans="1:36" x14ac:dyDescent="0.25">
      <c r="A83" s="422"/>
      <c r="B83" s="946" t="s">
        <v>532</v>
      </c>
      <c r="C83" s="946"/>
      <c r="D83" s="767"/>
      <c r="E83" s="771"/>
      <c r="F83" s="651"/>
      <c r="G83" s="767"/>
      <c r="H83" s="767"/>
      <c r="I83" s="767"/>
      <c r="J83" s="437"/>
      <c r="K83" s="437"/>
      <c r="L83" s="437"/>
      <c r="M83" s="437"/>
      <c r="N83" s="422"/>
      <c r="O83" s="422"/>
      <c r="P83" s="422"/>
      <c r="Q83" s="422"/>
      <c r="R83" s="422"/>
      <c r="S83" s="422"/>
      <c r="T83" s="422"/>
      <c r="U83" s="422"/>
      <c r="V83" s="422"/>
      <c r="W83" s="422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</row>
    <row r="84" spans="1:36" x14ac:dyDescent="0.25">
      <c r="A84" s="422"/>
      <c r="B84" s="623" t="s">
        <v>533</v>
      </c>
      <c r="C84" s="535">
        <f>'geom masse muro+tensioni'!L22+DATI!E75</f>
        <v>2.0483562999253735</v>
      </c>
      <c r="D84" s="767"/>
      <c r="E84" s="771"/>
      <c r="F84" s="651"/>
      <c r="G84" s="767"/>
      <c r="H84" s="767"/>
      <c r="I84" s="767"/>
      <c r="J84" s="437"/>
      <c r="K84" s="422"/>
      <c r="L84" s="422"/>
      <c r="M84" s="422"/>
      <c r="N84" s="422"/>
      <c r="O84" s="422"/>
      <c r="P84" s="422"/>
      <c r="Q84" s="422"/>
      <c r="R84" s="422"/>
      <c r="S84" s="422"/>
      <c r="T84" s="422"/>
      <c r="U84" s="422"/>
      <c r="V84" s="422"/>
      <c r="W84" s="422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</row>
    <row r="85" spans="1:36" x14ac:dyDescent="0.25">
      <c r="A85" s="422"/>
      <c r="B85" s="623" t="s">
        <v>534</v>
      </c>
      <c r="C85" s="535">
        <f>0</f>
        <v>0</v>
      </c>
      <c r="D85" s="767"/>
      <c r="E85" s="771"/>
      <c r="F85" s="651"/>
      <c r="G85" s="767"/>
      <c r="H85" s="767"/>
      <c r="I85" s="767"/>
      <c r="J85" s="437"/>
      <c r="K85" s="422"/>
      <c r="L85" s="422"/>
      <c r="M85" s="422"/>
      <c r="N85" s="422"/>
      <c r="O85" s="422"/>
      <c r="P85" s="422"/>
      <c r="Q85" s="422"/>
      <c r="R85" s="422"/>
      <c r="S85" s="422"/>
      <c r="T85" s="422"/>
      <c r="U85" s="422"/>
      <c r="V85" s="422"/>
      <c r="W85" s="422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</row>
    <row r="86" spans="1:36" x14ac:dyDescent="0.25">
      <c r="A86" s="422"/>
      <c r="B86" s="623" t="s">
        <v>535</v>
      </c>
      <c r="C86" s="535">
        <f>DATI!E60+DATI!E74+'geom masse muro+tensioni'!N22</f>
        <v>2.6738506672257989</v>
      </c>
      <c r="D86" s="767"/>
      <c r="E86" s="771"/>
      <c r="F86" s="651"/>
      <c r="G86" s="767"/>
      <c r="H86" s="767"/>
      <c r="I86" s="767"/>
      <c r="J86" s="437"/>
      <c r="K86" s="422"/>
      <c r="L86" s="422"/>
      <c r="M86" s="422"/>
      <c r="N86" s="422"/>
      <c r="O86" s="422"/>
      <c r="P86" s="422"/>
      <c r="Q86" s="422"/>
      <c r="R86" s="422"/>
      <c r="S86" s="422"/>
      <c r="T86" s="422"/>
      <c r="U86" s="422"/>
      <c r="V86" s="422"/>
      <c r="W86" s="422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</row>
    <row r="87" spans="1:36" x14ac:dyDescent="0.25">
      <c r="A87" s="422"/>
      <c r="B87" s="632"/>
      <c r="C87" s="123"/>
      <c r="D87" s="767"/>
      <c r="E87" s="771"/>
      <c r="F87" s="651"/>
      <c r="G87" s="767"/>
      <c r="H87" s="767"/>
      <c r="I87" s="767"/>
      <c r="J87" s="437"/>
      <c r="K87" s="422"/>
      <c r="L87" s="422"/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422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</row>
    <row r="88" spans="1:36" x14ac:dyDescent="0.25">
      <c r="A88" s="422"/>
      <c r="B88" s="946" t="s">
        <v>536</v>
      </c>
      <c r="C88" s="946"/>
      <c r="D88" s="767"/>
      <c r="E88" s="771"/>
      <c r="F88" s="651"/>
      <c r="G88" s="767"/>
      <c r="H88" s="767"/>
      <c r="I88" s="767"/>
      <c r="J88" s="437"/>
      <c r="K88" s="422"/>
      <c r="L88" s="422"/>
      <c r="M88" s="422"/>
      <c r="N88" s="422"/>
      <c r="O88" s="422"/>
      <c r="P88" s="422"/>
      <c r="Q88" s="422"/>
      <c r="R88" s="422"/>
      <c r="S88" s="422"/>
      <c r="T88" s="422"/>
      <c r="U88" s="422"/>
      <c r="V88" s="422"/>
      <c r="W88" s="422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</row>
    <row r="89" spans="1:36" x14ac:dyDescent="0.25">
      <c r="A89" s="422"/>
      <c r="B89" s="762" t="s">
        <v>73</v>
      </c>
      <c r="C89" s="763">
        <f>'VER. EQU COND. NON DRENATE'!C38</f>
        <v>1.6326655274280244</v>
      </c>
      <c r="D89" s="767"/>
      <c r="E89" s="771"/>
      <c r="F89" s="651"/>
      <c r="G89" s="767"/>
      <c r="H89" s="767"/>
      <c r="I89" s="767"/>
      <c r="J89" s="437"/>
      <c r="K89" s="422"/>
      <c r="L89" s="422"/>
      <c r="M89" s="422"/>
      <c r="N89" s="422"/>
      <c r="O89" s="422"/>
      <c r="P89" s="422"/>
      <c r="Q89" s="422"/>
      <c r="R89" s="422"/>
      <c r="S89" s="422"/>
      <c r="T89" s="422"/>
      <c r="U89" s="422"/>
      <c r="V89" s="422"/>
      <c r="W89" s="422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</row>
    <row r="90" spans="1:36" x14ac:dyDescent="0.25">
      <c r="A90" s="422"/>
      <c r="B90" s="762" t="s">
        <v>74</v>
      </c>
      <c r="C90" s="763">
        <f>'VER. EQU COND. NON DRENATE'!C39</f>
        <v>0</v>
      </c>
      <c r="D90" s="767"/>
      <c r="E90" s="771"/>
      <c r="F90" s="651"/>
      <c r="G90" s="767"/>
      <c r="H90" s="767"/>
      <c r="I90" s="767"/>
      <c r="J90" s="437"/>
      <c r="K90" s="422"/>
      <c r="L90" s="422"/>
      <c r="M90" s="422"/>
      <c r="N90" s="422"/>
      <c r="O90" s="422"/>
      <c r="P90" s="422"/>
      <c r="Q90" s="422"/>
      <c r="R90" s="422"/>
      <c r="S90" s="422"/>
      <c r="T90" s="422"/>
      <c r="U90" s="422"/>
      <c r="V90" s="422"/>
      <c r="W90" s="422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</row>
    <row r="91" spans="1:36" x14ac:dyDescent="0.25">
      <c r="A91" s="422"/>
      <c r="B91" s="762" t="s">
        <v>75</v>
      </c>
      <c r="C91" s="763">
        <f>'VER. EQU COND. NON DRENATE'!C40</f>
        <v>0.81324289489780677</v>
      </c>
      <c r="D91" s="767"/>
      <c r="E91" s="771"/>
      <c r="F91" s="651"/>
      <c r="G91" s="767"/>
      <c r="H91" s="767"/>
      <c r="I91" s="767"/>
      <c r="J91" s="437"/>
      <c r="K91" s="422"/>
      <c r="L91" s="422"/>
      <c r="M91" s="422"/>
      <c r="N91" s="422"/>
      <c r="O91" s="422"/>
      <c r="P91" s="422"/>
      <c r="Q91" s="422"/>
      <c r="R91" s="422"/>
      <c r="S91" s="422"/>
      <c r="T91" s="422"/>
      <c r="U91" s="422"/>
      <c r="V91" s="422"/>
      <c r="W91" s="422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</row>
    <row r="92" spans="1:36" x14ac:dyDescent="0.25">
      <c r="A92" s="422"/>
      <c r="B92" s="119"/>
      <c r="C92" s="119"/>
      <c r="D92" s="767"/>
      <c r="E92" s="771"/>
      <c r="F92" s="651"/>
      <c r="G92" s="767"/>
      <c r="H92" s="767"/>
      <c r="I92" s="767"/>
      <c r="J92" s="437"/>
      <c r="K92" s="422"/>
      <c r="L92" s="422"/>
      <c r="M92" s="422"/>
      <c r="N92" s="422"/>
      <c r="O92" s="422"/>
      <c r="P92" s="422"/>
      <c r="Q92" s="422"/>
      <c r="R92" s="422"/>
      <c r="S92" s="422"/>
      <c r="T92" s="422"/>
      <c r="U92" s="422"/>
      <c r="V92" s="422"/>
      <c r="W92" s="422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</row>
    <row r="93" spans="1:36" x14ac:dyDescent="0.25">
      <c r="A93" s="422"/>
      <c r="B93" s="119"/>
      <c r="C93" s="119"/>
      <c r="D93" s="767"/>
      <c r="E93" s="771"/>
      <c r="F93" s="651"/>
      <c r="G93" s="767"/>
      <c r="H93" s="767"/>
      <c r="I93" s="767"/>
      <c r="J93" s="437"/>
      <c r="K93" s="422"/>
      <c r="L93" s="422"/>
      <c r="M93" s="422"/>
      <c r="N93" s="422"/>
      <c r="O93" s="422"/>
      <c r="P93" s="422"/>
      <c r="Q93" s="422"/>
      <c r="R93" s="422"/>
      <c r="S93" s="422"/>
      <c r="T93" s="422"/>
      <c r="U93" s="422"/>
      <c r="V93" s="422"/>
      <c r="W93" s="422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</row>
    <row r="94" spans="1:36" x14ac:dyDescent="0.25">
      <c r="A94" s="422"/>
      <c r="B94" s="119"/>
      <c r="C94" s="119"/>
      <c r="D94" s="767"/>
      <c r="E94" s="771"/>
      <c r="F94" s="651"/>
      <c r="G94" s="767"/>
      <c r="H94" s="767"/>
      <c r="I94" s="767"/>
      <c r="J94" s="437"/>
      <c r="K94" s="422"/>
      <c r="L94" s="422"/>
      <c r="M94" s="422"/>
      <c r="N94" s="422"/>
      <c r="O94" s="422"/>
      <c r="P94" s="422"/>
      <c r="Q94" s="422"/>
      <c r="R94" s="422"/>
      <c r="S94" s="422"/>
      <c r="T94" s="422"/>
      <c r="U94" s="422"/>
      <c r="V94" s="422"/>
      <c r="W94" s="422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</row>
    <row r="95" spans="1:36" x14ac:dyDescent="0.25">
      <c r="A95" s="422"/>
      <c r="B95" s="119"/>
      <c r="C95" s="119"/>
      <c r="D95" s="767"/>
      <c r="E95" s="771"/>
      <c r="F95" s="651"/>
      <c r="G95" s="767"/>
      <c r="H95" s="767"/>
      <c r="I95" s="767"/>
      <c r="J95" s="437"/>
      <c r="K95" s="422"/>
      <c r="L95" s="422"/>
      <c r="M95" s="422"/>
      <c r="N95" s="422"/>
      <c r="O95" s="422"/>
      <c r="P95" s="422"/>
      <c r="Q95" s="422"/>
      <c r="R95" s="422"/>
      <c r="S95" s="422"/>
      <c r="T95" s="422"/>
      <c r="U95" s="422"/>
      <c r="V95" s="422"/>
      <c r="W95" s="422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</row>
    <row r="96" spans="1:36" x14ac:dyDescent="0.25">
      <c r="A96" s="422"/>
      <c r="B96" s="422"/>
      <c r="C96" s="422"/>
      <c r="D96" s="422"/>
      <c r="E96" s="422"/>
      <c r="F96" s="422"/>
      <c r="G96" s="422"/>
      <c r="H96" s="422"/>
      <c r="I96" s="422"/>
      <c r="J96" s="422"/>
      <c r="K96" s="422"/>
      <c r="L96" s="422"/>
      <c r="M96" s="422"/>
      <c r="N96" s="422"/>
      <c r="O96" s="422"/>
      <c r="P96" s="422"/>
      <c r="Q96" s="422"/>
      <c r="R96" s="422"/>
      <c r="S96" s="422"/>
      <c r="T96" s="422"/>
      <c r="U96" s="422"/>
      <c r="V96" s="422"/>
      <c r="W96" s="422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</row>
    <row r="97" spans="1:36" ht="18.75" x14ac:dyDescent="0.3">
      <c r="A97" s="422"/>
      <c r="B97" s="429" t="s">
        <v>755</v>
      </c>
      <c r="C97" s="91"/>
      <c r="D97" s="91"/>
      <c r="E97" s="91"/>
      <c r="F97" s="632"/>
      <c r="G97" s="632"/>
      <c r="H97" s="632"/>
      <c r="I97" s="422"/>
      <c r="J97" s="422"/>
      <c r="K97" s="422"/>
      <c r="L97" s="422"/>
      <c r="M97" s="422"/>
      <c r="N97" s="422"/>
      <c r="O97" s="422"/>
      <c r="P97" s="422"/>
      <c r="Q97" s="422"/>
      <c r="R97" s="422"/>
      <c r="S97" s="422"/>
      <c r="T97" s="422"/>
      <c r="U97" s="422"/>
      <c r="V97" s="422"/>
      <c r="W97" s="422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</row>
    <row r="98" spans="1:36" ht="9.75" customHeight="1" x14ac:dyDescent="0.3">
      <c r="A98" s="422"/>
      <c r="B98" s="429"/>
      <c r="C98" s="91"/>
      <c r="D98" s="91"/>
      <c r="E98" s="91"/>
      <c r="F98" s="632"/>
      <c r="G98" s="632"/>
      <c r="H98" s="63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</row>
    <row r="99" spans="1:36" x14ac:dyDescent="0.25">
      <c r="A99" s="422"/>
      <c r="B99" s="424" t="s">
        <v>756</v>
      </c>
      <c r="C99" s="91"/>
      <c r="D99" s="91"/>
      <c r="E99" s="91"/>
      <c r="F99" s="632"/>
      <c r="G99" s="632"/>
      <c r="H99" s="632"/>
      <c r="I99" s="422"/>
      <c r="J99" s="422"/>
      <c r="K99" s="422"/>
      <c r="L99" s="422"/>
      <c r="M99" s="422"/>
      <c r="N99" s="422"/>
      <c r="O99" s="422"/>
      <c r="P99" s="422"/>
      <c r="Q99" s="422"/>
      <c r="R99" s="422"/>
      <c r="S99" s="422"/>
      <c r="T99" s="422"/>
      <c r="U99" s="422"/>
      <c r="V99" s="422"/>
      <c r="W99" s="422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</row>
    <row r="100" spans="1:36" ht="9.75" customHeight="1" x14ac:dyDescent="0.25">
      <c r="A100" s="422"/>
      <c r="B100" s="424"/>
      <c r="C100" s="91"/>
      <c r="D100" s="91"/>
      <c r="E100" s="91"/>
      <c r="F100" s="632"/>
      <c r="G100" s="632"/>
      <c r="H100" s="63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  <c r="T100" s="422"/>
      <c r="U100" s="422"/>
      <c r="V100" s="422"/>
      <c r="W100" s="422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</row>
    <row r="101" spans="1:36" ht="9.75" customHeight="1" x14ac:dyDescent="0.25">
      <c r="A101" s="422"/>
      <c r="B101" s="424"/>
      <c r="C101" s="91"/>
      <c r="D101" s="91"/>
      <c r="E101" s="91"/>
      <c r="F101" s="632"/>
      <c r="G101" s="632"/>
      <c r="H101" s="632"/>
      <c r="I101" s="422"/>
      <c r="J101" s="422"/>
      <c r="K101" s="422"/>
      <c r="L101" s="422"/>
      <c r="M101" s="422"/>
      <c r="N101" s="422"/>
      <c r="O101" s="422"/>
      <c r="P101" s="422"/>
      <c r="Q101" s="422"/>
      <c r="R101" s="422"/>
      <c r="S101" s="422"/>
      <c r="T101" s="422"/>
      <c r="U101" s="422"/>
      <c r="V101" s="422"/>
      <c r="W101" s="422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</row>
    <row r="102" spans="1:36" x14ac:dyDescent="0.25">
      <c r="A102" s="422"/>
      <c r="B102" s="944" t="s">
        <v>331</v>
      </c>
      <c r="C102" s="944"/>
      <c r="D102" s="945" t="str">
        <f>'FOGLIO DEPOSITO'!B222</f>
        <v>STATICA</v>
      </c>
      <c r="E102" s="945"/>
      <c r="F102" s="945"/>
      <c r="G102" s="632"/>
      <c r="H102" s="632"/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2"/>
      <c r="T102" s="422"/>
      <c r="U102" s="422"/>
      <c r="V102" s="422"/>
      <c r="W102" s="422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</row>
    <row r="103" spans="1:36" x14ac:dyDescent="0.25">
      <c r="A103" s="422"/>
      <c r="B103" s="422"/>
      <c r="C103" s="422"/>
      <c r="D103" s="422"/>
      <c r="E103" s="422"/>
      <c r="F103" s="632"/>
      <c r="G103" s="632"/>
      <c r="H103" s="632"/>
      <c r="I103" s="422"/>
      <c r="J103" s="422"/>
      <c r="K103" s="422"/>
      <c r="L103" s="422"/>
      <c r="M103" s="422"/>
      <c r="N103" s="422"/>
      <c r="O103" s="422"/>
      <c r="P103" s="422"/>
      <c r="Q103" s="422"/>
      <c r="R103" s="422"/>
      <c r="S103" s="422"/>
      <c r="T103" s="422"/>
      <c r="U103" s="422"/>
      <c r="V103" s="422"/>
      <c r="W103" s="422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</row>
    <row r="104" spans="1:36" x14ac:dyDescent="0.25">
      <c r="A104" s="422"/>
      <c r="B104" s="944" t="s">
        <v>473</v>
      </c>
      <c r="C104" s="944"/>
      <c r="D104" s="945" t="str">
        <f>DATI!C260</f>
        <v>APPROCCIO 1 --- Combinazione (A1+M1+R1)</v>
      </c>
      <c r="E104" s="945"/>
      <c r="F104" s="945"/>
      <c r="G104" s="632"/>
      <c r="H104" s="63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  <c r="S104" s="422"/>
      <c r="T104" s="422"/>
      <c r="U104" s="422"/>
      <c r="V104" s="422"/>
      <c r="W104" s="422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</row>
    <row r="105" spans="1:36" x14ac:dyDescent="0.25">
      <c r="A105" s="422"/>
      <c r="B105" s="628"/>
      <c r="C105" s="628"/>
      <c r="D105" s="629"/>
      <c r="E105" s="629"/>
      <c r="F105" s="629"/>
      <c r="G105" s="632"/>
      <c r="H105" s="632"/>
      <c r="I105" s="422"/>
      <c r="J105" s="422"/>
      <c r="K105" s="422"/>
      <c r="L105" s="422"/>
      <c r="M105" s="422"/>
      <c r="N105" s="422"/>
      <c r="O105" s="422"/>
      <c r="P105" s="422"/>
      <c r="Q105" s="422"/>
      <c r="R105" s="422"/>
      <c r="S105" s="422"/>
      <c r="T105" s="422"/>
      <c r="U105" s="422"/>
      <c r="V105" s="422"/>
      <c r="W105" s="422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</row>
    <row r="106" spans="1:36" x14ac:dyDescent="0.25">
      <c r="A106" s="422"/>
      <c r="B106" s="628"/>
      <c r="C106" s="628"/>
      <c r="D106" s="629"/>
      <c r="E106" s="629"/>
      <c r="F106" s="629"/>
      <c r="G106" s="632"/>
      <c r="H106" s="632"/>
      <c r="I106" s="422"/>
      <c r="J106" s="422"/>
      <c r="K106" s="422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</row>
    <row r="107" spans="1:36" x14ac:dyDescent="0.25">
      <c r="A107" s="422"/>
      <c r="B107" s="938" t="s">
        <v>537</v>
      </c>
      <c r="C107" s="938"/>
      <c r="D107" s="422"/>
      <c r="E107" s="422"/>
      <c r="F107" s="437"/>
      <c r="G107" s="422"/>
      <c r="H107" s="632"/>
      <c r="I107" s="422"/>
      <c r="J107" s="422"/>
      <c r="K107" s="422"/>
      <c r="L107" s="422"/>
      <c r="M107" s="422"/>
      <c r="N107" s="422"/>
      <c r="O107" s="422"/>
      <c r="P107" s="422"/>
      <c r="Q107" s="422"/>
      <c r="R107" s="422"/>
      <c r="S107" s="422"/>
      <c r="T107" s="422"/>
      <c r="U107" s="422"/>
      <c r="V107" s="422"/>
      <c r="W107" s="422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</row>
    <row r="108" spans="1:36" s="421" customFormat="1" x14ac:dyDescent="0.25">
      <c r="A108" s="422"/>
      <c r="B108" s="473"/>
      <c r="C108" s="473"/>
      <c r="D108" s="422"/>
      <c r="E108" s="422"/>
      <c r="F108" s="437"/>
      <c r="G108" s="422"/>
      <c r="H108" s="632"/>
      <c r="I108" s="422"/>
      <c r="J108" s="422"/>
      <c r="K108" s="422"/>
      <c r="L108" s="422"/>
      <c r="M108" s="422"/>
      <c r="N108" s="422"/>
      <c r="O108" s="422"/>
      <c r="P108" s="422"/>
      <c r="Q108" s="422"/>
      <c r="R108" s="422"/>
      <c r="S108" s="422"/>
      <c r="T108" s="422"/>
      <c r="U108" s="422"/>
      <c r="V108" s="422"/>
      <c r="W108" s="422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</row>
    <row r="109" spans="1:36" s="421" customFormat="1" x14ac:dyDescent="0.25">
      <c r="A109" s="422"/>
      <c r="B109" s="422"/>
      <c r="C109" s="422"/>
      <c r="D109" s="322"/>
      <c r="E109" s="321" t="s">
        <v>538</v>
      </c>
      <c r="F109" s="774" t="s">
        <v>828</v>
      </c>
      <c r="G109" s="321" t="s">
        <v>540</v>
      </c>
      <c r="H109" s="632"/>
      <c r="I109" s="422"/>
      <c r="J109" s="422"/>
      <c r="K109" s="422"/>
      <c r="L109" s="422"/>
      <c r="M109" s="422"/>
      <c r="N109" s="422"/>
      <c r="O109" s="422"/>
      <c r="P109" s="422"/>
      <c r="Q109" s="422"/>
      <c r="R109" s="422"/>
      <c r="S109" s="422"/>
      <c r="T109" s="422"/>
      <c r="U109" s="422"/>
      <c r="V109" s="422"/>
      <c r="W109" s="422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</row>
    <row r="110" spans="1:36" x14ac:dyDescent="0.25">
      <c r="A110" s="422"/>
      <c r="B110" s="348" t="s">
        <v>541</v>
      </c>
      <c r="C110" s="348"/>
      <c r="D110" s="58"/>
      <c r="E110" s="349">
        <f>'ANALISI DELLE SPINTE'!L32</f>
        <v>707.52943358988841</v>
      </c>
      <c r="F110" s="775">
        <f>IF(D102="SISMICA ",1,1.1)</f>
        <v>1.1000000000000001</v>
      </c>
      <c r="G110" s="349">
        <f>E110*F110</f>
        <v>778.2823769488773</v>
      </c>
      <c r="H110" s="632"/>
      <c r="I110" s="422"/>
      <c r="J110" s="422"/>
      <c r="K110" s="422"/>
      <c r="L110" s="422"/>
      <c r="M110" s="422"/>
      <c r="N110" s="422"/>
      <c r="O110" s="422"/>
      <c r="P110" s="422"/>
      <c r="Q110" s="422"/>
      <c r="R110" s="422"/>
      <c r="S110" s="422"/>
      <c r="T110" s="422"/>
      <c r="U110" s="422"/>
      <c r="V110" s="422"/>
      <c r="W110" s="422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</row>
    <row r="111" spans="1:36" x14ac:dyDescent="0.25">
      <c r="A111" s="422"/>
      <c r="B111" s="52"/>
      <c r="C111" s="52"/>
      <c r="D111" s="52"/>
      <c r="E111" s="52"/>
      <c r="F111" s="70" t="s">
        <v>542</v>
      </c>
      <c r="G111" s="93">
        <f>SUM(G110:G110)</f>
        <v>778.2823769488773</v>
      </c>
      <c r="H111" s="632"/>
      <c r="I111" s="422"/>
      <c r="J111" s="422"/>
      <c r="K111" s="422"/>
      <c r="L111" s="422"/>
      <c r="M111" s="422"/>
      <c r="N111" s="422"/>
      <c r="O111" s="422"/>
      <c r="P111" s="422"/>
      <c r="Q111" s="422"/>
      <c r="R111" s="422"/>
      <c r="S111" s="422"/>
      <c r="T111" s="422"/>
      <c r="U111" s="422"/>
      <c r="V111" s="422"/>
      <c r="W111" s="422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</row>
    <row r="112" spans="1:36" x14ac:dyDescent="0.25">
      <c r="A112" s="422"/>
      <c r="B112" s="23"/>
      <c r="C112" s="23"/>
      <c r="D112" s="23"/>
      <c r="E112" s="422"/>
      <c r="F112" s="70"/>
      <c r="G112" s="640"/>
      <c r="H112" s="632"/>
      <c r="I112" s="422"/>
      <c r="J112" s="422"/>
      <c r="K112" s="422"/>
      <c r="L112" s="422"/>
      <c r="M112" s="422"/>
      <c r="N112" s="422"/>
      <c r="O112" s="422"/>
      <c r="P112" s="422"/>
      <c r="Q112" s="422"/>
      <c r="R112" s="422"/>
      <c r="S112" s="422"/>
      <c r="T112" s="422"/>
      <c r="U112" s="422"/>
      <c r="V112" s="422"/>
      <c r="W112" s="422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</row>
    <row r="113" spans="1:36" x14ac:dyDescent="0.25">
      <c r="A113" s="422"/>
      <c r="B113" s="933" t="s">
        <v>543</v>
      </c>
      <c r="C113" s="933"/>
      <c r="D113" s="23"/>
      <c r="E113" s="23"/>
      <c r="F113" s="70"/>
      <c r="G113" s="640"/>
      <c r="H113" s="632"/>
      <c r="I113" s="422"/>
      <c r="J113" s="422"/>
      <c r="K113" s="422"/>
      <c r="L113" s="422"/>
      <c r="M113" s="422"/>
      <c r="N113" s="422"/>
      <c r="O113" s="422"/>
      <c r="P113" s="422"/>
      <c r="Q113" s="422"/>
      <c r="R113" s="422"/>
      <c r="S113" s="422"/>
      <c r="T113" s="422"/>
      <c r="U113" s="422"/>
      <c r="V113" s="422"/>
      <c r="W113" s="422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</row>
    <row r="114" spans="1:36" x14ac:dyDescent="0.25">
      <c r="A114" s="422"/>
      <c r="B114" s="422"/>
      <c r="C114" s="422"/>
      <c r="D114" s="422"/>
      <c r="E114" s="422"/>
      <c r="F114" s="201"/>
      <c r="G114" s="632"/>
      <c r="H114" s="632"/>
      <c r="I114" s="422"/>
      <c r="J114" s="422"/>
      <c r="K114" s="422"/>
      <c r="L114" s="422"/>
      <c r="M114" s="422"/>
      <c r="N114" s="422"/>
      <c r="O114" s="422"/>
      <c r="P114" s="422"/>
      <c r="Q114" s="422"/>
      <c r="R114" s="422"/>
      <c r="S114" s="422"/>
      <c r="T114" s="422"/>
      <c r="U114" s="422"/>
      <c r="V114" s="422"/>
      <c r="W114" s="422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</row>
    <row r="115" spans="1:36" x14ac:dyDescent="0.25">
      <c r="A115" s="422"/>
      <c r="B115" s="422"/>
      <c r="C115" s="624" t="s">
        <v>544</v>
      </c>
      <c r="D115" s="634" t="s">
        <v>545</v>
      </c>
      <c r="E115" s="634" t="s">
        <v>546</v>
      </c>
      <c r="F115" s="62" t="s">
        <v>547</v>
      </c>
      <c r="G115" s="634" t="s">
        <v>548</v>
      </c>
      <c r="H115" s="632"/>
      <c r="I115" s="422"/>
      <c r="J115" s="422"/>
      <c r="K115" s="422"/>
      <c r="L115" s="422"/>
      <c r="M115" s="422"/>
      <c r="N115" s="422"/>
      <c r="O115" s="422"/>
      <c r="P115" s="422"/>
      <c r="Q115" s="422"/>
      <c r="R115" s="422"/>
      <c r="S115" s="422"/>
      <c r="T115" s="422"/>
      <c r="U115" s="422"/>
      <c r="V115" s="422"/>
      <c r="W115" s="422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</row>
    <row r="116" spans="1:36" x14ac:dyDescent="0.25">
      <c r="A116" s="422"/>
      <c r="B116" s="92" t="s">
        <v>549</v>
      </c>
      <c r="C116" s="651">
        <f>C47</f>
        <v>177.29217199999999</v>
      </c>
      <c r="D116" s="3">
        <f>IF(SPINTE!C6="SISMICA",1,0.9)</f>
        <v>1</v>
      </c>
      <c r="E116" s="651">
        <f>C116*D116</f>
        <v>177.29217199999999</v>
      </c>
      <c r="F116" s="200">
        <f>C49</f>
        <v>1.6326655274280244</v>
      </c>
      <c r="G116" s="349">
        <f>E116*F116</f>
        <v>289.45881750723998</v>
      </c>
      <c r="H116" s="632"/>
      <c r="I116" s="422"/>
      <c r="J116" s="422"/>
      <c r="K116" s="422"/>
      <c r="L116" s="422"/>
      <c r="M116" s="422"/>
      <c r="N116" s="422"/>
      <c r="O116" s="422"/>
      <c r="P116" s="422"/>
      <c r="Q116" s="422"/>
      <c r="R116" s="422"/>
      <c r="S116" s="422"/>
      <c r="T116" s="422"/>
      <c r="U116" s="422"/>
      <c r="V116" s="422"/>
      <c r="W116" s="422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</row>
    <row r="117" spans="1:36" x14ac:dyDescent="0.25">
      <c r="A117" s="422"/>
      <c r="B117" s="92" t="s">
        <v>550</v>
      </c>
      <c r="C117" s="651">
        <f>C71</f>
        <v>510.2311280694592</v>
      </c>
      <c r="D117" s="640">
        <f>IF(SPINTE!C6="SISMICA",1,0.9)</f>
        <v>1</v>
      </c>
      <c r="E117" s="651">
        <f>C117*D117</f>
        <v>510.2311280694592</v>
      </c>
      <c r="F117" s="358">
        <f>C73</f>
        <v>2.0483562999253735</v>
      </c>
      <c r="G117" s="359">
        <f>E117*F117</f>
        <v>1045.1351455991069</v>
      </c>
      <c r="H117" s="632"/>
      <c r="I117" s="422"/>
      <c r="J117" s="422"/>
      <c r="K117" s="422"/>
      <c r="L117" s="422"/>
      <c r="M117" s="422"/>
      <c r="N117" s="422"/>
      <c r="O117" s="422"/>
      <c r="P117" s="422"/>
      <c r="Q117" s="422"/>
      <c r="R117" s="422"/>
      <c r="S117" s="422"/>
      <c r="T117" s="422"/>
      <c r="U117" s="422"/>
      <c r="V117" s="422"/>
      <c r="W117" s="422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</row>
    <row r="118" spans="1:36" x14ac:dyDescent="0.25">
      <c r="A118" s="422"/>
      <c r="B118" s="92" t="s">
        <v>551</v>
      </c>
      <c r="C118" s="651">
        <f>DATI!E155*DATI!E61*IF(DATI!G211="SX",DATI!E75,'FOGLIO DEPOSITO'!D212)</f>
        <v>4.7249750000000006</v>
      </c>
      <c r="D118" s="3">
        <f>IF(SPINTE!C6="SISMICA",1,0.9)</f>
        <v>1</v>
      </c>
      <c r="E118" s="651">
        <f>C118*D118</f>
        <v>4.7249750000000006</v>
      </c>
      <c r="F118" s="200">
        <f>IF(DATI!G211="dx",'FOGLIO DEPOSITO'!D212+'FOGLIO DEPOSITO'!D211+DATI!E75/2,DATI!E75/2+'FOGLIO DEPOSITO'!D211+'FOGLIO DEPOSITO'!D212)</f>
        <v>3.0750000000000002</v>
      </c>
      <c r="G118" s="349">
        <f>E118*F118</f>
        <v>14.529298125000002</v>
      </c>
      <c r="H118" s="632"/>
      <c r="I118" s="422"/>
      <c r="J118" s="422"/>
      <c r="K118" s="422"/>
      <c r="L118" s="422"/>
      <c r="M118" s="422"/>
      <c r="N118" s="422"/>
      <c r="O118" s="422"/>
      <c r="P118" s="422"/>
      <c r="Q118" s="422"/>
      <c r="R118" s="422"/>
      <c r="S118" s="422"/>
      <c r="T118" s="422"/>
      <c r="U118" s="422"/>
      <c r="V118" s="422"/>
      <c r="W118" s="422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</row>
    <row r="119" spans="1:36" x14ac:dyDescent="0.25">
      <c r="A119" s="422"/>
      <c r="B119" s="92" t="s">
        <v>552</v>
      </c>
      <c r="C119" s="651">
        <f>DATI!E154*DATI!E61*IF(DATI!G211="SX",DATI!E75,'FOGLIO DEPOSITO'!D212)</f>
        <v>4.7249750000000006</v>
      </c>
      <c r="D119" s="3">
        <f>0</f>
        <v>0</v>
      </c>
      <c r="E119" s="651">
        <f>C119*D119</f>
        <v>0</v>
      </c>
      <c r="F119" s="200">
        <f>IF(DATI!G211="dx",'FOGLIO DEPOSITO'!D212+'FOGLIO DEPOSITO'!D211+DATI!E75/2,DATI!E75/2+'FOGLIO DEPOSITO'!D211+'FOGLIO DEPOSITO'!D212)</f>
        <v>3.0750000000000002</v>
      </c>
      <c r="G119" s="349">
        <f>E119*F119</f>
        <v>0</v>
      </c>
      <c r="H119" s="632"/>
      <c r="I119" s="422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  <c r="T119" s="422"/>
      <c r="U119" s="422"/>
      <c r="V119" s="422"/>
      <c r="W119" s="422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</row>
    <row r="120" spans="1:36" ht="15.75" x14ac:dyDescent="0.25">
      <c r="A120" s="422"/>
      <c r="B120" s="418" t="s">
        <v>553</v>
      </c>
      <c r="C120" s="651">
        <f>'ANALISI DELLE SPINTE'!K46</f>
        <v>158.47021515283168</v>
      </c>
      <c r="D120" s="640">
        <f>0.9/1.35</f>
        <v>0.66666666666666663</v>
      </c>
      <c r="E120" s="652">
        <f>C120*D120</f>
        <v>105.64681010188778</v>
      </c>
      <c r="F120" s="200">
        <f>IF(DATI!G211="sx",DATI!E75,'FOGLIO DEPOSITO'!D212+'FOGLIO DEPOSITO'!D210)</f>
        <v>2.63</v>
      </c>
      <c r="G120" s="359">
        <f>E120*F120</f>
        <v>277.85111056796484</v>
      </c>
      <c r="H120" s="63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</row>
    <row r="121" spans="1:36" x14ac:dyDescent="0.25">
      <c r="A121" s="422"/>
      <c r="B121" s="419" t="str">
        <f>IF(SPINTE!C75='FOGLIO DEPOSITO'!N184," Kv x Wtot  ",IF(SPINTE!C75='FOGLIO DEPOSITO'!N181," Kv x Wtot  ",IF(SPINTE!C75='FOGLIO DEPOSITO'!N182,"Kv x Wtot  ","")))</f>
        <v xml:space="preserve"> Kv x Wtot  </v>
      </c>
      <c r="C121" s="650">
        <f>IF(SPINTE!C75='FOGLIO DEPOSITO'!N184,'ANALISI DELLE SPINTE'!E59/DATI!E263,IF(SPINTE!C75='FOGLIO DEPOSITO'!N181,'ANALISI DELLE SPINTE'!E59/DATI!E263,IF(SPINTE!C75='FOGLIO DEPOSITO'!N182,'ANALISI DELLE SPINTE'!E59/DATI!E263,"")))</f>
        <v>44.054522733837246</v>
      </c>
      <c r="D121" s="775">
        <f>IF(SPINTE!C75='FOGLIO DEPOSITO'!N184,IF(SPINTE!C6="SISMICA",1,0.9),IF(SPINTE!C75='FOGLIO DEPOSITO'!N181,IF(SPINTE!C6="SISMICA",1,0.9),IF(SPINTE!C75='FOGLIO DEPOSITO'!N182,IF(SPINTE!C6="SISMICA",1,0.9),"")))</f>
        <v>1</v>
      </c>
      <c r="E121" s="653">
        <f>IF(SPINTE!C75='FOGLIO DEPOSITO'!N184,C121*D121,IF(SPINTE!C75='FOGLIO DEPOSITO'!N181,C121*D121,IF(SPINTE!C75='FOGLIO DEPOSITO'!N182,C121*D121,"")))</f>
        <v>44.054522733837246</v>
      </c>
      <c r="F121" s="420">
        <f>IF(SPINTE!C75='FOGLIO DEPOSITO'!N184,C121*D121,IF(SPINTE!C75='FOGLIO DEPOSITO'!N181,C79,IF(SPINTE!C75='FOGLIO DEPOSITO'!N182,C79,"")))</f>
        <v>1.9461947151714729</v>
      </c>
      <c r="G121" s="350">
        <f>IF(SPINTE!C75='FOGLIO DEPOSITO'!N184,E121*F121,IF(SPINTE!C75='FOGLIO DEPOSITO'!N181,E121*F121,IF(SPINTE!C75='FOGLIO DEPOSITO'!N182,E121*F121,"")))</f>
        <v>85.738679323995555</v>
      </c>
      <c r="H121" s="632"/>
      <c r="I121" s="422"/>
      <c r="J121" s="422"/>
      <c r="K121" s="422"/>
      <c r="L121" s="422"/>
      <c r="M121" s="422"/>
      <c r="N121" s="422"/>
      <c r="O121" s="422"/>
      <c r="P121" s="422"/>
      <c r="Q121" s="422"/>
      <c r="R121" s="422"/>
      <c r="S121" s="422"/>
      <c r="T121" s="422"/>
      <c r="U121" s="422"/>
      <c r="V121" s="422"/>
      <c r="W121" s="422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</row>
    <row r="122" spans="1:36" x14ac:dyDescent="0.25">
      <c r="A122" s="422"/>
      <c r="B122" s="23"/>
      <c r="C122" s="651">
        <f>SUM(C116:C121)</f>
        <v>899.4979879561281</v>
      </c>
      <c r="D122" s="23"/>
      <c r="E122" s="651">
        <f>SUM(E116:E121)</f>
        <v>841.94960790518417</v>
      </c>
      <c r="F122" s="70" t="s">
        <v>554</v>
      </c>
      <c r="G122" s="349">
        <f>SUM(G116:G121)</f>
        <v>1712.713051123307</v>
      </c>
      <c r="H122" s="63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</row>
    <row r="123" spans="1:36" ht="15.75" thickBot="1" x14ac:dyDescent="0.3">
      <c r="A123" s="422"/>
      <c r="B123" s="422"/>
      <c r="C123" s="422"/>
      <c r="D123" s="422"/>
      <c r="E123" s="422"/>
      <c r="F123" s="632"/>
      <c r="G123" s="422"/>
      <c r="H123" s="632"/>
      <c r="I123" s="422"/>
      <c r="J123" s="422"/>
      <c r="K123" s="422"/>
      <c r="L123" s="422"/>
      <c r="M123" s="422"/>
      <c r="N123" s="422"/>
      <c r="O123" s="422"/>
      <c r="P123" s="422"/>
      <c r="Q123" s="422"/>
      <c r="R123" s="422"/>
      <c r="S123" s="422"/>
      <c r="T123" s="422"/>
      <c r="U123" s="422"/>
      <c r="V123" s="422"/>
      <c r="W123" s="422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</row>
    <row r="124" spans="1:36" ht="15.75" thickBot="1" x14ac:dyDescent="0.3">
      <c r="A124" s="422"/>
      <c r="B124" s="422"/>
      <c r="C124" s="422"/>
      <c r="D124" s="422"/>
      <c r="E124" s="323" t="s">
        <v>555</v>
      </c>
      <c r="F124" s="324">
        <f>G122/G110</f>
        <v>2.2006319323812842</v>
      </c>
      <c r="G124" s="633" t="str">
        <f>IF(F124&gt;=1,"VERIFICATO","NON VERIFICATO")</f>
        <v>VERIFICATO</v>
      </c>
      <c r="H124" s="632"/>
      <c r="I124" s="422"/>
      <c r="J124" s="422"/>
      <c r="K124" s="422"/>
      <c r="L124" s="422"/>
      <c r="M124" s="422"/>
      <c r="N124" s="422"/>
      <c r="O124" s="422"/>
      <c r="P124" s="422"/>
      <c r="Q124" s="422"/>
      <c r="R124" s="422"/>
      <c r="S124" s="422"/>
      <c r="T124" s="422"/>
      <c r="U124" s="422"/>
      <c r="V124" s="422"/>
      <c r="W124" s="422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</row>
    <row r="125" spans="1:36" x14ac:dyDescent="0.25">
      <c r="A125" s="422"/>
      <c r="B125" s="628"/>
      <c r="C125" s="628"/>
      <c r="D125" s="629"/>
      <c r="E125" s="629"/>
      <c r="F125" s="629"/>
      <c r="G125" s="632"/>
      <c r="H125" s="632"/>
      <c r="I125" s="422"/>
      <c r="J125" s="422"/>
      <c r="K125" s="422"/>
      <c r="L125" s="422"/>
      <c r="M125" s="422"/>
      <c r="N125" s="422"/>
      <c r="O125" s="422"/>
      <c r="P125" s="422"/>
      <c r="Q125" s="422"/>
      <c r="R125" s="422"/>
      <c r="S125" s="422"/>
      <c r="T125" s="422"/>
      <c r="U125" s="422"/>
      <c r="V125" s="422"/>
      <c r="W125" s="422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</row>
    <row r="126" spans="1:36" x14ac:dyDescent="0.25">
      <c r="A126" s="422"/>
      <c r="B126" s="628"/>
      <c r="C126" s="628"/>
      <c r="D126" s="629"/>
      <c r="E126" s="629"/>
      <c r="F126" s="629"/>
      <c r="G126" s="632"/>
      <c r="H126" s="632"/>
      <c r="I126" s="422"/>
      <c r="J126" s="422"/>
      <c r="K126" s="422"/>
      <c r="L126" s="422"/>
      <c r="M126" s="422"/>
      <c r="N126" s="422"/>
      <c r="O126" s="422"/>
      <c r="P126" s="422"/>
      <c r="Q126" s="422"/>
      <c r="R126" s="422"/>
      <c r="S126" s="422"/>
      <c r="T126" s="422"/>
      <c r="U126" s="422"/>
      <c r="V126" s="422"/>
      <c r="W126" s="422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</row>
    <row r="127" spans="1:36" x14ac:dyDescent="0.25">
      <c r="A127" s="422"/>
      <c r="B127" s="628"/>
      <c r="C127" s="628"/>
      <c r="D127" s="629"/>
      <c r="E127" s="629"/>
      <c r="F127" s="629"/>
      <c r="G127" s="632"/>
      <c r="H127" s="632"/>
      <c r="I127" s="422"/>
      <c r="J127" s="422"/>
      <c r="K127" s="422"/>
      <c r="L127" s="422"/>
      <c r="M127" s="422"/>
      <c r="N127" s="422"/>
      <c r="O127" s="422"/>
      <c r="P127" s="422"/>
      <c r="Q127" s="422"/>
      <c r="R127" s="422"/>
      <c r="S127" s="422"/>
      <c r="T127" s="422"/>
      <c r="U127" s="422"/>
      <c r="V127" s="422"/>
      <c r="W127" s="422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</row>
    <row r="128" spans="1:36" x14ac:dyDescent="0.25">
      <c r="A128" s="422"/>
      <c r="B128" s="628"/>
      <c r="C128" s="628"/>
      <c r="D128" s="629"/>
      <c r="E128" s="629"/>
      <c r="F128" s="629"/>
      <c r="G128" s="632"/>
      <c r="H128" s="632"/>
      <c r="I128" s="422"/>
      <c r="J128" s="422"/>
      <c r="K128" s="422"/>
      <c r="L128" s="422"/>
      <c r="M128" s="422"/>
      <c r="N128" s="422"/>
      <c r="O128" s="422"/>
      <c r="P128" s="422"/>
      <c r="Q128" s="422"/>
      <c r="R128" s="422"/>
      <c r="S128" s="422"/>
      <c r="T128" s="422"/>
      <c r="U128" s="422"/>
      <c r="V128" s="422"/>
      <c r="W128" s="422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</row>
    <row r="129" spans="1:36" x14ac:dyDescent="0.25">
      <c r="A129" s="422"/>
      <c r="B129" s="628"/>
      <c r="C129" s="628"/>
      <c r="D129" s="629"/>
      <c r="E129" s="629"/>
      <c r="F129" s="629"/>
      <c r="G129" s="632"/>
      <c r="H129" s="632"/>
      <c r="I129" s="422"/>
      <c r="J129" s="422"/>
      <c r="K129" s="422"/>
      <c r="L129" s="422"/>
      <c r="M129" s="422"/>
      <c r="N129" s="422"/>
      <c r="O129" s="422"/>
      <c r="P129" s="422"/>
      <c r="Q129" s="422"/>
      <c r="R129" s="422"/>
      <c r="S129" s="422"/>
      <c r="T129" s="422"/>
      <c r="U129" s="422"/>
      <c r="V129" s="422"/>
      <c r="W129" s="422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</row>
    <row r="130" spans="1:36" x14ac:dyDescent="0.25">
      <c r="A130" s="422"/>
      <c r="B130" s="628"/>
      <c r="C130" s="628"/>
      <c r="D130" s="629"/>
      <c r="E130" s="629"/>
      <c r="F130" s="629"/>
      <c r="G130" s="632"/>
      <c r="H130" s="632"/>
      <c r="I130" s="422"/>
      <c r="J130" s="422"/>
      <c r="K130" s="422"/>
      <c r="L130" s="422"/>
      <c r="M130" s="422"/>
      <c r="N130" s="422"/>
      <c r="O130" s="422"/>
      <c r="P130" s="422"/>
      <c r="Q130" s="422"/>
      <c r="R130" s="422"/>
      <c r="S130" s="422"/>
      <c r="T130" s="422"/>
      <c r="U130" s="422"/>
      <c r="V130" s="422"/>
      <c r="W130" s="422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</row>
    <row r="131" spans="1:36" x14ac:dyDescent="0.25">
      <c r="A131" s="422"/>
      <c r="B131" s="628"/>
      <c r="C131" s="628"/>
      <c r="D131" s="629"/>
      <c r="E131" s="629"/>
      <c r="F131" s="629"/>
      <c r="G131" s="632"/>
      <c r="H131" s="632"/>
      <c r="I131" s="422"/>
      <c r="J131" s="422"/>
      <c r="K131" s="422"/>
      <c r="L131" s="422"/>
      <c r="M131" s="422"/>
      <c r="N131" s="422"/>
      <c r="O131" s="422"/>
      <c r="P131" s="422"/>
      <c r="Q131" s="422"/>
      <c r="R131" s="422"/>
      <c r="S131" s="422"/>
      <c r="T131" s="422"/>
      <c r="U131" s="422"/>
      <c r="V131" s="422"/>
      <c r="W131" s="422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</row>
    <row r="132" spans="1:36" x14ac:dyDescent="0.25">
      <c r="A132" s="422"/>
      <c r="B132" s="628"/>
      <c r="C132" s="628"/>
      <c r="D132" s="629"/>
      <c r="E132" s="629"/>
      <c r="F132" s="629"/>
      <c r="G132" s="632"/>
      <c r="H132" s="632"/>
      <c r="I132" s="422"/>
      <c r="J132" s="422"/>
      <c r="K132" s="422"/>
      <c r="L132" s="422"/>
      <c r="M132" s="422"/>
      <c r="N132" s="422"/>
      <c r="O132" s="422"/>
      <c r="P132" s="422"/>
      <c r="Q132" s="422"/>
      <c r="R132" s="422"/>
      <c r="S132" s="422"/>
      <c r="T132" s="422"/>
      <c r="U132" s="422"/>
      <c r="V132" s="422"/>
      <c r="W132" s="422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</row>
    <row r="133" spans="1:36" x14ac:dyDescent="0.25">
      <c r="A133" s="422"/>
      <c r="B133" s="422"/>
      <c r="C133" s="422"/>
      <c r="D133" s="422"/>
      <c r="E133" s="422"/>
      <c r="F133" s="422"/>
      <c r="G133" s="422"/>
      <c r="H133" s="422"/>
      <c r="I133" s="422"/>
      <c r="J133" s="422"/>
      <c r="K133" s="422"/>
      <c r="L133" s="422"/>
      <c r="M133" s="422"/>
      <c r="N133" s="422"/>
      <c r="O133" s="422"/>
      <c r="P133" s="422"/>
      <c r="Q133" s="422"/>
      <c r="R133" s="422"/>
      <c r="S133" s="422"/>
      <c r="T133" s="422"/>
      <c r="U133" s="422"/>
      <c r="V133" s="422"/>
      <c r="W133" s="422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</row>
    <row r="134" spans="1:36" ht="9" customHeight="1" x14ac:dyDescent="0.25">
      <c r="A134" s="422"/>
      <c r="B134" s="422"/>
      <c r="C134" s="422"/>
      <c r="D134" s="422"/>
      <c r="E134" s="422"/>
      <c r="F134" s="422"/>
      <c r="G134" s="422"/>
      <c r="H134" s="422"/>
      <c r="I134" s="422"/>
      <c r="J134" s="422"/>
      <c r="K134" s="422"/>
      <c r="L134" s="422"/>
      <c r="M134" s="422"/>
      <c r="N134" s="422"/>
      <c r="O134" s="422"/>
      <c r="P134" s="422"/>
      <c r="Q134" s="422"/>
      <c r="R134" s="422"/>
      <c r="S134" s="422"/>
      <c r="T134" s="422"/>
      <c r="U134" s="422"/>
      <c r="V134" s="422"/>
      <c r="W134" s="422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</row>
    <row r="135" spans="1:36" x14ac:dyDescent="0.25">
      <c r="A135" s="422"/>
      <c r="B135" s="422"/>
      <c r="C135" s="422"/>
      <c r="D135" s="422"/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  <c r="O135" s="422"/>
      <c r="P135" s="422"/>
      <c r="Q135" s="422"/>
      <c r="R135" s="422"/>
      <c r="S135" s="422"/>
      <c r="T135" s="422"/>
      <c r="U135" s="422"/>
      <c r="V135" s="422"/>
      <c r="W135" s="422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</row>
    <row r="136" spans="1:36" x14ac:dyDescent="0.25">
      <c r="A136" s="422"/>
      <c r="B136" s="422"/>
      <c r="C136" s="422"/>
      <c r="D136" s="422"/>
      <c r="E136" s="422"/>
      <c r="F136" s="422"/>
      <c r="G136" s="422"/>
      <c r="H136" s="422"/>
      <c r="I136" s="422"/>
      <c r="J136" s="422"/>
      <c r="K136" s="422"/>
      <c r="L136" s="422"/>
      <c r="M136" s="422"/>
      <c r="N136" s="422"/>
      <c r="O136" s="422"/>
      <c r="P136" s="422"/>
      <c r="Q136" s="422"/>
      <c r="R136" s="422"/>
      <c r="S136" s="422"/>
      <c r="T136" s="422"/>
      <c r="U136" s="422"/>
      <c r="V136" s="422"/>
      <c r="W136" s="422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</row>
    <row r="137" spans="1:36" x14ac:dyDescent="0.25">
      <c r="A137" s="422"/>
      <c r="B137" s="422"/>
      <c r="C137" s="422"/>
      <c r="D137" s="422"/>
      <c r="E137" s="422"/>
      <c r="F137" s="422"/>
      <c r="G137" s="422"/>
      <c r="H137" s="422"/>
      <c r="I137" s="422"/>
      <c r="J137" s="422"/>
      <c r="K137" s="422"/>
      <c r="L137" s="422"/>
      <c r="M137" s="422"/>
      <c r="N137" s="422"/>
      <c r="O137" s="422"/>
      <c r="P137" s="422"/>
      <c r="Q137" s="422"/>
      <c r="R137" s="422"/>
      <c r="S137" s="422"/>
      <c r="T137" s="422"/>
      <c r="U137" s="422"/>
      <c r="V137" s="422"/>
      <c r="W137" s="422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</row>
    <row r="138" spans="1:36" x14ac:dyDescent="0.25">
      <c r="A138" s="422"/>
      <c r="B138" s="422"/>
      <c r="C138" s="422"/>
      <c r="D138" s="422"/>
      <c r="E138" s="422"/>
      <c r="F138" s="422"/>
      <c r="G138" s="422"/>
      <c r="H138" s="422"/>
      <c r="I138" s="422"/>
      <c r="J138" s="422"/>
      <c r="K138" s="422"/>
      <c r="L138" s="422"/>
      <c r="M138" s="422"/>
      <c r="N138" s="422"/>
      <c r="O138" s="422"/>
      <c r="P138" s="422"/>
      <c r="Q138" s="422"/>
      <c r="R138" s="422"/>
      <c r="S138" s="422"/>
      <c r="T138" s="422"/>
      <c r="U138" s="422"/>
      <c r="V138" s="422"/>
      <c r="W138" s="422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</row>
    <row r="139" spans="1:36" x14ac:dyDescent="0.25">
      <c r="A139" s="422"/>
      <c r="B139" s="422"/>
      <c r="C139" s="422"/>
      <c r="D139" s="422"/>
      <c r="E139" s="422"/>
      <c r="F139" s="422"/>
      <c r="G139" s="422"/>
      <c r="H139" s="422"/>
      <c r="I139" s="422"/>
      <c r="J139" s="422"/>
      <c r="K139" s="422"/>
      <c r="L139" s="422"/>
      <c r="M139" s="422"/>
      <c r="N139" s="422"/>
      <c r="O139" s="422"/>
      <c r="P139" s="422"/>
      <c r="Q139" s="422"/>
      <c r="R139" s="422"/>
      <c r="S139" s="422"/>
      <c r="T139" s="422"/>
      <c r="U139" s="422"/>
      <c r="V139" s="422"/>
      <c r="W139" s="422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</row>
    <row r="140" spans="1:36" x14ac:dyDescent="0.25">
      <c r="A140" s="422"/>
      <c r="B140" s="422"/>
      <c r="C140" s="422"/>
      <c r="D140" s="422"/>
      <c r="E140" s="422"/>
      <c r="F140" s="422"/>
      <c r="G140" s="422"/>
      <c r="H140" s="422"/>
      <c r="I140" s="422"/>
      <c r="J140" s="422"/>
      <c r="K140" s="422"/>
      <c r="L140" s="422"/>
      <c r="M140" s="422"/>
      <c r="N140" s="422"/>
      <c r="O140" s="422"/>
      <c r="P140" s="422"/>
      <c r="Q140" s="422"/>
      <c r="R140" s="422"/>
      <c r="S140" s="422"/>
      <c r="T140" s="422"/>
      <c r="U140" s="422"/>
      <c r="V140" s="422"/>
      <c r="W140" s="422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</row>
    <row r="141" spans="1:36" x14ac:dyDescent="0.25">
      <c r="A141" s="422"/>
      <c r="B141" s="422"/>
      <c r="C141" s="422"/>
      <c r="D141" s="422"/>
      <c r="E141" s="422"/>
      <c r="F141" s="422"/>
      <c r="G141" s="422"/>
      <c r="H141" s="422"/>
      <c r="I141" s="422"/>
      <c r="J141" s="422"/>
      <c r="K141" s="422"/>
      <c r="L141" s="422"/>
      <c r="M141" s="422"/>
      <c r="N141" s="422"/>
      <c r="O141" s="422"/>
      <c r="P141" s="422"/>
      <c r="Q141" s="422"/>
      <c r="R141" s="422"/>
      <c r="S141" s="422"/>
      <c r="T141" s="422"/>
      <c r="U141" s="422"/>
      <c r="V141" s="422"/>
      <c r="W141" s="422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</row>
    <row r="142" spans="1:36" x14ac:dyDescent="0.25">
      <c r="A142" s="422"/>
      <c r="B142" s="422"/>
      <c r="C142" s="422"/>
      <c r="D142" s="422"/>
      <c r="E142" s="422"/>
      <c r="F142" s="422"/>
      <c r="G142" s="422"/>
      <c r="H142" s="422"/>
      <c r="I142" s="422"/>
      <c r="J142" s="422"/>
      <c r="K142" s="422"/>
      <c r="L142" s="422"/>
      <c r="M142" s="422"/>
      <c r="N142" s="422"/>
      <c r="O142" s="422"/>
      <c r="P142" s="422"/>
      <c r="Q142" s="422"/>
      <c r="R142" s="422"/>
      <c r="S142" s="422"/>
      <c r="T142" s="422"/>
      <c r="U142" s="422"/>
      <c r="V142" s="422"/>
      <c r="W142" s="422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</row>
    <row r="143" spans="1:36" x14ac:dyDescent="0.25">
      <c r="A143" s="422"/>
      <c r="B143" s="422"/>
      <c r="C143" s="422"/>
      <c r="D143" s="422"/>
      <c r="E143" s="422"/>
      <c r="F143" s="422"/>
      <c r="G143" s="422"/>
      <c r="H143" s="422"/>
      <c r="I143" s="422"/>
      <c r="J143" s="422"/>
      <c r="K143" s="422"/>
      <c r="L143" s="422"/>
      <c r="M143" s="422"/>
      <c r="N143" s="422"/>
      <c r="O143" s="422"/>
      <c r="P143" s="422"/>
      <c r="Q143" s="422"/>
      <c r="R143" s="422"/>
      <c r="S143" s="422"/>
      <c r="T143" s="422"/>
      <c r="U143" s="422"/>
      <c r="V143" s="422"/>
      <c r="W143" s="422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</row>
    <row r="144" spans="1:36" x14ac:dyDescent="0.25">
      <c r="A144" s="422"/>
      <c r="B144" s="422"/>
      <c r="C144" s="422"/>
      <c r="D144" s="422"/>
      <c r="E144" s="422"/>
      <c r="F144" s="422"/>
      <c r="G144" s="422"/>
      <c r="H144" s="422"/>
      <c r="I144" s="422"/>
      <c r="J144" s="422"/>
      <c r="K144" s="422"/>
      <c r="L144" s="422"/>
      <c r="M144" s="422"/>
      <c r="N144" s="422"/>
      <c r="O144" s="422"/>
      <c r="P144" s="422"/>
      <c r="Q144" s="422"/>
      <c r="R144" s="422"/>
      <c r="S144" s="422"/>
      <c r="T144" s="422"/>
      <c r="U144" s="422"/>
      <c r="V144" s="422"/>
      <c r="W144" s="422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</row>
    <row r="145" spans="1:36" x14ac:dyDescent="0.25">
      <c r="A145" s="422"/>
      <c r="B145" s="422"/>
      <c r="C145" s="422"/>
      <c r="D145" s="422"/>
      <c r="E145" s="422"/>
      <c r="F145" s="422"/>
      <c r="G145" s="422"/>
      <c r="H145" s="422"/>
      <c r="I145" s="422"/>
      <c r="J145" s="422"/>
      <c r="K145" s="422"/>
      <c r="L145" s="422"/>
      <c r="M145" s="422"/>
      <c r="N145" s="422"/>
      <c r="O145" s="422"/>
      <c r="P145" s="422"/>
      <c r="Q145" s="422"/>
      <c r="R145" s="422"/>
      <c r="S145" s="422"/>
      <c r="T145" s="422"/>
      <c r="U145" s="422"/>
      <c r="V145" s="422"/>
      <c r="W145" s="422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</row>
    <row r="146" spans="1:36" x14ac:dyDescent="0.25">
      <c r="A146" s="422"/>
      <c r="B146" s="422"/>
      <c r="C146" s="422"/>
      <c r="D146" s="422"/>
      <c r="E146" s="422"/>
      <c r="F146" s="422"/>
      <c r="G146" s="422"/>
      <c r="H146" s="422"/>
      <c r="I146" s="422"/>
      <c r="J146" s="422"/>
      <c r="K146" s="422"/>
      <c r="L146" s="422"/>
      <c r="M146" s="422"/>
      <c r="N146" s="422"/>
      <c r="O146" s="422"/>
      <c r="P146" s="422"/>
      <c r="Q146" s="422"/>
      <c r="R146" s="422"/>
      <c r="S146" s="422"/>
      <c r="T146" s="422"/>
      <c r="U146" s="422"/>
      <c r="V146" s="422"/>
      <c r="W146" s="422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</row>
    <row r="147" spans="1:36" x14ac:dyDescent="0.25">
      <c r="A147" s="422"/>
      <c r="B147" s="422"/>
      <c r="C147" s="422"/>
      <c r="D147" s="422"/>
      <c r="E147" s="422"/>
      <c r="F147" s="422"/>
      <c r="G147" s="422"/>
      <c r="H147" s="422"/>
      <c r="I147" s="422"/>
      <c r="J147" s="422"/>
      <c r="K147" s="422"/>
      <c r="L147" s="422"/>
      <c r="M147" s="422"/>
      <c r="N147" s="422"/>
      <c r="O147" s="422"/>
      <c r="P147" s="422"/>
      <c r="Q147" s="422"/>
      <c r="R147" s="422"/>
      <c r="S147" s="422"/>
      <c r="T147" s="422"/>
      <c r="U147" s="422"/>
      <c r="V147" s="422"/>
      <c r="W147" s="422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</row>
    <row r="148" spans="1:36" x14ac:dyDescent="0.25">
      <c r="A148" s="422"/>
      <c r="B148" s="422"/>
      <c r="C148" s="422"/>
      <c r="D148" s="422"/>
      <c r="E148" s="422"/>
      <c r="F148" s="422"/>
      <c r="G148" s="422"/>
      <c r="H148" s="422"/>
      <c r="I148" s="422"/>
      <c r="J148" s="422"/>
      <c r="K148" s="422"/>
      <c r="L148" s="422"/>
      <c r="M148" s="422"/>
      <c r="N148" s="422"/>
      <c r="O148" s="422"/>
      <c r="P148" s="422"/>
      <c r="Q148" s="422"/>
      <c r="R148" s="422"/>
      <c r="S148" s="422"/>
      <c r="T148" s="422"/>
      <c r="U148" s="422"/>
      <c r="V148" s="422"/>
      <c r="W148" s="422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</row>
    <row r="149" spans="1:36" x14ac:dyDescent="0.25">
      <c r="A149" s="422"/>
      <c r="B149" s="422"/>
      <c r="C149" s="422"/>
      <c r="D149" s="422"/>
      <c r="E149" s="422"/>
      <c r="F149" s="422"/>
      <c r="G149" s="422"/>
      <c r="H149" s="422"/>
      <c r="I149" s="422"/>
      <c r="J149" s="422"/>
      <c r="K149" s="422"/>
      <c r="L149" s="422"/>
      <c r="M149" s="422"/>
      <c r="N149" s="422"/>
      <c r="O149" s="422"/>
      <c r="P149" s="422"/>
      <c r="Q149" s="422"/>
      <c r="R149" s="422"/>
      <c r="S149" s="422"/>
      <c r="T149" s="422"/>
      <c r="U149" s="422"/>
      <c r="V149" s="422"/>
      <c r="W149" s="422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</row>
    <row r="150" spans="1:36" x14ac:dyDescent="0.25">
      <c r="A150" s="422"/>
      <c r="B150" s="422"/>
      <c r="C150" s="422"/>
      <c r="D150" s="422"/>
      <c r="E150" s="422"/>
      <c r="F150" s="422"/>
      <c r="G150" s="422"/>
      <c r="H150" s="422"/>
      <c r="I150" s="422"/>
      <c r="J150" s="422"/>
      <c r="K150" s="422"/>
      <c r="L150" s="422"/>
      <c r="M150" s="422"/>
      <c r="N150" s="422"/>
      <c r="O150" s="422"/>
      <c r="P150" s="422"/>
      <c r="Q150" s="422"/>
      <c r="R150" s="422"/>
      <c r="S150" s="422"/>
      <c r="T150" s="422"/>
      <c r="U150" s="422"/>
      <c r="V150" s="422"/>
      <c r="W150" s="422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</row>
    <row r="151" spans="1:36" x14ac:dyDescent="0.25">
      <c r="A151" s="422"/>
      <c r="B151" s="422"/>
      <c r="C151" s="422"/>
      <c r="D151" s="422"/>
      <c r="E151" s="422"/>
      <c r="F151" s="422"/>
      <c r="G151" s="422"/>
      <c r="H151" s="422"/>
      <c r="I151" s="422"/>
      <c r="J151" s="422"/>
      <c r="K151" s="422"/>
      <c r="L151" s="422"/>
      <c r="M151" s="422"/>
      <c r="N151" s="422"/>
      <c r="O151" s="422"/>
      <c r="P151" s="422"/>
      <c r="Q151" s="422"/>
      <c r="R151" s="422"/>
      <c r="S151" s="422"/>
      <c r="T151" s="422"/>
      <c r="U151" s="422"/>
      <c r="V151" s="422"/>
      <c r="W151" s="422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</row>
    <row r="152" spans="1:36" x14ac:dyDescent="0.25">
      <c r="A152" s="422"/>
      <c r="B152" s="422"/>
      <c r="C152" s="422"/>
      <c r="D152" s="422"/>
      <c r="E152" s="422"/>
      <c r="F152" s="422"/>
      <c r="G152" s="422"/>
      <c r="H152" s="422"/>
      <c r="I152" s="422"/>
      <c r="J152" s="422"/>
      <c r="K152" s="422"/>
      <c r="L152" s="422"/>
      <c r="M152" s="422"/>
      <c r="N152" s="422"/>
      <c r="O152" s="422"/>
      <c r="P152" s="422"/>
      <c r="Q152" s="422"/>
      <c r="R152" s="422"/>
      <c r="S152" s="422"/>
      <c r="T152" s="422"/>
      <c r="U152" s="422"/>
      <c r="V152" s="422"/>
      <c r="W152" s="422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</row>
    <row r="153" spans="1:36" x14ac:dyDescent="0.25">
      <c r="A153" s="422"/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422"/>
      <c r="M153" s="422"/>
      <c r="N153" s="422"/>
      <c r="O153" s="422"/>
      <c r="P153" s="422"/>
      <c r="Q153" s="422"/>
      <c r="R153" s="422"/>
      <c r="S153" s="422"/>
      <c r="T153" s="422"/>
      <c r="U153" s="422"/>
      <c r="V153" s="422"/>
      <c r="W153" s="422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</row>
    <row r="154" spans="1:36" x14ac:dyDescent="0.25">
      <c r="A154" s="422"/>
      <c r="B154" s="422"/>
      <c r="C154" s="422"/>
      <c r="D154" s="422"/>
      <c r="E154" s="422"/>
      <c r="F154" s="422"/>
      <c r="G154" s="422"/>
      <c r="H154" s="422"/>
      <c r="I154" s="422"/>
      <c r="J154" s="422"/>
      <c r="K154" s="422"/>
      <c r="L154" s="422"/>
      <c r="M154" s="422"/>
      <c r="N154" s="422"/>
      <c r="O154" s="422"/>
      <c r="P154" s="422"/>
      <c r="Q154" s="422"/>
      <c r="R154" s="422"/>
      <c r="S154" s="422"/>
      <c r="T154" s="422"/>
      <c r="U154" s="422"/>
      <c r="V154" s="422"/>
      <c r="W154" s="422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</row>
    <row r="155" spans="1:36" x14ac:dyDescent="0.25">
      <c r="A155" s="422"/>
      <c r="B155" s="422"/>
      <c r="C155" s="422"/>
      <c r="D155" s="422"/>
      <c r="E155" s="422"/>
      <c r="F155" s="422"/>
      <c r="G155" s="422"/>
      <c r="H155" s="422"/>
      <c r="I155" s="422"/>
      <c r="J155" s="422"/>
      <c r="K155" s="422"/>
      <c r="L155" s="422"/>
      <c r="M155" s="422"/>
      <c r="N155" s="422"/>
      <c r="O155" s="422"/>
      <c r="P155" s="422"/>
      <c r="Q155" s="422"/>
      <c r="R155" s="422"/>
      <c r="S155" s="422"/>
      <c r="T155" s="422"/>
      <c r="U155" s="422"/>
      <c r="V155" s="422"/>
      <c r="W155" s="422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</row>
    <row r="156" spans="1:36" x14ac:dyDescent="0.25">
      <c r="A156" s="422"/>
      <c r="B156" s="422"/>
      <c r="C156" s="422"/>
      <c r="D156" s="422"/>
      <c r="E156" s="422"/>
      <c r="F156" s="422"/>
      <c r="G156" s="422"/>
      <c r="H156" s="422"/>
      <c r="I156" s="422"/>
      <c r="J156" s="422"/>
      <c r="K156" s="422"/>
      <c r="L156" s="422"/>
      <c r="M156" s="422"/>
      <c r="N156" s="422"/>
      <c r="O156" s="422"/>
      <c r="P156" s="422"/>
      <c r="Q156" s="422"/>
      <c r="R156" s="422"/>
      <c r="S156" s="422"/>
      <c r="T156" s="422"/>
      <c r="U156" s="422"/>
      <c r="V156" s="422"/>
      <c r="W156" s="422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</row>
    <row r="157" spans="1:36" x14ac:dyDescent="0.25">
      <c r="A157" s="422"/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422"/>
      <c r="M157" s="422"/>
      <c r="N157" s="422"/>
      <c r="O157" s="422"/>
      <c r="P157" s="422"/>
      <c r="Q157" s="422"/>
      <c r="R157" s="422"/>
      <c r="S157" s="422"/>
      <c r="T157" s="422"/>
      <c r="U157" s="422"/>
      <c r="V157" s="422"/>
      <c r="W157" s="422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</row>
    <row r="158" spans="1:36" x14ac:dyDescent="0.25">
      <c r="A158" s="422"/>
      <c r="B158" s="422"/>
      <c r="C158" s="422"/>
      <c r="D158" s="422"/>
      <c r="E158" s="422"/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</row>
    <row r="159" spans="1:36" x14ac:dyDescent="0.25">
      <c r="A159" s="422"/>
      <c r="B159" s="422"/>
      <c r="C159" s="422"/>
      <c r="D159" s="422"/>
      <c r="E159" s="422"/>
      <c r="F159" s="422"/>
      <c r="G159" s="422"/>
      <c r="H159" s="422"/>
      <c r="I159" s="422"/>
      <c r="J159" s="422"/>
      <c r="K159" s="422"/>
      <c r="L159" s="422"/>
      <c r="M159" s="422"/>
      <c r="N159" s="422"/>
      <c r="O159" s="422"/>
      <c r="P159" s="422"/>
      <c r="Q159" s="422"/>
      <c r="R159" s="422"/>
      <c r="S159" s="422"/>
      <c r="T159" s="422"/>
      <c r="U159" s="632"/>
      <c r="V159" s="632"/>
      <c r="W159" s="632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</row>
    <row r="160" spans="1:36" ht="9" customHeight="1" x14ac:dyDescent="0.25">
      <c r="A160" s="422"/>
      <c r="B160" s="422"/>
      <c r="C160" s="422"/>
      <c r="D160" s="422"/>
      <c r="E160" s="422"/>
      <c r="F160" s="422"/>
      <c r="G160" s="422"/>
      <c r="H160" s="422"/>
      <c r="I160" s="422"/>
      <c r="J160" s="422"/>
      <c r="K160" s="422"/>
      <c r="L160" s="422"/>
      <c r="M160" s="422"/>
      <c r="N160" s="632"/>
      <c r="O160" s="422"/>
      <c r="P160" s="422"/>
      <c r="Q160" s="422"/>
      <c r="R160" s="768"/>
      <c r="S160" s="768"/>
      <c r="T160" s="768"/>
      <c r="U160" s="768"/>
      <c r="V160" s="768"/>
      <c r="W160" s="769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</row>
    <row r="161" spans="1:36" x14ac:dyDescent="0.25">
      <c r="A161" s="422"/>
      <c r="B161" s="422"/>
      <c r="C161" s="422"/>
      <c r="D161" s="422"/>
      <c r="E161" s="422"/>
      <c r="F161" s="422"/>
      <c r="G161" s="422"/>
      <c r="H161" s="422"/>
      <c r="I161" s="422"/>
      <c r="J161" s="422"/>
      <c r="K161" s="422"/>
      <c r="L161" s="422"/>
      <c r="M161" s="422"/>
      <c r="N161" s="632"/>
      <c r="O161" s="422"/>
      <c r="P161" s="422"/>
      <c r="Q161" s="422"/>
      <c r="R161" s="768"/>
      <c r="S161" s="768"/>
      <c r="T161" s="768"/>
      <c r="U161" s="768"/>
      <c r="V161" s="768"/>
      <c r="W161" s="769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</row>
    <row r="162" spans="1:36" x14ac:dyDescent="0.25">
      <c r="A162" s="422"/>
      <c r="B162" s="422"/>
      <c r="C162" s="422"/>
      <c r="D162" s="422"/>
      <c r="E162" s="422"/>
      <c r="F162" s="422"/>
      <c r="G162" s="422"/>
      <c r="H162" s="422"/>
      <c r="I162" s="422"/>
      <c r="J162" s="422"/>
      <c r="K162" s="422"/>
      <c r="L162" s="422"/>
      <c r="M162" s="422"/>
      <c r="N162" s="632"/>
      <c r="O162" s="422"/>
      <c r="P162" s="422"/>
      <c r="Q162" s="422"/>
      <c r="R162" s="768"/>
      <c r="S162" s="768"/>
      <c r="T162" s="768"/>
      <c r="U162" s="768"/>
      <c r="V162" s="768"/>
      <c r="W162" s="769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</row>
    <row r="163" spans="1:36" x14ac:dyDescent="0.25">
      <c r="A163" s="422"/>
      <c r="B163" s="422"/>
      <c r="C163" s="422"/>
      <c r="D163" s="422"/>
      <c r="E163" s="422"/>
      <c r="F163" s="422"/>
      <c r="G163" s="422"/>
      <c r="H163" s="422"/>
      <c r="I163" s="422"/>
      <c r="J163" s="422"/>
      <c r="K163" s="422"/>
      <c r="L163" s="422"/>
      <c r="M163" s="632"/>
      <c r="N163" s="632"/>
      <c r="O163" s="632"/>
      <c r="P163" s="632"/>
      <c r="Q163" s="632"/>
      <c r="R163" s="632"/>
      <c r="S163" s="632"/>
      <c r="T163" s="632"/>
      <c r="U163" s="632"/>
      <c r="V163" s="632"/>
      <c r="W163" s="632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</row>
    <row r="164" spans="1:36" x14ac:dyDescent="0.25">
      <c r="A164" s="422"/>
      <c r="B164" s="422"/>
      <c r="C164" s="422"/>
      <c r="D164" s="422"/>
      <c r="E164" s="422"/>
      <c r="F164" s="422"/>
      <c r="G164" s="422"/>
      <c r="H164" s="422"/>
      <c r="I164" s="422"/>
      <c r="J164" s="422"/>
      <c r="K164" s="422"/>
      <c r="L164" s="42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/>
      <c r="W164" s="632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</row>
    <row r="165" spans="1:36" ht="16.5" customHeight="1" x14ac:dyDescent="0.25">
      <c r="A165" s="422"/>
      <c r="B165" s="422"/>
      <c r="C165" s="422"/>
      <c r="D165" s="422"/>
      <c r="E165" s="422"/>
      <c r="F165" s="422"/>
      <c r="G165" s="422"/>
      <c r="H165" s="422"/>
      <c r="I165" s="422"/>
      <c r="J165" s="422"/>
      <c r="K165" s="422"/>
      <c r="L165" s="42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2"/>
      <c r="W165" s="632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</row>
    <row r="166" spans="1:36" ht="8.25" customHeight="1" x14ac:dyDescent="0.25">
      <c r="A166" s="422"/>
      <c r="B166" s="422"/>
      <c r="C166" s="422"/>
      <c r="D166" s="422"/>
      <c r="E166" s="422"/>
      <c r="F166" s="422"/>
      <c r="G166" s="422"/>
      <c r="H166" s="422"/>
      <c r="I166" s="422"/>
      <c r="J166" s="422"/>
      <c r="K166" s="422"/>
      <c r="L166" s="422"/>
      <c r="M166" s="632"/>
      <c r="N166" s="632"/>
      <c r="O166" s="632"/>
      <c r="P166" s="632"/>
      <c r="Q166" s="632"/>
      <c r="R166" s="632"/>
      <c r="S166" s="632"/>
      <c r="T166" s="632"/>
      <c r="U166" s="632"/>
      <c r="V166" s="632"/>
      <c r="W166" s="632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</row>
    <row r="167" spans="1:36" x14ac:dyDescent="0.25">
      <c r="A167" s="422"/>
      <c r="B167" s="422"/>
      <c r="C167" s="422"/>
      <c r="D167" s="422"/>
      <c r="E167" s="422"/>
      <c r="F167" s="422"/>
      <c r="G167" s="422"/>
      <c r="H167" s="422"/>
      <c r="I167" s="422"/>
      <c r="J167" s="422"/>
      <c r="K167" s="422"/>
      <c r="L167" s="422"/>
      <c r="M167" s="632"/>
      <c r="N167" s="632"/>
      <c r="O167" s="632"/>
      <c r="P167" s="632"/>
      <c r="Q167" s="632"/>
      <c r="R167" s="632"/>
      <c r="S167" s="632"/>
      <c r="T167" s="632"/>
      <c r="U167" s="632"/>
      <c r="V167" s="632"/>
      <c r="W167" s="632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</row>
    <row r="168" spans="1:36" x14ac:dyDescent="0.25">
      <c r="A168" s="422"/>
      <c r="B168" s="422"/>
      <c r="C168" s="422"/>
      <c r="D168" s="422"/>
      <c r="E168" s="422"/>
      <c r="F168" s="422"/>
      <c r="G168" s="422"/>
      <c r="H168" s="422"/>
      <c r="I168" s="422"/>
      <c r="J168" s="422"/>
      <c r="K168" s="422"/>
      <c r="L168" s="422"/>
      <c r="M168" s="632"/>
      <c r="N168" s="632"/>
      <c r="O168" s="632"/>
      <c r="P168" s="632"/>
      <c r="Q168" s="632"/>
      <c r="R168" s="632"/>
      <c r="S168" s="632"/>
      <c r="T168" s="632"/>
      <c r="U168" s="632"/>
      <c r="V168" s="632"/>
      <c r="W168" s="632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</row>
    <row r="169" spans="1:36" x14ac:dyDescent="0.25">
      <c r="A169" s="422"/>
      <c r="B169" s="422"/>
      <c r="C169" s="422"/>
      <c r="D169" s="422"/>
      <c r="E169" s="422"/>
      <c r="F169" s="422"/>
      <c r="G169" s="422"/>
      <c r="H169" s="422"/>
      <c r="I169" s="422"/>
      <c r="J169" s="422"/>
      <c r="K169" s="422"/>
      <c r="L169" s="422"/>
      <c r="M169" s="632"/>
      <c r="N169" s="632"/>
      <c r="O169" s="632"/>
      <c r="P169" s="632"/>
      <c r="Q169" s="632"/>
      <c r="R169" s="632"/>
      <c r="S169" s="632"/>
      <c r="T169" s="632"/>
      <c r="U169" s="632"/>
      <c r="V169" s="632"/>
      <c r="W169" s="632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</row>
    <row r="170" spans="1:36" x14ac:dyDescent="0.25">
      <c r="A170" s="422"/>
      <c r="B170" s="422"/>
      <c r="C170" s="422"/>
      <c r="D170" s="422"/>
      <c r="E170" s="422"/>
      <c r="F170" s="422"/>
      <c r="G170" s="422"/>
      <c r="H170" s="422"/>
      <c r="I170" s="422"/>
      <c r="J170" s="422"/>
      <c r="K170" s="422"/>
      <c r="L170" s="422"/>
      <c r="M170" s="632"/>
      <c r="N170" s="632"/>
      <c r="O170" s="632"/>
      <c r="P170" s="632"/>
      <c r="Q170" s="632"/>
      <c r="R170" s="632"/>
      <c r="S170" s="632"/>
      <c r="T170" s="632"/>
      <c r="U170" s="632"/>
      <c r="V170" s="632"/>
      <c r="W170" s="632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</row>
    <row r="171" spans="1:36" x14ac:dyDescent="0.25">
      <c r="A171" s="422"/>
      <c r="B171" s="422"/>
      <c r="C171" s="422"/>
      <c r="D171" s="422"/>
      <c r="E171" s="422"/>
      <c r="F171" s="422"/>
      <c r="G171" s="422"/>
      <c r="H171" s="422"/>
      <c r="I171" s="422"/>
      <c r="J171" s="422"/>
      <c r="K171" s="422"/>
      <c r="L171" s="422"/>
      <c r="M171" s="632"/>
      <c r="N171" s="632"/>
      <c r="O171" s="632"/>
      <c r="P171" s="632"/>
      <c r="Q171" s="632"/>
      <c r="R171" s="632"/>
      <c r="S171" s="632"/>
      <c r="T171" s="632"/>
      <c r="U171" s="632"/>
      <c r="V171" s="632"/>
      <c r="W171" s="632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</row>
    <row r="172" spans="1:36" x14ac:dyDescent="0.25">
      <c r="A172" s="422"/>
      <c r="B172" s="422"/>
      <c r="C172" s="422"/>
      <c r="D172" s="422"/>
      <c r="E172" s="422"/>
      <c r="F172" s="422"/>
      <c r="G172" s="422"/>
      <c r="H172" s="422"/>
      <c r="I172" s="422"/>
      <c r="J172" s="422"/>
      <c r="K172" s="422"/>
      <c r="L172" s="422"/>
      <c r="M172" s="632"/>
      <c r="N172" s="632"/>
      <c r="O172" s="632"/>
      <c r="P172" s="632"/>
      <c r="Q172" s="632"/>
      <c r="R172" s="632"/>
      <c r="S172" s="632"/>
      <c r="T172" s="632"/>
      <c r="U172" s="632"/>
      <c r="V172" s="632"/>
      <c r="W172" s="632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</row>
    <row r="173" spans="1:36" x14ac:dyDescent="0.25">
      <c r="A173" s="2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</row>
    <row r="174" spans="1:36" x14ac:dyDescent="0.25">
      <c r="A174" s="2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</row>
    <row r="175" spans="1:36" x14ac:dyDescent="0.25">
      <c r="A175" s="2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</row>
    <row r="176" spans="1:36" x14ac:dyDescent="0.25">
      <c r="A176" s="2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</row>
    <row r="177" spans="1:36" x14ac:dyDescent="0.25">
      <c r="A177" s="2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</row>
    <row r="178" spans="1:36" x14ac:dyDescent="0.25">
      <c r="A178" s="2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</row>
    <row r="179" spans="1:36" x14ac:dyDescent="0.25">
      <c r="A179" s="2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</row>
    <row r="180" spans="1:36" x14ac:dyDescent="0.25">
      <c r="A180" s="2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</row>
    <row r="181" spans="1:36" x14ac:dyDescent="0.25">
      <c r="A181" s="2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</row>
    <row r="182" spans="1:36" x14ac:dyDescent="0.25">
      <c r="A182" s="2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</row>
    <row r="183" spans="1:36" x14ac:dyDescent="0.25">
      <c r="A183" s="2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</row>
    <row r="184" spans="1:36" x14ac:dyDescent="0.25">
      <c r="A184" s="2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</row>
    <row r="185" spans="1:36" x14ac:dyDescent="0.25">
      <c r="A185" s="2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</row>
    <row r="186" spans="1:36" x14ac:dyDescent="0.25">
      <c r="A186" s="2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</row>
    <row r="187" spans="1:36" x14ac:dyDescent="0.25">
      <c r="A187" s="2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</row>
    <row r="188" spans="1:36" x14ac:dyDescent="0.25">
      <c r="A188" s="2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</row>
    <row r="189" spans="1:36" x14ac:dyDescent="0.25">
      <c r="A189" s="2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</row>
    <row r="190" spans="1:36" x14ac:dyDescent="0.25">
      <c r="A190" s="2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</row>
    <row r="191" spans="1:36" x14ac:dyDescent="0.25">
      <c r="A191" s="2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</row>
    <row r="192" spans="1:36" x14ac:dyDescent="0.25">
      <c r="A192" s="2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</row>
    <row r="193" spans="1:36" x14ac:dyDescent="0.25">
      <c r="A193" s="2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</row>
    <row r="194" spans="1:36" x14ac:dyDescent="0.25">
      <c r="A194" s="2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</row>
    <row r="195" spans="1:36" x14ac:dyDescent="0.25">
      <c r="A195" s="2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</row>
    <row r="196" spans="1:36" x14ac:dyDescent="0.25">
      <c r="A196" s="2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</row>
    <row r="197" spans="1:36" x14ac:dyDescent="0.25">
      <c r="A197" s="2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</row>
    <row r="198" spans="1:36" x14ac:dyDescent="0.25">
      <c r="A198" s="2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</row>
    <row r="199" spans="1:36" x14ac:dyDescent="0.25">
      <c r="A199" s="2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</row>
    <row r="200" spans="1:36" x14ac:dyDescent="0.25">
      <c r="A200" s="2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</row>
    <row r="201" spans="1:36" x14ac:dyDescent="0.25">
      <c r="A201" s="2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</row>
    <row r="202" spans="1:36" x14ac:dyDescent="0.25">
      <c r="A202" s="2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</row>
    <row r="203" spans="1:36" x14ac:dyDescent="0.25">
      <c r="A203" s="2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</row>
    <row r="204" spans="1:36" x14ac:dyDescent="0.25">
      <c r="A204" s="2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</row>
    <row r="205" spans="1:36" x14ac:dyDescent="0.25">
      <c r="A205" s="2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</row>
    <row r="206" spans="1:36" x14ac:dyDescent="0.25">
      <c r="A206" s="2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</row>
    <row r="207" spans="1:36" x14ac:dyDescent="0.25">
      <c r="A207" s="2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</row>
    <row r="208" spans="1:36" x14ac:dyDescent="0.25">
      <c r="A208" s="2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</row>
    <row r="209" spans="1:36" x14ac:dyDescent="0.25">
      <c r="A209" s="2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</row>
    <row r="210" spans="1:36" x14ac:dyDescent="0.25"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</row>
    <row r="211" spans="1:36" x14ac:dyDescent="0.25"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</row>
    <row r="212" spans="1:36" x14ac:dyDescent="0.25"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</row>
    <row r="213" spans="1:36" ht="15" customHeight="1" x14ac:dyDescent="0.25"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</row>
    <row r="214" spans="1:36" ht="15" customHeight="1" x14ac:dyDescent="0.25"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</row>
    <row r="215" spans="1:36" ht="15" customHeight="1" x14ac:dyDescent="0.25"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</row>
    <row r="216" spans="1:36" ht="17.25" customHeight="1" x14ac:dyDescent="0.25"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</row>
    <row r="217" spans="1:36" x14ac:dyDescent="0.25"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</row>
    <row r="218" spans="1:36" x14ac:dyDescent="0.25"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</row>
    <row r="219" spans="1:36" x14ac:dyDescent="0.25"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</row>
    <row r="220" spans="1:36" x14ac:dyDescent="0.25"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</row>
    <row r="221" spans="1:36" x14ac:dyDescent="0.25"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</row>
    <row r="222" spans="1:36" x14ac:dyDescent="0.25"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</row>
    <row r="223" spans="1:36" x14ac:dyDescent="0.25"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</row>
    <row r="224" spans="1:36" x14ac:dyDescent="0.25"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</row>
    <row r="225" spans="13:36" x14ac:dyDescent="0.25"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</row>
    <row r="226" spans="13:36" x14ac:dyDescent="0.25"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</row>
    <row r="227" spans="13:36" x14ac:dyDescent="0.25"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</row>
    <row r="228" spans="13:36" x14ac:dyDescent="0.25"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</row>
    <row r="229" spans="13:36" x14ac:dyDescent="0.25"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</row>
    <row r="230" spans="13:36" x14ac:dyDescent="0.25"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</row>
    <row r="231" spans="13:36" x14ac:dyDescent="0.25"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</row>
    <row r="232" spans="13:36" ht="15.75" customHeight="1" x14ac:dyDescent="0.25"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</row>
    <row r="233" spans="13:36" x14ac:dyDescent="0.25"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</row>
    <row r="234" spans="13:36" x14ac:dyDescent="0.25"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</row>
    <row r="235" spans="13:36" x14ac:dyDescent="0.25"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</row>
    <row r="236" spans="13:36" x14ac:dyDescent="0.25"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</row>
    <row r="237" spans="13:36" x14ac:dyDescent="0.25"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</row>
    <row r="238" spans="13:36" x14ac:dyDescent="0.25"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</row>
    <row r="239" spans="13:36" x14ac:dyDescent="0.25"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</row>
    <row r="240" spans="13:36" x14ac:dyDescent="0.25"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</row>
    <row r="241" spans="13:36" x14ac:dyDescent="0.25"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</row>
    <row r="242" spans="13:36" x14ac:dyDescent="0.25"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</row>
    <row r="243" spans="13:36" x14ac:dyDescent="0.25"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</row>
    <row r="244" spans="13:36" x14ac:dyDescent="0.25"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</row>
    <row r="245" spans="13:36" x14ac:dyDescent="0.25"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</row>
    <row r="246" spans="13:36" x14ac:dyDescent="0.25"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</row>
    <row r="247" spans="13:36" x14ac:dyDescent="0.25"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</row>
    <row r="248" spans="13:36" x14ac:dyDescent="0.25"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</row>
    <row r="249" spans="13:36" x14ac:dyDescent="0.25"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</row>
    <row r="250" spans="13:36" x14ac:dyDescent="0.25"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</row>
    <row r="251" spans="13:36" x14ac:dyDescent="0.25"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</row>
    <row r="252" spans="13:36" x14ac:dyDescent="0.25"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</row>
    <row r="253" spans="13:36" x14ac:dyDescent="0.25"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</row>
    <row r="254" spans="13:36" x14ac:dyDescent="0.25"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</row>
    <row r="255" spans="13:36" x14ac:dyDescent="0.25"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</row>
    <row r="256" spans="13:36" x14ac:dyDescent="0.25"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</row>
    <row r="257" spans="6:36" x14ac:dyDescent="0.25"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</row>
    <row r="258" spans="6:36" x14ac:dyDescent="0.25"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</row>
    <row r="259" spans="6:36" x14ac:dyDescent="0.25"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</row>
    <row r="260" spans="6:36" x14ac:dyDescent="0.25"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</row>
    <row r="261" spans="6:36" x14ac:dyDescent="0.25"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</row>
    <row r="262" spans="6:36" x14ac:dyDescent="0.25"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</row>
    <row r="263" spans="6:36" ht="8.25" customHeight="1" x14ac:dyDescent="0.25"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</row>
    <row r="264" spans="6:36" x14ac:dyDescent="0.25"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</row>
    <row r="265" spans="6:36" x14ac:dyDescent="0.25"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</row>
    <row r="266" spans="6:36" x14ac:dyDescent="0.25"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</row>
    <row r="267" spans="6:36" x14ac:dyDescent="0.25"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</row>
    <row r="268" spans="6:36" x14ac:dyDescent="0.25"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</row>
    <row r="269" spans="6:36" x14ac:dyDescent="0.25"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</row>
    <row r="270" spans="6:36" x14ac:dyDescent="0.25"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</row>
    <row r="271" spans="6:36" x14ac:dyDescent="0.25"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</row>
    <row r="272" spans="6:36" x14ac:dyDescent="0.25"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</row>
    <row r="273" spans="6:36" x14ac:dyDescent="0.25"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</row>
    <row r="274" spans="6:36" x14ac:dyDescent="0.25"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</row>
    <row r="275" spans="6:36" x14ac:dyDescent="0.25"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</row>
    <row r="276" spans="6:36" x14ac:dyDescent="0.25"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</row>
    <row r="277" spans="6:36" x14ac:dyDescent="0.25"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</row>
    <row r="278" spans="6:36" x14ac:dyDescent="0.25"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</row>
    <row r="279" spans="6:36" x14ac:dyDescent="0.25"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</row>
    <row r="280" spans="6:36" x14ac:dyDescent="0.25"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</row>
    <row r="281" spans="6:36" x14ac:dyDescent="0.25"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</row>
    <row r="282" spans="6:36" x14ac:dyDescent="0.25"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</row>
    <row r="283" spans="6:36" x14ac:dyDescent="0.25"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</row>
    <row r="284" spans="6:36" x14ac:dyDescent="0.25"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</row>
    <row r="285" spans="6:36" x14ac:dyDescent="0.25"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</row>
    <row r="286" spans="6:36" x14ac:dyDescent="0.25"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</row>
    <row r="287" spans="6:36" x14ac:dyDescent="0.25"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</row>
    <row r="288" spans="6:36" x14ac:dyDescent="0.25"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</row>
    <row r="289" spans="6:36" x14ac:dyDescent="0.25"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</row>
    <row r="290" spans="6:36" x14ac:dyDescent="0.25"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</row>
    <row r="291" spans="6:36" x14ac:dyDescent="0.25"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</row>
    <row r="292" spans="6:36" x14ac:dyDescent="0.25"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</row>
    <row r="293" spans="6:36" x14ac:dyDescent="0.25"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</row>
    <row r="294" spans="6:36" x14ac:dyDescent="0.25"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</row>
    <row r="295" spans="6:36" x14ac:dyDescent="0.25"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</row>
    <row r="296" spans="6:36" x14ac:dyDescent="0.25"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</row>
    <row r="297" spans="6:36" x14ac:dyDescent="0.25"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</row>
    <row r="298" spans="6:36" x14ac:dyDescent="0.25"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</row>
    <row r="299" spans="6:36" x14ac:dyDescent="0.25"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</row>
    <row r="300" spans="6:36" x14ac:dyDescent="0.25"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</row>
    <row r="301" spans="6:36" x14ac:dyDescent="0.25"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</row>
    <row r="302" spans="6:36" x14ac:dyDescent="0.25"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</row>
    <row r="303" spans="6:36" x14ac:dyDescent="0.25"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</row>
    <row r="304" spans="6:36" x14ac:dyDescent="0.25"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</row>
    <row r="305" spans="6:36" x14ac:dyDescent="0.25"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</row>
    <row r="306" spans="6:36" x14ac:dyDescent="0.25"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</row>
    <row r="307" spans="6:36" x14ac:dyDescent="0.25"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</row>
    <row r="308" spans="6:36" x14ac:dyDescent="0.25"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</row>
    <row r="309" spans="6:36" x14ac:dyDescent="0.25"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</row>
    <row r="310" spans="6:36" x14ac:dyDescent="0.25"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</row>
    <row r="311" spans="6:36" x14ac:dyDescent="0.25"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</row>
    <row r="312" spans="6:36" x14ac:dyDescent="0.25"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</row>
    <row r="313" spans="6:36" x14ac:dyDescent="0.25"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</row>
    <row r="314" spans="6:36" x14ac:dyDescent="0.25"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</row>
    <row r="315" spans="6:36" x14ac:dyDescent="0.25"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</row>
    <row r="316" spans="6:36" x14ac:dyDescent="0.25"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</row>
    <row r="317" spans="6:36" x14ac:dyDescent="0.25"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</row>
    <row r="318" spans="6:36" x14ac:dyDescent="0.25"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</row>
    <row r="319" spans="6:36" x14ac:dyDescent="0.25"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</row>
    <row r="320" spans="6:36" x14ac:dyDescent="0.25"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</row>
    <row r="321" spans="6:36" x14ac:dyDescent="0.25"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</row>
    <row r="322" spans="6:36" x14ac:dyDescent="0.25"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</row>
    <row r="323" spans="6:36" x14ac:dyDescent="0.25"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</row>
    <row r="324" spans="6:36" x14ac:dyDescent="0.25"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</row>
    <row r="325" spans="6:36" x14ac:dyDescent="0.25"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</row>
    <row r="326" spans="6:36" x14ac:dyDescent="0.25"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</row>
    <row r="327" spans="6:36" x14ac:dyDescent="0.25"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</row>
    <row r="328" spans="6:36" x14ac:dyDescent="0.25"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</row>
    <row r="329" spans="6:36" x14ac:dyDescent="0.25"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</row>
    <row r="330" spans="6:36" x14ac:dyDescent="0.25"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</row>
    <row r="331" spans="6:36" x14ac:dyDescent="0.25"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</row>
    <row r="332" spans="6:36" x14ac:dyDescent="0.25"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</row>
  </sheetData>
  <sheetProtection algorithmName="SHA-512" hashValue="gNRMDiHJJKRCHiPNJYK0qR9R9/jpgPDbkLnBLEgssNETz3l34l1JMfTLNhoclajn2wvcAColDll1eMT7uF1XZg==" saltValue="A7GbicnxaWDATpaGRZaClA==" spinCount="100000" sheet="1" objects="1" scenarios="1" selectLockedCells="1" selectUnlockedCells="1"/>
  <customSheetViews>
    <customSheetView guid="{101D851C-E4EE-4443-B6A9-9040ACB2A650}" scale="90" showGridLines="0" showRowCol="0" fitToPage="1">
      <selection activeCell="G46" sqref="G46:I46"/>
      <rowBreaks count="1" manualBreakCount="1">
        <brk id="65" max="16383" man="1"/>
      </rowBreaks>
      <colBreaks count="1" manualBreakCount="1">
        <brk id="1" max="1048575" man="1"/>
      </colBreaks>
      <pageMargins left="0.59055118110236227" right="0.51181102362204722" top="0.39370078740157483" bottom="0.35433070866141736" header="0.31496062992125984" footer="0.31496062992125984"/>
      <pageSetup paperSize="9" scale="69" fitToHeight="0" orientation="portrait" r:id="rId1"/>
    </customSheetView>
  </customSheetViews>
  <mergeCells count="18">
    <mergeCell ref="B113:C113"/>
    <mergeCell ref="B104:C104"/>
    <mergeCell ref="D104:F104"/>
    <mergeCell ref="D102:F102"/>
    <mergeCell ref="B74:B75"/>
    <mergeCell ref="B107:C107"/>
    <mergeCell ref="B78:C78"/>
    <mergeCell ref="B83:C83"/>
    <mergeCell ref="B88:C88"/>
    <mergeCell ref="B102:C102"/>
    <mergeCell ref="B48:B49"/>
    <mergeCell ref="B70:B71"/>
    <mergeCell ref="B46:B47"/>
    <mergeCell ref="B72:B73"/>
    <mergeCell ref="B61:C61"/>
    <mergeCell ref="B62:C62"/>
    <mergeCell ref="B63:C63"/>
    <mergeCell ref="B64:C64"/>
  </mergeCells>
  <conditionalFormatting sqref="G124">
    <cfRule type="cellIs" dxfId="21" priority="1" operator="equal">
      <formula>"VERIFICATO"</formula>
    </cfRule>
  </conditionalFormatting>
  <pageMargins left="0.59055118110236227" right="0.51181102362204722" top="0.39370078740157483" bottom="0.35433070866141736" header="0.31496062992125984" footer="0.31496062992125984"/>
  <pageSetup paperSize="9" scale="69" fitToHeight="0" orientation="portrait" r:id="rId2"/>
  <rowBreaks count="1" manualBreakCount="1">
    <brk id="65" max="16383" man="1"/>
  </rowBreaks>
  <colBreaks count="1" manualBreakCount="1">
    <brk id="1" max="1048575" man="1"/>
  </col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AJ332"/>
  <sheetViews>
    <sheetView showGridLines="0" showRowColHeaders="0" zoomScale="90" zoomScaleNormal="90" workbookViewId="0">
      <selection activeCell="G46" sqref="G46:I46"/>
    </sheetView>
  </sheetViews>
  <sheetFormatPr defaultRowHeight="15" x14ac:dyDescent="0.25"/>
  <cols>
    <col min="1" max="1" width="3.7109375" customWidth="1"/>
    <col min="2" max="2" width="18.42578125" customWidth="1"/>
    <col min="3" max="3" width="15.7109375" customWidth="1"/>
    <col min="4" max="4" width="14.140625" customWidth="1"/>
    <col min="5" max="5" width="15.7109375" customWidth="1"/>
    <col min="6" max="6" width="16.140625" customWidth="1"/>
    <col min="7" max="10" width="15.7109375" customWidth="1"/>
    <col min="11" max="11" width="17.7109375" customWidth="1"/>
    <col min="12" max="30" width="15.7109375" customWidth="1"/>
  </cols>
  <sheetData>
    <row r="1" spans="2:14" x14ac:dyDescent="0.25"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</row>
    <row r="2" spans="2:14" ht="23.25" x14ac:dyDescent="0.35">
      <c r="B2" s="414" t="s">
        <v>741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</row>
    <row r="3" spans="2:14" x14ac:dyDescent="0.25"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</row>
    <row r="4" spans="2:14" ht="21" x14ac:dyDescent="0.35">
      <c r="B4" s="416" t="s">
        <v>53</v>
      </c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</row>
    <row r="5" spans="2:14" s="421" customFormat="1" ht="21" x14ac:dyDescent="0.35">
      <c r="B5" s="416"/>
      <c r="C5" s="422"/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</row>
    <row r="6" spans="2:14" s="421" customFormat="1" ht="18.75" x14ac:dyDescent="0.3">
      <c r="B6" s="429" t="s">
        <v>783</v>
      </c>
      <c r="C6" s="432"/>
      <c r="D6" s="666"/>
      <c r="E6" s="667"/>
      <c r="F6" s="422"/>
      <c r="G6" s="422"/>
      <c r="H6" s="422"/>
      <c r="I6" s="422"/>
      <c r="J6" s="422"/>
      <c r="K6" s="422"/>
      <c r="L6" s="422"/>
      <c r="M6" s="422"/>
      <c r="N6" s="422"/>
    </row>
    <row r="7" spans="2:14" s="421" customFormat="1" ht="18.75" x14ac:dyDescent="0.3">
      <c r="B7" s="433"/>
      <c r="C7" s="432"/>
      <c r="D7" s="666"/>
      <c r="E7" s="667"/>
      <c r="F7" s="422"/>
      <c r="G7" s="422"/>
      <c r="H7" s="422"/>
      <c r="I7" s="422"/>
      <c r="J7" s="422"/>
      <c r="K7" s="422"/>
      <c r="L7" s="422"/>
      <c r="M7" s="422"/>
      <c r="N7" s="422"/>
    </row>
    <row r="8" spans="2:14" s="421" customFormat="1" x14ac:dyDescent="0.25">
      <c r="B8" s="425" t="s">
        <v>331</v>
      </c>
      <c r="C8" s="422"/>
      <c r="D8" s="425" t="str">
        <f>SPINTE!C6</f>
        <v>SISMICA</v>
      </c>
      <c r="E8" s="422"/>
      <c r="F8" s="422"/>
      <c r="G8" s="438" t="s">
        <v>467</v>
      </c>
      <c r="H8" s="623" t="s">
        <v>25</v>
      </c>
      <c r="I8" s="422"/>
      <c r="J8" s="422"/>
      <c r="K8" s="422"/>
      <c r="L8" s="422"/>
      <c r="M8" s="422"/>
      <c r="N8" s="422"/>
    </row>
    <row r="9" spans="2:14" s="421" customFormat="1" x14ac:dyDescent="0.25">
      <c r="B9" s="422"/>
      <c r="C9" s="422"/>
      <c r="D9" s="422"/>
      <c r="E9" s="422"/>
      <c r="F9" s="422"/>
      <c r="G9" s="627" t="s">
        <v>785</v>
      </c>
      <c r="H9" s="625">
        <f>SPINTE!D11</f>
        <v>1</v>
      </c>
      <c r="I9" s="422"/>
      <c r="J9" s="422"/>
      <c r="K9" s="422"/>
      <c r="L9" s="422"/>
      <c r="M9" s="422"/>
      <c r="N9" s="422"/>
    </row>
    <row r="10" spans="2:14" s="421" customFormat="1" x14ac:dyDescent="0.25">
      <c r="B10" s="425" t="s">
        <v>473</v>
      </c>
      <c r="C10" s="422"/>
      <c r="D10" s="425" t="str">
        <f>SPINTE!C8</f>
        <v>APPROCCIO 1 --- Combinazione (A1+M1+R1)</v>
      </c>
      <c r="E10" s="422"/>
      <c r="F10" s="422"/>
      <c r="G10" s="627" t="s">
        <v>786</v>
      </c>
      <c r="H10" s="625">
        <f>SPINTE!D12</f>
        <v>1</v>
      </c>
      <c r="I10" s="422"/>
      <c r="J10" s="422"/>
      <c r="K10" s="422"/>
      <c r="L10" s="422"/>
      <c r="M10" s="422"/>
      <c r="N10" s="422"/>
    </row>
    <row r="11" spans="2:14" s="421" customFormat="1" x14ac:dyDescent="0.25">
      <c r="B11" s="628"/>
      <c r="C11" s="628"/>
      <c r="D11" s="629"/>
      <c r="E11" s="422"/>
      <c r="F11" s="422"/>
      <c r="G11" s="627" t="s">
        <v>787</v>
      </c>
      <c r="H11" s="625">
        <f>SPINTE!D13</f>
        <v>1</v>
      </c>
      <c r="I11" s="422"/>
      <c r="J11" s="422"/>
      <c r="K11" s="422"/>
      <c r="L11" s="422"/>
      <c r="M11" s="422"/>
      <c r="N11" s="422"/>
    </row>
    <row r="12" spans="2:14" s="421" customFormat="1" x14ac:dyDescent="0.25">
      <c r="B12" s="628"/>
      <c r="C12" s="422"/>
      <c r="D12" s="422"/>
      <c r="E12" s="422"/>
      <c r="F12" s="422"/>
      <c r="G12" s="628"/>
      <c r="H12" s="440"/>
      <c r="I12" s="422"/>
      <c r="J12" s="422"/>
      <c r="K12" s="422"/>
      <c r="L12" s="422"/>
      <c r="M12" s="422"/>
      <c r="N12" s="422"/>
    </row>
    <row r="13" spans="2:14" s="421" customFormat="1" x14ac:dyDescent="0.25">
      <c r="B13" s="628"/>
      <c r="C13" s="422"/>
      <c r="D13" s="422"/>
      <c r="E13" s="422"/>
      <c r="F13" s="422"/>
      <c r="G13" s="438" t="s">
        <v>468</v>
      </c>
      <c r="H13" s="439">
        <f>'Sollecitazioni nella zattera'!F18</f>
        <v>1</v>
      </c>
      <c r="I13" s="422"/>
      <c r="J13" s="422"/>
      <c r="K13" s="422"/>
      <c r="L13" s="422"/>
      <c r="M13" s="422"/>
      <c r="N13" s="422"/>
    </row>
    <row r="14" spans="2:14" s="421" customFormat="1" x14ac:dyDescent="0.25">
      <c r="B14" s="628"/>
      <c r="C14" s="422"/>
      <c r="D14" s="422"/>
      <c r="E14" s="422"/>
      <c r="F14" s="422"/>
      <c r="G14" s="623" t="s">
        <v>201</v>
      </c>
      <c r="H14" s="625">
        <f>SPINTE!D16</f>
        <v>1</v>
      </c>
      <c r="I14" s="422"/>
      <c r="J14" s="422"/>
      <c r="K14" s="422"/>
      <c r="L14" s="422"/>
      <c r="M14" s="422"/>
      <c r="N14" s="422"/>
    </row>
    <row r="15" spans="2:14" s="421" customFormat="1" x14ac:dyDescent="0.25">
      <c r="B15" s="628"/>
      <c r="C15" s="422"/>
      <c r="D15" s="422"/>
      <c r="E15" s="422"/>
      <c r="F15" s="422"/>
      <c r="G15" s="623" t="s">
        <v>202</v>
      </c>
      <c r="H15" s="625">
        <f>SPINTE!D17</f>
        <v>1</v>
      </c>
      <c r="I15" s="422"/>
      <c r="J15" s="422"/>
      <c r="K15" s="422"/>
      <c r="L15" s="422"/>
      <c r="M15" s="422"/>
      <c r="N15" s="422"/>
    </row>
    <row r="16" spans="2:14" s="421" customFormat="1" x14ac:dyDescent="0.25">
      <c r="B16" s="628"/>
      <c r="C16" s="422"/>
      <c r="D16" s="422"/>
      <c r="E16" s="422"/>
      <c r="F16" s="422"/>
      <c r="G16" s="623" t="s">
        <v>204</v>
      </c>
      <c r="H16" s="625">
        <f>SPINTE!D18</f>
        <v>1</v>
      </c>
      <c r="I16" s="422"/>
      <c r="J16" s="422"/>
      <c r="K16" s="422"/>
      <c r="L16" s="422"/>
      <c r="M16" s="422"/>
      <c r="N16" s="422"/>
    </row>
    <row r="17" spans="1:36" s="421" customFormat="1" x14ac:dyDescent="0.25">
      <c r="B17" s="628"/>
      <c r="C17" s="422"/>
      <c r="D17" s="422"/>
      <c r="E17" s="422"/>
      <c r="F17" s="422"/>
      <c r="G17" s="636" t="s">
        <v>205</v>
      </c>
      <c r="H17" s="625">
        <f>SPINTE!D19</f>
        <v>1</v>
      </c>
      <c r="I17" s="422"/>
      <c r="J17" s="422"/>
      <c r="K17" s="422"/>
      <c r="L17" s="422"/>
      <c r="M17" s="422"/>
      <c r="N17" s="422"/>
    </row>
    <row r="18" spans="1:36" s="421" customFormat="1" x14ac:dyDescent="0.25">
      <c r="B18" s="628"/>
      <c r="C18" s="422"/>
      <c r="D18" s="422"/>
      <c r="E18" s="422"/>
      <c r="F18" s="422"/>
      <c r="G18" s="629"/>
      <c r="H18" s="422"/>
      <c r="I18" s="422"/>
      <c r="J18" s="422"/>
      <c r="K18" s="422"/>
      <c r="L18" s="422"/>
      <c r="M18" s="422"/>
      <c r="N18" s="422"/>
    </row>
    <row r="19" spans="1:36" s="421" customFormat="1" ht="18" x14ac:dyDescent="0.25">
      <c r="B19" s="422" t="s">
        <v>363</v>
      </c>
      <c r="C19" s="422"/>
      <c r="D19" s="422"/>
      <c r="E19" s="422"/>
      <c r="F19" s="422"/>
      <c r="G19" s="624" t="s">
        <v>364</v>
      </c>
      <c r="H19" s="646">
        <f>SPINTE!D21</f>
        <v>2.5554000000000001</v>
      </c>
      <c r="I19" s="422"/>
      <c r="J19" s="422"/>
      <c r="K19" s="422"/>
      <c r="L19" s="422"/>
      <c r="M19" s="422"/>
      <c r="N19" s="422"/>
    </row>
    <row r="20" spans="1:36" s="421" customFormat="1" ht="18" x14ac:dyDescent="0.25">
      <c r="B20" s="422" t="s">
        <v>365</v>
      </c>
      <c r="C20" s="422"/>
      <c r="D20" s="422"/>
      <c r="E20" s="422"/>
      <c r="F20" s="422"/>
      <c r="G20" s="624" t="s">
        <v>366</v>
      </c>
      <c r="H20" s="643">
        <f>SPINTE!D22</f>
        <v>2.3653</v>
      </c>
      <c r="I20" s="422"/>
      <c r="J20" s="422"/>
      <c r="K20" s="422"/>
      <c r="L20" s="422"/>
      <c r="M20" s="422"/>
      <c r="N20" s="422"/>
    </row>
    <row r="21" spans="1:36" s="421" customFormat="1" ht="18" x14ac:dyDescent="0.25">
      <c r="B21" s="422" t="s">
        <v>367</v>
      </c>
      <c r="C21" s="422"/>
      <c r="D21" s="422"/>
      <c r="E21" s="422"/>
      <c r="F21" s="422"/>
      <c r="G21" s="624" t="s">
        <v>368</v>
      </c>
      <c r="H21" s="647">
        <f>SPINTE!D23</f>
        <v>0.3468</v>
      </c>
      <c r="I21" s="422"/>
      <c r="J21" s="422"/>
      <c r="K21" s="422"/>
      <c r="L21" s="422"/>
      <c r="M21" s="422"/>
      <c r="N21" s="422"/>
    </row>
    <row r="22" spans="1:36" s="421" customFormat="1" x14ac:dyDescent="0.25">
      <c r="B22" s="422" t="s">
        <v>369</v>
      </c>
      <c r="C22" s="422"/>
      <c r="D22" s="422"/>
      <c r="E22" s="422"/>
      <c r="F22" s="422"/>
      <c r="G22" s="422"/>
      <c r="H22" s="643" t="str">
        <f>SPINTE!D24</f>
        <v>E</v>
      </c>
      <c r="I22" s="422"/>
      <c r="J22" s="422"/>
      <c r="K22" s="422"/>
      <c r="L22" s="422"/>
      <c r="M22" s="422"/>
      <c r="N22" s="422"/>
    </row>
    <row r="23" spans="1:36" s="421" customFormat="1" x14ac:dyDescent="0.25">
      <c r="B23" s="422" t="s">
        <v>370</v>
      </c>
      <c r="C23" s="422"/>
      <c r="D23" s="422"/>
      <c r="E23" s="422"/>
      <c r="F23" s="422"/>
      <c r="G23" s="422"/>
      <c r="H23" s="643" t="str">
        <f>SPINTE!D25</f>
        <v>T2</v>
      </c>
      <c r="I23" s="422"/>
      <c r="J23" s="422"/>
      <c r="K23" s="422"/>
      <c r="L23" s="422"/>
      <c r="M23" s="422"/>
      <c r="N23" s="422"/>
    </row>
    <row r="24" spans="1:36" s="421" customFormat="1" x14ac:dyDescent="0.25">
      <c r="B24" s="422" t="s">
        <v>782</v>
      </c>
      <c r="C24" s="422"/>
      <c r="D24" s="422"/>
      <c r="E24" s="422"/>
      <c r="F24" s="422"/>
      <c r="G24" s="376" t="s">
        <v>395</v>
      </c>
      <c r="H24" s="638">
        <f>SPINTE!D26</f>
        <v>0.31</v>
      </c>
      <c r="I24" s="422"/>
      <c r="J24" s="422"/>
      <c r="K24" s="422"/>
      <c r="L24" s="422"/>
      <c r="M24" s="422"/>
      <c r="N24" s="422"/>
    </row>
    <row r="25" spans="1:36" s="421" customFormat="1" x14ac:dyDescent="0.25">
      <c r="B25" s="422" t="s">
        <v>396</v>
      </c>
      <c r="C25" s="422"/>
      <c r="D25" s="422"/>
      <c r="E25" s="422"/>
      <c r="F25" s="422"/>
      <c r="G25" s="621" t="s">
        <v>281</v>
      </c>
      <c r="H25" s="638">
        <f>SPINTE!D27</f>
        <v>0.12815426831174012</v>
      </c>
      <c r="I25" s="422"/>
      <c r="J25" s="422"/>
      <c r="K25" s="422"/>
      <c r="L25" s="422"/>
      <c r="M25" s="422"/>
      <c r="N25" s="422"/>
    </row>
    <row r="26" spans="1:36" s="421" customFormat="1" x14ac:dyDescent="0.25">
      <c r="B26" s="422" t="s">
        <v>397</v>
      </c>
      <c r="C26" s="422"/>
      <c r="D26" s="422"/>
      <c r="E26" s="422"/>
      <c r="F26" s="422"/>
      <c r="G26" s="621" t="s">
        <v>282</v>
      </c>
      <c r="H26" s="638">
        <f>SPINTE!D28</f>
        <v>6.4077134155870061E-2</v>
      </c>
      <c r="I26" s="422"/>
      <c r="J26" s="422"/>
      <c r="K26" s="422"/>
      <c r="L26" s="422"/>
      <c r="M26" s="422"/>
      <c r="N26" s="422"/>
    </row>
    <row r="27" spans="1:36" s="421" customFormat="1" ht="21" x14ac:dyDescent="0.35">
      <c r="B27" s="416"/>
      <c r="C27" s="422"/>
      <c r="D27" s="422"/>
      <c r="E27" s="422"/>
      <c r="F27" s="422"/>
      <c r="G27" s="422"/>
      <c r="H27" s="422"/>
      <c r="I27" s="422"/>
      <c r="J27" s="422"/>
      <c r="K27" s="422"/>
      <c r="L27" s="422"/>
      <c r="M27" s="422"/>
      <c r="N27" s="422"/>
    </row>
    <row r="28" spans="1:36" ht="18.75" x14ac:dyDescent="0.3">
      <c r="A28" s="2"/>
      <c r="B28" s="429" t="s">
        <v>752</v>
      </c>
      <c r="C28" s="422"/>
      <c r="D28" s="422"/>
      <c r="E28" s="422"/>
      <c r="F28" s="422"/>
      <c r="G28" s="422"/>
      <c r="H28" s="422"/>
      <c r="I28" s="422"/>
      <c r="J28" s="422"/>
      <c r="K28" s="422"/>
      <c r="L28" s="422"/>
      <c r="M28" s="422"/>
      <c r="N28" s="422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</row>
    <row r="29" spans="1:36" ht="12.75" customHeight="1" x14ac:dyDescent="0.3">
      <c r="A29" s="2"/>
      <c r="B29" s="429"/>
      <c r="C29" s="422"/>
      <c r="D29" s="422"/>
      <c r="E29" s="422"/>
      <c r="F29" s="422"/>
      <c r="G29" s="422"/>
      <c r="H29" s="422"/>
      <c r="I29" s="422"/>
      <c r="J29" s="422"/>
      <c r="K29" s="422"/>
      <c r="L29" s="422"/>
      <c r="M29" s="422"/>
      <c r="N29" s="422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</row>
    <row r="30" spans="1:36" ht="15.75" x14ac:dyDescent="0.25">
      <c r="A30" s="2"/>
      <c r="B30" s="14" t="s">
        <v>753</v>
      </c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</row>
    <row r="31" spans="1:36" ht="18.75" x14ac:dyDescent="0.3">
      <c r="A31" s="2"/>
      <c r="B31" s="429"/>
      <c r="C31" s="422"/>
      <c r="D31" s="422"/>
      <c r="E31" s="422"/>
      <c r="F31" s="422"/>
      <c r="G31" s="422"/>
      <c r="H31" s="422"/>
      <c r="I31" s="422"/>
      <c r="J31" s="422"/>
      <c r="K31" s="422"/>
      <c r="L31" s="422"/>
      <c r="M31" s="422"/>
      <c r="N31" s="422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</row>
    <row r="32" spans="1:36" ht="15.75" x14ac:dyDescent="0.25">
      <c r="A32" s="2"/>
      <c r="B32" s="14"/>
      <c r="C32" s="422"/>
      <c r="D32" s="422"/>
      <c r="E32" s="422"/>
      <c r="F32" s="632"/>
      <c r="G32" s="632"/>
      <c r="H32" s="632"/>
      <c r="I32" s="422"/>
      <c r="J32" s="422"/>
      <c r="K32" s="422"/>
      <c r="L32" s="422"/>
      <c r="M32" s="422"/>
      <c r="N32" s="422"/>
      <c r="O32" s="154"/>
      <c r="P32" s="154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</row>
    <row r="33" spans="1:36" x14ac:dyDescent="0.25">
      <c r="A33" s="2"/>
      <c r="B33" s="758" t="s">
        <v>512</v>
      </c>
      <c r="C33" s="758"/>
      <c r="D33" s="422"/>
      <c r="E33" s="422"/>
      <c r="F33" s="632"/>
      <c r="G33" s="632"/>
      <c r="H33" s="632"/>
      <c r="I33" s="422"/>
      <c r="J33" s="422"/>
      <c r="K33" s="422"/>
      <c r="L33" s="422"/>
      <c r="M33" s="422"/>
      <c r="N33" s="422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</row>
    <row r="34" spans="1:36" x14ac:dyDescent="0.25">
      <c r="A34" s="2"/>
      <c r="B34" s="422"/>
      <c r="C34" s="422"/>
      <c r="D34" s="624"/>
      <c r="E34" s="624"/>
      <c r="F34" s="624"/>
      <c r="G34" s="624"/>
      <c r="H34" s="632"/>
      <c r="I34" s="422"/>
      <c r="J34" s="422"/>
      <c r="K34" s="422"/>
      <c r="L34" s="422"/>
      <c r="M34" s="422"/>
      <c r="N34" s="422"/>
      <c r="P34" s="133"/>
      <c r="Q34" s="133"/>
      <c r="R34" s="398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</row>
    <row r="35" spans="1:36" x14ac:dyDescent="0.25">
      <c r="A35" s="2"/>
      <c r="B35" s="759" t="s">
        <v>174</v>
      </c>
      <c r="C35" s="760">
        <f>'geom masse muro+tensioni'!H16</f>
        <v>7.0916868799999992</v>
      </c>
      <c r="D35" s="3"/>
      <c r="E35" s="3"/>
      <c r="F35" s="3"/>
      <c r="G35" s="3"/>
      <c r="H35" s="632"/>
      <c r="I35" s="422"/>
      <c r="J35" s="422"/>
      <c r="K35" s="422"/>
      <c r="L35" s="422"/>
      <c r="M35" s="422"/>
      <c r="N35" s="422"/>
      <c r="P35" s="399"/>
      <c r="Q35" s="399"/>
      <c r="R35" s="15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</row>
    <row r="36" spans="1:36" x14ac:dyDescent="0.25">
      <c r="A36" s="2"/>
      <c r="B36" s="761" t="s">
        <v>513</v>
      </c>
      <c r="C36" s="353">
        <f>C35*DATI!$E$8</f>
        <v>177.29217199999999</v>
      </c>
      <c r="D36" s="758"/>
      <c r="E36" s="3"/>
      <c r="F36" s="3"/>
      <c r="G36" s="3"/>
      <c r="H36" s="632"/>
      <c r="I36" s="422"/>
      <c r="J36" s="422"/>
      <c r="K36" s="422"/>
      <c r="L36" s="422"/>
      <c r="M36" s="422"/>
      <c r="N36" s="422"/>
      <c r="P36" s="31"/>
      <c r="Q36" s="31"/>
      <c r="R36" s="15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</row>
    <row r="37" spans="1:36" x14ac:dyDescent="0.25">
      <c r="A37" s="2"/>
      <c r="B37" s="762" t="s">
        <v>514</v>
      </c>
      <c r="C37" s="763">
        <f>DATI!E60+DATI!E74+DATI!E84+DATI!E89</f>
        <v>5.6</v>
      </c>
      <c r="D37" s="422"/>
      <c r="E37" s="3"/>
      <c r="F37" s="3"/>
      <c r="G37" s="3"/>
      <c r="H37" s="632"/>
      <c r="I37" s="422"/>
      <c r="J37" s="422"/>
      <c r="K37" s="422"/>
      <c r="L37" s="422"/>
      <c r="M37" s="422"/>
      <c r="N37" s="422"/>
      <c r="P37" s="31"/>
      <c r="Q37" s="31"/>
      <c r="R37" s="15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</row>
    <row r="38" spans="1:36" x14ac:dyDescent="0.25">
      <c r="A38" s="2"/>
      <c r="B38" s="762" t="s">
        <v>73</v>
      </c>
      <c r="C38" s="764">
        <f>'geom masse muro+tensioni'!L16+DATI!E75</f>
        <v>1.6326655274280244</v>
      </c>
      <c r="D38" s="422"/>
      <c r="E38" s="3"/>
      <c r="F38" s="3"/>
      <c r="G38" s="3"/>
      <c r="H38" s="632"/>
      <c r="I38" s="422"/>
      <c r="J38" s="422"/>
      <c r="K38" s="422"/>
      <c r="L38" s="422"/>
      <c r="M38" s="422"/>
      <c r="N38" s="422"/>
      <c r="P38" s="31"/>
      <c r="Q38" s="31"/>
      <c r="R38" s="15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</row>
    <row r="39" spans="1:36" x14ac:dyDescent="0.25">
      <c r="A39" s="2"/>
      <c r="B39" s="762" t="s">
        <v>74</v>
      </c>
      <c r="C39" s="764">
        <f>'geom masse muro+tensioni'!M16</f>
        <v>0</v>
      </c>
      <c r="D39" s="422"/>
      <c r="E39" s="3"/>
      <c r="F39" s="3"/>
      <c r="G39" s="3"/>
      <c r="H39" s="632"/>
      <c r="I39" s="422"/>
      <c r="J39" s="422"/>
      <c r="K39" s="422"/>
      <c r="L39" s="422"/>
      <c r="M39" s="422"/>
      <c r="N39" s="422"/>
      <c r="P39" s="31"/>
      <c r="Q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</row>
    <row r="40" spans="1:36" x14ac:dyDescent="0.25">
      <c r="A40" s="2"/>
      <c r="B40" s="762" t="s">
        <v>75</v>
      </c>
      <c r="C40" s="764">
        <f>'geom masse muro+tensioni'!N16+DATI!E74+DATI!E60</f>
        <v>0.81324289489780677</v>
      </c>
      <c r="D40" s="422"/>
      <c r="E40" s="85"/>
      <c r="F40" s="86"/>
      <c r="G40" s="86"/>
      <c r="H40" s="422"/>
      <c r="I40" s="422"/>
      <c r="J40" s="422"/>
      <c r="K40" s="422"/>
      <c r="L40" s="422"/>
      <c r="M40" s="744"/>
      <c r="N40" s="422"/>
      <c r="P40" s="31"/>
      <c r="Q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</row>
    <row r="41" spans="1:36" x14ac:dyDescent="0.25">
      <c r="A41" s="2"/>
      <c r="B41" s="422"/>
      <c r="C41" s="422"/>
      <c r="D41" s="422"/>
      <c r="E41" s="422"/>
      <c r="F41" s="632"/>
      <c r="G41" s="632"/>
      <c r="H41" s="422"/>
      <c r="I41" s="422"/>
      <c r="J41" s="422"/>
      <c r="K41" s="422"/>
      <c r="L41" s="422"/>
      <c r="M41" s="422"/>
      <c r="N41" s="422"/>
      <c r="P41" s="126"/>
      <c r="Q41" s="126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</row>
    <row r="42" spans="1:36" x14ac:dyDescent="0.25">
      <c r="A42" s="2"/>
      <c r="B42" s="422"/>
      <c r="C42" s="422"/>
      <c r="D42" s="422"/>
      <c r="E42" s="422"/>
      <c r="F42" s="164"/>
      <c r="G42" s="164"/>
      <c r="H42" s="632"/>
      <c r="I42" s="422"/>
      <c r="J42" s="422"/>
      <c r="K42" s="422"/>
      <c r="L42" s="422"/>
      <c r="M42" s="422"/>
      <c r="N42" s="422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</row>
    <row r="43" spans="1:36" x14ac:dyDescent="0.25">
      <c r="A43" s="2"/>
      <c r="B43" s="422"/>
      <c r="C43" s="422"/>
      <c r="D43" s="422"/>
      <c r="E43" s="422"/>
      <c r="F43" s="422"/>
      <c r="G43" s="422"/>
      <c r="H43" s="422"/>
      <c r="I43" s="422"/>
      <c r="J43" s="422"/>
      <c r="K43" s="422"/>
      <c r="L43" s="422"/>
      <c r="M43" s="422"/>
      <c r="N43" s="422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</row>
    <row r="44" spans="1:36" x14ac:dyDescent="0.25">
      <c r="A44" s="2"/>
      <c r="B44" s="766"/>
      <c r="C44" s="767"/>
      <c r="D44" s="422"/>
      <c r="E44" s="422"/>
      <c r="F44" s="422"/>
      <c r="G44" s="422"/>
      <c r="H44" s="422"/>
      <c r="I44" s="422"/>
      <c r="J44" s="422"/>
      <c r="K44" s="422"/>
      <c r="L44" s="422"/>
      <c r="M44" s="422"/>
      <c r="N44" s="422"/>
      <c r="R44" s="15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</row>
    <row r="45" spans="1:36" x14ac:dyDescent="0.25">
      <c r="A45" s="2"/>
      <c r="B45" s="422"/>
      <c r="C45" s="422"/>
      <c r="D45" s="422"/>
      <c r="E45" s="422"/>
      <c r="F45" s="422"/>
      <c r="G45" s="422"/>
      <c r="H45" s="422"/>
      <c r="I45" s="422"/>
      <c r="J45" s="422"/>
      <c r="K45" s="422"/>
      <c r="L45" s="422"/>
      <c r="M45" s="422"/>
      <c r="N45" s="422"/>
      <c r="R45" s="154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</row>
    <row r="46" spans="1:36" x14ac:dyDescent="0.25">
      <c r="A46" s="2"/>
      <c r="B46" s="889" t="s">
        <v>515</v>
      </c>
      <c r="C46" s="197" t="s">
        <v>516</v>
      </c>
      <c r="D46" s="422"/>
      <c r="E46" s="422"/>
      <c r="F46" s="422"/>
      <c r="G46" s="422"/>
      <c r="H46" s="422"/>
      <c r="I46" s="422"/>
      <c r="J46" s="422"/>
      <c r="K46" s="422"/>
      <c r="L46" s="422"/>
      <c r="M46" s="422"/>
      <c r="N46" s="422"/>
      <c r="R46" s="154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</row>
    <row r="47" spans="1:36" x14ac:dyDescent="0.25">
      <c r="A47" s="2"/>
      <c r="B47" s="889"/>
      <c r="C47" s="196">
        <f>C36</f>
        <v>177.29217199999999</v>
      </c>
      <c r="D47" s="422"/>
      <c r="E47" s="422"/>
      <c r="F47" s="422"/>
      <c r="G47" s="422"/>
      <c r="H47" s="422"/>
      <c r="I47" s="422"/>
      <c r="J47" s="422"/>
      <c r="K47" s="422"/>
      <c r="L47" s="422"/>
      <c r="M47" s="422"/>
      <c r="N47" s="422"/>
      <c r="R47" s="154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</row>
    <row r="48" spans="1:36" ht="18" x14ac:dyDescent="0.25">
      <c r="A48" s="2"/>
      <c r="B48" s="942" t="s">
        <v>517</v>
      </c>
      <c r="C48" s="90" t="s">
        <v>518</v>
      </c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R48" s="154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</row>
    <row r="49" spans="1:36" x14ac:dyDescent="0.25">
      <c r="A49" s="2"/>
      <c r="B49" s="942"/>
      <c r="C49" s="198">
        <f>IF(DATI!G211="DX",C38,DATI!E75+'FOGLIO DEPOSITO'!D212+'FOGLIO DEPOSITO'!D211-'VER. EQU COND. DRENATE'!C38)</f>
        <v>1.6326655274280244</v>
      </c>
      <c r="D49" s="422"/>
      <c r="E49" s="422"/>
      <c r="F49" s="422"/>
      <c r="G49" s="422"/>
      <c r="H49" s="422"/>
      <c r="I49" s="422"/>
      <c r="J49" s="422"/>
      <c r="K49" s="422"/>
      <c r="L49" s="422"/>
      <c r="M49" s="744"/>
      <c r="N49" s="422"/>
      <c r="R49" s="154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</row>
    <row r="50" spans="1:36" x14ac:dyDescent="0.25">
      <c r="A50" s="2"/>
      <c r="B50" s="422"/>
      <c r="C50" s="422"/>
      <c r="D50" s="422"/>
      <c r="E50" s="422"/>
      <c r="F50" s="422"/>
      <c r="G50" s="422"/>
      <c r="H50" s="422"/>
      <c r="I50" s="422"/>
      <c r="J50" s="422"/>
      <c r="K50" s="422"/>
      <c r="L50" s="422"/>
      <c r="M50" s="422"/>
      <c r="N50" s="422"/>
      <c r="R50" s="154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</row>
    <row r="51" spans="1:36" x14ac:dyDescent="0.25">
      <c r="A51" s="2"/>
      <c r="B51" s="422"/>
      <c r="C51" s="422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R51" s="154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</row>
    <row r="52" spans="1:36" x14ac:dyDescent="0.25">
      <c r="A52" s="2"/>
      <c r="B52" s="422"/>
      <c r="C52" s="422"/>
      <c r="D52" s="422"/>
      <c r="E52" s="422"/>
      <c r="F52" s="422"/>
      <c r="G52" s="422"/>
      <c r="H52" s="422"/>
      <c r="I52" s="422"/>
      <c r="J52" s="422"/>
      <c r="K52" s="422"/>
      <c r="L52" s="422"/>
      <c r="M52" s="422"/>
      <c r="N52" s="422"/>
      <c r="R52" s="154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</row>
    <row r="53" spans="1:36" x14ac:dyDescent="0.25">
      <c r="A53" s="2"/>
      <c r="B53" s="422"/>
      <c r="C53" s="422"/>
      <c r="D53" s="422"/>
      <c r="E53" s="422"/>
      <c r="F53" s="422"/>
      <c r="G53" s="422"/>
      <c r="H53" s="422"/>
      <c r="I53" s="422"/>
      <c r="J53" s="422"/>
      <c r="K53" s="422"/>
      <c r="L53" s="422"/>
      <c r="M53" s="422"/>
      <c r="N53" s="422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</row>
    <row r="54" spans="1:36" x14ac:dyDescent="0.25">
      <c r="A54" s="2"/>
      <c r="B54" s="422"/>
      <c r="C54" s="422"/>
      <c r="D54" s="422"/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R54" s="154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</row>
    <row r="55" spans="1:36" x14ac:dyDescent="0.25">
      <c r="A55" s="2"/>
      <c r="B55" s="422"/>
      <c r="C55" s="422"/>
      <c r="D55" s="422"/>
      <c r="E55" s="422"/>
      <c r="F55" s="422"/>
      <c r="G55" s="422"/>
      <c r="H55" s="422"/>
      <c r="I55" s="422"/>
      <c r="J55" s="422"/>
      <c r="K55" s="422"/>
      <c r="L55" s="422"/>
      <c r="M55" s="422"/>
      <c r="N55" s="422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</row>
    <row r="56" spans="1:36" x14ac:dyDescent="0.25">
      <c r="A56" s="2"/>
      <c r="B56" s="422"/>
      <c r="C56" s="422"/>
      <c r="D56" s="422"/>
      <c r="E56" s="422"/>
      <c r="F56" s="422"/>
      <c r="G56" s="422"/>
      <c r="H56" s="422"/>
      <c r="I56" s="422"/>
      <c r="J56" s="422"/>
      <c r="K56" s="422"/>
      <c r="L56" s="422"/>
      <c r="M56" s="422"/>
      <c r="N56" s="422"/>
      <c r="R56" s="154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</row>
    <row r="57" spans="1:36" x14ac:dyDescent="0.25">
      <c r="A57" s="2"/>
      <c r="B57" s="422"/>
      <c r="C57" s="422"/>
      <c r="D57" s="422"/>
      <c r="E57" s="422"/>
      <c r="F57" s="422"/>
      <c r="G57" s="422"/>
      <c r="H57" s="422"/>
      <c r="I57" s="422"/>
      <c r="J57" s="422"/>
      <c r="K57" s="422"/>
      <c r="L57" s="422"/>
      <c r="M57" s="422"/>
      <c r="N57" s="422"/>
      <c r="R57" s="154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</row>
    <row r="58" spans="1:36" ht="21" customHeight="1" x14ac:dyDescent="0.25">
      <c r="A58" s="2"/>
      <c r="B58" s="422"/>
      <c r="C58" s="422"/>
      <c r="D58" s="422"/>
      <c r="E58" s="422"/>
      <c r="F58" s="422"/>
      <c r="G58" s="422"/>
      <c r="H58" s="422"/>
      <c r="I58" s="422"/>
      <c r="J58" s="422"/>
      <c r="K58" s="422"/>
      <c r="L58" s="422"/>
      <c r="M58" s="744"/>
      <c r="N58" s="422"/>
      <c r="R58" s="154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</row>
    <row r="59" spans="1:36" x14ac:dyDescent="0.25">
      <c r="A59" s="2"/>
      <c r="B59" s="87"/>
      <c r="C59" s="88"/>
      <c r="D59" s="422"/>
      <c r="E59" s="422"/>
      <c r="F59" s="422"/>
      <c r="G59" s="422"/>
      <c r="H59" s="422"/>
      <c r="I59" s="422"/>
      <c r="J59" s="430"/>
      <c r="K59" s="430"/>
      <c r="L59" s="422"/>
      <c r="M59" s="768"/>
      <c r="N59" s="768"/>
      <c r="O59" s="50"/>
      <c r="P59" s="50"/>
      <c r="Q59" s="50"/>
      <c r="R59" s="49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</row>
    <row r="60" spans="1:36" x14ac:dyDescent="0.25">
      <c r="A60" s="2"/>
      <c r="B60" s="422"/>
      <c r="C60" s="422"/>
      <c r="D60" s="761" t="s">
        <v>184</v>
      </c>
      <c r="E60" s="761" t="s">
        <v>174</v>
      </c>
      <c r="F60" s="761" t="s">
        <v>513</v>
      </c>
      <c r="G60" s="770" t="s">
        <v>73</v>
      </c>
      <c r="H60" s="770" t="s">
        <v>74</v>
      </c>
      <c r="I60" s="770" t="s">
        <v>75</v>
      </c>
      <c r="J60" s="430"/>
      <c r="K60" s="430"/>
      <c r="L60" s="422"/>
      <c r="M60" s="768"/>
      <c r="N60" s="768"/>
      <c r="O60" s="50"/>
      <c r="P60" s="50"/>
      <c r="Q60" s="50"/>
      <c r="R60" s="49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</row>
    <row r="61" spans="1:36" ht="15.75" customHeight="1" x14ac:dyDescent="0.25">
      <c r="A61" s="2"/>
      <c r="B61" s="943" t="s">
        <v>1015</v>
      </c>
      <c r="C61" s="943"/>
      <c r="D61" s="763">
        <f>DATI!E89</f>
        <v>0.2</v>
      </c>
      <c r="E61" s="760">
        <f>'geom masse muro+tensioni'!H5</f>
        <v>0.06</v>
      </c>
      <c r="F61" s="353">
        <f>E61*DATI!$E$8</f>
        <v>1.5</v>
      </c>
      <c r="G61" s="763">
        <f>IF(DATI!E89=0,"",'geom masse muro+tensioni'!L5+DATI!E75)</f>
        <v>0.71</v>
      </c>
      <c r="H61" s="763">
        <f>IF(DATI!E89=0,"",'geom masse muro+tensioni'!LM5)</f>
        <v>0</v>
      </c>
      <c r="I61" s="763">
        <f>IF(DATI!E89=0,"",'geom masse muro+tensioni'!N5+DATI!E74+DATI!E60)</f>
        <v>4.8999999999999995</v>
      </c>
      <c r="J61" s="422"/>
      <c r="K61" s="422"/>
      <c r="L61" s="422"/>
      <c r="M61" s="422"/>
      <c r="N61" s="422"/>
      <c r="T61" s="156"/>
      <c r="W61" s="31"/>
      <c r="X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</row>
    <row r="62" spans="1:36" ht="15.75" customHeight="1" x14ac:dyDescent="0.25">
      <c r="A62" s="2"/>
      <c r="B62" s="943" t="s">
        <v>519</v>
      </c>
      <c r="C62" s="943"/>
      <c r="D62" s="763">
        <f>DATI!E60</f>
        <v>4.3</v>
      </c>
      <c r="E62" s="760">
        <f>'geom masse muro+tensioni'!H9</f>
        <v>1.8816868799999997</v>
      </c>
      <c r="F62" s="353">
        <f>E62*DATI!$E$8</f>
        <v>47.042171999999994</v>
      </c>
      <c r="G62" s="763">
        <f>'geom masse muro+tensioni'!L9+DATI!E75</f>
        <v>0.80818584454901443</v>
      </c>
      <c r="H62" s="763">
        <f>'geom masse muro+tensioni'!M9</f>
        <v>0</v>
      </c>
      <c r="I62" s="763">
        <f>'geom masse muro+tensioni'!N9+DATI!E74+DATI!E60</f>
        <v>2.4875360601972201</v>
      </c>
      <c r="J62" s="422"/>
      <c r="K62" s="422"/>
      <c r="L62" s="422"/>
      <c r="M62" s="422"/>
      <c r="N62" s="422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</row>
    <row r="63" spans="1:36" ht="15.75" customHeight="1" x14ac:dyDescent="0.25">
      <c r="A63" s="2"/>
      <c r="B63" s="943" t="s">
        <v>520</v>
      </c>
      <c r="C63" s="943"/>
      <c r="D63" s="763">
        <f>DATI!E74</f>
        <v>0.5</v>
      </c>
      <c r="E63" s="760">
        <f>'geom masse muro+tensioni'!H13</f>
        <v>4.25</v>
      </c>
      <c r="F63" s="353">
        <f>E63*DATI!$E$8</f>
        <v>106.25</v>
      </c>
      <c r="G63" s="763">
        <f>'geom masse muro+tensioni'!L13+DATI!E75</f>
        <v>1.7000000000000002</v>
      </c>
      <c r="H63" s="763">
        <f>'geom masse muro+tensioni'!M13</f>
        <v>0</v>
      </c>
      <c r="I63" s="763">
        <f>'geom masse muro+tensioni'!N13+DATI!E74+DATI!E60</f>
        <v>0.25</v>
      </c>
      <c r="J63" s="422"/>
      <c r="K63" s="422"/>
      <c r="L63" s="422"/>
      <c r="M63" s="422"/>
      <c r="N63" s="422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</row>
    <row r="64" spans="1:36" ht="15.75" customHeight="1" x14ac:dyDescent="0.25">
      <c r="A64" s="2"/>
      <c r="B64" s="943" t="s">
        <v>521</v>
      </c>
      <c r="C64" s="943"/>
      <c r="D64" s="763">
        <f>DATI!E82</f>
        <v>0.6</v>
      </c>
      <c r="E64" s="760">
        <f>'geom masse muro+tensioni'!H15</f>
        <v>0.89999999999999991</v>
      </c>
      <c r="F64" s="353">
        <f>E64*DATI!$E$8</f>
        <v>22.499999999999996</v>
      </c>
      <c r="G64" s="763">
        <f>IF(DATI!E84=0,"",'geom masse muro+tensioni'!LL15+DATI!E75)</f>
        <v>0.65</v>
      </c>
      <c r="H64" s="763">
        <f>IF(DATI!E84=0,"",'geom masse muro+tensioni'!M15)</f>
        <v>0</v>
      </c>
      <c r="I64" s="763">
        <f>IF(DATI!E84=0,"",'geom masse muro+tensioni'!N15+DATI!E74+DATI!E60)</f>
        <v>-0.29999999999999982</v>
      </c>
      <c r="J64" s="422"/>
      <c r="K64" s="422"/>
      <c r="L64" s="422"/>
      <c r="M64" s="422"/>
      <c r="N64" s="422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</row>
    <row r="65" spans="1:36" x14ac:dyDescent="0.25">
      <c r="A65" s="2"/>
      <c r="B65" s="119"/>
      <c r="C65" s="119"/>
      <c r="D65" s="767"/>
      <c r="E65" s="771"/>
      <c r="F65" s="651"/>
      <c r="G65" s="767"/>
      <c r="H65" s="767"/>
      <c r="I65" s="767"/>
      <c r="J65" s="422"/>
      <c r="K65" s="422"/>
      <c r="L65" s="422"/>
      <c r="M65" s="422"/>
      <c r="N65" s="422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</row>
    <row r="66" spans="1:36" ht="15.75" x14ac:dyDescent="0.25">
      <c r="A66" s="2"/>
      <c r="B66" s="14" t="s">
        <v>754</v>
      </c>
      <c r="C66" s="119"/>
      <c r="D66" s="767"/>
      <c r="E66" s="771"/>
      <c r="F66" s="651"/>
      <c r="G66" s="767"/>
      <c r="H66" s="767"/>
      <c r="I66" s="767"/>
      <c r="J66" s="422"/>
      <c r="K66" s="422"/>
      <c r="L66" s="422"/>
      <c r="M66" s="422"/>
      <c r="N66" s="422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</row>
    <row r="67" spans="1:36" ht="15.75" x14ac:dyDescent="0.25">
      <c r="A67" s="2"/>
      <c r="B67" s="14"/>
      <c r="C67" s="119"/>
      <c r="D67" s="767"/>
      <c r="E67" s="771"/>
      <c r="F67" s="651"/>
      <c r="G67" s="767"/>
      <c r="H67" s="767"/>
      <c r="I67" s="767"/>
      <c r="J67" s="422"/>
      <c r="K67" s="422"/>
      <c r="L67" s="422"/>
      <c r="M67" s="422"/>
      <c r="N67" s="422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</row>
    <row r="68" spans="1:36" ht="15.75" x14ac:dyDescent="0.25">
      <c r="A68" s="2"/>
      <c r="B68" s="14"/>
      <c r="C68" s="119"/>
      <c r="D68" s="767"/>
      <c r="E68" s="771"/>
      <c r="F68" s="651"/>
      <c r="G68" s="767"/>
      <c r="H68" s="767"/>
      <c r="I68" s="767"/>
      <c r="J68" s="437"/>
      <c r="K68" s="422"/>
      <c r="L68" s="422"/>
      <c r="M68" s="422"/>
      <c r="N68" s="422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</row>
    <row r="69" spans="1:36" ht="15.75" x14ac:dyDescent="0.25">
      <c r="A69" s="2"/>
      <c r="B69" s="14"/>
      <c r="C69" s="119"/>
      <c r="D69" s="767"/>
      <c r="E69" s="771"/>
      <c r="F69" s="651"/>
      <c r="G69" s="767"/>
      <c r="H69" s="767"/>
      <c r="I69" s="767"/>
      <c r="J69" s="437"/>
      <c r="K69" s="422"/>
      <c r="L69" s="422"/>
      <c r="M69" s="422"/>
      <c r="N69" s="422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</row>
    <row r="70" spans="1:36" ht="18" x14ac:dyDescent="0.25">
      <c r="A70" s="2"/>
      <c r="B70" s="942" t="s">
        <v>522</v>
      </c>
      <c r="C70" s="89" t="s">
        <v>523</v>
      </c>
      <c r="D70" s="767"/>
      <c r="E70" s="771"/>
      <c r="F70" s="651"/>
      <c r="G70" s="767"/>
      <c r="H70" s="767"/>
      <c r="I70" s="767"/>
      <c r="J70" s="437"/>
      <c r="K70" s="422"/>
      <c r="L70" s="422"/>
      <c r="M70" s="422"/>
      <c r="N70" s="422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</row>
    <row r="71" spans="1:36" x14ac:dyDescent="0.25">
      <c r="A71" s="2"/>
      <c r="B71" s="942"/>
      <c r="C71" s="196">
        <f>IF(DATI!C69="muro a contrafforti",('geom masse muro+tensioni'!H22-'geom masse muro+tensioni'!H9)*'geom masse muro+tensioni'!Q32,'geom masse muro+tensioni'!H22*'geom masse muro+tensioni'!Q32)</f>
        <v>510.2311280694592</v>
      </c>
      <c r="D71" s="767"/>
      <c r="E71" s="771"/>
      <c r="F71" s="651"/>
      <c r="G71" s="767"/>
      <c r="H71" s="767"/>
      <c r="I71" s="767"/>
      <c r="J71" s="437"/>
      <c r="K71" s="422"/>
      <c r="L71" s="422"/>
      <c r="M71" s="422"/>
      <c r="N71" s="422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</row>
    <row r="72" spans="1:36" ht="18" x14ac:dyDescent="0.25">
      <c r="A72" s="2"/>
      <c r="B72" s="942" t="s">
        <v>524</v>
      </c>
      <c r="C72" s="90" t="s">
        <v>525</v>
      </c>
      <c r="D72" s="767"/>
      <c r="E72" s="771"/>
      <c r="F72" s="651"/>
      <c r="G72" s="767"/>
      <c r="H72" s="767"/>
      <c r="I72" s="767"/>
      <c r="J72" s="437"/>
      <c r="K72" s="422"/>
      <c r="L72" s="422"/>
      <c r="M72" s="422"/>
      <c r="N72" s="422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</row>
    <row r="73" spans="1:36" x14ac:dyDescent="0.25">
      <c r="A73" s="2"/>
      <c r="B73" s="942"/>
      <c r="C73" s="198">
        <f>IF(DATI!G211="DX",C84,DATI!E75+'FOGLIO DEPOSITO'!D212+'FOGLIO DEPOSITO'!D211-'VER. EQU COND. DRENATE'!C84)</f>
        <v>2.0483562999253735</v>
      </c>
      <c r="D73" s="767"/>
      <c r="E73" s="771"/>
      <c r="F73" s="651"/>
      <c r="G73" s="767"/>
      <c r="H73" s="767"/>
      <c r="I73" s="767"/>
      <c r="J73" s="437"/>
      <c r="K73" s="422"/>
      <c r="L73" s="422"/>
      <c r="M73" s="422"/>
      <c r="N73" s="422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</row>
    <row r="74" spans="1:36" x14ac:dyDescent="0.25">
      <c r="A74" s="2"/>
      <c r="B74" s="942" t="s">
        <v>526</v>
      </c>
      <c r="C74" s="772" t="s">
        <v>527</v>
      </c>
      <c r="D74" s="767"/>
      <c r="E74" s="771"/>
      <c r="F74" s="651"/>
      <c r="G74" s="767"/>
      <c r="H74" s="767"/>
      <c r="I74" s="767"/>
      <c r="J74" s="437"/>
      <c r="K74" s="422"/>
      <c r="L74" s="422"/>
      <c r="M74" s="422"/>
      <c r="N74" s="422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</row>
    <row r="75" spans="1:36" x14ac:dyDescent="0.25">
      <c r="A75" s="2"/>
      <c r="B75" s="942"/>
      <c r="C75" s="773">
        <f>'geom masse muro+tensioni'!Q32</f>
        <v>18</v>
      </c>
      <c r="D75" s="767"/>
      <c r="E75" s="771"/>
      <c r="F75" s="651"/>
      <c r="G75" s="767"/>
      <c r="H75" s="767"/>
      <c r="I75" s="767"/>
      <c r="J75" s="437"/>
      <c r="K75" s="422"/>
      <c r="L75" s="422"/>
      <c r="M75" s="422"/>
      <c r="N75" s="422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</row>
    <row r="76" spans="1:36" ht="15.75" x14ac:dyDescent="0.25">
      <c r="A76" s="2"/>
      <c r="B76" s="345" t="str">
        <f>IF(DATI!C69="muro a contrafforti","viene sottratto il volume dei contrafforti","")</f>
        <v>viene sottratto il volume dei contrafforti</v>
      </c>
      <c r="C76" s="119"/>
      <c r="D76" s="767"/>
      <c r="E76" s="771"/>
      <c r="F76" s="651"/>
      <c r="G76" s="767"/>
      <c r="H76" s="767"/>
      <c r="I76" s="767"/>
      <c r="J76" s="437"/>
      <c r="K76" s="422"/>
      <c r="L76" s="422"/>
      <c r="M76" s="422"/>
      <c r="N76" s="422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</row>
    <row r="77" spans="1:36" x14ac:dyDescent="0.25">
      <c r="A77" s="2"/>
      <c r="B77" s="422"/>
      <c r="C77" s="422"/>
      <c r="D77" s="767"/>
      <c r="E77" s="771"/>
      <c r="F77" s="651"/>
      <c r="G77" s="767"/>
      <c r="H77" s="767"/>
      <c r="I77" s="767"/>
      <c r="J77" s="437"/>
      <c r="K77" s="422"/>
      <c r="L77" s="422"/>
      <c r="M77" s="422"/>
      <c r="N77" s="422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</row>
    <row r="78" spans="1:36" x14ac:dyDescent="0.25">
      <c r="A78" s="2"/>
      <c r="B78" s="898" t="s">
        <v>528</v>
      </c>
      <c r="C78" s="898"/>
      <c r="D78" s="767"/>
      <c r="E78" s="771"/>
      <c r="F78" s="651"/>
      <c r="G78" s="767"/>
      <c r="H78" s="767"/>
      <c r="I78" s="767"/>
      <c r="J78" s="437"/>
      <c r="K78" s="422"/>
      <c r="L78" s="422"/>
      <c r="M78" s="422"/>
      <c r="N78" s="422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</row>
    <row r="79" spans="1:36" x14ac:dyDescent="0.25">
      <c r="A79" s="2"/>
      <c r="B79" s="623" t="s">
        <v>529</v>
      </c>
      <c r="C79" s="535">
        <f>'geom masse muro+tensioni'!L34+DATI!E75</f>
        <v>1.9461947151714729</v>
      </c>
      <c r="D79" s="767"/>
      <c r="E79" s="771"/>
      <c r="F79" s="651"/>
      <c r="G79" s="767"/>
      <c r="H79" s="767"/>
      <c r="I79" s="767"/>
      <c r="J79" s="437"/>
      <c r="K79" s="422"/>
      <c r="L79" s="422"/>
      <c r="M79" s="422"/>
      <c r="N79" s="422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</row>
    <row r="80" spans="1:36" x14ac:dyDescent="0.25">
      <c r="A80" s="2"/>
      <c r="B80" s="623" t="s">
        <v>530</v>
      </c>
      <c r="C80" s="535">
        <f>0</f>
        <v>0</v>
      </c>
      <c r="D80" s="767"/>
      <c r="E80" s="771"/>
      <c r="F80" s="651"/>
      <c r="G80" s="767"/>
      <c r="H80" s="767"/>
      <c r="I80" s="767"/>
      <c r="J80" s="437"/>
      <c r="K80" s="437"/>
      <c r="L80" s="437"/>
      <c r="M80" s="437"/>
      <c r="N80" s="422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</row>
    <row r="81" spans="1:36" x14ac:dyDescent="0.25">
      <c r="A81" s="2"/>
      <c r="B81" s="623" t="s">
        <v>531</v>
      </c>
      <c r="C81" s="535">
        <f>DATI!E60+DATI!E74+'geom masse muro+tensioni'!N34</f>
        <v>2.2165813430007493</v>
      </c>
      <c r="D81" s="767"/>
      <c r="E81" s="771"/>
      <c r="F81" s="651"/>
      <c r="G81" s="767"/>
      <c r="H81" s="767"/>
      <c r="I81" s="767"/>
      <c r="J81" s="437"/>
      <c r="K81" s="437"/>
      <c r="L81" s="437"/>
      <c r="M81" s="437"/>
      <c r="N81" s="422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</row>
    <row r="82" spans="1:36" x14ac:dyDescent="0.25">
      <c r="A82" s="2"/>
      <c r="B82" s="632"/>
      <c r="C82" s="123"/>
      <c r="D82" s="767"/>
      <c r="E82" s="771"/>
      <c r="F82" s="651"/>
      <c r="G82" s="767"/>
      <c r="H82" s="767"/>
      <c r="I82" s="767"/>
      <c r="J82" s="437"/>
      <c r="K82" s="676"/>
      <c r="L82" s="437"/>
      <c r="M82" s="437"/>
      <c r="N82" s="422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</row>
    <row r="83" spans="1:36" x14ac:dyDescent="0.25">
      <c r="A83" s="2"/>
      <c r="B83" s="946" t="s">
        <v>532</v>
      </c>
      <c r="C83" s="946"/>
      <c r="D83" s="767"/>
      <c r="E83" s="771"/>
      <c r="F83" s="651"/>
      <c r="G83" s="767"/>
      <c r="H83" s="767"/>
      <c r="I83" s="767"/>
      <c r="J83" s="437"/>
      <c r="K83" s="437"/>
      <c r="L83" s="437"/>
      <c r="M83" s="437"/>
      <c r="N83" s="422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</row>
    <row r="84" spans="1:36" x14ac:dyDescent="0.25">
      <c r="A84" s="2"/>
      <c r="B84" s="623" t="s">
        <v>533</v>
      </c>
      <c r="C84" s="535">
        <f>'geom masse muro+tensioni'!L22+DATI!E75</f>
        <v>2.0483562999253735</v>
      </c>
      <c r="D84" s="767"/>
      <c r="E84" s="771"/>
      <c r="F84" s="651"/>
      <c r="G84" s="767"/>
      <c r="H84" s="767"/>
      <c r="I84" s="767"/>
      <c r="J84" s="437"/>
      <c r="K84" s="422"/>
      <c r="L84" s="422"/>
      <c r="M84" s="422"/>
      <c r="N84" s="422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</row>
    <row r="85" spans="1:36" x14ac:dyDescent="0.25">
      <c r="A85" s="2"/>
      <c r="B85" s="623" t="s">
        <v>534</v>
      </c>
      <c r="C85" s="535">
        <f>0</f>
        <v>0</v>
      </c>
      <c r="D85" s="767"/>
      <c r="E85" s="771"/>
      <c r="F85" s="651"/>
      <c r="G85" s="767"/>
      <c r="H85" s="767"/>
      <c r="I85" s="767"/>
      <c r="J85" s="437"/>
      <c r="K85" s="422"/>
      <c r="L85" s="422"/>
      <c r="M85" s="422"/>
      <c r="N85" s="422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</row>
    <row r="86" spans="1:36" x14ac:dyDescent="0.25">
      <c r="A86" s="2"/>
      <c r="B86" s="623" t="s">
        <v>535</v>
      </c>
      <c r="C86" s="535">
        <f>DATI!E60+DATI!E74+'geom masse muro+tensioni'!N22</f>
        <v>2.6738506672257989</v>
      </c>
      <c r="D86" s="767"/>
      <c r="E86" s="771"/>
      <c r="F86" s="651"/>
      <c r="G86" s="767"/>
      <c r="H86" s="767"/>
      <c r="I86" s="767"/>
      <c r="J86" s="437"/>
      <c r="K86" s="422"/>
      <c r="L86" s="422"/>
      <c r="M86" s="422"/>
      <c r="N86" s="422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</row>
    <row r="87" spans="1:36" x14ac:dyDescent="0.25">
      <c r="A87" s="2"/>
      <c r="B87" s="632"/>
      <c r="C87" s="123"/>
      <c r="D87" s="767"/>
      <c r="E87" s="771"/>
      <c r="F87" s="651"/>
      <c r="G87" s="767"/>
      <c r="H87" s="767"/>
      <c r="I87" s="767"/>
      <c r="J87" s="437"/>
      <c r="K87" s="422"/>
      <c r="L87" s="422"/>
      <c r="M87" s="422"/>
      <c r="N87" s="422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</row>
    <row r="88" spans="1:36" x14ac:dyDescent="0.25">
      <c r="A88" s="2"/>
      <c r="B88" s="946" t="s">
        <v>536</v>
      </c>
      <c r="C88" s="946"/>
      <c r="D88" s="767"/>
      <c r="E88" s="771"/>
      <c r="F88" s="651"/>
      <c r="G88" s="767"/>
      <c r="H88" s="767"/>
      <c r="I88" s="767"/>
      <c r="J88" s="437"/>
      <c r="K88" s="422"/>
      <c r="L88" s="422"/>
      <c r="M88" s="422"/>
      <c r="N88" s="422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</row>
    <row r="89" spans="1:36" x14ac:dyDescent="0.25">
      <c r="A89" s="2"/>
      <c r="B89" s="762" t="s">
        <v>73</v>
      </c>
      <c r="C89" s="763">
        <f>'VER. EQU COND. DRENATE'!C38</f>
        <v>1.6326655274280244</v>
      </c>
      <c r="D89" s="767"/>
      <c r="E89" s="771"/>
      <c r="F89" s="651"/>
      <c r="G89" s="767"/>
      <c r="H89" s="767"/>
      <c r="I89" s="767"/>
      <c r="J89" s="437"/>
      <c r="K89" s="422"/>
      <c r="L89" s="422"/>
      <c r="M89" s="422"/>
      <c r="N89" s="422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</row>
    <row r="90" spans="1:36" x14ac:dyDescent="0.25">
      <c r="A90" s="2"/>
      <c r="B90" s="762" t="s">
        <v>74</v>
      </c>
      <c r="C90" s="763">
        <f>'VER. EQU COND. DRENATE'!C39</f>
        <v>0</v>
      </c>
      <c r="D90" s="767"/>
      <c r="E90" s="771"/>
      <c r="F90" s="651"/>
      <c r="G90" s="767"/>
      <c r="H90" s="767"/>
      <c r="I90" s="767"/>
      <c r="J90" s="437"/>
      <c r="K90" s="422"/>
      <c r="L90" s="422"/>
      <c r="M90" s="422"/>
      <c r="N90" s="422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</row>
    <row r="91" spans="1:36" x14ac:dyDescent="0.25">
      <c r="A91" s="2"/>
      <c r="B91" s="762" t="s">
        <v>75</v>
      </c>
      <c r="C91" s="763">
        <f>'VER. EQU COND. DRENATE'!C40</f>
        <v>0.81324289489780677</v>
      </c>
      <c r="D91" s="767"/>
      <c r="E91" s="771"/>
      <c r="F91" s="651"/>
      <c r="G91" s="767"/>
      <c r="H91" s="767"/>
      <c r="I91" s="767"/>
      <c r="J91" s="437"/>
      <c r="K91" s="422"/>
      <c r="L91" s="422"/>
      <c r="M91" s="422"/>
      <c r="N91" s="422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</row>
    <row r="92" spans="1:36" x14ac:dyDescent="0.25">
      <c r="A92" s="2"/>
      <c r="B92" s="119"/>
      <c r="C92" s="119"/>
      <c r="D92" s="767"/>
      <c r="E92" s="771"/>
      <c r="F92" s="651"/>
      <c r="G92" s="767"/>
      <c r="H92" s="767"/>
      <c r="I92" s="767"/>
      <c r="J92" s="437"/>
      <c r="K92" s="422"/>
      <c r="L92" s="422"/>
      <c r="M92" s="422"/>
      <c r="N92" s="422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</row>
    <row r="93" spans="1:36" x14ac:dyDescent="0.25">
      <c r="A93" s="2"/>
      <c r="B93" s="119"/>
      <c r="C93" s="119"/>
      <c r="D93" s="767"/>
      <c r="E93" s="771"/>
      <c r="F93" s="651"/>
      <c r="G93" s="767"/>
      <c r="H93" s="767"/>
      <c r="I93" s="767"/>
      <c r="J93" s="437"/>
      <c r="K93" s="422"/>
      <c r="L93" s="422"/>
      <c r="M93" s="422"/>
      <c r="N93" s="422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</row>
    <row r="94" spans="1:36" x14ac:dyDescent="0.25">
      <c r="A94" s="2"/>
      <c r="B94" s="119"/>
      <c r="C94" s="119"/>
      <c r="D94" s="767"/>
      <c r="E94" s="771"/>
      <c r="F94" s="651"/>
      <c r="G94" s="767"/>
      <c r="H94" s="767"/>
      <c r="I94" s="767"/>
      <c r="J94" s="437"/>
      <c r="K94" s="422"/>
      <c r="L94" s="422"/>
      <c r="M94" s="422"/>
      <c r="N94" s="422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</row>
    <row r="95" spans="1:36" x14ac:dyDescent="0.25">
      <c r="A95" s="2"/>
      <c r="B95" s="119"/>
      <c r="C95" s="119"/>
      <c r="D95" s="767"/>
      <c r="E95" s="771"/>
      <c r="F95" s="651"/>
      <c r="G95" s="767"/>
      <c r="H95" s="767"/>
      <c r="I95" s="767"/>
      <c r="J95" s="437"/>
      <c r="K95" s="422"/>
      <c r="L95" s="422"/>
      <c r="M95" s="422"/>
      <c r="N95" s="422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</row>
    <row r="96" spans="1:36" x14ac:dyDescent="0.25">
      <c r="A96" s="2"/>
      <c r="B96" s="422"/>
      <c r="C96" s="422"/>
      <c r="D96" s="422"/>
      <c r="E96" s="422"/>
      <c r="F96" s="422"/>
      <c r="G96" s="422"/>
      <c r="H96" s="422"/>
      <c r="I96" s="422"/>
      <c r="J96" s="422"/>
      <c r="K96" s="422"/>
      <c r="L96" s="422"/>
      <c r="M96" s="422"/>
      <c r="N96" s="422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</row>
    <row r="97" spans="1:36" ht="18.75" x14ac:dyDescent="0.3">
      <c r="A97" s="2"/>
      <c r="B97" s="429" t="s">
        <v>755</v>
      </c>
      <c r="C97" s="91"/>
      <c r="D97" s="91"/>
      <c r="E97" s="91"/>
      <c r="F97" s="632"/>
      <c r="G97" s="632"/>
      <c r="H97" s="632"/>
      <c r="I97" s="422"/>
      <c r="J97" s="422"/>
      <c r="K97" s="422"/>
      <c r="L97" s="422"/>
      <c r="M97" s="422"/>
      <c r="N97" s="422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</row>
    <row r="98" spans="1:36" ht="9.75" customHeight="1" x14ac:dyDescent="0.3">
      <c r="A98" s="2"/>
      <c r="B98" s="429"/>
      <c r="C98" s="91"/>
      <c r="D98" s="91"/>
      <c r="E98" s="91"/>
      <c r="F98" s="632"/>
      <c r="G98" s="632"/>
      <c r="H98" s="632"/>
      <c r="I98" s="422"/>
      <c r="J98" s="422"/>
      <c r="K98" s="422"/>
      <c r="L98" s="422"/>
      <c r="M98" s="422"/>
      <c r="N98" s="422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</row>
    <row r="99" spans="1:36" x14ac:dyDescent="0.25">
      <c r="A99" s="2"/>
      <c r="B99" s="424" t="s">
        <v>756</v>
      </c>
      <c r="C99" s="91"/>
      <c r="D99" s="91"/>
      <c r="E99" s="91"/>
      <c r="F99" s="632"/>
      <c r="G99" s="632"/>
      <c r="H99" s="632"/>
      <c r="I99" s="422"/>
      <c r="J99" s="422"/>
      <c r="K99" s="422"/>
      <c r="L99" s="422"/>
      <c r="M99" s="422"/>
      <c r="N99" s="422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</row>
    <row r="100" spans="1:36" ht="9.75" customHeight="1" x14ac:dyDescent="0.25">
      <c r="A100" s="2"/>
      <c r="B100" s="424"/>
      <c r="C100" s="91"/>
      <c r="D100" s="91"/>
      <c r="E100" s="91"/>
      <c r="F100" s="632"/>
      <c r="G100" s="632"/>
      <c r="H100" s="632"/>
      <c r="I100" s="422"/>
      <c r="J100" s="422"/>
      <c r="K100" s="422"/>
      <c r="L100" s="422"/>
      <c r="M100" s="422"/>
      <c r="N100" s="422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</row>
    <row r="101" spans="1:36" ht="9.75" customHeight="1" x14ac:dyDescent="0.25">
      <c r="A101" s="2"/>
      <c r="B101" s="424"/>
      <c r="C101" s="91"/>
      <c r="D101" s="91"/>
      <c r="E101" s="91"/>
      <c r="F101" s="632"/>
      <c r="G101" s="632"/>
      <c r="H101" s="632"/>
      <c r="I101" s="422"/>
      <c r="J101" s="422"/>
      <c r="K101" s="422"/>
      <c r="L101" s="422"/>
      <c r="M101" s="422"/>
      <c r="N101" s="422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</row>
    <row r="102" spans="1:36" x14ac:dyDescent="0.25">
      <c r="A102" s="2"/>
      <c r="B102" s="944" t="s">
        <v>331</v>
      </c>
      <c r="C102" s="944"/>
      <c r="D102" s="945" t="str">
        <f>'FOGLIO DEPOSITO'!B222</f>
        <v>STATICA</v>
      </c>
      <c r="E102" s="945"/>
      <c r="F102" s="945"/>
      <c r="G102" s="632"/>
      <c r="H102" s="632"/>
      <c r="I102" s="422"/>
      <c r="J102" s="422"/>
      <c r="K102" s="422"/>
      <c r="L102" s="422"/>
      <c r="M102" s="422"/>
      <c r="N102" s="422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</row>
    <row r="103" spans="1:36" x14ac:dyDescent="0.25">
      <c r="A103" s="2"/>
      <c r="B103" s="422"/>
      <c r="C103" s="422"/>
      <c r="D103" s="422"/>
      <c r="E103" s="422"/>
      <c r="F103" s="632"/>
      <c r="G103" s="632"/>
      <c r="H103" s="632"/>
      <c r="I103" s="422"/>
      <c r="J103" s="422"/>
      <c r="K103" s="422"/>
      <c r="L103" s="422"/>
      <c r="M103" s="422"/>
      <c r="N103" s="422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</row>
    <row r="104" spans="1:36" x14ac:dyDescent="0.25">
      <c r="A104" s="2"/>
      <c r="B104" s="944" t="s">
        <v>473</v>
      </c>
      <c r="C104" s="944"/>
      <c r="D104" s="945" t="str">
        <f>DATI!C260</f>
        <v>APPROCCIO 1 --- Combinazione (A1+M1+R1)</v>
      </c>
      <c r="E104" s="945"/>
      <c r="F104" s="945"/>
      <c r="G104" s="632"/>
      <c r="H104" s="632"/>
      <c r="I104" s="422"/>
      <c r="J104" s="422"/>
      <c r="K104" s="422"/>
      <c r="L104" s="422"/>
      <c r="M104" s="422"/>
      <c r="N104" s="422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</row>
    <row r="105" spans="1:36" x14ac:dyDescent="0.25">
      <c r="A105" s="2"/>
      <c r="B105" s="628"/>
      <c r="C105" s="628"/>
      <c r="D105" s="629"/>
      <c r="E105" s="629"/>
      <c r="F105" s="629"/>
      <c r="G105" s="632"/>
      <c r="H105" s="632"/>
      <c r="I105" s="422"/>
      <c r="J105" s="422"/>
      <c r="K105" s="422"/>
      <c r="L105" s="422"/>
      <c r="M105" s="422"/>
      <c r="N105" s="422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</row>
    <row r="106" spans="1:36" x14ac:dyDescent="0.25">
      <c r="A106" s="2"/>
      <c r="B106" s="628"/>
      <c r="C106" s="628"/>
      <c r="D106" s="629"/>
      <c r="E106" s="629"/>
      <c r="F106" s="629"/>
      <c r="G106" s="632"/>
      <c r="H106" s="632"/>
      <c r="I106" s="422"/>
      <c r="J106" s="422"/>
      <c r="K106" s="422"/>
      <c r="L106" s="422"/>
      <c r="M106" s="422"/>
      <c r="N106" s="422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</row>
    <row r="107" spans="1:36" x14ac:dyDescent="0.25">
      <c r="A107" s="2"/>
      <c r="B107" s="938" t="s">
        <v>537</v>
      </c>
      <c r="C107" s="938"/>
      <c r="D107" s="422"/>
      <c r="E107" s="422"/>
      <c r="F107" s="437"/>
      <c r="G107" s="422"/>
      <c r="H107" s="632"/>
      <c r="I107" s="422"/>
      <c r="J107" s="422"/>
      <c r="K107" s="422"/>
      <c r="L107" s="422"/>
      <c r="M107" s="422"/>
      <c r="N107" s="422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</row>
    <row r="108" spans="1:36" s="421" customFormat="1" x14ac:dyDescent="0.25">
      <c r="A108" s="422"/>
      <c r="B108" s="473"/>
      <c r="C108" s="473"/>
      <c r="D108" s="422"/>
      <c r="E108" s="422"/>
      <c r="F108" s="437"/>
      <c r="G108" s="422"/>
      <c r="H108" s="632"/>
      <c r="I108" s="422"/>
      <c r="J108" s="422"/>
      <c r="K108" s="422"/>
      <c r="L108" s="422"/>
      <c r="M108" s="422"/>
      <c r="N108" s="422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</row>
    <row r="109" spans="1:36" x14ac:dyDescent="0.25">
      <c r="A109" s="2"/>
      <c r="B109" s="422"/>
      <c r="C109" s="422"/>
      <c r="D109" s="322"/>
      <c r="E109" s="321" t="s">
        <v>538</v>
      </c>
      <c r="F109" s="774" t="s">
        <v>539</v>
      </c>
      <c r="G109" s="321" t="s">
        <v>540</v>
      </c>
      <c r="H109" s="632"/>
      <c r="I109" s="422"/>
      <c r="J109" s="422"/>
      <c r="K109" s="422"/>
      <c r="L109" s="422"/>
      <c r="M109" s="422"/>
      <c r="N109" s="422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</row>
    <row r="110" spans="1:36" x14ac:dyDescent="0.25">
      <c r="A110" s="2"/>
      <c r="B110" s="348" t="s">
        <v>843</v>
      </c>
      <c r="C110" s="348"/>
      <c r="D110" s="58"/>
      <c r="E110" s="349">
        <f>'ANALISI DELLE SPINTE'!L96</f>
        <v>707.52943358988841</v>
      </c>
      <c r="F110" s="775">
        <f>IF(D102="SISMICA ",1,1.1)</f>
        <v>1.1000000000000001</v>
      </c>
      <c r="G110" s="349">
        <f>E110*F110</f>
        <v>778.2823769488773</v>
      </c>
      <c r="H110" s="632"/>
      <c r="I110" s="422"/>
      <c r="J110" s="422"/>
      <c r="K110" s="422"/>
      <c r="L110" s="422"/>
      <c r="M110" s="422"/>
      <c r="N110" s="422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</row>
    <row r="111" spans="1:36" x14ac:dyDescent="0.25">
      <c r="A111" s="2"/>
      <c r="B111" s="52"/>
      <c r="C111" s="52"/>
      <c r="D111" s="52"/>
      <c r="E111" s="52"/>
      <c r="F111" s="70" t="s">
        <v>542</v>
      </c>
      <c r="G111" s="93">
        <f>SUM(G110:G110)</f>
        <v>778.2823769488773</v>
      </c>
      <c r="H111" s="632"/>
      <c r="I111" s="422"/>
      <c r="J111" s="422"/>
      <c r="K111" s="422"/>
      <c r="L111" s="422"/>
      <c r="M111" s="422"/>
      <c r="N111" s="422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</row>
    <row r="112" spans="1:36" x14ac:dyDescent="0.25">
      <c r="A112" s="2"/>
      <c r="B112" s="23"/>
      <c r="C112" s="23"/>
      <c r="D112" s="23"/>
      <c r="E112" s="422"/>
      <c r="F112" s="70"/>
      <c r="G112" s="640"/>
      <c r="H112" s="632"/>
      <c r="I112" s="422"/>
      <c r="J112" s="422"/>
      <c r="K112" s="422"/>
      <c r="L112" s="422"/>
      <c r="M112" s="422"/>
      <c r="N112" s="422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</row>
    <row r="113" spans="1:36" x14ac:dyDescent="0.25">
      <c r="A113" s="2"/>
      <c r="B113" s="933" t="s">
        <v>543</v>
      </c>
      <c r="C113" s="933"/>
      <c r="D113" s="23"/>
      <c r="E113" s="23"/>
      <c r="F113" s="70"/>
      <c r="G113" s="640"/>
      <c r="H113" s="632"/>
      <c r="I113" s="422"/>
      <c r="J113" s="422"/>
      <c r="K113" s="422"/>
      <c r="L113" s="422"/>
      <c r="M113" s="422"/>
      <c r="N113" s="422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</row>
    <row r="114" spans="1:36" x14ac:dyDescent="0.25">
      <c r="A114" s="2"/>
      <c r="B114" s="422"/>
      <c r="C114" s="422"/>
      <c r="D114" s="422"/>
      <c r="E114" s="422"/>
      <c r="F114" s="201"/>
      <c r="G114" s="632"/>
      <c r="H114" s="632"/>
      <c r="I114" s="422"/>
      <c r="J114" s="422"/>
      <c r="K114" s="422"/>
      <c r="L114" s="422"/>
      <c r="M114" s="422"/>
      <c r="N114" s="422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</row>
    <row r="115" spans="1:36" x14ac:dyDescent="0.25">
      <c r="A115" s="2"/>
      <c r="B115" s="422"/>
      <c r="C115" s="624" t="s">
        <v>544</v>
      </c>
      <c r="D115" s="634" t="s">
        <v>545</v>
      </c>
      <c r="E115" s="634" t="s">
        <v>546</v>
      </c>
      <c r="F115" s="62" t="s">
        <v>547</v>
      </c>
      <c r="G115" s="634" t="s">
        <v>548</v>
      </c>
      <c r="H115" s="632"/>
      <c r="I115" s="422"/>
      <c r="J115" s="422"/>
      <c r="K115" s="422"/>
      <c r="L115" s="422"/>
      <c r="M115" s="422"/>
      <c r="N115" s="422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</row>
    <row r="116" spans="1:36" x14ac:dyDescent="0.25">
      <c r="A116" s="2"/>
      <c r="B116" s="92" t="s">
        <v>549</v>
      </c>
      <c r="C116" s="651">
        <f>C47</f>
        <v>177.29217199999999</v>
      </c>
      <c r="D116" s="3">
        <f>IF(SPINTE!C6="SISMICA",1,0.9)</f>
        <v>1</v>
      </c>
      <c r="E116" s="651">
        <f>C116*D116</f>
        <v>177.29217199999999</v>
      </c>
      <c r="F116" s="200">
        <f>C49</f>
        <v>1.6326655274280244</v>
      </c>
      <c r="G116" s="349">
        <f>E116*F116</f>
        <v>289.45881750723998</v>
      </c>
      <c r="H116" s="632"/>
      <c r="I116" s="422"/>
      <c r="J116" s="422"/>
      <c r="K116" s="422"/>
      <c r="L116" s="422"/>
      <c r="M116" s="422"/>
      <c r="N116" s="422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</row>
    <row r="117" spans="1:36" x14ac:dyDescent="0.25">
      <c r="A117" s="2"/>
      <c r="B117" s="92" t="s">
        <v>550</v>
      </c>
      <c r="C117" s="651">
        <f>C71</f>
        <v>510.2311280694592</v>
      </c>
      <c r="D117" s="640">
        <f>IF(SPINTE!C6="SISMICA",1,0.9)</f>
        <v>1</v>
      </c>
      <c r="E117" s="651">
        <f>C117*D117</f>
        <v>510.2311280694592</v>
      </c>
      <c r="F117" s="358">
        <f>C73</f>
        <v>2.0483562999253735</v>
      </c>
      <c r="G117" s="359">
        <f>E117*F117</f>
        <v>1045.1351455991069</v>
      </c>
      <c r="H117" s="632"/>
      <c r="I117" s="422"/>
      <c r="J117" s="422"/>
      <c r="K117" s="422"/>
      <c r="L117" s="422"/>
      <c r="M117" s="422"/>
      <c r="N117" s="422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</row>
    <row r="118" spans="1:36" x14ac:dyDescent="0.25">
      <c r="A118" s="2"/>
      <c r="B118" s="92" t="s">
        <v>551</v>
      </c>
      <c r="C118" s="651">
        <f>DATI!E155*DATI!E61*IF(DATI!G211="SX",DATI!E75,'FOGLIO DEPOSITO'!D212)</f>
        <v>4.7249750000000006</v>
      </c>
      <c r="D118" s="3">
        <f>IF(SPINTE!C6="SISMICA",1,0.9)</f>
        <v>1</v>
      </c>
      <c r="E118" s="651">
        <f>C118*D118</f>
        <v>4.7249750000000006</v>
      </c>
      <c r="F118" s="200">
        <f>IF(DATI!G211="dx",'FOGLIO DEPOSITO'!D212+'FOGLIO DEPOSITO'!D211+DATI!E75/2,DATI!E75/2+'FOGLIO DEPOSITO'!D211+'FOGLIO DEPOSITO'!D212)</f>
        <v>3.0750000000000002</v>
      </c>
      <c r="G118" s="349">
        <f>E118*F118</f>
        <v>14.529298125000002</v>
      </c>
      <c r="H118" s="632"/>
      <c r="I118" s="422"/>
      <c r="J118" s="422"/>
      <c r="K118" s="422"/>
      <c r="L118" s="422"/>
      <c r="M118" s="422"/>
      <c r="N118" s="422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</row>
    <row r="119" spans="1:36" x14ac:dyDescent="0.25">
      <c r="A119" s="2"/>
      <c r="B119" s="92" t="s">
        <v>552</v>
      </c>
      <c r="C119" s="651">
        <f>DATI!E154*DATI!E61*IF(DATI!G211="SX",DATI!E75,'FOGLIO DEPOSITO'!D212)</f>
        <v>4.7249750000000006</v>
      </c>
      <c r="D119" s="3">
        <v>0</v>
      </c>
      <c r="E119" s="651">
        <f>C119*D119</f>
        <v>0</v>
      </c>
      <c r="F119" s="200">
        <f>IF(DATI!G211="dx",'FOGLIO DEPOSITO'!D212+'FOGLIO DEPOSITO'!D211+DATI!E75/2,DATI!E75/2+'FOGLIO DEPOSITO'!D211+'FOGLIO DEPOSITO'!D212)</f>
        <v>3.0750000000000002</v>
      </c>
      <c r="G119" s="349">
        <f>E119*F119</f>
        <v>0</v>
      </c>
      <c r="H119" s="632"/>
      <c r="I119" s="422"/>
      <c r="J119" s="422"/>
      <c r="K119" s="422"/>
      <c r="L119" s="422"/>
      <c r="M119" s="422"/>
      <c r="N119" s="422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</row>
    <row r="120" spans="1:36" ht="15.75" x14ac:dyDescent="0.25">
      <c r="A120" s="2"/>
      <c r="B120" s="418" t="s">
        <v>553</v>
      </c>
      <c r="C120" s="651">
        <f>'ANALISI DELLE SPINTE'!K110</f>
        <v>158.47021515283168</v>
      </c>
      <c r="D120" s="640">
        <f>0.9/1.35</f>
        <v>0.66666666666666663</v>
      </c>
      <c r="E120" s="652">
        <f>C120*D120</f>
        <v>105.64681010188778</v>
      </c>
      <c r="F120" s="200">
        <f>IF(DATI!G211="sx",DATI!E75,'FOGLIO DEPOSITO'!D212+'FOGLIO DEPOSITO'!D210)</f>
        <v>2.63</v>
      </c>
      <c r="G120" s="359">
        <f>E120*F120</f>
        <v>277.85111056796484</v>
      </c>
      <c r="H120" s="632"/>
      <c r="I120" s="422"/>
      <c r="J120" s="422"/>
      <c r="K120" s="422"/>
      <c r="L120" s="422"/>
      <c r="M120" s="422"/>
      <c r="N120" s="422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</row>
    <row r="121" spans="1:36" x14ac:dyDescent="0.25">
      <c r="A121" s="2"/>
      <c r="B121" s="419" t="str">
        <f>IF(SPINTE!C75='FOGLIO DEPOSITO'!N184," Kv x Wtot  ",IF(SPINTE!C75='FOGLIO DEPOSITO'!N181," Kv x Wtot  ",IF(SPINTE!C75='FOGLIO DEPOSITO'!N182,"Kv x Wtot  ","")))</f>
        <v xml:space="preserve"> Kv x Wtot  </v>
      </c>
      <c r="C121" s="650">
        <f>IF(SPINTE!C75='FOGLIO DEPOSITO'!N184,'ANALISI DELLE SPINTE'!E59/DATI!E263,IF(SPINTE!C75='FOGLIO DEPOSITO'!N181,'ANALISI DELLE SPINTE'!E59/DATI!E263,IF(SPINTE!C75='FOGLIO DEPOSITO'!N182,'ANALISI DELLE SPINTE'!E59/DATI!E263,"")))</f>
        <v>44.054522733837246</v>
      </c>
      <c r="D121" s="775">
        <f>IF(SPINTE!C75='FOGLIO DEPOSITO'!N184,IF(SPINTE!C6="SISMICA",1,0.9),IF(SPINTE!C75='FOGLIO DEPOSITO'!N181,IF(SPINTE!C6="SISMICA",1,0.9),IF(SPINTE!C75='FOGLIO DEPOSITO'!N182,IF(SPINTE!C6="SISMICA",1,0.9),"")))</f>
        <v>1</v>
      </c>
      <c r="E121" s="653">
        <f>IF(SPINTE!C75='FOGLIO DEPOSITO'!N184,C121*D121,IF(SPINTE!C75='FOGLIO DEPOSITO'!N181,C121*D121,IF(SPINTE!C75='FOGLIO DEPOSITO'!N182,C121*D121,"")))</f>
        <v>44.054522733837246</v>
      </c>
      <c r="F121" s="420">
        <f>IF(SPINTE!C75='FOGLIO DEPOSITO'!N184,C79,IF(SPINTE!C75='FOGLIO DEPOSITO'!N181,C79,IF(SPINTE!C75='FOGLIO DEPOSITO'!N182,C79,"")))</f>
        <v>1.9461947151714729</v>
      </c>
      <c r="G121" s="350">
        <f>IF(SPINTE!C75='FOGLIO DEPOSITO'!N184,E121*F121,IF(SPINTE!C75='FOGLIO DEPOSITO'!N181,E121*F121,IF(SPINTE!C75='FOGLIO DEPOSITO'!N182,E121*F121,"")))</f>
        <v>85.738679323995555</v>
      </c>
      <c r="H121" s="632"/>
      <c r="I121" s="422"/>
      <c r="J121" s="422"/>
      <c r="K121" s="422"/>
      <c r="L121" s="422"/>
      <c r="M121" s="422"/>
      <c r="N121" s="422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</row>
    <row r="122" spans="1:36" x14ac:dyDescent="0.25">
      <c r="A122" s="2"/>
      <c r="B122" s="23"/>
      <c r="C122" s="651">
        <f>SUM(C116:C121)</f>
        <v>899.4979879561281</v>
      </c>
      <c r="D122" s="23"/>
      <c r="E122" s="651">
        <f>SUM(E116:E121)</f>
        <v>841.94960790518417</v>
      </c>
      <c r="F122" s="70" t="s">
        <v>554</v>
      </c>
      <c r="G122" s="349">
        <f>SUM(G116:G121)</f>
        <v>1712.713051123307</v>
      </c>
      <c r="H122" s="632"/>
      <c r="I122" s="422"/>
      <c r="J122" s="422"/>
      <c r="K122" s="422"/>
      <c r="L122" s="422"/>
      <c r="M122" s="422"/>
      <c r="N122" s="422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</row>
    <row r="123" spans="1:36" ht="15.75" thickBot="1" x14ac:dyDescent="0.3">
      <c r="A123" s="2"/>
      <c r="B123" s="422"/>
      <c r="C123" s="422"/>
      <c r="D123" s="422"/>
      <c r="E123" s="422"/>
      <c r="F123" s="632"/>
      <c r="G123" s="422"/>
      <c r="H123" s="632"/>
      <c r="I123" s="422"/>
      <c r="J123" s="422"/>
      <c r="K123" s="422"/>
      <c r="L123" s="422"/>
      <c r="M123" s="422"/>
      <c r="N123" s="422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</row>
    <row r="124" spans="1:36" ht="15.75" thickBot="1" x14ac:dyDescent="0.3">
      <c r="A124" s="2"/>
      <c r="B124" s="422"/>
      <c r="C124" s="422"/>
      <c r="D124" s="422"/>
      <c r="E124" s="323" t="s">
        <v>555</v>
      </c>
      <c r="F124" s="324">
        <f>G122/G110</f>
        <v>2.2006319323812842</v>
      </c>
      <c r="G124" s="633" t="str">
        <f>IF(F124&gt;=1,"VERIFICATO","NON VERIFICATO")</f>
        <v>VERIFICATO</v>
      </c>
      <c r="H124" s="632"/>
      <c r="I124" s="422"/>
      <c r="J124" s="422"/>
      <c r="K124" s="422"/>
      <c r="L124" s="422"/>
      <c r="M124" s="422"/>
      <c r="N124" s="422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</row>
    <row r="125" spans="1:36" x14ac:dyDescent="0.25">
      <c r="A125" s="2"/>
      <c r="B125" s="628"/>
      <c r="C125" s="628"/>
      <c r="D125" s="629"/>
      <c r="E125" s="629"/>
      <c r="F125" s="629"/>
      <c r="G125" s="632"/>
      <c r="H125" s="632"/>
      <c r="I125" s="422"/>
      <c r="J125" s="422"/>
      <c r="K125" s="422"/>
      <c r="L125" s="422"/>
      <c r="M125" s="422"/>
      <c r="N125" s="422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</row>
    <row r="126" spans="1:36" x14ac:dyDescent="0.25">
      <c r="A126" s="2"/>
      <c r="B126" s="628"/>
      <c r="C126" s="628"/>
      <c r="D126" s="629"/>
      <c r="E126" s="629"/>
      <c r="F126" s="629"/>
      <c r="G126" s="632"/>
      <c r="H126" s="632"/>
      <c r="I126" s="422"/>
      <c r="J126" s="422"/>
      <c r="K126" s="422"/>
      <c r="L126" s="422"/>
      <c r="M126" s="422"/>
      <c r="N126" s="422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</row>
    <row r="127" spans="1:36" x14ac:dyDescent="0.25">
      <c r="A127" s="2"/>
      <c r="B127" s="628"/>
      <c r="C127" s="628"/>
      <c r="D127" s="629"/>
      <c r="E127" s="629"/>
      <c r="F127" s="629"/>
      <c r="G127" s="632"/>
      <c r="H127" s="632"/>
      <c r="I127" s="422"/>
      <c r="J127" s="422"/>
      <c r="K127" s="422"/>
      <c r="L127" s="422"/>
      <c r="M127" s="422"/>
      <c r="N127" s="422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</row>
    <row r="128" spans="1:36" x14ac:dyDescent="0.25">
      <c r="A128" s="2"/>
      <c r="B128" s="628"/>
      <c r="C128" s="628"/>
      <c r="D128" s="629"/>
      <c r="E128" s="629"/>
      <c r="F128" s="629"/>
      <c r="G128" s="632"/>
      <c r="H128" s="632"/>
      <c r="I128" s="422"/>
      <c r="J128" s="422"/>
      <c r="K128" s="422"/>
      <c r="L128" s="422"/>
      <c r="M128" s="422"/>
      <c r="N128" s="422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</row>
    <row r="129" spans="1:36" x14ac:dyDescent="0.25">
      <c r="A129" s="2"/>
      <c r="B129" s="628"/>
      <c r="C129" s="628"/>
      <c r="D129" s="629"/>
      <c r="E129" s="629"/>
      <c r="F129" s="629"/>
      <c r="G129" s="632"/>
      <c r="H129" s="632"/>
      <c r="I129" s="422"/>
      <c r="J129" s="422"/>
      <c r="K129" s="422"/>
      <c r="L129" s="422"/>
      <c r="M129" s="422"/>
      <c r="N129" s="422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</row>
    <row r="130" spans="1:36" x14ac:dyDescent="0.25">
      <c r="A130" s="2"/>
      <c r="B130" s="628"/>
      <c r="C130" s="628"/>
      <c r="D130" s="629"/>
      <c r="E130" s="629"/>
      <c r="F130" s="629"/>
      <c r="G130" s="632"/>
      <c r="H130" s="632"/>
      <c r="I130" s="422"/>
      <c r="J130" s="422"/>
      <c r="K130" s="422"/>
      <c r="L130" s="422"/>
      <c r="M130" s="422"/>
      <c r="N130" s="422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</row>
    <row r="131" spans="1:36" x14ac:dyDescent="0.25">
      <c r="A131" s="2"/>
      <c r="B131" s="628"/>
      <c r="C131" s="628"/>
      <c r="D131" s="629"/>
      <c r="E131" s="629"/>
      <c r="F131" s="629"/>
      <c r="G131" s="632"/>
      <c r="H131" s="632"/>
      <c r="I131" s="422"/>
      <c r="J131" s="422"/>
      <c r="K131" s="422"/>
      <c r="L131" s="422"/>
      <c r="M131" s="422"/>
      <c r="N131" s="422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</row>
    <row r="132" spans="1:36" x14ac:dyDescent="0.25">
      <c r="A132" s="2"/>
      <c r="B132" s="628"/>
      <c r="C132" s="628"/>
      <c r="D132" s="629"/>
      <c r="E132" s="629"/>
      <c r="F132" s="629"/>
      <c r="G132" s="632"/>
      <c r="H132" s="632"/>
      <c r="I132" s="422"/>
      <c r="J132" s="422"/>
      <c r="K132" s="422"/>
      <c r="L132" s="422"/>
      <c r="M132" s="422"/>
      <c r="N132" s="422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</row>
    <row r="133" spans="1:36" x14ac:dyDescent="0.25">
      <c r="A133" s="2"/>
      <c r="B133" s="422"/>
      <c r="C133" s="422"/>
      <c r="D133" s="422"/>
      <c r="E133" s="422"/>
      <c r="F133" s="422"/>
      <c r="G133" s="422"/>
      <c r="H133" s="422"/>
      <c r="I133" s="422"/>
      <c r="J133" s="422"/>
      <c r="K133" s="422"/>
      <c r="L133" s="422"/>
      <c r="M133" s="422"/>
      <c r="N133" s="422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</row>
    <row r="134" spans="1:36" ht="9" customHeight="1" x14ac:dyDescent="0.25">
      <c r="A134" s="2"/>
      <c r="B134" s="422"/>
      <c r="C134" s="422"/>
      <c r="D134" s="422"/>
      <c r="E134" s="422"/>
      <c r="F134" s="422"/>
      <c r="G134" s="422"/>
      <c r="H134" s="422"/>
      <c r="I134" s="422"/>
      <c r="J134" s="422"/>
      <c r="K134" s="422"/>
      <c r="L134" s="422"/>
      <c r="M134" s="422"/>
      <c r="N134" s="422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</row>
    <row r="135" spans="1:36" x14ac:dyDescent="0.25">
      <c r="A135" s="2"/>
      <c r="B135" s="422"/>
      <c r="C135" s="422"/>
      <c r="D135" s="422"/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</row>
    <row r="136" spans="1:36" x14ac:dyDescent="0.25">
      <c r="A136" s="2"/>
      <c r="B136" s="422"/>
      <c r="C136" s="422"/>
      <c r="D136" s="422"/>
      <c r="E136" s="422"/>
      <c r="F136" s="422"/>
      <c r="G136" s="422"/>
      <c r="H136" s="422"/>
      <c r="I136" s="422"/>
      <c r="J136" s="422"/>
      <c r="K136" s="422"/>
      <c r="L136" s="422"/>
      <c r="M136" s="422"/>
      <c r="N136" s="422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</row>
    <row r="137" spans="1:36" x14ac:dyDescent="0.25">
      <c r="A137" s="2"/>
      <c r="B137" s="422"/>
      <c r="C137" s="422"/>
      <c r="D137" s="422"/>
      <c r="E137" s="422"/>
      <c r="F137" s="422"/>
      <c r="G137" s="422"/>
      <c r="H137" s="422"/>
      <c r="I137" s="422"/>
      <c r="J137" s="422"/>
      <c r="K137" s="422"/>
      <c r="L137" s="422"/>
      <c r="M137" s="422"/>
      <c r="N137" s="422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</row>
    <row r="138" spans="1:36" x14ac:dyDescent="0.25">
      <c r="A138" s="2"/>
      <c r="B138" s="422"/>
      <c r="C138" s="422"/>
      <c r="D138" s="422"/>
      <c r="E138" s="422"/>
      <c r="F138" s="422"/>
      <c r="G138" s="422"/>
      <c r="H138" s="422"/>
      <c r="I138" s="422"/>
      <c r="J138" s="422"/>
      <c r="K138" s="422"/>
      <c r="L138" s="422"/>
      <c r="M138" s="422"/>
      <c r="N138" s="422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</row>
    <row r="139" spans="1:36" x14ac:dyDescent="0.25">
      <c r="A139" s="2"/>
      <c r="B139" s="422"/>
      <c r="C139" s="422"/>
      <c r="D139" s="422"/>
      <c r="E139" s="422"/>
      <c r="F139" s="422"/>
      <c r="G139" s="422"/>
      <c r="H139" s="422"/>
      <c r="I139" s="422"/>
      <c r="J139" s="422"/>
      <c r="K139" s="422"/>
      <c r="L139" s="422"/>
      <c r="M139" s="422"/>
      <c r="N139" s="422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</row>
    <row r="140" spans="1:36" x14ac:dyDescent="0.25">
      <c r="A140" s="2"/>
      <c r="B140" s="422"/>
      <c r="C140" s="422"/>
      <c r="D140" s="422"/>
      <c r="E140" s="422"/>
      <c r="F140" s="422"/>
      <c r="G140" s="422"/>
      <c r="H140" s="422"/>
      <c r="I140" s="422"/>
      <c r="J140" s="422"/>
      <c r="K140" s="422"/>
      <c r="L140" s="422"/>
      <c r="M140" s="422"/>
      <c r="N140" s="422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</row>
    <row r="141" spans="1:36" x14ac:dyDescent="0.25">
      <c r="A141" s="2"/>
      <c r="B141" s="422"/>
      <c r="C141" s="422"/>
      <c r="D141" s="422"/>
      <c r="E141" s="422"/>
      <c r="F141" s="422"/>
      <c r="G141" s="422"/>
      <c r="H141" s="422"/>
      <c r="I141" s="422"/>
      <c r="J141" s="422"/>
      <c r="K141" s="422"/>
      <c r="L141" s="422"/>
      <c r="M141" s="422"/>
      <c r="N141" s="422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</row>
    <row r="142" spans="1:36" x14ac:dyDescent="0.25">
      <c r="A142" s="2"/>
      <c r="B142" s="422"/>
      <c r="C142" s="422"/>
      <c r="D142" s="422"/>
      <c r="E142" s="422"/>
      <c r="F142" s="422"/>
      <c r="G142" s="422"/>
      <c r="H142" s="422"/>
      <c r="I142" s="422"/>
      <c r="J142" s="422"/>
      <c r="K142" s="422"/>
      <c r="L142" s="422"/>
      <c r="M142" s="422"/>
      <c r="N142" s="422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</row>
    <row r="143" spans="1:36" x14ac:dyDescent="0.25">
      <c r="A143" s="2"/>
      <c r="B143" s="422"/>
      <c r="C143" s="422"/>
      <c r="D143" s="422"/>
      <c r="E143" s="422"/>
      <c r="F143" s="422"/>
      <c r="G143" s="422"/>
      <c r="H143" s="422"/>
      <c r="I143" s="422"/>
      <c r="J143" s="422"/>
      <c r="K143" s="422"/>
      <c r="L143" s="422"/>
      <c r="M143" s="422"/>
      <c r="N143" s="422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</row>
    <row r="144" spans="1:36" x14ac:dyDescent="0.25">
      <c r="A144" s="2"/>
      <c r="B144" s="422"/>
      <c r="C144" s="422"/>
      <c r="D144" s="422"/>
      <c r="E144" s="422"/>
      <c r="F144" s="422"/>
      <c r="G144" s="422"/>
      <c r="H144" s="422"/>
      <c r="I144" s="422"/>
      <c r="J144" s="422"/>
      <c r="K144" s="422"/>
      <c r="L144" s="422"/>
      <c r="M144" s="422"/>
      <c r="N144" s="422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</row>
    <row r="145" spans="1:36" x14ac:dyDescent="0.25">
      <c r="A145" s="2"/>
      <c r="B145" s="422"/>
      <c r="C145" s="422"/>
      <c r="D145" s="422"/>
      <c r="E145" s="422"/>
      <c r="F145" s="422"/>
      <c r="G145" s="422"/>
      <c r="H145" s="422"/>
      <c r="I145" s="422"/>
      <c r="J145" s="422"/>
      <c r="K145" s="422"/>
      <c r="L145" s="422"/>
      <c r="M145" s="422"/>
      <c r="N145" s="422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</row>
    <row r="146" spans="1:36" x14ac:dyDescent="0.25">
      <c r="A146" s="2"/>
      <c r="B146" s="422"/>
      <c r="C146" s="422"/>
      <c r="D146" s="422"/>
      <c r="E146" s="422"/>
      <c r="F146" s="422"/>
      <c r="G146" s="422"/>
      <c r="H146" s="422"/>
      <c r="I146" s="422"/>
      <c r="J146" s="422"/>
      <c r="K146" s="422"/>
      <c r="L146" s="422"/>
      <c r="M146" s="422"/>
      <c r="N146" s="422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</row>
    <row r="147" spans="1:36" x14ac:dyDescent="0.25">
      <c r="A147" s="2"/>
      <c r="B147" s="422"/>
      <c r="C147" s="422"/>
      <c r="D147" s="422"/>
      <c r="E147" s="422"/>
      <c r="F147" s="422"/>
      <c r="G147" s="422"/>
      <c r="H147" s="422"/>
      <c r="I147" s="422"/>
      <c r="J147" s="422"/>
      <c r="K147" s="422"/>
      <c r="L147" s="422"/>
      <c r="M147" s="422"/>
      <c r="N147" s="422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</row>
    <row r="148" spans="1:36" x14ac:dyDescent="0.25">
      <c r="A148" s="2"/>
      <c r="B148" s="422"/>
      <c r="C148" s="422"/>
      <c r="D148" s="422"/>
      <c r="E148" s="422"/>
      <c r="F148" s="422"/>
      <c r="G148" s="422"/>
      <c r="H148" s="422"/>
      <c r="I148" s="422"/>
      <c r="J148" s="422"/>
      <c r="K148" s="422"/>
      <c r="L148" s="422"/>
      <c r="M148" s="422"/>
      <c r="N148" s="422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</row>
    <row r="149" spans="1:36" x14ac:dyDescent="0.25">
      <c r="A149" s="2"/>
      <c r="B149" s="422"/>
      <c r="C149" s="422"/>
      <c r="D149" s="422"/>
      <c r="E149" s="422"/>
      <c r="F149" s="422"/>
      <c r="G149" s="422"/>
      <c r="H149" s="422"/>
      <c r="I149" s="422"/>
      <c r="J149" s="422"/>
      <c r="K149" s="422"/>
      <c r="L149" s="422"/>
      <c r="M149" s="422"/>
      <c r="N149" s="422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</row>
    <row r="150" spans="1:36" x14ac:dyDescent="0.25">
      <c r="A150" s="2"/>
      <c r="B150" s="422"/>
      <c r="C150" s="422"/>
      <c r="D150" s="422"/>
      <c r="E150" s="422"/>
      <c r="F150" s="422"/>
      <c r="G150" s="422"/>
      <c r="H150" s="422"/>
      <c r="I150" s="422"/>
      <c r="J150" s="422"/>
      <c r="K150" s="422"/>
      <c r="L150" s="422"/>
      <c r="M150" s="422"/>
      <c r="N150" s="422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</row>
    <row r="151" spans="1:36" x14ac:dyDescent="0.25">
      <c r="A151" s="2"/>
      <c r="B151" s="422"/>
      <c r="C151" s="422"/>
      <c r="D151" s="422"/>
      <c r="E151" s="422"/>
      <c r="F151" s="422"/>
      <c r="G151" s="422"/>
      <c r="H151" s="422"/>
      <c r="I151" s="422"/>
      <c r="J151" s="422"/>
      <c r="K151" s="422"/>
      <c r="L151" s="422"/>
      <c r="M151" s="422"/>
      <c r="N151" s="422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</row>
    <row r="152" spans="1:36" x14ac:dyDescent="0.25">
      <c r="A152" s="2"/>
      <c r="B152" s="422"/>
      <c r="C152" s="422"/>
      <c r="D152" s="422"/>
      <c r="E152" s="422"/>
      <c r="F152" s="422"/>
      <c r="G152" s="422"/>
      <c r="H152" s="422"/>
      <c r="I152" s="422"/>
      <c r="J152" s="422"/>
      <c r="K152" s="422"/>
      <c r="L152" s="422"/>
      <c r="M152" s="422"/>
      <c r="N152" s="422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</row>
    <row r="153" spans="1:36" x14ac:dyDescent="0.25">
      <c r="A153" s="2"/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422"/>
      <c r="M153" s="422"/>
      <c r="N153" s="422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</row>
    <row r="154" spans="1:36" x14ac:dyDescent="0.25">
      <c r="A154" s="2"/>
      <c r="B154" s="422"/>
      <c r="C154" s="422"/>
      <c r="D154" s="422"/>
      <c r="E154" s="422"/>
      <c r="F154" s="422"/>
      <c r="G154" s="422"/>
      <c r="H154" s="422"/>
      <c r="I154" s="422"/>
      <c r="J154" s="422"/>
      <c r="K154" s="422"/>
      <c r="L154" s="422"/>
      <c r="M154" s="422"/>
      <c r="N154" s="422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</row>
    <row r="155" spans="1:36" x14ac:dyDescent="0.25">
      <c r="A155" s="2"/>
      <c r="B155" s="422"/>
      <c r="C155" s="422"/>
      <c r="D155" s="422"/>
      <c r="E155" s="422"/>
      <c r="F155" s="422"/>
      <c r="G155" s="422"/>
      <c r="H155" s="422"/>
      <c r="I155" s="422"/>
      <c r="J155" s="422"/>
      <c r="K155" s="422"/>
      <c r="L155" s="422"/>
      <c r="M155" s="422"/>
      <c r="N155" s="422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</row>
    <row r="156" spans="1:36" x14ac:dyDescent="0.25">
      <c r="A156" s="2"/>
      <c r="B156" s="422"/>
      <c r="C156" s="422"/>
      <c r="D156" s="422"/>
      <c r="E156" s="422"/>
      <c r="F156" s="422"/>
      <c r="G156" s="422"/>
      <c r="H156" s="422"/>
      <c r="I156" s="422"/>
      <c r="J156" s="422"/>
      <c r="K156" s="422"/>
      <c r="L156" s="422"/>
      <c r="M156" s="422"/>
      <c r="N156" s="422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</row>
    <row r="157" spans="1:36" x14ac:dyDescent="0.25">
      <c r="A157" s="2"/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422"/>
      <c r="M157" s="422"/>
      <c r="N157" s="422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</row>
    <row r="158" spans="1:36" x14ac:dyDescent="0.25">
      <c r="A158" s="2"/>
      <c r="B158" s="422"/>
      <c r="C158" s="422"/>
      <c r="D158" s="422"/>
      <c r="E158" s="422"/>
      <c r="F158" s="422"/>
      <c r="G158" s="422"/>
      <c r="H158" s="422"/>
      <c r="I158" s="422"/>
      <c r="J158" s="422"/>
      <c r="K158" s="422"/>
      <c r="L158" s="422"/>
      <c r="M158" s="422"/>
      <c r="N158" s="422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</row>
    <row r="159" spans="1:36" x14ac:dyDescent="0.25">
      <c r="A159" s="2"/>
      <c r="B159" s="422"/>
      <c r="C159" s="422"/>
      <c r="D159" s="422"/>
      <c r="E159" s="422"/>
      <c r="F159" s="422"/>
      <c r="G159" s="422"/>
      <c r="H159" s="422"/>
      <c r="I159" s="422"/>
      <c r="J159" s="422"/>
      <c r="K159" s="422"/>
      <c r="L159" s="422"/>
      <c r="M159" s="422"/>
      <c r="N159" s="422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</row>
    <row r="160" spans="1:36" ht="9" customHeight="1" x14ac:dyDescent="0.25">
      <c r="A160" s="2"/>
      <c r="B160" s="422"/>
      <c r="C160" s="422"/>
      <c r="D160" s="422"/>
      <c r="E160" s="422"/>
      <c r="F160" s="422"/>
      <c r="G160" s="422"/>
      <c r="H160" s="422"/>
      <c r="I160" s="422"/>
      <c r="J160" s="422"/>
      <c r="K160" s="422"/>
      <c r="L160" s="422"/>
      <c r="M160" s="422"/>
      <c r="N160" s="632"/>
      <c r="O160" s="2"/>
      <c r="P160" s="2"/>
      <c r="R160" s="50"/>
      <c r="S160" s="50"/>
      <c r="T160" s="50"/>
      <c r="U160" s="50"/>
      <c r="V160" s="50"/>
      <c r="W160" s="49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</row>
    <row r="161" spans="1:36" x14ac:dyDescent="0.25">
      <c r="A161" s="2"/>
      <c r="B161" s="422"/>
      <c r="C161" s="422"/>
      <c r="D161" s="422"/>
      <c r="E161" s="422"/>
      <c r="F161" s="422"/>
      <c r="G161" s="422"/>
      <c r="H161" s="422"/>
      <c r="I161" s="422"/>
      <c r="J161" s="422"/>
      <c r="K161" s="422"/>
      <c r="L161" s="422"/>
      <c r="M161" s="422"/>
      <c r="N161" s="632"/>
      <c r="O161" s="2"/>
      <c r="P161" s="2"/>
      <c r="R161" s="50"/>
      <c r="S161" s="50"/>
      <c r="T161" s="50"/>
      <c r="U161" s="50"/>
      <c r="V161" s="50"/>
      <c r="W161" s="49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</row>
    <row r="162" spans="1:36" x14ac:dyDescent="0.25">
      <c r="A162" s="2"/>
      <c r="B162" s="422"/>
      <c r="C162" s="422"/>
      <c r="D162" s="422"/>
      <c r="E162" s="422"/>
      <c r="F162" s="422"/>
      <c r="G162" s="422"/>
      <c r="H162" s="422"/>
      <c r="I162" s="422"/>
      <c r="J162" s="422"/>
      <c r="K162" s="422"/>
      <c r="L162" s="422"/>
      <c r="M162" s="422"/>
      <c r="N162" s="632"/>
      <c r="O162" s="2"/>
      <c r="P162" s="2"/>
      <c r="R162" s="50"/>
      <c r="S162" s="50"/>
      <c r="T162" s="50"/>
      <c r="U162" s="50"/>
      <c r="V162" s="50"/>
      <c r="W162" s="49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</row>
    <row r="163" spans="1:36" x14ac:dyDescent="0.25">
      <c r="A163" s="2"/>
      <c r="B163" s="422"/>
      <c r="C163" s="422"/>
      <c r="D163" s="422"/>
      <c r="E163" s="422"/>
      <c r="F163" s="422"/>
      <c r="G163" s="422"/>
      <c r="H163" s="422"/>
      <c r="I163" s="422"/>
      <c r="J163" s="422"/>
      <c r="K163" s="422"/>
      <c r="L163" s="422"/>
      <c r="M163" s="632"/>
      <c r="N163" s="632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</row>
    <row r="164" spans="1:36" x14ac:dyDescent="0.25">
      <c r="A164" s="2"/>
      <c r="B164" s="422"/>
      <c r="C164" s="422"/>
      <c r="D164" s="422"/>
      <c r="E164" s="422"/>
      <c r="F164" s="422"/>
      <c r="G164" s="422"/>
      <c r="H164" s="422"/>
      <c r="I164" s="422"/>
      <c r="J164" s="422"/>
      <c r="K164" s="422"/>
      <c r="L164" s="422"/>
      <c r="M164" s="632"/>
      <c r="N164" s="632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</row>
    <row r="165" spans="1:36" ht="16.5" customHeight="1" x14ac:dyDescent="0.25">
      <c r="A165" s="2"/>
      <c r="B165" s="422"/>
      <c r="C165" s="422"/>
      <c r="D165" s="422"/>
      <c r="E165" s="422"/>
      <c r="F165" s="422"/>
      <c r="G165" s="422"/>
      <c r="H165" s="422"/>
      <c r="I165" s="422"/>
      <c r="J165" s="422"/>
      <c r="K165" s="422"/>
      <c r="L165" s="422"/>
      <c r="M165" s="632"/>
      <c r="N165" s="632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</row>
    <row r="166" spans="1:36" ht="8.25" customHeight="1" x14ac:dyDescent="0.25">
      <c r="A166" s="2"/>
      <c r="B166" s="422"/>
      <c r="C166" s="422"/>
      <c r="D166" s="422"/>
      <c r="E166" s="422"/>
      <c r="F166" s="422"/>
      <c r="G166" s="422"/>
      <c r="H166" s="422"/>
      <c r="I166" s="422"/>
      <c r="J166" s="422"/>
      <c r="K166" s="422"/>
      <c r="L166" s="422"/>
      <c r="M166" s="632"/>
      <c r="N166" s="632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</row>
    <row r="167" spans="1:36" x14ac:dyDescent="0.25">
      <c r="A167" s="2"/>
      <c r="B167" s="422"/>
      <c r="C167" s="422"/>
      <c r="D167" s="422"/>
      <c r="E167" s="422"/>
      <c r="F167" s="422"/>
      <c r="G167" s="422"/>
      <c r="H167" s="422"/>
      <c r="I167" s="422"/>
      <c r="J167" s="422"/>
      <c r="K167" s="422"/>
      <c r="L167" s="422"/>
      <c r="M167" s="632"/>
      <c r="N167" s="632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</row>
    <row r="168" spans="1:36" x14ac:dyDescent="0.25">
      <c r="A168" s="2"/>
      <c r="B168" s="422"/>
      <c r="C168" s="422"/>
      <c r="D168" s="422"/>
      <c r="E168" s="422"/>
      <c r="F168" s="422"/>
      <c r="G168" s="422"/>
      <c r="H168" s="422"/>
      <c r="I168" s="422"/>
      <c r="J168" s="422"/>
      <c r="K168" s="422"/>
      <c r="L168" s="422"/>
      <c r="M168" s="632"/>
      <c r="N168" s="632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</row>
    <row r="169" spans="1:36" x14ac:dyDescent="0.25">
      <c r="A169" s="2"/>
      <c r="B169" s="422"/>
      <c r="C169" s="422"/>
      <c r="D169" s="422"/>
      <c r="E169" s="422"/>
      <c r="F169" s="422"/>
      <c r="G169" s="422"/>
      <c r="H169" s="422"/>
      <c r="I169" s="422"/>
      <c r="J169" s="422"/>
      <c r="K169" s="422"/>
      <c r="L169" s="422"/>
      <c r="M169" s="632"/>
      <c r="N169" s="632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</row>
    <row r="170" spans="1:36" x14ac:dyDescent="0.25">
      <c r="A170" s="2"/>
      <c r="B170" s="422"/>
      <c r="C170" s="422"/>
      <c r="D170" s="422"/>
      <c r="E170" s="422"/>
      <c r="F170" s="422"/>
      <c r="G170" s="422"/>
      <c r="H170" s="422"/>
      <c r="I170" s="422"/>
      <c r="J170" s="422"/>
      <c r="K170" s="422"/>
      <c r="L170" s="422"/>
      <c r="M170" s="632"/>
      <c r="N170" s="632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</row>
    <row r="171" spans="1:36" x14ac:dyDescent="0.25">
      <c r="A171" s="2"/>
      <c r="B171" s="422"/>
      <c r="C171" s="422"/>
      <c r="D171" s="422"/>
      <c r="E171" s="422"/>
      <c r="F171" s="422"/>
      <c r="G171" s="422"/>
      <c r="H171" s="422"/>
      <c r="I171" s="422"/>
      <c r="J171" s="422"/>
      <c r="K171" s="422"/>
      <c r="L171" s="422"/>
      <c r="M171" s="632"/>
      <c r="N171" s="632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</row>
    <row r="172" spans="1:36" x14ac:dyDescent="0.25">
      <c r="A172" s="2"/>
      <c r="B172" s="422"/>
      <c r="C172" s="422"/>
      <c r="D172" s="422"/>
      <c r="E172" s="422"/>
      <c r="F172" s="422"/>
      <c r="G172" s="422"/>
      <c r="H172" s="422"/>
      <c r="I172" s="422"/>
      <c r="J172" s="422"/>
      <c r="K172" s="422"/>
      <c r="L172" s="422"/>
      <c r="M172" s="632"/>
      <c r="N172" s="632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</row>
    <row r="173" spans="1:36" x14ac:dyDescent="0.25">
      <c r="A173" s="2"/>
      <c r="B173" s="422"/>
      <c r="C173" s="422"/>
      <c r="D173" s="422"/>
      <c r="E173" s="422"/>
      <c r="F173" s="422"/>
      <c r="G173" s="422"/>
      <c r="H173" s="422"/>
      <c r="I173" s="422"/>
      <c r="J173" s="422"/>
      <c r="K173" s="422"/>
      <c r="L173" s="422"/>
      <c r="M173" s="632"/>
      <c r="N173" s="632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</row>
    <row r="174" spans="1:36" x14ac:dyDescent="0.25">
      <c r="A174" s="2"/>
      <c r="B174" s="422"/>
      <c r="C174" s="422"/>
      <c r="D174" s="422"/>
      <c r="E174" s="422"/>
      <c r="F174" s="422"/>
      <c r="G174" s="422"/>
      <c r="H174" s="422"/>
      <c r="I174" s="422"/>
      <c r="J174" s="422"/>
      <c r="K174" s="422"/>
      <c r="L174" s="422"/>
      <c r="M174" s="632"/>
      <c r="N174" s="632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</row>
    <row r="175" spans="1:36" x14ac:dyDescent="0.25">
      <c r="A175" s="2"/>
      <c r="B175" s="422"/>
      <c r="C175" s="422"/>
      <c r="D175" s="422"/>
      <c r="E175" s="422"/>
      <c r="F175" s="422"/>
      <c r="G175" s="422"/>
      <c r="H175" s="422"/>
      <c r="I175" s="422"/>
      <c r="J175" s="422"/>
      <c r="K175" s="422"/>
      <c r="L175" s="422"/>
      <c r="M175" s="632"/>
      <c r="N175" s="632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</row>
    <row r="176" spans="1:36" x14ac:dyDescent="0.25">
      <c r="A176" s="2"/>
      <c r="B176" s="422"/>
      <c r="C176" s="422"/>
      <c r="D176" s="422"/>
      <c r="E176" s="422"/>
      <c r="F176" s="422"/>
      <c r="G176" s="422"/>
      <c r="H176" s="422"/>
      <c r="I176" s="422"/>
      <c r="J176" s="422"/>
      <c r="K176" s="422"/>
      <c r="L176" s="422"/>
      <c r="M176" s="632"/>
      <c r="N176" s="632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</row>
    <row r="177" spans="1:36" x14ac:dyDescent="0.25">
      <c r="A177" s="2"/>
      <c r="B177" s="422"/>
      <c r="C177" s="422"/>
      <c r="D177" s="422"/>
      <c r="E177" s="422"/>
      <c r="F177" s="422"/>
      <c r="G177" s="422"/>
      <c r="H177" s="422"/>
      <c r="I177" s="422"/>
      <c r="J177" s="422"/>
      <c r="K177" s="422"/>
      <c r="L177" s="422"/>
      <c r="M177" s="632"/>
      <c r="N177" s="632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</row>
    <row r="178" spans="1:36" x14ac:dyDescent="0.25">
      <c r="A178" s="2"/>
      <c r="B178" s="422"/>
      <c r="C178" s="422"/>
      <c r="D178" s="422"/>
      <c r="E178" s="422"/>
      <c r="F178" s="422"/>
      <c r="G178" s="422"/>
      <c r="H178" s="422"/>
      <c r="I178" s="422"/>
      <c r="J178" s="422"/>
      <c r="K178" s="422"/>
      <c r="L178" s="422"/>
      <c r="M178" s="632"/>
      <c r="N178" s="632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</row>
    <row r="179" spans="1:36" x14ac:dyDescent="0.25">
      <c r="A179" s="2"/>
      <c r="B179" s="422"/>
      <c r="C179" s="422"/>
      <c r="D179" s="422"/>
      <c r="E179" s="422"/>
      <c r="F179" s="422"/>
      <c r="G179" s="422"/>
      <c r="H179" s="422"/>
      <c r="I179" s="422"/>
      <c r="J179" s="422"/>
      <c r="K179" s="422"/>
      <c r="L179" s="422"/>
      <c r="M179" s="632"/>
      <c r="N179" s="632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</row>
    <row r="180" spans="1:36" x14ac:dyDescent="0.25">
      <c r="A180" s="2"/>
      <c r="B180" s="422"/>
      <c r="C180" s="422"/>
      <c r="D180" s="422"/>
      <c r="E180" s="422"/>
      <c r="F180" s="422"/>
      <c r="G180" s="422"/>
      <c r="H180" s="422"/>
      <c r="I180" s="422"/>
      <c r="J180" s="422"/>
      <c r="K180" s="422"/>
      <c r="L180" s="422"/>
      <c r="M180" s="632"/>
      <c r="N180" s="632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</row>
    <row r="181" spans="1:36" x14ac:dyDescent="0.25">
      <c r="A181" s="2"/>
      <c r="B181" s="422"/>
      <c r="C181" s="422"/>
      <c r="D181" s="422"/>
      <c r="E181" s="422"/>
      <c r="F181" s="422"/>
      <c r="G181" s="422"/>
      <c r="H181" s="422"/>
      <c r="I181" s="422"/>
      <c r="J181" s="422"/>
      <c r="K181" s="422"/>
      <c r="L181" s="422"/>
      <c r="M181" s="632"/>
      <c r="N181" s="632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</row>
    <row r="182" spans="1:36" x14ac:dyDescent="0.25">
      <c r="A182" s="2"/>
      <c r="B182" s="422"/>
      <c r="C182" s="422"/>
      <c r="D182" s="422"/>
      <c r="E182" s="422"/>
      <c r="F182" s="422"/>
      <c r="G182" s="422"/>
      <c r="H182" s="422"/>
      <c r="I182" s="422"/>
      <c r="J182" s="422"/>
      <c r="K182" s="422"/>
      <c r="L182" s="422"/>
      <c r="M182" s="632"/>
      <c r="N182" s="632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</row>
    <row r="183" spans="1:36" x14ac:dyDescent="0.25">
      <c r="A183" s="2"/>
      <c r="B183" s="422"/>
      <c r="C183" s="422"/>
      <c r="D183" s="422"/>
      <c r="E183" s="422"/>
      <c r="F183" s="422"/>
      <c r="G183" s="422"/>
      <c r="H183" s="422"/>
      <c r="I183" s="422"/>
      <c r="J183" s="422"/>
      <c r="K183" s="422"/>
      <c r="L183" s="422"/>
      <c r="M183" s="632"/>
      <c r="N183" s="632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</row>
    <row r="184" spans="1:36" x14ac:dyDescent="0.25">
      <c r="A184" s="2"/>
      <c r="B184" s="422"/>
      <c r="C184" s="422"/>
      <c r="D184" s="422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</row>
    <row r="185" spans="1:36" x14ac:dyDescent="0.25">
      <c r="A185" s="2"/>
      <c r="B185" s="422"/>
      <c r="C185" s="42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</row>
    <row r="186" spans="1:36" x14ac:dyDescent="0.25">
      <c r="A186" s="2"/>
      <c r="B186" s="422"/>
      <c r="C186" s="422"/>
      <c r="D186" s="422"/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</row>
    <row r="187" spans="1:36" x14ac:dyDescent="0.25">
      <c r="A187" s="2"/>
      <c r="B187" s="422"/>
      <c r="C187" s="422"/>
      <c r="D187" s="422"/>
      <c r="E187" s="422"/>
      <c r="F187" s="422"/>
      <c r="G187" s="422"/>
      <c r="H187" s="422"/>
      <c r="I187" s="422"/>
      <c r="J187" s="422"/>
      <c r="K187" s="422"/>
      <c r="L187" s="422"/>
      <c r="M187" s="422"/>
      <c r="N187" s="422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</row>
    <row r="188" spans="1:36" x14ac:dyDescent="0.25">
      <c r="A188" s="2"/>
      <c r="B188" s="422"/>
      <c r="C188" s="42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</row>
    <row r="189" spans="1:36" x14ac:dyDescent="0.25">
      <c r="A189" s="2"/>
      <c r="B189" s="422"/>
      <c r="C189" s="42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</row>
    <row r="190" spans="1:36" x14ac:dyDescent="0.25">
      <c r="A190" s="2"/>
      <c r="B190" s="422"/>
      <c r="C190" s="42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</row>
    <row r="191" spans="1:36" x14ac:dyDescent="0.25">
      <c r="A191" s="2"/>
      <c r="B191" s="422"/>
      <c r="C191" s="422"/>
      <c r="D191" s="422"/>
      <c r="E191" s="422"/>
      <c r="F191" s="422"/>
      <c r="G191" s="422"/>
      <c r="H191" s="422"/>
      <c r="I191" s="422"/>
      <c r="J191" s="422"/>
      <c r="K191" s="422"/>
      <c r="L191" s="422"/>
      <c r="M191" s="632"/>
      <c r="N191" s="632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</row>
    <row r="192" spans="1:36" x14ac:dyDescent="0.25">
      <c r="A192" s="2"/>
      <c r="B192" s="422"/>
      <c r="C192" s="422"/>
      <c r="D192" s="422"/>
      <c r="E192" s="422"/>
      <c r="F192" s="422"/>
      <c r="G192" s="422"/>
      <c r="H192" s="422"/>
      <c r="I192" s="422"/>
      <c r="J192" s="422"/>
      <c r="K192" s="422"/>
      <c r="L192" s="422"/>
      <c r="M192" s="632"/>
      <c r="N192" s="632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</row>
    <row r="193" spans="1:36" x14ac:dyDescent="0.25">
      <c r="A193" s="2"/>
      <c r="B193" s="422"/>
      <c r="C193" s="422"/>
      <c r="D193" s="422"/>
      <c r="E193" s="422"/>
      <c r="F193" s="422"/>
      <c r="G193" s="422"/>
      <c r="H193" s="422"/>
      <c r="I193" s="422"/>
      <c r="J193" s="422"/>
      <c r="K193" s="422"/>
      <c r="L193" s="422"/>
      <c r="M193" s="632"/>
      <c r="N193" s="632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</row>
    <row r="194" spans="1:36" x14ac:dyDescent="0.25">
      <c r="A194" s="2"/>
      <c r="B194" s="422"/>
      <c r="C194" s="422"/>
      <c r="D194" s="422"/>
      <c r="E194" s="422"/>
      <c r="F194" s="422"/>
      <c r="G194" s="422"/>
      <c r="H194" s="422"/>
      <c r="I194" s="422"/>
      <c r="J194" s="422"/>
      <c r="K194" s="422"/>
      <c r="L194" s="422"/>
      <c r="M194" s="632"/>
      <c r="N194" s="632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</row>
    <row r="195" spans="1:36" x14ac:dyDescent="0.25">
      <c r="A195" s="2"/>
      <c r="B195" s="422"/>
      <c r="C195" s="422"/>
      <c r="D195" s="422"/>
      <c r="E195" s="422"/>
      <c r="F195" s="422"/>
      <c r="G195" s="422"/>
      <c r="H195" s="422"/>
      <c r="I195" s="422"/>
      <c r="J195" s="422"/>
      <c r="K195" s="422"/>
      <c r="L195" s="422"/>
      <c r="M195" s="632"/>
      <c r="N195" s="632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</row>
    <row r="196" spans="1:36" x14ac:dyDescent="0.25">
      <c r="A196" s="2"/>
      <c r="B196" s="422"/>
      <c r="C196" s="422"/>
      <c r="D196" s="422"/>
      <c r="E196" s="422"/>
      <c r="F196" s="422"/>
      <c r="G196" s="422"/>
      <c r="H196" s="422"/>
      <c r="I196" s="422"/>
      <c r="J196" s="422"/>
      <c r="K196" s="422"/>
      <c r="L196" s="422"/>
      <c r="M196" s="632"/>
      <c r="N196" s="632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</row>
    <row r="197" spans="1:36" x14ac:dyDescent="0.25">
      <c r="A197" s="2"/>
      <c r="B197" s="422"/>
      <c r="C197" s="422"/>
      <c r="D197" s="422"/>
      <c r="E197" s="422"/>
      <c r="F197" s="422"/>
      <c r="G197" s="422"/>
      <c r="H197" s="422"/>
      <c r="I197" s="422"/>
      <c r="J197" s="422"/>
      <c r="K197" s="422"/>
      <c r="L197" s="422"/>
      <c r="M197" s="632"/>
      <c r="N197" s="632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</row>
    <row r="198" spans="1:36" x14ac:dyDescent="0.25">
      <c r="A198" s="2"/>
      <c r="B198" s="422"/>
      <c r="C198" s="422"/>
      <c r="D198" s="422"/>
      <c r="E198" s="422"/>
      <c r="F198" s="422"/>
      <c r="G198" s="422"/>
      <c r="H198" s="422"/>
      <c r="I198" s="422"/>
      <c r="J198" s="422"/>
      <c r="K198" s="422"/>
      <c r="L198" s="422"/>
      <c r="M198" s="422"/>
      <c r="N198" s="422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</row>
    <row r="199" spans="1:36" x14ac:dyDescent="0.25">
      <c r="A199" s="2"/>
      <c r="B199" s="422"/>
      <c r="C199" s="422"/>
      <c r="D199" s="422"/>
      <c r="E199" s="422"/>
      <c r="F199" s="422"/>
      <c r="G199" s="422"/>
      <c r="H199" s="422"/>
      <c r="I199" s="422"/>
      <c r="J199" s="422"/>
      <c r="K199" s="422"/>
      <c r="L199" s="422"/>
      <c r="M199" s="422"/>
      <c r="N199" s="422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</row>
    <row r="200" spans="1:36" x14ac:dyDescent="0.25">
      <c r="A200" s="2"/>
      <c r="B200" s="422"/>
      <c r="C200" s="42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</row>
    <row r="201" spans="1:36" x14ac:dyDescent="0.25">
      <c r="A201" s="2"/>
      <c r="B201" s="422"/>
      <c r="C201" s="42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</row>
    <row r="202" spans="1:36" x14ac:dyDescent="0.25">
      <c r="A202" s="2"/>
      <c r="B202" s="422"/>
      <c r="C202" s="422"/>
      <c r="D202" s="422"/>
      <c r="E202" s="422"/>
      <c r="F202" s="422"/>
      <c r="G202" s="422"/>
      <c r="H202" s="422"/>
      <c r="I202" s="422"/>
      <c r="J202" s="422"/>
      <c r="K202" s="422"/>
      <c r="L202" s="422"/>
      <c r="M202" s="422"/>
      <c r="N202" s="422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</row>
    <row r="203" spans="1:36" x14ac:dyDescent="0.25">
      <c r="A203" s="2"/>
      <c r="B203" s="422"/>
      <c r="C203" s="422"/>
      <c r="D203" s="422"/>
      <c r="E203" s="422"/>
      <c r="F203" s="422"/>
      <c r="G203" s="422"/>
      <c r="H203" s="422"/>
      <c r="I203" s="422"/>
      <c r="J203" s="422"/>
      <c r="K203" s="422"/>
      <c r="L203" s="422"/>
      <c r="M203" s="422"/>
      <c r="N203" s="422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</row>
    <row r="204" spans="1:36" x14ac:dyDescent="0.25">
      <c r="A204" s="2"/>
      <c r="B204" s="422"/>
      <c r="C204" s="42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</row>
    <row r="205" spans="1:36" x14ac:dyDescent="0.25">
      <c r="A205" s="2"/>
      <c r="B205" s="422"/>
      <c r="C205" s="42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</row>
    <row r="206" spans="1:36" x14ac:dyDescent="0.25">
      <c r="A206" s="2"/>
      <c r="B206" s="422"/>
      <c r="C206" s="42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</row>
    <row r="207" spans="1:36" x14ac:dyDescent="0.25">
      <c r="A207" s="2"/>
      <c r="B207" s="422"/>
      <c r="C207" s="42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</row>
    <row r="208" spans="1:36" x14ac:dyDescent="0.25">
      <c r="A208" s="2"/>
      <c r="B208" s="422"/>
      <c r="C208" s="42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</row>
    <row r="209" spans="1:36" x14ac:dyDescent="0.25">
      <c r="A209" s="2"/>
      <c r="B209" s="422"/>
      <c r="C209" s="42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</row>
    <row r="210" spans="1:36" x14ac:dyDescent="0.25">
      <c r="B210" s="422"/>
      <c r="C210" s="42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</row>
    <row r="211" spans="1:36" x14ac:dyDescent="0.25">
      <c r="B211" s="422"/>
      <c r="C211" s="42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</row>
    <row r="212" spans="1:36" x14ac:dyDescent="0.25">
      <c r="B212" s="422"/>
      <c r="C212" s="42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</row>
    <row r="213" spans="1:36" ht="15" customHeight="1" x14ac:dyDescent="0.25">
      <c r="B213" s="422"/>
      <c r="C213" s="42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</row>
    <row r="214" spans="1:36" ht="15" customHeight="1" x14ac:dyDescent="0.25">
      <c r="B214" s="422"/>
      <c r="C214" s="42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</row>
    <row r="215" spans="1:36" ht="15" customHeight="1" x14ac:dyDescent="0.25">
      <c r="B215" s="422"/>
      <c r="C215" s="42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</row>
    <row r="216" spans="1:36" ht="17.25" customHeight="1" x14ac:dyDescent="0.25">
      <c r="B216" s="422"/>
      <c r="C216" s="42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</row>
    <row r="217" spans="1:36" x14ac:dyDescent="0.25">
      <c r="B217" s="422"/>
      <c r="C217" s="42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</row>
    <row r="218" spans="1:36" x14ac:dyDescent="0.25">
      <c r="B218" s="422"/>
      <c r="C218" s="42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</row>
    <row r="219" spans="1:36" x14ac:dyDescent="0.25">
      <c r="B219" s="422"/>
      <c r="C219" s="42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</row>
    <row r="220" spans="1:36" x14ac:dyDescent="0.25">
      <c r="B220" s="422"/>
      <c r="C220" s="42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</row>
    <row r="221" spans="1:36" x14ac:dyDescent="0.25">
      <c r="B221" s="422"/>
      <c r="C221" s="42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</row>
    <row r="222" spans="1:36" x14ac:dyDescent="0.25">
      <c r="B222" s="422"/>
      <c r="C222" s="42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</row>
    <row r="223" spans="1:36" x14ac:dyDescent="0.25">
      <c r="B223" s="422"/>
      <c r="C223" s="42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</row>
    <row r="224" spans="1:36" x14ac:dyDescent="0.25">
      <c r="B224" s="422"/>
      <c r="C224" s="42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</row>
    <row r="225" spans="2:36" x14ac:dyDescent="0.25"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</row>
    <row r="226" spans="2:36" x14ac:dyDescent="0.25"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</row>
    <row r="227" spans="2:36" x14ac:dyDescent="0.25">
      <c r="B227" s="422"/>
      <c r="C227" s="42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</row>
    <row r="228" spans="2:36" x14ac:dyDescent="0.25">
      <c r="B228" s="422"/>
      <c r="C228" s="42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</row>
    <row r="229" spans="2:36" x14ac:dyDescent="0.25"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</row>
    <row r="230" spans="2:36" x14ac:dyDescent="0.25"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</row>
    <row r="231" spans="2:36" x14ac:dyDescent="0.25">
      <c r="B231" s="422"/>
      <c r="C231" s="42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</row>
    <row r="232" spans="2:36" ht="15.75" customHeight="1" x14ac:dyDescent="0.25">
      <c r="B232" s="422"/>
      <c r="C232" s="42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</row>
    <row r="233" spans="2:36" x14ac:dyDescent="0.25">
      <c r="B233" s="422"/>
      <c r="C233" s="42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</row>
    <row r="234" spans="2:36" x14ac:dyDescent="0.25">
      <c r="B234" s="422"/>
      <c r="C234" s="42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</row>
    <row r="235" spans="2:36" x14ac:dyDescent="0.25">
      <c r="B235" s="422"/>
      <c r="C235" s="42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</row>
    <row r="236" spans="2:36" x14ac:dyDescent="0.25">
      <c r="B236" s="422"/>
      <c r="C236" s="42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</row>
    <row r="237" spans="2:36" x14ac:dyDescent="0.25"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</row>
    <row r="238" spans="2:36" x14ac:dyDescent="0.25"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</row>
    <row r="239" spans="2:36" x14ac:dyDescent="0.25"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</row>
    <row r="240" spans="2:36" x14ac:dyDescent="0.25"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</row>
    <row r="241" spans="13:36" x14ac:dyDescent="0.25"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</row>
    <row r="242" spans="13:36" x14ac:dyDescent="0.25"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</row>
    <row r="243" spans="13:36" x14ac:dyDescent="0.25"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</row>
    <row r="244" spans="13:36" x14ac:dyDescent="0.25"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</row>
    <row r="245" spans="13:36" x14ac:dyDescent="0.25"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</row>
    <row r="246" spans="13:36" x14ac:dyDescent="0.25"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</row>
    <row r="247" spans="13:36" x14ac:dyDescent="0.25"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</row>
    <row r="248" spans="13:36" x14ac:dyDescent="0.25"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</row>
    <row r="249" spans="13:36" x14ac:dyDescent="0.25"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</row>
    <row r="250" spans="13:36" x14ac:dyDescent="0.25"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</row>
    <row r="251" spans="13:36" x14ac:dyDescent="0.25"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</row>
    <row r="252" spans="13:36" x14ac:dyDescent="0.25"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</row>
    <row r="253" spans="13:36" x14ac:dyDescent="0.25"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</row>
    <row r="254" spans="13:36" x14ac:dyDescent="0.25"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</row>
    <row r="255" spans="13:36" x14ac:dyDescent="0.25"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</row>
    <row r="256" spans="13:36" x14ac:dyDescent="0.25"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</row>
    <row r="257" spans="6:36" x14ac:dyDescent="0.25"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</row>
    <row r="258" spans="6:36" x14ac:dyDescent="0.25"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</row>
    <row r="259" spans="6:36" x14ac:dyDescent="0.25"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</row>
    <row r="260" spans="6:36" x14ac:dyDescent="0.25"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</row>
    <row r="261" spans="6:36" x14ac:dyDescent="0.25"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</row>
    <row r="262" spans="6:36" x14ac:dyDescent="0.25"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</row>
    <row r="263" spans="6:36" ht="8.25" customHeight="1" x14ac:dyDescent="0.25"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</row>
    <row r="264" spans="6:36" x14ac:dyDescent="0.25"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</row>
    <row r="265" spans="6:36" x14ac:dyDescent="0.25"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</row>
    <row r="266" spans="6:36" x14ac:dyDescent="0.25"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</row>
    <row r="267" spans="6:36" x14ac:dyDescent="0.25"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</row>
    <row r="268" spans="6:36" x14ac:dyDescent="0.25"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</row>
    <row r="269" spans="6:36" x14ac:dyDescent="0.25"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</row>
    <row r="270" spans="6:36" x14ac:dyDescent="0.25"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</row>
    <row r="271" spans="6:36" x14ac:dyDescent="0.25"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</row>
    <row r="272" spans="6:36" x14ac:dyDescent="0.25"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</row>
    <row r="273" spans="6:36" x14ac:dyDescent="0.25"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</row>
    <row r="274" spans="6:36" x14ac:dyDescent="0.25"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</row>
    <row r="275" spans="6:36" x14ac:dyDescent="0.25"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</row>
    <row r="276" spans="6:36" x14ac:dyDescent="0.25"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</row>
    <row r="277" spans="6:36" x14ac:dyDescent="0.25"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</row>
    <row r="278" spans="6:36" x14ac:dyDescent="0.25"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</row>
    <row r="279" spans="6:36" x14ac:dyDescent="0.25"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</row>
    <row r="280" spans="6:36" x14ac:dyDescent="0.25"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</row>
    <row r="281" spans="6:36" x14ac:dyDescent="0.25"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</row>
    <row r="282" spans="6:36" x14ac:dyDescent="0.25"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</row>
    <row r="283" spans="6:36" x14ac:dyDescent="0.25"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</row>
    <row r="284" spans="6:36" x14ac:dyDescent="0.25"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</row>
    <row r="285" spans="6:36" x14ac:dyDescent="0.25"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</row>
    <row r="286" spans="6:36" x14ac:dyDescent="0.25"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</row>
    <row r="287" spans="6:36" x14ac:dyDescent="0.25"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</row>
    <row r="288" spans="6:36" x14ac:dyDescent="0.25"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</row>
    <row r="289" spans="6:36" x14ac:dyDescent="0.25"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</row>
    <row r="290" spans="6:36" x14ac:dyDescent="0.25"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</row>
    <row r="291" spans="6:36" x14ac:dyDescent="0.25"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</row>
    <row r="292" spans="6:36" x14ac:dyDescent="0.25"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</row>
    <row r="293" spans="6:36" x14ac:dyDescent="0.25"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</row>
    <row r="294" spans="6:36" x14ac:dyDescent="0.25"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</row>
    <row r="295" spans="6:36" x14ac:dyDescent="0.25"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</row>
    <row r="296" spans="6:36" x14ac:dyDescent="0.25"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</row>
    <row r="297" spans="6:36" x14ac:dyDescent="0.25"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</row>
    <row r="298" spans="6:36" x14ac:dyDescent="0.25"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</row>
    <row r="299" spans="6:36" x14ac:dyDescent="0.25"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</row>
    <row r="300" spans="6:36" x14ac:dyDescent="0.25"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</row>
    <row r="301" spans="6:36" x14ac:dyDescent="0.25"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</row>
    <row r="302" spans="6:36" x14ac:dyDescent="0.25"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</row>
    <row r="303" spans="6:36" x14ac:dyDescent="0.25"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</row>
    <row r="304" spans="6:36" x14ac:dyDescent="0.25"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</row>
    <row r="305" spans="6:36" x14ac:dyDescent="0.25"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</row>
    <row r="306" spans="6:36" x14ac:dyDescent="0.25"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</row>
    <row r="307" spans="6:36" x14ac:dyDescent="0.25"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</row>
    <row r="308" spans="6:36" x14ac:dyDescent="0.25"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</row>
    <row r="309" spans="6:36" x14ac:dyDescent="0.25"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</row>
    <row r="310" spans="6:36" x14ac:dyDescent="0.25"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</row>
    <row r="311" spans="6:36" x14ac:dyDescent="0.25"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</row>
    <row r="312" spans="6:36" x14ac:dyDescent="0.25"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</row>
    <row r="313" spans="6:36" x14ac:dyDescent="0.25"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</row>
    <row r="314" spans="6:36" x14ac:dyDescent="0.25"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</row>
    <row r="315" spans="6:36" x14ac:dyDescent="0.25"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</row>
    <row r="316" spans="6:36" x14ac:dyDescent="0.25"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</row>
    <row r="317" spans="6:36" x14ac:dyDescent="0.25"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</row>
    <row r="318" spans="6:36" x14ac:dyDescent="0.25"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</row>
    <row r="319" spans="6:36" x14ac:dyDescent="0.25"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</row>
    <row r="320" spans="6:36" x14ac:dyDescent="0.25"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</row>
    <row r="321" spans="6:36" x14ac:dyDescent="0.25"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</row>
    <row r="322" spans="6:36" x14ac:dyDescent="0.25"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</row>
    <row r="323" spans="6:36" x14ac:dyDescent="0.25"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</row>
    <row r="324" spans="6:36" x14ac:dyDescent="0.25"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</row>
    <row r="325" spans="6:36" x14ac:dyDescent="0.25"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</row>
    <row r="326" spans="6:36" x14ac:dyDescent="0.25"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</row>
    <row r="327" spans="6:36" x14ac:dyDescent="0.25"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</row>
    <row r="328" spans="6:36" x14ac:dyDescent="0.25"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</row>
    <row r="329" spans="6:36" x14ac:dyDescent="0.25"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</row>
    <row r="330" spans="6:36" x14ac:dyDescent="0.25"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</row>
    <row r="331" spans="6:36" x14ac:dyDescent="0.25"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</row>
    <row r="332" spans="6:36" x14ac:dyDescent="0.25"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</row>
  </sheetData>
  <sheetProtection algorithmName="SHA-512" hashValue="TC48nEQgFXIrmf8m6NaHFjgztLBSkjV3QSk5tiZB8ijO9Z3Q/fqBCXauxYewI1lb6aof9wfwBTlqlekcj4N9OA==" saltValue="uC+1D0yPt5zDYcP6jYjDbQ==" spinCount="100000" sheet="1" objects="1" scenarios="1" selectLockedCells="1" selectUnlockedCells="1"/>
  <customSheetViews>
    <customSheetView guid="{101D851C-E4EE-4443-B6A9-9040ACB2A650}" scale="90" showGridLines="0" showRowCol="0" fitToPage="1">
      <selection activeCell="G46" sqref="G46:I46"/>
      <rowBreaks count="1" manualBreakCount="1">
        <brk id="65" max="16383" man="1"/>
      </rowBreaks>
      <colBreaks count="1" manualBreakCount="1">
        <brk id="1" max="1048575" man="1"/>
      </colBreaks>
      <pageMargins left="0.59055118110236227" right="0.51181102362204722" top="0.39370078740157483" bottom="0.35433070866141736" header="0.31496062992125984" footer="0.31496062992125984"/>
      <pageSetup paperSize="9" scale="69" fitToHeight="0" orientation="portrait" r:id="rId1"/>
    </customSheetView>
  </customSheetViews>
  <mergeCells count="18">
    <mergeCell ref="B88:C88"/>
    <mergeCell ref="B102:C102"/>
    <mergeCell ref="B64:C64"/>
    <mergeCell ref="B46:B47"/>
    <mergeCell ref="B48:B49"/>
    <mergeCell ref="B61:C61"/>
    <mergeCell ref="B62:C62"/>
    <mergeCell ref="B63:C63"/>
    <mergeCell ref="B70:B71"/>
    <mergeCell ref="B72:B73"/>
    <mergeCell ref="B74:B75"/>
    <mergeCell ref="B78:C78"/>
    <mergeCell ref="B83:C83"/>
    <mergeCell ref="D102:F102"/>
    <mergeCell ref="B104:C104"/>
    <mergeCell ref="D104:F104"/>
    <mergeCell ref="B107:C107"/>
    <mergeCell ref="B113:C113"/>
  </mergeCells>
  <conditionalFormatting sqref="G124">
    <cfRule type="cellIs" dxfId="20" priority="1" operator="equal">
      <formula>"VERIFICATO"</formula>
    </cfRule>
  </conditionalFormatting>
  <pageMargins left="0.59055118110236227" right="0.51181102362204722" top="0.39370078740157483" bottom="0.35433070866141736" header="0.31496062992125984" footer="0.31496062992125984"/>
  <pageSetup paperSize="9" scale="69" fitToHeight="0" orientation="portrait" r:id="rId2"/>
  <rowBreaks count="1" manualBreakCount="1">
    <brk id="65" max="16383" man="1"/>
  </rowBreaks>
  <colBreaks count="1" manualBreakCount="1">
    <brk id="1" max="1048575" man="1"/>
  </col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B1:X123"/>
  <sheetViews>
    <sheetView showGridLines="0" showRowColHeaders="0" topLeftCell="A57" zoomScale="90" zoomScaleNormal="90" workbookViewId="0">
      <selection activeCell="I86" sqref="I86"/>
    </sheetView>
  </sheetViews>
  <sheetFormatPr defaultRowHeight="15" x14ac:dyDescent="0.25"/>
  <cols>
    <col min="1" max="1" width="2.140625" customWidth="1"/>
    <col min="2" max="2" width="34.140625" customWidth="1"/>
    <col min="3" max="3" width="10.28515625" customWidth="1"/>
    <col min="4" max="4" width="11.140625" customWidth="1"/>
    <col min="5" max="5" width="10.140625" customWidth="1"/>
    <col min="6" max="6" width="10.42578125" bestFit="1" customWidth="1"/>
    <col min="7" max="7" width="9.5703125" customWidth="1"/>
    <col min="8" max="8" width="11.5703125" customWidth="1"/>
    <col min="10" max="10" width="10.28515625" bestFit="1" customWidth="1"/>
    <col min="11" max="11" width="10.85546875" customWidth="1"/>
    <col min="13" max="13" width="8.7109375" customWidth="1"/>
    <col min="14" max="14" width="13" customWidth="1"/>
  </cols>
  <sheetData>
    <row r="1" spans="2:24" ht="9" customHeight="1" x14ac:dyDescent="0.25"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</row>
    <row r="2" spans="2:24" ht="23.25" x14ac:dyDescent="0.35">
      <c r="B2" s="414" t="s">
        <v>742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</row>
    <row r="3" spans="2:24" ht="6.75" customHeight="1" x14ac:dyDescent="0.25"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</row>
    <row r="4" spans="2:24" ht="21" x14ac:dyDescent="0.35">
      <c r="B4" s="415" t="s">
        <v>54</v>
      </c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</row>
    <row r="5" spans="2:24" s="421" customFormat="1" ht="21" x14ac:dyDescent="0.35">
      <c r="B5" s="415"/>
      <c r="C5" s="422"/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</row>
    <row r="6" spans="2:24" s="421" customFormat="1" ht="18.75" x14ac:dyDescent="0.3">
      <c r="B6" s="424" t="s">
        <v>781</v>
      </c>
      <c r="C6" s="432"/>
      <c r="D6" s="666"/>
      <c r="E6" s="667"/>
      <c r="F6" s="422"/>
      <c r="G6" s="422"/>
      <c r="H6" s="422"/>
      <c r="I6" s="422"/>
      <c r="J6" s="422"/>
      <c r="K6" s="422"/>
      <c r="L6" s="422"/>
      <c r="M6" s="422"/>
      <c r="N6" s="422"/>
      <c r="O6" s="422"/>
      <c r="P6" s="422"/>
      <c r="Q6" s="422"/>
      <c r="R6" s="422"/>
      <c r="S6" s="422"/>
      <c r="T6" s="422"/>
      <c r="U6" s="422"/>
      <c r="V6" s="422"/>
      <c r="W6" s="422"/>
      <c r="X6" s="422"/>
    </row>
    <row r="7" spans="2:24" s="421" customFormat="1" ht="18.75" x14ac:dyDescent="0.3">
      <c r="B7" s="433"/>
      <c r="C7" s="432"/>
      <c r="D7" s="666"/>
      <c r="E7" s="667"/>
      <c r="F7" s="422"/>
      <c r="G7" s="422"/>
      <c r="H7" s="422"/>
      <c r="I7" s="422"/>
      <c r="J7" s="422"/>
      <c r="K7" s="422"/>
      <c r="L7" s="422"/>
      <c r="M7" s="422"/>
      <c r="N7" s="422"/>
      <c r="O7" s="422"/>
      <c r="P7" s="422"/>
      <c r="Q7" s="422"/>
      <c r="R7" s="422"/>
      <c r="S7" s="422"/>
      <c r="T7" s="422"/>
      <c r="U7" s="422"/>
      <c r="V7" s="422"/>
      <c r="W7" s="422"/>
      <c r="X7" s="422"/>
    </row>
    <row r="8" spans="2:24" s="421" customFormat="1" x14ac:dyDescent="0.25">
      <c r="B8" s="628" t="s">
        <v>331</v>
      </c>
      <c r="C8" s="945" t="str">
        <f>SPINTE!C6</f>
        <v>SISMICA</v>
      </c>
      <c r="D8" s="953"/>
      <c r="E8" s="23"/>
      <c r="F8" s="422"/>
      <c r="G8" s="438" t="s">
        <v>467</v>
      </c>
      <c r="H8" s="623" t="s">
        <v>25</v>
      </c>
      <c r="I8" s="422"/>
      <c r="J8" s="422"/>
      <c r="K8" s="422"/>
      <c r="L8" s="422"/>
      <c r="M8" s="422"/>
      <c r="N8" s="422"/>
      <c r="O8" s="422"/>
      <c r="P8" s="422"/>
      <c r="Q8" s="422"/>
      <c r="R8" s="422"/>
      <c r="S8" s="422"/>
      <c r="T8" s="422"/>
      <c r="U8" s="422"/>
      <c r="V8" s="422"/>
      <c r="W8" s="422"/>
      <c r="X8" s="422"/>
    </row>
    <row r="9" spans="2:24" s="421" customFormat="1" x14ac:dyDescent="0.25">
      <c r="B9" s="451"/>
      <c r="C9" s="422"/>
      <c r="D9" s="422"/>
      <c r="E9" s="23"/>
      <c r="F9" s="422"/>
      <c r="G9" s="751" t="s">
        <v>882</v>
      </c>
      <c r="H9" s="625">
        <f>SPINTE!D11</f>
        <v>1</v>
      </c>
      <c r="I9" s="422"/>
      <c r="J9" s="422"/>
      <c r="K9" s="422"/>
      <c r="L9" s="422"/>
      <c r="M9" s="422"/>
      <c r="N9" s="422"/>
      <c r="O9" s="422"/>
      <c r="P9" s="422"/>
      <c r="Q9" s="422"/>
      <c r="R9" s="422"/>
      <c r="S9" s="422"/>
      <c r="T9" s="422"/>
      <c r="U9" s="422"/>
      <c r="V9" s="422"/>
      <c r="W9" s="422"/>
      <c r="X9" s="422"/>
    </row>
    <row r="10" spans="2:24" s="421" customFormat="1" x14ac:dyDescent="0.25">
      <c r="B10" s="628" t="s">
        <v>473</v>
      </c>
      <c r="C10" s="425" t="str">
        <f>SPINTE!C8</f>
        <v>APPROCCIO 1 --- Combinazione (A1+M1+R1)</v>
      </c>
      <c r="D10" s="316"/>
      <c r="E10" s="23"/>
      <c r="F10" s="422"/>
      <c r="G10" s="751" t="s">
        <v>883</v>
      </c>
      <c r="H10" s="625">
        <f>SPINTE!D12</f>
        <v>1</v>
      </c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</row>
    <row r="11" spans="2:24" s="421" customFormat="1" x14ac:dyDescent="0.25">
      <c r="B11" s="628"/>
      <c r="C11" s="628"/>
      <c r="D11" s="629"/>
      <c r="E11" s="422"/>
      <c r="F11" s="422"/>
      <c r="G11" s="751" t="s">
        <v>884</v>
      </c>
      <c r="H11" s="625">
        <f>SPINTE!D13</f>
        <v>1</v>
      </c>
      <c r="I11" s="422"/>
      <c r="J11" s="422"/>
      <c r="K11" s="422"/>
      <c r="L11" s="422"/>
      <c r="M11" s="422"/>
      <c r="N11" s="422"/>
      <c r="O11" s="422"/>
      <c r="P11" s="422"/>
      <c r="Q11" s="422"/>
      <c r="R11" s="422"/>
      <c r="S11" s="422"/>
      <c r="T11" s="422"/>
      <c r="U11" s="422"/>
      <c r="V11" s="422"/>
      <c r="W11" s="422"/>
      <c r="X11" s="422"/>
    </row>
    <row r="12" spans="2:24" s="421" customFormat="1" x14ac:dyDescent="0.25">
      <c r="B12" s="628"/>
      <c r="C12" s="422"/>
      <c r="D12" s="422"/>
      <c r="E12" s="422"/>
      <c r="F12" s="422"/>
      <c r="G12" s="628"/>
      <c r="H12" s="440"/>
      <c r="I12" s="422"/>
      <c r="J12" s="422"/>
      <c r="K12" s="422"/>
      <c r="L12" s="422"/>
      <c r="M12" s="422"/>
      <c r="N12" s="422"/>
      <c r="O12" s="422"/>
      <c r="P12" s="422"/>
      <c r="Q12" s="422"/>
      <c r="R12" s="422"/>
      <c r="S12" s="422"/>
      <c r="T12" s="422"/>
      <c r="U12" s="422"/>
      <c r="V12" s="422"/>
      <c r="W12" s="422"/>
      <c r="X12" s="422"/>
    </row>
    <row r="13" spans="2:24" s="421" customFormat="1" x14ac:dyDescent="0.25">
      <c r="B13" s="628"/>
      <c r="C13" s="422"/>
      <c r="D13" s="422"/>
      <c r="E13" s="422"/>
      <c r="F13" s="422"/>
      <c r="G13" s="438" t="s">
        <v>468</v>
      </c>
      <c r="H13" s="439">
        <f>'Sollecitazioni nella zattera'!F18</f>
        <v>1</v>
      </c>
      <c r="I13" s="422"/>
      <c r="J13" s="422"/>
      <c r="K13" s="422"/>
      <c r="L13" s="422"/>
      <c r="M13" s="422"/>
      <c r="N13" s="422"/>
      <c r="O13" s="422"/>
      <c r="P13" s="422"/>
      <c r="Q13" s="422"/>
      <c r="R13" s="422"/>
      <c r="S13" s="422"/>
      <c r="T13" s="422"/>
      <c r="U13" s="422"/>
      <c r="V13" s="422"/>
      <c r="W13" s="422"/>
      <c r="X13" s="422"/>
    </row>
    <row r="14" spans="2:24" s="421" customFormat="1" x14ac:dyDescent="0.25">
      <c r="B14" s="628"/>
      <c r="C14" s="422"/>
      <c r="D14" s="422"/>
      <c r="E14" s="422"/>
      <c r="F14" s="422"/>
      <c r="G14" s="623" t="s">
        <v>201</v>
      </c>
      <c r="H14" s="625">
        <f>SPINTE!D16</f>
        <v>1</v>
      </c>
      <c r="I14" s="422"/>
      <c r="J14" s="422"/>
      <c r="K14" s="422"/>
      <c r="L14" s="422"/>
      <c r="M14" s="422"/>
      <c r="N14" s="422"/>
      <c r="O14" s="422"/>
      <c r="P14" s="422"/>
      <c r="Q14" s="422"/>
      <c r="R14" s="422"/>
      <c r="S14" s="422"/>
      <c r="T14" s="422"/>
      <c r="U14" s="422"/>
      <c r="V14" s="422"/>
      <c r="W14" s="422"/>
      <c r="X14" s="422"/>
    </row>
    <row r="15" spans="2:24" s="421" customFormat="1" x14ac:dyDescent="0.25">
      <c r="B15" s="628"/>
      <c r="C15" s="422"/>
      <c r="D15" s="422"/>
      <c r="E15" s="422"/>
      <c r="F15" s="422"/>
      <c r="G15" s="623" t="s">
        <v>202</v>
      </c>
      <c r="H15" s="625">
        <f>SPINTE!D17</f>
        <v>1</v>
      </c>
      <c r="I15" s="422"/>
      <c r="J15" s="422"/>
      <c r="K15" s="422"/>
      <c r="L15" s="422"/>
      <c r="M15" s="422"/>
      <c r="N15" s="422"/>
      <c r="O15" s="422"/>
      <c r="P15" s="422"/>
      <c r="Q15" s="422"/>
      <c r="R15" s="422"/>
      <c r="S15" s="422"/>
      <c r="T15" s="422"/>
      <c r="U15" s="422"/>
      <c r="V15" s="422"/>
      <c r="W15" s="422"/>
      <c r="X15" s="422"/>
    </row>
    <row r="16" spans="2:24" s="421" customFormat="1" x14ac:dyDescent="0.25">
      <c r="B16" s="628"/>
      <c r="C16" s="422"/>
      <c r="D16" s="422"/>
      <c r="E16" s="422"/>
      <c r="F16" s="422"/>
      <c r="G16" s="623" t="s">
        <v>204</v>
      </c>
      <c r="H16" s="625">
        <f>SPINTE!D18</f>
        <v>1</v>
      </c>
      <c r="I16" s="422"/>
      <c r="J16" s="422"/>
      <c r="K16" s="422"/>
      <c r="L16" s="422"/>
      <c r="M16" s="422"/>
      <c r="N16" s="422"/>
      <c r="O16" s="422"/>
      <c r="P16" s="422"/>
      <c r="Q16" s="422"/>
      <c r="R16" s="422"/>
      <c r="S16" s="422"/>
      <c r="T16" s="422"/>
      <c r="U16" s="422"/>
      <c r="V16" s="422"/>
      <c r="W16" s="422"/>
      <c r="X16" s="422"/>
    </row>
    <row r="17" spans="2:24" s="421" customFormat="1" x14ac:dyDescent="0.25">
      <c r="B17" s="628"/>
      <c r="C17" s="422"/>
      <c r="D17" s="422"/>
      <c r="E17" s="422"/>
      <c r="F17" s="422"/>
      <c r="G17" s="636" t="s">
        <v>205</v>
      </c>
      <c r="H17" s="625">
        <f>SPINTE!D19</f>
        <v>1</v>
      </c>
      <c r="I17" s="422"/>
      <c r="J17" s="422"/>
      <c r="K17" s="422"/>
      <c r="L17" s="422"/>
      <c r="M17" s="422"/>
      <c r="N17" s="422"/>
      <c r="O17" s="422"/>
      <c r="P17" s="422"/>
      <c r="Q17" s="422"/>
      <c r="R17" s="422"/>
      <c r="S17" s="422"/>
      <c r="T17" s="422"/>
      <c r="U17" s="422"/>
      <c r="V17" s="422"/>
      <c r="W17" s="422"/>
      <c r="X17" s="422"/>
    </row>
    <row r="18" spans="2:24" s="421" customFormat="1" x14ac:dyDescent="0.25">
      <c r="B18" s="628"/>
      <c r="C18" s="422"/>
      <c r="D18" s="422"/>
      <c r="E18" s="422"/>
      <c r="F18" s="422"/>
      <c r="G18" s="57"/>
      <c r="H18" s="640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</row>
    <row r="19" spans="2:24" s="421" customFormat="1" x14ac:dyDescent="0.25">
      <c r="B19" s="628"/>
      <c r="C19" s="422"/>
      <c r="D19" s="422"/>
      <c r="E19" s="422"/>
      <c r="F19" s="422"/>
      <c r="G19" s="438" t="s">
        <v>470</v>
      </c>
      <c r="H19" s="622" t="s">
        <v>471</v>
      </c>
      <c r="I19" s="527"/>
      <c r="J19" s="422"/>
      <c r="K19" s="422"/>
      <c r="L19" s="422"/>
      <c r="M19" s="422"/>
      <c r="N19" s="422"/>
      <c r="O19" s="422"/>
      <c r="P19" s="422"/>
      <c r="Q19" s="422"/>
      <c r="R19" s="422"/>
      <c r="S19" s="422"/>
      <c r="T19" s="422"/>
      <c r="U19" s="422"/>
      <c r="V19" s="422"/>
      <c r="W19" s="422"/>
      <c r="X19" s="422"/>
    </row>
    <row r="20" spans="2:24" s="421" customFormat="1" x14ac:dyDescent="0.25">
      <c r="B20" s="628"/>
      <c r="C20" s="422"/>
      <c r="D20" s="422"/>
      <c r="E20" s="422"/>
      <c r="F20" s="422"/>
      <c r="G20" s="889" t="s">
        <v>472</v>
      </c>
      <c r="H20" s="958">
        <f>DATI!E274</f>
        <v>1</v>
      </c>
      <c r="I20" s="526"/>
      <c r="J20" s="422"/>
      <c r="K20" s="422"/>
      <c r="L20" s="422"/>
      <c r="M20" s="422"/>
      <c r="N20" s="422"/>
      <c r="O20" s="422"/>
      <c r="P20" s="422"/>
      <c r="Q20" s="422"/>
      <c r="R20" s="422"/>
      <c r="S20" s="422"/>
      <c r="T20" s="422"/>
      <c r="U20" s="422"/>
      <c r="V20" s="422"/>
      <c r="W20" s="422"/>
      <c r="X20" s="422"/>
    </row>
    <row r="21" spans="2:24" s="421" customFormat="1" x14ac:dyDescent="0.25">
      <c r="B21" s="628"/>
      <c r="C21" s="422"/>
      <c r="D21" s="422"/>
      <c r="E21" s="422"/>
      <c r="F21" s="422"/>
      <c r="G21" s="889"/>
      <c r="H21" s="959"/>
      <c r="I21" s="526"/>
      <c r="J21" s="422"/>
      <c r="K21" s="422"/>
      <c r="L21" s="422"/>
      <c r="M21" s="422"/>
      <c r="N21" s="422"/>
      <c r="O21" s="422"/>
      <c r="P21" s="422"/>
      <c r="Q21" s="422"/>
      <c r="R21" s="422"/>
      <c r="S21" s="422"/>
      <c r="T21" s="422"/>
      <c r="U21" s="422"/>
      <c r="V21" s="422"/>
      <c r="W21" s="422"/>
      <c r="X21" s="422"/>
    </row>
    <row r="22" spans="2:24" s="421" customFormat="1" x14ac:dyDescent="0.25">
      <c r="B22" s="628"/>
      <c r="C22" s="422"/>
      <c r="D22" s="422"/>
      <c r="E22" s="422"/>
      <c r="F22" s="422"/>
      <c r="G22" s="889" t="s">
        <v>885</v>
      </c>
      <c r="H22" s="958">
        <f>DATI!E276</f>
        <v>1</v>
      </c>
      <c r="I22" s="526"/>
      <c r="J22" s="422"/>
      <c r="K22" s="422"/>
      <c r="L22" s="422"/>
      <c r="M22" s="422"/>
      <c r="N22" s="422"/>
      <c r="O22" s="422"/>
      <c r="P22" s="422"/>
      <c r="Q22" s="422"/>
      <c r="R22" s="422"/>
      <c r="S22" s="422"/>
      <c r="T22" s="422"/>
      <c r="U22" s="422"/>
      <c r="V22" s="422"/>
      <c r="W22" s="422"/>
      <c r="X22" s="422"/>
    </row>
    <row r="23" spans="2:24" s="421" customFormat="1" ht="15" customHeight="1" x14ac:dyDescent="0.25">
      <c r="B23" s="628"/>
      <c r="C23" s="422"/>
      <c r="D23" s="422"/>
      <c r="E23" s="422"/>
      <c r="F23" s="422"/>
      <c r="G23" s="889"/>
      <c r="H23" s="959"/>
      <c r="I23" s="526"/>
      <c r="J23" s="422"/>
      <c r="K23" s="422"/>
      <c r="L23" s="422"/>
      <c r="M23" s="422"/>
      <c r="N23" s="422"/>
      <c r="O23" s="422"/>
      <c r="P23" s="422"/>
      <c r="Q23" s="422"/>
      <c r="R23" s="422"/>
      <c r="S23" s="422"/>
      <c r="T23" s="422"/>
      <c r="U23" s="422"/>
      <c r="V23" s="422"/>
      <c r="W23" s="422"/>
      <c r="X23" s="422"/>
    </row>
    <row r="24" spans="2:24" s="421" customFormat="1" x14ac:dyDescent="0.25">
      <c r="B24" s="628"/>
      <c r="C24" s="422"/>
      <c r="D24" s="422"/>
      <c r="E24" s="422"/>
      <c r="F24" s="422"/>
      <c r="G24" s="57"/>
      <c r="H24" s="640"/>
      <c r="I24" s="422"/>
      <c r="J24" s="422"/>
      <c r="K24" s="422"/>
      <c r="L24" s="422"/>
      <c r="M24" s="422"/>
      <c r="N24" s="422"/>
      <c r="O24" s="422"/>
      <c r="P24" s="422"/>
      <c r="Q24" s="422"/>
      <c r="R24" s="422"/>
      <c r="S24" s="422"/>
      <c r="T24" s="422"/>
      <c r="U24" s="422"/>
      <c r="V24" s="422"/>
      <c r="W24" s="422"/>
      <c r="X24" s="422"/>
    </row>
    <row r="25" spans="2:24" s="421" customFormat="1" x14ac:dyDescent="0.25">
      <c r="B25" s="628"/>
      <c r="C25" s="422"/>
      <c r="D25" s="422"/>
      <c r="E25" s="422"/>
      <c r="F25" s="422"/>
      <c r="G25" s="629"/>
      <c r="H25" s="422"/>
      <c r="I25" s="422"/>
      <c r="J25" s="422"/>
      <c r="K25" s="422"/>
      <c r="L25" s="422"/>
      <c r="M25" s="422"/>
      <c r="N25" s="422"/>
      <c r="O25" s="422"/>
      <c r="P25" s="422"/>
      <c r="Q25" s="422"/>
      <c r="R25" s="422"/>
      <c r="S25" s="422"/>
      <c r="T25" s="422"/>
      <c r="U25" s="422"/>
      <c r="V25" s="422"/>
      <c r="W25" s="422"/>
      <c r="X25" s="422"/>
    </row>
    <row r="26" spans="2:24" s="421" customFormat="1" ht="18" x14ac:dyDescent="0.25">
      <c r="B26" s="422" t="s">
        <v>363</v>
      </c>
      <c r="C26" s="422"/>
      <c r="D26" s="422"/>
      <c r="E26" s="422"/>
      <c r="F26" s="422"/>
      <c r="G26" s="624" t="s">
        <v>364</v>
      </c>
      <c r="H26" s="646">
        <f>SPINTE!D21</f>
        <v>2.5554000000000001</v>
      </c>
      <c r="I26" s="422"/>
      <c r="J26" s="422"/>
      <c r="K26" s="422"/>
      <c r="L26" s="422"/>
      <c r="M26" s="422"/>
      <c r="N26" s="422"/>
      <c r="O26" s="422"/>
      <c r="P26" s="422"/>
      <c r="Q26" s="422"/>
      <c r="R26" s="422"/>
      <c r="S26" s="422"/>
      <c r="T26" s="422"/>
      <c r="U26" s="422"/>
      <c r="V26" s="422"/>
      <c r="W26" s="422"/>
      <c r="X26" s="422"/>
    </row>
    <row r="27" spans="2:24" s="421" customFormat="1" ht="18" x14ac:dyDescent="0.25">
      <c r="B27" s="422" t="s">
        <v>365</v>
      </c>
      <c r="C27" s="422"/>
      <c r="D27" s="422"/>
      <c r="E27" s="422"/>
      <c r="F27" s="422"/>
      <c r="G27" s="624" t="s">
        <v>366</v>
      </c>
      <c r="H27" s="643">
        <f>SPINTE!D22</f>
        <v>2.3653</v>
      </c>
      <c r="I27" s="422"/>
      <c r="J27" s="422"/>
      <c r="K27" s="422"/>
      <c r="L27" s="422"/>
      <c r="M27" s="422"/>
      <c r="N27" s="422"/>
      <c r="O27" s="422"/>
      <c r="P27" s="422"/>
      <c r="Q27" s="422"/>
      <c r="R27" s="422"/>
      <c r="S27" s="422"/>
      <c r="T27" s="422"/>
      <c r="U27" s="422"/>
      <c r="V27" s="422"/>
      <c r="W27" s="422"/>
      <c r="X27" s="422"/>
    </row>
    <row r="28" spans="2:24" s="421" customFormat="1" ht="18" x14ac:dyDescent="0.25">
      <c r="B28" s="422" t="s">
        <v>367</v>
      </c>
      <c r="C28" s="422"/>
      <c r="D28" s="422"/>
      <c r="E28" s="422"/>
      <c r="F28" s="422"/>
      <c r="G28" s="624" t="s">
        <v>368</v>
      </c>
      <c r="H28" s="647">
        <f>SPINTE!D23</f>
        <v>0.3468</v>
      </c>
      <c r="I28" s="422"/>
      <c r="J28" s="422"/>
      <c r="K28" s="422"/>
      <c r="L28" s="422"/>
      <c r="M28" s="422"/>
      <c r="N28" s="422"/>
      <c r="O28" s="422"/>
      <c r="P28" s="422"/>
      <c r="Q28" s="422"/>
      <c r="R28" s="422"/>
      <c r="S28" s="422"/>
      <c r="T28" s="422"/>
      <c r="U28" s="422"/>
      <c r="V28" s="422"/>
      <c r="W28" s="422"/>
      <c r="X28" s="422"/>
    </row>
    <row r="29" spans="2:24" s="421" customFormat="1" x14ac:dyDescent="0.25">
      <c r="B29" s="422" t="s">
        <v>369</v>
      </c>
      <c r="C29" s="422"/>
      <c r="D29" s="422"/>
      <c r="E29" s="422"/>
      <c r="F29" s="422"/>
      <c r="G29" s="422"/>
      <c r="H29" s="643" t="str">
        <f>SPINTE!D24</f>
        <v>E</v>
      </c>
      <c r="I29" s="422"/>
      <c r="J29" s="422"/>
      <c r="K29" s="422"/>
      <c r="L29" s="422"/>
      <c r="M29" s="422"/>
      <c r="N29" s="422"/>
      <c r="O29" s="422"/>
      <c r="P29" s="422"/>
      <c r="Q29" s="422"/>
      <c r="R29" s="422"/>
      <c r="S29" s="422"/>
      <c r="T29" s="422"/>
      <c r="U29" s="422"/>
      <c r="V29" s="422"/>
      <c r="W29" s="422"/>
      <c r="X29" s="422"/>
    </row>
    <row r="30" spans="2:24" s="421" customFormat="1" x14ac:dyDescent="0.25">
      <c r="B30" s="422" t="s">
        <v>370</v>
      </c>
      <c r="C30" s="422"/>
      <c r="D30" s="422"/>
      <c r="E30" s="422"/>
      <c r="F30" s="422"/>
      <c r="G30" s="422"/>
      <c r="H30" s="643" t="str">
        <f>SPINTE!D25</f>
        <v>T2</v>
      </c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</row>
    <row r="31" spans="2:24" s="421" customFormat="1" x14ac:dyDescent="0.25">
      <c r="B31" s="422" t="s">
        <v>782</v>
      </c>
      <c r="C31" s="422"/>
      <c r="D31" s="422"/>
      <c r="E31" s="422"/>
      <c r="F31" s="422"/>
      <c r="G31" s="376" t="s">
        <v>395</v>
      </c>
      <c r="H31" s="638">
        <f>SPINTE!D26</f>
        <v>0.31</v>
      </c>
      <c r="I31" s="422"/>
      <c r="J31" s="422"/>
      <c r="K31" s="422"/>
      <c r="L31" s="422"/>
      <c r="M31" s="422"/>
      <c r="N31" s="422"/>
      <c r="O31" s="422"/>
      <c r="P31" s="422"/>
      <c r="Q31" s="422"/>
      <c r="R31" s="422"/>
      <c r="S31" s="422"/>
      <c r="T31" s="422"/>
      <c r="U31" s="422"/>
      <c r="V31" s="422"/>
      <c r="W31" s="422"/>
      <c r="X31" s="422"/>
    </row>
    <row r="32" spans="2:24" s="421" customFormat="1" x14ac:dyDescent="0.25">
      <c r="B32" s="422" t="s">
        <v>396</v>
      </c>
      <c r="C32" s="422"/>
      <c r="D32" s="422"/>
      <c r="E32" s="422"/>
      <c r="F32" s="422"/>
      <c r="G32" s="621" t="s">
        <v>281</v>
      </c>
      <c r="H32" s="638">
        <f>SPINTE!D27</f>
        <v>0.12815426831174012</v>
      </c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</row>
    <row r="33" spans="2:24" s="421" customFormat="1" x14ac:dyDescent="0.25">
      <c r="B33" s="422" t="s">
        <v>397</v>
      </c>
      <c r="C33" s="422"/>
      <c r="D33" s="422"/>
      <c r="E33" s="422"/>
      <c r="F33" s="422"/>
      <c r="G33" s="621" t="s">
        <v>282</v>
      </c>
      <c r="H33" s="638">
        <f>SPINTE!D28</f>
        <v>6.4077134155870061E-2</v>
      </c>
      <c r="I33" s="422"/>
      <c r="J33" s="422"/>
      <c r="K33" s="422"/>
      <c r="L33" s="422"/>
      <c r="M33" s="422"/>
      <c r="N33" s="422"/>
      <c r="O33" s="422"/>
      <c r="P33" s="422"/>
      <c r="Q33" s="422"/>
      <c r="R33" s="422"/>
      <c r="S33" s="422"/>
      <c r="T33" s="422"/>
      <c r="U33" s="422"/>
      <c r="V33" s="422"/>
      <c r="W33" s="422"/>
      <c r="X33" s="422"/>
    </row>
    <row r="34" spans="2:24" s="421" customFormat="1" ht="14.25" customHeight="1" x14ac:dyDescent="0.35">
      <c r="B34" s="415"/>
      <c r="C34" s="422"/>
      <c r="D34" s="422"/>
      <c r="E34" s="422"/>
      <c r="F34" s="422"/>
      <c r="G34" s="422"/>
      <c r="H34" s="422"/>
      <c r="I34" s="422"/>
      <c r="J34" s="422"/>
      <c r="K34" s="422"/>
      <c r="L34" s="422"/>
      <c r="M34" s="422"/>
      <c r="N34" s="422"/>
      <c r="O34" s="422"/>
      <c r="P34" s="422"/>
      <c r="Q34" s="422"/>
      <c r="R34" s="422"/>
      <c r="S34" s="422"/>
      <c r="T34" s="422"/>
      <c r="U34" s="422"/>
      <c r="V34" s="422"/>
      <c r="W34" s="422"/>
      <c r="X34" s="422"/>
    </row>
    <row r="35" spans="2:24" ht="14.25" customHeight="1" x14ac:dyDescent="0.35">
      <c r="B35" s="416"/>
      <c r="C35" s="422"/>
      <c r="D35" s="422"/>
      <c r="E35" s="422"/>
      <c r="F35" s="422"/>
      <c r="G35" s="422"/>
      <c r="H35" s="422"/>
      <c r="I35" s="422"/>
      <c r="J35" s="422"/>
      <c r="K35" s="422"/>
      <c r="L35" s="422"/>
      <c r="M35" s="422"/>
      <c r="N35" s="422"/>
      <c r="O35" s="422"/>
      <c r="P35" s="422"/>
      <c r="Q35" s="422"/>
      <c r="R35" s="422"/>
      <c r="S35" s="422"/>
      <c r="T35" s="422"/>
      <c r="U35" s="422"/>
      <c r="V35" s="422"/>
      <c r="W35" s="422"/>
      <c r="X35" s="422"/>
    </row>
    <row r="36" spans="2:24" ht="15.75" x14ac:dyDescent="0.25">
      <c r="B36" s="14" t="s">
        <v>757</v>
      </c>
      <c r="C36" s="422"/>
      <c r="D36" s="422"/>
      <c r="E36" s="422"/>
      <c r="F36" s="422"/>
      <c r="G36" s="422"/>
      <c r="H36" s="422"/>
      <c r="I36" s="422"/>
      <c r="J36" s="422"/>
      <c r="K36" s="422"/>
      <c r="L36" s="422"/>
      <c r="M36" s="422"/>
      <c r="N36" s="422"/>
      <c r="O36" s="422"/>
      <c r="P36" s="422"/>
      <c r="Q36" s="422"/>
      <c r="R36" s="422"/>
      <c r="S36" s="422"/>
      <c r="T36" s="422"/>
      <c r="U36" s="422"/>
      <c r="V36" s="422"/>
      <c r="W36" s="422"/>
      <c r="X36" s="422"/>
    </row>
    <row r="37" spans="2:24" x14ac:dyDescent="0.25">
      <c r="B37" s="422"/>
      <c r="C37" s="422"/>
      <c r="D37" s="422"/>
      <c r="E37" s="422"/>
      <c r="F37" s="422"/>
      <c r="G37" s="422"/>
      <c r="H37" s="422"/>
      <c r="I37" s="422"/>
      <c r="J37" s="422"/>
      <c r="K37" s="422"/>
      <c r="L37" s="422"/>
      <c r="M37" s="422"/>
      <c r="N37" s="422"/>
      <c r="O37" s="422"/>
      <c r="P37" s="422"/>
      <c r="Q37" s="422"/>
      <c r="R37" s="422"/>
      <c r="S37" s="422"/>
      <c r="T37" s="422"/>
      <c r="U37" s="422"/>
      <c r="V37" s="422"/>
      <c r="W37" s="422"/>
      <c r="X37" s="422"/>
    </row>
    <row r="38" spans="2:24" x14ac:dyDescent="0.25">
      <c r="B38" s="422" t="s">
        <v>589</v>
      </c>
      <c r="C38" s="636" t="s">
        <v>648</v>
      </c>
      <c r="D38" s="669">
        <v>1E-4</v>
      </c>
      <c r="E38" s="422"/>
      <c r="F38" s="422" t="s">
        <v>723</v>
      </c>
      <c r="G38" s="422"/>
      <c r="H38" s="623" t="s">
        <v>213</v>
      </c>
      <c r="I38" s="625">
        <f>'FOGLIO DEPOSITO'!D83</f>
        <v>3.4</v>
      </c>
      <c r="J38" s="422"/>
      <c r="K38" s="422" t="s">
        <v>730</v>
      </c>
      <c r="L38" s="422"/>
      <c r="M38" s="623" t="s">
        <v>591</v>
      </c>
      <c r="N38" s="776">
        <f>('FOGLIO DEPOSITO'!D40+I43*'FOGLIO DEPOSITO'!D83*'FOGLIO DEPOSITO'!D84*1.1*24)</f>
        <v>1080.4082031089599</v>
      </c>
      <c r="O38" s="422"/>
      <c r="P38" s="422"/>
      <c r="Q38" s="422"/>
      <c r="R38" s="422"/>
      <c r="S38" s="422"/>
      <c r="T38" s="422"/>
      <c r="U38" s="422"/>
      <c r="V38" s="422"/>
      <c r="W38" s="422"/>
      <c r="X38" s="422"/>
    </row>
    <row r="39" spans="2:24" x14ac:dyDescent="0.25">
      <c r="B39" s="422" t="s">
        <v>462</v>
      </c>
      <c r="C39" s="623" t="s">
        <v>478</v>
      </c>
      <c r="D39" s="665">
        <f>IF(DATI!G243="Strato di fondazione:      ghiaia-sabbie",0,DATI!E247/DATI!E270)</f>
        <v>0</v>
      </c>
      <c r="E39" s="422"/>
      <c r="F39" s="422" t="s">
        <v>724</v>
      </c>
      <c r="G39" s="422"/>
      <c r="H39" s="623" t="s">
        <v>4</v>
      </c>
      <c r="I39" s="625">
        <f>'FOGLIO DEPOSITO'!D84</f>
        <v>2.5</v>
      </c>
      <c r="J39" s="422"/>
      <c r="K39" s="422" t="s">
        <v>731</v>
      </c>
      <c r="L39" s="422"/>
      <c r="M39" s="623" t="s">
        <v>594</v>
      </c>
      <c r="N39" s="776">
        <f>MAXA('ANALISI DELLE SPINTE'!J46,SPINTE!H93)</f>
        <v>367.76933278733725</v>
      </c>
      <c r="O39" s="422"/>
      <c r="P39" s="422"/>
      <c r="Q39" s="422"/>
      <c r="R39" s="422"/>
      <c r="S39" s="422"/>
      <c r="T39" s="422"/>
      <c r="U39" s="422"/>
      <c r="V39" s="422"/>
      <c r="W39" s="422"/>
      <c r="X39" s="422"/>
    </row>
    <row r="40" spans="2:24" x14ac:dyDescent="0.25">
      <c r="B40" s="422" t="s">
        <v>1057</v>
      </c>
      <c r="C40" s="636" t="s">
        <v>863</v>
      </c>
      <c r="D40" s="664">
        <f>DATI!E248/DATI!E271</f>
        <v>18</v>
      </c>
      <c r="E40" s="422"/>
      <c r="F40" s="422" t="s">
        <v>725</v>
      </c>
      <c r="G40" s="422"/>
      <c r="H40" s="623" t="s">
        <v>595</v>
      </c>
      <c r="I40" s="625">
        <f>D62</f>
        <v>2.2073723573610562</v>
      </c>
      <c r="J40" s="422"/>
      <c r="K40" s="422" t="s">
        <v>743</v>
      </c>
      <c r="L40" s="422"/>
      <c r="M40" s="623" t="s">
        <v>596</v>
      </c>
      <c r="N40" s="354">
        <f>'Sollecitazioni nella zattera'!D76-'Sollecitazioni nella zattera'!C76</f>
        <v>1192.4316011044239</v>
      </c>
      <c r="O40" s="624"/>
      <c r="P40" s="632"/>
      <c r="Q40" s="632"/>
      <c r="R40" s="422"/>
      <c r="S40" s="422"/>
      <c r="T40" s="422"/>
      <c r="U40" s="422"/>
      <c r="V40" s="422"/>
      <c r="W40" s="422"/>
      <c r="X40" s="422"/>
    </row>
    <row r="41" spans="2:24" x14ac:dyDescent="0.25">
      <c r="B41" s="422" t="s">
        <v>1059</v>
      </c>
      <c r="C41" s="636" t="s">
        <v>864</v>
      </c>
      <c r="D41" s="664">
        <f>DATI!E249/DATI!E271</f>
        <v>18</v>
      </c>
      <c r="E41" s="422"/>
      <c r="F41" s="422" t="s">
        <v>727</v>
      </c>
      <c r="G41" s="422"/>
      <c r="H41" s="623" t="s">
        <v>184</v>
      </c>
      <c r="I41" s="625">
        <f>'FOGLIO DEPOSITO'!D85</f>
        <v>0.5</v>
      </c>
      <c r="J41" s="422"/>
      <c r="K41" s="422"/>
      <c r="L41" s="422"/>
      <c r="M41" s="422"/>
      <c r="N41" s="422"/>
      <c r="O41" s="624"/>
      <c r="P41" s="632"/>
      <c r="Q41" s="632"/>
      <c r="R41" s="422"/>
      <c r="S41" s="422"/>
      <c r="T41" s="422"/>
      <c r="U41" s="422"/>
      <c r="V41" s="422"/>
      <c r="W41" s="422"/>
      <c r="X41" s="422"/>
    </row>
    <row r="42" spans="2:24" x14ac:dyDescent="0.25">
      <c r="B42" s="422" t="s">
        <v>1060</v>
      </c>
      <c r="C42" s="636" t="s">
        <v>1061</v>
      </c>
      <c r="D42" s="664">
        <f>(D40*IF((I43-I42)&lt;0,0,(I43-I42))+D41*I42)/(IF((I43-I42)&lt;0,0,(I43-I42))+I42)</f>
        <v>18</v>
      </c>
      <c r="E42" s="422"/>
      <c r="F42" s="422" t="s">
        <v>728</v>
      </c>
      <c r="G42" s="422"/>
      <c r="H42" s="623" t="s">
        <v>299</v>
      </c>
      <c r="I42" s="625">
        <f>DATI!E250</f>
        <v>1.05</v>
      </c>
      <c r="J42" s="422"/>
      <c r="K42" s="422"/>
      <c r="L42" s="422"/>
      <c r="M42" s="422"/>
      <c r="N42" s="422"/>
      <c r="O42" s="624"/>
      <c r="P42" s="632"/>
      <c r="Q42" s="632"/>
      <c r="R42" s="422"/>
      <c r="S42" s="422"/>
      <c r="T42" s="422"/>
      <c r="U42" s="422"/>
      <c r="V42" s="422"/>
      <c r="W42" s="422"/>
      <c r="X42" s="422"/>
    </row>
    <row r="43" spans="2:24" x14ac:dyDescent="0.25">
      <c r="B43" s="422" t="s">
        <v>597</v>
      </c>
      <c r="C43" s="636" t="s">
        <v>111</v>
      </c>
      <c r="D43" s="669">
        <f>DATI!E243</f>
        <v>0</v>
      </c>
      <c r="E43" s="422"/>
      <c r="F43" s="422" t="s">
        <v>729</v>
      </c>
      <c r="G43" s="422"/>
      <c r="H43" s="623" t="s">
        <v>599</v>
      </c>
      <c r="I43" s="625">
        <f>DATI!E9</f>
        <v>0.1</v>
      </c>
      <c r="J43" s="422"/>
      <c r="K43" s="422"/>
      <c r="L43" s="422"/>
      <c r="M43" s="422"/>
      <c r="N43" s="422"/>
      <c r="O43" s="422"/>
      <c r="P43" s="422"/>
      <c r="Q43" s="422"/>
      <c r="R43" s="422"/>
      <c r="S43" s="422"/>
      <c r="T43" s="422"/>
      <c r="U43" s="422"/>
      <c r="V43" s="422"/>
      <c r="W43" s="422"/>
      <c r="X43" s="422"/>
    </row>
    <row r="44" spans="2:24" s="421" customFormat="1" x14ac:dyDescent="0.25">
      <c r="B44" s="422" t="s">
        <v>598</v>
      </c>
      <c r="C44" s="636" t="s">
        <v>483</v>
      </c>
      <c r="D44" s="669">
        <f>DATI!E244</f>
        <v>0</v>
      </c>
      <c r="E44" s="422"/>
      <c r="F44" s="422"/>
      <c r="G44" s="422"/>
      <c r="H44" s="620"/>
      <c r="I44" s="640"/>
      <c r="J44" s="422"/>
      <c r="K44" s="422"/>
      <c r="L44" s="422"/>
      <c r="M44" s="422"/>
      <c r="N44" s="422"/>
      <c r="O44" s="422"/>
      <c r="P44" s="422"/>
      <c r="Q44" s="422"/>
      <c r="R44" s="422"/>
      <c r="S44" s="422"/>
      <c r="T44" s="422"/>
      <c r="U44" s="422"/>
      <c r="V44" s="422"/>
      <c r="W44" s="422"/>
      <c r="X44" s="422"/>
    </row>
    <row r="45" spans="2:24" ht="18.75" x14ac:dyDescent="0.25">
      <c r="B45" s="422" t="s">
        <v>600</v>
      </c>
      <c r="C45" s="636" t="s">
        <v>601</v>
      </c>
      <c r="D45" s="535">
        <f>I40/2*TAN(45+($D$38*PI()/180)/2)</f>
        <v>1.7877269805095302</v>
      </c>
      <c r="E45" s="422"/>
      <c r="F45" s="422"/>
      <c r="G45" s="422"/>
      <c r="H45" s="422"/>
      <c r="I45" s="422"/>
      <c r="J45" s="422"/>
      <c r="K45" s="422"/>
      <c r="L45" s="422"/>
      <c r="M45" s="422"/>
      <c r="N45" s="422"/>
      <c r="O45" s="422"/>
      <c r="P45" s="422"/>
      <c r="Q45" s="422"/>
      <c r="R45" s="422"/>
      <c r="S45" s="422"/>
      <c r="T45" s="422"/>
      <c r="U45" s="422"/>
      <c r="V45" s="422"/>
      <c r="W45" s="422"/>
      <c r="X45" s="422"/>
    </row>
    <row r="46" spans="2:24" x14ac:dyDescent="0.25">
      <c r="B46" s="422"/>
      <c r="C46" s="422"/>
      <c r="D46" s="422"/>
      <c r="E46" s="422"/>
      <c r="F46" s="422"/>
      <c r="G46" s="422"/>
      <c r="H46" s="422"/>
      <c r="I46" s="422"/>
      <c r="J46" s="422"/>
      <c r="K46" s="422"/>
      <c r="L46" s="632"/>
      <c r="M46" s="422"/>
      <c r="N46" s="422"/>
      <c r="O46" s="422"/>
      <c r="P46" s="422"/>
      <c r="Q46" s="422"/>
      <c r="R46" s="422"/>
      <c r="S46" s="422"/>
      <c r="T46" s="422"/>
      <c r="U46" s="422"/>
      <c r="V46" s="422"/>
      <c r="W46" s="422"/>
      <c r="X46" s="422"/>
    </row>
    <row r="47" spans="2:24" ht="15.75" x14ac:dyDescent="0.25">
      <c r="B47" s="14" t="s">
        <v>758</v>
      </c>
      <c r="C47" s="422"/>
      <c r="D47" s="422"/>
      <c r="E47" s="422"/>
      <c r="F47" s="422"/>
      <c r="G47" s="422"/>
      <c r="H47" s="422"/>
      <c r="I47" s="422"/>
      <c r="J47" s="422"/>
      <c r="K47" s="422"/>
      <c r="L47" s="422"/>
      <c r="M47" s="422"/>
      <c r="N47" s="422"/>
      <c r="O47" s="422"/>
      <c r="P47" s="422"/>
      <c r="Q47" s="422"/>
      <c r="R47" s="422"/>
      <c r="S47" s="422"/>
      <c r="T47" s="422"/>
      <c r="U47" s="422"/>
      <c r="V47" s="422"/>
      <c r="W47" s="422"/>
      <c r="X47" s="422"/>
    </row>
    <row r="48" spans="2:24" x14ac:dyDescent="0.25"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</row>
    <row r="49" spans="2:24" ht="21" x14ac:dyDescent="0.25">
      <c r="B49" s="422"/>
      <c r="C49" s="643" t="s">
        <v>649</v>
      </c>
      <c r="D49" s="625">
        <f>2*($D$51+1)*TAN($D$38*PI()/180)</f>
        <v>6.9813483324987092E-6</v>
      </c>
      <c r="E49" s="950" t="s">
        <v>739</v>
      </c>
      <c r="F49" s="951"/>
      <c r="G49" s="951"/>
      <c r="H49" s="422"/>
      <c r="I49" s="422"/>
      <c r="J49" s="23"/>
      <c r="K49" s="23"/>
      <c r="L49" s="22"/>
      <c r="M49" s="23"/>
      <c r="N49" s="422"/>
      <c r="O49" s="422"/>
      <c r="P49" s="422"/>
      <c r="Q49" s="422"/>
      <c r="R49" s="422"/>
      <c r="S49" s="422"/>
      <c r="T49" s="422"/>
      <c r="U49" s="422"/>
      <c r="V49" s="422"/>
      <c r="W49" s="422"/>
      <c r="X49" s="422"/>
    </row>
    <row r="50" spans="2:24" ht="21" x14ac:dyDescent="0.25">
      <c r="B50" s="422"/>
      <c r="C50" s="643" t="s">
        <v>650</v>
      </c>
      <c r="D50" s="625">
        <f>($D$51-1)*(1/TAN($D$38*PI()/180))</f>
        <v>5.1416157233948798</v>
      </c>
      <c r="E50" s="950" t="s">
        <v>603</v>
      </c>
      <c r="F50" s="951"/>
      <c r="G50" s="951"/>
      <c r="H50" s="422"/>
      <c r="I50" s="23"/>
      <c r="J50" s="23"/>
      <c r="K50" s="23"/>
      <c r="L50" s="23"/>
      <c r="M50" s="23"/>
      <c r="N50" s="422"/>
      <c r="O50" s="422"/>
      <c r="P50" s="422"/>
      <c r="Q50" s="422"/>
      <c r="R50" s="422"/>
      <c r="S50" s="422"/>
      <c r="T50" s="422"/>
      <c r="U50" s="422"/>
      <c r="V50" s="422"/>
      <c r="W50" s="422"/>
      <c r="X50" s="422"/>
    </row>
    <row r="51" spans="2:24" ht="21" x14ac:dyDescent="0.25">
      <c r="B51" s="422"/>
      <c r="C51" s="643" t="s">
        <v>651</v>
      </c>
      <c r="D51" s="625">
        <f>(TAN(PI()/4+($D$38*PI()/180)/2))^2*EXP(PI()*TAN($D$38*PI()/180))</f>
        <v>1.0000089738123246</v>
      </c>
      <c r="E51" s="950" t="s">
        <v>605</v>
      </c>
      <c r="F51" s="951"/>
      <c r="G51" s="951"/>
      <c r="H51" s="422"/>
      <c r="I51" s="422"/>
      <c r="J51" s="24"/>
      <c r="K51" s="19"/>
      <c r="L51" s="19"/>
      <c r="M51" s="23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</row>
    <row r="52" spans="2:24" x14ac:dyDescent="0.25">
      <c r="B52" s="422"/>
      <c r="C52" s="422"/>
      <c r="D52" s="422"/>
      <c r="E52" s="422"/>
      <c r="F52" s="422"/>
      <c r="G52" s="422"/>
      <c r="H52" s="422"/>
      <c r="I52" s="19"/>
      <c r="J52" s="24"/>
      <c r="K52" s="19"/>
      <c r="L52" s="19"/>
      <c r="M52" s="23"/>
      <c r="N52" s="422"/>
      <c r="O52" s="422"/>
      <c r="P52" s="422"/>
      <c r="Q52" s="422"/>
      <c r="R52" s="422"/>
      <c r="S52" s="422"/>
      <c r="T52" s="422"/>
      <c r="U52" s="422"/>
      <c r="V52" s="422"/>
      <c r="W52" s="422"/>
      <c r="X52" s="422"/>
    </row>
    <row r="53" spans="2:24" ht="15.75" x14ac:dyDescent="0.25">
      <c r="B53" s="14" t="s">
        <v>759</v>
      </c>
      <c r="C53" s="422"/>
      <c r="D53" s="422"/>
      <c r="E53" s="422"/>
      <c r="F53" s="422"/>
      <c r="G53" s="422"/>
      <c r="H53" s="422"/>
      <c r="I53" s="422"/>
      <c r="J53" s="422"/>
      <c r="K53" s="422"/>
      <c r="L53" s="422"/>
      <c r="M53" s="422"/>
      <c r="N53" s="422"/>
      <c r="O53" s="422"/>
      <c r="P53" s="422"/>
      <c r="Q53" s="422"/>
      <c r="R53" s="422"/>
      <c r="S53" s="422"/>
      <c r="T53" s="422"/>
      <c r="U53" s="422"/>
      <c r="V53" s="422"/>
      <c r="W53" s="422"/>
      <c r="X53" s="422"/>
    </row>
    <row r="54" spans="2:24" x14ac:dyDescent="0.25">
      <c r="B54" s="422"/>
      <c r="C54" s="422"/>
      <c r="D54" s="422"/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</row>
    <row r="55" spans="2:24" ht="23.25" customHeight="1" x14ac:dyDescent="0.25">
      <c r="B55" s="14"/>
      <c r="C55" s="954" t="s">
        <v>733</v>
      </c>
      <c r="D55" s="954"/>
      <c r="E55" s="422"/>
      <c r="F55" s="954" t="s">
        <v>734</v>
      </c>
      <c r="G55" s="954"/>
      <c r="H55" s="422"/>
      <c r="I55" s="954" t="s">
        <v>735</v>
      </c>
      <c r="J55" s="954"/>
      <c r="K55" s="422"/>
      <c r="L55" s="954" t="s">
        <v>736</v>
      </c>
      <c r="M55" s="954"/>
      <c r="N55" s="422"/>
      <c r="O55" s="954" t="s">
        <v>738</v>
      </c>
      <c r="P55" s="954"/>
      <c r="Q55" s="422"/>
      <c r="R55" s="412"/>
      <c r="S55" s="412"/>
      <c r="T55" s="422"/>
      <c r="U55" s="422"/>
      <c r="V55" s="422"/>
      <c r="W55" s="422"/>
      <c r="X55" s="422"/>
    </row>
    <row r="56" spans="2:24" ht="24.75" customHeight="1" x14ac:dyDescent="0.25">
      <c r="B56" s="14"/>
      <c r="C56" s="954"/>
      <c r="D56" s="954"/>
      <c r="E56" s="422"/>
      <c r="F56" s="954"/>
      <c r="G56" s="954"/>
      <c r="H56" s="422"/>
      <c r="I56" s="954"/>
      <c r="J56" s="954"/>
      <c r="K56" s="422"/>
      <c r="L56" s="954"/>
      <c r="M56" s="954"/>
      <c r="N56" s="422"/>
      <c r="O56" s="954"/>
      <c r="P56" s="954"/>
      <c r="Q56" s="422"/>
      <c r="R56" s="412"/>
      <c r="S56" s="412"/>
      <c r="T56" s="422"/>
      <c r="U56" s="422"/>
      <c r="V56" s="422"/>
      <c r="W56" s="422"/>
      <c r="X56" s="422"/>
    </row>
    <row r="57" spans="2:24" ht="23.25" x14ac:dyDescent="0.25">
      <c r="B57" s="422"/>
      <c r="C57" s="643" t="s">
        <v>652</v>
      </c>
      <c r="D57" s="638">
        <f>IF(I40=0,0,IF(DATI!E252="si",1,1+0.2*I40/'FOGLIO DEPOSITO'!C110))</f>
        <v>1.1765897885888845</v>
      </c>
      <c r="E57" s="422"/>
      <c r="F57" s="643" t="s">
        <v>653</v>
      </c>
      <c r="G57" s="638">
        <f>IF(I40=0,0,IF(I42&lt;=I40,1+0.4*I42/I40,1+0.4*ATAN(I42/I40)))</f>
        <v>1.1902714775780356</v>
      </c>
      <c r="H57" s="422"/>
      <c r="I57" s="643" t="s">
        <v>654</v>
      </c>
      <c r="J57" s="408">
        <f>IF(I40=0,0,IF(D39=0,0,1-(J58*N39)/(I40*'FOGLIO DEPOSITO'!C110*D39*D50)))</f>
        <v>0</v>
      </c>
      <c r="K57" s="632"/>
      <c r="L57" s="643" t="s">
        <v>655</v>
      </c>
      <c r="M57" s="638">
        <f>1-2*(D43*PI()/180)/(2+PI())</f>
        <v>1</v>
      </c>
      <c r="N57" s="422"/>
      <c r="O57" s="643" t="s">
        <v>656</v>
      </c>
      <c r="P57" s="638">
        <f>1-2*(D43*PI()/180)/(2+PI())</f>
        <v>1</v>
      </c>
      <c r="Q57" s="422"/>
      <c r="R57" s="422"/>
      <c r="S57" s="422"/>
      <c r="T57" s="422"/>
      <c r="U57" s="422"/>
      <c r="V57" s="422"/>
      <c r="W57" s="422"/>
      <c r="X57" s="422"/>
    </row>
    <row r="58" spans="2:24" x14ac:dyDescent="0.25">
      <c r="B58" s="422"/>
      <c r="C58" s="632"/>
      <c r="D58" s="9"/>
      <c r="E58" s="422"/>
      <c r="F58" s="632"/>
      <c r="G58" s="9"/>
      <c r="H58" s="422"/>
      <c r="I58" s="474" t="s">
        <v>832</v>
      </c>
      <c r="J58" s="475">
        <f>IF(I40=0,"",(2+I40/'FOGLIO DEPOSITO'!C110)/(1+I40/'FOGLIO DEPOSITO'!C110))</f>
        <v>1.5310818457117965</v>
      </c>
      <c r="K58" s="632"/>
      <c r="L58" s="9"/>
      <c r="M58" s="422"/>
      <c r="N58" s="632"/>
      <c r="O58" s="9"/>
      <c r="P58" s="422"/>
      <c r="Q58" s="632"/>
      <c r="R58" s="9"/>
      <c r="S58" s="422"/>
      <c r="T58" s="422"/>
      <c r="U58" s="422"/>
      <c r="V58" s="422"/>
      <c r="W58" s="422"/>
      <c r="X58" s="422"/>
    </row>
    <row r="59" spans="2:24" ht="15.75" x14ac:dyDescent="0.25">
      <c r="B59" s="14" t="s">
        <v>760</v>
      </c>
      <c r="C59" s="422"/>
      <c r="D59" s="422"/>
      <c r="E59" s="422"/>
      <c r="F59" s="422"/>
      <c r="G59" s="422"/>
      <c r="H59" s="422"/>
      <c r="I59" s="422"/>
      <c r="J59" s="422"/>
      <c r="K59" s="422"/>
      <c r="L59" s="422"/>
      <c r="M59" s="422"/>
      <c r="N59" s="422"/>
      <c r="O59" s="422"/>
      <c r="P59" s="422"/>
      <c r="Q59" s="422"/>
      <c r="R59" s="422"/>
      <c r="S59" s="422"/>
      <c r="T59" s="422"/>
      <c r="U59" s="422"/>
      <c r="V59" s="422"/>
      <c r="W59" s="422"/>
      <c r="X59" s="422"/>
    </row>
    <row r="60" spans="2:24" ht="15.75" x14ac:dyDescent="0.25">
      <c r="B60" s="14"/>
      <c r="C60" s="422"/>
      <c r="D60" s="422"/>
      <c r="E60" s="422"/>
      <c r="F60" s="422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  <c r="S60" s="422"/>
      <c r="T60" s="422"/>
      <c r="U60" s="422"/>
      <c r="V60" s="422"/>
      <c r="W60" s="422"/>
      <c r="X60" s="422"/>
    </row>
    <row r="61" spans="2:24" ht="21" x14ac:dyDescent="0.25">
      <c r="B61" s="14"/>
      <c r="C61" s="643" t="s">
        <v>622</v>
      </c>
      <c r="D61" s="535">
        <f>IF(N38=0,0,'Sollecitazioni nella zattera'!G131/2-N40/N38)</f>
        <v>0.59631382131947186</v>
      </c>
      <c r="E61" s="632"/>
      <c r="F61" s="422"/>
      <c r="G61" s="422"/>
      <c r="H61" s="422"/>
      <c r="I61" s="422"/>
      <c r="J61" s="422"/>
      <c r="K61" s="422"/>
      <c r="L61" s="422"/>
      <c r="M61" s="422"/>
      <c r="N61" s="422"/>
      <c r="O61" s="422"/>
      <c r="P61" s="422"/>
      <c r="Q61" s="422"/>
      <c r="R61" s="422"/>
      <c r="S61" s="422"/>
      <c r="T61" s="422"/>
      <c r="U61" s="422"/>
      <c r="V61" s="422"/>
      <c r="W61" s="422"/>
      <c r="X61" s="422"/>
    </row>
    <row r="62" spans="2:24" x14ac:dyDescent="0.25">
      <c r="B62" s="422"/>
      <c r="C62" s="623" t="s">
        <v>595</v>
      </c>
      <c r="D62" s="535">
        <f>IF(N40=0,'FOGLIO DEPOSITO'!D83,IF(D61&gt;'FOGLIO DEPOSITO'!D83/2,0,'FOGLIO DEPOSITO'!D83-2*D61))</f>
        <v>2.2073723573610562</v>
      </c>
      <c r="E62" s="632"/>
      <c r="F62" s="422"/>
      <c r="G62" s="422"/>
      <c r="H62" s="422"/>
      <c r="I62" s="422"/>
      <c r="J62" s="422"/>
      <c r="K62" s="422"/>
      <c r="L62" s="422"/>
      <c r="M62" s="422"/>
      <c r="N62" s="422"/>
      <c r="O62" s="422"/>
      <c r="P62" s="422"/>
      <c r="Q62" s="422"/>
      <c r="R62" s="422"/>
      <c r="S62" s="422"/>
      <c r="T62" s="422"/>
      <c r="U62" s="422"/>
      <c r="V62" s="422"/>
      <c r="W62" s="422"/>
      <c r="X62" s="422"/>
    </row>
    <row r="63" spans="2:24" x14ac:dyDescent="0.25">
      <c r="B63" s="422"/>
      <c r="C63" s="632"/>
      <c r="D63" s="3"/>
      <c r="E63" s="632"/>
      <c r="F63" s="422"/>
      <c r="G63" s="624"/>
      <c r="H63" s="3"/>
      <c r="I63" s="632"/>
      <c r="J63" s="422"/>
      <c r="K63" s="422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</row>
    <row r="64" spans="2:24" ht="15.75" x14ac:dyDescent="0.25">
      <c r="B64" s="14" t="s">
        <v>761</v>
      </c>
      <c r="C64" s="422"/>
      <c r="D64" s="422"/>
      <c r="E64" s="422"/>
      <c r="F64" s="422"/>
      <c r="G64" s="422"/>
      <c r="H64" s="422"/>
      <c r="I64" s="422"/>
      <c r="J64" s="422"/>
      <c r="K64" s="422"/>
      <c r="L64" s="422"/>
      <c r="M64" s="422"/>
      <c r="N64" s="422"/>
      <c r="O64" s="422"/>
      <c r="P64" s="422"/>
      <c r="Q64" s="422"/>
      <c r="R64" s="422"/>
      <c r="S64" s="422"/>
      <c r="T64" s="422"/>
      <c r="U64" s="422"/>
      <c r="V64" s="422"/>
      <c r="W64" s="422"/>
      <c r="X64" s="422"/>
    </row>
    <row r="65" spans="2:24" ht="15.75" x14ac:dyDescent="0.25">
      <c r="B65" s="14"/>
      <c r="C65" s="422"/>
      <c r="D65" s="422"/>
      <c r="E65" s="422"/>
      <c r="F65" s="422"/>
      <c r="G65" s="422"/>
      <c r="H65" s="422"/>
      <c r="I65" s="422"/>
      <c r="J65" s="422"/>
      <c r="K65" s="422"/>
      <c r="L65" s="422"/>
      <c r="M65" s="422"/>
      <c r="N65" s="422"/>
      <c r="O65" s="422"/>
      <c r="P65" s="422"/>
      <c r="Q65" s="422"/>
      <c r="R65" s="422"/>
      <c r="S65" s="422"/>
      <c r="T65" s="422"/>
      <c r="U65" s="422"/>
      <c r="V65" s="422"/>
      <c r="W65" s="422"/>
      <c r="X65" s="422"/>
    </row>
    <row r="66" spans="2:24" ht="21" x14ac:dyDescent="0.25">
      <c r="B66" s="422"/>
      <c r="C66" s="28" t="s">
        <v>623</v>
      </c>
      <c r="D66" s="29">
        <f>(D39*D50*D57*G57*J57*M57*P57+'VER. GEO CONDIZIONI NON DRENATE'!D40*I42*D51)</f>
        <v>18.900169605052938</v>
      </c>
      <c r="E66" s="30" t="s">
        <v>624</v>
      </c>
      <c r="F66" s="422"/>
      <c r="G66" s="28" t="s">
        <v>625</v>
      </c>
      <c r="H66" s="29">
        <f>IF(I40=0,0,IF('FOGLIO DEPOSITO'!C110=0,0,D66*I40*'FOGLIO DEPOSITO'!C110))</f>
        <v>104.29927983907371</v>
      </c>
      <c r="I66" s="30" t="s">
        <v>12</v>
      </c>
      <c r="J66" s="422"/>
      <c r="K66" s="632"/>
      <c r="L66" s="8"/>
      <c r="M66" s="632"/>
      <c r="N66" s="422"/>
      <c r="O66" s="422"/>
      <c r="P66" s="422"/>
      <c r="Q66" s="422"/>
      <c r="R66" s="422"/>
      <c r="S66" s="422"/>
      <c r="T66" s="422"/>
      <c r="U66" s="422"/>
      <c r="V66" s="422"/>
      <c r="W66" s="422"/>
      <c r="X66" s="422"/>
    </row>
    <row r="67" spans="2:24" ht="15.75" x14ac:dyDescent="0.25">
      <c r="B67" s="14"/>
      <c r="C67" s="632"/>
      <c r="D67" s="8"/>
      <c r="E67" s="632"/>
      <c r="F67" s="422"/>
      <c r="G67" s="632"/>
      <c r="H67" s="8"/>
      <c r="I67" s="632"/>
      <c r="J67" s="422"/>
      <c r="K67" s="632"/>
      <c r="L67" s="8"/>
      <c r="M67" s="632"/>
      <c r="N67" s="422"/>
      <c r="O67" s="422"/>
      <c r="P67" s="422"/>
      <c r="Q67" s="422"/>
      <c r="R67" s="422"/>
      <c r="S67" s="422"/>
      <c r="T67" s="422"/>
      <c r="U67" s="422"/>
      <c r="V67" s="422"/>
      <c r="W67" s="422"/>
      <c r="X67" s="422"/>
    </row>
    <row r="68" spans="2:24" ht="15.75" x14ac:dyDescent="0.25">
      <c r="B68" s="14"/>
      <c r="C68" s="632"/>
      <c r="D68" s="8"/>
      <c r="E68" s="632"/>
      <c r="F68" s="422"/>
      <c r="G68" s="632"/>
      <c r="H68" s="8"/>
      <c r="I68" s="632"/>
      <c r="J68" s="422"/>
      <c r="K68" s="632"/>
      <c r="L68" s="8"/>
      <c r="M68" s="632"/>
      <c r="N68" s="422"/>
      <c r="O68" s="422"/>
      <c r="P68" s="422"/>
      <c r="Q68" s="422"/>
      <c r="R68" s="422"/>
      <c r="S68" s="422"/>
      <c r="T68" s="422"/>
      <c r="U68" s="422"/>
      <c r="V68" s="422"/>
      <c r="W68" s="422"/>
      <c r="X68" s="422"/>
    </row>
    <row r="69" spans="2:24" ht="15.75" x14ac:dyDescent="0.25">
      <c r="B69" s="14"/>
      <c r="C69" s="632"/>
      <c r="D69" s="8"/>
      <c r="E69" s="632"/>
      <c r="F69" s="422"/>
      <c r="G69" s="632"/>
      <c r="H69" s="8"/>
      <c r="I69" s="632"/>
      <c r="J69" s="422"/>
      <c r="K69" s="632"/>
      <c r="L69" s="8"/>
      <c r="M69" s="632"/>
      <c r="N69" s="422"/>
      <c r="O69" s="422"/>
      <c r="P69" s="422"/>
      <c r="Q69" s="422"/>
      <c r="R69" s="422"/>
      <c r="S69" s="422"/>
      <c r="T69" s="422"/>
      <c r="U69" s="422"/>
      <c r="V69" s="422"/>
      <c r="W69" s="422"/>
      <c r="X69" s="422"/>
    </row>
    <row r="70" spans="2:24" ht="15.75" x14ac:dyDescent="0.25">
      <c r="B70" s="14"/>
      <c r="C70" s="632"/>
      <c r="D70" s="8"/>
      <c r="E70" s="632"/>
      <c r="F70" s="422"/>
      <c r="G70" s="632"/>
      <c r="H70" s="8"/>
      <c r="I70" s="632"/>
      <c r="J70" s="422"/>
      <c r="K70" s="632"/>
      <c r="L70" s="8"/>
      <c r="M70" s="632"/>
      <c r="N70" s="422"/>
      <c r="O70" s="422"/>
      <c r="P70" s="422"/>
      <c r="Q70" s="422"/>
      <c r="R70" s="422"/>
      <c r="S70" s="422"/>
      <c r="T70" s="422"/>
      <c r="U70" s="422"/>
      <c r="V70" s="422"/>
      <c r="W70" s="422"/>
      <c r="X70" s="422"/>
    </row>
    <row r="71" spans="2:24" ht="15.75" x14ac:dyDescent="0.25">
      <c r="B71" s="14"/>
      <c r="C71" s="632"/>
      <c r="D71" s="8"/>
      <c r="E71" s="632"/>
      <c r="F71" s="422"/>
      <c r="G71" s="632"/>
      <c r="H71" s="8"/>
      <c r="I71" s="632"/>
      <c r="J71" s="422"/>
      <c r="K71" s="632"/>
      <c r="L71" s="8"/>
      <c r="M71" s="632"/>
      <c r="N71" s="422"/>
      <c r="O71" s="422"/>
      <c r="P71" s="422"/>
      <c r="Q71" s="422"/>
      <c r="R71" s="422"/>
      <c r="S71" s="422"/>
      <c r="T71" s="422"/>
      <c r="U71" s="422"/>
      <c r="V71" s="422"/>
      <c r="W71" s="422"/>
      <c r="X71" s="422"/>
    </row>
    <row r="72" spans="2:24" ht="15.75" x14ac:dyDescent="0.25">
      <c r="B72" s="14"/>
      <c r="C72" s="632"/>
      <c r="D72" s="8"/>
      <c r="E72" s="632"/>
      <c r="F72" s="422"/>
      <c r="G72" s="632"/>
      <c r="H72" s="8"/>
      <c r="I72" s="632"/>
      <c r="J72" s="422"/>
      <c r="K72" s="632"/>
      <c r="L72" s="8"/>
      <c r="M72" s="632"/>
      <c r="N72" s="422"/>
      <c r="O72" s="422"/>
      <c r="P72" s="422"/>
      <c r="Q72" s="422"/>
      <c r="R72" s="422"/>
      <c r="S72" s="422"/>
      <c r="T72" s="422"/>
      <c r="U72" s="422"/>
      <c r="V72" s="422"/>
      <c r="W72" s="422"/>
      <c r="X72" s="422"/>
    </row>
    <row r="73" spans="2:24" x14ac:dyDescent="0.25">
      <c r="B73" s="422"/>
      <c r="C73" s="422"/>
      <c r="D73" s="422"/>
      <c r="E73" s="422"/>
      <c r="F73" s="422"/>
      <c r="G73" s="422"/>
      <c r="H73" s="422"/>
      <c r="I73" s="422"/>
      <c r="J73" s="422"/>
      <c r="K73" s="422"/>
      <c r="L73" s="422"/>
      <c r="M73" s="422"/>
      <c r="N73" s="422"/>
      <c r="O73" s="422"/>
      <c r="P73" s="422"/>
      <c r="Q73" s="422"/>
      <c r="R73" s="422"/>
      <c r="S73" s="422"/>
      <c r="T73" s="422"/>
      <c r="U73" s="422"/>
      <c r="V73" s="422"/>
      <c r="W73" s="422"/>
      <c r="X73" s="422"/>
    </row>
    <row r="74" spans="2:24" ht="16.5" thickBot="1" x14ac:dyDescent="0.3">
      <c r="B74" s="14" t="s">
        <v>762</v>
      </c>
      <c r="C74" s="422"/>
      <c r="D74" s="422"/>
      <c r="E74" s="422"/>
      <c r="F74" s="422"/>
      <c r="G74" s="422"/>
      <c r="H74" s="422"/>
      <c r="I74" s="422"/>
      <c r="J74" s="422"/>
      <c r="K74" s="422"/>
      <c r="L74" s="422"/>
      <c r="M74" s="422"/>
      <c r="N74" s="422"/>
      <c r="O74" s="422"/>
      <c r="P74" s="422"/>
      <c r="Q74" s="422"/>
      <c r="R74" s="422"/>
      <c r="S74" s="422"/>
      <c r="T74" s="422"/>
      <c r="U74" s="422"/>
      <c r="V74" s="422"/>
      <c r="W74" s="422"/>
      <c r="X74" s="422"/>
    </row>
    <row r="75" spans="2:24" ht="21.75" thickBot="1" x14ac:dyDescent="0.35">
      <c r="B75" s="424" t="s">
        <v>628</v>
      </c>
      <c r="C75" s="624" t="s">
        <v>627</v>
      </c>
      <c r="D75" s="428">
        <f>N38</f>
        <v>1080.4082031089599</v>
      </c>
      <c r="E75" s="426" t="s">
        <v>12</v>
      </c>
      <c r="F75" s="422"/>
      <c r="G75" s="422"/>
      <c r="H75" s="955" t="str">
        <f>IF(H66&lt;=0,"NON VERIFICATO",IF(D75/D76&lt;=1,"verificato","NON VERIFICATO!"))</f>
        <v>NON VERIFICATO!</v>
      </c>
      <c r="I75" s="956"/>
      <c r="J75" s="422"/>
      <c r="K75" s="429"/>
      <c r="L75" s="422"/>
      <c r="M75" s="422"/>
      <c r="N75" s="422"/>
      <c r="O75" s="422"/>
      <c r="P75" s="422"/>
      <c r="Q75" s="422"/>
      <c r="R75" s="422"/>
      <c r="S75" s="422"/>
      <c r="T75" s="422"/>
      <c r="U75" s="422"/>
      <c r="V75" s="422"/>
      <c r="W75" s="422"/>
      <c r="X75" s="422"/>
    </row>
    <row r="76" spans="2:24" ht="21" x14ac:dyDescent="0.25">
      <c r="B76" s="422"/>
      <c r="C76" s="624" t="s">
        <v>629</v>
      </c>
      <c r="D76" s="428">
        <f>H66/DATI!E274</f>
        <v>104.29927983907371</v>
      </c>
      <c r="E76" s="426" t="s">
        <v>12</v>
      </c>
      <c r="F76" s="422"/>
      <c r="G76" s="422"/>
      <c r="H76" s="957">
        <f>IF(D76=0,0,D76/D75)</f>
        <v>9.6536919600336515E-2</v>
      </c>
      <c r="I76" s="957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</row>
    <row r="77" spans="2:24" ht="15.75" customHeight="1" x14ac:dyDescent="0.25">
      <c r="B77" s="422"/>
      <c r="C77" s="624"/>
      <c r="D77" s="428"/>
      <c r="E77" s="426"/>
      <c r="F77" s="422"/>
      <c r="G77" s="422"/>
      <c r="H77" s="634"/>
      <c r="I77" s="634"/>
      <c r="J77" s="422"/>
      <c r="K77" s="952" t="str">
        <f>IF(DATI!E247=0,"QUESTA VERIFICA PUO' ESSERE OMESSA IN QUANTO LA RESISTENZA A TAGLIO NON DRENATA PER IL TERRENO AL DI SOTTO DEL PIANO DI POSA DELLA ZATTERA NON E' STATA DEFINITA","")</f>
        <v>QUESTA VERIFICA PUO' ESSERE OMESSA IN QUANTO LA RESISTENZA A TAGLIO NON DRENATA PER IL TERRENO AL DI SOTTO DEL PIANO DI POSA DELLA ZATTERA NON E' STATA DEFINITA</v>
      </c>
      <c r="L77" s="952"/>
      <c r="M77" s="952"/>
      <c r="N77" s="952"/>
      <c r="O77" s="952"/>
      <c r="P77" s="422"/>
      <c r="Q77" s="422"/>
      <c r="R77" s="422"/>
      <c r="S77" s="422"/>
      <c r="T77" s="422"/>
      <c r="U77" s="422"/>
      <c r="V77" s="422"/>
      <c r="W77" s="422"/>
      <c r="X77" s="422"/>
    </row>
    <row r="78" spans="2:24" x14ac:dyDescent="0.25">
      <c r="B78" s="422"/>
      <c r="C78" s="620" t="s">
        <v>630</v>
      </c>
      <c r="D78" s="69">
        <f>IF(I40=0,0,IF('FOGLIO DEPOSITO'!C110=0,0,D75/(I40*'FOGLIO DEPOSITO'!C110)))</f>
        <v>195.78177637425935</v>
      </c>
      <c r="E78" s="620" t="s">
        <v>631</v>
      </c>
      <c r="F78" s="422"/>
      <c r="G78" s="422"/>
      <c r="H78" s="422"/>
      <c r="I78" s="422"/>
      <c r="J78" s="422"/>
      <c r="K78" s="952"/>
      <c r="L78" s="952"/>
      <c r="M78" s="952"/>
      <c r="N78" s="952"/>
      <c r="O78" s="952"/>
      <c r="P78" s="422"/>
      <c r="Q78" s="422"/>
      <c r="R78" s="422"/>
      <c r="S78" s="422"/>
      <c r="T78" s="422"/>
      <c r="U78" s="422"/>
      <c r="V78" s="422"/>
      <c r="W78" s="422"/>
      <c r="X78" s="422"/>
    </row>
    <row r="79" spans="2:24" ht="15.75" x14ac:dyDescent="0.25">
      <c r="B79" s="422"/>
      <c r="C79" s="620" t="s">
        <v>632</v>
      </c>
      <c r="D79" s="69">
        <f>IF(I40=0,0,IF('FOGLIO DEPOSITO'!C110=0,0,D76/(I40*'FOGLIO DEPOSITO'!C110)))</f>
        <v>18.900169605052938</v>
      </c>
      <c r="E79" s="620" t="s">
        <v>631</v>
      </c>
      <c r="F79" s="422"/>
      <c r="G79" s="422"/>
      <c r="H79" s="422"/>
      <c r="I79" s="422"/>
      <c r="J79" s="422"/>
      <c r="K79" s="952"/>
      <c r="L79" s="952"/>
      <c r="M79" s="952"/>
      <c r="N79" s="952"/>
      <c r="O79" s="952"/>
      <c r="P79" s="422"/>
      <c r="Q79" s="422"/>
      <c r="R79" s="422"/>
      <c r="S79" s="422"/>
      <c r="T79" s="422"/>
      <c r="U79" s="422"/>
      <c r="V79" s="422"/>
      <c r="W79" s="422"/>
      <c r="X79" s="422"/>
    </row>
    <row r="80" spans="2:24" x14ac:dyDescent="0.25">
      <c r="B80" s="422"/>
      <c r="C80" s="422"/>
      <c r="D80" s="422"/>
      <c r="E80" s="422"/>
      <c r="F80" s="422"/>
      <c r="G80" s="422"/>
      <c r="H80" s="422"/>
      <c r="I80" s="422"/>
      <c r="J80" s="422"/>
      <c r="K80" s="952"/>
      <c r="L80" s="952"/>
      <c r="M80" s="952"/>
      <c r="N80" s="952"/>
      <c r="O80" s="952"/>
      <c r="P80" s="422"/>
      <c r="Q80" s="422"/>
      <c r="R80" s="422"/>
      <c r="S80" s="422"/>
      <c r="T80" s="422"/>
      <c r="U80" s="422"/>
      <c r="V80" s="422"/>
      <c r="W80" s="422"/>
      <c r="X80" s="422"/>
    </row>
    <row r="81" spans="2:24" ht="15.75" x14ac:dyDescent="0.25">
      <c r="B81" s="14" t="s">
        <v>763</v>
      </c>
      <c r="C81" s="422"/>
      <c r="D81" s="422"/>
      <c r="E81" s="422"/>
      <c r="F81" s="422"/>
      <c r="G81" s="422"/>
      <c r="H81" s="422"/>
      <c r="I81" s="422"/>
      <c r="J81" s="422"/>
      <c r="K81" s="952"/>
      <c r="L81" s="952"/>
      <c r="M81" s="952"/>
      <c r="N81" s="952"/>
      <c r="O81" s="952"/>
      <c r="P81" s="422"/>
      <c r="Q81" s="422"/>
      <c r="R81" s="422"/>
      <c r="S81" s="422"/>
      <c r="T81" s="422"/>
      <c r="U81" s="422"/>
      <c r="V81" s="422"/>
      <c r="W81" s="422"/>
      <c r="X81" s="422"/>
    </row>
    <row r="82" spans="2:24" ht="15.75" thickBot="1" x14ac:dyDescent="0.3">
      <c r="B82" s="422"/>
      <c r="C82" s="422"/>
      <c r="D82" s="422"/>
      <c r="E82" s="422"/>
      <c r="F82" s="422"/>
      <c r="G82" s="422"/>
      <c r="H82" s="422"/>
      <c r="I82" s="422"/>
      <c r="J82" s="422"/>
      <c r="K82" s="952"/>
      <c r="L82" s="952"/>
      <c r="M82" s="952"/>
      <c r="N82" s="952"/>
      <c r="O82" s="952"/>
      <c r="P82" s="422"/>
      <c r="Q82" s="422"/>
      <c r="R82" s="422"/>
      <c r="S82" s="422"/>
      <c r="T82" s="422"/>
      <c r="U82" s="422"/>
      <c r="V82" s="422"/>
      <c r="W82" s="422"/>
      <c r="X82" s="422"/>
    </row>
    <row r="83" spans="2:24" ht="21.75" thickBot="1" x14ac:dyDescent="0.3">
      <c r="B83" s="422"/>
      <c r="C83" s="624" t="s">
        <v>627</v>
      </c>
      <c r="D83" s="428">
        <f>'FOGLIO DEPOSITO'!D46*'FOGLIO DEPOSITO'!D66</f>
        <v>330.99239950860351</v>
      </c>
      <c r="E83" s="426" t="s">
        <v>12</v>
      </c>
      <c r="F83" s="422"/>
      <c r="G83" s="422"/>
      <c r="H83" s="947" t="str">
        <f>IF(D39=0,"NON VERIFICATO",IF(D83/D84&lt;=1,"verificato","NON VERIFICATO!"))</f>
        <v>NON VERIFICATO</v>
      </c>
      <c r="I83" s="948"/>
      <c r="J83" s="422"/>
      <c r="K83" s="422"/>
      <c r="L83" s="422"/>
      <c r="M83" s="422"/>
      <c r="N83" s="422"/>
      <c r="O83" s="422"/>
      <c r="P83" s="422"/>
      <c r="Q83" s="422"/>
      <c r="R83" s="422"/>
      <c r="S83" s="422"/>
      <c r="T83" s="422"/>
      <c r="U83" s="422"/>
      <c r="V83" s="422"/>
      <c r="W83" s="422"/>
      <c r="X83" s="422"/>
    </row>
    <row r="84" spans="2:24" ht="21" x14ac:dyDescent="0.25">
      <c r="B84" s="422"/>
      <c r="C84" s="624" t="s">
        <v>629</v>
      </c>
      <c r="D84" s="428">
        <f>1/DATI!E276*((D39*I40*I39*'FOGLIO DEPOSITO'!C110)+((TAN(RADIANS(45+D38/2))^2)*IF((I42+DATI!E82-I41)&lt;0,0,(I42+DATI!E82-I41))*D41)*IF(I86="si",0,1))</f>
        <v>20.700072256757139</v>
      </c>
      <c r="E84" s="426" t="s">
        <v>12</v>
      </c>
      <c r="F84" s="422"/>
      <c r="G84" s="422"/>
      <c r="H84" s="949">
        <f>IF(D84=0,0,D84/D83)</f>
        <v>6.2539418692056939E-2</v>
      </c>
      <c r="I84" s="949"/>
      <c r="J84" s="422"/>
      <c r="K84" s="422"/>
      <c r="L84" s="422"/>
      <c r="M84" s="422"/>
      <c r="N84" s="422"/>
      <c r="O84" s="422"/>
      <c r="P84" s="422"/>
      <c r="Q84" s="422"/>
      <c r="R84" s="422"/>
      <c r="S84" s="422"/>
      <c r="T84" s="422"/>
      <c r="U84" s="422"/>
      <c r="V84" s="422"/>
      <c r="W84" s="422"/>
      <c r="X84" s="422"/>
    </row>
    <row r="85" spans="2:24" s="421" customFormat="1" ht="16.5" thickBot="1" x14ac:dyDescent="0.3">
      <c r="B85" s="422"/>
      <c r="C85" s="624"/>
      <c r="D85" s="428"/>
      <c r="E85" s="426"/>
      <c r="F85" s="422"/>
      <c r="G85" s="422"/>
      <c r="H85" s="630"/>
      <c r="I85" s="630"/>
      <c r="J85" s="422"/>
      <c r="K85" s="20"/>
      <c r="L85" s="422"/>
      <c r="M85" s="422"/>
      <c r="N85" s="422"/>
      <c r="O85" s="422"/>
      <c r="P85" s="422"/>
      <c r="Q85" s="422"/>
      <c r="R85" s="422"/>
      <c r="S85" s="422"/>
      <c r="T85" s="422"/>
      <c r="U85" s="422"/>
      <c r="V85" s="422"/>
      <c r="W85" s="422"/>
      <c r="X85" s="422"/>
    </row>
    <row r="86" spans="2:24" ht="16.5" thickTop="1" thickBot="1" x14ac:dyDescent="0.3">
      <c r="B86" s="422"/>
      <c r="C86" s="430" t="s">
        <v>770</v>
      </c>
      <c r="D86" s="422"/>
      <c r="E86" s="422"/>
      <c r="F86" s="422"/>
      <c r="G86" s="422"/>
      <c r="H86" s="443"/>
      <c r="I86" s="66" t="s">
        <v>158</v>
      </c>
      <c r="J86" s="422"/>
      <c r="K86" s="422"/>
      <c r="L86" s="422"/>
      <c r="M86" s="422"/>
      <c r="N86" s="422"/>
      <c r="O86" s="422"/>
      <c r="P86" s="422"/>
      <c r="Q86" s="422"/>
      <c r="R86" s="422"/>
      <c r="S86" s="422"/>
      <c r="T86" s="422"/>
      <c r="U86" s="422"/>
      <c r="V86" s="422"/>
      <c r="W86" s="422"/>
      <c r="X86" s="422"/>
    </row>
    <row r="87" spans="2:24" s="421" customFormat="1" ht="9" customHeight="1" thickTop="1" x14ac:dyDescent="0.25">
      <c r="B87" s="422"/>
      <c r="C87" s="430"/>
      <c r="D87" s="422"/>
      <c r="E87" s="422"/>
      <c r="F87" s="422"/>
      <c r="G87" s="422"/>
      <c r="H87" s="620"/>
      <c r="I87" s="19"/>
      <c r="J87" s="422"/>
      <c r="K87" s="422"/>
      <c r="L87" s="422"/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422"/>
      <c r="X87" s="422"/>
    </row>
    <row r="88" spans="2:24" s="421" customFormat="1" x14ac:dyDescent="0.25">
      <c r="B88" s="422"/>
      <c r="C88" s="430" t="s">
        <v>771</v>
      </c>
      <c r="D88" s="422"/>
      <c r="E88" s="422"/>
      <c r="F88" s="422"/>
      <c r="G88" s="422"/>
      <c r="H88" s="620"/>
      <c r="I88" s="720">
        <f>IF((I42+DATI!E82-I41)&lt;0,0,(I42+DATI!E82-I41))</f>
        <v>1.1499999999999999</v>
      </c>
      <c r="J88" s="422"/>
      <c r="K88" s="422"/>
      <c r="L88" s="422"/>
      <c r="M88" s="422"/>
      <c r="N88" s="422"/>
      <c r="O88" s="422"/>
      <c r="P88" s="422"/>
      <c r="Q88" s="422"/>
      <c r="R88" s="422"/>
      <c r="S88" s="422"/>
      <c r="T88" s="422"/>
      <c r="U88" s="422"/>
      <c r="V88" s="422"/>
      <c r="W88" s="422"/>
      <c r="X88" s="422"/>
    </row>
    <row r="89" spans="2:24" x14ac:dyDescent="0.25"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422"/>
      <c r="M89" s="422"/>
      <c r="N89" s="422"/>
      <c r="O89" s="422"/>
      <c r="P89" s="422"/>
      <c r="Q89" s="422"/>
      <c r="R89" s="422"/>
      <c r="S89" s="422"/>
      <c r="T89" s="422"/>
      <c r="U89" s="422"/>
      <c r="V89" s="422"/>
      <c r="W89" s="422"/>
      <c r="X89" s="422"/>
    </row>
    <row r="90" spans="2:24" ht="15.75" x14ac:dyDescent="0.25">
      <c r="B90" s="14" t="s">
        <v>766</v>
      </c>
      <c r="C90" s="422"/>
      <c r="D90" s="422"/>
      <c r="E90" s="422"/>
      <c r="F90" s="422"/>
      <c r="G90" s="422"/>
      <c r="H90" s="422"/>
      <c r="I90" s="422"/>
      <c r="J90" s="422"/>
      <c r="K90" s="422"/>
      <c r="L90" s="422"/>
      <c r="M90" s="422"/>
      <c r="N90" s="422"/>
      <c r="O90" s="422"/>
      <c r="P90" s="422"/>
      <c r="Q90" s="422"/>
      <c r="R90" s="422"/>
      <c r="S90" s="422"/>
      <c r="T90" s="422"/>
      <c r="U90" s="422"/>
      <c r="V90" s="422"/>
      <c r="W90" s="422"/>
      <c r="X90" s="422"/>
    </row>
    <row r="91" spans="2:24" ht="15.75" x14ac:dyDescent="0.25">
      <c r="B91" s="422"/>
      <c r="C91" s="34" t="s">
        <v>657</v>
      </c>
      <c r="D91" s="422"/>
      <c r="E91" s="422"/>
      <c r="F91" s="422"/>
      <c r="G91" s="422"/>
      <c r="H91" s="422"/>
      <c r="I91" s="422"/>
      <c r="J91" s="422"/>
      <c r="K91" s="422"/>
      <c r="L91" s="422"/>
      <c r="M91" s="422"/>
      <c r="N91" s="422"/>
      <c r="O91" s="422"/>
      <c r="P91" s="422"/>
      <c r="Q91" s="422"/>
      <c r="R91" s="422"/>
      <c r="S91" s="422"/>
      <c r="T91" s="422"/>
      <c r="U91" s="422"/>
      <c r="V91" s="422"/>
      <c r="W91" s="422"/>
      <c r="X91" s="422"/>
    </row>
    <row r="92" spans="2:24" ht="15.75" x14ac:dyDescent="0.25">
      <c r="B92" s="422"/>
      <c r="C92" s="34" t="s">
        <v>658</v>
      </c>
      <c r="D92" s="422"/>
      <c r="E92" s="422"/>
      <c r="F92" s="422"/>
      <c r="G92" s="422"/>
      <c r="H92" s="422"/>
      <c r="I92" s="422"/>
      <c r="J92" s="422"/>
      <c r="K92" s="422"/>
      <c r="L92" s="422"/>
      <c r="M92" s="422"/>
      <c r="N92" s="422"/>
      <c r="O92" s="422"/>
      <c r="P92" s="422"/>
      <c r="Q92" s="422"/>
      <c r="R92" s="422"/>
      <c r="S92" s="422"/>
      <c r="T92" s="422"/>
      <c r="U92" s="422"/>
      <c r="V92" s="422"/>
      <c r="W92" s="422"/>
      <c r="X92" s="422"/>
    </row>
    <row r="93" spans="2:24" x14ac:dyDescent="0.25">
      <c r="B93" s="422"/>
      <c r="C93" s="422"/>
      <c r="D93" s="422"/>
      <c r="E93" s="422"/>
      <c r="F93" s="422"/>
      <c r="G93" s="422"/>
      <c r="H93" s="422"/>
      <c r="I93" s="422"/>
      <c r="J93" s="422"/>
      <c r="K93" s="422"/>
      <c r="L93" s="422"/>
      <c r="M93" s="422"/>
      <c r="N93" s="422"/>
      <c r="O93" s="422"/>
      <c r="P93" s="422"/>
      <c r="Q93" s="422"/>
      <c r="R93" s="422"/>
      <c r="S93" s="422"/>
      <c r="T93" s="422"/>
      <c r="U93" s="422"/>
      <c r="V93" s="422"/>
      <c r="W93" s="422"/>
      <c r="X93" s="422"/>
    </row>
    <row r="94" spans="2:24" ht="15.75" x14ac:dyDescent="0.25">
      <c r="B94" s="14" t="s">
        <v>767</v>
      </c>
      <c r="C94" s="422"/>
      <c r="D94" s="422"/>
      <c r="E94" s="422"/>
      <c r="F94" s="422"/>
      <c r="G94" s="422"/>
      <c r="H94" s="422"/>
      <c r="I94" s="422"/>
      <c r="J94" s="422"/>
      <c r="K94" s="422"/>
      <c r="L94" s="422"/>
      <c r="M94" s="422"/>
      <c r="N94" s="422"/>
      <c r="O94" s="422"/>
      <c r="P94" s="422"/>
      <c r="Q94" s="422"/>
      <c r="R94" s="422"/>
      <c r="S94" s="422"/>
      <c r="T94" s="422"/>
      <c r="U94" s="422"/>
      <c r="V94" s="422"/>
      <c r="W94" s="422"/>
      <c r="X94" s="422"/>
    </row>
    <row r="95" spans="2:24" ht="15.75" x14ac:dyDescent="0.25">
      <c r="B95" s="422"/>
      <c r="C95" s="34" t="s">
        <v>659</v>
      </c>
      <c r="D95" s="422"/>
      <c r="E95" s="422"/>
      <c r="F95" s="422"/>
      <c r="G95" s="422"/>
      <c r="H95" s="422"/>
      <c r="I95" s="422"/>
      <c r="J95" s="422"/>
      <c r="K95" s="422"/>
      <c r="L95" s="422"/>
      <c r="M95" s="422"/>
      <c r="N95" s="422"/>
      <c r="O95" s="422"/>
      <c r="P95" s="422"/>
      <c r="Q95" s="422"/>
      <c r="R95" s="422"/>
      <c r="S95" s="422"/>
      <c r="T95" s="422"/>
      <c r="U95" s="422"/>
      <c r="V95" s="422"/>
      <c r="W95" s="422"/>
      <c r="X95" s="422"/>
    </row>
    <row r="96" spans="2:24" ht="15.75" x14ac:dyDescent="0.25">
      <c r="B96" s="422"/>
      <c r="C96" s="34" t="s">
        <v>660</v>
      </c>
      <c r="D96" s="422"/>
      <c r="E96" s="422"/>
      <c r="F96" s="422"/>
      <c r="G96" s="422"/>
      <c r="H96" s="422"/>
      <c r="I96" s="422"/>
      <c r="J96" s="422"/>
      <c r="K96" s="422"/>
      <c r="L96" s="422"/>
      <c r="M96" s="422"/>
      <c r="N96" s="422"/>
      <c r="O96" s="422"/>
      <c r="P96" s="422"/>
      <c r="Q96" s="422"/>
      <c r="R96" s="422"/>
      <c r="S96" s="422"/>
      <c r="T96" s="422"/>
      <c r="U96" s="422"/>
      <c r="V96" s="422"/>
      <c r="W96" s="422"/>
      <c r="X96" s="422"/>
    </row>
    <row r="97" spans="2:24" x14ac:dyDescent="0.25">
      <c r="B97" s="422"/>
      <c r="C97" s="422"/>
      <c r="D97" s="422"/>
      <c r="E97" s="422"/>
      <c r="F97" s="422"/>
      <c r="G97" s="422"/>
      <c r="H97" s="422"/>
      <c r="I97" s="422"/>
      <c r="J97" s="422"/>
      <c r="K97" s="422"/>
      <c r="L97" s="422"/>
      <c r="M97" s="422"/>
      <c r="N97" s="422"/>
      <c r="O97" s="422"/>
      <c r="P97" s="422"/>
      <c r="Q97" s="422"/>
      <c r="R97" s="422"/>
      <c r="S97" s="422"/>
      <c r="T97" s="422"/>
      <c r="U97" s="422"/>
      <c r="V97" s="422"/>
      <c r="W97" s="422"/>
      <c r="X97" s="422"/>
    </row>
    <row r="98" spans="2:24" x14ac:dyDescent="0.25">
      <c r="B98" s="422"/>
      <c r="C98" s="422"/>
      <c r="D98" s="422"/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</row>
    <row r="99" spans="2:24" x14ac:dyDescent="0.25">
      <c r="B99" s="422"/>
      <c r="C99" s="422"/>
      <c r="D99" s="422"/>
      <c r="E99" s="422"/>
      <c r="F99" s="422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422"/>
      <c r="S99" s="422"/>
      <c r="T99" s="422"/>
      <c r="U99" s="422"/>
      <c r="V99" s="422"/>
      <c r="W99" s="422"/>
      <c r="X99" s="422"/>
    </row>
    <row r="100" spans="2:24" x14ac:dyDescent="0.25">
      <c r="B100" s="422"/>
      <c r="C100" s="422"/>
      <c r="D100" s="422"/>
      <c r="E100" s="422"/>
      <c r="F100" s="422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  <c r="T100" s="422"/>
      <c r="U100" s="422"/>
      <c r="V100" s="422"/>
      <c r="W100" s="422"/>
      <c r="X100" s="422"/>
    </row>
    <row r="101" spans="2:24" x14ac:dyDescent="0.25">
      <c r="B101" s="422"/>
      <c r="C101" s="422"/>
      <c r="D101" s="422"/>
      <c r="E101" s="422"/>
      <c r="F101" s="422"/>
      <c r="G101" s="422"/>
      <c r="H101" s="422"/>
      <c r="I101" s="422"/>
      <c r="J101" s="422"/>
      <c r="K101" s="422"/>
      <c r="L101" s="422"/>
      <c r="M101" s="422"/>
      <c r="N101" s="422"/>
      <c r="O101" s="422"/>
      <c r="P101" s="422"/>
      <c r="Q101" s="422"/>
      <c r="R101" s="422"/>
      <c r="S101" s="422"/>
      <c r="T101" s="422"/>
      <c r="U101" s="422"/>
      <c r="V101" s="422"/>
      <c r="W101" s="422"/>
      <c r="X101" s="422"/>
    </row>
    <row r="102" spans="2:24" x14ac:dyDescent="0.25">
      <c r="B102" s="422"/>
      <c r="C102" s="422"/>
      <c r="D102" s="422"/>
      <c r="E102" s="422"/>
      <c r="F102" s="422"/>
      <c r="G102" s="422"/>
      <c r="H102" s="422"/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2"/>
      <c r="T102" s="422"/>
      <c r="U102" s="422"/>
      <c r="V102" s="422"/>
      <c r="W102" s="422"/>
      <c r="X102" s="422"/>
    </row>
    <row r="103" spans="2:24" x14ac:dyDescent="0.25">
      <c r="B103" s="422"/>
      <c r="C103" s="422"/>
      <c r="D103" s="422"/>
      <c r="E103" s="422"/>
      <c r="F103" s="422"/>
      <c r="G103" s="422"/>
      <c r="H103" s="422"/>
      <c r="I103" s="422"/>
      <c r="J103" s="422"/>
      <c r="K103" s="422"/>
      <c r="L103" s="422"/>
      <c r="M103" s="422"/>
      <c r="N103" s="422"/>
      <c r="O103" s="422"/>
      <c r="P103" s="422"/>
      <c r="Q103" s="422"/>
      <c r="R103" s="422"/>
      <c r="S103" s="422"/>
      <c r="T103" s="422"/>
      <c r="U103" s="422"/>
      <c r="V103" s="422"/>
      <c r="W103" s="422"/>
      <c r="X103" s="422"/>
    </row>
    <row r="104" spans="2:24" x14ac:dyDescent="0.25">
      <c r="B104" s="422"/>
      <c r="C104" s="422"/>
      <c r="D104" s="422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  <c r="S104" s="422"/>
      <c r="T104" s="422"/>
      <c r="U104" s="422"/>
      <c r="V104" s="422"/>
      <c r="W104" s="422"/>
      <c r="X104" s="422"/>
    </row>
    <row r="105" spans="2:24" x14ac:dyDescent="0.25">
      <c r="B105" s="422"/>
      <c r="C105" s="422"/>
      <c r="D105" s="422"/>
      <c r="E105" s="422"/>
      <c r="F105" s="422"/>
      <c r="G105" s="422"/>
      <c r="H105" s="422"/>
      <c r="I105" s="422"/>
      <c r="J105" s="422"/>
      <c r="K105" s="422"/>
      <c r="L105" s="422"/>
      <c r="M105" s="422"/>
      <c r="N105" s="422"/>
      <c r="O105" s="422"/>
      <c r="P105" s="422"/>
      <c r="Q105" s="422"/>
      <c r="R105" s="422"/>
      <c r="S105" s="422"/>
      <c r="T105" s="422"/>
      <c r="U105" s="422"/>
      <c r="V105" s="422"/>
      <c r="W105" s="422"/>
      <c r="X105" s="422"/>
    </row>
    <row r="106" spans="2:24" x14ac:dyDescent="0.25">
      <c r="B106" s="422"/>
      <c r="C106" s="422"/>
      <c r="D106" s="422"/>
      <c r="E106" s="422"/>
      <c r="F106" s="422"/>
      <c r="G106" s="422"/>
      <c r="H106" s="422"/>
      <c r="I106" s="422"/>
      <c r="J106" s="422"/>
      <c r="K106" s="422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X106" s="422"/>
    </row>
    <row r="107" spans="2:24" x14ac:dyDescent="0.25">
      <c r="B107" s="422"/>
      <c r="C107" s="422"/>
      <c r="D107" s="422"/>
      <c r="E107" s="422"/>
      <c r="F107" s="422"/>
      <c r="G107" s="422"/>
      <c r="H107" s="422"/>
      <c r="I107" s="422"/>
      <c r="J107" s="422"/>
      <c r="K107" s="422"/>
      <c r="L107" s="422"/>
      <c r="M107" s="422"/>
      <c r="N107" s="422"/>
      <c r="O107" s="422"/>
      <c r="P107" s="422"/>
      <c r="Q107" s="422"/>
      <c r="R107" s="422"/>
      <c r="S107" s="422"/>
      <c r="T107" s="422"/>
      <c r="U107" s="422"/>
      <c r="V107" s="422"/>
      <c r="W107" s="422"/>
      <c r="X107" s="422"/>
    </row>
    <row r="108" spans="2:24" x14ac:dyDescent="0.25">
      <c r="B108" s="422"/>
      <c r="C108" s="422"/>
      <c r="D108" s="422"/>
      <c r="E108" s="422"/>
      <c r="F108" s="422"/>
      <c r="G108" s="422"/>
      <c r="H108" s="422"/>
      <c r="I108" s="422"/>
      <c r="J108" s="422"/>
      <c r="K108" s="422"/>
      <c r="L108" s="422"/>
      <c r="M108" s="422"/>
      <c r="N108" s="422"/>
      <c r="O108" s="422"/>
      <c r="P108" s="422"/>
      <c r="Q108" s="422"/>
      <c r="R108" s="422"/>
      <c r="S108" s="422"/>
      <c r="T108" s="422"/>
      <c r="U108" s="422"/>
      <c r="V108" s="422"/>
      <c r="W108" s="422"/>
      <c r="X108" s="422"/>
    </row>
    <row r="109" spans="2:24" x14ac:dyDescent="0.25">
      <c r="B109" s="422"/>
      <c r="C109" s="422"/>
      <c r="D109" s="422"/>
      <c r="E109" s="422"/>
      <c r="F109" s="422"/>
      <c r="G109" s="422"/>
      <c r="H109" s="422"/>
      <c r="I109" s="422"/>
      <c r="J109" s="422"/>
      <c r="K109" s="422"/>
      <c r="L109" s="422"/>
      <c r="M109" s="422"/>
      <c r="N109" s="422"/>
      <c r="O109" s="422"/>
      <c r="P109" s="422"/>
      <c r="Q109" s="422"/>
      <c r="R109" s="422"/>
      <c r="S109" s="422"/>
      <c r="T109" s="422"/>
      <c r="U109" s="422"/>
      <c r="V109" s="422"/>
      <c r="W109" s="422"/>
      <c r="X109" s="422"/>
    </row>
    <row r="110" spans="2:24" x14ac:dyDescent="0.25">
      <c r="B110" s="422"/>
      <c r="C110" s="422"/>
      <c r="D110" s="422"/>
      <c r="E110" s="422"/>
      <c r="F110" s="422"/>
      <c r="G110" s="422"/>
      <c r="H110" s="422"/>
      <c r="I110" s="422"/>
      <c r="J110" s="422"/>
      <c r="K110" s="422"/>
      <c r="L110" s="422"/>
      <c r="M110" s="422"/>
      <c r="N110" s="422"/>
      <c r="O110" s="422"/>
      <c r="P110" s="422"/>
      <c r="Q110" s="422"/>
      <c r="R110" s="422"/>
      <c r="S110" s="422"/>
      <c r="T110" s="422"/>
      <c r="U110" s="422"/>
      <c r="V110" s="422"/>
      <c r="W110" s="422"/>
      <c r="X110" s="422"/>
    </row>
    <row r="111" spans="2:24" x14ac:dyDescent="0.25">
      <c r="B111" s="422"/>
      <c r="C111" s="422"/>
      <c r="D111" s="422"/>
      <c r="E111" s="422"/>
      <c r="F111" s="422"/>
      <c r="G111" s="422"/>
      <c r="H111" s="422"/>
      <c r="I111" s="422"/>
      <c r="J111" s="422"/>
      <c r="K111" s="422"/>
      <c r="L111" s="422"/>
      <c r="M111" s="422"/>
      <c r="N111" s="422"/>
      <c r="O111" s="422"/>
      <c r="P111" s="422"/>
      <c r="Q111" s="422"/>
      <c r="R111" s="422"/>
      <c r="S111" s="422"/>
      <c r="T111" s="422"/>
      <c r="U111" s="422"/>
      <c r="V111" s="422"/>
      <c r="W111" s="422"/>
      <c r="X111" s="422"/>
    </row>
    <row r="112" spans="2:24" x14ac:dyDescent="0.25">
      <c r="B112" s="422"/>
      <c r="C112" s="422"/>
      <c r="D112" s="422"/>
      <c r="E112" s="422"/>
      <c r="F112" s="422"/>
      <c r="G112" s="422"/>
      <c r="H112" s="422"/>
      <c r="I112" s="422"/>
      <c r="J112" s="422"/>
      <c r="K112" s="422"/>
      <c r="L112" s="422"/>
      <c r="M112" s="422"/>
      <c r="N112" s="422"/>
      <c r="O112" s="422"/>
      <c r="P112" s="422"/>
      <c r="Q112" s="422"/>
      <c r="R112" s="422"/>
      <c r="S112" s="422"/>
      <c r="T112" s="422"/>
      <c r="U112" s="422"/>
      <c r="V112" s="422"/>
      <c r="W112" s="422"/>
      <c r="X112" s="422"/>
    </row>
    <row r="113" spans="2:24" x14ac:dyDescent="0.25">
      <c r="B113" s="422"/>
      <c r="C113" s="422"/>
      <c r="D113" s="422"/>
      <c r="E113" s="422"/>
      <c r="F113" s="422"/>
      <c r="G113" s="422"/>
      <c r="H113" s="422"/>
      <c r="I113" s="422"/>
      <c r="J113" s="422"/>
      <c r="K113" s="422"/>
      <c r="L113" s="422"/>
      <c r="M113" s="422"/>
      <c r="N113" s="422"/>
      <c r="O113" s="422"/>
      <c r="P113" s="422"/>
      <c r="Q113" s="422"/>
      <c r="R113" s="422"/>
      <c r="S113" s="422"/>
      <c r="T113" s="422"/>
      <c r="U113" s="422"/>
      <c r="V113" s="422"/>
      <c r="W113" s="422"/>
      <c r="X113" s="422"/>
    </row>
    <row r="114" spans="2:24" x14ac:dyDescent="0.25">
      <c r="B114" s="422"/>
      <c r="C114" s="422"/>
      <c r="D114" s="422"/>
      <c r="E114" s="422"/>
      <c r="F114" s="422"/>
      <c r="G114" s="422"/>
      <c r="H114" s="422"/>
      <c r="I114" s="422"/>
      <c r="J114" s="422"/>
      <c r="K114" s="422"/>
      <c r="L114" s="422"/>
      <c r="M114" s="422"/>
      <c r="N114" s="422"/>
      <c r="O114" s="422"/>
      <c r="P114" s="422"/>
      <c r="Q114" s="422"/>
      <c r="R114" s="422"/>
      <c r="S114" s="422"/>
      <c r="T114" s="422"/>
      <c r="U114" s="422"/>
      <c r="V114" s="422"/>
      <c r="W114" s="422"/>
      <c r="X114" s="422"/>
    </row>
    <row r="115" spans="2:24" x14ac:dyDescent="0.25">
      <c r="B115" s="422"/>
      <c r="C115" s="422"/>
      <c r="D115" s="422"/>
      <c r="E115" s="422"/>
      <c r="F115" s="422"/>
      <c r="G115" s="422"/>
      <c r="H115" s="422"/>
      <c r="I115" s="422"/>
      <c r="J115" s="422"/>
      <c r="K115" s="422"/>
      <c r="L115" s="422"/>
      <c r="M115" s="422"/>
      <c r="N115" s="422"/>
      <c r="O115" s="422"/>
      <c r="P115" s="422"/>
      <c r="Q115" s="422"/>
      <c r="R115" s="422"/>
      <c r="S115" s="422"/>
      <c r="T115" s="422"/>
      <c r="U115" s="422"/>
      <c r="V115" s="422"/>
      <c r="W115" s="422"/>
      <c r="X115" s="422"/>
    </row>
    <row r="116" spans="2:24" x14ac:dyDescent="0.25">
      <c r="B116" s="422"/>
      <c r="C116" s="422"/>
      <c r="D116" s="422"/>
      <c r="E116" s="422"/>
      <c r="F116" s="422"/>
      <c r="G116" s="422"/>
      <c r="H116" s="422"/>
      <c r="I116" s="422"/>
      <c r="J116" s="422"/>
      <c r="K116" s="422" t="s">
        <v>647</v>
      </c>
      <c r="L116" s="422"/>
      <c r="M116" s="422"/>
      <c r="N116" s="422"/>
      <c r="O116" s="422"/>
      <c r="P116" s="422"/>
      <c r="Q116" s="422"/>
      <c r="R116" s="422"/>
      <c r="S116" s="422"/>
      <c r="T116" s="422"/>
      <c r="U116" s="422"/>
      <c r="V116" s="422"/>
      <c r="W116" s="422"/>
      <c r="X116" s="422"/>
    </row>
    <row r="117" spans="2:24" x14ac:dyDescent="0.25">
      <c r="B117" s="422"/>
      <c r="C117" s="422"/>
      <c r="D117" s="422"/>
      <c r="E117" s="422"/>
      <c r="F117" s="422"/>
      <c r="G117" s="422"/>
      <c r="H117" s="422"/>
      <c r="I117" s="422"/>
      <c r="J117" s="422"/>
      <c r="K117" s="422"/>
      <c r="L117" s="422"/>
      <c r="M117" s="422"/>
      <c r="N117" s="422"/>
      <c r="O117" s="422"/>
      <c r="P117" s="422"/>
      <c r="Q117" s="422"/>
      <c r="R117" s="422"/>
      <c r="S117" s="422"/>
      <c r="T117" s="422"/>
      <c r="U117" s="422"/>
      <c r="V117" s="422"/>
      <c r="W117" s="422"/>
      <c r="X117" s="422"/>
    </row>
    <row r="118" spans="2:24" x14ac:dyDescent="0.25">
      <c r="B118" s="422"/>
      <c r="C118" s="422"/>
      <c r="D118" s="422"/>
      <c r="E118" s="422"/>
      <c r="F118" s="422"/>
      <c r="G118" s="422"/>
      <c r="H118" s="422"/>
      <c r="I118" s="422"/>
      <c r="J118" s="422"/>
      <c r="K118" s="422"/>
      <c r="L118" s="422"/>
      <c r="M118" s="422"/>
      <c r="N118" s="422"/>
      <c r="O118" s="422"/>
      <c r="P118" s="422"/>
      <c r="Q118" s="422"/>
      <c r="R118" s="422"/>
      <c r="S118" s="422"/>
      <c r="T118" s="422"/>
      <c r="U118" s="422"/>
      <c r="V118" s="422"/>
      <c r="W118" s="422"/>
      <c r="X118" s="422"/>
    </row>
    <row r="119" spans="2:24" x14ac:dyDescent="0.25">
      <c r="B119" s="422"/>
      <c r="C119" s="422"/>
      <c r="D119" s="422"/>
      <c r="E119" s="422"/>
      <c r="F119" s="422"/>
      <c r="G119" s="422"/>
      <c r="H119" s="422"/>
      <c r="I119" s="422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  <c r="T119" s="422"/>
      <c r="U119" s="422"/>
      <c r="V119" s="422"/>
      <c r="W119" s="422"/>
      <c r="X119" s="422"/>
    </row>
    <row r="120" spans="2:24" x14ac:dyDescent="0.25">
      <c r="B120" s="422"/>
      <c r="C120" s="422"/>
      <c r="D120" s="422"/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</row>
    <row r="121" spans="2:24" x14ac:dyDescent="0.25">
      <c r="B121" s="422"/>
      <c r="C121" s="422"/>
      <c r="D121" s="422"/>
      <c r="E121" s="422"/>
      <c r="F121" s="422"/>
      <c r="G121" s="422"/>
      <c r="H121" s="422"/>
      <c r="I121" s="422"/>
      <c r="J121" s="422"/>
      <c r="K121" s="422"/>
      <c r="L121" s="422"/>
      <c r="M121" s="422"/>
      <c r="N121" s="422"/>
      <c r="O121" s="422"/>
      <c r="P121" s="422"/>
      <c r="Q121" s="422"/>
      <c r="R121" s="422"/>
      <c r="S121" s="422"/>
      <c r="T121" s="422"/>
      <c r="U121" s="422"/>
      <c r="V121" s="422"/>
      <c r="W121" s="422"/>
      <c r="X121" s="422"/>
    </row>
    <row r="122" spans="2:24" x14ac:dyDescent="0.25">
      <c r="B122" s="422"/>
      <c r="C122" s="422"/>
      <c r="D122" s="422"/>
      <c r="E122" s="422"/>
      <c r="F122" s="422"/>
      <c r="G122" s="422"/>
      <c r="H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</row>
    <row r="123" spans="2:24" x14ac:dyDescent="0.25">
      <c r="B123" s="422"/>
      <c r="C123" s="422"/>
      <c r="D123" s="422"/>
      <c r="E123" s="422"/>
      <c r="F123" s="422"/>
      <c r="G123" s="422"/>
      <c r="H123" s="422"/>
      <c r="I123" s="422"/>
      <c r="J123" s="422"/>
      <c r="K123" s="422"/>
      <c r="L123" s="422"/>
      <c r="M123" s="422"/>
      <c r="N123" s="422"/>
      <c r="O123" s="422"/>
      <c r="P123" s="422"/>
      <c r="Q123" s="422"/>
      <c r="R123" s="422"/>
      <c r="S123" s="422"/>
      <c r="T123" s="422"/>
      <c r="U123" s="422"/>
      <c r="V123" s="422"/>
      <c r="W123" s="422"/>
      <c r="X123" s="422"/>
    </row>
  </sheetData>
  <sheetProtection algorithmName="SHA-512" hashValue="rWMjfQXIdaqBD7JN7ZXJ2JwpojaF0a+DR/zg0dm0Rs7pFgoPUdOwEle1vNeKyX2m/Tg3sbMlCvDo0uAeGWw9eg==" saltValue="QwlVXH1fj8WRUMiQidTYsg==" spinCount="100000" sheet="1" objects="1" scenarios="1" selectLockedCells="1"/>
  <protectedRanges>
    <protectedRange sqref="I86:I87" name="Intervallo1_5_3"/>
  </protectedRanges>
  <customSheetViews>
    <customSheetView guid="{101D851C-E4EE-4443-B6A9-9040ACB2A650}" scale="90" showGridLines="0" showRowCol="0" fitToPage="1" topLeftCell="A57">
      <selection activeCell="I86" sqref="I86"/>
      <rowBreaks count="1" manualBreakCount="1">
        <brk id="46" max="16383" man="1"/>
      </rowBreaks>
      <colBreaks count="1" manualBreakCount="1">
        <brk id="1" max="1048575" man="1"/>
      </colBreaks>
      <pageMargins left="0.59055118110236227" right="0.51181102362204722" top="0.39370078740157483" bottom="0.35433070866141736" header="0.31496062992125984" footer="0.31496062992125984"/>
      <pageSetup paperSize="9" scale="75" fitToHeight="0" orientation="landscape" r:id="rId1"/>
    </customSheetView>
  </customSheetViews>
  <mergeCells count="18">
    <mergeCell ref="K77:O82"/>
    <mergeCell ref="C8:D8"/>
    <mergeCell ref="C55:D56"/>
    <mergeCell ref="F55:G56"/>
    <mergeCell ref="I55:J56"/>
    <mergeCell ref="O55:P56"/>
    <mergeCell ref="L55:M56"/>
    <mergeCell ref="H75:I75"/>
    <mergeCell ref="H76:I76"/>
    <mergeCell ref="G20:G21"/>
    <mergeCell ref="G22:G23"/>
    <mergeCell ref="H20:H21"/>
    <mergeCell ref="H22:H23"/>
    <mergeCell ref="H83:I83"/>
    <mergeCell ref="H84:I84"/>
    <mergeCell ref="E49:G49"/>
    <mergeCell ref="E50:G50"/>
    <mergeCell ref="E51:G51"/>
  </mergeCells>
  <conditionalFormatting sqref="H75:I75">
    <cfRule type="cellIs" dxfId="19" priority="4" operator="equal">
      <formula>"VERIFICATO"</formula>
    </cfRule>
    <cfRule type="cellIs" dxfId="18" priority="5" operator="equal">
      <formula>"VERIFICATO"</formula>
    </cfRule>
  </conditionalFormatting>
  <conditionalFormatting sqref="H83:I83">
    <cfRule type="cellIs" dxfId="17" priority="3" operator="equal">
      <formula>"VERIFICATO"</formula>
    </cfRule>
  </conditionalFormatting>
  <conditionalFormatting sqref="K77:O82">
    <cfRule type="cellIs" dxfId="16" priority="1" operator="equal">
      <formula>"QUESTA VERIFICA PUO' ESSERE OMESSA IN QUANTO LA RESISTENZA A TAGLIO NON DRENATA PER IL TERRENO AL DI SOTTO DEL PIANO DI POSA DELLA ZATTERA NON E' STATA DEFINITA"</formula>
    </cfRule>
    <cfRule type="cellIs" dxfId="15" priority="2" operator="equal">
      <formula>"QUESTA VERIFICA PUO' ESSERE OMESSA IN QUANTO LA RESISTENZA A TAGLIO NON DRENATA PER IL TERRENO AL DI SOTTO DEL PIANO DI POSA DELLA ZATTERA E' NULLA"</formula>
    </cfRule>
  </conditionalFormatting>
  <dataValidations count="1">
    <dataValidation type="list" allowBlank="1" showInputMessage="1" showErrorMessage="1" sqref="I86:I87">
      <formula1>sn</formula1>
    </dataValidation>
  </dataValidations>
  <pageMargins left="0.59055118110236227" right="0.51181102362204722" top="0.39370078740157483" bottom="0.35433070866141736" header="0.31496062992125984" footer="0.31496062992125984"/>
  <pageSetup paperSize="9" scale="75" fitToHeight="0" orientation="landscape" r:id="rId2"/>
  <rowBreaks count="1" manualBreakCount="1">
    <brk id="46" max="16383" man="1"/>
  </rowBreaks>
  <colBreaks count="1" manualBreakCount="1">
    <brk id="1" max="1048575" man="1"/>
  </col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B1:AB241"/>
  <sheetViews>
    <sheetView showGridLines="0" showRowColHeaders="0" topLeftCell="A17" zoomScale="90" zoomScaleNormal="90" workbookViewId="0">
      <selection activeCell="E49" sqref="E49:G49"/>
    </sheetView>
  </sheetViews>
  <sheetFormatPr defaultRowHeight="15" x14ac:dyDescent="0.25"/>
  <cols>
    <col min="1" max="1" width="2.5703125" customWidth="1"/>
    <col min="2" max="2" width="35.28515625" customWidth="1"/>
    <col min="3" max="3" width="9.85546875" customWidth="1"/>
    <col min="4" max="4" width="10.85546875" customWidth="1"/>
    <col min="5" max="5" width="9.85546875" customWidth="1"/>
    <col min="6" max="6" width="10.28515625" customWidth="1"/>
    <col min="7" max="7" width="9.7109375" customWidth="1"/>
    <col min="8" max="8" width="10.85546875" customWidth="1"/>
    <col min="11" max="11" width="9.140625" customWidth="1"/>
    <col min="12" max="12" width="9.28515625" customWidth="1"/>
    <col min="13" max="13" width="8.28515625" customWidth="1"/>
    <col min="14" max="14" width="13.7109375" customWidth="1"/>
    <col min="15" max="15" width="8" customWidth="1"/>
    <col min="17" max="17" width="7.5703125" customWidth="1"/>
  </cols>
  <sheetData>
    <row r="1" spans="2:28" ht="9" customHeight="1" x14ac:dyDescent="0.25"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</row>
    <row r="2" spans="2:28" ht="23.25" x14ac:dyDescent="0.35">
      <c r="B2" s="414" t="s">
        <v>742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</row>
    <row r="3" spans="2:28" ht="7.5" customHeight="1" x14ac:dyDescent="0.25"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</row>
    <row r="4" spans="2:28" ht="21" x14ac:dyDescent="0.35">
      <c r="B4" s="416" t="s">
        <v>53</v>
      </c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</row>
    <row r="5" spans="2:28" s="421" customFormat="1" ht="15.75" customHeight="1" x14ac:dyDescent="0.35">
      <c r="B5" s="416"/>
      <c r="C5" s="422"/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</row>
    <row r="6" spans="2:28" s="421" customFormat="1" ht="18.75" x14ac:dyDescent="0.3">
      <c r="B6" s="424" t="s">
        <v>781</v>
      </c>
      <c r="C6" s="432"/>
      <c r="D6" s="666"/>
      <c r="E6" s="667"/>
      <c r="F6" s="422"/>
      <c r="G6" s="422"/>
      <c r="H6" s="422"/>
      <c r="I6" s="422"/>
      <c r="J6" s="422"/>
      <c r="K6" s="422"/>
      <c r="L6" s="422"/>
      <c r="M6" s="422"/>
      <c r="N6" s="422"/>
      <c r="O6" s="422"/>
      <c r="P6" s="422"/>
      <c r="Q6" s="422"/>
      <c r="R6" s="422"/>
      <c r="S6" s="422"/>
      <c r="T6" s="422"/>
      <c r="U6" s="422"/>
      <c r="V6" s="422"/>
      <c r="W6" s="422"/>
      <c r="X6" s="422"/>
      <c r="Y6" s="422"/>
      <c r="Z6" s="422"/>
      <c r="AA6" s="422"/>
      <c r="AB6" s="422"/>
    </row>
    <row r="7" spans="2:28" s="421" customFormat="1" ht="18.75" x14ac:dyDescent="0.3">
      <c r="B7" s="433"/>
      <c r="C7" s="432"/>
      <c r="D7" s="666"/>
      <c r="E7" s="667"/>
      <c r="F7" s="422"/>
      <c r="G7" s="422"/>
      <c r="H7" s="422"/>
      <c r="I7" s="422"/>
      <c r="J7" s="422"/>
      <c r="K7" s="422"/>
      <c r="L7" s="422"/>
      <c r="M7" s="422"/>
      <c r="N7" s="422"/>
      <c r="O7" s="422"/>
      <c r="P7" s="422"/>
      <c r="Q7" s="422"/>
      <c r="R7" s="422"/>
      <c r="S7" s="422"/>
      <c r="T7" s="422"/>
      <c r="U7" s="422"/>
      <c r="V7" s="422"/>
      <c r="W7" s="422"/>
      <c r="X7" s="422"/>
      <c r="Y7" s="422"/>
      <c r="Z7" s="422"/>
      <c r="AA7" s="422"/>
      <c r="AB7" s="422"/>
    </row>
    <row r="8" spans="2:28" s="421" customFormat="1" x14ac:dyDescent="0.25">
      <c r="B8" s="628" t="s">
        <v>331</v>
      </c>
      <c r="C8" s="945" t="str">
        <f>SPINTE!C6</f>
        <v>SISMICA</v>
      </c>
      <c r="D8" s="953"/>
      <c r="E8" s="23"/>
      <c r="F8" s="422"/>
      <c r="G8" s="438" t="s">
        <v>467</v>
      </c>
      <c r="H8" s="623" t="s">
        <v>25</v>
      </c>
      <c r="I8" s="422"/>
      <c r="J8" s="422"/>
      <c r="K8" s="422"/>
      <c r="L8" s="422"/>
      <c r="M8" s="422"/>
      <c r="N8" s="422"/>
      <c r="O8" s="422"/>
      <c r="P8" s="422"/>
      <c r="Q8" s="422"/>
      <c r="R8" s="422"/>
      <c r="S8" s="422"/>
      <c r="T8" s="422"/>
      <c r="U8" s="422"/>
      <c r="V8" s="422"/>
      <c r="W8" s="422"/>
      <c r="X8" s="422"/>
      <c r="Y8" s="422"/>
      <c r="Z8" s="422"/>
      <c r="AA8" s="422"/>
      <c r="AB8" s="422"/>
    </row>
    <row r="9" spans="2:28" s="421" customFormat="1" x14ac:dyDescent="0.25">
      <c r="B9" s="451"/>
      <c r="C9" s="452"/>
      <c r="D9" s="452"/>
      <c r="E9" s="422"/>
      <c r="F9" s="422"/>
      <c r="G9" s="751" t="s">
        <v>785</v>
      </c>
      <c r="H9" s="625">
        <f>SPINTE!D11</f>
        <v>1</v>
      </c>
      <c r="I9" s="422"/>
      <c r="J9" s="422"/>
      <c r="K9" s="422"/>
      <c r="L9" s="422"/>
      <c r="M9" s="422"/>
      <c r="N9" s="422"/>
      <c r="O9" s="422"/>
      <c r="P9" s="422"/>
      <c r="Q9" s="422"/>
      <c r="R9" s="422"/>
      <c r="S9" s="422"/>
      <c r="T9" s="422"/>
      <c r="U9" s="422"/>
      <c r="V9" s="422"/>
      <c r="W9" s="422"/>
      <c r="X9" s="422"/>
      <c r="Y9" s="422"/>
      <c r="Z9" s="422"/>
      <c r="AA9" s="422"/>
      <c r="AB9" s="422"/>
    </row>
    <row r="10" spans="2:28" s="421" customFormat="1" x14ac:dyDescent="0.25">
      <c r="B10" s="628" t="s">
        <v>473</v>
      </c>
      <c r="C10" s="425" t="str">
        <f>SPINTE!C8</f>
        <v>APPROCCIO 1 --- Combinazione (A1+M1+R1)</v>
      </c>
      <c r="D10" s="316"/>
      <c r="E10" s="23"/>
      <c r="F10" s="422"/>
      <c r="G10" s="751" t="s">
        <v>786</v>
      </c>
      <c r="H10" s="625">
        <f>SPINTE!D12</f>
        <v>1</v>
      </c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</row>
    <row r="11" spans="2:28" s="421" customFormat="1" x14ac:dyDescent="0.25">
      <c r="B11" s="628"/>
      <c r="C11" s="628"/>
      <c r="D11" s="629"/>
      <c r="E11" s="422"/>
      <c r="F11" s="422"/>
      <c r="G11" s="751" t="s">
        <v>787</v>
      </c>
      <c r="H11" s="625">
        <f>SPINTE!D13</f>
        <v>1</v>
      </c>
      <c r="I11" s="422"/>
      <c r="J11" s="422"/>
      <c r="K11" s="422"/>
      <c r="L11" s="422"/>
      <c r="M11" s="422"/>
      <c r="N11" s="422"/>
      <c r="O11" s="422"/>
      <c r="P11" s="422"/>
      <c r="Q11" s="422"/>
      <c r="R11" s="422"/>
      <c r="S11" s="422"/>
      <c r="T11" s="422"/>
      <c r="U11" s="422"/>
      <c r="V11" s="422"/>
      <c r="W11" s="422"/>
      <c r="X11" s="422"/>
      <c r="Y11" s="422"/>
      <c r="Z11" s="422"/>
      <c r="AA11" s="422"/>
      <c r="AB11" s="422"/>
    </row>
    <row r="12" spans="2:28" s="421" customFormat="1" x14ac:dyDescent="0.25">
      <c r="B12" s="628"/>
      <c r="C12" s="422"/>
      <c r="D12" s="422"/>
      <c r="E12" s="422"/>
      <c r="F12" s="422"/>
      <c r="G12" s="628"/>
      <c r="H12" s="440"/>
      <c r="I12" s="422"/>
      <c r="J12" s="422"/>
      <c r="K12" s="422"/>
      <c r="L12" s="422"/>
      <c r="M12" s="422"/>
      <c r="N12" s="422"/>
      <c r="O12" s="422"/>
      <c r="P12" s="422"/>
      <c r="Q12" s="422"/>
      <c r="R12" s="422"/>
      <c r="S12" s="422"/>
      <c r="T12" s="422"/>
      <c r="U12" s="422"/>
      <c r="V12" s="422"/>
      <c r="W12" s="422"/>
      <c r="X12" s="422"/>
      <c r="Y12" s="422"/>
      <c r="Z12" s="422"/>
      <c r="AA12" s="422"/>
      <c r="AB12" s="422"/>
    </row>
    <row r="13" spans="2:28" s="421" customFormat="1" x14ac:dyDescent="0.25">
      <c r="B13" s="628"/>
      <c r="C13" s="422"/>
      <c r="D13" s="422"/>
      <c r="E13" s="422"/>
      <c r="F13" s="422"/>
      <c r="G13" s="438" t="s">
        <v>468</v>
      </c>
      <c r="H13" s="439">
        <f>'Sollecitazioni nella zattera'!F18</f>
        <v>1</v>
      </c>
      <c r="I13" s="422"/>
      <c r="J13" s="422"/>
      <c r="K13" s="422"/>
      <c r="L13" s="422"/>
      <c r="M13" s="422"/>
      <c r="N13" s="422"/>
      <c r="O13" s="422"/>
      <c r="P13" s="422"/>
      <c r="Q13" s="422"/>
      <c r="R13" s="422"/>
      <c r="S13" s="422"/>
      <c r="T13" s="422"/>
      <c r="U13" s="422"/>
      <c r="V13" s="422"/>
      <c r="W13" s="422"/>
      <c r="X13" s="422"/>
      <c r="Y13" s="422"/>
      <c r="Z13" s="422"/>
      <c r="AA13" s="422"/>
      <c r="AB13" s="422"/>
    </row>
    <row r="14" spans="2:28" s="421" customFormat="1" x14ac:dyDescent="0.25">
      <c r="B14" s="628"/>
      <c r="C14" s="422"/>
      <c r="D14" s="422"/>
      <c r="E14" s="422"/>
      <c r="F14" s="422"/>
      <c r="G14" s="623" t="s">
        <v>201</v>
      </c>
      <c r="H14" s="625">
        <f>SPINTE!D16</f>
        <v>1</v>
      </c>
      <c r="I14" s="422"/>
      <c r="J14" s="422"/>
      <c r="K14" s="422"/>
      <c r="L14" s="422"/>
      <c r="M14" s="422"/>
      <c r="N14" s="422"/>
      <c r="O14" s="422"/>
      <c r="P14" s="422"/>
      <c r="Q14" s="422"/>
      <c r="R14" s="422"/>
      <c r="S14" s="422"/>
      <c r="T14" s="422"/>
      <c r="U14" s="422"/>
      <c r="V14" s="422"/>
      <c r="W14" s="422"/>
      <c r="X14" s="422"/>
      <c r="Y14" s="422"/>
      <c r="Z14" s="422"/>
      <c r="AA14" s="422"/>
      <c r="AB14" s="422"/>
    </row>
    <row r="15" spans="2:28" s="421" customFormat="1" x14ac:dyDescent="0.25">
      <c r="B15" s="628"/>
      <c r="C15" s="422"/>
      <c r="D15" s="422"/>
      <c r="E15" s="422"/>
      <c r="F15" s="422"/>
      <c r="G15" s="623" t="s">
        <v>202</v>
      </c>
      <c r="H15" s="625">
        <f>SPINTE!D17</f>
        <v>1</v>
      </c>
      <c r="I15" s="422"/>
      <c r="J15" s="422"/>
      <c r="K15" s="422"/>
      <c r="L15" s="422"/>
      <c r="M15" s="422"/>
      <c r="N15" s="422"/>
      <c r="O15" s="422"/>
      <c r="P15" s="422"/>
      <c r="Q15" s="422"/>
      <c r="R15" s="422"/>
      <c r="S15" s="422"/>
      <c r="T15" s="422"/>
      <c r="U15" s="422"/>
      <c r="V15" s="422"/>
      <c r="W15" s="422"/>
      <c r="X15" s="422"/>
      <c r="Y15" s="422"/>
      <c r="Z15" s="422"/>
      <c r="AA15" s="422"/>
      <c r="AB15" s="422"/>
    </row>
    <row r="16" spans="2:28" s="421" customFormat="1" x14ac:dyDescent="0.25">
      <c r="B16" s="628"/>
      <c r="C16" s="422"/>
      <c r="D16" s="422"/>
      <c r="E16" s="422"/>
      <c r="F16" s="422"/>
      <c r="G16" s="623" t="s">
        <v>204</v>
      </c>
      <c r="H16" s="625">
        <f>SPINTE!D18</f>
        <v>1</v>
      </c>
      <c r="I16" s="422"/>
      <c r="J16" s="422"/>
      <c r="K16" s="422"/>
      <c r="L16" s="422"/>
      <c r="M16" s="422"/>
      <c r="N16" s="422"/>
      <c r="O16" s="422"/>
      <c r="P16" s="422"/>
      <c r="Q16" s="422"/>
      <c r="R16" s="422"/>
      <c r="S16" s="422"/>
      <c r="T16" s="422"/>
      <c r="U16" s="422"/>
      <c r="V16" s="422"/>
      <c r="W16" s="422"/>
      <c r="X16" s="422"/>
      <c r="Y16" s="422"/>
      <c r="Z16" s="422"/>
      <c r="AA16" s="422"/>
      <c r="AB16" s="422"/>
    </row>
    <row r="17" spans="2:28" s="421" customFormat="1" x14ac:dyDescent="0.25">
      <c r="B17" s="628"/>
      <c r="C17" s="422"/>
      <c r="D17" s="422"/>
      <c r="E17" s="422"/>
      <c r="F17" s="422"/>
      <c r="G17" s="636" t="s">
        <v>205</v>
      </c>
      <c r="H17" s="625">
        <f>SPINTE!D19</f>
        <v>1</v>
      </c>
      <c r="I17" s="422"/>
      <c r="J17" s="422"/>
      <c r="K17" s="422"/>
      <c r="L17" s="422"/>
      <c r="M17" s="422"/>
      <c r="N17" s="422"/>
      <c r="O17" s="422"/>
      <c r="P17" s="422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/>
    </row>
    <row r="18" spans="2:28" s="421" customFormat="1" x14ac:dyDescent="0.25">
      <c r="B18" s="628"/>
      <c r="C18" s="422"/>
      <c r="D18" s="422"/>
      <c r="E18" s="422"/>
      <c r="F18" s="422"/>
      <c r="G18" s="57"/>
      <c r="H18" s="640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  <c r="Z18" s="422"/>
      <c r="AA18" s="422"/>
      <c r="AB18" s="422"/>
    </row>
    <row r="19" spans="2:28" s="421" customFormat="1" x14ac:dyDescent="0.25">
      <c r="B19" s="628"/>
      <c r="C19" s="422"/>
      <c r="D19" s="422"/>
      <c r="E19" s="422"/>
      <c r="F19" s="422"/>
      <c r="G19" s="438" t="s">
        <v>470</v>
      </c>
      <c r="H19" s="623" t="s">
        <v>471</v>
      </c>
      <c r="I19" s="422"/>
      <c r="J19" s="422"/>
      <c r="K19" s="422"/>
      <c r="L19" s="422"/>
      <c r="M19" s="422"/>
      <c r="N19" s="422"/>
      <c r="O19" s="422"/>
      <c r="P19" s="422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</row>
    <row r="20" spans="2:28" s="421" customFormat="1" x14ac:dyDescent="0.25">
      <c r="B20" s="628"/>
      <c r="C20" s="422"/>
      <c r="D20" s="422"/>
      <c r="E20" s="422"/>
      <c r="F20" s="422"/>
      <c r="G20" s="889" t="s">
        <v>472</v>
      </c>
      <c r="H20" s="958">
        <f>DATI!E274</f>
        <v>1</v>
      </c>
      <c r="I20" s="422"/>
      <c r="J20" s="422"/>
      <c r="K20" s="422"/>
      <c r="L20" s="422"/>
      <c r="M20" s="422"/>
      <c r="N20" s="422"/>
      <c r="O20" s="422"/>
      <c r="P20" s="422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</row>
    <row r="21" spans="2:28" s="421" customFormat="1" x14ac:dyDescent="0.25">
      <c r="B21" s="628"/>
      <c r="C21" s="422"/>
      <c r="D21" s="422"/>
      <c r="E21" s="422"/>
      <c r="F21" s="422"/>
      <c r="G21" s="889"/>
      <c r="H21" s="959"/>
      <c r="I21" s="422"/>
      <c r="J21" s="422"/>
      <c r="K21" s="422"/>
      <c r="L21" s="422"/>
      <c r="M21" s="422"/>
      <c r="N21" s="422"/>
      <c r="O21" s="422"/>
      <c r="P21" s="422"/>
      <c r="Q21" s="422"/>
      <c r="R21" s="422"/>
      <c r="S21" s="422"/>
      <c r="T21" s="422"/>
      <c r="U21" s="422"/>
      <c r="V21" s="422"/>
      <c r="W21" s="422"/>
      <c r="X21" s="422"/>
      <c r="Y21" s="422"/>
      <c r="Z21" s="422"/>
      <c r="AA21" s="422"/>
      <c r="AB21" s="422"/>
    </row>
    <row r="22" spans="2:28" s="421" customFormat="1" x14ac:dyDescent="0.25">
      <c r="B22" s="628"/>
      <c r="C22" s="422"/>
      <c r="D22" s="422"/>
      <c r="E22" s="422"/>
      <c r="F22" s="422"/>
      <c r="G22" s="889" t="s">
        <v>885</v>
      </c>
      <c r="H22" s="958">
        <f>DATI!E276</f>
        <v>1</v>
      </c>
      <c r="I22" s="422"/>
      <c r="J22" s="422"/>
      <c r="K22" s="422"/>
      <c r="L22" s="422"/>
      <c r="M22" s="422"/>
      <c r="N22" s="422"/>
      <c r="O22" s="422"/>
      <c r="P22" s="422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</row>
    <row r="23" spans="2:28" s="421" customFormat="1" x14ac:dyDescent="0.25">
      <c r="B23" s="628"/>
      <c r="C23" s="422"/>
      <c r="D23" s="422"/>
      <c r="E23" s="422"/>
      <c r="F23" s="422"/>
      <c r="G23" s="889"/>
      <c r="H23" s="959"/>
      <c r="I23" s="422"/>
      <c r="J23" s="422"/>
      <c r="K23" s="422"/>
      <c r="L23" s="422"/>
      <c r="M23" s="422"/>
      <c r="N23" s="422"/>
      <c r="O23" s="422"/>
      <c r="P23" s="422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</row>
    <row r="24" spans="2:28" s="421" customFormat="1" x14ac:dyDescent="0.25">
      <c r="B24" s="628"/>
      <c r="C24" s="422"/>
      <c r="D24" s="422"/>
      <c r="E24" s="422"/>
      <c r="F24" s="422"/>
      <c r="G24" s="57"/>
      <c r="H24" s="640"/>
      <c r="I24" s="422"/>
      <c r="J24" s="422"/>
      <c r="K24" s="422"/>
      <c r="L24" s="422"/>
      <c r="M24" s="422"/>
      <c r="N24" s="422"/>
      <c r="O24" s="422"/>
      <c r="P24" s="422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</row>
    <row r="25" spans="2:28" s="421" customFormat="1" x14ac:dyDescent="0.25">
      <c r="B25" s="628"/>
      <c r="C25" s="422"/>
      <c r="D25" s="422"/>
      <c r="E25" s="422"/>
      <c r="F25" s="422"/>
      <c r="G25" s="629"/>
      <c r="H25" s="422"/>
      <c r="I25" s="422"/>
      <c r="J25" s="422"/>
      <c r="K25" s="422"/>
      <c r="L25" s="422"/>
      <c r="M25" s="422"/>
      <c r="N25" s="422"/>
      <c r="O25" s="422"/>
      <c r="P25" s="422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</row>
    <row r="26" spans="2:28" s="421" customFormat="1" ht="18" x14ac:dyDescent="0.25">
      <c r="B26" s="422" t="s">
        <v>363</v>
      </c>
      <c r="C26" s="422"/>
      <c r="D26" s="422"/>
      <c r="E26" s="422"/>
      <c r="F26" s="422"/>
      <c r="G26" s="624" t="s">
        <v>364</v>
      </c>
      <c r="H26" s="646">
        <f>SPINTE!D21</f>
        <v>2.5554000000000001</v>
      </c>
      <c r="I26" s="422"/>
      <c r="J26" s="422"/>
      <c r="K26" s="422"/>
      <c r="L26" s="422"/>
      <c r="M26" s="422"/>
      <c r="N26" s="422"/>
      <c r="O26" s="422"/>
      <c r="P26" s="422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</row>
    <row r="27" spans="2:28" s="421" customFormat="1" ht="18" x14ac:dyDescent="0.25">
      <c r="B27" s="422" t="s">
        <v>365</v>
      </c>
      <c r="C27" s="422"/>
      <c r="D27" s="422"/>
      <c r="E27" s="422"/>
      <c r="F27" s="422"/>
      <c r="G27" s="624" t="s">
        <v>366</v>
      </c>
      <c r="H27" s="643">
        <f>SPINTE!D22</f>
        <v>2.3653</v>
      </c>
      <c r="I27" s="422"/>
      <c r="J27" s="422"/>
      <c r="K27" s="422"/>
      <c r="L27" s="422"/>
      <c r="M27" s="422"/>
      <c r="N27" s="422"/>
      <c r="O27" s="422"/>
      <c r="P27" s="422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</row>
    <row r="28" spans="2:28" s="421" customFormat="1" ht="18" x14ac:dyDescent="0.25">
      <c r="B28" s="422" t="s">
        <v>367</v>
      </c>
      <c r="C28" s="422"/>
      <c r="D28" s="422"/>
      <c r="E28" s="422"/>
      <c r="F28" s="422"/>
      <c r="G28" s="624" t="s">
        <v>368</v>
      </c>
      <c r="H28" s="647">
        <f>SPINTE!D23</f>
        <v>0.3468</v>
      </c>
      <c r="I28" s="422"/>
      <c r="J28" s="422"/>
      <c r="K28" s="422"/>
      <c r="L28" s="422"/>
      <c r="M28" s="422"/>
      <c r="N28" s="422"/>
      <c r="O28" s="422"/>
      <c r="P28" s="422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</row>
    <row r="29" spans="2:28" s="421" customFormat="1" x14ac:dyDescent="0.25">
      <c r="B29" s="422" t="s">
        <v>369</v>
      </c>
      <c r="C29" s="422"/>
      <c r="D29" s="422"/>
      <c r="E29" s="422"/>
      <c r="F29" s="422"/>
      <c r="G29" s="422"/>
      <c r="H29" s="643" t="str">
        <f>SPINTE!D24</f>
        <v>E</v>
      </c>
      <c r="I29" s="422"/>
      <c r="J29" s="422"/>
      <c r="K29" s="422"/>
      <c r="L29" s="422"/>
      <c r="M29" s="422"/>
      <c r="N29" s="422"/>
      <c r="O29" s="422"/>
      <c r="P29" s="422"/>
      <c r="Q29" s="422"/>
      <c r="R29" s="422"/>
      <c r="S29" s="422"/>
      <c r="T29" s="422"/>
      <c r="U29" s="422"/>
      <c r="V29" s="422"/>
      <c r="W29" s="422"/>
      <c r="X29" s="422"/>
      <c r="Y29" s="422"/>
      <c r="Z29" s="422"/>
      <c r="AA29" s="422"/>
      <c r="AB29" s="422"/>
    </row>
    <row r="30" spans="2:28" s="421" customFormat="1" x14ac:dyDescent="0.25">
      <c r="B30" s="422" t="s">
        <v>370</v>
      </c>
      <c r="C30" s="422"/>
      <c r="D30" s="422"/>
      <c r="E30" s="422"/>
      <c r="F30" s="422"/>
      <c r="G30" s="422"/>
      <c r="H30" s="643" t="str">
        <f>SPINTE!D25</f>
        <v>T2</v>
      </c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</row>
    <row r="31" spans="2:28" s="421" customFormat="1" x14ac:dyDescent="0.25">
      <c r="B31" s="422" t="s">
        <v>782</v>
      </c>
      <c r="C31" s="422"/>
      <c r="D31" s="422"/>
      <c r="E31" s="422"/>
      <c r="F31" s="422"/>
      <c r="G31" s="376" t="s">
        <v>395</v>
      </c>
      <c r="H31" s="638">
        <f>SPINTE!D26</f>
        <v>0.31</v>
      </c>
      <c r="I31" s="422"/>
      <c r="J31" s="422"/>
      <c r="K31" s="422"/>
      <c r="L31" s="422"/>
      <c r="M31" s="422"/>
      <c r="N31" s="422"/>
      <c r="O31" s="422"/>
      <c r="P31" s="422"/>
      <c r="Q31" s="422"/>
      <c r="R31" s="422"/>
      <c r="S31" s="422"/>
      <c r="T31" s="422"/>
      <c r="U31" s="422"/>
      <c r="V31" s="422"/>
      <c r="W31" s="422"/>
      <c r="X31" s="422"/>
      <c r="Y31" s="422"/>
      <c r="Z31" s="422"/>
      <c r="AA31" s="422"/>
      <c r="AB31" s="422"/>
    </row>
    <row r="32" spans="2:28" s="421" customFormat="1" x14ac:dyDescent="0.25">
      <c r="B32" s="422" t="s">
        <v>396</v>
      </c>
      <c r="C32" s="422"/>
      <c r="D32" s="422"/>
      <c r="E32" s="422"/>
      <c r="F32" s="422"/>
      <c r="G32" s="621" t="s">
        <v>281</v>
      </c>
      <c r="H32" s="638">
        <f>SPINTE!D27</f>
        <v>0.12815426831174012</v>
      </c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</row>
    <row r="33" spans="2:28" s="421" customFormat="1" x14ac:dyDescent="0.25">
      <c r="B33" s="422" t="s">
        <v>397</v>
      </c>
      <c r="C33" s="422"/>
      <c r="D33" s="422"/>
      <c r="E33" s="422"/>
      <c r="F33" s="422"/>
      <c r="G33" s="621" t="s">
        <v>282</v>
      </c>
      <c r="H33" s="638">
        <f>SPINTE!D28</f>
        <v>6.4077134155870061E-2</v>
      </c>
      <c r="I33" s="422"/>
      <c r="J33" s="422"/>
      <c r="K33" s="422"/>
      <c r="L33" s="422"/>
      <c r="M33" s="422"/>
      <c r="N33" s="422"/>
      <c r="O33" s="422"/>
      <c r="P33" s="422"/>
      <c r="Q33" s="422"/>
      <c r="R33" s="422"/>
      <c r="S33" s="422"/>
      <c r="T33" s="422"/>
      <c r="U33" s="422"/>
      <c r="V33" s="422"/>
      <c r="W33" s="422"/>
      <c r="X33" s="422"/>
      <c r="Y33" s="422"/>
      <c r="Z33" s="422"/>
      <c r="AA33" s="422"/>
      <c r="AB33" s="422"/>
    </row>
    <row r="34" spans="2:28" s="421" customFormat="1" x14ac:dyDescent="0.25">
      <c r="B34" s="422"/>
      <c r="C34" s="57"/>
      <c r="D34" s="640"/>
      <c r="E34" s="422"/>
      <c r="F34" s="422"/>
      <c r="G34" s="422"/>
      <c r="H34" s="422"/>
      <c r="I34" s="422"/>
      <c r="J34" s="422"/>
      <c r="K34" s="422"/>
      <c r="L34" s="422"/>
      <c r="M34" s="422"/>
      <c r="N34" s="422"/>
      <c r="O34" s="422"/>
      <c r="P34" s="422"/>
      <c r="Q34" s="422"/>
      <c r="R34" s="422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</row>
    <row r="35" spans="2:28" s="421" customFormat="1" x14ac:dyDescent="0.25">
      <c r="B35" s="422"/>
      <c r="C35" s="422"/>
      <c r="D35" s="422"/>
      <c r="E35" s="422"/>
      <c r="F35" s="422"/>
      <c r="G35" s="422"/>
      <c r="H35" s="422"/>
      <c r="I35" s="422"/>
      <c r="J35" s="422"/>
      <c r="K35" s="422"/>
      <c r="L35" s="422"/>
      <c r="M35" s="422"/>
      <c r="N35" s="422"/>
      <c r="O35" s="422"/>
      <c r="P35" s="422"/>
      <c r="Q35" s="422"/>
      <c r="R35" s="422"/>
      <c r="S35" s="422"/>
      <c r="T35" s="422"/>
      <c r="U35" s="422"/>
      <c r="V35" s="422"/>
      <c r="W35" s="422"/>
      <c r="X35" s="422"/>
      <c r="Y35" s="422"/>
      <c r="Z35" s="422"/>
      <c r="AA35" s="422"/>
      <c r="AB35" s="422"/>
    </row>
    <row r="36" spans="2:28" ht="15.75" x14ac:dyDescent="0.25">
      <c r="B36" s="14" t="s">
        <v>757</v>
      </c>
      <c r="C36" s="422"/>
      <c r="D36" s="422"/>
      <c r="E36" s="422"/>
      <c r="F36" s="422"/>
      <c r="G36" s="422"/>
      <c r="H36" s="422"/>
      <c r="I36" s="422"/>
      <c r="J36" s="422"/>
      <c r="K36" s="422"/>
      <c r="L36" s="422"/>
      <c r="M36" s="422"/>
      <c r="N36" s="422"/>
      <c r="O36" s="422"/>
      <c r="P36" s="422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</row>
    <row r="37" spans="2:28" x14ac:dyDescent="0.25">
      <c r="B37" s="422"/>
      <c r="C37" s="422"/>
      <c r="D37" s="422"/>
      <c r="E37" s="422"/>
      <c r="F37" s="422"/>
      <c r="G37" s="422"/>
      <c r="H37" s="422"/>
      <c r="I37" s="422"/>
      <c r="J37" s="422"/>
      <c r="K37" s="422"/>
      <c r="L37" s="422"/>
      <c r="M37" s="422"/>
      <c r="N37" s="422"/>
      <c r="O37" s="422"/>
      <c r="P37" s="422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</row>
    <row r="38" spans="2:28" x14ac:dyDescent="0.25">
      <c r="B38" s="422" t="s">
        <v>589</v>
      </c>
      <c r="C38" s="636" t="s">
        <v>590</v>
      </c>
      <c r="D38" s="669">
        <f>IF(N129="si",N123,ATAN(TAN(DATI!E245*PI()/180)/DATI!E268)*180/PI())</f>
        <v>32</v>
      </c>
      <c r="E38" s="632"/>
      <c r="F38" s="422" t="s">
        <v>723</v>
      </c>
      <c r="G38" s="422"/>
      <c r="H38" s="623" t="s">
        <v>213</v>
      </c>
      <c r="I38" s="535">
        <f>'FOGLIO DEPOSITO'!D83</f>
        <v>3.4</v>
      </c>
      <c r="J38" s="422"/>
      <c r="K38" s="422" t="s">
        <v>730</v>
      </c>
      <c r="L38" s="422"/>
      <c r="M38" s="623" t="s">
        <v>591</v>
      </c>
      <c r="N38" s="776">
        <f>('FOGLIO DEPOSITO'!D40+I43*'FOGLIO DEPOSITO'!D83*'FOGLIO DEPOSITO'!D84*1.1*24)</f>
        <v>1080.4082031089599</v>
      </c>
      <c r="O38" s="632"/>
      <c r="P38" s="422"/>
      <c r="Q38" s="422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</row>
    <row r="39" spans="2:28" x14ac:dyDescent="0.25">
      <c r="B39" s="422" t="s">
        <v>592</v>
      </c>
      <c r="C39" s="623" t="s">
        <v>593</v>
      </c>
      <c r="D39" s="665">
        <f>IF(DATI!G243="Strato di fondazione:      ghiaia-sabbie",0,IF(N129="si",N124,DATI!E246/DATI!E269))</f>
        <v>0</v>
      </c>
      <c r="E39" s="632"/>
      <c r="F39" s="422" t="s">
        <v>724</v>
      </c>
      <c r="G39" s="422"/>
      <c r="H39" s="623" t="s">
        <v>4</v>
      </c>
      <c r="I39" s="535">
        <f>'FOGLIO DEPOSITO'!D84</f>
        <v>2.5</v>
      </c>
      <c r="J39" s="422"/>
      <c r="K39" s="422" t="s">
        <v>731</v>
      </c>
      <c r="L39" s="422"/>
      <c r="M39" s="623" t="s">
        <v>594</v>
      </c>
      <c r="N39" s="776">
        <f>MAXA('ANALISI DELLE SPINTE'!J46,SPINTE!H93)</f>
        <v>367.76933278733725</v>
      </c>
      <c r="O39" s="632"/>
      <c r="P39" s="422"/>
      <c r="Q39" s="422"/>
      <c r="R39" s="422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</row>
    <row r="40" spans="2:28" x14ac:dyDescent="0.25">
      <c r="B40" s="422" t="s">
        <v>1057</v>
      </c>
      <c r="C40" s="636" t="s">
        <v>865</v>
      </c>
      <c r="D40" s="664">
        <f>IF('FOGLIO DEPOSITO'!I100&lt;='VER. GEO CONDIZIONI DRENATE'!D45,DATI!E248-10,DATI!E248)/DATI!E271</f>
        <v>18</v>
      </c>
      <c r="E40" s="632"/>
      <c r="F40" s="422" t="s">
        <v>725</v>
      </c>
      <c r="G40" s="422"/>
      <c r="H40" s="623" t="s">
        <v>595</v>
      </c>
      <c r="I40" s="535">
        <f>D66</f>
        <v>2.2073723573610562</v>
      </c>
      <c r="J40" s="422"/>
      <c r="K40" s="422" t="s">
        <v>743</v>
      </c>
      <c r="L40" s="422"/>
      <c r="M40" s="623" t="s">
        <v>596</v>
      </c>
      <c r="N40" s="354">
        <f>'Sollecitazioni nella zattera'!D76-'Sollecitazioni nella zattera'!C76</f>
        <v>1192.4316011044239</v>
      </c>
      <c r="O40" s="632"/>
      <c r="P40" s="632"/>
      <c r="Q40" s="63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</row>
    <row r="41" spans="2:28" x14ac:dyDescent="0.25">
      <c r="B41" s="422" t="s">
        <v>1059</v>
      </c>
      <c r="C41" s="636" t="s">
        <v>866</v>
      </c>
      <c r="D41" s="664">
        <f>IF('FOGLIO DEPOSITO'!I100&lt;=D45,DATI!E249-10,DATI!E249)/DATI!E271</f>
        <v>18</v>
      </c>
      <c r="E41" s="632"/>
      <c r="F41" s="422" t="s">
        <v>727</v>
      </c>
      <c r="G41" s="422"/>
      <c r="H41" s="623" t="s">
        <v>184</v>
      </c>
      <c r="I41" s="535">
        <f>'FOGLIO DEPOSITO'!D85</f>
        <v>0.5</v>
      </c>
      <c r="J41" s="422"/>
      <c r="K41" s="422"/>
      <c r="L41" s="422"/>
      <c r="M41" s="422"/>
      <c r="N41" s="422"/>
      <c r="O41" s="624"/>
      <c r="P41" s="632"/>
      <c r="Q41" s="63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</row>
    <row r="42" spans="2:28" x14ac:dyDescent="0.25">
      <c r="B42" s="422" t="s">
        <v>1057</v>
      </c>
      <c r="C42" s="636" t="s">
        <v>1058</v>
      </c>
      <c r="D42" s="664">
        <f>(D40*IF((I43-I42)&lt;0,0,(I43-I42))+D41*I42)/(IF((I43-I42)&lt;0,0,(I43-I42))+I42)</f>
        <v>18</v>
      </c>
      <c r="E42" s="632"/>
      <c r="F42" s="422" t="s">
        <v>728</v>
      </c>
      <c r="G42" s="422"/>
      <c r="H42" s="623" t="s">
        <v>299</v>
      </c>
      <c r="I42" s="535">
        <f>DATI!E250</f>
        <v>1.05</v>
      </c>
      <c r="J42" s="422"/>
      <c r="K42" s="422"/>
      <c r="L42" s="422"/>
      <c r="M42" s="422"/>
      <c r="N42" s="422"/>
      <c r="O42" s="624"/>
      <c r="P42" s="632"/>
      <c r="Q42" s="632"/>
      <c r="R42" s="422"/>
      <c r="S42" s="422"/>
      <c r="T42" s="422"/>
      <c r="U42" s="422"/>
      <c r="V42" s="422"/>
      <c r="W42" s="422"/>
      <c r="X42" s="422"/>
      <c r="Y42" s="422"/>
      <c r="Z42" s="422"/>
      <c r="AA42" s="422"/>
      <c r="AB42" s="422"/>
    </row>
    <row r="43" spans="2:28" x14ac:dyDescent="0.25">
      <c r="B43" s="422" t="s">
        <v>597</v>
      </c>
      <c r="C43" s="636" t="s">
        <v>111</v>
      </c>
      <c r="D43" s="669">
        <f>DATI!E243</f>
        <v>0</v>
      </c>
      <c r="E43" s="632"/>
      <c r="F43" s="422" t="s">
        <v>729</v>
      </c>
      <c r="G43" s="422"/>
      <c r="H43" s="623" t="s">
        <v>599</v>
      </c>
      <c r="I43" s="535">
        <f>DATI!E9</f>
        <v>0.1</v>
      </c>
      <c r="J43" s="422"/>
      <c r="K43" s="422"/>
      <c r="L43" s="422"/>
      <c r="M43" s="422"/>
      <c r="N43" s="422"/>
      <c r="O43" s="422"/>
      <c r="P43" s="422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</row>
    <row r="44" spans="2:28" x14ac:dyDescent="0.25">
      <c r="B44" s="422" t="s">
        <v>598</v>
      </c>
      <c r="C44" s="636" t="s">
        <v>483</v>
      </c>
      <c r="D44" s="669">
        <f>DATI!E244</f>
        <v>0</v>
      </c>
      <c r="E44" s="422"/>
      <c r="F44" s="422"/>
      <c r="G44" s="422"/>
      <c r="H44" s="422"/>
      <c r="I44" s="422"/>
      <c r="J44" s="422"/>
      <c r="K44" s="422"/>
      <c r="L44" s="422"/>
      <c r="M44" s="422"/>
      <c r="N44" s="422"/>
      <c r="O44" s="422"/>
      <c r="P44" s="422"/>
      <c r="Q44" s="422"/>
      <c r="R44" s="422"/>
      <c r="S44" s="422"/>
      <c r="T44" s="422"/>
      <c r="U44" s="422"/>
      <c r="V44" s="422"/>
      <c r="W44" s="422"/>
      <c r="X44" s="422"/>
      <c r="Y44" s="422"/>
      <c r="Z44" s="422"/>
      <c r="AA44" s="422"/>
      <c r="AB44" s="422"/>
    </row>
    <row r="45" spans="2:28" s="421" customFormat="1" x14ac:dyDescent="0.25">
      <c r="B45" s="422" t="s">
        <v>600</v>
      </c>
      <c r="C45" s="413" t="s">
        <v>740</v>
      </c>
      <c r="D45" s="535">
        <f>I40/2*TAN(45+($D$38*PI()/180)/2)</f>
        <v>3.9291415018430005</v>
      </c>
      <c r="E45" s="422"/>
      <c r="F45" s="422"/>
      <c r="G45" s="422"/>
      <c r="H45" s="422"/>
      <c r="I45" s="422"/>
      <c r="J45" s="422"/>
      <c r="K45" s="422"/>
      <c r="L45" s="422"/>
      <c r="M45" s="422"/>
      <c r="N45" s="422"/>
      <c r="O45" s="422"/>
      <c r="P45" s="422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</row>
    <row r="46" spans="2:28" x14ac:dyDescent="0.25">
      <c r="B46" s="422"/>
      <c r="C46" s="422"/>
      <c r="D46" s="422"/>
      <c r="E46" s="422"/>
      <c r="F46" s="422"/>
      <c r="G46" s="422"/>
      <c r="H46" s="20"/>
      <c r="I46" s="422"/>
      <c r="J46" s="422"/>
      <c r="K46" s="422"/>
      <c r="L46" s="422"/>
      <c r="M46" s="422"/>
      <c r="N46" s="422"/>
      <c r="O46" s="422"/>
      <c r="P46" s="422"/>
      <c r="Q46" s="422"/>
      <c r="R46" s="422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</row>
    <row r="47" spans="2:28" ht="15.75" x14ac:dyDescent="0.25">
      <c r="B47" s="14" t="s">
        <v>758</v>
      </c>
      <c r="C47" s="422"/>
      <c r="D47" s="422"/>
      <c r="E47" s="422"/>
      <c r="F47" s="422"/>
      <c r="G47" s="422"/>
      <c r="H47" s="422"/>
      <c r="I47" s="422"/>
      <c r="J47" s="422"/>
      <c r="K47" s="422"/>
      <c r="L47" s="422"/>
      <c r="M47" s="422"/>
      <c r="N47" s="422"/>
      <c r="O47" s="422"/>
      <c r="P47" s="422"/>
      <c r="Q47" s="422"/>
      <c r="R47" s="422"/>
      <c r="S47" s="422"/>
      <c r="T47" s="422"/>
      <c r="U47" s="422"/>
      <c r="V47" s="422"/>
      <c r="W47" s="422"/>
      <c r="X47" s="422"/>
      <c r="Y47" s="422"/>
      <c r="Z47" s="422"/>
      <c r="AA47" s="422"/>
      <c r="AB47" s="422"/>
    </row>
    <row r="48" spans="2:28" ht="15.75" thickBot="1" x14ac:dyDescent="0.3">
      <c r="B48" s="422"/>
      <c r="C48" s="422"/>
      <c r="D48" s="422"/>
      <c r="E48" s="966"/>
      <c r="F48" s="966"/>
      <c r="G48" s="966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</row>
    <row r="49" spans="2:28" ht="22.5" thickTop="1" thickBot="1" x14ac:dyDescent="0.3">
      <c r="B49" s="422"/>
      <c r="C49" s="643" t="s">
        <v>602</v>
      </c>
      <c r="D49" s="625">
        <f>IF('FOGLIO DEPOSITO'!G26=1,(D51-1)*TAN(1.4*$D$38*PI()/180),IF('FOGLIO DEPOSITO'!G26=2,1.5*(D51-1)*TAN($D$38*PI()/180),IF('FOGLIO DEPOSITO'!G26=3,2*($D$51+1)*TAN($D$38*PI()/180),"")))</f>
        <v>30.214652959465663</v>
      </c>
      <c r="E49" s="921" t="s">
        <v>164</v>
      </c>
      <c r="F49" s="963"/>
      <c r="G49" s="922"/>
      <c r="H49" s="422"/>
      <c r="I49" s="422"/>
      <c r="J49" s="422"/>
      <c r="K49" s="422"/>
      <c r="L49" s="422"/>
      <c r="M49" s="422"/>
      <c r="N49" s="422"/>
      <c r="O49" s="422"/>
      <c r="P49" s="422"/>
      <c r="Q49" s="422"/>
      <c r="R49" s="422"/>
      <c r="S49" s="422"/>
      <c r="T49" s="422"/>
      <c r="U49" s="422"/>
      <c r="V49" s="422"/>
      <c r="W49" s="422"/>
      <c r="X49" s="422"/>
      <c r="Y49" s="422"/>
      <c r="Z49" s="422"/>
      <c r="AA49" s="422"/>
      <c r="AB49" s="422"/>
    </row>
    <row r="50" spans="2:28" ht="21.75" thickTop="1" x14ac:dyDescent="0.25">
      <c r="B50" s="422"/>
      <c r="C50" s="643" t="s">
        <v>604</v>
      </c>
      <c r="D50" s="625">
        <f>($D$51-1)*(1/TAN($D$38*PI()/180))</f>
        <v>35.490260706898333</v>
      </c>
      <c r="E50" s="968" t="s">
        <v>603</v>
      </c>
      <c r="F50" s="969"/>
      <c r="G50" s="969"/>
      <c r="H50" s="422"/>
      <c r="I50" s="422"/>
      <c r="J50" s="422"/>
      <c r="K50" s="422"/>
      <c r="L50" s="422"/>
      <c r="M50" s="422"/>
      <c r="N50" s="422"/>
      <c r="O50" s="422"/>
      <c r="P50" s="422"/>
      <c r="Q50" s="422"/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</row>
    <row r="51" spans="2:28" ht="21" x14ac:dyDescent="0.25">
      <c r="B51" s="422"/>
      <c r="C51" s="643" t="s">
        <v>606</v>
      </c>
      <c r="D51" s="625">
        <f>(TAN(PI()/4+($D$38*PI()/180)/2))^2*EXP(PI()*TAN($D$38*PI()/180))</f>
        <v>23.176776207012633</v>
      </c>
      <c r="E51" s="970" t="s">
        <v>605</v>
      </c>
      <c r="F51" s="960"/>
      <c r="G51" s="960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</row>
    <row r="52" spans="2:28" x14ac:dyDescent="0.25">
      <c r="B52" s="422"/>
      <c r="C52" s="422"/>
      <c r="D52" s="422"/>
      <c r="E52" s="422"/>
      <c r="F52" s="422"/>
      <c r="G52" s="422"/>
      <c r="H52" s="422"/>
      <c r="I52" s="422"/>
      <c r="J52" s="422"/>
      <c r="K52" s="422"/>
      <c r="L52" s="422"/>
      <c r="M52" s="422"/>
      <c r="N52" s="422"/>
      <c r="O52" s="422"/>
      <c r="P52" s="422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</row>
    <row r="53" spans="2:28" x14ac:dyDescent="0.25">
      <c r="B53" s="422"/>
      <c r="C53" s="422"/>
      <c r="D53" s="422"/>
      <c r="E53" s="422"/>
      <c r="F53" s="422"/>
      <c r="G53" s="422"/>
      <c r="H53" s="422"/>
      <c r="I53" s="422"/>
      <c r="J53" s="422"/>
      <c r="K53" s="422"/>
      <c r="L53" s="422"/>
      <c r="M53" s="422"/>
      <c r="N53" s="422"/>
      <c r="O53" s="422"/>
      <c r="P53" s="422"/>
      <c r="Q53" s="422"/>
      <c r="R53" s="422"/>
      <c r="S53" s="422"/>
      <c r="T53" s="422"/>
      <c r="U53" s="422"/>
      <c r="V53" s="422"/>
      <c r="W53" s="422"/>
      <c r="X53" s="422"/>
      <c r="Y53" s="422"/>
      <c r="Z53" s="422"/>
      <c r="AA53" s="422"/>
      <c r="AB53" s="422"/>
    </row>
    <row r="54" spans="2:28" ht="15.75" x14ac:dyDescent="0.25">
      <c r="B54" s="14" t="s">
        <v>759</v>
      </c>
      <c r="C54" s="422"/>
      <c r="D54" s="422"/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  <c r="AA54" s="422"/>
      <c r="AB54" s="422"/>
    </row>
    <row r="55" spans="2:28" x14ac:dyDescent="0.25">
      <c r="B55" s="422"/>
      <c r="C55" s="422"/>
      <c r="D55" s="422"/>
      <c r="E55" s="422"/>
      <c r="F55" s="422"/>
      <c r="G55" s="422"/>
      <c r="H55" s="422"/>
      <c r="I55" s="422"/>
      <c r="J55" s="422"/>
      <c r="K55" s="422"/>
      <c r="L55" s="422"/>
      <c r="M55" s="422"/>
      <c r="N55" s="422"/>
      <c r="O55" s="422"/>
      <c r="P55" s="422"/>
      <c r="Q55" s="422"/>
      <c r="R55" s="422"/>
      <c r="S55" s="422"/>
      <c r="T55" s="422"/>
      <c r="U55" s="422"/>
      <c r="V55" s="422"/>
      <c r="W55" s="422"/>
      <c r="X55" s="422"/>
      <c r="Y55" s="422"/>
      <c r="Z55" s="422"/>
      <c r="AA55" s="422"/>
      <c r="AB55" s="422"/>
    </row>
    <row r="56" spans="2:28" ht="25.5" customHeight="1" x14ac:dyDescent="0.25">
      <c r="B56" s="14"/>
      <c r="C56" s="954" t="s">
        <v>733</v>
      </c>
      <c r="D56" s="954"/>
      <c r="E56" s="422"/>
      <c r="F56" s="954" t="s">
        <v>734</v>
      </c>
      <c r="G56" s="954"/>
      <c r="H56" s="422"/>
      <c r="I56" s="954" t="s">
        <v>735</v>
      </c>
      <c r="J56" s="954"/>
      <c r="K56" s="422"/>
      <c r="L56" s="954" t="s">
        <v>736</v>
      </c>
      <c r="M56" s="954"/>
      <c r="N56" s="422"/>
      <c r="O56" s="954" t="s">
        <v>738</v>
      </c>
      <c r="P56" s="954"/>
      <c r="Q56" s="422"/>
      <c r="R56" s="954" t="s">
        <v>737</v>
      </c>
      <c r="S56" s="954"/>
      <c r="T56" s="422"/>
      <c r="U56" s="422"/>
      <c r="V56" s="422"/>
      <c r="W56" s="422"/>
      <c r="X56" s="422"/>
      <c r="Y56" s="422"/>
      <c r="Z56" s="422"/>
      <c r="AA56" s="422"/>
      <c r="AB56" s="422"/>
    </row>
    <row r="57" spans="2:28" ht="27" customHeight="1" x14ac:dyDescent="0.25">
      <c r="B57" s="422"/>
      <c r="C57" s="954"/>
      <c r="D57" s="954"/>
      <c r="E57" s="422"/>
      <c r="F57" s="954"/>
      <c r="G57" s="954"/>
      <c r="H57" s="422"/>
      <c r="I57" s="954"/>
      <c r="J57" s="954"/>
      <c r="K57" s="422"/>
      <c r="L57" s="954"/>
      <c r="M57" s="954"/>
      <c r="N57" s="422"/>
      <c r="O57" s="954"/>
      <c r="P57" s="954"/>
      <c r="Q57" s="422"/>
      <c r="R57" s="954"/>
      <c r="S57" s="954"/>
      <c r="T57" s="422"/>
      <c r="U57" s="422"/>
      <c r="V57" s="422"/>
      <c r="W57" s="422"/>
      <c r="X57" s="422"/>
      <c r="Y57" s="422"/>
      <c r="Z57" s="422"/>
      <c r="AA57" s="422"/>
      <c r="AB57" s="422"/>
    </row>
    <row r="58" spans="2:28" ht="23.25" x14ac:dyDescent="0.25">
      <c r="B58" s="422"/>
      <c r="C58" s="643" t="s">
        <v>150</v>
      </c>
      <c r="D58" s="638">
        <f>IF(I40=0,0,IF(DATI!E252="si",1,1-0.4*I40/'FOGLIO DEPOSITO'!C108))</f>
        <v>0.64682042282223096</v>
      </c>
      <c r="E58" s="422"/>
      <c r="F58" s="643" t="s">
        <v>607</v>
      </c>
      <c r="G58" s="638">
        <v>1</v>
      </c>
      <c r="H58" s="422"/>
      <c r="I58" s="643" t="s">
        <v>608</v>
      </c>
      <c r="J58" s="638">
        <f>IF(I40=0,0,IF(N38=0,IF(N39=0,1,0),(1-N39/(N38+'FOGLIO DEPOSITO'!C108*I40*D39*(1/TAN($D$38*PI()/180))))^(J61+1)))</f>
        <v>0.34880847184924407</v>
      </c>
      <c r="K58" s="422"/>
      <c r="L58" s="643" t="s">
        <v>609</v>
      </c>
      <c r="M58" s="638">
        <f>(1-(D43*PI()/180)*TAN($D$38*PI()/180))^2</f>
        <v>1</v>
      </c>
      <c r="N58" s="422"/>
      <c r="O58" s="643" t="s">
        <v>610</v>
      </c>
      <c r="P58" s="638">
        <f>(1-TAN($D$44*PI()/180))^2</f>
        <v>1</v>
      </c>
      <c r="Q58" s="422"/>
      <c r="R58" s="642" t="s">
        <v>611</v>
      </c>
      <c r="S58" s="638">
        <f>IF(I110="generale",1,EXP((0.6*I40/'FOGLIO DEPOSITO'!C108-4.4)*TAN($D$38*PI()/180)+(3.07*SIN($D$38*PI()/180)*LOG10(2*D108))/(1+SIN($D$38*PI()/180))))</f>
        <v>1</v>
      </c>
      <c r="T58" s="422"/>
      <c r="U58" s="422"/>
      <c r="V58" s="422"/>
      <c r="W58" s="422"/>
      <c r="X58" s="422"/>
      <c r="Y58" s="422"/>
      <c r="Z58" s="422"/>
      <c r="AA58" s="422"/>
      <c r="AB58" s="422"/>
    </row>
    <row r="59" spans="2:28" ht="23.25" x14ac:dyDescent="0.25">
      <c r="B59" s="422"/>
      <c r="C59" s="643" t="s">
        <v>152</v>
      </c>
      <c r="D59" s="638">
        <f>IF(I40=0,0,IF(DATI!E252="si",1,1+I40/'FOGLIO DEPOSITO'!C108*D51/D50))</f>
        <v>1.576606360315173</v>
      </c>
      <c r="E59" s="422"/>
      <c r="F59" s="643" t="s">
        <v>612</v>
      </c>
      <c r="G59" s="638">
        <f>IF(G60=0,0,IF(DATI!E253="si",1,$G$60-(1-G60)/($D$50*TAN($D$38*PI()/180))))</f>
        <v>1.1372879564297491</v>
      </c>
      <c r="H59" s="422"/>
      <c r="I59" s="643" t="s">
        <v>613</v>
      </c>
      <c r="J59" s="638">
        <f>IF(I40=0,0,IF(N38=0,IF(N39=0,1,0),J60-(1-J60)/(D50*TAN($D$38*PI()/180))))</f>
        <v>0.50757029175341384</v>
      </c>
      <c r="K59" s="422"/>
      <c r="L59" s="643" t="s">
        <v>614</v>
      </c>
      <c r="M59" s="638">
        <f>M60-(1-M60)/(D50*TAN($D$38*PI()/180))</f>
        <v>1</v>
      </c>
      <c r="N59" s="422"/>
      <c r="O59" s="643" t="s">
        <v>615</v>
      </c>
      <c r="P59" s="638">
        <f>P60-(1-P60)/(D50*TAN($D$38*PI()/180))</f>
        <v>1</v>
      </c>
      <c r="Q59" s="422"/>
      <c r="R59" s="643" t="s">
        <v>616</v>
      </c>
      <c r="S59" s="638">
        <f>S60-(1-S60)/(D51*TAN($D$38*PI()/180))</f>
        <v>1</v>
      </c>
      <c r="T59" s="422"/>
      <c r="U59" s="422"/>
      <c r="V59" s="422"/>
      <c r="W59" s="422"/>
      <c r="X59" s="422"/>
      <c r="Y59" s="422"/>
      <c r="Z59" s="422"/>
      <c r="AA59" s="422"/>
      <c r="AB59" s="422"/>
    </row>
    <row r="60" spans="2:28" ht="23.25" x14ac:dyDescent="0.25">
      <c r="B60" s="422"/>
      <c r="C60" s="643" t="s">
        <v>154</v>
      </c>
      <c r="D60" s="638">
        <f>IF(I40=0,0,IF(DATI!E252="si",1,1+I40/'FOGLIO DEPOSITO'!C108*TAN($D$38*PI()/180)))</f>
        <v>1.551727733746707</v>
      </c>
      <c r="E60" s="422"/>
      <c r="F60" s="643" t="s">
        <v>617</v>
      </c>
      <c r="G60" s="638">
        <f>IF(I40=0,0,IF(DATI!E253="si",1,IF(I42&lt;=I40,(1+2*TAN($D$38*PI()/180)*(1-SIN($D$38*PI()/180))^2*(I42/I40)),(1+2*TAN($D$38*PI()/180)*(1-SIN($D$38*PI()/180))^2*ATAN(I42/I40)))))</f>
        <v>1.1313644425120453</v>
      </c>
      <c r="H60" s="422"/>
      <c r="I60" s="643" t="s">
        <v>618</v>
      </c>
      <c r="J60" s="638">
        <f>IF(I40=0,0,IF(N38=0,IF(N39=0,1,0),(1-N39/(N38+'FOGLIO DEPOSITO'!C108*I40*D39*(1/TAN($D$38*PI()/180))))^(J61)))</f>
        <v>0.52881697868900202</v>
      </c>
      <c r="K60" s="422"/>
      <c r="L60" s="643" t="s">
        <v>619</v>
      </c>
      <c r="M60" s="638">
        <f>M58</f>
        <v>1</v>
      </c>
      <c r="N60" s="422"/>
      <c r="O60" s="643" t="s">
        <v>620</v>
      </c>
      <c r="P60" s="638">
        <f>P58</f>
        <v>1</v>
      </c>
      <c r="Q60" s="422"/>
      <c r="R60" s="643" t="s">
        <v>621</v>
      </c>
      <c r="S60" s="638">
        <f>S58</f>
        <v>1</v>
      </c>
      <c r="T60" s="422"/>
      <c r="U60" s="422"/>
      <c r="V60" s="422"/>
      <c r="W60" s="422"/>
      <c r="X60" s="422"/>
      <c r="Y60" s="422"/>
      <c r="Z60" s="422"/>
      <c r="AA60" s="422"/>
      <c r="AB60" s="422"/>
    </row>
    <row r="61" spans="2:28" x14ac:dyDescent="0.25">
      <c r="B61" s="422"/>
      <c r="C61" s="422"/>
      <c r="D61" s="422"/>
      <c r="E61" s="422"/>
      <c r="F61" s="422"/>
      <c r="G61" s="422"/>
      <c r="H61" s="422"/>
      <c r="I61" s="474" t="s">
        <v>832</v>
      </c>
      <c r="J61" s="475">
        <f>IF(I40=0,"",(2+I40/'FOGLIO DEPOSITO'!C108)/(1+I40/'FOGLIO DEPOSITO'!C108))</f>
        <v>1.5310818457117965</v>
      </c>
      <c r="K61" s="422"/>
      <c r="L61" s="422"/>
      <c r="M61" s="422"/>
      <c r="N61" s="422"/>
      <c r="O61" s="422"/>
      <c r="P61" s="422"/>
      <c r="Q61" s="422"/>
      <c r="R61" s="422"/>
      <c r="S61" s="422"/>
      <c r="T61" s="422"/>
      <c r="U61" s="422"/>
      <c r="V61" s="422"/>
      <c r="W61" s="422"/>
      <c r="X61" s="422"/>
      <c r="Y61" s="422"/>
      <c r="Z61" s="422"/>
      <c r="AA61" s="422"/>
      <c r="AB61" s="422"/>
    </row>
    <row r="62" spans="2:28" x14ac:dyDescent="0.25">
      <c r="B62" s="422"/>
      <c r="C62" s="422"/>
      <c r="D62" s="422"/>
      <c r="E62" s="422"/>
      <c r="F62" s="422"/>
      <c r="G62" s="422"/>
      <c r="H62" s="422"/>
      <c r="I62" s="422"/>
      <c r="J62" s="422"/>
      <c r="K62" s="422"/>
      <c r="L62" s="422"/>
      <c r="M62" s="422"/>
      <c r="N62" s="422"/>
      <c r="O62" s="422"/>
      <c r="P62" s="422"/>
      <c r="Q62" s="422"/>
      <c r="R62" s="422"/>
      <c r="S62" s="632"/>
      <c r="T62" s="422"/>
      <c r="U62" s="422"/>
      <c r="V62" s="422"/>
      <c r="W62" s="422"/>
      <c r="X62" s="422"/>
      <c r="Y62" s="422"/>
      <c r="Z62" s="422"/>
      <c r="AA62" s="422"/>
      <c r="AB62" s="422"/>
    </row>
    <row r="63" spans="2:28" ht="15.75" x14ac:dyDescent="0.25">
      <c r="B63" s="14" t="s">
        <v>760</v>
      </c>
      <c r="C63" s="422"/>
      <c r="D63" s="422"/>
      <c r="E63" s="422"/>
      <c r="F63" s="422"/>
      <c r="G63" s="422"/>
      <c r="H63" s="422"/>
      <c r="I63" s="619"/>
      <c r="J63" s="422"/>
      <c r="K63" s="422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</row>
    <row r="64" spans="2:28" x14ac:dyDescent="0.25">
      <c r="B64" s="422"/>
      <c r="C64" s="422"/>
      <c r="D64" s="422"/>
      <c r="E64" s="422"/>
      <c r="F64" s="422"/>
      <c r="G64" s="422"/>
      <c r="H64" s="422"/>
      <c r="I64" s="422"/>
      <c r="J64" s="422"/>
      <c r="K64" s="422"/>
      <c r="L64" s="422"/>
      <c r="M64" s="422"/>
      <c r="N64" s="422"/>
      <c r="O64" s="422"/>
      <c r="P64" s="422"/>
      <c r="Q64" s="422"/>
      <c r="R64" s="422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</row>
    <row r="65" spans="2:28" ht="21" x14ac:dyDescent="0.25">
      <c r="B65" s="422"/>
      <c r="C65" s="623" t="s">
        <v>726</v>
      </c>
      <c r="D65" s="535">
        <f>IF(N38=0,0,'Sollecitazioni nella zattera'!G131/2-N40/N38)</f>
        <v>0.59631382131947186</v>
      </c>
      <c r="E65" s="632"/>
      <c r="F65" s="422"/>
      <c r="G65" s="422"/>
      <c r="H65" s="422"/>
      <c r="I65" s="422"/>
      <c r="J65" s="422"/>
      <c r="K65" s="422"/>
      <c r="L65" s="422"/>
      <c r="M65" s="422"/>
      <c r="N65" s="422"/>
      <c r="O65" s="422"/>
      <c r="P65" s="422"/>
      <c r="Q65" s="422"/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</row>
    <row r="66" spans="2:28" ht="18.75" x14ac:dyDescent="0.3">
      <c r="B66" s="422"/>
      <c r="C66" s="623" t="s">
        <v>595</v>
      </c>
      <c r="D66" s="535">
        <f>IF(N40=0,'FOGLIO DEPOSITO'!D83,IF(D65&gt;'FOGLIO DEPOSITO'!D83/2,0,'FOGLIO DEPOSITO'!D83-2*D65))</f>
        <v>2.2073723573610562</v>
      </c>
      <c r="E66" s="632"/>
      <c r="F66" s="422"/>
      <c r="G66" s="422"/>
      <c r="H66" s="422"/>
      <c r="I66" s="422"/>
      <c r="J66" s="422"/>
      <c r="K66" s="422"/>
      <c r="L66" s="422"/>
      <c r="M66" s="422"/>
      <c r="N66" s="429" t="str">
        <f>IF(D66=0,"FONDAZIONE INSTABILE",IF('FOGLIO DEPOSITO'!K108=0,"FONDAZIONE INSTABILE",""))</f>
        <v/>
      </c>
      <c r="O66" s="422"/>
      <c r="P66" s="422"/>
      <c r="Q66" s="422"/>
      <c r="R66" s="422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</row>
    <row r="67" spans="2:28" x14ac:dyDescent="0.25">
      <c r="B67" s="422"/>
      <c r="C67" s="422"/>
      <c r="D67" s="422"/>
      <c r="E67" s="422"/>
      <c r="F67" s="422"/>
      <c r="G67" s="422"/>
      <c r="H67" s="422"/>
      <c r="I67" s="422"/>
      <c r="J67" s="422"/>
      <c r="K67" s="422"/>
      <c r="L67" s="422"/>
      <c r="M67" s="422"/>
      <c r="N67" s="422"/>
      <c r="O67" s="422"/>
      <c r="P67" s="422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</row>
    <row r="68" spans="2:28" x14ac:dyDescent="0.25">
      <c r="B68" s="422"/>
      <c r="C68" s="422"/>
      <c r="D68" s="422"/>
      <c r="E68" s="422"/>
      <c r="F68" s="422"/>
      <c r="G68" s="422"/>
      <c r="H68" s="422"/>
      <c r="I68" s="422"/>
      <c r="J68" s="422"/>
      <c r="K68" s="422"/>
      <c r="L68" s="422"/>
      <c r="M68" s="422"/>
      <c r="N68" s="422"/>
      <c r="O68" s="422"/>
      <c r="P68" s="422"/>
      <c r="Q68" s="422"/>
      <c r="R68" s="422"/>
      <c r="S68" s="422"/>
      <c r="T68" s="422"/>
      <c r="U68" s="422"/>
      <c r="V68" s="422"/>
      <c r="W68" s="422"/>
      <c r="X68" s="422"/>
      <c r="Y68" s="422"/>
      <c r="Z68" s="422"/>
      <c r="AA68" s="422"/>
      <c r="AB68" s="422"/>
    </row>
    <row r="69" spans="2:28" ht="15.75" x14ac:dyDescent="0.25">
      <c r="B69" s="14" t="s">
        <v>761</v>
      </c>
      <c r="C69" s="422"/>
      <c r="D69" s="422"/>
      <c r="E69" s="422"/>
      <c r="F69" s="422"/>
      <c r="G69" s="422"/>
      <c r="H69" s="422"/>
      <c r="I69" s="422"/>
      <c r="J69" s="422"/>
      <c r="K69" s="422"/>
      <c r="L69" s="422"/>
      <c r="M69" s="422"/>
      <c r="N69" s="422"/>
      <c r="O69" s="422"/>
      <c r="P69" s="422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</row>
    <row r="70" spans="2:28" x14ac:dyDescent="0.25">
      <c r="B70" s="422"/>
      <c r="C70" s="422"/>
      <c r="D70" s="422"/>
      <c r="E70" s="422"/>
      <c r="F70" s="422"/>
      <c r="G70" s="422"/>
      <c r="H70" s="422"/>
      <c r="I70" s="422"/>
      <c r="J70" s="422"/>
      <c r="K70" s="422"/>
      <c r="L70" s="422"/>
      <c r="M70" s="422"/>
      <c r="N70" s="422"/>
      <c r="O70" s="422"/>
      <c r="P70" s="422"/>
      <c r="Q70" s="422"/>
      <c r="R70" s="422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</row>
    <row r="71" spans="2:28" ht="21" x14ac:dyDescent="0.25">
      <c r="B71" s="422"/>
      <c r="C71" s="28" t="s">
        <v>623</v>
      </c>
      <c r="D71" s="29">
        <f>(0.5*D41*I40*D49*D58*G58*J58*M58*P58*S58+D39*D50*D59*G59*J59*M59*P59*S59+'VER. GEO CONDIZIONI DRENATE'!D40*I42*D51*D60*G60*J60*M60*P60*S60)</f>
        <v>542.0937570129621</v>
      </c>
      <c r="E71" s="30" t="s">
        <v>624</v>
      </c>
      <c r="F71" s="422"/>
      <c r="G71" s="28" t="s">
        <v>625</v>
      </c>
      <c r="H71" s="29">
        <f>IF(I40=0,0,IF('FOGLIO DEPOSITO'!C108=0,0,D71*I40*'FOGLIO DEPOSITO'!C108))</f>
        <v>2991.5069358210344</v>
      </c>
      <c r="I71" s="30" t="s">
        <v>12</v>
      </c>
      <c r="J71" s="422"/>
      <c r="K71" s="632"/>
      <c r="L71" s="8"/>
      <c r="M71" s="632"/>
      <c r="N71" s="422"/>
      <c r="O71" s="422"/>
      <c r="P71" s="422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</row>
    <row r="72" spans="2:28" x14ac:dyDescent="0.25">
      <c r="B72" s="10"/>
      <c r="C72" s="632"/>
      <c r="D72" s="8"/>
      <c r="E72" s="632"/>
      <c r="F72" s="422"/>
      <c r="G72" s="632"/>
      <c r="H72" s="8"/>
      <c r="I72" s="632"/>
      <c r="J72" s="422"/>
      <c r="K72" s="632"/>
      <c r="L72" s="8"/>
      <c r="M72" s="632"/>
      <c r="N72" s="422"/>
      <c r="O72" s="422"/>
      <c r="P72" s="422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</row>
    <row r="73" spans="2:28" x14ac:dyDescent="0.25">
      <c r="B73" s="10"/>
      <c r="C73" s="632"/>
      <c r="D73" s="8"/>
      <c r="E73" s="632"/>
      <c r="F73" s="422"/>
      <c r="G73" s="632"/>
      <c r="H73" s="8"/>
      <c r="I73" s="632"/>
      <c r="J73" s="422"/>
      <c r="K73" s="632"/>
      <c r="L73" s="8"/>
      <c r="M73" s="632"/>
      <c r="N73" s="422"/>
      <c r="O73" s="422"/>
      <c r="P73" s="422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</row>
    <row r="74" spans="2:28" x14ac:dyDescent="0.25">
      <c r="B74" s="10"/>
      <c r="C74" s="632"/>
      <c r="D74" s="8"/>
      <c r="E74" s="632"/>
      <c r="F74" s="422"/>
      <c r="G74" s="632"/>
      <c r="H74" s="8"/>
      <c r="I74" s="632"/>
      <c r="J74" s="422"/>
      <c r="K74" s="632"/>
      <c r="L74" s="8"/>
      <c r="M74" s="632"/>
      <c r="N74" s="422"/>
      <c r="O74" s="422"/>
      <c r="P74" s="422"/>
      <c r="Q74" s="422"/>
      <c r="R74" s="422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</row>
    <row r="75" spans="2:28" x14ac:dyDescent="0.25">
      <c r="B75" s="10"/>
      <c r="C75" s="632"/>
      <c r="D75" s="8"/>
      <c r="E75" s="632"/>
      <c r="F75" s="422"/>
      <c r="G75" s="632"/>
      <c r="H75" s="8"/>
      <c r="I75" s="632"/>
      <c r="J75" s="422"/>
      <c r="K75" s="632"/>
      <c r="L75" s="8"/>
      <c r="M75" s="632"/>
      <c r="N75" s="422"/>
      <c r="O75" s="422"/>
      <c r="P75" s="422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</row>
    <row r="76" spans="2:28" x14ac:dyDescent="0.25">
      <c r="B76" s="10"/>
      <c r="C76" s="632"/>
      <c r="D76" s="8"/>
      <c r="E76" s="632"/>
      <c r="F76" s="422"/>
      <c r="G76" s="632"/>
      <c r="H76" s="8"/>
      <c r="I76" s="632"/>
      <c r="J76" s="422"/>
      <c r="K76" s="632"/>
      <c r="L76" s="8"/>
      <c r="M76" s="63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</row>
    <row r="77" spans="2:28" x14ac:dyDescent="0.25">
      <c r="B77" s="10"/>
      <c r="C77" s="632"/>
      <c r="D77" s="8"/>
      <c r="E77" s="632"/>
      <c r="F77" s="422"/>
      <c r="G77" s="632"/>
      <c r="H77" s="8"/>
      <c r="I77" s="632"/>
      <c r="J77" s="422"/>
      <c r="K77" s="632"/>
      <c r="L77" s="8"/>
      <c r="M77" s="63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</row>
    <row r="78" spans="2:28" x14ac:dyDescent="0.25">
      <c r="B78" s="10"/>
      <c r="C78" s="632"/>
      <c r="D78" s="8"/>
      <c r="E78" s="632"/>
      <c r="F78" s="422"/>
      <c r="G78" s="632"/>
      <c r="H78" s="8"/>
      <c r="I78" s="632"/>
      <c r="J78" s="422"/>
      <c r="K78" s="632"/>
      <c r="L78" s="8"/>
      <c r="M78" s="632"/>
      <c r="N78" s="422"/>
      <c r="O78" s="422"/>
      <c r="P78" s="422"/>
      <c r="Q78" s="422"/>
      <c r="R78" s="422"/>
      <c r="S78" s="422"/>
      <c r="T78" s="422"/>
      <c r="U78" s="422"/>
      <c r="V78" s="422"/>
      <c r="W78" s="422"/>
      <c r="X78" s="422"/>
      <c r="Y78" s="422"/>
      <c r="Z78" s="422"/>
      <c r="AA78" s="422"/>
      <c r="AB78" s="422"/>
    </row>
    <row r="79" spans="2:28" x14ac:dyDescent="0.25">
      <c r="B79" s="422"/>
      <c r="C79" s="422"/>
      <c r="D79" s="422" t="s">
        <v>626</v>
      </c>
      <c r="E79" s="422"/>
      <c r="F79" s="422"/>
      <c r="G79" s="422"/>
      <c r="H79" s="422"/>
      <c r="I79" s="422"/>
      <c r="J79" s="422"/>
      <c r="K79" s="422"/>
      <c r="L79" s="422"/>
      <c r="M79" s="422"/>
      <c r="N79" s="422"/>
      <c r="O79" s="422"/>
      <c r="P79" s="422"/>
      <c r="Q79" s="422"/>
      <c r="R79" s="422"/>
      <c r="S79" s="422"/>
      <c r="T79" s="422"/>
      <c r="U79" s="422"/>
      <c r="V79" s="422"/>
      <c r="W79" s="422"/>
      <c r="X79" s="422"/>
      <c r="Y79" s="422"/>
      <c r="Z79" s="422"/>
      <c r="AA79" s="422"/>
      <c r="AB79" s="422"/>
    </row>
    <row r="80" spans="2:28" x14ac:dyDescent="0.25">
      <c r="B80" s="422"/>
      <c r="C80" s="422"/>
      <c r="D80" s="422"/>
      <c r="E80" s="422"/>
      <c r="F80" s="422"/>
      <c r="G80" s="422"/>
      <c r="H80" s="422"/>
      <c r="I80" s="422"/>
      <c r="J80" s="422"/>
      <c r="K80" s="422"/>
      <c r="L80" s="422"/>
      <c r="M80" s="422"/>
      <c r="N80" s="422"/>
      <c r="O80" s="422"/>
      <c r="P80" s="422"/>
      <c r="Q80" s="422"/>
      <c r="R80" s="422"/>
      <c r="S80" s="422"/>
      <c r="T80" s="422"/>
      <c r="U80" s="422"/>
      <c r="V80" s="422"/>
      <c r="W80" s="422"/>
      <c r="X80" s="422"/>
      <c r="Y80" s="422"/>
      <c r="Z80" s="422"/>
      <c r="AA80" s="422"/>
      <c r="AB80" s="422"/>
    </row>
    <row r="81" spans="2:28" x14ac:dyDescent="0.25">
      <c r="B81" s="422"/>
      <c r="C81" s="422"/>
      <c r="D81" s="422"/>
      <c r="E81" s="422"/>
      <c r="F81" s="422"/>
      <c r="G81" s="422"/>
      <c r="H81" s="422"/>
      <c r="I81" s="422"/>
      <c r="J81" s="422"/>
      <c r="K81" s="422"/>
      <c r="L81" s="422"/>
      <c r="M81" s="422"/>
      <c r="N81" s="422"/>
      <c r="O81" s="422"/>
      <c r="P81" s="422"/>
      <c r="Q81" s="422"/>
      <c r="R81" s="422"/>
      <c r="S81" s="422"/>
      <c r="T81" s="422"/>
      <c r="U81" s="422"/>
      <c r="V81" s="422"/>
      <c r="W81" s="422"/>
      <c r="X81" s="422"/>
      <c r="Y81" s="422"/>
      <c r="Z81" s="422"/>
      <c r="AA81" s="422"/>
      <c r="AB81" s="422"/>
    </row>
    <row r="82" spans="2:28" ht="16.5" thickBot="1" x14ac:dyDescent="0.3">
      <c r="B82" s="14" t="s">
        <v>762</v>
      </c>
      <c r="C82" s="422"/>
      <c r="D82" s="422"/>
      <c r="E82" s="422"/>
      <c r="F82" s="422"/>
      <c r="G82" s="422"/>
      <c r="H82" s="422"/>
      <c r="I82" s="422"/>
      <c r="J82" s="422"/>
      <c r="K82" s="422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  <c r="Z82" s="422"/>
      <c r="AA82" s="422"/>
      <c r="AB82" s="422"/>
    </row>
    <row r="83" spans="2:28" ht="21.75" thickBot="1" x14ac:dyDescent="0.35">
      <c r="B83" s="424" t="s">
        <v>628</v>
      </c>
      <c r="C83" s="624" t="s">
        <v>627</v>
      </c>
      <c r="D83" s="428">
        <f>N38</f>
        <v>1080.4082031089599</v>
      </c>
      <c r="E83" s="426" t="s">
        <v>12</v>
      </c>
      <c r="F83" s="422"/>
      <c r="G83" s="422"/>
      <c r="H83" s="947" t="str">
        <f>IF(H71&lt;=0,"NON VERIFICATO",IF(D83/D84&lt;=1,"verificato","NON VERIFICATO!"))</f>
        <v>verificato</v>
      </c>
      <c r="I83" s="948"/>
      <c r="J83" s="422"/>
      <c r="K83" s="429" t="str">
        <f>N66</f>
        <v/>
      </c>
      <c r="L83" s="422"/>
      <c r="M83" s="422"/>
      <c r="N83" s="422"/>
      <c r="O83" s="422"/>
      <c r="P83" s="422"/>
      <c r="Q83" s="422"/>
      <c r="R83" s="422"/>
      <c r="S83" s="422"/>
      <c r="T83" s="422"/>
      <c r="U83" s="422"/>
      <c r="V83" s="422"/>
      <c r="W83" s="422"/>
      <c r="X83" s="422"/>
      <c r="Y83" s="422"/>
      <c r="Z83" s="422"/>
      <c r="AA83" s="422"/>
      <c r="AB83" s="422"/>
    </row>
    <row r="84" spans="2:28" ht="21" x14ac:dyDescent="0.25">
      <c r="B84" s="422"/>
      <c r="C84" s="624" t="s">
        <v>629</v>
      </c>
      <c r="D84" s="428">
        <f>H71/DATI!E274</f>
        <v>2991.5069358210344</v>
      </c>
      <c r="E84" s="426" t="s">
        <v>12</v>
      </c>
      <c r="F84" s="422"/>
      <c r="G84" s="422"/>
      <c r="H84" s="949">
        <f>IF(D84=0,0,D84/D83)</f>
        <v>2.7688672922074611</v>
      </c>
      <c r="I84" s="949"/>
      <c r="J84" s="422"/>
      <c r="K84" s="422"/>
      <c r="L84" s="422"/>
      <c r="M84" s="422"/>
      <c r="N84" s="422"/>
      <c r="O84" s="422"/>
      <c r="P84" s="422"/>
      <c r="Q84" s="422"/>
      <c r="R84" s="422"/>
      <c r="S84" s="422"/>
      <c r="T84" s="422"/>
      <c r="U84" s="422"/>
      <c r="V84" s="422"/>
      <c r="W84" s="422"/>
      <c r="X84" s="422"/>
      <c r="Y84" s="422"/>
      <c r="Z84" s="422"/>
      <c r="AA84" s="422"/>
      <c r="AB84" s="422"/>
    </row>
    <row r="85" spans="2:28" ht="7.5" customHeight="1" x14ac:dyDescent="0.25">
      <c r="B85" s="424"/>
      <c r="C85" s="624"/>
      <c r="D85" s="428"/>
      <c r="E85" s="426"/>
      <c r="F85" s="422"/>
      <c r="G85" s="422"/>
      <c r="H85" s="630"/>
      <c r="I85" s="630"/>
      <c r="J85" s="422"/>
      <c r="K85" s="422"/>
      <c r="L85" s="422"/>
      <c r="M85" s="422"/>
      <c r="N85" s="422"/>
      <c r="O85" s="422"/>
      <c r="P85" s="422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</row>
    <row r="86" spans="2:28" x14ac:dyDescent="0.25">
      <c r="B86" s="422"/>
      <c r="C86" s="620" t="s">
        <v>630</v>
      </c>
      <c r="D86" s="69">
        <f>D83/(I40*'FOGLIO DEPOSITO'!C108)</f>
        <v>195.78177637425935</v>
      </c>
      <c r="E86" s="620" t="s">
        <v>631</v>
      </c>
      <c r="F86" s="422"/>
      <c r="G86" s="422"/>
      <c r="H86" s="422"/>
      <c r="I86" s="422"/>
      <c r="J86" s="422"/>
      <c r="K86" s="422"/>
      <c r="L86" s="422"/>
      <c r="M86" s="422"/>
      <c r="N86" s="422"/>
      <c r="O86" s="422"/>
      <c r="P86" s="422"/>
      <c r="Q86" s="422"/>
      <c r="R86" s="422"/>
      <c r="S86" s="422"/>
      <c r="T86" s="422"/>
      <c r="U86" s="422"/>
      <c r="V86" s="422"/>
      <c r="W86" s="422"/>
      <c r="X86" s="422"/>
      <c r="Y86" s="422"/>
      <c r="Z86" s="422"/>
      <c r="AA86" s="422"/>
      <c r="AB86" s="422"/>
    </row>
    <row r="87" spans="2:28" ht="15.75" x14ac:dyDescent="0.25">
      <c r="B87" s="422"/>
      <c r="C87" s="620" t="s">
        <v>632</v>
      </c>
      <c r="D87" s="69">
        <f>IF(I40=0,0,IF('FOGLIO DEPOSITO'!C108=0,0,D84/(I40*'FOGLIO DEPOSITO'!C108)))</f>
        <v>542.0937570129621</v>
      </c>
      <c r="E87" s="620" t="s">
        <v>631</v>
      </c>
      <c r="F87" s="422"/>
      <c r="G87" s="422"/>
      <c r="H87" s="422"/>
      <c r="I87" s="422"/>
      <c r="J87" s="422"/>
      <c r="K87" s="422"/>
      <c r="L87" s="422"/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422"/>
      <c r="X87" s="422"/>
      <c r="Y87" s="422"/>
      <c r="Z87" s="422"/>
      <c r="AA87" s="422"/>
      <c r="AB87" s="422"/>
    </row>
    <row r="88" spans="2:28" x14ac:dyDescent="0.25"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422"/>
      <c r="M88" s="422"/>
      <c r="N88" s="422"/>
      <c r="O88" s="422"/>
      <c r="P88" s="422"/>
      <c r="Q88" s="422"/>
      <c r="R88" s="422"/>
      <c r="S88" s="422"/>
      <c r="T88" s="422"/>
      <c r="U88" s="422"/>
      <c r="V88" s="422"/>
      <c r="W88" s="422"/>
      <c r="X88" s="422"/>
      <c r="Y88" s="422"/>
      <c r="Z88" s="422"/>
      <c r="AA88" s="422"/>
      <c r="AB88" s="422"/>
    </row>
    <row r="89" spans="2:28" ht="15.75" x14ac:dyDescent="0.25">
      <c r="B89" s="14" t="s">
        <v>763</v>
      </c>
      <c r="C89" s="422"/>
      <c r="D89" s="422"/>
      <c r="E89" s="422"/>
      <c r="F89" s="422"/>
      <c r="G89" s="422"/>
      <c r="H89" s="422"/>
      <c r="I89" s="422"/>
      <c r="J89" s="422"/>
      <c r="K89" s="422"/>
      <c r="L89" s="422"/>
      <c r="M89" s="422"/>
      <c r="N89" s="422"/>
      <c r="O89" s="422"/>
      <c r="P89" s="422"/>
      <c r="Q89" s="422"/>
      <c r="R89" s="422"/>
      <c r="S89" s="422"/>
      <c r="T89" s="422"/>
      <c r="U89" s="422"/>
      <c r="V89" s="422"/>
      <c r="W89" s="422"/>
      <c r="X89" s="422"/>
      <c r="Y89" s="422"/>
      <c r="Z89" s="422"/>
      <c r="AA89" s="422"/>
      <c r="AB89" s="422"/>
    </row>
    <row r="90" spans="2:28" ht="15.75" thickBot="1" x14ac:dyDescent="0.3">
      <c r="B90" s="422"/>
      <c r="C90" s="422"/>
      <c r="D90" s="422"/>
      <c r="E90" s="422"/>
      <c r="F90" s="422"/>
      <c r="G90" s="422"/>
      <c r="H90" s="422"/>
      <c r="I90" s="422"/>
      <c r="J90" s="422"/>
      <c r="K90" s="422"/>
      <c r="L90" s="422"/>
      <c r="M90" s="422"/>
      <c r="N90" s="422"/>
      <c r="O90" s="422"/>
      <c r="P90" s="422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</row>
    <row r="91" spans="2:28" ht="21.75" thickBot="1" x14ac:dyDescent="0.3">
      <c r="B91" s="422"/>
      <c r="C91" s="624" t="s">
        <v>627</v>
      </c>
      <c r="D91" s="428">
        <f>N39</f>
        <v>367.76933278733725</v>
      </c>
      <c r="E91" s="426" t="s">
        <v>12</v>
      </c>
      <c r="F91" s="422"/>
      <c r="G91" s="422"/>
      <c r="H91" s="947" t="str">
        <f>IF(D91/D92&lt;=1,"verificato","NON VERIFICATO!")</f>
        <v>verificato</v>
      </c>
      <c r="I91" s="948"/>
      <c r="J91" s="422"/>
      <c r="K91" s="422"/>
      <c r="L91" s="422"/>
      <c r="M91" s="422"/>
      <c r="N91" s="422"/>
      <c r="O91" s="422"/>
      <c r="P91" s="422"/>
      <c r="Q91" s="422"/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</row>
    <row r="92" spans="2:28" ht="21" x14ac:dyDescent="0.25">
      <c r="B92" s="422"/>
      <c r="C92" s="624" t="s">
        <v>629</v>
      </c>
      <c r="D92" s="428">
        <f>1/DATI!E276*((D39*I40*I39*'FOGLIO DEPOSITO'!C108+'FOGLIO DEPOSITO'!D40*TAN(IF(I94="si",DEGREES(ATAN(TAN(RADIANS(J94))/DATI!E268)),2/3*$D$38)*PI()/180))+((TAN(RADIANS(45+D38/2))^2)*IF((I42+DATI!E82-I41)&lt;0,0,(I42+DATI!E82-I41))*D41)*IF(I96="si",0,1))</f>
        <v>560.70865307249812</v>
      </c>
      <c r="E92" s="426" t="s">
        <v>12</v>
      </c>
      <c r="F92" s="422"/>
      <c r="G92" s="422"/>
      <c r="H92" s="949">
        <f>IF(D92=0,0,D92/D91)</f>
        <v>1.5246204701813137</v>
      </c>
      <c r="I92" s="949"/>
      <c r="J92" s="422"/>
      <c r="K92" s="422"/>
      <c r="L92" s="422"/>
      <c r="M92" s="20"/>
      <c r="N92" s="422"/>
      <c r="O92" s="422"/>
      <c r="P92" s="422"/>
      <c r="Q92" s="422"/>
      <c r="R92" s="422"/>
      <c r="S92" s="422"/>
      <c r="T92" s="422"/>
      <c r="U92" s="422"/>
      <c r="V92" s="422"/>
      <c r="W92" s="422"/>
      <c r="X92" s="422"/>
      <c r="Y92" s="422"/>
      <c r="Z92" s="422"/>
      <c r="AA92" s="422"/>
      <c r="AB92" s="422"/>
    </row>
    <row r="93" spans="2:28" ht="15.75" thickBot="1" x14ac:dyDescent="0.3">
      <c r="B93" s="422"/>
      <c r="C93" s="422"/>
      <c r="D93" s="422"/>
      <c r="E93" s="422"/>
      <c r="F93" s="422"/>
      <c r="G93" s="422"/>
      <c r="H93" s="422"/>
      <c r="I93" s="422"/>
      <c r="J93" s="423" t="s">
        <v>773</v>
      </c>
      <c r="K93" s="423" t="s">
        <v>774</v>
      </c>
      <c r="L93" s="422"/>
      <c r="M93" s="422"/>
      <c r="N93" s="422"/>
      <c r="O93" s="422"/>
      <c r="P93" s="422"/>
      <c r="Q93" s="422"/>
      <c r="R93" s="422"/>
      <c r="S93" s="422"/>
      <c r="T93" s="422"/>
      <c r="U93" s="422"/>
      <c r="V93" s="422"/>
      <c r="W93" s="422"/>
      <c r="X93" s="422"/>
      <c r="Y93" s="422"/>
      <c r="Z93" s="422"/>
      <c r="AA93" s="422"/>
      <c r="AB93" s="422"/>
    </row>
    <row r="94" spans="2:28" s="421" customFormat="1" ht="16.5" thickTop="1" thickBot="1" x14ac:dyDescent="0.3">
      <c r="B94" s="422"/>
      <c r="C94" s="430" t="s">
        <v>772</v>
      </c>
      <c r="D94" s="422"/>
      <c r="E94" s="422"/>
      <c r="F94" s="422"/>
      <c r="G94" s="422"/>
      <c r="H94" s="443"/>
      <c r="I94" s="66" t="s">
        <v>161</v>
      </c>
      <c r="J94" s="657">
        <v>25</v>
      </c>
      <c r="K94" s="777">
        <f>DEGREES(ATAN(TAN(RADIANS(J94))/DATI!E268))</f>
        <v>25</v>
      </c>
      <c r="L94" s="422"/>
      <c r="M94" s="422"/>
      <c r="N94" s="422"/>
      <c r="O94" s="422"/>
      <c r="P94" s="422"/>
      <c r="Q94" s="422"/>
      <c r="R94" s="422"/>
      <c r="S94" s="422"/>
      <c r="T94" s="422"/>
      <c r="U94" s="422"/>
      <c r="V94" s="422"/>
      <c r="W94" s="422"/>
      <c r="X94" s="422"/>
      <c r="Y94" s="422"/>
      <c r="Z94" s="422"/>
      <c r="AA94" s="422"/>
      <c r="AB94" s="422"/>
    </row>
    <row r="95" spans="2:28" s="421" customFormat="1" ht="10.5" customHeight="1" thickTop="1" thickBot="1" x14ac:dyDescent="0.3">
      <c r="B95" s="422"/>
      <c r="C95" s="422"/>
      <c r="D95" s="422"/>
      <c r="E95" s="422"/>
      <c r="F95" s="422"/>
      <c r="G95" s="422"/>
      <c r="H95" s="422"/>
      <c r="I95" s="422"/>
      <c r="J95" s="422"/>
      <c r="K95" s="422"/>
      <c r="L95" s="422"/>
      <c r="M95" s="422"/>
      <c r="N95" s="422"/>
      <c r="O95" s="422"/>
      <c r="P95" s="422"/>
      <c r="Q95" s="422"/>
      <c r="R95" s="422"/>
      <c r="S95" s="422"/>
      <c r="T95" s="422"/>
      <c r="U95" s="422"/>
      <c r="V95" s="422"/>
      <c r="W95" s="422"/>
      <c r="X95" s="422"/>
      <c r="Y95" s="422"/>
      <c r="Z95" s="422"/>
      <c r="AA95" s="422"/>
      <c r="AB95" s="422"/>
    </row>
    <row r="96" spans="2:28" s="421" customFormat="1" ht="16.5" thickTop="1" thickBot="1" x14ac:dyDescent="0.3">
      <c r="B96" s="422"/>
      <c r="C96" s="430" t="s">
        <v>770</v>
      </c>
      <c r="D96" s="422"/>
      <c r="E96" s="422"/>
      <c r="F96" s="422"/>
      <c r="G96" s="422"/>
      <c r="H96" s="443"/>
      <c r="I96" s="66" t="s">
        <v>158</v>
      </c>
      <c r="J96" s="422"/>
      <c r="K96" s="422"/>
      <c r="L96" s="422"/>
      <c r="M96" s="422"/>
      <c r="N96" s="422"/>
      <c r="O96" s="422"/>
      <c r="P96" s="422"/>
      <c r="Q96" s="422"/>
      <c r="R96" s="422"/>
      <c r="S96" s="422"/>
      <c r="T96" s="422"/>
      <c r="U96" s="422"/>
      <c r="V96" s="422"/>
      <c r="W96" s="422"/>
      <c r="X96" s="422"/>
      <c r="Y96" s="422"/>
      <c r="Z96" s="422"/>
      <c r="AA96" s="422"/>
      <c r="AB96" s="422"/>
    </row>
    <row r="97" spans="2:28" s="421" customFormat="1" ht="9" customHeight="1" thickTop="1" x14ac:dyDescent="0.25">
      <c r="B97" s="422"/>
      <c r="C97" s="430"/>
      <c r="D97" s="422"/>
      <c r="E97" s="422"/>
      <c r="F97" s="422"/>
      <c r="G97" s="422"/>
      <c r="H97" s="620"/>
      <c r="I97" s="19"/>
      <c r="J97" s="422"/>
      <c r="K97" s="422"/>
      <c r="L97" s="422"/>
      <c r="M97" s="422"/>
      <c r="N97" s="422"/>
      <c r="O97" s="422"/>
      <c r="P97" s="422"/>
      <c r="Q97" s="422"/>
      <c r="R97" s="422"/>
      <c r="S97" s="422"/>
      <c r="T97" s="422"/>
      <c r="U97" s="422"/>
      <c r="V97" s="422"/>
      <c r="W97" s="422"/>
      <c r="X97" s="422"/>
      <c r="Y97" s="422"/>
      <c r="Z97" s="422"/>
      <c r="AA97" s="422"/>
      <c r="AB97" s="422"/>
    </row>
    <row r="98" spans="2:28" s="421" customFormat="1" x14ac:dyDescent="0.25">
      <c r="B98" s="422"/>
      <c r="C98" s="430" t="s">
        <v>881</v>
      </c>
      <c r="D98" s="422"/>
      <c r="E98" s="422"/>
      <c r="F98" s="422"/>
      <c r="G98" s="422"/>
      <c r="H98" s="620"/>
      <c r="I98" s="720">
        <f>IF((I42+DATI!E82-I41)&lt;0,0,(I42+DATI!E82-I41))</f>
        <v>1.1499999999999999</v>
      </c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  <c r="AA98" s="422"/>
      <c r="AB98" s="422"/>
    </row>
    <row r="99" spans="2:28" x14ac:dyDescent="0.25">
      <c r="B99" s="422"/>
      <c r="C99" s="422"/>
      <c r="D99" s="422"/>
      <c r="E99" s="422"/>
      <c r="F99" s="422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422"/>
      <c r="S99" s="422"/>
      <c r="T99" s="422"/>
      <c r="U99" s="422"/>
      <c r="V99" s="422"/>
      <c r="W99" s="422"/>
      <c r="X99" s="422"/>
      <c r="Y99" s="422"/>
      <c r="Z99" s="422"/>
      <c r="AA99" s="422"/>
      <c r="AB99" s="422"/>
    </row>
    <row r="100" spans="2:28" x14ac:dyDescent="0.25">
      <c r="B100" s="422"/>
      <c r="C100" s="422"/>
      <c r="D100" s="422"/>
      <c r="E100" s="422"/>
      <c r="F100" s="422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  <c r="T100" s="422"/>
      <c r="U100" s="422"/>
      <c r="V100" s="422"/>
      <c r="W100" s="422"/>
      <c r="X100" s="422"/>
      <c r="Y100" s="422"/>
      <c r="Z100" s="422"/>
      <c r="AA100" s="422"/>
      <c r="AB100" s="422"/>
    </row>
    <row r="101" spans="2:28" ht="15.75" x14ac:dyDescent="0.25">
      <c r="B101" s="14" t="s">
        <v>764</v>
      </c>
      <c r="C101" s="422"/>
      <c r="D101" s="422"/>
      <c r="E101" s="422"/>
      <c r="F101" s="422"/>
      <c r="G101" s="422"/>
      <c r="H101" s="422"/>
      <c r="I101" s="422"/>
      <c r="J101" s="422"/>
      <c r="K101" s="422"/>
      <c r="L101" s="422"/>
      <c r="M101" s="422"/>
      <c r="N101" s="778"/>
      <c r="O101" s="422"/>
      <c r="P101" s="422"/>
      <c r="Q101" s="422"/>
      <c r="R101" s="422"/>
      <c r="S101" s="422"/>
      <c r="T101" s="422"/>
      <c r="U101" s="422"/>
      <c r="V101" s="422"/>
      <c r="W101" s="422"/>
      <c r="X101" s="422"/>
      <c r="Y101" s="422"/>
      <c r="Z101" s="422"/>
      <c r="AA101" s="422"/>
      <c r="AB101" s="422"/>
    </row>
    <row r="102" spans="2:28" x14ac:dyDescent="0.25">
      <c r="B102" s="422"/>
      <c r="C102" s="422"/>
      <c r="D102" s="422"/>
      <c r="E102" s="422"/>
      <c r="F102" s="422"/>
      <c r="G102" s="422"/>
      <c r="H102" s="422"/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2"/>
      <c r="T102" s="422"/>
      <c r="U102" s="422"/>
      <c r="V102" s="422"/>
      <c r="W102" s="422"/>
      <c r="X102" s="422"/>
      <c r="Y102" s="422"/>
      <c r="Z102" s="422"/>
      <c r="AA102" s="422"/>
      <c r="AB102" s="422"/>
    </row>
    <row r="103" spans="2:28" ht="18.75" x14ac:dyDescent="0.25">
      <c r="B103" s="422" t="s">
        <v>633</v>
      </c>
      <c r="C103" s="37" t="s">
        <v>634</v>
      </c>
      <c r="D103" s="665">
        <f>D42*D45/2</f>
        <v>35.362273516587003</v>
      </c>
      <c r="E103" s="632"/>
      <c r="F103" s="422"/>
      <c r="G103" s="422"/>
      <c r="H103" s="422"/>
      <c r="I103" s="422"/>
      <c r="J103" s="422"/>
      <c r="K103" s="422"/>
      <c r="L103" s="422"/>
      <c r="M103" s="422"/>
      <c r="N103" s="422"/>
      <c r="O103" s="422"/>
      <c r="P103" s="422"/>
      <c r="Q103" s="422"/>
      <c r="R103" s="422"/>
      <c r="S103" s="422"/>
      <c r="T103" s="422"/>
      <c r="U103" s="422"/>
      <c r="V103" s="422"/>
      <c r="W103" s="422"/>
      <c r="X103" s="422"/>
      <c r="Y103" s="422"/>
      <c r="Z103" s="422"/>
      <c r="AA103" s="422"/>
      <c r="AB103" s="422"/>
    </row>
    <row r="104" spans="2:28" x14ac:dyDescent="0.25">
      <c r="B104" s="422"/>
      <c r="C104" s="422"/>
      <c r="D104" s="632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422"/>
      <c r="P104" s="422"/>
      <c r="Q104" s="422"/>
      <c r="R104" s="422"/>
      <c r="S104" s="422"/>
      <c r="T104" s="422"/>
      <c r="U104" s="422"/>
      <c r="V104" s="422"/>
      <c r="W104" s="422"/>
      <c r="X104" s="422"/>
      <c r="Y104" s="422"/>
      <c r="Z104" s="422"/>
      <c r="AA104" s="422"/>
      <c r="AB104" s="422"/>
    </row>
    <row r="105" spans="2:28" ht="18.75" x14ac:dyDescent="0.25">
      <c r="B105" s="422" t="s">
        <v>635</v>
      </c>
      <c r="C105" s="37" t="s">
        <v>304</v>
      </c>
      <c r="D105" s="965">
        <f>DATI!E238</f>
        <v>102000</v>
      </c>
      <c r="E105" s="965"/>
      <c r="F105" s="422"/>
      <c r="G105" s="422"/>
      <c r="H105" s="422"/>
      <c r="I105" s="422"/>
      <c r="J105" s="422"/>
      <c r="K105" s="422"/>
      <c r="L105" s="422"/>
      <c r="M105" s="422"/>
      <c r="N105" s="422"/>
      <c r="O105" s="422"/>
      <c r="P105" s="422"/>
      <c r="Q105" s="422"/>
      <c r="R105" s="422"/>
      <c r="S105" s="422"/>
      <c r="T105" s="422"/>
      <c r="U105" s="422"/>
      <c r="V105" s="422"/>
      <c r="W105" s="422"/>
      <c r="X105" s="422"/>
      <c r="Y105" s="422"/>
      <c r="Z105" s="422"/>
      <c r="AA105" s="422"/>
      <c r="AB105" s="422"/>
    </row>
    <row r="106" spans="2:28" x14ac:dyDescent="0.25">
      <c r="B106" s="422"/>
      <c r="C106" s="422"/>
      <c r="D106" s="632"/>
      <c r="E106" s="422"/>
      <c r="F106" s="422"/>
      <c r="G106" s="422"/>
      <c r="H106" s="422"/>
      <c r="I106" s="422"/>
      <c r="J106" s="422"/>
      <c r="K106" s="422"/>
      <c r="L106" s="422"/>
      <c r="M106" s="422"/>
      <c r="N106" s="422"/>
      <c r="O106" s="422"/>
      <c r="P106" s="422"/>
      <c r="Q106" s="422"/>
      <c r="R106" s="422"/>
      <c r="S106" s="422"/>
      <c r="T106" s="422"/>
      <c r="U106" s="422"/>
      <c r="V106" s="422"/>
      <c r="W106" s="422"/>
      <c r="X106" s="422"/>
      <c r="Y106" s="422"/>
      <c r="Z106" s="422"/>
      <c r="AA106" s="422"/>
      <c r="AB106" s="422"/>
    </row>
    <row r="107" spans="2:28" x14ac:dyDescent="0.25">
      <c r="B107" s="422"/>
      <c r="C107" s="422"/>
      <c r="D107" s="422"/>
      <c r="E107" s="422"/>
      <c r="F107" s="422"/>
      <c r="G107" s="422"/>
      <c r="H107" s="422"/>
      <c r="I107" s="422"/>
      <c r="J107" s="422"/>
      <c r="K107" s="422"/>
      <c r="L107" s="422"/>
      <c r="M107" s="422"/>
      <c r="N107" s="422"/>
      <c r="O107" s="422"/>
      <c r="P107" s="422"/>
      <c r="Q107" s="422"/>
      <c r="R107" s="422"/>
      <c r="S107" s="422"/>
      <c r="T107" s="422"/>
      <c r="U107" s="422"/>
      <c r="V107" s="422"/>
      <c r="W107" s="422"/>
      <c r="X107" s="422"/>
      <c r="Y107" s="422"/>
      <c r="Z107" s="422"/>
      <c r="AA107" s="422"/>
      <c r="AB107" s="422"/>
    </row>
    <row r="108" spans="2:28" ht="18.75" x14ac:dyDescent="0.25">
      <c r="B108" s="422"/>
      <c r="C108" s="38" t="s">
        <v>636</v>
      </c>
      <c r="D108" s="9">
        <f>(D105/(2*(1+0.15)))/(D39+D103*TAN($D$38*PI()/180))</f>
        <v>2006.9794817229217</v>
      </c>
      <c r="E108" s="422"/>
      <c r="F108" s="422"/>
      <c r="G108" s="422"/>
      <c r="H108" s="422"/>
      <c r="I108" s="422"/>
      <c r="J108" s="422"/>
      <c r="K108" s="422"/>
      <c r="L108" s="422"/>
      <c r="M108" s="422"/>
      <c r="N108" s="422"/>
      <c r="O108" s="422"/>
      <c r="P108" s="422"/>
      <c r="Q108" s="422"/>
      <c r="R108" s="422"/>
      <c r="S108" s="422"/>
      <c r="T108" s="422"/>
      <c r="U108" s="422"/>
      <c r="V108" s="422"/>
      <c r="W108" s="422"/>
      <c r="X108" s="422"/>
      <c r="Y108" s="422"/>
      <c r="Z108" s="422"/>
      <c r="AA108" s="422"/>
      <c r="AB108" s="422"/>
    </row>
    <row r="109" spans="2:28" x14ac:dyDescent="0.25">
      <c r="B109" s="422"/>
      <c r="C109" s="422"/>
      <c r="D109" s="422"/>
      <c r="E109" s="422"/>
      <c r="F109" s="422"/>
      <c r="G109" s="422"/>
      <c r="H109" s="422"/>
      <c r="I109" s="422"/>
      <c r="J109" s="422"/>
      <c r="K109" s="422"/>
      <c r="L109" s="422"/>
      <c r="M109" s="422"/>
      <c r="N109" s="422"/>
      <c r="O109" s="422"/>
      <c r="P109" s="422"/>
      <c r="Q109" s="422"/>
      <c r="R109" s="422"/>
      <c r="S109" s="422"/>
      <c r="T109" s="422"/>
      <c r="U109" s="422"/>
      <c r="V109" s="422"/>
      <c r="W109" s="422"/>
      <c r="X109" s="422"/>
      <c r="Y109" s="422"/>
      <c r="Z109" s="422"/>
      <c r="AA109" s="422"/>
      <c r="AB109" s="422"/>
    </row>
    <row r="110" spans="2:28" ht="18.75" x14ac:dyDescent="0.3">
      <c r="B110" s="422"/>
      <c r="C110" s="38" t="s">
        <v>637</v>
      </c>
      <c r="D110" s="422">
        <f>0.5*EXP(3.3-0.45*(I40/'FOGLIO DEPOSITO'!C108))*1/TAN(PI()/4-0.5*$D$38*PI()/180)</f>
        <v>16.437391156940578</v>
      </c>
      <c r="E110" s="422"/>
      <c r="F110" s="967" t="s">
        <v>732</v>
      </c>
      <c r="G110" s="967"/>
      <c r="H110" s="967"/>
      <c r="I110" s="964" t="str">
        <f>IF(D108&lt;D110,"PER PUNZONAMENTO (la verifica di capacità portante è stata modificata per tener conto del punzonamento del terreno)","GENERALE")</f>
        <v>GENERALE</v>
      </c>
      <c r="J110" s="964"/>
      <c r="K110" s="964"/>
      <c r="L110" s="422"/>
      <c r="M110" s="422"/>
      <c r="N110" s="422"/>
      <c r="O110" s="422"/>
      <c r="P110" s="422"/>
      <c r="Q110" s="422"/>
      <c r="R110" s="422"/>
      <c r="S110" s="422"/>
      <c r="T110" s="422"/>
      <c r="U110" s="422"/>
      <c r="V110" s="422"/>
      <c r="W110" s="422"/>
      <c r="X110" s="422"/>
      <c r="Y110" s="422"/>
      <c r="Z110" s="422"/>
      <c r="AA110" s="422"/>
      <c r="AB110" s="422"/>
    </row>
    <row r="111" spans="2:28" x14ac:dyDescent="0.25">
      <c r="B111" s="422"/>
      <c r="C111" s="422"/>
      <c r="D111" s="422"/>
      <c r="E111" s="422"/>
      <c r="F111" s="422"/>
      <c r="G111" s="422"/>
      <c r="H111" s="422"/>
      <c r="I111" s="422"/>
      <c r="J111" s="422"/>
      <c r="K111" s="422"/>
      <c r="L111" s="422"/>
      <c r="M111" s="422"/>
      <c r="N111" s="422"/>
      <c r="O111" s="422"/>
      <c r="P111" s="422"/>
      <c r="Q111" s="422"/>
      <c r="R111" s="422"/>
      <c r="S111" s="422"/>
      <c r="T111" s="422"/>
      <c r="U111" s="422"/>
      <c r="V111" s="422"/>
      <c r="W111" s="422"/>
      <c r="X111" s="422"/>
      <c r="Y111" s="422"/>
      <c r="Z111" s="422"/>
      <c r="AA111" s="422"/>
      <c r="AB111" s="422"/>
    </row>
    <row r="112" spans="2:28" x14ac:dyDescent="0.25">
      <c r="B112" s="422"/>
      <c r="C112" s="422"/>
      <c r="D112" s="422"/>
      <c r="E112" s="422"/>
      <c r="F112" s="422"/>
      <c r="G112" s="422"/>
      <c r="H112" s="422"/>
      <c r="I112" s="422"/>
      <c r="J112" s="422"/>
      <c r="K112" s="422"/>
      <c r="L112" s="422"/>
      <c r="M112" s="422"/>
      <c r="N112" s="422"/>
      <c r="O112" s="422"/>
      <c r="P112" s="422"/>
      <c r="Q112" s="422"/>
      <c r="R112" s="422"/>
      <c r="S112" s="422"/>
      <c r="T112" s="422"/>
      <c r="U112" s="422"/>
      <c r="V112" s="422"/>
      <c r="W112" s="422"/>
      <c r="X112" s="422"/>
      <c r="Y112" s="422"/>
      <c r="Z112" s="422"/>
      <c r="AA112" s="422"/>
      <c r="AB112" s="422"/>
    </row>
    <row r="113" spans="2:28" ht="15.75" x14ac:dyDescent="0.25">
      <c r="B113" s="14" t="s">
        <v>765</v>
      </c>
      <c r="C113" s="422"/>
      <c r="D113" s="422"/>
      <c r="E113" s="422"/>
      <c r="F113" s="422"/>
      <c r="G113" s="422"/>
      <c r="H113" s="422"/>
      <c r="I113" s="422"/>
      <c r="J113" s="422"/>
      <c r="K113" s="422"/>
      <c r="L113" s="422"/>
      <c r="M113" s="422"/>
      <c r="N113" s="422"/>
      <c r="O113" s="422"/>
      <c r="P113" s="422"/>
      <c r="Q113" s="422"/>
      <c r="R113" s="422"/>
      <c r="S113" s="422"/>
      <c r="T113" s="422"/>
      <c r="U113" s="422"/>
      <c r="V113" s="422"/>
      <c r="W113" s="422"/>
      <c r="X113" s="422"/>
      <c r="Y113" s="422"/>
      <c r="Z113" s="422"/>
      <c r="AA113" s="422"/>
      <c r="AB113" s="422"/>
    </row>
    <row r="114" spans="2:28" x14ac:dyDescent="0.25">
      <c r="B114" s="422"/>
      <c r="C114" s="422"/>
      <c r="D114" s="422"/>
      <c r="E114" s="422"/>
      <c r="F114" s="422"/>
      <c r="G114" s="422"/>
      <c r="H114" s="422"/>
      <c r="I114" s="422"/>
      <c r="J114" s="422"/>
      <c r="K114" s="422"/>
      <c r="L114" s="422"/>
      <c r="M114" s="422"/>
      <c r="N114" s="422"/>
      <c r="O114" s="422"/>
      <c r="P114" s="422"/>
      <c r="Q114" s="422"/>
      <c r="R114" s="422"/>
      <c r="S114" s="422"/>
      <c r="T114" s="422"/>
      <c r="U114" s="422"/>
      <c r="V114" s="422"/>
      <c r="W114" s="422"/>
      <c r="X114" s="422"/>
      <c r="Y114" s="422"/>
      <c r="Z114" s="422"/>
      <c r="AA114" s="422"/>
      <c r="AB114" s="422"/>
    </row>
    <row r="115" spans="2:28" x14ac:dyDescent="0.25">
      <c r="B115" s="422"/>
      <c r="C115" s="422"/>
      <c r="D115" s="422"/>
      <c r="E115" s="422"/>
      <c r="F115" s="422"/>
      <c r="G115" s="422"/>
      <c r="H115" s="422"/>
      <c r="I115" s="422"/>
      <c r="J115" s="422" t="s">
        <v>638</v>
      </c>
      <c r="K115" s="422"/>
      <c r="L115" s="422"/>
      <c r="M115" s="422"/>
      <c r="N115" s="422"/>
      <c r="O115" s="422"/>
      <c r="P115" s="422"/>
      <c r="Q115" s="422"/>
      <c r="R115" s="422"/>
      <c r="S115" s="422"/>
      <c r="T115" s="422"/>
      <c r="U115" s="422"/>
      <c r="V115" s="422"/>
      <c r="W115" s="422"/>
      <c r="X115" s="422"/>
      <c r="Y115" s="422"/>
      <c r="Z115" s="422"/>
      <c r="AA115" s="422"/>
      <c r="AB115" s="422"/>
    </row>
    <row r="116" spans="2:28" x14ac:dyDescent="0.25">
      <c r="B116" s="422"/>
      <c r="C116" s="422"/>
      <c r="D116" s="422"/>
      <c r="E116" s="422"/>
      <c r="F116" s="422"/>
      <c r="G116" s="422"/>
      <c r="H116" s="422"/>
      <c r="I116" s="422"/>
      <c r="J116" s="422" t="s">
        <v>639</v>
      </c>
      <c r="K116" s="422"/>
      <c r="L116" s="422"/>
      <c r="M116" s="422"/>
      <c r="N116" s="422"/>
      <c r="O116" s="422"/>
      <c r="P116" s="422"/>
      <c r="Q116" s="422"/>
      <c r="R116" s="422"/>
      <c r="S116" s="422"/>
      <c r="T116" s="422"/>
      <c r="U116" s="422"/>
      <c r="V116" s="422"/>
      <c r="W116" s="422"/>
      <c r="X116" s="422"/>
      <c r="Y116" s="422"/>
      <c r="Z116" s="422"/>
      <c r="AA116" s="422"/>
      <c r="AB116" s="422"/>
    </row>
    <row r="117" spans="2:28" x14ac:dyDescent="0.25">
      <c r="B117" s="422"/>
      <c r="C117" s="422"/>
      <c r="D117" s="422"/>
      <c r="E117" s="422"/>
      <c r="F117" s="422"/>
      <c r="G117" s="422"/>
      <c r="H117" s="422"/>
      <c r="I117" s="422"/>
      <c r="J117" s="422" t="s">
        <v>640</v>
      </c>
      <c r="K117" s="422"/>
      <c r="L117" s="422"/>
      <c r="M117" s="422"/>
      <c r="N117" s="422"/>
      <c r="O117" s="422"/>
      <c r="P117" s="422"/>
      <c r="Q117" s="422"/>
      <c r="R117" s="422"/>
      <c r="S117" s="422"/>
      <c r="T117" s="422"/>
      <c r="U117" s="422"/>
      <c r="V117" s="422"/>
      <c r="W117" s="422"/>
      <c r="X117" s="422"/>
      <c r="Y117" s="422"/>
      <c r="Z117" s="422"/>
      <c r="AA117" s="422"/>
      <c r="AB117" s="422"/>
    </row>
    <row r="118" spans="2:28" x14ac:dyDescent="0.25">
      <c r="B118" s="422"/>
      <c r="C118" s="422"/>
      <c r="D118" s="422"/>
      <c r="E118" s="422"/>
      <c r="F118" s="422"/>
      <c r="G118" s="422"/>
      <c r="H118" s="422"/>
      <c r="I118" s="422"/>
      <c r="J118" s="422" t="s">
        <v>641</v>
      </c>
      <c r="K118" s="422"/>
      <c r="L118" s="422"/>
      <c r="M118" s="422"/>
      <c r="N118" s="422"/>
      <c r="O118" s="422"/>
      <c r="P118" s="422"/>
      <c r="Q118" s="422"/>
      <c r="R118" s="422"/>
      <c r="S118" s="422"/>
      <c r="T118" s="422"/>
      <c r="U118" s="422"/>
      <c r="V118" s="422"/>
      <c r="W118" s="422"/>
      <c r="X118" s="422"/>
      <c r="Y118" s="422"/>
      <c r="Z118" s="422"/>
      <c r="AA118" s="422"/>
      <c r="AB118" s="422"/>
    </row>
    <row r="119" spans="2:28" ht="15.75" thickBot="1" x14ac:dyDescent="0.3">
      <c r="B119" s="422"/>
      <c r="C119" s="422"/>
      <c r="D119" s="422"/>
      <c r="E119" s="422"/>
      <c r="F119" s="422"/>
      <c r="G119" s="422"/>
      <c r="H119" s="422"/>
      <c r="I119" s="422"/>
      <c r="J119" s="422"/>
      <c r="K119" s="422"/>
      <c r="L119" s="422"/>
      <c r="M119" s="422"/>
      <c r="N119" s="422"/>
      <c r="O119" s="422"/>
      <c r="P119" s="422"/>
      <c r="Q119" s="422"/>
      <c r="R119" s="422"/>
      <c r="S119" s="422"/>
      <c r="T119" s="422"/>
      <c r="U119" s="422"/>
      <c r="V119" s="422"/>
      <c r="W119" s="422"/>
      <c r="X119" s="422"/>
      <c r="Y119" s="422"/>
      <c r="Z119" s="422"/>
      <c r="AA119" s="422"/>
      <c r="AB119" s="422"/>
    </row>
    <row r="120" spans="2:28" ht="16.5" thickTop="1" thickBot="1" x14ac:dyDescent="0.3">
      <c r="B120" s="422"/>
      <c r="C120" s="422"/>
      <c r="D120" s="422"/>
      <c r="E120" s="422"/>
      <c r="F120" s="422"/>
      <c r="G120" s="422"/>
      <c r="H120" s="422"/>
      <c r="I120" s="422"/>
      <c r="J120" s="801" t="s">
        <v>642</v>
      </c>
      <c r="K120" s="801"/>
      <c r="L120" s="801"/>
      <c r="M120" s="961"/>
      <c r="N120" s="411">
        <v>80</v>
      </c>
      <c r="O120" s="63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  <c r="AA120" s="422"/>
      <c r="AB120" s="422"/>
    </row>
    <row r="121" spans="2:28" ht="15.75" thickTop="1" x14ac:dyDescent="0.25">
      <c r="B121" s="422"/>
      <c r="C121" s="422"/>
      <c r="D121" s="422"/>
      <c r="E121" s="422"/>
      <c r="F121" s="422"/>
      <c r="G121" s="422"/>
      <c r="H121" s="422"/>
      <c r="I121" s="422"/>
      <c r="J121" s="422"/>
      <c r="K121" s="422"/>
      <c r="L121" s="422"/>
      <c r="M121" s="422"/>
      <c r="N121" s="422"/>
      <c r="O121" s="422"/>
      <c r="P121" s="422"/>
      <c r="Q121" s="422"/>
      <c r="R121" s="422"/>
      <c r="S121" s="422"/>
      <c r="T121" s="422"/>
      <c r="U121" s="422"/>
      <c r="V121" s="422"/>
      <c r="W121" s="422"/>
      <c r="X121" s="422"/>
      <c r="Y121" s="422"/>
      <c r="Z121" s="422"/>
      <c r="AA121" s="422"/>
      <c r="AB121" s="422"/>
    </row>
    <row r="122" spans="2:28" x14ac:dyDescent="0.25">
      <c r="B122" s="422"/>
      <c r="C122" s="422"/>
      <c r="D122" s="422"/>
      <c r="E122" s="422"/>
      <c r="F122" s="422"/>
      <c r="G122" s="422"/>
      <c r="H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  <c r="Y122" s="422"/>
      <c r="Z122" s="422"/>
      <c r="AA122" s="422"/>
      <c r="AB122" s="422"/>
    </row>
    <row r="123" spans="2:28" x14ac:dyDescent="0.25">
      <c r="B123" s="422"/>
      <c r="C123" s="422"/>
      <c r="D123" s="422"/>
      <c r="E123" s="422"/>
      <c r="F123" s="422"/>
      <c r="G123" s="422"/>
      <c r="H123" s="422"/>
      <c r="I123" s="422"/>
      <c r="J123" s="960" t="s">
        <v>643</v>
      </c>
      <c r="K123" s="960"/>
      <c r="L123" s="960"/>
      <c r="M123" s="423" t="s">
        <v>590</v>
      </c>
      <c r="N123" s="33">
        <f>ATAN(N126*TAN(ATAN(TAN(DATI!E245*PI()/180)/DATI!E268)))*180/PI()</f>
        <v>31.741791127841804</v>
      </c>
      <c r="O123" s="632"/>
      <c r="P123" s="422"/>
      <c r="Q123" s="422"/>
      <c r="R123" s="422"/>
      <c r="S123" s="422"/>
      <c r="T123" s="422"/>
      <c r="U123" s="422"/>
      <c r="V123" s="422"/>
      <c r="W123" s="422"/>
      <c r="X123" s="422"/>
      <c r="Y123" s="422"/>
      <c r="Z123" s="422"/>
      <c r="AA123" s="422"/>
      <c r="AB123" s="422"/>
    </row>
    <row r="124" spans="2:28" x14ac:dyDescent="0.25">
      <c r="B124" s="422"/>
      <c r="C124" s="422"/>
      <c r="D124" s="422"/>
      <c r="E124" s="422"/>
      <c r="F124" s="422"/>
      <c r="G124" s="422"/>
      <c r="H124" s="422"/>
      <c r="I124" s="422"/>
      <c r="J124" s="960" t="s">
        <v>644</v>
      </c>
      <c r="K124" s="960"/>
      <c r="L124" s="960"/>
      <c r="M124" s="624" t="s">
        <v>593</v>
      </c>
      <c r="N124" s="665">
        <f>DATI!E246/DATI!E269*N126</f>
        <v>0</v>
      </c>
      <c r="O124" s="632"/>
      <c r="P124" s="422"/>
      <c r="Q124" s="422"/>
      <c r="R124" s="422"/>
      <c r="S124" s="422"/>
      <c r="T124" s="422"/>
      <c r="U124" s="422"/>
      <c r="V124" s="422"/>
      <c r="W124" s="422"/>
      <c r="X124" s="422"/>
      <c r="Y124" s="422"/>
      <c r="Z124" s="422"/>
      <c r="AA124" s="422"/>
      <c r="AB124" s="422"/>
    </row>
    <row r="125" spans="2:28" x14ac:dyDescent="0.25">
      <c r="B125" s="422"/>
      <c r="C125" s="422"/>
      <c r="D125" s="422"/>
      <c r="E125" s="422"/>
      <c r="F125" s="422"/>
      <c r="G125" s="422"/>
      <c r="H125" s="422"/>
      <c r="I125" s="422"/>
      <c r="J125" s="422"/>
      <c r="K125" s="422"/>
      <c r="L125" s="422"/>
      <c r="M125" s="422"/>
      <c r="N125" s="422"/>
      <c r="O125" s="422"/>
      <c r="P125" s="422"/>
      <c r="Q125" s="422"/>
      <c r="R125" s="422"/>
      <c r="S125" s="422"/>
      <c r="T125" s="422"/>
      <c r="U125" s="422"/>
      <c r="V125" s="422"/>
      <c r="W125" s="422"/>
      <c r="X125" s="422"/>
      <c r="Y125" s="422"/>
      <c r="Z125" s="422"/>
      <c r="AA125" s="422"/>
      <c r="AB125" s="422"/>
    </row>
    <row r="126" spans="2:28" x14ac:dyDescent="0.25">
      <c r="B126" s="422"/>
      <c r="C126" s="422"/>
      <c r="D126" s="422"/>
      <c r="E126" s="422"/>
      <c r="F126" s="422"/>
      <c r="G126" s="422"/>
      <c r="H126" s="422"/>
      <c r="I126" s="422"/>
      <c r="J126" s="960" t="s">
        <v>645</v>
      </c>
      <c r="K126" s="960"/>
      <c r="L126" s="960"/>
      <c r="M126" s="624" t="s">
        <v>646</v>
      </c>
      <c r="N126" s="39">
        <f>0.67+(N120/100)-0.75*(N120/100)^2</f>
        <v>0.9900000000000001</v>
      </c>
      <c r="O126" s="632" t="s">
        <v>19</v>
      </c>
      <c r="P126" s="422"/>
      <c r="Q126" s="422"/>
      <c r="R126" s="422"/>
      <c r="S126" s="422"/>
      <c r="T126" s="422"/>
      <c r="U126" s="422"/>
      <c r="V126" s="422"/>
      <c r="W126" s="422"/>
      <c r="X126" s="422"/>
      <c r="Y126" s="422"/>
      <c r="Z126" s="422"/>
      <c r="AA126" s="422"/>
      <c r="AB126" s="422"/>
    </row>
    <row r="127" spans="2:28" x14ac:dyDescent="0.25">
      <c r="B127" s="422"/>
      <c r="C127" s="422"/>
      <c r="D127" s="422"/>
      <c r="E127" s="422"/>
      <c r="F127" s="422"/>
      <c r="G127" s="422"/>
      <c r="H127" s="422"/>
      <c r="I127" s="422"/>
      <c r="J127" s="960" t="s">
        <v>603</v>
      </c>
      <c r="K127" s="960"/>
      <c r="L127" s="960"/>
      <c r="M127" s="422"/>
      <c r="N127" s="422"/>
      <c r="O127" s="422"/>
      <c r="P127" s="422"/>
      <c r="Q127" s="422"/>
      <c r="R127" s="422"/>
      <c r="S127" s="422"/>
      <c r="T127" s="422"/>
      <c r="U127" s="422"/>
      <c r="V127" s="422"/>
      <c r="W127" s="422"/>
      <c r="X127" s="422"/>
      <c r="Y127" s="422"/>
      <c r="Z127" s="422"/>
      <c r="AA127" s="422"/>
      <c r="AB127" s="422"/>
    </row>
    <row r="128" spans="2:28" ht="15.75" thickBot="1" x14ac:dyDescent="0.3">
      <c r="B128" s="422"/>
      <c r="C128" s="422"/>
      <c r="D128" s="422"/>
      <c r="E128" s="422"/>
      <c r="F128" s="422"/>
      <c r="G128" s="422"/>
      <c r="H128" s="422"/>
      <c r="I128" s="422"/>
      <c r="J128" s="422"/>
      <c r="K128" s="422"/>
      <c r="L128" s="422"/>
      <c r="M128" s="422"/>
      <c r="N128" s="422"/>
      <c r="O128" s="422"/>
      <c r="P128" s="422"/>
      <c r="Q128" s="422"/>
      <c r="R128" s="422"/>
      <c r="S128" s="422"/>
      <c r="T128" s="422"/>
      <c r="U128" s="422"/>
      <c r="V128" s="422"/>
      <c r="W128" s="422"/>
      <c r="X128" s="422"/>
      <c r="Y128" s="422"/>
      <c r="Z128" s="422"/>
      <c r="AA128" s="422"/>
      <c r="AB128" s="422"/>
    </row>
    <row r="129" spans="2:28" ht="16.5" customHeight="1" thickTop="1" thickBot="1" x14ac:dyDescent="0.3">
      <c r="B129" s="422"/>
      <c r="C129" s="422"/>
      <c r="D129" s="422"/>
      <c r="E129" s="422"/>
      <c r="F129" s="422"/>
      <c r="G129" s="422"/>
      <c r="H129" s="422"/>
      <c r="I129" s="422"/>
      <c r="J129" s="801" t="s">
        <v>1103</v>
      </c>
      <c r="K129" s="801"/>
      <c r="L129" s="801"/>
      <c r="M129" s="961"/>
      <c r="N129" s="66" t="s">
        <v>158</v>
      </c>
      <c r="O129" s="962" t="str">
        <f>IF(N129="SI","Ho inserito i parametri modificati,torna sopra alla verifica per rottura generale e controlla il risultato","")</f>
        <v/>
      </c>
      <c r="P129" s="962"/>
      <c r="Q129" s="962"/>
      <c r="R129" s="422"/>
      <c r="S129" s="422"/>
      <c r="T129" s="422"/>
      <c r="U129" s="422"/>
      <c r="V129" s="422"/>
      <c r="W129" s="422"/>
      <c r="X129" s="422"/>
      <c r="Y129" s="422"/>
      <c r="Z129" s="422"/>
      <c r="AA129" s="422"/>
      <c r="AB129" s="422"/>
    </row>
    <row r="130" spans="2:28" ht="16.5" thickTop="1" x14ac:dyDescent="0.25">
      <c r="B130" s="422"/>
      <c r="C130" s="422"/>
      <c r="D130" s="422"/>
      <c r="E130" s="422"/>
      <c r="F130" s="422"/>
      <c r="G130" s="422"/>
      <c r="H130" s="422"/>
      <c r="I130" s="422"/>
      <c r="J130" s="422"/>
      <c r="K130" s="14" t="str">
        <f>IF(N129="si","",IF(N129="no",""," Inserisci  si oppure no!"))</f>
        <v/>
      </c>
      <c r="L130" s="422"/>
      <c r="M130" s="422"/>
      <c r="N130" s="422"/>
      <c r="O130" s="962"/>
      <c r="P130" s="962"/>
      <c r="Q130" s="962"/>
      <c r="R130" s="422"/>
      <c r="S130" s="422"/>
      <c r="T130" s="422"/>
      <c r="U130" s="422"/>
      <c r="V130" s="422"/>
      <c r="W130" s="422"/>
      <c r="X130" s="422"/>
      <c r="Y130" s="422"/>
      <c r="Z130" s="422"/>
      <c r="AA130" s="422"/>
      <c r="AB130" s="422"/>
    </row>
    <row r="131" spans="2:28" x14ac:dyDescent="0.25">
      <c r="B131" s="422"/>
      <c r="C131" s="422"/>
      <c r="D131" s="422"/>
      <c r="E131" s="422"/>
      <c r="F131" s="422"/>
      <c r="G131" s="422"/>
      <c r="H131" s="422"/>
      <c r="I131" s="422"/>
      <c r="J131" s="422"/>
      <c r="K131" s="422"/>
      <c r="L131" s="422"/>
      <c r="M131" s="422"/>
      <c r="N131" s="422"/>
      <c r="O131" s="962"/>
      <c r="P131" s="962"/>
      <c r="Q131" s="962"/>
      <c r="R131" s="422"/>
      <c r="S131" s="422"/>
      <c r="T131" s="422"/>
      <c r="U131" s="422"/>
      <c r="V131" s="422"/>
      <c r="W131" s="422"/>
      <c r="X131" s="422"/>
      <c r="Y131" s="422"/>
      <c r="Z131" s="422"/>
      <c r="AA131" s="422"/>
      <c r="AB131" s="422"/>
    </row>
    <row r="132" spans="2:28" x14ac:dyDescent="0.25">
      <c r="B132" s="422"/>
      <c r="C132" s="422"/>
      <c r="D132" s="422"/>
      <c r="E132" s="422"/>
      <c r="F132" s="422"/>
      <c r="G132" s="422"/>
      <c r="H132" s="422"/>
      <c r="I132" s="422"/>
      <c r="J132" s="422"/>
      <c r="K132" s="422"/>
      <c r="L132" s="422"/>
      <c r="M132" s="422"/>
      <c r="N132" s="422"/>
      <c r="O132" s="962"/>
      <c r="P132" s="962"/>
      <c r="Q132" s="962"/>
      <c r="R132" s="422"/>
      <c r="S132" s="422"/>
      <c r="T132" s="422"/>
      <c r="U132" s="422"/>
      <c r="V132" s="422"/>
      <c r="W132" s="422"/>
      <c r="X132" s="422"/>
      <c r="Y132" s="422"/>
      <c r="Z132" s="422"/>
      <c r="AA132" s="422"/>
      <c r="AB132" s="422"/>
    </row>
    <row r="133" spans="2:28" x14ac:dyDescent="0.25">
      <c r="B133" s="422"/>
      <c r="C133" s="422"/>
      <c r="D133" s="422"/>
      <c r="E133" s="422"/>
      <c r="F133" s="422"/>
      <c r="G133" s="422" t="s">
        <v>647</v>
      </c>
      <c r="H133" s="422"/>
      <c r="I133" s="422"/>
      <c r="J133" s="422"/>
      <c r="K133" s="422"/>
      <c r="L133" s="422"/>
      <c r="M133" s="422"/>
      <c r="N133" s="422"/>
      <c r="O133" s="40"/>
      <c r="P133" s="40"/>
      <c r="Q133" s="40"/>
      <c r="R133" s="422"/>
      <c r="S133" s="422"/>
      <c r="T133" s="422"/>
      <c r="U133" s="422"/>
      <c r="V133" s="422"/>
      <c r="W133" s="422"/>
      <c r="X133" s="422"/>
      <c r="Y133" s="422"/>
      <c r="Z133" s="422"/>
      <c r="AA133" s="422"/>
      <c r="AB133" s="422"/>
    </row>
    <row r="134" spans="2:28" x14ac:dyDescent="0.25">
      <c r="B134" s="422"/>
      <c r="C134" s="422"/>
      <c r="D134" s="422"/>
      <c r="E134" s="422"/>
      <c r="F134" s="422"/>
      <c r="G134" s="422"/>
      <c r="H134" s="422"/>
      <c r="I134" s="422"/>
      <c r="J134" s="422"/>
      <c r="K134" s="422"/>
      <c r="L134" s="422"/>
      <c r="M134" s="422"/>
      <c r="N134" s="422"/>
      <c r="O134" s="40"/>
      <c r="P134" s="40"/>
      <c r="Q134" s="40"/>
      <c r="R134" s="422"/>
      <c r="S134" s="422"/>
      <c r="T134" s="422"/>
      <c r="U134" s="422"/>
      <c r="V134" s="422"/>
      <c r="W134" s="422"/>
      <c r="X134" s="422"/>
      <c r="Y134" s="422"/>
      <c r="Z134" s="422"/>
      <c r="AA134" s="422"/>
      <c r="AB134" s="422"/>
    </row>
    <row r="135" spans="2:28" x14ac:dyDescent="0.25">
      <c r="B135" s="422"/>
      <c r="C135" s="422"/>
      <c r="D135" s="422"/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  <c r="O135" s="40"/>
      <c r="P135" s="40"/>
      <c r="Q135" s="40"/>
      <c r="R135" s="422"/>
      <c r="S135" s="422"/>
      <c r="T135" s="422"/>
      <c r="U135" s="422"/>
      <c r="V135" s="422"/>
      <c r="W135" s="422"/>
      <c r="X135" s="422"/>
      <c r="Y135" s="422"/>
      <c r="Z135" s="422"/>
      <c r="AA135" s="422"/>
      <c r="AB135" s="422"/>
    </row>
    <row r="136" spans="2:28" x14ac:dyDescent="0.25">
      <c r="B136" s="422"/>
      <c r="C136" s="422"/>
      <c r="D136" s="422"/>
      <c r="E136" s="422"/>
      <c r="F136" s="422"/>
      <c r="G136" s="422"/>
      <c r="H136" s="422"/>
      <c r="I136" s="422"/>
      <c r="J136" s="422"/>
      <c r="K136" s="422"/>
      <c r="L136" s="422"/>
      <c r="M136" s="422"/>
      <c r="N136" s="422"/>
      <c r="O136" s="422"/>
      <c r="P136" s="422"/>
      <c r="Q136" s="422"/>
      <c r="R136" s="422"/>
      <c r="S136" s="422"/>
      <c r="T136" s="422"/>
      <c r="U136" s="422"/>
      <c r="V136" s="422"/>
      <c r="W136" s="422"/>
      <c r="X136" s="422"/>
      <c r="Y136" s="422"/>
      <c r="Z136" s="422"/>
      <c r="AA136" s="422"/>
      <c r="AB136" s="422"/>
    </row>
    <row r="137" spans="2:28" x14ac:dyDescent="0.25">
      <c r="B137" s="422"/>
      <c r="C137" s="422"/>
      <c r="D137" s="422"/>
      <c r="E137" s="422"/>
      <c r="F137" s="422"/>
      <c r="G137" s="422"/>
      <c r="H137" s="422"/>
      <c r="I137" s="422"/>
      <c r="J137" s="422"/>
      <c r="K137" s="422"/>
      <c r="L137" s="422"/>
      <c r="M137" s="422"/>
      <c r="N137" s="422"/>
      <c r="O137" s="422"/>
      <c r="P137" s="422"/>
      <c r="Q137" s="422"/>
      <c r="R137" s="422"/>
      <c r="S137" s="422"/>
      <c r="T137" s="422"/>
      <c r="U137" s="422"/>
      <c r="V137" s="422"/>
      <c r="W137" s="422"/>
      <c r="X137" s="422"/>
      <c r="Y137" s="422"/>
      <c r="Z137" s="422"/>
      <c r="AA137" s="422"/>
      <c r="AB137" s="422"/>
    </row>
    <row r="138" spans="2:28" x14ac:dyDescent="0.25">
      <c r="B138" s="422"/>
      <c r="C138" s="422"/>
      <c r="D138" s="422"/>
      <c r="E138" s="422"/>
      <c r="F138" s="422"/>
      <c r="G138" s="422"/>
      <c r="H138" s="422"/>
      <c r="I138" s="422"/>
      <c r="J138" s="422"/>
      <c r="K138" s="422"/>
      <c r="L138" s="422"/>
      <c r="M138" s="422"/>
      <c r="N138" s="422"/>
      <c r="O138" s="422"/>
      <c r="P138" s="422"/>
      <c r="Q138" s="422"/>
      <c r="R138" s="422"/>
      <c r="S138" s="422"/>
      <c r="T138" s="422"/>
      <c r="U138" s="422"/>
      <c r="V138" s="422"/>
      <c r="W138" s="422"/>
      <c r="X138" s="422"/>
      <c r="Y138" s="422"/>
      <c r="Z138" s="422"/>
      <c r="AA138" s="422"/>
      <c r="AB138" s="422"/>
    </row>
    <row r="139" spans="2:28" x14ac:dyDescent="0.25">
      <c r="B139" s="422"/>
      <c r="C139" s="422"/>
      <c r="D139" s="422"/>
      <c r="E139" s="422"/>
      <c r="F139" s="422"/>
      <c r="G139" s="422"/>
      <c r="H139" s="422"/>
      <c r="I139" s="422"/>
      <c r="J139" s="422"/>
      <c r="K139" s="422"/>
      <c r="L139" s="422"/>
      <c r="M139" s="422"/>
      <c r="N139" s="422"/>
      <c r="O139" s="422"/>
      <c r="P139" s="422"/>
      <c r="Q139" s="422"/>
      <c r="R139" s="422"/>
      <c r="S139" s="422"/>
      <c r="T139" s="422"/>
      <c r="U139" s="422"/>
      <c r="V139" s="422"/>
      <c r="W139" s="422"/>
      <c r="X139" s="422"/>
      <c r="Y139" s="422"/>
      <c r="Z139" s="422"/>
      <c r="AA139" s="422"/>
      <c r="AB139" s="422"/>
    </row>
    <row r="140" spans="2:28" x14ac:dyDescent="0.25">
      <c r="B140" s="422"/>
      <c r="C140" s="422"/>
      <c r="D140" s="422"/>
      <c r="E140" s="422"/>
      <c r="F140" s="422"/>
      <c r="G140" s="422"/>
      <c r="H140" s="422"/>
      <c r="I140" s="422"/>
      <c r="J140" s="422"/>
      <c r="K140" s="422"/>
      <c r="L140" s="422"/>
      <c r="M140" s="422"/>
      <c r="N140" s="422"/>
      <c r="O140" s="422"/>
      <c r="P140" s="422"/>
      <c r="Q140" s="422"/>
      <c r="R140" s="422"/>
      <c r="S140" s="422"/>
      <c r="T140" s="422"/>
      <c r="U140" s="422"/>
      <c r="V140" s="422"/>
      <c r="W140" s="422"/>
      <c r="X140" s="422"/>
      <c r="Y140" s="422"/>
      <c r="Z140" s="422"/>
      <c r="AA140" s="422"/>
      <c r="AB140" s="422"/>
    </row>
    <row r="141" spans="2:28" x14ac:dyDescent="0.25">
      <c r="B141" s="422"/>
      <c r="C141" s="422"/>
      <c r="D141" s="422"/>
      <c r="E141" s="422"/>
      <c r="F141" s="422"/>
      <c r="G141" s="422"/>
      <c r="H141" s="422"/>
      <c r="I141" s="422"/>
      <c r="J141" s="422"/>
      <c r="K141" s="422"/>
      <c r="L141" s="422"/>
      <c r="M141" s="422"/>
      <c r="N141" s="422"/>
      <c r="O141" s="422"/>
      <c r="P141" s="422"/>
      <c r="Q141" s="422"/>
      <c r="R141" s="422"/>
      <c r="S141" s="422"/>
      <c r="T141" s="422"/>
      <c r="U141" s="422"/>
      <c r="V141" s="422"/>
      <c r="W141" s="422"/>
      <c r="X141" s="422"/>
      <c r="Y141" s="422"/>
      <c r="Z141" s="422"/>
      <c r="AA141" s="422"/>
      <c r="AB141" s="422"/>
    </row>
    <row r="142" spans="2:28" x14ac:dyDescent="0.25">
      <c r="B142" s="422"/>
      <c r="C142" s="422"/>
      <c r="D142" s="422"/>
      <c r="E142" s="422"/>
      <c r="F142" s="422"/>
      <c r="G142" s="422"/>
      <c r="H142" s="422"/>
      <c r="I142" s="422"/>
      <c r="J142" s="422"/>
      <c r="K142" s="422"/>
      <c r="L142" s="422"/>
      <c r="M142" s="422"/>
      <c r="N142" s="422"/>
      <c r="O142" s="422"/>
      <c r="P142" s="422"/>
      <c r="Q142" s="422"/>
      <c r="R142" s="422"/>
      <c r="S142" s="422"/>
      <c r="T142" s="422"/>
      <c r="U142" s="422"/>
      <c r="V142" s="422"/>
      <c r="W142" s="422"/>
      <c r="X142" s="422"/>
      <c r="Y142" s="422"/>
      <c r="Z142" s="422"/>
      <c r="AA142" s="422"/>
      <c r="AB142" s="422"/>
    </row>
    <row r="143" spans="2:28" x14ac:dyDescent="0.25">
      <c r="B143" s="422"/>
      <c r="C143" s="422"/>
      <c r="D143" s="422"/>
      <c r="E143" s="422"/>
      <c r="F143" s="422"/>
      <c r="G143" s="422"/>
      <c r="H143" s="422"/>
      <c r="I143" s="422"/>
      <c r="J143" s="422"/>
      <c r="K143" s="422"/>
      <c r="L143" s="422"/>
      <c r="M143" s="422"/>
      <c r="N143" s="422"/>
      <c r="O143" s="422"/>
      <c r="P143" s="422"/>
      <c r="Q143" s="422"/>
      <c r="R143" s="422"/>
      <c r="S143" s="422"/>
      <c r="T143" s="422"/>
      <c r="U143" s="422"/>
      <c r="V143" s="422"/>
      <c r="W143" s="422"/>
      <c r="X143" s="422"/>
      <c r="Y143" s="422"/>
      <c r="Z143" s="422"/>
      <c r="AA143" s="422"/>
      <c r="AB143" s="422"/>
    </row>
    <row r="144" spans="2:28" x14ac:dyDescent="0.25">
      <c r="B144" s="422"/>
      <c r="C144" s="422"/>
      <c r="D144" s="422"/>
      <c r="E144" s="422"/>
      <c r="F144" s="422"/>
      <c r="G144" s="422"/>
      <c r="H144" s="422"/>
      <c r="I144" s="422"/>
      <c r="J144" s="422"/>
      <c r="K144" s="422"/>
      <c r="L144" s="422"/>
      <c r="M144" s="422"/>
      <c r="N144" s="422"/>
      <c r="O144" s="422"/>
      <c r="P144" s="422"/>
      <c r="Q144" s="422"/>
      <c r="R144" s="422"/>
      <c r="S144" s="422"/>
      <c r="T144" s="422"/>
      <c r="U144" s="422"/>
      <c r="V144" s="422"/>
      <c r="W144" s="422"/>
      <c r="X144" s="422"/>
      <c r="Y144" s="422"/>
      <c r="Z144" s="422"/>
      <c r="AA144" s="422"/>
      <c r="AB144" s="422"/>
    </row>
    <row r="145" spans="2:28" x14ac:dyDescent="0.25">
      <c r="B145" s="422"/>
      <c r="C145" s="422"/>
      <c r="D145" s="422"/>
      <c r="E145" s="422"/>
      <c r="F145" s="422"/>
      <c r="G145" s="422"/>
      <c r="H145" s="422"/>
      <c r="I145" s="422"/>
      <c r="J145" s="422"/>
      <c r="K145" s="422"/>
      <c r="L145" s="422"/>
      <c r="M145" s="422"/>
      <c r="N145" s="422"/>
      <c r="O145" s="422"/>
      <c r="P145" s="422"/>
      <c r="Q145" s="422"/>
      <c r="R145" s="422"/>
      <c r="S145" s="422"/>
      <c r="T145" s="422"/>
      <c r="U145" s="422"/>
      <c r="V145" s="422"/>
      <c r="W145" s="422"/>
      <c r="X145" s="422"/>
      <c r="Y145" s="422"/>
      <c r="Z145" s="422"/>
      <c r="AA145" s="422"/>
      <c r="AB145" s="422"/>
    </row>
    <row r="146" spans="2:28" x14ac:dyDescent="0.25">
      <c r="B146" s="422"/>
      <c r="C146" s="422"/>
      <c r="D146" s="422"/>
      <c r="E146" s="422"/>
      <c r="F146" s="422"/>
      <c r="G146" s="422"/>
      <c r="H146" s="422"/>
      <c r="I146" s="422"/>
      <c r="J146" s="422"/>
      <c r="K146" s="422"/>
      <c r="L146" s="422"/>
      <c r="M146" s="422"/>
      <c r="N146" s="422"/>
      <c r="O146" s="422"/>
      <c r="P146" s="422"/>
      <c r="Q146" s="422"/>
      <c r="R146" s="422"/>
      <c r="S146" s="422"/>
      <c r="T146" s="422"/>
      <c r="U146" s="422"/>
      <c r="V146" s="422"/>
      <c r="W146" s="422"/>
      <c r="X146" s="422"/>
      <c r="Y146" s="422"/>
      <c r="Z146" s="422"/>
      <c r="AA146" s="422"/>
      <c r="AB146" s="422"/>
    </row>
    <row r="147" spans="2:28" x14ac:dyDescent="0.25">
      <c r="B147" s="422"/>
      <c r="C147" s="422"/>
      <c r="D147" s="422"/>
      <c r="E147" s="422"/>
      <c r="F147" s="422"/>
      <c r="G147" s="422"/>
      <c r="H147" s="422"/>
      <c r="I147" s="422"/>
      <c r="J147" s="422"/>
      <c r="K147" s="422"/>
      <c r="L147" s="422"/>
      <c r="M147" s="422"/>
      <c r="N147" s="422"/>
      <c r="O147" s="422"/>
      <c r="P147" s="422"/>
      <c r="Q147" s="422"/>
      <c r="R147" s="422"/>
      <c r="S147" s="422"/>
      <c r="T147" s="422"/>
      <c r="U147" s="422"/>
      <c r="V147" s="422"/>
      <c r="W147" s="422"/>
      <c r="X147" s="422"/>
      <c r="Y147" s="422"/>
      <c r="Z147" s="422"/>
      <c r="AA147" s="422"/>
      <c r="AB147" s="422"/>
    </row>
    <row r="148" spans="2:28" x14ac:dyDescent="0.25">
      <c r="B148" s="422"/>
      <c r="C148" s="422"/>
      <c r="D148" s="422"/>
      <c r="E148" s="422"/>
      <c r="F148" s="422"/>
      <c r="G148" s="422"/>
      <c r="H148" s="422"/>
      <c r="I148" s="422"/>
      <c r="J148" s="422"/>
      <c r="K148" s="422"/>
      <c r="L148" s="422"/>
      <c r="M148" s="422"/>
      <c r="N148" s="422"/>
      <c r="O148" s="422"/>
      <c r="P148" s="422"/>
      <c r="Q148" s="422"/>
      <c r="R148" s="422"/>
      <c r="S148" s="422"/>
      <c r="T148" s="422"/>
      <c r="U148" s="422"/>
      <c r="V148" s="422"/>
      <c r="W148" s="422"/>
      <c r="X148" s="422"/>
      <c r="Y148" s="422"/>
      <c r="Z148" s="422"/>
      <c r="AA148" s="422"/>
      <c r="AB148" s="422"/>
    </row>
    <row r="149" spans="2:28" x14ac:dyDescent="0.25">
      <c r="B149" s="422"/>
      <c r="C149" s="422"/>
      <c r="D149" s="422"/>
      <c r="E149" s="422"/>
      <c r="F149" s="422"/>
      <c r="G149" s="422"/>
      <c r="H149" s="422"/>
      <c r="I149" s="422"/>
      <c r="J149" s="422"/>
      <c r="K149" s="422"/>
      <c r="L149" s="422"/>
      <c r="M149" s="422"/>
      <c r="N149" s="422"/>
      <c r="O149" s="422"/>
      <c r="P149" s="422"/>
      <c r="Q149" s="422"/>
      <c r="R149" s="422"/>
      <c r="S149" s="422"/>
      <c r="T149" s="422"/>
      <c r="U149" s="422"/>
      <c r="V149" s="422"/>
      <c r="W149" s="422"/>
      <c r="X149" s="422"/>
      <c r="Y149" s="422"/>
      <c r="Z149" s="422"/>
      <c r="AA149" s="422"/>
      <c r="AB149" s="422"/>
    </row>
    <row r="150" spans="2:28" x14ac:dyDescent="0.25">
      <c r="B150" s="422"/>
      <c r="C150" s="422"/>
      <c r="D150" s="422"/>
      <c r="E150" s="422"/>
      <c r="F150" s="422"/>
      <c r="G150" s="422"/>
      <c r="H150" s="422"/>
      <c r="I150" s="422"/>
      <c r="J150" s="422"/>
      <c r="K150" s="422"/>
      <c r="L150" s="422"/>
      <c r="M150" s="422"/>
      <c r="N150" s="422"/>
      <c r="O150" s="422"/>
      <c r="P150" s="422"/>
      <c r="Q150" s="422"/>
      <c r="R150" s="422"/>
      <c r="S150" s="422"/>
      <c r="T150" s="422"/>
      <c r="U150" s="422"/>
      <c r="V150" s="422"/>
      <c r="W150" s="422"/>
      <c r="X150" s="422"/>
      <c r="Y150" s="422"/>
      <c r="Z150" s="422"/>
      <c r="AA150" s="422"/>
      <c r="AB150" s="422"/>
    </row>
    <row r="151" spans="2:28" x14ac:dyDescent="0.25">
      <c r="B151" s="422"/>
      <c r="C151" s="422"/>
      <c r="D151" s="422"/>
      <c r="E151" s="422"/>
      <c r="F151" s="422"/>
      <c r="G151" s="422"/>
      <c r="H151" s="422"/>
      <c r="I151" s="422"/>
      <c r="J151" s="422"/>
      <c r="K151" s="422"/>
      <c r="L151" s="422"/>
      <c r="M151" s="422"/>
      <c r="N151" s="422"/>
      <c r="O151" s="422"/>
      <c r="P151" s="422"/>
      <c r="Q151" s="422"/>
      <c r="R151" s="422"/>
      <c r="S151" s="422"/>
      <c r="T151" s="422"/>
      <c r="U151" s="422"/>
      <c r="V151" s="422"/>
      <c r="W151" s="422"/>
      <c r="X151" s="422"/>
      <c r="Y151" s="422"/>
      <c r="Z151" s="422"/>
      <c r="AA151" s="422"/>
      <c r="AB151" s="422"/>
    </row>
    <row r="152" spans="2:28" x14ac:dyDescent="0.25">
      <c r="B152" s="422"/>
      <c r="C152" s="422"/>
      <c r="D152" s="422"/>
      <c r="E152" s="422"/>
      <c r="F152" s="422"/>
      <c r="G152" s="422"/>
      <c r="H152" s="422"/>
      <c r="I152" s="422"/>
      <c r="J152" s="422"/>
      <c r="K152" s="422"/>
      <c r="L152" s="422"/>
      <c r="M152" s="422"/>
      <c r="N152" s="422"/>
      <c r="O152" s="422"/>
      <c r="P152" s="422"/>
      <c r="Q152" s="422"/>
      <c r="R152" s="422"/>
      <c r="S152" s="422"/>
      <c r="T152" s="422"/>
      <c r="U152" s="422"/>
      <c r="V152" s="422"/>
      <c r="W152" s="422"/>
      <c r="X152" s="422"/>
      <c r="Y152" s="422"/>
      <c r="Z152" s="422"/>
      <c r="AA152" s="422"/>
      <c r="AB152" s="422"/>
    </row>
    <row r="153" spans="2:28" x14ac:dyDescent="0.25"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422"/>
      <c r="M153" s="422"/>
      <c r="N153" s="422"/>
      <c r="O153" s="422"/>
      <c r="P153" s="422"/>
      <c r="Q153" s="422"/>
      <c r="R153" s="422"/>
      <c r="S153" s="422"/>
      <c r="T153" s="422"/>
      <c r="U153" s="422"/>
      <c r="V153" s="422"/>
      <c r="W153" s="422"/>
      <c r="X153" s="422"/>
      <c r="Y153" s="422"/>
      <c r="Z153" s="422"/>
      <c r="AA153" s="422"/>
      <c r="AB153" s="422"/>
    </row>
    <row r="154" spans="2:28" x14ac:dyDescent="0.25">
      <c r="B154" s="422"/>
      <c r="C154" s="422"/>
      <c r="D154" s="422"/>
      <c r="E154" s="422"/>
      <c r="F154" s="422"/>
      <c r="G154" s="422"/>
      <c r="H154" s="422"/>
      <c r="I154" s="422"/>
      <c r="J154" s="422"/>
      <c r="K154" s="422"/>
      <c r="L154" s="422"/>
      <c r="M154" s="422"/>
      <c r="N154" s="422"/>
      <c r="O154" s="422"/>
      <c r="P154" s="422"/>
      <c r="Q154" s="422"/>
      <c r="R154" s="422"/>
      <c r="S154" s="422"/>
      <c r="T154" s="422"/>
      <c r="U154" s="422"/>
      <c r="V154" s="422"/>
      <c r="W154" s="422"/>
      <c r="X154" s="422"/>
      <c r="Y154" s="422"/>
      <c r="Z154" s="422"/>
      <c r="AA154" s="422"/>
      <c r="AB154" s="422"/>
    </row>
    <row r="155" spans="2:28" x14ac:dyDescent="0.25">
      <c r="B155" s="422"/>
      <c r="C155" s="422"/>
      <c r="D155" s="422"/>
      <c r="E155" s="422"/>
      <c r="F155" s="422"/>
      <c r="G155" s="422"/>
      <c r="H155" s="422"/>
      <c r="I155" s="422"/>
      <c r="J155" s="422"/>
      <c r="K155" s="422"/>
      <c r="L155" s="422"/>
      <c r="M155" s="422"/>
      <c r="N155" s="422"/>
      <c r="O155" s="422"/>
      <c r="P155" s="422"/>
      <c r="Q155" s="422"/>
      <c r="R155" s="422"/>
      <c r="S155" s="422"/>
      <c r="T155" s="422"/>
      <c r="U155" s="422"/>
      <c r="V155" s="422"/>
      <c r="W155" s="422"/>
      <c r="X155" s="422"/>
      <c r="Y155" s="422"/>
      <c r="Z155" s="422"/>
      <c r="AA155" s="422"/>
      <c r="AB155" s="422"/>
    </row>
    <row r="156" spans="2:28" x14ac:dyDescent="0.25">
      <c r="B156" s="422"/>
      <c r="C156" s="422"/>
      <c r="D156" s="422"/>
      <c r="E156" s="422"/>
      <c r="F156" s="422"/>
      <c r="G156" s="422"/>
      <c r="H156" s="422"/>
      <c r="I156" s="422"/>
      <c r="J156" s="422"/>
      <c r="K156" s="422"/>
      <c r="L156" s="422"/>
      <c r="M156" s="422"/>
      <c r="N156" s="422"/>
      <c r="O156" s="422"/>
      <c r="P156" s="422"/>
      <c r="Q156" s="422"/>
      <c r="R156" s="422"/>
      <c r="S156" s="422"/>
      <c r="T156" s="422"/>
      <c r="U156" s="422"/>
      <c r="V156" s="422"/>
      <c r="W156" s="422"/>
      <c r="X156" s="422"/>
      <c r="Y156" s="422"/>
      <c r="Z156" s="422"/>
      <c r="AA156" s="422"/>
      <c r="AB156" s="422"/>
    </row>
    <row r="157" spans="2:28" x14ac:dyDescent="0.25"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422"/>
      <c r="M157" s="422"/>
      <c r="N157" s="422"/>
      <c r="O157" s="422"/>
      <c r="P157" s="422"/>
      <c r="Q157" s="422"/>
      <c r="R157" s="422"/>
      <c r="S157" s="422"/>
      <c r="T157" s="422"/>
      <c r="U157" s="422"/>
      <c r="V157" s="422"/>
      <c r="W157" s="422"/>
      <c r="X157" s="422"/>
      <c r="Y157" s="422"/>
      <c r="Z157" s="422"/>
      <c r="AA157" s="422"/>
      <c r="AB157" s="422"/>
    </row>
    <row r="158" spans="2:28" x14ac:dyDescent="0.25">
      <c r="B158" s="422"/>
      <c r="C158" s="422"/>
      <c r="D158" s="422"/>
      <c r="E158" s="422"/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  <c r="AA158" s="422"/>
      <c r="AB158" s="422"/>
    </row>
    <row r="159" spans="2:28" x14ac:dyDescent="0.25">
      <c r="B159" s="422"/>
      <c r="C159" s="422"/>
      <c r="D159" s="422"/>
      <c r="E159" s="422"/>
      <c r="F159" s="422"/>
      <c r="G159" s="422"/>
      <c r="H159" s="422"/>
      <c r="I159" s="422"/>
      <c r="J159" s="422"/>
      <c r="K159" s="422"/>
      <c r="L159" s="422"/>
      <c r="M159" s="422"/>
      <c r="N159" s="422"/>
      <c r="O159" s="422"/>
      <c r="P159" s="422"/>
      <c r="Q159" s="422"/>
      <c r="R159" s="422"/>
      <c r="S159" s="422"/>
      <c r="T159" s="422"/>
      <c r="U159" s="422"/>
      <c r="V159" s="422"/>
      <c r="W159" s="422"/>
      <c r="X159" s="422"/>
      <c r="Y159" s="422"/>
      <c r="Z159" s="422"/>
      <c r="AA159" s="422"/>
      <c r="AB159" s="422"/>
    </row>
    <row r="160" spans="2:28" x14ac:dyDescent="0.25">
      <c r="B160" s="422"/>
      <c r="C160" s="422"/>
      <c r="D160" s="422"/>
      <c r="E160" s="422"/>
      <c r="F160" s="422"/>
      <c r="G160" s="422"/>
      <c r="H160" s="422"/>
      <c r="I160" s="422"/>
      <c r="J160" s="422"/>
      <c r="K160" s="422"/>
      <c r="L160" s="422"/>
      <c r="M160" s="422"/>
      <c r="N160" s="422"/>
      <c r="O160" s="422"/>
      <c r="P160" s="422"/>
      <c r="Q160" s="422"/>
      <c r="R160" s="422"/>
      <c r="S160" s="422"/>
      <c r="T160" s="422"/>
      <c r="U160" s="422"/>
      <c r="V160" s="422"/>
      <c r="W160" s="422"/>
      <c r="X160" s="422"/>
      <c r="Y160" s="422"/>
      <c r="Z160" s="422"/>
      <c r="AA160" s="422"/>
      <c r="AB160" s="422"/>
    </row>
    <row r="161" spans="2:28" x14ac:dyDescent="0.25">
      <c r="B161" s="422"/>
      <c r="C161" s="422"/>
      <c r="D161" s="422"/>
      <c r="E161" s="422"/>
      <c r="F161" s="422"/>
      <c r="G161" s="422"/>
      <c r="H161" s="422"/>
      <c r="I161" s="422"/>
      <c r="J161" s="422"/>
      <c r="K161" s="422"/>
      <c r="L161" s="422"/>
      <c r="M161" s="422"/>
      <c r="N161" s="422"/>
      <c r="O161" s="422"/>
      <c r="P161" s="422"/>
      <c r="Q161" s="422"/>
      <c r="R161" s="422"/>
      <c r="S161" s="422"/>
      <c r="T161" s="422"/>
      <c r="U161" s="422"/>
      <c r="V161" s="422"/>
      <c r="W161" s="422"/>
      <c r="X161" s="422"/>
      <c r="Y161" s="422"/>
      <c r="Z161" s="422"/>
      <c r="AA161" s="422"/>
      <c r="AB161" s="422"/>
    </row>
    <row r="162" spans="2:28" x14ac:dyDescent="0.25">
      <c r="B162" s="422"/>
      <c r="C162" s="422"/>
      <c r="D162" s="422"/>
      <c r="E162" s="422"/>
      <c r="F162" s="422"/>
      <c r="G162" s="422"/>
      <c r="H162" s="422"/>
      <c r="I162" s="422"/>
      <c r="J162" s="422"/>
      <c r="K162" s="422"/>
      <c r="L162" s="422"/>
      <c r="M162" s="422"/>
      <c r="N162" s="422"/>
      <c r="O162" s="422"/>
      <c r="P162" s="422"/>
      <c r="Q162" s="422"/>
      <c r="R162" s="422"/>
      <c r="S162" s="422"/>
      <c r="T162" s="422"/>
      <c r="U162" s="422"/>
      <c r="V162" s="422"/>
      <c r="W162" s="422"/>
      <c r="X162" s="422"/>
      <c r="Y162" s="422"/>
      <c r="Z162" s="422"/>
      <c r="AA162" s="422"/>
      <c r="AB162" s="422"/>
    </row>
    <row r="163" spans="2:28" x14ac:dyDescent="0.25">
      <c r="B163" s="422"/>
      <c r="C163" s="422"/>
      <c r="D163" s="422"/>
      <c r="E163" s="422"/>
      <c r="F163" s="422"/>
      <c r="G163" s="422"/>
      <c r="H163" s="422"/>
      <c r="I163" s="422"/>
      <c r="J163" s="422"/>
      <c r="K163" s="422"/>
      <c r="L163" s="422"/>
      <c r="M163" s="422"/>
      <c r="N163" s="422"/>
      <c r="O163" s="422"/>
      <c r="P163" s="422"/>
      <c r="Q163" s="422"/>
      <c r="R163" s="422"/>
      <c r="S163" s="422"/>
      <c r="T163" s="422"/>
      <c r="U163" s="422"/>
      <c r="V163" s="422"/>
      <c r="W163" s="422"/>
      <c r="X163" s="422"/>
      <c r="Y163" s="422"/>
      <c r="Z163" s="422"/>
      <c r="AA163" s="422"/>
      <c r="AB163" s="422"/>
    </row>
    <row r="164" spans="2:28" x14ac:dyDescent="0.25">
      <c r="B164" s="422"/>
      <c r="C164" s="422"/>
      <c r="D164" s="422"/>
      <c r="E164" s="422"/>
      <c r="F164" s="422"/>
      <c r="G164" s="422"/>
      <c r="H164" s="422"/>
      <c r="I164" s="422"/>
      <c r="J164" s="422"/>
      <c r="K164" s="422"/>
      <c r="L164" s="422"/>
      <c r="M164" s="422"/>
      <c r="N164" s="422"/>
      <c r="O164" s="422"/>
      <c r="P164" s="422"/>
      <c r="Q164" s="422"/>
      <c r="R164" s="422"/>
      <c r="S164" s="422"/>
      <c r="T164" s="422"/>
      <c r="U164" s="422"/>
      <c r="V164" s="422"/>
      <c r="W164" s="422"/>
      <c r="X164" s="422"/>
      <c r="Y164" s="422"/>
      <c r="Z164" s="422"/>
      <c r="AA164" s="422"/>
      <c r="AB164" s="422"/>
    </row>
    <row r="165" spans="2:28" x14ac:dyDescent="0.25">
      <c r="B165" s="422"/>
      <c r="C165" s="422"/>
      <c r="D165" s="422"/>
      <c r="E165" s="422"/>
      <c r="F165" s="422"/>
      <c r="G165" s="422"/>
      <c r="H165" s="422"/>
      <c r="I165" s="422"/>
      <c r="J165" s="422"/>
      <c r="K165" s="422"/>
      <c r="L165" s="422"/>
      <c r="M165" s="422"/>
      <c r="N165" s="422"/>
      <c r="O165" s="422"/>
      <c r="P165" s="422"/>
      <c r="Q165" s="422"/>
      <c r="R165" s="422"/>
      <c r="S165" s="422"/>
      <c r="T165" s="422"/>
      <c r="U165" s="422"/>
      <c r="V165" s="422"/>
      <c r="W165" s="422"/>
      <c r="X165" s="422"/>
      <c r="Y165" s="422"/>
      <c r="Z165" s="422"/>
      <c r="AA165" s="422"/>
      <c r="AB165" s="422"/>
    </row>
    <row r="166" spans="2:28" x14ac:dyDescent="0.25">
      <c r="B166" s="422"/>
      <c r="C166" s="422"/>
      <c r="D166" s="422"/>
      <c r="E166" s="422"/>
      <c r="F166" s="422"/>
      <c r="G166" s="422"/>
      <c r="H166" s="422"/>
      <c r="I166" s="422"/>
      <c r="J166" s="422"/>
      <c r="K166" s="422"/>
      <c r="L166" s="422"/>
      <c r="M166" s="422"/>
      <c r="N166" s="422"/>
      <c r="O166" s="422"/>
      <c r="P166" s="422"/>
      <c r="Q166" s="422"/>
      <c r="R166" s="422"/>
      <c r="S166" s="422"/>
      <c r="T166" s="422"/>
      <c r="U166" s="422"/>
      <c r="V166" s="422"/>
      <c r="W166" s="422"/>
      <c r="X166" s="422"/>
      <c r="Y166" s="422"/>
      <c r="Z166" s="422"/>
      <c r="AA166" s="422"/>
      <c r="AB166" s="422"/>
    </row>
    <row r="167" spans="2:28" x14ac:dyDescent="0.25">
      <c r="B167" s="422"/>
      <c r="C167" s="422"/>
      <c r="D167" s="422"/>
      <c r="E167" s="422"/>
      <c r="F167" s="422"/>
      <c r="G167" s="422"/>
      <c r="H167" s="422"/>
      <c r="I167" s="422"/>
      <c r="J167" s="422"/>
      <c r="K167" s="422"/>
      <c r="L167" s="422"/>
      <c r="M167" s="422"/>
      <c r="N167" s="422"/>
      <c r="O167" s="422"/>
      <c r="P167" s="422"/>
      <c r="Q167" s="422"/>
      <c r="R167" s="422"/>
      <c r="S167" s="422"/>
      <c r="T167" s="422"/>
      <c r="U167" s="422"/>
      <c r="V167" s="422"/>
      <c r="W167" s="422"/>
      <c r="X167" s="422"/>
      <c r="Y167" s="422"/>
      <c r="Z167" s="422"/>
      <c r="AA167" s="422"/>
      <c r="AB167" s="422"/>
    </row>
    <row r="168" spans="2:28" x14ac:dyDescent="0.25">
      <c r="B168" s="422"/>
      <c r="C168" s="422"/>
      <c r="D168" s="422"/>
      <c r="E168" s="422"/>
      <c r="F168" s="422"/>
      <c r="G168" s="422"/>
      <c r="H168" s="422"/>
      <c r="I168" s="422"/>
      <c r="J168" s="422"/>
      <c r="K168" s="422"/>
      <c r="L168" s="422"/>
      <c r="M168" s="422"/>
      <c r="N168" s="422"/>
      <c r="O168" s="422"/>
      <c r="P168" s="422"/>
      <c r="Q168" s="422"/>
      <c r="R168" s="422"/>
      <c r="S168" s="422"/>
      <c r="T168" s="422"/>
      <c r="U168" s="422"/>
      <c r="V168" s="422"/>
      <c r="W168" s="422"/>
      <c r="X168" s="422"/>
      <c r="Y168" s="422"/>
      <c r="Z168" s="422"/>
      <c r="AA168" s="422"/>
      <c r="AB168" s="422"/>
    </row>
    <row r="169" spans="2:28" x14ac:dyDescent="0.25">
      <c r="B169" s="422"/>
      <c r="C169" s="422"/>
      <c r="D169" s="422"/>
      <c r="E169" s="422"/>
      <c r="F169" s="422"/>
      <c r="G169" s="422"/>
      <c r="H169" s="422"/>
      <c r="I169" s="422"/>
      <c r="J169" s="422"/>
      <c r="K169" s="422"/>
      <c r="L169" s="422"/>
      <c r="M169" s="422"/>
      <c r="N169" s="422"/>
      <c r="O169" s="422"/>
      <c r="P169" s="422"/>
      <c r="Q169" s="422"/>
      <c r="R169" s="422"/>
      <c r="S169" s="422"/>
      <c r="T169" s="422"/>
      <c r="U169" s="422"/>
      <c r="V169" s="422"/>
      <c r="W169" s="422"/>
      <c r="X169" s="422"/>
      <c r="Y169" s="422"/>
      <c r="Z169" s="422"/>
      <c r="AA169" s="422"/>
      <c r="AB169" s="422"/>
    </row>
    <row r="170" spans="2:28" x14ac:dyDescent="0.25">
      <c r="B170" s="422"/>
      <c r="C170" s="422"/>
      <c r="D170" s="422"/>
      <c r="E170" s="422"/>
      <c r="F170" s="422"/>
      <c r="G170" s="422"/>
      <c r="H170" s="422"/>
      <c r="I170" s="422"/>
      <c r="J170" s="422"/>
      <c r="K170" s="422"/>
      <c r="L170" s="422"/>
      <c r="M170" s="422"/>
      <c r="N170" s="422"/>
      <c r="O170" s="422"/>
      <c r="P170" s="422"/>
      <c r="Q170" s="422"/>
      <c r="R170" s="422"/>
      <c r="S170" s="422"/>
      <c r="T170" s="422"/>
      <c r="U170" s="422"/>
      <c r="V170" s="422"/>
      <c r="W170" s="422"/>
      <c r="X170" s="422"/>
      <c r="Y170" s="422"/>
      <c r="Z170" s="422"/>
      <c r="AA170" s="422"/>
      <c r="AB170" s="422"/>
    </row>
    <row r="171" spans="2:28" x14ac:dyDescent="0.25">
      <c r="B171" s="422"/>
      <c r="C171" s="422"/>
      <c r="D171" s="422"/>
      <c r="E171" s="422"/>
      <c r="F171" s="422"/>
      <c r="G171" s="422"/>
      <c r="H171" s="422"/>
      <c r="I171" s="422"/>
      <c r="J171" s="422"/>
      <c r="K171" s="422"/>
      <c r="L171" s="422"/>
      <c r="M171" s="422"/>
      <c r="N171" s="422"/>
      <c r="O171" s="422"/>
      <c r="P171" s="422"/>
      <c r="Q171" s="422"/>
      <c r="R171" s="422"/>
      <c r="S171" s="422"/>
      <c r="T171" s="422"/>
      <c r="U171" s="422"/>
      <c r="V171" s="422"/>
      <c r="W171" s="422"/>
      <c r="X171" s="422"/>
      <c r="Y171" s="422"/>
      <c r="Z171" s="422"/>
      <c r="AA171" s="422"/>
      <c r="AB171" s="422"/>
    </row>
    <row r="172" spans="2:28" x14ac:dyDescent="0.25">
      <c r="B172" s="422"/>
      <c r="C172" s="422"/>
      <c r="D172" s="422"/>
      <c r="E172" s="422"/>
      <c r="F172" s="422"/>
      <c r="G172" s="422"/>
      <c r="H172" s="422"/>
      <c r="I172" s="422"/>
      <c r="J172" s="422"/>
      <c r="K172" s="422"/>
      <c r="L172" s="422"/>
      <c r="M172" s="422"/>
      <c r="N172" s="422"/>
      <c r="O172" s="422"/>
      <c r="P172" s="422"/>
      <c r="Q172" s="422"/>
      <c r="R172" s="422"/>
      <c r="S172" s="422"/>
      <c r="T172" s="422"/>
      <c r="U172" s="422"/>
      <c r="V172" s="422"/>
      <c r="W172" s="422"/>
      <c r="X172" s="422"/>
      <c r="Y172" s="422"/>
      <c r="Z172" s="422"/>
      <c r="AA172" s="422"/>
      <c r="AB172" s="422"/>
    </row>
    <row r="173" spans="2:28" x14ac:dyDescent="0.25">
      <c r="B173" s="422"/>
      <c r="C173" s="422"/>
      <c r="D173" s="422"/>
      <c r="E173" s="422"/>
      <c r="F173" s="422"/>
      <c r="G173" s="422"/>
      <c r="H173" s="422"/>
      <c r="I173" s="422"/>
      <c r="J173" s="422"/>
      <c r="K173" s="422"/>
      <c r="L173" s="422"/>
      <c r="M173" s="422"/>
      <c r="N173" s="422"/>
      <c r="O173" s="422"/>
      <c r="P173" s="422"/>
      <c r="Q173" s="422"/>
      <c r="R173" s="422"/>
      <c r="S173" s="422"/>
      <c r="T173" s="422"/>
      <c r="U173" s="422"/>
      <c r="V173" s="422"/>
      <c r="W173" s="422"/>
      <c r="X173" s="422"/>
      <c r="Y173" s="422"/>
      <c r="Z173" s="422"/>
      <c r="AA173" s="422"/>
      <c r="AB173" s="422"/>
    </row>
    <row r="174" spans="2:28" x14ac:dyDescent="0.25">
      <c r="B174" s="422"/>
      <c r="C174" s="422"/>
      <c r="D174" s="422"/>
      <c r="E174" s="422"/>
      <c r="F174" s="422"/>
      <c r="G174" s="422"/>
      <c r="H174" s="422"/>
      <c r="I174" s="422"/>
      <c r="J174" s="422"/>
      <c r="K174" s="422"/>
      <c r="L174" s="422"/>
      <c r="M174" s="422"/>
      <c r="N174" s="422"/>
      <c r="O174" s="422"/>
      <c r="P174" s="422"/>
      <c r="Q174" s="422"/>
      <c r="R174" s="422"/>
      <c r="S174" s="422"/>
      <c r="T174" s="422"/>
      <c r="U174" s="422"/>
      <c r="V174" s="422"/>
      <c r="W174" s="422"/>
      <c r="X174" s="422"/>
      <c r="Y174" s="422"/>
      <c r="Z174" s="422"/>
      <c r="AA174" s="422"/>
      <c r="AB174" s="422"/>
    </row>
    <row r="175" spans="2:28" x14ac:dyDescent="0.25">
      <c r="B175" s="422"/>
      <c r="C175" s="422"/>
      <c r="D175" s="422"/>
      <c r="E175" s="422"/>
      <c r="F175" s="422"/>
      <c r="G175" s="422"/>
      <c r="H175" s="422"/>
      <c r="I175" s="422"/>
      <c r="J175" s="422"/>
      <c r="K175" s="422"/>
      <c r="L175" s="422"/>
      <c r="M175" s="422"/>
      <c r="N175" s="422"/>
      <c r="O175" s="422"/>
      <c r="P175" s="422"/>
      <c r="Q175" s="422"/>
      <c r="R175" s="422"/>
      <c r="S175" s="422"/>
      <c r="T175" s="422"/>
      <c r="U175" s="422"/>
      <c r="V175" s="422"/>
      <c r="W175" s="422"/>
      <c r="X175" s="422"/>
      <c r="Y175" s="422"/>
      <c r="Z175" s="422"/>
      <c r="AA175" s="422"/>
      <c r="AB175" s="422"/>
    </row>
    <row r="176" spans="2:28" x14ac:dyDescent="0.25">
      <c r="B176" s="422"/>
      <c r="C176" s="422"/>
      <c r="D176" s="422"/>
      <c r="E176" s="422"/>
      <c r="F176" s="422"/>
      <c r="G176" s="422"/>
      <c r="H176" s="422"/>
      <c r="I176" s="422"/>
      <c r="J176" s="422"/>
      <c r="K176" s="422"/>
      <c r="L176" s="422"/>
      <c r="M176" s="422"/>
      <c r="N176" s="422"/>
      <c r="O176" s="422"/>
      <c r="P176" s="422"/>
      <c r="Q176" s="422"/>
      <c r="R176" s="422"/>
      <c r="S176" s="422"/>
      <c r="T176" s="422"/>
      <c r="U176" s="422"/>
      <c r="V176" s="422"/>
      <c r="W176" s="422"/>
      <c r="X176" s="422"/>
      <c r="Y176" s="422"/>
      <c r="Z176" s="422"/>
      <c r="AA176" s="422"/>
      <c r="AB176" s="422"/>
    </row>
    <row r="177" spans="2:28" x14ac:dyDescent="0.25">
      <c r="B177" s="422"/>
      <c r="C177" s="422"/>
      <c r="D177" s="422"/>
      <c r="E177" s="422"/>
      <c r="F177" s="422"/>
      <c r="G177" s="422"/>
      <c r="H177" s="422"/>
      <c r="I177" s="422"/>
      <c r="J177" s="422"/>
      <c r="K177" s="422"/>
      <c r="L177" s="422"/>
      <c r="M177" s="422"/>
      <c r="N177" s="422"/>
      <c r="O177" s="422"/>
      <c r="P177" s="422"/>
      <c r="Q177" s="422"/>
      <c r="R177" s="422"/>
      <c r="S177" s="422"/>
      <c r="T177" s="422"/>
      <c r="U177" s="422"/>
      <c r="V177" s="422"/>
      <c r="W177" s="422"/>
      <c r="X177" s="422"/>
      <c r="Y177" s="422"/>
      <c r="Z177" s="422"/>
      <c r="AA177" s="422"/>
      <c r="AB177" s="422"/>
    </row>
    <row r="178" spans="2:28" x14ac:dyDescent="0.25">
      <c r="B178" s="422"/>
      <c r="C178" s="422"/>
      <c r="D178" s="422"/>
      <c r="E178" s="422"/>
      <c r="F178" s="422"/>
      <c r="G178" s="422"/>
      <c r="H178" s="422"/>
      <c r="I178" s="422"/>
      <c r="J178" s="422"/>
      <c r="K178" s="422"/>
      <c r="L178" s="422"/>
      <c r="M178" s="422"/>
      <c r="N178" s="422"/>
      <c r="O178" s="422"/>
      <c r="P178" s="422"/>
      <c r="Q178" s="422"/>
      <c r="R178" s="422"/>
      <c r="S178" s="422"/>
      <c r="T178" s="422"/>
      <c r="U178" s="422"/>
      <c r="V178" s="422"/>
      <c r="W178" s="422"/>
      <c r="X178" s="422"/>
      <c r="Y178" s="422"/>
      <c r="Z178" s="422"/>
      <c r="AA178" s="422"/>
      <c r="AB178" s="422"/>
    </row>
    <row r="179" spans="2:28" x14ac:dyDescent="0.25">
      <c r="B179" s="422"/>
      <c r="C179" s="422"/>
      <c r="D179" s="422"/>
      <c r="E179" s="422"/>
      <c r="F179" s="422"/>
      <c r="G179" s="422"/>
      <c r="H179" s="422"/>
      <c r="I179" s="422"/>
      <c r="J179" s="422"/>
      <c r="K179" s="422"/>
      <c r="L179" s="422"/>
      <c r="M179" s="422"/>
      <c r="N179" s="422"/>
      <c r="O179" s="422"/>
      <c r="P179" s="422"/>
      <c r="Q179" s="422"/>
      <c r="R179" s="422"/>
      <c r="S179" s="422"/>
      <c r="T179" s="422"/>
      <c r="U179" s="422"/>
      <c r="V179" s="422"/>
      <c r="W179" s="422"/>
      <c r="X179" s="422"/>
      <c r="Y179" s="422"/>
      <c r="Z179" s="422"/>
      <c r="AA179" s="422"/>
      <c r="AB179" s="422"/>
    </row>
    <row r="180" spans="2:28" x14ac:dyDescent="0.25">
      <c r="B180" s="422"/>
      <c r="C180" s="422"/>
      <c r="D180" s="422"/>
      <c r="E180" s="422"/>
      <c r="F180" s="422"/>
      <c r="G180" s="422"/>
      <c r="H180" s="422"/>
      <c r="I180" s="422"/>
      <c r="J180" s="422"/>
      <c r="K180" s="422"/>
      <c r="L180" s="422"/>
      <c r="M180" s="422"/>
      <c r="N180" s="422"/>
      <c r="O180" s="422"/>
      <c r="P180" s="422"/>
      <c r="Q180" s="422"/>
      <c r="R180" s="422"/>
      <c r="S180" s="422"/>
      <c r="T180" s="422"/>
      <c r="U180" s="422"/>
      <c r="V180" s="422"/>
      <c r="W180" s="422"/>
      <c r="X180" s="422"/>
      <c r="Y180" s="422"/>
      <c r="Z180" s="422"/>
      <c r="AA180" s="422"/>
      <c r="AB180" s="422"/>
    </row>
    <row r="181" spans="2:28" x14ac:dyDescent="0.25">
      <c r="B181" s="422"/>
      <c r="C181" s="422"/>
      <c r="D181" s="422"/>
      <c r="E181" s="422"/>
      <c r="F181" s="422"/>
      <c r="G181" s="422"/>
      <c r="H181" s="422"/>
      <c r="I181" s="422"/>
      <c r="J181" s="422"/>
      <c r="K181" s="422"/>
      <c r="L181" s="422"/>
      <c r="M181" s="422"/>
      <c r="N181" s="422"/>
      <c r="O181" s="422"/>
      <c r="P181" s="422"/>
      <c r="Q181" s="422"/>
      <c r="R181" s="422"/>
      <c r="S181" s="422"/>
      <c r="T181" s="422"/>
      <c r="U181" s="422"/>
      <c r="V181" s="422"/>
      <c r="W181" s="422"/>
      <c r="X181" s="422"/>
      <c r="Y181" s="422"/>
      <c r="Z181" s="422"/>
      <c r="AA181" s="422"/>
      <c r="AB181" s="422"/>
    </row>
    <row r="182" spans="2:28" x14ac:dyDescent="0.25">
      <c r="B182" s="422"/>
      <c r="C182" s="422"/>
      <c r="D182" s="422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2"/>
      <c r="Q182" s="422"/>
      <c r="R182" s="422"/>
      <c r="S182" s="422"/>
      <c r="T182" s="422"/>
      <c r="U182" s="422"/>
      <c r="V182" s="422"/>
      <c r="W182" s="422"/>
      <c r="X182" s="422"/>
      <c r="Y182" s="422"/>
      <c r="Z182" s="422"/>
      <c r="AA182" s="422"/>
      <c r="AB182" s="422"/>
    </row>
    <row r="183" spans="2:28" x14ac:dyDescent="0.25">
      <c r="B183" s="422"/>
      <c r="C183" s="422"/>
      <c r="D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2"/>
      <c r="Q183" s="422"/>
      <c r="R183" s="422"/>
      <c r="S183" s="422"/>
      <c r="T183" s="422"/>
      <c r="U183" s="422"/>
      <c r="V183" s="422"/>
      <c r="W183" s="422"/>
      <c r="X183" s="422"/>
      <c r="Y183" s="422"/>
      <c r="Z183" s="422"/>
      <c r="AA183" s="422"/>
      <c r="AB183" s="422"/>
    </row>
    <row r="184" spans="2:28" x14ac:dyDescent="0.25">
      <c r="B184" s="422"/>
      <c r="C184" s="422"/>
      <c r="D184" s="422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2"/>
      <c r="Q184" s="422"/>
      <c r="R184" s="422"/>
      <c r="S184" s="422"/>
      <c r="T184" s="422"/>
      <c r="U184" s="422"/>
      <c r="V184" s="422"/>
      <c r="W184" s="422"/>
      <c r="X184" s="422"/>
      <c r="Y184" s="422"/>
      <c r="Z184" s="422"/>
      <c r="AA184" s="422"/>
      <c r="AB184" s="422"/>
    </row>
    <row r="185" spans="2:28" x14ac:dyDescent="0.25">
      <c r="B185" s="422"/>
      <c r="C185" s="42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  <c r="AA185" s="422"/>
      <c r="AB185" s="422"/>
    </row>
    <row r="186" spans="2:28" x14ac:dyDescent="0.25">
      <c r="B186" s="422"/>
      <c r="C186" s="422"/>
      <c r="D186" s="422"/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422"/>
      <c r="P186" s="422"/>
      <c r="Q186" s="422"/>
      <c r="R186" s="422"/>
      <c r="S186" s="422"/>
      <c r="T186" s="422"/>
      <c r="U186" s="422"/>
      <c r="V186" s="422"/>
      <c r="W186" s="422"/>
      <c r="X186" s="422"/>
      <c r="Y186" s="422"/>
      <c r="Z186" s="422"/>
      <c r="AA186" s="422"/>
      <c r="AB186" s="422"/>
    </row>
    <row r="187" spans="2:28" x14ac:dyDescent="0.25">
      <c r="B187" s="422"/>
      <c r="C187" s="422"/>
      <c r="D187" s="422"/>
      <c r="E187" s="422"/>
      <c r="F187" s="422"/>
      <c r="G187" s="422"/>
      <c r="H187" s="422"/>
      <c r="I187" s="422"/>
      <c r="J187" s="422"/>
      <c r="K187" s="422"/>
      <c r="L187" s="422"/>
      <c r="M187" s="422"/>
      <c r="N187" s="422"/>
      <c r="O187" s="422"/>
      <c r="P187" s="422"/>
      <c r="Q187" s="422"/>
      <c r="R187" s="422"/>
      <c r="S187" s="422"/>
      <c r="T187" s="422"/>
      <c r="U187" s="422"/>
      <c r="V187" s="422"/>
      <c r="W187" s="422"/>
      <c r="X187" s="422"/>
      <c r="Y187" s="422"/>
      <c r="Z187" s="422"/>
      <c r="AA187" s="422"/>
      <c r="AB187" s="422"/>
    </row>
    <row r="188" spans="2:28" x14ac:dyDescent="0.25">
      <c r="B188" s="422"/>
      <c r="C188" s="42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2"/>
      <c r="Q188" s="422"/>
      <c r="R188" s="422"/>
      <c r="S188" s="422"/>
      <c r="T188" s="422"/>
      <c r="U188" s="422"/>
      <c r="V188" s="422"/>
      <c r="W188" s="422"/>
      <c r="X188" s="422"/>
      <c r="Y188" s="422"/>
      <c r="Z188" s="422"/>
      <c r="AA188" s="422"/>
      <c r="AB188" s="422"/>
    </row>
    <row r="189" spans="2:28" x14ac:dyDescent="0.25">
      <c r="B189" s="422"/>
      <c r="C189" s="42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2"/>
      <c r="Q189" s="422"/>
      <c r="R189" s="422"/>
      <c r="S189" s="422"/>
      <c r="T189" s="422"/>
      <c r="U189" s="422"/>
      <c r="V189" s="422"/>
      <c r="W189" s="422"/>
      <c r="X189" s="422"/>
      <c r="Y189" s="422"/>
      <c r="Z189" s="422"/>
      <c r="AA189" s="422"/>
      <c r="AB189" s="422"/>
    </row>
    <row r="190" spans="2:28" x14ac:dyDescent="0.25">
      <c r="B190" s="422"/>
      <c r="C190" s="42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2"/>
      <c r="Q190" s="422"/>
      <c r="R190" s="422"/>
      <c r="S190" s="422"/>
      <c r="T190" s="422"/>
      <c r="U190" s="422"/>
      <c r="V190" s="422"/>
      <c r="W190" s="422"/>
      <c r="X190" s="422"/>
      <c r="Y190" s="422"/>
      <c r="Z190" s="422"/>
      <c r="AA190" s="422"/>
      <c r="AB190" s="422"/>
    </row>
    <row r="191" spans="2:28" x14ac:dyDescent="0.25">
      <c r="B191" s="422"/>
      <c r="C191" s="422"/>
      <c r="D191" s="422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2"/>
      <c r="Q191" s="422"/>
      <c r="R191" s="422"/>
      <c r="S191" s="422"/>
      <c r="T191" s="422"/>
      <c r="U191" s="422"/>
      <c r="V191" s="422"/>
      <c r="W191" s="422"/>
      <c r="X191" s="422"/>
      <c r="Y191" s="422"/>
      <c r="Z191" s="422"/>
      <c r="AA191" s="422"/>
      <c r="AB191" s="422"/>
    </row>
    <row r="192" spans="2:28" x14ac:dyDescent="0.25">
      <c r="B192" s="422"/>
      <c r="C192" s="422"/>
      <c r="D192" s="422"/>
      <c r="E192" s="422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2"/>
      <c r="Q192" s="422"/>
      <c r="R192" s="422"/>
      <c r="S192" s="422"/>
      <c r="T192" s="422"/>
      <c r="U192" s="422"/>
      <c r="V192" s="422"/>
      <c r="W192" s="422"/>
      <c r="X192" s="422"/>
      <c r="Y192" s="422"/>
      <c r="Z192" s="422"/>
      <c r="AA192" s="422"/>
      <c r="AB192" s="422"/>
    </row>
    <row r="193" spans="2:28" x14ac:dyDescent="0.25">
      <c r="B193" s="422"/>
      <c r="C193" s="42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422"/>
      <c r="AA193" s="422"/>
      <c r="AB193" s="422"/>
    </row>
    <row r="194" spans="2:28" x14ac:dyDescent="0.25">
      <c r="B194" s="422"/>
      <c r="C194" s="42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422"/>
      <c r="AA194" s="422"/>
      <c r="AB194" s="422"/>
    </row>
    <row r="195" spans="2:28" x14ac:dyDescent="0.25">
      <c r="B195" s="422"/>
      <c r="C195" s="422"/>
      <c r="D195" s="422"/>
      <c r="E195" s="422"/>
      <c r="F195" s="422"/>
      <c r="G195" s="422"/>
      <c r="H195" s="422"/>
      <c r="I195" s="422"/>
      <c r="J195" s="422"/>
      <c r="K195" s="422"/>
      <c r="L195" s="422"/>
      <c r="M195" s="422"/>
      <c r="N195" s="422"/>
      <c r="O195" s="422"/>
      <c r="P195" s="422"/>
      <c r="Q195" s="422"/>
      <c r="R195" s="422"/>
      <c r="S195" s="422"/>
      <c r="T195" s="422"/>
      <c r="U195" s="422"/>
      <c r="V195" s="422"/>
      <c r="W195" s="422"/>
      <c r="X195" s="422"/>
      <c r="Y195" s="422"/>
      <c r="Z195" s="422"/>
      <c r="AA195" s="422"/>
      <c r="AB195" s="422"/>
    </row>
    <row r="196" spans="2:28" x14ac:dyDescent="0.25">
      <c r="B196" s="422"/>
      <c r="C196" s="422"/>
      <c r="D196" s="422"/>
      <c r="E196" s="422"/>
      <c r="F196" s="422"/>
      <c r="G196" s="422"/>
      <c r="H196" s="422"/>
      <c r="I196" s="422"/>
      <c r="J196" s="422"/>
      <c r="K196" s="422"/>
      <c r="L196" s="422"/>
      <c r="M196" s="422"/>
      <c r="N196" s="422"/>
      <c r="O196" s="422"/>
      <c r="P196" s="422"/>
      <c r="Q196" s="422"/>
      <c r="R196" s="422"/>
      <c r="S196" s="422"/>
      <c r="T196" s="422"/>
      <c r="U196" s="422"/>
      <c r="V196" s="422"/>
      <c r="W196" s="422"/>
      <c r="X196" s="422"/>
      <c r="Y196" s="422"/>
      <c r="Z196" s="422"/>
      <c r="AA196" s="422"/>
      <c r="AB196" s="422"/>
    </row>
    <row r="197" spans="2:28" x14ac:dyDescent="0.25">
      <c r="B197" s="422"/>
      <c r="C197" s="422"/>
      <c r="D197" s="422"/>
      <c r="E197" s="422"/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2"/>
      <c r="Q197" s="422"/>
      <c r="R197" s="422"/>
      <c r="S197" s="422"/>
      <c r="T197" s="422"/>
      <c r="U197" s="422"/>
      <c r="V197" s="422"/>
      <c r="W197" s="422"/>
      <c r="X197" s="422"/>
      <c r="Y197" s="422"/>
      <c r="Z197" s="422"/>
      <c r="AA197" s="422"/>
      <c r="AB197" s="422"/>
    </row>
    <row r="198" spans="2:28" x14ac:dyDescent="0.25">
      <c r="B198" s="422"/>
      <c r="C198" s="422"/>
      <c r="D198" s="422"/>
      <c r="E198" s="422"/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2"/>
      <c r="Q198" s="422"/>
      <c r="R198" s="422"/>
      <c r="S198" s="422"/>
      <c r="T198" s="422"/>
      <c r="U198" s="422"/>
      <c r="V198" s="422"/>
      <c r="W198" s="422"/>
      <c r="X198" s="422"/>
      <c r="Y198" s="422"/>
      <c r="Z198" s="422"/>
      <c r="AA198" s="422"/>
      <c r="AB198" s="422"/>
    </row>
    <row r="199" spans="2:28" x14ac:dyDescent="0.25">
      <c r="B199" s="422"/>
      <c r="C199" s="422"/>
      <c r="D199" s="422"/>
      <c r="E199" s="422"/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2"/>
      <c r="Q199" s="422"/>
      <c r="R199" s="422"/>
      <c r="S199" s="422"/>
      <c r="T199" s="422"/>
      <c r="U199" s="422"/>
      <c r="V199" s="422"/>
      <c r="W199" s="422"/>
      <c r="X199" s="422"/>
      <c r="Y199" s="422"/>
      <c r="Z199" s="422"/>
      <c r="AA199" s="422"/>
      <c r="AB199" s="422"/>
    </row>
    <row r="200" spans="2:28" x14ac:dyDescent="0.25">
      <c r="B200" s="422"/>
      <c r="C200" s="42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2"/>
      <c r="Q200" s="422"/>
      <c r="R200" s="422"/>
      <c r="S200" s="422"/>
      <c r="T200" s="422"/>
      <c r="U200" s="422"/>
      <c r="V200" s="422"/>
      <c r="W200" s="422"/>
      <c r="X200" s="422"/>
      <c r="Y200" s="422"/>
      <c r="Z200" s="422"/>
      <c r="AA200" s="422"/>
      <c r="AB200" s="422"/>
    </row>
    <row r="201" spans="2:28" x14ac:dyDescent="0.25">
      <c r="B201" s="422"/>
      <c r="C201" s="42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  <c r="P201" s="422"/>
      <c r="Q201" s="422"/>
      <c r="R201" s="422"/>
      <c r="S201" s="422"/>
      <c r="T201" s="422"/>
      <c r="U201" s="422"/>
      <c r="V201" s="422"/>
      <c r="W201" s="422"/>
      <c r="X201" s="422"/>
      <c r="Y201" s="422"/>
      <c r="Z201" s="422"/>
      <c r="AA201" s="422"/>
      <c r="AB201" s="422"/>
    </row>
    <row r="202" spans="2:28" x14ac:dyDescent="0.25">
      <c r="B202" s="422"/>
      <c r="C202" s="422"/>
      <c r="D202" s="422"/>
      <c r="E202" s="422"/>
      <c r="F202" s="422"/>
      <c r="G202" s="422"/>
      <c r="H202" s="422"/>
      <c r="I202" s="422"/>
      <c r="J202" s="422"/>
      <c r="K202" s="422"/>
      <c r="L202" s="422"/>
      <c r="M202" s="422"/>
      <c r="N202" s="422"/>
      <c r="O202" s="422"/>
      <c r="P202" s="422"/>
      <c r="Q202" s="422"/>
      <c r="R202" s="422"/>
      <c r="S202" s="422"/>
      <c r="T202" s="422"/>
      <c r="U202" s="422"/>
      <c r="V202" s="422"/>
      <c r="W202" s="422"/>
      <c r="X202" s="422"/>
      <c r="Y202" s="422"/>
      <c r="Z202" s="422"/>
      <c r="AA202" s="422"/>
      <c r="AB202" s="422"/>
    </row>
    <row r="203" spans="2:28" x14ac:dyDescent="0.25">
      <c r="B203" s="422"/>
      <c r="C203" s="422"/>
      <c r="D203" s="422"/>
      <c r="E203" s="422"/>
      <c r="F203" s="422"/>
      <c r="G203" s="422"/>
      <c r="H203" s="422"/>
      <c r="I203" s="422"/>
      <c r="J203" s="422"/>
      <c r="K203" s="422"/>
      <c r="L203" s="422"/>
      <c r="M203" s="422"/>
      <c r="N203" s="422"/>
      <c r="O203" s="422"/>
      <c r="P203" s="422"/>
      <c r="Q203" s="422"/>
      <c r="R203" s="422"/>
      <c r="S203" s="422"/>
      <c r="T203" s="422"/>
      <c r="U203" s="422"/>
      <c r="V203" s="422"/>
      <c r="W203" s="422"/>
      <c r="X203" s="422"/>
      <c r="Y203" s="422"/>
      <c r="Z203" s="422"/>
      <c r="AA203" s="422"/>
      <c r="AB203" s="422"/>
    </row>
    <row r="204" spans="2:28" x14ac:dyDescent="0.25">
      <c r="B204" s="422"/>
      <c r="C204" s="42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2"/>
      <c r="Q204" s="422"/>
      <c r="R204" s="422"/>
      <c r="S204" s="422"/>
      <c r="T204" s="422"/>
      <c r="U204" s="422"/>
      <c r="V204" s="422"/>
      <c r="W204" s="422"/>
      <c r="X204" s="422"/>
      <c r="Y204" s="422"/>
      <c r="Z204" s="422"/>
      <c r="AA204" s="422"/>
      <c r="AB204" s="422"/>
    </row>
    <row r="205" spans="2:28" x14ac:dyDescent="0.25">
      <c r="B205" s="422"/>
      <c r="C205" s="42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2"/>
      <c r="Q205" s="422"/>
      <c r="R205" s="422"/>
      <c r="S205" s="422"/>
      <c r="T205" s="422"/>
      <c r="U205" s="422"/>
      <c r="V205" s="422"/>
      <c r="W205" s="422"/>
      <c r="X205" s="422"/>
      <c r="Y205" s="422"/>
      <c r="Z205" s="422"/>
      <c r="AA205" s="422"/>
      <c r="AB205" s="422"/>
    </row>
    <row r="206" spans="2:28" x14ac:dyDescent="0.25">
      <c r="B206" s="422"/>
      <c r="C206" s="42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2"/>
      <c r="Q206" s="422"/>
      <c r="R206" s="422"/>
      <c r="S206" s="422"/>
      <c r="T206" s="422"/>
      <c r="U206" s="422"/>
      <c r="V206" s="422"/>
      <c r="W206" s="422"/>
      <c r="X206" s="422"/>
      <c r="Y206" s="422"/>
      <c r="Z206" s="422"/>
      <c r="AA206" s="422"/>
      <c r="AB206" s="422"/>
    </row>
    <row r="207" spans="2:28" x14ac:dyDescent="0.25">
      <c r="B207" s="422"/>
      <c r="C207" s="42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2"/>
      <c r="Q207" s="422"/>
      <c r="R207" s="422"/>
      <c r="S207" s="422"/>
      <c r="T207" s="422"/>
      <c r="U207" s="422"/>
      <c r="V207" s="422"/>
      <c r="W207" s="422"/>
      <c r="X207" s="422"/>
      <c r="Y207" s="422"/>
      <c r="Z207" s="422"/>
      <c r="AA207" s="422"/>
      <c r="AB207" s="422"/>
    </row>
    <row r="208" spans="2:28" x14ac:dyDescent="0.25">
      <c r="B208" s="422"/>
      <c r="C208" s="42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2"/>
      <c r="Q208" s="422"/>
      <c r="R208" s="422"/>
      <c r="S208" s="422"/>
      <c r="T208" s="422"/>
      <c r="U208" s="422"/>
      <c r="V208" s="422"/>
      <c r="W208" s="422"/>
      <c r="X208" s="422"/>
      <c r="Y208" s="422"/>
      <c r="Z208" s="422"/>
      <c r="AA208" s="422"/>
      <c r="AB208" s="422"/>
    </row>
    <row r="209" spans="2:28" x14ac:dyDescent="0.25">
      <c r="B209" s="422"/>
      <c r="C209" s="42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2"/>
      <c r="Q209" s="422"/>
      <c r="R209" s="422"/>
      <c r="S209" s="422"/>
      <c r="T209" s="422"/>
      <c r="U209" s="422"/>
      <c r="V209" s="422"/>
      <c r="W209" s="422"/>
      <c r="X209" s="422"/>
      <c r="Y209" s="422"/>
      <c r="Z209" s="422"/>
      <c r="AA209" s="422"/>
      <c r="AB209" s="422"/>
    </row>
    <row r="210" spans="2:28" x14ac:dyDescent="0.25">
      <c r="B210" s="422"/>
      <c r="C210" s="42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2"/>
      <c r="Q210" s="422"/>
      <c r="R210" s="422"/>
      <c r="S210" s="422"/>
      <c r="T210" s="422"/>
      <c r="U210" s="422"/>
      <c r="V210" s="422"/>
      <c r="W210" s="422"/>
      <c r="X210" s="422"/>
      <c r="Y210" s="422"/>
      <c r="Z210" s="422"/>
      <c r="AA210" s="422"/>
      <c r="AB210" s="422"/>
    </row>
    <row r="211" spans="2:28" x14ac:dyDescent="0.25">
      <c r="B211" s="422"/>
      <c r="C211" s="42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2"/>
      <c r="Q211" s="422"/>
      <c r="R211" s="422"/>
      <c r="S211" s="422"/>
      <c r="T211" s="422"/>
      <c r="U211" s="422"/>
      <c r="V211" s="422"/>
      <c r="W211" s="422"/>
      <c r="X211" s="422"/>
      <c r="Y211" s="422"/>
      <c r="Z211" s="422"/>
      <c r="AA211" s="422"/>
      <c r="AB211" s="422"/>
    </row>
    <row r="212" spans="2:28" x14ac:dyDescent="0.25">
      <c r="B212" s="422"/>
      <c r="C212" s="42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2"/>
      <c r="Q212" s="422"/>
      <c r="R212" s="422"/>
      <c r="S212" s="422"/>
      <c r="T212" s="422"/>
      <c r="U212" s="422"/>
      <c r="V212" s="422"/>
      <c r="W212" s="422"/>
      <c r="X212" s="422"/>
      <c r="Y212" s="422"/>
      <c r="Z212" s="422"/>
      <c r="AA212" s="422"/>
      <c r="AB212" s="422"/>
    </row>
    <row r="213" spans="2:28" x14ac:dyDescent="0.25">
      <c r="B213" s="422"/>
      <c r="C213" s="42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2"/>
      <c r="Q213" s="422"/>
      <c r="R213" s="422"/>
      <c r="S213" s="422"/>
      <c r="T213" s="422"/>
      <c r="U213" s="422"/>
      <c r="V213" s="422"/>
      <c r="W213" s="422"/>
      <c r="X213" s="422"/>
      <c r="Y213" s="422"/>
      <c r="Z213" s="422"/>
      <c r="AA213" s="422"/>
      <c r="AB213" s="422"/>
    </row>
    <row r="214" spans="2:28" x14ac:dyDescent="0.25">
      <c r="B214" s="422"/>
      <c r="C214" s="42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2"/>
      <c r="Q214" s="422"/>
      <c r="R214" s="422"/>
      <c r="S214" s="422"/>
      <c r="T214" s="422"/>
      <c r="U214" s="422"/>
      <c r="V214" s="422"/>
      <c r="W214" s="422"/>
      <c r="X214" s="422"/>
      <c r="Y214" s="422"/>
      <c r="Z214" s="422"/>
      <c r="AA214" s="422"/>
      <c r="AB214" s="422"/>
    </row>
    <row r="215" spans="2:28" x14ac:dyDescent="0.25">
      <c r="B215" s="422"/>
      <c r="C215" s="42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2"/>
      <c r="Q215" s="422"/>
      <c r="R215" s="422"/>
      <c r="S215" s="422"/>
      <c r="T215" s="422"/>
      <c r="U215" s="422"/>
      <c r="V215" s="422"/>
      <c r="W215" s="422"/>
      <c r="X215" s="422"/>
      <c r="Y215" s="422"/>
      <c r="Z215" s="422"/>
      <c r="AA215" s="422"/>
      <c r="AB215" s="422"/>
    </row>
    <row r="216" spans="2:28" x14ac:dyDescent="0.25">
      <c r="B216" s="422"/>
      <c r="C216" s="42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2"/>
      <c r="Q216" s="422"/>
      <c r="R216" s="422"/>
      <c r="S216" s="422"/>
      <c r="T216" s="422"/>
      <c r="U216" s="422"/>
      <c r="V216" s="422"/>
      <c r="W216" s="422"/>
      <c r="X216" s="422"/>
      <c r="Y216" s="422"/>
      <c r="Z216" s="422"/>
      <c r="AA216" s="422"/>
      <c r="AB216" s="422"/>
    </row>
    <row r="217" spans="2:28" x14ac:dyDescent="0.25">
      <c r="B217" s="422"/>
      <c r="C217" s="42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2"/>
      <c r="Q217" s="422"/>
      <c r="R217" s="422"/>
      <c r="S217" s="422"/>
      <c r="T217" s="422"/>
      <c r="U217" s="422"/>
      <c r="V217" s="422"/>
      <c r="W217" s="422"/>
      <c r="X217" s="422"/>
      <c r="Y217" s="422"/>
      <c r="Z217" s="422"/>
      <c r="AA217" s="422"/>
      <c r="AB217" s="422"/>
    </row>
    <row r="218" spans="2:28" x14ac:dyDescent="0.25">
      <c r="B218" s="422"/>
      <c r="C218" s="42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2"/>
      <c r="Q218" s="422"/>
      <c r="R218" s="422"/>
      <c r="S218" s="422"/>
      <c r="T218" s="422"/>
      <c r="U218" s="422"/>
      <c r="V218" s="422"/>
      <c r="W218" s="422"/>
      <c r="X218" s="422"/>
      <c r="Y218" s="422"/>
      <c r="Z218" s="422"/>
      <c r="AA218" s="422"/>
      <c r="AB218" s="422"/>
    </row>
    <row r="219" spans="2:28" x14ac:dyDescent="0.25">
      <c r="B219" s="422"/>
      <c r="C219" s="42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2"/>
      <c r="Q219" s="422"/>
      <c r="R219" s="422"/>
      <c r="S219" s="422"/>
      <c r="T219" s="422"/>
      <c r="U219" s="422"/>
      <c r="V219" s="422"/>
      <c r="W219" s="422"/>
      <c r="X219" s="422"/>
      <c r="Y219" s="422"/>
      <c r="Z219" s="422"/>
      <c r="AA219" s="422"/>
      <c r="AB219" s="422"/>
    </row>
    <row r="220" spans="2:28" x14ac:dyDescent="0.25">
      <c r="B220" s="422"/>
      <c r="C220" s="42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2"/>
      <c r="Q220" s="422"/>
      <c r="R220" s="422"/>
      <c r="S220" s="422"/>
      <c r="T220" s="422"/>
      <c r="U220" s="422"/>
      <c r="V220" s="422"/>
      <c r="W220" s="422"/>
      <c r="X220" s="422"/>
      <c r="Y220" s="422"/>
      <c r="Z220" s="422"/>
      <c r="AA220" s="422"/>
      <c r="AB220" s="422"/>
    </row>
    <row r="221" spans="2:28" x14ac:dyDescent="0.25">
      <c r="B221" s="422"/>
      <c r="C221" s="42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2"/>
      <c r="Q221" s="422"/>
      <c r="R221" s="422"/>
      <c r="S221" s="422"/>
      <c r="T221" s="422"/>
      <c r="U221" s="422"/>
      <c r="V221" s="422"/>
      <c r="W221" s="422"/>
      <c r="X221" s="422"/>
      <c r="Y221" s="422"/>
      <c r="Z221" s="422"/>
      <c r="AA221" s="422"/>
      <c r="AB221" s="422"/>
    </row>
    <row r="222" spans="2:28" x14ac:dyDescent="0.25">
      <c r="B222" s="422"/>
      <c r="C222" s="42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2"/>
      <c r="Q222" s="422"/>
      <c r="R222" s="422"/>
      <c r="S222" s="422"/>
      <c r="T222" s="422"/>
      <c r="U222" s="422"/>
      <c r="V222" s="422"/>
      <c r="W222" s="422"/>
      <c r="X222" s="422"/>
      <c r="Y222" s="422"/>
      <c r="Z222" s="422"/>
      <c r="AA222" s="422"/>
      <c r="AB222" s="422"/>
    </row>
    <row r="223" spans="2:28" x14ac:dyDescent="0.25">
      <c r="B223" s="422"/>
      <c r="C223" s="42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2"/>
      <c r="Q223" s="422"/>
      <c r="R223" s="422"/>
      <c r="S223" s="422"/>
      <c r="T223" s="422"/>
      <c r="U223" s="422"/>
      <c r="V223" s="422"/>
      <c r="W223" s="422"/>
      <c r="X223" s="422"/>
      <c r="Y223" s="422"/>
      <c r="Z223" s="422"/>
      <c r="AA223" s="422"/>
      <c r="AB223" s="422"/>
    </row>
    <row r="224" spans="2:28" x14ac:dyDescent="0.25">
      <c r="B224" s="422"/>
      <c r="C224" s="42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2"/>
      <c r="Q224" s="422"/>
      <c r="R224" s="422"/>
      <c r="S224" s="422"/>
      <c r="T224" s="422"/>
      <c r="U224" s="422"/>
      <c r="V224" s="422"/>
      <c r="W224" s="422"/>
      <c r="X224" s="422"/>
      <c r="Y224" s="422"/>
      <c r="Z224" s="422"/>
      <c r="AA224" s="422"/>
      <c r="AB224" s="422"/>
    </row>
    <row r="225" spans="2:28" x14ac:dyDescent="0.25"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2"/>
      <c r="Q225" s="422"/>
      <c r="R225" s="422"/>
      <c r="S225" s="422"/>
      <c r="T225" s="422"/>
      <c r="U225" s="422"/>
      <c r="V225" s="422"/>
      <c r="W225" s="422"/>
      <c r="X225" s="422"/>
      <c r="Y225" s="422"/>
      <c r="Z225" s="422"/>
      <c r="AA225" s="422"/>
      <c r="AB225" s="422"/>
    </row>
    <row r="226" spans="2:28" x14ac:dyDescent="0.25"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2"/>
      <c r="Q226" s="422"/>
      <c r="R226" s="422"/>
      <c r="S226" s="422"/>
      <c r="T226" s="422"/>
      <c r="U226" s="422"/>
      <c r="V226" s="422"/>
      <c r="W226" s="422"/>
      <c r="X226" s="422"/>
      <c r="Y226" s="422"/>
      <c r="Z226" s="422"/>
      <c r="AA226" s="422"/>
      <c r="AB226" s="422"/>
    </row>
    <row r="227" spans="2:28" x14ac:dyDescent="0.25">
      <c r="B227" s="422"/>
      <c r="C227" s="42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2"/>
      <c r="Q227" s="422"/>
      <c r="R227" s="422"/>
      <c r="S227" s="422"/>
      <c r="T227" s="422"/>
      <c r="U227" s="422"/>
      <c r="V227" s="422"/>
      <c r="W227" s="422"/>
      <c r="X227" s="422"/>
      <c r="Y227" s="422"/>
      <c r="Z227" s="422"/>
      <c r="AA227" s="422"/>
      <c r="AB227" s="422"/>
    </row>
    <row r="228" spans="2:28" x14ac:dyDescent="0.25">
      <c r="B228" s="422"/>
      <c r="C228" s="42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2"/>
      <c r="Q228" s="422"/>
      <c r="R228" s="422"/>
      <c r="S228" s="422"/>
      <c r="T228" s="422"/>
      <c r="U228" s="422"/>
      <c r="V228" s="422"/>
      <c r="W228" s="422"/>
      <c r="X228" s="422"/>
      <c r="Y228" s="422"/>
      <c r="Z228" s="422"/>
      <c r="AA228" s="422"/>
      <c r="AB228" s="422"/>
    </row>
    <row r="229" spans="2:28" x14ac:dyDescent="0.25"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2"/>
      <c r="Q229" s="422"/>
      <c r="R229" s="422"/>
      <c r="S229" s="422"/>
      <c r="T229" s="422"/>
      <c r="U229" s="422"/>
      <c r="V229" s="422"/>
      <c r="W229" s="422"/>
      <c r="X229" s="422"/>
      <c r="Y229" s="422"/>
      <c r="Z229" s="422"/>
      <c r="AA229" s="422"/>
      <c r="AB229" s="422"/>
    </row>
    <row r="230" spans="2:28" x14ac:dyDescent="0.25"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2"/>
      <c r="Q230" s="422"/>
      <c r="R230" s="422"/>
      <c r="S230" s="422"/>
      <c r="T230" s="422"/>
      <c r="U230" s="422"/>
      <c r="V230" s="422"/>
      <c r="W230" s="422"/>
      <c r="X230" s="422"/>
      <c r="Y230" s="422"/>
      <c r="Z230" s="422"/>
      <c r="AA230" s="422"/>
      <c r="AB230" s="422"/>
    </row>
    <row r="231" spans="2:28" x14ac:dyDescent="0.25">
      <c r="B231" s="422"/>
      <c r="C231" s="42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2"/>
      <c r="Q231" s="422"/>
      <c r="R231" s="422"/>
      <c r="S231" s="422"/>
      <c r="T231" s="422"/>
      <c r="U231" s="422"/>
      <c r="V231" s="422"/>
      <c r="W231" s="422"/>
      <c r="X231" s="422"/>
      <c r="Y231" s="422"/>
      <c r="Z231" s="422"/>
      <c r="AA231" s="422"/>
      <c r="AB231" s="422"/>
    </row>
    <row r="232" spans="2:28" x14ac:dyDescent="0.25">
      <c r="B232" s="422"/>
      <c r="C232" s="42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2"/>
      <c r="Q232" s="422"/>
      <c r="R232" s="422"/>
      <c r="S232" s="422"/>
      <c r="T232" s="422"/>
      <c r="U232" s="422"/>
      <c r="V232" s="422"/>
      <c r="W232" s="422"/>
      <c r="X232" s="422"/>
      <c r="Y232" s="422"/>
      <c r="Z232" s="422"/>
      <c r="AA232" s="422"/>
      <c r="AB232" s="422"/>
    </row>
    <row r="233" spans="2:28" x14ac:dyDescent="0.25">
      <c r="B233" s="422"/>
      <c r="C233" s="42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2"/>
      <c r="Q233" s="422"/>
      <c r="R233" s="422"/>
      <c r="S233" s="422"/>
      <c r="T233" s="422"/>
      <c r="U233" s="422"/>
      <c r="V233" s="422"/>
      <c r="W233" s="422"/>
      <c r="X233" s="422"/>
      <c r="Y233" s="422"/>
      <c r="Z233" s="422"/>
      <c r="AA233" s="422"/>
      <c r="AB233" s="422"/>
    </row>
    <row r="234" spans="2:28" x14ac:dyDescent="0.25">
      <c r="B234" s="422"/>
      <c r="C234" s="42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2"/>
      <c r="Q234" s="422"/>
      <c r="R234" s="422"/>
      <c r="S234" s="422"/>
      <c r="T234" s="422"/>
      <c r="U234" s="422"/>
      <c r="V234" s="422"/>
      <c r="W234" s="422"/>
      <c r="X234" s="422"/>
      <c r="Y234" s="422"/>
      <c r="Z234" s="422"/>
      <c r="AA234" s="422"/>
      <c r="AB234" s="422"/>
    </row>
    <row r="235" spans="2:28" x14ac:dyDescent="0.25">
      <c r="B235" s="422"/>
      <c r="C235" s="42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2"/>
      <c r="Q235" s="422"/>
      <c r="R235" s="422"/>
      <c r="S235" s="422"/>
      <c r="T235" s="422"/>
      <c r="U235" s="422"/>
      <c r="V235" s="422"/>
      <c r="W235" s="422"/>
      <c r="X235" s="422"/>
      <c r="Y235" s="422"/>
      <c r="Z235" s="422"/>
      <c r="AA235" s="422"/>
      <c r="AB235" s="422"/>
    </row>
    <row r="236" spans="2:28" x14ac:dyDescent="0.25">
      <c r="B236" s="422"/>
      <c r="C236" s="42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2"/>
      <c r="Q236" s="422"/>
      <c r="R236" s="422"/>
      <c r="S236" s="422"/>
      <c r="T236" s="422"/>
      <c r="U236" s="422"/>
      <c r="V236" s="422"/>
      <c r="W236" s="422"/>
      <c r="X236" s="422"/>
      <c r="Y236" s="422"/>
      <c r="Z236" s="422"/>
      <c r="AA236" s="422"/>
      <c r="AB236" s="422"/>
    </row>
    <row r="237" spans="2:28" x14ac:dyDescent="0.25">
      <c r="B237" s="422"/>
      <c r="C237" s="422"/>
      <c r="D237" s="422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2"/>
      <c r="Q237" s="422"/>
      <c r="R237" s="422"/>
      <c r="S237" s="422"/>
      <c r="T237" s="422"/>
      <c r="U237" s="422"/>
      <c r="V237" s="422"/>
      <c r="W237" s="422"/>
      <c r="X237" s="422"/>
      <c r="Y237" s="422"/>
      <c r="Z237" s="422"/>
      <c r="AA237" s="422"/>
      <c r="AB237" s="422"/>
    </row>
    <row r="238" spans="2:28" x14ac:dyDescent="0.25">
      <c r="B238" s="422"/>
      <c r="C238" s="422"/>
      <c r="D238" s="422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2"/>
      <c r="Q238" s="422"/>
      <c r="R238" s="422"/>
      <c r="S238" s="422"/>
      <c r="T238" s="422"/>
      <c r="U238" s="422"/>
      <c r="V238" s="422"/>
      <c r="W238" s="422"/>
      <c r="X238" s="422"/>
      <c r="Y238" s="422"/>
      <c r="Z238" s="422"/>
      <c r="AA238" s="422"/>
      <c r="AB238" s="422"/>
    </row>
    <row r="239" spans="2:28" x14ac:dyDescent="0.25">
      <c r="B239" s="422"/>
      <c r="C239" s="422"/>
      <c r="D239" s="422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2"/>
      <c r="Q239" s="422"/>
      <c r="R239" s="422"/>
      <c r="S239" s="422"/>
      <c r="T239" s="422"/>
      <c r="U239" s="422"/>
      <c r="V239" s="422"/>
      <c r="W239" s="422"/>
      <c r="X239" s="422"/>
      <c r="Y239" s="422"/>
      <c r="Z239" s="422"/>
      <c r="AA239" s="422"/>
      <c r="AB239" s="422"/>
    </row>
    <row r="240" spans="2:28" x14ac:dyDescent="0.25">
      <c r="B240" s="422"/>
      <c r="C240" s="42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2"/>
      <c r="Q240" s="422"/>
      <c r="R240" s="422"/>
      <c r="S240" s="422"/>
      <c r="T240" s="422"/>
      <c r="U240" s="422"/>
      <c r="V240" s="422"/>
      <c r="W240" s="422"/>
      <c r="X240" s="422"/>
      <c r="Y240" s="422"/>
      <c r="Z240" s="422"/>
      <c r="AA240" s="422"/>
      <c r="AB240" s="422"/>
    </row>
    <row r="241" spans="2:27" x14ac:dyDescent="0.25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</sheetData>
  <sheetProtection algorithmName="SHA-512" hashValue="B+hYCOe80a1ecn6mQUshLbJ4wuJOml829v5r+Ao5JyxlZ30zau4w/9Oyj9y9OYF59NZ3GXOnWClZlt58P1EW7w==" saltValue="fQVY7YfZy4hiGWxYVOSVvg==" spinCount="100000" sheet="1" objects="1" scenarios="1" selectLockedCells="1"/>
  <protectedRanges>
    <protectedRange sqref="E49:G49" name="Intervallo5"/>
    <protectedRange sqref="N120" name="Intervallo3"/>
    <protectedRange sqref="D103 D105" name="Intervallo2"/>
    <protectedRange sqref="N129" name="Intervallo4"/>
    <protectedRange sqref="I96:I97" name="Intervallo1_5_3"/>
    <protectedRange sqref="I94" name="Intervallo1_5_3_2"/>
  </protectedRanges>
  <customSheetViews>
    <customSheetView guid="{101D851C-E4EE-4443-B6A9-9040ACB2A650}" scale="90" showGridLines="0" showRowCol="0" fitToPage="1" topLeftCell="A17">
      <selection activeCell="E49" sqref="E49:G49"/>
      <rowBreaks count="1" manualBreakCount="1">
        <brk id="100" max="16383" man="1"/>
      </rowBreaks>
      <colBreaks count="1" manualBreakCount="1">
        <brk id="1" max="1048575" man="1"/>
      </colBreaks>
      <pageMargins left="0.59055118110236227" right="0.51181102362204722" top="0.39370078740157483" bottom="0.35433070866141736" header="0.31496062992125984" footer="0.31496062992125984"/>
      <pageSetup paperSize="9" scale="67" fitToHeight="0" orientation="landscape" r:id="rId1"/>
    </customSheetView>
  </customSheetViews>
  <mergeCells count="29">
    <mergeCell ref="C8:D8"/>
    <mergeCell ref="C56:D57"/>
    <mergeCell ref="F56:G57"/>
    <mergeCell ref="I56:J57"/>
    <mergeCell ref="O56:P57"/>
    <mergeCell ref="G20:G21"/>
    <mergeCell ref="H20:H21"/>
    <mergeCell ref="G22:G23"/>
    <mergeCell ref="H22:H23"/>
    <mergeCell ref="R56:S57"/>
    <mergeCell ref="E48:G48"/>
    <mergeCell ref="F110:H110"/>
    <mergeCell ref="E50:G50"/>
    <mergeCell ref="E51:G51"/>
    <mergeCell ref="J120:M120"/>
    <mergeCell ref="E49:G49"/>
    <mergeCell ref="H83:I83"/>
    <mergeCell ref="H84:I84"/>
    <mergeCell ref="H91:I91"/>
    <mergeCell ref="H92:I92"/>
    <mergeCell ref="I110:K110"/>
    <mergeCell ref="L56:M57"/>
    <mergeCell ref="D105:E105"/>
    <mergeCell ref="J127:L127"/>
    <mergeCell ref="J129:M129"/>
    <mergeCell ref="O129:Q132"/>
    <mergeCell ref="J123:L123"/>
    <mergeCell ref="J124:L124"/>
    <mergeCell ref="J126:L126"/>
  </mergeCells>
  <conditionalFormatting sqref="H83:I83 H91:I91">
    <cfRule type="cellIs" dxfId="14" priority="2" operator="equal">
      <formula>"VERIFICATO"</formula>
    </cfRule>
  </conditionalFormatting>
  <dataValidations count="2">
    <dataValidation type="list" allowBlank="1" showInputMessage="1" showErrorMessage="1" sqref="E49">
      <formula1>mey</formula1>
    </dataValidation>
    <dataValidation type="list" allowBlank="1" showInputMessage="1" showErrorMessage="1" sqref="N129 I96:I97 I94">
      <formula1>sn</formula1>
    </dataValidation>
  </dataValidations>
  <pageMargins left="0.59055118110236227" right="0.51181102362204722" top="0.39370078740157483" bottom="0.35433070866141736" header="0.31496062992125984" footer="0.31496062992125984"/>
  <pageSetup paperSize="9" scale="67" fitToHeight="0" orientation="landscape" r:id="rId2"/>
  <rowBreaks count="1" manualBreakCount="1">
    <brk id="100" max="16383" man="1"/>
  </rowBreaks>
  <colBreaks count="1" manualBreakCount="1">
    <brk id="1" max="1048575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18</vt:i4>
      </vt:variant>
      <vt:variant>
        <vt:lpstr>Intervalli denominati</vt:lpstr>
      </vt:variant>
      <vt:variant>
        <vt:i4>41</vt:i4>
      </vt:variant>
    </vt:vector>
  </HeadingPairs>
  <TitlesOfParts>
    <vt:vector size="59" baseType="lpstr">
      <vt:lpstr>ISTRUZIONI</vt:lpstr>
      <vt:lpstr>FOGLIO DEPOSITO</vt:lpstr>
      <vt:lpstr>DATI</vt:lpstr>
      <vt:lpstr>SPINTE</vt:lpstr>
      <vt:lpstr>ANALISI DELLE SPINTE</vt:lpstr>
      <vt:lpstr>VER. EQU COND. NON DRENATE</vt:lpstr>
      <vt:lpstr>VER. EQU COND. DRENATE</vt:lpstr>
      <vt:lpstr>VER. GEO CONDIZIONI NON DRENATE</vt:lpstr>
      <vt:lpstr>VER. GEO CONDIZIONI DRENATE</vt:lpstr>
      <vt:lpstr>SOLLECITAZ NASCOSTO</vt:lpstr>
      <vt:lpstr>geom masse muro+tensioni</vt:lpstr>
      <vt:lpstr>Sollecitazioni nel paramento</vt:lpstr>
      <vt:lpstr>Foglio deposito bis</vt:lpstr>
      <vt:lpstr>sezione</vt:lpstr>
      <vt:lpstr>Sollecitazioni nella zattera</vt:lpstr>
      <vt:lpstr>SPETTRO DI PROGETTO ORIZZONTALE</vt:lpstr>
      <vt:lpstr>Formule coefficienti correttivi</vt:lpstr>
      <vt:lpstr>tabelle NTC 08</vt:lpstr>
      <vt:lpstr>app</vt:lpstr>
      <vt:lpstr>DATI!Area_stampa</vt:lpstr>
      <vt:lpstr>SPINTE!Area_stampa</vt:lpstr>
      <vt:lpstr>class</vt:lpstr>
      <vt:lpstr>COMBO</vt:lpstr>
      <vt:lpstr>dis</vt:lpstr>
      <vt:lpstr>dr</vt:lpstr>
      <vt:lpstr>fer</vt:lpstr>
      <vt:lpstr>fond</vt:lpstr>
      <vt:lpstr>fonda</vt:lpstr>
      <vt:lpstr>graf1</vt:lpstr>
      <vt:lpstr>graf2</vt:lpstr>
      <vt:lpstr>graf3</vt:lpstr>
      <vt:lpstr>graf4</vt:lpstr>
      <vt:lpstr>mey</vt:lpstr>
      <vt:lpstr>mur</vt:lpstr>
      <vt:lpstr>NUMCOST</vt:lpstr>
      <vt:lpstr>PASDEN</vt:lpstr>
      <vt:lpstr>perm</vt:lpstr>
      <vt:lpstr>posdent</vt:lpstr>
      <vt:lpstr>posza</vt:lpstr>
      <vt:lpstr>pr</vt:lpstr>
      <vt:lpstr>RAN</vt:lpstr>
      <vt:lpstr>RANK</vt:lpstr>
      <vt:lpstr>sd</vt:lpstr>
      <vt:lpstr>sec</vt:lpstr>
      <vt:lpstr>SISM</vt:lpstr>
      <vt:lpstr>sn</vt:lpstr>
      <vt:lpstr>speg</vt:lpstr>
      <vt:lpstr>spegn</vt:lpstr>
      <vt:lpstr>spin</vt:lpstr>
      <vt:lpstr>spint</vt:lpstr>
      <vt:lpstr>ss</vt:lpstr>
      <vt:lpstr>st</vt:lpstr>
      <vt:lpstr>str</vt:lpstr>
      <vt:lpstr>ter</vt:lpstr>
      <vt:lpstr>terrr</vt:lpstr>
      <vt:lpstr>terrrr</vt:lpstr>
      <vt:lpstr>tfit</vt:lpstr>
      <vt:lpstr>tip</vt:lpstr>
      <vt:lpstr>TOP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Davide Cicchini</dc:creator>
  <cp:lastModifiedBy>Davide Cicchini</cp:lastModifiedBy>
  <cp:revision/>
  <cp:lastPrinted>2016-08-09T00:27:13Z</cp:lastPrinted>
  <dcterms:created xsi:type="dcterms:W3CDTF">2015-06-12T08:48:10Z</dcterms:created>
  <dcterms:modified xsi:type="dcterms:W3CDTF">2016-08-10T11:17:30Z</dcterms:modified>
  <cp:contentStatus/>
</cp:coreProperties>
</file>